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8"/>
  <workbookPr/>
  <mc:AlternateContent xmlns:mc="http://schemas.openxmlformats.org/markup-compatibility/2006">
    <mc:Choice Requires="x15">
      <x15ac:absPath xmlns:x15ac="http://schemas.microsoft.com/office/spreadsheetml/2010/11/ac" url="C:\Users\nn\Desktop\"/>
    </mc:Choice>
  </mc:AlternateContent>
  <xr:revisionPtr revIDLastSave="0" documentId="8_{92AB8595-6028-4433-A15A-99A9C242BDFA}" xr6:coauthVersionLast="36" xr6:coauthVersionMax="36" xr10:uidLastSave="{00000000-0000-0000-0000-000000000000}"/>
  <bookViews>
    <workbookView xWindow="0" yWindow="0" windowWidth="14390" windowHeight="3760" tabRatio="959" activeTab="1" xr2:uid="{00000000-000D-0000-FFFF-FFFF00000000}"/>
  </bookViews>
  <sheets>
    <sheet name="CU" sheetId="25" r:id="rId1"/>
    <sheet name="PAPB INTEGRAL" sheetId="1" r:id="rId2"/>
    <sheet name="PAPB V_IMPRIMABLE 2019-2022" sheetId="24" r:id="rId3"/>
    <sheet name="CDMT MINISTERE" sheetId="23" r:id="rId4"/>
    <sheet name="CDMT BAIL" sheetId="16" r:id="rId5"/>
    <sheet name="CDMT BAIL&amp;PRGME" sheetId="17" r:id="rId6"/>
    <sheet name="CDMT BAIL &amp;MINISTERE" sheetId="19" r:id="rId7"/>
    <sheet name="CDMT FINANC_PRGME" sheetId="21" r:id="rId8"/>
    <sheet name="CDMT FINANC_SPRGME" sheetId="20" r:id="rId9"/>
    <sheet name="CDMT STRAT MINISTERE" sheetId="22" r:id="rId10"/>
    <sheet name="ACTIVITES" sheetId="15" state="hidden" r:id="rId11"/>
  </sheets>
  <externalReferences>
    <externalReference r:id="rId12"/>
    <externalReference r:id="rId13"/>
    <externalReference r:id="rId14"/>
    <externalReference r:id="rId15"/>
    <externalReference r:id="rId16"/>
  </externalReferences>
  <definedNames>
    <definedName name="_BUD2008">'[1]LDF 08 &amp; 09'!$A$4:$AC$853</definedName>
    <definedName name="_CAL1">'[1]PAAB 09'!$S$1:$S$65536</definedName>
    <definedName name="_CAL2">'[1]PAAB 09'!$T$1:$T$65536</definedName>
    <definedName name="_CAL3">'[1]PAAB 09'!$U$1:$U$65536</definedName>
    <definedName name="_CAL4">'[1]PAAB 09'!$V$1:$V$65536</definedName>
    <definedName name="_CAL5">'[1]PAAB 09'!$W$1:$W$65536</definedName>
    <definedName name="_can10">'[1]base bailleurs'!$W$1:$W$65536</definedName>
    <definedName name="_cpn10">'[1]base bailleurs'!$AE$1:$AE$65536</definedName>
    <definedName name="_xlnm._FilterDatabase" localSheetId="10" hidden="1">ACTIVITES!$A$2:$AD$2126</definedName>
    <definedName name="_xlnm._FilterDatabase" localSheetId="0" hidden="1">CU!$A$3:$N$255</definedName>
    <definedName name="_xlnm._FilterDatabase" localSheetId="1" hidden="1">'PAPB INTEGRAL'!$A$2:$AD$2169</definedName>
    <definedName name="_xlnm._FilterDatabase" localSheetId="2" hidden="1">'PAPB V_IMPRIMABLE 2019-2022'!$A$2:$R$2168</definedName>
    <definedName name="_GNF07">[1]var!$Z$7</definedName>
    <definedName name="_Min1" localSheetId="10">#REF!</definedName>
    <definedName name="_Min1" localSheetId="6">#REF!</definedName>
    <definedName name="_Min1" localSheetId="5">#REF!</definedName>
    <definedName name="_Min1" localSheetId="7">#REF!</definedName>
    <definedName name="_Min1" localSheetId="8">#REF!</definedName>
    <definedName name="_Min1" localSheetId="3">#REF!</definedName>
    <definedName name="_Min1" localSheetId="9">#REF!</definedName>
    <definedName name="_Min1" localSheetId="0">#REF!</definedName>
    <definedName name="_Min1" localSheetId="2">#REF!</definedName>
    <definedName name="_Min1">#REF!</definedName>
    <definedName name="bail">'[1]base bailleurs'!$B$5:$AH$1328</definedName>
    <definedName name="bail10">'[1]base bailleurs'!$AA$1:$AA$65536</definedName>
    <definedName name="BaseArt" localSheetId="10">#REF!</definedName>
    <definedName name="BaseArt" localSheetId="6">#REF!</definedName>
    <definedName name="BaseArt" localSheetId="5">#REF!</definedName>
    <definedName name="BaseArt" localSheetId="7">#REF!</definedName>
    <definedName name="BaseArt" localSheetId="8">#REF!</definedName>
    <definedName name="BaseArt" localSheetId="3">#REF!</definedName>
    <definedName name="BaseArt" localSheetId="9">#REF!</definedName>
    <definedName name="BaseArt" localSheetId="0">#REF!</definedName>
    <definedName name="BaseArt" localSheetId="2">#REF!</definedName>
    <definedName name="BaseArt">#REF!</definedName>
    <definedName name="Basechaine" localSheetId="10">#REF!</definedName>
    <definedName name="Basechaine" localSheetId="6">#REF!</definedName>
    <definedName name="Basechaine" localSheetId="5">#REF!</definedName>
    <definedName name="Basechaine" localSheetId="7">#REF!</definedName>
    <definedName name="Basechaine" localSheetId="8">#REF!</definedName>
    <definedName name="Basechaine" localSheetId="3">#REF!</definedName>
    <definedName name="Basechaine" localSheetId="9">#REF!</definedName>
    <definedName name="Basechaine" localSheetId="0">#REF!</definedName>
    <definedName name="Basechaine" localSheetId="2">#REF!</definedName>
    <definedName name="Basechaine">#REF!</definedName>
    <definedName name="BaseChap" localSheetId="10">#REF!</definedName>
    <definedName name="BaseChap" localSheetId="6">#REF!</definedName>
    <definedName name="BaseChap" localSheetId="5">#REF!</definedName>
    <definedName name="BaseChap" localSheetId="7">#REF!</definedName>
    <definedName name="BaseChap" localSheetId="8">#REF!</definedName>
    <definedName name="BaseChap" localSheetId="3">#REF!</definedName>
    <definedName name="BaseChap" localSheetId="9">#REF!</definedName>
    <definedName name="BaseChap" localSheetId="0">#REF!</definedName>
    <definedName name="BaseChap" localSheetId="2">#REF!</definedName>
    <definedName name="BaseChap">#REF!</definedName>
    <definedName name="BASEDET" localSheetId="10">#REF!</definedName>
    <definedName name="BASEDET" localSheetId="6">#REF!</definedName>
    <definedName name="BASEDET" localSheetId="5">#REF!</definedName>
    <definedName name="BASEDET" localSheetId="7">#REF!</definedName>
    <definedName name="BASEDET" localSheetId="8">#REF!</definedName>
    <definedName name="BASEDET" localSheetId="3">#REF!</definedName>
    <definedName name="BASEDET" localSheetId="9">#REF!</definedName>
    <definedName name="BASEDET" localSheetId="0">#REF!</definedName>
    <definedName name="BASEDET" localSheetId="2">#REF!</definedName>
    <definedName name="BASEDET">#REF!</definedName>
    <definedName name="BASEDET_prescolaire" localSheetId="10">#REF!</definedName>
    <definedName name="BASEDET_prescolaire" localSheetId="6">#REF!</definedName>
    <definedName name="BASEDET_prescolaire" localSheetId="5">#REF!</definedName>
    <definedName name="BASEDET_prescolaire" localSheetId="7">#REF!</definedName>
    <definedName name="BASEDET_prescolaire" localSheetId="8">#REF!</definedName>
    <definedName name="BASEDET_prescolaire" localSheetId="3">#REF!</definedName>
    <definedName name="BASEDET_prescolaire" localSheetId="9">#REF!</definedName>
    <definedName name="BASEDET_prescolaire" localSheetId="0">#REF!</definedName>
    <definedName name="BASEDET_prescolaire" localSheetId="2">#REF!</definedName>
    <definedName name="BASEDET_prescolaire">#REF!</definedName>
    <definedName name="BaseParag" localSheetId="10">#REF!</definedName>
    <definedName name="BaseParag" localSheetId="6">#REF!</definedName>
    <definedName name="BaseParag" localSheetId="5">#REF!</definedName>
    <definedName name="BaseParag" localSheetId="7">#REF!</definedName>
    <definedName name="BaseParag" localSheetId="8">#REF!</definedName>
    <definedName name="BaseParag" localSheetId="3">#REF!</definedName>
    <definedName name="BaseParag" localSheetId="9">#REF!</definedName>
    <definedName name="BaseParag" localSheetId="0">#REF!</definedName>
    <definedName name="BaseParag" localSheetId="2">#REF!</definedName>
    <definedName name="BaseParag">#REF!</definedName>
    <definedName name="BASEPTAB">[1]PTAB!$B$5:$AH$462</definedName>
    <definedName name="Batiment" localSheetId="10">#REF!</definedName>
    <definedName name="Batiment" localSheetId="6">#REF!</definedName>
    <definedName name="Batiment" localSheetId="5">#REF!</definedName>
    <definedName name="Batiment" localSheetId="7">#REF!</definedName>
    <definedName name="Batiment" localSheetId="8">#REF!</definedName>
    <definedName name="Batiment" localSheetId="3">#REF!</definedName>
    <definedName name="Batiment" localSheetId="9">#REF!</definedName>
    <definedName name="Batiment" localSheetId="0">#REF!</definedName>
    <definedName name="Batiment" localSheetId="2">#REF!</definedName>
    <definedName name="Batiment">#REF!</definedName>
    <definedName name="BienCourant" localSheetId="10">#REF!</definedName>
    <definedName name="BienCourant" localSheetId="6">#REF!</definedName>
    <definedName name="BienCourant" localSheetId="5">#REF!</definedName>
    <definedName name="BienCourant" localSheetId="7">#REF!</definedName>
    <definedName name="BienCourant" localSheetId="8">#REF!</definedName>
    <definedName name="BienCourant" localSheetId="3">#REF!</definedName>
    <definedName name="BienCourant" localSheetId="9">#REF!</definedName>
    <definedName name="BienCourant" localSheetId="0">#REF!</definedName>
    <definedName name="BienCourant" localSheetId="2">#REF!</definedName>
    <definedName name="BienCourant">#REF!</definedName>
    <definedName name="BienSpécifique" localSheetId="10">#REF!</definedName>
    <definedName name="BienSpécifique" localSheetId="6">#REF!</definedName>
    <definedName name="BienSpécifique" localSheetId="5">#REF!</definedName>
    <definedName name="BienSpécifique" localSheetId="7">#REF!</definedName>
    <definedName name="BienSpécifique" localSheetId="8">#REF!</definedName>
    <definedName name="BienSpécifique" localSheetId="3">#REF!</definedName>
    <definedName name="BienSpécifique" localSheetId="9">#REF!</definedName>
    <definedName name="BienSpécifique" localSheetId="0">#REF!</definedName>
    <definedName name="BienSpécifique" localSheetId="2">#REF!</definedName>
    <definedName name="BienSpécifique">#REF!</definedName>
    <definedName name="BPAABFC09">'[1]PAAB 09'!$B$5:$AF$464</definedName>
    <definedName name="cad">[1]var!$P$9</definedName>
    <definedName name="cadm">[1]var!$P$10</definedName>
    <definedName name="Cbâtiments" localSheetId="10">#REF!</definedName>
    <definedName name="Cbâtiments" localSheetId="6">#REF!</definedName>
    <definedName name="Cbâtiments" localSheetId="5">#REF!</definedName>
    <definedName name="Cbâtiments" localSheetId="7">#REF!</definedName>
    <definedName name="Cbâtiments" localSheetId="8">#REF!</definedName>
    <definedName name="Cbâtiments" localSheetId="3">#REF!</definedName>
    <definedName name="Cbâtiments" localSheetId="9">#REF!</definedName>
    <definedName name="Cbâtiments" localSheetId="0">#REF!</definedName>
    <definedName name="Cbâtiments" localSheetId="2">#REF!</definedName>
    <definedName name="Cbâtiments">#REF!</definedName>
    <definedName name="CC">[2]Cover!$E$8</definedName>
    <definedName name="Ccarbu" localSheetId="10">#REF!</definedName>
    <definedName name="Ccarbu" localSheetId="6">#REF!</definedName>
    <definedName name="Ccarbu" localSheetId="5">#REF!</definedName>
    <definedName name="Ccarbu" localSheetId="7">#REF!</definedName>
    <definedName name="Ccarbu" localSheetId="8">#REF!</definedName>
    <definedName name="Ccarbu" localSheetId="3">#REF!</definedName>
    <definedName name="Ccarbu" localSheetId="9">#REF!</definedName>
    <definedName name="Ccarbu" localSheetId="0">#REF!</definedName>
    <definedName name="Ccarbu" localSheetId="2">#REF!</definedName>
    <definedName name="Ccarbu">#REF!</definedName>
    <definedName name="Ccérémonies" localSheetId="10">#REF!</definedName>
    <definedName name="Ccérémonies" localSheetId="6">#REF!</definedName>
    <definedName name="Ccérémonies" localSheetId="5">#REF!</definedName>
    <definedName name="Ccérémonies" localSheetId="7">#REF!</definedName>
    <definedName name="Ccérémonies" localSheetId="8">#REF!</definedName>
    <definedName name="Ccérémonies" localSheetId="3">#REF!</definedName>
    <definedName name="Ccérémonies" localSheetId="9">#REF!</definedName>
    <definedName name="Ccérémonies" localSheetId="0">#REF!</definedName>
    <definedName name="Ccérémonies" localSheetId="2">#REF!</definedName>
    <definedName name="Ccérémonies">#REF!</definedName>
    <definedName name="Cconf" localSheetId="10">#REF!</definedName>
    <definedName name="Cconf" localSheetId="6">#REF!</definedName>
    <definedName name="Cconf" localSheetId="5">#REF!</definedName>
    <definedName name="Cconf" localSheetId="7">#REF!</definedName>
    <definedName name="Cconf" localSheetId="8">#REF!</definedName>
    <definedName name="Cconf" localSheetId="3">#REF!</definedName>
    <definedName name="Cconf" localSheetId="9">#REF!</definedName>
    <definedName name="Cconf" localSheetId="0">#REF!</definedName>
    <definedName name="Cconf" localSheetId="2">#REF!</definedName>
    <definedName name="Cconf">#REF!</definedName>
    <definedName name="CdmtHUE" localSheetId="10">#REF!</definedName>
    <definedName name="CdmtHUE" localSheetId="6">#REF!</definedName>
    <definedName name="CdmtHUE" localSheetId="5">#REF!</definedName>
    <definedName name="CdmtHUE" localSheetId="7">#REF!</definedName>
    <definedName name="CdmtHUE" localSheetId="8">#REF!</definedName>
    <definedName name="CdmtHUE" localSheetId="3">#REF!</definedName>
    <definedName name="CdmtHUE" localSheetId="9">#REF!</definedName>
    <definedName name="CdmtHUE" localSheetId="0">#REF!</definedName>
    <definedName name="CdmtHUE" localSheetId="2">#REF!</definedName>
    <definedName name="CdmtHUE">#REF!</definedName>
    <definedName name="CdmtNew" localSheetId="10">#REF!</definedName>
    <definedName name="CdmtNew" localSheetId="6">#REF!</definedName>
    <definedName name="CdmtNew" localSheetId="5">#REF!</definedName>
    <definedName name="CdmtNew" localSheetId="7">#REF!</definedName>
    <definedName name="CdmtNew" localSheetId="8">#REF!</definedName>
    <definedName name="CdmtNew" localSheetId="3">#REF!</definedName>
    <definedName name="CdmtNew" localSheetId="9">#REF!</definedName>
    <definedName name="CdmtNew" localSheetId="0">#REF!</definedName>
    <definedName name="CdmtNew" localSheetId="2">#REF!</definedName>
    <definedName name="CdmtNew">#REF!</definedName>
    <definedName name="CDMTNEWD" localSheetId="10">#REF!</definedName>
    <definedName name="CDMTNEWD" localSheetId="6">#REF!</definedName>
    <definedName name="CDMTNEWD" localSheetId="5">#REF!</definedName>
    <definedName name="CDMTNEWD" localSheetId="7">#REF!</definedName>
    <definedName name="CDMTNEWD" localSheetId="8">#REF!</definedName>
    <definedName name="CDMTNEWD" localSheetId="3">#REF!</definedName>
    <definedName name="CDMTNEWD" localSheetId="9">#REF!</definedName>
    <definedName name="CDMTNEWD" localSheetId="0">#REF!</definedName>
    <definedName name="CDMTNEWD" localSheetId="2">#REF!</definedName>
    <definedName name="CDMTNEWD">#REF!</definedName>
    <definedName name="CdmtOld" localSheetId="10">#REF!</definedName>
    <definedName name="CdmtOld" localSheetId="6">#REF!</definedName>
    <definedName name="CdmtOld" localSheetId="5">#REF!</definedName>
    <definedName name="CdmtOld" localSheetId="7">#REF!</definedName>
    <definedName name="CdmtOld" localSheetId="8">#REF!</definedName>
    <definedName name="CdmtOld" localSheetId="3">#REF!</definedName>
    <definedName name="CdmtOld" localSheetId="9">#REF!</definedName>
    <definedName name="CdmtOld" localSheetId="0">#REF!</definedName>
    <definedName name="CdmtOld" localSheetId="2">#REF!</definedName>
    <definedName name="CdmtOld">#REF!</definedName>
    <definedName name="CdmtUE" localSheetId="10">#REF!</definedName>
    <definedName name="CdmtUE" localSheetId="6">#REF!</definedName>
    <definedName name="CdmtUE" localSheetId="5">#REF!</definedName>
    <definedName name="CdmtUE" localSheetId="7">#REF!</definedName>
    <definedName name="CdmtUE" localSheetId="8">#REF!</definedName>
    <definedName name="CdmtUE" localSheetId="3">#REF!</definedName>
    <definedName name="CdmtUE" localSheetId="9">#REF!</definedName>
    <definedName name="CdmtUE" localSheetId="0">#REF!</definedName>
    <definedName name="CdmtUE" localSheetId="2">#REF!</definedName>
    <definedName name="CdmtUE">#REF!</definedName>
    <definedName name="Centbat" localSheetId="10">#REF!</definedName>
    <definedName name="Centbat" localSheetId="6">#REF!</definedName>
    <definedName name="Centbat" localSheetId="5">#REF!</definedName>
    <definedName name="Centbat" localSheetId="7">#REF!</definedName>
    <definedName name="Centbat" localSheetId="8">#REF!</definedName>
    <definedName name="Centbat" localSheetId="3">#REF!</definedName>
    <definedName name="Centbat" localSheetId="9">#REF!</definedName>
    <definedName name="Centbat" localSheetId="0">#REF!</definedName>
    <definedName name="Centbat" localSheetId="2">#REF!</definedName>
    <definedName name="Centbat">#REF!</definedName>
    <definedName name="Centmatmo" localSheetId="10">#REF!</definedName>
    <definedName name="Centmatmo" localSheetId="6">#REF!</definedName>
    <definedName name="Centmatmo" localSheetId="5">#REF!</definedName>
    <definedName name="Centmatmo" localSheetId="7">#REF!</definedName>
    <definedName name="Centmatmo" localSheetId="8">#REF!</definedName>
    <definedName name="Centmatmo" localSheetId="3">#REF!</definedName>
    <definedName name="Centmatmo" localSheetId="9">#REF!</definedName>
    <definedName name="Centmatmo" localSheetId="0">#REF!</definedName>
    <definedName name="Centmatmo" localSheetId="2">#REF!</definedName>
    <definedName name="Centmatmo">#REF!</definedName>
    <definedName name="Centmatmob" localSheetId="10">#REF!</definedName>
    <definedName name="Centmatmob" localSheetId="6">#REF!</definedName>
    <definedName name="Centmatmob" localSheetId="5">#REF!</definedName>
    <definedName name="Centmatmob" localSheetId="7">#REF!</definedName>
    <definedName name="Centmatmob" localSheetId="8">#REF!</definedName>
    <definedName name="Centmatmob" localSheetId="3">#REF!</definedName>
    <definedName name="Centmatmob" localSheetId="9">#REF!</definedName>
    <definedName name="Centmatmob" localSheetId="0">#REF!</definedName>
    <definedName name="Centmatmob" localSheetId="2">#REF!</definedName>
    <definedName name="Centmatmob">#REF!</definedName>
    <definedName name="CFournBureau" localSheetId="10">#REF!</definedName>
    <definedName name="CFournBureau" localSheetId="6">#REF!</definedName>
    <definedName name="CFournBureau" localSheetId="5">#REF!</definedName>
    <definedName name="CFournBureau" localSheetId="7">#REF!</definedName>
    <definedName name="CFournBureau" localSheetId="8">#REF!</definedName>
    <definedName name="CFournBureau" localSheetId="3">#REF!</definedName>
    <definedName name="CFournBureau" localSheetId="9">#REF!</definedName>
    <definedName name="CFournBureau" localSheetId="0">#REF!</definedName>
    <definedName name="CFournBureau" localSheetId="2">#REF!</definedName>
    <definedName name="CFournBureau">#REF!</definedName>
    <definedName name="Cmatbureau" localSheetId="10">#REF!</definedName>
    <definedName name="Cmatbureau" localSheetId="6">#REF!</definedName>
    <definedName name="Cmatbureau" localSheetId="5">#REF!</definedName>
    <definedName name="Cmatbureau" localSheetId="7">#REF!</definedName>
    <definedName name="Cmatbureau" localSheetId="8">#REF!</definedName>
    <definedName name="Cmatbureau" localSheetId="3">#REF!</definedName>
    <definedName name="Cmatbureau" localSheetId="9">#REF!</definedName>
    <definedName name="Cmatbureau" localSheetId="0">#REF!</definedName>
    <definedName name="Cmatbureau" localSheetId="2">#REF!</definedName>
    <definedName name="Cmatbureau">#REF!</definedName>
    <definedName name="Conakry" localSheetId="10">#REF!</definedName>
    <definedName name="Conakry" localSheetId="6">#REF!</definedName>
    <definedName name="Conakry" localSheetId="5">#REF!</definedName>
    <definedName name="Conakry" localSheetId="7">#REF!</definedName>
    <definedName name="Conakry" localSheetId="8">#REF!</definedName>
    <definedName name="Conakry" localSheetId="3">#REF!</definedName>
    <definedName name="Conakry" localSheetId="9">#REF!</definedName>
    <definedName name="Conakry" localSheetId="0">#REF!</definedName>
    <definedName name="Conakry" localSheetId="2">#REF!</definedName>
    <definedName name="Conakry">#REF!</definedName>
    <definedName name="ConsoEET" localSheetId="10">#REF!</definedName>
    <definedName name="ConsoEET" localSheetId="6">#REF!</definedName>
    <definedName name="ConsoEET" localSheetId="5">#REF!</definedName>
    <definedName name="ConsoEET" localSheetId="7">#REF!</definedName>
    <definedName name="ConsoEET" localSheetId="8">#REF!</definedName>
    <definedName name="ConsoEET" localSheetId="3">#REF!</definedName>
    <definedName name="ConsoEET" localSheetId="9">#REF!</definedName>
    <definedName name="ConsoEET" localSheetId="0">#REF!</definedName>
    <definedName name="ConsoEET" localSheetId="2">#REF!</definedName>
    <definedName name="ConsoEET">#REF!</definedName>
    <definedName name="Country_adjective">[2]Cover!$E$6</definedName>
    <definedName name="cstand">[1]var!$B$4:$E$60</definedName>
    <definedName name="ctot" localSheetId="10">'[1]PAAB 09'!#REF!</definedName>
    <definedName name="ctot" localSheetId="6">'[1]PAAB 09'!#REF!</definedName>
    <definedName name="ctot" localSheetId="5">'[1]PAAB 09'!#REF!</definedName>
    <definedName name="ctot" localSheetId="7">'[1]PAAB 09'!#REF!</definedName>
    <definedName name="ctot" localSheetId="8">'[1]PAAB 09'!#REF!</definedName>
    <definedName name="ctot" localSheetId="3">'[1]PAAB 09'!#REF!</definedName>
    <definedName name="ctot" localSheetId="9">'[1]PAAB 09'!#REF!</definedName>
    <definedName name="ctot" localSheetId="0">'[1]PAAB 09'!#REF!</definedName>
    <definedName name="ctot" localSheetId="2">'[1]PAAB 09'!#REF!</definedName>
    <definedName name="ctot">'[1]PAAB 09'!#REF!</definedName>
    <definedName name="ctot_prescolaire" localSheetId="10">'[1]PAAB 09'!#REF!</definedName>
    <definedName name="ctot_prescolaire" localSheetId="6">'[1]PAAB 09'!#REF!</definedName>
    <definedName name="ctot_prescolaire" localSheetId="5">'[1]PAAB 09'!#REF!</definedName>
    <definedName name="ctot_prescolaire" localSheetId="7">'[1]PAAB 09'!#REF!</definedName>
    <definedName name="ctot_prescolaire" localSheetId="8">'[1]PAAB 09'!#REF!</definedName>
    <definedName name="ctot_prescolaire" localSheetId="3">'[1]PAAB 09'!#REF!</definedName>
    <definedName name="ctot_prescolaire" localSheetId="9">'[1]PAAB 09'!#REF!</definedName>
    <definedName name="ctot_prescolaire" localSheetId="0">'[1]PAAB 09'!#REF!</definedName>
    <definedName name="ctot_prescolaire" localSheetId="2">'[1]PAAB 09'!#REF!</definedName>
    <definedName name="ctot_prescolaire">'[1]PAAB 09'!#REF!</definedName>
    <definedName name="Cvéhicules" localSheetId="10">#REF!</definedName>
    <definedName name="Cvéhicules" localSheetId="6">#REF!</definedName>
    <definedName name="Cvéhicules" localSheetId="5">#REF!</definedName>
    <definedName name="Cvéhicules" localSheetId="7">#REF!</definedName>
    <definedName name="Cvéhicules" localSheetId="8">#REF!</definedName>
    <definedName name="Cvéhicules" localSheetId="3">#REF!</definedName>
    <definedName name="Cvéhicules" localSheetId="9">#REF!</definedName>
    <definedName name="Cvéhicules" localSheetId="0">#REF!</definedName>
    <definedName name="Cvéhicules" localSheetId="2">#REF!</definedName>
    <definedName name="Cvéhicules">#REF!</definedName>
    <definedName name="d" localSheetId="10">#REF!</definedName>
    <definedName name="d" localSheetId="6">#REF!</definedName>
    <definedName name="d" localSheetId="5">#REF!</definedName>
    <definedName name="d" localSheetId="7">#REF!</definedName>
    <definedName name="d" localSheetId="8">#REF!</definedName>
    <definedName name="d" localSheetId="3">#REF!</definedName>
    <definedName name="d" localSheetId="9">#REF!</definedName>
    <definedName name="d" localSheetId="0">#REF!</definedName>
    <definedName name="d" localSheetId="2">#REF!</definedName>
    <definedName name="d">#REF!</definedName>
    <definedName name="Databases">[2]Cover!$F$13:$F$19</definedName>
    <definedName name="DepDiv" localSheetId="10">#REF!</definedName>
    <definedName name="DepDiv" localSheetId="6">#REF!</definedName>
    <definedName name="DepDiv" localSheetId="5">#REF!</definedName>
    <definedName name="DepDiv" localSheetId="7">#REF!</definedName>
    <definedName name="DepDiv" localSheetId="8">#REF!</definedName>
    <definedName name="DepDiv" localSheetId="3">#REF!</definedName>
    <definedName name="DepDiv" localSheetId="9">#REF!</definedName>
    <definedName name="DepDiv" localSheetId="0">#REF!</definedName>
    <definedName name="DepDiv" localSheetId="2">#REF!</definedName>
    <definedName name="DepDiv">#REF!</definedName>
    <definedName name="destination">'[3]dict traitement'!$F$4:$F$11</definedName>
    <definedName name="DotAnn" localSheetId="10">#REF!</definedName>
    <definedName name="DotAnn" localSheetId="6">#REF!</definedName>
    <definedName name="DotAnn" localSheetId="5">#REF!</definedName>
    <definedName name="DotAnn" localSheetId="7">#REF!</definedName>
    <definedName name="DotAnn" localSheetId="8">#REF!</definedName>
    <definedName name="DotAnn" localSheetId="3">#REF!</definedName>
    <definedName name="DotAnn" localSheetId="9">#REF!</definedName>
    <definedName name="DotAnn" localSheetId="0">#REF!</definedName>
    <definedName name="DotAnn" localSheetId="2">#REF!</definedName>
    <definedName name="DotAnn">#REF!</definedName>
    <definedName name="Entretien" localSheetId="10">#REF!</definedName>
    <definedName name="Entretien" localSheetId="6">#REF!</definedName>
    <definedName name="Entretien" localSheetId="5">#REF!</definedName>
    <definedName name="Entretien" localSheetId="7">#REF!</definedName>
    <definedName name="Entretien" localSheetId="8">#REF!</definedName>
    <definedName name="Entretien" localSheetId="3">#REF!</definedName>
    <definedName name="Entretien" localSheetId="9">#REF!</definedName>
    <definedName name="Entretien" localSheetId="0">#REF!</definedName>
    <definedName name="Entretien" localSheetId="2">#REF!</definedName>
    <definedName name="Entretien">#REF!</definedName>
    <definedName name="Etranger" localSheetId="10">#REF!</definedName>
    <definedName name="Etranger" localSheetId="6">#REF!</definedName>
    <definedName name="Etranger" localSheetId="5">#REF!</definedName>
    <definedName name="Etranger" localSheetId="7">#REF!</definedName>
    <definedName name="Etranger" localSheetId="8">#REF!</definedName>
    <definedName name="Etranger" localSheetId="3">#REF!</definedName>
    <definedName name="Etranger" localSheetId="9">#REF!</definedName>
    <definedName name="Etranger" localSheetId="0">#REF!</definedName>
    <definedName name="Etranger" localSheetId="2">#REF!</definedName>
    <definedName name="Etranger">#REF!</definedName>
    <definedName name="eur">[1]var!$P$3</definedName>
    <definedName name="eur_usd">[1]var!$P$17</definedName>
    <definedName name="eurm">[1]var!$P$4</definedName>
    <definedName name="FrEtudes" localSheetId="10">#REF!</definedName>
    <definedName name="FrEtudes" localSheetId="6">#REF!</definedName>
    <definedName name="FrEtudes" localSheetId="5">#REF!</definedName>
    <definedName name="FrEtudes" localSheetId="7">#REF!</definedName>
    <definedName name="FrEtudes" localSheetId="8">#REF!</definedName>
    <definedName name="FrEtudes" localSheetId="3">#REF!</definedName>
    <definedName name="FrEtudes" localSheetId="9">#REF!</definedName>
    <definedName name="FrEtudes" localSheetId="0">#REF!</definedName>
    <definedName name="FrEtudes" localSheetId="2">#REF!</definedName>
    <definedName name="FrEtudes">#REF!</definedName>
    <definedName name="HHHH" localSheetId="10">#REF!</definedName>
    <definedName name="HHHH" localSheetId="6">#REF!</definedName>
    <definedName name="HHHH" localSheetId="5">#REF!</definedName>
    <definedName name="HHHH" localSheetId="7">#REF!</definedName>
    <definedName name="HHHH" localSheetId="8">#REF!</definedName>
    <definedName name="HHHH" localSheetId="3">#REF!</definedName>
    <definedName name="HHHH" localSheetId="9">#REF!</definedName>
    <definedName name="HHHH" localSheetId="0">#REF!</definedName>
    <definedName name="HHHH" localSheetId="2">#REF!</definedName>
    <definedName name="HHHH">#REF!</definedName>
    <definedName name="HUB">[2]Cover!$G$14</definedName>
    <definedName name="HUBP">[2]Cover!$G$15</definedName>
    <definedName name="Inst" localSheetId="10">#REF!</definedName>
    <definedName name="Inst" localSheetId="6">#REF!</definedName>
    <definedName name="Inst" localSheetId="5">#REF!</definedName>
    <definedName name="Inst" localSheetId="7">#REF!</definedName>
    <definedName name="Inst" localSheetId="8">#REF!</definedName>
    <definedName name="Inst" localSheetId="3">#REF!</definedName>
    <definedName name="Inst" localSheetId="9">#REF!</definedName>
    <definedName name="Inst" localSheetId="0">#REF!</definedName>
    <definedName name="Inst" localSheetId="2">#REF!</definedName>
    <definedName name="Inst">#REF!</definedName>
    <definedName name="Instit" localSheetId="10">#REF!</definedName>
    <definedName name="Instit" localSheetId="6">#REF!</definedName>
    <definedName name="Instit" localSheetId="5">#REF!</definedName>
    <definedName name="Instit" localSheetId="7">#REF!</definedName>
    <definedName name="Instit" localSheetId="8">#REF!</definedName>
    <definedName name="Instit" localSheetId="3">#REF!</definedName>
    <definedName name="Instit" localSheetId="9">#REF!</definedName>
    <definedName name="Instit" localSheetId="0">#REF!</definedName>
    <definedName name="Instit" localSheetId="2">#REF!</definedName>
    <definedName name="Instit">#REF!</definedName>
    <definedName name="InstNPrio" localSheetId="10">#REF!</definedName>
    <definedName name="InstNPrio" localSheetId="6">#REF!</definedName>
    <definedName name="InstNPrio" localSheetId="5">#REF!</definedName>
    <definedName name="InstNPrio" localSheetId="7">#REF!</definedName>
    <definedName name="InstNPrio" localSheetId="8">#REF!</definedName>
    <definedName name="InstNPrio" localSheetId="3">#REF!</definedName>
    <definedName name="InstNPrio" localSheetId="9">#REF!</definedName>
    <definedName name="InstNPrio" localSheetId="0">#REF!</definedName>
    <definedName name="InstNPrio" localSheetId="2">#REF!</definedName>
    <definedName name="InstNPrio">#REF!</definedName>
    <definedName name="Intérieur" localSheetId="10">#REF!</definedName>
    <definedName name="Intérieur" localSheetId="6">#REF!</definedName>
    <definedName name="Intérieur" localSheetId="5">#REF!</definedName>
    <definedName name="Intérieur" localSheetId="7">#REF!</definedName>
    <definedName name="Intérieur" localSheetId="8">#REF!</definedName>
    <definedName name="Intérieur" localSheetId="3">#REF!</definedName>
    <definedName name="Intérieur" localSheetId="9">#REF!</definedName>
    <definedName name="Intérieur" localSheetId="0">#REF!</definedName>
    <definedName name="Intérieur" localSheetId="2">#REF!</definedName>
    <definedName name="Intérieur">#REF!</definedName>
    <definedName name="jpy">[1]var!$P$15</definedName>
    <definedName name="jpym">[1]var!$P$16</definedName>
    <definedName name="kwd">[1]var!$P$11</definedName>
    <definedName name="kwdm">[1]var!$P$12</definedName>
    <definedName name="LinTrim" localSheetId="10">#REF!</definedName>
    <definedName name="LinTrim" localSheetId="6">#REF!</definedName>
    <definedName name="LinTrim" localSheetId="5">#REF!</definedName>
    <definedName name="LinTrim" localSheetId="7">#REF!</definedName>
    <definedName name="LinTrim" localSheetId="8">#REF!</definedName>
    <definedName name="LinTrim" localSheetId="3">#REF!</definedName>
    <definedName name="LinTrim" localSheetId="9">#REF!</definedName>
    <definedName name="LinTrim" localSheetId="0">#REF!</definedName>
    <definedName name="LinTrim" localSheetId="2">#REF!</definedName>
    <definedName name="LinTrim">#REF!</definedName>
    <definedName name="Materiel" localSheetId="10">#REF!</definedName>
    <definedName name="Materiel" localSheetId="6">#REF!</definedName>
    <definedName name="Materiel" localSheetId="5">#REF!</definedName>
    <definedName name="Materiel" localSheetId="7">#REF!</definedName>
    <definedName name="Materiel" localSheetId="8">#REF!</definedName>
    <definedName name="Materiel" localSheetId="3">#REF!</definedName>
    <definedName name="Materiel" localSheetId="9">#REF!</definedName>
    <definedName name="Materiel" localSheetId="0">#REF!</definedName>
    <definedName name="Materiel" localSheetId="2">#REF!</definedName>
    <definedName name="Materiel">#REF!</definedName>
    <definedName name="Matériel" localSheetId="10">#REF!</definedName>
    <definedName name="Matériel" localSheetId="6">#REF!</definedName>
    <definedName name="Matériel" localSheetId="5">#REF!</definedName>
    <definedName name="Matériel" localSheetId="7">#REF!</definedName>
    <definedName name="Matériel" localSheetId="8">#REF!</definedName>
    <definedName name="Matériel" localSheetId="3">#REF!</definedName>
    <definedName name="Matériel" localSheetId="9">#REF!</definedName>
    <definedName name="Matériel" localSheetId="0">#REF!</definedName>
    <definedName name="Matériel" localSheetId="2">#REF!</definedName>
    <definedName name="Matériel">#REF!</definedName>
    <definedName name="MinNP" localSheetId="10">#REF!</definedName>
    <definedName name="MinNP" localSheetId="6">#REF!</definedName>
    <definedName name="MinNP" localSheetId="5">#REF!</definedName>
    <definedName name="MinNP" localSheetId="7">#REF!</definedName>
    <definedName name="MinNP" localSheetId="8">#REF!</definedName>
    <definedName name="MinNP" localSheetId="3">#REF!</definedName>
    <definedName name="MinNP" localSheetId="9">#REF!</definedName>
    <definedName name="MinNP" localSheetId="0">#REF!</definedName>
    <definedName name="MinNP" localSheetId="2">#REF!</definedName>
    <definedName name="MinNP">#REF!</definedName>
    <definedName name="MinNPrio" localSheetId="10">#REF!</definedName>
    <definedName name="MinNPrio" localSheetId="6">#REF!</definedName>
    <definedName name="MinNPrio" localSheetId="5">#REF!</definedName>
    <definedName name="MinNPrio" localSheetId="7">#REF!</definedName>
    <definedName name="MinNPrio" localSheetId="8">#REF!</definedName>
    <definedName name="MinNPrio" localSheetId="3">#REF!</definedName>
    <definedName name="MinNPrio" localSheetId="9">#REF!</definedName>
    <definedName name="MinNPrio" localSheetId="0">#REF!</definedName>
    <definedName name="MinNPrio" localSheetId="2">#REF!</definedName>
    <definedName name="MinNPrio">#REF!</definedName>
    <definedName name="Missions" localSheetId="10">#REF!</definedName>
    <definedName name="Missions" localSheetId="6">#REF!</definedName>
    <definedName name="Missions" localSheetId="5">#REF!</definedName>
    <definedName name="Missions" localSheetId="7">#REF!</definedName>
    <definedName name="Missions" localSheetId="8">#REF!</definedName>
    <definedName name="Missions" localSheetId="3">#REF!</definedName>
    <definedName name="Missions" localSheetId="9">#REF!</definedName>
    <definedName name="Missions" localSheetId="0">#REF!</definedName>
    <definedName name="Missions" localSheetId="2">#REF!</definedName>
    <definedName name="Missions">#REF!</definedName>
    <definedName name="modele3" localSheetId="10">#REF!</definedName>
    <definedName name="modele3" localSheetId="6">#REF!</definedName>
    <definedName name="modele3" localSheetId="5">#REF!</definedName>
    <definedName name="modele3" localSheetId="7">#REF!</definedName>
    <definedName name="modele3" localSheetId="8">#REF!</definedName>
    <definedName name="modele3" localSheetId="3">#REF!</definedName>
    <definedName name="modele3" localSheetId="9">#REF!</definedName>
    <definedName name="modele3" localSheetId="0">#REF!</definedName>
    <definedName name="modele3" localSheetId="2">#REF!</definedName>
    <definedName name="modele3">#REF!</definedName>
    <definedName name="nature1">'[3]dict traitement'!$C$4:$C$20</definedName>
    <definedName name="NonPrio" localSheetId="10">#REF!</definedName>
    <definedName name="NonPrio" localSheetId="6">#REF!</definedName>
    <definedName name="NonPrio" localSheetId="5">#REF!</definedName>
    <definedName name="NonPrio" localSheetId="7">#REF!</definedName>
    <definedName name="NonPrio" localSheetId="8">#REF!</definedName>
    <definedName name="NonPrio" localSheetId="3">#REF!</definedName>
    <definedName name="NonPrio" localSheetId="9">#REF!</definedName>
    <definedName name="NonPrio" localSheetId="0">#REF!</definedName>
    <definedName name="NonPrio" localSheetId="2">#REF!</definedName>
    <definedName name="NonPrio">#REF!</definedName>
    <definedName name="Nul" localSheetId="10">#REF!</definedName>
    <definedName name="Nul" localSheetId="6">#REF!</definedName>
    <definedName name="Nul" localSheetId="5">#REF!</definedName>
    <definedName name="Nul" localSheetId="7">#REF!</definedName>
    <definedName name="Nul" localSheetId="8">#REF!</definedName>
    <definedName name="Nul" localSheetId="3">#REF!</definedName>
    <definedName name="Nul" localSheetId="9">#REF!</definedName>
    <definedName name="Nul" localSheetId="0">#REF!</definedName>
    <definedName name="Nul" localSheetId="2">#REF!</definedName>
    <definedName name="Nul">#REF!</definedName>
    <definedName name="Nvent" localSheetId="10">#REF!</definedName>
    <definedName name="Nvent" localSheetId="6">#REF!</definedName>
    <definedName name="Nvent" localSheetId="5">#REF!</definedName>
    <definedName name="Nvent" localSheetId="7">#REF!</definedName>
    <definedName name="Nvent" localSheetId="8">#REF!</definedName>
    <definedName name="Nvent" localSheetId="3">#REF!</definedName>
    <definedName name="Nvent" localSheetId="9">#REF!</definedName>
    <definedName name="Nvent" localSheetId="0">#REF!</definedName>
    <definedName name="Nvent" localSheetId="2">#REF!</definedName>
    <definedName name="Nvent">#REF!</definedName>
    <definedName name="Parag" localSheetId="10">#REF!</definedName>
    <definedName name="Parag" localSheetId="6">#REF!</definedName>
    <definedName name="Parag" localSheetId="5">#REF!</definedName>
    <definedName name="Parag" localSheetId="7">#REF!</definedName>
    <definedName name="Parag" localSheetId="8">#REF!</definedName>
    <definedName name="Parag" localSheetId="3">#REF!</definedName>
    <definedName name="Parag" localSheetId="9">#REF!</definedName>
    <definedName name="Parag" localSheetId="0">#REF!</definedName>
    <definedName name="Parag" localSheetId="2">#REF!</definedName>
    <definedName name="Parag">#REF!</definedName>
    <definedName name="paramètres" localSheetId="10">#REF!</definedName>
    <definedName name="paramètres" localSheetId="6">#REF!</definedName>
    <definedName name="paramètres" localSheetId="5">#REF!</definedName>
    <definedName name="paramètres" localSheetId="7">#REF!</definedName>
    <definedName name="paramètres" localSheetId="8">#REF!</definedName>
    <definedName name="paramètres" localSheetId="3">#REF!</definedName>
    <definedName name="paramètres" localSheetId="9">#REF!</definedName>
    <definedName name="paramètres" localSheetId="0">#REF!</definedName>
    <definedName name="paramètres" localSheetId="2">#REF!</definedName>
    <definedName name="paramètres">#REF!</definedName>
    <definedName name="PresDef" localSheetId="10">#REF!</definedName>
    <definedName name="PresDef" localSheetId="6">#REF!</definedName>
    <definedName name="PresDef" localSheetId="5">#REF!</definedName>
    <definedName name="PresDef" localSheetId="7">#REF!</definedName>
    <definedName name="PresDef" localSheetId="8">#REF!</definedName>
    <definedName name="PresDef" localSheetId="3">#REF!</definedName>
    <definedName name="PresDef" localSheetId="9">#REF!</definedName>
    <definedName name="PresDef" localSheetId="0">#REF!</definedName>
    <definedName name="PresDef" localSheetId="2">#REF!</definedName>
    <definedName name="PresDef">#REF!</definedName>
    <definedName name="PresDefAN" localSheetId="10">#REF!</definedName>
    <definedName name="PresDefAN" localSheetId="6">#REF!</definedName>
    <definedName name="PresDefAN" localSheetId="5">#REF!</definedName>
    <definedName name="PresDefAN" localSheetId="7">#REF!</definedName>
    <definedName name="PresDefAN" localSheetId="8">#REF!</definedName>
    <definedName name="PresDefAN" localSheetId="3">#REF!</definedName>
    <definedName name="PresDefAN" localSheetId="9">#REF!</definedName>
    <definedName name="PresDefAN" localSheetId="0">#REF!</definedName>
    <definedName name="PresDefAN" localSheetId="2">#REF!</definedName>
    <definedName name="PresDefAN">#REF!</definedName>
    <definedName name="PrestDiv" localSheetId="10">#REF!</definedName>
    <definedName name="PrestDiv" localSheetId="6">#REF!</definedName>
    <definedName name="PrestDiv" localSheetId="5">#REF!</definedName>
    <definedName name="PrestDiv" localSheetId="7">#REF!</definedName>
    <definedName name="PrestDiv" localSheetId="8">#REF!</definedName>
    <definedName name="PrestDiv" localSheetId="3">#REF!</definedName>
    <definedName name="PrestDiv" localSheetId="9">#REF!</definedName>
    <definedName name="PrestDiv" localSheetId="0">#REF!</definedName>
    <definedName name="PrestDiv" localSheetId="2">#REF!</definedName>
    <definedName name="PrestDiv">#REF!</definedName>
    <definedName name="Prio" localSheetId="10">#REF!</definedName>
    <definedName name="Prio" localSheetId="6">#REF!</definedName>
    <definedName name="Prio" localSheetId="5">#REF!</definedName>
    <definedName name="Prio" localSheetId="7">#REF!</definedName>
    <definedName name="Prio" localSheetId="8">#REF!</definedName>
    <definedName name="Prio" localSheetId="3">#REF!</definedName>
    <definedName name="Prio" localSheetId="9">#REF!</definedName>
    <definedName name="Prio" localSheetId="0">#REF!</definedName>
    <definedName name="Prio" localSheetId="2">#REF!</definedName>
    <definedName name="Prio">#REF!</definedName>
    <definedName name="Prio2" localSheetId="10">#REF!</definedName>
    <definedName name="Prio2" localSheetId="6">#REF!</definedName>
    <definedName name="Prio2" localSheetId="5">#REF!</definedName>
    <definedName name="Prio2" localSheetId="7">#REF!</definedName>
    <definedName name="Prio2" localSheetId="8">#REF!</definedName>
    <definedName name="Prio2" localSheetId="3">#REF!</definedName>
    <definedName name="Prio2" localSheetId="9">#REF!</definedName>
    <definedName name="Prio2" localSheetId="0">#REF!</definedName>
    <definedName name="Prio2" localSheetId="2">#REF!</definedName>
    <definedName name="Prio2">#REF!</definedName>
    <definedName name="programme">'[3]dict traitement'!$I$4:$I$19</definedName>
    <definedName name="qté10">'[1]base bailleurs'!$O$1:$O$65536</definedName>
    <definedName name="qté11">'[1]bailleurs agr'!$P$1:$P$65536</definedName>
    <definedName name="re" localSheetId="10">#REF!</definedName>
    <definedName name="re" localSheetId="6">#REF!</definedName>
    <definedName name="re" localSheetId="5">#REF!</definedName>
    <definedName name="re" localSheetId="7">#REF!</definedName>
    <definedName name="re" localSheetId="8">#REF!</definedName>
    <definedName name="re" localSheetId="3">#REF!</definedName>
    <definedName name="re" localSheetId="9">#REF!</definedName>
    <definedName name="re" localSheetId="0">#REF!</definedName>
    <definedName name="re" localSheetId="2">#REF!</definedName>
    <definedName name="re">#REF!</definedName>
    <definedName name="Régie" localSheetId="10">#REF!</definedName>
    <definedName name="Régie" localSheetId="6">#REF!</definedName>
    <definedName name="Régie" localSheetId="5">#REF!</definedName>
    <definedName name="Régie" localSheetId="7">#REF!</definedName>
    <definedName name="Régie" localSheetId="8">#REF!</definedName>
    <definedName name="Régie" localSheetId="3">#REF!</definedName>
    <definedName name="Régie" localSheetId="9">#REF!</definedName>
    <definedName name="Régie" localSheetId="0">#REF!</definedName>
    <definedName name="Régie" localSheetId="2">#REF!</definedName>
    <definedName name="Régie">#REF!</definedName>
    <definedName name="Repres" localSheetId="10">#REF!</definedName>
    <definedName name="Repres" localSheetId="6">#REF!</definedName>
    <definedName name="Repres" localSheetId="5">#REF!</definedName>
    <definedName name="Repres" localSheetId="7">#REF!</definedName>
    <definedName name="Repres" localSheetId="8">#REF!</definedName>
    <definedName name="Repres" localSheetId="3">#REF!</definedName>
    <definedName name="Repres" localSheetId="9">#REF!</definedName>
    <definedName name="Repres" localSheetId="0">#REF!</definedName>
    <definedName name="Repres" localSheetId="2">#REF!</definedName>
    <definedName name="Repres">#REF!</definedName>
    <definedName name="rexe">'[1]c plan'!$B$7:$C$426</definedName>
    <definedName name="sar">[1]var!$P$13</definedName>
    <definedName name="sarm">[1]var!$P$14</definedName>
    <definedName name="SC">[2]Cover!$Q$4:$R$7</definedName>
    <definedName name="SCN" localSheetId="10">#REF!</definedName>
    <definedName name="SCN" localSheetId="6">#REF!</definedName>
    <definedName name="SCN" localSheetId="5">#REF!</definedName>
    <definedName name="SCN" localSheetId="7">#REF!</definedName>
    <definedName name="SCN" localSheetId="8">#REF!</definedName>
    <definedName name="SCN" localSheetId="3">#REF!</definedName>
    <definedName name="SCN" localSheetId="9">#REF!</definedName>
    <definedName name="SCN" localSheetId="0">#REF!</definedName>
    <definedName name="SCN" localSheetId="2">#REF!</definedName>
    <definedName name="SCN">#REF!</definedName>
    <definedName name="SD">[2]Cover!$E$12</definedName>
    <definedName name="Sécu" localSheetId="10">#REF!</definedName>
    <definedName name="Sécu" localSheetId="6">#REF!</definedName>
    <definedName name="Sécu" localSheetId="5">#REF!</definedName>
    <definedName name="Sécu" localSheetId="7">#REF!</definedName>
    <definedName name="Sécu" localSheetId="8">#REF!</definedName>
    <definedName name="Sécu" localSheetId="3">#REF!</definedName>
    <definedName name="Sécu" localSheetId="9">#REF!</definedName>
    <definedName name="Sécu" localSheetId="0">#REF!</definedName>
    <definedName name="Sécu" localSheetId="2">#REF!</definedName>
    <definedName name="Sécu">#REF!</definedName>
    <definedName name="ServCent" localSheetId="10">#REF!</definedName>
    <definedName name="ServCent" localSheetId="6">#REF!</definedName>
    <definedName name="ServCent" localSheetId="5">#REF!</definedName>
    <definedName name="ServCent" localSheetId="7">#REF!</definedName>
    <definedName name="ServCent" localSheetId="8">#REF!</definedName>
    <definedName name="ServCent" localSheetId="3">#REF!</definedName>
    <definedName name="ServCent" localSheetId="9">#REF!</definedName>
    <definedName name="ServCent" localSheetId="0">#REF!</definedName>
    <definedName name="ServCent" localSheetId="2">#REF!</definedName>
    <definedName name="ServCent">#REF!</definedName>
    <definedName name="Standard" localSheetId="10">#REF!</definedName>
    <definedName name="Standard" localSheetId="6">#REF!</definedName>
    <definedName name="Standard" localSheetId="5">#REF!</definedName>
    <definedName name="Standard" localSheetId="7">#REF!</definedName>
    <definedName name="Standard" localSheetId="8">#REF!</definedName>
    <definedName name="Standard" localSheetId="3">#REF!</definedName>
    <definedName name="Standard" localSheetId="9">#REF!</definedName>
    <definedName name="Standard" localSheetId="0">#REF!</definedName>
    <definedName name="Standard" localSheetId="2">#REF!</definedName>
    <definedName name="Standard">#REF!</definedName>
    <definedName name="SurInt" localSheetId="10">#REF!</definedName>
    <definedName name="SurInt" localSheetId="6">#REF!</definedName>
    <definedName name="SurInt" localSheetId="5">#REF!</definedName>
    <definedName name="SurInt" localSheetId="7">#REF!</definedName>
    <definedName name="SurInt" localSheetId="8">#REF!</definedName>
    <definedName name="SurInt" localSheetId="3">#REF!</definedName>
    <definedName name="SurInt" localSheetId="9">#REF!</definedName>
    <definedName name="SurInt" localSheetId="0">#REF!</definedName>
    <definedName name="SurInt" localSheetId="2">#REF!</definedName>
    <definedName name="SurInt">#REF!</definedName>
    <definedName name="SurIntSGG" localSheetId="10">#REF!</definedName>
    <definedName name="SurIntSGG" localSheetId="6">#REF!</definedName>
    <definedName name="SurIntSGG" localSheetId="5">#REF!</definedName>
    <definedName name="SurIntSGG" localSheetId="7">#REF!</definedName>
    <definedName name="SurIntSGG" localSheetId="8">#REF!</definedName>
    <definedName name="SurIntSGG" localSheetId="3">#REF!</definedName>
    <definedName name="SurIntSGG" localSheetId="9">#REF!</definedName>
    <definedName name="SurIntSGG" localSheetId="0">#REF!</definedName>
    <definedName name="SurIntSGG" localSheetId="2">#REF!</definedName>
    <definedName name="SurIntSGG">#REF!</definedName>
    <definedName name="titre1" localSheetId="10">#REF!</definedName>
    <definedName name="titre1" localSheetId="6">#REF!</definedName>
    <definedName name="titre1" localSheetId="5">#REF!</definedName>
    <definedName name="titre1" localSheetId="7">#REF!</definedName>
    <definedName name="titre1" localSheetId="8">#REF!</definedName>
    <definedName name="titre1" localSheetId="3">#REF!</definedName>
    <definedName name="titre1" localSheetId="9">#REF!</definedName>
    <definedName name="titre1" localSheetId="0">#REF!</definedName>
    <definedName name="titre1" localSheetId="2">#REF!</definedName>
    <definedName name="titre1">#REF!</definedName>
    <definedName name="TrimCDMTHUE" localSheetId="10">#REF!</definedName>
    <definedName name="TrimCDMTHUE" localSheetId="6">#REF!</definedName>
    <definedName name="TrimCDMTHUE" localSheetId="5">#REF!</definedName>
    <definedName name="TrimCDMTHUE" localSheetId="7">#REF!</definedName>
    <definedName name="TrimCDMTHUE" localSheetId="8">#REF!</definedName>
    <definedName name="TrimCDMTHUE" localSheetId="3">#REF!</definedName>
    <definedName name="TrimCDMTHUE" localSheetId="9">#REF!</definedName>
    <definedName name="TrimCDMTHUE" localSheetId="0">#REF!</definedName>
    <definedName name="TrimCDMTHUE" localSheetId="2">#REF!</definedName>
    <definedName name="TrimCDMTHUE">#REF!</definedName>
    <definedName name="TrimCDMTUE" localSheetId="10">#REF!</definedName>
    <definedName name="TrimCDMTUE" localSheetId="6">#REF!</definedName>
    <definedName name="TrimCDMTUE" localSheetId="5">#REF!</definedName>
    <definedName name="TrimCDMTUE" localSheetId="7">#REF!</definedName>
    <definedName name="TrimCDMTUE" localSheetId="8">#REF!</definedName>
    <definedName name="TrimCDMTUE" localSheetId="3">#REF!</definedName>
    <definedName name="TrimCDMTUE" localSheetId="9">#REF!</definedName>
    <definedName name="TrimCDMTUE" localSheetId="0">#REF!</definedName>
    <definedName name="TrimCDMTUE" localSheetId="2">#REF!</definedName>
    <definedName name="TrimCDMTUE">#REF!</definedName>
    <definedName name="TrimInstNP" localSheetId="10">#REF!</definedName>
    <definedName name="TrimInstNP" localSheetId="6">#REF!</definedName>
    <definedName name="TrimInstNP" localSheetId="5">#REF!</definedName>
    <definedName name="TrimInstNP" localSheetId="7">#REF!</definedName>
    <definedName name="TrimInstNP" localSheetId="8">#REF!</definedName>
    <definedName name="TrimInstNP" localSheetId="3">#REF!</definedName>
    <definedName name="TrimInstNP" localSheetId="9">#REF!</definedName>
    <definedName name="TrimInstNP" localSheetId="0">#REF!</definedName>
    <definedName name="TrimInstNP" localSheetId="2">#REF!</definedName>
    <definedName name="TrimInstNP">#REF!</definedName>
    <definedName name="TrimMinNP" localSheetId="10">#REF!</definedName>
    <definedName name="TrimMinNP" localSheetId="6">#REF!</definedName>
    <definedName name="TrimMinNP" localSheetId="5">#REF!</definedName>
    <definedName name="TrimMinNP" localSheetId="7">#REF!</definedName>
    <definedName name="TrimMinNP" localSheetId="8">#REF!</definedName>
    <definedName name="TrimMinNP" localSheetId="3">#REF!</definedName>
    <definedName name="TrimMinNP" localSheetId="9">#REF!</definedName>
    <definedName name="TrimMinNP" localSheetId="0">#REF!</definedName>
    <definedName name="TrimMinNP" localSheetId="2">#REF!</definedName>
    <definedName name="TrimMinNP">#REF!</definedName>
    <definedName name="TrimPresDefAN" localSheetId="10">#REF!</definedName>
    <definedName name="TrimPresDefAN" localSheetId="6">#REF!</definedName>
    <definedName name="TrimPresDefAN" localSheetId="5">#REF!</definedName>
    <definedName name="TrimPresDefAN" localSheetId="7">#REF!</definedName>
    <definedName name="TrimPresDefAN" localSheetId="8">#REF!</definedName>
    <definedName name="TrimPresDefAN" localSheetId="3">#REF!</definedName>
    <definedName name="TrimPresDefAN" localSheetId="9">#REF!</definedName>
    <definedName name="TrimPresDefAN" localSheetId="0">#REF!</definedName>
    <definedName name="TrimPresDefAN" localSheetId="2">#REF!</definedName>
    <definedName name="TrimPresDefAN">#REF!</definedName>
    <definedName name="TrimSécu" localSheetId="10">#REF!</definedName>
    <definedName name="TrimSécu" localSheetId="6">#REF!</definedName>
    <definedName name="TrimSécu" localSheetId="5">#REF!</definedName>
    <definedName name="TrimSécu" localSheetId="7">#REF!</definedName>
    <definedName name="TrimSécu" localSheetId="8">#REF!</definedName>
    <definedName name="TrimSécu" localSheetId="3">#REF!</definedName>
    <definedName name="TrimSécu" localSheetId="9">#REF!</definedName>
    <definedName name="TrimSécu" localSheetId="0">#REF!</definedName>
    <definedName name="TrimSécu" localSheetId="2">#REF!</definedName>
    <definedName name="TrimSécu">#REF!</definedName>
    <definedName name="TrimT4Np" localSheetId="10">#REF!</definedName>
    <definedName name="TrimT4Np" localSheetId="6">#REF!</definedName>
    <definedName name="TrimT4Np" localSheetId="5">#REF!</definedName>
    <definedName name="TrimT4Np" localSheetId="7">#REF!</definedName>
    <definedName name="TrimT4Np" localSheetId="8">#REF!</definedName>
    <definedName name="TrimT4Np" localSheetId="3">#REF!</definedName>
    <definedName name="TrimT4Np" localSheetId="9">#REF!</definedName>
    <definedName name="TrimT4Np" localSheetId="0">#REF!</definedName>
    <definedName name="TrimT4Np" localSheetId="2">#REF!</definedName>
    <definedName name="TrimT4Np">#REF!</definedName>
    <definedName name="TSC">[2]Cover!$Q$4:$Q$7</definedName>
    <definedName name="ucbadm">[1]var!$P$8</definedName>
    <definedName name="usd">[1]var!$P$5</definedName>
    <definedName name="usdm">[1]var!$P$6</definedName>
    <definedName name="volet">'[1]c plan'!$E$7:$F$426</definedName>
    <definedName name="XXX" localSheetId="10">#REF!</definedName>
    <definedName name="XXX" localSheetId="6">#REF!</definedName>
    <definedName name="XXX" localSheetId="5">#REF!</definedName>
    <definedName name="XXX" localSheetId="7">#REF!</definedName>
    <definedName name="XXX" localSheetId="8">#REF!</definedName>
    <definedName name="XXX" localSheetId="3">#REF!</definedName>
    <definedName name="XXX" localSheetId="9">#REF!</definedName>
    <definedName name="XXX" localSheetId="0">#REF!</definedName>
    <definedName name="XXX" localSheetId="2">#REF!</definedName>
    <definedName name="XXX">#REF!</definedName>
  </definedNames>
  <calcPr calcId="191029"/>
  <pivotCaches>
    <pivotCache cacheId="0"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AMBDA_WF"/>
        <xcalcf:feature name="microsoft.com:LET_WF"/>
      </xcalcf:calcFeatures>
    </ext>
  </extLst>
</workbook>
</file>

<file path=xl/calcChain.xml><?xml version="1.0" encoding="utf-8"?>
<calcChain xmlns="http://schemas.openxmlformats.org/spreadsheetml/2006/main">
  <c r="H255" i="25" l="1"/>
  <c r="I255" i="25"/>
  <c r="H254" i="25"/>
  <c r="I254" i="25"/>
  <c r="N252" i="25"/>
  <c r="G252" i="25"/>
  <c r="H252" i="25"/>
  <c r="I252" i="25"/>
  <c r="N251" i="25"/>
  <c r="G251" i="25"/>
  <c r="H251" i="25"/>
  <c r="I251" i="25"/>
  <c r="N250" i="25"/>
  <c r="G250" i="25"/>
  <c r="H250" i="25"/>
  <c r="I250" i="25"/>
  <c r="N249" i="25"/>
  <c r="H249" i="25"/>
  <c r="I249" i="25"/>
  <c r="H248" i="25"/>
  <c r="I248" i="25"/>
  <c r="H247" i="25"/>
  <c r="I247" i="25"/>
  <c r="G246" i="25"/>
  <c r="H246" i="25"/>
  <c r="I246" i="25"/>
  <c r="H245" i="25"/>
  <c r="I245" i="25"/>
  <c r="H244" i="25"/>
  <c r="I244" i="25"/>
  <c r="H243" i="25"/>
  <c r="I243" i="25"/>
  <c r="H242" i="25"/>
  <c r="I242" i="25"/>
  <c r="H241" i="25"/>
  <c r="I241" i="25"/>
  <c r="G240" i="25"/>
  <c r="H240" i="25"/>
  <c r="I240" i="25"/>
  <c r="H239" i="25"/>
  <c r="I239" i="25"/>
  <c r="H238" i="25"/>
  <c r="I238" i="25"/>
  <c r="H237" i="25"/>
  <c r="I237" i="25"/>
  <c r="H236" i="25"/>
  <c r="I236" i="25"/>
  <c r="H235" i="25"/>
  <c r="I235" i="25"/>
  <c r="G234" i="25"/>
  <c r="H234" i="25"/>
  <c r="I234" i="25"/>
  <c r="H233" i="25"/>
  <c r="I233" i="25"/>
  <c r="H232" i="25"/>
  <c r="I232" i="25"/>
  <c r="H231" i="25"/>
  <c r="I231" i="25"/>
  <c r="H230" i="25"/>
  <c r="I230" i="25"/>
  <c r="G229" i="25"/>
  <c r="H229" i="25"/>
  <c r="I229" i="25"/>
  <c r="E228" i="25"/>
  <c r="H228" i="25"/>
  <c r="I228" i="25"/>
  <c r="H227" i="25"/>
  <c r="I227" i="25"/>
  <c r="H226" i="25"/>
  <c r="I226" i="25"/>
  <c r="H225" i="25"/>
  <c r="I225" i="25"/>
  <c r="H224" i="25"/>
  <c r="I224" i="25"/>
  <c r="H223" i="25"/>
  <c r="I223" i="25"/>
  <c r="H221" i="25"/>
  <c r="I221" i="25"/>
  <c r="G220" i="25"/>
  <c r="H220" i="25"/>
  <c r="I220" i="25"/>
  <c r="E219" i="25"/>
  <c r="H219" i="25"/>
  <c r="I219" i="25"/>
  <c r="E218" i="25"/>
  <c r="H218" i="25"/>
  <c r="I218" i="25"/>
  <c r="H217" i="25"/>
  <c r="I217" i="25"/>
  <c r="H216" i="25"/>
  <c r="I216" i="25"/>
  <c r="G215" i="25"/>
  <c r="H215" i="25"/>
  <c r="I215" i="25"/>
  <c r="G214" i="25"/>
  <c r="H214" i="25"/>
  <c r="I214" i="25"/>
  <c r="G213" i="25"/>
  <c r="H213" i="25"/>
  <c r="I213" i="25"/>
  <c r="H212" i="25"/>
  <c r="I212" i="25"/>
  <c r="H211" i="25"/>
  <c r="I211" i="25"/>
  <c r="G210" i="25"/>
  <c r="H210" i="25"/>
  <c r="I210" i="25"/>
  <c r="G209" i="25"/>
  <c r="H209" i="25"/>
  <c r="I209" i="25"/>
  <c r="G208" i="25"/>
  <c r="H208" i="25"/>
  <c r="I208" i="25"/>
  <c r="G207" i="25"/>
  <c r="H207" i="25"/>
  <c r="I207" i="25"/>
  <c r="G206" i="25"/>
  <c r="H206" i="25"/>
  <c r="I206" i="25"/>
  <c r="G205" i="25"/>
  <c r="H205" i="25"/>
  <c r="I205" i="25"/>
  <c r="G204" i="25"/>
  <c r="H204" i="25"/>
  <c r="I204" i="25"/>
  <c r="H203" i="25"/>
  <c r="I203" i="25"/>
  <c r="H202" i="25"/>
  <c r="I202" i="25"/>
  <c r="H201" i="25"/>
  <c r="I201" i="25"/>
  <c r="H200" i="25"/>
  <c r="I200" i="25"/>
  <c r="G199" i="25"/>
  <c r="H199" i="25"/>
  <c r="I199" i="25"/>
  <c r="H198" i="25"/>
  <c r="I198" i="25"/>
  <c r="H197" i="25"/>
  <c r="I197" i="25"/>
  <c r="H195" i="25"/>
  <c r="I195" i="25"/>
  <c r="H194" i="25"/>
  <c r="I194" i="25"/>
  <c r="G193" i="25"/>
  <c r="H193" i="25"/>
  <c r="I193" i="25"/>
  <c r="H192" i="25"/>
  <c r="I192" i="25"/>
  <c r="H191" i="25"/>
  <c r="I191" i="25"/>
  <c r="H190" i="25"/>
  <c r="I190" i="25"/>
  <c r="H189" i="25"/>
  <c r="I189" i="25"/>
  <c r="H188" i="25"/>
  <c r="I188" i="25"/>
  <c r="H187" i="25"/>
  <c r="I187" i="25"/>
  <c r="H186" i="25"/>
  <c r="I186" i="25"/>
  <c r="H185" i="25"/>
  <c r="I185" i="25"/>
  <c r="H184" i="25"/>
  <c r="I184" i="25"/>
  <c r="H183" i="25"/>
  <c r="I183" i="25"/>
  <c r="H182" i="25"/>
  <c r="I182" i="25"/>
  <c r="H181" i="25"/>
  <c r="I181" i="25"/>
  <c r="G180" i="25"/>
  <c r="H180" i="25"/>
  <c r="I180" i="25"/>
  <c r="H179" i="25"/>
  <c r="I179" i="25"/>
  <c r="H178" i="25"/>
  <c r="I178" i="25"/>
  <c r="G177" i="25"/>
  <c r="H177" i="25"/>
  <c r="I177" i="25"/>
  <c r="H176" i="25"/>
  <c r="I176" i="25"/>
  <c r="H175" i="25"/>
  <c r="I175" i="25"/>
  <c r="H174" i="25"/>
  <c r="I174" i="25"/>
  <c r="H173" i="25"/>
  <c r="I173" i="25"/>
  <c r="H172" i="25"/>
  <c r="I172" i="25"/>
  <c r="G171" i="25"/>
  <c r="H171" i="25"/>
  <c r="I171" i="25"/>
  <c r="H170" i="25"/>
  <c r="I170" i="25"/>
  <c r="H169" i="25"/>
  <c r="I169" i="25"/>
  <c r="N167" i="25"/>
  <c r="H167" i="25"/>
  <c r="I167" i="25"/>
  <c r="H166" i="25"/>
  <c r="I166" i="25"/>
  <c r="H165" i="25"/>
  <c r="I165" i="25"/>
  <c r="H164" i="25"/>
  <c r="I164" i="25"/>
  <c r="H163" i="25"/>
  <c r="I163" i="25"/>
  <c r="N162" i="25"/>
  <c r="H162" i="25"/>
  <c r="I162" i="25"/>
  <c r="N161" i="25"/>
  <c r="H161" i="25"/>
  <c r="I161" i="25"/>
  <c r="N160" i="25"/>
  <c r="H160" i="25"/>
  <c r="I160" i="25"/>
  <c r="N159" i="25"/>
  <c r="G159" i="25"/>
  <c r="H159" i="25"/>
  <c r="I159" i="25"/>
  <c r="G158" i="25"/>
  <c r="H158" i="25"/>
  <c r="I158" i="25"/>
  <c r="G157" i="25"/>
  <c r="H157" i="25"/>
  <c r="I157" i="25"/>
  <c r="G156" i="25"/>
  <c r="H156" i="25"/>
  <c r="I156" i="25"/>
  <c r="G155" i="25"/>
  <c r="H155" i="25"/>
  <c r="I155" i="25"/>
  <c r="G154" i="25"/>
  <c r="H154" i="25"/>
  <c r="I154" i="25"/>
  <c r="G153" i="25"/>
  <c r="H153" i="25"/>
  <c r="I153" i="25"/>
  <c r="G152" i="25"/>
  <c r="H152" i="25"/>
  <c r="I152" i="25"/>
  <c r="H150" i="25"/>
  <c r="I150" i="25"/>
  <c r="G149" i="25"/>
  <c r="H149" i="25"/>
  <c r="I149" i="25"/>
  <c r="G148" i="25"/>
  <c r="H148" i="25"/>
  <c r="I148" i="25"/>
  <c r="G147" i="25"/>
  <c r="H147" i="25"/>
  <c r="I147" i="25"/>
  <c r="H146" i="25"/>
  <c r="I146" i="25"/>
  <c r="H145" i="25"/>
  <c r="I145" i="25"/>
  <c r="H144" i="25"/>
  <c r="I144" i="25"/>
  <c r="H143" i="25"/>
  <c r="I143" i="25"/>
  <c r="H142" i="25"/>
  <c r="I142" i="25"/>
  <c r="H141" i="25"/>
  <c r="I141" i="25"/>
  <c r="H140" i="25"/>
  <c r="I140" i="25"/>
  <c r="H139" i="25"/>
  <c r="I139" i="25"/>
  <c r="H138" i="25"/>
  <c r="I138" i="25"/>
  <c r="H137" i="25"/>
  <c r="I137" i="25"/>
  <c r="H136" i="25"/>
  <c r="I136" i="25"/>
  <c r="H135" i="25"/>
  <c r="I135" i="25"/>
  <c r="H134" i="25"/>
  <c r="I134" i="25"/>
  <c r="H133" i="25"/>
  <c r="I133" i="25"/>
  <c r="G132" i="25"/>
  <c r="H132" i="25"/>
  <c r="I132" i="25"/>
  <c r="H131" i="25"/>
  <c r="I131" i="25"/>
  <c r="H130" i="25"/>
  <c r="I130" i="25"/>
  <c r="H129" i="25"/>
  <c r="I129" i="25"/>
  <c r="H128" i="25"/>
  <c r="I128" i="25"/>
  <c r="H127" i="25"/>
  <c r="I127" i="25"/>
  <c r="H126" i="25"/>
  <c r="I126" i="25"/>
  <c r="H125" i="25"/>
  <c r="I125" i="25"/>
  <c r="H124" i="25"/>
  <c r="I124" i="25"/>
  <c r="H122" i="25"/>
  <c r="I122" i="25"/>
  <c r="H121" i="25"/>
  <c r="I121" i="25"/>
  <c r="H120" i="25"/>
  <c r="I120" i="25"/>
  <c r="H119" i="25"/>
  <c r="I119" i="25"/>
  <c r="H118" i="25"/>
  <c r="I118" i="25"/>
  <c r="H117" i="25"/>
  <c r="I117" i="25"/>
  <c r="H116" i="25"/>
  <c r="I116" i="25"/>
  <c r="H115" i="25"/>
  <c r="I115" i="25"/>
  <c r="H114" i="25"/>
  <c r="I114" i="25"/>
  <c r="H113" i="25"/>
  <c r="I113" i="25"/>
  <c r="G112" i="25"/>
  <c r="H112" i="25"/>
  <c r="I112" i="25"/>
  <c r="H111" i="25"/>
  <c r="I111" i="25"/>
  <c r="G110" i="25"/>
  <c r="H110" i="25"/>
  <c r="I110" i="25"/>
  <c r="H109" i="25"/>
  <c r="I109" i="25"/>
  <c r="H108" i="25"/>
  <c r="I108" i="25"/>
  <c r="H107" i="25"/>
  <c r="I107" i="25"/>
  <c r="H106" i="25"/>
  <c r="I106" i="25"/>
  <c r="H105" i="25"/>
  <c r="I105" i="25"/>
  <c r="H104" i="25"/>
  <c r="I104" i="25"/>
  <c r="H103" i="25"/>
  <c r="I103" i="25"/>
  <c r="H102" i="25"/>
  <c r="I102" i="25"/>
  <c r="H101" i="25"/>
  <c r="I101" i="25"/>
  <c r="H100" i="25"/>
  <c r="I100" i="25"/>
  <c r="H99" i="25"/>
  <c r="I99" i="25"/>
  <c r="H98" i="25"/>
  <c r="I98" i="25"/>
  <c r="F97" i="25"/>
  <c r="H97" i="25"/>
  <c r="I97" i="25"/>
  <c r="H96" i="25"/>
  <c r="I96" i="25"/>
  <c r="H95" i="25"/>
  <c r="I95" i="25"/>
  <c r="H94" i="25"/>
  <c r="I94" i="25"/>
  <c r="H93" i="25"/>
  <c r="I93" i="25"/>
  <c r="H92" i="25"/>
  <c r="I92" i="25"/>
  <c r="H91" i="25"/>
  <c r="I91" i="25"/>
  <c r="H90" i="25"/>
  <c r="I90" i="25"/>
  <c r="H89" i="25"/>
  <c r="I89" i="25"/>
  <c r="H88" i="25"/>
  <c r="I88" i="25"/>
  <c r="H87" i="25"/>
  <c r="I87" i="25"/>
  <c r="G86" i="25"/>
  <c r="H86" i="25"/>
  <c r="I86" i="25"/>
  <c r="G85" i="25"/>
  <c r="H85" i="25"/>
  <c r="I85" i="25"/>
  <c r="G84" i="25"/>
  <c r="H84" i="25"/>
  <c r="I84" i="25"/>
  <c r="H83" i="25"/>
  <c r="I83" i="25"/>
  <c r="H82" i="25"/>
  <c r="I82" i="25"/>
  <c r="H81" i="25"/>
  <c r="I81" i="25"/>
  <c r="H80" i="25"/>
  <c r="I80" i="25"/>
  <c r="H79" i="25"/>
  <c r="I79" i="25"/>
  <c r="H78" i="25"/>
  <c r="I78" i="25"/>
  <c r="G76" i="25"/>
  <c r="H76" i="25"/>
  <c r="I76" i="25"/>
  <c r="G75" i="25"/>
  <c r="H75" i="25"/>
  <c r="I75" i="25"/>
  <c r="H74" i="25"/>
  <c r="I74" i="25"/>
  <c r="H73" i="25"/>
  <c r="I73" i="25"/>
  <c r="G72" i="25"/>
  <c r="H72" i="25"/>
  <c r="I72" i="25"/>
  <c r="H71" i="25"/>
  <c r="I71" i="25"/>
  <c r="D70" i="25"/>
  <c r="H70" i="25"/>
  <c r="I70" i="25"/>
  <c r="D69" i="25"/>
  <c r="H69" i="25"/>
  <c r="I69" i="25"/>
  <c r="H68" i="25"/>
  <c r="I68" i="25"/>
  <c r="H67" i="25"/>
  <c r="I67" i="25"/>
  <c r="H66" i="25"/>
  <c r="I66" i="25"/>
  <c r="H65" i="25"/>
  <c r="I65" i="25"/>
  <c r="H64" i="25"/>
  <c r="I64" i="25"/>
  <c r="G63" i="25"/>
  <c r="H63" i="25"/>
  <c r="I63" i="25"/>
  <c r="H62" i="25"/>
  <c r="I62" i="25"/>
  <c r="D61" i="25"/>
  <c r="H61" i="25"/>
  <c r="I61" i="25"/>
  <c r="H60" i="25"/>
  <c r="I60" i="25"/>
  <c r="H59" i="25"/>
  <c r="I59" i="25"/>
  <c r="H58" i="25"/>
  <c r="I58" i="25"/>
  <c r="G57" i="25"/>
  <c r="H57" i="25"/>
  <c r="I57" i="25"/>
  <c r="H56" i="25"/>
  <c r="I56" i="25"/>
  <c r="H55" i="25"/>
  <c r="I55" i="25"/>
  <c r="H54" i="25"/>
  <c r="I54" i="25"/>
  <c r="H53" i="25"/>
  <c r="I53" i="25"/>
  <c r="H52" i="25"/>
  <c r="I52" i="25"/>
  <c r="G51" i="25"/>
  <c r="H51" i="25"/>
  <c r="I51" i="25"/>
  <c r="H50" i="25"/>
  <c r="I50" i="25"/>
  <c r="H49" i="25"/>
  <c r="I49" i="25"/>
  <c r="H48" i="25"/>
  <c r="I48" i="25"/>
  <c r="H47" i="25"/>
  <c r="I47" i="25"/>
  <c r="H46" i="25"/>
  <c r="I46" i="25"/>
  <c r="H45" i="25"/>
  <c r="I45" i="25"/>
  <c r="H44" i="25"/>
  <c r="I44" i="25"/>
  <c r="H43" i="25"/>
  <c r="I43" i="25"/>
  <c r="H42" i="25"/>
  <c r="I42" i="25"/>
  <c r="H41" i="25"/>
  <c r="I41" i="25"/>
  <c r="H40" i="25"/>
  <c r="I40" i="25"/>
  <c r="H39" i="25"/>
  <c r="I39" i="25"/>
  <c r="G38" i="25"/>
  <c r="H38" i="25"/>
  <c r="I38" i="25"/>
  <c r="H36" i="25"/>
  <c r="I36" i="25"/>
  <c r="H35" i="25"/>
  <c r="I35" i="25"/>
  <c r="H34" i="25"/>
  <c r="I34" i="25"/>
  <c r="H33" i="25"/>
  <c r="I33" i="25"/>
  <c r="H32" i="25"/>
  <c r="I32" i="25"/>
  <c r="H31" i="25"/>
  <c r="I31" i="25"/>
  <c r="H30" i="25"/>
  <c r="I30" i="25"/>
  <c r="H29" i="25"/>
  <c r="I29" i="25"/>
  <c r="H28" i="25"/>
  <c r="I28" i="25"/>
  <c r="G27" i="25"/>
  <c r="H27" i="25"/>
  <c r="I27" i="25"/>
  <c r="G26" i="25"/>
  <c r="H26" i="25"/>
  <c r="I26" i="25"/>
  <c r="H25" i="25"/>
  <c r="I25" i="25"/>
  <c r="H24" i="25"/>
  <c r="I24" i="25"/>
  <c r="H23" i="25"/>
  <c r="I23" i="25"/>
  <c r="H21" i="25"/>
  <c r="I21" i="25"/>
  <c r="H20" i="25"/>
  <c r="I20" i="25"/>
  <c r="H19" i="25"/>
  <c r="I19" i="25"/>
  <c r="H18" i="25"/>
  <c r="I18" i="25"/>
  <c r="H17" i="25"/>
  <c r="I17" i="25"/>
  <c r="H16" i="25"/>
  <c r="I16" i="25"/>
  <c r="G15" i="25"/>
  <c r="H15" i="25"/>
  <c r="I15" i="25"/>
  <c r="H14" i="25"/>
  <c r="I14" i="25"/>
  <c r="H13" i="25"/>
  <c r="I13" i="25"/>
  <c r="H12" i="25"/>
  <c r="I12" i="25"/>
  <c r="H11" i="25"/>
  <c r="I11" i="25"/>
  <c r="H10" i="25"/>
  <c r="I10" i="25"/>
  <c r="H9" i="25"/>
  <c r="I9" i="25"/>
  <c r="H8" i="25"/>
  <c r="I8" i="25"/>
  <c r="H7" i="25"/>
  <c r="I7" i="25"/>
  <c r="H6" i="25"/>
  <c r="I6" i="25"/>
  <c r="H5" i="25"/>
  <c r="I5" i="25"/>
  <c r="AD2155" i="1"/>
  <c r="AD2156" i="1"/>
  <c r="AC2156" i="1"/>
  <c r="AC2155" i="1"/>
  <c r="AC2153" i="1"/>
  <c r="AC2152" i="1"/>
  <c r="AC2150" i="1"/>
  <c r="AC2151" i="1"/>
  <c r="AC216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38" i="1"/>
  <c r="Z2139" i="1"/>
  <c r="Z2140" i="1"/>
  <c r="Z2141" i="1"/>
  <c r="Z2137" i="1"/>
  <c r="AB2128" i="1"/>
  <c r="AA1861" i="1"/>
  <c r="AA1860" i="1"/>
  <c r="AA1859" i="1"/>
  <c r="AC1860" i="1"/>
  <c r="AC1861" i="1"/>
  <c r="V707" i="1"/>
  <c r="V708" i="1"/>
  <c r="V1860" i="1"/>
  <c r="V1861" i="1"/>
  <c r="AD2136" i="1"/>
  <c r="AC2136" i="1"/>
  <c r="AD2135" i="1"/>
  <c r="AC2135" i="1"/>
  <c r="AD2134" i="1"/>
  <c r="AC2134" i="1"/>
  <c r="AD2133" i="1"/>
  <c r="AC2133" i="1"/>
  <c r="AD2132" i="1"/>
  <c r="AC2132" i="1"/>
  <c r="AD2131" i="1"/>
  <c r="AC2131" i="1"/>
  <c r="AD2130" i="1"/>
  <c r="AC2130" i="1"/>
  <c r="AD2129" i="1"/>
  <c r="AC2129" i="1"/>
  <c r="AD2128" i="1"/>
  <c r="AC2128" i="1"/>
  <c r="AB2136" i="1"/>
  <c r="AB2135" i="1"/>
  <c r="AB2134" i="1"/>
  <c r="AB2133" i="1"/>
  <c r="AB2132" i="1"/>
  <c r="AB2131" i="1"/>
  <c r="AB2130" i="1"/>
  <c r="AB2129" i="1"/>
  <c r="AA2136" i="1"/>
  <c r="AA2135" i="1"/>
  <c r="AA2134" i="1"/>
  <c r="AA2133" i="1"/>
  <c r="AA2132" i="1"/>
  <c r="AA2131" i="1"/>
  <c r="AA2130" i="1"/>
  <c r="AA2129" i="1"/>
  <c r="AA2128" i="1"/>
  <c r="Z2136" i="1"/>
  <c r="Z2135" i="1"/>
  <c r="Z2134" i="1"/>
  <c r="Z2133" i="1"/>
  <c r="Z2132" i="1"/>
  <c r="Z2131" i="1"/>
  <c r="Z2130" i="1"/>
  <c r="Z2129" i="1"/>
  <c r="Z2128" i="1"/>
  <c r="AD2167" i="1"/>
  <c r="AD2166" i="1"/>
  <c r="AD2165" i="1"/>
  <c r="AD2164" i="1"/>
  <c r="AD2163" i="1"/>
  <c r="AD2162" i="1"/>
  <c r="AD2161" i="1"/>
  <c r="AD2160" i="1"/>
  <c r="AD2159" i="1"/>
  <c r="AD2158" i="1"/>
  <c r="AD2157" i="1"/>
  <c r="AD2154" i="1"/>
  <c r="AD2153" i="1"/>
  <c r="AD2152" i="1"/>
  <c r="AD2151" i="1"/>
  <c r="AD2150" i="1"/>
  <c r="AD2149" i="1"/>
  <c r="AD2148" i="1"/>
  <c r="AD2147" i="1"/>
  <c r="AD2146" i="1"/>
  <c r="AD2145" i="1"/>
  <c r="AD2144" i="1"/>
  <c r="AD2143" i="1"/>
  <c r="AD2142" i="1"/>
  <c r="AD2141" i="1"/>
  <c r="AD2140" i="1"/>
  <c r="AD2139" i="1"/>
  <c r="AD2138" i="1"/>
  <c r="AD2137" i="1"/>
  <c r="AD600" i="1"/>
  <c r="AC2167" i="1"/>
  <c r="AC2166" i="1"/>
  <c r="AC2165" i="1"/>
  <c r="AC2164" i="1"/>
  <c r="AC2163" i="1"/>
  <c r="AC2162" i="1"/>
  <c r="AC2160" i="1"/>
  <c r="AC2159" i="1"/>
  <c r="AC2158" i="1"/>
  <c r="AC2157" i="1"/>
  <c r="AC2154" i="1"/>
  <c r="AC2149" i="1"/>
  <c r="AC2148" i="1"/>
  <c r="AC2147" i="1"/>
  <c r="AC2146" i="1"/>
  <c r="AC2145" i="1"/>
  <c r="AC2144" i="1"/>
  <c r="AC2143" i="1"/>
  <c r="AC2142" i="1"/>
  <c r="AC2141" i="1"/>
  <c r="AC2140" i="1"/>
  <c r="AC2139" i="1"/>
  <c r="AC2138" i="1"/>
  <c r="AC2137" i="1"/>
  <c r="AB2167" i="1"/>
  <c r="AB2166" i="1"/>
  <c r="AB2165" i="1"/>
  <c r="AB2164" i="1"/>
  <c r="AB2163" i="1"/>
  <c r="AB2162" i="1"/>
  <c r="AB2161" i="1"/>
  <c r="AB2160" i="1"/>
  <c r="AB2159" i="1"/>
  <c r="AB2158" i="1"/>
  <c r="AB2157" i="1"/>
  <c r="AB2156" i="1"/>
  <c r="AB2155" i="1"/>
  <c r="AB2154" i="1"/>
  <c r="AB2153" i="1"/>
  <c r="AB2152" i="1"/>
  <c r="AB2151" i="1"/>
  <c r="AB2150" i="1"/>
  <c r="AB2149" i="1"/>
  <c r="AB2148" i="1"/>
  <c r="AB2147" i="1"/>
  <c r="AB2146" i="1"/>
  <c r="AB2145" i="1"/>
  <c r="AB2144" i="1"/>
  <c r="AB2143" i="1"/>
  <c r="AB2142" i="1"/>
  <c r="AB2141" i="1"/>
  <c r="AB2140" i="1"/>
  <c r="AB2139" i="1"/>
  <c r="AB2138" i="1"/>
  <c r="AB2137" i="1"/>
  <c r="AA2167" i="1"/>
  <c r="AA2166" i="1"/>
  <c r="AA2165" i="1"/>
  <c r="AA2164" i="1"/>
  <c r="AA2163" i="1"/>
  <c r="AA2162" i="1"/>
  <c r="AA2161" i="1"/>
  <c r="AA2160" i="1"/>
  <c r="AA2159" i="1"/>
  <c r="AA2158" i="1"/>
  <c r="AA2157" i="1"/>
  <c r="AA2156" i="1"/>
  <c r="AA2155" i="1"/>
  <c r="AA2154" i="1"/>
  <c r="AA2153" i="1"/>
  <c r="AA2152" i="1"/>
  <c r="AA2151" i="1"/>
  <c r="AA2150" i="1"/>
  <c r="AA2149" i="1"/>
  <c r="AA2148" i="1"/>
  <c r="AA2147" i="1"/>
  <c r="AA2146" i="1"/>
  <c r="AA2145" i="1"/>
  <c r="AA2144" i="1"/>
  <c r="AA2143" i="1"/>
  <c r="AA2142" i="1"/>
  <c r="AA2141" i="1"/>
  <c r="AA2140" i="1"/>
  <c r="AA2139" i="1"/>
  <c r="AA2138" i="1"/>
  <c r="AA2137"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38" i="1"/>
  <c r="V2137" i="1"/>
  <c r="V2136" i="1"/>
  <c r="V2135" i="1"/>
  <c r="V2134" i="1"/>
  <c r="V2133" i="1"/>
  <c r="V2132" i="1"/>
  <c r="V2131" i="1"/>
  <c r="V2130" i="1"/>
  <c r="V2129" i="1"/>
  <c r="V2128" i="1"/>
  <c r="Q1861" i="1"/>
  <c r="Q1860" i="1"/>
  <c r="AD1860" i="1"/>
  <c r="AB1860" i="1"/>
  <c r="Z1860" i="1"/>
  <c r="M1860" i="1"/>
  <c r="AD1859" i="1"/>
  <c r="AC1859" i="1"/>
  <c r="AB1859" i="1"/>
  <c r="Z1859" i="1"/>
  <c r="V1859" i="1"/>
  <c r="N1859" i="1"/>
  <c r="Q1859" i="1"/>
  <c r="M1859" i="1"/>
  <c r="R1860" i="1"/>
  <c r="S1860" i="1"/>
  <c r="R1859" i="1"/>
  <c r="O1859" i="1"/>
  <c r="P1859" i="1"/>
  <c r="S1859" i="1"/>
  <c r="AD1908" i="1"/>
  <c r="AC1908" i="1"/>
  <c r="AB1908" i="1"/>
  <c r="AA1908" i="1"/>
  <c r="Z1908" i="1"/>
  <c r="V1908" i="1"/>
  <c r="N1908" i="1"/>
  <c r="K1908" i="1"/>
  <c r="J1908" i="1"/>
  <c r="I762" i="1"/>
  <c r="I753" i="1"/>
  <c r="I495" i="1"/>
  <c r="I401" i="1"/>
  <c r="J365" i="1"/>
  <c r="L365" i="1"/>
  <c r="I92" i="1"/>
  <c r="I65" i="1"/>
  <c r="I64" i="1"/>
  <c r="I66" i="1"/>
  <c r="I67" i="1"/>
  <c r="Q1908" i="1"/>
  <c r="M1908" i="1"/>
  <c r="R1908" i="1"/>
  <c r="O1908" i="1"/>
  <c r="P1908" i="1"/>
  <c r="S2136" i="1"/>
  <c r="S2135" i="1"/>
  <c r="S2134" i="1"/>
  <c r="S2132" i="1"/>
  <c r="M2132" i="1"/>
  <c r="S2131" i="1"/>
  <c r="M2131" i="1"/>
  <c r="S2130" i="1"/>
  <c r="M2130" i="1"/>
  <c r="S2129" i="1"/>
  <c r="M2129" i="1"/>
  <c r="S2128" i="1"/>
  <c r="M2128" i="1"/>
  <c r="S1908" i="1"/>
  <c r="I16" i="1"/>
  <c r="J16" i="1"/>
  <c r="K16" i="1"/>
  <c r="L16" i="1"/>
  <c r="O2125" i="15"/>
  <c r="AD2124" i="15"/>
  <c r="AC2124" i="15"/>
  <c r="AB2124" i="15"/>
  <c r="AA2124" i="15"/>
  <c r="Z2124" i="15"/>
  <c r="V2124" i="15"/>
  <c r="N2124" i="15"/>
  <c r="L2124" i="15"/>
  <c r="R2124" i="15"/>
  <c r="K2124" i="15"/>
  <c r="M2124" i="15"/>
  <c r="AD2123" i="15"/>
  <c r="AC2123" i="15"/>
  <c r="AB2123" i="15"/>
  <c r="AA2123" i="15"/>
  <c r="Z2123" i="15"/>
  <c r="V2123" i="15"/>
  <c r="N2123" i="15"/>
  <c r="J2123" i="15"/>
  <c r="AD2122" i="15"/>
  <c r="AC2122" i="15"/>
  <c r="AB2122" i="15"/>
  <c r="AA2122" i="15"/>
  <c r="Z2122" i="15"/>
  <c r="V2122" i="15"/>
  <c r="N2122" i="15"/>
  <c r="Q2122" i="15"/>
  <c r="M2122" i="15"/>
  <c r="AD2121" i="15"/>
  <c r="AC2121" i="15"/>
  <c r="AB2121" i="15"/>
  <c r="AA2121" i="15"/>
  <c r="Z2121" i="15"/>
  <c r="AD2120" i="15"/>
  <c r="AC2120" i="15"/>
  <c r="AB2120" i="15"/>
  <c r="AA2120" i="15"/>
  <c r="Z2120" i="15"/>
  <c r="AD2119" i="15"/>
  <c r="AC2119" i="15"/>
  <c r="AB2119" i="15"/>
  <c r="AA2119" i="15"/>
  <c r="Z2119" i="15"/>
  <c r="V2119" i="15"/>
  <c r="N2119" i="15"/>
  <c r="L2119" i="15"/>
  <c r="K2119" i="15"/>
  <c r="M2119" i="15"/>
  <c r="AD2118" i="15"/>
  <c r="AC2118" i="15"/>
  <c r="AB2118" i="15"/>
  <c r="AA2118" i="15"/>
  <c r="Z2118" i="15"/>
  <c r="V2118" i="15"/>
  <c r="N2118" i="15"/>
  <c r="O2118" i="15"/>
  <c r="L2118" i="15"/>
  <c r="K2118" i="15"/>
  <c r="M2118" i="15"/>
  <c r="AD2117" i="15"/>
  <c r="AC2117" i="15"/>
  <c r="AB2117" i="15"/>
  <c r="AA2117" i="15"/>
  <c r="Z2117" i="15"/>
  <c r="AD2116" i="15"/>
  <c r="AC2116" i="15"/>
  <c r="AB2116" i="15"/>
  <c r="AA2116" i="15"/>
  <c r="Z2116" i="15"/>
  <c r="V2116" i="15"/>
  <c r="N2116" i="15"/>
  <c r="O2116" i="15"/>
  <c r="M2116" i="15"/>
  <c r="AD2115" i="15"/>
  <c r="AC2115" i="15"/>
  <c r="AB2115" i="15"/>
  <c r="AA2115" i="15"/>
  <c r="Z2115" i="15"/>
  <c r="V2115" i="15"/>
  <c r="N2115" i="15"/>
  <c r="M2115" i="15"/>
  <c r="AD2114" i="15"/>
  <c r="AC2114" i="15"/>
  <c r="AB2114" i="15"/>
  <c r="AA2114" i="15"/>
  <c r="Z2114" i="15"/>
  <c r="AD2113" i="15"/>
  <c r="AC2113" i="15"/>
  <c r="AB2113" i="15"/>
  <c r="AA2113" i="15"/>
  <c r="Z2113" i="15"/>
  <c r="AD2112" i="15"/>
  <c r="AC2112" i="15"/>
  <c r="AB2112" i="15"/>
  <c r="AA2112" i="15"/>
  <c r="Z2112" i="15"/>
  <c r="V2112" i="15"/>
  <c r="N2112" i="15"/>
  <c r="L2112" i="15"/>
  <c r="R2112" i="15"/>
  <c r="M2112" i="15"/>
  <c r="AD2111" i="15"/>
  <c r="AC2111" i="15"/>
  <c r="AB2111" i="15"/>
  <c r="AA2111" i="15"/>
  <c r="Z2111" i="15"/>
  <c r="V2111" i="15"/>
  <c r="N2111" i="15"/>
  <c r="L2111" i="15"/>
  <c r="R2111" i="15"/>
  <c r="M2111" i="15"/>
  <c r="AD2110" i="15"/>
  <c r="AC2110" i="15"/>
  <c r="AB2110" i="15"/>
  <c r="AA2110" i="15"/>
  <c r="Z2110" i="15"/>
  <c r="V2110" i="15"/>
  <c r="N2110" i="15"/>
  <c r="L2110" i="15"/>
  <c r="M2110" i="15"/>
  <c r="AD2109" i="15"/>
  <c r="AC2109" i="15"/>
  <c r="AB2109" i="15"/>
  <c r="AA2109" i="15"/>
  <c r="Z2109" i="15"/>
  <c r="V2109" i="15"/>
  <c r="N2109" i="15"/>
  <c r="P2109" i="15"/>
  <c r="L2109" i="15"/>
  <c r="M2109" i="15"/>
  <c r="AD2108" i="15"/>
  <c r="AC2108" i="15"/>
  <c r="AB2108" i="15"/>
  <c r="AA2108" i="15"/>
  <c r="Z2108" i="15"/>
  <c r="V2108" i="15"/>
  <c r="N2108" i="15"/>
  <c r="M2108" i="15"/>
  <c r="AD2107" i="15"/>
  <c r="AC2107" i="15"/>
  <c r="AB2107" i="15"/>
  <c r="AA2107" i="15"/>
  <c r="Z2107" i="15"/>
  <c r="V2107" i="15"/>
  <c r="N2107" i="15"/>
  <c r="L2107" i="15"/>
  <c r="K2107" i="15"/>
  <c r="AD2106" i="15"/>
  <c r="AC2106" i="15"/>
  <c r="AB2106" i="15"/>
  <c r="AA2106" i="15"/>
  <c r="Z2106" i="15"/>
  <c r="V2106" i="15"/>
  <c r="N2106" i="15"/>
  <c r="L2106" i="15"/>
  <c r="K2106" i="15"/>
  <c r="M2106" i="15"/>
  <c r="AD2105" i="15"/>
  <c r="AC2105" i="15"/>
  <c r="AB2105" i="15"/>
  <c r="AA2105" i="15"/>
  <c r="Z2105" i="15"/>
  <c r="AD2104" i="15"/>
  <c r="AC2104" i="15"/>
  <c r="AB2104" i="15"/>
  <c r="AA2104" i="15"/>
  <c r="Z2104" i="15"/>
  <c r="V2104" i="15"/>
  <c r="N2104" i="15"/>
  <c r="K2104" i="15"/>
  <c r="M2104" i="15"/>
  <c r="AD2103" i="15"/>
  <c r="AC2103" i="15"/>
  <c r="AB2103" i="15"/>
  <c r="AA2103" i="15"/>
  <c r="Z2103" i="15"/>
  <c r="V2103" i="15"/>
  <c r="N2103" i="15"/>
  <c r="M2103" i="15"/>
  <c r="AD2102" i="15"/>
  <c r="AC2102" i="15"/>
  <c r="AB2102" i="15"/>
  <c r="AA2102" i="15"/>
  <c r="Z2102" i="15"/>
  <c r="V2102" i="15"/>
  <c r="N2102" i="15"/>
  <c r="M2102" i="15"/>
  <c r="AD2101" i="15"/>
  <c r="AC2101" i="15"/>
  <c r="AB2101" i="15"/>
  <c r="AA2101" i="15"/>
  <c r="Z2101" i="15"/>
  <c r="V2101" i="15"/>
  <c r="N2101" i="15"/>
  <c r="M2101" i="15"/>
  <c r="AD2100" i="15"/>
  <c r="AC2100" i="15"/>
  <c r="AB2100" i="15"/>
  <c r="AA2100" i="15"/>
  <c r="Z2100" i="15"/>
  <c r="V2100" i="15"/>
  <c r="N2100" i="15"/>
  <c r="J2100" i="15"/>
  <c r="M2100" i="15"/>
  <c r="AD2099" i="15"/>
  <c r="AC2099" i="15"/>
  <c r="AB2099" i="15"/>
  <c r="AA2099" i="15"/>
  <c r="Z2099" i="15"/>
  <c r="V2099" i="15"/>
  <c r="N2099" i="15"/>
  <c r="J2099" i="15"/>
  <c r="M2099" i="15"/>
  <c r="AD2098" i="15"/>
  <c r="AC2098" i="15"/>
  <c r="AB2098" i="15"/>
  <c r="AA2098" i="15"/>
  <c r="Z2098" i="15"/>
  <c r="V2098" i="15"/>
  <c r="N2098" i="15"/>
  <c r="R2098" i="15"/>
  <c r="M2098" i="15"/>
  <c r="AD2097" i="15"/>
  <c r="AC2097" i="15"/>
  <c r="AB2097" i="15"/>
  <c r="AA2097" i="15"/>
  <c r="Z2097" i="15"/>
  <c r="AD2096" i="15"/>
  <c r="AC2096" i="15"/>
  <c r="AB2096" i="15"/>
  <c r="AA2096" i="15"/>
  <c r="Z2096" i="15"/>
  <c r="V2096" i="15"/>
  <c r="N2096" i="15"/>
  <c r="L2096" i="15"/>
  <c r="K2096" i="15"/>
  <c r="J2096" i="15"/>
  <c r="M2096" i="15"/>
  <c r="AD2095" i="15"/>
  <c r="AC2095" i="15"/>
  <c r="AB2095" i="15"/>
  <c r="AA2095" i="15"/>
  <c r="Z2095" i="15"/>
  <c r="V2095" i="15"/>
  <c r="N2095" i="15"/>
  <c r="L2095" i="15"/>
  <c r="K2095" i="15"/>
  <c r="J2095" i="15"/>
  <c r="M2095" i="15"/>
  <c r="AD2094" i="15"/>
  <c r="AC2094" i="15"/>
  <c r="AB2094" i="15"/>
  <c r="AA2094" i="15"/>
  <c r="Z2094" i="15"/>
  <c r="V2094" i="15"/>
  <c r="N2094" i="15"/>
  <c r="M2094" i="15"/>
  <c r="AD2093" i="15"/>
  <c r="AC2093" i="15"/>
  <c r="AB2093" i="15"/>
  <c r="AA2093" i="15"/>
  <c r="Z2093" i="15"/>
  <c r="V2093" i="15"/>
  <c r="N2093" i="15"/>
  <c r="L2093" i="15"/>
  <c r="R2093" i="15"/>
  <c r="J2093" i="15"/>
  <c r="K2093" i="15"/>
  <c r="M2093" i="15"/>
  <c r="AD2092" i="15"/>
  <c r="AC2092" i="15"/>
  <c r="AB2092" i="15"/>
  <c r="AA2092" i="15"/>
  <c r="Z2092" i="15"/>
  <c r="V2092" i="15"/>
  <c r="N2092" i="15"/>
  <c r="L2092" i="15"/>
  <c r="R2092" i="15"/>
  <c r="K2092" i="15"/>
  <c r="J2092" i="15"/>
  <c r="M2092" i="15"/>
  <c r="AD2091" i="15"/>
  <c r="AC2091" i="15"/>
  <c r="AB2091" i="15"/>
  <c r="AA2091" i="15"/>
  <c r="Z2091" i="15"/>
  <c r="V2091" i="15"/>
  <c r="N2091" i="15"/>
  <c r="L2091" i="15"/>
  <c r="R2091" i="15"/>
  <c r="K2091" i="15"/>
  <c r="J2091" i="15"/>
  <c r="M2091" i="15"/>
  <c r="AD2090" i="15"/>
  <c r="AC2090" i="15"/>
  <c r="AB2090" i="15"/>
  <c r="AA2090" i="15"/>
  <c r="Z2090" i="15"/>
  <c r="V2090" i="15"/>
  <c r="N2090" i="15"/>
  <c r="L2090" i="15"/>
  <c r="R2090" i="15"/>
  <c r="K2090" i="15"/>
  <c r="J2090" i="15"/>
  <c r="M2090" i="15"/>
  <c r="AD2089" i="15"/>
  <c r="AC2089" i="15"/>
  <c r="AB2089" i="15"/>
  <c r="AA2089" i="15"/>
  <c r="Z2089" i="15"/>
  <c r="AD2088" i="15"/>
  <c r="AC2088" i="15"/>
  <c r="AB2088" i="15"/>
  <c r="AA2088" i="15"/>
  <c r="Z2088" i="15"/>
  <c r="AD2087" i="15"/>
  <c r="AC2087" i="15"/>
  <c r="AB2087" i="15"/>
  <c r="AA2087" i="15"/>
  <c r="Z2087" i="15"/>
  <c r="AD2086" i="15"/>
  <c r="AC2086" i="15"/>
  <c r="AB2086" i="15"/>
  <c r="AA2086" i="15"/>
  <c r="Z2086" i="15"/>
  <c r="V2086" i="15"/>
  <c r="N2086" i="15"/>
  <c r="O2086" i="15"/>
  <c r="M2086" i="15"/>
  <c r="AD2085" i="15"/>
  <c r="AC2085" i="15"/>
  <c r="AB2085" i="15"/>
  <c r="AA2085" i="15"/>
  <c r="Z2085" i="15"/>
  <c r="V2085" i="15"/>
  <c r="N2085" i="15"/>
  <c r="L2085" i="15"/>
  <c r="K2085" i="15"/>
  <c r="J2085" i="15"/>
  <c r="M2085" i="15"/>
  <c r="AD2084" i="15"/>
  <c r="AC2084" i="15"/>
  <c r="AB2084" i="15"/>
  <c r="AA2084" i="15"/>
  <c r="Z2084" i="15"/>
  <c r="V2084" i="15"/>
  <c r="N2084" i="15"/>
  <c r="J2084" i="15"/>
  <c r="M2084" i="15"/>
  <c r="AD2083" i="15"/>
  <c r="AC2083" i="15"/>
  <c r="AB2083" i="15"/>
  <c r="AA2083" i="15"/>
  <c r="Z2083" i="15"/>
  <c r="AD2082" i="15"/>
  <c r="AC2082" i="15"/>
  <c r="AB2082" i="15"/>
  <c r="AA2082" i="15"/>
  <c r="Z2082" i="15"/>
  <c r="V2082" i="15"/>
  <c r="N2082" i="15"/>
  <c r="R2082" i="15"/>
  <c r="M2082" i="15"/>
  <c r="AD2081" i="15"/>
  <c r="AC2081" i="15"/>
  <c r="AB2081" i="15"/>
  <c r="AA2081" i="15"/>
  <c r="Z2081" i="15"/>
  <c r="V2081" i="15"/>
  <c r="N2081" i="15"/>
  <c r="L2081" i="15"/>
  <c r="K2081" i="15"/>
  <c r="J2081" i="15"/>
  <c r="M2081" i="15"/>
  <c r="AD2080" i="15"/>
  <c r="AC2080" i="15"/>
  <c r="AB2080" i="15"/>
  <c r="AA2080" i="15"/>
  <c r="Z2080" i="15"/>
  <c r="AD2079" i="15"/>
  <c r="AC2079" i="15"/>
  <c r="AB2079" i="15"/>
  <c r="AA2079" i="15"/>
  <c r="Z2079" i="15"/>
  <c r="V2079" i="15"/>
  <c r="N2079" i="15"/>
  <c r="M2079" i="15"/>
  <c r="AD2078" i="15"/>
  <c r="AC2078" i="15"/>
  <c r="AB2078" i="15"/>
  <c r="AA2078" i="15"/>
  <c r="Z2078" i="15"/>
  <c r="V2078" i="15"/>
  <c r="N2078" i="15"/>
  <c r="Q2078" i="15"/>
  <c r="M2078" i="15"/>
  <c r="AD2077" i="15"/>
  <c r="AC2077" i="15"/>
  <c r="AB2077" i="15"/>
  <c r="AA2077" i="15"/>
  <c r="Z2077" i="15"/>
  <c r="V2077" i="15"/>
  <c r="N2077" i="15"/>
  <c r="R2077" i="15"/>
  <c r="M2077" i="15"/>
  <c r="AD2076" i="15"/>
  <c r="AC2076" i="15"/>
  <c r="AB2076" i="15"/>
  <c r="AA2076" i="15"/>
  <c r="Z2076" i="15"/>
  <c r="V2076" i="15"/>
  <c r="N2076" i="15"/>
  <c r="O2076" i="15"/>
  <c r="M2076" i="15"/>
  <c r="AD2075" i="15"/>
  <c r="AC2075" i="15"/>
  <c r="AB2075" i="15"/>
  <c r="AA2075" i="15"/>
  <c r="Z2075" i="15"/>
  <c r="V2075" i="15"/>
  <c r="N2075" i="15"/>
  <c r="R2075" i="15"/>
  <c r="J2075" i="15"/>
  <c r="M2075" i="15"/>
  <c r="AD2074" i="15"/>
  <c r="AC2074" i="15"/>
  <c r="AB2074" i="15"/>
  <c r="AA2074" i="15"/>
  <c r="Z2074" i="15"/>
  <c r="AD2073" i="15"/>
  <c r="AC2073" i="15"/>
  <c r="AB2073" i="15"/>
  <c r="AA2073" i="15"/>
  <c r="Z2073" i="15"/>
  <c r="AD2072" i="15"/>
  <c r="AC2072" i="15"/>
  <c r="AB2072" i="15"/>
  <c r="AA2072" i="15"/>
  <c r="Z2072" i="15"/>
  <c r="V2072" i="15"/>
  <c r="N2072" i="15"/>
  <c r="O2072" i="15"/>
  <c r="AD2071" i="15"/>
  <c r="AC2071" i="15"/>
  <c r="AB2071" i="15"/>
  <c r="AA2071" i="15"/>
  <c r="Z2071" i="15"/>
  <c r="V2071" i="15"/>
  <c r="N2071" i="15"/>
  <c r="O2071" i="15"/>
  <c r="AD2070" i="15"/>
  <c r="AC2070" i="15"/>
  <c r="AB2070" i="15"/>
  <c r="AA2070" i="15"/>
  <c r="Z2070" i="15"/>
  <c r="V2070" i="15"/>
  <c r="N2070" i="15"/>
  <c r="O2070" i="15"/>
  <c r="AD2069" i="15"/>
  <c r="AC2069" i="15"/>
  <c r="AB2069" i="15"/>
  <c r="AA2069" i="15"/>
  <c r="Z2069" i="15"/>
  <c r="V2069" i="15"/>
  <c r="N2069" i="15"/>
  <c r="O2069" i="15"/>
  <c r="AD2068" i="15"/>
  <c r="AC2068" i="15"/>
  <c r="AB2068" i="15"/>
  <c r="AA2068" i="15"/>
  <c r="Z2068" i="15"/>
  <c r="AD2067" i="15"/>
  <c r="AC2067" i="15"/>
  <c r="AB2067" i="15"/>
  <c r="AA2067" i="15"/>
  <c r="Z2067" i="15"/>
  <c r="AD2066" i="15"/>
  <c r="AC2066" i="15"/>
  <c r="AB2066" i="15"/>
  <c r="AA2066" i="15"/>
  <c r="Z2066" i="15"/>
  <c r="V2066" i="15"/>
  <c r="N2066" i="15"/>
  <c r="J2066" i="15"/>
  <c r="M2066" i="15"/>
  <c r="AD2065" i="15"/>
  <c r="AC2065" i="15"/>
  <c r="AB2065" i="15"/>
  <c r="AA2065" i="15"/>
  <c r="Z2065" i="15"/>
  <c r="V2065" i="15"/>
  <c r="N2065" i="15"/>
  <c r="R2065" i="15"/>
  <c r="J2065" i="15"/>
  <c r="M2065" i="15"/>
  <c r="AD2064" i="15"/>
  <c r="AC2064" i="15"/>
  <c r="AB2064" i="15"/>
  <c r="AA2064" i="15"/>
  <c r="Z2064" i="15"/>
  <c r="AD2063" i="15"/>
  <c r="AC2063" i="15"/>
  <c r="AB2063" i="15"/>
  <c r="AA2063" i="15"/>
  <c r="Z2063" i="15"/>
  <c r="V2063" i="15"/>
  <c r="N2063" i="15"/>
  <c r="R2063" i="15"/>
  <c r="J2063" i="15"/>
  <c r="M2063" i="15"/>
  <c r="AD2062" i="15"/>
  <c r="AC2062" i="15"/>
  <c r="AB2062" i="15"/>
  <c r="AA2062" i="15"/>
  <c r="Z2062" i="15"/>
  <c r="V2062" i="15"/>
  <c r="N2062" i="15"/>
  <c r="R2062" i="15"/>
  <c r="J2062" i="15"/>
  <c r="M2062" i="15"/>
  <c r="AD2061" i="15"/>
  <c r="AC2061" i="15"/>
  <c r="AB2061" i="15"/>
  <c r="AA2061" i="15"/>
  <c r="Z2061" i="15"/>
  <c r="AD2060" i="15"/>
  <c r="AC2060" i="15"/>
  <c r="AB2060" i="15"/>
  <c r="AA2060" i="15"/>
  <c r="Z2060" i="15"/>
  <c r="V2060" i="15"/>
  <c r="N2060" i="15"/>
  <c r="R2060" i="15"/>
  <c r="K2060" i="15"/>
  <c r="M2060" i="15"/>
  <c r="AD2059" i="15"/>
  <c r="AC2059" i="15"/>
  <c r="AB2059" i="15"/>
  <c r="AA2059" i="15"/>
  <c r="Z2059" i="15"/>
  <c r="V2059" i="15"/>
  <c r="N2059" i="15"/>
  <c r="Q2059" i="15"/>
  <c r="J2059" i="15"/>
  <c r="M2059" i="15"/>
  <c r="AD2058" i="15"/>
  <c r="AC2058" i="15"/>
  <c r="AB2058" i="15"/>
  <c r="AA2058" i="15"/>
  <c r="Z2058" i="15"/>
  <c r="V2058" i="15"/>
  <c r="N2058" i="15"/>
  <c r="R2058" i="15"/>
  <c r="J2058" i="15"/>
  <c r="M2058" i="15"/>
  <c r="AD2057" i="15"/>
  <c r="AC2057" i="15"/>
  <c r="AB2057" i="15"/>
  <c r="AA2057" i="15"/>
  <c r="Z2057" i="15"/>
  <c r="V2057" i="15"/>
  <c r="N2057" i="15"/>
  <c r="M2057" i="15"/>
  <c r="AD2056" i="15"/>
  <c r="AC2056" i="15"/>
  <c r="AB2056" i="15"/>
  <c r="AA2056" i="15"/>
  <c r="Z2056" i="15"/>
  <c r="V2056" i="15"/>
  <c r="N2056" i="15"/>
  <c r="K2056" i="15"/>
  <c r="Q2056" i="15"/>
  <c r="L2056" i="15"/>
  <c r="J2056" i="15"/>
  <c r="M2056" i="15"/>
  <c r="AD2055" i="15"/>
  <c r="AC2055" i="15"/>
  <c r="AB2055" i="15"/>
  <c r="AA2055" i="15"/>
  <c r="Z2055" i="15"/>
  <c r="V2055" i="15"/>
  <c r="N2055" i="15"/>
  <c r="L2055" i="15"/>
  <c r="K2055" i="15"/>
  <c r="J2055" i="15"/>
  <c r="M2055" i="15"/>
  <c r="AD2054" i="15"/>
  <c r="AC2054" i="15"/>
  <c r="AB2054" i="15"/>
  <c r="AA2054" i="15"/>
  <c r="Z2054" i="15"/>
  <c r="AD2053" i="15"/>
  <c r="AC2053" i="15"/>
  <c r="AB2053" i="15"/>
  <c r="AA2053" i="15"/>
  <c r="Z2053" i="15"/>
  <c r="V2053" i="15"/>
  <c r="N2053" i="15"/>
  <c r="L2053" i="15"/>
  <c r="R2053" i="15"/>
  <c r="K2053" i="15"/>
  <c r="AD2052" i="15"/>
  <c r="AC2052" i="15"/>
  <c r="AB2052" i="15"/>
  <c r="AA2052" i="15"/>
  <c r="Z2052" i="15"/>
  <c r="V2052" i="15"/>
  <c r="N2052" i="15"/>
  <c r="L2052" i="15"/>
  <c r="K2052" i="15"/>
  <c r="AD2051" i="15"/>
  <c r="AC2051" i="15"/>
  <c r="AB2051" i="15"/>
  <c r="AA2051" i="15"/>
  <c r="Z2051" i="15"/>
  <c r="V2051" i="15"/>
  <c r="N2051" i="15"/>
  <c r="M2051" i="15"/>
  <c r="AD2050" i="15"/>
  <c r="AC2050" i="15"/>
  <c r="AB2050" i="15"/>
  <c r="AA2050" i="15"/>
  <c r="Z2050" i="15"/>
  <c r="AD2049" i="15"/>
  <c r="AC2049" i="15"/>
  <c r="AB2049" i="15"/>
  <c r="AA2049" i="15"/>
  <c r="Z2049" i="15"/>
  <c r="V2049" i="15"/>
  <c r="N2049" i="15"/>
  <c r="M2049" i="15"/>
  <c r="AD2048" i="15"/>
  <c r="AC2048" i="15"/>
  <c r="AB2048" i="15"/>
  <c r="AA2048" i="15"/>
  <c r="Z2048" i="15"/>
  <c r="V2048" i="15"/>
  <c r="N2048" i="15"/>
  <c r="K2048" i="15"/>
  <c r="Q2048" i="15"/>
  <c r="J2048" i="15"/>
  <c r="M2048" i="15"/>
  <c r="AD2047" i="15"/>
  <c r="AC2047" i="15"/>
  <c r="AB2047" i="15"/>
  <c r="AA2047" i="15"/>
  <c r="Z2047" i="15"/>
  <c r="AD2046" i="15"/>
  <c r="AC2046" i="15"/>
  <c r="AB2046" i="15"/>
  <c r="AA2046" i="15"/>
  <c r="Z2046" i="15"/>
  <c r="AD2045" i="15"/>
  <c r="AC2045" i="15"/>
  <c r="AB2045" i="15"/>
  <c r="AA2045" i="15"/>
  <c r="Z2045" i="15"/>
  <c r="V2045" i="15"/>
  <c r="N2045" i="15"/>
  <c r="M2045" i="15"/>
  <c r="AD2044" i="15"/>
  <c r="AC2044" i="15"/>
  <c r="AB2044" i="15"/>
  <c r="AA2044" i="15"/>
  <c r="Z2044" i="15"/>
  <c r="V2044" i="15"/>
  <c r="N2044" i="15"/>
  <c r="O2044" i="15"/>
  <c r="AD2043" i="15"/>
  <c r="AC2043" i="15"/>
  <c r="AB2043" i="15"/>
  <c r="AA2043" i="15"/>
  <c r="Z2043" i="15"/>
  <c r="V2043" i="15"/>
  <c r="N2043" i="15"/>
  <c r="O2043" i="15"/>
  <c r="AD2042" i="15"/>
  <c r="AC2042" i="15"/>
  <c r="AB2042" i="15"/>
  <c r="AA2042" i="15"/>
  <c r="Z2042" i="15"/>
  <c r="AD2041" i="15"/>
  <c r="AC2041" i="15"/>
  <c r="AB2041" i="15"/>
  <c r="AA2041" i="15"/>
  <c r="Z2041" i="15"/>
  <c r="V2041" i="15"/>
  <c r="N2041" i="15"/>
  <c r="O2041" i="15"/>
  <c r="L2041" i="15"/>
  <c r="M2041" i="15"/>
  <c r="AD2040" i="15"/>
  <c r="AC2040" i="15"/>
  <c r="AB2040" i="15"/>
  <c r="AA2040" i="15"/>
  <c r="Z2040" i="15"/>
  <c r="V2040" i="15"/>
  <c r="N2040" i="15"/>
  <c r="Q2040" i="15"/>
  <c r="L2040" i="15"/>
  <c r="M2040" i="15"/>
  <c r="AD2039" i="15"/>
  <c r="AC2039" i="15"/>
  <c r="AB2039" i="15"/>
  <c r="AA2039" i="15"/>
  <c r="Z2039" i="15"/>
  <c r="V2039" i="15"/>
  <c r="N2039" i="15"/>
  <c r="L2039" i="15"/>
  <c r="M2039" i="15"/>
  <c r="AD2038" i="15"/>
  <c r="AC2038" i="15"/>
  <c r="AB2038" i="15"/>
  <c r="AA2038" i="15"/>
  <c r="Z2038" i="15"/>
  <c r="V2038" i="15"/>
  <c r="N2038" i="15"/>
  <c r="K2038" i="15"/>
  <c r="M2038" i="15"/>
  <c r="AD2037" i="15"/>
  <c r="AC2037" i="15"/>
  <c r="AB2037" i="15"/>
  <c r="AA2037" i="15"/>
  <c r="Z2037" i="15"/>
  <c r="AD2036" i="15"/>
  <c r="AC2036" i="15"/>
  <c r="AB2036" i="15"/>
  <c r="AA2036" i="15"/>
  <c r="Z2036" i="15"/>
  <c r="AD2035" i="15"/>
  <c r="AC2035" i="15"/>
  <c r="AB2035" i="15"/>
  <c r="AA2035" i="15"/>
  <c r="Z2035" i="15"/>
  <c r="V2035" i="15"/>
  <c r="N2035" i="15"/>
  <c r="M2035" i="15"/>
  <c r="AD2034" i="15"/>
  <c r="AC2034" i="15"/>
  <c r="AB2034" i="15"/>
  <c r="AA2034" i="15"/>
  <c r="Z2034" i="15"/>
  <c r="V2034" i="15"/>
  <c r="N2034" i="15"/>
  <c r="M2034" i="15"/>
  <c r="AD2033" i="15"/>
  <c r="AC2033" i="15"/>
  <c r="AB2033" i="15"/>
  <c r="AA2033" i="15"/>
  <c r="Z2033" i="15"/>
  <c r="AD2032" i="15"/>
  <c r="AC2032" i="15"/>
  <c r="AB2032" i="15"/>
  <c r="AA2032" i="15"/>
  <c r="Z2032" i="15"/>
  <c r="V2032" i="15"/>
  <c r="N2032" i="15"/>
  <c r="M2032" i="15"/>
  <c r="AD2031" i="15"/>
  <c r="AC2031" i="15"/>
  <c r="AB2031" i="15"/>
  <c r="AA2031" i="15"/>
  <c r="Z2031" i="15"/>
  <c r="V2031" i="15"/>
  <c r="N2031" i="15"/>
  <c r="M2031" i="15"/>
  <c r="AD2030" i="15"/>
  <c r="AC2030" i="15"/>
  <c r="AB2030" i="15"/>
  <c r="AA2030" i="15"/>
  <c r="Z2030" i="15"/>
  <c r="V2030" i="15"/>
  <c r="N2030" i="15"/>
  <c r="J2030" i="15"/>
  <c r="M2030" i="15"/>
  <c r="AD2029" i="15"/>
  <c r="AC2029" i="15"/>
  <c r="AB2029" i="15"/>
  <c r="AA2029" i="15"/>
  <c r="Z2029" i="15"/>
  <c r="AD2028" i="15"/>
  <c r="AC2028" i="15"/>
  <c r="AB2028" i="15"/>
  <c r="AA2028" i="15"/>
  <c r="Z2028" i="15"/>
  <c r="AD2027" i="15"/>
  <c r="AC2027" i="15"/>
  <c r="AB2027" i="15"/>
  <c r="AA2027" i="15"/>
  <c r="Z2027" i="15"/>
  <c r="V2027" i="15"/>
  <c r="N2027" i="15"/>
  <c r="L2027" i="15"/>
  <c r="R2027" i="15"/>
  <c r="M2027" i="15"/>
  <c r="AD2026" i="15"/>
  <c r="AC2026" i="15"/>
  <c r="AB2026" i="15"/>
  <c r="AA2026" i="15"/>
  <c r="Z2026" i="15"/>
  <c r="V2026" i="15"/>
  <c r="N2026" i="15"/>
  <c r="L2026" i="15"/>
  <c r="M2026" i="15"/>
  <c r="AD2025" i="15"/>
  <c r="AC2025" i="15"/>
  <c r="AB2025" i="15"/>
  <c r="AA2025" i="15"/>
  <c r="Z2025" i="15"/>
  <c r="V2025" i="15"/>
  <c r="N2025" i="15"/>
  <c r="M2025" i="15"/>
  <c r="AD2024" i="15"/>
  <c r="AC2024" i="15"/>
  <c r="AB2024" i="15"/>
  <c r="AA2024" i="15"/>
  <c r="Z2024" i="15"/>
  <c r="V2024" i="15"/>
  <c r="N2024" i="15"/>
  <c r="R2024" i="15"/>
  <c r="K2024" i="15"/>
  <c r="M2024" i="15"/>
  <c r="AD2023" i="15"/>
  <c r="AC2023" i="15"/>
  <c r="AB2023" i="15"/>
  <c r="AA2023" i="15"/>
  <c r="Z2023" i="15"/>
  <c r="V2023" i="15"/>
  <c r="N2023" i="15"/>
  <c r="R2023" i="15"/>
  <c r="K2023" i="15"/>
  <c r="M2023" i="15"/>
  <c r="AD2022" i="15"/>
  <c r="AC2022" i="15"/>
  <c r="AB2022" i="15"/>
  <c r="AA2022" i="15"/>
  <c r="Z2022" i="15"/>
  <c r="V2022" i="15"/>
  <c r="N2022" i="15"/>
  <c r="O2022" i="15"/>
  <c r="J2022" i="15"/>
  <c r="M2022" i="15"/>
  <c r="AD2021" i="15"/>
  <c r="AC2021" i="15"/>
  <c r="AB2021" i="15"/>
  <c r="AA2021" i="15"/>
  <c r="Z2021" i="15"/>
  <c r="V2021" i="15"/>
  <c r="N2021" i="15"/>
  <c r="R2021" i="15"/>
  <c r="J2021" i="15"/>
  <c r="M2021" i="15"/>
  <c r="AD2020" i="15"/>
  <c r="AC2020" i="15"/>
  <c r="AB2020" i="15"/>
  <c r="AA2020" i="15"/>
  <c r="Z2020" i="15"/>
  <c r="V2020" i="15"/>
  <c r="N2020" i="15"/>
  <c r="O2020" i="15"/>
  <c r="M2020" i="15"/>
  <c r="AD2019" i="15"/>
  <c r="AC2019" i="15"/>
  <c r="AB2019" i="15"/>
  <c r="AA2019" i="15"/>
  <c r="Z2019" i="15"/>
  <c r="AD2018" i="15"/>
  <c r="AC2018" i="15"/>
  <c r="AB2018" i="15"/>
  <c r="AA2018" i="15"/>
  <c r="Z2018" i="15"/>
  <c r="AD2017" i="15"/>
  <c r="AC2017" i="15"/>
  <c r="AB2017" i="15"/>
  <c r="AA2017" i="15"/>
  <c r="Z2017" i="15"/>
  <c r="V2017" i="15"/>
  <c r="N2017" i="15"/>
  <c r="P2017" i="15"/>
  <c r="L2017" i="15"/>
  <c r="M2017" i="15"/>
  <c r="AD2016" i="15"/>
  <c r="AC2016" i="15"/>
  <c r="AB2016" i="15"/>
  <c r="AA2016" i="15"/>
  <c r="Z2016" i="15"/>
  <c r="V2016" i="15"/>
  <c r="N2016" i="15"/>
  <c r="L2016" i="15"/>
  <c r="R2016" i="15"/>
  <c r="K2016" i="15"/>
  <c r="M2016" i="15"/>
  <c r="AD2015" i="15"/>
  <c r="AC2015" i="15"/>
  <c r="AB2015" i="15"/>
  <c r="AA2015" i="15"/>
  <c r="Z2015" i="15"/>
  <c r="V2015" i="15"/>
  <c r="N2015" i="15"/>
  <c r="O2015" i="15"/>
  <c r="L2015" i="15"/>
  <c r="M2015" i="15"/>
  <c r="AD2014" i="15"/>
  <c r="AC2014" i="15"/>
  <c r="AB2014" i="15"/>
  <c r="AA2014" i="15"/>
  <c r="Z2014" i="15"/>
  <c r="V2014" i="15"/>
  <c r="N2014" i="15"/>
  <c r="L2014" i="15"/>
  <c r="M2014" i="15"/>
  <c r="AD2013" i="15"/>
  <c r="AC2013" i="15"/>
  <c r="AB2013" i="15"/>
  <c r="AA2013" i="15"/>
  <c r="Z2013" i="15"/>
  <c r="AD2012" i="15"/>
  <c r="AC2012" i="15"/>
  <c r="AB2012" i="15"/>
  <c r="AA2012" i="15"/>
  <c r="Z2012" i="15"/>
  <c r="V2012" i="15"/>
  <c r="N2012" i="15"/>
  <c r="M2012" i="15"/>
  <c r="AD2011" i="15"/>
  <c r="AC2011" i="15"/>
  <c r="AB2011" i="15"/>
  <c r="AA2011" i="15"/>
  <c r="Z2011" i="15"/>
  <c r="V2011" i="15"/>
  <c r="N2011" i="15"/>
  <c r="M2011" i="15"/>
  <c r="AD2010" i="15"/>
  <c r="AC2010" i="15"/>
  <c r="AB2010" i="15"/>
  <c r="AA2010" i="15"/>
  <c r="Z2010" i="15"/>
  <c r="V2010" i="15"/>
  <c r="N2010" i="15"/>
  <c r="O2010" i="15"/>
  <c r="AD2009" i="15"/>
  <c r="AC2009" i="15"/>
  <c r="AB2009" i="15"/>
  <c r="AA2009" i="15"/>
  <c r="Z2009" i="15"/>
  <c r="V2009" i="15"/>
  <c r="N2009" i="15"/>
  <c r="Q2009" i="15"/>
  <c r="J2009" i="15"/>
  <c r="M2009" i="15"/>
  <c r="AD2008" i="15"/>
  <c r="AC2008" i="15"/>
  <c r="AB2008" i="15"/>
  <c r="AA2008" i="15"/>
  <c r="Z2008" i="15"/>
  <c r="AD2007" i="15"/>
  <c r="AC2007" i="15"/>
  <c r="AB2007" i="15"/>
  <c r="AA2007" i="15"/>
  <c r="Z2007" i="15"/>
  <c r="AD2006" i="15"/>
  <c r="AC2006" i="15"/>
  <c r="AB2006" i="15"/>
  <c r="AA2006" i="15"/>
  <c r="Z2006" i="15"/>
  <c r="AD2005" i="15"/>
  <c r="AC2005" i="15"/>
  <c r="AB2005" i="15"/>
  <c r="AA2005" i="15"/>
  <c r="Z2005" i="15"/>
  <c r="V2005" i="15"/>
  <c r="N2005" i="15"/>
  <c r="L2005" i="15"/>
  <c r="R2005" i="15"/>
  <c r="J2005" i="15"/>
  <c r="K2005" i="15"/>
  <c r="M2005" i="15"/>
  <c r="AD2004" i="15"/>
  <c r="AC2004" i="15"/>
  <c r="AB2004" i="15"/>
  <c r="AA2004" i="15"/>
  <c r="Z2004" i="15"/>
  <c r="V2004" i="15"/>
  <c r="N2004" i="15"/>
  <c r="R2004" i="15"/>
  <c r="M2004" i="15"/>
  <c r="AD2003" i="15"/>
  <c r="AC2003" i="15"/>
  <c r="AB2003" i="15"/>
  <c r="AA2003" i="15"/>
  <c r="Z2003" i="15"/>
  <c r="V2003" i="15"/>
  <c r="N2003" i="15"/>
  <c r="M2003" i="15"/>
  <c r="AD2002" i="15"/>
  <c r="AC2002" i="15"/>
  <c r="AB2002" i="15"/>
  <c r="AA2002" i="15"/>
  <c r="Z2002" i="15"/>
  <c r="V2002" i="15"/>
  <c r="N2002" i="15"/>
  <c r="O2002" i="15"/>
  <c r="L2002" i="15"/>
  <c r="K2002" i="15"/>
  <c r="J2002" i="15"/>
  <c r="M2002" i="15"/>
  <c r="AD2001" i="15"/>
  <c r="AC2001" i="15"/>
  <c r="AB2001" i="15"/>
  <c r="AA2001" i="15"/>
  <c r="Z2001" i="15"/>
  <c r="V2001" i="15"/>
  <c r="N2001" i="15"/>
  <c r="O2001" i="15"/>
  <c r="L2001" i="15"/>
  <c r="K2001" i="15"/>
  <c r="J2001" i="15"/>
  <c r="AD2000" i="15"/>
  <c r="AC2000" i="15"/>
  <c r="AB2000" i="15"/>
  <c r="AA2000" i="15"/>
  <c r="Z2000" i="15"/>
  <c r="V2000" i="15"/>
  <c r="N2000" i="15"/>
  <c r="O2000" i="15"/>
  <c r="L2000" i="15"/>
  <c r="K2000" i="15"/>
  <c r="K2010" i="15"/>
  <c r="M2010" i="15"/>
  <c r="J2000" i="15"/>
  <c r="AD1999" i="15"/>
  <c r="AC1999" i="15"/>
  <c r="AB1999" i="15"/>
  <c r="AA1999" i="15"/>
  <c r="Z1999" i="15"/>
  <c r="V1999" i="15"/>
  <c r="N1999" i="15"/>
  <c r="O1999" i="15"/>
  <c r="M1999" i="15"/>
  <c r="AD1998" i="15"/>
  <c r="AC1998" i="15"/>
  <c r="AB1998" i="15"/>
  <c r="AA1998" i="15"/>
  <c r="Z1998" i="15"/>
  <c r="V1998" i="15"/>
  <c r="N1998" i="15"/>
  <c r="AD1997" i="15"/>
  <c r="AC1997" i="15"/>
  <c r="AB1997" i="15"/>
  <c r="AA1997" i="15"/>
  <c r="Z1997" i="15"/>
  <c r="V1997" i="15"/>
  <c r="N1997" i="15"/>
  <c r="AD1996" i="15"/>
  <c r="AC1996" i="15"/>
  <c r="AB1996" i="15"/>
  <c r="AA1996" i="15"/>
  <c r="Z1996" i="15"/>
  <c r="V1996" i="15"/>
  <c r="N1996" i="15"/>
  <c r="L1996" i="15"/>
  <c r="R1996" i="15"/>
  <c r="J1996" i="15"/>
  <c r="M1996" i="15"/>
  <c r="AD1995" i="15"/>
  <c r="AC1995" i="15"/>
  <c r="AB1995" i="15"/>
  <c r="AA1995" i="15"/>
  <c r="Z1995" i="15"/>
  <c r="AD1994" i="15"/>
  <c r="AC1994" i="15"/>
  <c r="AB1994" i="15"/>
  <c r="AA1994" i="15"/>
  <c r="Z1994" i="15"/>
  <c r="V1994" i="15"/>
  <c r="N1994" i="15"/>
  <c r="L1994" i="15"/>
  <c r="R1994" i="15"/>
  <c r="J1994" i="15"/>
  <c r="K1994" i="15"/>
  <c r="M1994" i="15"/>
  <c r="AD1993" i="15"/>
  <c r="AC1993" i="15"/>
  <c r="AB1993" i="15"/>
  <c r="AA1993" i="15"/>
  <c r="Z1993" i="15"/>
  <c r="V1993" i="15"/>
  <c r="N1993" i="15"/>
  <c r="M1993" i="15"/>
  <c r="AD1992" i="15"/>
  <c r="AC1992" i="15"/>
  <c r="AB1992" i="15"/>
  <c r="AA1992" i="15"/>
  <c r="Z1992" i="15"/>
  <c r="V1992" i="15"/>
  <c r="N1992" i="15"/>
  <c r="J1992" i="15"/>
  <c r="M1992" i="15"/>
  <c r="AD1991" i="15"/>
  <c r="AC1991" i="15"/>
  <c r="AB1991" i="15"/>
  <c r="AA1991" i="15"/>
  <c r="Z1991" i="15"/>
  <c r="V1991" i="15"/>
  <c r="N1991" i="15"/>
  <c r="K1991" i="15"/>
  <c r="Q1991" i="15"/>
  <c r="M1991" i="15"/>
  <c r="AD1990" i="15"/>
  <c r="AC1990" i="15"/>
  <c r="AB1990" i="15"/>
  <c r="AA1990" i="15"/>
  <c r="Z1990" i="15"/>
  <c r="V1990" i="15"/>
  <c r="N1990" i="15"/>
  <c r="O1990" i="15"/>
  <c r="K1990" i="15"/>
  <c r="M1990" i="15"/>
  <c r="AD1989" i="15"/>
  <c r="AC1989" i="15"/>
  <c r="AB1989" i="15"/>
  <c r="AA1989" i="15"/>
  <c r="Z1989" i="15"/>
  <c r="V1989" i="15"/>
  <c r="N1989" i="15"/>
  <c r="K1989" i="15"/>
  <c r="Q1989" i="15"/>
  <c r="M1989" i="15"/>
  <c r="AD1988" i="15"/>
  <c r="AC1988" i="15"/>
  <c r="AB1988" i="15"/>
  <c r="AA1988" i="15"/>
  <c r="Z1988" i="15"/>
  <c r="V1988" i="15"/>
  <c r="N1988" i="15"/>
  <c r="O1988" i="15"/>
  <c r="K1988" i="15"/>
  <c r="M1988" i="15"/>
  <c r="AD1987" i="15"/>
  <c r="AC1987" i="15"/>
  <c r="AB1987" i="15"/>
  <c r="AA1987" i="15"/>
  <c r="Z1987" i="15"/>
  <c r="V1987" i="15"/>
  <c r="N1987" i="15"/>
  <c r="Q1987" i="15"/>
  <c r="L1987" i="15"/>
  <c r="J1987" i="15"/>
  <c r="AD1986" i="15"/>
  <c r="AC1986" i="15"/>
  <c r="AB1986" i="15"/>
  <c r="AA1986" i="15"/>
  <c r="Z1986" i="15"/>
  <c r="V1986" i="15"/>
  <c r="N1986" i="15"/>
  <c r="L1986" i="15"/>
  <c r="K1986" i="15"/>
  <c r="J1986" i="15"/>
  <c r="AD1985" i="15"/>
  <c r="AC1985" i="15"/>
  <c r="AB1985" i="15"/>
  <c r="AA1985" i="15"/>
  <c r="Z1985" i="15"/>
  <c r="V1985" i="15"/>
  <c r="N1985" i="15"/>
  <c r="L1985" i="15"/>
  <c r="R1985" i="15"/>
  <c r="K1985" i="15"/>
  <c r="J1985" i="15"/>
  <c r="AD1984" i="15"/>
  <c r="AC1984" i="15"/>
  <c r="AB1984" i="15"/>
  <c r="AA1984" i="15"/>
  <c r="Z1984" i="15"/>
  <c r="AD1983" i="15"/>
  <c r="AC1983" i="15"/>
  <c r="AB1983" i="15"/>
  <c r="AA1983" i="15"/>
  <c r="Z1983" i="15"/>
  <c r="AD1982" i="15"/>
  <c r="AC1982" i="15"/>
  <c r="AB1982" i="15"/>
  <c r="AA1982" i="15"/>
  <c r="Z1982" i="15"/>
  <c r="AD1981" i="15"/>
  <c r="AC1981" i="15"/>
  <c r="AB1981" i="15"/>
  <c r="AA1981" i="15"/>
  <c r="Z1981" i="15"/>
  <c r="V1981" i="15"/>
  <c r="N1981" i="15"/>
  <c r="O1981" i="15"/>
  <c r="K1981" i="15"/>
  <c r="M1981" i="15"/>
  <c r="AD1980" i="15"/>
  <c r="AC1980" i="15"/>
  <c r="AB1980" i="15"/>
  <c r="AA1980" i="15"/>
  <c r="Z1980" i="15"/>
  <c r="V1980" i="15"/>
  <c r="N1980" i="15"/>
  <c r="K1980" i="15"/>
  <c r="Q1980" i="15"/>
  <c r="M1980" i="15"/>
  <c r="AD1979" i="15"/>
  <c r="AC1979" i="15"/>
  <c r="AB1979" i="15"/>
  <c r="AA1979" i="15"/>
  <c r="Z1979" i="15"/>
  <c r="V1979" i="15"/>
  <c r="N1979" i="15"/>
  <c r="O1979" i="15"/>
  <c r="K1979" i="15"/>
  <c r="M1979" i="15"/>
  <c r="AD1978" i="15"/>
  <c r="AC1978" i="15"/>
  <c r="AB1978" i="15"/>
  <c r="AA1978" i="15"/>
  <c r="Z1978" i="15"/>
  <c r="V1978" i="15"/>
  <c r="N1978" i="15"/>
  <c r="K1978" i="15"/>
  <c r="Q1978" i="15"/>
  <c r="M1978" i="15"/>
  <c r="AD1977" i="15"/>
  <c r="AC1977" i="15"/>
  <c r="AB1977" i="15"/>
  <c r="AA1977" i="15"/>
  <c r="Z1977" i="15"/>
  <c r="V1977" i="15"/>
  <c r="N1977" i="15"/>
  <c r="O1977" i="15"/>
  <c r="K1977" i="15"/>
  <c r="M1977" i="15"/>
  <c r="AD1976" i="15"/>
  <c r="AC1976" i="15"/>
  <c r="AB1976" i="15"/>
  <c r="AA1976" i="15"/>
  <c r="Z1976" i="15"/>
  <c r="V1976" i="15"/>
  <c r="N1976" i="15"/>
  <c r="Q1976" i="15"/>
  <c r="J1976" i="15"/>
  <c r="M1976" i="15"/>
  <c r="AD1975" i="15"/>
  <c r="AC1975" i="15"/>
  <c r="AB1975" i="15"/>
  <c r="AA1975" i="15"/>
  <c r="Z1975" i="15"/>
  <c r="AD1974" i="15"/>
  <c r="AC1974" i="15"/>
  <c r="AB1974" i="15"/>
  <c r="AA1974" i="15"/>
  <c r="Z1974" i="15"/>
  <c r="V1974" i="15"/>
  <c r="N1974" i="15"/>
  <c r="R1974" i="15"/>
  <c r="K1974" i="15"/>
  <c r="M1974" i="15"/>
  <c r="AD1973" i="15"/>
  <c r="AC1973" i="15"/>
  <c r="AB1973" i="15"/>
  <c r="AA1973" i="15"/>
  <c r="Z1973" i="15"/>
  <c r="V1973" i="15"/>
  <c r="N1973" i="15"/>
  <c r="R1973" i="15"/>
  <c r="J1973" i="15"/>
  <c r="M1973" i="15"/>
  <c r="AD1972" i="15"/>
  <c r="AC1972" i="15"/>
  <c r="AB1972" i="15"/>
  <c r="AA1972" i="15"/>
  <c r="Z1972" i="15"/>
  <c r="V1972" i="15"/>
  <c r="N1972" i="15"/>
  <c r="M1972" i="15"/>
  <c r="AD1971" i="15"/>
  <c r="AC1971" i="15"/>
  <c r="AB1971" i="15"/>
  <c r="AA1971" i="15"/>
  <c r="Z1971" i="15"/>
  <c r="AD1970" i="15"/>
  <c r="AC1970" i="15"/>
  <c r="AB1970" i="15"/>
  <c r="AA1970" i="15"/>
  <c r="Z1970" i="15"/>
  <c r="AD1969" i="15"/>
  <c r="AC1969" i="15"/>
  <c r="AB1969" i="15"/>
  <c r="AA1969" i="15"/>
  <c r="Z1969" i="15"/>
  <c r="V1969" i="15"/>
  <c r="N1969" i="15"/>
  <c r="R1969" i="15"/>
  <c r="K1969" i="15"/>
  <c r="M1969" i="15"/>
  <c r="AD1968" i="15"/>
  <c r="AC1968" i="15"/>
  <c r="AB1968" i="15"/>
  <c r="AA1968" i="15"/>
  <c r="Z1968" i="15"/>
  <c r="V1968" i="15"/>
  <c r="N1968" i="15"/>
  <c r="L1968" i="15"/>
  <c r="R1968" i="15"/>
  <c r="J1968" i="15"/>
  <c r="AD1967" i="15"/>
  <c r="AC1967" i="15"/>
  <c r="AB1967" i="15"/>
  <c r="AA1967" i="15"/>
  <c r="Z1967" i="15"/>
  <c r="V1967" i="15"/>
  <c r="N1967" i="15"/>
  <c r="R1967" i="15"/>
  <c r="K1967" i="15"/>
  <c r="M1967" i="15"/>
  <c r="AD1966" i="15"/>
  <c r="AC1966" i="15"/>
  <c r="AB1966" i="15"/>
  <c r="AA1966" i="15"/>
  <c r="Z1966" i="15"/>
  <c r="AD1965" i="15"/>
  <c r="AC1965" i="15"/>
  <c r="AB1965" i="15"/>
  <c r="AA1965" i="15"/>
  <c r="Z1965" i="15"/>
  <c r="V1965" i="15"/>
  <c r="N1965" i="15"/>
  <c r="M1965" i="15"/>
  <c r="AD1964" i="15"/>
  <c r="AC1964" i="15"/>
  <c r="AB1964" i="15"/>
  <c r="AA1964" i="15"/>
  <c r="Z1964" i="15"/>
  <c r="V1964" i="15"/>
  <c r="N1964" i="15"/>
  <c r="R1964" i="15"/>
  <c r="J1964" i="15"/>
  <c r="M1964" i="15"/>
  <c r="AD1963" i="15"/>
  <c r="AC1963" i="15"/>
  <c r="AB1963" i="15"/>
  <c r="AA1963" i="15"/>
  <c r="Z1963" i="15"/>
  <c r="V1963" i="15"/>
  <c r="N1963" i="15"/>
  <c r="R1963" i="15"/>
  <c r="J1963" i="15"/>
  <c r="M1963" i="15"/>
  <c r="AD1962" i="15"/>
  <c r="AC1962" i="15"/>
  <c r="AB1962" i="15"/>
  <c r="AA1962" i="15"/>
  <c r="Z1962" i="15"/>
  <c r="V1962" i="15"/>
  <c r="N1962" i="15"/>
  <c r="M1962" i="15"/>
  <c r="AD1961" i="15"/>
  <c r="AC1961" i="15"/>
  <c r="AB1961" i="15"/>
  <c r="AA1961" i="15"/>
  <c r="Z1961" i="15"/>
  <c r="AD1960" i="15"/>
  <c r="AC1960" i="15"/>
  <c r="AB1960" i="15"/>
  <c r="AA1960" i="15"/>
  <c r="Z1960" i="15"/>
  <c r="V1960" i="15"/>
  <c r="N1960" i="15"/>
  <c r="M1960" i="15"/>
  <c r="AD1959" i="15"/>
  <c r="AC1959" i="15"/>
  <c r="AB1959" i="15"/>
  <c r="AA1959" i="15"/>
  <c r="Z1959" i="15"/>
  <c r="V1959" i="15"/>
  <c r="N1959" i="15"/>
  <c r="L1959" i="15"/>
  <c r="R1959" i="15"/>
  <c r="K1959" i="15"/>
  <c r="J1959" i="15"/>
  <c r="AD1958" i="15"/>
  <c r="AC1958" i="15"/>
  <c r="AB1958" i="15"/>
  <c r="AA1958" i="15"/>
  <c r="Z1958" i="15"/>
  <c r="AD1957" i="15"/>
  <c r="AC1957" i="15"/>
  <c r="AB1957" i="15"/>
  <c r="AA1957" i="15"/>
  <c r="Z1957" i="15"/>
  <c r="V1957" i="15"/>
  <c r="N1957" i="15"/>
  <c r="L1957" i="15"/>
  <c r="K1957" i="15"/>
  <c r="J1957" i="15"/>
  <c r="M1957" i="15"/>
  <c r="AD1956" i="15"/>
  <c r="AC1956" i="15"/>
  <c r="AB1956" i="15"/>
  <c r="AA1956" i="15"/>
  <c r="Z1956" i="15"/>
  <c r="V1956" i="15"/>
  <c r="N1956" i="15"/>
  <c r="L1956" i="15"/>
  <c r="J1956" i="15"/>
  <c r="AD1955" i="15"/>
  <c r="AC1955" i="15"/>
  <c r="AB1955" i="15"/>
  <c r="AA1955" i="15"/>
  <c r="Z1955" i="15"/>
  <c r="V1955" i="15"/>
  <c r="N1955" i="15"/>
  <c r="L1955" i="15"/>
  <c r="J1955" i="15"/>
  <c r="M1955" i="15"/>
  <c r="AD1954" i="15"/>
  <c r="AC1954" i="15"/>
  <c r="AB1954" i="15"/>
  <c r="AA1954" i="15"/>
  <c r="Z1954" i="15"/>
  <c r="V1954" i="15"/>
  <c r="N1954" i="15"/>
  <c r="L1954" i="15"/>
  <c r="K1954" i="15"/>
  <c r="J1954" i="15"/>
  <c r="AD1953" i="15"/>
  <c r="AC1953" i="15"/>
  <c r="AB1953" i="15"/>
  <c r="AA1953" i="15"/>
  <c r="Z1953" i="15"/>
  <c r="V1953" i="15"/>
  <c r="N1953" i="15"/>
  <c r="M1953" i="15"/>
  <c r="AD1952" i="15"/>
  <c r="AC1952" i="15"/>
  <c r="AB1952" i="15"/>
  <c r="AA1952" i="15"/>
  <c r="Z1952" i="15"/>
  <c r="V1952" i="15"/>
  <c r="N1952" i="15"/>
  <c r="M1952" i="15"/>
  <c r="AD1951" i="15"/>
  <c r="AC1951" i="15"/>
  <c r="AB1951" i="15"/>
  <c r="AA1951" i="15"/>
  <c r="Z1951" i="15"/>
  <c r="AD1950" i="15"/>
  <c r="AC1950" i="15"/>
  <c r="AB1950" i="15"/>
  <c r="AA1950" i="15"/>
  <c r="Z1950" i="15"/>
  <c r="AD1949" i="15"/>
  <c r="AC1949" i="15"/>
  <c r="AB1949" i="15"/>
  <c r="AA1949" i="15"/>
  <c r="Z1949" i="15"/>
  <c r="AD1948" i="15"/>
  <c r="AC1948" i="15"/>
  <c r="AB1948" i="15"/>
  <c r="AA1948" i="15"/>
  <c r="Z1948" i="15"/>
  <c r="AD1947" i="15"/>
  <c r="AC1947" i="15"/>
  <c r="AB1947" i="15"/>
  <c r="AA1947" i="15"/>
  <c r="Z1947" i="15"/>
  <c r="V1947" i="15"/>
  <c r="N1947" i="15"/>
  <c r="M1947" i="15"/>
  <c r="AD1946" i="15"/>
  <c r="AC1946" i="15"/>
  <c r="AB1946" i="15"/>
  <c r="AA1946" i="15"/>
  <c r="Z1946" i="15"/>
  <c r="V1946" i="15"/>
  <c r="N1946" i="15"/>
  <c r="M1946" i="15"/>
  <c r="AD1945" i="15"/>
  <c r="AC1945" i="15"/>
  <c r="AB1945" i="15"/>
  <c r="AA1945" i="15"/>
  <c r="Z1945" i="15"/>
  <c r="AD1944" i="15"/>
  <c r="AC1944" i="15"/>
  <c r="AB1944" i="15"/>
  <c r="AA1944" i="15"/>
  <c r="Z1944" i="15"/>
  <c r="V1944" i="15"/>
  <c r="N1944" i="15"/>
  <c r="P1944" i="15"/>
  <c r="M1944" i="15"/>
  <c r="AD1943" i="15"/>
  <c r="AC1943" i="15"/>
  <c r="AB1943" i="15"/>
  <c r="AA1943" i="15"/>
  <c r="Z1943" i="15"/>
  <c r="AD1942" i="15"/>
  <c r="AC1942" i="15"/>
  <c r="AB1942" i="15"/>
  <c r="AA1942" i="15"/>
  <c r="Z1942" i="15"/>
  <c r="V1942" i="15"/>
  <c r="N1942" i="15"/>
  <c r="R1942" i="15"/>
  <c r="J1942" i="15"/>
  <c r="M1942" i="15"/>
  <c r="AD1941" i="15"/>
  <c r="AC1941" i="15"/>
  <c r="AB1941" i="15"/>
  <c r="AA1941" i="15"/>
  <c r="Z1941" i="15"/>
  <c r="V1941" i="15"/>
  <c r="N1941" i="15"/>
  <c r="R1941" i="15"/>
  <c r="J1941" i="15"/>
  <c r="M1941" i="15"/>
  <c r="AD1940" i="15"/>
  <c r="AC1940" i="15"/>
  <c r="AB1940" i="15"/>
  <c r="AA1940" i="15"/>
  <c r="Z1940" i="15"/>
  <c r="V1940" i="15"/>
  <c r="N1940" i="15"/>
  <c r="R1940" i="15"/>
  <c r="J1940" i="15"/>
  <c r="M1940" i="15"/>
  <c r="AD1939" i="15"/>
  <c r="AC1939" i="15"/>
  <c r="AB1939" i="15"/>
  <c r="AA1939" i="15"/>
  <c r="Z1939" i="15"/>
  <c r="V1939" i="15"/>
  <c r="N1939" i="15"/>
  <c r="AD1938" i="15"/>
  <c r="AC1938" i="15"/>
  <c r="AB1938" i="15"/>
  <c r="AA1938" i="15"/>
  <c r="Z1938" i="15"/>
  <c r="AD1937" i="15"/>
  <c r="AC1937" i="15"/>
  <c r="AB1937" i="15"/>
  <c r="AA1937" i="15"/>
  <c r="Z1937" i="15"/>
  <c r="AD1936" i="15"/>
  <c r="AC1936" i="15"/>
  <c r="AB1936" i="15"/>
  <c r="AA1936" i="15"/>
  <c r="Z1936" i="15"/>
  <c r="V1936" i="15"/>
  <c r="N1936" i="15"/>
  <c r="M1936" i="15"/>
  <c r="AD1935" i="15"/>
  <c r="AC1935" i="15"/>
  <c r="AB1935" i="15"/>
  <c r="AA1935" i="15"/>
  <c r="Z1935" i="15"/>
  <c r="V1935" i="15"/>
  <c r="N1935" i="15"/>
  <c r="L1935" i="15"/>
  <c r="R1935" i="15"/>
  <c r="K1935" i="15"/>
  <c r="J1935" i="15"/>
  <c r="AD1934" i="15"/>
  <c r="AC1934" i="15"/>
  <c r="AB1934" i="15"/>
  <c r="AA1934" i="15"/>
  <c r="Z1934" i="15"/>
  <c r="AD1933" i="15"/>
  <c r="AC1933" i="15"/>
  <c r="AB1933" i="15"/>
  <c r="AA1933" i="15"/>
  <c r="Z1933" i="15"/>
  <c r="V1933" i="15"/>
  <c r="N1933" i="15"/>
  <c r="M1933" i="15"/>
  <c r="AD1932" i="15"/>
  <c r="AC1932" i="15"/>
  <c r="AB1932" i="15"/>
  <c r="AA1932" i="15"/>
  <c r="Z1932" i="15"/>
  <c r="V1932" i="15"/>
  <c r="N1932" i="15"/>
  <c r="O1932" i="15"/>
  <c r="L1932" i="15"/>
  <c r="K1932" i="15"/>
  <c r="J1932" i="15"/>
  <c r="AD1931" i="15"/>
  <c r="AC1931" i="15"/>
  <c r="AB1931" i="15"/>
  <c r="AA1931" i="15"/>
  <c r="Z1931" i="15"/>
  <c r="V1931" i="15"/>
  <c r="N1931" i="15"/>
  <c r="M1931" i="15"/>
  <c r="AD1930" i="15"/>
  <c r="AC1930" i="15"/>
  <c r="AB1930" i="15"/>
  <c r="AA1930" i="15"/>
  <c r="Z1930" i="15"/>
  <c r="V1930" i="15"/>
  <c r="N1930" i="15"/>
  <c r="M1930" i="15"/>
  <c r="AD1929" i="15"/>
  <c r="AC1929" i="15"/>
  <c r="AB1929" i="15"/>
  <c r="AA1929" i="15"/>
  <c r="Z1929" i="15"/>
  <c r="V1929" i="15"/>
  <c r="N1929" i="15"/>
  <c r="M1929" i="15"/>
  <c r="AD1928" i="15"/>
  <c r="AC1928" i="15"/>
  <c r="AB1928" i="15"/>
  <c r="AA1928" i="15"/>
  <c r="Z1928" i="15"/>
  <c r="V1928" i="15"/>
  <c r="N1928" i="15"/>
  <c r="M1928" i="15"/>
  <c r="AD1927" i="15"/>
  <c r="AC1927" i="15"/>
  <c r="AB1927" i="15"/>
  <c r="AA1927" i="15"/>
  <c r="Z1927" i="15"/>
  <c r="V1927" i="15"/>
  <c r="N1927" i="15"/>
  <c r="M1927" i="15"/>
  <c r="AD1926" i="15"/>
  <c r="AC1926" i="15"/>
  <c r="AB1926" i="15"/>
  <c r="AA1926" i="15"/>
  <c r="Z1926" i="15"/>
  <c r="V1926" i="15"/>
  <c r="N1926" i="15"/>
  <c r="R1926" i="15"/>
  <c r="J1926" i="15"/>
  <c r="M1926" i="15"/>
  <c r="AD1925" i="15"/>
  <c r="AC1925" i="15"/>
  <c r="AB1925" i="15"/>
  <c r="AA1925" i="15"/>
  <c r="Z1925" i="15"/>
  <c r="AD1924" i="15"/>
  <c r="AC1924" i="15"/>
  <c r="AB1924" i="15"/>
  <c r="AA1924" i="15"/>
  <c r="Z1924" i="15"/>
  <c r="AD1923" i="15"/>
  <c r="AC1923" i="15"/>
  <c r="AB1923" i="15"/>
  <c r="AA1923" i="15"/>
  <c r="Z1923" i="15"/>
  <c r="V1923" i="15"/>
  <c r="N1923" i="15"/>
  <c r="O1923" i="15"/>
  <c r="M1923" i="15"/>
  <c r="AD1922" i="15"/>
  <c r="AC1922" i="15"/>
  <c r="AB1922" i="15"/>
  <c r="AA1922" i="15"/>
  <c r="Z1922" i="15"/>
  <c r="V1922" i="15"/>
  <c r="N1922" i="15"/>
  <c r="R1922" i="15"/>
  <c r="M1922" i="15"/>
  <c r="AD1921" i="15"/>
  <c r="AC1921" i="15"/>
  <c r="AB1921" i="15"/>
  <c r="AA1921" i="15"/>
  <c r="Z1921" i="15"/>
  <c r="V1921" i="15"/>
  <c r="N1921" i="15"/>
  <c r="P1921" i="15"/>
  <c r="M1921" i="15"/>
  <c r="AD1920" i="15"/>
  <c r="AC1920" i="15"/>
  <c r="AB1920" i="15"/>
  <c r="AA1920" i="15"/>
  <c r="Z1920" i="15"/>
  <c r="V1920" i="15"/>
  <c r="N1920" i="15"/>
  <c r="O1920" i="15"/>
  <c r="M1920" i="15"/>
  <c r="AD1919" i="15"/>
  <c r="AC1919" i="15"/>
  <c r="AB1919" i="15"/>
  <c r="AA1919" i="15"/>
  <c r="Z1919" i="15"/>
  <c r="V1919" i="15"/>
  <c r="N1919" i="15"/>
  <c r="R1919" i="15"/>
  <c r="K1919" i="15"/>
  <c r="J1919" i="15"/>
  <c r="AD1918" i="15"/>
  <c r="AC1918" i="15"/>
  <c r="AB1918" i="15"/>
  <c r="AA1918" i="15"/>
  <c r="Z1918" i="15"/>
  <c r="V1918" i="15"/>
  <c r="N1918" i="15"/>
  <c r="O1918" i="15"/>
  <c r="K1918" i="15"/>
  <c r="J1918" i="15"/>
  <c r="M1918" i="15"/>
  <c r="AD1917" i="15"/>
  <c r="AC1917" i="15"/>
  <c r="AB1917" i="15"/>
  <c r="AA1917" i="15"/>
  <c r="Z1917" i="15"/>
  <c r="V1917" i="15"/>
  <c r="N1917" i="15"/>
  <c r="L1917" i="15"/>
  <c r="R1917" i="15"/>
  <c r="J1917" i="15"/>
  <c r="K1917" i="15"/>
  <c r="M1917" i="15"/>
  <c r="AD1916" i="15"/>
  <c r="AC1916" i="15"/>
  <c r="AB1916" i="15"/>
  <c r="AA1916" i="15"/>
  <c r="Z1916" i="15"/>
  <c r="V1916" i="15"/>
  <c r="N1916" i="15"/>
  <c r="L1916" i="15"/>
  <c r="R1916" i="15"/>
  <c r="K1916" i="15"/>
  <c r="J1916" i="15"/>
  <c r="M1916" i="15"/>
  <c r="AD1915" i="15"/>
  <c r="AC1915" i="15"/>
  <c r="AB1915" i="15"/>
  <c r="AA1915" i="15"/>
  <c r="Z1915" i="15"/>
  <c r="V1915" i="15"/>
  <c r="N1915" i="15"/>
  <c r="R1915" i="15"/>
  <c r="J1915" i="15"/>
  <c r="M1915" i="15"/>
  <c r="AD1914" i="15"/>
  <c r="AC1914" i="15"/>
  <c r="AB1914" i="15"/>
  <c r="AA1914" i="15"/>
  <c r="Z1914" i="15"/>
  <c r="V1914" i="15"/>
  <c r="N1914" i="15"/>
  <c r="M1914" i="15"/>
  <c r="AD1913" i="15"/>
  <c r="AC1913" i="15"/>
  <c r="AB1913" i="15"/>
  <c r="AA1913" i="15"/>
  <c r="Z1913" i="15"/>
  <c r="V1913" i="15"/>
  <c r="N1913" i="15"/>
  <c r="M1913" i="15"/>
  <c r="AD1912" i="15"/>
  <c r="AC1912" i="15"/>
  <c r="AB1912" i="15"/>
  <c r="AA1912" i="15"/>
  <c r="Z1912" i="15"/>
  <c r="AD1911" i="15"/>
  <c r="AC1911" i="15"/>
  <c r="AB1911" i="15"/>
  <c r="AA1911" i="15"/>
  <c r="Z1911" i="15"/>
  <c r="AD1910" i="15"/>
  <c r="AC1910" i="15"/>
  <c r="AB1910" i="15"/>
  <c r="AA1910" i="15"/>
  <c r="Z1910" i="15"/>
  <c r="V1910" i="15"/>
  <c r="N1910" i="15"/>
  <c r="L1910" i="15"/>
  <c r="R1910" i="15"/>
  <c r="M1910" i="15"/>
  <c r="AD1909" i="15"/>
  <c r="AC1909" i="15"/>
  <c r="AB1909" i="15"/>
  <c r="AA1909" i="15"/>
  <c r="Z1909" i="15"/>
  <c r="V1909" i="15"/>
  <c r="N1909" i="15"/>
  <c r="O1909" i="15"/>
  <c r="L1909" i="15"/>
  <c r="K1909" i="15"/>
  <c r="J1909" i="15"/>
  <c r="AD1908" i="15"/>
  <c r="AC1908" i="15"/>
  <c r="AB1908" i="15"/>
  <c r="AA1908" i="15"/>
  <c r="Z1908" i="15"/>
  <c r="V1908" i="15"/>
  <c r="N1908" i="15"/>
  <c r="O1908" i="15"/>
  <c r="K1908" i="15"/>
  <c r="M1908" i="15"/>
  <c r="AD1907" i="15"/>
  <c r="AC1907" i="15"/>
  <c r="AB1907" i="15"/>
  <c r="AA1907" i="15"/>
  <c r="Z1907" i="15"/>
  <c r="V1907" i="15"/>
  <c r="N1907" i="15"/>
  <c r="R1907" i="15"/>
  <c r="K1907" i="15"/>
  <c r="J1907" i="15"/>
  <c r="AD1906" i="15"/>
  <c r="AC1906" i="15"/>
  <c r="AB1906" i="15"/>
  <c r="AA1906" i="15"/>
  <c r="Z1906" i="15"/>
  <c r="V1906" i="15"/>
  <c r="N1906" i="15"/>
  <c r="R1906" i="15"/>
  <c r="K1906" i="15"/>
  <c r="J1906" i="15"/>
  <c r="M1906" i="15"/>
  <c r="AD1905" i="15"/>
  <c r="AC1905" i="15"/>
  <c r="AB1905" i="15"/>
  <c r="AA1905" i="15"/>
  <c r="Z1905" i="15"/>
  <c r="V1905" i="15"/>
  <c r="N1905" i="15"/>
  <c r="O1905" i="15"/>
  <c r="L1905" i="15"/>
  <c r="K1905" i="15"/>
  <c r="J1905" i="15"/>
  <c r="AD1904" i="15"/>
  <c r="AC1904" i="15"/>
  <c r="AB1904" i="15"/>
  <c r="AA1904" i="15"/>
  <c r="Z1904" i="15"/>
  <c r="V1904" i="15"/>
  <c r="N1904" i="15"/>
  <c r="O1904" i="15"/>
  <c r="L1904" i="15"/>
  <c r="K1904" i="15"/>
  <c r="J1904" i="15"/>
  <c r="M1904" i="15"/>
  <c r="AD1903" i="15"/>
  <c r="AC1903" i="15"/>
  <c r="AB1903" i="15"/>
  <c r="AA1903" i="15"/>
  <c r="Z1903" i="15"/>
  <c r="AD1902" i="15"/>
  <c r="AC1902" i="15"/>
  <c r="AB1902" i="15"/>
  <c r="AA1902" i="15"/>
  <c r="Z1902" i="15"/>
  <c r="V1902" i="15"/>
  <c r="N1902" i="15"/>
  <c r="M1902" i="15"/>
  <c r="AD1901" i="15"/>
  <c r="AC1901" i="15"/>
  <c r="AB1901" i="15"/>
  <c r="AA1901" i="15"/>
  <c r="Z1901" i="15"/>
  <c r="V1901" i="15"/>
  <c r="N1901" i="15"/>
  <c r="M1901" i="15"/>
  <c r="AD1900" i="15"/>
  <c r="AC1900" i="15"/>
  <c r="AB1900" i="15"/>
  <c r="AA1900" i="15"/>
  <c r="Z1900" i="15"/>
  <c r="V1900" i="15"/>
  <c r="N1900" i="15"/>
  <c r="M1900" i="15"/>
  <c r="AD1899" i="15"/>
  <c r="AC1899" i="15"/>
  <c r="AB1899" i="15"/>
  <c r="AA1899" i="15"/>
  <c r="Z1899" i="15"/>
  <c r="AD1898" i="15"/>
  <c r="AC1898" i="15"/>
  <c r="AB1898" i="15"/>
  <c r="AA1898" i="15"/>
  <c r="Z1898" i="15"/>
  <c r="V1898" i="15"/>
  <c r="N1898" i="15"/>
  <c r="R1898" i="15"/>
  <c r="K1898" i="15"/>
  <c r="M1898" i="15"/>
  <c r="AD1897" i="15"/>
  <c r="AC1897" i="15"/>
  <c r="AB1897" i="15"/>
  <c r="AA1897" i="15"/>
  <c r="Z1897" i="15"/>
  <c r="V1897" i="15"/>
  <c r="N1897" i="15"/>
  <c r="K1897" i="15"/>
  <c r="Q1897" i="15"/>
  <c r="L1897" i="15"/>
  <c r="J1897" i="15"/>
  <c r="AD1896" i="15"/>
  <c r="AC1896" i="15"/>
  <c r="AB1896" i="15"/>
  <c r="AA1896" i="15"/>
  <c r="Z1896" i="15"/>
  <c r="V1896" i="15"/>
  <c r="N1896" i="15"/>
  <c r="R1896" i="15"/>
  <c r="M1896" i="15"/>
  <c r="AD1895" i="15"/>
  <c r="AC1895" i="15"/>
  <c r="AB1895" i="15"/>
  <c r="AA1895" i="15"/>
  <c r="Z1895" i="15"/>
  <c r="V1895" i="15"/>
  <c r="N1895" i="15"/>
  <c r="R1895" i="15"/>
  <c r="M1895" i="15"/>
  <c r="AD1894" i="15"/>
  <c r="AC1894" i="15"/>
  <c r="AB1894" i="15"/>
  <c r="AA1894" i="15"/>
  <c r="Z1894" i="15"/>
  <c r="V1894" i="15"/>
  <c r="N1894" i="15"/>
  <c r="O1894" i="15"/>
  <c r="J1894" i="15"/>
  <c r="AD1893" i="15"/>
  <c r="AC1893" i="15"/>
  <c r="AB1893" i="15"/>
  <c r="AA1893" i="15"/>
  <c r="Z1893" i="15"/>
  <c r="V1893" i="15"/>
  <c r="N1893" i="15"/>
  <c r="AD1892" i="15"/>
  <c r="AC1892" i="15"/>
  <c r="AB1892" i="15"/>
  <c r="AA1892" i="15"/>
  <c r="Z1892" i="15"/>
  <c r="AD1891" i="15"/>
  <c r="AC1891" i="15"/>
  <c r="AB1891" i="15"/>
  <c r="AA1891" i="15"/>
  <c r="Z1891" i="15"/>
  <c r="V1891" i="15"/>
  <c r="N1891" i="15"/>
  <c r="M1891" i="15"/>
  <c r="AD1890" i="15"/>
  <c r="AC1890" i="15"/>
  <c r="AB1890" i="15"/>
  <c r="AA1890" i="15"/>
  <c r="Z1890" i="15"/>
  <c r="V1890" i="15"/>
  <c r="N1890" i="15"/>
  <c r="M1890" i="15"/>
  <c r="AD1889" i="15"/>
  <c r="AC1889" i="15"/>
  <c r="AB1889" i="15"/>
  <c r="AA1889" i="15"/>
  <c r="Z1889" i="15"/>
  <c r="V1889" i="15"/>
  <c r="N1889" i="15"/>
  <c r="M1889" i="15"/>
  <c r="AD1888" i="15"/>
  <c r="AC1888" i="15"/>
  <c r="AB1888" i="15"/>
  <c r="AA1888" i="15"/>
  <c r="Z1888" i="15"/>
  <c r="V1888" i="15"/>
  <c r="N1888" i="15"/>
  <c r="M1888" i="15"/>
  <c r="AD1887" i="15"/>
  <c r="AC1887" i="15"/>
  <c r="AB1887" i="15"/>
  <c r="AA1887" i="15"/>
  <c r="Z1887" i="15"/>
  <c r="V1887" i="15"/>
  <c r="N1887" i="15"/>
  <c r="M1887" i="15"/>
  <c r="AD1886" i="15"/>
  <c r="AC1886" i="15"/>
  <c r="AB1886" i="15"/>
  <c r="AA1886" i="15"/>
  <c r="Z1886" i="15"/>
  <c r="AD1885" i="15"/>
  <c r="AC1885" i="15"/>
  <c r="AB1885" i="15"/>
  <c r="AA1885" i="15"/>
  <c r="Z1885" i="15"/>
  <c r="V1885" i="15"/>
  <c r="N1885" i="15"/>
  <c r="M1885" i="15"/>
  <c r="AD1884" i="15"/>
  <c r="AC1884" i="15"/>
  <c r="AB1884" i="15"/>
  <c r="AA1884" i="15"/>
  <c r="Z1884" i="15"/>
  <c r="V1884" i="15"/>
  <c r="N1884" i="15"/>
  <c r="M1884" i="15"/>
  <c r="AD1883" i="15"/>
  <c r="AC1883" i="15"/>
  <c r="AB1883" i="15"/>
  <c r="AA1883" i="15"/>
  <c r="Z1883" i="15"/>
  <c r="V1883" i="15"/>
  <c r="N1883" i="15"/>
  <c r="M1883" i="15"/>
  <c r="AD1882" i="15"/>
  <c r="AC1882" i="15"/>
  <c r="AB1882" i="15"/>
  <c r="AA1882" i="15"/>
  <c r="Z1882" i="15"/>
  <c r="AD1881" i="15"/>
  <c r="AC1881" i="15"/>
  <c r="AB1881" i="15"/>
  <c r="AA1881" i="15"/>
  <c r="Z1881" i="15"/>
  <c r="AD1880" i="15"/>
  <c r="AC1880" i="15"/>
  <c r="AB1880" i="15"/>
  <c r="AA1880" i="15"/>
  <c r="Z1880" i="15"/>
  <c r="V1880" i="15"/>
  <c r="N1880" i="15"/>
  <c r="M1880" i="15"/>
  <c r="AD1879" i="15"/>
  <c r="AC1879" i="15"/>
  <c r="AB1879" i="15"/>
  <c r="AA1879" i="15"/>
  <c r="Z1879" i="15"/>
  <c r="V1879" i="15"/>
  <c r="N1879" i="15"/>
  <c r="M1879" i="15"/>
  <c r="AD1878" i="15"/>
  <c r="AC1878" i="15"/>
  <c r="AB1878" i="15"/>
  <c r="AA1878" i="15"/>
  <c r="Z1878" i="15"/>
  <c r="AD1877" i="15"/>
  <c r="AC1877" i="15"/>
  <c r="AB1877" i="15"/>
  <c r="AA1877" i="15"/>
  <c r="Z1877" i="15"/>
  <c r="V1877" i="15"/>
  <c r="N1877" i="15"/>
  <c r="R1877" i="15"/>
  <c r="J1877" i="15"/>
  <c r="M1877" i="15"/>
  <c r="AD1876" i="15"/>
  <c r="AC1876" i="15"/>
  <c r="AB1876" i="15"/>
  <c r="AA1876" i="15"/>
  <c r="Z1876" i="15"/>
  <c r="V1876" i="15"/>
  <c r="N1876" i="15"/>
  <c r="J1876" i="15"/>
  <c r="M1876" i="15"/>
  <c r="AD1875" i="15"/>
  <c r="AC1875" i="15"/>
  <c r="AB1875" i="15"/>
  <c r="AA1875" i="15"/>
  <c r="Z1875" i="15"/>
  <c r="AD1874" i="15"/>
  <c r="AC1874" i="15"/>
  <c r="AB1874" i="15"/>
  <c r="AA1874" i="15"/>
  <c r="Z1874" i="15"/>
  <c r="V1874" i="15"/>
  <c r="N1874" i="15"/>
  <c r="R1874" i="15"/>
  <c r="J1874" i="15"/>
  <c r="M1874" i="15"/>
  <c r="AD1873" i="15"/>
  <c r="AC1873" i="15"/>
  <c r="AB1873" i="15"/>
  <c r="AA1873" i="15"/>
  <c r="Z1873" i="15"/>
  <c r="V1873" i="15"/>
  <c r="N1873" i="15"/>
  <c r="M1873" i="15"/>
  <c r="AD1872" i="15"/>
  <c r="AC1872" i="15"/>
  <c r="AB1872" i="15"/>
  <c r="AA1872" i="15"/>
  <c r="Z1872" i="15"/>
  <c r="V1872" i="15"/>
  <c r="N1872" i="15"/>
  <c r="R1872" i="15"/>
  <c r="J1872" i="15"/>
  <c r="M1872" i="15"/>
  <c r="AD1871" i="15"/>
  <c r="AC1871" i="15"/>
  <c r="AB1871" i="15"/>
  <c r="AA1871" i="15"/>
  <c r="Z1871" i="15"/>
  <c r="V1871" i="15"/>
  <c r="N1871" i="15"/>
  <c r="M1871" i="15"/>
  <c r="AD1870" i="15"/>
  <c r="AC1870" i="15"/>
  <c r="AB1870" i="15"/>
  <c r="AA1870" i="15"/>
  <c r="Z1870" i="15"/>
  <c r="V1870" i="15"/>
  <c r="N1870" i="15"/>
  <c r="M1870" i="15"/>
  <c r="AD1869" i="15"/>
  <c r="AC1869" i="15"/>
  <c r="AB1869" i="15"/>
  <c r="AA1869" i="15"/>
  <c r="Z1869" i="15"/>
  <c r="V1869" i="15"/>
  <c r="N1869" i="15"/>
  <c r="M1869" i="15"/>
  <c r="AD1868" i="15"/>
  <c r="AC1868" i="15"/>
  <c r="AB1868" i="15"/>
  <c r="AA1868" i="15"/>
  <c r="Z1868" i="15"/>
  <c r="V1868" i="15"/>
  <c r="N1868" i="15"/>
  <c r="M1868" i="15"/>
  <c r="AD1867" i="15"/>
  <c r="AC1867" i="15"/>
  <c r="AB1867" i="15"/>
  <c r="AA1867" i="15"/>
  <c r="Z1867" i="15"/>
  <c r="AD1866" i="15"/>
  <c r="AC1866" i="15"/>
  <c r="AB1866" i="15"/>
  <c r="AA1866" i="15"/>
  <c r="Z1866" i="15"/>
  <c r="V1866" i="15"/>
  <c r="N1866" i="15"/>
  <c r="M1866" i="15"/>
  <c r="AD1865" i="15"/>
  <c r="AC1865" i="15"/>
  <c r="AB1865" i="15"/>
  <c r="AA1865" i="15"/>
  <c r="Z1865" i="15"/>
  <c r="V1865" i="15"/>
  <c r="N1865" i="15"/>
  <c r="O1865" i="15"/>
  <c r="J1865" i="15"/>
  <c r="AD1864" i="15"/>
  <c r="AC1864" i="15"/>
  <c r="AB1864" i="15"/>
  <c r="AA1864" i="15"/>
  <c r="Z1864" i="15"/>
  <c r="V1864" i="15"/>
  <c r="N1864" i="15"/>
  <c r="R1864" i="15"/>
  <c r="J1864" i="15"/>
  <c r="M1864" i="15"/>
  <c r="AD1863" i="15"/>
  <c r="AC1863" i="15"/>
  <c r="AB1863" i="15"/>
  <c r="AA1863" i="15"/>
  <c r="Z1863" i="15"/>
  <c r="V1863" i="15"/>
  <c r="N1863" i="15"/>
  <c r="M1863" i="15"/>
  <c r="AD1862" i="15"/>
  <c r="AC1862" i="15"/>
  <c r="AB1862" i="15"/>
  <c r="AA1862" i="15"/>
  <c r="Z1862" i="15"/>
  <c r="AD1861" i="15"/>
  <c r="AC1861" i="15"/>
  <c r="AB1861" i="15"/>
  <c r="AA1861" i="15"/>
  <c r="Z1861" i="15"/>
  <c r="AD1860" i="15"/>
  <c r="AC1860" i="15"/>
  <c r="AB1860" i="15"/>
  <c r="AA1860" i="15"/>
  <c r="Z1860" i="15"/>
  <c r="AD1859" i="15"/>
  <c r="AC1859" i="15"/>
  <c r="AB1859" i="15"/>
  <c r="AA1859" i="15"/>
  <c r="Z1859" i="15"/>
  <c r="V1859" i="15"/>
  <c r="N1859" i="15"/>
  <c r="M1859" i="15"/>
  <c r="AD1858" i="15"/>
  <c r="AC1858" i="15"/>
  <c r="AB1858" i="15"/>
  <c r="AA1858" i="15"/>
  <c r="Z1858" i="15"/>
  <c r="V1858" i="15"/>
  <c r="N1858" i="15"/>
  <c r="O1858" i="15"/>
  <c r="M1858" i="15"/>
  <c r="AD1857" i="15"/>
  <c r="AC1857" i="15"/>
  <c r="AB1857" i="15"/>
  <c r="AA1857" i="15"/>
  <c r="Z1857" i="15"/>
  <c r="V1857" i="15"/>
  <c r="N1857" i="15"/>
  <c r="R1857" i="15"/>
  <c r="M1857" i="15"/>
  <c r="AD1856" i="15"/>
  <c r="AC1856" i="15"/>
  <c r="AB1856" i="15"/>
  <c r="AA1856" i="15"/>
  <c r="Z1856" i="15"/>
  <c r="V1856" i="15"/>
  <c r="N1856" i="15"/>
  <c r="R1856" i="15"/>
  <c r="M1856" i="15"/>
  <c r="AD1855" i="15"/>
  <c r="AC1855" i="15"/>
  <c r="AB1855" i="15"/>
  <c r="AA1855" i="15"/>
  <c r="Z1855" i="15"/>
  <c r="AD1854" i="15"/>
  <c r="AC1854" i="15"/>
  <c r="AB1854" i="15"/>
  <c r="AA1854" i="15"/>
  <c r="Z1854" i="15"/>
  <c r="V1854" i="15"/>
  <c r="N1854" i="15"/>
  <c r="O1854" i="15"/>
  <c r="L1854" i="15"/>
  <c r="M1854" i="15"/>
  <c r="AD1853" i="15"/>
  <c r="AC1853" i="15"/>
  <c r="AB1853" i="15"/>
  <c r="AA1853" i="15"/>
  <c r="Z1853" i="15"/>
  <c r="V1853" i="15"/>
  <c r="N1853" i="15"/>
  <c r="R1853" i="15"/>
  <c r="M1853" i="15"/>
  <c r="AD1852" i="15"/>
  <c r="AC1852" i="15"/>
  <c r="AB1852" i="15"/>
  <c r="AA1852" i="15"/>
  <c r="Z1852" i="15"/>
  <c r="V1852" i="15"/>
  <c r="N1852" i="15"/>
  <c r="M1852" i="15"/>
  <c r="AD1851" i="15"/>
  <c r="AC1851" i="15"/>
  <c r="AB1851" i="15"/>
  <c r="AA1851" i="15"/>
  <c r="Z1851" i="15"/>
  <c r="V1851" i="15"/>
  <c r="N1851" i="15"/>
  <c r="M1851" i="15"/>
  <c r="AD1850" i="15"/>
  <c r="AC1850" i="15"/>
  <c r="AB1850" i="15"/>
  <c r="AA1850" i="15"/>
  <c r="Z1850" i="15"/>
  <c r="V1850" i="15"/>
  <c r="N1850" i="15"/>
  <c r="M1850" i="15"/>
  <c r="AD1849" i="15"/>
  <c r="AC1849" i="15"/>
  <c r="AB1849" i="15"/>
  <c r="AA1849" i="15"/>
  <c r="Z1849" i="15"/>
  <c r="V1849" i="15"/>
  <c r="N1849" i="15"/>
  <c r="M1849" i="15"/>
  <c r="AD1848" i="15"/>
  <c r="AC1848" i="15"/>
  <c r="AB1848" i="15"/>
  <c r="AA1848" i="15"/>
  <c r="Z1848" i="15"/>
  <c r="V1848" i="15"/>
  <c r="N1848" i="15"/>
  <c r="M1848" i="15"/>
  <c r="AD1847" i="15"/>
  <c r="AC1847" i="15"/>
  <c r="AB1847" i="15"/>
  <c r="AA1847" i="15"/>
  <c r="Z1847" i="15"/>
  <c r="V1847" i="15"/>
  <c r="N1847" i="15"/>
  <c r="L1847" i="15"/>
  <c r="K1847" i="15"/>
  <c r="J1847" i="15"/>
  <c r="AD1846" i="15"/>
  <c r="AC1846" i="15"/>
  <c r="AB1846" i="15"/>
  <c r="AA1846" i="15"/>
  <c r="Z1846" i="15"/>
  <c r="AD1845" i="15"/>
  <c r="AC1845" i="15"/>
  <c r="AB1845" i="15"/>
  <c r="AA1845" i="15"/>
  <c r="Z1845" i="15"/>
  <c r="V1845" i="15"/>
  <c r="N1845" i="15"/>
  <c r="O1845" i="15"/>
  <c r="M1845" i="15"/>
  <c r="AD1844" i="15"/>
  <c r="AC1844" i="15"/>
  <c r="AB1844" i="15"/>
  <c r="AA1844" i="15"/>
  <c r="Z1844" i="15"/>
  <c r="V1844" i="15"/>
  <c r="N1844" i="15"/>
  <c r="P1844" i="15"/>
  <c r="M1844" i="15"/>
  <c r="AD1843" i="15"/>
  <c r="AC1843" i="15"/>
  <c r="AB1843" i="15"/>
  <c r="AA1843" i="15"/>
  <c r="Z1843" i="15"/>
  <c r="V1843" i="15"/>
  <c r="N1843" i="15"/>
  <c r="R1843" i="15"/>
  <c r="M1843" i="15"/>
  <c r="AD1842" i="15"/>
  <c r="AC1842" i="15"/>
  <c r="AB1842" i="15"/>
  <c r="AA1842" i="15"/>
  <c r="Z1842" i="15"/>
  <c r="V1842" i="15"/>
  <c r="N1842" i="15"/>
  <c r="R1842" i="15"/>
  <c r="M1842" i="15"/>
  <c r="AD1841" i="15"/>
  <c r="AC1841" i="15"/>
  <c r="AB1841" i="15"/>
  <c r="AA1841" i="15"/>
  <c r="Z1841" i="15"/>
  <c r="V1841" i="15"/>
  <c r="N1841" i="15"/>
  <c r="P1841" i="15"/>
  <c r="M1841" i="15"/>
  <c r="AD1840" i="15"/>
  <c r="AC1840" i="15"/>
  <c r="AB1840" i="15"/>
  <c r="AA1840" i="15"/>
  <c r="Z1840" i="15"/>
  <c r="V1840" i="15"/>
  <c r="N1840" i="15"/>
  <c r="P1840" i="15"/>
  <c r="M1840" i="15"/>
  <c r="AD1839" i="15"/>
  <c r="AC1839" i="15"/>
  <c r="AB1839" i="15"/>
  <c r="AA1839" i="15"/>
  <c r="Z1839" i="15"/>
  <c r="V1839" i="15"/>
  <c r="N1839" i="15"/>
  <c r="M1839" i="15"/>
  <c r="AD1838" i="15"/>
  <c r="AC1838" i="15"/>
  <c r="AB1838" i="15"/>
  <c r="AA1838" i="15"/>
  <c r="Z1838" i="15"/>
  <c r="V1838" i="15"/>
  <c r="N1838" i="15"/>
  <c r="M1838" i="15"/>
  <c r="AD1837" i="15"/>
  <c r="AC1837" i="15"/>
  <c r="AB1837" i="15"/>
  <c r="AA1837" i="15"/>
  <c r="Z1837" i="15"/>
  <c r="V1837" i="15"/>
  <c r="N1837" i="15"/>
  <c r="R1837" i="15"/>
  <c r="M1837" i="15"/>
  <c r="AD1836" i="15"/>
  <c r="AC1836" i="15"/>
  <c r="AB1836" i="15"/>
  <c r="AA1836" i="15"/>
  <c r="Z1836" i="15"/>
  <c r="V1836" i="15"/>
  <c r="N1836" i="15"/>
  <c r="M1836" i="15"/>
  <c r="AD1835" i="15"/>
  <c r="AC1835" i="15"/>
  <c r="AB1835" i="15"/>
  <c r="AA1835" i="15"/>
  <c r="Z1835" i="15"/>
  <c r="AD1834" i="15"/>
  <c r="AC1834" i="15"/>
  <c r="AB1834" i="15"/>
  <c r="AA1834" i="15"/>
  <c r="Z1834" i="15"/>
  <c r="V1834" i="15"/>
  <c r="N1834" i="15"/>
  <c r="M1834" i="15"/>
  <c r="AD1833" i="15"/>
  <c r="AC1833" i="15"/>
  <c r="AB1833" i="15"/>
  <c r="AA1833" i="15"/>
  <c r="Z1833" i="15"/>
  <c r="V1833" i="15"/>
  <c r="N1833" i="15"/>
  <c r="M1833" i="15"/>
  <c r="AD1832" i="15"/>
  <c r="AC1832" i="15"/>
  <c r="AB1832" i="15"/>
  <c r="AA1832" i="15"/>
  <c r="Z1832" i="15"/>
  <c r="AD1831" i="15"/>
  <c r="AC1831" i="15"/>
  <c r="AB1831" i="15"/>
  <c r="AA1831" i="15"/>
  <c r="Z1831" i="15"/>
  <c r="AD1830" i="15"/>
  <c r="AC1830" i="15"/>
  <c r="AB1830" i="15"/>
  <c r="AA1830" i="15"/>
  <c r="Z1830" i="15"/>
  <c r="V1830" i="15"/>
  <c r="N1830" i="15"/>
  <c r="AD1829" i="15"/>
  <c r="AC1829" i="15"/>
  <c r="AB1829" i="15"/>
  <c r="AA1829" i="15"/>
  <c r="Z1829" i="15"/>
  <c r="V1829" i="15"/>
  <c r="N1829" i="15"/>
  <c r="AD1828" i="15"/>
  <c r="AC1828" i="15"/>
  <c r="AB1828" i="15"/>
  <c r="AA1828" i="15"/>
  <c r="Z1828" i="15"/>
  <c r="V1828" i="15"/>
  <c r="N1828" i="15"/>
  <c r="AD1827" i="15"/>
  <c r="AC1827" i="15"/>
  <c r="AB1827" i="15"/>
  <c r="AA1827" i="15"/>
  <c r="Z1827" i="15"/>
  <c r="AD1826" i="15"/>
  <c r="AC1826" i="15"/>
  <c r="AB1826" i="15"/>
  <c r="AA1826" i="15"/>
  <c r="Z1826" i="15"/>
  <c r="V1826" i="15"/>
  <c r="N1826" i="15"/>
  <c r="L1826" i="15"/>
  <c r="K1826" i="15"/>
  <c r="J1826" i="15"/>
  <c r="AD1825" i="15"/>
  <c r="AC1825" i="15"/>
  <c r="AB1825" i="15"/>
  <c r="AA1825" i="15"/>
  <c r="Z1825" i="15"/>
  <c r="V1825" i="15"/>
  <c r="N1825" i="15"/>
  <c r="L1825" i="15"/>
  <c r="K1825" i="15"/>
  <c r="J1825" i="15"/>
  <c r="AD1824" i="15"/>
  <c r="AC1824" i="15"/>
  <c r="AB1824" i="15"/>
  <c r="AA1824" i="15"/>
  <c r="Z1824" i="15"/>
  <c r="V1824" i="15"/>
  <c r="N1824" i="15"/>
  <c r="M1824" i="15"/>
  <c r="AD1823" i="15"/>
  <c r="AC1823" i="15"/>
  <c r="AB1823" i="15"/>
  <c r="AA1823" i="15"/>
  <c r="Z1823" i="15"/>
  <c r="V1823" i="15"/>
  <c r="N1823" i="15"/>
  <c r="R1823" i="15"/>
  <c r="M1823" i="15"/>
  <c r="AD1822" i="15"/>
  <c r="AC1822" i="15"/>
  <c r="AB1822" i="15"/>
  <c r="AA1822" i="15"/>
  <c r="Z1822" i="15"/>
  <c r="V1822" i="15"/>
  <c r="N1822" i="15"/>
  <c r="O1822" i="15"/>
  <c r="L1822" i="15"/>
  <c r="K1822" i="15"/>
  <c r="J1822" i="15"/>
  <c r="AD1821" i="15"/>
  <c r="AC1821" i="15"/>
  <c r="AB1821" i="15"/>
  <c r="AA1821" i="15"/>
  <c r="Z1821" i="15"/>
  <c r="V1821" i="15"/>
  <c r="N1821" i="15"/>
  <c r="O1821" i="15"/>
  <c r="M1821" i="15"/>
  <c r="AD1820" i="15"/>
  <c r="AC1820" i="15"/>
  <c r="AB1820" i="15"/>
  <c r="AA1820" i="15"/>
  <c r="Z1820" i="15"/>
  <c r="V1820" i="15"/>
  <c r="N1820" i="15"/>
  <c r="L1820" i="15"/>
  <c r="K1820" i="15"/>
  <c r="J1820" i="15"/>
  <c r="AD1819" i="15"/>
  <c r="AC1819" i="15"/>
  <c r="AB1819" i="15"/>
  <c r="AA1819" i="15"/>
  <c r="Z1819" i="15"/>
  <c r="V1819" i="15"/>
  <c r="N1819" i="15"/>
  <c r="O1819" i="15"/>
  <c r="M1819" i="15"/>
  <c r="AD1818" i="15"/>
  <c r="AC1818" i="15"/>
  <c r="AB1818" i="15"/>
  <c r="AA1818" i="15"/>
  <c r="Z1818" i="15"/>
  <c r="V1818" i="15"/>
  <c r="N1818" i="15"/>
  <c r="L1818" i="15"/>
  <c r="K1818" i="15"/>
  <c r="J1818" i="15"/>
  <c r="AD1817" i="15"/>
  <c r="AC1817" i="15"/>
  <c r="AB1817" i="15"/>
  <c r="AA1817" i="15"/>
  <c r="Z1817" i="15"/>
  <c r="V1817" i="15"/>
  <c r="N1817" i="15"/>
  <c r="L1817" i="15"/>
  <c r="R1817" i="15"/>
  <c r="K1817" i="15"/>
  <c r="J1817" i="15"/>
  <c r="AD1816" i="15"/>
  <c r="AC1816" i="15"/>
  <c r="AB1816" i="15"/>
  <c r="AA1816" i="15"/>
  <c r="Z1816" i="15"/>
  <c r="V1816" i="15"/>
  <c r="N1816" i="15"/>
  <c r="R1816" i="15"/>
  <c r="J1816" i="15"/>
  <c r="M1816" i="15"/>
  <c r="AD1815" i="15"/>
  <c r="AC1815" i="15"/>
  <c r="AB1815" i="15"/>
  <c r="AA1815" i="15"/>
  <c r="Z1815" i="15"/>
  <c r="V1815" i="15"/>
  <c r="N1815" i="15"/>
  <c r="R1815" i="15"/>
  <c r="M1815" i="15"/>
  <c r="AD1814" i="15"/>
  <c r="AC1814" i="15"/>
  <c r="AB1814" i="15"/>
  <c r="AA1814" i="15"/>
  <c r="Z1814" i="15"/>
  <c r="AD1813" i="15"/>
  <c r="AC1813" i="15"/>
  <c r="AB1813" i="15"/>
  <c r="AA1813" i="15"/>
  <c r="Z1813" i="15"/>
  <c r="V1813" i="15"/>
  <c r="N1813" i="15"/>
  <c r="M1813" i="15"/>
  <c r="AD1812" i="15"/>
  <c r="AC1812" i="15"/>
  <c r="AB1812" i="15"/>
  <c r="AA1812" i="15"/>
  <c r="Z1812" i="15"/>
  <c r="V1812" i="15"/>
  <c r="N1812" i="15"/>
  <c r="J1812" i="15"/>
  <c r="M1812" i="15"/>
  <c r="AD1811" i="15"/>
  <c r="AC1811" i="15"/>
  <c r="AB1811" i="15"/>
  <c r="AA1811" i="15"/>
  <c r="Z1811" i="15"/>
  <c r="AD1810" i="15"/>
  <c r="AC1810" i="15"/>
  <c r="AB1810" i="15"/>
  <c r="AA1810" i="15"/>
  <c r="Z1810" i="15"/>
  <c r="V1810" i="15"/>
  <c r="N1810" i="15"/>
  <c r="O1810" i="15"/>
  <c r="J1810" i="15"/>
  <c r="M1810" i="15"/>
  <c r="AD1809" i="15"/>
  <c r="AC1809" i="15"/>
  <c r="AB1809" i="15"/>
  <c r="AA1809" i="15"/>
  <c r="Z1809" i="15"/>
  <c r="V1809" i="15"/>
  <c r="N1809" i="15"/>
  <c r="Q1809" i="15"/>
  <c r="J1809" i="15"/>
  <c r="M1809" i="15"/>
  <c r="AD1808" i="15"/>
  <c r="AC1808" i="15"/>
  <c r="AB1808" i="15"/>
  <c r="AA1808" i="15"/>
  <c r="Z1808" i="15"/>
  <c r="V1808" i="15"/>
  <c r="N1808" i="15"/>
  <c r="M1808" i="15"/>
  <c r="AD1807" i="15"/>
  <c r="AC1807" i="15"/>
  <c r="AB1807" i="15"/>
  <c r="AA1807" i="15"/>
  <c r="Z1807" i="15"/>
  <c r="AD1806" i="15"/>
  <c r="AC1806" i="15"/>
  <c r="AB1806" i="15"/>
  <c r="AA1806" i="15"/>
  <c r="Z1806" i="15"/>
  <c r="AD1805" i="15"/>
  <c r="AC1805" i="15"/>
  <c r="AB1805" i="15"/>
  <c r="AA1805" i="15"/>
  <c r="Z1805" i="15"/>
  <c r="AD1804" i="15"/>
  <c r="AC1804" i="15"/>
  <c r="AB1804" i="15"/>
  <c r="AA1804" i="15"/>
  <c r="Z1804" i="15"/>
  <c r="V1804" i="15"/>
  <c r="N1804" i="15"/>
  <c r="R1804" i="15"/>
  <c r="M1804" i="15"/>
  <c r="AD1803" i="15"/>
  <c r="AC1803" i="15"/>
  <c r="AB1803" i="15"/>
  <c r="AA1803" i="15"/>
  <c r="Z1803" i="15"/>
  <c r="V1803" i="15"/>
  <c r="N1803" i="15"/>
  <c r="Q1803" i="15"/>
  <c r="M1803" i="15"/>
  <c r="AD1802" i="15"/>
  <c r="AC1802" i="15"/>
  <c r="AB1802" i="15"/>
  <c r="AA1802" i="15"/>
  <c r="Z1802" i="15"/>
  <c r="V1802" i="15"/>
  <c r="N1802" i="15"/>
  <c r="M1802" i="15"/>
  <c r="AD1801" i="15"/>
  <c r="AC1801" i="15"/>
  <c r="AB1801" i="15"/>
  <c r="AA1801" i="15"/>
  <c r="Z1801" i="15"/>
  <c r="AD1800" i="15"/>
  <c r="AC1800" i="15"/>
  <c r="AB1800" i="15"/>
  <c r="AA1800" i="15"/>
  <c r="Z1800" i="15"/>
  <c r="V1800" i="15"/>
  <c r="N1800" i="15"/>
  <c r="L1800" i="15"/>
  <c r="K1800" i="15"/>
  <c r="J1800" i="15"/>
  <c r="AD1799" i="15"/>
  <c r="AC1799" i="15"/>
  <c r="AB1799" i="15"/>
  <c r="AA1799" i="15"/>
  <c r="Z1799" i="15"/>
  <c r="AD1798" i="15"/>
  <c r="AC1798" i="15"/>
  <c r="AB1798" i="15"/>
  <c r="AA1798" i="15"/>
  <c r="Z1798" i="15"/>
  <c r="V1798" i="15"/>
  <c r="N1798" i="15"/>
  <c r="R1798" i="15"/>
  <c r="M1798" i="15"/>
  <c r="AD1797" i="15"/>
  <c r="AC1797" i="15"/>
  <c r="AB1797" i="15"/>
  <c r="AA1797" i="15"/>
  <c r="Z1797" i="15"/>
  <c r="V1797" i="15"/>
  <c r="N1797" i="15"/>
  <c r="M1797" i="15"/>
  <c r="AD1796" i="15"/>
  <c r="AC1796" i="15"/>
  <c r="AB1796" i="15"/>
  <c r="AA1796" i="15"/>
  <c r="Z1796" i="15"/>
  <c r="V1796" i="15"/>
  <c r="N1796" i="15"/>
  <c r="M1796" i="15"/>
  <c r="AD1795" i="15"/>
  <c r="AC1795" i="15"/>
  <c r="AB1795" i="15"/>
  <c r="AA1795" i="15"/>
  <c r="Z1795" i="15"/>
  <c r="V1795" i="15"/>
  <c r="N1795" i="15"/>
  <c r="R1795" i="15"/>
  <c r="M1795" i="15"/>
  <c r="AD1794" i="15"/>
  <c r="AC1794" i="15"/>
  <c r="AB1794" i="15"/>
  <c r="AA1794" i="15"/>
  <c r="Z1794" i="15"/>
  <c r="V1794" i="15"/>
  <c r="N1794" i="15"/>
  <c r="R1794" i="15"/>
  <c r="M1794" i="15"/>
  <c r="AD1793" i="15"/>
  <c r="AC1793" i="15"/>
  <c r="AB1793" i="15"/>
  <c r="AA1793" i="15"/>
  <c r="Z1793" i="15"/>
  <c r="V1793" i="15"/>
  <c r="N1793" i="15"/>
  <c r="M1793" i="15"/>
  <c r="AD1792" i="15"/>
  <c r="AC1792" i="15"/>
  <c r="AB1792" i="15"/>
  <c r="AA1792" i="15"/>
  <c r="Z1792" i="15"/>
  <c r="V1792" i="15"/>
  <c r="N1792" i="15"/>
  <c r="M1792" i="15"/>
  <c r="AD1791" i="15"/>
  <c r="AC1791" i="15"/>
  <c r="AB1791" i="15"/>
  <c r="AA1791" i="15"/>
  <c r="Z1791" i="15"/>
  <c r="V1791" i="15"/>
  <c r="N1791" i="15"/>
  <c r="M1791" i="15"/>
  <c r="AD1790" i="15"/>
  <c r="AC1790" i="15"/>
  <c r="AB1790" i="15"/>
  <c r="AA1790" i="15"/>
  <c r="Z1790" i="15"/>
  <c r="V1790" i="15"/>
  <c r="N1790" i="15"/>
  <c r="R1790" i="15"/>
  <c r="M1790" i="15"/>
  <c r="AD1789" i="15"/>
  <c r="AC1789" i="15"/>
  <c r="AB1789" i="15"/>
  <c r="AA1789" i="15"/>
  <c r="Z1789" i="15"/>
  <c r="AD1788" i="15"/>
  <c r="AC1788" i="15"/>
  <c r="AB1788" i="15"/>
  <c r="AA1788" i="15"/>
  <c r="Z1788" i="15"/>
  <c r="V1788" i="15"/>
  <c r="N1788" i="15"/>
  <c r="M1788" i="15"/>
  <c r="AD1787" i="15"/>
  <c r="AC1787" i="15"/>
  <c r="AB1787" i="15"/>
  <c r="AA1787" i="15"/>
  <c r="Z1787" i="15"/>
  <c r="V1787" i="15"/>
  <c r="N1787" i="15"/>
  <c r="L1787" i="15"/>
  <c r="M1787" i="15"/>
  <c r="AD1786" i="15"/>
  <c r="AC1786" i="15"/>
  <c r="AB1786" i="15"/>
  <c r="AA1786" i="15"/>
  <c r="Z1786" i="15"/>
  <c r="V1786" i="15"/>
  <c r="N1786" i="15"/>
  <c r="O1786" i="15"/>
  <c r="M1786" i="15"/>
  <c r="AD1785" i="15"/>
  <c r="AC1785" i="15"/>
  <c r="AB1785" i="15"/>
  <c r="AA1785" i="15"/>
  <c r="Z1785" i="15"/>
  <c r="AD1784" i="15"/>
  <c r="AC1784" i="15"/>
  <c r="AB1784" i="15"/>
  <c r="AA1784" i="15"/>
  <c r="Z1784" i="15"/>
  <c r="AD1783" i="15"/>
  <c r="AC1783" i="15"/>
  <c r="AB1783" i="15"/>
  <c r="AA1783" i="15"/>
  <c r="Z1783" i="15"/>
  <c r="V1783" i="15"/>
  <c r="N1783" i="15"/>
  <c r="J1783" i="15"/>
  <c r="K1783" i="15"/>
  <c r="L1783" i="15"/>
  <c r="M1783" i="15"/>
  <c r="AD1782" i="15"/>
  <c r="AC1782" i="15"/>
  <c r="AB1782" i="15"/>
  <c r="AA1782" i="15"/>
  <c r="Z1782" i="15"/>
  <c r="V1782" i="15"/>
  <c r="N1782" i="15"/>
  <c r="L1782" i="15"/>
  <c r="K1782" i="15"/>
  <c r="J1782" i="15"/>
  <c r="M1782" i="15"/>
  <c r="AD1781" i="15"/>
  <c r="AC1781" i="15"/>
  <c r="AB1781" i="15"/>
  <c r="AA1781" i="15"/>
  <c r="Z1781" i="15"/>
  <c r="V1781" i="15"/>
  <c r="N1781" i="15"/>
  <c r="J1781" i="15"/>
  <c r="K1781" i="15"/>
  <c r="L1781" i="15"/>
  <c r="M1781" i="15"/>
  <c r="AD1780" i="15"/>
  <c r="AC1780" i="15"/>
  <c r="AB1780" i="15"/>
  <c r="AA1780" i="15"/>
  <c r="Z1780" i="15"/>
  <c r="V1780" i="15"/>
  <c r="N1780" i="15"/>
  <c r="J1780" i="15"/>
  <c r="K1780" i="15"/>
  <c r="L1780" i="15"/>
  <c r="M1780" i="15"/>
  <c r="AD1779" i="15"/>
  <c r="AC1779" i="15"/>
  <c r="AB1779" i="15"/>
  <c r="AA1779" i="15"/>
  <c r="Z1779" i="15"/>
  <c r="V1779" i="15"/>
  <c r="N1779" i="15"/>
  <c r="L1779" i="15"/>
  <c r="K1779" i="15"/>
  <c r="J1779" i="15"/>
  <c r="M1779" i="15"/>
  <c r="AD1778" i="15"/>
  <c r="AC1778" i="15"/>
  <c r="AB1778" i="15"/>
  <c r="AA1778" i="15"/>
  <c r="Z1778" i="15"/>
  <c r="V1778" i="15"/>
  <c r="N1778" i="15"/>
  <c r="L1778" i="15"/>
  <c r="J1778" i="15"/>
  <c r="K1778" i="15"/>
  <c r="M1778" i="15"/>
  <c r="AD1777" i="15"/>
  <c r="AC1777" i="15"/>
  <c r="AB1777" i="15"/>
  <c r="AA1777" i="15"/>
  <c r="Z1777" i="15"/>
  <c r="V1777" i="15"/>
  <c r="N1777" i="15"/>
  <c r="L1777" i="15"/>
  <c r="R1777" i="15"/>
  <c r="J1777" i="15"/>
  <c r="K1777" i="15"/>
  <c r="M1777" i="15"/>
  <c r="AD1776" i="15"/>
  <c r="AC1776" i="15"/>
  <c r="AB1776" i="15"/>
  <c r="AA1776" i="15"/>
  <c r="Z1776" i="15"/>
  <c r="V1776" i="15"/>
  <c r="N1776" i="15"/>
  <c r="L1776" i="15"/>
  <c r="K1776" i="15"/>
  <c r="J1776" i="15"/>
  <c r="M1776" i="15"/>
  <c r="AD1775" i="15"/>
  <c r="AC1775" i="15"/>
  <c r="AB1775" i="15"/>
  <c r="AA1775" i="15"/>
  <c r="Z1775" i="15"/>
  <c r="V1775" i="15"/>
  <c r="N1775" i="15"/>
  <c r="L1775" i="15"/>
  <c r="R1775" i="15"/>
  <c r="J1775" i="15"/>
  <c r="K1775" i="15"/>
  <c r="M1775" i="15"/>
  <c r="AD1774" i="15"/>
  <c r="AC1774" i="15"/>
  <c r="AB1774" i="15"/>
  <c r="AA1774" i="15"/>
  <c r="Z1774" i="15"/>
  <c r="AD1773" i="15"/>
  <c r="AC1773" i="15"/>
  <c r="AB1773" i="15"/>
  <c r="AA1773" i="15"/>
  <c r="Z1773" i="15"/>
  <c r="V1773" i="15"/>
  <c r="N1773" i="15"/>
  <c r="O1773" i="15"/>
  <c r="L1773" i="15"/>
  <c r="K1773" i="15"/>
  <c r="J1773" i="15"/>
  <c r="AD1772" i="15"/>
  <c r="AC1772" i="15"/>
  <c r="AB1772" i="15"/>
  <c r="AA1772" i="15"/>
  <c r="Z1772" i="15"/>
  <c r="V1772" i="15"/>
  <c r="N1772" i="15"/>
  <c r="O1772" i="15"/>
  <c r="M1772" i="15"/>
  <c r="AD1771" i="15"/>
  <c r="AC1771" i="15"/>
  <c r="AB1771" i="15"/>
  <c r="AA1771" i="15"/>
  <c r="Z1771" i="15"/>
  <c r="V1771" i="15"/>
  <c r="N1771" i="15"/>
  <c r="J1771" i="15"/>
  <c r="P1771" i="15"/>
  <c r="M1771" i="15"/>
  <c r="AD1770" i="15"/>
  <c r="AC1770" i="15"/>
  <c r="AB1770" i="15"/>
  <c r="AA1770" i="15"/>
  <c r="Z1770" i="15"/>
  <c r="AD1769" i="15"/>
  <c r="AC1769" i="15"/>
  <c r="AB1769" i="15"/>
  <c r="AA1769" i="15"/>
  <c r="Z1769" i="15"/>
  <c r="V1769" i="15"/>
  <c r="N1769" i="15"/>
  <c r="O1769" i="15"/>
  <c r="M1769" i="15"/>
  <c r="AD1768" i="15"/>
  <c r="AC1768" i="15"/>
  <c r="AB1768" i="15"/>
  <c r="AA1768" i="15"/>
  <c r="Z1768" i="15"/>
  <c r="V1768" i="15"/>
  <c r="N1768" i="15"/>
  <c r="P1768" i="15"/>
  <c r="M1768" i="15"/>
  <c r="AD1767" i="15"/>
  <c r="AC1767" i="15"/>
  <c r="AB1767" i="15"/>
  <c r="AA1767" i="15"/>
  <c r="Z1767" i="15"/>
  <c r="V1767" i="15"/>
  <c r="N1767" i="15"/>
  <c r="Q1767" i="15"/>
  <c r="M1767" i="15"/>
  <c r="AD1766" i="15"/>
  <c r="AC1766" i="15"/>
  <c r="AB1766" i="15"/>
  <c r="AA1766" i="15"/>
  <c r="Z1766" i="15"/>
  <c r="V1766" i="15"/>
  <c r="N1766" i="15"/>
  <c r="M1766" i="15"/>
  <c r="AD1765" i="15"/>
  <c r="AC1765" i="15"/>
  <c r="AB1765" i="15"/>
  <c r="AA1765" i="15"/>
  <c r="Z1765" i="15"/>
  <c r="V1765" i="15"/>
  <c r="N1765" i="15"/>
  <c r="O1765" i="15"/>
  <c r="M1765" i="15"/>
  <c r="AD1764" i="15"/>
  <c r="AC1764" i="15"/>
  <c r="AB1764" i="15"/>
  <c r="AA1764" i="15"/>
  <c r="Z1764" i="15"/>
  <c r="V1764" i="15"/>
  <c r="N1764" i="15"/>
  <c r="M1764" i="15"/>
  <c r="AD1763" i="15"/>
  <c r="AC1763" i="15"/>
  <c r="AB1763" i="15"/>
  <c r="AA1763" i="15"/>
  <c r="Z1763" i="15"/>
  <c r="V1763" i="15"/>
  <c r="N1763" i="15"/>
  <c r="Q1763" i="15"/>
  <c r="M1763" i="15"/>
  <c r="AD1762" i="15"/>
  <c r="AC1762" i="15"/>
  <c r="AB1762" i="15"/>
  <c r="AA1762" i="15"/>
  <c r="Z1762" i="15"/>
  <c r="V1762" i="15"/>
  <c r="N1762" i="15"/>
  <c r="Q1762" i="15"/>
  <c r="M1762" i="15"/>
  <c r="AD1761" i="15"/>
  <c r="AC1761" i="15"/>
  <c r="AB1761" i="15"/>
  <c r="AA1761" i="15"/>
  <c r="Z1761" i="15"/>
  <c r="V1761" i="15"/>
  <c r="N1761" i="15"/>
  <c r="Q1761" i="15"/>
  <c r="M1761" i="15"/>
  <c r="AD1760" i="15"/>
  <c r="AC1760" i="15"/>
  <c r="AB1760" i="15"/>
  <c r="AA1760" i="15"/>
  <c r="Z1760" i="15"/>
  <c r="V1760" i="15"/>
  <c r="N1760" i="15"/>
  <c r="M1760" i="15"/>
  <c r="AD1759" i="15"/>
  <c r="AC1759" i="15"/>
  <c r="AB1759" i="15"/>
  <c r="AA1759" i="15"/>
  <c r="Z1759" i="15"/>
  <c r="V1759" i="15"/>
  <c r="N1759" i="15"/>
  <c r="J1759" i="15"/>
  <c r="K1759" i="15"/>
  <c r="M1759" i="15"/>
  <c r="AD1758" i="15"/>
  <c r="AC1758" i="15"/>
  <c r="AB1758" i="15"/>
  <c r="AA1758" i="15"/>
  <c r="Z1758" i="15"/>
  <c r="V1758" i="15"/>
  <c r="N1758" i="15"/>
  <c r="Q1758" i="15"/>
  <c r="M1758" i="15"/>
  <c r="AD1757" i="15"/>
  <c r="AC1757" i="15"/>
  <c r="AB1757" i="15"/>
  <c r="AA1757" i="15"/>
  <c r="Z1757" i="15"/>
  <c r="AD1756" i="15"/>
  <c r="AC1756" i="15"/>
  <c r="AB1756" i="15"/>
  <c r="AA1756" i="15"/>
  <c r="Z1756" i="15"/>
  <c r="AD1755" i="15"/>
  <c r="AC1755" i="15"/>
  <c r="AB1755" i="15"/>
  <c r="AA1755" i="15"/>
  <c r="Z1755" i="15"/>
  <c r="V1755" i="15"/>
  <c r="N1755" i="15"/>
  <c r="L1755" i="15"/>
  <c r="M1755" i="15"/>
  <c r="AD1754" i="15"/>
  <c r="AC1754" i="15"/>
  <c r="AB1754" i="15"/>
  <c r="AA1754" i="15"/>
  <c r="Z1754" i="15"/>
  <c r="V1754" i="15"/>
  <c r="N1754" i="15"/>
  <c r="L1754" i="15"/>
  <c r="K1754" i="15"/>
  <c r="J1754" i="15"/>
  <c r="M1754" i="15"/>
  <c r="AD1753" i="15"/>
  <c r="AC1753" i="15"/>
  <c r="AB1753" i="15"/>
  <c r="AA1753" i="15"/>
  <c r="Z1753" i="15"/>
  <c r="V1753" i="15"/>
  <c r="N1753" i="15"/>
  <c r="R1753" i="15"/>
  <c r="M1753" i="15"/>
  <c r="AD1752" i="15"/>
  <c r="AC1752" i="15"/>
  <c r="AB1752" i="15"/>
  <c r="AA1752" i="15"/>
  <c r="Z1752" i="15"/>
  <c r="V1752" i="15"/>
  <c r="N1752" i="15"/>
  <c r="O1752" i="15"/>
  <c r="L1752" i="15"/>
  <c r="K1752" i="15"/>
  <c r="J1752" i="15"/>
  <c r="AD1751" i="15"/>
  <c r="AC1751" i="15"/>
  <c r="AB1751" i="15"/>
  <c r="AA1751" i="15"/>
  <c r="Z1751" i="15"/>
  <c r="V1751" i="15"/>
  <c r="N1751" i="15"/>
  <c r="O1751" i="15"/>
  <c r="M1751" i="15"/>
  <c r="AD1750" i="15"/>
  <c r="AC1750" i="15"/>
  <c r="AB1750" i="15"/>
  <c r="AA1750" i="15"/>
  <c r="Z1750" i="15"/>
  <c r="V1750" i="15"/>
  <c r="N1750" i="15"/>
  <c r="L1750" i="15"/>
  <c r="K1750" i="15"/>
  <c r="J1750" i="15"/>
  <c r="AD1749" i="15"/>
  <c r="AC1749" i="15"/>
  <c r="AB1749" i="15"/>
  <c r="AA1749" i="15"/>
  <c r="Z1749" i="15"/>
  <c r="V1749" i="15"/>
  <c r="N1749" i="15"/>
  <c r="M1749" i="15"/>
  <c r="AD1748" i="15"/>
  <c r="AC1748" i="15"/>
  <c r="AB1748" i="15"/>
  <c r="AA1748" i="15"/>
  <c r="Z1748" i="15"/>
  <c r="V1748" i="15"/>
  <c r="N1748" i="15"/>
  <c r="K1748" i="15"/>
  <c r="Q1748" i="15"/>
  <c r="L1748" i="15"/>
  <c r="J1748" i="15"/>
  <c r="M1748" i="15"/>
  <c r="AD1747" i="15"/>
  <c r="AC1747" i="15"/>
  <c r="AB1747" i="15"/>
  <c r="AA1747" i="15"/>
  <c r="Z1747" i="15"/>
  <c r="V1747" i="15"/>
  <c r="N1747" i="15"/>
  <c r="Q1747" i="15"/>
  <c r="M1747" i="15"/>
  <c r="AD1746" i="15"/>
  <c r="AC1746" i="15"/>
  <c r="AB1746" i="15"/>
  <c r="AA1746" i="15"/>
  <c r="Z1746" i="15"/>
  <c r="V1746" i="15"/>
  <c r="N1746" i="15"/>
  <c r="K1746" i="15"/>
  <c r="L1746" i="15"/>
  <c r="M1746" i="15"/>
  <c r="AD1745" i="15"/>
  <c r="AC1745" i="15"/>
  <c r="AB1745" i="15"/>
  <c r="AA1745" i="15"/>
  <c r="Z1745" i="15"/>
  <c r="V1745" i="15"/>
  <c r="N1745" i="15"/>
  <c r="M1745" i="15"/>
  <c r="AD1744" i="15"/>
  <c r="AC1744" i="15"/>
  <c r="AB1744" i="15"/>
  <c r="AA1744" i="15"/>
  <c r="Z1744" i="15"/>
  <c r="V1744" i="15"/>
  <c r="N1744" i="15"/>
  <c r="J1744" i="15"/>
  <c r="K1744" i="15"/>
  <c r="L1744" i="15"/>
  <c r="M1744" i="15"/>
  <c r="AD1743" i="15"/>
  <c r="AC1743" i="15"/>
  <c r="AB1743" i="15"/>
  <c r="AA1743" i="15"/>
  <c r="Z1743" i="15"/>
  <c r="V1743" i="15"/>
  <c r="N1743" i="15"/>
  <c r="M1743" i="15"/>
  <c r="AD1742" i="15"/>
  <c r="AC1742" i="15"/>
  <c r="AB1742" i="15"/>
  <c r="AA1742" i="15"/>
  <c r="Z1742" i="15"/>
  <c r="V1742" i="15"/>
  <c r="N1742" i="15"/>
  <c r="O1742" i="15"/>
  <c r="M1742" i="15"/>
  <c r="AD1741" i="15"/>
  <c r="AC1741" i="15"/>
  <c r="AB1741" i="15"/>
  <c r="AA1741" i="15"/>
  <c r="Z1741" i="15"/>
  <c r="V1741" i="15"/>
  <c r="N1741" i="15"/>
  <c r="P1741" i="15"/>
  <c r="M1741" i="15"/>
  <c r="AD1740" i="15"/>
  <c r="AC1740" i="15"/>
  <c r="AB1740" i="15"/>
  <c r="AA1740" i="15"/>
  <c r="Z1740" i="15"/>
  <c r="V1740" i="15"/>
  <c r="N1740" i="15"/>
  <c r="L1740" i="15"/>
  <c r="K1740" i="15"/>
  <c r="J1740" i="15"/>
  <c r="AD1739" i="15"/>
  <c r="AC1739" i="15"/>
  <c r="AB1739" i="15"/>
  <c r="AA1739" i="15"/>
  <c r="Z1739" i="15"/>
  <c r="V1739" i="15"/>
  <c r="N1739" i="15"/>
  <c r="L1739" i="15"/>
  <c r="K1739" i="15"/>
  <c r="J1739" i="15"/>
  <c r="AD1738" i="15"/>
  <c r="AC1738" i="15"/>
  <c r="AB1738" i="15"/>
  <c r="AA1738" i="15"/>
  <c r="Z1738" i="15"/>
  <c r="V1738" i="15"/>
  <c r="N1738" i="15"/>
  <c r="Q1738" i="15"/>
  <c r="M1738" i="15"/>
  <c r="AD1737" i="15"/>
  <c r="AC1737" i="15"/>
  <c r="AB1737" i="15"/>
  <c r="AA1737" i="15"/>
  <c r="Z1737" i="15"/>
  <c r="V1737" i="15"/>
  <c r="N1737" i="15"/>
  <c r="R1737" i="15"/>
  <c r="M1737" i="15"/>
  <c r="AD1736" i="15"/>
  <c r="AC1736" i="15"/>
  <c r="AB1736" i="15"/>
  <c r="AA1736" i="15"/>
  <c r="Z1736" i="15"/>
  <c r="V1736" i="15"/>
  <c r="N1736" i="15"/>
  <c r="O1736" i="15"/>
  <c r="L1736" i="15"/>
  <c r="K1736" i="15"/>
  <c r="J1736" i="15"/>
  <c r="AD1735" i="15"/>
  <c r="AC1735" i="15"/>
  <c r="AB1735" i="15"/>
  <c r="AA1735" i="15"/>
  <c r="Z1735" i="15"/>
  <c r="V1735" i="15"/>
  <c r="N1735" i="15"/>
  <c r="O1735" i="15"/>
  <c r="M1735" i="15"/>
  <c r="AD1734" i="15"/>
  <c r="AC1734" i="15"/>
  <c r="AB1734" i="15"/>
  <c r="AA1734" i="15"/>
  <c r="Z1734" i="15"/>
  <c r="V1734" i="15"/>
  <c r="N1734" i="15"/>
  <c r="J1734" i="15"/>
  <c r="P1734" i="15"/>
  <c r="K1734" i="15"/>
  <c r="AD1733" i="15"/>
  <c r="AC1733" i="15"/>
  <c r="AB1733" i="15"/>
  <c r="AA1733" i="15"/>
  <c r="Z1733" i="15"/>
  <c r="AD1732" i="15"/>
  <c r="AC1732" i="15"/>
  <c r="AB1732" i="15"/>
  <c r="AA1732" i="15"/>
  <c r="Z1732" i="15"/>
  <c r="V1732" i="15"/>
  <c r="N1732" i="15"/>
  <c r="O1732" i="15"/>
  <c r="M1732" i="15"/>
  <c r="AD1731" i="15"/>
  <c r="AC1731" i="15"/>
  <c r="AB1731" i="15"/>
  <c r="AA1731" i="15"/>
  <c r="Z1731" i="15"/>
  <c r="V1731" i="15"/>
  <c r="N1731" i="15"/>
  <c r="AD1730" i="15"/>
  <c r="AC1730" i="15"/>
  <c r="AB1730" i="15"/>
  <c r="AA1730" i="15"/>
  <c r="Z1730" i="15"/>
  <c r="V1730" i="15"/>
  <c r="N1730" i="15"/>
  <c r="O1730" i="15"/>
  <c r="L1730" i="15"/>
  <c r="J1730" i="15"/>
  <c r="M1730" i="15"/>
  <c r="AD1729" i="15"/>
  <c r="AC1729" i="15"/>
  <c r="AB1729" i="15"/>
  <c r="AA1729" i="15"/>
  <c r="Z1729" i="15"/>
  <c r="AD1728" i="15"/>
  <c r="AC1728" i="15"/>
  <c r="AB1728" i="15"/>
  <c r="AA1728" i="15"/>
  <c r="Z1728" i="15"/>
  <c r="V1728" i="15"/>
  <c r="N1728" i="15"/>
  <c r="O1728" i="15"/>
  <c r="M1728" i="15"/>
  <c r="AD1727" i="15"/>
  <c r="AC1727" i="15"/>
  <c r="AB1727" i="15"/>
  <c r="AA1727" i="15"/>
  <c r="Z1727" i="15"/>
  <c r="V1727" i="15"/>
  <c r="N1727" i="15"/>
  <c r="J1727" i="15"/>
  <c r="P1727" i="15"/>
  <c r="M1727" i="15"/>
  <c r="AD1726" i="15"/>
  <c r="AC1726" i="15"/>
  <c r="AB1726" i="15"/>
  <c r="AA1726" i="15"/>
  <c r="Z1726" i="15"/>
  <c r="AD1725" i="15"/>
  <c r="AC1725" i="15"/>
  <c r="AB1725" i="15"/>
  <c r="AA1725" i="15"/>
  <c r="Z1725" i="15"/>
  <c r="AD1724" i="15"/>
  <c r="AC1724" i="15"/>
  <c r="AB1724" i="15"/>
  <c r="AA1724" i="15"/>
  <c r="Z1724" i="15"/>
  <c r="AD1723" i="15"/>
  <c r="AC1723" i="15"/>
  <c r="AB1723" i="15"/>
  <c r="AA1723" i="15"/>
  <c r="Z1723" i="15"/>
  <c r="V1723" i="15"/>
  <c r="N1723" i="15"/>
  <c r="Q1723" i="15"/>
  <c r="M1723" i="15"/>
  <c r="AD1722" i="15"/>
  <c r="AC1722" i="15"/>
  <c r="AB1722" i="15"/>
  <c r="AA1722" i="15"/>
  <c r="Z1722" i="15"/>
  <c r="V1722" i="15"/>
  <c r="N1722" i="15"/>
  <c r="M1722" i="15"/>
  <c r="AD1721" i="15"/>
  <c r="AC1721" i="15"/>
  <c r="AB1721" i="15"/>
  <c r="AA1721" i="15"/>
  <c r="Z1721" i="15"/>
  <c r="V1721" i="15"/>
  <c r="N1721" i="15"/>
  <c r="Q1721" i="15"/>
  <c r="R1721" i="15"/>
  <c r="M1721" i="15"/>
  <c r="AD1720" i="15"/>
  <c r="AC1720" i="15"/>
  <c r="AB1720" i="15"/>
  <c r="AA1720" i="15"/>
  <c r="Z1720" i="15"/>
  <c r="V1720" i="15"/>
  <c r="N1720" i="15"/>
  <c r="O1720" i="15"/>
  <c r="M1720" i="15"/>
  <c r="AD1719" i="15"/>
  <c r="AC1719" i="15"/>
  <c r="AB1719" i="15"/>
  <c r="AA1719" i="15"/>
  <c r="Z1719" i="15"/>
  <c r="AD1718" i="15"/>
  <c r="AC1718" i="15"/>
  <c r="AB1718" i="15"/>
  <c r="AA1718" i="15"/>
  <c r="Z1718" i="15"/>
  <c r="V1718" i="15"/>
  <c r="N1718" i="15"/>
  <c r="M1718" i="15"/>
  <c r="AD1717" i="15"/>
  <c r="AC1717" i="15"/>
  <c r="AB1717" i="15"/>
  <c r="AA1717" i="15"/>
  <c r="Z1717" i="15"/>
  <c r="V1717" i="15"/>
  <c r="N1717" i="15"/>
  <c r="M1717" i="15"/>
  <c r="AD1716" i="15"/>
  <c r="AC1716" i="15"/>
  <c r="AB1716" i="15"/>
  <c r="AA1716" i="15"/>
  <c r="Z1716" i="15"/>
  <c r="V1716" i="15"/>
  <c r="N1716" i="15"/>
  <c r="P1716" i="15"/>
  <c r="M1716" i="15"/>
  <c r="AD1715" i="15"/>
  <c r="AC1715" i="15"/>
  <c r="AB1715" i="15"/>
  <c r="AA1715" i="15"/>
  <c r="Z1715" i="15"/>
  <c r="AD1714" i="15"/>
  <c r="AC1714" i="15"/>
  <c r="AB1714" i="15"/>
  <c r="AA1714" i="15"/>
  <c r="Z1714" i="15"/>
  <c r="V1714" i="15"/>
  <c r="N1714" i="15"/>
  <c r="R1714" i="15"/>
  <c r="K1714" i="15"/>
  <c r="M1714" i="15"/>
  <c r="AD1713" i="15"/>
  <c r="AC1713" i="15"/>
  <c r="AB1713" i="15"/>
  <c r="AA1713" i="15"/>
  <c r="Z1713" i="15"/>
  <c r="AD1712" i="15"/>
  <c r="AC1712" i="15"/>
  <c r="AB1712" i="15"/>
  <c r="AA1712" i="15"/>
  <c r="Z1712" i="15"/>
  <c r="V1712" i="15"/>
  <c r="N1712" i="15"/>
  <c r="Q1712" i="15"/>
  <c r="J1712" i="15"/>
  <c r="M1712" i="15"/>
  <c r="AD1711" i="15"/>
  <c r="AC1711" i="15"/>
  <c r="AB1711" i="15"/>
  <c r="AA1711" i="15"/>
  <c r="Z1711" i="15"/>
  <c r="V1711" i="15"/>
  <c r="N1711" i="15"/>
  <c r="O1711" i="15"/>
  <c r="J1711" i="15"/>
  <c r="M1711" i="15"/>
  <c r="AD1710" i="15"/>
  <c r="AC1710" i="15"/>
  <c r="AB1710" i="15"/>
  <c r="AA1710" i="15"/>
  <c r="Z1710" i="15"/>
  <c r="V1710" i="15"/>
  <c r="N1710" i="15"/>
  <c r="Q1710" i="15"/>
  <c r="J1710" i="15"/>
  <c r="M1710" i="15"/>
  <c r="AD1709" i="15"/>
  <c r="AC1709" i="15"/>
  <c r="AB1709" i="15"/>
  <c r="AA1709" i="15"/>
  <c r="Z1709" i="15"/>
  <c r="AD1708" i="15"/>
  <c r="AC1708" i="15"/>
  <c r="AB1708" i="15"/>
  <c r="AA1708" i="15"/>
  <c r="Z1708" i="15"/>
  <c r="AD1707" i="15"/>
  <c r="AC1707" i="15"/>
  <c r="AB1707" i="15"/>
  <c r="AA1707" i="15"/>
  <c r="Z1707" i="15"/>
  <c r="V1707" i="15"/>
  <c r="N1707" i="15"/>
  <c r="L1707" i="15"/>
  <c r="K1707" i="15"/>
  <c r="J1707" i="15"/>
  <c r="AD1706" i="15"/>
  <c r="AC1706" i="15"/>
  <c r="AB1706" i="15"/>
  <c r="AA1706" i="15"/>
  <c r="Z1706" i="15"/>
  <c r="AD1705" i="15"/>
  <c r="AC1705" i="15"/>
  <c r="AB1705" i="15"/>
  <c r="AA1705" i="15"/>
  <c r="Z1705" i="15"/>
  <c r="V1705" i="15"/>
  <c r="N1705" i="15"/>
  <c r="P1705" i="15"/>
  <c r="M1705" i="15"/>
  <c r="AD1704" i="15"/>
  <c r="AC1704" i="15"/>
  <c r="AB1704" i="15"/>
  <c r="AA1704" i="15"/>
  <c r="Z1704" i="15"/>
  <c r="V1704" i="15"/>
  <c r="N1704" i="15"/>
  <c r="O1704" i="15"/>
  <c r="M1704" i="15"/>
  <c r="AD1703" i="15"/>
  <c r="AC1703" i="15"/>
  <c r="AB1703" i="15"/>
  <c r="AA1703" i="15"/>
  <c r="Z1703" i="15"/>
  <c r="V1703" i="15"/>
  <c r="N1703" i="15"/>
  <c r="L1703" i="15"/>
  <c r="K1703" i="15"/>
  <c r="J1703" i="15"/>
  <c r="AD1702" i="15"/>
  <c r="AC1702" i="15"/>
  <c r="AB1702" i="15"/>
  <c r="AA1702" i="15"/>
  <c r="Z1702" i="15"/>
  <c r="V1702" i="15"/>
  <c r="N1702" i="15"/>
  <c r="J1702" i="15"/>
  <c r="P1702" i="15"/>
  <c r="L1702" i="15"/>
  <c r="K1702" i="15"/>
  <c r="AD1701" i="15"/>
  <c r="AC1701" i="15"/>
  <c r="AB1701" i="15"/>
  <c r="AA1701" i="15"/>
  <c r="Z1701" i="15"/>
  <c r="AD1700" i="15"/>
  <c r="AC1700" i="15"/>
  <c r="AB1700" i="15"/>
  <c r="AA1700" i="15"/>
  <c r="Z1700" i="15"/>
  <c r="V1700" i="15"/>
  <c r="N1700" i="15"/>
  <c r="Q1700" i="15"/>
  <c r="J1700" i="15"/>
  <c r="M1700" i="15"/>
  <c r="AD1699" i="15"/>
  <c r="AC1699" i="15"/>
  <c r="AB1699" i="15"/>
  <c r="AA1699" i="15"/>
  <c r="Z1699" i="15"/>
  <c r="AD1698" i="15"/>
  <c r="AC1698" i="15"/>
  <c r="AB1698" i="15"/>
  <c r="AA1698" i="15"/>
  <c r="Z1698" i="15"/>
  <c r="V1698" i="15"/>
  <c r="N1698" i="15"/>
  <c r="O1698" i="15"/>
  <c r="M1698" i="15"/>
  <c r="AD1697" i="15"/>
  <c r="AC1697" i="15"/>
  <c r="AB1697" i="15"/>
  <c r="AA1697" i="15"/>
  <c r="Z1697" i="15"/>
  <c r="V1697" i="15"/>
  <c r="N1697" i="15"/>
  <c r="J1697" i="15"/>
  <c r="P1697" i="15"/>
  <c r="M1697" i="15"/>
  <c r="AD1696" i="15"/>
  <c r="AC1696" i="15"/>
  <c r="AB1696" i="15"/>
  <c r="AA1696" i="15"/>
  <c r="Z1696" i="15"/>
  <c r="V1696" i="15"/>
  <c r="N1696" i="15"/>
  <c r="J1696" i="15"/>
  <c r="M1696" i="15"/>
  <c r="AD1695" i="15"/>
  <c r="AC1695" i="15"/>
  <c r="AB1695" i="15"/>
  <c r="AA1695" i="15"/>
  <c r="Z1695" i="15"/>
  <c r="V1695" i="15"/>
  <c r="N1695" i="15"/>
  <c r="J1695" i="15"/>
  <c r="M1695" i="15"/>
  <c r="AD1694" i="15"/>
  <c r="AC1694" i="15"/>
  <c r="AB1694" i="15"/>
  <c r="AA1694" i="15"/>
  <c r="Z1694" i="15"/>
  <c r="V1694" i="15"/>
  <c r="N1694" i="15"/>
  <c r="R1694" i="15"/>
  <c r="M1694" i="15"/>
  <c r="AD1693" i="15"/>
  <c r="AC1693" i="15"/>
  <c r="AB1693" i="15"/>
  <c r="AA1693" i="15"/>
  <c r="Z1693" i="15"/>
  <c r="AD1692" i="15"/>
  <c r="AC1692" i="15"/>
  <c r="AB1692" i="15"/>
  <c r="AA1692" i="15"/>
  <c r="Z1692" i="15"/>
  <c r="AD1691" i="15"/>
  <c r="AC1691" i="15"/>
  <c r="AB1691" i="15"/>
  <c r="AA1691" i="15"/>
  <c r="Z1691" i="15"/>
  <c r="V1691" i="15"/>
  <c r="N1691" i="15"/>
  <c r="P1691" i="15"/>
  <c r="M1691" i="15"/>
  <c r="AD1690" i="15"/>
  <c r="AC1690" i="15"/>
  <c r="AB1690" i="15"/>
  <c r="AA1690" i="15"/>
  <c r="Z1690" i="15"/>
  <c r="V1690" i="15"/>
  <c r="N1690" i="15"/>
  <c r="P1690" i="15"/>
  <c r="M1690" i="15"/>
  <c r="AD1689" i="15"/>
  <c r="AC1689" i="15"/>
  <c r="AB1689" i="15"/>
  <c r="AA1689" i="15"/>
  <c r="Z1689" i="15"/>
  <c r="V1689" i="15"/>
  <c r="N1689" i="15"/>
  <c r="M1689" i="15"/>
  <c r="AD1688" i="15"/>
  <c r="AC1688" i="15"/>
  <c r="AB1688" i="15"/>
  <c r="AA1688" i="15"/>
  <c r="Z1688" i="15"/>
  <c r="AD1687" i="15"/>
  <c r="AC1687" i="15"/>
  <c r="AB1687" i="15"/>
  <c r="AA1687" i="15"/>
  <c r="Z1687" i="15"/>
  <c r="V1687" i="15"/>
  <c r="N1687" i="15"/>
  <c r="K1687" i="15"/>
  <c r="M1687" i="15"/>
  <c r="AD1686" i="15"/>
  <c r="AC1686" i="15"/>
  <c r="AB1686" i="15"/>
  <c r="AA1686" i="15"/>
  <c r="Z1686" i="15"/>
  <c r="AD1685" i="15"/>
  <c r="AC1685" i="15"/>
  <c r="AB1685" i="15"/>
  <c r="AA1685" i="15"/>
  <c r="Z1685" i="15"/>
  <c r="V1685" i="15"/>
  <c r="N1685" i="15"/>
  <c r="P1685" i="15"/>
  <c r="M1685" i="15"/>
  <c r="AD1684" i="15"/>
  <c r="AC1684" i="15"/>
  <c r="AB1684" i="15"/>
  <c r="AA1684" i="15"/>
  <c r="Z1684" i="15"/>
  <c r="V1684" i="15"/>
  <c r="N1684" i="15"/>
  <c r="J1684" i="15"/>
  <c r="M1684" i="15"/>
  <c r="AD1683" i="15"/>
  <c r="AC1683" i="15"/>
  <c r="AB1683" i="15"/>
  <c r="AA1683" i="15"/>
  <c r="Z1683" i="15"/>
  <c r="V1683" i="15"/>
  <c r="N1683" i="15"/>
  <c r="R1683" i="15"/>
  <c r="J1683" i="15"/>
  <c r="M1683" i="15"/>
  <c r="AD1682" i="15"/>
  <c r="AC1682" i="15"/>
  <c r="AB1682" i="15"/>
  <c r="AA1682" i="15"/>
  <c r="Z1682" i="15"/>
  <c r="V1682" i="15"/>
  <c r="N1682" i="15"/>
  <c r="Q1682" i="15"/>
  <c r="J1682" i="15"/>
  <c r="M1682" i="15"/>
  <c r="AD1681" i="15"/>
  <c r="AC1681" i="15"/>
  <c r="AB1681" i="15"/>
  <c r="AA1681" i="15"/>
  <c r="Z1681" i="15"/>
  <c r="AD1680" i="15"/>
  <c r="AC1680" i="15"/>
  <c r="AB1680" i="15"/>
  <c r="AA1680" i="15"/>
  <c r="Z1680" i="15"/>
  <c r="AD1679" i="15"/>
  <c r="AC1679" i="15"/>
  <c r="AB1679" i="15"/>
  <c r="AA1679" i="15"/>
  <c r="Z1679" i="15"/>
  <c r="V1679" i="15"/>
  <c r="N1679" i="15"/>
  <c r="Q1679" i="15"/>
  <c r="J1679" i="15"/>
  <c r="M1679" i="15"/>
  <c r="AD1678" i="15"/>
  <c r="AC1678" i="15"/>
  <c r="AB1678" i="15"/>
  <c r="AA1678" i="15"/>
  <c r="Z1678" i="15"/>
  <c r="V1678" i="15"/>
  <c r="N1678" i="15"/>
  <c r="M1678" i="15"/>
  <c r="AD1677" i="15"/>
  <c r="AC1677" i="15"/>
  <c r="AB1677" i="15"/>
  <c r="AA1677" i="15"/>
  <c r="Z1677" i="15"/>
  <c r="AD1676" i="15"/>
  <c r="AC1676" i="15"/>
  <c r="AB1676" i="15"/>
  <c r="AA1676" i="15"/>
  <c r="Z1676" i="15"/>
  <c r="V1676" i="15"/>
  <c r="N1676" i="15"/>
  <c r="P1676" i="15"/>
  <c r="M1676" i="15"/>
  <c r="AD1675" i="15"/>
  <c r="AC1675" i="15"/>
  <c r="AB1675" i="15"/>
  <c r="AA1675" i="15"/>
  <c r="Z1675" i="15"/>
  <c r="V1675" i="15"/>
  <c r="N1675" i="15"/>
  <c r="Q1675" i="15"/>
  <c r="M1675" i="15"/>
  <c r="AD1674" i="15"/>
  <c r="AC1674" i="15"/>
  <c r="AB1674" i="15"/>
  <c r="AA1674" i="15"/>
  <c r="Z1674" i="15"/>
  <c r="AD1673" i="15"/>
  <c r="AC1673" i="15"/>
  <c r="AB1673" i="15"/>
  <c r="AA1673" i="15"/>
  <c r="Z1673" i="15"/>
  <c r="V1673" i="15"/>
  <c r="N1673" i="15"/>
  <c r="M1673" i="15"/>
  <c r="AD1672" i="15"/>
  <c r="AC1672" i="15"/>
  <c r="AB1672" i="15"/>
  <c r="AA1672" i="15"/>
  <c r="Z1672" i="15"/>
  <c r="V1672" i="15"/>
  <c r="N1672" i="15"/>
  <c r="P1672" i="15"/>
  <c r="M1672" i="15"/>
  <c r="AD1671" i="15"/>
  <c r="AC1671" i="15"/>
  <c r="AB1671" i="15"/>
  <c r="AA1671" i="15"/>
  <c r="Z1671" i="15"/>
  <c r="AD1670" i="15"/>
  <c r="AC1670" i="15"/>
  <c r="AB1670" i="15"/>
  <c r="AA1670" i="15"/>
  <c r="Z1670" i="15"/>
  <c r="AD1669" i="15"/>
  <c r="AC1669" i="15"/>
  <c r="AB1669" i="15"/>
  <c r="AA1669" i="15"/>
  <c r="Z1669" i="15"/>
  <c r="V1669" i="15"/>
  <c r="N1669" i="15"/>
  <c r="AD1668" i="15"/>
  <c r="AC1668" i="15"/>
  <c r="AB1668" i="15"/>
  <c r="AA1668" i="15"/>
  <c r="Z1668" i="15"/>
  <c r="AD1667" i="15"/>
  <c r="AC1667" i="15"/>
  <c r="AB1667" i="15"/>
  <c r="AA1667" i="15"/>
  <c r="Z1667" i="15"/>
  <c r="V1667" i="15"/>
  <c r="N1667" i="15"/>
  <c r="P1667" i="15"/>
  <c r="M1667" i="15"/>
  <c r="AD1666" i="15"/>
  <c r="AC1666" i="15"/>
  <c r="AB1666" i="15"/>
  <c r="AA1666" i="15"/>
  <c r="Z1666" i="15"/>
  <c r="V1666" i="15"/>
  <c r="N1666" i="15"/>
  <c r="M1666" i="15"/>
  <c r="AD1665" i="15"/>
  <c r="AC1665" i="15"/>
  <c r="AB1665" i="15"/>
  <c r="AA1665" i="15"/>
  <c r="Z1665" i="15"/>
  <c r="V1665" i="15"/>
  <c r="N1665" i="15"/>
  <c r="M1665" i="15"/>
  <c r="AD1664" i="15"/>
  <c r="AC1664" i="15"/>
  <c r="AB1664" i="15"/>
  <c r="AA1664" i="15"/>
  <c r="Z1664" i="15"/>
  <c r="V1664" i="15"/>
  <c r="N1664" i="15"/>
  <c r="R1664" i="15"/>
  <c r="K1664" i="15"/>
  <c r="M1664" i="15"/>
  <c r="AD1663" i="15"/>
  <c r="AC1663" i="15"/>
  <c r="AB1663" i="15"/>
  <c r="AA1663" i="15"/>
  <c r="Z1663" i="15"/>
  <c r="AD1662" i="15"/>
  <c r="AC1662" i="15"/>
  <c r="AB1662" i="15"/>
  <c r="AA1662" i="15"/>
  <c r="Z1662" i="15"/>
  <c r="V1662" i="15"/>
  <c r="N1662" i="15"/>
  <c r="K1662" i="15"/>
  <c r="M1662" i="15"/>
  <c r="AD1661" i="15"/>
  <c r="AC1661" i="15"/>
  <c r="AB1661" i="15"/>
  <c r="AA1661" i="15"/>
  <c r="Z1661" i="15"/>
  <c r="V1661" i="15"/>
  <c r="N1661" i="15"/>
  <c r="R1661" i="15"/>
  <c r="P1661" i="15"/>
  <c r="K1661" i="15"/>
  <c r="M1661" i="15"/>
  <c r="AD1660" i="15"/>
  <c r="AC1660" i="15"/>
  <c r="AB1660" i="15"/>
  <c r="AA1660" i="15"/>
  <c r="Z1660" i="15"/>
  <c r="V1660" i="15"/>
  <c r="N1660" i="15"/>
  <c r="K1660" i="15"/>
  <c r="M1660" i="15"/>
  <c r="AD1659" i="15"/>
  <c r="AC1659" i="15"/>
  <c r="AB1659" i="15"/>
  <c r="AA1659" i="15"/>
  <c r="Z1659" i="15"/>
  <c r="V1659" i="15"/>
  <c r="N1659" i="15"/>
  <c r="R1659" i="15"/>
  <c r="M1659" i="15"/>
  <c r="AD1658" i="15"/>
  <c r="AC1658" i="15"/>
  <c r="AB1658" i="15"/>
  <c r="AA1658" i="15"/>
  <c r="Z1658" i="15"/>
  <c r="V1658" i="15"/>
  <c r="N1658" i="15"/>
  <c r="M1658" i="15"/>
  <c r="AD1657" i="15"/>
  <c r="AC1657" i="15"/>
  <c r="AB1657" i="15"/>
  <c r="AA1657" i="15"/>
  <c r="Z1657" i="15"/>
  <c r="V1657" i="15"/>
  <c r="N1657" i="15"/>
  <c r="M1657" i="15"/>
  <c r="AD1656" i="15"/>
  <c r="AC1656" i="15"/>
  <c r="AB1656" i="15"/>
  <c r="AA1656" i="15"/>
  <c r="Z1656" i="15"/>
  <c r="AD1655" i="15"/>
  <c r="AC1655" i="15"/>
  <c r="AB1655" i="15"/>
  <c r="AA1655" i="15"/>
  <c r="Z1655" i="15"/>
  <c r="AD1654" i="15"/>
  <c r="AC1654" i="15"/>
  <c r="AB1654" i="15"/>
  <c r="AA1654" i="15"/>
  <c r="Z1654" i="15"/>
  <c r="AD1653" i="15"/>
  <c r="AC1653" i="15"/>
  <c r="AB1653" i="15"/>
  <c r="AA1653" i="15"/>
  <c r="Z1653" i="15"/>
  <c r="V1653" i="15"/>
  <c r="N1653" i="15"/>
  <c r="M1653" i="15"/>
  <c r="AD1652" i="15"/>
  <c r="AC1652" i="15"/>
  <c r="AB1652" i="15"/>
  <c r="AA1652" i="15"/>
  <c r="Z1652" i="15"/>
  <c r="V1652" i="15"/>
  <c r="N1652" i="15"/>
  <c r="R1652" i="15"/>
  <c r="M1652" i="15"/>
  <c r="AD1651" i="15"/>
  <c r="AC1651" i="15"/>
  <c r="AB1651" i="15"/>
  <c r="AA1651" i="15"/>
  <c r="Z1651" i="15"/>
  <c r="V1651" i="15"/>
  <c r="N1651" i="15"/>
  <c r="M1651" i="15"/>
  <c r="AD1650" i="15"/>
  <c r="AC1650" i="15"/>
  <c r="AB1650" i="15"/>
  <c r="AA1650" i="15"/>
  <c r="Z1650" i="15"/>
  <c r="V1650" i="15"/>
  <c r="N1650" i="15"/>
  <c r="L1650" i="15"/>
  <c r="K1650" i="15"/>
  <c r="J1650" i="15"/>
  <c r="M1650" i="15"/>
  <c r="AD1649" i="15"/>
  <c r="AC1649" i="15"/>
  <c r="AB1649" i="15"/>
  <c r="AA1649" i="15"/>
  <c r="Z1649" i="15"/>
  <c r="V1649" i="15"/>
  <c r="N1649" i="15"/>
  <c r="J1649" i="15"/>
  <c r="P1649" i="15"/>
  <c r="L1649" i="15"/>
  <c r="K1649" i="15"/>
  <c r="AD1648" i="15"/>
  <c r="AC1648" i="15"/>
  <c r="AB1648" i="15"/>
  <c r="AA1648" i="15"/>
  <c r="Z1648" i="15"/>
  <c r="V1648" i="15"/>
  <c r="N1648" i="15"/>
  <c r="L1648" i="15"/>
  <c r="R1648" i="15"/>
  <c r="K1648" i="15"/>
  <c r="J1648" i="15"/>
  <c r="AD1647" i="15"/>
  <c r="AC1647" i="15"/>
  <c r="AB1647" i="15"/>
  <c r="AA1647" i="15"/>
  <c r="Z1647" i="15"/>
  <c r="AD1646" i="15"/>
  <c r="AC1646" i="15"/>
  <c r="AB1646" i="15"/>
  <c r="AA1646" i="15"/>
  <c r="Z1646" i="15"/>
  <c r="V1646" i="15"/>
  <c r="N1646" i="15"/>
  <c r="R1646" i="15"/>
  <c r="J1646" i="15"/>
  <c r="M1646" i="15"/>
  <c r="AD1645" i="15"/>
  <c r="AC1645" i="15"/>
  <c r="AB1645" i="15"/>
  <c r="AA1645" i="15"/>
  <c r="Z1645" i="15"/>
  <c r="V1645" i="15"/>
  <c r="N1645" i="15"/>
  <c r="R1645" i="15"/>
  <c r="M1645" i="15"/>
  <c r="AD1644" i="15"/>
  <c r="AC1644" i="15"/>
  <c r="AB1644" i="15"/>
  <c r="AA1644" i="15"/>
  <c r="Z1644" i="15"/>
  <c r="V1644" i="15"/>
  <c r="N1644" i="15"/>
  <c r="R1644" i="15"/>
  <c r="J1644" i="15"/>
  <c r="M1644" i="15"/>
  <c r="AD1643" i="15"/>
  <c r="AC1643" i="15"/>
  <c r="AB1643" i="15"/>
  <c r="AA1643" i="15"/>
  <c r="Z1643" i="15"/>
  <c r="V1643" i="15"/>
  <c r="N1643" i="15"/>
  <c r="J1643" i="15"/>
  <c r="M1643" i="15"/>
  <c r="AD1642" i="15"/>
  <c r="AC1642" i="15"/>
  <c r="AB1642" i="15"/>
  <c r="AA1642" i="15"/>
  <c r="Z1642" i="15"/>
  <c r="V1642" i="15"/>
  <c r="N1642" i="15"/>
  <c r="Q1642" i="15"/>
  <c r="M1642" i="15"/>
  <c r="AD1641" i="15"/>
  <c r="AC1641" i="15"/>
  <c r="AB1641" i="15"/>
  <c r="AA1641" i="15"/>
  <c r="Z1641" i="15"/>
  <c r="V1641" i="15"/>
  <c r="N1641" i="15"/>
  <c r="Q1641" i="15"/>
  <c r="J1641" i="15"/>
  <c r="M1641" i="15"/>
  <c r="AD1640" i="15"/>
  <c r="AC1640" i="15"/>
  <c r="AB1640" i="15"/>
  <c r="AA1640" i="15"/>
  <c r="Z1640" i="15"/>
  <c r="AD1639" i="15"/>
  <c r="AC1639" i="15"/>
  <c r="AB1639" i="15"/>
  <c r="AA1639" i="15"/>
  <c r="Z1639" i="15"/>
  <c r="V1639" i="15"/>
  <c r="AD1638" i="15"/>
  <c r="AC1638" i="15"/>
  <c r="AB1638" i="15"/>
  <c r="AA1638" i="15"/>
  <c r="Z1638" i="15"/>
  <c r="AD1637" i="15"/>
  <c r="AC1637" i="15"/>
  <c r="AB1637" i="15"/>
  <c r="AA1637" i="15"/>
  <c r="Z1637" i="15"/>
  <c r="AD1636" i="15"/>
  <c r="AC1636" i="15"/>
  <c r="AB1636" i="15"/>
  <c r="AA1636" i="15"/>
  <c r="Z1636" i="15"/>
  <c r="V1636" i="15"/>
  <c r="N1636" i="15"/>
  <c r="R1636" i="15"/>
  <c r="M1636" i="15"/>
  <c r="AD1635" i="15"/>
  <c r="AC1635" i="15"/>
  <c r="AB1635" i="15"/>
  <c r="AA1635" i="15"/>
  <c r="Z1635" i="15"/>
  <c r="V1635" i="15"/>
  <c r="N1635" i="15"/>
  <c r="AD1634" i="15"/>
  <c r="AC1634" i="15"/>
  <c r="AB1634" i="15"/>
  <c r="AA1634" i="15"/>
  <c r="Z1634" i="15"/>
  <c r="V1634" i="15"/>
  <c r="N1634" i="15"/>
  <c r="AD1633" i="15"/>
  <c r="AC1633" i="15"/>
  <c r="AB1633" i="15"/>
  <c r="AA1633" i="15"/>
  <c r="Z1633" i="15"/>
  <c r="V1633" i="15"/>
  <c r="N1633" i="15"/>
  <c r="L1633" i="15"/>
  <c r="K1633" i="15"/>
  <c r="J1633" i="15"/>
  <c r="M1633" i="15"/>
  <c r="AD1632" i="15"/>
  <c r="AC1632" i="15"/>
  <c r="AB1632" i="15"/>
  <c r="AA1632" i="15"/>
  <c r="Z1632" i="15"/>
  <c r="V1632" i="15"/>
  <c r="N1632" i="15"/>
  <c r="J1632" i="15"/>
  <c r="K1632" i="15"/>
  <c r="L1632" i="15"/>
  <c r="M1632" i="15"/>
  <c r="AD1631" i="15"/>
  <c r="AC1631" i="15"/>
  <c r="AB1631" i="15"/>
  <c r="AA1631" i="15"/>
  <c r="Z1631" i="15"/>
  <c r="V1631" i="15"/>
  <c r="N1631" i="15"/>
  <c r="J1631" i="15"/>
  <c r="P1631" i="15"/>
  <c r="K1631" i="15"/>
  <c r="M1631" i="15"/>
  <c r="AD1630" i="15"/>
  <c r="AC1630" i="15"/>
  <c r="AB1630" i="15"/>
  <c r="AA1630" i="15"/>
  <c r="Z1630" i="15"/>
  <c r="V1630" i="15"/>
  <c r="N1630" i="15"/>
  <c r="K1630" i="15"/>
  <c r="J1630" i="15"/>
  <c r="AD1629" i="15"/>
  <c r="AC1629" i="15"/>
  <c r="AB1629" i="15"/>
  <c r="AA1629" i="15"/>
  <c r="Z1629" i="15"/>
  <c r="V1629" i="15"/>
  <c r="N1629" i="15"/>
  <c r="R1629" i="15"/>
  <c r="K1629" i="15"/>
  <c r="J1629" i="15"/>
  <c r="AD1628" i="15"/>
  <c r="AC1628" i="15"/>
  <c r="AB1628" i="15"/>
  <c r="AA1628" i="15"/>
  <c r="Z1628" i="15"/>
  <c r="V1628" i="15"/>
  <c r="N1628" i="15"/>
  <c r="K1628" i="15"/>
  <c r="J1628" i="15"/>
  <c r="M1628" i="15"/>
  <c r="AD1627" i="15"/>
  <c r="AC1627" i="15"/>
  <c r="AB1627" i="15"/>
  <c r="AA1627" i="15"/>
  <c r="Z1627" i="15"/>
  <c r="V1627" i="15"/>
  <c r="N1627" i="15"/>
  <c r="J1627" i="15"/>
  <c r="K1627" i="15"/>
  <c r="M1627" i="15"/>
  <c r="AD1626" i="15"/>
  <c r="AC1626" i="15"/>
  <c r="AB1626" i="15"/>
  <c r="AA1626" i="15"/>
  <c r="Z1626" i="15"/>
  <c r="V1626" i="15"/>
  <c r="N1626" i="15"/>
  <c r="O1626" i="15"/>
  <c r="K1626" i="15"/>
  <c r="J1626" i="15"/>
  <c r="AD1625" i="15"/>
  <c r="AC1625" i="15"/>
  <c r="AB1625" i="15"/>
  <c r="AA1625" i="15"/>
  <c r="Z1625" i="15"/>
  <c r="V1625" i="15"/>
  <c r="N1625" i="15"/>
  <c r="L1625" i="15"/>
  <c r="R1625" i="15"/>
  <c r="K1625" i="15"/>
  <c r="J1625" i="15"/>
  <c r="AD1624" i="15"/>
  <c r="AC1624" i="15"/>
  <c r="AB1624" i="15"/>
  <c r="AA1624" i="15"/>
  <c r="Z1624" i="15"/>
  <c r="V1624" i="15"/>
  <c r="N1624" i="15"/>
  <c r="R1624" i="15"/>
  <c r="J1624" i="15"/>
  <c r="M1624" i="15"/>
  <c r="AD1623" i="15"/>
  <c r="AC1623" i="15"/>
  <c r="AB1623" i="15"/>
  <c r="AA1623" i="15"/>
  <c r="Z1623" i="15"/>
  <c r="V1623" i="15"/>
  <c r="N1623" i="15"/>
  <c r="J1623" i="15"/>
  <c r="P1623" i="15"/>
  <c r="M1623" i="15"/>
  <c r="AD1622" i="15"/>
  <c r="AC1622" i="15"/>
  <c r="AB1622" i="15"/>
  <c r="AA1622" i="15"/>
  <c r="Z1622" i="15"/>
  <c r="V1622" i="15"/>
  <c r="N1622" i="15"/>
  <c r="R1622" i="15"/>
  <c r="J1622" i="15"/>
  <c r="M1622" i="15"/>
  <c r="AD1621" i="15"/>
  <c r="AC1621" i="15"/>
  <c r="AB1621" i="15"/>
  <c r="AA1621" i="15"/>
  <c r="Z1621" i="15"/>
  <c r="V1621" i="15"/>
  <c r="N1621" i="15"/>
  <c r="J1621" i="15"/>
  <c r="P1621" i="15"/>
  <c r="M1621" i="15"/>
  <c r="AD1620" i="15"/>
  <c r="AC1620" i="15"/>
  <c r="AB1620" i="15"/>
  <c r="AA1620" i="15"/>
  <c r="Z1620" i="15"/>
  <c r="V1620" i="15"/>
  <c r="N1620" i="15"/>
  <c r="R1620" i="15"/>
  <c r="J1620" i="15"/>
  <c r="M1620" i="15"/>
  <c r="AD1619" i="15"/>
  <c r="AC1619" i="15"/>
  <c r="AB1619" i="15"/>
  <c r="AA1619" i="15"/>
  <c r="Z1619" i="15"/>
  <c r="AD1618" i="15"/>
  <c r="AC1618" i="15"/>
  <c r="AB1618" i="15"/>
  <c r="AA1618" i="15"/>
  <c r="Z1618" i="15"/>
  <c r="V1618" i="15"/>
  <c r="N1618" i="15"/>
  <c r="AD1617" i="15"/>
  <c r="AC1617" i="15"/>
  <c r="AB1617" i="15"/>
  <c r="AA1617" i="15"/>
  <c r="Z1617" i="15"/>
  <c r="V1617" i="15"/>
  <c r="N1617" i="15"/>
  <c r="AD1616" i="15"/>
  <c r="AC1616" i="15"/>
  <c r="AB1616" i="15"/>
  <c r="AA1616" i="15"/>
  <c r="Z1616" i="15"/>
  <c r="V1616" i="15"/>
  <c r="N1616" i="15"/>
  <c r="O1616" i="15"/>
  <c r="J1616" i="15"/>
  <c r="M1616" i="15"/>
  <c r="AD1615" i="15"/>
  <c r="AC1615" i="15"/>
  <c r="AB1615" i="15"/>
  <c r="AA1615" i="15"/>
  <c r="Z1615" i="15"/>
  <c r="AD1614" i="15"/>
  <c r="AC1614" i="15"/>
  <c r="AB1614" i="15"/>
  <c r="AA1614" i="15"/>
  <c r="Z1614" i="15"/>
  <c r="AD1613" i="15"/>
  <c r="AC1613" i="15"/>
  <c r="AB1613" i="15"/>
  <c r="AA1613" i="15"/>
  <c r="Z1613" i="15"/>
  <c r="AD1612" i="15"/>
  <c r="AC1612" i="15"/>
  <c r="AB1612" i="15"/>
  <c r="AA1612" i="15"/>
  <c r="Z1612" i="15"/>
  <c r="V1612" i="15"/>
  <c r="N1612" i="15"/>
  <c r="J1612" i="15"/>
  <c r="P1612" i="15"/>
  <c r="M1612" i="15"/>
  <c r="L1612" i="15"/>
  <c r="K1612" i="15"/>
  <c r="AD1611" i="15"/>
  <c r="AC1611" i="15"/>
  <c r="AB1611" i="15"/>
  <c r="AA1611" i="15"/>
  <c r="Z1611" i="15"/>
  <c r="V1611" i="15"/>
  <c r="N1611" i="15"/>
  <c r="J1611" i="15"/>
  <c r="P1611" i="15"/>
  <c r="M1611" i="15"/>
  <c r="L1611" i="15"/>
  <c r="K1611" i="15"/>
  <c r="AD1610" i="15"/>
  <c r="AC1610" i="15"/>
  <c r="AB1610" i="15"/>
  <c r="AA1610" i="15"/>
  <c r="Z1610" i="15"/>
  <c r="V1610" i="15"/>
  <c r="N1610" i="15"/>
  <c r="L1610" i="15"/>
  <c r="K1610" i="15"/>
  <c r="J1610" i="15"/>
  <c r="M1610" i="15"/>
  <c r="AD1609" i="15"/>
  <c r="AC1609" i="15"/>
  <c r="AB1609" i="15"/>
  <c r="AA1609" i="15"/>
  <c r="Z1609" i="15"/>
  <c r="V1609" i="15"/>
  <c r="N1609" i="15"/>
  <c r="L1609" i="15"/>
  <c r="K1609" i="15"/>
  <c r="J1609" i="15"/>
  <c r="AD1608" i="15"/>
  <c r="AC1608" i="15"/>
  <c r="AB1608" i="15"/>
  <c r="AA1608" i="15"/>
  <c r="Z1608" i="15"/>
  <c r="V1608" i="15"/>
  <c r="N1608" i="15"/>
  <c r="L1608" i="15"/>
  <c r="R1608" i="15"/>
  <c r="K1608" i="15"/>
  <c r="J1608" i="15"/>
  <c r="AD1607" i="15"/>
  <c r="AC1607" i="15"/>
  <c r="AB1607" i="15"/>
  <c r="AA1607" i="15"/>
  <c r="Z1607" i="15"/>
  <c r="V1607" i="15"/>
  <c r="N1607" i="15"/>
  <c r="AD1606" i="15"/>
  <c r="AC1606" i="15"/>
  <c r="AB1606" i="15"/>
  <c r="AA1606" i="15"/>
  <c r="Z1606" i="15"/>
  <c r="V1606" i="15"/>
  <c r="N1606" i="15"/>
  <c r="AD1605" i="15"/>
  <c r="AC1605" i="15"/>
  <c r="AB1605" i="15"/>
  <c r="AA1605" i="15"/>
  <c r="Z1605" i="15"/>
  <c r="AD1604" i="15"/>
  <c r="AC1604" i="15"/>
  <c r="AB1604" i="15"/>
  <c r="AA1604" i="15"/>
  <c r="Z1604" i="15"/>
  <c r="AD1603" i="15"/>
  <c r="AC1603" i="15"/>
  <c r="AB1603" i="15"/>
  <c r="AA1603" i="15"/>
  <c r="Z1603" i="15"/>
  <c r="V1603" i="15"/>
  <c r="N1603" i="15"/>
  <c r="R1603" i="15"/>
  <c r="M1603" i="15"/>
  <c r="AD1602" i="15"/>
  <c r="AC1602" i="15"/>
  <c r="AB1602" i="15"/>
  <c r="AA1602" i="15"/>
  <c r="Z1602" i="15"/>
  <c r="V1602" i="15"/>
  <c r="N1602" i="15"/>
  <c r="J1602" i="15"/>
  <c r="M1602" i="15"/>
  <c r="AD1601" i="15"/>
  <c r="AC1601" i="15"/>
  <c r="AB1601" i="15"/>
  <c r="AA1601" i="15"/>
  <c r="Z1601" i="15"/>
  <c r="AD1600" i="15"/>
  <c r="AC1600" i="15"/>
  <c r="AB1600" i="15"/>
  <c r="AA1600" i="15"/>
  <c r="Z1600" i="15"/>
  <c r="V1600" i="15"/>
  <c r="N1600" i="15"/>
  <c r="J1600" i="15"/>
  <c r="P1600" i="15"/>
  <c r="L1600" i="15"/>
  <c r="K1600" i="15"/>
  <c r="M1600" i="15"/>
  <c r="AD1599" i="15"/>
  <c r="AC1599" i="15"/>
  <c r="AB1599" i="15"/>
  <c r="AA1599" i="15"/>
  <c r="Z1599" i="15"/>
  <c r="V1599" i="15"/>
  <c r="N1599" i="15"/>
  <c r="R1599" i="15"/>
  <c r="M1599" i="15"/>
  <c r="AD1598" i="15"/>
  <c r="AC1598" i="15"/>
  <c r="AB1598" i="15"/>
  <c r="AA1598" i="15"/>
  <c r="Z1598" i="15"/>
  <c r="V1598" i="15"/>
  <c r="N1598" i="15"/>
  <c r="L1598" i="15"/>
  <c r="R1598" i="15"/>
  <c r="K1598" i="15"/>
  <c r="J1598" i="15"/>
  <c r="M1598" i="15"/>
  <c r="AD1597" i="15"/>
  <c r="AC1597" i="15"/>
  <c r="AB1597" i="15"/>
  <c r="AA1597" i="15"/>
  <c r="Z1597" i="15"/>
  <c r="AD1596" i="15"/>
  <c r="AC1596" i="15"/>
  <c r="AB1596" i="15"/>
  <c r="AA1596" i="15"/>
  <c r="Z1596" i="15"/>
  <c r="AD1595" i="15"/>
  <c r="AC1595" i="15"/>
  <c r="AB1595" i="15"/>
  <c r="AA1595" i="15"/>
  <c r="Z1595" i="15"/>
  <c r="V1595" i="15"/>
  <c r="N1595" i="15"/>
  <c r="Q1595" i="15"/>
  <c r="L1595" i="15"/>
  <c r="M1595" i="15"/>
  <c r="AD1594" i="15"/>
  <c r="AC1594" i="15"/>
  <c r="AB1594" i="15"/>
  <c r="AA1594" i="15"/>
  <c r="Z1594" i="15"/>
  <c r="V1594" i="15"/>
  <c r="N1594" i="15"/>
  <c r="O1594" i="15"/>
  <c r="K1594" i="15"/>
  <c r="M1594" i="15"/>
  <c r="AD1593" i="15"/>
  <c r="AC1593" i="15"/>
  <c r="AB1593" i="15"/>
  <c r="AA1593" i="15"/>
  <c r="Z1593" i="15"/>
  <c r="V1593" i="15"/>
  <c r="N1593" i="15"/>
  <c r="M1593" i="15"/>
  <c r="AD1592" i="15"/>
  <c r="AC1592" i="15"/>
  <c r="AB1592" i="15"/>
  <c r="AA1592" i="15"/>
  <c r="Z1592" i="15"/>
  <c r="V1592" i="15"/>
  <c r="N1592" i="15"/>
  <c r="R1592" i="15"/>
  <c r="J1592" i="15"/>
  <c r="M1592" i="15"/>
  <c r="AD1591" i="15"/>
  <c r="AC1591" i="15"/>
  <c r="AB1591" i="15"/>
  <c r="AA1591" i="15"/>
  <c r="Z1591" i="15"/>
  <c r="V1591" i="15"/>
  <c r="N1591" i="15"/>
  <c r="P1591" i="15"/>
  <c r="M1591" i="15"/>
  <c r="AD1590" i="15"/>
  <c r="AC1590" i="15"/>
  <c r="AB1590" i="15"/>
  <c r="AA1590" i="15"/>
  <c r="Z1590" i="15"/>
  <c r="V1590" i="15"/>
  <c r="N1590" i="15"/>
  <c r="Q1590" i="15"/>
  <c r="J1590" i="15"/>
  <c r="M1590" i="15"/>
  <c r="AD1589" i="15"/>
  <c r="AC1589" i="15"/>
  <c r="AB1589" i="15"/>
  <c r="AA1589" i="15"/>
  <c r="Z1589" i="15"/>
  <c r="V1589" i="15"/>
  <c r="N1589" i="15"/>
  <c r="K1589" i="15"/>
  <c r="Q1589" i="15"/>
  <c r="L1589" i="15"/>
  <c r="J1589" i="15"/>
  <c r="AD1588" i="15"/>
  <c r="AC1588" i="15"/>
  <c r="AB1588" i="15"/>
  <c r="AA1588" i="15"/>
  <c r="Z1588" i="15"/>
  <c r="V1588" i="15"/>
  <c r="N1588" i="15"/>
  <c r="K1588" i="15"/>
  <c r="Q1588" i="15"/>
  <c r="L1588" i="15"/>
  <c r="J1588" i="15"/>
  <c r="AD1587" i="15"/>
  <c r="AC1587" i="15"/>
  <c r="AB1587" i="15"/>
  <c r="AA1587" i="15"/>
  <c r="Z1587" i="15"/>
  <c r="V1587" i="15"/>
  <c r="N1587" i="15"/>
  <c r="M1587" i="15"/>
  <c r="AD1586" i="15"/>
  <c r="AC1586" i="15"/>
  <c r="AB1586" i="15"/>
  <c r="AA1586" i="15"/>
  <c r="Z1586" i="15"/>
  <c r="V1586" i="15"/>
  <c r="N1586" i="15"/>
  <c r="AD1585" i="15"/>
  <c r="AC1585" i="15"/>
  <c r="AB1585" i="15"/>
  <c r="AA1585" i="15"/>
  <c r="Z1585" i="15"/>
  <c r="AD1584" i="15"/>
  <c r="AC1584" i="15"/>
  <c r="AB1584" i="15"/>
  <c r="AA1584" i="15"/>
  <c r="Z1584" i="15"/>
  <c r="V1584" i="15"/>
  <c r="N1584" i="15"/>
  <c r="O1584" i="15"/>
  <c r="M1584" i="15"/>
  <c r="AD1583" i="15"/>
  <c r="AC1583" i="15"/>
  <c r="AB1583" i="15"/>
  <c r="AA1583" i="15"/>
  <c r="Z1583" i="15"/>
  <c r="V1583" i="15"/>
  <c r="N1583" i="15"/>
  <c r="R1583" i="15"/>
  <c r="M1583" i="15"/>
  <c r="AD1582" i="15"/>
  <c r="AC1582" i="15"/>
  <c r="AB1582" i="15"/>
  <c r="AA1582" i="15"/>
  <c r="Z1582" i="15"/>
  <c r="V1582" i="15"/>
  <c r="N1582" i="15"/>
  <c r="R1582" i="15"/>
  <c r="M1582" i="15"/>
  <c r="AD1581" i="15"/>
  <c r="AC1581" i="15"/>
  <c r="AB1581" i="15"/>
  <c r="AA1581" i="15"/>
  <c r="Z1581" i="15"/>
  <c r="V1581" i="15"/>
  <c r="N1581" i="15"/>
  <c r="Q1581" i="15"/>
  <c r="L1581" i="15"/>
  <c r="J1581" i="15"/>
  <c r="M1581" i="15"/>
  <c r="AD1580" i="15"/>
  <c r="AC1580" i="15"/>
  <c r="AB1580" i="15"/>
  <c r="AA1580" i="15"/>
  <c r="Z1580" i="15"/>
  <c r="V1580" i="15"/>
  <c r="N1580" i="15"/>
  <c r="J1580" i="15"/>
  <c r="M1580" i="15"/>
  <c r="AD1579" i="15"/>
  <c r="AC1579" i="15"/>
  <c r="AB1579" i="15"/>
  <c r="AA1579" i="15"/>
  <c r="Z1579" i="15"/>
  <c r="AD1578" i="15"/>
  <c r="AC1578" i="15"/>
  <c r="AB1578" i="15"/>
  <c r="AA1578" i="15"/>
  <c r="Z1578" i="15"/>
  <c r="V1578" i="15"/>
  <c r="N1578" i="15"/>
  <c r="O1578" i="15"/>
  <c r="M1578" i="15"/>
  <c r="AD1577" i="15"/>
  <c r="AC1577" i="15"/>
  <c r="AB1577" i="15"/>
  <c r="AA1577" i="15"/>
  <c r="Z1577" i="15"/>
  <c r="V1577" i="15"/>
  <c r="N1577" i="15"/>
  <c r="O1577" i="15"/>
  <c r="J1577" i="15"/>
  <c r="M1577" i="15"/>
  <c r="AD1576" i="15"/>
  <c r="AC1576" i="15"/>
  <c r="AB1576" i="15"/>
  <c r="AA1576" i="15"/>
  <c r="Z1576" i="15"/>
  <c r="V1576" i="15"/>
  <c r="N1576" i="15"/>
  <c r="M1576" i="15"/>
  <c r="AD1575" i="15"/>
  <c r="AC1575" i="15"/>
  <c r="AB1575" i="15"/>
  <c r="AA1575" i="15"/>
  <c r="Z1575" i="15"/>
  <c r="V1575" i="15"/>
  <c r="N1575" i="15"/>
  <c r="Q1575" i="15"/>
  <c r="J1575" i="15"/>
  <c r="M1575" i="15"/>
  <c r="AD1574" i="15"/>
  <c r="AC1574" i="15"/>
  <c r="AB1574" i="15"/>
  <c r="AA1574" i="15"/>
  <c r="Z1574" i="15"/>
  <c r="V1574" i="15"/>
  <c r="N1574" i="15"/>
  <c r="R1574" i="15"/>
  <c r="M1574" i="15"/>
  <c r="AD1573" i="15"/>
  <c r="AC1573" i="15"/>
  <c r="AB1573" i="15"/>
  <c r="AA1573" i="15"/>
  <c r="Z1573" i="15"/>
  <c r="V1573" i="15"/>
  <c r="N1573" i="15"/>
  <c r="M1573" i="15"/>
  <c r="AD1572" i="15"/>
  <c r="AC1572" i="15"/>
  <c r="AB1572" i="15"/>
  <c r="AA1572" i="15"/>
  <c r="Z1572" i="15"/>
  <c r="AD1571" i="15"/>
  <c r="AC1571" i="15"/>
  <c r="AB1571" i="15"/>
  <c r="AA1571" i="15"/>
  <c r="Z1571" i="15"/>
  <c r="AD1570" i="15"/>
  <c r="AC1570" i="15"/>
  <c r="AB1570" i="15"/>
  <c r="AA1570" i="15"/>
  <c r="Z1570" i="15"/>
  <c r="V1570" i="15"/>
  <c r="N1570" i="15"/>
  <c r="K1570" i="15"/>
  <c r="Q1570" i="15"/>
  <c r="L1570" i="15"/>
  <c r="J1570" i="15"/>
  <c r="AD1569" i="15"/>
  <c r="AC1569" i="15"/>
  <c r="AB1569" i="15"/>
  <c r="AA1569" i="15"/>
  <c r="Z1569" i="15"/>
  <c r="V1569" i="15"/>
  <c r="N1569" i="15"/>
  <c r="Q1569" i="15"/>
  <c r="M1569" i="15"/>
  <c r="AD1568" i="15"/>
  <c r="AC1568" i="15"/>
  <c r="AB1568" i="15"/>
  <c r="AA1568" i="15"/>
  <c r="Z1568" i="15"/>
  <c r="V1568" i="15"/>
  <c r="N1568" i="15"/>
  <c r="AD1567" i="15"/>
  <c r="AC1567" i="15"/>
  <c r="AB1567" i="15"/>
  <c r="AA1567" i="15"/>
  <c r="Z1567" i="15"/>
  <c r="V1567" i="15"/>
  <c r="N1567" i="15"/>
  <c r="AD1566" i="15"/>
  <c r="AC1566" i="15"/>
  <c r="AB1566" i="15"/>
  <c r="AA1566" i="15"/>
  <c r="Z1566" i="15"/>
  <c r="V1566" i="15"/>
  <c r="N1566" i="15"/>
  <c r="AD1565" i="15"/>
  <c r="AC1565" i="15"/>
  <c r="AB1565" i="15"/>
  <c r="AA1565" i="15"/>
  <c r="Z1565" i="15"/>
  <c r="V1565" i="15"/>
  <c r="N1565" i="15"/>
  <c r="AD1564" i="15"/>
  <c r="AC1564" i="15"/>
  <c r="AB1564" i="15"/>
  <c r="AA1564" i="15"/>
  <c r="Z1564" i="15"/>
  <c r="V1564" i="15"/>
  <c r="N1564" i="15"/>
  <c r="AD1563" i="15"/>
  <c r="AC1563" i="15"/>
  <c r="AB1563" i="15"/>
  <c r="AA1563" i="15"/>
  <c r="Z1563" i="15"/>
  <c r="V1563" i="15"/>
  <c r="N1563" i="15"/>
  <c r="AD1562" i="15"/>
  <c r="AC1562" i="15"/>
  <c r="AB1562" i="15"/>
  <c r="AA1562" i="15"/>
  <c r="Z1562" i="15"/>
  <c r="V1562" i="15"/>
  <c r="N1562" i="15"/>
  <c r="P1562" i="15"/>
  <c r="M1562" i="15"/>
  <c r="AD1561" i="15"/>
  <c r="AC1561" i="15"/>
  <c r="AB1561" i="15"/>
  <c r="AA1561" i="15"/>
  <c r="Z1561" i="15"/>
  <c r="V1561" i="15"/>
  <c r="N1561" i="15"/>
  <c r="L1561" i="15"/>
  <c r="K1561" i="15"/>
  <c r="J1561" i="15"/>
  <c r="AD1560" i="15"/>
  <c r="AC1560" i="15"/>
  <c r="AB1560" i="15"/>
  <c r="AA1560" i="15"/>
  <c r="Z1560" i="15"/>
  <c r="V1560" i="15"/>
  <c r="N1560" i="15"/>
  <c r="K1560" i="15"/>
  <c r="Q1560" i="15"/>
  <c r="L1560" i="15"/>
  <c r="J1560" i="15"/>
  <c r="AD1559" i="15"/>
  <c r="AC1559" i="15"/>
  <c r="AB1559" i="15"/>
  <c r="AA1559" i="15"/>
  <c r="Z1559" i="15"/>
  <c r="V1559" i="15"/>
  <c r="N1559" i="15"/>
  <c r="Q1559" i="15"/>
  <c r="M1559" i="15"/>
  <c r="AD1558" i="15"/>
  <c r="AC1558" i="15"/>
  <c r="AB1558" i="15"/>
  <c r="AA1558" i="15"/>
  <c r="Z1558" i="15"/>
  <c r="V1558" i="15"/>
  <c r="N1558" i="15"/>
  <c r="L1558" i="15"/>
  <c r="R1558" i="15"/>
  <c r="K1558" i="15"/>
  <c r="J1558" i="15"/>
  <c r="AD1557" i="15"/>
  <c r="AC1557" i="15"/>
  <c r="AB1557" i="15"/>
  <c r="AA1557" i="15"/>
  <c r="Z1557" i="15"/>
  <c r="V1557" i="15"/>
  <c r="N1557" i="15"/>
  <c r="R1557" i="15"/>
  <c r="M1557" i="15"/>
  <c r="AD1556" i="15"/>
  <c r="AC1556" i="15"/>
  <c r="AB1556" i="15"/>
  <c r="AA1556" i="15"/>
  <c r="Z1556" i="15"/>
  <c r="V1556" i="15"/>
  <c r="N1556" i="15"/>
  <c r="O1556" i="15"/>
  <c r="M1556" i="15"/>
  <c r="AD1555" i="15"/>
  <c r="AC1555" i="15"/>
  <c r="AB1555" i="15"/>
  <c r="AA1555" i="15"/>
  <c r="Z1555" i="15"/>
  <c r="V1555" i="15"/>
  <c r="N1555" i="15"/>
  <c r="R1555" i="15"/>
  <c r="M1555" i="15"/>
  <c r="AD1554" i="15"/>
  <c r="AC1554" i="15"/>
  <c r="AB1554" i="15"/>
  <c r="AA1554" i="15"/>
  <c r="Z1554" i="15"/>
  <c r="V1554" i="15"/>
  <c r="N1554" i="15"/>
  <c r="Q1554" i="15"/>
  <c r="M1554" i="15"/>
  <c r="AD1553" i="15"/>
  <c r="AC1553" i="15"/>
  <c r="AB1553" i="15"/>
  <c r="AA1553" i="15"/>
  <c r="Z1553" i="15"/>
  <c r="V1553" i="15"/>
  <c r="N1553" i="15"/>
  <c r="R1553" i="15"/>
  <c r="M1553" i="15"/>
  <c r="AD1552" i="15"/>
  <c r="AC1552" i="15"/>
  <c r="AB1552" i="15"/>
  <c r="AA1552" i="15"/>
  <c r="Z1552" i="15"/>
  <c r="V1552" i="15"/>
  <c r="N1552" i="15"/>
  <c r="O1552" i="15"/>
  <c r="M1552" i="15"/>
  <c r="AD1551" i="15"/>
  <c r="AC1551" i="15"/>
  <c r="AB1551" i="15"/>
  <c r="AA1551" i="15"/>
  <c r="Z1551" i="15"/>
  <c r="V1551" i="15"/>
  <c r="N1551" i="15"/>
  <c r="R1551" i="15"/>
  <c r="M1551" i="15"/>
  <c r="AD1550" i="15"/>
  <c r="AC1550" i="15"/>
  <c r="AB1550" i="15"/>
  <c r="AA1550" i="15"/>
  <c r="Z1550" i="15"/>
  <c r="AD1549" i="15"/>
  <c r="AC1549" i="15"/>
  <c r="AB1549" i="15"/>
  <c r="AA1549" i="15"/>
  <c r="Z1549" i="15"/>
  <c r="V1549" i="15"/>
  <c r="N1549" i="15"/>
  <c r="O1549" i="15"/>
  <c r="AD1548" i="15"/>
  <c r="AC1548" i="15"/>
  <c r="AB1548" i="15"/>
  <c r="AA1548" i="15"/>
  <c r="Z1548" i="15"/>
  <c r="V1548" i="15"/>
  <c r="N1548" i="15"/>
  <c r="L1548" i="15"/>
  <c r="R1548" i="15"/>
  <c r="K1548" i="15"/>
  <c r="J1548" i="15"/>
  <c r="AD1547" i="15"/>
  <c r="AC1547" i="15"/>
  <c r="AB1547" i="15"/>
  <c r="AA1547" i="15"/>
  <c r="Z1547" i="15"/>
  <c r="V1547" i="15"/>
  <c r="N1547" i="15"/>
  <c r="L1547" i="15"/>
  <c r="K1547" i="15"/>
  <c r="J1547" i="15"/>
  <c r="AD1546" i="15"/>
  <c r="AC1546" i="15"/>
  <c r="AB1546" i="15"/>
  <c r="AA1546" i="15"/>
  <c r="Z1546" i="15"/>
  <c r="V1546" i="15"/>
  <c r="N1546" i="15"/>
  <c r="L1546" i="15"/>
  <c r="K1546" i="15"/>
  <c r="Q1546" i="15"/>
  <c r="J1546" i="15"/>
  <c r="P1546" i="15"/>
  <c r="AD1545" i="15"/>
  <c r="AC1545" i="15"/>
  <c r="AB1545" i="15"/>
  <c r="AA1545" i="15"/>
  <c r="Z1545" i="15"/>
  <c r="V1545" i="15"/>
  <c r="N1545" i="15"/>
  <c r="L1545" i="15"/>
  <c r="R1545" i="15"/>
  <c r="L1549" i="15"/>
  <c r="K1545" i="15"/>
  <c r="J1545" i="15"/>
  <c r="J1549" i="15"/>
  <c r="AD1544" i="15"/>
  <c r="AC1544" i="15"/>
  <c r="AB1544" i="15"/>
  <c r="AA1544" i="15"/>
  <c r="Z1544" i="15"/>
  <c r="V1544" i="15"/>
  <c r="N1544" i="15"/>
  <c r="R1544" i="15"/>
  <c r="M1544" i="15"/>
  <c r="AD1543" i="15"/>
  <c r="AC1543" i="15"/>
  <c r="AB1543" i="15"/>
  <c r="AA1543" i="15"/>
  <c r="Z1543" i="15"/>
  <c r="V1543" i="15"/>
  <c r="N1543" i="15"/>
  <c r="O1543" i="15"/>
  <c r="J1543" i="15"/>
  <c r="M1543" i="15"/>
  <c r="AD1542" i="15"/>
  <c r="AC1542" i="15"/>
  <c r="AB1542" i="15"/>
  <c r="AA1542" i="15"/>
  <c r="Z1542" i="15"/>
  <c r="V1542" i="15"/>
  <c r="N1542" i="15"/>
  <c r="Q1542" i="15"/>
  <c r="M1542" i="15"/>
  <c r="AD1541" i="15"/>
  <c r="AC1541" i="15"/>
  <c r="AB1541" i="15"/>
  <c r="AA1541" i="15"/>
  <c r="Z1541" i="15"/>
  <c r="V1541" i="15"/>
  <c r="N1541" i="15"/>
  <c r="Q1541" i="15"/>
  <c r="M1541" i="15"/>
  <c r="AD1540" i="15"/>
  <c r="AC1540" i="15"/>
  <c r="AB1540" i="15"/>
  <c r="AA1540" i="15"/>
  <c r="Z1540" i="15"/>
  <c r="V1540" i="15"/>
  <c r="N1540" i="15"/>
  <c r="O1540" i="15"/>
  <c r="K1540" i="15"/>
  <c r="L1540" i="15"/>
  <c r="M1540" i="15"/>
  <c r="AD1539" i="15"/>
  <c r="AC1539" i="15"/>
  <c r="AB1539" i="15"/>
  <c r="AA1539" i="15"/>
  <c r="Z1539" i="15"/>
  <c r="V1539" i="15"/>
  <c r="N1539" i="15"/>
  <c r="R1539" i="15"/>
  <c r="M1539" i="15"/>
  <c r="AD1538" i="15"/>
  <c r="AC1538" i="15"/>
  <c r="AB1538" i="15"/>
  <c r="AA1538" i="15"/>
  <c r="Z1538" i="15"/>
  <c r="V1538" i="15"/>
  <c r="N1538" i="15"/>
  <c r="O1538" i="15"/>
  <c r="L1538" i="15"/>
  <c r="K1538" i="15"/>
  <c r="AD1537" i="15"/>
  <c r="AC1537" i="15"/>
  <c r="AB1537" i="15"/>
  <c r="AA1537" i="15"/>
  <c r="Z1537" i="15"/>
  <c r="V1537" i="15"/>
  <c r="N1537" i="15"/>
  <c r="O1537" i="15"/>
  <c r="J1537" i="15"/>
  <c r="J1538" i="15"/>
  <c r="AD1536" i="15"/>
  <c r="AC1536" i="15"/>
  <c r="AB1536" i="15"/>
  <c r="AA1536" i="15"/>
  <c r="Z1536" i="15"/>
  <c r="V1536" i="15"/>
  <c r="N1536" i="15"/>
  <c r="K1536" i="15"/>
  <c r="Q1536" i="15"/>
  <c r="L1536" i="15"/>
  <c r="J1536" i="15"/>
  <c r="AD1535" i="15"/>
  <c r="AC1535" i="15"/>
  <c r="AB1535" i="15"/>
  <c r="AA1535" i="15"/>
  <c r="Z1535" i="15"/>
  <c r="V1535" i="15"/>
  <c r="N1535" i="15"/>
  <c r="L1535" i="15"/>
  <c r="K1535" i="15"/>
  <c r="J1535" i="15"/>
  <c r="AD1534" i="15"/>
  <c r="AC1534" i="15"/>
  <c r="AB1534" i="15"/>
  <c r="AA1534" i="15"/>
  <c r="Z1534" i="15"/>
  <c r="AD1533" i="15"/>
  <c r="AC1533" i="15"/>
  <c r="AB1533" i="15"/>
  <c r="AA1533" i="15"/>
  <c r="Z1533" i="15"/>
  <c r="V1533" i="15"/>
  <c r="N1533" i="15"/>
  <c r="AD1532" i="15"/>
  <c r="AC1532" i="15"/>
  <c r="AB1532" i="15"/>
  <c r="AA1532" i="15"/>
  <c r="Z1532" i="15"/>
  <c r="V1532" i="15"/>
  <c r="N1532" i="15"/>
  <c r="K1532" i="15"/>
  <c r="Q1532" i="15"/>
  <c r="L1532" i="15"/>
  <c r="J1532" i="15"/>
  <c r="AD1531" i="15"/>
  <c r="AC1531" i="15"/>
  <c r="AB1531" i="15"/>
  <c r="AA1531" i="15"/>
  <c r="Z1531" i="15"/>
  <c r="V1531" i="15"/>
  <c r="N1531" i="15"/>
  <c r="L1531" i="15"/>
  <c r="K1531" i="15"/>
  <c r="J1531" i="15"/>
  <c r="AD1530" i="15"/>
  <c r="AC1530" i="15"/>
  <c r="AB1530" i="15"/>
  <c r="AA1530" i="15"/>
  <c r="Z1530" i="15"/>
  <c r="V1530" i="15"/>
  <c r="N1530" i="15"/>
  <c r="K1530" i="15"/>
  <c r="Q1530" i="15"/>
  <c r="L1530" i="15"/>
  <c r="J1530" i="15"/>
  <c r="AD1529" i="15"/>
  <c r="AC1529" i="15"/>
  <c r="AB1529" i="15"/>
  <c r="AA1529" i="15"/>
  <c r="Z1529" i="15"/>
  <c r="V1529" i="15"/>
  <c r="N1529" i="15"/>
  <c r="Q1529" i="15"/>
  <c r="M1529" i="15"/>
  <c r="AD1528" i="15"/>
  <c r="AC1528" i="15"/>
  <c r="AB1528" i="15"/>
  <c r="AA1528" i="15"/>
  <c r="Z1528" i="15"/>
  <c r="V1528" i="15"/>
  <c r="N1528" i="15"/>
  <c r="L1528" i="15"/>
  <c r="R1528" i="15"/>
  <c r="K1528" i="15"/>
  <c r="J1528" i="15"/>
  <c r="AD1527" i="15"/>
  <c r="AC1527" i="15"/>
  <c r="AB1527" i="15"/>
  <c r="AA1527" i="15"/>
  <c r="Z1527" i="15"/>
  <c r="V1527" i="15"/>
  <c r="N1527" i="15"/>
  <c r="O1527" i="15"/>
  <c r="M1527" i="15"/>
  <c r="AD1526" i="15"/>
  <c r="AC1526" i="15"/>
  <c r="AB1526" i="15"/>
  <c r="AA1526" i="15"/>
  <c r="Z1526" i="15"/>
  <c r="V1526" i="15"/>
  <c r="N1526" i="15"/>
  <c r="O1526" i="15"/>
  <c r="L1526" i="15"/>
  <c r="K1526" i="15"/>
  <c r="J1526" i="15"/>
  <c r="AD1525" i="15"/>
  <c r="AC1525" i="15"/>
  <c r="AB1525" i="15"/>
  <c r="AA1525" i="15"/>
  <c r="Z1525" i="15"/>
  <c r="V1525" i="15"/>
  <c r="N1525" i="15"/>
  <c r="O1525" i="15"/>
  <c r="L1525" i="15"/>
  <c r="K1525" i="15"/>
  <c r="J1525" i="15"/>
  <c r="AD1524" i="15"/>
  <c r="AC1524" i="15"/>
  <c r="AB1524" i="15"/>
  <c r="AA1524" i="15"/>
  <c r="Z1524" i="15"/>
  <c r="V1524" i="15"/>
  <c r="N1524" i="15"/>
  <c r="L1524" i="15"/>
  <c r="K1524" i="15"/>
  <c r="J1524" i="15"/>
  <c r="AD1523" i="15"/>
  <c r="AC1523" i="15"/>
  <c r="AB1523" i="15"/>
  <c r="AA1523" i="15"/>
  <c r="Z1523" i="15"/>
  <c r="V1523" i="15"/>
  <c r="N1523" i="15"/>
  <c r="O1523" i="15"/>
  <c r="M1523" i="15"/>
  <c r="AD1522" i="15"/>
  <c r="AC1522" i="15"/>
  <c r="AB1522" i="15"/>
  <c r="AA1522" i="15"/>
  <c r="Z1522" i="15"/>
  <c r="V1522" i="15"/>
  <c r="N1522" i="15"/>
  <c r="J1522" i="15"/>
  <c r="K1522" i="15"/>
  <c r="L1522" i="15"/>
  <c r="M1522" i="15"/>
  <c r="AD1521" i="15"/>
  <c r="AC1521" i="15"/>
  <c r="AB1521" i="15"/>
  <c r="AA1521" i="15"/>
  <c r="Z1521" i="15"/>
  <c r="V1521" i="15"/>
  <c r="N1521" i="15"/>
  <c r="L1521" i="15"/>
  <c r="K1521" i="15"/>
  <c r="J1521" i="15"/>
  <c r="M1521" i="15"/>
  <c r="AD1520" i="15"/>
  <c r="AC1520" i="15"/>
  <c r="AB1520" i="15"/>
  <c r="AA1520" i="15"/>
  <c r="Z1520" i="15"/>
  <c r="V1520" i="15"/>
  <c r="N1520" i="15"/>
  <c r="J1520" i="15"/>
  <c r="P1520" i="15"/>
  <c r="K1520" i="15"/>
  <c r="L1520" i="15"/>
  <c r="M1520" i="15"/>
  <c r="AD1519" i="15"/>
  <c r="AC1519" i="15"/>
  <c r="AB1519" i="15"/>
  <c r="AA1519" i="15"/>
  <c r="Z1519" i="15"/>
  <c r="V1519" i="15"/>
  <c r="N1519" i="15"/>
  <c r="J1519" i="15"/>
  <c r="K1519" i="15"/>
  <c r="L1519" i="15"/>
  <c r="M1519" i="15"/>
  <c r="AD1518" i="15"/>
  <c r="AC1518" i="15"/>
  <c r="AB1518" i="15"/>
  <c r="AA1518" i="15"/>
  <c r="Z1518" i="15"/>
  <c r="V1518" i="15"/>
  <c r="N1518" i="15"/>
  <c r="J1518" i="15"/>
  <c r="K1518" i="15"/>
  <c r="L1518" i="15"/>
  <c r="M1518" i="15"/>
  <c r="AD1517" i="15"/>
  <c r="AC1517" i="15"/>
  <c r="AB1517" i="15"/>
  <c r="AA1517" i="15"/>
  <c r="Z1517" i="15"/>
  <c r="V1517" i="15"/>
  <c r="N1517" i="15"/>
  <c r="J1517" i="15"/>
  <c r="M1517" i="15"/>
  <c r="AD1516" i="15"/>
  <c r="AC1516" i="15"/>
  <c r="AB1516" i="15"/>
  <c r="AA1516" i="15"/>
  <c r="Z1516" i="15"/>
  <c r="V1516" i="15"/>
  <c r="N1516" i="15"/>
  <c r="L1516" i="15"/>
  <c r="R1516" i="15"/>
  <c r="K1516" i="15"/>
  <c r="J1516" i="15"/>
  <c r="AD1515" i="15"/>
  <c r="AC1515" i="15"/>
  <c r="AB1515" i="15"/>
  <c r="AA1515" i="15"/>
  <c r="Z1515" i="15"/>
  <c r="V1515" i="15"/>
  <c r="N1515" i="15"/>
  <c r="L1515" i="15"/>
  <c r="R1515" i="15"/>
  <c r="K1515" i="15"/>
  <c r="J1515" i="15"/>
  <c r="AD1514" i="15"/>
  <c r="AC1514" i="15"/>
  <c r="AB1514" i="15"/>
  <c r="AA1514" i="15"/>
  <c r="Z1514" i="15"/>
  <c r="V1514" i="15"/>
  <c r="N1514" i="15"/>
  <c r="R1514" i="15"/>
  <c r="M1514" i="15"/>
  <c r="AD1513" i="15"/>
  <c r="AC1513" i="15"/>
  <c r="AB1513" i="15"/>
  <c r="AA1513" i="15"/>
  <c r="Z1513" i="15"/>
  <c r="AD1512" i="15"/>
  <c r="AC1512" i="15"/>
  <c r="AB1512" i="15"/>
  <c r="AA1512" i="15"/>
  <c r="Z1512" i="15"/>
  <c r="AD1511" i="15"/>
  <c r="AC1511" i="15"/>
  <c r="AB1511" i="15"/>
  <c r="AA1511" i="15"/>
  <c r="Z1511" i="15"/>
  <c r="AD1510" i="15"/>
  <c r="AC1510" i="15"/>
  <c r="AB1510" i="15"/>
  <c r="AA1510" i="15"/>
  <c r="Z1510" i="15"/>
  <c r="V1510" i="15"/>
  <c r="N1510" i="15"/>
  <c r="O1510" i="15"/>
  <c r="L1510" i="15"/>
  <c r="K1510" i="15"/>
  <c r="J1510" i="15"/>
  <c r="AD1509" i="15"/>
  <c r="AC1509" i="15"/>
  <c r="AB1509" i="15"/>
  <c r="AA1509" i="15"/>
  <c r="Z1509" i="15"/>
  <c r="V1509" i="15"/>
  <c r="N1509" i="15"/>
  <c r="L1509" i="15"/>
  <c r="K1509" i="15"/>
  <c r="J1509" i="15"/>
  <c r="AD1508" i="15"/>
  <c r="AC1508" i="15"/>
  <c r="AB1508" i="15"/>
  <c r="AA1508" i="15"/>
  <c r="Z1508" i="15"/>
  <c r="V1508" i="15"/>
  <c r="N1508" i="15"/>
  <c r="O1508" i="15"/>
  <c r="AD1507" i="15"/>
  <c r="AC1507" i="15"/>
  <c r="AB1507" i="15"/>
  <c r="AA1507" i="15"/>
  <c r="Z1507" i="15"/>
  <c r="V1507" i="15"/>
  <c r="N1507" i="15"/>
  <c r="L1507" i="15"/>
  <c r="K1507" i="15"/>
  <c r="J1507" i="15"/>
  <c r="AD1506" i="15"/>
  <c r="AC1506" i="15"/>
  <c r="AB1506" i="15"/>
  <c r="AA1506" i="15"/>
  <c r="Z1506" i="15"/>
  <c r="V1506" i="15"/>
  <c r="N1506" i="15"/>
  <c r="J1506" i="15"/>
  <c r="P1506" i="15"/>
  <c r="L1506" i="15"/>
  <c r="K1506" i="15"/>
  <c r="AD1505" i="15"/>
  <c r="AC1505" i="15"/>
  <c r="AB1505" i="15"/>
  <c r="AA1505" i="15"/>
  <c r="Z1505" i="15"/>
  <c r="V1505" i="15"/>
  <c r="N1505" i="15"/>
  <c r="L1505" i="15"/>
  <c r="K1505" i="15"/>
  <c r="J1505" i="15"/>
  <c r="AD1504" i="15"/>
  <c r="AC1504" i="15"/>
  <c r="AB1504" i="15"/>
  <c r="AA1504" i="15"/>
  <c r="Z1504" i="15"/>
  <c r="V1504" i="15"/>
  <c r="N1504" i="15"/>
  <c r="J1504" i="15"/>
  <c r="P1504" i="15"/>
  <c r="L1504" i="15"/>
  <c r="K1504" i="15"/>
  <c r="AD1503" i="15"/>
  <c r="AC1503" i="15"/>
  <c r="AB1503" i="15"/>
  <c r="AA1503" i="15"/>
  <c r="Z1503" i="15"/>
  <c r="V1503" i="15"/>
  <c r="N1503" i="15"/>
  <c r="L1503" i="15"/>
  <c r="K1503" i="15"/>
  <c r="J1503" i="15"/>
  <c r="AD1502" i="15"/>
  <c r="AC1502" i="15"/>
  <c r="AB1502" i="15"/>
  <c r="AA1502" i="15"/>
  <c r="Z1502" i="15"/>
  <c r="V1502" i="15"/>
  <c r="N1502" i="15"/>
  <c r="J1502" i="15"/>
  <c r="P1502" i="15"/>
  <c r="L1502" i="15"/>
  <c r="K1502" i="15"/>
  <c r="AD1501" i="15"/>
  <c r="AC1501" i="15"/>
  <c r="AB1501" i="15"/>
  <c r="AA1501" i="15"/>
  <c r="Z1501" i="15"/>
  <c r="V1501" i="15"/>
  <c r="N1501" i="15"/>
  <c r="L1501" i="15"/>
  <c r="K1501" i="15"/>
  <c r="J1501" i="15"/>
  <c r="AD1500" i="15"/>
  <c r="AC1500" i="15"/>
  <c r="AB1500" i="15"/>
  <c r="AA1500" i="15"/>
  <c r="Z1500" i="15"/>
  <c r="V1500" i="15"/>
  <c r="N1500" i="15"/>
  <c r="J1500" i="15"/>
  <c r="P1500" i="15"/>
  <c r="L1500" i="15"/>
  <c r="K1500" i="15"/>
  <c r="AD1499" i="15"/>
  <c r="AC1499" i="15"/>
  <c r="AB1499" i="15"/>
  <c r="AA1499" i="15"/>
  <c r="Z1499" i="15"/>
  <c r="V1499" i="15"/>
  <c r="N1499" i="15"/>
  <c r="O1499" i="15"/>
  <c r="J1499" i="15"/>
  <c r="AD1498" i="15"/>
  <c r="AC1498" i="15"/>
  <c r="AB1498" i="15"/>
  <c r="AA1498" i="15"/>
  <c r="Z1498" i="15"/>
  <c r="V1498" i="15"/>
  <c r="N1498" i="15"/>
  <c r="O1498" i="15"/>
  <c r="J1498" i="15"/>
  <c r="K1498" i="15"/>
  <c r="J1508" i="15"/>
  <c r="AD1497" i="15"/>
  <c r="AC1497" i="15"/>
  <c r="AB1497" i="15"/>
  <c r="AA1497" i="15"/>
  <c r="Z1497" i="15"/>
  <c r="N1497" i="15"/>
  <c r="P1497" i="15"/>
  <c r="M1497" i="15"/>
  <c r="AD1496" i="15"/>
  <c r="AC1496" i="15"/>
  <c r="AB1496" i="15"/>
  <c r="AA1496" i="15"/>
  <c r="Z1496" i="15"/>
  <c r="N1496" i="15"/>
  <c r="M1496" i="15"/>
  <c r="AD1495" i="15"/>
  <c r="AC1495" i="15"/>
  <c r="AB1495" i="15"/>
  <c r="AA1495" i="15"/>
  <c r="Z1495" i="15"/>
  <c r="N1495" i="15"/>
  <c r="M1495" i="15"/>
  <c r="AD1494" i="15"/>
  <c r="AC1494" i="15"/>
  <c r="AB1494" i="15"/>
  <c r="AA1494" i="15"/>
  <c r="Z1494" i="15"/>
  <c r="AD1493" i="15"/>
  <c r="AC1493" i="15"/>
  <c r="AB1493" i="15"/>
  <c r="AA1493" i="15"/>
  <c r="Z1493" i="15"/>
  <c r="AD1492" i="15"/>
  <c r="AC1492" i="15"/>
  <c r="AB1492" i="15"/>
  <c r="AA1492" i="15"/>
  <c r="Z1492" i="15"/>
  <c r="AD1491" i="15"/>
  <c r="AC1491" i="15"/>
  <c r="AB1491" i="15"/>
  <c r="AA1491" i="15"/>
  <c r="Z1491" i="15"/>
  <c r="N1491" i="15"/>
  <c r="M1491" i="15"/>
  <c r="AD1490" i="15"/>
  <c r="AC1490" i="15"/>
  <c r="AB1490" i="15"/>
  <c r="AA1490" i="15"/>
  <c r="Z1490" i="15"/>
  <c r="N1490" i="15"/>
  <c r="J1490" i="15"/>
  <c r="K1490" i="15"/>
  <c r="L1490" i="15"/>
  <c r="M1490" i="15"/>
  <c r="AD1489" i="15"/>
  <c r="AC1489" i="15"/>
  <c r="AB1489" i="15"/>
  <c r="AA1489" i="15"/>
  <c r="Z1489" i="15"/>
  <c r="AD1488" i="15"/>
  <c r="AC1488" i="15"/>
  <c r="AB1488" i="15"/>
  <c r="AA1488" i="15"/>
  <c r="Z1488" i="15"/>
  <c r="N1488" i="15"/>
  <c r="M1488" i="15"/>
  <c r="AD1487" i="15"/>
  <c r="AC1487" i="15"/>
  <c r="AB1487" i="15"/>
  <c r="AA1487" i="15"/>
  <c r="Z1487" i="15"/>
  <c r="N1487" i="15"/>
  <c r="R1487" i="15"/>
  <c r="M1487" i="15"/>
  <c r="AD1486" i="15"/>
  <c r="AC1486" i="15"/>
  <c r="AB1486" i="15"/>
  <c r="AA1486" i="15"/>
  <c r="Z1486" i="15"/>
  <c r="V1486" i="15"/>
  <c r="N1486" i="15"/>
  <c r="M1486" i="15"/>
  <c r="AD1485" i="15"/>
  <c r="AC1485" i="15"/>
  <c r="AB1485" i="15"/>
  <c r="AA1485" i="15"/>
  <c r="Z1485" i="15"/>
  <c r="N1485" i="15"/>
  <c r="Q1485" i="15"/>
  <c r="M1485" i="15"/>
  <c r="AD1484" i="15"/>
  <c r="AC1484" i="15"/>
  <c r="AB1484" i="15"/>
  <c r="AA1484" i="15"/>
  <c r="Z1484" i="15"/>
  <c r="V1484" i="15"/>
  <c r="N1484" i="15"/>
  <c r="AD1483" i="15"/>
  <c r="AC1483" i="15"/>
  <c r="AB1483" i="15"/>
  <c r="AA1483" i="15"/>
  <c r="Z1483" i="15"/>
  <c r="V1483" i="15"/>
  <c r="N1483" i="15"/>
  <c r="L1483" i="15"/>
  <c r="L1484" i="15"/>
  <c r="K1483" i="15"/>
  <c r="J1483" i="15"/>
  <c r="J1484" i="15"/>
  <c r="AD1482" i="15"/>
  <c r="AC1482" i="15"/>
  <c r="AB1482" i="15"/>
  <c r="AA1482" i="15"/>
  <c r="Z1482" i="15"/>
  <c r="AD1481" i="15"/>
  <c r="AC1481" i="15"/>
  <c r="AB1481" i="15"/>
  <c r="AA1481" i="15"/>
  <c r="Z1481" i="15"/>
  <c r="V1481" i="15"/>
  <c r="N1481" i="15"/>
  <c r="O1481" i="15"/>
  <c r="L1481" i="15"/>
  <c r="K1481" i="15"/>
  <c r="J1481" i="15"/>
  <c r="AD1480" i="15"/>
  <c r="AC1480" i="15"/>
  <c r="AB1480" i="15"/>
  <c r="AA1480" i="15"/>
  <c r="Z1480" i="15"/>
  <c r="V1480" i="15"/>
  <c r="N1480" i="15"/>
  <c r="O1480" i="15"/>
  <c r="J1480" i="15"/>
  <c r="M1480" i="15"/>
  <c r="AD1479" i="15"/>
  <c r="AC1479" i="15"/>
  <c r="AB1479" i="15"/>
  <c r="AA1479" i="15"/>
  <c r="Z1479" i="15"/>
  <c r="V1479" i="15"/>
  <c r="N1479" i="15"/>
  <c r="Q1479" i="15"/>
  <c r="J1479" i="15"/>
  <c r="M1479" i="15"/>
  <c r="AD1478" i="15"/>
  <c r="AC1478" i="15"/>
  <c r="AB1478" i="15"/>
  <c r="AA1478" i="15"/>
  <c r="Z1478" i="15"/>
  <c r="V1478" i="15"/>
  <c r="N1478" i="15"/>
  <c r="O1478" i="15"/>
  <c r="M1478" i="15"/>
  <c r="AD1477" i="15"/>
  <c r="AC1477" i="15"/>
  <c r="AB1477" i="15"/>
  <c r="AA1477" i="15"/>
  <c r="Z1477" i="15"/>
  <c r="V1477" i="15"/>
  <c r="N1477" i="15"/>
  <c r="J1477" i="15"/>
  <c r="M1477" i="15"/>
  <c r="AD1476" i="15"/>
  <c r="AC1476" i="15"/>
  <c r="AB1476" i="15"/>
  <c r="AA1476" i="15"/>
  <c r="Z1476" i="15"/>
  <c r="V1476" i="15"/>
  <c r="N1476" i="15"/>
  <c r="R1476" i="15"/>
  <c r="M1476" i="15"/>
  <c r="AD1475" i="15"/>
  <c r="AC1475" i="15"/>
  <c r="AB1475" i="15"/>
  <c r="AA1475" i="15"/>
  <c r="Z1475" i="15"/>
  <c r="AD1474" i="15"/>
  <c r="AC1474" i="15"/>
  <c r="AB1474" i="15"/>
  <c r="AA1474" i="15"/>
  <c r="Z1474" i="15"/>
  <c r="AD1473" i="15"/>
  <c r="AC1473" i="15"/>
  <c r="AB1473" i="15"/>
  <c r="AA1473" i="15"/>
  <c r="Z1473" i="15"/>
  <c r="V1473" i="15"/>
  <c r="N1473" i="15"/>
  <c r="P1473" i="15"/>
  <c r="K1473" i="15"/>
  <c r="M1473" i="15"/>
  <c r="AD1472" i="15"/>
  <c r="AC1472" i="15"/>
  <c r="AB1472" i="15"/>
  <c r="AA1472" i="15"/>
  <c r="Z1472" i="15"/>
  <c r="V1472" i="15"/>
  <c r="N1472" i="15"/>
  <c r="Q1472" i="15"/>
  <c r="J1472" i="15"/>
  <c r="AD1471" i="15"/>
  <c r="AC1471" i="15"/>
  <c r="AB1471" i="15"/>
  <c r="AA1471" i="15"/>
  <c r="Z1471" i="15"/>
  <c r="V1471" i="15"/>
  <c r="N1471" i="15"/>
  <c r="J1471" i="15"/>
  <c r="M1471" i="15"/>
  <c r="AD1470" i="15"/>
  <c r="AC1470" i="15"/>
  <c r="AB1470" i="15"/>
  <c r="AA1470" i="15"/>
  <c r="Z1470" i="15"/>
  <c r="V1470" i="15"/>
  <c r="N1470" i="15"/>
  <c r="P1470" i="15"/>
  <c r="M1470" i="15"/>
  <c r="AD1469" i="15"/>
  <c r="AC1469" i="15"/>
  <c r="AB1469" i="15"/>
  <c r="AA1469" i="15"/>
  <c r="Z1469" i="15"/>
  <c r="V1469" i="15"/>
  <c r="N1469" i="15"/>
  <c r="P1469" i="15"/>
  <c r="M1469" i="15"/>
  <c r="AD1468" i="15"/>
  <c r="AC1468" i="15"/>
  <c r="AB1468" i="15"/>
  <c r="AA1468" i="15"/>
  <c r="Z1468" i="15"/>
  <c r="AD1467" i="15"/>
  <c r="AC1467" i="15"/>
  <c r="AB1467" i="15"/>
  <c r="AA1467" i="15"/>
  <c r="Z1467" i="15"/>
  <c r="AD1466" i="15"/>
  <c r="AC1466" i="15"/>
  <c r="AB1466" i="15"/>
  <c r="AA1466" i="15"/>
  <c r="Z1466" i="15"/>
  <c r="AD1465" i="15"/>
  <c r="AC1465" i="15"/>
  <c r="AB1465" i="15"/>
  <c r="AA1465" i="15"/>
  <c r="Z1465" i="15"/>
  <c r="V1465" i="15"/>
  <c r="N1465" i="15"/>
  <c r="L1465" i="15"/>
  <c r="R1465" i="15"/>
  <c r="K1465" i="15"/>
  <c r="J1465" i="15"/>
  <c r="AD1464" i="15"/>
  <c r="AC1464" i="15"/>
  <c r="AB1464" i="15"/>
  <c r="AA1464" i="15"/>
  <c r="Z1464" i="15"/>
  <c r="V1464" i="15"/>
  <c r="N1464" i="15"/>
  <c r="R1464" i="15"/>
  <c r="J1464" i="15"/>
  <c r="M1464" i="15"/>
  <c r="AD1463" i="15"/>
  <c r="AC1463" i="15"/>
  <c r="AB1463" i="15"/>
  <c r="AA1463" i="15"/>
  <c r="Z1463" i="15"/>
  <c r="V1463" i="15"/>
  <c r="N1463" i="15"/>
  <c r="P1463" i="15"/>
  <c r="M1463" i="15"/>
  <c r="AD1462" i="15"/>
  <c r="AC1462" i="15"/>
  <c r="AB1462" i="15"/>
  <c r="AA1462" i="15"/>
  <c r="Z1462" i="15"/>
  <c r="V1462" i="15"/>
  <c r="N1462" i="15"/>
  <c r="J1462" i="15"/>
  <c r="M1462" i="15"/>
  <c r="AD1461" i="15"/>
  <c r="AC1461" i="15"/>
  <c r="AB1461" i="15"/>
  <c r="AA1461" i="15"/>
  <c r="Z1461" i="15"/>
  <c r="AD1460" i="15"/>
  <c r="AC1460" i="15"/>
  <c r="AB1460" i="15"/>
  <c r="AA1460" i="15"/>
  <c r="Z1460" i="15"/>
  <c r="V1460" i="15"/>
  <c r="N1460" i="15"/>
  <c r="O1460" i="15"/>
  <c r="M1460" i="15"/>
  <c r="AD1459" i="15"/>
  <c r="AC1459" i="15"/>
  <c r="AB1459" i="15"/>
  <c r="AA1459" i="15"/>
  <c r="Z1459" i="15"/>
  <c r="V1459" i="15"/>
  <c r="N1459" i="15"/>
  <c r="O1459" i="15"/>
  <c r="M1459" i="15"/>
  <c r="AD1458" i="15"/>
  <c r="AC1458" i="15"/>
  <c r="AB1458" i="15"/>
  <c r="AA1458" i="15"/>
  <c r="Z1458" i="15"/>
  <c r="V1458" i="15"/>
  <c r="N1458" i="15"/>
  <c r="O1458" i="15"/>
  <c r="M1458" i="15"/>
  <c r="AD1457" i="15"/>
  <c r="AC1457" i="15"/>
  <c r="AB1457" i="15"/>
  <c r="AA1457" i="15"/>
  <c r="Z1457" i="15"/>
  <c r="V1457" i="15"/>
  <c r="N1457" i="15"/>
  <c r="O1457" i="15"/>
  <c r="M1457" i="15"/>
  <c r="AD1456" i="15"/>
  <c r="AC1456" i="15"/>
  <c r="AB1456" i="15"/>
  <c r="AA1456" i="15"/>
  <c r="Z1456" i="15"/>
  <c r="V1456" i="15"/>
  <c r="N1456" i="15"/>
  <c r="M1456" i="15"/>
  <c r="AD1455" i="15"/>
  <c r="AC1455" i="15"/>
  <c r="AB1455" i="15"/>
  <c r="AA1455" i="15"/>
  <c r="Z1455" i="15"/>
  <c r="V1455" i="15"/>
  <c r="N1455" i="15"/>
  <c r="J1455" i="15"/>
  <c r="P1455" i="15"/>
  <c r="K1455" i="15"/>
  <c r="L1455" i="15"/>
  <c r="M1455" i="15"/>
  <c r="AD1454" i="15"/>
  <c r="AC1454" i="15"/>
  <c r="AB1454" i="15"/>
  <c r="AA1454" i="15"/>
  <c r="Z1454" i="15"/>
  <c r="V1454" i="15"/>
  <c r="N1454" i="15"/>
  <c r="AD1453" i="15"/>
  <c r="AC1453" i="15"/>
  <c r="AB1453" i="15"/>
  <c r="AA1453" i="15"/>
  <c r="Z1453" i="15"/>
  <c r="V1453" i="15"/>
  <c r="N1453" i="15"/>
  <c r="O1453" i="15"/>
  <c r="J1453" i="15"/>
  <c r="M1453" i="15"/>
  <c r="AD1452" i="15"/>
  <c r="AC1452" i="15"/>
  <c r="AB1452" i="15"/>
  <c r="AA1452" i="15"/>
  <c r="Z1452" i="15"/>
  <c r="V1452" i="15"/>
  <c r="N1452" i="15"/>
  <c r="J1452" i="15"/>
  <c r="M1452" i="15"/>
  <c r="AD1451" i="15"/>
  <c r="AC1451" i="15"/>
  <c r="AB1451" i="15"/>
  <c r="AA1451" i="15"/>
  <c r="Z1451" i="15"/>
  <c r="V1451" i="15"/>
  <c r="N1451" i="15"/>
  <c r="O1451" i="15"/>
  <c r="M1451" i="15"/>
  <c r="AD1450" i="15"/>
  <c r="AC1450" i="15"/>
  <c r="AB1450" i="15"/>
  <c r="AA1450" i="15"/>
  <c r="Z1450" i="15"/>
  <c r="AD1449" i="15"/>
  <c r="AC1449" i="15"/>
  <c r="AB1449" i="15"/>
  <c r="AA1449" i="15"/>
  <c r="Z1449" i="15"/>
  <c r="AD1448" i="15"/>
  <c r="AC1448" i="15"/>
  <c r="AB1448" i="15"/>
  <c r="AA1448" i="15"/>
  <c r="Z1448" i="15"/>
  <c r="V1448" i="15"/>
  <c r="N1448" i="15"/>
  <c r="R1448" i="15"/>
  <c r="M1448" i="15"/>
  <c r="AD1447" i="15"/>
  <c r="AC1447" i="15"/>
  <c r="AB1447" i="15"/>
  <c r="AA1447" i="15"/>
  <c r="Z1447" i="15"/>
  <c r="V1447" i="15"/>
  <c r="N1447" i="15"/>
  <c r="L1447" i="15"/>
  <c r="R1447" i="15"/>
  <c r="K1447" i="15"/>
  <c r="AD1446" i="15"/>
  <c r="AC1446" i="15"/>
  <c r="AB1446" i="15"/>
  <c r="AA1446" i="15"/>
  <c r="Z1446" i="15"/>
  <c r="V1446" i="15"/>
  <c r="N1446" i="15"/>
  <c r="J1446" i="15"/>
  <c r="AD1445" i="15"/>
  <c r="AC1445" i="15"/>
  <c r="AB1445" i="15"/>
  <c r="AA1445" i="15"/>
  <c r="Z1445" i="15"/>
  <c r="V1445" i="15"/>
  <c r="N1445" i="15"/>
  <c r="R1445" i="15"/>
  <c r="K1445" i="15"/>
  <c r="M1445" i="15"/>
  <c r="AD1444" i="15"/>
  <c r="AC1444" i="15"/>
  <c r="AB1444" i="15"/>
  <c r="AA1444" i="15"/>
  <c r="Z1444" i="15"/>
  <c r="AD1443" i="15"/>
  <c r="AC1443" i="15"/>
  <c r="AB1443" i="15"/>
  <c r="AA1443" i="15"/>
  <c r="Z1443" i="15"/>
  <c r="AD1442" i="15"/>
  <c r="AC1442" i="15"/>
  <c r="AB1442" i="15"/>
  <c r="AA1442" i="15"/>
  <c r="Z1442" i="15"/>
  <c r="V1442" i="15"/>
  <c r="N1442" i="15"/>
  <c r="L1442" i="15"/>
  <c r="M1442" i="15"/>
  <c r="AD1441" i="15"/>
  <c r="AC1441" i="15"/>
  <c r="AB1441" i="15"/>
  <c r="AA1441" i="15"/>
  <c r="Z1441" i="15"/>
  <c r="V1441" i="15"/>
  <c r="N1441" i="15"/>
  <c r="L1441" i="15"/>
  <c r="K1441" i="15"/>
  <c r="J1441" i="15"/>
  <c r="AD1440" i="15"/>
  <c r="AC1440" i="15"/>
  <c r="AB1440" i="15"/>
  <c r="AA1440" i="15"/>
  <c r="Z1440" i="15"/>
  <c r="V1440" i="15"/>
  <c r="N1440" i="15"/>
  <c r="L1440" i="15"/>
  <c r="R1440" i="15"/>
  <c r="K1440" i="15"/>
  <c r="J1440" i="15"/>
  <c r="AD1439" i="15"/>
  <c r="AC1439" i="15"/>
  <c r="AB1439" i="15"/>
  <c r="AA1439" i="15"/>
  <c r="Z1439" i="15"/>
  <c r="V1439" i="15"/>
  <c r="N1439" i="15"/>
  <c r="L1439" i="15"/>
  <c r="R1439" i="15"/>
  <c r="K1439" i="15"/>
  <c r="J1439" i="15"/>
  <c r="AD1438" i="15"/>
  <c r="AC1438" i="15"/>
  <c r="AB1438" i="15"/>
  <c r="AA1438" i="15"/>
  <c r="Z1438" i="15"/>
  <c r="V1438" i="15"/>
  <c r="N1438" i="15"/>
  <c r="R1438" i="15"/>
  <c r="M1438" i="15"/>
  <c r="AD1437" i="15"/>
  <c r="AC1437" i="15"/>
  <c r="AB1437" i="15"/>
  <c r="AA1437" i="15"/>
  <c r="Z1437" i="15"/>
  <c r="AD1436" i="15"/>
  <c r="AC1436" i="15"/>
  <c r="AB1436" i="15"/>
  <c r="AA1436" i="15"/>
  <c r="Z1436" i="15"/>
  <c r="V1436" i="15"/>
  <c r="N1436" i="15"/>
  <c r="O1436" i="15"/>
  <c r="K1436" i="15"/>
  <c r="AD1435" i="15"/>
  <c r="AC1435" i="15"/>
  <c r="AB1435" i="15"/>
  <c r="AA1435" i="15"/>
  <c r="Z1435" i="15"/>
  <c r="AD1434" i="15"/>
  <c r="AC1434" i="15"/>
  <c r="AB1434" i="15"/>
  <c r="AA1434" i="15"/>
  <c r="Z1434" i="15"/>
  <c r="V1434" i="15"/>
  <c r="N1434" i="15"/>
  <c r="R1434" i="15"/>
  <c r="M1434" i="15"/>
  <c r="AD1433" i="15"/>
  <c r="AC1433" i="15"/>
  <c r="AB1433" i="15"/>
  <c r="AA1433" i="15"/>
  <c r="Z1433" i="15"/>
  <c r="V1433" i="15"/>
  <c r="N1433" i="15"/>
  <c r="L1433" i="15"/>
  <c r="K1433" i="15"/>
  <c r="J1433" i="15"/>
  <c r="AD1432" i="15"/>
  <c r="AC1432" i="15"/>
  <c r="AB1432" i="15"/>
  <c r="AA1432" i="15"/>
  <c r="Z1432" i="15"/>
  <c r="V1432" i="15"/>
  <c r="N1432" i="15"/>
  <c r="L1432" i="15"/>
  <c r="R1432" i="15"/>
  <c r="K1432" i="15"/>
  <c r="J1432" i="15"/>
  <c r="AD1431" i="15"/>
  <c r="AC1431" i="15"/>
  <c r="AB1431" i="15"/>
  <c r="AA1431" i="15"/>
  <c r="Z1431" i="15"/>
  <c r="V1431" i="15"/>
  <c r="N1431" i="15"/>
  <c r="M1431" i="15"/>
  <c r="AD1430" i="15"/>
  <c r="AC1430" i="15"/>
  <c r="AB1430" i="15"/>
  <c r="AA1430" i="15"/>
  <c r="Z1430" i="15"/>
  <c r="AD1429" i="15"/>
  <c r="AC1429" i="15"/>
  <c r="AB1429" i="15"/>
  <c r="AA1429" i="15"/>
  <c r="Z1429" i="15"/>
  <c r="AD1428" i="15"/>
  <c r="AC1428" i="15"/>
  <c r="AB1428" i="15"/>
  <c r="AA1428" i="15"/>
  <c r="Z1428" i="15"/>
  <c r="AD1427" i="15"/>
  <c r="AC1427" i="15"/>
  <c r="AB1427" i="15"/>
  <c r="AA1427" i="15"/>
  <c r="Z1427" i="15"/>
  <c r="AD1426" i="15"/>
  <c r="AC1426" i="15"/>
  <c r="AB1426" i="15"/>
  <c r="AA1426" i="15"/>
  <c r="Z1426" i="15"/>
  <c r="V1426" i="15"/>
  <c r="N1426" i="15"/>
  <c r="R1426" i="15"/>
  <c r="M1426" i="15"/>
  <c r="AD1425" i="15"/>
  <c r="AC1425" i="15"/>
  <c r="AB1425" i="15"/>
  <c r="AA1425" i="15"/>
  <c r="Z1425" i="15"/>
  <c r="V1425" i="15"/>
  <c r="N1425" i="15"/>
  <c r="M1425" i="15"/>
  <c r="AD1424" i="15"/>
  <c r="AC1424" i="15"/>
  <c r="AB1424" i="15"/>
  <c r="AA1424" i="15"/>
  <c r="Z1424" i="15"/>
  <c r="V1424" i="15"/>
  <c r="N1424" i="15"/>
  <c r="R1424" i="15"/>
  <c r="M1424" i="15"/>
  <c r="AD1423" i="15"/>
  <c r="AC1423" i="15"/>
  <c r="AB1423" i="15"/>
  <c r="AA1423" i="15"/>
  <c r="Z1423" i="15"/>
  <c r="V1423" i="15"/>
  <c r="N1423" i="15"/>
  <c r="M1423" i="15"/>
  <c r="AD1422" i="15"/>
  <c r="AC1422" i="15"/>
  <c r="AB1422" i="15"/>
  <c r="AA1422" i="15"/>
  <c r="Z1422" i="15"/>
  <c r="AD1421" i="15"/>
  <c r="AC1421" i="15"/>
  <c r="AB1421" i="15"/>
  <c r="AA1421" i="15"/>
  <c r="Z1421" i="15"/>
  <c r="AD1420" i="15"/>
  <c r="AC1420" i="15"/>
  <c r="AB1420" i="15"/>
  <c r="AA1420" i="15"/>
  <c r="Z1420" i="15"/>
  <c r="AD1419" i="15"/>
  <c r="AC1419" i="15"/>
  <c r="AB1419" i="15"/>
  <c r="AA1419" i="15"/>
  <c r="Z1419" i="15"/>
  <c r="V1419" i="15"/>
  <c r="N1419" i="15"/>
  <c r="M1419" i="15"/>
  <c r="AD1418" i="15"/>
  <c r="AC1418" i="15"/>
  <c r="AB1418" i="15"/>
  <c r="AA1418" i="15"/>
  <c r="Z1418" i="15"/>
  <c r="AD1417" i="15"/>
  <c r="AC1417" i="15"/>
  <c r="AB1417" i="15"/>
  <c r="AA1417" i="15"/>
  <c r="Z1417" i="15"/>
  <c r="V1417" i="15"/>
  <c r="N1417" i="15"/>
  <c r="O1417" i="15"/>
  <c r="L1417" i="15"/>
  <c r="K1417" i="15"/>
  <c r="J1417" i="15"/>
  <c r="AD1416" i="15"/>
  <c r="AC1416" i="15"/>
  <c r="AB1416" i="15"/>
  <c r="AA1416" i="15"/>
  <c r="Z1416" i="15"/>
  <c r="V1416" i="15"/>
  <c r="N1416" i="15"/>
  <c r="R1416" i="15"/>
  <c r="M1416" i="15"/>
  <c r="AD1415" i="15"/>
  <c r="AC1415" i="15"/>
  <c r="AB1415" i="15"/>
  <c r="AA1415" i="15"/>
  <c r="Z1415" i="15"/>
  <c r="AD1414" i="15"/>
  <c r="AC1414" i="15"/>
  <c r="AB1414" i="15"/>
  <c r="AA1414" i="15"/>
  <c r="Z1414" i="15"/>
  <c r="V1414" i="15"/>
  <c r="N1414" i="15"/>
  <c r="O1414" i="15"/>
  <c r="M1414" i="15"/>
  <c r="AD1413" i="15"/>
  <c r="AC1413" i="15"/>
  <c r="AB1413" i="15"/>
  <c r="AA1413" i="15"/>
  <c r="Z1413" i="15"/>
  <c r="V1413" i="15"/>
  <c r="N1413" i="15"/>
  <c r="M1413" i="15"/>
  <c r="AD1412" i="15"/>
  <c r="AC1412" i="15"/>
  <c r="AB1412" i="15"/>
  <c r="AA1412" i="15"/>
  <c r="Z1412" i="15"/>
  <c r="AD1411" i="15"/>
  <c r="AC1411" i="15"/>
  <c r="AB1411" i="15"/>
  <c r="AA1411" i="15"/>
  <c r="Z1411" i="15"/>
  <c r="V1411" i="15"/>
  <c r="N1411" i="15"/>
  <c r="R1411" i="15"/>
  <c r="J1411" i="15"/>
  <c r="M1411" i="15"/>
  <c r="AD1410" i="15"/>
  <c r="AC1410" i="15"/>
  <c r="AB1410" i="15"/>
  <c r="AA1410" i="15"/>
  <c r="Z1410" i="15"/>
  <c r="V1410" i="15"/>
  <c r="N1410" i="15"/>
  <c r="M1410" i="15"/>
  <c r="AD1409" i="15"/>
  <c r="AC1409" i="15"/>
  <c r="AB1409" i="15"/>
  <c r="AA1409" i="15"/>
  <c r="Z1409" i="15"/>
  <c r="AD1408" i="15"/>
  <c r="AC1408" i="15"/>
  <c r="AB1408" i="15"/>
  <c r="AA1408" i="15"/>
  <c r="Z1408" i="15"/>
  <c r="AD1407" i="15"/>
  <c r="AC1407" i="15"/>
  <c r="AB1407" i="15"/>
  <c r="AA1407" i="15"/>
  <c r="Z1407" i="15"/>
  <c r="V1407" i="15"/>
  <c r="N1407" i="15"/>
  <c r="P1407" i="15"/>
  <c r="M1407" i="15"/>
  <c r="AD1406" i="15"/>
  <c r="AC1406" i="15"/>
  <c r="AB1406" i="15"/>
  <c r="AA1406" i="15"/>
  <c r="Z1406" i="15"/>
  <c r="V1406" i="15"/>
  <c r="N1406" i="15"/>
  <c r="M1406" i="15"/>
  <c r="AD1405" i="15"/>
  <c r="AC1405" i="15"/>
  <c r="AB1405" i="15"/>
  <c r="AA1405" i="15"/>
  <c r="Z1405" i="15"/>
  <c r="AD1404" i="15"/>
  <c r="AC1404" i="15"/>
  <c r="AB1404" i="15"/>
  <c r="AA1404" i="15"/>
  <c r="Z1404" i="15"/>
  <c r="AD1403" i="15"/>
  <c r="AC1403" i="15"/>
  <c r="AB1403" i="15"/>
  <c r="AA1403" i="15"/>
  <c r="Z1403" i="15"/>
  <c r="V1403" i="15"/>
  <c r="N1403" i="15"/>
  <c r="O1403" i="15"/>
  <c r="M1403" i="15"/>
  <c r="AD1402" i="15"/>
  <c r="AC1402" i="15"/>
  <c r="AB1402" i="15"/>
  <c r="AA1402" i="15"/>
  <c r="Z1402" i="15"/>
  <c r="V1402" i="15"/>
  <c r="N1402" i="15"/>
  <c r="M1402" i="15"/>
  <c r="AD1401" i="15"/>
  <c r="AC1401" i="15"/>
  <c r="AB1401" i="15"/>
  <c r="AA1401" i="15"/>
  <c r="Z1401" i="15"/>
  <c r="V1401" i="15"/>
  <c r="N1401" i="15"/>
  <c r="P1401" i="15"/>
  <c r="M1401" i="15"/>
  <c r="AD1400" i="15"/>
  <c r="AC1400" i="15"/>
  <c r="AB1400" i="15"/>
  <c r="AA1400" i="15"/>
  <c r="Z1400" i="15"/>
  <c r="AD1399" i="15"/>
  <c r="AC1399" i="15"/>
  <c r="AB1399" i="15"/>
  <c r="AA1399" i="15"/>
  <c r="Z1399" i="15"/>
  <c r="AD1398" i="15"/>
  <c r="AC1398" i="15"/>
  <c r="AB1398" i="15"/>
  <c r="AA1398" i="15"/>
  <c r="Z1398" i="15"/>
  <c r="V1398" i="15"/>
  <c r="N1398" i="15"/>
  <c r="O1398" i="15"/>
  <c r="M1398" i="15"/>
  <c r="AD1397" i="15"/>
  <c r="AC1397" i="15"/>
  <c r="AB1397" i="15"/>
  <c r="AA1397" i="15"/>
  <c r="Z1397" i="15"/>
  <c r="V1397" i="15"/>
  <c r="N1397" i="15"/>
  <c r="L1397" i="15"/>
  <c r="J1397" i="15"/>
  <c r="M1397" i="15"/>
  <c r="AD1396" i="15"/>
  <c r="AC1396" i="15"/>
  <c r="AB1396" i="15"/>
  <c r="AA1396" i="15"/>
  <c r="Z1396" i="15"/>
  <c r="V1396" i="15"/>
  <c r="N1396" i="15"/>
  <c r="R1396" i="15"/>
  <c r="M1396" i="15"/>
  <c r="AD1395" i="15"/>
  <c r="AC1395" i="15"/>
  <c r="AB1395" i="15"/>
  <c r="AA1395" i="15"/>
  <c r="Z1395" i="15"/>
  <c r="V1395" i="15"/>
  <c r="N1395" i="15"/>
  <c r="L1395" i="15"/>
  <c r="J1395" i="15"/>
  <c r="M1395" i="15"/>
  <c r="AD1394" i="15"/>
  <c r="AC1394" i="15"/>
  <c r="AB1394" i="15"/>
  <c r="AA1394" i="15"/>
  <c r="Z1394" i="15"/>
  <c r="V1394" i="15"/>
  <c r="N1394" i="15"/>
  <c r="Q1394" i="15"/>
  <c r="L1394" i="15"/>
  <c r="J1394" i="15"/>
  <c r="AD1393" i="15"/>
  <c r="AC1393" i="15"/>
  <c r="AB1393" i="15"/>
  <c r="AA1393" i="15"/>
  <c r="Z1393" i="15"/>
  <c r="AD1392" i="15"/>
  <c r="AC1392" i="15"/>
  <c r="AB1392" i="15"/>
  <c r="AA1392" i="15"/>
  <c r="Z1392" i="15"/>
  <c r="V1392" i="15"/>
  <c r="N1392" i="15"/>
  <c r="L1392" i="15"/>
  <c r="M1392" i="15"/>
  <c r="AD1391" i="15"/>
  <c r="AC1391" i="15"/>
  <c r="AB1391" i="15"/>
  <c r="AA1391" i="15"/>
  <c r="Z1391" i="15"/>
  <c r="V1391" i="15"/>
  <c r="N1391" i="15"/>
  <c r="P1391" i="15"/>
  <c r="M1391" i="15"/>
  <c r="AD1390" i="15"/>
  <c r="AC1390" i="15"/>
  <c r="AB1390" i="15"/>
  <c r="AA1390" i="15"/>
  <c r="Z1390" i="15"/>
  <c r="V1390" i="15"/>
  <c r="N1390" i="15"/>
  <c r="AD1389" i="15"/>
  <c r="AC1389" i="15"/>
  <c r="AB1389" i="15"/>
  <c r="AA1389" i="15"/>
  <c r="Z1389" i="15"/>
  <c r="AD1388" i="15"/>
  <c r="AC1388" i="15"/>
  <c r="AB1388" i="15"/>
  <c r="AA1388" i="15"/>
  <c r="Z1388" i="15"/>
  <c r="V1388" i="15"/>
  <c r="N1388" i="15"/>
  <c r="K1388" i="15"/>
  <c r="Q1388" i="15"/>
  <c r="L1388" i="15"/>
  <c r="J1388" i="15"/>
  <c r="AD1387" i="15"/>
  <c r="AC1387" i="15"/>
  <c r="AB1387" i="15"/>
  <c r="AA1387" i="15"/>
  <c r="Z1387" i="15"/>
  <c r="V1387" i="15"/>
  <c r="N1387" i="15"/>
  <c r="L1387" i="15"/>
  <c r="K1387" i="15"/>
  <c r="J1387" i="15"/>
  <c r="AD1386" i="15"/>
  <c r="AC1386" i="15"/>
  <c r="AB1386" i="15"/>
  <c r="AA1386" i="15"/>
  <c r="Z1386" i="15"/>
  <c r="V1386" i="15"/>
  <c r="N1386" i="15"/>
  <c r="P1386" i="15"/>
  <c r="M1386" i="15"/>
  <c r="AD1385" i="15"/>
  <c r="AC1385" i="15"/>
  <c r="AB1385" i="15"/>
  <c r="AA1385" i="15"/>
  <c r="Z1385" i="15"/>
  <c r="AD1384" i="15"/>
  <c r="AC1384" i="15"/>
  <c r="AB1384" i="15"/>
  <c r="AA1384" i="15"/>
  <c r="Z1384" i="15"/>
  <c r="AD1383" i="15"/>
  <c r="AC1383" i="15"/>
  <c r="AB1383" i="15"/>
  <c r="AA1383" i="15"/>
  <c r="Z1383" i="15"/>
  <c r="V1383" i="15"/>
  <c r="N1383" i="15"/>
  <c r="O1383" i="15"/>
  <c r="M1383" i="15"/>
  <c r="AD1382" i="15"/>
  <c r="AC1382" i="15"/>
  <c r="AB1382" i="15"/>
  <c r="AA1382" i="15"/>
  <c r="Z1382" i="15"/>
  <c r="V1382" i="15"/>
  <c r="N1382" i="15"/>
  <c r="J1382" i="15"/>
  <c r="P1382" i="15"/>
  <c r="L1382" i="15"/>
  <c r="AD1381" i="15"/>
  <c r="AC1381" i="15"/>
  <c r="AB1381" i="15"/>
  <c r="AA1381" i="15"/>
  <c r="Z1381" i="15"/>
  <c r="AD1380" i="15"/>
  <c r="AC1380" i="15"/>
  <c r="AB1380" i="15"/>
  <c r="AA1380" i="15"/>
  <c r="Z1380" i="15"/>
  <c r="V1380" i="15"/>
  <c r="N1380" i="15"/>
  <c r="Q1380" i="15"/>
  <c r="M1380" i="15"/>
  <c r="AD1379" i="15"/>
  <c r="AC1379" i="15"/>
  <c r="AB1379" i="15"/>
  <c r="AA1379" i="15"/>
  <c r="Z1379" i="15"/>
  <c r="V1379" i="15"/>
  <c r="N1379" i="15"/>
  <c r="Q1379" i="15"/>
  <c r="M1379" i="15"/>
  <c r="AD1378" i="15"/>
  <c r="AC1378" i="15"/>
  <c r="AB1378" i="15"/>
  <c r="AA1378" i="15"/>
  <c r="Z1378" i="15"/>
  <c r="AD1377" i="15"/>
  <c r="AC1377" i="15"/>
  <c r="AB1377" i="15"/>
  <c r="AA1377" i="15"/>
  <c r="Z1377" i="15"/>
  <c r="V1377" i="15"/>
  <c r="N1377" i="15"/>
  <c r="O1377" i="15"/>
  <c r="R1377" i="15"/>
  <c r="M1377" i="15"/>
  <c r="AD1376" i="15"/>
  <c r="AC1376" i="15"/>
  <c r="AB1376" i="15"/>
  <c r="AA1376" i="15"/>
  <c r="Z1376" i="15"/>
  <c r="V1376" i="15"/>
  <c r="N1376" i="15"/>
  <c r="M1376" i="15"/>
  <c r="AD1375" i="15"/>
  <c r="AC1375" i="15"/>
  <c r="AB1375" i="15"/>
  <c r="AA1375" i="15"/>
  <c r="Z1375" i="15"/>
  <c r="V1375" i="15"/>
  <c r="N1375" i="15"/>
  <c r="R1375" i="15"/>
  <c r="M1375" i="15"/>
  <c r="AD1374" i="15"/>
  <c r="AC1374" i="15"/>
  <c r="AB1374" i="15"/>
  <c r="AA1374" i="15"/>
  <c r="Z1374" i="15"/>
  <c r="AD1373" i="15"/>
  <c r="AC1373" i="15"/>
  <c r="AB1373" i="15"/>
  <c r="AA1373" i="15"/>
  <c r="Z1373" i="15"/>
  <c r="AD1372" i="15"/>
  <c r="AC1372" i="15"/>
  <c r="AB1372" i="15"/>
  <c r="AA1372" i="15"/>
  <c r="Z1372" i="15"/>
  <c r="V1372" i="15"/>
  <c r="N1372" i="15"/>
  <c r="P1372" i="15"/>
  <c r="M1372" i="15"/>
  <c r="AD1371" i="15"/>
  <c r="AC1371" i="15"/>
  <c r="AB1371" i="15"/>
  <c r="AA1371" i="15"/>
  <c r="Z1371" i="15"/>
  <c r="V1371" i="15"/>
  <c r="N1371" i="15"/>
  <c r="P1371" i="15"/>
  <c r="M1371" i="15"/>
  <c r="AD1370" i="15"/>
  <c r="AC1370" i="15"/>
  <c r="AB1370" i="15"/>
  <c r="AA1370" i="15"/>
  <c r="Z1370" i="15"/>
  <c r="V1370" i="15"/>
  <c r="N1370" i="15"/>
  <c r="P1370" i="15"/>
  <c r="M1370" i="15"/>
  <c r="AD1369" i="15"/>
  <c r="AC1369" i="15"/>
  <c r="AB1369" i="15"/>
  <c r="AA1369" i="15"/>
  <c r="Z1369" i="15"/>
  <c r="AD1368" i="15"/>
  <c r="AC1368" i="15"/>
  <c r="AB1368" i="15"/>
  <c r="AA1368" i="15"/>
  <c r="Z1368" i="15"/>
  <c r="V1368" i="15"/>
  <c r="N1368" i="15"/>
  <c r="Q1368" i="15"/>
  <c r="M1368" i="15"/>
  <c r="AD1367" i="15"/>
  <c r="AC1367" i="15"/>
  <c r="AB1367" i="15"/>
  <c r="AA1367" i="15"/>
  <c r="Z1367" i="15"/>
  <c r="V1367" i="15"/>
  <c r="N1367" i="15"/>
  <c r="Q1367" i="15"/>
  <c r="M1367" i="15"/>
  <c r="AD1366" i="15"/>
  <c r="AC1366" i="15"/>
  <c r="AB1366" i="15"/>
  <c r="AA1366" i="15"/>
  <c r="Z1366" i="15"/>
  <c r="V1366" i="15"/>
  <c r="N1366" i="15"/>
  <c r="Q1366" i="15"/>
  <c r="M1366" i="15"/>
  <c r="AD1365" i="15"/>
  <c r="AC1365" i="15"/>
  <c r="AB1365" i="15"/>
  <c r="AA1365" i="15"/>
  <c r="Z1365" i="15"/>
  <c r="AD1364" i="15"/>
  <c r="AC1364" i="15"/>
  <c r="AB1364" i="15"/>
  <c r="AA1364" i="15"/>
  <c r="Z1364" i="15"/>
  <c r="V1364" i="15"/>
  <c r="N1364" i="15"/>
  <c r="O1364" i="15"/>
  <c r="M1364" i="15"/>
  <c r="AD1363" i="15"/>
  <c r="AC1363" i="15"/>
  <c r="AB1363" i="15"/>
  <c r="AA1363" i="15"/>
  <c r="Z1363" i="15"/>
  <c r="V1363" i="15"/>
  <c r="N1363" i="15"/>
  <c r="O1363" i="15"/>
  <c r="M1363" i="15"/>
  <c r="AD1362" i="15"/>
  <c r="AC1362" i="15"/>
  <c r="AB1362" i="15"/>
  <c r="AA1362" i="15"/>
  <c r="Z1362" i="15"/>
  <c r="V1362" i="15"/>
  <c r="N1362" i="15"/>
  <c r="O1362" i="15"/>
  <c r="AD1361" i="15"/>
  <c r="AC1361" i="15"/>
  <c r="AB1361" i="15"/>
  <c r="AA1361" i="15"/>
  <c r="Z1361" i="15"/>
  <c r="V1361" i="15"/>
  <c r="N1361" i="15"/>
  <c r="R1361" i="15"/>
  <c r="M1361" i="15"/>
  <c r="AD1360" i="15"/>
  <c r="AC1360" i="15"/>
  <c r="AB1360" i="15"/>
  <c r="AA1360" i="15"/>
  <c r="Z1360" i="15"/>
  <c r="V1360" i="15"/>
  <c r="N1360" i="15"/>
  <c r="R1360" i="15"/>
  <c r="M1360" i="15"/>
  <c r="AD1359" i="15"/>
  <c r="AC1359" i="15"/>
  <c r="AB1359" i="15"/>
  <c r="AA1359" i="15"/>
  <c r="Z1359" i="15"/>
  <c r="AD1358" i="15"/>
  <c r="AC1358" i="15"/>
  <c r="AB1358" i="15"/>
  <c r="AA1358" i="15"/>
  <c r="Z1358" i="15"/>
  <c r="V1358" i="15"/>
  <c r="N1358" i="15"/>
  <c r="O1358" i="15"/>
  <c r="M1358" i="15"/>
  <c r="AD1357" i="15"/>
  <c r="AC1357" i="15"/>
  <c r="AB1357" i="15"/>
  <c r="AA1357" i="15"/>
  <c r="Z1357" i="15"/>
  <c r="V1357" i="15"/>
  <c r="N1357" i="15"/>
  <c r="O1357" i="15"/>
  <c r="M1357" i="15"/>
  <c r="AD1356" i="15"/>
  <c r="AC1356" i="15"/>
  <c r="AB1356" i="15"/>
  <c r="AA1356" i="15"/>
  <c r="Z1356" i="15"/>
  <c r="AD1355" i="15"/>
  <c r="AC1355" i="15"/>
  <c r="AB1355" i="15"/>
  <c r="AA1355" i="15"/>
  <c r="Z1355" i="15"/>
  <c r="V1355" i="15"/>
  <c r="N1355" i="15"/>
  <c r="K1355" i="15"/>
  <c r="Q1355" i="15"/>
  <c r="M1355" i="15"/>
  <c r="AD1354" i="15"/>
  <c r="AC1354" i="15"/>
  <c r="AB1354" i="15"/>
  <c r="AA1354" i="15"/>
  <c r="Z1354" i="15"/>
  <c r="V1354" i="15"/>
  <c r="N1354" i="15"/>
  <c r="R1354" i="15"/>
  <c r="M1354" i="15"/>
  <c r="AD1353" i="15"/>
  <c r="AC1353" i="15"/>
  <c r="AB1353" i="15"/>
  <c r="AA1353" i="15"/>
  <c r="Z1353" i="15"/>
  <c r="V1353" i="15"/>
  <c r="N1353" i="15"/>
  <c r="R1353" i="15"/>
  <c r="M1353" i="15"/>
  <c r="AD1352" i="15"/>
  <c r="AC1352" i="15"/>
  <c r="AB1352" i="15"/>
  <c r="AA1352" i="15"/>
  <c r="Z1352" i="15"/>
  <c r="AD1351" i="15"/>
  <c r="AC1351" i="15"/>
  <c r="AB1351" i="15"/>
  <c r="AA1351" i="15"/>
  <c r="Z1351" i="15"/>
  <c r="AD1350" i="15"/>
  <c r="AC1350" i="15"/>
  <c r="AB1350" i="15"/>
  <c r="AA1350" i="15"/>
  <c r="Z1350" i="15"/>
  <c r="V1350" i="15"/>
  <c r="N1350" i="15"/>
  <c r="Q1350" i="15"/>
  <c r="M1350" i="15"/>
  <c r="AD1349" i="15"/>
  <c r="AC1349" i="15"/>
  <c r="AB1349" i="15"/>
  <c r="AA1349" i="15"/>
  <c r="Z1349" i="15"/>
  <c r="V1349" i="15"/>
  <c r="N1349" i="15"/>
  <c r="Q1349" i="15"/>
  <c r="M1349" i="15"/>
  <c r="AD1348" i="15"/>
  <c r="AC1348" i="15"/>
  <c r="AB1348" i="15"/>
  <c r="AA1348" i="15"/>
  <c r="Z1348" i="15"/>
  <c r="AD1347" i="15"/>
  <c r="AC1347" i="15"/>
  <c r="AB1347" i="15"/>
  <c r="AA1347" i="15"/>
  <c r="Z1347" i="15"/>
  <c r="V1347" i="15"/>
  <c r="N1347" i="15"/>
  <c r="R1347" i="15"/>
  <c r="M1347" i="15"/>
  <c r="AD1346" i="15"/>
  <c r="AC1346" i="15"/>
  <c r="AB1346" i="15"/>
  <c r="AA1346" i="15"/>
  <c r="Z1346" i="15"/>
  <c r="AD1345" i="15"/>
  <c r="AC1345" i="15"/>
  <c r="AB1345" i="15"/>
  <c r="AA1345" i="15"/>
  <c r="Z1345" i="15"/>
  <c r="AD1344" i="15"/>
  <c r="AC1344" i="15"/>
  <c r="AB1344" i="15"/>
  <c r="AA1344" i="15"/>
  <c r="Z1344" i="15"/>
  <c r="V1344" i="15"/>
  <c r="N1344" i="15"/>
  <c r="Q1344" i="15"/>
  <c r="L1344" i="15"/>
  <c r="M1344" i="15"/>
  <c r="AD1343" i="15"/>
  <c r="AC1343" i="15"/>
  <c r="AB1343" i="15"/>
  <c r="AA1343" i="15"/>
  <c r="Z1343" i="15"/>
  <c r="AD1342" i="15"/>
  <c r="AC1342" i="15"/>
  <c r="AB1342" i="15"/>
  <c r="AA1342" i="15"/>
  <c r="Z1342" i="15"/>
  <c r="V1342" i="15"/>
  <c r="N1342" i="15"/>
  <c r="J1342" i="15"/>
  <c r="M1342" i="15"/>
  <c r="AD1341" i="15"/>
  <c r="AC1341" i="15"/>
  <c r="AB1341" i="15"/>
  <c r="AA1341" i="15"/>
  <c r="Z1341" i="15"/>
  <c r="V1341" i="15"/>
  <c r="N1341" i="15"/>
  <c r="R1341" i="15"/>
  <c r="K1341" i="15"/>
  <c r="J1341" i="15"/>
  <c r="AD1340" i="15"/>
  <c r="AC1340" i="15"/>
  <c r="AB1340" i="15"/>
  <c r="AA1340" i="15"/>
  <c r="Z1340" i="15"/>
  <c r="V1340" i="15"/>
  <c r="N1340" i="15"/>
  <c r="K1340" i="15"/>
  <c r="Q1340" i="15"/>
  <c r="J1340" i="15"/>
  <c r="AD1339" i="15"/>
  <c r="AC1339" i="15"/>
  <c r="AB1339" i="15"/>
  <c r="AA1339" i="15"/>
  <c r="Z1339" i="15"/>
  <c r="V1339" i="15"/>
  <c r="N1339" i="15"/>
  <c r="J1339" i="15"/>
  <c r="P1339" i="15"/>
  <c r="M1339" i="15"/>
  <c r="AD1338" i="15"/>
  <c r="AC1338" i="15"/>
  <c r="AB1338" i="15"/>
  <c r="AA1338" i="15"/>
  <c r="Z1338" i="15"/>
  <c r="V1338" i="15"/>
  <c r="N1338" i="15"/>
  <c r="R1338" i="15"/>
  <c r="J1338" i="15"/>
  <c r="M1338" i="15"/>
  <c r="AD1337" i="15"/>
  <c r="AC1337" i="15"/>
  <c r="AB1337" i="15"/>
  <c r="AA1337" i="15"/>
  <c r="Z1337" i="15"/>
  <c r="V1337" i="15"/>
  <c r="N1337" i="15"/>
  <c r="L1337" i="15"/>
  <c r="K1337" i="15"/>
  <c r="J1337" i="15"/>
  <c r="M1337" i="15"/>
  <c r="AD1336" i="15"/>
  <c r="AC1336" i="15"/>
  <c r="AB1336" i="15"/>
  <c r="AA1336" i="15"/>
  <c r="Z1336" i="15"/>
  <c r="V1336" i="15"/>
  <c r="N1336" i="15"/>
  <c r="L1336" i="15"/>
  <c r="K1336" i="15"/>
  <c r="J1336" i="15"/>
  <c r="M1336" i="15"/>
  <c r="AD1335" i="15"/>
  <c r="AC1335" i="15"/>
  <c r="AB1335" i="15"/>
  <c r="AA1335" i="15"/>
  <c r="Z1335" i="15"/>
  <c r="AD1334" i="15"/>
  <c r="AC1334" i="15"/>
  <c r="AB1334" i="15"/>
  <c r="AA1334" i="15"/>
  <c r="Z1334" i="15"/>
  <c r="AD1333" i="15"/>
  <c r="AC1333" i="15"/>
  <c r="AB1333" i="15"/>
  <c r="AA1333" i="15"/>
  <c r="Z1333" i="15"/>
  <c r="AD1332" i="15"/>
  <c r="AC1332" i="15"/>
  <c r="AB1332" i="15"/>
  <c r="AA1332" i="15"/>
  <c r="Z1332" i="15"/>
  <c r="V1332" i="15"/>
  <c r="N1332" i="15"/>
  <c r="R1332" i="15"/>
  <c r="M1332" i="15"/>
  <c r="AD1331" i="15"/>
  <c r="AC1331" i="15"/>
  <c r="AB1331" i="15"/>
  <c r="AA1331" i="15"/>
  <c r="Z1331" i="15"/>
  <c r="V1331" i="15"/>
  <c r="N1331" i="15"/>
  <c r="R1331" i="15"/>
  <c r="M1331" i="15"/>
  <c r="AD1330" i="15"/>
  <c r="AC1330" i="15"/>
  <c r="AB1330" i="15"/>
  <c r="AA1330" i="15"/>
  <c r="Z1330" i="15"/>
  <c r="AD1329" i="15"/>
  <c r="AC1329" i="15"/>
  <c r="AB1329" i="15"/>
  <c r="AA1329" i="15"/>
  <c r="Z1329" i="15"/>
  <c r="V1329" i="15"/>
  <c r="N1329" i="15"/>
  <c r="AD1328" i="15"/>
  <c r="AC1328" i="15"/>
  <c r="AB1328" i="15"/>
  <c r="AA1328" i="15"/>
  <c r="Z1328" i="15"/>
  <c r="V1328" i="15"/>
  <c r="N1328" i="15"/>
  <c r="AD1327" i="15"/>
  <c r="AC1327" i="15"/>
  <c r="AB1327" i="15"/>
  <c r="AA1327" i="15"/>
  <c r="Z1327" i="15"/>
  <c r="AD1326" i="15"/>
  <c r="AC1326" i="15"/>
  <c r="AB1326" i="15"/>
  <c r="AA1326" i="15"/>
  <c r="Z1326" i="15"/>
  <c r="V1326" i="15"/>
  <c r="N1326" i="15"/>
  <c r="M1326" i="15"/>
  <c r="AD1325" i="15"/>
  <c r="AC1325" i="15"/>
  <c r="AB1325" i="15"/>
  <c r="AA1325" i="15"/>
  <c r="Z1325" i="15"/>
  <c r="V1325" i="15"/>
  <c r="N1325" i="15"/>
  <c r="R1325" i="15"/>
  <c r="M1325" i="15"/>
  <c r="AD1324" i="15"/>
  <c r="AC1324" i="15"/>
  <c r="AB1324" i="15"/>
  <c r="AA1324" i="15"/>
  <c r="Z1324" i="15"/>
  <c r="V1324" i="15"/>
  <c r="N1324" i="15"/>
  <c r="R1324" i="15"/>
  <c r="M1324" i="15"/>
  <c r="AD1323" i="15"/>
  <c r="AC1323" i="15"/>
  <c r="AB1323" i="15"/>
  <c r="AA1323" i="15"/>
  <c r="Z1323" i="15"/>
  <c r="AD1322" i="15"/>
  <c r="AC1322" i="15"/>
  <c r="AB1322" i="15"/>
  <c r="AA1322" i="15"/>
  <c r="Z1322" i="15"/>
  <c r="AD1321" i="15"/>
  <c r="AC1321" i="15"/>
  <c r="AB1321" i="15"/>
  <c r="AA1321" i="15"/>
  <c r="Z1321" i="15"/>
  <c r="V1321" i="15"/>
  <c r="N1321" i="15"/>
  <c r="R1321" i="15"/>
  <c r="J1321" i="15"/>
  <c r="M1321" i="15"/>
  <c r="AD1320" i="15"/>
  <c r="AC1320" i="15"/>
  <c r="AB1320" i="15"/>
  <c r="AA1320" i="15"/>
  <c r="Z1320" i="15"/>
  <c r="V1320" i="15"/>
  <c r="N1320" i="15"/>
  <c r="O1320" i="15"/>
  <c r="K1320" i="15"/>
  <c r="M1320" i="15"/>
  <c r="AD1319" i="15"/>
  <c r="AC1319" i="15"/>
  <c r="AB1319" i="15"/>
  <c r="AA1319" i="15"/>
  <c r="Z1319" i="15"/>
  <c r="V1319" i="15"/>
  <c r="N1319" i="15"/>
  <c r="Q1319" i="15"/>
  <c r="M1319" i="15"/>
  <c r="AD1318" i="15"/>
  <c r="AC1318" i="15"/>
  <c r="AB1318" i="15"/>
  <c r="AA1318" i="15"/>
  <c r="Z1318" i="15"/>
  <c r="V1318" i="15"/>
  <c r="N1318" i="15"/>
  <c r="Q1318" i="15"/>
  <c r="M1318" i="15"/>
  <c r="AD1317" i="15"/>
  <c r="AC1317" i="15"/>
  <c r="AB1317" i="15"/>
  <c r="AA1317" i="15"/>
  <c r="Z1317" i="15"/>
  <c r="AD1316" i="15"/>
  <c r="AC1316" i="15"/>
  <c r="AB1316" i="15"/>
  <c r="AA1316" i="15"/>
  <c r="Z1316" i="15"/>
  <c r="AD1315" i="15"/>
  <c r="AC1315" i="15"/>
  <c r="AB1315" i="15"/>
  <c r="AA1315" i="15"/>
  <c r="Z1315" i="15"/>
  <c r="V1315" i="15"/>
  <c r="N1315" i="15"/>
  <c r="O1315" i="15"/>
  <c r="M1315" i="15"/>
  <c r="AD1314" i="15"/>
  <c r="AC1314" i="15"/>
  <c r="AB1314" i="15"/>
  <c r="AA1314" i="15"/>
  <c r="Z1314" i="15"/>
  <c r="AD1313" i="15"/>
  <c r="AC1313" i="15"/>
  <c r="AB1313" i="15"/>
  <c r="AA1313" i="15"/>
  <c r="Z1313" i="15"/>
  <c r="V1313" i="15"/>
  <c r="N1313" i="15"/>
  <c r="R1313" i="15"/>
  <c r="M1313" i="15"/>
  <c r="AD1312" i="15"/>
  <c r="AC1312" i="15"/>
  <c r="AB1312" i="15"/>
  <c r="AA1312" i="15"/>
  <c r="Z1312" i="15"/>
  <c r="V1312" i="15"/>
  <c r="N1312" i="15"/>
  <c r="R1312" i="15"/>
  <c r="M1312" i="15"/>
  <c r="AD1311" i="15"/>
  <c r="AC1311" i="15"/>
  <c r="AB1311" i="15"/>
  <c r="AA1311" i="15"/>
  <c r="Z1311" i="15"/>
  <c r="V1311" i="15"/>
  <c r="N1311" i="15"/>
  <c r="R1311" i="15"/>
  <c r="M1311" i="15"/>
  <c r="AD1310" i="15"/>
  <c r="AC1310" i="15"/>
  <c r="AB1310" i="15"/>
  <c r="AA1310" i="15"/>
  <c r="Z1310" i="15"/>
  <c r="AD1309" i="15"/>
  <c r="AC1309" i="15"/>
  <c r="AB1309" i="15"/>
  <c r="AA1309" i="15"/>
  <c r="Z1309" i="15"/>
  <c r="V1309" i="15"/>
  <c r="N1309" i="15"/>
  <c r="O1309" i="15"/>
  <c r="K1309" i="15"/>
  <c r="L1309" i="15"/>
  <c r="M1309" i="15"/>
  <c r="AD1308" i="15"/>
  <c r="AC1308" i="15"/>
  <c r="AB1308" i="15"/>
  <c r="AA1308" i="15"/>
  <c r="Z1308" i="15"/>
  <c r="AD1307" i="15"/>
  <c r="AC1307" i="15"/>
  <c r="AB1307" i="15"/>
  <c r="AA1307" i="15"/>
  <c r="Z1307" i="15"/>
  <c r="AD1306" i="15"/>
  <c r="AC1306" i="15"/>
  <c r="AB1306" i="15"/>
  <c r="AA1306" i="15"/>
  <c r="Z1306" i="15"/>
  <c r="V1306" i="15"/>
  <c r="N1306" i="15"/>
  <c r="Q1306" i="15"/>
  <c r="M1306" i="15"/>
  <c r="AD1305" i="15"/>
  <c r="AC1305" i="15"/>
  <c r="AB1305" i="15"/>
  <c r="AA1305" i="15"/>
  <c r="Z1305" i="15"/>
  <c r="AD1304" i="15"/>
  <c r="AC1304" i="15"/>
  <c r="AB1304" i="15"/>
  <c r="AA1304" i="15"/>
  <c r="Z1304" i="15"/>
  <c r="V1304" i="15"/>
  <c r="N1304" i="15"/>
  <c r="R1304" i="15"/>
  <c r="M1304" i="15"/>
  <c r="AD1303" i="15"/>
  <c r="AC1303" i="15"/>
  <c r="AB1303" i="15"/>
  <c r="AA1303" i="15"/>
  <c r="Z1303" i="15"/>
  <c r="V1303" i="15"/>
  <c r="N1303" i="15"/>
  <c r="O1303" i="15"/>
  <c r="M1303" i="15"/>
  <c r="AD1302" i="15"/>
  <c r="AC1302" i="15"/>
  <c r="AB1302" i="15"/>
  <c r="AA1302" i="15"/>
  <c r="Z1302" i="15"/>
  <c r="V1302" i="15"/>
  <c r="N1302" i="15"/>
  <c r="Q1302" i="15"/>
  <c r="M1302" i="15"/>
  <c r="AD1301" i="15"/>
  <c r="AC1301" i="15"/>
  <c r="AB1301" i="15"/>
  <c r="AA1301" i="15"/>
  <c r="Z1301" i="15"/>
  <c r="V1301" i="15"/>
  <c r="N1301" i="15"/>
  <c r="R1301" i="15"/>
  <c r="M1301" i="15"/>
  <c r="AD1300" i="15"/>
  <c r="AC1300" i="15"/>
  <c r="AB1300" i="15"/>
  <c r="AA1300" i="15"/>
  <c r="Z1300" i="15"/>
  <c r="V1300" i="15"/>
  <c r="N1300" i="15"/>
  <c r="M1300" i="15"/>
  <c r="AD1299" i="15"/>
  <c r="AC1299" i="15"/>
  <c r="AB1299" i="15"/>
  <c r="AA1299" i="15"/>
  <c r="Z1299" i="15"/>
  <c r="V1299" i="15"/>
  <c r="N1299" i="15"/>
  <c r="O1299" i="15"/>
  <c r="M1299" i="15"/>
  <c r="AD1298" i="15"/>
  <c r="AC1298" i="15"/>
  <c r="AB1298" i="15"/>
  <c r="AA1298" i="15"/>
  <c r="Z1298" i="15"/>
  <c r="AD1297" i="15"/>
  <c r="AC1297" i="15"/>
  <c r="AB1297" i="15"/>
  <c r="AA1297" i="15"/>
  <c r="Z1297" i="15"/>
  <c r="V1297" i="15"/>
  <c r="N1297" i="15"/>
  <c r="R1297" i="15"/>
  <c r="M1297" i="15"/>
  <c r="AD1296" i="15"/>
  <c r="AC1296" i="15"/>
  <c r="AB1296" i="15"/>
  <c r="AA1296" i="15"/>
  <c r="Z1296" i="15"/>
  <c r="V1296" i="15"/>
  <c r="N1296" i="15"/>
  <c r="R1296" i="15"/>
  <c r="M1296" i="15"/>
  <c r="AD1295" i="15"/>
  <c r="AC1295" i="15"/>
  <c r="AB1295" i="15"/>
  <c r="AA1295" i="15"/>
  <c r="Z1295" i="15"/>
  <c r="V1295" i="15"/>
  <c r="N1295" i="15"/>
  <c r="O1295" i="15"/>
  <c r="M1295" i="15"/>
  <c r="AD1294" i="15"/>
  <c r="AC1294" i="15"/>
  <c r="AB1294" i="15"/>
  <c r="AA1294" i="15"/>
  <c r="Z1294" i="15"/>
  <c r="AD1293" i="15"/>
  <c r="AC1293" i="15"/>
  <c r="AB1293" i="15"/>
  <c r="AA1293" i="15"/>
  <c r="Z1293" i="15"/>
  <c r="AD1292" i="15"/>
  <c r="AC1292" i="15"/>
  <c r="AB1292" i="15"/>
  <c r="AA1292" i="15"/>
  <c r="Z1292" i="15"/>
  <c r="AD1291" i="15"/>
  <c r="AC1291" i="15"/>
  <c r="AB1291" i="15"/>
  <c r="AA1291" i="15"/>
  <c r="Z1291" i="15"/>
  <c r="V1291" i="15"/>
  <c r="N1291" i="15"/>
  <c r="O1291" i="15"/>
  <c r="M1291" i="15"/>
  <c r="AD1290" i="15"/>
  <c r="AC1290" i="15"/>
  <c r="AB1290" i="15"/>
  <c r="AA1290" i="15"/>
  <c r="Z1290" i="15"/>
  <c r="AD1289" i="15"/>
  <c r="AC1289" i="15"/>
  <c r="AB1289" i="15"/>
  <c r="AA1289" i="15"/>
  <c r="Z1289" i="15"/>
  <c r="AD1288" i="15"/>
  <c r="AC1288" i="15"/>
  <c r="AB1288" i="15"/>
  <c r="AA1288" i="15"/>
  <c r="Z1288" i="15"/>
  <c r="V1288" i="15"/>
  <c r="N1288" i="15"/>
  <c r="R1288" i="15"/>
  <c r="M1288" i="15"/>
  <c r="AD1287" i="15"/>
  <c r="AC1287" i="15"/>
  <c r="AB1287" i="15"/>
  <c r="AA1287" i="15"/>
  <c r="Z1287" i="15"/>
  <c r="V1287" i="15"/>
  <c r="N1287" i="15"/>
  <c r="R1287" i="15"/>
  <c r="M1287" i="15"/>
  <c r="AD1286" i="15"/>
  <c r="AC1286" i="15"/>
  <c r="AB1286" i="15"/>
  <c r="AA1286" i="15"/>
  <c r="Z1286" i="15"/>
  <c r="AD1285" i="15"/>
  <c r="AC1285" i="15"/>
  <c r="AB1285" i="15"/>
  <c r="AA1285" i="15"/>
  <c r="Z1285" i="15"/>
  <c r="V1285" i="15"/>
  <c r="N1285" i="15"/>
  <c r="O1285" i="15"/>
  <c r="M1285" i="15"/>
  <c r="AD1284" i="15"/>
  <c r="AC1284" i="15"/>
  <c r="AB1284" i="15"/>
  <c r="AA1284" i="15"/>
  <c r="Z1284" i="15"/>
  <c r="V1284" i="15"/>
  <c r="N1284" i="15"/>
  <c r="L1284" i="15"/>
  <c r="K1284" i="15"/>
  <c r="M1284" i="15"/>
  <c r="AD1283" i="15"/>
  <c r="AC1283" i="15"/>
  <c r="AB1283" i="15"/>
  <c r="AA1283" i="15"/>
  <c r="Z1283" i="15"/>
  <c r="V1283" i="15"/>
  <c r="N1283" i="15"/>
  <c r="O1283" i="15"/>
  <c r="J1283" i="15"/>
  <c r="M1283" i="15"/>
  <c r="AD1282" i="15"/>
  <c r="AC1282" i="15"/>
  <c r="AB1282" i="15"/>
  <c r="AA1282" i="15"/>
  <c r="Z1282" i="15"/>
  <c r="AD1281" i="15"/>
  <c r="AC1281" i="15"/>
  <c r="AB1281" i="15"/>
  <c r="AA1281" i="15"/>
  <c r="Z1281" i="15"/>
  <c r="AD1280" i="15"/>
  <c r="AC1280" i="15"/>
  <c r="AB1280" i="15"/>
  <c r="AA1280" i="15"/>
  <c r="Z1280" i="15"/>
  <c r="V1280" i="15"/>
  <c r="N1280" i="15"/>
  <c r="O1280" i="15"/>
  <c r="K1280" i="15"/>
  <c r="M1280" i="15"/>
  <c r="AD1279" i="15"/>
  <c r="AC1279" i="15"/>
  <c r="AB1279" i="15"/>
  <c r="AA1279" i="15"/>
  <c r="Z1279" i="15"/>
  <c r="V1279" i="15"/>
  <c r="N1279" i="15"/>
  <c r="L1279" i="15"/>
  <c r="R1279" i="15"/>
  <c r="K1279" i="15"/>
  <c r="M1279" i="15"/>
  <c r="AD1278" i="15"/>
  <c r="AC1278" i="15"/>
  <c r="AB1278" i="15"/>
  <c r="AA1278" i="15"/>
  <c r="Z1278" i="15"/>
  <c r="V1278" i="15"/>
  <c r="N1278" i="15"/>
  <c r="Q1278" i="15"/>
  <c r="J1278" i="15"/>
  <c r="M1278" i="15"/>
  <c r="AD1277" i="15"/>
  <c r="AC1277" i="15"/>
  <c r="AB1277" i="15"/>
  <c r="AA1277" i="15"/>
  <c r="Z1277" i="15"/>
  <c r="AD1276" i="15"/>
  <c r="AC1276" i="15"/>
  <c r="AB1276" i="15"/>
  <c r="AA1276" i="15"/>
  <c r="Z1276" i="15"/>
  <c r="AD1275" i="15"/>
  <c r="AC1275" i="15"/>
  <c r="AB1275" i="15"/>
  <c r="AA1275" i="15"/>
  <c r="Z1275" i="15"/>
  <c r="V1275" i="15"/>
  <c r="N1275" i="15"/>
  <c r="K1275" i="15"/>
  <c r="L1275" i="15"/>
  <c r="M1275" i="15"/>
  <c r="AD1274" i="15"/>
  <c r="AC1274" i="15"/>
  <c r="AB1274" i="15"/>
  <c r="AA1274" i="15"/>
  <c r="Z1274" i="15"/>
  <c r="V1274" i="15"/>
  <c r="N1274" i="15"/>
  <c r="O1274" i="15"/>
  <c r="M1274" i="15"/>
  <c r="AD1273" i="15"/>
  <c r="AC1273" i="15"/>
  <c r="AB1273" i="15"/>
  <c r="AA1273" i="15"/>
  <c r="Z1273" i="15"/>
  <c r="AD1272" i="15"/>
  <c r="AC1272" i="15"/>
  <c r="AB1272" i="15"/>
  <c r="AA1272" i="15"/>
  <c r="Z1272" i="15"/>
  <c r="AD1271" i="15"/>
  <c r="AC1271" i="15"/>
  <c r="AB1271" i="15"/>
  <c r="AA1271" i="15"/>
  <c r="Z1271" i="15"/>
  <c r="V1271" i="15"/>
  <c r="N1271" i="15"/>
  <c r="AD1270" i="15"/>
  <c r="AC1270" i="15"/>
  <c r="AB1270" i="15"/>
  <c r="AA1270" i="15"/>
  <c r="Z1270" i="15"/>
  <c r="AD1269" i="15"/>
  <c r="AC1269" i="15"/>
  <c r="AB1269" i="15"/>
  <c r="AA1269" i="15"/>
  <c r="Z1269" i="15"/>
  <c r="V1269" i="15"/>
  <c r="N1269" i="15"/>
  <c r="R1269" i="15"/>
  <c r="M1269" i="15"/>
  <c r="AD1268" i="15"/>
  <c r="AC1268" i="15"/>
  <c r="AB1268" i="15"/>
  <c r="AA1268" i="15"/>
  <c r="Z1268" i="15"/>
  <c r="AD1267" i="15"/>
  <c r="AC1267" i="15"/>
  <c r="AB1267" i="15"/>
  <c r="AA1267" i="15"/>
  <c r="Z1267" i="15"/>
  <c r="AD1266" i="15"/>
  <c r="AC1266" i="15"/>
  <c r="AB1266" i="15"/>
  <c r="AA1266" i="15"/>
  <c r="Z1266" i="15"/>
  <c r="V1266" i="15"/>
  <c r="N1266" i="15"/>
  <c r="Q1266" i="15"/>
  <c r="M1266" i="15"/>
  <c r="AD1265" i="15"/>
  <c r="AC1265" i="15"/>
  <c r="AB1265" i="15"/>
  <c r="AA1265" i="15"/>
  <c r="Z1265" i="15"/>
  <c r="V1265" i="15"/>
  <c r="N1265" i="15"/>
  <c r="M1265" i="15"/>
  <c r="AD1264" i="15"/>
  <c r="AC1264" i="15"/>
  <c r="AB1264" i="15"/>
  <c r="AA1264" i="15"/>
  <c r="Z1264" i="15"/>
  <c r="V1264" i="15"/>
  <c r="N1264" i="15"/>
  <c r="R1264" i="15"/>
  <c r="M1264" i="15"/>
  <c r="AD1263" i="15"/>
  <c r="AC1263" i="15"/>
  <c r="AB1263" i="15"/>
  <c r="AA1263" i="15"/>
  <c r="Z1263" i="15"/>
  <c r="V1263" i="15"/>
  <c r="N1263" i="15"/>
  <c r="R1263" i="15"/>
  <c r="M1263" i="15"/>
  <c r="AD1262" i="15"/>
  <c r="AC1262" i="15"/>
  <c r="AB1262" i="15"/>
  <c r="AA1262" i="15"/>
  <c r="Z1262" i="15"/>
  <c r="V1262" i="15"/>
  <c r="N1262" i="15"/>
  <c r="M1262" i="15"/>
  <c r="AD1261" i="15"/>
  <c r="AC1261" i="15"/>
  <c r="AB1261" i="15"/>
  <c r="AA1261" i="15"/>
  <c r="Z1261" i="15"/>
  <c r="V1261" i="15"/>
  <c r="N1261" i="15"/>
  <c r="R1261" i="15"/>
  <c r="M1261" i="15"/>
  <c r="AD1260" i="15"/>
  <c r="AC1260" i="15"/>
  <c r="AB1260" i="15"/>
  <c r="AA1260" i="15"/>
  <c r="Z1260" i="15"/>
  <c r="V1260" i="15"/>
  <c r="N1260" i="15"/>
  <c r="O1260" i="15"/>
  <c r="M1260" i="15"/>
  <c r="AD1259" i="15"/>
  <c r="AC1259" i="15"/>
  <c r="AB1259" i="15"/>
  <c r="AA1259" i="15"/>
  <c r="Z1259" i="15"/>
  <c r="AD1258" i="15"/>
  <c r="AC1258" i="15"/>
  <c r="AB1258" i="15"/>
  <c r="AA1258" i="15"/>
  <c r="Z1258" i="15"/>
  <c r="V1258" i="15"/>
  <c r="N1258" i="15"/>
  <c r="L1258" i="15"/>
  <c r="K1258" i="15"/>
  <c r="J1258" i="15"/>
  <c r="AD1257" i="15"/>
  <c r="AC1257" i="15"/>
  <c r="AB1257" i="15"/>
  <c r="AA1257" i="15"/>
  <c r="Z1257" i="15"/>
  <c r="V1257" i="15"/>
  <c r="N1257" i="15"/>
  <c r="K1257" i="15"/>
  <c r="Q1257" i="15"/>
  <c r="L1257" i="15"/>
  <c r="M1257" i="15"/>
  <c r="AD1256" i="15"/>
  <c r="AC1256" i="15"/>
  <c r="AB1256" i="15"/>
  <c r="AA1256" i="15"/>
  <c r="Z1256" i="15"/>
  <c r="V1256" i="15"/>
  <c r="N1256" i="15"/>
  <c r="O1256" i="15"/>
  <c r="M1256" i="15"/>
  <c r="AD1255" i="15"/>
  <c r="AC1255" i="15"/>
  <c r="AB1255" i="15"/>
  <c r="AA1255" i="15"/>
  <c r="Z1255" i="15"/>
  <c r="AD1254" i="15"/>
  <c r="AC1254" i="15"/>
  <c r="AB1254" i="15"/>
  <c r="AA1254" i="15"/>
  <c r="Z1254" i="15"/>
  <c r="V1254" i="15"/>
  <c r="N1254" i="15"/>
  <c r="L1254" i="15"/>
  <c r="K1254" i="15"/>
  <c r="AD1253" i="15"/>
  <c r="AC1253" i="15"/>
  <c r="AB1253" i="15"/>
  <c r="AA1253" i="15"/>
  <c r="Z1253" i="15"/>
  <c r="V1253" i="15"/>
  <c r="N1253" i="15"/>
  <c r="Q1253" i="15"/>
  <c r="M1253" i="15"/>
  <c r="AD1252" i="15"/>
  <c r="AC1252" i="15"/>
  <c r="AB1252" i="15"/>
  <c r="AA1252" i="15"/>
  <c r="Z1252" i="15"/>
  <c r="V1252" i="15"/>
  <c r="N1252" i="15"/>
  <c r="R1252" i="15"/>
  <c r="M1252" i="15"/>
  <c r="AD1251" i="15"/>
  <c r="AC1251" i="15"/>
  <c r="AB1251" i="15"/>
  <c r="AA1251" i="15"/>
  <c r="Z1251" i="15"/>
  <c r="V1251" i="15"/>
  <c r="N1251" i="15"/>
  <c r="R1251" i="15"/>
  <c r="M1251" i="15"/>
  <c r="AD1250" i="15"/>
  <c r="AC1250" i="15"/>
  <c r="AB1250" i="15"/>
  <c r="AA1250" i="15"/>
  <c r="Z1250" i="15"/>
  <c r="AD1249" i="15"/>
  <c r="AC1249" i="15"/>
  <c r="AB1249" i="15"/>
  <c r="AA1249" i="15"/>
  <c r="Z1249" i="15"/>
  <c r="AD1248" i="15"/>
  <c r="AC1248" i="15"/>
  <c r="AB1248" i="15"/>
  <c r="AA1248" i="15"/>
  <c r="Z1248" i="15"/>
  <c r="V1248" i="15"/>
  <c r="N1248" i="15"/>
  <c r="K1248" i="15"/>
  <c r="Q1248" i="15"/>
  <c r="M1248" i="15"/>
  <c r="AD1247" i="15"/>
  <c r="AC1247" i="15"/>
  <c r="AB1247" i="15"/>
  <c r="AA1247" i="15"/>
  <c r="Z1247" i="15"/>
  <c r="V1247" i="15"/>
  <c r="N1247" i="15"/>
  <c r="R1247" i="15"/>
  <c r="J1247" i="15"/>
  <c r="M1247" i="15"/>
  <c r="AD1246" i="15"/>
  <c r="AC1246" i="15"/>
  <c r="AB1246" i="15"/>
  <c r="AA1246" i="15"/>
  <c r="Z1246" i="15"/>
  <c r="V1246" i="15"/>
  <c r="N1246" i="15"/>
  <c r="M1246" i="15"/>
  <c r="AD1245" i="15"/>
  <c r="AC1245" i="15"/>
  <c r="AB1245" i="15"/>
  <c r="AA1245" i="15"/>
  <c r="Z1245" i="15"/>
  <c r="AD1244" i="15"/>
  <c r="AC1244" i="15"/>
  <c r="AB1244" i="15"/>
  <c r="AA1244" i="15"/>
  <c r="Z1244" i="15"/>
  <c r="AD1243" i="15"/>
  <c r="AC1243" i="15"/>
  <c r="AB1243" i="15"/>
  <c r="AA1243" i="15"/>
  <c r="Z1243" i="15"/>
  <c r="V1243" i="15"/>
  <c r="N1243" i="15"/>
  <c r="Q1243" i="15"/>
  <c r="J1243" i="15"/>
  <c r="M1243" i="15"/>
  <c r="AD1242" i="15"/>
  <c r="AC1242" i="15"/>
  <c r="AB1242" i="15"/>
  <c r="AA1242" i="15"/>
  <c r="Z1242" i="15"/>
  <c r="V1242" i="15"/>
  <c r="N1242" i="15"/>
  <c r="O1242" i="15"/>
  <c r="M1242" i="15"/>
  <c r="AD1241" i="15"/>
  <c r="AC1241" i="15"/>
  <c r="AB1241" i="15"/>
  <c r="AA1241" i="15"/>
  <c r="Z1241" i="15"/>
  <c r="V1241" i="15"/>
  <c r="N1241" i="15"/>
  <c r="Q1241" i="15"/>
  <c r="M1241" i="15"/>
  <c r="AD1240" i="15"/>
  <c r="AC1240" i="15"/>
  <c r="AB1240" i="15"/>
  <c r="AA1240" i="15"/>
  <c r="Z1240" i="15"/>
  <c r="V1240" i="15"/>
  <c r="N1240" i="15"/>
  <c r="R1240" i="15"/>
  <c r="M1240" i="15"/>
  <c r="AD1239" i="15"/>
  <c r="AC1239" i="15"/>
  <c r="AB1239" i="15"/>
  <c r="AA1239" i="15"/>
  <c r="Z1239" i="15"/>
  <c r="V1239" i="15"/>
  <c r="N1239" i="15"/>
  <c r="R1239" i="15"/>
  <c r="M1239" i="15"/>
  <c r="AD1238" i="15"/>
  <c r="AC1238" i="15"/>
  <c r="AB1238" i="15"/>
  <c r="AA1238" i="15"/>
  <c r="Z1238" i="15"/>
  <c r="V1238" i="15"/>
  <c r="N1238" i="15"/>
  <c r="M1238" i="15"/>
  <c r="AD1237" i="15"/>
  <c r="AC1237" i="15"/>
  <c r="AB1237" i="15"/>
  <c r="AA1237" i="15"/>
  <c r="Z1237" i="15"/>
  <c r="AD1236" i="15"/>
  <c r="AC1236" i="15"/>
  <c r="AB1236" i="15"/>
  <c r="AA1236" i="15"/>
  <c r="Z1236" i="15"/>
  <c r="V1236" i="15"/>
  <c r="N1236" i="15"/>
  <c r="K1236" i="15"/>
  <c r="J1236" i="15"/>
  <c r="AD1235" i="15"/>
  <c r="AC1235" i="15"/>
  <c r="AB1235" i="15"/>
  <c r="AA1235" i="15"/>
  <c r="Z1235" i="15"/>
  <c r="V1235" i="15"/>
  <c r="N1235" i="15"/>
  <c r="Q1235" i="15"/>
  <c r="M1235" i="15"/>
  <c r="AD1234" i="15"/>
  <c r="AC1234" i="15"/>
  <c r="AB1234" i="15"/>
  <c r="AA1234" i="15"/>
  <c r="Z1234" i="15"/>
  <c r="V1234" i="15"/>
  <c r="N1234" i="15"/>
  <c r="Q1234" i="15"/>
  <c r="M1234" i="15"/>
  <c r="AD1233" i="15"/>
  <c r="AC1233" i="15"/>
  <c r="AB1233" i="15"/>
  <c r="AA1233" i="15"/>
  <c r="Z1233" i="15"/>
  <c r="AD1232" i="15"/>
  <c r="AC1232" i="15"/>
  <c r="AB1232" i="15"/>
  <c r="AA1232" i="15"/>
  <c r="Z1232" i="15"/>
  <c r="V1232" i="15"/>
  <c r="N1232" i="15"/>
  <c r="M1232" i="15"/>
  <c r="AD1231" i="15"/>
  <c r="AC1231" i="15"/>
  <c r="AB1231" i="15"/>
  <c r="AA1231" i="15"/>
  <c r="Z1231" i="15"/>
  <c r="AD1230" i="15"/>
  <c r="AC1230" i="15"/>
  <c r="AB1230" i="15"/>
  <c r="AA1230" i="15"/>
  <c r="Z1230" i="15"/>
  <c r="AD1229" i="15"/>
  <c r="AC1229" i="15"/>
  <c r="AB1229" i="15"/>
  <c r="AA1229" i="15"/>
  <c r="Z1229" i="15"/>
  <c r="V1229" i="15"/>
  <c r="N1229" i="15"/>
  <c r="L1229" i="15"/>
  <c r="K1229" i="15"/>
  <c r="J1229" i="15"/>
  <c r="AD1228" i="15"/>
  <c r="AC1228" i="15"/>
  <c r="AB1228" i="15"/>
  <c r="AA1228" i="15"/>
  <c r="Z1228" i="15"/>
  <c r="V1228" i="15"/>
  <c r="N1228" i="15"/>
  <c r="L1228" i="15"/>
  <c r="K1228" i="15"/>
  <c r="J1228" i="15"/>
  <c r="AD1227" i="15"/>
  <c r="AC1227" i="15"/>
  <c r="AB1227" i="15"/>
  <c r="AA1227" i="15"/>
  <c r="Z1227" i="15"/>
  <c r="AD1226" i="15"/>
  <c r="AC1226" i="15"/>
  <c r="AB1226" i="15"/>
  <c r="AA1226" i="15"/>
  <c r="Z1226" i="15"/>
  <c r="AD1225" i="15"/>
  <c r="AC1225" i="15"/>
  <c r="AB1225" i="15"/>
  <c r="AA1225" i="15"/>
  <c r="Z1225" i="15"/>
  <c r="V1225" i="15"/>
  <c r="N1225" i="15"/>
  <c r="J1225" i="15"/>
  <c r="P1225" i="15"/>
  <c r="L1225" i="15"/>
  <c r="K1225" i="15"/>
  <c r="AD1224" i="15"/>
  <c r="AC1224" i="15"/>
  <c r="AB1224" i="15"/>
  <c r="AA1224" i="15"/>
  <c r="Z1224" i="15"/>
  <c r="V1224" i="15"/>
  <c r="N1224" i="15"/>
  <c r="J1224" i="15"/>
  <c r="P1224" i="15"/>
  <c r="M1224" i="15"/>
  <c r="AD1223" i="15"/>
  <c r="AC1223" i="15"/>
  <c r="AB1223" i="15"/>
  <c r="AA1223" i="15"/>
  <c r="Z1223" i="15"/>
  <c r="V1223" i="15"/>
  <c r="N1223" i="15"/>
  <c r="O1223" i="15"/>
  <c r="M1223" i="15"/>
  <c r="AD1222" i="15"/>
  <c r="AC1222" i="15"/>
  <c r="AB1222" i="15"/>
  <c r="AA1222" i="15"/>
  <c r="Z1222" i="15"/>
  <c r="AD1221" i="15"/>
  <c r="AC1221" i="15"/>
  <c r="AB1221" i="15"/>
  <c r="AA1221" i="15"/>
  <c r="Z1221" i="15"/>
  <c r="AD1220" i="15"/>
  <c r="AC1220" i="15"/>
  <c r="AB1220" i="15"/>
  <c r="AA1220" i="15"/>
  <c r="Z1220" i="15"/>
  <c r="AD1219" i="15"/>
  <c r="AC1219" i="15"/>
  <c r="AB1219" i="15"/>
  <c r="AA1219" i="15"/>
  <c r="Z1219" i="15"/>
  <c r="AD1218" i="15"/>
  <c r="AC1218" i="15"/>
  <c r="AB1218" i="15"/>
  <c r="AA1218" i="15"/>
  <c r="Z1218" i="15"/>
  <c r="V1218" i="15"/>
  <c r="N1218" i="15"/>
  <c r="L1218" i="15"/>
  <c r="K1218" i="15"/>
  <c r="J1218" i="15"/>
  <c r="AD1217" i="15"/>
  <c r="AC1217" i="15"/>
  <c r="AB1217" i="15"/>
  <c r="AA1217" i="15"/>
  <c r="Z1217" i="15"/>
  <c r="V1217" i="15"/>
  <c r="N1217" i="15"/>
  <c r="L1217" i="15"/>
  <c r="K1217" i="15"/>
  <c r="J1217" i="15"/>
  <c r="AD1216" i="15"/>
  <c r="AC1216" i="15"/>
  <c r="AB1216" i="15"/>
  <c r="AA1216" i="15"/>
  <c r="Z1216" i="15"/>
  <c r="V1216" i="15"/>
  <c r="N1216" i="15"/>
  <c r="L1216" i="15"/>
  <c r="R1216" i="15"/>
  <c r="K1216" i="15"/>
  <c r="J1216" i="15"/>
  <c r="AD1215" i="15"/>
  <c r="AC1215" i="15"/>
  <c r="AB1215" i="15"/>
  <c r="AA1215" i="15"/>
  <c r="Z1215" i="15"/>
  <c r="V1215" i="15"/>
  <c r="N1215" i="15"/>
  <c r="O1215" i="15"/>
  <c r="M1215" i="15"/>
  <c r="AD1214" i="15"/>
  <c r="AC1214" i="15"/>
  <c r="AB1214" i="15"/>
  <c r="AA1214" i="15"/>
  <c r="Z1214" i="15"/>
  <c r="V1214" i="15"/>
  <c r="N1214" i="15"/>
  <c r="J1214" i="15"/>
  <c r="M1214" i="15"/>
  <c r="AD1213" i="15"/>
  <c r="AC1213" i="15"/>
  <c r="AB1213" i="15"/>
  <c r="AA1213" i="15"/>
  <c r="Z1213" i="15"/>
  <c r="AD1212" i="15"/>
  <c r="AC1212" i="15"/>
  <c r="AB1212" i="15"/>
  <c r="AA1212" i="15"/>
  <c r="Z1212" i="15"/>
  <c r="AD1211" i="15"/>
  <c r="AC1211" i="15"/>
  <c r="AB1211" i="15"/>
  <c r="AA1211" i="15"/>
  <c r="Z1211" i="15"/>
  <c r="V1211" i="15"/>
  <c r="N1211" i="15"/>
  <c r="K1211" i="15"/>
  <c r="L1211" i="15"/>
  <c r="M1211" i="15"/>
  <c r="AD1210" i="15"/>
  <c r="AC1210" i="15"/>
  <c r="AB1210" i="15"/>
  <c r="AA1210" i="15"/>
  <c r="Z1210" i="15"/>
  <c r="V1210" i="15"/>
  <c r="N1210" i="15"/>
  <c r="AD1209" i="15"/>
  <c r="AC1209" i="15"/>
  <c r="AB1209" i="15"/>
  <c r="AA1209" i="15"/>
  <c r="Z1209" i="15"/>
  <c r="V1209" i="15"/>
  <c r="N1209" i="15"/>
  <c r="L1209" i="15"/>
  <c r="K1209" i="15"/>
  <c r="AD1208" i="15"/>
  <c r="AC1208" i="15"/>
  <c r="AB1208" i="15"/>
  <c r="AA1208" i="15"/>
  <c r="Z1208" i="15"/>
  <c r="V1208" i="15"/>
  <c r="N1208" i="15"/>
  <c r="K1208" i="15"/>
  <c r="M1208" i="15"/>
  <c r="AD1207" i="15"/>
  <c r="AC1207" i="15"/>
  <c r="AB1207" i="15"/>
  <c r="AA1207" i="15"/>
  <c r="Z1207" i="15"/>
  <c r="V1207" i="15"/>
  <c r="N1207" i="15"/>
  <c r="L1207" i="15"/>
  <c r="K1207" i="15"/>
  <c r="M1207" i="15"/>
  <c r="AD1206" i="15"/>
  <c r="AC1206" i="15"/>
  <c r="AB1206" i="15"/>
  <c r="AA1206" i="15"/>
  <c r="Z1206" i="15"/>
  <c r="V1206" i="15"/>
  <c r="N1206" i="15"/>
  <c r="L1206" i="15"/>
  <c r="K1206" i="15"/>
  <c r="AD1205" i="15"/>
  <c r="AC1205" i="15"/>
  <c r="AB1205" i="15"/>
  <c r="AA1205" i="15"/>
  <c r="Z1205" i="15"/>
  <c r="V1205" i="15"/>
  <c r="N1205" i="15"/>
  <c r="R1205" i="15"/>
  <c r="M1205" i="15"/>
  <c r="AD1204" i="15"/>
  <c r="AC1204" i="15"/>
  <c r="AB1204" i="15"/>
  <c r="AA1204" i="15"/>
  <c r="Z1204" i="15"/>
  <c r="AD1203" i="15"/>
  <c r="AC1203" i="15"/>
  <c r="AB1203" i="15"/>
  <c r="AA1203" i="15"/>
  <c r="Z1203" i="15"/>
  <c r="AD1202" i="15"/>
  <c r="AC1202" i="15"/>
  <c r="AB1202" i="15"/>
  <c r="AA1202" i="15"/>
  <c r="Z1202" i="15"/>
  <c r="V1202" i="15"/>
  <c r="N1202" i="15"/>
  <c r="R1202" i="15"/>
  <c r="K1202" i="15"/>
  <c r="M1202" i="15"/>
  <c r="AD1201" i="15"/>
  <c r="AC1201" i="15"/>
  <c r="AB1201" i="15"/>
  <c r="AA1201" i="15"/>
  <c r="Z1201" i="15"/>
  <c r="V1201" i="15"/>
  <c r="N1201" i="15"/>
  <c r="R1201" i="15"/>
  <c r="M1201" i="15"/>
  <c r="AD1200" i="15"/>
  <c r="AC1200" i="15"/>
  <c r="AB1200" i="15"/>
  <c r="AA1200" i="15"/>
  <c r="Z1200" i="15"/>
  <c r="V1200" i="15"/>
  <c r="N1200" i="15"/>
  <c r="R1200" i="15"/>
  <c r="J1200" i="15"/>
  <c r="M1200" i="15"/>
  <c r="AD1199" i="15"/>
  <c r="AC1199" i="15"/>
  <c r="AB1199" i="15"/>
  <c r="AA1199" i="15"/>
  <c r="Z1199" i="15"/>
  <c r="V1199" i="15"/>
  <c r="N1199" i="15"/>
  <c r="R1199" i="15"/>
  <c r="J1199" i="15"/>
  <c r="M1199" i="15"/>
  <c r="AD1198" i="15"/>
  <c r="AC1198" i="15"/>
  <c r="AB1198" i="15"/>
  <c r="AA1198" i="15"/>
  <c r="Z1198" i="15"/>
  <c r="V1198" i="15"/>
  <c r="N1198" i="15"/>
  <c r="R1198" i="15"/>
  <c r="J1198" i="15"/>
  <c r="M1198" i="15"/>
  <c r="AD1197" i="15"/>
  <c r="AC1197" i="15"/>
  <c r="AB1197" i="15"/>
  <c r="AA1197" i="15"/>
  <c r="Z1197" i="15"/>
  <c r="V1197" i="15"/>
  <c r="N1197" i="15"/>
  <c r="R1197" i="15"/>
  <c r="J1197" i="15"/>
  <c r="M1197" i="15"/>
  <c r="AD1196" i="15"/>
  <c r="AC1196" i="15"/>
  <c r="AB1196" i="15"/>
  <c r="AA1196" i="15"/>
  <c r="Z1196" i="15"/>
  <c r="AD1195" i="15"/>
  <c r="AC1195" i="15"/>
  <c r="AB1195" i="15"/>
  <c r="AA1195" i="15"/>
  <c r="Z1195" i="15"/>
  <c r="AD1194" i="15"/>
  <c r="AC1194" i="15"/>
  <c r="AB1194" i="15"/>
  <c r="AA1194" i="15"/>
  <c r="Z1194" i="15"/>
  <c r="V1194" i="15"/>
  <c r="N1194" i="15"/>
  <c r="M1194" i="15"/>
  <c r="AD1193" i="15"/>
  <c r="AC1193" i="15"/>
  <c r="AB1193" i="15"/>
  <c r="AA1193" i="15"/>
  <c r="Z1193" i="15"/>
  <c r="AD1192" i="15"/>
  <c r="AC1192" i="15"/>
  <c r="AB1192" i="15"/>
  <c r="AA1192" i="15"/>
  <c r="Z1192" i="15"/>
  <c r="V1192" i="15"/>
  <c r="AD1191" i="15"/>
  <c r="AC1191" i="15"/>
  <c r="AB1191" i="15"/>
  <c r="AA1191" i="15"/>
  <c r="Z1191" i="15"/>
  <c r="AD1190" i="15"/>
  <c r="AC1190" i="15"/>
  <c r="AB1190" i="15"/>
  <c r="AA1190" i="15"/>
  <c r="Z1190" i="15"/>
  <c r="V1190" i="15"/>
  <c r="N1190" i="15"/>
  <c r="L1190" i="15"/>
  <c r="R1190" i="15"/>
  <c r="M1190" i="15"/>
  <c r="AD1189" i="15"/>
  <c r="AC1189" i="15"/>
  <c r="AB1189" i="15"/>
  <c r="AA1189" i="15"/>
  <c r="Z1189" i="15"/>
  <c r="V1189" i="15"/>
  <c r="N1189" i="15"/>
  <c r="M1189" i="15"/>
  <c r="AD1188" i="15"/>
  <c r="AC1188" i="15"/>
  <c r="AB1188" i="15"/>
  <c r="AA1188" i="15"/>
  <c r="Z1188" i="15"/>
  <c r="V1188" i="15"/>
  <c r="N1188" i="15"/>
  <c r="O1188" i="15"/>
  <c r="K1188" i="15"/>
  <c r="M1188" i="15"/>
  <c r="AD1187" i="15"/>
  <c r="AC1187" i="15"/>
  <c r="AB1187" i="15"/>
  <c r="AA1187" i="15"/>
  <c r="Z1187" i="15"/>
  <c r="V1187" i="15"/>
  <c r="N1187" i="15"/>
  <c r="R1187" i="15"/>
  <c r="K1187" i="15"/>
  <c r="AD1186" i="15"/>
  <c r="AC1186" i="15"/>
  <c r="AB1186" i="15"/>
  <c r="AA1186" i="15"/>
  <c r="Z1186" i="15"/>
  <c r="V1186" i="15"/>
  <c r="N1186" i="15"/>
  <c r="O1186" i="15"/>
  <c r="M1186" i="15"/>
  <c r="AD1185" i="15"/>
  <c r="AC1185" i="15"/>
  <c r="AB1185" i="15"/>
  <c r="AA1185" i="15"/>
  <c r="Z1185" i="15"/>
  <c r="V1185" i="15"/>
  <c r="N1185" i="15"/>
  <c r="R1185" i="15"/>
  <c r="K1185" i="15"/>
  <c r="M1185" i="15"/>
  <c r="AD1184" i="15"/>
  <c r="AC1184" i="15"/>
  <c r="AB1184" i="15"/>
  <c r="AA1184" i="15"/>
  <c r="Z1184" i="15"/>
  <c r="AD1183" i="15"/>
  <c r="AC1183" i="15"/>
  <c r="AB1183" i="15"/>
  <c r="AA1183" i="15"/>
  <c r="Z1183" i="15"/>
  <c r="V1183" i="15"/>
  <c r="N1183" i="15"/>
  <c r="O1183" i="15"/>
  <c r="K1183" i="15"/>
  <c r="L1183" i="15"/>
  <c r="M1183" i="15"/>
  <c r="AD1182" i="15"/>
  <c r="AC1182" i="15"/>
  <c r="AB1182" i="15"/>
  <c r="AA1182" i="15"/>
  <c r="Z1182" i="15"/>
  <c r="V1182" i="15"/>
  <c r="N1182" i="15"/>
  <c r="M1182" i="15"/>
  <c r="AD1181" i="15"/>
  <c r="AC1181" i="15"/>
  <c r="AB1181" i="15"/>
  <c r="AA1181" i="15"/>
  <c r="Z1181" i="15"/>
  <c r="V1181" i="15"/>
  <c r="N1181" i="15"/>
  <c r="L1181" i="15"/>
  <c r="R1181" i="15"/>
  <c r="M1181" i="15"/>
  <c r="AD1180" i="15"/>
  <c r="AC1180" i="15"/>
  <c r="AB1180" i="15"/>
  <c r="AA1180" i="15"/>
  <c r="Z1180" i="15"/>
  <c r="V1180" i="15"/>
  <c r="N1180" i="15"/>
  <c r="R1180" i="15"/>
  <c r="K1180" i="15"/>
  <c r="J1180" i="15"/>
  <c r="M1180" i="15"/>
  <c r="AD1179" i="15"/>
  <c r="AC1179" i="15"/>
  <c r="AB1179" i="15"/>
  <c r="AA1179" i="15"/>
  <c r="Z1179" i="15"/>
  <c r="AD1178" i="15"/>
  <c r="AC1178" i="15"/>
  <c r="AB1178" i="15"/>
  <c r="AA1178" i="15"/>
  <c r="Z1178" i="15"/>
  <c r="V1178" i="15"/>
  <c r="N1178" i="15"/>
  <c r="O1178" i="15"/>
  <c r="M1178" i="15"/>
  <c r="AD1177" i="15"/>
  <c r="AC1177" i="15"/>
  <c r="AB1177" i="15"/>
  <c r="AA1177" i="15"/>
  <c r="Z1177" i="15"/>
  <c r="V1177" i="15"/>
  <c r="N1177" i="15"/>
  <c r="M1177" i="15"/>
  <c r="AD1176" i="15"/>
  <c r="AC1176" i="15"/>
  <c r="AB1176" i="15"/>
  <c r="AA1176" i="15"/>
  <c r="Z1176" i="15"/>
  <c r="V1176" i="15"/>
  <c r="N1176" i="15"/>
  <c r="R1176" i="15"/>
  <c r="J1176" i="15"/>
  <c r="K1176" i="15"/>
  <c r="M1176" i="15"/>
  <c r="AD1175" i="15"/>
  <c r="AC1175" i="15"/>
  <c r="AB1175" i="15"/>
  <c r="AA1175" i="15"/>
  <c r="Z1175" i="15"/>
  <c r="V1175" i="15"/>
  <c r="N1175" i="15"/>
  <c r="J1175" i="15"/>
  <c r="K1175" i="15"/>
  <c r="M1175" i="15"/>
  <c r="AD1174" i="15"/>
  <c r="AC1174" i="15"/>
  <c r="AB1174" i="15"/>
  <c r="AA1174" i="15"/>
  <c r="Z1174" i="15"/>
  <c r="V1174" i="15"/>
  <c r="N1174" i="15"/>
  <c r="R1174" i="15"/>
  <c r="M1174" i="15"/>
  <c r="AD1173" i="15"/>
  <c r="AC1173" i="15"/>
  <c r="AB1173" i="15"/>
  <c r="AA1173" i="15"/>
  <c r="Z1173" i="15"/>
  <c r="AD1172" i="15"/>
  <c r="AC1172" i="15"/>
  <c r="AB1172" i="15"/>
  <c r="AA1172" i="15"/>
  <c r="Z1172" i="15"/>
  <c r="AD1171" i="15"/>
  <c r="AC1171" i="15"/>
  <c r="AB1171" i="15"/>
  <c r="AA1171" i="15"/>
  <c r="Z1171" i="15"/>
  <c r="V1171" i="15"/>
  <c r="AD1170" i="15"/>
  <c r="AC1170" i="15"/>
  <c r="AB1170" i="15"/>
  <c r="AA1170" i="15"/>
  <c r="Z1170" i="15"/>
  <c r="AD1169" i="15"/>
  <c r="AC1169" i="15"/>
  <c r="AB1169" i="15"/>
  <c r="AA1169" i="15"/>
  <c r="Z1169" i="15"/>
  <c r="V1169" i="15"/>
  <c r="N1169" i="15"/>
  <c r="O1169" i="15"/>
  <c r="K1169" i="15"/>
  <c r="M1169" i="15"/>
  <c r="AD1168" i="15"/>
  <c r="AC1168" i="15"/>
  <c r="AB1168" i="15"/>
  <c r="AA1168" i="15"/>
  <c r="Z1168" i="15"/>
  <c r="V1168" i="15"/>
  <c r="N1168" i="15"/>
  <c r="J1168" i="15"/>
  <c r="M1168" i="15"/>
  <c r="AD1167" i="15"/>
  <c r="AC1167" i="15"/>
  <c r="AB1167" i="15"/>
  <c r="AA1167" i="15"/>
  <c r="Z1167" i="15"/>
  <c r="V1167" i="15"/>
  <c r="N1167" i="15"/>
  <c r="O1167" i="15"/>
  <c r="J1167" i="15"/>
  <c r="M1167" i="15"/>
  <c r="AD1166" i="15"/>
  <c r="AC1166" i="15"/>
  <c r="AB1166" i="15"/>
  <c r="AA1166" i="15"/>
  <c r="Z1166" i="15"/>
  <c r="AD1165" i="15"/>
  <c r="AC1165" i="15"/>
  <c r="AB1165" i="15"/>
  <c r="AA1165" i="15"/>
  <c r="Z1165" i="15"/>
  <c r="AD1164" i="15"/>
  <c r="AC1164" i="15"/>
  <c r="AB1164" i="15"/>
  <c r="AA1164" i="15"/>
  <c r="Z1164" i="15"/>
  <c r="V1164" i="15"/>
  <c r="N1164" i="15"/>
  <c r="J1164" i="15"/>
  <c r="K1164" i="15"/>
  <c r="L1164" i="15"/>
  <c r="M1164" i="15"/>
  <c r="AD1163" i="15"/>
  <c r="AC1163" i="15"/>
  <c r="AB1163" i="15"/>
  <c r="AA1163" i="15"/>
  <c r="Z1163" i="15"/>
  <c r="V1163" i="15"/>
  <c r="N1163" i="15"/>
  <c r="K1163" i="15"/>
  <c r="Q1163" i="15"/>
  <c r="J1163" i="15"/>
  <c r="L1163" i="15"/>
  <c r="M1163" i="15"/>
  <c r="AD1162" i="15"/>
  <c r="AC1162" i="15"/>
  <c r="AB1162" i="15"/>
  <c r="AA1162" i="15"/>
  <c r="Z1162" i="15"/>
  <c r="V1162" i="15"/>
  <c r="N1162" i="15"/>
  <c r="J1162" i="15"/>
  <c r="M1162" i="15"/>
  <c r="AD1161" i="15"/>
  <c r="AC1161" i="15"/>
  <c r="AB1161" i="15"/>
  <c r="AA1161" i="15"/>
  <c r="Z1161" i="15"/>
  <c r="V1161" i="15"/>
  <c r="N1161" i="15"/>
  <c r="AD1160" i="15"/>
  <c r="AC1160" i="15"/>
  <c r="AB1160" i="15"/>
  <c r="AA1160" i="15"/>
  <c r="Z1160" i="15"/>
  <c r="V1160" i="15"/>
  <c r="N1160" i="15"/>
  <c r="R1160" i="15"/>
  <c r="J1160" i="15"/>
  <c r="M1160" i="15"/>
  <c r="AD1159" i="15"/>
  <c r="AC1159" i="15"/>
  <c r="AB1159" i="15"/>
  <c r="AA1159" i="15"/>
  <c r="Z1159" i="15"/>
  <c r="V1159" i="15"/>
  <c r="N1159" i="15"/>
  <c r="R1159" i="15"/>
  <c r="K1159" i="15"/>
  <c r="Q1159" i="15"/>
  <c r="AD1158" i="15"/>
  <c r="AC1158" i="15"/>
  <c r="AB1158" i="15"/>
  <c r="AA1158" i="15"/>
  <c r="Z1158" i="15"/>
  <c r="V1158" i="15"/>
  <c r="N1158" i="15"/>
  <c r="M1158" i="15"/>
  <c r="AD1157" i="15"/>
  <c r="AC1157" i="15"/>
  <c r="AB1157" i="15"/>
  <c r="AA1157" i="15"/>
  <c r="Z1157" i="15"/>
  <c r="AD1156" i="15"/>
  <c r="AC1156" i="15"/>
  <c r="AB1156" i="15"/>
  <c r="AA1156" i="15"/>
  <c r="Z1156" i="15"/>
  <c r="V1156" i="15"/>
  <c r="N1156" i="15"/>
  <c r="R1156" i="15"/>
  <c r="M1156" i="15"/>
  <c r="AD1155" i="15"/>
  <c r="AC1155" i="15"/>
  <c r="AB1155" i="15"/>
  <c r="AA1155" i="15"/>
  <c r="Z1155" i="15"/>
  <c r="V1155" i="15"/>
  <c r="N1155" i="15"/>
  <c r="M1155" i="15"/>
  <c r="AD1154" i="15"/>
  <c r="AC1154" i="15"/>
  <c r="AB1154" i="15"/>
  <c r="AA1154" i="15"/>
  <c r="Z1154" i="15"/>
  <c r="V1154" i="15"/>
  <c r="N1154" i="15"/>
  <c r="K1154" i="15"/>
  <c r="Q1154" i="15"/>
  <c r="J1154" i="15"/>
  <c r="L1154" i="15"/>
  <c r="M1154" i="15"/>
  <c r="AD1153" i="15"/>
  <c r="AC1153" i="15"/>
  <c r="AB1153" i="15"/>
  <c r="AA1153" i="15"/>
  <c r="Z1153" i="15"/>
  <c r="V1153" i="15"/>
  <c r="N1153" i="15"/>
  <c r="L1153" i="15"/>
  <c r="K1153" i="15"/>
  <c r="J1153" i="15"/>
  <c r="M1153" i="15"/>
  <c r="AD1152" i="15"/>
  <c r="AC1152" i="15"/>
  <c r="AB1152" i="15"/>
  <c r="AA1152" i="15"/>
  <c r="Z1152" i="15"/>
  <c r="V1152" i="15"/>
  <c r="N1152" i="15"/>
  <c r="R1152" i="15"/>
  <c r="M1152" i="15"/>
  <c r="AD1151" i="15"/>
  <c r="AC1151" i="15"/>
  <c r="AB1151" i="15"/>
  <c r="AA1151" i="15"/>
  <c r="Z1151" i="15"/>
  <c r="V1151" i="15"/>
  <c r="N1151" i="15"/>
  <c r="M1151" i="15"/>
  <c r="AD1150" i="15"/>
  <c r="AC1150" i="15"/>
  <c r="AB1150" i="15"/>
  <c r="AA1150" i="15"/>
  <c r="Z1150" i="15"/>
  <c r="V1150" i="15"/>
  <c r="N1150" i="15"/>
  <c r="R1150" i="15"/>
  <c r="K1150" i="15"/>
  <c r="M1150" i="15"/>
  <c r="AD1149" i="15"/>
  <c r="AC1149" i="15"/>
  <c r="AB1149" i="15"/>
  <c r="AA1149" i="15"/>
  <c r="Z1149" i="15"/>
  <c r="V1149" i="15"/>
  <c r="N1149" i="15"/>
  <c r="Q1149" i="15"/>
  <c r="J1149" i="15"/>
  <c r="AD1148" i="15"/>
  <c r="AC1148" i="15"/>
  <c r="AB1148" i="15"/>
  <c r="AA1148" i="15"/>
  <c r="Z1148" i="15"/>
  <c r="V1148" i="15"/>
  <c r="N1148" i="15"/>
  <c r="R1148" i="15"/>
  <c r="J1148" i="15"/>
  <c r="M1148" i="15"/>
  <c r="AD1147" i="15"/>
  <c r="AC1147" i="15"/>
  <c r="AB1147" i="15"/>
  <c r="AA1147" i="15"/>
  <c r="Z1147" i="15"/>
  <c r="V1147" i="15"/>
  <c r="N1147" i="15"/>
  <c r="Q1147" i="15"/>
  <c r="M1147" i="15"/>
  <c r="AD1146" i="15"/>
  <c r="AC1146" i="15"/>
  <c r="AB1146" i="15"/>
  <c r="AA1146" i="15"/>
  <c r="Z1146" i="15"/>
  <c r="AD1145" i="15"/>
  <c r="AC1145" i="15"/>
  <c r="AB1145" i="15"/>
  <c r="AA1145" i="15"/>
  <c r="Z1145" i="15"/>
  <c r="V1145" i="15"/>
  <c r="N1145" i="15"/>
  <c r="R1145" i="15"/>
  <c r="K1145" i="15"/>
  <c r="M1145" i="15"/>
  <c r="AD1144" i="15"/>
  <c r="AC1144" i="15"/>
  <c r="AB1144" i="15"/>
  <c r="AA1144" i="15"/>
  <c r="Z1144" i="15"/>
  <c r="V1144" i="15"/>
  <c r="N1144" i="15"/>
  <c r="K1144" i="15"/>
  <c r="M1144" i="15"/>
  <c r="AD1143" i="15"/>
  <c r="AC1143" i="15"/>
  <c r="AB1143" i="15"/>
  <c r="AA1143" i="15"/>
  <c r="Z1143" i="15"/>
  <c r="AD1142" i="15"/>
  <c r="AC1142" i="15"/>
  <c r="AB1142" i="15"/>
  <c r="AA1142" i="15"/>
  <c r="Z1142" i="15"/>
  <c r="V1142" i="15"/>
  <c r="N1142" i="15"/>
  <c r="R1142" i="15"/>
  <c r="M1142" i="15"/>
  <c r="AD1141" i="15"/>
  <c r="AC1141" i="15"/>
  <c r="AB1141" i="15"/>
  <c r="AA1141" i="15"/>
  <c r="Z1141" i="15"/>
  <c r="V1141" i="15"/>
  <c r="N1141" i="15"/>
  <c r="R1141" i="15"/>
  <c r="J1141" i="15"/>
  <c r="M1141" i="15"/>
  <c r="AD1140" i="15"/>
  <c r="AC1140" i="15"/>
  <c r="AB1140" i="15"/>
  <c r="AA1140" i="15"/>
  <c r="Z1140" i="15"/>
  <c r="V1140" i="15"/>
  <c r="N1140" i="15"/>
  <c r="O1140" i="15"/>
  <c r="J1140" i="15"/>
  <c r="M1140" i="15"/>
  <c r="AD1139" i="15"/>
  <c r="AC1139" i="15"/>
  <c r="AB1139" i="15"/>
  <c r="AA1139" i="15"/>
  <c r="Z1139" i="15"/>
  <c r="V1139" i="15"/>
  <c r="N1139" i="15"/>
  <c r="R1139" i="15"/>
  <c r="M1139" i="15"/>
  <c r="AD1138" i="15"/>
  <c r="AC1138" i="15"/>
  <c r="AB1138" i="15"/>
  <c r="AA1138" i="15"/>
  <c r="Z1138" i="15"/>
  <c r="AD1137" i="15"/>
  <c r="AC1137" i="15"/>
  <c r="AB1137" i="15"/>
  <c r="AA1137" i="15"/>
  <c r="Z1137" i="15"/>
  <c r="AD1136" i="15"/>
  <c r="AC1136" i="15"/>
  <c r="AB1136" i="15"/>
  <c r="AA1136" i="15"/>
  <c r="Z1136" i="15"/>
  <c r="V1136" i="15"/>
  <c r="AD1135" i="15"/>
  <c r="AC1135" i="15"/>
  <c r="AB1135" i="15"/>
  <c r="AA1135" i="15"/>
  <c r="Z1135" i="15"/>
  <c r="AD1134" i="15"/>
  <c r="AC1134" i="15"/>
  <c r="AB1134" i="15"/>
  <c r="AA1134" i="15"/>
  <c r="Z1134" i="15"/>
  <c r="V1134" i="15"/>
  <c r="N1134" i="15"/>
  <c r="O1134" i="15"/>
  <c r="J1134" i="15"/>
  <c r="K1134" i="15"/>
  <c r="M1134" i="15"/>
  <c r="AD1133" i="15"/>
  <c r="AC1133" i="15"/>
  <c r="AB1133" i="15"/>
  <c r="AA1133" i="15"/>
  <c r="Z1133" i="15"/>
  <c r="V1133" i="15"/>
  <c r="N1133" i="15"/>
  <c r="L1133" i="15"/>
  <c r="K1133" i="15"/>
  <c r="J1133" i="15"/>
  <c r="AD1132" i="15"/>
  <c r="AC1132" i="15"/>
  <c r="AB1132" i="15"/>
  <c r="AA1132" i="15"/>
  <c r="Z1132" i="15"/>
  <c r="V1132" i="15"/>
  <c r="N1132" i="15"/>
  <c r="L1132" i="15"/>
  <c r="R1132" i="15"/>
  <c r="K1132" i="15"/>
  <c r="J1132" i="15"/>
  <c r="AD1131" i="15"/>
  <c r="AC1131" i="15"/>
  <c r="AB1131" i="15"/>
  <c r="AA1131" i="15"/>
  <c r="Z1131" i="15"/>
  <c r="AD1130" i="15"/>
  <c r="AC1130" i="15"/>
  <c r="AB1130" i="15"/>
  <c r="AA1130" i="15"/>
  <c r="Z1130" i="15"/>
  <c r="AD1129" i="15"/>
  <c r="AC1129" i="15"/>
  <c r="AB1129" i="15"/>
  <c r="AA1129" i="15"/>
  <c r="Z1129" i="15"/>
  <c r="V1129" i="15"/>
  <c r="N1129" i="15"/>
  <c r="L1129" i="15"/>
  <c r="R1129" i="15"/>
  <c r="M1129" i="15"/>
  <c r="AD1128" i="15"/>
  <c r="AC1128" i="15"/>
  <c r="AB1128" i="15"/>
  <c r="AA1128" i="15"/>
  <c r="Z1128" i="15"/>
  <c r="V1128" i="15"/>
  <c r="N1128" i="15"/>
  <c r="R1128" i="15"/>
  <c r="M1128" i="15"/>
  <c r="AD1127" i="15"/>
  <c r="AC1127" i="15"/>
  <c r="AB1127" i="15"/>
  <c r="AA1127" i="15"/>
  <c r="Z1127" i="15"/>
  <c r="V1127" i="15"/>
  <c r="N1127" i="15"/>
  <c r="R1127" i="15"/>
  <c r="K1127" i="15"/>
  <c r="AD1126" i="15"/>
  <c r="AC1126" i="15"/>
  <c r="AB1126" i="15"/>
  <c r="AA1126" i="15"/>
  <c r="Z1126" i="15"/>
  <c r="V1126" i="15"/>
  <c r="N1126" i="15"/>
  <c r="M1126" i="15"/>
  <c r="AD1125" i="15"/>
  <c r="AC1125" i="15"/>
  <c r="AB1125" i="15"/>
  <c r="AA1125" i="15"/>
  <c r="Z1125" i="15"/>
  <c r="AD1124" i="15"/>
  <c r="AC1124" i="15"/>
  <c r="AB1124" i="15"/>
  <c r="AA1124" i="15"/>
  <c r="Z1124" i="15"/>
  <c r="V1124" i="15"/>
  <c r="N1124" i="15"/>
  <c r="R1124" i="15"/>
  <c r="M1124" i="15"/>
  <c r="AD1123" i="15"/>
  <c r="AC1123" i="15"/>
  <c r="AB1123" i="15"/>
  <c r="AA1123" i="15"/>
  <c r="Z1123" i="15"/>
  <c r="V1123" i="15"/>
  <c r="N1123" i="15"/>
  <c r="R1123" i="15"/>
  <c r="J1123" i="15"/>
  <c r="M1123" i="15"/>
  <c r="AD1122" i="15"/>
  <c r="AC1122" i="15"/>
  <c r="AB1122" i="15"/>
  <c r="AA1122" i="15"/>
  <c r="Z1122" i="15"/>
  <c r="V1122" i="15"/>
  <c r="N1122" i="15"/>
  <c r="J1122" i="15"/>
  <c r="P1122" i="15"/>
  <c r="M1122" i="15"/>
  <c r="AD1121" i="15"/>
  <c r="AC1121" i="15"/>
  <c r="AB1121" i="15"/>
  <c r="AA1121" i="15"/>
  <c r="Z1121" i="15"/>
  <c r="AD1120" i="15"/>
  <c r="AC1120" i="15"/>
  <c r="AB1120" i="15"/>
  <c r="AA1120" i="15"/>
  <c r="Z1120" i="15"/>
  <c r="AD1119" i="15"/>
  <c r="AC1119" i="15"/>
  <c r="AB1119" i="15"/>
  <c r="AA1119" i="15"/>
  <c r="Z1119" i="15"/>
  <c r="V1119" i="15"/>
  <c r="N1119" i="15"/>
  <c r="P1119" i="15"/>
  <c r="K1119" i="15"/>
  <c r="M1119" i="15"/>
  <c r="AD1118" i="15"/>
  <c r="AC1118" i="15"/>
  <c r="AB1118" i="15"/>
  <c r="AA1118" i="15"/>
  <c r="Z1118" i="15"/>
  <c r="V1118" i="15"/>
  <c r="N1118" i="15"/>
  <c r="L1118" i="15"/>
  <c r="K1118" i="15"/>
  <c r="M1118" i="15"/>
  <c r="AD1117" i="15"/>
  <c r="AC1117" i="15"/>
  <c r="AB1117" i="15"/>
  <c r="AA1117" i="15"/>
  <c r="Z1117" i="15"/>
  <c r="AD1116" i="15"/>
  <c r="AC1116" i="15"/>
  <c r="AB1116" i="15"/>
  <c r="AA1116" i="15"/>
  <c r="Z1116" i="15"/>
  <c r="V1116" i="15"/>
  <c r="N1116" i="15"/>
  <c r="J1116" i="15"/>
  <c r="M1116" i="15"/>
  <c r="AD1115" i="15"/>
  <c r="AC1115" i="15"/>
  <c r="AB1115" i="15"/>
  <c r="AA1115" i="15"/>
  <c r="Z1115" i="15"/>
  <c r="V1115" i="15"/>
  <c r="N1115" i="15"/>
  <c r="J1115" i="15"/>
  <c r="P1115" i="15"/>
  <c r="M1115" i="15"/>
  <c r="AD1114" i="15"/>
  <c r="AC1114" i="15"/>
  <c r="AB1114" i="15"/>
  <c r="AA1114" i="15"/>
  <c r="Z1114" i="15"/>
  <c r="AD1113" i="15"/>
  <c r="AC1113" i="15"/>
  <c r="AB1113" i="15"/>
  <c r="AA1113" i="15"/>
  <c r="Z1113" i="15"/>
  <c r="AD1112" i="15"/>
  <c r="AC1112" i="15"/>
  <c r="AB1112" i="15"/>
  <c r="AA1112" i="15"/>
  <c r="Z1112" i="15"/>
  <c r="AD1111" i="15"/>
  <c r="AC1111" i="15"/>
  <c r="AB1111" i="15"/>
  <c r="AA1111" i="15"/>
  <c r="Z1111" i="15"/>
  <c r="V1111" i="15"/>
  <c r="AD1110" i="15"/>
  <c r="AC1110" i="15"/>
  <c r="AB1110" i="15"/>
  <c r="AA1110" i="15"/>
  <c r="Z1110" i="15"/>
  <c r="AD1109" i="15"/>
  <c r="AC1109" i="15"/>
  <c r="AB1109" i="15"/>
  <c r="AA1109" i="15"/>
  <c r="Z1109" i="15"/>
  <c r="V1109" i="15"/>
  <c r="AD1108" i="15"/>
  <c r="AC1108" i="15"/>
  <c r="AB1108" i="15"/>
  <c r="AA1108" i="15"/>
  <c r="Z1108" i="15"/>
  <c r="AD1107" i="15"/>
  <c r="AC1107" i="15"/>
  <c r="AB1107" i="15"/>
  <c r="AA1107" i="15"/>
  <c r="Z1107" i="15"/>
  <c r="AD1106" i="15"/>
  <c r="AC1106" i="15"/>
  <c r="AB1106" i="15"/>
  <c r="AA1106" i="15"/>
  <c r="Z1106" i="15"/>
  <c r="V1106" i="15"/>
  <c r="AD1105" i="15"/>
  <c r="AC1105" i="15"/>
  <c r="AB1105" i="15"/>
  <c r="AA1105" i="15"/>
  <c r="Z1105" i="15"/>
  <c r="AD1104" i="15"/>
  <c r="AC1104" i="15"/>
  <c r="AB1104" i="15"/>
  <c r="AA1104" i="15"/>
  <c r="Z1104" i="15"/>
  <c r="V1104" i="15"/>
  <c r="AD1103" i="15"/>
  <c r="AC1103" i="15"/>
  <c r="AB1103" i="15"/>
  <c r="AA1103" i="15"/>
  <c r="Z1103" i="15"/>
  <c r="AD1102" i="15"/>
  <c r="AC1102" i="15"/>
  <c r="AB1102" i="15"/>
  <c r="AA1102" i="15"/>
  <c r="Z1102" i="15"/>
  <c r="V1102" i="15"/>
  <c r="N1102" i="15"/>
  <c r="R1102" i="15"/>
  <c r="M1102" i="15"/>
  <c r="AD1101" i="15"/>
  <c r="AC1101" i="15"/>
  <c r="AB1101" i="15"/>
  <c r="AA1101" i="15"/>
  <c r="Z1101" i="15"/>
  <c r="V1101" i="15"/>
  <c r="N1101" i="15"/>
  <c r="J1101" i="15"/>
  <c r="M1101" i="15"/>
  <c r="AD1100" i="15"/>
  <c r="AC1100" i="15"/>
  <c r="AB1100" i="15"/>
  <c r="AA1100" i="15"/>
  <c r="Z1100" i="15"/>
  <c r="V1100" i="15"/>
  <c r="N1100" i="15"/>
  <c r="Q1100" i="15"/>
  <c r="J1100" i="15"/>
  <c r="M1100" i="15"/>
  <c r="AD1099" i="15"/>
  <c r="AC1099" i="15"/>
  <c r="AB1099" i="15"/>
  <c r="AA1099" i="15"/>
  <c r="Z1099" i="15"/>
  <c r="AD1098" i="15"/>
  <c r="AC1098" i="15"/>
  <c r="AB1098" i="15"/>
  <c r="AA1098" i="15"/>
  <c r="Z1098" i="15"/>
  <c r="AD1097" i="15"/>
  <c r="AC1097" i="15"/>
  <c r="AB1097" i="15"/>
  <c r="AA1097" i="15"/>
  <c r="Z1097" i="15"/>
  <c r="AD1096" i="15"/>
  <c r="AC1096" i="15"/>
  <c r="AB1096" i="15"/>
  <c r="AA1096" i="15"/>
  <c r="Z1096" i="15"/>
  <c r="V1096" i="15"/>
  <c r="N1096" i="15"/>
  <c r="R1096" i="15"/>
  <c r="M1096" i="15"/>
  <c r="AD1095" i="15"/>
  <c r="AC1095" i="15"/>
  <c r="AB1095" i="15"/>
  <c r="AA1095" i="15"/>
  <c r="Z1095" i="15"/>
  <c r="V1095" i="15"/>
  <c r="N1095" i="15"/>
  <c r="R1095" i="15"/>
  <c r="K1095" i="15"/>
  <c r="M1095" i="15"/>
  <c r="AD1094" i="15"/>
  <c r="AC1094" i="15"/>
  <c r="AB1094" i="15"/>
  <c r="AA1094" i="15"/>
  <c r="Z1094" i="15"/>
  <c r="V1094" i="15"/>
  <c r="N1094" i="15"/>
  <c r="M1094" i="15"/>
  <c r="AD1093" i="15"/>
  <c r="AC1093" i="15"/>
  <c r="AB1093" i="15"/>
  <c r="AA1093" i="15"/>
  <c r="Z1093" i="15"/>
  <c r="V1093" i="15"/>
  <c r="N1093" i="15"/>
  <c r="J1093" i="15"/>
  <c r="M1093" i="15"/>
  <c r="AD1092" i="15"/>
  <c r="AC1092" i="15"/>
  <c r="AB1092" i="15"/>
  <c r="AA1092" i="15"/>
  <c r="Z1092" i="15"/>
  <c r="AD1091" i="15"/>
  <c r="AC1091" i="15"/>
  <c r="AB1091" i="15"/>
  <c r="AA1091" i="15"/>
  <c r="Z1091" i="15"/>
  <c r="V1091" i="15"/>
  <c r="N1091" i="15"/>
  <c r="J1091" i="15"/>
  <c r="M1091" i="15"/>
  <c r="AD1090" i="15"/>
  <c r="AC1090" i="15"/>
  <c r="AB1090" i="15"/>
  <c r="AA1090" i="15"/>
  <c r="Z1090" i="15"/>
  <c r="V1090" i="15"/>
  <c r="N1090" i="15"/>
  <c r="J1090" i="15"/>
  <c r="M1090" i="15"/>
  <c r="AD1089" i="15"/>
  <c r="AC1089" i="15"/>
  <c r="AB1089" i="15"/>
  <c r="AA1089" i="15"/>
  <c r="Z1089" i="15"/>
  <c r="AD1088" i="15"/>
  <c r="AC1088" i="15"/>
  <c r="AB1088" i="15"/>
  <c r="AA1088" i="15"/>
  <c r="Z1088" i="15"/>
  <c r="V1088" i="15"/>
  <c r="N1088" i="15"/>
  <c r="O1088" i="15"/>
  <c r="L1088" i="15"/>
  <c r="K1088" i="15"/>
  <c r="AD1087" i="15"/>
  <c r="AC1087" i="15"/>
  <c r="AB1087" i="15"/>
  <c r="AA1087" i="15"/>
  <c r="Z1087" i="15"/>
  <c r="V1087" i="15"/>
  <c r="N1087" i="15"/>
  <c r="R1087" i="15"/>
  <c r="M1087" i="15"/>
  <c r="AD1086" i="15"/>
  <c r="AC1086" i="15"/>
  <c r="AB1086" i="15"/>
  <c r="AA1086" i="15"/>
  <c r="Z1086" i="15"/>
  <c r="V1086" i="15"/>
  <c r="N1086" i="15"/>
  <c r="M1086" i="15"/>
  <c r="AD1085" i="15"/>
  <c r="AC1085" i="15"/>
  <c r="AB1085" i="15"/>
  <c r="AA1085" i="15"/>
  <c r="Z1085" i="15"/>
  <c r="V1085" i="15"/>
  <c r="N1085" i="15"/>
  <c r="M1085" i="15"/>
  <c r="AD1084" i="15"/>
  <c r="AC1084" i="15"/>
  <c r="AB1084" i="15"/>
  <c r="AA1084" i="15"/>
  <c r="Z1084" i="15"/>
  <c r="V1084" i="15"/>
  <c r="N1084" i="15"/>
  <c r="J1084" i="15"/>
  <c r="M1084" i="15"/>
  <c r="AD1083" i="15"/>
  <c r="AC1083" i="15"/>
  <c r="AB1083" i="15"/>
  <c r="AA1083" i="15"/>
  <c r="Z1083" i="15"/>
  <c r="AD1082" i="15"/>
  <c r="AC1082" i="15"/>
  <c r="AB1082" i="15"/>
  <c r="AA1082" i="15"/>
  <c r="Z1082" i="15"/>
  <c r="AD1081" i="15"/>
  <c r="AC1081" i="15"/>
  <c r="AB1081" i="15"/>
  <c r="AA1081" i="15"/>
  <c r="Z1081" i="15"/>
  <c r="V1081" i="15"/>
  <c r="N1081" i="15"/>
  <c r="M1081" i="15"/>
  <c r="AD1080" i="15"/>
  <c r="AC1080" i="15"/>
  <c r="AB1080" i="15"/>
  <c r="AA1080" i="15"/>
  <c r="Z1080" i="15"/>
  <c r="AD1079" i="15"/>
  <c r="AC1079" i="15"/>
  <c r="AB1079" i="15"/>
  <c r="AA1079" i="15"/>
  <c r="Z1079" i="15"/>
  <c r="V1079" i="15"/>
  <c r="N1079" i="15"/>
  <c r="L1079" i="15"/>
  <c r="K1079" i="15"/>
  <c r="AD1078" i="15"/>
  <c r="AC1078" i="15"/>
  <c r="AB1078" i="15"/>
  <c r="AA1078" i="15"/>
  <c r="Z1078" i="15"/>
  <c r="AD1077" i="15"/>
  <c r="AC1077" i="15"/>
  <c r="AB1077" i="15"/>
  <c r="AA1077" i="15"/>
  <c r="Z1077" i="15"/>
  <c r="V1077" i="15"/>
  <c r="N1077" i="15"/>
  <c r="M1077" i="15"/>
  <c r="AD1076" i="15"/>
  <c r="AC1076" i="15"/>
  <c r="AB1076" i="15"/>
  <c r="AA1076" i="15"/>
  <c r="Z1076" i="15"/>
  <c r="V1076" i="15"/>
  <c r="N1076" i="15"/>
  <c r="M1076" i="15"/>
  <c r="AD1075" i="15"/>
  <c r="AC1075" i="15"/>
  <c r="AB1075" i="15"/>
  <c r="AA1075" i="15"/>
  <c r="Z1075" i="15"/>
  <c r="V1075" i="15"/>
  <c r="N1075" i="15"/>
  <c r="R1075" i="15"/>
  <c r="M1075" i="15"/>
  <c r="AD1074" i="15"/>
  <c r="AC1074" i="15"/>
  <c r="AB1074" i="15"/>
  <c r="AA1074" i="15"/>
  <c r="Z1074" i="15"/>
  <c r="AD1073" i="15"/>
  <c r="AC1073" i="15"/>
  <c r="AB1073" i="15"/>
  <c r="AA1073" i="15"/>
  <c r="Z1073" i="15"/>
  <c r="AD1072" i="15"/>
  <c r="AC1072" i="15"/>
  <c r="AB1072" i="15"/>
  <c r="AA1072" i="15"/>
  <c r="Z1072" i="15"/>
  <c r="V1072" i="15"/>
  <c r="N1072" i="15"/>
  <c r="R1072" i="15"/>
  <c r="M1072" i="15"/>
  <c r="AD1071" i="15"/>
  <c r="AC1071" i="15"/>
  <c r="AB1071" i="15"/>
  <c r="AA1071" i="15"/>
  <c r="Z1071" i="15"/>
  <c r="V1071" i="15"/>
  <c r="N1071" i="15"/>
  <c r="R1071" i="15"/>
  <c r="M1071" i="15"/>
  <c r="AD1070" i="15"/>
  <c r="AC1070" i="15"/>
  <c r="AB1070" i="15"/>
  <c r="AA1070" i="15"/>
  <c r="Z1070" i="15"/>
  <c r="AD1069" i="15"/>
  <c r="AC1069" i="15"/>
  <c r="AB1069" i="15"/>
  <c r="AA1069" i="15"/>
  <c r="Z1069" i="15"/>
  <c r="V1069" i="15"/>
  <c r="N1069" i="15"/>
  <c r="R1069" i="15"/>
  <c r="M1069" i="15"/>
  <c r="AD1068" i="15"/>
  <c r="AC1068" i="15"/>
  <c r="AB1068" i="15"/>
  <c r="AA1068" i="15"/>
  <c r="Z1068" i="15"/>
  <c r="V1068" i="15"/>
  <c r="N1068" i="15"/>
  <c r="M1068" i="15"/>
  <c r="AD1067" i="15"/>
  <c r="AC1067" i="15"/>
  <c r="AB1067" i="15"/>
  <c r="AA1067" i="15"/>
  <c r="Z1067" i="15"/>
  <c r="AD1066" i="15"/>
  <c r="AC1066" i="15"/>
  <c r="AB1066" i="15"/>
  <c r="AA1066" i="15"/>
  <c r="Z1066" i="15"/>
  <c r="AD1065" i="15"/>
  <c r="AC1065" i="15"/>
  <c r="AB1065" i="15"/>
  <c r="AA1065" i="15"/>
  <c r="Z1065" i="15"/>
  <c r="AD1064" i="15"/>
  <c r="AC1064" i="15"/>
  <c r="AB1064" i="15"/>
  <c r="AA1064" i="15"/>
  <c r="Z1064" i="15"/>
  <c r="V1064" i="15"/>
  <c r="N1064" i="15"/>
  <c r="R1064" i="15"/>
  <c r="K1064" i="15"/>
  <c r="M1064" i="15"/>
  <c r="AD1063" i="15"/>
  <c r="AC1063" i="15"/>
  <c r="AB1063" i="15"/>
  <c r="AA1063" i="15"/>
  <c r="Z1063" i="15"/>
  <c r="V1063" i="15"/>
  <c r="N1063" i="15"/>
  <c r="M1063" i="15"/>
  <c r="AD1062" i="15"/>
  <c r="AC1062" i="15"/>
  <c r="AB1062" i="15"/>
  <c r="AA1062" i="15"/>
  <c r="Z1062" i="15"/>
  <c r="AD1061" i="15"/>
  <c r="AC1061" i="15"/>
  <c r="AB1061" i="15"/>
  <c r="AA1061" i="15"/>
  <c r="Z1061" i="15"/>
  <c r="V1061" i="15"/>
  <c r="N1061" i="15"/>
  <c r="P1061" i="15"/>
  <c r="L1061" i="15"/>
  <c r="M1061" i="15"/>
  <c r="AD1060" i="15"/>
  <c r="AC1060" i="15"/>
  <c r="AB1060" i="15"/>
  <c r="AA1060" i="15"/>
  <c r="Z1060" i="15"/>
  <c r="AD1059" i="15"/>
  <c r="AC1059" i="15"/>
  <c r="AB1059" i="15"/>
  <c r="AA1059" i="15"/>
  <c r="Z1059" i="15"/>
  <c r="V1059" i="15"/>
  <c r="N1059" i="15"/>
  <c r="P1059" i="15"/>
  <c r="M1059" i="15"/>
  <c r="AD1058" i="15"/>
  <c r="AC1058" i="15"/>
  <c r="AB1058" i="15"/>
  <c r="AA1058" i="15"/>
  <c r="Z1058" i="15"/>
  <c r="V1058" i="15"/>
  <c r="N1058" i="15"/>
  <c r="R1058" i="15"/>
  <c r="J1058" i="15"/>
  <c r="M1058" i="15"/>
  <c r="AD1057" i="15"/>
  <c r="AC1057" i="15"/>
  <c r="AB1057" i="15"/>
  <c r="AA1057" i="15"/>
  <c r="Z1057" i="15"/>
  <c r="V1057" i="15"/>
  <c r="N1057" i="15"/>
  <c r="Q1057" i="15"/>
  <c r="M1057" i="15"/>
  <c r="AD1056" i="15"/>
  <c r="AC1056" i="15"/>
  <c r="AB1056" i="15"/>
  <c r="AA1056" i="15"/>
  <c r="Z1056" i="15"/>
  <c r="V1056" i="15"/>
  <c r="N1056" i="15"/>
  <c r="L1056" i="15"/>
  <c r="K1056" i="15"/>
  <c r="J1056" i="15"/>
  <c r="AD1055" i="15"/>
  <c r="AC1055" i="15"/>
  <c r="AB1055" i="15"/>
  <c r="AA1055" i="15"/>
  <c r="Z1055" i="15"/>
  <c r="AD1054" i="15"/>
  <c r="AC1054" i="15"/>
  <c r="AB1054" i="15"/>
  <c r="AA1054" i="15"/>
  <c r="Z1054" i="15"/>
  <c r="V1054" i="15"/>
  <c r="N1054" i="15"/>
  <c r="J1054" i="15"/>
  <c r="M1054" i="15"/>
  <c r="AD1053" i="15"/>
  <c r="AC1053" i="15"/>
  <c r="AB1053" i="15"/>
  <c r="AA1053" i="15"/>
  <c r="Z1053" i="15"/>
  <c r="V1053" i="15"/>
  <c r="N1053" i="15"/>
  <c r="R1053" i="15"/>
  <c r="J1053" i="15"/>
  <c r="M1053" i="15"/>
  <c r="AD1052" i="15"/>
  <c r="AC1052" i="15"/>
  <c r="AB1052" i="15"/>
  <c r="AA1052" i="15"/>
  <c r="Z1052" i="15"/>
  <c r="AD1051" i="15"/>
  <c r="AC1051" i="15"/>
  <c r="AB1051" i="15"/>
  <c r="AA1051" i="15"/>
  <c r="Z1051" i="15"/>
  <c r="AD1050" i="15"/>
  <c r="AC1050" i="15"/>
  <c r="AB1050" i="15"/>
  <c r="AA1050" i="15"/>
  <c r="Z1050" i="15"/>
  <c r="V1050" i="15"/>
  <c r="N1050" i="15"/>
  <c r="R1050" i="15"/>
  <c r="M1050" i="15"/>
  <c r="AD1049" i="15"/>
  <c r="AC1049" i="15"/>
  <c r="AB1049" i="15"/>
  <c r="AA1049" i="15"/>
  <c r="Z1049" i="15"/>
  <c r="V1049" i="15"/>
  <c r="N1049" i="15"/>
  <c r="M1049" i="15"/>
  <c r="AD1048" i="15"/>
  <c r="AC1048" i="15"/>
  <c r="AB1048" i="15"/>
  <c r="AA1048" i="15"/>
  <c r="Z1048" i="15"/>
  <c r="AD1047" i="15"/>
  <c r="AC1047" i="15"/>
  <c r="AB1047" i="15"/>
  <c r="AA1047" i="15"/>
  <c r="Z1047" i="15"/>
  <c r="V1047" i="15"/>
  <c r="N1047" i="15"/>
  <c r="M1047" i="15"/>
  <c r="AD1046" i="15"/>
  <c r="AC1046" i="15"/>
  <c r="AB1046" i="15"/>
  <c r="AA1046" i="15"/>
  <c r="Z1046" i="15"/>
  <c r="AD1045" i="15"/>
  <c r="AC1045" i="15"/>
  <c r="AB1045" i="15"/>
  <c r="AA1045" i="15"/>
  <c r="Z1045" i="15"/>
  <c r="AD1044" i="15"/>
  <c r="AC1044" i="15"/>
  <c r="AB1044" i="15"/>
  <c r="AA1044" i="15"/>
  <c r="Z1044" i="15"/>
  <c r="V1044" i="15"/>
  <c r="N1044" i="15"/>
  <c r="M1044" i="15"/>
  <c r="AD1043" i="15"/>
  <c r="AC1043" i="15"/>
  <c r="AB1043" i="15"/>
  <c r="AA1043" i="15"/>
  <c r="Z1043" i="15"/>
  <c r="AD1042" i="15"/>
  <c r="AC1042" i="15"/>
  <c r="AB1042" i="15"/>
  <c r="AA1042" i="15"/>
  <c r="Z1042" i="15"/>
  <c r="V1042" i="15"/>
  <c r="N1042" i="15"/>
  <c r="L1037" i="15"/>
  <c r="L1042" i="15"/>
  <c r="M1042" i="15"/>
  <c r="AD1041" i="15"/>
  <c r="AC1041" i="15"/>
  <c r="AB1041" i="15"/>
  <c r="AA1041" i="15"/>
  <c r="Z1041" i="15"/>
  <c r="V1041" i="15"/>
  <c r="N1041" i="15"/>
  <c r="M1041" i="15"/>
  <c r="AD1040" i="15"/>
  <c r="AC1040" i="15"/>
  <c r="AB1040" i="15"/>
  <c r="AA1040" i="15"/>
  <c r="Z1040" i="15"/>
  <c r="V1040" i="15"/>
  <c r="N1040" i="15"/>
  <c r="O1040" i="15"/>
  <c r="K1040" i="15"/>
  <c r="AD1039" i="15"/>
  <c r="AC1039" i="15"/>
  <c r="AB1039" i="15"/>
  <c r="AA1039" i="15"/>
  <c r="Z1039" i="15"/>
  <c r="V1039" i="15"/>
  <c r="N1039" i="15"/>
  <c r="K1039" i="15"/>
  <c r="L1039" i="15"/>
  <c r="M1039" i="15"/>
  <c r="AD1038" i="15"/>
  <c r="AC1038" i="15"/>
  <c r="AB1038" i="15"/>
  <c r="AA1038" i="15"/>
  <c r="Z1038" i="15"/>
  <c r="V1038" i="15"/>
  <c r="N1038" i="15"/>
  <c r="R1038" i="15"/>
  <c r="M1038" i="15"/>
  <c r="AD1037" i="15"/>
  <c r="AC1037" i="15"/>
  <c r="AB1037" i="15"/>
  <c r="AA1037" i="15"/>
  <c r="Z1037" i="15"/>
  <c r="V1037" i="15"/>
  <c r="N1037" i="15"/>
  <c r="M1037" i="15"/>
  <c r="L1040" i="15"/>
  <c r="AD1036" i="15"/>
  <c r="AC1036" i="15"/>
  <c r="AB1036" i="15"/>
  <c r="AA1036" i="15"/>
  <c r="Z1036" i="15"/>
  <c r="V1036" i="15"/>
  <c r="N1036" i="15"/>
  <c r="L1036" i="15"/>
  <c r="M1036" i="15"/>
  <c r="AD1035" i="15"/>
  <c r="AC1035" i="15"/>
  <c r="AB1035" i="15"/>
  <c r="AA1035" i="15"/>
  <c r="Z1035" i="15"/>
  <c r="V1035" i="15"/>
  <c r="N1035" i="15"/>
  <c r="R1035" i="15"/>
  <c r="M1035" i="15"/>
  <c r="AD1034" i="15"/>
  <c r="AC1034" i="15"/>
  <c r="AB1034" i="15"/>
  <c r="AA1034" i="15"/>
  <c r="Z1034" i="15"/>
  <c r="AD1033" i="15"/>
  <c r="AC1033" i="15"/>
  <c r="AB1033" i="15"/>
  <c r="AA1033" i="15"/>
  <c r="Z1033" i="15"/>
  <c r="V1033" i="15"/>
  <c r="N1033" i="15"/>
  <c r="K1033" i="15"/>
  <c r="L1033" i="15"/>
  <c r="J1033" i="15"/>
  <c r="AD1032" i="15"/>
  <c r="AC1032" i="15"/>
  <c r="AB1032" i="15"/>
  <c r="AA1032" i="15"/>
  <c r="Z1032" i="15"/>
  <c r="V1032" i="15"/>
  <c r="N1032" i="15"/>
  <c r="R1032" i="15"/>
  <c r="J1032" i="15"/>
  <c r="M1032" i="15"/>
  <c r="AD1031" i="15"/>
  <c r="AC1031" i="15"/>
  <c r="AB1031" i="15"/>
  <c r="AA1031" i="15"/>
  <c r="Z1031" i="15"/>
  <c r="V1031" i="15"/>
  <c r="N1031" i="15"/>
  <c r="Q1031" i="15"/>
  <c r="M1031" i="15"/>
  <c r="AD1030" i="15"/>
  <c r="AC1030" i="15"/>
  <c r="AB1030" i="15"/>
  <c r="AA1030" i="15"/>
  <c r="Z1030" i="15"/>
  <c r="V1030" i="15"/>
  <c r="N1030" i="15"/>
  <c r="M1030" i="15"/>
  <c r="AD1029" i="15"/>
  <c r="AC1029" i="15"/>
  <c r="AB1029" i="15"/>
  <c r="AA1029" i="15"/>
  <c r="Z1029" i="15"/>
  <c r="AD1028" i="15"/>
  <c r="AC1028" i="15"/>
  <c r="AB1028" i="15"/>
  <c r="AA1028" i="15"/>
  <c r="Z1028" i="15"/>
  <c r="V1028" i="15"/>
  <c r="N1028" i="15"/>
  <c r="M1028" i="15"/>
  <c r="AD1027" i="15"/>
  <c r="AC1027" i="15"/>
  <c r="AB1027" i="15"/>
  <c r="AA1027" i="15"/>
  <c r="Z1027" i="15"/>
  <c r="V1027" i="15"/>
  <c r="N1027" i="15"/>
  <c r="Q1027" i="15"/>
  <c r="M1027" i="15"/>
  <c r="AD1026" i="15"/>
  <c r="AC1026" i="15"/>
  <c r="AB1026" i="15"/>
  <c r="AA1026" i="15"/>
  <c r="Z1026" i="15"/>
  <c r="V1026" i="15"/>
  <c r="N1026" i="15"/>
  <c r="R1026" i="15"/>
  <c r="M1026" i="15"/>
  <c r="AD1025" i="15"/>
  <c r="AC1025" i="15"/>
  <c r="AB1025" i="15"/>
  <c r="AA1025" i="15"/>
  <c r="Z1025" i="15"/>
  <c r="V1025" i="15"/>
  <c r="N1025" i="15"/>
  <c r="R1025" i="15"/>
  <c r="M1025" i="15"/>
  <c r="AD1024" i="15"/>
  <c r="AC1024" i="15"/>
  <c r="AB1024" i="15"/>
  <c r="AA1024" i="15"/>
  <c r="Z1024" i="15"/>
  <c r="V1024" i="15"/>
  <c r="N1024" i="15"/>
  <c r="M1024" i="15"/>
  <c r="AD1023" i="15"/>
  <c r="AC1023" i="15"/>
  <c r="AB1023" i="15"/>
  <c r="AA1023" i="15"/>
  <c r="Z1023" i="15"/>
  <c r="V1023" i="15"/>
  <c r="N1023" i="15"/>
  <c r="M1023" i="15"/>
  <c r="AD1022" i="15"/>
  <c r="AC1022" i="15"/>
  <c r="AB1022" i="15"/>
  <c r="AA1022" i="15"/>
  <c r="Z1022" i="15"/>
  <c r="V1022" i="15"/>
  <c r="N1022" i="15"/>
  <c r="M1022" i="15"/>
  <c r="AD1021" i="15"/>
  <c r="AC1021" i="15"/>
  <c r="AB1021" i="15"/>
  <c r="AA1021" i="15"/>
  <c r="Z1021" i="15"/>
  <c r="V1021" i="15"/>
  <c r="N1021" i="15"/>
  <c r="M1021" i="15"/>
  <c r="AD1020" i="15"/>
  <c r="AC1020" i="15"/>
  <c r="AB1020" i="15"/>
  <c r="AA1020" i="15"/>
  <c r="Z1020" i="15"/>
  <c r="V1020" i="15"/>
  <c r="N1020" i="15"/>
  <c r="M1020" i="15"/>
  <c r="AD1019" i="15"/>
  <c r="AC1019" i="15"/>
  <c r="AB1019" i="15"/>
  <c r="AA1019" i="15"/>
  <c r="Z1019" i="15"/>
  <c r="V1019" i="15"/>
  <c r="N1019" i="15"/>
  <c r="Q1019" i="15"/>
  <c r="M1019" i="15"/>
  <c r="AD1018" i="15"/>
  <c r="AC1018" i="15"/>
  <c r="AB1018" i="15"/>
  <c r="AA1018" i="15"/>
  <c r="Z1018" i="15"/>
  <c r="V1018" i="15"/>
  <c r="N1018" i="15"/>
  <c r="R1018" i="15"/>
  <c r="M1018" i="15"/>
  <c r="AD1017" i="15"/>
  <c r="AC1017" i="15"/>
  <c r="AB1017" i="15"/>
  <c r="AA1017" i="15"/>
  <c r="Z1017" i="15"/>
  <c r="V1017" i="15"/>
  <c r="N1017" i="15"/>
  <c r="R1017" i="15"/>
  <c r="M1017" i="15"/>
  <c r="AD1016" i="15"/>
  <c r="AC1016" i="15"/>
  <c r="AB1016" i="15"/>
  <c r="AA1016" i="15"/>
  <c r="Z1016" i="15"/>
  <c r="V1016" i="15"/>
  <c r="N1016" i="15"/>
  <c r="M1016" i="15"/>
  <c r="AD1015" i="15"/>
  <c r="AC1015" i="15"/>
  <c r="AB1015" i="15"/>
  <c r="AA1015" i="15"/>
  <c r="Z1015" i="15"/>
  <c r="V1015" i="15"/>
  <c r="N1015" i="15"/>
  <c r="M1015" i="15"/>
  <c r="AD1014" i="15"/>
  <c r="AC1014" i="15"/>
  <c r="AB1014" i="15"/>
  <c r="AA1014" i="15"/>
  <c r="Z1014" i="15"/>
  <c r="V1014" i="15"/>
  <c r="N1014" i="15"/>
  <c r="R1014" i="15"/>
  <c r="M1014" i="15"/>
  <c r="AD1013" i="15"/>
  <c r="AC1013" i="15"/>
  <c r="AB1013" i="15"/>
  <c r="AA1013" i="15"/>
  <c r="Z1013" i="15"/>
  <c r="V1013" i="15"/>
  <c r="N1013" i="15"/>
  <c r="M1013" i="15"/>
  <c r="AD1012" i="15"/>
  <c r="AC1012" i="15"/>
  <c r="AB1012" i="15"/>
  <c r="AA1012" i="15"/>
  <c r="Z1012" i="15"/>
  <c r="V1012" i="15"/>
  <c r="N1012" i="15"/>
  <c r="M1012" i="15"/>
  <c r="AD1011" i="15"/>
  <c r="AC1011" i="15"/>
  <c r="AB1011" i="15"/>
  <c r="AA1011" i="15"/>
  <c r="Z1011" i="15"/>
  <c r="V1011" i="15"/>
  <c r="N1011" i="15"/>
  <c r="M1011" i="15"/>
  <c r="AD1010" i="15"/>
  <c r="AC1010" i="15"/>
  <c r="AB1010" i="15"/>
  <c r="AA1010" i="15"/>
  <c r="Z1010" i="15"/>
  <c r="V1010" i="15"/>
  <c r="N1010" i="15"/>
  <c r="Q1010" i="15"/>
  <c r="M1010" i="15"/>
  <c r="AD1009" i="15"/>
  <c r="AC1009" i="15"/>
  <c r="AB1009" i="15"/>
  <c r="AA1009" i="15"/>
  <c r="Z1009" i="15"/>
  <c r="V1009" i="15"/>
  <c r="N1009" i="15"/>
  <c r="R1009" i="15"/>
  <c r="M1009" i="15"/>
  <c r="AD1008" i="15"/>
  <c r="AC1008" i="15"/>
  <c r="AB1008" i="15"/>
  <c r="AA1008" i="15"/>
  <c r="Z1008" i="15"/>
  <c r="AD1007" i="15"/>
  <c r="AC1007" i="15"/>
  <c r="AB1007" i="15"/>
  <c r="AA1007" i="15"/>
  <c r="Z1007" i="15"/>
  <c r="AD1006" i="15"/>
  <c r="AC1006" i="15"/>
  <c r="AB1006" i="15"/>
  <c r="AA1006" i="15"/>
  <c r="Z1006" i="15"/>
  <c r="AD1005" i="15"/>
  <c r="AC1005" i="15"/>
  <c r="AB1005" i="15"/>
  <c r="AA1005" i="15"/>
  <c r="Z1005" i="15"/>
  <c r="V1005" i="15"/>
  <c r="N1005" i="15"/>
  <c r="P1005" i="15"/>
  <c r="M1005" i="15"/>
  <c r="AD1004" i="15"/>
  <c r="AC1004" i="15"/>
  <c r="AB1004" i="15"/>
  <c r="AA1004" i="15"/>
  <c r="Z1004" i="15"/>
  <c r="V1004" i="15"/>
  <c r="N1004" i="15"/>
  <c r="R1004" i="15"/>
  <c r="K1004" i="15"/>
  <c r="M1004" i="15"/>
  <c r="AD1003" i="15"/>
  <c r="AC1003" i="15"/>
  <c r="AB1003" i="15"/>
  <c r="AA1003" i="15"/>
  <c r="Z1003" i="15"/>
  <c r="V1003" i="15"/>
  <c r="N1003" i="15"/>
  <c r="R1003" i="15"/>
  <c r="M1003" i="15"/>
  <c r="AD1002" i="15"/>
  <c r="AC1002" i="15"/>
  <c r="AB1002" i="15"/>
  <c r="AA1002" i="15"/>
  <c r="Z1002" i="15"/>
  <c r="AD1001" i="15"/>
  <c r="AC1001" i="15"/>
  <c r="AB1001" i="15"/>
  <c r="AA1001" i="15"/>
  <c r="Z1001" i="15"/>
  <c r="V1001" i="15"/>
  <c r="N1001" i="15"/>
  <c r="R1001" i="15"/>
  <c r="M1001" i="15"/>
  <c r="AD1000" i="15"/>
  <c r="AC1000" i="15"/>
  <c r="AB1000" i="15"/>
  <c r="AA1000" i="15"/>
  <c r="Z1000" i="15"/>
  <c r="V1000" i="15"/>
  <c r="N1000" i="15"/>
  <c r="P1000" i="15"/>
  <c r="K1000" i="15"/>
  <c r="M1000" i="15"/>
  <c r="AD999" i="15"/>
  <c r="AC999" i="15"/>
  <c r="AB999" i="15"/>
  <c r="AA999" i="15"/>
  <c r="Z999" i="15"/>
  <c r="V999" i="15"/>
  <c r="N999" i="15"/>
  <c r="L999" i="15"/>
  <c r="J999" i="15"/>
  <c r="M999" i="15"/>
  <c r="AD998" i="15"/>
  <c r="AC998" i="15"/>
  <c r="AB998" i="15"/>
  <c r="AA998" i="15"/>
  <c r="Z998" i="15"/>
  <c r="V998" i="15"/>
  <c r="N998" i="15"/>
  <c r="R998" i="15"/>
  <c r="J998" i="15"/>
  <c r="M998" i="15"/>
  <c r="AD997" i="15"/>
  <c r="AC997" i="15"/>
  <c r="AB997" i="15"/>
  <c r="AA997" i="15"/>
  <c r="Z997" i="15"/>
  <c r="V997" i="15"/>
  <c r="N997" i="15"/>
  <c r="R997" i="15"/>
  <c r="M997" i="15"/>
  <c r="AD996" i="15"/>
  <c r="AC996" i="15"/>
  <c r="AB996" i="15"/>
  <c r="AA996" i="15"/>
  <c r="Z996" i="15"/>
  <c r="V996" i="15"/>
  <c r="N996" i="15"/>
  <c r="P996" i="15"/>
  <c r="M996" i="15"/>
  <c r="AD995" i="15"/>
  <c r="AC995" i="15"/>
  <c r="AB995" i="15"/>
  <c r="AA995" i="15"/>
  <c r="Z995" i="15"/>
  <c r="AD994" i="15"/>
  <c r="AC994" i="15"/>
  <c r="AB994" i="15"/>
  <c r="AA994" i="15"/>
  <c r="Z994" i="15"/>
  <c r="V994" i="15"/>
  <c r="N994" i="15"/>
  <c r="M994" i="15"/>
  <c r="AD993" i="15"/>
  <c r="AC993" i="15"/>
  <c r="AB993" i="15"/>
  <c r="AA993" i="15"/>
  <c r="Z993" i="15"/>
  <c r="V993" i="15"/>
  <c r="N993" i="15"/>
  <c r="J993" i="15"/>
  <c r="M993" i="15"/>
  <c r="AD992" i="15"/>
  <c r="AC992" i="15"/>
  <c r="AB992" i="15"/>
  <c r="AA992" i="15"/>
  <c r="Z992" i="15"/>
  <c r="V992" i="15"/>
  <c r="N992" i="15"/>
  <c r="L992" i="15"/>
  <c r="J992" i="15"/>
  <c r="M992" i="15"/>
  <c r="AD991" i="15"/>
  <c r="AC991" i="15"/>
  <c r="AB991" i="15"/>
  <c r="AA991" i="15"/>
  <c r="Z991" i="15"/>
  <c r="V991" i="15"/>
  <c r="N991" i="15"/>
  <c r="R991" i="15"/>
  <c r="M991" i="15"/>
  <c r="AD990" i="15"/>
  <c r="AC990" i="15"/>
  <c r="AB990" i="15"/>
  <c r="AA990" i="15"/>
  <c r="Z990" i="15"/>
  <c r="V990" i="15"/>
  <c r="N990" i="15"/>
  <c r="R990" i="15"/>
  <c r="J990" i="15"/>
  <c r="M990" i="15"/>
  <c r="AD989" i="15"/>
  <c r="AC989" i="15"/>
  <c r="AB989" i="15"/>
  <c r="AA989" i="15"/>
  <c r="Z989" i="15"/>
  <c r="V989" i="15"/>
  <c r="N989" i="15"/>
  <c r="Q989" i="15"/>
  <c r="J989" i="15"/>
  <c r="M989" i="15"/>
  <c r="AD988" i="15"/>
  <c r="AC988" i="15"/>
  <c r="AB988" i="15"/>
  <c r="AA988" i="15"/>
  <c r="Z988" i="15"/>
  <c r="AD987" i="15"/>
  <c r="AC987" i="15"/>
  <c r="AB987" i="15"/>
  <c r="AA987" i="15"/>
  <c r="Z987" i="15"/>
  <c r="AD986" i="15"/>
  <c r="AC986" i="15"/>
  <c r="AB986" i="15"/>
  <c r="AA986" i="15"/>
  <c r="Z986" i="15"/>
  <c r="V986" i="15"/>
  <c r="N986" i="15"/>
  <c r="Q986" i="15"/>
  <c r="J986" i="15"/>
  <c r="M986" i="15"/>
  <c r="AD985" i="15"/>
  <c r="AC985" i="15"/>
  <c r="AB985" i="15"/>
  <c r="AA985" i="15"/>
  <c r="Z985" i="15"/>
  <c r="V985" i="15"/>
  <c r="N985" i="15"/>
  <c r="R985" i="15"/>
  <c r="M985" i="15"/>
  <c r="AD984" i="15"/>
  <c r="AC984" i="15"/>
  <c r="AB984" i="15"/>
  <c r="AA984" i="15"/>
  <c r="Z984" i="15"/>
  <c r="V984" i="15"/>
  <c r="N984" i="15"/>
  <c r="M984" i="15"/>
  <c r="AD983" i="15"/>
  <c r="AC983" i="15"/>
  <c r="AB983" i="15"/>
  <c r="AA983" i="15"/>
  <c r="Z983" i="15"/>
  <c r="V983" i="15"/>
  <c r="N983" i="15"/>
  <c r="M983" i="15"/>
  <c r="AD982" i="15"/>
  <c r="AC982" i="15"/>
  <c r="AB982" i="15"/>
  <c r="AA982" i="15"/>
  <c r="Z982" i="15"/>
  <c r="V982" i="15"/>
  <c r="N982" i="15"/>
  <c r="R982" i="15"/>
  <c r="M982" i="15"/>
  <c r="AD981" i="15"/>
  <c r="AC981" i="15"/>
  <c r="AB981" i="15"/>
  <c r="AA981" i="15"/>
  <c r="Z981" i="15"/>
  <c r="AD980" i="15"/>
  <c r="AC980" i="15"/>
  <c r="AB980" i="15"/>
  <c r="AA980" i="15"/>
  <c r="Z980" i="15"/>
  <c r="AD979" i="15"/>
  <c r="AC979" i="15"/>
  <c r="AB979" i="15"/>
  <c r="AA979" i="15"/>
  <c r="Z979" i="15"/>
  <c r="V979" i="15"/>
  <c r="N979" i="15"/>
  <c r="M979" i="15"/>
  <c r="AD978" i="15"/>
  <c r="AC978" i="15"/>
  <c r="AB978" i="15"/>
  <c r="AA978" i="15"/>
  <c r="Z978" i="15"/>
  <c r="V978" i="15"/>
  <c r="N978" i="15"/>
  <c r="L978" i="15"/>
  <c r="K978" i="15"/>
  <c r="AD977" i="15"/>
  <c r="AC977" i="15"/>
  <c r="AB977" i="15"/>
  <c r="AA977" i="15"/>
  <c r="Z977" i="15"/>
  <c r="V977" i="15"/>
  <c r="N977" i="15"/>
  <c r="J977" i="15"/>
  <c r="P977" i="15"/>
  <c r="L977" i="15"/>
  <c r="K977" i="15"/>
  <c r="M977" i="15"/>
  <c r="AD976" i="15"/>
  <c r="AC976" i="15"/>
  <c r="AB976" i="15"/>
  <c r="AA976" i="15"/>
  <c r="Z976" i="15"/>
  <c r="V976" i="15"/>
  <c r="N976" i="15"/>
  <c r="O976" i="15"/>
  <c r="J976" i="15"/>
  <c r="M976" i="15"/>
  <c r="AD975" i="15"/>
  <c r="AC975" i="15"/>
  <c r="AB975" i="15"/>
  <c r="AA975" i="15"/>
  <c r="Z975" i="15"/>
  <c r="V975" i="15"/>
  <c r="N975" i="15"/>
  <c r="M975" i="15"/>
  <c r="AD974" i="15"/>
  <c r="AC974" i="15"/>
  <c r="AB974" i="15"/>
  <c r="AA974" i="15"/>
  <c r="Z974" i="15"/>
  <c r="V974" i="15"/>
  <c r="N974" i="15"/>
  <c r="K974" i="15"/>
  <c r="M974" i="15"/>
  <c r="AD973" i="15"/>
  <c r="AC973" i="15"/>
  <c r="AB973" i="15"/>
  <c r="AA973" i="15"/>
  <c r="Z973" i="15"/>
  <c r="V973" i="15"/>
  <c r="N973" i="15"/>
  <c r="R973" i="15"/>
  <c r="M973" i="15"/>
  <c r="AD972" i="15"/>
  <c r="AC972" i="15"/>
  <c r="AB972" i="15"/>
  <c r="AA972" i="15"/>
  <c r="Z972" i="15"/>
  <c r="V972" i="15"/>
  <c r="N972" i="15"/>
  <c r="K972" i="15"/>
  <c r="M972" i="15"/>
  <c r="AD971" i="15"/>
  <c r="AC971" i="15"/>
  <c r="AB971" i="15"/>
  <c r="AA971" i="15"/>
  <c r="Z971" i="15"/>
  <c r="V971" i="15"/>
  <c r="N971" i="15"/>
  <c r="R971" i="15"/>
  <c r="K971" i="15"/>
  <c r="AD970" i="15"/>
  <c r="AC970" i="15"/>
  <c r="AB970" i="15"/>
  <c r="AA970" i="15"/>
  <c r="Z970" i="15"/>
  <c r="V970" i="15"/>
  <c r="N970" i="15"/>
  <c r="M970" i="15"/>
  <c r="AD969" i="15"/>
  <c r="AC969" i="15"/>
  <c r="AB969" i="15"/>
  <c r="AA969" i="15"/>
  <c r="Z969" i="15"/>
  <c r="V969" i="15"/>
  <c r="N969" i="15"/>
  <c r="K969" i="15"/>
  <c r="M969" i="15"/>
  <c r="AD968" i="15"/>
  <c r="AC968" i="15"/>
  <c r="AB968" i="15"/>
  <c r="AA968" i="15"/>
  <c r="Z968" i="15"/>
  <c r="V968" i="15"/>
  <c r="N968" i="15"/>
  <c r="Q968" i="15"/>
  <c r="M968" i="15"/>
  <c r="AD967" i="15"/>
  <c r="AC967" i="15"/>
  <c r="AB967" i="15"/>
  <c r="AA967" i="15"/>
  <c r="Z967" i="15"/>
  <c r="V967" i="15"/>
  <c r="N967" i="15"/>
  <c r="M967" i="15"/>
  <c r="AD966" i="15"/>
  <c r="AC966" i="15"/>
  <c r="AB966" i="15"/>
  <c r="AA966" i="15"/>
  <c r="Z966" i="15"/>
  <c r="V966" i="15"/>
  <c r="N966" i="15"/>
  <c r="Q966" i="15"/>
  <c r="M966" i="15"/>
  <c r="AD965" i="15"/>
  <c r="AC965" i="15"/>
  <c r="AB965" i="15"/>
  <c r="AA965" i="15"/>
  <c r="Z965" i="15"/>
  <c r="AD964" i="15"/>
  <c r="AC964" i="15"/>
  <c r="AB964" i="15"/>
  <c r="AA964" i="15"/>
  <c r="Z964" i="15"/>
  <c r="V964" i="15"/>
  <c r="N964" i="15"/>
  <c r="M964" i="15"/>
  <c r="AD963" i="15"/>
  <c r="AC963" i="15"/>
  <c r="AB963" i="15"/>
  <c r="AA963" i="15"/>
  <c r="Z963" i="15"/>
  <c r="V963" i="15"/>
  <c r="N963" i="15"/>
  <c r="O963" i="15"/>
  <c r="L963" i="15"/>
  <c r="K963" i="15"/>
  <c r="AD962" i="15"/>
  <c r="AC962" i="15"/>
  <c r="AB962" i="15"/>
  <c r="AA962" i="15"/>
  <c r="Z962" i="15"/>
  <c r="V962" i="15"/>
  <c r="N962" i="15"/>
  <c r="M962" i="15"/>
  <c r="AD961" i="15"/>
  <c r="AC961" i="15"/>
  <c r="AB961" i="15"/>
  <c r="AA961" i="15"/>
  <c r="Z961" i="15"/>
  <c r="V961" i="15"/>
  <c r="N961" i="15"/>
  <c r="L961" i="15"/>
  <c r="M961" i="15"/>
  <c r="AD960" i="15"/>
  <c r="AC960" i="15"/>
  <c r="AB960" i="15"/>
  <c r="AA960" i="15"/>
  <c r="Z960" i="15"/>
  <c r="AD959" i="15"/>
  <c r="AC959" i="15"/>
  <c r="AB959" i="15"/>
  <c r="AA959" i="15"/>
  <c r="Z959" i="15"/>
  <c r="AD958" i="15"/>
  <c r="AC958" i="15"/>
  <c r="AB958" i="15"/>
  <c r="AA958" i="15"/>
  <c r="Z958" i="15"/>
  <c r="AD957" i="15"/>
  <c r="AC957" i="15"/>
  <c r="AB957" i="15"/>
  <c r="AA957" i="15"/>
  <c r="Z957" i="15"/>
  <c r="V957" i="15"/>
  <c r="N957" i="15"/>
  <c r="M957" i="15"/>
  <c r="AD956" i="15"/>
  <c r="AC956" i="15"/>
  <c r="AB956" i="15"/>
  <c r="AA956" i="15"/>
  <c r="Z956" i="15"/>
  <c r="V956" i="15"/>
  <c r="N956" i="15"/>
  <c r="O956" i="15"/>
  <c r="K956" i="15"/>
  <c r="M956" i="15"/>
  <c r="AD955" i="15"/>
  <c r="AC955" i="15"/>
  <c r="AB955" i="15"/>
  <c r="AA955" i="15"/>
  <c r="Z955" i="15"/>
  <c r="V955" i="15"/>
  <c r="N955" i="15"/>
  <c r="M955" i="15"/>
  <c r="AD954" i="15"/>
  <c r="AC954" i="15"/>
  <c r="AB954" i="15"/>
  <c r="AA954" i="15"/>
  <c r="Z954" i="15"/>
  <c r="V954" i="15"/>
  <c r="N954" i="15"/>
  <c r="R954" i="15"/>
  <c r="M954" i="15"/>
  <c r="AD953" i="15"/>
  <c r="AC953" i="15"/>
  <c r="AB953" i="15"/>
  <c r="AA953" i="15"/>
  <c r="Z953" i="15"/>
  <c r="V953" i="15"/>
  <c r="N953" i="15"/>
  <c r="P953" i="15"/>
  <c r="M953" i="15"/>
  <c r="AD952" i="15"/>
  <c r="AC952" i="15"/>
  <c r="AB952" i="15"/>
  <c r="AA952" i="15"/>
  <c r="Z952" i="15"/>
  <c r="AD951" i="15"/>
  <c r="AC951" i="15"/>
  <c r="AB951" i="15"/>
  <c r="AA951" i="15"/>
  <c r="Z951" i="15"/>
  <c r="V951" i="15"/>
  <c r="N951" i="15"/>
  <c r="P951" i="15"/>
  <c r="M951" i="15"/>
  <c r="AD950" i="15"/>
  <c r="AC950" i="15"/>
  <c r="AB950" i="15"/>
  <c r="AA950" i="15"/>
  <c r="Z950" i="15"/>
  <c r="V950" i="15"/>
  <c r="N950" i="15"/>
  <c r="J950" i="15"/>
  <c r="P950" i="15"/>
  <c r="M950" i="15"/>
  <c r="AD949" i="15"/>
  <c r="AC949" i="15"/>
  <c r="AB949" i="15"/>
  <c r="AA949" i="15"/>
  <c r="Z949" i="15"/>
  <c r="V949" i="15"/>
  <c r="N949" i="15"/>
  <c r="J949" i="15"/>
  <c r="M949" i="15"/>
  <c r="AD948" i="15"/>
  <c r="AC948" i="15"/>
  <c r="AB948" i="15"/>
  <c r="AA948" i="15"/>
  <c r="Z948" i="15"/>
  <c r="AD947" i="15"/>
  <c r="AC947" i="15"/>
  <c r="AB947" i="15"/>
  <c r="AA947" i="15"/>
  <c r="Z947" i="15"/>
  <c r="AD946" i="15"/>
  <c r="AC946" i="15"/>
  <c r="AB946" i="15"/>
  <c r="AA946" i="15"/>
  <c r="Z946" i="15"/>
  <c r="V946" i="15"/>
  <c r="N946" i="15"/>
  <c r="L946" i="15"/>
  <c r="R946" i="15"/>
  <c r="K946" i="15"/>
  <c r="M946" i="15"/>
  <c r="AD945" i="15"/>
  <c r="AC945" i="15"/>
  <c r="AB945" i="15"/>
  <c r="AA945" i="15"/>
  <c r="Z945" i="15"/>
  <c r="V945" i="15"/>
  <c r="N945" i="15"/>
  <c r="K945" i="15"/>
  <c r="M945" i="15"/>
  <c r="AD944" i="15"/>
  <c r="AC944" i="15"/>
  <c r="AB944" i="15"/>
  <c r="AA944" i="15"/>
  <c r="Z944" i="15"/>
  <c r="V944" i="15"/>
  <c r="N944" i="15"/>
  <c r="K944" i="15"/>
  <c r="J944" i="15"/>
  <c r="AD943" i="15"/>
  <c r="AC943" i="15"/>
  <c r="AB943" i="15"/>
  <c r="AA943" i="15"/>
  <c r="Z943" i="15"/>
  <c r="V943" i="15"/>
  <c r="N943" i="15"/>
  <c r="Q943" i="15"/>
  <c r="M943" i="15"/>
  <c r="AD942" i="15"/>
  <c r="AC942" i="15"/>
  <c r="AB942" i="15"/>
  <c r="AA942" i="15"/>
  <c r="Z942" i="15"/>
  <c r="V942" i="15"/>
  <c r="N942" i="15"/>
  <c r="R942" i="15"/>
  <c r="K942" i="15"/>
  <c r="M942" i="15"/>
  <c r="AD941" i="15"/>
  <c r="AC941" i="15"/>
  <c r="AB941" i="15"/>
  <c r="AA941" i="15"/>
  <c r="Z941" i="15"/>
  <c r="V941" i="15"/>
  <c r="N941" i="15"/>
  <c r="P941" i="15"/>
  <c r="M941" i="15"/>
  <c r="AD940" i="15"/>
  <c r="AC940" i="15"/>
  <c r="AB940" i="15"/>
  <c r="AA940" i="15"/>
  <c r="Z940" i="15"/>
  <c r="V940" i="15"/>
  <c r="N940" i="15"/>
  <c r="J940" i="15"/>
  <c r="P940" i="15"/>
  <c r="M940" i="15"/>
  <c r="AD939" i="15"/>
  <c r="AC939" i="15"/>
  <c r="AB939" i="15"/>
  <c r="AA939" i="15"/>
  <c r="Z939" i="15"/>
  <c r="AD938" i="15"/>
  <c r="AC938" i="15"/>
  <c r="AB938" i="15"/>
  <c r="AA938" i="15"/>
  <c r="Z938" i="15"/>
  <c r="V938" i="15"/>
  <c r="N938" i="15"/>
  <c r="R938" i="15"/>
  <c r="M938" i="15"/>
  <c r="AD937" i="15"/>
  <c r="AC937" i="15"/>
  <c r="AB937" i="15"/>
  <c r="AA937" i="15"/>
  <c r="Z937" i="15"/>
  <c r="V937" i="15"/>
  <c r="N937" i="15"/>
  <c r="J937" i="15"/>
  <c r="M937" i="15"/>
  <c r="AD936" i="15"/>
  <c r="AC936" i="15"/>
  <c r="AB936" i="15"/>
  <c r="AA936" i="15"/>
  <c r="Z936" i="15"/>
  <c r="AD935" i="15"/>
  <c r="AC935" i="15"/>
  <c r="AB935" i="15"/>
  <c r="AA935" i="15"/>
  <c r="Z935" i="15"/>
  <c r="AD934" i="15"/>
  <c r="AC934" i="15"/>
  <c r="AB934" i="15"/>
  <c r="AA934" i="15"/>
  <c r="Z934" i="15"/>
  <c r="V934" i="15"/>
  <c r="N934" i="15"/>
  <c r="O934" i="15"/>
  <c r="K934" i="15"/>
  <c r="AD933" i="15"/>
  <c r="AC933" i="15"/>
  <c r="AB933" i="15"/>
  <c r="AA933" i="15"/>
  <c r="Z933" i="15"/>
  <c r="V933" i="15"/>
  <c r="N933" i="15"/>
  <c r="K933" i="15"/>
  <c r="Q933" i="15"/>
  <c r="M933" i="15"/>
  <c r="AD932" i="15"/>
  <c r="AC932" i="15"/>
  <c r="AB932" i="15"/>
  <c r="AA932" i="15"/>
  <c r="Z932" i="15"/>
  <c r="V932" i="15"/>
  <c r="N932" i="15"/>
  <c r="R932" i="15"/>
  <c r="K932" i="15"/>
  <c r="AD931" i="15"/>
  <c r="AC931" i="15"/>
  <c r="AB931" i="15"/>
  <c r="AA931" i="15"/>
  <c r="Z931" i="15"/>
  <c r="AD930" i="15"/>
  <c r="AC930" i="15"/>
  <c r="AB930" i="15"/>
  <c r="AA930" i="15"/>
  <c r="Z930" i="15"/>
  <c r="V930" i="15"/>
  <c r="N930" i="15"/>
  <c r="R930" i="15"/>
  <c r="J930" i="15"/>
  <c r="M930" i="15"/>
  <c r="AD929" i="15"/>
  <c r="AC929" i="15"/>
  <c r="AB929" i="15"/>
  <c r="AA929" i="15"/>
  <c r="Z929" i="15"/>
  <c r="V929" i="15"/>
  <c r="N929" i="15"/>
  <c r="P929" i="15"/>
  <c r="M929" i="15"/>
  <c r="AD928" i="15"/>
  <c r="AC928" i="15"/>
  <c r="AB928" i="15"/>
  <c r="AA928" i="15"/>
  <c r="Z928" i="15"/>
  <c r="V928" i="15"/>
  <c r="N928" i="15"/>
  <c r="Q928" i="15"/>
  <c r="M928" i="15"/>
  <c r="AD927" i="15"/>
  <c r="AC927" i="15"/>
  <c r="AB927" i="15"/>
  <c r="AA927" i="15"/>
  <c r="Z927" i="15"/>
  <c r="AD926" i="15"/>
  <c r="AC926" i="15"/>
  <c r="AB926" i="15"/>
  <c r="AA926" i="15"/>
  <c r="Z926" i="15"/>
  <c r="AD925" i="15"/>
  <c r="AC925" i="15"/>
  <c r="AB925" i="15"/>
  <c r="AA925" i="15"/>
  <c r="Z925" i="15"/>
  <c r="AD924" i="15"/>
  <c r="AC924" i="15"/>
  <c r="AB924" i="15"/>
  <c r="AA924" i="15"/>
  <c r="Z924" i="15"/>
  <c r="AD923" i="15"/>
  <c r="AC923" i="15"/>
  <c r="AB923" i="15"/>
  <c r="AA923" i="15"/>
  <c r="Z923" i="15"/>
  <c r="V923" i="15"/>
  <c r="N923" i="15"/>
  <c r="L923" i="15"/>
  <c r="M923" i="15"/>
  <c r="AD922" i="15"/>
  <c r="AC922" i="15"/>
  <c r="AB922" i="15"/>
  <c r="AA922" i="15"/>
  <c r="Z922" i="15"/>
  <c r="V922" i="15"/>
  <c r="N922" i="15"/>
  <c r="P922" i="15"/>
  <c r="L922" i="15"/>
  <c r="M922" i="15"/>
  <c r="AD921" i="15"/>
  <c r="AC921" i="15"/>
  <c r="AB921" i="15"/>
  <c r="AA921" i="15"/>
  <c r="Z921" i="15"/>
  <c r="V921" i="15"/>
  <c r="N921" i="15"/>
  <c r="O921" i="15"/>
  <c r="L921" i="15"/>
  <c r="M921" i="15"/>
  <c r="AD920" i="15"/>
  <c r="AC920" i="15"/>
  <c r="AB920" i="15"/>
  <c r="AA920" i="15"/>
  <c r="Z920" i="15"/>
  <c r="AD919" i="15"/>
  <c r="AC919" i="15"/>
  <c r="AB919" i="15"/>
  <c r="AA919" i="15"/>
  <c r="Z919" i="15"/>
  <c r="AD918" i="15"/>
  <c r="AC918" i="15"/>
  <c r="AB918" i="15"/>
  <c r="AA918" i="15"/>
  <c r="Z918" i="15"/>
  <c r="V918" i="15"/>
  <c r="N918" i="15"/>
  <c r="K918" i="15"/>
  <c r="M918" i="15"/>
  <c r="AD917" i="15"/>
  <c r="AC917" i="15"/>
  <c r="AB917" i="15"/>
  <c r="AA917" i="15"/>
  <c r="Z917" i="15"/>
  <c r="V917" i="15"/>
  <c r="N917" i="15"/>
  <c r="J917" i="15"/>
  <c r="M917" i="15"/>
  <c r="AD916" i="15"/>
  <c r="AC916" i="15"/>
  <c r="AB916" i="15"/>
  <c r="AA916" i="15"/>
  <c r="Z916" i="15"/>
  <c r="V916" i="15"/>
  <c r="N916" i="15"/>
  <c r="R916" i="15"/>
  <c r="J916" i="15"/>
  <c r="M916" i="15"/>
  <c r="AD915" i="15"/>
  <c r="AC915" i="15"/>
  <c r="AB915" i="15"/>
  <c r="AA915" i="15"/>
  <c r="Z915" i="15"/>
  <c r="AD914" i="15"/>
  <c r="AC914" i="15"/>
  <c r="AB914" i="15"/>
  <c r="AA914" i="15"/>
  <c r="Z914" i="15"/>
  <c r="AD913" i="15"/>
  <c r="AC913" i="15"/>
  <c r="AB913" i="15"/>
  <c r="AA913" i="15"/>
  <c r="Z913" i="15"/>
  <c r="V913" i="15"/>
  <c r="N913" i="15"/>
  <c r="R913" i="15"/>
  <c r="J913" i="15"/>
  <c r="M913" i="15"/>
  <c r="AD912" i="15"/>
  <c r="AC912" i="15"/>
  <c r="AB912" i="15"/>
  <c r="AA912" i="15"/>
  <c r="Z912" i="15"/>
  <c r="V912" i="15"/>
  <c r="N912" i="15"/>
  <c r="J912" i="15"/>
  <c r="P912" i="15"/>
  <c r="M912" i="15"/>
  <c r="AD911" i="15"/>
  <c r="AC911" i="15"/>
  <c r="AB911" i="15"/>
  <c r="AA911" i="15"/>
  <c r="Z911" i="15"/>
  <c r="V911" i="15"/>
  <c r="N911" i="15"/>
  <c r="R911" i="15"/>
  <c r="J911" i="15"/>
  <c r="M911" i="15"/>
  <c r="AD910" i="15"/>
  <c r="AC910" i="15"/>
  <c r="AB910" i="15"/>
  <c r="AA910" i="15"/>
  <c r="Z910" i="15"/>
  <c r="V910" i="15"/>
  <c r="N910" i="15"/>
  <c r="R910" i="15"/>
  <c r="M910" i="15"/>
  <c r="AD909" i="15"/>
  <c r="AC909" i="15"/>
  <c r="AB909" i="15"/>
  <c r="AA909" i="15"/>
  <c r="Z909" i="15"/>
  <c r="AD908" i="15"/>
  <c r="AC908" i="15"/>
  <c r="AB908" i="15"/>
  <c r="AA908" i="15"/>
  <c r="Z908" i="15"/>
  <c r="AD907" i="15"/>
  <c r="AC907" i="15"/>
  <c r="AB907" i="15"/>
  <c r="AA907" i="15"/>
  <c r="Z907" i="15"/>
  <c r="V907" i="15"/>
  <c r="N907" i="15"/>
  <c r="K907" i="15"/>
  <c r="J907" i="15"/>
  <c r="M907" i="15"/>
  <c r="AD906" i="15"/>
  <c r="AC906" i="15"/>
  <c r="AB906" i="15"/>
  <c r="AA906" i="15"/>
  <c r="Z906" i="15"/>
  <c r="V906" i="15"/>
  <c r="N906" i="15"/>
  <c r="K906" i="15"/>
  <c r="J906" i="15"/>
  <c r="AD905" i="15"/>
  <c r="AC905" i="15"/>
  <c r="AB905" i="15"/>
  <c r="AA905" i="15"/>
  <c r="Z905" i="15"/>
  <c r="V905" i="15"/>
  <c r="N905" i="15"/>
  <c r="R905" i="15"/>
  <c r="M905" i="15"/>
  <c r="AD904" i="15"/>
  <c r="AC904" i="15"/>
  <c r="AB904" i="15"/>
  <c r="AA904" i="15"/>
  <c r="Z904" i="15"/>
  <c r="AD903" i="15"/>
  <c r="AC903" i="15"/>
  <c r="AB903" i="15"/>
  <c r="AA903" i="15"/>
  <c r="Z903" i="15"/>
  <c r="AD902" i="15"/>
  <c r="AC902" i="15"/>
  <c r="AB902" i="15"/>
  <c r="AA902" i="15"/>
  <c r="Z902" i="15"/>
  <c r="V902" i="15"/>
  <c r="N902" i="15"/>
  <c r="L902" i="15"/>
  <c r="K902" i="15"/>
  <c r="J902" i="15"/>
  <c r="AD901" i="15"/>
  <c r="AC901" i="15"/>
  <c r="AB901" i="15"/>
  <c r="AA901" i="15"/>
  <c r="Z901" i="15"/>
  <c r="V901" i="15"/>
  <c r="N901" i="15"/>
  <c r="R901" i="15"/>
  <c r="M901" i="15"/>
  <c r="AD900" i="15"/>
  <c r="AC900" i="15"/>
  <c r="AB900" i="15"/>
  <c r="AA900" i="15"/>
  <c r="Z900" i="15"/>
  <c r="V900" i="15"/>
  <c r="N900" i="15"/>
  <c r="R900" i="15"/>
  <c r="M900" i="15"/>
  <c r="AD899" i="15"/>
  <c r="AC899" i="15"/>
  <c r="AB899" i="15"/>
  <c r="AA899" i="15"/>
  <c r="Z899" i="15"/>
  <c r="V899" i="15"/>
  <c r="N899" i="15"/>
  <c r="M899" i="15"/>
  <c r="AD898" i="15"/>
  <c r="AC898" i="15"/>
  <c r="AB898" i="15"/>
  <c r="AA898" i="15"/>
  <c r="Z898" i="15"/>
  <c r="V898" i="15"/>
  <c r="N898" i="15"/>
  <c r="P898" i="15"/>
  <c r="M898" i="15"/>
  <c r="AD897" i="15"/>
  <c r="AC897" i="15"/>
  <c r="AB897" i="15"/>
  <c r="AA897" i="15"/>
  <c r="Z897" i="15"/>
  <c r="AD896" i="15"/>
  <c r="AC896" i="15"/>
  <c r="AB896" i="15"/>
  <c r="AA896" i="15"/>
  <c r="Z896" i="15"/>
  <c r="AD895" i="15"/>
  <c r="AC895" i="15"/>
  <c r="AB895" i="15"/>
  <c r="AA895" i="15"/>
  <c r="Z895" i="15"/>
  <c r="AD894" i="15"/>
  <c r="AC894" i="15"/>
  <c r="AB894" i="15"/>
  <c r="AA894" i="15"/>
  <c r="Z894" i="15"/>
  <c r="V894" i="15"/>
  <c r="N894" i="15"/>
  <c r="P894" i="15"/>
  <c r="L894" i="15"/>
  <c r="K894" i="15"/>
  <c r="M894" i="15"/>
  <c r="AD893" i="15"/>
  <c r="AC893" i="15"/>
  <c r="AB893" i="15"/>
  <c r="AA893" i="15"/>
  <c r="Z893" i="15"/>
  <c r="V893" i="15"/>
  <c r="N893" i="15"/>
  <c r="R893" i="15"/>
  <c r="K893" i="15"/>
  <c r="AD892" i="15"/>
  <c r="AC892" i="15"/>
  <c r="AB892" i="15"/>
  <c r="AA892" i="15"/>
  <c r="Z892" i="15"/>
  <c r="AD891" i="15"/>
  <c r="AC891" i="15"/>
  <c r="AB891" i="15"/>
  <c r="AA891" i="15"/>
  <c r="Z891" i="15"/>
  <c r="AD890" i="15"/>
  <c r="AC890" i="15"/>
  <c r="AB890" i="15"/>
  <c r="AA890" i="15"/>
  <c r="Z890" i="15"/>
  <c r="V890" i="15"/>
  <c r="N890" i="15"/>
  <c r="K890" i="15"/>
  <c r="AD889" i="15"/>
  <c r="AC889" i="15"/>
  <c r="AB889" i="15"/>
  <c r="AA889" i="15"/>
  <c r="Z889" i="15"/>
  <c r="V889" i="15"/>
  <c r="N889" i="15"/>
  <c r="Q889" i="15"/>
  <c r="J889" i="15"/>
  <c r="M889" i="15"/>
  <c r="AD888" i="15"/>
  <c r="AC888" i="15"/>
  <c r="AB888" i="15"/>
  <c r="AA888" i="15"/>
  <c r="Z888" i="15"/>
  <c r="V888" i="15"/>
  <c r="N888" i="15"/>
  <c r="J888" i="15"/>
  <c r="M888" i="15"/>
  <c r="AD887" i="15"/>
  <c r="AC887" i="15"/>
  <c r="AB887" i="15"/>
  <c r="AA887" i="15"/>
  <c r="Z887" i="15"/>
  <c r="V887" i="15"/>
  <c r="N887" i="15"/>
  <c r="Q887" i="15"/>
  <c r="J887" i="15"/>
  <c r="M887" i="15"/>
  <c r="AD886" i="15"/>
  <c r="AC886" i="15"/>
  <c r="AB886" i="15"/>
  <c r="AA886" i="15"/>
  <c r="Z886" i="15"/>
  <c r="V886" i="15"/>
  <c r="N886" i="15"/>
  <c r="AD885" i="15"/>
  <c r="AC885" i="15"/>
  <c r="AB885" i="15"/>
  <c r="AA885" i="15"/>
  <c r="Z885" i="15"/>
  <c r="AD884" i="15"/>
  <c r="AC884" i="15"/>
  <c r="AB884" i="15"/>
  <c r="AA884" i="15"/>
  <c r="Z884" i="15"/>
  <c r="AD883" i="15"/>
  <c r="AC883" i="15"/>
  <c r="AB883" i="15"/>
  <c r="AA883" i="15"/>
  <c r="Z883" i="15"/>
  <c r="V883" i="15"/>
  <c r="N883" i="15"/>
  <c r="P883" i="15"/>
  <c r="M883" i="15"/>
  <c r="AD882" i="15"/>
  <c r="AC882" i="15"/>
  <c r="AB882" i="15"/>
  <c r="AA882" i="15"/>
  <c r="Z882" i="15"/>
  <c r="V882" i="15"/>
  <c r="N882" i="15"/>
  <c r="M882" i="15"/>
  <c r="AD881" i="15"/>
  <c r="AC881" i="15"/>
  <c r="AB881" i="15"/>
  <c r="AA881" i="15"/>
  <c r="Z881" i="15"/>
  <c r="V881" i="15"/>
  <c r="N881" i="15"/>
  <c r="Q881" i="15"/>
  <c r="J881" i="15"/>
  <c r="M881" i="15"/>
  <c r="AD880" i="15"/>
  <c r="AC880" i="15"/>
  <c r="AB880" i="15"/>
  <c r="AA880" i="15"/>
  <c r="Z880" i="15"/>
  <c r="V880" i="15"/>
  <c r="N880" i="15"/>
  <c r="R880" i="15"/>
  <c r="J880" i="15"/>
  <c r="M880" i="15"/>
  <c r="AD879" i="15"/>
  <c r="AC879" i="15"/>
  <c r="AB879" i="15"/>
  <c r="AA879" i="15"/>
  <c r="Z879" i="15"/>
  <c r="V879" i="15"/>
  <c r="N879" i="15"/>
  <c r="P879" i="15"/>
  <c r="M879" i="15"/>
  <c r="AD878" i="15"/>
  <c r="AC878" i="15"/>
  <c r="AB878" i="15"/>
  <c r="AA878" i="15"/>
  <c r="Z878" i="15"/>
  <c r="AD877" i="15"/>
  <c r="AC877" i="15"/>
  <c r="AB877" i="15"/>
  <c r="AA877" i="15"/>
  <c r="Z877" i="15"/>
  <c r="V877" i="15"/>
  <c r="N877" i="15"/>
  <c r="L877" i="15"/>
  <c r="R877" i="15"/>
  <c r="K877" i="15"/>
  <c r="J877" i="15"/>
  <c r="M877" i="15"/>
  <c r="AD876" i="15"/>
  <c r="AC876" i="15"/>
  <c r="AB876" i="15"/>
  <c r="AA876" i="15"/>
  <c r="Z876" i="15"/>
  <c r="V876" i="15"/>
  <c r="N876" i="15"/>
  <c r="L876" i="15"/>
  <c r="K876" i="15"/>
  <c r="J876" i="15"/>
  <c r="AD875" i="15"/>
  <c r="AC875" i="15"/>
  <c r="AB875" i="15"/>
  <c r="AA875" i="15"/>
  <c r="Z875" i="15"/>
  <c r="AD874" i="15"/>
  <c r="AC874" i="15"/>
  <c r="AB874" i="15"/>
  <c r="AA874" i="15"/>
  <c r="Z874" i="15"/>
  <c r="V874" i="15"/>
  <c r="N874" i="15"/>
  <c r="L874" i="15"/>
  <c r="K874" i="15"/>
  <c r="J874" i="15"/>
  <c r="AD873" i="15"/>
  <c r="AC873" i="15"/>
  <c r="AB873" i="15"/>
  <c r="AA873" i="15"/>
  <c r="Z873" i="15"/>
  <c r="V873" i="15"/>
  <c r="N873" i="15"/>
  <c r="L873" i="15"/>
  <c r="R873" i="15"/>
  <c r="K873" i="15"/>
  <c r="J873" i="15"/>
  <c r="AD872" i="15"/>
  <c r="AC872" i="15"/>
  <c r="AB872" i="15"/>
  <c r="AA872" i="15"/>
  <c r="Z872" i="15"/>
  <c r="V872" i="15"/>
  <c r="N872" i="15"/>
  <c r="AD871" i="15"/>
  <c r="AC871" i="15"/>
  <c r="AB871" i="15"/>
  <c r="AA871" i="15"/>
  <c r="Z871" i="15"/>
  <c r="V871" i="15"/>
  <c r="N871" i="15"/>
  <c r="L871" i="15"/>
  <c r="K871" i="15"/>
  <c r="J871" i="15"/>
  <c r="AD870" i="15"/>
  <c r="AC870" i="15"/>
  <c r="AB870" i="15"/>
  <c r="AA870" i="15"/>
  <c r="Z870" i="15"/>
  <c r="V870" i="15"/>
  <c r="N870" i="15"/>
  <c r="O870" i="15"/>
  <c r="L870" i="15"/>
  <c r="K870" i="15"/>
  <c r="J870" i="15"/>
  <c r="AD869" i="15"/>
  <c r="AC869" i="15"/>
  <c r="AB869" i="15"/>
  <c r="AA869" i="15"/>
  <c r="Z869" i="15"/>
  <c r="V869" i="15"/>
  <c r="N869" i="15"/>
  <c r="Q869" i="15"/>
  <c r="M869" i="15"/>
  <c r="AD868" i="15"/>
  <c r="AC868" i="15"/>
  <c r="AB868" i="15"/>
  <c r="AA868" i="15"/>
  <c r="Z868" i="15"/>
  <c r="V868" i="15"/>
  <c r="N868" i="15"/>
  <c r="J868" i="15"/>
  <c r="M868" i="15"/>
  <c r="AD867" i="15"/>
  <c r="AC867" i="15"/>
  <c r="AB867" i="15"/>
  <c r="AA867" i="15"/>
  <c r="Z867" i="15"/>
  <c r="AD866" i="15"/>
  <c r="AC866" i="15"/>
  <c r="AB866" i="15"/>
  <c r="AA866" i="15"/>
  <c r="Z866" i="15"/>
  <c r="AD865" i="15"/>
  <c r="AC865" i="15"/>
  <c r="AB865" i="15"/>
  <c r="AA865" i="15"/>
  <c r="Z865" i="15"/>
  <c r="V865" i="15"/>
  <c r="N865" i="15"/>
  <c r="M865" i="15"/>
  <c r="AD864" i="15"/>
  <c r="AC864" i="15"/>
  <c r="AB864" i="15"/>
  <c r="AA864" i="15"/>
  <c r="Z864" i="15"/>
  <c r="AD863" i="15"/>
  <c r="AC863" i="15"/>
  <c r="AB863" i="15"/>
  <c r="AA863" i="15"/>
  <c r="Z863" i="15"/>
  <c r="V863" i="15"/>
  <c r="N863" i="15"/>
  <c r="P863" i="15"/>
  <c r="M863" i="15"/>
  <c r="AD862" i="15"/>
  <c r="AC862" i="15"/>
  <c r="AB862" i="15"/>
  <c r="AA862" i="15"/>
  <c r="Z862" i="15"/>
  <c r="V862" i="15"/>
  <c r="N862" i="15"/>
  <c r="K862" i="15"/>
  <c r="Q862" i="15"/>
  <c r="M862" i="15"/>
  <c r="AD861" i="15"/>
  <c r="AC861" i="15"/>
  <c r="AB861" i="15"/>
  <c r="AA861" i="15"/>
  <c r="Z861" i="15"/>
  <c r="V861" i="15"/>
  <c r="N861" i="15"/>
  <c r="R861" i="15"/>
  <c r="M861" i="15"/>
  <c r="AD860" i="15"/>
  <c r="AC860" i="15"/>
  <c r="AB860" i="15"/>
  <c r="AA860" i="15"/>
  <c r="Z860" i="15"/>
  <c r="V860" i="15"/>
  <c r="N860" i="15"/>
  <c r="M860" i="15"/>
  <c r="AD859" i="15"/>
  <c r="AC859" i="15"/>
  <c r="AB859" i="15"/>
  <c r="AA859" i="15"/>
  <c r="Z859" i="15"/>
  <c r="V859" i="15"/>
  <c r="N859" i="15"/>
  <c r="P859" i="15"/>
  <c r="M859" i="15"/>
  <c r="AD858" i="15"/>
  <c r="AC858" i="15"/>
  <c r="AB858" i="15"/>
  <c r="AA858" i="15"/>
  <c r="Z858" i="15"/>
  <c r="AD857" i="15"/>
  <c r="AC857" i="15"/>
  <c r="AB857" i="15"/>
  <c r="AA857" i="15"/>
  <c r="Z857" i="15"/>
  <c r="V857" i="15"/>
  <c r="N857" i="15"/>
  <c r="M857" i="15"/>
  <c r="L857" i="15"/>
  <c r="K857" i="15"/>
  <c r="AD856" i="15"/>
  <c r="AC856" i="15"/>
  <c r="AB856" i="15"/>
  <c r="AA856" i="15"/>
  <c r="Z856" i="15"/>
  <c r="V856" i="15"/>
  <c r="N856" i="15"/>
  <c r="K856" i="15"/>
  <c r="Q856" i="15"/>
  <c r="L856" i="15"/>
  <c r="AD855" i="15"/>
  <c r="AC855" i="15"/>
  <c r="AB855" i="15"/>
  <c r="AA855" i="15"/>
  <c r="Z855" i="15"/>
  <c r="AD854" i="15"/>
  <c r="AC854" i="15"/>
  <c r="AB854" i="15"/>
  <c r="AA854" i="15"/>
  <c r="Z854" i="15"/>
  <c r="V854" i="15"/>
  <c r="N854" i="15"/>
  <c r="Q854" i="15"/>
  <c r="M854" i="15"/>
  <c r="AD853" i="15"/>
  <c r="AC853" i="15"/>
  <c r="AB853" i="15"/>
  <c r="AA853" i="15"/>
  <c r="Z853" i="15"/>
  <c r="AD852" i="15"/>
  <c r="AC852" i="15"/>
  <c r="AB852" i="15"/>
  <c r="AA852" i="15"/>
  <c r="Z852" i="15"/>
  <c r="V852" i="15"/>
  <c r="N852" i="15"/>
  <c r="R852" i="15"/>
  <c r="M852" i="15"/>
  <c r="AD851" i="15"/>
  <c r="AC851" i="15"/>
  <c r="AB851" i="15"/>
  <c r="AA851" i="15"/>
  <c r="Z851" i="15"/>
  <c r="V851" i="15"/>
  <c r="N851" i="15"/>
  <c r="P851" i="15"/>
  <c r="M851" i="15"/>
  <c r="AD850" i="15"/>
  <c r="AC850" i="15"/>
  <c r="AB850" i="15"/>
  <c r="AA850" i="15"/>
  <c r="Z850" i="15"/>
  <c r="V850" i="15"/>
  <c r="N850" i="15"/>
  <c r="Q850" i="15"/>
  <c r="M850" i="15"/>
  <c r="AD849" i="15"/>
  <c r="AC849" i="15"/>
  <c r="AB849" i="15"/>
  <c r="AA849" i="15"/>
  <c r="Z849" i="15"/>
  <c r="V849" i="15"/>
  <c r="N849" i="15"/>
  <c r="M849" i="15"/>
  <c r="AD848" i="15"/>
  <c r="AC848" i="15"/>
  <c r="AB848" i="15"/>
  <c r="AA848" i="15"/>
  <c r="Z848" i="15"/>
  <c r="V848" i="15"/>
  <c r="N848" i="15"/>
  <c r="M848" i="15"/>
  <c r="AD847" i="15"/>
  <c r="AC847" i="15"/>
  <c r="AB847" i="15"/>
  <c r="AA847" i="15"/>
  <c r="Z847" i="15"/>
  <c r="V847" i="15"/>
  <c r="N847" i="15"/>
  <c r="P847" i="15"/>
  <c r="M847" i="15"/>
  <c r="AD846" i="15"/>
  <c r="AC846" i="15"/>
  <c r="AB846" i="15"/>
  <c r="AA846" i="15"/>
  <c r="Z846" i="15"/>
  <c r="AD845" i="15"/>
  <c r="AC845" i="15"/>
  <c r="AB845" i="15"/>
  <c r="AA845" i="15"/>
  <c r="Z845" i="15"/>
  <c r="V845" i="15"/>
  <c r="N845" i="15"/>
  <c r="R845" i="15"/>
  <c r="K845" i="15"/>
  <c r="M845" i="15"/>
  <c r="AD844" i="15"/>
  <c r="AC844" i="15"/>
  <c r="AB844" i="15"/>
  <c r="AA844" i="15"/>
  <c r="Z844" i="15"/>
  <c r="V844" i="15"/>
  <c r="N844" i="15"/>
  <c r="P844" i="15"/>
  <c r="K844" i="15"/>
  <c r="M844" i="15"/>
  <c r="AD843" i="15"/>
  <c r="AC843" i="15"/>
  <c r="AB843" i="15"/>
  <c r="AA843" i="15"/>
  <c r="Z843" i="15"/>
  <c r="V843" i="15"/>
  <c r="N843" i="15"/>
  <c r="R843" i="15"/>
  <c r="K843" i="15"/>
  <c r="M843" i="15"/>
  <c r="AD842" i="15"/>
  <c r="AC842" i="15"/>
  <c r="AB842" i="15"/>
  <c r="AA842" i="15"/>
  <c r="Z842" i="15"/>
  <c r="V842" i="15"/>
  <c r="N842" i="15"/>
  <c r="P842" i="15"/>
  <c r="K842" i="15"/>
  <c r="M842" i="15"/>
  <c r="AD841" i="15"/>
  <c r="AC841" i="15"/>
  <c r="AB841" i="15"/>
  <c r="AA841" i="15"/>
  <c r="Z841" i="15"/>
  <c r="V841" i="15"/>
  <c r="N841" i="15"/>
  <c r="R841" i="15"/>
  <c r="K841" i="15"/>
  <c r="M841" i="15"/>
  <c r="AD840" i="15"/>
  <c r="AC840" i="15"/>
  <c r="AB840" i="15"/>
  <c r="AA840" i="15"/>
  <c r="Z840" i="15"/>
  <c r="AD839" i="15"/>
  <c r="AC839" i="15"/>
  <c r="AB839" i="15"/>
  <c r="AA839" i="15"/>
  <c r="Z839" i="15"/>
  <c r="AD838" i="15"/>
  <c r="AC838" i="15"/>
  <c r="AB838" i="15"/>
  <c r="AA838" i="15"/>
  <c r="Z838" i="15"/>
  <c r="AD837" i="15"/>
  <c r="AC837" i="15"/>
  <c r="AB837" i="15"/>
  <c r="AA837" i="15"/>
  <c r="Z837" i="15"/>
  <c r="V837" i="15"/>
  <c r="N837" i="15"/>
  <c r="R837" i="15"/>
  <c r="M837" i="15"/>
  <c r="AD836" i="15"/>
  <c r="AC836" i="15"/>
  <c r="AB836" i="15"/>
  <c r="AA836" i="15"/>
  <c r="Z836" i="15"/>
  <c r="V836" i="15"/>
  <c r="N836" i="15"/>
  <c r="R836" i="15"/>
  <c r="M836" i="15"/>
  <c r="AD835" i="15"/>
  <c r="AC835" i="15"/>
  <c r="AB835" i="15"/>
  <c r="AA835" i="15"/>
  <c r="Z835" i="15"/>
  <c r="V835" i="15"/>
  <c r="N835" i="15"/>
  <c r="M835" i="15"/>
  <c r="AD834" i="15"/>
  <c r="AC834" i="15"/>
  <c r="AB834" i="15"/>
  <c r="AA834" i="15"/>
  <c r="Z834" i="15"/>
  <c r="V834" i="15"/>
  <c r="N834" i="15"/>
  <c r="R834" i="15"/>
  <c r="M834" i="15"/>
  <c r="AD833" i="15"/>
  <c r="AC833" i="15"/>
  <c r="AB833" i="15"/>
  <c r="AA833" i="15"/>
  <c r="Z833" i="15"/>
  <c r="V833" i="15"/>
  <c r="N833" i="15"/>
  <c r="P833" i="15"/>
  <c r="K833" i="15"/>
  <c r="M833" i="15"/>
  <c r="AD832" i="15"/>
  <c r="AC832" i="15"/>
  <c r="AB832" i="15"/>
  <c r="AA832" i="15"/>
  <c r="Z832" i="15"/>
  <c r="V832" i="15"/>
  <c r="N832" i="15"/>
  <c r="R832" i="15"/>
  <c r="J832" i="15"/>
  <c r="M832" i="15"/>
  <c r="AD831" i="15"/>
  <c r="AC831" i="15"/>
  <c r="AB831" i="15"/>
  <c r="AA831" i="15"/>
  <c r="Z831" i="15"/>
  <c r="V831" i="15"/>
  <c r="N831" i="15"/>
  <c r="J831" i="15"/>
  <c r="M831" i="15"/>
  <c r="AD830" i="15"/>
  <c r="AC830" i="15"/>
  <c r="AB830" i="15"/>
  <c r="AA830" i="15"/>
  <c r="Z830" i="15"/>
  <c r="V830" i="15"/>
  <c r="N830" i="15"/>
  <c r="J830" i="15"/>
  <c r="M830" i="15"/>
  <c r="AD829" i="15"/>
  <c r="AC829" i="15"/>
  <c r="AB829" i="15"/>
  <c r="AA829" i="15"/>
  <c r="Z829" i="15"/>
  <c r="AD828" i="15"/>
  <c r="AC828" i="15"/>
  <c r="AB828" i="15"/>
  <c r="AA828" i="15"/>
  <c r="Z828" i="15"/>
  <c r="AD827" i="15"/>
  <c r="AC827" i="15"/>
  <c r="AB827" i="15"/>
  <c r="AA827" i="15"/>
  <c r="Z827" i="15"/>
  <c r="V827" i="15"/>
  <c r="N827" i="15"/>
  <c r="R827" i="15"/>
  <c r="J827" i="15"/>
  <c r="M827" i="15"/>
  <c r="AD826" i="15"/>
  <c r="AC826" i="15"/>
  <c r="AB826" i="15"/>
  <c r="AA826" i="15"/>
  <c r="Z826" i="15"/>
  <c r="V826" i="15"/>
  <c r="N826" i="15"/>
  <c r="AD825" i="15"/>
  <c r="AC825" i="15"/>
  <c r="AB825" i="15"/>
  <c r="AA825" i="15"/>
  <c r="Z825" i="15"/>
  <c r="V825" i="15"/>
  <c r="N825" i="15"/>
  <c r="R825" i="15"/>
  <c r="J825" i="15"/>
  <c r="M825" i="15"/>
  <c r="AD824" i="15"/>
  <c r="AC824" i="15"/>
  <c r="AB824" i="15"/>
  <c r="AA824" i="15"/>
  <c r="Z824" i="15"/>
  <c r="V824" i="15"/>
  <c r="N824" i="15"/>
  <c r="Q824" i="15"/>
  <c r="J824" i="15"/>
  <c r="M824" i="15"/>
  <c r="AD823" i="15"/>
  <c r="AC823" i="15"/>
  <c r="AB823" i="15"/>
  <c r="AA823" i="15"/>
  <c r="Z823" i="15"/>
  <c r="AD822" i="15"/>
  <c r="AC822" i="15"/>
  <c r="AB822" i="15"/>
  <c r="AA822" i="15"/>
  <c r="Z822" i="15"/>
  <c r="AD821" i="15"/>
  <c r="AC821" i="15"/>
  <c r="AB821" i="15"/>
  <c r="AA821" i="15"/>
  <c r="Z821" i="15"/>
  <c r="V821" i="15"/>
  <c r="N821" i="15"/>
  <c r="P821" i="15"/>
  <c r="M821" i="15"/>
  <c r="AD820" i="15"/>
  <c r="AC820" i="15"/>
  <c r="AB820" i="15"/>
  <c r="AA820" i="15"/>
  <c r="Z820" i="15"/>
  <c r="V820" i="15"/>
  <c r="N820" i="15"/>
  <c r="Q820" i="15"/>
  <c r="L820" i="15"/>
  <c r="M820" i="15"/>
  <c r="AD819" i="15"/>
  <c r="AC819" i="15"/>
  <c r="AB819" i="15"/>
  <c r="AA819" i="15"/>
  <c r="Z819" i="15"/>
  <c r="V819" i="15"/>
  <c r="N819" i="15"/>
  <c r="L819" i="15"/>
  <c r="M819" i="15"/>
  <c r="AD818" i="15"/>
  <c r="AC818" i="15"/>
  <c r="AB818" i="15"/>
  <c r="AA818" i="15"/>
  <c r="Z818" i="15"/>
  <c r="V818" i="15"/>
  <c r="N818" i="15"/>
  <c r="Q818" i="15"/>
  <c r="L818" i="15"/>
  <c r="M818" i="15"/>
  <c r="AD817" i="15"/>
  <c r="AC817" i="15"/>
  <c r="AB817" i="15"/>
  <c r="AA817" i="15"/>
  <c r="Z817" i="15"/>
  <c r="V817" i="15"/>
  <c r="N817" i="15"/>
  <c r="R817" i="15"/>
  <c r="M817" i="15"/>
  <c r="AD816" i="15"/>
  <c r="AC816" i="15"/>
  <c r="AB816" i="15"/>
  <c r="AA816" i="15"/>
  <c r="Z816" i="15"/>
  <c r="V816" i="15"/>
  <c r="N816" i="15"/>
  <c r="P816" i="15"/>
  <c r="K816" i="15"/>
  <c r="M816" i="15"/>
  <c r="AD815" i="15"/>
  <c r="AC815" i="15"/>
  <c r="AB815" i="15"/>
  <c r="AA815" i="15"/>
  <c r="Z815" i="15"/>
  <c r="V815" i="15"/>
  <c r="N815" i="15"/>
  <c r="Q815" i="15"/>
  <c r="M815" i="15"/>
  <c r="AD814" i="15"/>
  <c r="AC814" i="15"/>
  <c r="AB814" i="15"/>
  <c r="AA814" i="15"/>
  <c r="Z814" i="15"/>
  <c r="V814" i="15"/>
  <c r="N814" i="15"/>
  <c r="R814" i="15"/>
  <c r="J814" i="15"/>
  <c r="M814" i="15"/>
  <c r="AD813" i="15"/>
  <c r="AC813" i="15"/>
  <c r="AB813" i="15"/>
  <c r="AA813" i="15"/>
  <c r="Z813" i="15"/>
  <c r="V813" i="15"/>
  <c r="N813" i="15"/>
  <c r="R813" i="15"/>
  <c r="M813" i="15"/>
  <c r="AD812" i="15"/>
  <c r="AC812" i="15"/>
  <c r="AB812" i="15"/>
  <c r="AA812" i="15"/>
  <c r="Z812" i="15"/>
  <c r="V812" i="15"/>
  <c r="N812" i="15"/>
  <c r="P812" i="15"/>
  <c r="M812" i="15"/>
  <c r="AD811" i="15"/>
  <c r="AC811" i="15"/>
  <c r="AB811" i="15"/>
  <c r="AA811" i="15"/>
  <c r="Z811" i="15"/>
  <c r="V811" i="15"/>
  <c r="N811" i="15"/>
  <c r="K811" i="15"/>
  <c r="Q811" i="15"/>
  <c r="M811" i="15"/>
  <c r="AD810" i="15"/>
  <c r="AC810" i="15"/>
  <c r="AB810" i="15"/>
  <c r="AA810" i="15"/>
  <c r="Z810" i="15"/>
  <c r="V810" i="15"/>
  <c r="N810" i="15"/>
  <c r="R810" i="15"/>
  <c r="K810" i="15"/>
  <c r="M810" i="15"/>
  <c r="AD809" i="15"/>
  <c r="AC809" i="15"/>
  <c r="AB809" i="15"/>
  <c r="AA809" i="15"/>
  <c r="Z809" i="15"/>
  <c r="V809" i="15"/>
  <c r="N809" i="15"/>
  <c r="P809" i="15"/>
  <c r="M809" i="15"/>
  <c r="AD808" i="15"/>
  <c r="AC808" i="15"/>
  <c r="AB808" i="15"/>
  <c r="AA808" i="15"/>
  <c r="Z808" i="15"/>
  <c r="V808" i="15"/>
  <c r="N808" i="15"/>
  <c r="P808" i="15"/>
  <c r="M808" i="15"/>
  <c r="AD807" i="15"/>
  <c r="AC807" i="15"/>
  <c r="AB807" i="15"/>
  <c r="AA807" i="15"/>
  <c r="Z807" i="15"/>
  <c r="V807" i="15"/>
  <c r="N807" i="15"/>
  <c r="P807" i="15"/>
  <c r="M807" i="15"/>
  <c r="AD806" i="15"/>
  <c r="AC806" i="15"/>
  <c r="AB806" i="15"/>
  <c r="AA806" i="15"/>
  <c r="Z806" i="15"/>
  <c r="V806" i="15"/>
  <c r="N806" i="15"/>
  <c r="Q806" i="15"/>
  <c r="J806" i="15"/>
  <c r="M806" i="15"/>
  <c r="AD805" i="15"/>
  <c r="AC805" i="15"/>
  <c r="AB805" i="15"/>
  <c r="AA805" i="15"/>
  <c r="Z805" i="15"/>
  <c r="V805" i="15"/>
  <c r="N805" i="15"/>
  <c r="R805" i="15"/>
  <c r="J805" i="15"/>
  <c r="M805" i="15"/>
  <c r="AD804" i="15"/>
  <c r="AC804" i="15"/>
  <c r="AB804" i="15"/>
  <c r="AA804" i="15"/>
  <c r="Z804" i="15"/>
  <c r="V804" i="15"/>
  <c r="N804" i="15"/>
  <c r="Q804" i="15"/>
  <c r="M804" i="15"/>
  <c r="AD803" i="15"/>
  <c r="AC803" i="15"/>
  <c r="AB803" i="15"/>
  <c r="AA803" i="15"/>
  <c r="Z803" i="15"/>
  <c r="AD802" i="15"/>
  <c r="AC802" i="15"/>
  <c r="AB802" i="15"/>
  <c r="AA802" i="15"/>
  <c r="Z802" i="15"/>
  <c r="V802" i="15"/>
  <c r="N802" i="15"/>
  <c r="L802" i="15"/>
  <c r="M802" i="15"/>
  <c r="AD801" i="15"/>
  <c r="AC801" i="15"/>
  <c r="AB801" i="15"/>
  <c r="AA801" i="15"/>
  <c r="Z801" i="15"/>
  <c r="V801" i="15"/>
  <c r="N801" i="15"/>
  <c r="K801" i="15"/>
  <c r="Q801" i="15"/>
  <c r="L801" i="15"/>
  <c r="AD800" i="15"/>
  <c r="AC800" i="15"/>
  <c r="AB800" i="15"/>
  <c r="AA800" i="15"/>
  <c r="Z800" i="15"/>
  <c r="V800" i="15"/>
  <c r="N800" i="15"/>
  <c r="P800" i="15"/>
  <c r="K800" i="15"/>
  <c r="L800" i="15"/>
  <c r="M800" i="15"/>
  <c r="AD799" i="15"/>
  <c r="AC799" i="15"/>
  <c r="AB799" i="15"/>
  <c r="AA799" i="15"/>
  <c r="Z799" i="15"/>
  <c r="V799" i="15"/>
  <c r="N799" i="15"/>
  <c r="R799" i="15"/>
  <c r="K799" i="15"/>
  <c r="M799" i="15"/>
  <c r="AD798" i="15"/>
  <c r="AC798" i="15"/>
  <c r="AB798" i="15"/>
  <c r="AA798" i="15"/>
  <c r="Z798" i="15"/>
  <c r="V798" i="15"/>
  <c r="N798" i="15"/>
  <c r="P798" i="15"/>
  <c r="M798" i="15"/>
  <c r="AD797" i="15"/>
  <c r="AC797" i="15"/>
  <c r="AB797" i="15"/>
  <c r="AA797" i="15"/>
  <c r="Z797" i="15"/>
  <c r="V797" i="15"/>
  <c r="N797" i="15"/>
  <c r="J797" i="15"/>
  <c r="M797" i="15"/>
  <c r="AD796" i="15"/>
  <c r="AC796" i="15"/>
  <c r="AB796" i="15"/>
  <c r="AA796" i="15"/>
  <c r="Z796" i="15"/>
  <c r="V796" i="15"/>
  <c r="N796" i="15"/>
  <c r="R796" i="15"/>
  <c r="M796" i="15"/>
  <c r="AD795" i="15"/>
  <c r="AC795" i="15"/>
  <c r="AB795" i="15"/>
  <c r="AA795" i="15"/>
  <c r="Z795" i="15"/>
  <c r="V795" i="15"/>
  <c r="N795" i="15"/>
  <c r="P795" i="15"/>
  <c r="M795" i="15"/>
  <c r="AD794" i="15"/>
  <c r="AC794" i="15"/>
  <c r="AB794" i="15"/>
  <c r="AA794" i="15"/>
  <c r="Z794" i="15"/>
  <c r="V794" i="15"/>
  <c r="N794" i="15"/>
  <c r="M794" i="15"/>
  <c r="AD793" i="15"/>
  <c r="AC793" i="15"/>
  <c r="AB793" i="15"/>
  <c r="AA793" i="15"/>
  <c r="Z793" i="15"/>
  <c r="V793" i="15"/>
  <c r="N793" i="15"/>
  <c r="R793" i="15"/>
  <c r="M793" i="15"/>
  <c r="AD792" i="15"/>
  <c r="AC792" i="15"/>
  <c r="AB792" i="15"/>
  <c r="AA792" i="15"/>
  <c r="Z792" i="15"/>
  <c r="V792" i="15"/>
  <c r="N792" i="15"/>
  <c r="R792" i="15"/>
  <c r="J792" i="15"/>
  <c r="M792" i="15"/>
  <c r="AD791" i="15"/>
  <c r="AC791" i="15"/>
  <c r="AB791" i="15"/>
  <c r="AA791" i="15"/>
  <c r="Z791" i="15"/>
  <c r="V791" i="15"/>
  <c r="N791" i="15"/>
  <c r="Q791" i="15"/>
  <c r="J791" i="15"/>
  <c r="M791" i="15"/>
  <c r="AD790" i="15"/>
  <c r="AC790" i="15"/>
  <c r="AB790" i="15"/>
  <c r="AA790" i="15"/>
  <c r="Z790" i="15"/>
  <c r="V790" i="15"/>
  <c r="N790" i="15"/>
  <c r="R790" i="15"/>
  <c r="M790" i="15"/>
  <c r="AD789" i="15"/>
  <c r="AC789" i="15"/>
  <c r="AB789" i="15"/>
  <c r="AA789" i="15"/>
  <c r="Z789" i="15"/>
  <c r="V789" i="15"/>
  <c r="N789" i="15"/>
  <c r="R789" i="15"/>
  <c r="M789" i="15"/>
  <c r="AD788" i="15"/>
  <c r="AC788" i="15"/>
  <c r="AB788" i="15"/>
  <c r="AA788" i="15"/>
  <c r="Z788" i="15"/>
  <c r="V788" i="15"/>
  <c r="N788" i="15"/>
  <c r="R788" i="15"/>
  <c r="M788" i="15"/>
  <c r="AD787" i="15"/>
  <c r="AC787" i="15"/>
  <c r="AB787" i="15"/>
  <c r="AA787" i="15"/>
  <c r="Z787" i="15"/>
  <c r="AD786" i="15"/>
  <c r="AC786" i="15"/>
  <c r="AB786" i="15"/>
  <c r="AA786" i="15"/>
  <c r="Z786" i="15"/>
  <c r="V786" i="15"/>
  <c r="N786" i="15"/>
  <c r="P786" i="15"/>
  <c r="M786" i="15"/>
  <c r="AD785" i="15"/>
  <c r="AC785" i="15"/>
  <c r="AB785" i="15"/>
  <c r="AA785" i="15"/>
  <c r="Z785" i="15"/>
  <c r="V785" i="15"/>
  <c r="N785" i="15"/>
  <c r="L785" i="15"/>
  <c r="K785" i="15"/>
  <c r="M785" i="15"/>
  <c r="AD784" i="15"/>
  <c r="AC784" i="15"/>
  <c r="AB784" i="15"/>
  <c r="AA784" i="15"/>
  <c r="Z784" i="15"/>
  <c r="V784" i="15"/>
  <c r="N784" i="15"/>
  <c r="R784" i="15"/>
  <c r="M784" i="15"/>
  <c r="AD783" i="15"/>
  <c r="AC783" i="15"/>
  <c r="AB783" i="15"/>
  <c r="AA783" i="15"/>
  <c r="Z783" i="15"/>
  <c r="V783" i="15"/>
  <c r="N783" i="15"/>
  <c r="P783" i="15"/>
  <c r="M783" i="15"/>
  <c r="AD782" i="15"/>
  <c r="AC782" i="15"/>
  <c r="AB782" i="15"/>
  <c r="AA782" i="15"/>
  <c r="Z782" i="15"/>
  <c r="V782" i="15"/>
  <c r="N782" i="15"/>
  <c r="K782" i="15"/>
  <c r="M782" i="15"/>
  <c r="AD781" i="15"/>
  <c r="AC781" i="15"/>
  <c r="AB781" i="15"/>
  <c r="AA781" i="15"/>
  <c r="Z781" i="15"/>
  <c r="V781" i="15"/>
  <c r="N781" i="15"/>
  <c r="M781" i="15"/>
  <c r="AD780" i="15"/>
  <c r="AC780" i="15"/>
  <c r="AB780" i="15"/>
  <c r="AA780" i="15"/>
  <c r="Z780" i="15"/>
  <c r="AD779" i="15"/>
  <c r="AC779" i="15"/>
  <c r="AB779" i="15"/>
  <c r="AA779" i="15"/>
  <c r="Z779" i="15"/>
  <c r="AD778" i="15"/>
  <c r="AC778" i="15"/>
  <c r="AB778" i="15"/>
  <c r="AA778" i="15"/>
  <c r="Z778" i="15"/>
  <c r="V778" i="15"/>
  <c r="N778" i="15"/>
  <c r="Q778" i="15"/>
  <c r="J778" i="15"/>
  <c r="M778" i="15"/>
  <c r="AD777" i="15"/>
  <c r="AC777" i="15"/>
  <c r="AB777" i="15"/>
  <c r="AA777" i="15"/>
  <c r="Z777" i="15"/>
  <c r="V777" i="15"/>
  <c r="N777" i="15"/>
  <c r="R777" i="15"/>
  <c r="M777" i="15"/>
  <c r="AD776" i="15"/>
  <c r="AC776" i="15"/>
  <c r="AB776" i="15"/>
  <c r="AA776" i="15"/>
  <c r="Z776" i="15"/>
  <c r="V776" i="15"/>
  <c r="N776" i="15"/>
  <c r="P776" i="15"/>
  <c r="M776" i="15"/>
  <c r="AD775" i="15"/>
  <c r="AC775" i="15"/>
  <c r="AB775" i="15"/>
  <c r="AA775" i="15"/>
  <c r="Z775" i="15"/>
  <c r="AD774" i="15"/>
  <c r="AC774" i="15"/>
  <c r="AB774" i="15"/>
  <c r="AA774" i="15"/>
  <c r="Z774" i="15"/>
  <c r="AD773" i="15"/>
  <c r="AC773" i="15"/>
  <c r="AB773" i="15"/>
  <c r="AA773" i="15"/>
  <c r="Z773" i="15"/>
  <c r="V773" i="15"/>
  <c r="N773" i="15"/>
  <c r="R773" i="15"/>
  <c r="M773" i="15"/>
  <c r="AD772" i="15"/>
  <c r="AC772" i="15"/>
  <c r="AB772" i="15"/>
  <c r="AA772" i="15"/>
  <c r="Z772" i="15"/>
  <c r="AD771" i="15"/>
  <c r="AC771" i="15"/>
  <c r="AB771" i="15"/>
  <c r="AA771" i="15"/>
  <c r="Z771" i="15"/>
  <c r="V771" i="15"/>
  <c r="N771" i="15"/>
  <c r="K771" i="15"/>
  <c r="Q771" i="15"/>
  <c r="L771" i="15"/>
  <c r="AD770" i="15"/>
  <c r="AC770" i="15"/>
  <c r="AB770" i="15"/>
  <c r="AA770" i="15"/>
  <c r="Z770" i="15"/>
  <c r="V770" i="15"/>
  <c r="N770" i="15"/>
  <c r="R770" i="15"/>
  <c r="M770" i="15"/>
  <c r="AD769" i="15"/>
  <c r="AC769" i="15"/>
  <c r="AB769" i="15"/>
  <c r="AA769" i="15"/>
  <c r="Z769" i="15"/>
  <c r="AD768" i="15"/>
  <c r="AC768" i="15"/>
  <c r="AB768" i="15"/>
  <c r="AA768" i="15"/>
  <c r="Z768" i="15"/>
  <c r="V768" i="15"/>
  <c r="N768" i="15"/>
  <c r="K768" i="15"/>
  <c r="Q768" i="15"/>
  <c r="L768" i="15"/>
  <c r="J768" i="15"/>
  <c r="M768" i="15"/>
  <c r="AD767" i="15"/>
  <c r="AC767" i="15"/>
  <c r="AB767" i="15"/>
  <c r="AA767" i="15"/>
  <c r="Z767" i="15"/>
  <c r="V767" i="15"/>
  <c r="N767" i="15"/>
  <c r="L767" i="15"/>
  <c r="K767" i="15"/>
  <c r="J767" i="15"/>
  <c r="AD766" i="15"/>
  <c r="AC766" i="15"/>
  <c r="AB766" i="15"/>
  <c r="AA766" i="15"/>
  <c r="Z766" i="15"/>
  <c r="V766" i="15"/>
  <c r="N766" i="15"/>
  <c r="L766" i="15"/>
  <c r="K766" i="15"/>
  <c r="J766" i="15"/>
  <c r="M766" i="15"/>
  <c r="AD765" i="15"/>
  <c r="AC765" i="15"/>
  <c r="AB765" i="15"/>
  <c r="AA765" i="15"/>
  <c r="Z765" i="15"/>
  <c r="V765" i="15"/>
  <c r="N765" i="15"/>
  <c r="P765" i="15"/>
  <c r="M765" i="15"/>
  <c r="AD764" i="15"/>
  <c r="AC764" i="15"/>
  <c r="AB764" i="15"/>
  <c r="AA764" i="15"/>
  <c r="Z764" i="15"/>
  <c r="V764" i="15"/>
  <c r="N764" i="15"/>
  <c r="P764" i="15"/>
  <c r="M764" i="15"/>
  <c r="AD763" i="15"/>
  <c r="AC763" i="15"/>
  <c r="AB763" i="15"/>
  <c r="AA763" i="15"/>
  <c r="Z763" i="15"/>
  <c r="V763" i="15"/>
  <c r="N763" i="15"/>
  <c r="L763" i="15"/>
  <c r="K763" i="15"/>
  <c r="M763" i="15"/>
  <c r="AD762" i="15"/>
  <c r="AC762" i="15"/>
  <c r="AB762" i="15"/>
  <c r="AA762" i="15"/>
  <c r="Z762" i="15"/>
  <c r="V762" i="15"/>
  <c r="N762" i="15"/>
  <c r="L762" i="15"/>
  <c r="R762" i="15"/>
  <c r="K762" i="15"/>
  <c r="M762" i="15"/>
  <c r="AD761" i="15"/>
  <c r="AC761" i="15"/>
  <c r="AB761" i="15"/>
  <c r="AA761" i="15"/>
  <c r="Z761" i="15"/>
  <c r="AD760" i="15"/>
  <c r="AC760" i="15"/>
  <c r="AB760" i="15"/>
  <c r="AA760" i="15"/>
  <c r="Z760" i="15"/>
  <c r="V760" i="15"/>
  <c r="N760" i="15"/>
  <c r="R760" i="15"/>
  <c r="K760" i="15"/>
  <c r="M760" i="15"/>
  <c r="AD759" i="15"/>
  <c r="AC759" i="15"/>
  <c r="AB759" i="15"/>
  <c r="AA759" i="15"/>
  <c r="Z759" i="15"/>
  <c r="V759" i="15"/>
  <c r="N759" i="15"/>
  <c r="R759" i="15"/>
  <c r="K759" i="15"/>
  <c r="AD758" i="15"/>
  <c r="AC758" i="15"/>
  <c r="AB758" i="15"/>
  <c r="AA758" i="15"/>
  <c r="Z758" i="15"/>
  <c r="V758" i="15"/>
  <c r="N758" i="15"/>
  <c r="R758" i="15"/>
  <c r="K758" i="15"/>
  <c r="M758" i="15"/>
  <c r="AD757" i="15"/>
  <c r="AC757" i="15"/>
  <c r="AB757" i="15"/>
  <c r="AA757" i="15"/>
  <c r="Z757" i="15"/>
  <c r="V757" i="15"/>
  <c r="N757" i="15"/>
  <c r="L757" i="15"/>
  <c r="R757" i="15"/>
  <c r="K757" i="15"/>
  <c r="AD756" i="15"/>
  <c r="AC756" i="15"/>
  <c r="AB756" i="15"/>
  <c r="AA756" i="15"/>
  <c r="Z756" i="15"/>
  <c r="V756" i="15"/>
  <c r="N756" i="15"/>
  <c r="L756" i="15"/>
  <c r="K756" i="15"/>
  <c r="M756" i="15"/>
  <c r="AD755" i="15"/>
  <c r="AC755" i="15"/>
  <c r="AB755" i="15"/>
  <c r="AA755" i="15"/>
  <c r="Z755" i="15"/>
  <c r="V755" i="15"/>
  <c r="N755" i="15"/>
  <c r="Q755" i="15"/>
  <c r="J755" i="15"/>
  <c r="M755" i="15"/>
  <c r="AD754" i="15"/>
  <c r="AC754" i="15"/>
  <c r="AB754" i="15"/>
  <c r="AA754" i="15"/>
  <c r="Z754" i="15"/>
  <c r="V754" i="15"/>
  <c r="N754" i="15"/>
  <c r="R754" i="15"/>
  <c r="J754" i="15"/>
  <c r="M754" i="15"/>
  <c r="AD753" i="15"/>
  <c r="AC753" i="15"/>
  <c r="AB753" i="15"/>
  <c r="AA753" i="15"/>
  <c r="Z753" i="15"/>
  <c r="V753" i="15"/>
  <c r="N753" i="15"/>
  <c r="R753" i="15"/>
  <c r="J753" i="15"/>
  <c r="M753" i="15"/>
  <c r="AD752" i="15"/>
  <c r="AC752" i="15"/>
  <c r="AB752" i="15"/>
  <c r="AA752" i="15"/>
  <c r="Z752" i="15"/>
  <c r="V752" i="15"/>
  <c r="N752" i="15"/>
  <c r="M752" i="15"/>
  <c r="AD751" i="15"/>
  <c r="AC751" i="15"/>
  <c r="AB751" i="15"/>
  <c r="AA751" i="15"/>
  <c r="Z751" i="15"/>
  <c r="AD750" i="15"/>
  <c r="AC750" i="15"/>
  <c r="AB750" i="15"/>
  <c r="AA750" i="15"/>
  <c r="Z750" i="15"/>
  <c r="AD749" i="15"/>
  <c r="AC749" i="15"/>
  <c r="AB749" i="15"/>
  <c r="AA749" i="15"/>
  <c r="Z749" i="15"/>
  <c r="V749" i="15"/>
  <c r="N749" i="15"/>
  <c r="O749" i="15"/>
  <c r="M749" i="15"/>
  <c r="AD748" i="15"/>
  <c r="AC748" i="15"/>
  <c r="AB748" i="15"/>
  <c r="AA748" i="15"/>
  <c r="Z748" i="15"/>
  <c r="V748" i="15"/>
  <c r="N748" i="15"/>
  <c r="L748" i="15"/>
  <c r="K748" i="15"/>
  <c r="M748" i="15"/>
  <c r="AD747" i="15"/>
  <c r="AC747" i="15"/>
  <c r="AB747" i="15"/>
  <c r="AA747" i="15"/>
  <c r="Z747" i="15"/>
  <c r="V747" i="15"/>
  <c r="N747" i="15"/>
  <c r="O747" i="15"/>
  <c r="L747" i="15"/>
  <c r="K747" i="15"/>
  <c r="M747" i="15"/>
  <c r="AD746" i="15"/>
  <c r="AC746" i="15"/>
  <c r="AB746" i="15"/>
  <c r="AA746" i="15"/>
  <c r="Z746" i="15"/>
  <c r="V746" i="15"/>
  <c r="N746" i="15"/>
  <c r="R746" i="15"/>
  <c r="J746" i="15"/>
  <c r="M746" i="15"/>
  <c r="AD745" i="15"/>
  <c r="AC745" i="15"/>
  <c r="AB745" i="15"/>
  <c r="AA745" i="15"/>
  <c r="Z745" i="15"/>
  <c r="V745" i="15"/>
  <c r="N745" i="15"/>
  <c r="Q745" i="15"/>
  <c r="M745" i="15"/>
  <c r="AD744" i="15"/>
  <c r="AC744" i="15"/>
  <c r="AB744" i="15"/>
  <c r="AA744" i="15"/>
  <c r="Z744" i="15"/>
  <c r="AD743" i="15"/>
  <c r="AC743" i="15"/>
  <c r="AB743" i="15"/>
  <c r="AA743" i="15"/>
  <c r="Z743" i="15"/>
  <c r="V743" i="15"/>
  <c r="N743" i="15"/>
  <c r="R743" i="15"/>
  <c r="J743" i="15"/>
  <c r="M743" i="15"/>
  <c r="AD742" i="15"/>
  <c r="AC742" i="15"/>
  <c r="AB742" i="15"/>
  <c r="AA742" i="15"/>
  <c r="Z742" i="15"/>
  <c r="V742" i="15"/>
  <c r="N742" i="15"/>
  <c r="R742" i="15"/>
  <c r="M742" i="15"/>
  <c r="AD741" i="15"/>
  <c r="AC741" i="15"/>
  <c r="AB741" i="15"/>
  <c r="AA741" i="15"/>
  <c r="Z741" i="15"/>
  <c r="V741" i="15"/>
  <c r="N741" i="15"/>
  <c r="R741" i="15"/>
  <c r="M741" i="15"/>
  <c r="AD740" i="15"/>
  <c r="AC740" i="15"/>
  <c r="AB740" i="15"/>
  <c r="AA740" i="15"/>
  <c r="Z740" i="15"/>
  <c r="AD739" i="15"/>
  <c r="AC739" i="15"/>
  <c r="AB739" i="15"/>
  <c r="AA739" i="15"/>
  <c r="Z739" i="15"/>
  <c r="V739" i="15"/>
  <c r="N739" i="15"/>
  <c r="M739" i="15"/>
  <c r="AD738" i="15"/>
  <c r="AC738" i="15"/>
  <c r="AB738" i="15"/>
  <c r="AA738" i="15"/>
  <c r="Z738" i="15"/>
  <c r="V738" i="15"/>
  <c r="N738" i="15"/>
  <c r="K738" i="15"/>
  <c r="J738" i="15"/>
  <c r="M738" i="15"/>
  <c r="AD737" i="15"/>
  <c r="AC737" i="15"/>
  <c r="AB737" i="15"/>
  <c r="AA737" i="15"/>
  <c r="Z737" i="15"/>
  <c r="V737" i="15"/>
  <c r="N737" i="15"/>
  <c r="P737" i="15"/>
  <c r="M737" i="15"/>
  <c r="AD736" i="15"/>
  <c r="AC736" i="15"/>
  <c r="AB736" i="15"/>
  <c r="AA736" i="15"/>
  <c r="Z736" i="15"/>
  <c r="V736" i="15"/>
  <c r="N736" i="15"/>
  <c r="R736" i="15"/>
  <c r="M736" i="15"/>
  <c r="AD735" i="15"/>
  <c r="AC735" i="15"/>
  <c r="AB735" i="15"/>
  <c r="AA735" i="15"/>
  <c r="Z735" i="15"/>
  <c r="V735" i="15"/>
  <c r="N735" i="15"/>
  <c r="R735" i="15"/>
  <c r="M735" i="15"/>
  <c r="AD734" i="15"/>
  <c r="AC734" i="15"/>
  <c r="AB734" i="15"/>
  <c r="AA734" i="15"/>
  <c r="Z734" i="15"/>
  <c r="V734" i="15"/>
  <c r="N734" i="15"/>
  <c r="O734" i="15"/>
  <c r="K734" i="15"/>
  <c r="J734" i="15"/>
  <c r="M734" i="15"/>
  <c r="AD733" i="15"/>
  <c r="AC733" i="15"/>
  <c r="AB733" i="15"/>
  <c r="AA733" i="15"/>
  <c r="Z733" i="15"/>
  <c r="V733" i="15"/>
  <c r="N733" i="15"/>
  <c r="J733" i="15"/>
  <c r="K733" i="15"/>
  <c r="M733" i="15"/>
  <c r="AD732" i="15"/>
  <c r="AC732" i="15"/>
  <c r="AB732" i="15"/>
  <c r="AA732" i="15"/>
  <c r="Z732" i="15"/>
  <c r="V732" i="15"/>
  <c r="N732" i="15"/>
  <c r="R732" i="15"/>
  <c r="M732" i="15"/>
  <c r="AD731" i="15"/>
  <c r="AC731" i="15"/>
  <c r="AB731" i="15"/>
  <c r="AA731" i="15"/>
  <c r="Z731" i="15"/>
  <c r="V731" i="15"/>
  <c r="N731" i="15"/>
  <c r="L731" i="15"/>
  <c r="J731" i="15"/>
  <c r="K731" i="15"/>
  <c r="M731" i="15"/>
  <c r="AD730" i="15"/>
  <c r="AC730" i="15"/>
  <c r="AB730" i="15"/>
  <c r="AA730" i="15"/>
  <c r="Z730" i="15"/>
  <c r="V730" i="15"/>
  <c r="N730" i="15"/>
  <c r="L730" i="15"/>
  <c r="K730" i="15"/>
  <c r="J730" i="15"/>
  <c r="M730" i="15"/>
  <c r="AD729" i="15"/>
  <c r="AC729" i="15"/>
  <c r="AB729" i="15"/>
  <c r="AA729" i="15"/>
  <c r="Z729" i="15"/>
  <c r="V729" i="15"/>
  <c r="N729" i="15"/>
  <c r="L729" i="15"/>
  <c r="K729" i="15"/>
  <c r="J729" i="15"/>
  <c r="AD728" i="15"/>
  <c r="AC728" i="15"/>
  <c r="AB728" i="15"/>
  <c r="AA728" i="15"/>
  <c r="Z728" i="15"/>
  <c r="V728" i="15"/>
  <c r="N728" i="15"/>
  <c r="L728" i="15"/>
  <c r="R728" i="15"/>
  <c r="K728" i="15"/>
  <c r="J728" i="15"/>
  <c r="M728" i="15"/>
  <c r="AD727" i="15"/>
  <c r="AC727" i="15"/>
  <c r="AB727" i="15"/>
  <c r="AA727" i="15"/>
  <c r="Z727" i="15"/>
  <c r="V727" i="15"/>
  <c r="N727" i="15"/>
  <c r="L727" i="15"/>
  <c r="R727" i="15"/>
  <c r="K727" i="15"/>
  <c r="J727" i="15"/>
  <c r="M727" i="15"/>
  <c r="AD726" i="15"/>
  <c r="AC726" i="15"/>
  <c r="AB726" i="15"/>
  <c r="AA726" i="15"/>
  <c r="Z726" i="15"/>
  <c r="V726" i="15"/>
  <c r="N726" i="15"/>
  <c r="L726" i="15"/>
  <c r="K726" i="15"/>
  <c r="J726" i="15"/>
  <c r="AD725" i="15"/>
  <c r="AC725" i="15"/>
  <c r="AB725" i="15"/>
  <c r="AA725" i="15"/>
  <c r="Z725" i="15"/>
  <c r="V725" i="15"/>
  <c r="N725" i="15"/>
  <c r="Q725" i="15"/>
  <c r="M725" i="15"/>
  <c r="AD724" i="15"/>
  <c r="AC724" i="15"/>
  <c r="AB724" i="15"/>
  <c r="AA724" i="15"/>
  <c r="Z724" i="15"/>
  <c r="V724" i="15"/>
  <c r="N724" i="15"/>
  <c r="M724" i="15"/>
  <c r="AD723" i="15"/>
  <c r="AC723" i="15"/>
  <c r="AB723" i="15"/>
  <c r="AA723" i="15"/>
  <c r="Z723" i="15"/>
  <c r="AD722" i="15"/>
  <c r="AC722" i="15"/>
  <c r="AB722" i="15"/>
  <c r="AA722" i="15"/>
  <c r="Z722" i="15"/>
  <c r="AD721" i="15"/>
  <c r="AC721" i="15"/>
  <c r="AB721" i="15"/>
  <c r="AA721" i="15"/>
  <c r="Z721" i="15"/>
  <c r="V721" i="15"/>
  <c r="N721" i="15"/>
  <c r="L721" i="15"/>
  <c r="M721" i="15"/>
  <c r="AD720" i="15"/>
  <c r="AC720" i="15"/>
  <c r="AB720" i="15"/>
  <c r="AA720" i="15"/>
  <c r="Z720" i="15"/>
  <c r="V720" i="15"/>
  <c r="N720" i="15"/>
  <c r="R720" i="15"/>
  <c r="M720" i="15"/>
  <c r="AD719" i="15"/>
  <c r="AC719" i="15"/>
  <c r="AB719" i="15"/>
  <c r="AA719" i="15"/>
  <c r="Z719" i="15"/>
  <c r="V719" i="15"/>
  <c r="N719" i="15"/>
  <c r="O719" i="15"/>
  <c r="M719" i="15"/>
  <c r="AD718" i="15"/>
  <c r="AC718" i="15"/>
  <c r="AB718" i="15"/>
  <c r="AA718" i="15"/>
  <c r="Z718" i="15"/>
  <c r="V718" i="15"/>
  <c r="N718" i="15"/>
  <c r="L718" i="15"/>
  <c r="M718" i="15"/>
  <c r="AD717" i="15"/>
  <c r="AC717" i="15"/>
  <c r="AB717" i="15"/>
  <c r="AA717" i="15"/>
  <c r="Z717" i="15"/>
  <c r="V717" i="15"/>
  <c r="N717" i="15"/>
  <c r="R717" i="15"/>
  <c r="M717" i="15"/>
  <c r="AD716" i="15"/>
  <c r="AC716" i="15"/>
  <c r="AB716" i="15"/>
  <c r="AA716" i="15"/>
  <c r="Z716" i="15"/>
  <c r="V716" i="15"/>
  <c r="N716" i="15"/>
  <c r="O716" i="15"/>
  <c r="M716" i="15"/>
  <c r="AD715" i="15"/>
  <c r="AC715" i="15"/>
  <c r="AB715" i="15"/>
  <c r="AA715" i="15"/>
  <c r="Z715" i="15"/>
  <c r="V715" i="15"/>
  <c r="N715" i="15"/>
  <c r="L715" i="15"/>
  <c r="R715" i="15"/>
  <c r="M715" i="15"/>
  <c r="AD714" i="15"/>
  <c r="AC714" i="15"/>
  <c r="AB714" i="15"/>
  <c r="AA714" i="15"/>
  <c r="Z714" i="15"/>
  <c r="AD713" i="15"/>
  <c r="AC713" i="15"/>
  <c r="AB713" i="15"/>
  <c r="AA713" i="15"/>
  <c r="Z713" i="15"/>
  <c r="AD712" i="15"/>
  <c r="AC712" i="15"/>
  <c r="AB712" i="15"/>
  <c r="AA712" i="15"/>
  <c r="Z712" i="15"/>
  <c r="V712" i="15"/>
  <c r="N712" i="15"/>
  <c r="L712" i="15"/>
  <c r="M712" i="15"/>
  <c r="AD711" i="15"/>
  <c r="AC711" i="15"/>
  <c r="AB711" i="15"/>
  <c r="AA711" i="15"/>
  <c r="Z711" i="15"/>
  <c r="V711" i="15"/>
  <c r="N711" i="15"/>
  <c r="L711" i="15"/>
  <c r="M711" i="15"/>
  <c r="AD710" i="15"/>
  <c r="AC710" i="15"/>
  <c r="AB710" i="15"/>
  <c r="AA710" i="15"/>
  <c r="Z710" i="15"/>
  <c r="V710" i="15"/>
  <c r="N710" i="15"/>
  <c r="K710" i="15"/>
  <c r="M710" i="15"/>
  <c r="AD709" i="15"/>
  <c r="AC709" i="15"/>
  <c r="AB709" i="15"/>
  <c r="AA709" i="15"/>
  <c r="Z709" i="15"/>
  <c r="V709" i="15"/>
  <c r="N709" i="15"/>
  <c r="L709" i="15"/>
  <c r="K709" i="15"/>
  <c r="M709" i="15"/>
  <c r="AD708" i="15"/>
  <c r="AC708" i="15"/>
  <c r="AB708" i="15"/>
  <c r="AA708" i="15"/>
  <c r="Z708" i="15"/>
  <c r="V708" i="15"/>
  <c r="N708" i="15"/>
  <c r="R708" i="15"/>
  <c r="M708" i="15"/>
  <c r="AD707" i="15"/>
  <c r="AC707" i="15"/>
  <c r="AB707" i="15"/>
  <c r="AA707" i="15"/>
  <c r="Z707" i="15"/>
  <c r="AD706" i="15"/>
  <c r="AC706" i="15"/>
  <c r="AB706" i="15"/>
  <c r="AA706" i="15"/>
  <c r="Z706" i="15"/>
  <c r="V706" i="15"/>
  <c r="N706" i="15"/>
  <c r="L706" i="15"/>
  <c r="K706" i="15"/>
  <c r="M706" i="15"/>
  <c r="AD705" i="15"/>
  <c r="AC705" i="15"/>
  <c r="AB705" i="15"/>
  <c r="AA705" i="15"/>
  <c r="Z705" i="15"/>
  <c r="V705" i="15"/>
  <c r="N705" i="15"/>
  <c r="L705" i="15"/>
  <c r="K705" i="15"/>
  <c r="M705" i="15"/>
  <c r="AD704" i="15"/>
  <c r="AC704" i="15"/>
  <c r="AB704" i="15"/>
  <c r="AA704" i="15"/>
  <c r="Z704" i="15"/>
  <c r="V704" i="15"/>
  <c r="N704" i="15"/>
  <c r="O704" i="15"/>
  <c r="M704" i="15"/>
  <c r="AD703" i="15"/>
  <c r="AC703" i="15"/>
  <c r="AB703" i="15"/>
  <c r="AA703" i="15"/>
  <c r="Z703" i="15"/>
  <c r="V703" i="15"/>
  <c r="N703" i="15"/>
  <c r="R703" i="15"/>
  <c r="M703" i="15"/>
  <c r="AD702" i="15"/>
  <c r="AC702" i="15"/>
  <c r="AB702" i="15"/>
  <c r="AA702" i="15"/>
  <c r="Z702" i="15"/>
  <c r="AD701" i="15"/>
  <c r="AC701" i="15"/>
  <c r="AB701" i="15"/>
  <c r="AA701" i="15"/>
  <c r="Z701" i="15"/>
  <c r="AD700" i="15"/>
  <c r="AC700" i="15"/>
  <c r="AB700" i="15"/>
  <c r="AA700" i="15"/>
  <c r="Z700" i="15"/>
  <c r="AD699" i="15"/>
  <c r="AC699" i="15"/>
  <c r="AB699" i="15"/>
  <c r="AA699" i="15"/>
  <c r="Z699" i="15"/>
  <c r="V699" i="15"/>
  <c r="N699" i="15"/>
  <c r="M699" i="15"/>
  <c r="AD698" i="15"/>
  <c r="AC698" i="15"/>
  <c r="AB698" i="15"/>
  <c r="AA698" i="15"/>
  <c r="Z698" i="15"/>
  <c r="V698" i="15"/>
  <c r="N698" i="15"/>
  <c r="M698" i="15"/>
  <c r="AD697" i="15"/>
  <c r="AC697" i="15"/>
  <c r="AB697" i="15"/>
  <c r="AA697" i="15"/>
  <c r="Z697" i="15"/>
  <c r="V697" i="15"/>
  <c r="N697" i="15"/>
  <c r="R697" i="15"/>
  <c r="M697" i="15"/>
  <c r="AD696" i="15"/>
  <c r="AC696" i="15"/>
  <c r="AB696" i="15"/>
  <c r="AA696" i="15"/>
  <c r="Z696" i="15"/>
  <c r="V696" i="15"/>
  <c r="N696" i="15"/>
  <c r="K696" i="15"/>
  <c r="Q696" i="15"/>
  <c r="L696" i="15"/>
  <c r="J696" i="15"/>
  <c r="AD695" i="15"/>
  <c r="AC695" i="15"/>
  <c r="AB695" i="15"/>
  <c r="AA695" i="15"/>
  <c r="Z695" i="15"/>
  <c r="V695" i="15"/>
  <c r="N695" i="15"/>
  <c r="L695" i="15"/>
  <c r="J695" i="15"/>
  <c r="K695" i="15"/>
  <c r="M695" i="15"/>
  <c r="AD694" i="15"/>
  <c r="AC694" i="15"/>
  <c r="AB694" i="15"/>
  <c r="AA694" i="15"/>
  <c r="Z694" i="15"/>
  <c r="V694" i="15"/>
  <c r="N694" i="15"/>
  <c r="R694" i="15"/>
  <c r="M694" i="15"/>
  <c r="AD693" i="15"/>
  <c r="AC693" i="15"/>
  <c r="AB693" i="15"/>
  <c r="AA693" i="15"/>
  <c r="Z693" i="15"/>
  <c r="V693" i="15"/>
  <c r="N693" i="15"/>
  <c r="L693" i="15"/>
  <c r="R693" i="15"/>
  <c r="K693" i="15"/>
  <c r="J693" i="15"/>
  <c r="AD692" i="15"/>
  <c r="AC692" i="15"/>
  <c r="AB692" i="15"/>
  <c r="AA692" i="15"/>
  <c r="Z692" i="15"/>
  <c r="V692" i="15"/>
  <c r="N692" i="15"/>
  <c r="L692" i="15"/>
  <c r="K692" i="15"/>
  <c r="J692" i="15"/>
  <c r="AD691" i="15"/>
  <c r="AC691" i="15"/>
  <c r="AB691" i="15"/>
  <c r="AA691" i="15"/>
  <c r="Z691" i="15"/>
  <c r="V691" i="15"/>
  <c r="N691" i="15"/>
  <c r="L691" i="15"/>
  <c r="K691" i="15"/>
  <c r="J691" i="15"/>
  <c r="M691" i="15"/>
  <c r="AD690" i="15"/>
  <c r="AC690" i="15"/>
  <c r="AB690" i="15"/>
  <c r="AA690" i="15"/>
  <c r="Z690" i="15"/>
  <c r="V690" i="15"/>
  <c r="N690" i="15"/>
  <c r="O690" i="15"/>
  <c r="M690" i="15"/>
  <c r="AD689" i="15"/>
  <c r="AC689" i="15"/>
  <c r="AB689" i="15"/>
  <c r="AA689" i="15"/>
  <c r="Z689" i="15"/>
  <c r="V689" i="15"/>
  <c r="N689" i="15"/>
  <c r="R689" i="15"/>
  <c r="M689" i="15"/>
  <c r="AD688" i="15"/>
  <c r="AC688" i="15"/>
  <c r="AB688" i="15"/>
  <c r="AA688" i="15"/>
  <c r="Z688" i="15"/>
  <c r="V688" i="15"/>
  <c r="N688" i="15"/>
  <c r="L688" i="15"/>
  <c r="R688" i="15"/>
  <c r="K688" i="15"/>
  <c r="J688" i="15"/>
  <c r="AD687" i="15"/>
  <c r="AC687" i="15"/>
  <c r="AB687" i="15"/>
  <c r="AA687" i="15"/>
  <c r="Z687" i="15"/>
  <c r="V687" i="15"/>
  <c r="N687" i="15"/>
  <c r="L687" i="15"/>
  <c r="K687" i="15"/>
  <c r="J687" i="15"/>
  <c r="AD686" i="15"/>
  <c r="AC686" i="15"/>
  <c r="AB686" i="15"/>
  <c r="AA686" i="15"/>
  <c r="Z686" i="15"/>
  <c r="V686" i="15"/>
  <c r="N686" i="15"/>
  <c r="R686" i="15"/>
  <c r="M686" i="15"/>
  <c r="AD685" i="15"/>
  <c r="AC685" i="15"/>
  <c r="AB685" i="15"/>
  <c r="AA685" i="15"/>
  <c r="Z685" i="15"/>
  <c r="V685" i="15"/>
  <c r="N685" i="15"/>
  <c r="O685" i="15"/>
  <c r="M685" i="15"/>
  <c r="AD684" i="15"/>
  <c r="AC684" i="15"/>
  <c r="AB684" i="15"/>
  <c r="AA684" i="15"/>
  <c r="Z684" i="15"/>
  <c r="V684" i="15"/>
  <c r="N684" i="15"/>
  <c r="P684" i="15"/>
  <c r="M684" i="15"/>
  <c r="AD683" i="15"/>
  <c r="AC683" i="15"/>
  <c r="AB683" i="15"/>
  <c r="AA683" i="15"/>
  <c r="Z683" i="15"/>
  <c r="V683" i="15"/>
  <c r="N683" i="15"/>
  <c r="Q683" i="15"/>
  <c r="M683" i="15"/>
  <c r="AD682" i="15"/>
  <c r="AC682" i="15"/>
  <c r="AB682" i="15"/>
  <c r="AA682" i="15"/>
  <c r="Z682" i="15"/>
  <c r="V682" i="15"/>
  <c r="N682" i="15"/>
  <c r="R682" i="15"/>
  <c r="M682" i="15"/>
  <c r="AD681" i="15"/>
  <c r="AC681" i="15"/>
  <c r="AB681" i="15"/>
  <c r="AA681" i="15"/>
  <c r="Z681" i="15"/>
  <c r="V681" i="15"/>
  <c r="N681" i="15"/>
  <c r="O681" i="15"/>
  <c r="M681" i="15"/>
  <c r="AD680" i="15"/>
  <c r="AC680" i="15"/>
  <c r="AB680" i="15"/>
  <c r="AA680" i="15"/>
  <c r="Z680" i="15"/>
  <c r="AD679" i="15"/>
  <c r="AC679" i="15"/>
  <c r="AB679" i="15"/>
  <c r="AA679" i="15"/>
  <c r="Z679" i="15"/>
  <c r="V679" i="15"/>
  <c r="N679" i="15"/>
  <c r="Q679" i="15"/>
  <c r="L679" i="15"/>
  <c r="M679" i="15"/>
  <c r="AD678" i="15"/>
  <c r="AC678" i="15"/>
  <c r="AB678" i="15"/>
  <c r="AA678" i="15"/>
  <c r="Z678" i="15"/>
  <c r="V678" i="15"/>
  <c r="N678" i="15"/>
  <c r="O678" i="15"/>
  <c r="L678" i="15"/>
  <c r="M678" i="15"/>
  <c r="AD677" i="15"/>
  <c r="AC677" i="15"/>
  <c r="AB677" i="15"/>
  <c r="AA677" i="15"/>
  <c r="Z677" i="15"/>
  <c r="V677" i="15"/>
  <c r="N677" i="15"/>
  <c r="P677" i="15"/>
  <c r="M677" i="15"/>
  <c r="AD676" i="15"/>
  <c r="AC676" i="15"/>
  <c r="AB676" i="15"/>
  <c r="AA676" i="15"/>
  <c r="Z676" i="15"/>
  <c r="V676" i="15"/>
  <c r="N676" i="15"/>
  <c r="P676" i="15"/>
  <c r="M676" i="15"/>
  <c r="AD675" i="15"/>
  <c r="AC675" i="15"/>
  <c r="AB675" i="15"/>
  <c r="AA675" i="15"/>
  <c r="Z675" i="15"/>
  <c r="AD674" i="15"/>
  <c r="AC674" i="15"/>
  <c r="AB674" i="15"/>
  <c r="AA674" i="15"/>
  <c r="Z674" i="15"/>
  <c r="AD673" i="15"/>
  <c r="AC673" i="15"/>
  <c r="AB673" i="15"/>
  <c r="AA673" i="15"/>
  <c r="Z673" i="15"/>
  <c r="V673" i="15"/>
  <c r="N673" i="15"/>
  <c r="Q673" i="15"/>
  <c r="M673" i="15"/>
  <c r="AD672" i="15"/>
  <c r="AC672" i="15"/>
  <c r="AB672" i="15"/>
  <c r="AA672" i="15"/>
  <c r="Z672" i="15"/>
  <c r="V672" i="15"/>
  <c r="N672" i="15"/>
  <c r="P672" i="15"/>
  <c r="L672" i="15"/>
  <c r="M672" i="15"/>
  <c r="AD671" i="15"/>
  <c r="AC671" i="15"/>
  <c r="AB671" i="15"/>
  <c r="AA671" i="15"/>
  <c r="Z671" i="15"/>
  <c r="AD670" i="15"/>
  <c r="AC670" i="15"/>
  <c r="AB670" i="15"/>
  <c r="AA670" i="15"/>
  <c r="Z670" i="15"/>
  <c r="V670" i="15"/>
  <c r="N670" i="15"/>
  <c r="R670" i="15"/>
  <c r="M670" i="15"/>
  <c r="AD669" i="15"/>
  <c r="AC669" i="15"/>
  <c r="AB669" i="15"/>
  <c r="AA669" i="15"/>
  <c r="Z669" i="15"/>
  <c r="V669" i="15"/>
  <c r="N669" i="15"/>
  <c r="O669" i="15"/>
  <c r="K669" i="15"/>
  <c r="M669" i="15"/>
  <c r="AD668" i="15"/>
  <c r="AC668" i="15"/>
  <c r="AB668" i="15"/>
  <c r="AA668" i="15"/>
  <c r="Z668" i="15"/>
  <c r="V668" i="15"/>
  <c r="N668" i="15"/>
  <c r="K668" i="15"/>
  <c r="M668" i="15"/>
  <c r="AD667" i="15"/>
  <c r="AC667" i="15"/>
  <c r="AB667" i="15"/>
  <c r="AA667" i="15"/>
  <c r="Z667" i="15"/>
  <c r="AD666" i="15"/>
  <c r="AC666" i="15"/>
  <c r="AB666" i="15"/>
  <c r="AA666" i="15"/>
  <c r="Z666" i="15"/>
  <c r="V666" i="15"/>
  <c r="N666" i="15"/>
  <c r="P666" i="15"/>
  <c r="M666" i="15"/>
  <c r="AD665" i="15"/>
  <c r="AC665" i="15"/>
  <c r="AB665" i="15"/>
  <c r="AA665" i="15"/>
  <c r="Z665" i="15"/>
  <c r="V665" i="15"/>
  <c r="N665" i="15"/>
  <c r="Q665" i="15"/>
  <c r="M665" i="15"/>
  <c r="AD664" i="15"/>
  <c r="AC664" i="15"/>
  <c r="AB664" i="15"/>
  <c r="AA664" i="15"/>
  <c r="Z664" i="15"/>
  <c r="V664" i="15"/>
  <c r="N664" i="15"/>
  <c r="R664" i="15"/>
  <c r="M664" i="15"/>
  <c r="AD663" i="15"/>
  <c r="AC663" i="15"/>
  <c r="AB663" i="15"/>
  <c r="AA663" i="15"/>
  <c r="Z663" i="15"/>
  <c r="V663" i="15"/>
  <c r="N663" i="15"/>
  <c r="R663" i="15"/>
  <c r="M663" i="15"/>
  <c r="AD662" i="15"/>
  <c r="AC662" i="15"/>
  <c r="AB662" i="15"/>
  <c r="AA662" i="15"/>
  <c r="Z662" i="15"/>
  <c r="V662" i="15"/>
  <c r="N662" i="15"/>
  <c r="M662" i="15"/>
  <c r="AD661" i="15"/>
  <c r="AC661" i="15"/>
  <c r="AB661" i="15"/>
  <c r="AA661" i="15"/>
  <c r="Z661" i="15"/>
  <c r="V661" i="15"/>
  <c r="N661" i="15"/>
  <c r="O661" i="15"/>
  <c r="J661" i="15"/>
  <c r="M661" i="15"/>
  <c r="AD660" i="15"/>
  <c r="AC660" i="15"/>
  <c r="AB660" i="15"/>
  <c r="AA660" i="15"/>
  <c r="Z660" i="15"/>
  <c r="V660" i="15"/>
  <c r="N660" i="15"/>
  <c r="Q660" i="15"/>
  <c r="J660" i="15"/>
  <c r="M660" i="15"/>
  <c r="AD659" i="15"/>
  <c r="AC659" i="15"/>
  <c r="AB659" i="15"/>
  <c r="AA659" i="15"/>
  <c r="Z659" i="15"/>
  <c r="AD658" i="15"/>
  <c r="AC658" i="15"/>
  <c r="AB658" i="15"/>
  <c r="AA658" i="15"/>
  <c r="Z658" i="15"/>
  <c r="AD657" i="15"/>
  <c r="AC657" i="15"/>
  <c r="AB657" i="15"/>
  <c r="AA657" i="15"/>
  <c r="Z657" i="15"/>
  <c r="V657" i="15"/>
  <c r="N657" i="15"/>
  <c r="Q657" i="15"/>
  <c r="L657" i="15"/>
  <c r="M657" i="15"/>
  <c r="AD656" i="15"/>
  <c r="AC656" i="15"/>
  <c r="AB656" i="15"/>
  <c r="AA656" i="15"/>
  <c r="Z656" i="15"/>
  <c r="V656" i="15"/>
  <c r="N656" i="15"/>
  <c r="O656" i="15"/>
  <c r="K656" i="15"/>
  <c r="M656" i="15"/>
  <c r="AD655" i="15"/>
  <c r="AC655" i="15"/>
  <c r="AB655" i="15"/>
  <c r="AA655" i="15"/>
  <c r="Z655" i="15"/>
  <c r="AD654" i="15"/>
  <c r="AC654" i="15"/>
  <c r="AB654" i="15"/>
  <c r="AA654" i="15"/>
  <c r="Z654" i="15"/>
  <c r="V654" i="15"/>
  <c r="N654" i="15"/>
  <c r="R654" i="15"/>
  <c r="K654" i="15"/>
  <c r="AD653" i="15"/>
  <c r="AC653" i="15"/>
  <c r="AB653" i="15"/>
  <c r="AA653" i="15"/>
  <c r="Z653" i="15"/>
  <c r="V653" i="15"/>
  <c r="N653" i="15"/>
  <c r="P653" i="15"/>
  <c r="K653" i="15"/>
  <c r="M653" i="15"/>
  <c r="AD652" i="15"/>
  <c r="AC652" i="15"/>
  <c r="AB652" i="15"/>
  <c r="AA652" i="15"/>
  <c r="Z652" i="15"/>
  <c r="AD651" i="15"/>
  <c r="AC651" i="15"/>
  <c r="AB651" i="15"/>
  <c r="AA651" i="15"/>
  <c r="Z651" i="15"/>
  <c r="V651" i="15"/>
  <c r="N651" i="15"/>
  <c r="O651" i="15"/>
  <c r="J651" i="15"/>
  <c r="M651" i="15"/>
  <c r="AD650" i="15"/>
  <c r="AC650" i="15"/>
  <c r="AB650" i="15"/>
  <c r="AA650" i="15"/>
  <c r="Z650" i="15"/>
  <c r="V650" i="15"/>
  <c r="N650" i="15"/>
  <c r="Q650" i="15"/>
  <c r="J650" i="15"/>
  <c r="M650" i="15"/>
  <c r="AD649" i="15"/>
  <c r="AC649" i="15"/>
  <c r="AB649" i="15"/>
  <c r="AA649" i="15"/>
  <c r="Z649" i="15"/>
  <c r="V649" i="15"/>
  <c r="N649" i="15"/>
  <c r="O649" i="15"/>
  <c r="J649" i="15"/>
  <c r="M649" i="15"/>
  <c r="AD648" i="15"/>
  <c r="AC648" i="15"/>
  <c r="AB648" i="15"/>
  <c r="AA648" i="15"/>
  <c r="Z648" i="15"/>
  <c r="V648" i="15"/>
  <c r="N648" i="15"/>
  <c r="Q648" i="15"/>
  <c r="J648" i="15"/>
  <c r="M648" i="15"/>
  <c r="AD647" i="15"/>
  <c r="AC647" i="15"/>
  <c r="AB647" i="15"/>
  <c r="AA647" i="15"/>
  <c r="Z647" i="15"/>
  <c r="AD646" i="15"/>
  <c r="AC646" i="15"/>
  <c r="AB646" i="15"/>
  <c r="AA646" i="15"/>
  <c r="Z646" i="15"/>
  <c r="AD645" i="15"/>
  <c r="AC645" i="15"/>
  <c r="AB645" i="15"/>
  <c r="AA645" i="15"/>
  <c r="Z645" i="15"/>
  <c r="AD644" i="15"/>
  <c r="AC644" i="15"/>
  <c r="AB644" i="15"/>
  <c r="AA644" i="15"/>
  <c r="Z644" i="15"/>
  <c r="V644" i="15"/>
  <c r="N644" i="15"/>
  <c r="AD643" i="15"/>
  <c r="AC643" i="15"/>
  <c r="AB643" i="15"/>
  <c r="AA643" i="15"/>
  <c r="Z643" i="15"/>
  <c r="AD642" i="15"/>
  <c r="AC642" i="15"/>
  <c r="AB642" i="15"/>
  <c r="AA642" i="15"/>
  <c r="Z642" i="15"/>
  <c r="V642" i="15"/>
  <c r="N642" i="15"/>
  <c r="L642" i="15"/>
  <c r="R642" i="15"/>
  <c r="M642" i="15"/>
  <c r="AD641" i="15"/>
  <c r="AC641" i="15"/>
  <c r="AB641" i="15"/>
  <c r="AA641" i="15"/>
  <c r="Z641" i="15"/>
  <c r="V641" i="15"/>
  <c r="N641" i="15"/>
  <c r="P641" i="15"/>
  <c r="L641" i="15"/>
  <c r="M641" i="15"/>
  <c r="AD640" i="15"/>
  <c r="AC640" i="15"/>
  <c r="AB640" i="15"/>
  <c r="AA640" i="15"/>
  <c r="Z640" i="15"/>
  <c r="V640" i="15"/>
  <c r="N640" i="15"/>
  <c r="L640" i="15"/>
  <c r="R640" i="15"/>
  <c r="M640" i="15"/>
  <c r="AD639" i="15"/>
  <c r="AC639" i="15"/>
  <c r="AB639" i="15"/>
  <c r="AA639" i="15"/>
  <c r="Z639" i="15"/>
  <c r="V639" i="15"/>
  <c r="N639" i="15"/>
  <c r="P639" i="15"/>
  <c r="L639" i="15"/>
  <c r="M639" i="15"/>
  <c r="AD638" i="15"/>
  <c r="AC638" i="15"/>
  <c r="AB638" i="15"/>
  <c r="AA638" i="15"/>
  <c r="Z638" i="15"/>
  <c r="V638" i="15"/>
  <c r="N638" i="15"/>
  <c r="L638" i="15"/>
  <c r="M638" i="15"/>
  <c r="AD637" i="15"/>
  <c r="AC637" i="15"/>
  <c r="AB637" i="15"/>
  <c r="AA637" i="15"/>
  <c r="Z637" i="15"/>
  <c r="V637" i="15"/>
  <c r="N637" i="15"/>
  <c r="M637" i="15"/>
  <c r="AD636" i="15"/>
  <c r="AC636" i="15"/>
  <c r="AB636" i="15"/>
  <c r="AA636" i="15"/>
  <c r="Z636" i="15"/>
  <c r="V636" i="15"/>
  <c r="N636" i="15"/>
  <c r="M636" i="15"/>
  <c r="AD635" i="15"/>
  <c r="AC635" i="15"/>
  <c r="AB635" i="15"/>
  <c r="AA635" i="15"/>
  <c r="Z635" i="15"/>
  <c r="V635" i="15"/>
  <c r="N635" i="15"/>
  <c r="P635" i="15"/>
  <c r="K635" i="15"/>
  <c r="M635" i="15"/>
  <c r="AD634" i="15"/>
  <c r="AC634" i="15"/>
  <c r="AB634" i="15"/>
  <c r="AA634" i="15"/>
  <c r="Z634" i="15"/>
  <c r="V634" i="15"/>
  <c r="N634" i="15"/>
  <c r="R634" i="15"/>
  <c r="K634" i="15"/>
  <c r="AD633" i="15"/>
  <c r="AC633" i="15"/>
  <c r="AB633" i="15"/>
  <c r="AA633" i="15"/>
  <c r="Z633" i="15"/>
  <c r="AD632" i="15"/>
  <c r="AC632" i="15"/>
  <c r="AB632" i="15"/>
  <c r="AA632" i="15"/>
  <c r="Z632" i="15"/>
  <c r="V632" i="15"/>
  <c r="N632" i="15"/>
  <c r="K632" i="15"/>
  <c r="M632" i="15"/>
  <c r="AD631" i="15"/>
  <c r="AC631" i="15"/>
  <c r="AB631" i="15"/>
  <c r="AA631" i="15"/>
  <c r="Z631" i="15"/>
  <c r="V631" i="15"/>
  <c r="N631" i="15"/>
  <c r="O631" i="15"/>
  <c r="J631" i="15"/>
  <c r="M631" i="15"/>
  <c r="AD630" i="15"/>
  <c r="AC630" i="15"/>
  <c r="AB630" i="15"/>
  <c r="AA630" i="15"/>
  <c r="Z630" i="15"/>
  <c r="V630" i="15"/>
  <c r="N630" i="15"/>
  <c r="J630" i="15"/>
  <c r="M630" i="15"/>
  <c r="AD629" i="15"/>
  <c r="AC629" i="15"/>
  <c r="AB629" i="15"/>
  <c r="AA629" i="15"/>
  <c r="Z629" i="15"/>
  <c r="V629" i="15"/>
  <c r="N629" i="15"/>
  <c r="O629" i="15"/>
  <c r="J629" i="15"/>
  <c r="M629" i="15"/>
  <c r="AD628" i="15"/>
  <c r="AC628" i="15"/>
  <c r="AB628" i="15"/>
  <c r="AA628" i="15"/>
  <c r="Z628" i="15"/>
  <c r="AD627" i="15"/>
  <c r="AC627" i="15"/>
  <c r="AB627" i="15"/>
  <c r="AA627" i="15"/>
  <c r="Z627" i="15"/>
  <c r="V627" i="15"/>
  <c r="N627" i="15"/>
  <c r="L627" i="15"/>
  <c r="K627" i="15"/>
  <c r="AD626" i="15"/>
  <c r="AC626" i="15"/>
  <c r="AB626" i="15"/>
  <c r="AA626" i="15"/>
  <c r="Z626" i="15"/>
  <c r="V626" i="15"/>
  <c r="N626" i="15"/>
  <c r="L626" i="15"/>
  <c r="K626" i="15"/>
  <c r="AD625" i="15"/>
  <c r="AC625" i="15"/>
  <c r="AB625" i="15"/>
  <c r="AA625" i="15"/>
  <c r="Z625" i="15"/>
  <c r="V625" i="15"/>
  <c r="N625" i="15"/>
  <c r="O625" i="15"/>
  <c r="J625" i="15"/>
  <c r="M625" i="15"/>
  <c r="AD624" i="15"/>
  <c r="AC624" i="15"/>
  <c r="AB624" i="15"/>
  <c r="AA624" i="15"/>
  <c r="Z624" i="15"/>
  <c r="V624" i="15"/>
  <c r="N624" i="15"/>
  <c r="M624" i="15"/>
  <c r="AD623" i="15"/>
  <c r="AC623" i="15"/>
  <c r="AB623" i="15"/>
  <c r="AA623" i="15"/>
  <c r="Z623" i="15"/>
  <c r="AD622" i="15"/>
  <c r="AC622" i="15"/>
  <c r="AB622" i="15"/>
  <c r="AA622" i="15"/>
  <c r="Z622" i="15"/>
  <c r="V622" i="15"/>
  <c r="N622" i="15"/>
  <c r="L622" i="15"/>
  <c r="M622" i="15"/>
  <c r="AD621" i="15"/>
  <c r="AC621" i="15"/>
  <c r="AB621" i="15"/>
  <c r="AA621" i="15"/>
  <c r="Z621" i="15"/>
  <c r="V621" i="15"/>
  <c r="N621" i="15"/>
  <c r="M621" i="15"/>
  <c r="AD620" i="15"/>
  <c r="AC620" i="15"/>
  <c r="AB620" i="15"/>
  <c r="AA620" i="15"/>
  <c r="Z620" i="15"/>
  <c r="V620" i="15"/>
  <c r="N620" i="15"/>
  <c r="P620" i="15"/>
  <c r="K620" i="15"/>
  <c r="M620" i="15"/>
  <c r="AD619" i="15"/>
  <c r="AC619" i="15"/>
  <c r="AB619" i="15"/>
  <c r="AA619" i="15"/>
  <c r="Z619" i="15"/>
  <c r="V619" i="15"/>
  <c r="N619" i="15"/>
  <c r="L619" i="15"/>
  <c r="R619" i="15"/>
  <c r="K619" i="15"/>
  <c r="M619" i="15"/>
  <c r="AD618" i="15"/>
  <c r="AC618" i="15"/>
  <c r="AB618" i="15"/>
  <c r="AA618" i="15"/>
  <c r="Z618" i="15"/>
  <c r="AD617" i="15"/>
  <c r="AC617" i="15"/>
  <c r="AB617" i="15"/>
  <c r="AA617" i="15"/>
  <c r="Z617" i="15"/>
  <c r="V617" i="15"/>
  <c r="N617" i="15"/>
  <c r="L617" i="15"/>
  <c r="M617" i="15"/>
  <c r="AD616" i="15"/>
  <c r="AC616" i="15"/>
  <c r="AB616" i="15"/>
  <c r="AA616" i="15"/>
  <c r="Z616" i="15"/>
  <c r="V616" i="15"/>
  <c r="N616" i="15"/>
  <c r="P616" i="15"/>
  <c r="L616" i="15"/>
  <c r="M616" i="15"/>
  <c r="AD615" i="15"/>
  <c r="AC615" i="15"/>
  <c r="AB615" i="15"/>
  <c r="AA615" i="15"/>
  <c r="Z615" i="15"/>
  <c r="V615" i="15"/>
  <c r="N615" i="15"/>
  <c r="L615" i="15"/>
  <c r="K615" i="15"/>
  <c r="AD614" i="15"/>
  <c r="AC614" i="15"/>
  <c r="AB614" i="15"/>
  <c r="AA614" i="15"/>
  <c r="Z614" i="15"/>
  <c r="V614" i="15"/>
  <c r="N614" i="15"/>
  <c r="Q614" i="15"/>
  <c r="M614" i="15"/>
  <c r="AD613" i="15"/>
  <c r="AC613" i="15"/>
  <c r="AB613" i="15"/>
  <c r="AA613" i="15"/>
  <c r="Z613" i="15"/>
  <c r="V613" i="15"/>
  <c r="N613" i="15"/>
  <c r="L613" i="15"/>
  <c r="K613" i="15"/>
  <c r="J613" i="15"/>
  <c r="AD612" i="15"/>
  <c r="AC612" i="15"/>
  <c r="AB612" i="15"/>
  <c r="AA612" i="15"/>
  <c r="Z612" i="15"/>
  <c r="V612" i="15"/>
  <c r="N612" i="15"/>
  <c r="L612" i="15"/>
  <c r="K612" i="15"/>
  <c r="J612" i="15"/>
  <c r="AD611" i="15"/>
  <c r="AC611" i="15"/>
  <c r="AB611" i="15"/>
  <c r="AA611" i="15"/>
  <c r="Z611" i="15"/>
  <c r="V611" i="15"/>
  <c r="N611" i="15"/>
  <c r="L611" i="15"/>
  <c r="R611" i="15"/>
  <c r="K611" i="15"/>
  <c r="J611" i="15"/>
  <c r="AD610" i="15"/>
  <c r="AC610" i="15"/>
  <c r="AB610" i="15"/>
  <c r="AA610" i="15"/>
  <c r="Z610" i="15"/>
  <c r="V610" i="15"/>
  <c r="N610" i="15"/>
  <c r="R610" i="15"/>
  <c r="J610" i="15"/>
  <c r="M610" i="15"/>
  <c r="AD609" i="15"/>
  <c r="AC609" i="15"/>
  <c r="AB609" i="15"/>
  <c r="AA609" i="15"/>
  <c r="Z609" i="15"/>
  <c r="V609" i="15"/>
  <c r="N609" i="15"/>
  <c r="L609" i="15"/>
  <c r="K609" i="15"/>
  <c r="J609" i="15"/>
  <c r="M609" i="15"/>
  <c r="AD608" i="15"/>
  <c r="AC608" i="15"/>
  <c r="AB608" i="15"/>
  <c r="AA608" i="15"/>
  <c r="Z608" i="15"/>
  <c r="V608" i="15"/>
  <c r="N608" i="15"/>
  <c r="L608" i="15"/>
  <c r="K608" i="15"/>
  <c r="J608" i="15"/>
  <c r="M608" i="15"/>
  <c r="AD607" i="15"/>
  <c r="AC607" i="15"/>
  <c r="AB607" i="15"/>
  <c r="AA607" i="15"/>
  <c r="Z607" i="15"/>
  <c r="V607" i="15"/>
  <c r="N607" i="15"/>
  <c r="J607" i="15"/>
  <c r="P607" i="15"/>
  <c r="L607" i="15"/>
  <c r="K607" i="15"/>
  <c r="AD606" i="15"/>
  <c r="AC606" i="15"/>
  <c r="AB606" i="15"/>
  <c r="AA606" i="15"/>
  <c r="Z606" i="15"/>
  <c r="V606" i="15"/>
  <c r="N606" i="15"/>
  <c r="J606" i="15"/>
  <c r="P606" i="15"/>
  <c r="L606" i="15"/>
  <c r="K606" i="15"/>
  <c r="M606" i="15"/>
  <c r="AD605" i="15"/>
  <c r="AC605" i="15"/>
  <c r="AB605" i="15"/>
  <c r="AA605" i="15"/>
  <c r="Z605" i="15"/>
  <c r="V605" i="15"/>
  <c r="N605" i="15"/>
  <c r="L605" i="15"/>
  <c r="K605" i="15"/>
  <c r="J605" i="15"/>
  <c r="M605" i="15"/>
  <c r="AD604" i="15"/>
  <c r="AC604" i="15"/>
  <c r="AB604" i="15"/>
  <c r="AA604" i="15"/>
  <c r="Z604" i="15"/>
  <c r="V604" i="15"/>
  <c r="N604" i="15"/>
  <c r="L604" i="15"/>
  <c r="K604" i="15"/>
  <c r="J604" i="15"/>
  <c r="M604" i="15"/>
  <c r="AD603" i="15"/>
  <c r="AC603" i="15"/>
  <c r="AB603" i="15"/>
  <c r="AA603" i="15"/>
  <c r="Z603" i="15"/>
  <c r="V603" i="15"/>
  <c r="N603" i="15"/>
  <c r="J603" i="15"/>
  <c r="P603" i="15"/>
  <c r="L603" i="15"/>
  <c r="K603" i="15"/>
  <c r="AD602" i="15"/>
  <c r="AC602" i="15"/>
  <c r="AB602" i="15"/>
  <c r="AA602" i="15"/>
  <c r="Z602" i="15"/>
  <c r="V602" i="15"/>
  <c r="N602" i="15"/>
  <c r="J602" i="15"/>
  <c r="P602" i="15"/>
  <c r="L602" i="15"/>
  <c r="K602" i="15"/>
  <c r="M602" i="15"/>
  <c r="AD601" i="15"/>
  <c r="AC601" i="15"/>
  <c r="AB601" i="15"/>
  <c r="AA601" i="15"/>
  <c r="Z601" i="15"/>
  <c r="V601" i="15"/>
  <c r="N601" i="15"/>
  <c r="L601" i="15"/>
  <c r="K601" i="15"/>
  <c r="J601" i="15"/>
  <c r="M601" i="15"/>
  <c r="AD600" i="15"/>
  <c r="AC600" i="15"/>
  <c r="AB600" i="15"/>
  <c r="AA600" i="15"/>
  <c r="Z600" i="15"/>
  <c r="V600" i="15"/>
  <c r="N600" i="15"/>
  <c r="L600" i="15"/>
  <c r="K600" i="15"/>
  <c r="J600" i="15"/>
  <c r="M600" i="15"/>
  <c r="AD599" i="15"/>
  <c r="AC599" i="15"/>
  <c r="AB599" i="15"/>
  <c r="AA599" i="15"/>
  <c r="Z599" i="15"/>
  <c r="V599" i="15"/>
  <c r="N599" i="15"/>
  <c r="J599" i="15"/>
  <c r="P599" i="15"/>
  <c r="L599" i="15"/>
  <c r="K599" i="15"/>
  <c r="AD598" i="15"/>
  <c r="AC598" i="15"/>
  <c r="AB598" i="15"/>
  <c r="AA598" i="15"/>
  <c r="Z598" i="15"/>
  <c r="V598" i="15"/>
  <c r="N598" i="15"/>
  <c r="J598" i="15"/>
  <c r="P598" i="15"/>
  <c r="L598" i="15"/>
  <c r="K598" i="15"/>
  <c r="M598" i="15"/>
  <c r="AD597" i="15"/>
  <c r="AC597" i="15"/>
  <c r="AB597" i="15"/>
  <c r="AA597" i="15"/>
  <c r="Z597" i="15"/>
  <c r="V597" i="15"/>
  <c r="N597" i="15"/>
  <c r="P597" i="15"/>
  <c r="K597" i="15"/>
  <c r="M597" i="15"/>
  <c r="AD596" i="15"/>
  <c r="AC596" i="15"/>
  <c r="AB596" i="15"/>
  <c r="AA596" i="15"/>
  <c r="Z596" i="15"/>
  <c r="V596" i="15"/>
  <c r="N596" i="15"/>
  <c r="M596" i="15"/>
  <c r="AD595" i="15"/>
  <c r="AC595" i="15"/>
  <c r="AB595" i="15"/>
  <c r="AA595" i="15"/>
  <c r="Z595" i="15"/>
  <c r="V595" i="15"/>
  <c r="N595" i="15"/>
  <c r="R595" i="15"/>
  <c r="J595" i="15"/>
  <c r="M595" i="15"/>
  <c r="AD594" i="15"/>
  <c r="AC594" i="15"/>
  <c r="AB594" i="15"/>
  <c r="AA594" i="15"/>
  <c r="Z594" i="15"/>
  <c r="V594" i="15"/>
  <c r="N594" i="15"/>
  <c r="J594" i="15"/>
  <c r="M594" i="15"/>
  <c r="AD593" i="15"/>
  <c r="AC593" i="15"/>
  <c r="AB593" i="15"/>
  <c r="AA593" i="15"/>
  <c r="Z593" i="15"/>
  <c r="V593" i="15"/>
  <c r="N593" i="15"/>
  <c r="M593" i="15"/>
  <c r="AD592" i="15"/>
  <c r="AC592" i="15"/>
  <c r="AB592" i="15"/>
  <c r="AA592" i="15"/>
  <c r="Z592" i="15"/>
  <c r="V592" i="15"/>
  <c r="N592" i="15"/>
  <c r="M592" i="15"/>
  <c r="AD591" i="15"/>
  <c r="AC591" i="15"/>
  <c r="AB591" i="15"/>
  <c r="AA591" i="15"/>
  <c r="Z591" i="15"/>
  <c r="AD590" i="15"/>
  <c r="AC590" i="15"/>
  <c r="AB590" i="15"/>
  <c r="AA590" i="15"/>
  <c r="Z590" i="15"/>
  <c r="V590" i="15"/>
  <c r="N590" i="15"/>
  <c r="O590" i="15"/>
  <c r="J590" i="15"/>
  <c r="M590" i="15"/>
  <c r="AD589" i="15"/>
  <c r="AC589" i="15"/>
  <c r="AB589" i="15"/>
  <c r="AA589" i="15"/>
  <c r="Z589" i="15"/>
  <c r="V589" i="15"/>
  <c r="N589" i="15"/>
  <c r="R589" i="15"/>
  <c r="J589" i="15"/>
  <c r="M589" i="15"/>
  <c r="AD588" i="15"/>
  <c r="AC588" i="15"/>
  <c r="AB588" i="15"/>
  <c r="AA588" i="15"/>
  <c r="Z588" i="15"/>
  <c r="V588" i="15"/>
  <c r="N588" i="15"/>
  <c r="O588" i="15"/>
  <c r="J588" i="15"/>
  <c r="M588" i="15"/>
  <c r="AD587" i="15"/>
  <c r="AC587" i="15"/>
  <c r="AB587" i="15"/>
  <c r="AA587" i="15"/>
  <c r="Z587" i="15"/>
  <c r="V587" i="15"/>
  <c r="N587" i="15"/>
  <c r="M587" i="15"/>
  <c r="AD586" i="15"/>
  <c r="AC586" i="15"/>
  <c r="AB586" i="15"/>
  <c r="AA586" i="15"/>
  <c r="Z586" i="15"/>
  <c r="AD585" i="15"/>
  <c r="AC585" i="15"/>
  <c r="AB585" i="15"/>
  <c r="AA585" i="15"/>
  <c r="Z585" i="15"/>
  <c r="AD584" i="15"/>
  <c r="AC584" i="15"/>
  <c r="AB584" i="15"/>
  <c r="AA584" i="15"/>
  <c r="Z584" i="15"/>
  <c r="V584" i="15"/>
  <c r="N584" i="15"/>
  <c r="O584" i="15"/>
  <c r="L584" i="15"/>
  <c r="M584" i="15"/>
  <c r="AD583" i="15"/>
  <c r="AC583" i="15"/>
  <c r="AB583" i="15"/>
  <c r="AA583" i="15"/>
  <c r="Z583" i="15"/>
  <c r="V583" i="15"/>
  <c r="N583" i="15"/>
  <c r="Q583" i="15"/>
  <c r="L583" i="15"/>
  <c r="M583" i="15"/>
  <c r="AD582" i="15"/>
  <c r="AC582" i="15"/>
  <c r="AB582" i="15"/>
  <c r="AA582" i="15"/>
  <c r="Z582" i="15"/>
  <c r="V582" i="15"/>
  <c r="N582" i="15"/>
  <c r="O582" i="15"/>
  <c r="K582" i="15"/>
  <c r="M582" i="15"/>
  <c r="AD581" i="15"/>
  <c r="AC581" i="15"/>
  <c r="AB581" i="15"/>
  <c r="AA581" i="15"/>
  <c r="Z581" i="15"/>
  <c r="V581" i="15"/>
  <c r="N581" i="15"/>
  <c r="M581" i="15"/>
  <c r="AD580" i="15"/>
  <c r="AC580" i="15"/>
  <c r="AB580" i="15"/>
  <c r="AA580" i="15"/>
  <c r="Z580" i="15"/>
  <c r="AD579" i="15"/>
  <c r="AC579" i="15"/>
  <c r="AB579" i="15"/>
  <c r="AA579" i="15"/>
  <c r="Z579" i="15"/>
  <c r="AD578" i="15"/>
  <c r="AC578" i="15"/>
  <c r="AB578" i="15"/>
  <c r="AA578" i="15"/>
  <c r="Z578" i="15"/>
  <c r="V578" i="15"/>
  <c r="N578" i="15"/>
  <c r="O578" i="15"/>
  <c r="M578" i="15"/>
  <c r="AD577" i="15"/>
  <c r="AC577" i="15"/>
  <c r="AB577" i="15"/>
  <c r="AA577" i="15"/>
  <c r="Z577" i="15"/>
  <c r="V577" i="15"/>
  <c r="N577" i="15"/>
  <c r="P577" i="15"/>
  <c r="M577" i="15"/>
  <c r="AD576" i="15"/>
  <c r="AC576" i="15"/>
  <c r="AB576" i="15"/>
  <c r="AA576" i="15"/>
  <c r="Z576" i="15"/>
  <c r="V576" i="15"/>
  <c r="N576" i="15"/>
  <c r="Q576" i="15"/>
  <c r="M576" i="15"/>
  <c r="AD575" i="15"/>
  <c r="AC575" i="15"/>
  <c r="AB575" i="15"/>
  <c r="AA575" i="15"/>
  <c r="Z575" i="15"/>
  <c r="V575" i="15"/>
  <c r="N575" i="15"/>
  <c r="R575" i="15"/>
  <c r="M575" i="15"/>
  <c r="AD574" i="15"/>
  <c r="AC574" i="15"/>
  <c r="AB574" i="15"/>
  <c r="AA574" i="15"/>
  <c r="Z574" i="15"/>
  <c r="AD573" i="15"/>
  <c r="AC573" i="15"/>
  <c r="AB573" i="15"/>
  <c r="AA573" i="15"/>
  <c r="Z573" i="15"/>
  <c r="V573" i="15"/>
  <c r="N573" i="15"/>
  <c r="L573" i="15"/>
  <c r="K573" i="15"/>
  <c r="J573" i="15"/>
  <c r="M573" i="15"/>
  <c r="AD572" i="15"/>
  <c r="AC572" i="15"/>
  <c r="AB572" i="15"/>
  <c r="AA572" i="15"/>
  <c r="Z572" i="15"/>
  <c r="V572" i="15"/>
  <c r="N572" i="15"/>
  <c r="J572" i="15"/>
  <c r="P572" i="15"/>
  <c r="L572" i="15"/>
  <c r="K572" i="15"/>
  <c r="AD571" i="15"/>
  <c r="AC571" i="15"/>
  <c r="AB571" i="15"/>
  <c r="AA571" i="15"/>
  <c r="Z571" i="15"/>
  <c r="AD570" i="15"/>
  <c r="AC570" i="15"/>
  <c r="AB570" i="15"/>
  <c r="AA570" i="15"/>
  <c r="Z570" i="15"/>
  <c r="V570" i="15"/>
  <c r="N570" i="15"/>
  <c r="Q570" i="15"/>
  <c r="M570" i="15"/>
  <c r="AD569" i="15"/>
  <c r="AC569" i="15"/>
  <c r="AB569" i="15"/>
  <c r="AA569" i="15"/>
  <c r="Z569" i="15"/>
  <c r="V569" i="15"/>
  <c r="N569" i="15"/>
  <c r="R569" i="15"/>
  <c r="M569" i="15"/>
  <c r="AD568" i="15"/>
  <c r="AC568" i="15"/>
  <c r="AB568" i="15"/>
  <c r="AA568" i="15"/>
  <c r="Z568" i="15"/>
  <c r="V568" i="15"/>
  <c r="N568" i="15"/>
  <c r="O568" i="15"/>
  <c r="L568" i="15"/>
  <c r="M568" i="15"/>
  <c r="AD567" i="15"/>
  <c r="AC567" i="15"/>
  <c r="AB567" i="15"/>
  <c r="AA567" i="15"/>
  <c r="Z567" i="15"/>
  <c r="V567" i="15"/>
  <c r="N567" i="15"/>
  <c r="K567" i="15"/>
  <c r="M567" i="15"/>
  <c r="AD566" i="15"/>
  <c r="AC566" i="15"/>
  <c r="AB566" i="15"/>
  <c r="AA566" i="15"/>
  <c r="Z566" i="15"/>
  <c r="V566" i="15"/>
  <c r="N566" i="15"/>
  <c r="O566" i="15"/>
  <c r="K566" i="15"/>
  <c r="M566" i="15"/>
  <c r="AD565" i="15"/>
  <c r="AC565" i="15"/>
  <c r="AB565" i="15"/>
  <c r="AA565" i="15"/>
  <c r="Z565" i="15"/>
  <c r="V565" i="15"/>
  <c r="N565" i="15"/>
  <c r="K565" i="15"/>
  <c r="M565" i="15"/>
  <c r="AD564" i="15"/>
  <c r="AC564" i="15"/>
  <c r="AB564" i="15"/>
  <c r="AA564" i="15"/>
  <c r="Z564" i="15"/>
  <c r="V564" i="15"/>
  <c r="N564" i="15"/>
  <c r="M564" i="15"/>
  <c r="AD563" i="15"/>
  <c r="AC563" i="15"/>
  <c r="AB563" i="15"/>
  <c r="AA563" i="15"/>
  <c r="Z563" i="15"/>
  <c r="AD562" i="15"/>
  <c r="AC562" i="15"/>
  <c r="AB562" i="15"/>
  <c r="AA562" i="15"/>
  <c r="Z562" i="15"/>
  <c r="AD561" i="15"/>
  <c r="AC561" i="15"/>
  <c r="AB561" i="15"/>
  <c r="AA561" i="15"/>
  <c r="Z561" i="15"/>
  <c r="AD560" i="15"/>
  <c r="AC560" i="15"/>
  <c r="AB560" i="15"/>
  <c r="AA560" i="15"/>
  <c r="Z560" i="15"/>
  <c r="V560" i="15"/>
  <c r="N560" i="15"/>
  <c r="AD559" i="15"/>
  <c r="AC559" i="15"/>
  <c r="AB559" i="15"/>
  <c r="AA559" i="15"/>
  <c r="Z559" i="15"/>
  <c r="AD558" i="15"/>
  <c r="AC558" i="15"/>
  <c r="AB558" i="15"/>
  <c r="AA558" i="15"/>
  <c r="Z558" i="15"/>
  <c r="V558" i="15"/>
  <c r="N558" i="15"/>
  <c r="AD557" i="15"/>
  <c r="AC557" i="15"/>
  <c r="AB557" i="15"/>
  <c r="AA557" i="15"/>
  <c r="Z557" i="15"/>
  <c r="AD556" i="15"/>
  <c r="AC556" i="15"/>
  <c r="AB556" i="15"/>
  <c r="AA556" i="15"/>
  <c r="Z556" i="15"/>
  <c r="V556" i="15"/>
  <c r="N556" i="15"/>
  <c r="M556" i="15"/>
  <c r="AD555" i="15"/>
  <c r="AC555" i="15"/>
  <c r="AB555" i="15"/>
  <c r="AA555" i="15"/>
  <c r="Z555" i="15"/>
  <c r="V555" i="15"/>
  <c r="N555" i="15"/>
  <c r="M555" i="15"/>
  <c r="AD554" i="15"/>
  <c r="AC554" i="15"/>
  <c r="AB554" i="15"/>
  <c r="AA554" i="15"/>
  <c r="Z554" i="15"/>
  <c r="V554" i="15"/>
  <c r="N554" i="15"/>
  <c r="M554" i="15"/>
  <c r="AD553" i="15"/>
  <c r="AC553" i="15"/>
  <c r="AB553" i="15"/>
  <c r="AA553" i="15"/>
  <c r="Z553" i="15"/>
  <c r="AD552" i="15"/>
  <c r="AC552" i="15"/>
  <c r="AB552" i="15"/>
  <c r="AA552" i="15"/>
  <c r="Z552" i="15"/>
  <c r="AD551" i="15"/>
  <c r="AC551" i="15"/>
  <c r="AB551" i="15"/>
  <c r="AA551" i="15"/>
  <c r="Z551" i="15"/>
  <c r="AD550" i="15"/>
  <c r="AC550" i="15"/>
  <c r="AB550" i="15"/>
  <c r="AA550" i="15"/>
  <c r="Z550" i="15"/>
  <c r="V550" i="15"/>
  <c r="N550" i="15"/>
  <c r="K550" i="15"/>
  <c r="Q550" i="15"/>
  <c r="L550" i="15"/>
  <c r="J550" i="15"/>
  <c r="M550" i="15"/>
  <c r="AD549" i="15"/>
  <c r="AC549" i="15"/>
  <c r="AB549" i="15"/>
  <c r="AA549" i="15"/>
  <c r="Z549" i="15"/>
  <c r="V549" i="15"/>
  <c r="N549" i="15"/>
  <c r="K549" i="15"/>
  <c r="Q549" i="15"/>
  <c r="L549" i="15"/>
  <c r="J549" i="15"/>
  <c r="AD548" i="15"/>
  <c r="AC548" i="15"/>
  <c r="AB548" i="15"/>
  <c r="AA548" i="15"/>
  <c r="Z548" i="15"/>
  <c r="V548" i="15"/>
  <c r="N548" i="15"/>
  <c r="L548" i="15"/>
  <c r="K548" i="15"/>
  <c r="J548" i="15"/>
  <c r="M548" i="15"/>
  <c r="AD547" i="15"/>
  <c r="AC547" i="15"/>
  <c r="AB547" i="15"/>
  <c r="AA547" i="15"/>
  <c r="Z547" i="15"/>
  <c r="V547" i="15"/>
  <c r="N547" i="15"/>
  <c r="Q547" i="15"/>
  <c r="M547" i="15"/>
  <c r="AD546" i="15"/>
  <c r="AC546" i="15"/>
  <c r="AB546" i="15"/>
  <c r="AA546" i="15"/>
  <c r="Z546" i="15"/>
  <c r="V546" i="15"/>
  <c r="N546" i="15"/>
  <c r="R546" i="15"/>
  <c r="M546" i="15"/>
  <c r="AD545" i="15"/>
  <c r="AC545" i="15"/>
  <c r="AB545" i="15"/>
  <c r="AA545" i="15"/>
  <c r="Z545" i="15"/>
  <c r="AD544" i="15"/>
  <c r="AC544" i="15"/>
  <c r="AB544" i="15"/>
  <c r="AA544" i="15"/>
  <c r="Z544" i="15"/>
  <c r="V544" i="15"/>
  <c r="N544" i="15"/>
  <c r="P544" i="15"/>
  <c r="L544" i="15"/>
  <c r="M544" i="15"/>
  <c r="AD543" i="15"/>
  <c r="AC543" i="15"/>
  <c r="AB543" i="15"/>
  <c r="AA543" i="15"/>
  <c r="Z543" i="15"/>
  <c r="V543" i="15"/>
  <c r="N543" i="15"/>
  <c r="R543" i="15"/>
  <c r="K543" i="15"/>
  <c r="AD542" i="15"/>
  <c r="AC542" i="15"/>
  <c r="AB542" i="15"/>
  <c r="AA542" i="15"/>
  <c r="Z542" i="15"/>
  <c r="AD541" i="15"/>
  <c r="AC541" i="15"/>
  <c r="AB541" i="15"/>
  <c r="AA541" i="15"/>
  <c r="Z541" i="15"/>
  <c r="V541" i="15"/>
  <c r="AD540" i="15"/>
  <c r="AC540" i="15"/>
  <c r="AB540" i="15"/>
  <c r="AA540" i="15"/>
  <c r="Z540" i="15"/>
  <c r="AD539" i="15"/>
  <c r="AC539" i="15"/>
  <c r="AB539" i="15"/>
  <c r="AA539" i="15"/>
  <c r="Z539" i="15"/>
  <c r="V539" i="15"/>
  <c r="N539" i="15"/>
  <c r="P539" i="15"/>
  <c r="L539" i="15"/>
  <c r="M539" i="15"/>
  <c r="AD538" i="15"/>
  <c r="AC538" i="15"/>
  <c r="AB538" i="15"/>
  <c r="AA538" i="15"/>
  <c r="Z538" i="15"/>
  <c r="V538" i="15"/>
  <c r="N538" i="15"/>
  <c r="L538" i="15"/>
  <c r="M538" i="15"/>
  <c r="AD537" i="15"/>
  <c r="AC537" i="15"/>
  <c r="AB537" i="15"/>
  <c r="AA537" i="15"/>
  <c r="Z537" i="15"/>
  <c r="V537" i="15"/>
  <c r="N537" i="15"/>
  <c r="P537" i="15"/>
  <c r="L537" i="15"/>
  <c r="M537" i="15"/>
  <c r="AD536" i="15"/>
  <c r="AC536" i="15"/>
  <c r="AB536" i="15"/>
  <c r="AA536" i="15"/>
  <c r="Z536" i="15"/>
  <c r="V536" i="15"/>
  <c r="N536" i="15"/>
  <c r="L536" i="15"/>
  <c r="M536" i="15"/>
  <c r="AD535" i="15"/>
  <c r="AC535" i="15"/>
  <c r="AB535" i="15"/>
  <c r="AA535" i="15"/>
  <c r="Z535" i="15"/>
  <c r="V535" i="15"/>
  <c r="N535" i="15"/>
  <c r="P535" i="15"/>
  <c r="L535" i="15"/>
  <c r="M535" i="15"/>
  <c r="AD534" i="15"/>
  <c r="AC534" i="15"/>
  <c r="AB534" i="15"/>
  <c r="AA534" i="15"/>
  <c r="Z534" i="15"/>
  <c r="V534" i="15"/>
  <c r="N534" i="15"/>
  <c r="L534" i="15"/>
  <c r="R534" i="15"/>
  <c r="M534" i="15"/>
  <c r="AD533" i="15"/>
  <c r="AC533" i="15"/>
  <c r="AB533" i="15"/>
  <c r="AA533" i="15"/>
  <c r="Z533" i="15"/>
  <c r="V533" i="15"/>
  <c r="N533" i="15"/>
  <c r="M533" i="15"/>
  <c r="AD532" i="15"/>
  <c r="AC532" i="15"/>
  <c r="AB532" i="15"/>
  <c r="AA532" i="15"/>
  <c r="Z532" i="15"/>
  <c r="V532" i="15"/>
  <c r="N532" i="15"/>
  <c r="P532" i="15"/>
  <c r="L532" i="15"/>
  <c r="M532" i="15"/>
  <c r="AD531" i="15"/>
  <c r="AC531" i="15"/>
  <c r="AB531" i="15"/>
  <c r="AA531" i="15"/>
  <c r="Z531" i="15"/>
  <c r="V531" i="15"/>
  <c r="N531" i="15"/>
  <c r="R531" i="15"/>
  <c r="K531" i="15"/>
  <c r="AD530" i="15"/>
  <c r="AC530" i="15"/>
  <c r="AB530" i="15"/>
  <c r="AA530" i="15"/>
  <c r="Z530" i="15"/>
  <c r="V530" i="15"/>
  <c r="N530" i="15"/>
  <c r="P530" i="15"/>
  <c r="L530" i="15"/>
  <c r="K530" i="15"/>
  <c r="M530" i="15"/>
  <c r="AD529" i="15"/>
  <c r="AC529" i="15"/>
  <c r="AB529" i="15"/>
  <c r="AA529" i="15"/>
  <c r="Z529" i="15"/>
  <c r="V529" i="15"/>
  <c r="N529" i="15"/>
  <c r="O529" i="15"/>
  <c r="L529" i="15"/>
  <c r="M529" i="15"/>
  <c r="AD528" i="15"/>
  <c r="AC528" i="15"/>
  <c r="AB528" i="15"/>
  <c r="AA528" i="15"/>
  <c r="Z528" i="15"/>
  <c r="V528" i="15"/>
  <c r="N528" i="15"/>
  <c r="K528" i="15"/>
  <c r="Q528" i="15"/>
  <c r="M528" i="15"/>
  <c r="AD527" i="15"/>
  <c r="AC527" i="15"/>
  <c r="AB527" i="15"/>
  <c r="AA527" i="15"/>
  <c r="Z527" i="15"/>
  <c r="V527" i="15"/>
  <c r="N527" i="15"/>
  <c r="O527" i="15"/>
  <c r="AD526" i="15"/>
  <c r="AC526" i="15"/>
  <c r="AB526" i="15"/>
  <c r="AA526" i="15"/>
  <c r="Z526" i="15"/>
  <c r="V526" i="15"/>
  <c r="N526" i="15"/>
  <c r="R526" i="15"/>
  <c r="K526" i="15"/>
  <c r="K527" i="15"/>
  <c r="AD525" i="15"/>
  <c r="AC525" i="15"/>
  <c r="AB525" i="15"/>
  <c r="AA525" i="15"/>
  <c r="Z525" i="15"/>
  <c r="V525" i="15"/>
  <c r="N525" i="15"/>
  <c r="P525" i="15"/>
  <c r="K525" i="15"/>
  <c r="M525" i="15"/>
  <c r="AD524" i="15"/>
  <c r="AC524" i="15"/>
  <c r="AB524" i="15"/>
  <c r="AA524" i="15"/>
  <c r="Z524" i="15"/>
  <c r="V524" i="15"/>
  <c r="N524" i="15"/>
  <c r="L524" i="15"/>
  <c r="R524" i="15"/>
  <c r="K524" i="15"/>
  <c r="M524" i="15"/>
  <c r="AD523" i="15"/>
  <c r="AC523" i="15"/>
  <c r="AB523" i="15"/>
  <c r="AA523" i="15"/>
  <c r="Z523" i="15"/>
  <c r="V523" i="15"/>
  <c r="N523" i="15"/>
  <c r="M523" i="15"/>
  <c r="AD522" i="15"/>
  <c r="AC522" i="15"/>
  <c r="AB522" i="15"/>
  <c r="AA522" i="15"/>
  <c r="Z522" i="15"/>
  <c r="AD521" i="15"/>
  <c r="AC521" i="15"/>
  <c r="AB521" i="15"/>
  <c r="AA521" i="15"/>
  <c r="Z521" i="15"/>
  <c r="V521" i="15"/>
  <c r="N521" i="15"/>
  <c r="R521" i="15"/>
  <c r="K521" i="15"/>
  <c r="AD520" i="15"/>
  <c r="AC520" i="15"/>
  <c r="AB520" i="15"/>
  <c r="AA520" i="15"/>
  <c r="Z520" i="15"/>
  <c r="V520" i="15"/>
  <c r="N520" i="15"/>
  <c r="P520" i="15"/>
  <c r="K520" i="15"/>
  <c r="M520" i="15"/>
  <c r="AD519" i="15"/>
  <c r="AC519" i="15"/>
  <c r="AB519" i="15"/>
  <c r="AA519" i="15"/>
  <c r="Z519" i="15"/>
  <c r="V519" i="15"/>
  <c r="N519" i="15"/>
  <c r="R519" i="15"/>
  <c r="K519" i="15"/>
  <c r="J519" i="15"/>
  <c r="AD518" i="15"/>
  <c r="AC518" i="15"/>
  <c r="AB518" i="15"/>
  <c r="AA518" i="15"/>
  <c r="Z518" i="15"/>
  <c r="V518" i="15"/>
  <c r="N518" i="15"/>
  <c r="M518" i="15"/>
  <c r="AD517" i="15"/>
  <c r="AC517" i="15"/>
  <c r="AB517" i="15"/>
  <c r="AA517" i="15"/>
  <c r="Z517" i="15"/>
  <c r="V517" i="15"/>
  <c r="N517" i="15"/>
  <c r="M517" i="15"/>
  <c r="AD516" i="15"/>
  <c r="AC516" i="15"/>
  <c r="AB516" i="15"/>
  <c r="AA516" i="15"/>
  <c r="Z516" i="15"/>
  <c r="V516" i="15"/>
  <c r="N516" i="15"/>
  <c r="R516" i="15"/>
  <c r="M516" i="15"/>
  <c r="AD515" i="15"/>
  <c r="AC515" i="15"/>
  <c r="AB515" i="15"/>
  <c r="AA515" i="15"/>
  <c r="Z515" i="15"/>
  <c r="V515" i="15"/>
  <c r="N515" i="15"/>
  <c r="R515" i="15"/>
  <c r="M515" i="15"/>
  <c r="AD514" i="15"/>
  <c r="AC514" i="15"/>
  <c r="AB514" i="15"/>
  <c r="AA514" i="15"/>
  <c r="Z514" i="15"/>
  <c r="AD513" i="15"/>
  <c r="AC513" i="15"/>
  <c r="AB513" i="15"/>
  <c r="AA513" i="15"/>
  <c r="Z513" i="15"/>
  <c r="AD512" i="15"/>
  <c r="AC512" i="15"/>
  <c r="AB512" i="15"/>
  <c r="AA512" i="15"/>
  <c r="Z512" i="15"/>
  <c r="AD511" i="15"/>
  <c r="AC511" i="15"/>
  <c r="AB511" i="15"/>
  <c r="AA511" i="15"/>
  <c r="Z511" i="15"/>
  <c r="AD510" i="15"/>
  <c r="AC510" i="15"/>
  <c r="AB510" i="15"/>
  <c r="AA510" i="15"/>
  <c r="Z510" i="15"/>
  <c r="V510" i="15"/>
  <c r="N510" i="15"/>
  <c r="M510" i="15"/>
  <c r="AD509" i="15"/>
  <c r="AC509" i="15"/>
  <c r="AB509" i="15"/>
  <c r="AA509" i="15"/>
  <c r="Z509" i="15"/>
  <c r="V509" i="15"/>
  <c r="N509" i="15"/>
  <c r="J509" i="15"/>
  <c r="K509" i="15"/>
  <c r="L509" i="15"/>
  <c r="M509" i="15"/>
  <c r="AD508" i="15"/>
  <c r="AC508" i="15"/>
  <c r="AB508" i="15"/>
  <c r="AA508" i="15"/>
  <c r="Z508" i="15"/>
  <c r="V508" i="15"/>
  <c r="N508" i="15"/>
  <c r="J508" i="15"/>
  <c r="K508" i="15"/>
  <c r="L508" i="15"/>
  <c r="M508" i="15"/>
  <c r="AD507" i="15"/>
  <c r="AC507" i="15"/>
  <c r="AB507" i="15"/>
  <c r="AA507" i="15"/>
  <c r="Z507" i="15"/>
  <c r="V507" i="15"/>
  <c r="N507" i="15"/>
  <c r="M507" i="15"/>
  <c r="AD506" i="15"/>
  <c r="AC506" i="15"/>
  <c r="AB506" i="15"/>
  <c r="AA506" i="15"/>
  <c r="Z506" i="15"/>
  <c r="AD505" i="15"/>
  <c r="AC505" i="15"/>
  <c r="AB505" i="15"/>
  <c r="AA505" i="15"/>
  <c r="Z505" i="15"/>
  <c r="V505" i="15"/>
  <c r="N505" i="15"/>
  <c r="J505" i="15"/>
  <c r="P505" i="15"/>
  <c r="L505" i="15"/>
  <c r="K505" i="15"/>
  <c r="AD504" i="15"/>
  <c r="AC504" i="15"/>
  <c r="AB504" i="15"/>
  <c r="AA504" i="15"/>
  <c r="Z504" i="15"/>
  <c r="V504" i="15"/>
  <c r="N504" i="15"/>
  <c r="P504" i="15"/>
  <c r="L504" i="15"/>
  <c r="K504" i="15"/>
  <c r="M504" i="15"/>
  <c r="AD503" i="15"/>
  <c r="AC503" i="15"/>
  <c r="AB503" i="15"/>
  <c r="AA503" i="15"/>
  <c r="Z503" i="15"/>
  <c r="V503" i="15"/>
  <c r="N503" i="15"/>
  <c r="M503" i="15"/>
  <c r="AD502" i="15"/>
  <c r="AC502" i="15"/>
  <c r="AB502" i="15"/>
  <c r="AA502" i="15"/>
  <c r="Z502" i="15"/>
  <c r="V502" i="15"/>
  <c r="N502" i="15"/>
  <c r="L502" i="15"/>
  <c r="K502" i="15"/>
  <c r="J502" i="15"/>
  <c r="M502" i="15"/>
  <c r="AD501" i="15"/>
  <c r="AC501" i="15"/>
  <c r="AB501" i="15"/>
  <c r="AA501" i="15"/>
  <c r="Z501" i="15"/>
  <c r="V501" i="15"/>
  <c r="N501" i="15"/>
  <c r="L501" i="15"/>
  <c r="K501" i="15"/>
  <c r="J501" i="15"/>
  <c r="AD500" i="15"/>
  <c r="AC500" i="15"/>
  <c r="AB500" i="15"/>
  <c r="AA500" i="15"/>
  <c r="Z500" i="15"/>
  <c r="V500" i="15"/>
  <c r="N500" i="15"/>
  <c r="AD499" i="15"/>
  <c r="AC499" i="15"/>
  <c r="AB499" i="15"/>
  <c r="AA499" i="15"/>
  <c r="Z499" i="15"/>
  <c r="V499" i="15"/>
  <c r="N499" i="15"/>
  <c r="AD498" i="15"/>
  <c r="AC498" i="15"/>
  <c r="AB498" i="15"/>
  <c r="AA498" i="15"/>
  <c r="Z498" i="15"/>
  <c r="V498" i="15"/>
  <c r="N498" i="15"/>
  <c r="AD497" i="15"/>
  <c r="AC497" i="15"/>
  <c r="AB497" i="15"/>
  <c r="AA497" i="15"/>
  <c r="Z497" i="15"/>
  <c r="V497" i="15"/>
  <c r="N497" i="15"/>
  <c r="AD496" i="15"/>
  <c r="AC496" i="15"/>
  <c r="AB496" i="15"/>
  <c r="AA496" i="15"/>
  <c r="Z496" i="15"/>
  <c r="V496" i="15"/>
  <c r="N496" i="15"/>
  <c r="AD495" i="15"/>
  <c r="AC495" i="15"/>
  <c r="AB495" i="15"/>
  <c r="AA495" i="15"/>
  <c r="Z495" i="15"/>
  <c r="V495" i="15"/>
  <c r="N495" i="15"/>
  <c r="L495" i="15"/>
  <c r="K495" i="15"/>
  <c r="J495" i="15"/>
  <c r="M495" i="15"/>
  <c r="AD494" i="15"/>
  <c r="AC494" i="15"/>
  <c r="AB494" i="15"/>
  <c r="AA494" i="15"/>
  <c r="Z494" i="15"/>
  <c r="V494" i="15"/>
  <c r="N494" i="15"/>
  <c r="L494" i="15"/>
  <c r="K494" i="15"/>
  <c r="J494" i="15"/>
  <c r="AD493" i="15"/>
  <c r="AC493" i="15"/>
  <c r="AB493" i="15"/>
  <c r="AA493" i="15"/>
  <c r="Z493" i="15"/>
  <c r="V493" i="15"/>
  <c r="N493" i="15"/>
  <c r="L493" i="15"/>
  <c r="R493" i="15"/>
  <c r="K493" i="15"/>
  <c r="J493" i="15"/>
  <c r="AD492" i="15"/>
  <c r="AC492" i="15"/>
  <c r="AB492" i="15"/>
  <c r="AA492" i="15"/>
  <c r="Z492" i="15"/>
  <c r="V492" i="15"/>
  <c r="N492" i="15"/>
  <c r="K492" i="15"/>
  <c r="L492" i="15"/>
  <c r="M492" i="15"/>
  <c r="AD491" i="15"/>
  <c r="AC491" i="15"/>
  <c r="AB491" i="15"/>
  <c r="AA491" i="15"/>
  <c r="Z491" i="15"/>
  <c r="V491" i="15"/>
  <c r="N491" i="15"/>
  <c r="L491" i="15"/>
  <c r="K491" i="15"/>
  <c r="J491" i="15"/>
  <c r="AD490" i="15"/>
  <c r="AC490" i="15"/>
  <c r="AB490" i="15"/>
  <c r="AA490" i="15"/>
  <c r="Z490" i="15"/>
  <c r="V490" i="15"/>
  <c r="N490" i="15"/>
  <c r="L490" i="15"/>
  <c r="K490" i="15"/>
  <c r="J490" i="15"/>
  <c r="AD489" i="15"/>
  <c r="AC489" i="15"/>
  <c r="AB489" i="15"/>
  <c r="AA489" i="15"/>
  <c r="Z489" i="15"/>
  <c r="AD488" i="15"/>
  <c r="AC488" i="15"/>
  <c r="AB488" i="15"/>
  <c r="AA488" i="15"/>
  <c r="Z488" i="15"/>
  <c r="V488" i="15"/>
  <c r="N488" i="15"/>
  <c r="L488" i="15"/>
  <c r="K488" i="15"/>
  <c r="AD487" i="15"/>
  <c r="AC487" i="15"/>
  <c r="AB487" i="15"/>
  <c r="AA487" i="15"/>
  <c r="Z487" i="15"/>
  <c r="V487" i="15"/>
  <c r="N487" i="15"/>
  <c r="R487" i="15"/>
  <c r="K487" i="15"/>
  <c r="J487" i="15"/>
  <c r="M487" i="15"/>
  <c r="AD486" i="15"/>
  <c r="AC486" i="15"/>
  <c r="AB486" i="15"/>
  <c r="AA486" i="15"/>
  <c r="Z486" i="15"/>
  <c r="V486" i="15"/>
  <c r="N486" i="15"/>
  <c r="AD485" i="15"/>
  <c r="AC485" i="15"/>
  <c r="AB485" i="15"/>
  <c r="AA485" i="15"/>
  <c r="Z485" i="15"/>
  <c r="V485" i="15"/>
  <c r="N485" i="15"/>
  <c r="M485" i="15"/>
  <c r="AD484" i="15"/>
  <c r="AC484" i="15"/>
  <c r="AB484" i="15"/>
  <c r="AA484" i="15"/>
  <c r="Z484" i="15"/>
  <c r="V484" i="15"/>
  <c r="N484" i="15"/>
  <c r="AD483" i="15"/>
  <c r="AC483" i="15"/>
  <c r="AB483" i="15"/>
  <c r="AA483" i="15"/>
  <c r="Z483" i="15"/>
  <c r="V483" i="15"/>
  <c r="N483" i="15"/>
  <c r="AD482" i="15"/>
  <c r="AC482" i="15"/>
  <c r="AB482" i="15"/>
  <c r="AA482" i="15"/>
  <c r="Z482" i="15"/>
  <c r="V482" i="15"/>
  <c r="N482" i="15"/>
  <c r="J482" i="15"/>
  <c r="P482" i="15"/>
  <c r="L482" i="15"/>
  <c r="L483" i="15"/>
  <c r="K482" i="15"/>
  <c r="K483" i="15"/>
  <c r="J483" i="15"/>
  <c r="AD481" i="15"/>
  <c r="AC481" i="15"/>
  <c r="AB481" i="15"/>
  <c r="AA481" i="15"/>
  <c r="Z481" i="15"/>
  <c r="V481" i="15"/>
  <c r="N481" i="15"/>
  <c r="AD480" i="15"/>
  <c r="AC480" i="15"/>
  <c r="AB480" i="15"/>
  <c r="AA480" i="15"/>
  <c r="Z480" i="15"/>
  <c r="AD479" i="15"/>
  <c r="AC479" i="15"/>
  <c r="AB479" i="15"/>
  <c r="AA479" i="15"/>
  <c r="Z479" i="15"/>
  <c r="AD478" i="15"/>
  <c r="AC478" i="15"/>
  <c r="AB478" i="15"/>
  <c r="AA478" i="15"/>
  <c r="Z478" i="15"/>
  <c r="V478" i="15"/>
  <c r="N478" i="15"/>
  <c r="AD477" i="15"/>
  <c r="AC477" i="15"/>
  <c r="AB477" i="15"/>
  <c r="AA477" i="15"/>
  <c r="Z477" i="15"/>
  <c r="V477" i="15"/>
  <c r="N477" i="15"/>
  <c r="AD476" i="15"/>
  <c r="AC476" i="15"/>
  <c r="AB476" i="15"/>
  <c r="AA476" i="15"/>
  <c r="Z476" i="15"/>
  <c r="V476" i="15"/>
  <c r="N476" i="15"/>
  <c r="AD475" i="15"/>
  <c r="AC475" i="15"/>
  <c r="AB475" i="15"/>
  <c r="AA475" i="15"/>
  <c r="Z475" i="15"/>
  <c r="V475" i="15"/>
  <c r="N475" i="15"/>
  <c r="L475" i="15"/>
  <c r="R475" i="15"/>
  <c r="K475" i="15"/>
  <c r="J475" i="15"/>
  <c r="AD474" i="15"/>
  <c r="AC474" i="15"/>
  <c r="AB474" i="15"/>
  <c r="AA474" i="15"/>
  <c r="Z474" i="15"/>
  <c r="V474" i="15"/>
  <c r="N474" i="15"/>
  <c r="L474" i="15"/>
  <c r="R474" i="15"/>
  <c r="K474" i="15"/>
  <c r="J474" i="15"/>
  <c r="M474" i="15"/>
  <c r="AD473" i="15"/>
  <c r="AC473" i="15"/>
  <c r="AB473" i="15"/>
  <c r="AA473" i="15"/>
  <c r="Z473" i="15"/>
  <c r="V473" i="15"/>
  <c r="N473" i="15"/>
  <c r="AD472" i="15"/>
  <c r="AC472" i="15"/>
  <c r="AB472" i="15"/>
  <c r="AA472" i="15"/>
  <c r="Z472" i="15"/>
  <c r="AD471" i="15"/>
  <c r="AC471" i="15"/>
  <c r="AB471" i="15"/>
  <c r="AA471" i="15"/>
  <c r="Z471" i="15"/>
  <c r="V471" i="15"/>
  <c r="N471" i="15"/>
  <c r="Q471" i="15"/>
  <c r="M471" i="15"/>
  <c r="AD470" i="15"/>
  <c r="AC470" i="15"/>
  <c r="AB470" i="15"/>
  <c r="AA470" i="15"/>
  <c r="Z470" i="15"/>
  <c r="V470" i="15"/>
  <c r="N470" i="15"/>
  <c r="Q470" i="15"/>
  <c r="M470" i="15"/>
  <c r="AD469" i="15"/>
  <c r="AC469" i="15"/>
  <c r="AB469" i="15"/>
  <c r="AA469" i="15"/>
  <c r="Z469" i="15"/>
  <c r="V469" i="15"/>
  <c r="N469" i="15"/>
  <c r="J469" i="15"/>
  <c r="P469" i="15"/>
  <c r="L469" i="15"/>
  <c r="K469" i="15"/>
  <c r="AD468" i="15"/>
  <c r="AC468" i="15"/>
  <c r="AB468" i="15"/>
  <c r="AA468" i="15"/>
  <c r="Z468" i="15"/>
  <c r="V468" i="15"/>
  <c r="N468" i="15"/>
  <c r="P468" i="15"/>
  <c r="M468" i="15"/>
  <c r="AD467" i="15"/>
  <c r="AC467" i="15"/>
  <c r="AB467" i="15"/>
  <c r="AA467" i="15"/>
  <c r="Z467" i="15"/>
  <c r="V467" i="15"/>
  <c r="N467" i="15"/>
  <c r="M467" i="15"/>
  <c r="AD466" i="15"/>
  <c r="AC466" i="15"/>
  <c r="AB466" i="15"/>
  <c r="AA466" i="15"/>
  <c r="Z466" i="15"/>
  <c r="V466" i="15"/>
  <c r="N466" i="15"/>
  <c r="L466" i="15"/>
  <c r="R466" i="15"/>
  <c r="K466" i="15"/>
  <c r="J466" i="15"/>
  <c r="M466" i="15"/>
  <c r="AD465" i="15"/>
  <c r="AC465" i="15"/>
  <c r="AB465" i="15"/>
  <c r="AA465" i="15"/>
  <c r="Z465" i="15"/>
  <c r="V465" i="15"/>
  <c r="N465" i="15"/>
  <c r="R465" i="15"/>
  <c r="M465" i="15"/>
  <c r="AD464" i="15"/>
  <c r="AC464" i="15"/>
  <c r="AB464" i="15"/>
  <c r="AA464" i="15"/>
  <c r="Z464" i="15"/>
  <c r="V464" i="15"/>
  <c r="N464" i="15"/>
  <c r="R464" i="15"/>
  <c r="M464" i="15"/>
  <c r="AD463" i="15"/>
  <c r="AC463" i="15"/>
  <c r="AB463" i="15"/>
  <c r="AA463" i="15"/>
  <c r="Z463" i="15"/>
  <c r="V463" i="15"/>
  <c r="N463" i="15"/>
  <c r="L463" i="15"/>
  <c r="K463" i="15"/>
  <c r="J463" i="15"/>
  <c r="AD462" i="15"/>
  <c r="AC462" i="15"/>
  <c r="AB462" i="15"/>
  <c r="AA462" i="15"/>
  <c r="Z462" i="15"/>
  <c r="V462" i="15"/>
  <c r="N462" i="15"/>
  <c r="J462" i="15"/>
  <c r="P462" i="15"/>
  <c r="L462" i="15"/>
  <c r="K462" i="15"/>
  <c r="M462" i="15"/>
  <c r="AD461" i="15"/>
  <c r="AC461" i="15"/>
  <c r="AB461" i="15"/>
  <c r="AA461" i="15"/>
  <c r="Z461" i="15"/>
  <c r="V461" i="15"/>
  <c r="N461" i="15"/>
  <c r="Q461" i="15"/>
  <c r="AD460" i="15"/>
  <c r="AC460" i="15"/>
  <c r="AB460" i="15"/>
  <c r="AA460" i="15"/>
  <c r="Z460" i="15"/>
  <c r="V460" i="15"/>
  <c r="N460" i="15"/>
  <c r="Q460" i="15"/>
  <c r="AD459" i="15"/>
  <c r="AC459" i="15"/>
  <c r="AB459" i="15"/>
  <c r="AA459" i="15"/>
  <c r="Z459" i="15"/>
  <c r="AD458" i="15"/>
  <c r="AC458" i="15"/>
  <c r="AB458" i="15"/>
  <c r="AA458" i="15"/>
  <c r="Z458" i="15"/>
  <c r="V458" i="15"/>
  <c r="N458" i="15"/>
  <c r="Q458" i="15"/>
  <c r="M458" i="15"/>
  <c r="AD457" i="15"/>
  <c r="AC457" i="15"/>
  <c r="AB457" i="15"/>
  <c r="AA457" i="15"/>
  <c r="Z457" i="15"/>
  <c r="V457" i="15"/>
  <c r="N457" i="15"/>
  <c r="L457" i="15"/>
  <c r="K457" i="15"/>
  <c r="J457" i="15"/>
  <c r="AD456" i="15"/>
  <c r="AC456" i="15"/>
  <c r="AB456" i="15"/>
  <c r="AA456" i="15"/>
  <c r="Z456" i="15"/>
  <c r="V456" i="15"/>
  <c r="N456" i="15"/>
  <c r="Q456" i="15"/>
  <c r="AD455" i="15"/>
  <c r="AC455" i="15"/>
  <c r="AB455" i="15"/>
  <c r="AA455" i="15"/>
  <c r="Z455" i="15"/>
  <c r="V455" i="15"/>
  <c r="N455" i="15"/>
  <c r="L455" i="15"/>
  <c r="K455" i="15"/>
  <c r="J455" i="15"/>
  <c r="AD454" i="15"/>
  <c r="AC454" i="15"/>
  <c r="AB454" i="15"/>
  <c r="AA454" i="15"/>
  <c r="Z454" i="15"/>
  <c r="V454" i="15"/>
  <c r="N454" i="15"/>
  <c r="R454" i="15"/>
  <c r="M454" i="15"/>
  <c r="AD453" i="15"/>
  <c r="AC453" i="15"/>
  <c r="AB453" i="15"/>
  <c r="AA453" i="15"/>
  <c r="Z453" i="15"/>
  <c r="V453" i="15"/>
  <c r="N453" i="15"/>
  <c r="R453" i="15"/>
  <c r="M453" i="15"/>
  <c r="AD452" i="15"/>
  <c r="AC452" i="15"/>
  <c r="AB452" i="15"/>
  <c r="AA452" i="15"/>
  <c r="Z452" i="15"/>
  <c r="V452" i="15"/>
  <c r="N452" i="15"/>
  <c r="P452" i="15"/>
  <c r="M452" i="15"/>
  <c r="AD451" i="15"/>
  <c r="AC451" i="15"/>
  <c r="AB451" i="15"/>
  <c r="AA451" i="15"/>
  <c r="Z451" i="15"/>
  <c r="V451" i="15"/>
  <c r="N451" i="15"/>
  <c r="O451" i="15"/>
  <c r="L451" i="15"/>
  <c r="K451" i="15"/>
  <c r="J451" i="15"/>
  <c r="AD450" i="15"/>
  <c r="AC450" i="15"/>
  <c r="AB450" i="15"/>
  <c r="AA450" i="15"/>
  <c r="Z450" i="15"/>
  <c r="V450" i="15"/>
  <c r="N450" i="15"/>
  <c r="R450" i="15"/>
  <c r="M450" i="15"/>
  <c r="AD449" i="15"/>
  <c r="AC449" i="15"/>
  <c r="AB449" i="15"/>
  <c r="AA449" i="15"/>
  <c r="Z449" i="15"/>
  <c r="V449" i="15"/>
  <c r="N449" i="15"/>
  <c r="L449" i="15"/>
  <c r="R449" i="15"/>
  <c r="K449" i="15"/>
  <c r="J449" i="15"/>
  <c r="AD448" i="15"/>
  <c r="AC448" i="15"/>
  <c r="AB448" i="15"/>
  <c r="AA448" i="15"/>
  <c r="Z448" i="15"/>
  <c r="V448" i="15"/>
  <c r="N448" i="15"/>
  <c r="L448" i="15"/>
  <c r="R448" i="15"/>
  <c r="K448" i="15"/>
  <c r="J448" i="15"/>
  <c r="AD447" i="15"/>
  <c r="AC447" i="15"/>
  <c r="AB447" i="15"/>
  <c r="AA447" i="15"/>
  <c r="Z447" i="15"/>
  <c r="V447" i="15"/>
  <c r="N447" i="15"/>
  <c r="Q447" i="15"/>
  <c r="AD446" i="15"/>
  <c r="AC446" i="15"/>
  <c r="AB446" i="15"/>
  <c r="AA446" i="15"/>
  <c r="Z446" i="15"/>
  <c r="V446" i="15"/>
  <c r="N446" i="15"/>
  <c r="Q446" i="15"/>
  <c r="AD445" i="15"/>
  <c r="AC445" i="15"/>
  <c r="AB445" i="15"/>
  <c r="AA445" i="15"/>
  <c r="Z445" i="15"/>
  <c r="AD444" i="15"/>
  <c r="AC444" i="15"/>
  <c r="AB444" i="15"/>
  <c r="AA444" i="15"/>
  <c r="Z444" i="15"/>
  <c r="AD443" i="15"/>
  <c r="AC443" i="15"/>
  <c r="AB443" i="15"/>
  <c r="AA443" i="15"/>
  <c r="Z443" i="15"/>
  <c r="AD442" i="15"/>
  <c r="AC442" i="15"/>
  <c r="AB442" i="15"/>
  <c r="AA442" i="15"/>
  <c r="Z442" i="15"/>
  <c r="V442" i="15"/>
  <c r="N442" i="15"/>
  <c r="M442" i="15"/>
  <c r="AD441" i="15"/>
  <c r="AC441" i="15"/>
  <c r="AB441" i="15"/>
  <c r="AA441" i="15"/>
  <c r="Z441" i="15"/>
  <c r="V441" i="15"/>
  <c r="N441" i="15"/>
  <c r="K441" i="15"/>
  <c r="Q441" i="15"/>
  <c r="M441" i="15"/>
  <c r="AD440" i="15"/>
  <c r="AC440" i="15"/>
  <c r="AB440" i="15"/>
  <c r="AA440" i="15"/>
  <c r="Z440" i="15"/>
  <c r="V440" i="15"/>
  <c r="N440" i="15"/>
  <c r="R440" i="15"/>
  <c r="J440" i="15"/>
  <c r="M440" i="15"/>
  <c r="AD439" i="15"/>
  <c r="AC439" i="15"/>
  <c r="AB439" i="15"/>
  <c r="AA439" i="15"/>
  <c r="Z439" i="15"/>
  <c r="V439" i="15"/>
  <c r="N439" i="15"/>
  <c r="R439" i="15"/>
  <c r="J439" i="15"/>
  <c r="M439" i="15"/>
  <c r="AD438" i="15"/>
  <c r="AC438" i="15"/>
  <c r="AB438" i="15"/>
  <c r="AA438" i="15"/>
  <c r="Z438" i="15"/>
  <c r="AD437" i="15"/>
  <c r="AC437" i="15"/>
  <c r="AB437" i="15"/>
  <c r="AA437" i="15"/>
  <c r="Z437" i="15"/>
  <c r="V437" i="15"/>
  <c r="N437" i="15"/>
  <c r="M437" i="15"/>
  <c r="AD436" i="15"/>
  <c r="AC436" i="15"/>
  <c r="AB436" i="15"/>
  <c r="AA436" i="15"/>
  <c r="Z436" i="15"/>
  <c r="V436" i="15"/>
  <c r="N436" i="15"/>
  <c r="M436" i="15"/>
  <c r="AD435" i="15"/>
  <c r="AC435" i="15"/>
  <c r="AB435" i="15"/>
  <c r="AA435" i="15"/>
  <c r="Z435" i="15"/>
  <c r="V435" i="15"/>
  <c r="N435" i="15"/>
  <c r="J435" i="15"/>
  <c r="M435" i="15"/>
  <c r="AD434" i="15"/>
  <c r="AC434" i="15"/>
  <c r="AB434" i="15"/>
  <c r="AA434" i="15"/>
  <c r="Z434" i="15"/>
  <c r="AD433" i="15"/>
  <c r="AC433" i="15"/>
  <c r="AB433" i="15"/>
  <c r="AA433" i="15"/>
  <c r="Z433" i="15"/>
  <c r="V433" i="15"/>
  <c r="N433" i="15"/>
  <c r="M433" i="15"/>
  <c r="AD432" i="15"/>
  <c r="AC432" i="15"/>
  <c r="AB432" i="15"/>
  <c r="AA432" i="15"/>
  <c r="Z432" i="15"/>
  <c r="V432" i="15"/>
  <c r="N432" i="15"/>
  <c r="M432" i="15"/>
  <c r="AD431" i="15"/>
  <c r="AC431" i="15"/>
  <c r="AB431" i="15"/>
  <c r="AA431" i="15"/>
  <c r="Z431" i="15"/>
  <c r="V431" i="15"/>
  <c r="N431" i="15"/>
  <c r="M431" i="15"/>
  <c r="AD430" i="15"/>
  <c r="AC430" i="15"/>
  <c r="AB430" i="15"/>
  <c r="AA430" i="15"/>
  <c r="Z430" i="15"/>
  <c r="V430" i="15"/>
  <c r="N430" i="15"/>
  <c r="M430" i="15"/>
  <c r="AD429" i="15"/>
  <c r="AC429" i="15"/>
  <c r="AB429" i="15"/>
  <c r="AA429" i="15"/>
  <c r="Z429" i="15"/>
  <c r="V429" i="15"/>
  <c r="N429" i="15"/>
  <c r="AD428" i="15"/>
  <c r="AC428" i="15"/>
  <c r="AB428" i="15"/>
  <c r="AA428" i="15"/>
  <c r="Z428" i="15"/>
  <c r="AD427" i="15"/>
  <c r="AC427" i="15"/>
  <c r="AB427" i="15"/>
  <c r="AA427" i="15"/>
  <c r="Z427" i="15"/>
  <c r="AD426" i="15"/>
  <c r="AC426" i="15"/>
  <c r="AB426" i="15"/>
  <c r="AA426" i="15"/>
  <c r="Z426" i="15"/>
  <c r="V426" i="15"/>
  <c r="N426" i="15"/>
  <c r="AD425" i="15"/>
  <c r="AC425" i="15"/>
  <c r="AB425" i="15"/>
  <c r="AA425" i="15"/>
  <c r="Z425" i="15"/>
  <c r="V425" i="15"/>
  <c r="N425" i="15"/>
  <c r="AD424" i="15"/>
  <c r="AC424" i="15"/>
  <c r="AB424" i="15"/>
  <c r="AA424" i="15"/>
  <c r="Z424" i="15"/>
  <c r="V424" i="15"/>
  <c r="N424" i="15"/>
  <c r="L424" i="15"/>
  <c r="L426" i="15"/>
  <c r="K424" i="15"/>
  <c r="K426" i="15"/>
  <c r="J424" i="15"/>
  <c r="J426" i="15"/>
  <c r="AD423" i="15"/>
  <c r="AC423" i="15"/>
  <c r="AB423" i="15"/>
  <c r="AA423" i="15"/>
  <c r="Z423" i="15"/>
  <c r="V423" i="15"/>
  <c r="N423" i="15"/>
  <c r="M423" i="15"/>
  <c r="AD422" i="15"/>
  <c r="AC422" i="15"/>
  <c r="AB422" i="15"/>
  <c r="AA422" i="15"/>
  <c r="Z422" i="15"/>
  <c r="V422" i="15"/>
  <c r="N422" i="15"/>
  <c r="M422" i="15"/>
  <c r="AD421" i="15"/>
  <c r="AC421" i="15"/>
  <c r="AB421" i="15"/>
  <c r="AA421" i="15"/>
  <c r="Z421" i="15"/>
  <c r="AD420" i="15"/>
  <c r="AC420" i="15"/>
  <c r="AB420" i="15"/>
  <c r="AA420" i="15"/>
  <c r="Z420" i="15"/>
  <c r="V420" i="15"/>
  <c r="N420" i="15"/>
  <c r="O420" i="15"/>
  <c r="AD419" i="15"/>
  <c r="AC419" i="15"/>
  <c r="AB419" i="15"/>
  <c r="AA419" i="15"/>
  <c r="Z419" i="15"/>
  <c r="V419" i="15"/>
  <c r="N419" i="15"/>
  <c r="O419" i="15"/>
  <c r="AD418" i="15"/>
  <c r="AC418" i="15"/>
  <c r="AB418" i="15"/>
  <c r="AA418" i="15"/>
  <c r="Z418" i="15"/>
  <c r="V418" i="15"/>
  <c r="N418" i="15"/>
  <c r="O418" i="15"/>
  <c r="AD417" i="15"/>
  <c r="AC417" i="15"/>
  <c r="AB417" i="15"/>
  <c r="AA417" i="15"/>
  <c r="Z417" i="15"/>
  <c r="V417" i="15"/>
  <c r="N417" i="15"/>
  <c r="O417" i="15"/>
  <c r="AD416" i="15"/>
  <c r="AC416" i="15"/>
  <c r="AB416" i="15"/>
  <c r="AA416" i="15"/>
  <c r="Z416" i="15"/>
  <c r="V416" i="15"/>
  <c r="N416" i="15"/>
  <c r="L416" i="15"/>
  <c r="R416" i="15"/>
  <c r="K416" i="15"/>
  <c r="J416" i="15"/>
  <c r="M416" i="15"/>
  <c r="AD415" i="15"/>
  <c r="AC415" i="15"/>
  <c r="AB415" i="15"/>
  <c r="AA415" i="15"/>
  <c r="Z415" i="15"/>
  <c r="V415" i="15"/>
  <c r="N415" i="15"/>
  <c r="L415" i="15"/>
  <c r="L420" i="15"/>
  <c r="K415" i="15"/>
  <c r="K420" i="15"/>
  <c r="J415" i="15"/>
  <c r="J420" i="15"/>
  <c r="M420" i="15"/>
  <c r="AD414" i="15"/>
  <c r="AC414" i="15"/>
  <c r="AB414" i="15"/>
  <c r="AA414" i="15"/>
  <c r="Z414" i="15"/>
  <c r="V414" i="15"/>
  <c r="N414" i="15"/>
  <c r="AD413" i="15"/>
  <c r="AC413" i="15"/>
  <c r="AB413" i="15"/>
  <c r="AA413" i="15"/>
  <c r="Z413" i="15"/>
  <c r="V413" i="15"/>
  <c r="N413" i="15"/>
  <c r="M413" i="15"/>
  <c r="AD412" i="15"/>
  <c r="AC412" i="15"/>
  <c r="AB412" i="15"/>
  <c r="AA412" i="15"/>
  <c r="Z412" i="15"/>
  <c r="AD411" i="15"/>
  <c r="AC411" i="15"/>
  <c r="AB411" i="15"/>
  <c r="AA411" i="15"/>
  <c r="Z411" i="15"/>
  <c r="V411" i="15"/>
  <c r="N411" i="15"/>
  <c r="M411" i="15"/>
  <c r="AD410" i="15"/>
  <c r="AC410" i="15"/>
  <c r="AB410" i="15"/>
  <c r="AA410" i="15"/>
  <c r="Z410" i="15"/>
  <c r="V410" i="15"/>
  <c r="N410" i="15"/>
  <c r="M410" i="15"/>
  <c r="AD409" i="15"/>
  <c r="AC409" i="15"/>
  <c r="AB409" i="15"/>
  <c r="AA409" i="15"/>
  <c r="Z409" i="15"/>
  <c r="V409" i="15"/>
  <c r="N409" i="15"/>
  <c r="M409" i="15"/>
  <c r="AD408" i="15"/>
  <c r="AC408" i="15"/>
  <c r="AB408" i="15"/>
  <c r="AA408" i="15"/>
  <c r="Z408" i="15"/>
  <c r="AD407" i="15"/>
  <c r="AC407" i="15"/>
  <c r="AB407" i="15"/>
  <c r="AA407" i="15"/>
  <c r="Z407" i="15"/>
  <c r="V407" i="15"/>
  <c r="N407" i="15"/>
  <c r="K407" i="15"/>
  <c r="M407" i="15"/>
  <c r="AD406" i="15"/>
  <c r="AC406" i="15"/>
  <c r="AB406" i="15"/>
  <c r="AA406" i="15"/>
  <c r="Z406" i="15"/>
  <c r="AD405" i="15"/>
  <c r="AC405" i="15"/>
  <c r="AB405" i="15"/>
  <c r="AA405" i="15"/>
  <c r="Z405" i="15"/>
  <c r="AD404" i="15"/>
  <c r="AC404" i="15"/>
  <c r="AB404" i="15"/>
  <c r="AA404" i="15"/>
  <c r="Z404" i="15"/>
  <c r="AD403" i="15"/>
  <c r="AC403" i="15"/>
  <c r="AB403" i="15"/>
  <c r="AA403" i="15"/>
  <c r="Z403" i="15"/>
  <c r="V403" i="15"/>
  <c r="N403" i="15"/>
  <c r="O403" i="15"/>
  <c r="L403" i="15"/>
  <c r="K403" i="15"/>
  <c r="J403" i="15"/>
  <c r="AD402" i="15"/>
  <c r="AC402" i="15"/>
  <c r="AB402" i="15"/>
  <c r="AA402" i="15"/>
  <c r="Z402" i="15"/>
  <c r="V402" i="15"/>
  <c r="N402" i="15"/>
  <c r="L402" i="15"/>
  <c r="R402" i="15"/>
  <c r="K402" i="15"/>
  <c r="J402" i="15"/>
  <c r="AD401" i="15"/>
  <c r="AC401" i="15"/>
  <c r="AB401" i="15"/>
  <c r="AA401" i="15"/>
  <c r="Z401" i="15"/>
  <c r="V401" i="15"/>
  <c r="N401" i="15"/>
  <c r="L401" i="15"/>
  <c r="K401" i="15"/>
  <c r="J401" i="15"/>
  <c r="AD400" i="15"/>
  <c r="AC400" i="15"/>
  <c r="AB400" i="15"/>
  <c r="AA400" i="15"/>
  <c r="Z400" i="15"/>
  <c r="V400" i="15"/>
  <c r="N400" i="15"/>
  <c r="L400" i="15"/>
  <c r="K400" i="15"/>
  <c r="J400" i="15"/>
  <c r="AD399" i="15"/>
  <c r="AC399" i="15"/>
  <c r="AB399" i="15"/>
  <c r="AA399" i="15"/>
  <c r="Z399" i="15"/>
  <c r="V399" i="15"/>
  <c r="N399" i="15"/>
  <c r="L399" i="15"/>
  <c r="K399" i="15"/>
  <c r="J399" i="15"/>
  <c r="AD398" i="15"/>
  <c r="AC398" i="15"/>
  <c r="AB398" i="15"/>
  <c r="AA398" i="15"/>
  <c r="Z398" i="15"/>
  <c r="V398" i="15"/>
  <c r="N398" i="15"/>
  <c r="L398" i="15"/>
  <c r="R398" i="15"/>
  <c r="K398" i="15"/>
  <c r="J398" i="15"/>
  <c r="AD397" i="15"/>
  <c r="AC397" i="15"/>
  <c r="AB397" i="15"/>
  <c r="AA397" i="15"/>
  <c r="Z397" i="15"/>
  <c r="V397" i="15"/>
  <c r="N397" i="15"/>
  <c r="L397" i="15"/>
  <c r="K397" i="15"/>
  <c r="J397" i="15"/>
  <c r="AD396" i="15"/>
  <c r="AC396" i="15"/>
  <c r="AB396" i="15"/>
  <c r="AA396" i="15"/>
  <c r="Z396" i="15"/>
  <c r="V396" i="15"/>
  <c r="N396" i="15"/>
  <c r="M396" i="15"/>
  <c r="AD395" i="15"/>
  <c r="AC395" i="15"/>
  <c r="AB395" i="15"/>
  <c r="AA395" i="15"/>
  <c r="Z395" i="15"/>
  <c r="V395" i="15"/>
  <c r="N395" i="15"/>
  <c r="M395" i="15"/>
  <c r="AD394" i="15"/>
  <c r="AC394" i="15"/>
  <c r="AB394" i="15"/>
  <c r="AA394" i="15"/>
  <c r="Z394" i="15"/>
  <c r="V394" i="15"/>
  <c r="N394" i="15"/>
  <c r="R394" i="15"/>
  <c r="M394" i="15"/>
  <c r="AD393" i="15"/>
  <c r="AC393" i="15"/>
  <c r="AB393" i="15"/>
  <c r="AA393" i="15"/>
  <c r="Z393" i="15"/>
  <c r="AD392" i="15"/>
  <c r="AC392" i="15"/>
  <c r="AB392" i="15"/>
  <c r="AA392" i="15"/>
  <c r="Z392" i="15"/>
  <c r="V392" i="15"/>
  <c r="N392" i="15"/>
  <c r="L392" i="15"/>
  <c r="K392" i="15"/>
  <c r="J392" i="15"/>
  <c r="AD391" i="15"/>
  <c r="AC391" i="15"/>
  <c r="AB391" i="15"/>
  <c r="AA391" i="15"/>
  <c r="Z391" i="15"/>
  <c r="V391" i="15"/>
  <c r="N391" i="15"/>
  <c r="L391" i="15"/>
  <c r="R391" i="15"/>
  <c r="K391" i="15"/>
  <c r="M391" i="15"/>
  <c r="AD390" i="15"/>
  <c r="AC390" i="15"/>
  <c r="AB390" i="15"/>
  <c r="AA390" i="15"/>
  <c r="Z390" i="15"/>
  <c r="V390" i="15"/>
  <c r="N390" i="15"/>
  <c r="R390" i="15"/>
  <c r="K390" i="15"/>
  <c r="J390" i="15"/>
  <c r="AD389" i="15"/>
  <c r="AC389" i="15"/>
  <c r="AB389" i="15"/>
  <c r="AA389" i="15"/>
  <c r="Z389" i="15"/>
  <c r="V389" i="15"/>
  <c r="N389" i="15"/>
  <c r="R389" i="15"/>
  <c r="K389" i="15"/>
  <c r="J389" i="15"/>
  <c r="AD388" i="15"/>
  <c r="AC388" i="15"/>
  <c r="AB388" i="15"/>
  <c r="AA388" i="15"/>
  <c r="Z388" i="15"/>
  <c r="V388" i="15"/>
  <c r="N388" i="15"/>
  <c r="K388" i="15"/>
  <c r="J388" i="15"/>
  <c r="M388" i="15"/>
  <c r="AD387" i="15"/>
  <c r="AC387" i="15"/>
  <c r="AB387" i="15"/>
  <c r="AA387" i="15"/>
  <c r="Z387" i="15"/>
  <c r="V387" i="15"/>
  <c r="N387" i="15"/>
  <c r="R387" i="15"/>
  <c r="K387" i="15"/>
  <c r="M387" i="15"/>
  <c r="AD386" i="15"/>
  <c r="AC386" i="15"/>
  <c r="AB386" i="15"/>
  <c r="AA386" i="15"/>
  <c r="Z386" i="15"/>
  <c r="AD385" i="15"/>
  <c r="AC385" i="15"/>
  <c r="AB385" i="15"/>
  <c r="AA385" i="15"/>
  <c r="Z385" i="15"/>
  <c r="V385" i="15"/>
  <c r="N385" i="15"/>
  <c r="L385" i="15"/>
  <c r="R385" i="15"/>
  <c r="K385" i="15"/>
  <c r="J385" i="15"/>
  <c r="AD384" i="15"/>
  <c r="AC384" i="15"/>
  <c r="AB384" i="15"/>
  <c r="AA384" i="15"/>
  <c r="Z384" i="15"/>
  <c r="V384" i="15"/>
  <c r="N384" i="15"/>
  <c r="L384" i="15"/>
  <c r="K384" i="15"/>
  <c r="J384" i="15"/>
  <c r="AD383" i="15"/>
  <c r="AC383" i="15"/>
  <c r="AB383" i="15"/>
  <c r="AA383" i="15"/>
  <c r="Z383" i="15"/>
  <c r="V383" i="15"/>
  <c r="N383" i="15"/>
  <c r="L383" i="15"/>
  <c r="K383" i="15"/>
  <c r="M383" i="15"/>
  <c r="AD382" i="15"/>
  <c r="AC382" i="15"/>
  <c r="AB382" i="15"/>
  <c r="AA382" i="15"/>
  <c r="Z382" i="15"/>
  <c r="V382" i="15"/>
  <c r="N382" i="15"/>
  <c r="R382" i="15"/>
  <c r="J382" i="15"/>
  <c r="M382" i="15"/>
  <c r="AD381" i="15"/>
  <c r="AC381" i="15"/>
  <c r="AB381" i="15"/>
  <c r="AA381" i="15"/>
  <c r="Z381" i="15"/>
  <c r="V381" i="15"/>
  <c r="N381" i="15"/>
  <c r="R381" i="15"/>
  <c r="J381" i="15"/>
  <c r="M381" i="15"/>
  <c r="AD380" i="15"/>
  <c r="AC380" i="15"/>
  <c r="AB380" i="15"/>
  <c r="AA380" i="15"/>
  <c r="Z380" i="15"/>
  <c r="V380" i="15"/>
  <c r="N380" i="15"/>
  <c r="R380" i="15"/>
  <c r="J380" i="15"/>
  <c r="M380" i="15"/>
  <c r="AD379" i="15"/>
  <c r="AC379" i="15"/>
  <c r="AB379" i="15"/>
  <c r="AA379" i="15"/>
  <c r="Z379" i="15"/>
  <c r="V379" i="15"/>
  <c r="N379" i="15"/>
  <c r="R379" i="15"/>
  <c r="M379" i="15"/>
  <c r="AD378" i="15"/>
  <c r="AC378" i="15"/>
  <c r="AB378" i="15"/>
  <c r="AA378" i="15"/>
  <c r="Z378" i="15"/>
  <c r="V378" i="15"/>
  <c r="N378" i="15"/>
  <c r="R378" i="15"/>
  <c r="J378" i="15"/>
  <c r="M378" i="15"/>
  <c r="AD377" i="15"/>
  <c r="AC377" i="15"/>
  <c r="AB377" i="15"/>
  <c r="AA377" i="15"/>
  <c r="Z377" i="15"/>
  <c r="V377" i="15"/>
  <c r="N377" i="15"/>
  <c r="R377" i="15"/>
  <c r="J377" i="15"/>
  <c r="M377" i="15"/>
  <c r="AD376" i="15"/>
  <c r="AC376" i="15"/>
  <c r="AB376" i="15"/>
  <c r="AA376" i="15"/>
  <c r="Z376" i="15"/>
  <c r="V376" i="15"/>
  <c r="N376" i="15"/>
  <c r="J376" i="15"/>
  <c r="M376" i="15"/>
  <c r="AD375" i="15"/>
  <c r="AC375" i="15"/>
  <c r="AB375" i="15"/>
  <c r="AA375" i="15"/>
  <c r="Z375" i="15"/>
  <c r="V375" i="15"/>
  <c r="N375" i="15"/>
  <c r="Q375" i="15"/>
  <c r="M375" i="15"/>
  <c r="AD374" i="15"/>
  <c r="AC374" i="15"/>
  <c r="AB374" i="15"/>
  <c r="AA374" i="15"/>
  <c r="Z374" i="15"/>
  <c r="V374" i="15"/>
  <c r="N374" i="15"/>
  <c r="R374" i="15"/>
  <c r="M374" i="15"/>
  <c r="AD373" i="15"/>
  <c r="AC373" i="15"/>
  <c r="AB373" i="15"/>
  <c r="AA373" i="15"/>
  <c r="Z373" i="15"/>
  <c r="AD372" i="15"/>
  <c r="AC372" i="15"/>
  <c r="AB372" i="15"/>
  <c r="AA372" i="15"/>
  <c r="Z372" i="15"/>
  <c r="AD371" i="15"/>
  <c r="AC371" i="15"/>
  <c r="AB371" i="15"/>
  <c r="AA371" i="15"/>
  <c r="Z371" i="15"/>
  <c r="V371" i="15"/>
  <c r="N371" i="15"/>
  <c r="L371" i="15"/>
  <c r="J371" i="15"/>
  <c r="AD370" i="15"/>
  <c r="AC370" i="15"/>
  <c r="AB370" i="15"/>
  <c r="AA370" i="15"/>
  <c r="Z370" i="15"/>
  <c r="V370" i="15"/>
  <c r="N370" i="15"/>
  <c r="L370" i="15"/>
  <c r="J370" i="15"/>
  <c r="AD369" i="15"/>
  <c r="AC369" i="15"/>
  <c r="AB369" i="15"/>
  <c r="AA369" i="15"/>
  <c r="Z369" i="15"/>
  <c r="V369" i="15"/>
  <c r="N369" i="15"/>
  <c r="L369" i="15"/>
  <c r="K369" i="15"/>
  <c r="J369" i="15"/>
  <c r="AD368" i="15"/>
  <c r="AC368" i="15"/>
  <c r="AB368" i="15"/>
  <c r="AA368" i="15"/>
  <c r="Z368" i="15"/>
  <c r="V368" i="15"/>
  <c r="N368" i="15"/>
  <c r="L368" i="15"/>
  <c r="K368" i="15"/>
  <c r="J368" i="15"/>
  <c r="AD367" i="15"/>
  <c r="AC367" i="15"/>
  <c r="AB367" i="15"/>
  <c r="AA367" i="15"/>
  <c r="Z367" i="15"/>
  <c r="V367" i="15"/>
  <c r="N367" i="15"/>
  <c r="AD366" i="15"/>
  <c r="AC366" i="15"/>
  <c r="AB366" i="15"/>
  <c r="AA366" i="15"/>
  <c r="Z366" i="15"/>
  <c r="V366" i="15"/>
  <c r="N366" i="15"/>
  <c r="J366" i="15"/>
  <c r="L366" i="15"/>
  <c r="M366" i="15"/>
  <c r="AD365" i="15"/>
  <c r="AC365" i="15"/>
  <c r="AB365" i="15"/>
  <c r="AA365" i="15"/>
  <c r="Z365" i="15"/>
  <c r="V365" i="15"/>
  <c r="N365" i="15"/>
  <c r="L365" i="15"/>
  <c r="J365" i="15"/>
  <c r="AD364" i="15"/>
  <c r="AC364" i="15"/>
  <c r="AB364" i="15"/>
  <c r="AA364" i="15"/>
  <c r="Z364" i="15"/>
  <c r="V364" i="15"/>
  <c r="N364" i="15"/>
  <c r="AD363" i="15"/>
  <c r="AC363" i="15"/>
  <c r="AB363" i="15"/>
  <c r="AA363" i="15"/>
  <c r="Z363" i="15"/>
  <c r="AD362" i="15"/>
  <c r="AC362" i="15"/>
  <c r="AB362" i="15"/>
  <c r="AA362" i="15"/>
  <c r="Z362" i="15"/>
  <c r="V362" i="15"/>
  <c r="N362" i="15"/>
  <c r="Q362" i="15"/>
  <c r="M362" i="15"/>
  <c r="AD361" i="15"/>
  <c r="AC361" i="15"/>
  <c r="AB361" i="15"/>
  <c r="AA361" i="15"/>
  <c r="Z361" i="15"/>
  <c r="V361" i="15"/>
  <c r="N361" i="15"/>
  <c r="Q361" i="15"/>
  <c r="M361" i="15"/>
  <c r="AD360" i="15"/>
  <c r="AC360" i="15"/>
  <c r="AB360" i="15"/>
  <c r="AA360" i="15"/>
  <c r="Z360" i="15"/>
  <c r="V360" i="15"/>
  <c r="N360" i="15"/>
  <c r="Q360" i="15"/>
  <c r="M360" i="15"/>
  <c r="AD359" i="15"/>
  <c r="AC359" i="15"/>
  <c r="AB359" i="15"/>
  <c r="AA359" i="15"/>
  <c r="Z359" i="15"/>
  <c r="V359" i="15"/>
  <c r="N359" i="15"/>
  <c r="Q359" i="15"/>
  <c r="M359" i="15"/>
  <c r="AD358" i="15"/>
  <c r="AC358" i="15"/>
  <c r="AB358" i="15"/>
  <c r="AA358" i="15"/>
  <c r="Z358" i="15"/>
  <c r="V358" i="15"/>
  <c r="N358" i="15"/>
  <c r="R358" i="15"/>
  <c r="J358" i="15"/>
  <c r="M358" i="15"/>
  <c r="AD357" i="15"/>
  <c r="AC357" i="15"/>
  <c r="AB357" i="15"/>
  <c r="AA357" i="15"/>
  <c r="Z357" i="15"/>
  <c r="V357" i="15"/>
  <c r="N357" i="15"/>
  <c r="R357" i="15"/>
  <c r="K357" i="15"/>
  <c r="M357" i="15"/>
  <c r="AD356" i="15"/>
  <c r="AC356" i="15"/>
  <c r="AB356" i="15"/>
  <c r="AA356" i="15"/>
  <c r="Z356" i="15"/>
  <c r="AD355" i="15"/>
  <c r="AC355" i="15"/>
  <c r="AB355" i="15"/>
  <c r="AA355" i="15"/>
  <c r="Z355" i="15"/>
  <c r="AD354" i="15"/>
  <c r="AC354" i="15"/>
  <c r="AB354" i="15"/>
  <c r="AA354" i="15"/>
  <c r="Z354" i="15"/>
  <c r="V354" i="15"/>
  <c r="N354" i="15"/>
  <c r="Q354" i="15"/>
  <c r="M354" i="15"/>
  <c r="AD353" i="15"/>
  <c r="AC353" i="15"/>
  <c r="AB353" i="15"/>
  <c r="AA353" i="15"/>
  <c r="Z353" i="15"/>
  <c r="V353" i="15"/>
  <c r="N353" i="15"/>
  <c r="Q353" i="15"/>
  <c r="AD352" i="15"/>
  <c r="AC352" i="15"/>
  <c r="AB352" i="15"/>
  <c r="AA352" i="15"/>
  <c r="Z352" i="15"/>
  <c r="V352" i="15"/>
  <c r="N352" i="15"/>
  <c r="L352" i="15"/>
  <c r="R352" i="15"/>
  <c r="K352" i="15"/>
  <c r="J352" i="15"/>
  <c r="AD351" i="15"/>
  <c r="AC351" i="15"/>
  <c r="AB351" i="15"/>
  <c r="AA351" i="15"/>
  <c r="Z351" i="15"/>
  <c r="V351" i="15"/>
  <c r="N351" i="15"/>
  <c r="L351" i="15"/>
  <c r="R351" i="15"/>
  <c r="K351" i="15"/>
  <c r="J351" i="15"/>
  <c r="AD350" i="15"/>
  <c r="AC350" i="15"/>
  <c r="AB350" i="15"/>
  <c r="AA350" i="15"/>
  <c r="Z350" i="15"/>
  <c r="V350" i="15"/>
  <c r="N350" i="15"/>
  <c r="Q350" i="15"/>
  <c r="M350" i="15"/>
  <c r="AD349" i="15"/>
  <c r="AC349" i="15"/>
  <c r="AB349" i="15"/>
  <c r="AA349" i="15"/>
  <c r="Z349" i="15"/>
  <c r="V349" i="15"/>
  <c r="N349" i="15"/>
  <c r="Q349" i="15"/>
  <c r="M349" i="15"/>
  <c r="AD348" i="15"/>
  <c r="AC348" i="15"/>
  <c r="AB348" i="15"/>
  <c r="AA348" i="15"/>
  <c r="Z348" i="15"/>
  <c r="V348" i="15"/>
  <c r="N348" i="15"/>
  <c r="Q348" i="15"/>
  <c r="M348" i="15"/>
  <c r="AD347" i="15"/>
  <c r="AC347" i="15"/>
  <c r="AB347" i="15"/>
  <c r="AA347" i="15"/>
  <c r="Z347" i="15"/>
  <c r="V347" i="15"/>
  <c r="N347" i="15"/>
  <c r="L347" i="15"/>
  <c r="R347" i="15"/>
  <c r="K347" i="15"/>
  <c r="J347" i="15"/>
  <c r="AD346" i="15"/>
  <c r="AC346" i="15"/>
  <c r="AB346" i="15"/>
  <c r="AA346" i="15"/>
  <c r="Z346" i="15"/>
  <c r="V346" i="15"/>
  <c r="N346" i="15"/>
  <c r="K346" i="15"/>
  <c r="L346" i="15"/>
  <c r="M346" i="15"/>
  <c r="AD345" i="15"/>
  <c r="AC345" i="15"/>
  <c r="AB345" i="15"/>
  <c r="AA345" i="15"/>
  <c r="Z345" i="15"/>
  <c r="V345" i="15"/>
  <c r="N345" i="15"/>
  <c r="Q345" i="15"/>
  <c r="M345" i="15"/>
  <c r="AD344" i="15"/>
  <c r="AC344" i="15"/>
  <c r="AB344" i="15"/>
  <c r="AA344" i="15"/>
  <c r="Z344" i="15"/>
  <c r="AD343" i="15"/>
  <c r="AC343" i="15"/>
  <c r="AB343" i="15"/>
  <c r="AA343" i="15"/>
  <c r="Z343" i="15"/>
  <c r="AD342" i="15"/>
  <c r="AC342" i="15"/>
  <c r="AB342" i="15"/>
  <c r="AA342" i="15"/>
  <c r="Z342" i="15"/>
  <c r="V342" i="15"/>
  <c r="N342" i="15"/>
  <c r="Q342" i="15"/>
  <c r="M342" i="15"/>
  <c r="AD341" i="15"/>
  <c r="AC341" i="15"/>
  <c r="AB341" i="15"/>
  <c r="AA341" i="15"/>
  <c r="Z341" i="15"/>
  <c r="V341" i="15"/>
  <c r="N341" i="15"/>
  <c r="L341" i="15"/>
  <c r="R341" i="15"/>
  <c r="K341" i="15"/>
  <c r="J341" i="15"/>
  <c r="AD340" i="15"/>
  <c r="AC340" i="15"/>
  <c r="AB340" i="15"/>
  <c r="AA340" i="15"/>
  <c r="Z340" i="15"/>
  <c r="V340" i="15"/>
  <c r="N340" i="15"/>
  <c r="L340" i="15"/>
  <c r="K340" i="15"/>
  <c r="J340" i="15"/>
  <c r="AD339" i="15"/>
  <c r="AC339" i="15"/>
  <c r="AB339" i="15"/>
  <c r="AA339" i="15"/>
  <c r="Z339" i="15"/>
  <c r="V339" i="15"/>
  <c r="N339" i="15"/>
  <c r="P339" i="15"/>
  <c r="L339" i="15"/>
  <c r="K339" i="15"/>
  <c r="M339" i="15"/>
  <c r="AD338" i="15"/>
  <c r="AC338" i="15"/>
  <c r="AB338" i="15"/>
  <c r="AA338" i="15"/>
  <c r="Z338" i="15"/>
  <c r="V338" i="15"/>
  <c r="N338" i="15"/>
  <c r="M338" i="15"/>
  <c r="AD337" i="15"/>
  <c r="AC337" i="15"/>
  <c r="AB337" i="15"/>
  <c r="AA337" i="15"/>
  <c r="Z337" i="15"/>
  <c r="V337" i="15"/>
  <c r="N337" i="15"/>
  <c r="AD336" i="15"/>
  <c r="AC336" i="15"/>
  <c r="AB336" i="15"/>
  <c r="AA336" i="15"/>
  <c r="Z336" i="15"/>
  <c r="V336" i="15"/>
  <c r="N336" i="15"/>
  <c r="M336" i="15"/>
  <c r="AD335" i="15"/>
  <c r="AC335" i="15"/>
  <c r="AB335" i="15"/>
  <c r="AA335" i="15"/>
  <c r="Z335" i="15"/>
  <c r="V335" i="15"/>
  <c r="N335" i="15"/>
  <c r="P335" i="15"/>
  <c r="M335" i="15"/>
  <c r="AD334" i="15"/>
  <c r="AC334" i="15"/>
  <c r="AB334" i="15"/>
  <c r="AA334" i="15"/>
  <c r="Z334" i="15"/>
  <c r="V334" i="15"/>
  <c r="N334" i="15"/>
  <c r="Q334" i="15"/>
  <c r="M334" i="15"/>
  <c r="AD333" i="15"/>
  <c r="AC333" i="15"/>
  <c r="AB333" i="15"/>
  <c r="AA333" i="15"/>
  <c r="Z333" i="15"/>
  <c r="V333" i="15"/>
  <c r="N333" i="15"/>
  <c r="O333" i="15"/>
  <c r="K333" i="15"/>
  <c r="M333" i="15"/>
  <c r="AD332" i="15"/>
  <c r="AC332" i="15"/>
  <c r="AB332" i="15"/>
  <c r="AA332" i="15"/>
  <c r="Z332" i="15"/>
  <c r="V332" i="15"/>
  <c r="N332" i="15"/>
  <c r="M332" i="15"/>
  <c r="AD331" i="15"/>
  <c r="AC331" i="15"/>
  <c r="AB331" i="15"/>
  <c r="AA331" i="15"/>
  <c r="Z331" i="15"/>
  <c r="AD330" i="15"/>
  <c r="AC330" i="15"/>
  <c r="AB330" i="15"/>
  <c r="AA330" i="15"/>
  <c r="Z330" i="15"/>
  <c r="V330" i="15"/>
  <c r="N330" i="15"/>
  <c r="M330" i="15"/>
  <c r="AD329" i="15"/>
  <c r="AC329" i="15"/>
  <c r="AB329" i="15"/>
  <c r="AA329" i="15"/>
  <c r="Z329" i="15"/>
  <c r="V329" i="15"/>
  <c r="N329" i="15"/>
  <c r="M329" i="15"/>
  <c r="AD328" i="15"/>
  <c r="AC328" i="15"/>
  <c r="AB328" i="15"/>
  <c r="AA328" i="15"/>
  <c r="Z328" i="15"/>
  <c r="AD327" i="15"/>
  <c r="AC327" i="15"/>
  <c r="AB327" i="15"/>
  <c r="AA327" i="15"/>
  <c r="Z327" i="15"/>
  <c r="AD326" i="15"/>
  <c r="AC326" i="15"/>
  <c r="AB326" i="15"/>
  <c r="AA326" i="15"/>
  <c r="Z326" i="15"/>
  <c r="V326" i="15"/>
  <c r="N326" i="15"/>
  <c r="M326" i="15"/>
  <c r="AD325" i="15"/>
  <c r="AC325" i="15"/>
  <c r="AB325" i="15"/>
  <c r="AA325" i="15"/>
  <c r="Z325" i="15"/>
  <c r="V325" i="15"/>
  <c r="N325" i="15"/>
  <c r="AD324" i="15"/>
  <c r="AC324" i="15"/>
  <c r="AB324" i="15"/>
  <c r="AA324" i="15"/>
  <c r="Z324" i="15"/>
  <c r="V324" i="15"/>
  <c r="N324" i="15"/>
  <c r="Q324" i="15"/>
  <c r="M324" i="15"/>
  <c r="AD323" i="15"/>
  <c r="AC323" i="15"/>
  <c r="AB323" i="15"/>
  <c r="AA323" i="15"/>
  <c r="Z323" i="15"/>
  <c r="V323" i="15"/>
  <c r="N323" i="15"/>
  <c r="Q323" i="15"/>
  <c r="M323" i="15"/>
  <c r="AD322" i="15"/>
  <c r="AC322" i="15"/>
  <c r="AB322" i="15"/>
  <c r="AA322" i="15"/>
  <c r="Z322" i="15"/>
  <c r="V322" i="15"/>
  <c r="N322" i="15"/>
  <c r="Q322" i="15"/>
  <c r="M322" i="15"/>
  <c r="AD321" i="15"/>
  <c r="AC321" i="15"/>
  <c r="AB321" i="15"/>
  <c r="AA321" i="15"/>
  <c r="Z321" i="15"/>
  <c r="AD320" i="15"/>
  <c r="AC320" i="15"/>
  <c r="AB320" i="15"/>
  <c r="AA320" i="15"/>
  <c r="Z320" i="15"/>
  <c r="V320" i="15"/>
  <c r="N320" i="15"/>
  <c r="Q320" i="15"/>
  <c r="M320" i="15"/>
  <c r="AD319" i="15"/>
  <c r="AC319" i="15"/>
  <c r="AB319" i="15"/>
  <c r="AA319" i="15"/>
  <c r="Z319" i="15"/>
  <c r="V319" i="15"/>
  <c r="N319" i="15"/>
  <c r="P319" i="15"/>
  <c r="K319" i="15"/>
  <c r="M319" i="15"/>
  <c r="AD318" i="15"/>
  <c r="AC318" i="15"/>
  <c r="AB318" i="15"/>
  <c r="AA318" i="15"/>
  <c r="Z318" i="15"/>
  <c r="V318" i="15"/>
  <c r="N318" i="15"/>
  <c r="R318" i="15"/>
  <c r="J318" i="15"/>
  <c r="M318" i="15"/>
  <c r="AD317" i="15"/>
  <c r="AC317" i="15"/>
  <c r="AB317" i="15"/>
  <c r="AA317" i="15"/>
  <c r="Z317" i="15"/>
  <c r="V317" i="15"/>
  <c r="N317" i="15"/>
  <c r="J317" i="15"/>
  <c r="M317" i="15"/>
  <c r="AD316" i="15"/>
  <c r="AC316" i="15"/>
  <c r="AB316" i="15"/>
  <c r="AA316" i="15"/>
  <c r="Z316" i="15"/>
  <c r="AD315" i="15"/>
  <c r="AC315" i="15"/>
  <c r="AB315" i="15"/>
  <c r="AA315" i="15"/>
  <c r="Z315" i="15"/>
  <c r="V315" i="15"/>
  <c r="N315" i="15"/>
  <c r="M315" i="15"/>
  <c r="AD314" i="15"/>
  <c r="AC314" i="15"/>
  <c r="AB314" i="15"/>
  <c r="AA314" i="15"/>
  <c r="Z314" i="15"/>
  <c r="V314" i="15"/>
  <c r="N314" i="15"/>
  <c r="M314" i="15"/>
  <c r="AD313" i="15"/>
  <c r="AC313" i="15"/>
  <c r="AB313" i="15"/>
  <c r="AA313" i="15"/>
  <c r="Z313" i="15"/>
  <c r="V313" i="15"/>
  <c r="N313" i="15"/>
  <c r="R313" i="15"/>
  <c r="J313" i="15"/>
  <c r="M313" i="15"/>
  <c r="AD312" i="15"/>
  <c r="AC312" i="15"/>
  <c r="AB312" i="15"/>
  <c r="AA312" i="15"/>
  <c r="Z312" i="15"/>
  <c r="AD311" i="15"/>
  <c r="AC311" i="15"/>
  <c r="AB311" i="15"/>
  <c r="AA311" i="15"/>
  <c r="Z311" i="15"/>
  <c r="V311" i="15"/>
  <c r="N311" i="15"/>
  <c r="L311" i="15"/>
  <c r="K311" i="15"/>
  <c r="M311" i="15"/>
  <c r="AD310" i="15"/>
  <c r="AC310" i="15"/>
  <c r="AB310" i="15"/>
  <c r="AA310" i="15"/>
  <c r="Z310" i="15"/>
  <c r="V310" i="15"/>
  <c r="N310" i="15"/>
  <c r="P310" i="15"/>
  <c r="M310" i="15"/>
  <c r="AD309" i="15"/>
  <c r="AC309" i="15"/>
  <c r="AB309" i="15"/>
  <c r="AA309" i="15"/>
  <c r="Z309" i="15"/>
  <c r="V309" i="15"/>
  <c r="N309" i="15"/>
  <c r="Q309" i="15"/>
  <c r="M309" i="15"/>
  <c r="AD308" i="15"/>
  <c r="AC308" i="15"/>
  <c r="AB308" i="15"/>
  <c r="AA308" i="15"/>
  <c r="Z308" i="15"/>
  <c r="V308" i="15"/>
  <c r="N308" i="15"/>
  <c r="M308" i="15"/>
  <c r="AD307" i="15"/>
  <c r="AC307" i="15"/>
  <c r="AB307" i="15"/>
  <c r="AA307" i="15"/>
  <c r="Z307" i="15"/>
  <c r="V307" i="15"/>
  <c r="N307" i="15"/>
  <c r="M307" i="15"/>
  <c r="AD306" i="15"/>
  <c r="AC306" i="15"/>
  <c r="AB306" i="15"/>
  <c r="AA306" i="15"/>
  <c r="Z306" i="15"/>
  <c r="AD305" i="15"/>
  <c r="AC305" i="15"/>
  <c r="AB305" i="15"/>
  <c r="AA305" i="15"/>
  <c r="Z305" i="15"/>
  <c r="AD304" i="15"/>
  <c r="AC304" i="15"/>
  <c r="AB304" i="15"/>
  <c r="AA304" i="15"/>
  <c r="Z304" i="15"/>
  <c r="V304" i="15"/>
  <c r="N304" i="15"/>
  <c r="AD303" i="15"/>
  <c r="AC303" i="15"/>
  <c r="AB303" i="15"/>
  <c r="AA303" i="15"/>
  <c r="Z303" i="15"/>
  <c r="V303" i="15"/>
  <c r="N303" i="15"/>
  <c r="AD302" i="15"/>
  <c r="AC302" i="15"/>
  <c r="AB302" i="15"/>
  <c r="AA302" i="15"/>
  <c r="Z302" i="15"/>
  <c r="V302" i="15"/>
  <c r="N302" i="15"/>
  <c r="P302" i="15"/>
  <c r="M302" i="15"/>
  <c r="AD301" i="15"/>
  <c r="AC301" i="15"/>
  <c r="AB301" i="15"/>
  <c r="AA301" i="15"/>
  <c r="Z301" i="15"/>
  <c r="V301" i="15"/>
  <c r="N301" i="15"/>
  <c r="R301" i="15"/>
  <c r="M301" i="15"/>
  <c r="AD300" i="15"/>
  <c r="AC300" i="15"/>
  <c r="AB300" i="15"/>
  <c r="AA300" i="15"/>
  <c r="Z300" i="15"/>
  <c r="V300" i="15"/>
  <c r="N300" i="15"/>
  <c r="AD299" i="15"/>
  <c r="AC299" i="15"/>
  <c r="AB299" i="15"/>
  <c r="AA299" i="15"/>
  <c r="Z299" i="15"/>
  <c r="V299" i="15"/>
  <c r="N299" i="15"/>
  <c r="L299" i="15"/>
  <c r="R299" i="15"/>
  <c r="L303" i="15"/>
  <c r="K299" i="15"/>
  <c r="K303" i="15"/>
  <c r="J299" i="15"/>
  <c r="AD298" i="15"/>
  <c r="AC298" i="15"/>
  <c r="AB298" i="15"/>
  <c r="AA298" i="15"/>
  <c r="Z298" i="15"/>
  <c r="V298" i="15"/>
  <c r="N298" i="15"/>
  <c r="R298" i="15"/>
  <c r="M298" i="15"/>
  <c r="AD297" i="15"/>
  <c r="AC297" i="15"/>
  <c r="AB297" i="15"/>
  <c r="AA297" i="15"/>
  <c r="Z297" i="15"/>
  <c r="V297" i="15"/>
  <c r="N297" i="15"/>
  <c r="R297" i="15"/>
  <c r="M297" i="15"/>
  <c r="AD296" i="15"/>
  <c r="AC296" i="15"/>
  <c r="AB296" i="15"/>
  <c r="AA296" i="15"/>
  <c r="Z296" i="15"/>
  <c r="V296" i="15"/>
  <c r="N296" i="15"/>
  <c r="P296" i="15"/>
  <c r="M296" i="15"/>
  <c r="AD295" i="15"/>
  <c r="AC295" i="15"/>
  <c r="AB295" i="15"/>
  <c r="AA295" i="15"/>
  <c r="Z295" i="15"/>
  <c r="V295" i="15"/>
  <c r="N295" i="15"/>
  <c r="L295" i="15"/>
  <c r="R295" i="15"/>
  <c r="K295" i="15"/>
  <c r="J295" i="15"/>
  <c r="AD294" i="15"/>
  <c r="AC294" i="15"/>
  <c r="AB294" i="15"/>
  <c r="AA294" i="15"/>
  <c r="Z294" i="15"/>
  <c r="V294" i="15"/>
  <c r="N294" i="15"/>
  <c r="R294" i="15"/>
  <c r="M294" i="15"/>
  <c r="AD293" i="15"/>
  <c r="AC293" i="15"/>
  <c r="AB293" i="15"/>
  <c r="AA293" i="15"/>
  <c r="Z293" i="15"/>
  <c r="V293" i="15"/>
  <c r="N293" i="15"/>
  <c r="L293" i="15"/>
  <c r="L300" i="15"/>
  <c r="L304" i="15"/>
  <c r="K293" i="15"/>
  <c r="K300" i="15"/>
  <c r="K304" i="15"/>
  <c r="J293" i="15"/>
  <c r="J300" i="15"/>
  <c r="AD292" i="15"/>
  <c r="AC292" i="15"/>
  <c r="AB292" i="15"/>
  <c r="AA292" i="15"/>
  <c r="Z292" i="15"/>
  <c r="V292" i="15"/>
  <c r="N292" i="15"/>
  <c r="L292" i="15"/>
  <c r="R292" i="15"/>
  <c r="K292" i="15"/>
  <c r="J292" i="15"/>
  <c r="AD291" i="15"/>
  <c r="AC291" i="15"/>
  <c r="AB291" i="15"/>
  <c r="AA291" i="15"/>
  <c r="Z291" i="15"/>
  <c r="V291" i="15"/>
  <c r="N291" i="15"/>
  <c r="M291" i="15"/>
  <c r="AD290" i="15"/>
  <c r="AC290" i="15"/>
  <c r="AB290" i="15"/>
  <c r="AA290" i="15"/>
  <c r="Z290" i="15"/>
  <c r="AD289" i="15"/>
  <c r="AC289" i="15"/>
  <c r="AB289" i="15"/>
  <c r="AA289" i="15"/>
  <c r="Z289" i="15"/>
  <c r="V289" i="15"/>
  <c r="N289" i="15"/>
  <c r="M289" i="15"/>
  <c r="AD288" i="15"/>
  <c r="AC288" i="15"/>
  <c r="AB288" i="15"/>
  <c r="AA288" i="15"/>
  <c r="Z288" i="15"/>
  <c r="V288" i="15"/>
  <c r="N288" i="15"/>
  <c r="M288" i="15"/>
  <c r="AD287" i="15"/>
  <c r="AC287" i="15"/>
  <c r="AB287" i="15"/>
  <c r="AA287" i="15"/>
  <c r="Z287" i="15"/>
  <c r="AD286" i="15"/>
  <c r="AC286" i="15"/>
  <c r="AB286" i="15"/>
  <c r="AA286" i="15"/>
  <c r="Z286" i="15"/>
  <c r="V286" i="15"/>
  <c r="N286" i="15"/>
  <c r="AD285" i="15"/>
  <c r="AC285" i="15"/>
  <c r="AB285" i="15"/>
  <c r="AA285" i="15"/>
  <c r="Z285" i="15"/>
  <c r="V285" i="15"/>
  <c r="N285" i="15"/>
  <c r="M285" i="15"/>
  <c r="AD284" i="15"/>
  <c r="AC284" i="15"/>
  <c r="AB284" i="15"/>
  <c r="AA284" i="15"/>
  <c r="Z284" i="15"/>
  <c r="V284" i="15"/>
  <c r="N284" i="15"/>
  <c r="AD283" i="15"/>
  <c r="AC283" i="15"/>
  <c r="AB283" i="15"/>
  <c r="AA283" i="15"/>
  <c r="Z283" i="15"/>
  <c r="V283" i="15"/>
  <c r="N283" i="15"/>
  <c r="R283" i="15"/>
  <c r="J283" i="15"/>
  <c r="M283" i="15"/>
  <c r="AD282" i="15"/>
  <c r="AC282" i="15"/>
  <c r="AB282" i="15"/>
  <c r="AA282" i="15"/>
  <c r="Z282" i="15"/>
  <c r="V282" i="15"/>
  <c r="N282" i="15"/>
  <c r="M282" i="15"/>
  <c r="AD281" i="15"/>
  <c r="AC281" i="15"/>
  <c r="AB281" i="15"/>
  <c r="AA281" i="15"/>
  <c r="Z281" i="15"/>
  <c r="AD280" i="15"/>
  <c r="AC280" i="15"/>
  <c r="AB280" i="15"/>
  <c r="AA280" i="15"/>
  <c r="Z280" i="15"/>
  <c r="AD279" i="15"/>
  <c r="AC279" i="15"/>
  <c r="AB279" i="15"/>
  <c r="AA279" i="15"/>
  <c r="Z279" i="15"/>
  <c r="AD278" i="15"/>
  <c r="AC278" i="15"/>
  <c r="AB278" i="15"/>
  <c r="AA278" i="15"/>
  <c r="Z278" i="15"/>
  <c r="V278" i="15"/>
  <c r="N278" i="15"/>
  <c r="L278" i="15"/>
  <c r="K278" i="15"/>
  <c r="J278" i="15"/>
  <c r="M278" i="15"/>
  <c r="AD277" i="15"/>
  <c r="AC277" i="15"/>
  <c r="AB277" i="15"/>
  <c r="AA277" i="15"/>
  <c r="Z277" i="15"/>
  <c r="V277" i="15"/>
  <c r="N277" i="15"/>
  <c r="O277" i="15"/>
  <c r="AD276" i="15"/>
  <c r="AC276" i="15"/>
  <c r="AB276" i="15"/>
  <c r="AA276" i="15"/>
  <c r="Z276" i="15"/>
  <c r="V276" i="15"/>
  <c r="N276" i="15"/>
  <c r="R276" i="15"/>
  <c r="M276" i="15"/>
  <c r="AD275" i="15"/>
  <c r="AC275" i="15"/>
  <c r="AB275" i="15"/>
  <c r="AA275" i="15"/>
  <c r="Z275" i="15"/>
  <c r="AD274" i="15"/>
  <c r="AC274" i="15"/>
  <c r="AB274" i="15"/>
  <c r="AA274" i="15"/>
  <c r="Z274" i="15"/>
  <c r="V274" i="15"/>
  <c r="N274" i="15"/>
  <c r="Q274" i="15"/>
  <c r="M274" i="15"/>
  <c r="AD273" i="15"/>
  <c r="AC273" i="15"/>
  <c r="AB273" i="15"/>
  <c r="AA273" i="15"/>
  <c r="Z273" i="15"/>
  <c r="V273" i="15"/>
  <c r="N273" i="15"/>
  <c r="O273" i="15"/>
  <c r="AD272" i="15"/>
  <c r="AC272" i="15"/>
  <c r="AB272" i="15"/>
  <c r="AA272" i="15"/>
  <c r="Z272" i="15"/>
  <c r="V272" i="15"/>
  <c r="N272" i="15"/>
  <c r="O272" i="15"/>
  <c r="AD271" i="15"/>
  <c r="AC271" i="15"/>
  <c r="AB271" i="15"/>
  <c r="AA271" i="15"/>
  <c r="Z271" i="15"/>
  <c r="V271" i="15"/>
  <c r="N271" i="15"/>
  <c r="P271" i="15"/>
  <c r="AD270" i="15"/>
  <c r="AC270" i="15"/>
  <c r="AB270" i="15"/>
  <c r="AA270" i="15"/>
  <c r="Z270" i="15"/>
  <c r="V270" i="15"/>
  <c r="N270" i="15"/>
  <c r="Q270" i="15"/>
  <c r="M270" i="15"/>
  <c r="AD269" i="15"/>
  <c r="AC269" i="15"/>
  <c r="AB269" i="15"/>
  <c r="AA269" i="15"/>
  <c r="Z269" i="15"/>
  <c r="AD268" i="15"/>
  <c r="AC268" i="15"/>
  <c r="AB268" i="15"/>
  <c r="AA268" i="15"/>
  <c r="Z268" i="15"/>
  <c r="V268" i="15"/>
  <c r="N268" i="15"/>
  <c r="J268" i="15"/>
  <c r="AD267" i="15"/>
  <c r="AC267" i="15"/>
  <c r="AB267" i="15"/>
  <c r="AA267" i="15"/>
  <c r="Z267" i="15"/>
  <c r="V267" i="15"/>
  <c r="N267" i="15"/>
  <c r="L267" i="15"/>
  <c r="L271" i="15"/>
  <c r="K267" i="15"/>
  <c r="K265" i="15"/>
  <c r="K268" i="15"/>
  <c r="AD266" i="15"/>
  <c r="AC266" i="15"/>
  <c r="AB266" i="15"/>
  <c r="AA266" i="15"/>
  <c r="Z266" i="15"/>
  <c r="V266" i="15"/>
  <c r="N266" i="15"/>
  <c r="L266" i="15"/>
  <c r="R266" i="15"/>
  <c r="K266" i="15"/>
  <c r="AD265" i="15"/>
  <c r="AC265" i="15"/>
  <c r="AB265" i="15"/>
  <c r="AA265" i="15"/>
  <c r="Z265" i="15"/>
  <c r="V265" i="15"/>
  <c r="N265" i="15"/>
  <c r="J265" i="15"/>
  <c r="P265" i="15"/>
  <c r="L265" i="15"/>
  <c r="AD264" i="15"/>
  <c r="AC264" i="15"/>
  <c r="AB264" i="15"/>
  <c r="AA264" i="15"/>
  <c r="Z264" i="15"/>
  <c r="V264" i="15"/>
  <c r="N264" i="15"/>
  <c r="J264" i="15"/>
  <c r="P264" i="15"/>
  <c r="L264" i="15"/>
  <c r="J273" i="15"/>
  <c r="AD263" i="15"/>
  <c r="AC263" i="15"/>
  <c r="AB263" i="15"/>
  <c r="AA263" i="15"/>
  <c r="Z263" i="15"/>
  <c r="V263" i="15"/>
  <c r="N263" i="15"/>
  <c r="Q263" i="15"/>
  <c r="AD262" i="15"/>
  <c r="AC262" i="15"/>
  <c r="AB262" i="15"/>
  <c r="AA262" i="15"/>
  <c r="Z262" i="15"/>
  <c r="AD261" i="15"/>
  <c r="AC261" i="15"/>
  <c r="AB261" i="15"/>
  <c r="AA261" i="15"/>
  <c r="Z261" i="15"/>
  <c r="AD260" i="15"/>
  <c r="AC260" i="15"/>
  <c r="AB260" i="15"/>
  <c r="AA260" i="15"/>
  <c r="Z260" i="15"/>
  <c r="V260" i="15"/>
  <c r="N260" i="15"/>
  <c r="L260" i="15"/>
  <c r="J260" i="15"/>
  <c r="AD259" i="15"/>
  <c r="AC259" i="15"/>
  <c r="AB259" i="15"/>
  <c r="AA259" i="15"/>
  <c r="Z259" i="15"/>
  <c r="V259" i="15"/>
  <c r="N259" i="15"/>
  <c r="P259" i="15"/>
  <c r="L259" i="15"/>
  <c r="K259" i="15"/>
  <c r="M259" i="15"/>
  <c r="AD258" i="15"/>
  <c r="AC258" i="15"/>
  <c r="AB258" i="15"/>
  <c r="AA258" i="15"/>
  <c r="Z258" i="15"/>
  <c r="V258" i="15"/>
  <c r="N258" i="15"/>
  <c r="Q258" i="15"/>
  <c r="M258" i="15"/>
  <c r="AD257" i="15"/>
  <c r="AC257" i="15"/>
  <c r="AB257" i="15"/>
  <c r="AA257" i="15"/>
  <c r="Z257" i="15"/>
  <c r="V257" i="15"/>
  <c r="N257" i="15"/>
  <c r="Q257" i="15"/>
  <c r="M257" i="15"/>
  <c r="AD256" i="15"/>
  <c r="AC256" i="15"/>
  <c r="AB256" i="15"/>
  <c r="AA256" i="15"/>
  <c r="Z256" i="15"/>
  <c r="V256" i="15"/>
  <c r="N256" i="15"/>
  <c r="R256" i="15"/>
  <c r="K256" i="15"/>
  <c r="J256" i="15"/>
  <c r="AD255" i="15"/>
  <c r="AC255" i="15"/>
  <c r="AB255" i="15"/>
  <c r="AA255" i="15"/>
  <c r="Z255" i="15"/>
  <c r="V255" i="15"/>
  <c r="N255" i="15"/>
  <c r="K255" i="15"/>
  <c r="J255" i="15"/>
  <c r="M255" i="15"/>
  <c r="AD254" i="15"/>
  <c r="AC254" i="15"/>
  <c r="AB254" i="15"/>
  <c r="AA254" i="15"/>
  <c r="Z254" i="15"/>
  <c r="V254" i="15"/>
  <c r="N254" i="15"/>
  <c r="R254" i="15"/>
  <c r="K254" i="15"/>
  <c r="M254" i="15"/>
  <c r="AD253" i="15"/>
  <c r="AC253" i="15"/>
  <c r="AB253" i="15"/>
  <c r="AA253" i="15"/>
  <c r="Z253" i="15"/>
  <c r="V253" i="15"/>
  <c r="N253" i="15"/>
  <c r="R253" i="15"/>
  <c r="J253" i="15"/>
  <c r="M253" i="15"/>
  <c r="AD252" i="15"/>
  <c r="AC252" i="15"/>
  <c r="AB252" i="15"/>
  <c r="AA252" i="15"/>
  <c r="Z252" i="15"/>
  <c r="V252" i="15"/>
  <c r="N252" i="15"/>
  <c r="R252" i="15"/>
  <c r="K252" i="15"/>
  <c r="M252" i="15"/>
  <c r="AD251" i="15"/>
  <c r="AC251" i="15"/>
  <c r="AB251" i="15"/>
  <c r="AA251" i="15"/>
  <c r="Z251" i="15"/>
  <c r="AD250" i="15"/>
  <c r="AC250" i="15"/>
  <c r="AB250" i="15"/>
  <c r="AA250" i="15"/>
  <c r="Z250" i="15"/>
  <c r="V250" i="15"/>
  <c r="N250" i="15"/>
  <c r="L250" i="15"/>
  <c r="K250" i="15"/>
  <c r="M250" i="15"/>
  <c r="AD249" i="15"/>
  <c r="AC249" i="15"/>
  <c r="AB249" i="15"/>
  <c r="AA249" i="15"/>
  <c r="Z249" i="15"/>
  <c r="V249" i="15"/>
  <c r="N249" i="15"/>
  <c r="L249" i="15"/>
  <c r="R249" i="15"/>
  <c r="K249" i="15"/>
  <c r="AD248" i="15"/>
  <c r="AC248" i="15"/>
  <c r="AB248" i="15"/>
  <c r="AA248" i="15"/>
  <c r="Z248" i="15"/>
  <c r="V248" i="15"/>
  <c r="N248" i="15"/>
  <c r="M248" i="15"/>
  <c r="AD247" i="15"/>
  <c r="AC247" i="15"/>
  <c r="AB247" i="15"/>
  <c r="AA247" i="15"/>
  <c r="Z247" i="15"/>
  <c r="V247" i="15"/>
  <c r="N247" i="15"/>
  <c r="L247" i="15"/>
  <c r="K247" i="15"/>
  <c r="J247" i="15"/>
  <c r="M247" i="15"/>
  <c r="AD246" i="15"/>
  <c r="AC246" i="15"/>
  <c r="AB246" i="15"/>
  <c r="AA246" i="15"/>
  <c r="Z246" i="15"/>
  <c r="V246" i="15"/>
  <c r="N246" i="15"/>
  <c r="L246" i="15"/>
  <c r="J246" i="15"/>
  <c r="AD245" i="15"/>
  <c r="AC245" i="15"/>
  <c r="AB245" i="15"/>
  <c r="AA245" i="15"/>
  <c r="Z245" i="15"/>
  <c r="V245" i="15"/>
  <c r="N245" i="15"/>
  <c r="Q245" i="15"/>
  <c r="M245" i="15"/>
  <c r="AD244" i="15"/>
  <c r="AC244" i="15"/>
  <c r="AB244" i="15"/>
  <c r="AA244" i="15"/>
  <c r="Z244" i="15"/>
  <c r="V244" i="15"/>
  <c r="N244" i="15"/>
  <c r="L244" i="15"/>
  <c r="K244" i="15"/>
  <c r="J244" i="15"/>
  <c r="AD243" i="15"/>
  <c r="AC243" i="15"/>
  <c r="AB243" i="15"/>
  <c r="AA243" i="15"/>
  <c r="Z243" i="15"/>
  <c r="V243" i="15"/>
  <c r="N243" i="15"/>
  <c r="P243" i="15"/>
  <c r="L243" i="15"/>
  <c r="K243" i="15"/>
  <c r="AD242" i="15"/>
  <c r="AC242" i="15"/>
  <c r="AB242" i="15"/>
  <c r="AA242" i="15"/>
  <c r="Z242" i="15"/>
  <c r="V242" i="15"/>
  <c r="N242" i="15"/>
  <c r="L242" i="15"/>
  <c r="R242" i="15"/>
  <c r="J242" i="15"/>
  <c r="K242" i="15"/>
  <c r="M242" i="15"/>
  <c r="AD241" i="15"/>
  <c r="AC241" i="15"/>
  <c r="AB241" i="15"/>
  <c r="AA241" i="15"/>
  <c r="Z241" i="15"/>
  <c r="V241" i="15"/>
  <c r="N241" i="15"/>
  <c r="L241" i="15"/>
  <c r="K241" i="15"/>
  <c r="J241" i="15"/>
  <c r="M241" i="15"/>
  <c r="AD240" i="15"/>
  <c r="AC240" i="15"/>
  <c r="AB240" i="15"/>
  <c r="AA240" i="15"/>
  <c r="Z240" i="15"/>
  <c r="V240" i="15"/>
  <c r="N240" i="15"/>
  <c r="L240" i="15"/>
  <c r="J240" i="15"/>
  <c r="M240" i="15"/>
  <c r="AD239" i="15"/>
  <c r="AC239" i="15"/>
  <c r="AB239" i="15"/>
  <c r="AA239" i="15"/>
  <c r="Z239" i="15"/>
  <c r="V239" i="15"/>
  <c r="N239" i="15"/>
  <c r="L239" i="15"/>
  <c r="K239" i="15"/>
  <c r="J239" i="15"/>
  <c r="AD238" i="15"/>
  <c r="AC238" i="15"/>
  <c r="AB238" i="15"/>
  <c r="AA238" i="15"/>
  <c r="Z238" i="15"/>
  <c r="V238" i="15"/>
  <c r="N238" i="15"/>
  <c r="R238" i="15"/>
  <c r="K238" i="15"/>
  <c r="M238" i="15"/>
  <c r="AD237" i="15"/>
  <c r="AC237" i="15"/>
  <c r="AB237" i="15"/>
  <c r="AA237" i="15"/>
  <c r="Z237" i="15"/>
  <c r="V237" i="15"/>
  <c r="N237" i="15"/>
  <c r="J237" i="15"/>
  <c r="P237" i="15"/>
  <c r="M237" i="15"/>
  <c r="AD236" i="15"/>
  <c r="AC236" i="15"/>
  <c r="AB236" i="15"/>
  <c r="AA236" i="15"/>
  <c r="Z236" i="15"/>
  <c r="V236" i="15"/>
  <c r="N236" i="15"/>
  <c r="R236" i="15"/>
  <c r="K236" i="15"/>
  <c r="J236" i="15"/>
  <c r="AD235" i="15"/>
  <c r="AC235" i="15"/>
  <c r="AB235" i="15"/>
  <c r="AA235" i="15"/>
  <c r="Z235" i="15"/>
  <c r="V235" i="15"/>
  <c r="N235" i="15"/>
  <c r="K235" i="15"/>
  <c r="J235" i="15"/>
  <c r="M235" i="15"/>
  <c r="AD234" i="15"/>
  <c r="AC234" i="15"/>
  <c r="AB234" i="15"/>
  <c r="AA234" i="15"/>
  <c r="Z234" i="15"/>
  <c r="V234" i="15"/>
  <c r="N234" i="15"/>
  <c r="Q234" i="15"/>
  <c r="M234" i="15"/>
  <c r="AD233" i="15"/>
  <c r="AC233" i="15"/>
  <c r="AB233" i="15"/>
  <c r="AA233" i="15"/>
  <c r="Z233" i="15"/>
  <c r="AD232" i="15"/>
  <c r="AC232" i="15"/>
  <c r="AB232" i="15"/>
  <c r="AA232" i="15"/>
  <c r="Z232" i="15"/>
  <c r="AD231" i="15"/>
  <c r="AC231" i="15"/>
  <c r="AB231" i="15"/>
  <c r="AA231" i="15"/>
  <c r="Z231" i="15"/>
  <c r="V231" i="15"/>
  <c r="N231" i="15"/>
  <c r="AD230" i="15"/>
  <c r="AC230" i="15"/>
  <c r="AB230" i="15"/>
  <c r="AA230" i="15"/>
  <c r="Z230" i="15"/>
  <c r="V230" i="15"/>
  <c r="N230" i="15"/>
  <c r="AD229" i="15"/>
  <c r="AC229" i="15"/>
  <c r="AB229" i="15"/>
  <c r="AA229" i="15"/>
  <c r="Z229" i="15"/>
  <c r="V229" i="15"/>
  <c r="N229" i="15"/>
  <c r="AD228" i="15"/>
  <c r="AC228" i="15"/>
  <c r="AB228" i="15"/>
  <c r="AA228" i="15"/>
  <c r="Z228" i="15"/>
  <c r="V228" i="15"/>
  <c r="N228" i="15"/>
  <c r="R228" i="15"/>
  <c r="J228" i="15"/>
  <c r="M228" i="15"/>
  <c r="AD227" i="15"/>
  <c r="AC227" i="15"/>
  <c r="AB227" i="15"/>
  <c r="AA227" i="15"/>
  <c r="Z227" i="15"/>
  <c r="V227" i="15"/>
  <c r="N227" i="15"/>
  <c r="J227" i="15"/>
  <c r="P227" i="15"/>
  <c r="M227" i="15"/>
  <c r="AD226" i="15"/>
  <c r="AC226" i="15"/>
  <c r="AB226" i="15"/>
  <c r="AA226" i="15"/>
  <c r="Z226" i="15"/>
  <c r="AD225" i="15"/>
  <c r="AC225" i="15"/>
  <c r="AB225" i="15"/>
  <c r="AA225" i="15"/>
  <c r="Z225" i="15"/>
  <c r="V225" i="15"/>
  <c r="N225" i="15"/>
  <c r="L225" i="15"/>
  <c r="K225" i="15"/>
  <c r="J225" i="15"/>
  <c r="M225" i="15"/>
  <c r="AD224" i="15"/>
  <c r="AC224" i="15"/>
  <c r="AB224" i="15"/>
  <c r="AA224" i="15"/>
  <c r="Z224" i="15"/>
  <c r="V224" i="15"/>
  <c r="N224" i="15"/>
  <c r="L224" i="15"/>
  <c r="J224" i="15"/>
  <c r="K224" i="15"/>
  <c r="M224" i="15"/>
  <c r="AD223" i="15"/>
  <c r="AC223" i="15"/>
  <c r="AB223" i="15"/>
  <c r="AA223" i="15"/>
  <c r="Z223" i="15"/>
  <c r="V223" i="15"/>
  <c r="N223" i="15"/>
  <c r="L223" i="15"/>
  <c r="R223" i="15"/>
  <c r="K223" i="15"/>
  <c r="J223" i="15"/>
  <c r="M223" i="15"/>
  <c r="AD222" i="15"/>
  <c r="AC222" i="15"/>
  <c r="AB222" i="15"/>
  <c r="AA222" i="15"/>
  <c r="Z222" i="15"/>
  <c r="V222" i="15"/>
  <c r="N222" i="15"/>
  <c r="L222" i="15"/>
  <c r="L230" i="15"/>
  <c r="K222" i="15"/>
  <c r="K230" i="15"/>
  <c r="J222" i="15"/>
  <c r="J229" i="15"/>
  <c r="AD221" i="15"/>
  <c r="AC221" i="15"/>
  <c r="AB221" i="15"/>
  <c r="AA221" i="15"/>
  <c r="Z221" i="15"/>
  <c r="AD220" i="15"/>
  <c r="AC220" i="15"/>
  <c r="AB220" i="15"/>
  <c r="AA220" i="15"/>
  <c r="Z220" i="15"/>
  <c r="V220" i="15"/>
  <c r="N220" i="15"/>
  <c r="L220" i="15"/>
  <c r="K220" i="15"/>
  <c r="AD219" i="15"/>
  <c r="AC219" i="15"/>
  <c r="AB219" i="15"/>
  <c r="AA219" i="15"/>
  <c r="Z219" i="15"/>
  <c r="V219" i="15"/>
  <c r="N219" i="15"/>
  <c r="L219" i="15"/>
  <c r="K219" i="15"/>
  <c r="M219" i="15"/>
  <c r="AD218" i="15"/>
  <c r="AC218" i="15"/>
  <c r="AB218" i="15"/>
  <c r="AA218" i="15"/>
  <c r="Z218" i="15"/>
  <c r="V218" i="15"/>
  <c r="N218" i="15"/>
  <c r="R218" i="15"/>
  <c r="K218" i="15"/>
  <c r="M218" i="15"/>
  <c r="AD217" i="15"/>
  <c r="AC217" i="15"/>
  <c r="AB217" i="15"/>
  <c r="AA217" i="15"/>
  <c r="Z217" i="15"/>
  <c r="AD216" i="15"/>
  <c r="AC216" i="15"/>
  <c r="AB216" i="15"/>
  <c r="AA216" i="15"/>
  <c r="Z216" i="15"/>
  <c r="AD215" i="15"/>
  <c r="AC215" i="15"/>
  <c r="AB215" i="15"/>
  <c r="AA215" i="15"/>
  <c r="Z215" i="15"/>
  <c r="AD214" i="15"/>
  <c r="AC214" i="15"/>
  <c r="AB214" i="15"/>
  <c r="AA214" i="15"/>
  <c r="Z214" i="15"/>
  <c r="V214" i="15"/>
  <c r="N214" i="15"/>
  <c r="L214" i="15"/>
  <c r="J214" i="15"/>
  <c r="K214" i="15"/>
  <c r="M214" i="15"/>
  <c r="AD213" i="15"/>
  <c r="AC213" i="15"/>
  <c r="AB213" i="15"/>
  <c r="AA213" i="15"/>
  <c r="Z213" i="15"/>
  <c r="V213" i="15"/>
  <c r="N213" i="15"/>
  <c r="L213" i="15"/>
  <c r="R213" i="15"/>
  <c r="K213" i="15"/>
  <c r="J213" i="15"/>
  <c r="M213" i="15"/>
  <c r="AD212" i="15"/>
  <c r="AC212" i="15"/>
  <c r="AB212" i="15"/>
  <c r="AA212" i="15"/>
  <c r="Z212" i="15"/>
  <c r="V212" i="15"/>
  <c r="N212" i="15"/>
  <c r="L212" i="15"/>
  <c r="K212" i="15"/>
  <c r="J212" i="15"/>
  <c r="M212" i="15"/>
  <c r="AD211" i="15"/>
  <c r="AC211" i="15"/>
  <c r="AB211" i="15"/>
  <c r="AA211" i="15"/>
  <c r="Z211" i="15"/>
  <c r="V211" i="15"/>
  <c r="N211" i="15"/>
  <c r="L211" i="15"/>
  <c r="R211" i="15"/>
  <c r="J211" i="15"/>
  <c r="K211" i="15"/>
  <c r="M211" i="15"/>
  <c r="AD210" i="15"/>
  <c r="AC210" i="15"/>
  <c r="AB210" i="15"/>
  <c r="AA210" i="15"/>
  <c r="Z210" i="15"/>
  <c r="V210" i="15"/>
  <c r="N210" i="15"/>
  <c r="L210" i="15"/>
  <c r="K210" i="15"/>
  <c r="M210" i="15"/>
  <c r="AD209" i="15"/>
  <c r="AC209" i="15"/>
  <c r="AB209" i="15"/>
  <c r="AA209" i="15"/>
  <c r="Z209" i="15"/>
  <c r="V209" i="15"/>
  <c r="N209" i="15"/>
  <c r="M209" i="15"/>
  <c r="AD208" i="15"/>
  <c r="AC208" i="15"/>
  <c r="AB208" i="15"/>
  <c r="AA208" i="15"/>
  <c r="Z208" i="15"/>
  <c r="V208" i="15"/>
  <c r="N208" i="15"/>
  <c r="M208" i="15"/>
  <c r="AD207" i="15"/>
  <c r="AC207" i="15"/>
  <c r="AB207" i="15"/>
  <c r="AA207" i="15"/>
  <c r="Z207" i="15"/>
  <c r="V207" i="15"/>
  <c r="N207" i="15"/>
  <c r="R207" i="15"/>
  <c r="K207" i="15"/>
  <c r="M207" i="15"/>
  <c r="AD206" i="15"/>
  <c r="AC206" i="15"/>
  <c r="AB206" i="15"/>
  <c r="AA206" i="15"/>
  <c r="Z206" i="15"/>
  <c r="V206" i="15"/>
  <c r="N206" i="15"/>
  <c r="P206" i="15"/>
  <c r="K206" i="15"/>
  <c r="M206" i="15"/>
  <c r="AD205" i="15"/>
  <c r="AC205" i="15"/>
  <c r="AB205" i="15"/>
  <c r="AA205" i="15"/>
  <c r="Z205" i="15"/>
  <c r="V205" i="15"/>
  <c r="N205" i="15"/>
  <c r="R205" i="15"/>
  <c r="K205" i="15"/>
  <c r="M205" i="15"/>
  <c r="AD204" i="15"/>
  <c r="AC204" i="15"/>
  <c r="AB204" i="15"/>
  <c r="AA204" i="15"/>
  <c r="Z204" i="15"/>
  <c r="V204" i="15"/>
  <c r="N204" i="15"/>
  <c r="J204" i="15"/>
  <c r="P204" i="15"/>
  <c r="L204" i="15"/>
  <c r="K204" i="15"/>
  <c r="AD203" i="15"/>
  <c r="AC203" i="15"/>
  <c r="AB203" i="15"/>
  <c r="AA203" i="15"/>
  <c r="Z203" i="15"/>
  <c r="V203" i="15"/>
  <c r="N203" i="15"/>
  <c r="J203" i="15"/>
  <c r="P203" i="15"/>
  <c r="L203" i="15"/>
  <c r="K203" i="15"/>
  <c r="AD202" i="15"/>
  <c r="AC202" i="15"/>
  <c r="AB202" i="15"/>
  <c r="AA202" i="15"/>
  <c r="Z202" i="15"/>
  <c r="V202" i="15"/>
  <c r="N202" i="15"/>
  <c r="P202" i="15"/>
  <c r="L202" i="15"/>
  <c r="K202" i="15"/>
  <c r="M202" i="15"/>
  <c r="AD201" i="15"/>
  <c r="AC201" i="15"/>
  <c r="AB201" i="15"/>
  <c r="AA201" i="15"/>
  <c r="Z201" i="15"/>
  <c r="V201" i="15"/>
  <c r="N201" i="15"/>
  <c r="R201" i="15"/>
  <c r="K201" i="15"/>
  <c r="M201" i="15"/>
  <c r="AD200" i="15"/>
  <c r="AC200" i="15"/>
  <c r="AB200" i="15"/>
  <c r="AA200" i="15"/>
  <c r="Z200" i="15"/>
  <c r="V200" i="15"/>
  <c r="N200" i="15"/>
  <c r="P200" i="15"/>
  <c r="K200" i="15"/>
  <c r="M200" i="15"/>
  <c r="AD199" i="15"/>
  <c r="AC199" i="15"/>
  <c r="AB199" i="15"/>
  <c r="AA199" i="15"/>
  <c r="Z199" i="15"/>
  <c r="V199" i="15"/>
  <c r="N199" i="15"/>
  <c r="R199" i="15"/>
  <c r="J199" i="15"/>
  <c r="M199" i="15"/>
  <c r="AD198" i="15"/>
  <c r="AC198" i="15"/>
  <c r="AB198" i="15"/>
  <c r="AA198" i="15"/>
  <c r="Z198" i="15"/>
  <c r="V198" i="15"/>
  <c r="N198" i="15"/>
  <c r="P198" i="15"/>
  <c r="M198" i="15"/>
  <c r="AD197" i="15"/>
  <c r="AC197" i="15"/>
  <c r="AB197" i="15"/>
  <c r="AA197" i="15"/>
  <c r="Z197" i="15"/>
  <c r="AD196" i="15"/>
  <c r="AC196" i="15"/>
  <c r="AB196" i="15"/>
  <c r="AA196" i="15"/>
  <c r="Z196" i="15"/>
  <c r="V196" i="15"/>
  <c r="N196" i="15"/>
  <c r="L196" i="15"/>
  <c r="R196" i="15"/>
  <c r="K196" i="15"/>
  <c r="M196" i="15"/>
  <c r="AD195" i="15"/>
  <c r="AC195" i="15"/>
  <c r="AB195" i="15"/>
  <c r="AA195" i="15"/>
  <c r="Z195" i="15"/>
  <c r="V195" i="15"/>
  <c r="N195" i="15"/>
  <c r="R195" i="15"/>
  <c r="M195" i="15"/>
  <c r="AD194" i="15"/>
  <c r="AC194" i="15"/>
  <c r="AB194" i="15"/>
  <c r="AA194" i="15"/>
  <c r="Z194" i="15"/>
  <c r="V194" i="15"/>
  <c r="N194" i="15"/>
  <c r="R194" i="15"/>
  <c r="M194" i="15"/>
  <c r="AD193" i="15"/>
  <c r="AC193" i="15"/>
  <c r="AB193" i="15"/>
  <c r="AA193" i="15"/>
  <c r="Z193" i="15"/>
  <c r="V193" i="15"/>
  <c r="N193" i="15"/>
  <c r="P193" i="15"/>
  <c r="M193" i="15"/>
  <c r="AD192" i="15"/>
  <c r="AC192" i="15"/>
  <c r="AB192" i="15"/>
  <c r="AA192" i="15"/>
  <c r="Z192" i="15"/>
  <c r="V192" i="15"/>
  <c r="N192" i="15"/>
  <c r="M192" i="15"/>
  <c r="AD191" i="15"/>
  <c r="AC191" i="15"/>
  <c r="AB191" i="15"/>
  <c r="AA191" i="15"/>
  <c r="Z191" i="15"/>
  <c r="V191" i="15"/>
  <c r="N191" i="15"/>
  <c r="L191" i="15"/>
  <c r="K191" i="15"/>
  <c r="J191" i="15"/>
  <c r="AD190" i="15"/>
  <c r="AC190" i="15"/>
  <c r="AB190" i="15"/>
  <c r="AA190" i="15"/>
  <c r="Z190" i="15"/>
  <c r="V190" i="15"/>
  <c r="N190" i="15"/>
  <c r="J190" i="15"/>
  <c r="M190" i="15"/>
  <c r="AD189" i="15"/>
  <c r="AC189" i="15"/>
  <c r="AB189" i="15"/>
  <c r="AA189" i="15"/>
  <c r="Z189" i="15"/>
  <c r="V189" i="15"/>
  <c r="N189" i="15"/>
  <c r="R189" i="15"/>
  <c r="M189" i="15"/>
  <c r="AD188" i="15"/>
  <c r="AC188" i="15"/>
  <c r="AB188" i="15"/>
  <c r="AA188" i="15"/>
  <c r="Z188" i="15"/>
  <c r="V188" i="15"/>
  <c r="N188" i="15"/>
  <c r="P188" i="15"/>
  <c r="M188" i="15"/>
  <c r="AD187" i="15"/>
  <c r="AC187" i="15"/>
  <c r="AB187" i="15"/>
  <c r="AA187" i="15"/>
  <c r="Z187" i="15"/>
  <c r="V187" i="15"/>
  <c r="N187" i="15"/>
  <c r="P187" i="15"/>
  <c r="M187" i="15"/>
  <c r="AD186" i="15"/>
  <c r="AC186" i="15"/>
  <c r="AB186" i="15"/>
  <c r="AA186" i="15"/>
  <c r="Z186" i="15"/>
  <c r="AD185" i="15"/>
  <c r="AC185" i="15"/>
  <c r="AB185" i="15"/>
  <c r="AA185" i="15"/>
  <c r="Z185" i="15"/>
  <c r="AD184" i="15"/>
  <c r="AC184" i="15"/>
  <c r="AB184" i="15"/>
  <c r="AA184" i="15"/>
  <c r="Z184" i="15"/>
  <c r="V184" i="15"/>
  <c r="N184" i="15"/>
  <c r="M184" i="15"/>
  <c r="AD183" i="15"/>
  <c r="AC183" i="15"/>
  <c r="AB183" i="15"/>
  <c r="AA183" i="15"/>
  <c r="Z183" i="15"/>
  <c r="V183" i="15"/>
  <c r="N183" i="15"/>
  <c r="AD182" i="15"/>
  <c r="AC182" i="15"/>
  <c r="AB182" i="15"/>
  <c r="AA182" i="15"/>
  <c r="Z182" i="15"/>
  <c r="V182" i="15"/>
  <c r="N182" i="15"/>
  <c r="AD181" i="15"/>
  <c r="AC181" i="15"/>
  <c r="AB181" i="15"/>
  <c r="AA181" i="15"/>
  <c r="Z181" i="15"/>
  <c r="V181" i="15"/>
  <c r="N181" i="15"/>
  <c r="AD180" i="15"/>
  <c r="AC180" i="15"/>
  <c r="AB180" i="15"/>
  <c r="AA180" i="15"/>
  <c r="Z180" i="15"/>
  <c r="V180" i="15"/>
  <c r="N180" i="15"/>
  <c r="L180" i="15"/>
  <c r="K180" i="15"/>
  <c r="J180" i="15"/>
  <c r="M180" i="15"/>
  <c r="AD179" i="15"/>
  <c r="AC179" i="15"/>
  <c r="AB179" i="15"/>
  <c r="AA179" i="15"/>
  <c r="Z179" i="15"/>
  <c r="V179" i="15"/>
  <c r="N179" i="15"/>
  <c r="AD178" i="15"/>
  <c r="AC178" i="15"/>
  <c r="AB178" i="15"/>
  <c r="AA178" i="15"/>
  <c r="Z178" i="15"/>
  <c r="V178" i="15"/>
  <c r="N178" i="15"/>
  <c r="AD177" i="15"/>
  <c r="AC177" i="15"/>
  <c r="AB177" i="15"/>
  <c r="AA177" i="15"/>
  <c r="Z177" i="15"/>
  <c r="V177" i="15"/>
  <c r="N177" i="15"/>
  <c r="P177" i="15"/>
  <c r="M177" i="15"/>
  <c r="AD176" i="15"/>
  <c r="AC176" i="15"/>
  <c r="AB176" i="15"/>
  <c r="AA176" i="15"/>
  <c r="Z176" i="15"/>
  <c r="V176" i="15"/>
  <c r="N176" i="15"/>
  <c r="L176" i="15"/>
  <c r="L183" i="15"/>
  <c r="K176" i="15"/>
  <c r="J176" i="15"/>
  <c r="J183" i="15"/>
  <c r="AD175" i="15"/>
  <c r="AC175" i="15"/>
  <c r="AB175" i="15"/>
  <c r="AA175" i="15"/>
  <c r="Z175" i="15"/>
  <c r="V175" i="15"/>
  <c r="N175" i="15"/>
  <c r="Q175" i="15"/>
  <c r="M175" i="15"/>
  <c r="AD174" i="15"/>
  <c r="AC174" i="15"/>
  <c r="AB174" i="15"/>
  <c r="AA174" i="15"/>
  <c r="Z174" i="15"/>
  <c r="AD173" i="15"/>
  <c r="AC173" i="15"/>
  <c r="AB173" i="15"/>
  <c r="AA173" i="15"/>
  <c r="Z173" i="15"/>
  <c r="V173" i="15"/>
  <c r="N173" i="15"/>
  <c r="L173" i="15"/>
  <c r="K173" i="15"/>
  <c r="J173" i="15"/>
  <c r="M173" i="15"/>
  <c r="AD172" i="15"/>
  <c r="AC172" i="15"/>
  <c r="AB172" i="15"/>
  <c r="AA172" i="15"/>
  <c r="Z172" i="15"/>
  <c r="V172" i="15"/>
  <c r="N172" i="15"/>
  <c r="R172" i="15"/>
  <c r="M172" i="15"/>
  <c r="AD171" i="15"/>
  <c r="AC171" i="15"/>
  <c r="AB171" i="15"/>
  <c r="AA171" i="15"/>
  <c r="Z171" i="15"/>
  <c r="V171" i="15"/>
  <c r="N171" i="15"/>
  <c r="M171" i="15"/>
  <c r="AD170" i="15"/>
  <c r="AC170" i="15"/>
  <c r="AB170" i="15"/>
  <c r="AA170" i="15"/>
  <c r="Z170" i="15"/>
  <c r="V170" i="15"/>
  <c r="N170" i="15"/>
  <c r="M170" i="15"/>
  <c r="AD169" i="15"/>
  <c r="AC169" i="15"/>
  <c r="AB169" i="15"/>
  <c r="AA169" i="15"/>
  <c r="Z169" i="15"/>
  <c r="V169" i="15"/>
  <c r="N169" i="15"/>
  <c r="J169" i="15"/>
  <c r="M169" i="15"/>
  <c r="AD168" i="15"/>
  <c r="AC168" i="15"/>
  <c r="AB168" i="15"/>
  <c r="AA168" i="15"/>
  <c r="Z168" i="15"/>
  <c r="V168" i="15"/>
  <c r="N168" i="15"/>
  <c r="R168" i="15"/>
  <c r="J168" i="15"/>
  <c r="M168" i="15"/>
  <c r="AD167" i="15"/>
  <c r="AC167" i="15"/>
  <c r="AB167" i="15"/>
  <c r="AA167" i="15"/>
  <c r="Z167" i="15"/>
  <c r="V167" i="15"/>
  <c r="N167" i="15"/>
  <c r="J167" i="15"/>
  <c r="M167" i="15"/>
  <c r="AD166" i="15"/>
  <c r="AC166" i="15"/>
  <c r="AB166" i="15"/>
  <c r="AA166" i="15"/>
  <c r="Z166" i="15"/>
  <c r="AD165" i="15"/>
  <c r="AC165" i="15"/>
  <c r="AB165" i="15"/>
  <c r="AA165" i="15"/>
  <c r="Z165" i="15"/>
  <c r="V165" i="15"/>
  <c r="N165" i="15"/>
  <c r="L165" i="15"/>
  <c r="K165" i="15"/>
  <c r="M165" i="15"/>
  <c r="AD164" i="15"/>
  <c r="AC164" i="15"/>
  <c r="AB164" i="15"/>
  <c r="AA164" i="15"/>
  <c r="Z164" i="15"/>
  <c r="V164" i="15"/>
  <c r="N164" i="15"/>
  <c r="M164" i="15"/>
  <c r="AD163" i="15"/>
  <c r="AC163" i="15"/>
  <c r="AB163" i="15"/>
  <c r="AA163" i="15"/>
  <c r="Z163" i="15"/>
  <c r="V163" i="15"/>
  <c r="N163" i="15"/>
  <c r="M163" i="15"/>
  <c r="AD162" i="15"/>
  <c r="AC162" i="15"/>
  <c r="AB162" i="15"/>
  <c r="AA162" i="15"/>
  <c r="Z162" i="15"/>
  <c r="V162" i="15"/>
  <c r="N162" i="15"/>
  <c r="M162" i="15"/>
  <c r="AD161" i="15"/>
  <c r="AC161" i="15"/>
  <c r="AB161" i="15"/>
  <c r="AA161" i="15"/>
  <c r="Z161" i="15"/>
  <c r="V161" i="15"/>
  <c r="N161" i="15"/>
  <c r="R161" i="15"/>
  <c r="K161" i="15"/>
  <c r="M161" i="15"/>
  <c r="AD160" i="15"/>
  <c r="AC160" i="15"/>
  <c r="AB160" i="15"/>
  <c r="AA160" i="15"/>
  <c r="Z160" i="15"/>
  <c r="V160" i="15"/>
  <c r="N160" i="15"/>
  <c r="J160" i="15"/>
  <c r="P160" i="15"/>
  <c r="L160" i="15"/>
  <c r="K160" i="15"/>
  <c r="AD159" i="15"/>
  <c r="AC159" i="15"/>
  <c r="AB159" i="15"/>
  <c r="AA159" i="15"/>
  <c r="Z159" i="15"/>
  <c r="V159" i="15"/>
  <c r="N159" i="15"/>
  <c r="M159" i="15"/>
  <c r="AD158" i="15"/>
  <c r="AC158" i="15"/>
  <c r="AB158" i="15"/>
  <c r="AA158" i="15"/>
  <c r="Z158" i="15"/>
  <c r="AD157" i="15"/>
  <c r="AC157" i="15"/>
  <c r="AB157" i="15"/>
  <c r="AA157" i="15"/>
  <c r="Z157" i="15"/>
  <c r="V157" i="15"/>
  <c r="N157" i="15"/>
  <c r="R157" i="15"/>
  <c r="M157" i="15"/>
  <c r="AD156" i="15"/>
  <c r="AC156" i="15"/>
  <c r="AB156" i="15"/>
  <c r="AA156" i="15"/>
  <c r="Z156" i="15"/>
  <c r="V156" i="15"/>
  <c r="N156" i="15"/>
  <c r="M156" i="15"/>
  <c r="AD155" i="15"/>
  <c r="AC155" i="15"/>
  <c r="AB155" i="15"/>
  <c r="AA155" i="15"/>
  <c r="Z155" i="15"/>
  <c r="V155" i="15"/>
  <c r="N155" i="15"/>
  <c r="M155" i="15"/>
  <c r="AD154" i="15"/>
  <c r="AC154" i="15"/>
  <c r="AB154" i="15"/>
  <c r="AA154" i="15"/>
  <c r="Z154" i="15"/>
  <c r="V154" i="15"/>
  <c r="N154" i="15"/>
  <c r="M154" i="15"/>
  <c r="AD153" i="15"/>
  <c r="AC153" i="15"/>
  <c r="AB153" i="15"/>
  <c r="AA153" i="15"/>
  <c r="Z153" i="15"/>
  <c r="V153" i="15"/>
  <c r="N153" i="15"/>
  <c r="L153" i="15"/>
  <c r="K153" i="15"/>
  <c r="J153" i="15"/>
  <c r="M153" i="15"/>
  <c r="AD152" i="15"/>
  <c r="AC152" i="15"/>
  <c r="AB152" i="15"/>
  <c r="AA152" i="15"/>
  <c r="Z152" i="15"/>
  <c r="AD151" i="15"/>
  <c r="AC151" i="15"/>
  <c r="AB151" i="15"/>
  <c r="AA151" i="15"/>
  <c r="Z151" i="15"/>
  <c r="V151" i="15"/>
  <c r="N151" i="15"/>
  <c r="M151" i="15"/>
  <c r="AD150" i="15"/>
  <c r="AC150" i="15"/>
  <c r="AB150" i="15"/>
  <c r="AA150" i="15"/>
  <c r="Z150" i="15"/>
  <c r="V150" i="15"/>
  <c r="N150" i="15"/>
  <c r="M150" i="15"/>
  <c r="AD149" i="15"/>
  <c r="AC149" i="15"/>
  <c r="AB149" i="15"/>
  <c r="AA149" i="15"/>
  <c r="Z149" i="15"/>
  <c r="V149" i="15"/>
  <c r="N149" i="15"/>
  <c r="M149" i="15"/>
  <c r="AD148" i="15"/>
  <c r="AC148" i="15"/>
  <c r="AB148" i="15"/>
  <c r="AA148" i="15"/>
  <c r="Z148" i="15"/>
  <c r="AD147" i="15"/>
  <c r="AC147" i="15"/>
  <c r="AB147" i="15"/>
  <c r="AA147" i="15"/>
  <c r="Z147" i="15"/>
  <c r="V147" i="15"/>
  <c r="N147" i="15"/>
  <c r="L147" i="15"/>
  <c r="K147" i="15"/>
  <c r="J147" i="15"/>
  <c r="M147" i="15"/>
  <c r="AD146" i="15"/>
  <c r="AC146" i="15"/>
  <c r="AB146" i="15"/>
  <c r="AA146" i="15"/>
  <c r="Z146" i="15"/>
  <c r="V146" i="15"/>
  <c r="N146" i="15"/>
  <c r="P146" i="15"/>
  <c r="M146" i="15"/>
  <c r="AD145" i="15"/>
  <c r="AC145" i="15"/>
  <c r="AB145" i="15"/>
  <c r="AA145" i="15"/>
  <c r="Z145" i="15"/>
  <c r="V145" i="15"/>
  <c r="N145" i="15"/>
  <c r="M145" i="15"/>
  <c r="AD144" i="15"/>
  <c r="AC144" i="15"/>
  <c r="AB144" i="15"/>
  <c r="AA144" i="15"/>
  <c r="Z144" i="15"/>
  <c r="V144" i="15"/>
  <c r="N144" i="15"/>
  <c r="M144" i="15"/>
  <c r="AD143" i="15"/>
  <c r="AC143" i="15"/>
  <c r="AB143" i="15"/>
  <c r="AA143" i="15"/>
  <c r="Z143" i="15"/>
  <c r="AD142" i="15"/>
  <c r="AC142" i="15"/>
  <c r="AB142" i="15"/>
  <c r="AA142" i="15"/>
  <c r="Z142" i="15"/>
  <c r="AD141" i="15"/>
  <c r="AC141" i="15"/>
  <c r="AB141" i="15"/>
  <c r="AA141" i="15"/>
  <c r="Z141" i="15"/>
  <c r="V141" i="15"/>
  <c r="N141" i="15"/>
  <c r="L141" i="15"/>
  <c r="K141" i="15"/>
  <c r="J141" i="15"/>
  <c r="M141" i="15"/>
  <c r="AD140" i="15"/>
  <c r="AC140" i="15"/>
  <c r="AB140" i="15"/>
  <c r="AA140" i="15"/>
  <c r="Z140" i="15"/>
  <c r="V140" i="15"/>
  <c r="N140" i="15"/>
  <c r="L140" i="15"/>
  <c r="R140" i="15"/>
  <c r="K140" i="15"/>
  <c r="M140" i="15"/>
  <c r="AD139" i="15"/>
  <c r="AC139" i="15"/>
  <c r="AB139" i="15"/>
  <c r="AA139" i="15"/>
  <c r="Z139" i="15"/>
  <c r="V139" i="15"/>
  <c r="N139" i="15"/>
  <c r="AD138" i="15"/>
  <c r="AC138" i="15"/>
  <c r="AB138" i="15"/>
  <c r="AA138" i="15"/>
  <c r="Z138" i="15"/>
  <c r="V138" i="15"/>
  <c r="N138" i="15"/>
  <c r="L138" i="15"/>
  <c r="R138" i="15"/>
  <c r="K138" i="15"/>
  <c r="J138" i="15"/>
  <c r="AD137" i="15"/>
  <c r="AC137" i="15"/>
  <c r="AB137" i="15"/>
  <c r="AA137" i="15"/>
  <c r="Z137" i="15"/>
  <c r="V137" i="15"/>
  <c r="N137" i="15"/>
  <c r="AD136" i="15"/>
  <c r="AC136" i="15"/>
  <c r="AB136" i="15"/>
  <c r="AA136" i="15"/>
  <c r="Z136" i="15"/>
  <c r="V136" i="15"/>
  <c r="N136" i="15"/>
  <c r="J130" i="15"/>
  <c r="J136" i="15"/>
  <c r="AD135" i="15"/>
  <c r="AC135" i="15"/>
  <c r="AB135" i="15"/>
  <c r="AA135" i="15"/>
  <c r="Z135" i="15"/>
  <c r="V135" i="15"/>
  <c r="N135" i="15"/>
  <c r="L128" i="15"/>
  <c r="L135" i="15"/>
  <c r="J128" i="15"/>
  <c r="J135" i="15"/>
  <c r="AD134" i="15"/>
  <c r="AC134" i="15"/>
  <c r="AB134" i="15"/>
  <c r="AA134" i="15"/>
  <c r="Z134" i="15"/>
  <c r="V134" i="15"/>
  <c r="N134" i="15"/>
  <c r="L134" i="15"/>
  <c r="R134" i="15"/>
  <c r="K134" i="15"/>
  <c r="AD133" i="15"/>
  <c r="AC133" i="15"/>
  <c r="AB133" i="15"/>
  <c r="AA133" i="15"/>
  <c r="Z133" i="15"/>
  <c r="V133" i="15"/>
  <c r="N133" i="15"/>
  <c r="R133" i="15"/>
  <c r="M133" i="15"/>
  <c r="AD132" i="15"/>
  <c r="AC132" i="15"/>
  <c r="AB132" i="15"/>
  <c r="AA132" i="15"/>
  <c r="Z132" i="15"/>
  <c r="V132" i="15"/>
  <c r="N132" i="15"/>
  <c r="L125" i="15"/>
  <c r="L132" i="15"/>
  <c r="AD131" i="15"/>
  <c r="AC131" i="15"/>
  <c r="AB131" i="15"/>
  <c r="AA131" i="15"/>
  <c r="Z131" i="15"/>
  <c r="V131" i="15"/>
  <c r="N131" i="15"/>
  <c r="R131" i="15"/>
  <c r="M131" i="15"/>
  <c r="AD130" i="15"/>
  <c r="AC130" i="15"/>
  <c r="AB130" i="15"/>
  <c r="AA130" i="15"/>
  <c r="Z130" i="15"/>
  <c r="V130" i="15"/>
  <c r="N130" i="15"/>
  <c r="O130" i="15"/>
  <c r="J139" i="15"/>
  <c r="AD129" i="15"/>
  <c r="AC129" i="15"/>
  <c r="AB129" i="15"/>
  <c r="AA129" i="15"/>
  <c r="Z129" i="15"/>
  <c r="V129" i="15"/>
  <c r="N129" i="15"/>
  <c r="O129" i="15"/>
  <c r="J129" i="15"/>
  <c r="AD128" i="15"/>
  <c r="AC128" i="15"/>
  <c r="AB128" i="15"/>
  <c r="AA128" i="15"/>
  <c r="Z128" i="15"/>
  <c r="V128" i="15"/>
  <c r="N128" i="15"/>
  <c r="R128" i="15"/>
  <c r="K128" i="15"/>
  <c r="K135" i="15"/>
  <c r="M128" i="15"/>
  <c r="AD127" i="15"/>
  <c r="AC127" i="15"/>
  <c r="AB127" i="15"/>
  <c r="AA127" i="15"/>
  <c r="Z127" i="15"/>
  <c r="V127" i="15"/>
  <c r="N127" i="15"/>
  <c r="R127" i="15"/>
  <c r="M127" i="15"/>
  <c r="AD126" i="15"/>
  <c r="AC126" i="15"/>
  <c r="AB126" i="15"/>
  <c r="AA126" i="15"/>
  <c r="Z126" i="15"/>
  <c r="V126" i="15"/>
  <c r="N126" i="15"/>
  <c r="P126" i="15"/>
  <c r="M126" i="15"/>
  <c r="AD125" i="15"/>
  <c r="AC125" i="15"/>
  <c r="AB125" i="15"/>
  <c r="AA125" i="15"/>
  <c r="Z125" i="15"/>
  <c r="V125" i="15"/>
  <c r="N125" i="15"/>
  <c r="L137" i="15"/>
  <c r="K125" i="15"/>
  <c r="J125" i="15"/>
  <c r="J132" i="15"/>
  <c r="AD124" i="15"/>
  <c r="AC124" i="15"/>
  <c r="AB124" i="15"/>
  <c r="AA124" i="15"/>
  <c r="Z124" i="15"/>
  <c r="V124" i="15"/>
  <c r="N124" i="15"/>
  <c r="L124" i="15"/>
  <c r="L130" i="15"/>
  <c r="K124" i="15"/>
  <c r="K130" i="15"/>
  <c r="AD123" i="15"/>
  <c r="AC123" i="15"/>
  <c r="AB123" i="15"/>
  <c r="AA123" i="15"/>
  <c r="Z123" i="15"/>
  <c r="V123" i="15"/>
  <c r="N123" i="15"/>
  <c r="M123" i="15"/>
  <c r="AD122" i="15"/>
  <c r="AC122" i="15"/>
  <c r="AB122" i="15"/>
  <c r="AA122" i="15"/>
  <c r="Z122" i="15"/>
  <c r="AD121" i="15"/>
  <c r="AC121" i="15"/>
  <c r="AB121" i="15"/>
  <c r="AA121" i="15"/>
  <c r="Z121" i="15"/>
  <c r="V121" i="15"/>
  <c r="N121" i="15"/>
  <c r="M121" i="15"/>
  <c r="AD120" i="15"/>
  <c r="AC120" i="15"/>
  <c r="AB120" i="15"/>
  <c r="AA120" i="15"/>
  <c r="Z120" i="15"/>
  <c r="V120" i="15"/>
  <c r="N120" i="15"/>
  <c r="L120" i="15"/>
  <c r="K120" i="15"/>
  <c r="J120" i="15"/>
  <c r="AD119" i="15"/>
  <c r="AC119" i="15"/>
  <c r="AB119" i="15"/>
  <c r="AA119" i="15"/>
  <c r="Z119" i="15"/>
  <c r="V119" i="15"/>
  <c r="N119" i="15"/>
  <c r="R119" i="15"/>
  <c r="M119" i="15"/>
  <c r="AD118" i="15"/>
  <c r="AC118" i="15"/>
  <c r="AB118" i="15"/>
  <c r="AA118" i="15"/>
  <c r="Z118" i="15"/>
  <c r="V118" i="15"/>
  <c r="N118" i="15"/>
  <c r="AD117" i="15"/>
  <c r="AC117" i="15"/>
  <c r="AB117" i="15"/>
  <c r="AA117" i="15"/>
  <c r="Z117" i="15"/>
  <c r="AD116" i="15"/>
  <c r="AC116" i="15"/>
  <c r="AB116" i="15"/>
  <c r="AA116" i="15"/>
  <c r="Z116" i="15"/>
  <c r="AD115" i="15"/>
  <c r="AC115" i="15"/>
  <c r="AB115" i="15"/>
  <c r="AA115" i="15"/>
  <c r="Z115" i="15"/>
  <c r="V115" i="15"/>
  <c r="N115" i="15"/>
  <c r="L115" i="15"/>
  <c r="K115" i="15"/>
  <c r="M115" i="15"/>
  <c r="AD114" i="15"/>
  <c r="AC114" i="15"/>
  <c r="AB114" i="15"/>
  <c r="AA114" i="15"/>
  <c r="Z114" i="15"/>
  <c r="V114" i="15"/>
  <c r="N114" i="15"/>
  <c r="L114" i="15"/>
  <c r="R114" i="15"/>
  <c r="K114" i="15"/>
  <c r="AD113" i="15"/>
  <c r="AC113" i="15"/>
  <c r="AB113" i="15"/>
  <c r="AA113" i="15"/>
  <c r="Z113" i="15"/>
  <c r="V113" i="15"/>
  <c r="N113" i="15"/>
  <c r="L113" i="15"/>
  <c r="R113" i="15"/>
  <c r="M113" i="15"/>
  <c r="AD112" i="15"/>
  <c r="AC112" i="15"/>
  <c r="AB112" i="15"/>
  <c r="AA112" i="15"/>
  <c r="Z112" i="15"/>
  <c r="V112" i="15"/>
  <c r="N112" i="15"/>
  <c r="L112" i="15"/>
  <c r="R112" i="15"/>
  <c r="M112" i="15"/>
  <c r="AD111" i="15"/>
  <c r="AC111" i="15"/>
  <c r="AB111" i="15"/>
  <c r="AA111" i="15"/>
  <c r="Z111" i="15"/>
  <c r="V111" i="15"/>
  <c r="N111" i="15"/>
  <c r="R111" i="15"/>
  <c r="K111" i="15"/>
  <c r="M111" i="15"/>
  <c r="AD110" i="15"/>
  <c r="AC110" i="15"/>
  <c r="AB110" i="15"/>
  <c r="AA110" i="15"/>
  <c r="Z110" i="15"/>
  <c r="V110" i="15"/>
  <c r="N110" i="15"/>
  <c r="R110" i="15"/>
  <c r="J110" i="15"/>
  <c r="M110" i="15"/>
  <c r="AD109" i="15"/>
  <c r="AC109" i="15"/>
  <c r="AB109" i="15"/>
  <c r="AA109" i="15"/>
  <c r="Z109" i="15"/>
  <c r="V109" i="15"/>
  <c r="N109" i="15"/>
  <c r="R109" i="15"/>
  <c r="J109" i="15"/>
  <c r="M109" i="15"/>
  <c r="AD108" i="15"/>
  <c r="AC108" i="15"/>
  <c r="AB108" i="15"/>
  <c r="AA108" i="15"/>
  <c r="Z108" i="15"/>
  <c r="V108" i="15"/>
  <c r="N108" i="15"/>
  <c r="R108" i="15"/>
  <c r="J108" i="15"/>
  <c r="M108" i="15"/>
  <c r="AD107" i="15"/>
  <c r="AC107" i="15"/>
  <c r="AB107" i="15"/>
  <c r="AA107" i="15"/>
  <c r="Z107" i="15"/>
  <c r="AD106" i="15"/>
  <c r="AC106" i="15"/>
  <c r="AB106" i="15"/>
  <c r="AA106" i="15"/>
  <c r="Z106" i="15"/>
  <c r="V106" i="15"/>
  <c r="N106" i="15"/>
  <c r="L106" i="15"/>
  <c r="R106" i="15"/>
  <c r="K106" i="15"/>
  <c r="J106" i="15"/>
  <c r="AD105" i="15"/>
  <c r="AC105" i="15"/>
  <c r="AB105" i="15"/>
  <c r="AA105" i="15"/>
  <c r="Z105" i="15"/>
  <c r="V105" i="15"/>
  <c r="N105" i="15"/>
  <c r="L105" i="15"/>
  <c r="R105" i="15"/>
  <c r="K105" i="15"/>
  <c r="J105" i="15"/>
  <c r="AD104" i="15"/>
  <c r="AC104" i="15"/>
  <c r="AB104" i="15"/>
  <c r="AA104" i="15"/>
  <c r="Z104" i="15"/>
  <c r="V104" i="15"/>
  <c r="N104" i="15"/>
  <c r="L104" i="15"/>
  <c r="R104" i="15"/>
  <c r="K104" i="15"/>
  <c r="J104" i="15"/>
  <c r="AD103" i="15"/>
  <c r="AC103" i="15"/>
  <c r="AB103" i="15"/>
  <c r="AA103" i="15"/>
  <c r="Z103" i="15"/>
  <c r="V103" i="15"/>
  <c r="N103" i="15"/>
  <c r="AD102" i="15"/>
  <c r="AC102" i="15"/>
  <c r="AB102" i="15"/>
  <c r="AA102" i="15"/>
  <c r="Z102" i="15"/>
  <c r="V102" i="15"/>
  <c r="N102" i="15"/>
  <c r="L102" i="15"/>
  <c r="K102" i="15"/>
  <c r="J102" i="15"/>
  <c r="AD101" i="15"/>
  <c r="AC101" i="15"/>
  <c r="AB101" i="15"/>
  <c r="AA101" i="15"/>
  <c r="Z101" i="15"/>
  <c r="V101" i="15"/>
  <c r="N101" i="15"/>
  <c r="L101" i="15"/>
  <c r="K101" i="15"/>
  <c r="J101" i="15"/>
  <c r="AD100" i="15"/>
  <c r="AC100" i="15"/>
  <c r="AB100" i="15"/>
  <c r="AA100" i="15"/>
  <c r="Z100" i="15"/>
  <c r="V100" i="15"/>
  <c r="N100" i="15"/>
  <c r="L100" i="15"/>
  <c r="K100" i="15"/>
  <c r="J100" i="15"/>
  <c r="M100" i="15"/>
  <c r="AD99" i="15"/>
  <c r="AC99" i="15"/>
  <c r="AB99" i="15"/>
  <c r="AA99" i="15"/>
  <c r="Z99" i="15"/>
  <c r="V99" i="15"/>
  <c r="N99" i="15"/>
  <c r="L99" i="15"/>
  <c r="K99" i="15"/>
  <c r="J99" i="15"/>
  <c r="AD98" i="15"/>
  <c r="AC98" i="15"/>
  <c r="AB98" i="15"/>
  <c r="AA98" i="15"/>
  <c r="Z98" i="15"/>
  <c r="V98" i="15"/>
  <c r="N98" i="15"/>
  <c r="M98" i="15"/>
  <c r="AD97" i="15"/>
  <c r="AC97" i="15"/>
  <c r="AB97" i="15"/>
  <c r="AA97" i="15"/>
  <c r="Z97" i="15"/>
  <c r="V97" i="15"/>
  <c r="N97" i="15"/>
  <c r="M97" i="15"/>
  <c r="AD96" i="15"/>
  <c r="AC96" i="15"/>
  <c r="AB96" i="15"/>
  <c r="AA96" i="15"/>
  <c r="Z96" i="15"/>
  <c r="AD95" i="15"/>
  <c r="AC95" i="15"/>
  <c r="AB95" i="15"/>
  <c r="AA95" i="15"/>
  <c r="Z95" i="15"/>
  <c r="V95" i="15"/>
  <c r="N95" i="15"/>
  <c r="L95" i="15"/>
  <c r="R95" i="15"/>
  <c r="K95" i="15"/>
  <c r="J95" i="15"/>
  <c r="AD94" i="15"/>
  <c r="AC94" i="15"/>
  <c r="AB94" i="15"/>
  <c r="AA94" i="15"/>
  <c r="Z94" i="15"/>
  <c r="V94" i="15"/>
  <c r="N94" i="15"/>
  <c r="O94" i="15"/>
  <c r="S94" i="15"/>
  <c r="M94" i="15"/>
  <c r="AD93" i="15"/>
  <c r="AC93" i="15"/>
  <c r="AB93" i="15"/>
  <c r="AA93" i="15"/>
  <c r="Z93" i="15"/>
  <c r="V93" i="15"/>
  <c r="N93" i="15"/>
  <c r="J93" i="15"/>
  <c r="P93" i="15"/>
  <c r="L93" i="15"/>
  <c r="K93" i="15"/>
  <c r="AD92" i="15"/>
  <c r="AC92" i="15"/>
  <c r="AB92" i="15"/>
  <c r="AA92" i="15"/>
  <c r="Z92" i="15"/>
  <c r="V92" i="15"/>
  <c r="N92" i="15"/>
  <c r="J92" i="15"/>
  <c r="P92" i="15"/>
  <c r="L92" i="15"/>
  <c r="K92" i="15"/>
  <c r="AD91" i="15"/>
  <c r="AC91" i="15"/>
  <c r="AB91" i="15"/>
  <c r="AA91" i="15"/>
  <c r="Z91" i="15"/>
  <c r="V91" i="15"/>
  <c r="N91" i="15"/>
  <c r="L91" i="15"/>
  <c r="K91" i="15"/>
  <c r="J91" i="15"/>
  <c r="AD90" i="15"/>
  <c r="AC90" i="15"/>
  <c r="AB90" i="15"/>
  <c r="AA90" i="15"/>
  <c r="Z90" i="15"/>
  <c r="V90" i="15"/>
  <c r="N90" i="15"/>
  <c r="J90" i="15"/>
  <c r="P90" i="15"/>
  <c r="L90" i="15"/>
  <c r="K90" i="15"/>
  <c r="AD89" i="15"/>
  <c r="AC89" i="15"/>
  <c r="AB89" i="15"/>
  <c r="AA89" i="15"/>
  <c r="Z89" i="15"/>
  <c r="V89" i="15"/>
  <c r="N89" i="15"/>
  <c r="P89" i="15"/>
  <c r="M89" i="15"/>
  <c r="AD88" i="15"/>
  <c r="AC88" i="15"/>
  <c r="AB88" i="15"/>
  <c r="AA88" i="15"/>
  <c r="Z88" i="15"/>
  <c r="AD87" i="15"/>
  <c r="AC87" i="15"/>
  <c r="AB87" i="15"/>
  <c r="AA87" i="15"/>
  <c r="Z87" i="15"/>
  <c r="V87" i="15"/>
  <c r="N87" i="15"/>
  <c r="R87" i="15"/>
  <c r="M87" i="15"/>
  <c r="AD86" i="15"/>
  <c r="AC86" i="15"/>
  <c r="AB86" i="15"/>
  <c r="AA86" i="15"/>
  <c r="Z86" i="15"/>
  <c r="AD85" i="15"/>
  <c r="AC85" i="15"/>
  <c r="AB85" i="15"/>
  <c r="AA85" i="15"/>
  <c r="Z85" i="15"/>
  <c r="AD84" i="15"/>
  <c r="AC84" i="15"/>
  <c r="AB84" i="15"/>
  <c r="AA84" i="15"/>
  <c r="Z84" i="15"/>
  <c r="AD83" i="15"/>
  <c r="AC83" i="15"/>
  <c r="AB83" i="15"/>
  <c r="AA83" i="15"/>
  <c r="Z83" i="15"/>
  <c r="V83" i="15"/>
  <c r="N83" i="15"/>
  <c r="M83" i="15"/>
  <c r="AD82" i="15"/>
  <c r="AC82" i="15"/>
  <c r="AB82" i="15"/>
  <c r="AA82" i="15"/>
  <c r="Z82" i="15"/>
  <c r="V82" i="15"/>
  <c r="N82" i="15"/>
  <c r="R82" i="15"/>
  <c r="J82" i="15"/>
  <c r="M82" i="15"/>
  <c r="AD81" i="15"/>
  <c r="AC81" i="15"/>
  <c r="AB81" i="15"/>
  <c r="AA81" i="15"/>
  <c r="Z81" i="15"/>
  <c r="V81" i="15"/>
  <c r="N81" i="15"/>
  <c r="M81" i="15"/>
  <c r="AD80" i="15"/>
  <c r="AC80" i="15"/>
  <c r="AB80" i="15"/>
  <c r="AA80" i="15"/>
  <c r="Z80" i="15"/>
  <c r="AD79" i="15"/>
  <c r="AC79" i="15"/>
  <c r="AB79" i="15"/>
  <c r="AA79" i="15"/>
  <c r="Z79" i="15"/>
  <c r="V79" i="15"/>
  <c r="N79" i="15"/>
  <c r="R79" i="15"/>
  <c r="M79" i="15"/>
  <c r="AD78" i="15"/>
  <c r="AC78" i="15"/>
  <c r="AB78" i="15"/>
  <c r="AA78" i="15"/>
  <c r="Z78" i="15"/>
  <c r="V78" i="15"/>
  <c r="N78" i="15"/>
  <c r="R78" i="15"/>
  <c r="J78" i="15"/>
  <c r="M78" i="15"/>
  <c r="AD77" i="15"/>
  <c r="AC77" i="15"/>
  <c r="AB77" i="15"/>
  <c r="AA77" i="15"/>
  <c r="Z77" i="15"/>
  <c r="AD76" i="15"/>
  <c r="AC76" i="15"/>
  <c r="AB76" i="15"/>
  <c r="AA76" i="15"/>
  <c r="Z76" i="15"/>
  <c r="V76" i="15"/>
  <c r="N76" i="15"/>
  <c r="AD75" i="15"/>
  <c r="AC75" i="15"/>
  <c r="AB75" i="15"/>
  <c r="AA75" i="15"/>
  <c r="Z75" i="15"/>
  <c r="V75" i="15"/>
  <c r="N75" i="15"/>
  <c r="P75" i="15"/>
  <c r="M75" i="15"/>
  <c r="AD74" i="15"/>
  <c r="AC74" i="15"/>
  <c r="AB74" i="15"/>
  <c r="AA74" i="15"/>
  <c r="Z74" i="15"/>
  <c r="V74" i="15"/>
  <c r="N74" i="15"/>
  <c r="L74" i="15"/>
  <c r="K74" i="15"/>
  <c r="J74" i="15"/>
  <c r="AD73" i="15"/>
  <c r="AC73" i="15"/>
  <c r="AB73" i="15"/>
  <c r="AA73" i="15"/>
  <c r="Z73" i="15"/>
  <c r="V73" i="15"/>
  <c r="N73" i="15"/>
  <c r="L73" i="15"/>
  <c r="K73" i="15"/>
  <c r="J73" i="15"/>
  <c r="AD72" i="15"/>
  <c r="AC72" i="15"/>
  <c r="AB72" i="15"/>
  <c r="AA72" i="15"/>
  <c r="Z72" i="15"/>
  <c r="V72" i="15"/>
  <c r="N72" i="15"/>
  <c r="M72" i="15"/>
  <c r="AD71" i="15"/>
  <c r="AC71" i="15"/>
  <c r="AB71" i="15"/>
  <c r="AA71" i="15"/>
  <c r="Z71" i="15"/>
  <c r="V71" i="15"/>
  <c r="N71" i="15"/>
  <c r="M71" i="15"/>
  <c r="AD70" i="15"/>
  <c r="AC70" i="15"/>
  <c r="AB70" i="15"/>
  <c r="AA70" i="15"/>
  <c r="Z70" i="15"/>
  <c r="AD69" i="15"/>
  <c r="AC69" i="15"/>
  <c r="AB69" i="15"/>
  <c r="AA69" i="15"/>
  <c r="Z69" i="15"/>
  <c r="AD68" i="15"/>
  <c r="AC68" i="15"/>
  <c r="AB68" i="15"/>
  <c r="AA68" i="15"/>
  <c r="Z68" i="15"/>
  <c r="V68" i="15"/>
  <c r="N68" i="15"/>
  <c r="L68" i="15"/>
  <c r="K68" i="15"/>
  <c r="J68" i="15"/>
  <c r="I68" i="15"/>
  <c r="AD67" i="15"/>
  <c r="AC67" i="15"/>
  <c r="AB67" i="15"/>
  <c r="AA67" i="15"/>
  <c r="Z67" i="15"/>
  <c r="V67" i="15"/>
  <c r="N67" i="15"/>
  <c r="AD66" i="15"/>
  <c r="AC66" i="15"/>
  <c r="AB66" i="15"/>
  <c r="AA66" i="15"/>
  <c r="Z66" i="15"/>
  <c r="V66" i="15"/>
  <c r="N66" i="15"/>
  <c r="I66" i="15"/>
  <c r="O66" i="15"/>
  <c r="K58" i="15"/>
  <c r="K66" i="15"/>
  <c r="AD65" i="15"/>
  <c r="AC65" i="15"/>
  <c r="AB65" i="15"/>
  <c r="AA65" i="15"/>
  <c r="Z65" i="15"/>
  <c r="V65" i="15"/>
  <c r="N65" i="15"/>
  <c r="I65" i="15"/>
  <c r="AD64" i="15"/>
  <c r="AC64" i="15"/>
  <c r="AB64" i="15"/>
  <c r="AA64" i="15"/>
  <c r="Z64" i="15"/>
  <c r="V64" i="15"/>
  <c r="N64" i="15"/>
  <c r="K64" i="15"/>
  <c r="Q64" i="15"/>
  <c r="I64" i="15"/>
  <c r="AD63" i="15"/>
  <c r="AC63" i="15"/>
  <c r="AB63" i="15"/>
  <c r="AA63" i="15"/>
  <c r="Z63" i="15"/>
  <c r="V63" i="15"/>
  <c r="N63" i="15"/>
  <c r="L63" i="15"/>
  <c r="K63" i="15"/>
  <c r="J63" i="15"/>
  <c r="AD62" i="15"/>
  <c r="AC62" i="15"/>
  <c r="AB62" i="15"/>
  <c r="AA62" i="15"/>
  <c r="Z62" i="15"/>
  <c r="V62" i="15"/>
  <c r="N62" i="15"/>
  <c r="P62" i="15"/>
  <c r="M62" i="15"/>
  <c r="AD61" i="15"/>
  <c r="AC61" i="15"/>
  <c r="AB61" i="15"/>
  <c r="AA61" i="15"/>
  <c r="Z61" i="15"/>
  <c r="V61" i="15"/>
  <c r="N61" i="15"/>
  <c r="P61" i="15"/>
  <c r="M61" i="15"/>
  <c r="AD60" i="15"/>
  <c r="AC60" i="15"/>
  <c r="AB60" i="15"/>
  <c r="AA60" i="15"/>
  <c r="Z60" i="15"/>
  <c r="V60" i="15"/>
  <c r="N60" i="15"/>
  <c r="R60" i="15"/>
  <c r="M60" i="15"/>
  <c r="AD59" i="15"/>
  <c r="AC59" i="15"/>
  <c r="AB59" i="15"/>
  <c r="AA59" i="15"/>
  <c r="Z59" i="15"/>
  <c r="V59" i="15"/>
  <c r="N59" i="15"/>
  <c r="R59" i="15"/>
  <c r="M59" i="15"/>
  <c r="AD58" i="15"/>
  <c r="AC58" i="15"/>
  <c r="AB58" i="15"/>
  <c r="AA58" i="15"/>
  <c r="Z58" i="15"/>
  <c r="V58" i="15"/>
  <c r="N58" i="15"/>
  <c r="J58" i="15"/>
  <c r="P58" i="15"/>
  <c r="L58" i="15"/>
  <c r="L66" i="15"/>
  <c r="L67" i="15"/>
  <c r="K65" i="15"/>
  <c r="J65" i="15"/>
  <c r="AD57" i="15"/>
  <c r="AC57" i="15"/>
  <c r="AB57" i="15"/>
  <c r="AA57" i="15"/>
  <c r="Z57" i="15"/>
  <c r="V57" i="15"/>
  <c r="N57" i="15"/>
  <c r="M57" i="15"/>
  <c r="AD56" i="15"/>
  <c r="AC56" i="15"/>
  <c r="AB56" i="15"/>
  <c r="AA56" i="15"/>
  <c r="Z56" i="15"/>
  <c r="V56" i="15"/>
  <c r="N56" i="15"/>
  <c r="M56" i="15"/>
  <c r="AD55" i="15"/>
  <c r="AC55" i="15"/>
  <c r="AB55" i="15"/>
  <c r="AA55" i="15"/>
  <c r="Z55" i="15"/>
  <c r="V55" i="15"/>
  <c r="N55" i="15"/>
  <c r="M55" i="15"/>
  <c r="AD54" i="15"/>
  <c r="AC54" i="15"/>
  <c r="AB54" i="15"/>
  <c r="AA54" i="15"/>
  <c r="Z54" i="15"/>
  <c r="AD53" i="15"/>
  <c r="AC53" i="15"/>
  <c r="AB53" i="15"/>
  <c r="AA53" i="15"/>
  <c r="Z53" i="15"/>
  <c r="V53" i="15"/>
  <c r="N53" i="15"/>
  <c r="L53" i="15"/>
  <c r="R53" i="15"/>
  <c r="K53" i="15"/>
  <c r="J53" i="15"/>
  <c r="AD52" i="15"/>
  <c r="AC52" i="15"/>
  <c r="AB52" i="15"/>
  <c r="AA52" i="15"/>
  <c r="Z52" i="15"/>
  <c r="V52" i="15"/>
  <c r="N52" i="15"/>
  <c r="O52" i="15"/>
  <c r="AD51" i="15"/>
  <c r="AC51" i="15"/>
  <c r="AB51" i="15"/>
  <c r="AA51" i="15"/>
  <c r="Z51" i="15"/>
  <c r="V51" i="15"/>
  <c r="N51" i="15"/>
  <c r="O51" i="15"/>
  <c r="AD50" i="15"/>
  <c r="AC50" i="15"/>
  <c r="AB50" i="15"/>
  <c r="AA50" i="15"/>
  <c r="Z50" i="15"/>
  <c r="V50" i="15"/>
  <c r="N50" i="15"/>
  <c r="R50" i="15"/>
  <c r="M50" i="15"/>
  <c r="AD49" i="15"/>
  <c r="AC49" i="15"/>
  <c r="AB49" i="15"/>
  <c r="AA49" i="15"/>
  <c r="Z49" i="15"/>
  <c r="V49" i="15"/>
  <c r="N49" i="15"/>
  <c r="L49" i="15"/>
  <c r="R49" i="15"/>
  <c r="L52" i="15"/>
  <c r="K49" i="15"/>
  <c r="K52" i="15"/>
  <c r="J49" i="15"/>
  <c r="M49" i="15"/>
  <c r="AD48" i="15"/>
  <c r="AC48" i="15"/>
  <c r="AB48" i="15"/>
  <c r="AA48" i="15"/>
  <c r="Z48" i="15"/>
  <c r="V48" i="15"/>
  <c r="N48" i="15"/>
  <c r="M48" i="15"/>
  <c r="AD47" i="15"/>
  <c r="AC47" i="15"/>
  <c r="AB47" i="15"/>
  <c r="AA47" i="15"/>
  <c r="Z47" i="15"/>
  <c r="AD46" i="15"/>
  <c r="AC46" i="15"/>
  <c r="AB46" i="15"/>
  <c r="AA46" i="15"/>
  <c r="Z46" i="15"/>
  <c r="V46" i="15"/>
  <c r="N46" i="15"/>
  <c r="O46" i="15"/>
  <c r="AD45" i="15"/>
  <c r="AC45" i="15"/>
  <c r="AB45" i="15"/>
  <c r="AA45" i="15"/>
  <c r="Z45" i="15"/>
  <c r="V45" i="15"/>
  <c r="N45" i="15"/>
  <c r="P45" i="15"/>
  <c r="AD44" i="15"/>
  <c r="AC44" i="15"/>
  <c r="AB44" i="15"/>
  <c r="AA44" i="15"/>
  <c r="Z44" i="15"/>
  <c r="V44" i="15"/>
  <c r="N44" i="15"/>
  <c r="L44" i="15"/>
  <c r="R44" i="15"/>
  <c r="L46" i="15"/>
  <c r="K44" i="15"/>
  <c r="L45" i="15"/>
  <c r="J44" i="15"/>
  <c r="J46" i="15"/>
  <c r="AD43" i="15"/>
  <c r="AC43" i="15"/>
  <c r="AB43" i="15"/>
  <c r="AA43" i="15"/>
  <c r="Z43" i="15"/>
  <c r="V43" i="15"/>
  <c r="N43" i="15"/>
  <c r="R43" i="15"/>
  <c r="J43" i="15"/>
  <c r="M43" i="15"/>
  <c r="AD42" i="15"/>
  <c r="AC42" i="15"/>
  <c r="AB42" i="15"/>
  <c r="AA42" i="15"/>
  <c r="Z42" i="15"/>
  <c r="V42" i="15"/>
  <c r="N42" i="15"/>
  <c r="O42" i="15"/>
  <c r="L42" i="15"/>
  <c r="K42" i="15"/>
  <c r="J42" i="15"/>
  <c r="M42" i="15"/>
  <c r="AD41" i="15"/>
  <c r="AC41" i="15"/>
  <c r="AB41" i="15"/>
  <c r="AA41" i="15"/>
  <c r="Z41" i="15"/>
  <c r="V41" i="15"/>
  <c r="N41" i="15"/>
  <c r="M41" i="15"/>
  <c r="AD40" i="15"/>
  <c r="AC40" i="15"/>
  <c r="AB40" i="15"/>
  <c r="AA40" i="15"/>
  <c r="Z40" i="15"/>
  <c r="AD39" i="15"/>
  <c r="AC39" i="15"/>
  <c r="AB39" i="15"/>
  <c r="AA39" i="15"/>
  <c r="Z39" i="15"/>
  <c r="AD38" i="15"/>
  <c r="AC38" i="15"/>
  <c r="AB38" i="15"/>
  <c r="AA38" i="15"/>
  <c r="Z38" i="15"/>
  <c r="V38" i="15"/>
  <c r="N38" i="15"/>
  <c r="M38" i="15"/>
  <c r="AD37" i="15"/>
  <c r="AC37" i="15"/>
  <c r="AB37" i="15"/>
  <c r="AA37" i="15"/>
  <c r="Z37" i="15"/>
  <c r="V37" i="15"/>
  <c r="N37" i="15"/>
  <c r="Q37" i="15"/>
  <c r="M37" i="15"/>
  <c r="AD36" i="15"/>
  <c r="AC36" i="15"/>
  <c r="AB36" i="15"/>
  <c r="AA36" i="15"/>
  <c r="Z36" i="15"/>
  <c r="V36" i="15"/>
  <c r="N36" i="15"/>
  <c r="R36" i="15"/>
  <c r="M36" i="15"/>
  <c r="AD35" i="15"/>
  <c r="AC35" i="15"/>
  <c r="AB35" i="15"/>
  <c r="AA35" i="15"/>
  <c r="Z35" i="15"/>
  <c r="V35" i="15"/>
  <c r="N35" i="15"/>
  <c r="P35" i="15"/>
  <c r="M35" i="15"/>
  <c r="AD34" i="15"/>
  <c r="AC34" i="15"/>
  <c r="AB34" i="15"/>
  <c r="AA34" i="15"/>
  <c r="Z34" i="15"/>
  <c r="V34" i="15"/>
  <c r="N34" i="15"/>
  <c r="M34" i="15"/>
  <c r="AD33" i="15"/>
  <c r="AC33" i="15"/>
  <c r="AB33" i="15"/>
  <c r="AA33" i="15"/>
  <c r="Z33" i="15"/>
  <c r="AD32" i="15"/>
  <c r="AC32" i="15"/>
  <c r="AB32" i="15"/>
  <c r="AA32" i="15"/>
  <c r="Z32" i="15"/>
  <c r="V32" i="15"/>
  <c r="N32" i="15"/>
  <c r="L32" i="15"/>
  <c r="K32" i="15"/>
  <c r="J32" i="15"/>
  <c r="I32" i="15"/>
  <c r="AD31" i="15"/>
  <c r="AC31" i="15"/>
  <c r="AB31" i="15"/>
  <c r="AA31" i="15"/>
  <c r="Z31" i="15"/>
  <c r="V31" i="15"/>
  <c r="N31" i="15"/>
  <c r="R31" i="15"/>
  <c r="M31" i="15"/>
  <c r="AD30" i="15"/>
  <c r="AC30" i="15"/>
  <c r="AB30" i="15"/>
  <c r="AA30" i="15"/>
  <c r="Z30" i="15"/>
  <c r="V30" i="15"/>
  <c r="N30" i="15"/>
  <c r="M30" i="15"/>
  <c r="AD29" i="15"/>
  <c r="AC29" i="15"/>
  <c r="AB29" i="15"/>
  <c r="AA29" i="15"/>
  <c r="Z29" i="15"/>
  <c r="AD28" i="15"/>
  <c r="AC28" i="15"/>
  <c r="AB28" i="15"/>
  <c r="AA28" i="15"/>
  <c r="Z28" i="15"/>
  <c r="V28" i="15"/>
  <c r="N28" i="15"/>
  <c r="R28" i="15"/>
  <c r="M28" i="15"/>
  <c r="AD27" i="15"/>
  <c r="AC27" i="15"/>
  <c r="AB27" i="15"/>
  <c r="AA27" i="15"/>
  <c r="Z27" i="15"/>
  <c r="V27" i="15"/>
  <c r="N27" i="15"/>
  <c r="R27" i="15"/>
  <c r="M27" i="15"/>
  <c r="AD26" i="15"/>
  <c r="AC26" i="15"/>
  <c r="AB26" i="15"/>
  <c r="AA26" i="15"/>
  <c r="Z26" i="15"/>
  <c r="V26" i="15"/>
  <c r="N26" i="15"/>
  <c r="L26" i="15"/>
  <c r="K26" i="15"/>
  <c r="J26" i="15"/>
  <c r="I26" i="15"/>
  <c r="AD25" i="15"/>
  <c r="AC25" i="15"/>
  <c r="AB25" i="15"/>
  <c r="AA25" i="15"/>
  <c r="Z25" i="15"/>
  <c r="V25" i="15"/>
  <c r="N25" i="15"/>
  <c r="L25" i="15"/>
  <c r="K25" i="15"/>
  <c r="J25" i="15"/>
  <c r="I25" i="15"/>
  <c r="AD24" i="15"/>
  <c r="AC24" i="15"/>
  <c r="AB24" i="15"/>
  <c r="AA24" i="15"/>
  <c r="Z24" i="15"/>
  <c r="V24" i="15"/>
  <c r="N24" i="15"/>
  <c r="R24" i="15"/>
  <c r="M24" i="15"/>
  <c r="AD23" i="15"/>
  <c r="AC23" i="15"/>
  <c r="AB23" i="15"/>
  <c r="AA23" i="15"/>
  <c r="Z23" i="15"/>
  <c r="V23" i="15"/>
  <c r="N23" i="15"/>
  <c r="R23" i="15"/>
  <c r="M23" i="15"/>
  <c r="AD22" i="15"/>
  <c r="AC22" i="15"/>
  <c r="AB22" i="15"/>
  <c r="AA22" i="15"/>
  <c r="Z22" i="15"/>
  <c r="V22" i="15"/>
  <c r="N22" i="15"/>
  <c r="R22" i="15"/>
  <c r="M22" i="15"/>
  <c r="AD21" i="15"/>
  <c r="AC21" i="15"/>
  <c r="AB21" i="15"/>
  <c r="AA21" i="15"/>
  <c r="Z21" i="15"/>
  <c r="V21" i="15"/>
  <c r="N21" i="15"/>
  <c r="J21" i="15"/>
  <c r="P21" i="15"/>
  <c r="M21" i="15"/>
  <c r="AD20" i="15"/>
  <c r="AC20" i="15"/>
  <c r="AB20" i="15"/>
  <c r="AA20" i="15"/>
  <c r="Z20" i="15"/>
  <c r="AD19" i="15"/>
  <c r="AC19" i="15"/>
  <c r="AB19" i="15"/>
  <c r="AA19" i="15"/>
  <c r="Z19" i="15"/>
  <c r="AD18" i="15"/>
  <c r="AC18" i="15"/>
  <c r="AB18" i="15"/>
  <c r="AA18" i="15"/>
  <c r="Z18" i="15"/>
  <c r="V18" i="15"/>
  <c r="N18" i="15"/>
  <c r="L18" i="15"/>
  <c r="K18" i="15"/>
  <c r="J18" i="15"/>
  <c r="I18" i="15"/>
  <c r="M18" i="15"/>
  <c r="AD17" i="15"/>
  <c r="AC17" i="15"/>
  <c r="AB17" i="15"/>
  <c r="AA17" i="15"/>
  <c r="Z17" i="15"/>
  <c r="V17" i="15"/>
  <c r="N17" i="15"/>
  <c r="L17" i="15"/>
  <c r="K17" i="15"/>
  <c r="J17" i="15"/>
  <c r="I17" i="15"/>
  <c r="AD16" i="15"/>
  <c r="AC16" i="15"/>
  <c r="AB16" i="15"/>
  <c r="AA16" i="15"/>
  <c r="Z16" i="15"/>
  <c r="V16" i="15"/>
  <c r="N16" i="15"/>
  <c r="L16" i="15"/>
  <c r="R16" i="15"/>
  <c r="K16" i="15"/>
  <c r="J16" i="15"/>
  <c r="I16" i="15"/>
  <c r="M16" i="15"/>
  <c r="AD15" i="15"/>
  <c r="AC15" i="15"/>
  <c r="AB15" i="15"/>
  <c r="AA15" i="15"/>
  <c r="Z15" i="15"/>
  <c r="V15" i="15"/>
  <c r="N15" i="15"/>
  <c r="L15" i="15"/>
  <c r="K15" i="15"/>
  <c r="J15" i="15"/>
  <c r="I15" i="15"/>
  <c r="M15" i="15"/>
  <c r="AD14" i="15"/>
  <c r="AC14" i="15"/>
  <c r="AB14" i="15"/>
  <c r="AA14" i="15"/>
  <c r="Z14" i="15"/>
  <c r="V14" i="15"/>
  <c r="N14" i="15"/>
  <c r="M14" i="15"/>
  <c r="AD13" i="15"/>
  <c r="AC13" i="15"/>
  <c r="AB13" i="15"/>
  <c r="AA13" i="15"/>
  <c r="Z13" i="15"/>
  <c r="V13" i="15"/>
  <c r="N13" i="15"/>
  <c r="O13" i="15"/>
  <c r="J13" i="15"/>
  <c r="M13" i="15"/>
  <c r="AD12" i="15"/>
  <c r="AC12" i="15"/>
  <c r="AB12" i="15"/>
  <c r="AA12" i="15"/>
  <c r="Z12" i="15"/>
  <c r="AD11" i="15"/>
  <c r="AC11" i="15"/>
  <c r="AB11" i="15"/>
  <c r="AA11" i="15"/>
  <c r="Z11" i="15"/>
  <c r="V11" i="15"/>
  <c r="N11" i="15"/>
  <c r="R11" i="15"/>
  <c r="K11" i="15"/>
  <c r="J11" i="15"/>
  <c r="M11" i="15"/>
  <c r="AD10" i="15"/>
  <c r="AC10" i="15"/>
  <c r="AB10" i="15"/>
  <c r="AA10" i="15"/>
  <c r="Z10" i="15"/>
  <c r="V10" i="15"/>
  <c r="N10" i="15"/>
  <c r="Q10" i="15"/>
  <c r="J10" i="15"/>
  <c r="M10" i="15"/>
  <c r="AD9" i="15"/>
  <c r="AC9" i="15"/>
  <c r="AB9" i="15"/>
  <c r="AA9" i="15"/>
  <c r="Z9" i="15"/>
  <c r="V9" i="15"/>
  <c r="N9" i="15"/>
  <c r="O9" i="15"/>
  <c r="M9" i="15"/>
  <c r="AD8" i="15"/>
  <c r="AC8" i="15"/>
  <c r="AB8" i="15"/>
  <c r="AA8" i="15"/>
  <c r="Z8" i="15"/>
  <c r="V8" i="15"/>
  <c r="N8" i="15"/>
  <c r="R8" i="15"/>
  <c r="J8" i="15"/>
  <c r="I8" i="15"/>
  <c r="AD7" i="15"/>
  <c r="AC7" i="15"/>
  <c r="AB7" i="15"/>
  <c r="AA7" i="15"/>
  <c r="Z7" i="15"/>
  <c r="V7" i="15"/>
  <c r="N7" i="15"/>
  <c r="I7" i="15"/>
  <c r="M7" i="15"/>
  <c r="AD6" i="15"/>
  <c r="AC6" i="15"/>
  <c r="AB6" i="15"/>
  <c r="AA6" i="15"/>
  <c r="Z6" i="15"/>
  <c r="AD5" i="15"/>
  <c r="AC5" i="15"/>
  <c r="AB5" i="15"/>
  <c r="AA5" i="15"/>
  <c r="Z5" i="15"/>
  <c r="AD4" i="15"/>
  <c r="AC4" i="15"/>
  <c r="AB4" i="15"/>
  <c r="AA4" i="15"/>
  <c r="Z4" i="15"/>
  <c r="AD3" i="15"/>
  <c r="AC3" i="15"/>
  <c r="AB3" i="15"/>
  <c r="AA3" i="15"/>
  <c r="Z3" i="15"/>
  <c r="R17" i="15"/>
  <c r="P25" i="15"/>
  <c r="J178" i="15"/>
  <c r="J181" i="15"/>
  <c r="R214" i="15"/>
  <c r="R224" i="15"/>
  <c r="L229" i="15"/>
  <c r="R229" i="15"/>
  <c r="J230" i="15"/>
  <c r="P255" i="15"/>
  <c r="L425" i="15"/>
  <c r="M612" i="15"/>
  <c r="Q632" i="15"/>
  <c r="R74" i="15"/>
  <c r="M92" i="15"/>
  <c r="R100" i="15"/>
  <c r="R124" i="15"/>
  <c r="R135" i="15"/>
  <c r="P136" i="15"/>
  <c r="M138" i="15"/>
  <c r="R141" i="15"/>
  <c r="R153" i="15"/>
  <c r="P176" i="15"/>
  <c r="L178" i="15"/>
  <c r="L181" i="15"/>
  <c r="J179" i="15"/>
  <c r="P190" i="15"/>
  <c r="R219" i="15"/>
  <c r="M220" i="15"/>
  <c r="M222" i="15"/>
  <c r="R240" i="15"/>
  <c r="M246" i="15"/>
  <c r="M260" i="15"/>
  <c r="R267" i="15"/>
  <c r="P268" i="15"/>
  <c r="M292" i="15"/>
  <c r="M390" i="15"/>
  <c r="R399" i="15"/>
  <c r="R424" i="15"/>
  <c r="Q565" i="15"/>
  <c r="M627" i="15"/>
  <c r="P91" i="15"/>
  <c r="R137" i="15"/>
  <c r="R173" i="15"/>
  <c r="R212" i="15"/>
  <c r="P220" i="15"/>
  <c r="R222" i="15"/>
  <c r="R230" i="15"/>
  <c r="P244" i="15"/>
  <c r="Q311" i="15"/>
  <c r="M613" i="15"/>
  <c r="O7" i="15"/>
  <c r="J498" i="15"/>
  <c r="J137" i="15"/>
  <c r="R15" i="15"/>
  <c r="L498" i="15"/>
  <c r="R498" i="15"/>
  <c r="M102" i="15"/>
  <c r="R165" i="15"/>
  <c r="P178" i="15"/>
  <c r="L179" i="15"/>
  <c r="O18" i="15"/>
  <c r="R26" i="15"/>
  <c r="Q32" i="15"/>
  <c r="K51" i="15"/>
  <c r="Q51" i="15"/>
  <c r="R68" i="15"/>
  <c r="M93" i="15"/>
  <c r="R101" i="15"/>
  <c r="M104" i="15"/>
  <c r="R120" i="15"/>
  <c r="R125" i="15"/>
  <c r="P179" i="15"/>
  <c r="J182" i="15"/>
  <c r="P182" i="15"/>
  <c r="P191" i="15"/>
  <c r="R225" i="15"/>
  <c r="M236" i="15"/>
  <c r="P246" i="15"/>
  <c r="R260" i="15"/>
  <c r="R278" i="15"/>
  <c r="R346" i="15"/>
  <c r="M347" i="15"/>
  <c r="R366" i="15"/>
  <c r="M392" i="15"/>
  <c r="R400" i="15"/>
  <c r="M415" i="15"/>
  <c r="P573" i="15"/>
  <c r="P600" i="15"/>
  <c r="P604" i="15"/>
  <c r="P608" i="15"/>
  <c r="R613" i="15"/>
  <c r="M615" i="15"/>
  <c r="M687" i="15"/>
  <c r="M978" i="15"/>
  <c r="R115" i="15"/>
  <c r="M17" i="15"/>
  <c r="M25" i="15"/>
  <c r="K46" i="15"/>
  <c r="Q46" i="15"/>
  <c r="M63" i="15"/>
  <c r="M99" i="15"/>
  <c r="P139" i="15"/>
  <c r="L182" i="15"/>
  <c r="R210" i="15"/>
  <c r="P235" i="15"/>
  <c r="M239" i="15"/>
  <c r="R241" i="15"/>
  <c r="L273" i="15"/>
  <c r="M265" i="15"/>
  <c r="M341" i="15"/>
  <c r="M90" i="15"/>
  <c r="M95" i="15"/>
  <c r="R102" i="15"/>
  <c r="M105" i="15"/>
  <c r="M114" i="15"/>
  <c r="P147" i="15"/>
  <c r="M160" i="15"/>
  <c r="P180" i="15"/>
  <c r="M203" i="15"/>
  <c r="P247" i="15"/>
  <c r="K271" i="15"/>
  <c r="Q271" i="15"/>
  <c r="M493" i="15"/>
  <c r="P183" i="15"/>
  <c r="R293" i="15"/>
  <c r="P317" i="15"/>
  <c r="R383" i="15"/>
  <c r="M455" i="15"/>
  <c r="M26" i="15"/>
  <c r="M32" i="15"/>
  <c r="P63" i="15"/>
  <c r="R73" i="15"/>
  <c r="M91" i="15"/>
  <c r="R99" i="15"/>
  <c r="M106" i="15"/>
  <c r="R132" i="15"/>
  <c r="M134" i="15"/>
  <c r="P167" i="15"/>
  <c r="P169" i="15"/>
  <c r="M204" i="15"/>
  <c r="R239" i="15"/>
  <c r="M243" i="15"/>
  <c r="M244" i="15"/>
  <c r="R250" i="15"/>
  <c r="M256" i="15"/>
  <c r="M299" i="15"/>
  <c r="M457" i="15"/>
  <c r="M494" i="15"/>
  <c r="R370" i="15"/>
  <c r="M371" i="15"/>
  <c r="M385" i="15"/>
  <c r="R397" i="15"/>
  <c r="R401" i="15"/>
  <c r="M449" i="15"/>
  <c r="M469" i="15"/>
  <c r="M475" i="15"/>
  <c r="R494" i="15"/>
  <c r="R538" i="15"/>
  <c r="M549" i="15"/>
  <c r="P594" i="15"/>
  <c r="P601" i="15"/>
  <c r="P605" i="15"/>
  <c r="P609" i="15"/>
  <c r="R617" i="15"/>
  <c r="R711" i="15"/>
  <c r="M767" i="15"/>
  <c r="R819" i="15"/>
  <c r="P917" i="15"/>
  <c r="R961" i="15"/>
  <c r="R992" i="15"/>
  <c r="R999" i="15"/>
  <c r="M1216" i="15"/>
  <c r="M1229" i="15"/>
  <c r="Q1284" i="15"/>
  <c r="M1340" i="15"/>
  <c r="P1397" i="15"/>
  <c r="M1589" i="15"/>
  <c r="P1650" i="15"/>
  <c r="M1822" i="15"/>
  <c r="M1932" i="15"/>
  <c r="P2085" i="15"/>
  <c r="Q2104" i="15"/>
  <c r="M365" i="15"/>
  <c r="R371" i="15"/>
  <c r="P384" i="15"/>
  <c r="R392" i="15"/>
  <c r="M488" i="15"/>
  <c r="P502" i="15"/>
  <c r="M505" i="15"/>
  <c r="Q548" i="15"/>
  <c r="M572" i="15"/>
  <c r="M599" i="15"/>
  <c r="M603" i="15"/>
  <c r="M607" i="15"/>
  <c r="M611" i="15"/>
  <c r="R687" i="15"/>
  <c r="M771" i="15"/>
  <c r="M801" i="15"/>
  <c r="M871" i="15"/>
  <c r="Q906" i="15"/>
  <c r="M1236" i="15"/>
  <c r="M1341" i="15"/>
  <c r="M1382" i="15"/>
  <c r="M1417" i="15"/>
  <c r="M1560" i="15"/>
  <c r="M1609" i="15"/>
  <c r="P1633" i="15"/>
  <c r="M1734" i="15"/>
  <c r="M1752" i="15"/>
  <c r="M1773" i="15"/>
  <c r="R1820" i="15"/>
  <c r="M1907" i="15"/>
  <c r="M1909" i="15"/>
  <c r="K1997" i="15"/>
  <c r="K1998" i="15"/>
  <c r="M2000" i="15"/>
  <c r="P2096" i="15"/>
  <c r="R2110" i="15"/>
  <c r="M1033" i="15"/>
  <c r="M1056" i="15"/>
  <c r="M1088" i="15"/>
  <c r="M1217" i="15"/>
  <c r="M1524" i="15"/>
  <c r="M1530" i="15"/>
  <c r="M1707" i="15"/>
  <c r="M1736" i="15"/>
  <c r="Q1997" i="15"/>
  <c r="Q1998" i="15"/>
  <c r="M696" i="15"/>
  <c r="M876" i="15"/>
  <c r="M902" i="15"/>
  <c r="R923" i="15"/>
  <c r="M1561" i="15"/>
  <c r="R1956" i="15"/>
  <c r="M2001" i="15"/>
  <c r="M463" i="15"/>
  <c r="R492" i="15"/>
  <c r="M501" i="15"/>
  <c r="Q567" i="15"/>
  <c r="R612" i="15"/>
  <c r="M626" i="15"/>
  <c r="R638" i="15"/>
  <c r="M726" i="15"/>
  <c r="M729" i="15"/>
  <c r="R731" i="15"/>
  <c r="R756" i="15"/>
  <c r="R802" i="15"/>
  <c r="M873" i="15"/>
  <c r="R1037" i="15"/>
  <c r="M1218" i="15"/>
  <c r="M1254" i="15"/>
  <c r="M1258" i="15"/>
  <c r="P1342" i="15"/>
  <c r="R1394" i="15"/>
  <c r="M1525" i="15"/>
  <c r="M1531" i="15"/>
  <c r="M1535" i="15"/>
  <c r="M1739" i="15"/>
  <c r="M1905" i="15"/>
  <c r="M874" i="15"/>
  <c r="R876" i="15"/>
  <c r="R902" i="15"/>
  <c r="M1228" i="15"/>
  <c r="R1254" i="15"/>
  <c r="Q1275" i="15"/>
  <c r="M1388" i="15"/>
  <c r="R1392" i="15"/>
  <c r="R1433" i="15"/>
  <c r="R1441" i="15"/>
  <c r="P1477" i="15"/>
  <c r="R1484" i="15"/>
  <c r="K1499" i="15"/>
  <c r="P1517" i="15"/>
  <c r="M1526" i="15"/>
  <c r="M1532" i="15"/>
  <c r="M1536" i="15"/>
  <c r="Q1561" i="15"/>
  <c r="M1588" i="15"/>
  <c r="P1632" i="15"/>
  <c r="P1703" i="15"/>
  <c r="M1740" i="15"/>
  <c r="R1781" i="15"/>
  <c r="M1820" i="15"/>
  <c r="R1957" i="15"/>
  <c r="R2014" i="15"/>
  <c r="M2052" i="15"/>
  <c r="P2095" i="15"/>
  <c r="Q2106" i="15"/>
  <c r="Q415" i="15"/>
  <c r="R455" i="15"/>
  <c r="P463" i="15"/>
  <c r="P501" i="15"/>
  <c r="R536" i="15"/>
  <c r="R615" i="15"/>
  <c r="R622" i="15"/>
  <c r="R627" i="15"/>
  <c r="Q668" i="15"/>
  <c r="R692" i="15"/>
  <c r="Q709" i="15"/>
  <c r="Q729" i="15"/>
  <c r="Q748" i="15"/>
  <c r="R763" i="15"/>
  <c r="Q785" i="15"/>
  <c r="P831" i="15"/>
  <c r="M856" i="15"/>
  <c r="M870" i="15"/>
  <c r="R874" i="15"/>
  <c r="O874" i="15"/>
  <c r="P874" i="15"/>
  <c r="Q874" i="15"/>
  <c r="S874" i="15"/>
  <c r="M906" i="15"/>
  <c r="Q945" i="15"/>
  <c r="R1133" i="15"/>
  <c r="P1153" i="15"/>
  <c r="R1218" i="15"/>
  <c r="Q1258" i="15"/>
  <c r="P1387" i="15"/>
  <c r="M1481" i="15"/>
  <c r="R1483" i="15"/>
  <c r="P1503" i="15"/>
  <c r="P1507" i="15"/>
  <c r="Q1531" i="15"/>
  <c r="Q1535" i="15"/>
  <c r="R1546" i="15"/>
  <c r="M1570" i="15"/>
  <c r="M1608" i="15"/>
  <c r="P1610" i="15"/>
  <c r="Q1739" i="15"/>
  <c r="R1818" i="15"/>
  <c r="R1847" i="15"/>
  <c r="P1876" i="15"/>
  <c r="M1897" i="15"/>
  <c r="R1986" i="15"/>
  <c r="M1987" i="15"/>
  <c r="R2026" i="15"/>
  <c r="Q2052" i="15"/>
  <c r="Q2055" i="15"/>
  <c r="R2085" i="15"/>
  <c r="P2099" i="15"/>
  <c r="Q1392" i="15"/>
  <c r="P1394" i="15"/>
  <c r="O68" i="15"/>
  <c r="O773" i="15"/>
  <c r="O778" i="15"/>
  <c r="P784" i="15"/>
  <c r="P1714" i="15"/>
  <c r="O689" i="15"/>
  <c r="P1392" i="15"/>
  <c r="O1394" i="15"/>
  <c r="S1394" i="15"/>
  <c r="Q127" i="15"/>
  <c r="Q450" i="15"/>
  <c r="P715" i="15"/>
  <c r="O902" i="15"/>
  <c r="P1320" i="15"/>
  <c r="P131" i="15"/>
  <c r="P252" i="15"/>
  <c r="O358" i="15"/>
  <c r="Q515" i="15"/>
  <c r="Q649" i="15"/>
  <c r="O901" i="15"/>
  <c r="O1225" i="15"/>
  <c r="O1239" i="15"/>
  <c r="Q1304" i="15"/>
  <c r="Q68" i="15"/>
  <c r="P439" i="15"/>
  <c r="O789" i="15"/>
  <c r="Q893" i="15"/>
  <c r="O923" i="15"/>
  <c r="P119" i="15"/>
  <c r="O214" i="15"/>
  <c r="P397" i="15"/>
  <c r="Q416" i="15"/>
  <c r="P576" i="15"/>
  <c r="P583" i="15"/>
  <c r="O617" i="15"/>
  <c r="Q728" i="15"/>
  <c r="O732" i="15"/>
  <c r="P852" i="15"/>
  <c r="Q912" i="15"/>
  <c r="O990" i="15"/>
  <c r="Q1053" i="15"/>
  <c r="O1128" i="15"/>
  <c r="Q1140" i="15"/>
  <c r="Q1169" i="15"/>
  <c r="Q1200" i="15"/>
  <c r="P1261" i="15"/>
  <c r="O1269" i="15"/>
  <c r="O1287" i="15"/>
  <c r="Q1453" i="15"/>
  <c r="Q1551" i="15"/>
  <c r="P1762" i="15"/>
  <c r="O1963" i="15"/>
  <c r="Q213" i="15"/>
  <c r="P218" i="15"/>
  <c r="O112" i="15"/>
  <c r="Q382" i="15"/>
  <c r="P401" i="15"/>
  <c r="O611" i="15"/>
  <c r="P732" i="15"/>
  <c r="O817" i="15"/>
  <c r="O825" i="15"/>
  <c r="Q852" i="15"/>
  <c r="O910" i="15"/>
  <c r="P1188" i="15"/>
  <c r="O1264" i="15"/>
  <c r="O1332" i="15"/>
  <c r="P1403" i="15"/>
  <c r="P1525" i="15"/>
  <c r="Q1600" i="15"/>
  <c r="O1685" i="15"/>
  <c r="Q1703" i="15"/>
  <c r="O1768" i="15"/>
  <c r="Q1815" i="15"/>
  <c r="P1963" i="15"/>
  <c r="Q1963" i="15"/>
  <c r="O1997" i="15"/>
  <c r="P2091" i="15"/>
  <c r="Q112" i="15"/>
  <c r="P825" i="15"/>
  <c r="Q825" i="15"/>
  <c r="Q910" i="15"/>
  <c r="R1188" i="15"/>
  <c r="Q1341" i="15"/>
  <c r="Q1544" i="15"/>
  <c r="Q1598" i="15"/>
  <c r="P1679" i="15"/>
  <c r="P1721" i="15"/>
  <c r="P1795" i="15"/>
  <c r="Q15" i="15"/>
  <c r="P65" i="15"/>
  <c r="O176" i="15"/>
  <c r="Q187" i="15"/>
  <c r="Q194" i="15"/>
  <c r="Q319" i="15"/>
  <c r="P400" i="15"/>
  <c r="P455" i="15"/>
  <c r="P528" i="15"/>
  <c r="Q651" i="15"/>
  <c r="P670" i="15"/>
  <c r="P686" i="15"/>
  <c r="P749" i="15"/>
  <c r="P834" i="15"/>
  <c r="Q963" i="15"/>
  <c r="Q1256" i="15"/>
  <c r="Q1309" i="15"/>
  <c r="Q1370" i="15"/>
  <c r="P1541" i="15"/>
  <c r="P1548" i="15"/>
  <c r="Q1631" i="15"/>
  <c r="Q1632" i="15"/>
  <c r="Q1633" i="15"/>
  <c r="P1641" i="15"/>
  <c r="O1694" i="15"/>
  <c r="O1702" i="15"/>
  <c r="Q1716" i="15"/>
  <c r="O1777" i="15"/>
  <c r="Q1790" i="15"/>
  <c r="Q1798" i="15"/>
  <c r="P1858" i="15"/>
  <c r="P1906" i="15"/>
  <c r="O1906" i="15"/>
  <c r="P1978" i="15"/>
  <c r="P16" i="15"/>
  <c r="O17" i="15"/>
  <c r="O240" i="15"/>
  <c r="Q240" i="15"/>
  <c r="O241" i="15"/>
  <c r="O381" i="15"/>
  <c r="P383" i="15"/>
  <c r="P399" i="15"/>
  <c r="O450" i="15"/>
  <c r="P475" i="15"/>
  <c r="P493" i="15"/>
  <c r="P549" i="15"/>
  <c r="O615" i="15"/>
  <c r="P657" i="15"/>
  <c r="O664" i="15"/>
  <c r="O777" i="15"/>
  <c r="O785" i="15"/>
  <c r="O814" i="15"/>
  <c r="O837" i="15"/>
  <c r="P841" i="15"/>
  <c r="Q847" i="15"/>
  <c r="P893" i="15"/>
  <c r="O905" i="15"/>
  <c r="P1004" i="15"/>
  <c r="O1010" i="15"/>
  <c r="O1152" i="15"/>
  <c r="O1159" i="15"/>
  <c r="Q1198" i="15"/>
  <c r="O1301" i="15"/>
  <c r="O1324" i="15"/>
  <c r="Q1360" i="15"/>
  <c r="P1362" i="15"/>
  <c r="R1386" i="15"/>
  <c r="Q1407" i="15"/>
  <c r="Q1503" i="15"/>
  <c r="O1517" i="15"/>
  <c r="O1592" i="15"/>
  <c r="O1645" i="15"/>
  <c r="P1664" i="15"/>
  <c r="O1676" i="15"/>
  <c r="P1738" i="15"/>
  <c r="Q1753" i="15"/>
  <c r="O1775" i="15"/>
  <c r="Q1781" i="15"/>
  <c r="O1794" i="15"/>
  <c r="O1823" i="15"/>
  <c r="O1895" i="15"/>
  <c r="O1974" i="15"/>
  <c r="O53" i="15"/>
  <c r="P60" i="15"/>
  <c r="P49" i="15"/>
  <c r="P111" i="15"/>
  <c r="Q133" i="15"/>
  <c r="O119" i="15"/>
  <c r="O127" i="15"/>
  <c r="Q140" i="15"/>
  <c r="P153" i="15"/>
  <c r="P161" i="15"/>
  <c r="P223" i="15"/>
  <c r="Q224" i="15"/>
  <c r="O225" i="15"/>
  <c r="Q254" i="15"/>
  <c r="O379" i="15"/>
  <c r="P398" i="15"/>
  <c r="P402" i="15"/>
  <c r="P450" i="15"/>
  <c r="Q905" i="15"/>
  <c r="R963" i="15"/>
  <c r="P992" i="15"/>
  <c r="O992" i="15"/>
  <c r="O1018" i="15"/>
  <c r="P1159" i="15"/>
  <c r="Q1500" i="15"/>
  <c r="Q1545" i="15"/>
  <c r="P1592" i="15"/>
  <c r="Q1592" i="15"/>
  <c r="Q1645" i="15"/>
  <c r="O1771" i="15"/>
  <c r="P1794" i="15"/>
  <c r="O1872" i="15"/>
  <c r="Q1974" i="15"/>
  <c r="Q2077" i="15"/>
  <c r="Q2093" i="15"/>
  <c r="P73" i="15"/>
  <c r="Q74" i="15"/>
  <c r="P74" i="15"/>
  <c r="R710" i="15"/>
  <c r="P710" i="15"/>
  <c r="R718" i="15"/>
  <c r="O718" i="15"/>
  <c r="R752" i="15"/>
  <c r="O752" i="15"/>
  <c r="Q782" i="15"/>
  <c r="O782" i="15"/>
  <c r="Q797" i="15"/>
  <c r="O797" i="15"/>
  <c r="R890" i="15"/>
  <c r="P890" i="15"/>
  <c r="R944" i="15"/>
  <c r="O944" i="15"/>
  <c r="R957" i="15"/>
  <c r="P957" i="15"/>
  <c r="Q1015" i="15"/>
  <c r="O1015" i="15"/>
  <c r="R1118" i="15"/>
  <c r="P1118" i="15"/>
  <c r="O1164" i="15"/>
  <c r="P1164" i="15"/>
  <c r="R1236" i="15"/>
  <c r="O1236" i="15"/>
  <c r="R1300" i="15"/>
  <c r="O1300" i="15"/>
  <c r="P1336" i="15"/>
  <c r="Q1336" i="15"/>
  <c r="P1406" i="15"/>
  <c r="Q1406" i="15"/>
  <c r="O1413" i="15"/>
  <c r="P1413" i="15"/>
  <c r="P1442" i="15"/>
  <c r="Q1442" i="15"/>
  <c r="R1486" i="15"/>
  <c r="Q1486" i="15"/>
  <c r="R1687" i="15"/>
  <c r="O1687" i="15"/>
  <c r="R1793" i="15"/>
  <c r="O1793" i="15"/>
  <c r="R1859" i="15"/>
  <c r="Q1859" i="15"/>
  <c r="O1859" i="15"/>
  <c r="R1954" i="15"/>
  <c r="O1954" i="15"/>
  <c r="R2030" i="15"/>
  <c r="Q2030" i="15"/>
  <c r="Q73" i="15"/>
  <c r="Q24" i="15"/>
  <c r="P37" i="15"/>
  <c r="O111" i="15"/>
  <c r="P140" i="15"/>
  <c r="Q165" i="15"/>
  <c r="Q196" i="15"/>
  <c r="O223" i="15"/>
  <c r="Q256" i="15"/>
  <c r="Q278" i="15"/>
  <c r="Q294" i="15"/>
  <c r="Q301" i="15"/>
  <c r="R333" i="15"/>
  <c r="Q366" i="15"/>
  <c r="Q387" i="15"/>
  <c r="O397" i="15"/>
  <c r="O398" i="15"/>
  <c r="O399" i="15"/>
  <c r="O400" i="15"/>
  <c r="O401" i="15"/>
  <c r="O402" i="15"/>
  <c r="O416" i="15"/>
  <c r="Q453" i="15"/>
  <c r="P524" i="15"/>
  <c r="P565" i="15"/>
  <c r="P632" i="15"/>
  <c r="O657" i="15"/>
  <c r="O660" i="15"/>
  <c r="P668" i="15"/>
  <c r="R673" i="15"/>
  <c r="O673" i="15"/>
  <c r="R712" i="15"/>
  <c r="P712" i="15"/>
  <c r="R951" i="15"/>
  <c r="Q951" i="15"/>
  <c r="O951" i="15"/>
  <c r="Q957" i="15"/>
  <c r="R1022" i="15"/>
  <c r="P1022" i="15"/>
  <c r="P1079" i="15"/>
  <c r="O1079" i="15"/>
  <c r="R1101" i="15"/>
  <c r="O1101" i="15"/>
  <c r="O1126" i="15"/>
  <c r="Q1126" i="15"/>
  <c r="R1182" i="15"/>
  <c r="O1182" i="15"/>
  <c r="O1238" i="15"/>
  <c r="Q1238" i="15"/>
  <c r="O1246" i="15"/>
  <c r="P1246" i="15"/>
  <c r="R1326" i="15"/>
  <c r="P1326" i="15"/>
  <c r="P1402" i="15"/>
  <c r="Q1402" i="15"/>
  <c r="P1491" i="15"/>
  <c r="Q1491" i="15"/>
  <c r="R1547" i="15"/>
  <c r="P1547" i="15"/>
  <c r="Q1684" i="15"/>
  <c r="P1684" i="15"/>
  <c r="P1755" i="15"/>
  <c r="O1755" i="15"/>
  <c r="R1824" i="15"/>
  <c r="P1824" i="15"/>
  <c r="O2081" i="15"/>
  <c r="P2081" i="15"/>
  <c r="P2119" i="15"/>
  <c r="O2119" i="15"/>
  <c r="R1030" i="15"/>
  <c r="O1030" i="15"/>
  <c r="R1090" i="15"/>
  <c r="O1090" i="15"/>
  <c r="R1206" i="15"/>
  <c r="O1206" i="15"/>
  <c r="R1224" i="15"/>
  <c r="Q1224" i="15"/>
  <c r="O1224" i="15"/>
  <c r="R1243" i="15"/>
  <c r="O1243" i="15"/>
  <c r="Q1246" i="15"/>
  <c r="R1262" i="15"/>
  <c r="O1262" i="15"/>
  <c r="R1376" i="15"/>
  <c r="P1376" i="15"/>
  <c r="O1456" i="15"/>
  <c r="Q1456" i="15"/>
  <c r="P1490" i="15"/>
  <c r="Q1490" i="15"/>
  <c r="R1696" i="15"/>
  <c r="Q1696" i="15"/>
  <c r="O1696" i="15"/>
  <c r="R1787" i="15"/>
  <c r="Q1787" i="15"/>
  <c r="O1787" i="15"/>
  <c r="R2079" i="15"/>
  <c r="Q2079" i="15"/>
  <c r="R662" i="15"/>
  <c r="P662" i="15"/>
  <c r="R698" i="15"/>
  <c r="O698" i="15"/>
  <c r="R738" i="15"/>
  <c r="O738" i="15"/>
  <c r="R835" i="15"/>
  <c r="P835" i="15"/>
  <c r="R907" i="15"/>
  <c r="O907" i="15"/>
  <c r="O972" i="15"/>
  <c r="R972" i="15"/>
  <c r="Q17" i="15"/>
  <c r="P17" i="15"/>
  <c r="O73" i="15"/>
  <c r="O74" i="15"/>
  <c r="P106" i="15"/>
  <c r="Q113" i="15"/>
  <c r="Q176" i="15"/>
  <c r="P225" i="15"/>
  <c r="P241" i="15"/>
  <c r="P250" i="15"/>
  <c r="Q252" i="15"/>
  <c r="P371" i="15"/>
  <c r="Q379" i="15"/>
  <c r="P466" i="15"/>
  <c r="P547" i="15"/>
  <c r="O567" i="15"/>
  <c r="O575" i="15"/>
  <c r="Q595" i="15"/>
  <c r="Q630" i="15"/>
  <c r="O630" i="15"/>
  <c r="Q684" i="15"/>
  <c r="R695" i="15"/>
  <c r="Q695" i="15"/>
  <c r="P698" i="15"/>
  <c r="R705" i="15"/>
  <c r="P705" i="15"/>
  <c r="O705" i="15"/>
  <c r="Q705" i="15"/>
  <c r="S705" i="15"/>
  <c r="R737" i="15"/>
  <c r="O737" i="15"/>
  <c r="P738" i="15"/>
  <c r="R739" i="15"/>
  <c r="O739" i="15"/>
  <c r="R781" i="15"/>
  <c r="P781" i="15"/>
  <c r="Q794" i="15"/>
  <c r="O794" i="15"/>
  <c r="R830" i="15"/>
  <c r="O830" i="15"/>
  <c r="R848" i="15"/>
  <c r="O848" i="15"/>
  <c r="R953" i="15"/>
  <c r="O953" i="15"/>
  <c r="R964" i="15"/>
  <c r="O964" i="15"/>
  <c r="Q975" i="15"/>
  <c r="P975" i="15"/>
  <c r="Q1036" i="15"/>
  <c r="O1036" i="15"/>
  <c r="R1208" i="15"/>
  <c r="O1208" i="15"/>
  <c r="R1265" i="15"/>
  <c r="O1265" i="15"/>
  <c r="P1337" i="15"/>
  <c r="Q1337" i="15"/>
  <c r="R1410" i="15"/>
  <c r="Q1410" i="15"/>
  <c r="P1410" i="15"/>
  <c r="O1410" i="15"/>
  <c r="O1488" i="15"/>
  <c r="P1488" i="15"/>
  <c r="R1576" i="15"/>
  <c r="P1576" i="15"/>
  <c r="O1576" i="15"/>
  <c r="R1783" i="15"/>
  <c r="Q1783" i="15"/>
  <c r="R1838" i="15"/>
  <c r="P1838" i="15"/>
  <c r="O1838" i="15"/>
  <c r="R2107" i="15"/>
  <c r="P2107" i="15"/>
  <c r="P901" i="15"/>
  <c r="P902" i="15"/>
  <c r="P905" i="15"/>
  <c r="P910" i="15"/>
  <c r="P923" i="15"/>
  <c r="P990" i="15"/>
  <c r="Q990" i="15"/>
  <c r="Q1320" i="15"/>
  <c r="R1387" i="15"/>
  <c r="Q1548" i="15"/>
  <c r="R1641" i="15"/>
  <c r="Q1714" i="15"/>
  <c r="Q1768" i="15"/>
  <c r="Q1771" i="15"/>
  <c r="P1775" i="15"/>
  <c r="P1777" i="15"/>
  <c r="Q1795" i="15"/>
  <c r="P1872" i="15"/>
  <c r="Q1872" i="15"/>
  <c r="Q1504" i="15"/>
  <c r="Q1507" i="15"/>
  <c r="Q1547" i="15"/>
  <c r="P1696" i="15"/>
  <c r="Q1954" i="15"/>
  <c r="P2030" i="15"/>
  <c r="Q2107" i="15"/>
  <c r="P773" i="15"/>
  <c r="P1053" i="15"/>
  <c r="P1149" i="15"/>
  <c r="P1291" i="15"/>
  <c r="O1297" i="15"/>
  <c r="P1304" i="15"/>
  <c r="Q1339" i="15"/>
  <c r="P1347" i="15"/>
  <c r="Q1353" i="15"/>
  <c r="Q1364" i="15"/>
  <c r="P1436" i="15"/>
  <c r="P1451" i="15"/>
  <c r="P1499" i="15"/>
  <c r="P1545" i="15"/>
  <c r="P1556" i="15"/>
  <c r="Q1582" i="15"/>
  <c r="O1603" i="15"/>
  <c r="Q1610" i="15"/>
  <c r="Q1611" i="15"/>
  <c r="Q1612" i="15"/>
  <c r="Q1616" i="15"/>
  <c r="O1620" i="15"/>
  <c r="O1664" i="15"/>
  <c r="O1691" i="15"/>
  <c r="O1703" i="15"/>
  <c r="O1714" i="15"/>
  <c r="O1716" i="15"/>
  <c r="O1734" i="15"/>
  <c r="Q1741" i="15"/>
  <c r="P1753" i="15"/>
  <c r="P1763" i="15"/>
  <c r="O1804" i="15"/>
  <c r="P1904" i="15"/>
  <c r="P1974" i="15"/>
  <c r="P1989" i="15"/>
  <c r="P2001" i="15"/>
  <c r="P2022" i="15"/>
  <c r="O2077" i="15"/>
  <c r="O2093" i="15"/>
  <c r="Q2109" i="15"/>
  <c r="P8" i="15"/>
  <c r="P133" i="15"/>
  <c r="P196" i="15"/>
  <c r="Q198" i="15"/>
  <c r="Q211" i="15"/>
  <c r="P213" i="15"/>
  <c r="P253" i="15"/>
  <c r="Q260" i="15"/>
  <c r="Q295" i="15"/>
  <c r="Q318" i="15"/>
  <c r="Q392" i="15"/>
  <c r="P534" i="15"/>
  <c r="P536" i="15"/>
  <c r="P538" i="15"/>
  <c r="P543" i="15"/>
  <c r="P546" i="15"/>
  <c r="Q569" i="15"/>
  <c r="Q613" i="15"/>
  <c r="R860" i="15"/>
  <c r="P860" i="15"/>
  <c r="R865" i="15"/>
  <c r="O865" i="15"/>
  <c r="R871" i="15"/>
  <c r="P871" i="15"/>
  <c r="P882" i="15"/>
  <c r="Q882" i="15"/>
  <c r="P899" i="15"/>
  <c r="Q899" i="15"/>
  <c r="R918" i="15"/>
  <c r="P918" i="15"/>
  <c r="R937" i="15"/>
  <c r="Q937" i="15"/>
  <c r="R974" i="15"/>
  <c r="O974" i="15"/>
  <c r="R979" i="15"/>
  <c r="Q979" i="15"/>
  <c r="P979" i="15"/>
  <c r="R1021" i="15"/>
  <c r="P1021" i="15"/>
  <c r="O1021" i="15"/>
  <c r="Q1047" i="15"/>
  <c r="O1047" i="15"/>
  <c r="R1085" i="15"/>
  <c r="P1085" i="15"/>
  <c r="O1085" i="15"/>
  <c r="Q1093" i="15"/>
  <c r="O1093" i="15"/>
  <c r="R340" i="15"/>
  <c r="P358" i="15"/>
  <c r="Q358" i="15"/>
  <c r="P385" i="15"/>
  <c r="P390" i="15"/>
  <c r="P424" i="15"/>
  <c r="Q439" i="15"/>
  <c r="P448" i="15"/>
  <c r="Q487" i="15"/>
  <c r="P492" i="15"/>
  <c r="P519" i="15"/>
  <c r="Q521" i="15"/>
  <c r="P526" i="15"/>
  <c r="O528" i="15"/>
  <c r="O531" i="15"/>
  <c r="Q534" i="15"/>
  <c r="Q536" i="15"/>
  <c r="Q538" i="15"/>
  <c r="Q543" i="15"/>
  <c r="Q546" i="15"/>
  <c r="P548" i="15"/>
  <c r="P567" i="15"/>
  <c r="O570" i="15"/>
  <c r="O576" i="15"/>
  <c r="O640" i="15"/>
  <c r="P654" i="15"/>
  <c r="O665" i="15"/>
  <c r="P679" i="15"/>
  <c r="P685" i="15"/>
  <c r="Q735" i="15"/>
  <c r="O742" i="15"/>
  <c r="Q765" i="15"/>
  <c r="O770" i="15"/>
  <c r="P789" i="15"/>
  <c r="O792" i="15"/>
  <c r="O796" i="15"/>
  <c r="O801" i="15"/>
  <c r="O805" i="15"/>
  <c r="O810" i="15"/>
  <c r="O818" i="15"/>
  <c r="O827" i="15"/>
  <c r="Q834" i="15"/>
  <c r="O860" i="15"/>
  <c r="P865" i="15"/>
  <c r="R870" i="15"/>
  <c r="P870" i="15"/>
  <c r="O871" i="15"/>
  <c r="O918" i="15"/>
  <c r="R934" i="15"/>
  <c r="P934" i="15"/>
  <c r="O937" i="15"/>
  <c r="P955" i="15"/>
  <c r="Q955" i="15"/>
  <c r="O955" i="15"/>
  <c r="O971" i="15"/>
  <c r="R977" i="15"/>
  <c r="Q977" i="15"/>
  <c r="O979" i="15"/>
  <c r="Q1021" i="15"/>
  <c r="O1042" i="15"/>
  <c r="P1042" i="15"/>
  <c r="R1057" i="15"/>
  <c r="P1057" i="15"/>
  <c r="O1057" i="15"/>
  <c r="Q1085" i="15"/>
  <c r="R1086" i="15"/>
  <c r="Q1086" i="15"/>
  <c r="P102" i="15"/>
  <c r="P137" i="15"/>
  <c r="Q172" i="15"/>
  <c r="Q199" i="15"/>
  <c r="P665" i="15"/>
  <c r="P742" i="15"/>
  <c r="P770" i="15"/>
  <c r="P792" i="15"/>
  <c r="Q792" i="15"/>
  <c r="P796" i="15"/>
  <c r="P805" i="15"/>
  <c r="Q805" i="15"/>
  <c r="R849" i="15"/>
  <c r="P849" i="15"/>
  <c r="R857" i="15"/>
  <c r="O857" i="15"/>
  <c r="Q860" i="15"/>
  <c r="R888" i="15"/>
  <c r="Q888" i="15"/>
  <c r="O888" i="15"/>
  <c r="R949" i="15"/>
  <c r="O949" i="15"/>
  <c r="P993" i="15"/>
  <c r="Q993" i="15"/>
  <c r="O993" i="15"/>
  <c r="R1013" i="15"/>
  <c r="O1013" i="15"/>
  <c r="Q1023" i="15"/>
  <c r="O1023" i="15"/>
  <c r="P1054" i="15"/>
  <c r="Q1054" i="15"/>
  <c r="R1068" i="15"/>
  <c r="Q1068" i="15"/>
  <c r="R1081" i="15"/>
  <c r="Q1081" i="15"/>
  <c r="P1081" i="15"/>
  <c r="P1086" i="15"/>
  <c r="R1116" i="15"/>
  <c r="O1116" i="15"/>
  <c r="P105" i="15"/>
  <c r="O110" i="15"/>
  <c r="O128" i="15"/>
  <c r="O173" i="15"/>
  <c r="O266" i="15"/>
  <c r="O8" i="15"/>
  <c r="Q22" i="15"/>
  <c r="P27" i="15"/>
  <c r="Q79" i="15"/>
  <c r="P101" i="15"/>
  <c r="Q110" i="15"/>
  <c r="Q111" i="15"/>
  <c r="Q128" i="15"/>
  <c r="O133" i="15"/>
  <c r="P134" i="15"/>
  <c r="P173" i="15"/>
  <c r="O196" i="15"/>
  <c r="O198" i="15"/>
  <c r="P199" i="15"/>
  <c r="P211" i="15"/>
  <c r="O213" i="15"/>
  <c r="Q241" i="15"/>
  <c r="Q242" i="15"/>
  <c r="Q253" i="15"/>
  <c r="O260" i="15"/>
  <c r="Q266" i="15"/>
  <c r="P266" i="15"/>
  <c r="P295" i="15"/>
  <c r="O318" i="15"/>
  <c r="R319" i="15"/>
  <c r="Q374" i="15"/>
  <c r="P382" i="15"/>
  <c r="Q389" i="15"/>
  <c r="O392" i="15"/>
  <c r="Q440" i="15"/>
  <c r="P454" i="15"/>
  <c r="Q464" i="15"/>
  <c r="P474" i="15"/>
  <c r="O516" i="15"/>
  <c r="P521" i="15"/>
  <c r="Q524" i="15"/>
  <c r="O534" i="15"/>
  <c r="O536" i="15"/>
  <c r="S536" i="15"/>
  <c r="O538" i="15"/>
  <c r="O543" i="15"/>
  <c r="O546" i="15"/>
  <c r="P550" i="15"/>
  <c r="P569" i="15"/>
  <c r="Q589" i="15"/>
  <c r="O610" i="15"/>
  <c r="P613" i="15"/>
  <c r="O638" i="15"/>
  <c r="O642" i="15"/>
  <c r="Q654" i="15"/>
  <c r="Q662" i="15"/>
  <c r="Q670" i="15"/>
  <c r="P673" i="15"/>
  <c r="R676" i="15"/>
  <c r="O683" i="15"/>
  <c r="Q686" i="15"/>
  <c r="O687" i="15"/>
  <c r="P689" i="15"/>
  <c r="O697" i="15"/>
  <c r="O715" i="15"/>
  <c r="P718" i="15"/>
  <c r="O736" i="15"/>
  <c r="P739" i="15"/>
  <c r="O743" i="15"/>
  <c r="Q749" i="15"/>
  <c r="Q762" i="15"/>
  <c r="Q770" i="15"/>
  <c r="O781" i="15"/>
  <c r="O784" i="15"/>
  <c r="O791" i="15"/>
  <c r="O793" i="15"/>
  <c r="O811" i="15"/>
  <c r="P817" i="15"/>
  <c r="O834" i="15"/>
  <c r="Q835" i="15"/>
  <c r="O845" i="15"/>
  <c r="O849" i="15"/>
  <c r="P857" i="15"/>
  <c r="R868" i="15"/>
  <c r="O868" i="15"/>
  <c r="Q873" i="15"/>
  <c r="Q879" i="15"/>
  <c r="R921" i="15"/>
  <c r="P921" i="15"/>
  <c r="R941" i="15"/>
  <c r="Q941" i="15"/>
  <c r="Q962" i="15"/>
  <c r="R962" i="15"/>
  <c r="R996" i="15"/>
  <c r="Q996" i="15"/>
  <c r="Q999" i="15"/>
  <c r="Q1059" i="15"/>
  <c r="O1064" i="15"/>
  <c r="P1068" i="15"/>
  <c r="R1501" i="15"/>
  <c r="O1501" i="15"/>
  <c r="R1505" i="15"/>
  <c r="O1505" i="15"/>
  <c r="R1509" i="15"/>
  <c r="P1509" i="15"/>
  <c r="P1521" i="15"/>
  <c r="Q1521" i="15"/>
  <c r="P1522" i="15"/>
  <c r="O1522" i="15"/>
  <c r="R1580" i="15"/>
  <c r="Q1580" i="15"/>
  <c r="P1666" i="15"/>
  <c r="Q1666" i="15"/>
  <c r="O1666" i="15"/>
  <c r="P1718" i="15"/>
  <c r="Q1718" i="15"/>
  <c r="O1718" i="15"/>
  <c r="R1746" i="15"/>
  <c r="O1746" i="15"/>
  <c r="P1750" i="15"/>
  <c r="O1750" i="15"/>
  <c r="R1791" i="15"/>
  <c r="Q1791" i="15"/>
  <c r="P1791" i="15"/>
  <c r="R1812" i="15"/>
  <c r="Q1812" i="15"/>
  <c r="O1812" i="15"/>
  <c r="P1090" i="15"/>
  <c r="P1140" i="15"/>
  <c r="O1141" i="15"/>
  <c r="P1152" i="15"/>
  <c r="O1156" i="15"/>
  <c r="Q1164" i="15"/>
  <c r="P1178" i="15"/>
  <c r="Q1186" i="15"/>
  <c r="Q1199" i="15"/>
  <c r="P1206" i="15"/>
  <c r="P1215" i="15"/>
  <c r="Q1225" i="15"/>
  <c r="O1240" i="15"/>
  <c r="O1247" i="15"/>
  <c r="P1262" i="15"/>
  <c r="P1280" i="15"/>
  <c r="P1285" i="15"/>
  <c r="O1288" i="15"/>
  <c r="Q1291" i="15"/>
  <c r="P1295" i="15"/>
  <c r="P1299" i="15"/>
  <c r="P1303" i="15"/>
  <c r="O1312" i="15"/>
  <c r="O1321" i="15"/>
  <c r="P1324" i="15"/>
  <c r="P1332" i="15"/>
  <c r="O1342" i="15"/>
  <c r="P1358" i="15"/>
  <c r="Q1362" i="15"/>
  <c r="P1377" i="15"/>
  <c r="P1396" i="15"/>
  <c r="O1397" i="15"/>
  <c r="O1401" i="15"/>
  <c r="Q1451" i="15"/>
  <c r="P1458" i="15"/>
  <c r="O1464" i="15"/>
  <c r="O1465" i="15"/>
  <c r="R1469" i="15"/>
  <c r="O1469" i="15"/>
  <c r="P1478" i="15"/>
  <c r="P1481" i="15"/>
  <c r="Q1497" i="15"/>
  <c r="R1500" i="15"/>
  <c r="O1500" i="15"/>
  <c r="P1501" i="15"/>
  <c r="Q1502" i="15"/>
  <c r="R1504" i="15"/>
  <c r="O1504" i="15"/>
  <c r="S1504" i="15"/>
  <c r="P1505" i="15"/>
  <c r="Q1506" i="15"/>
  <c r="O1509" i="15"/>
  <c r="Q1509" i="15"/>
  <c r="S1509" i="15"/>
  <c r="O1521" i="15"/>
  <c r="Q1522" i="15"/>
  <c r="P1526" i="15"/>
  <c r="R1527" i="15"/>
  <c r="P1527" i="15"/>
  <c r="O1528" i="15"/>
  <c r="R1541" i="15"/>
  <c r="O1541" i="15"/>
  <c r="R1578" i="15"/>
  <c r="Q1578" i="15"/>
  <c r="O1580" i="15"/>
  <c r="O1630" i="15"/>
  <c r="P1630" i="15"/>
  <c r="R1678" i="15"/>
  <c r="P1678" i="15"/>
  <c r="O1678" i="15"/>
  <c r="R1759" i="15"/>
  <c r="Q1759" i="15"/>
  <c r="O1759" i="15"/>
  <c r="R1797" i="15"/>
  <c r="O1797" i="15"/>
  <c r="Q890" i="15"/>
  <c r="O900" i="15"/>
  <c r="O916" i="15"/>
  <c r="O932" i="15"/>
  <c r="Q934" i="15"/>
  <c r="O946" i="15"/>
  <c r="R966" i="15"/>
  <c r="O975" i="15"/>
  <c r="P1014" i="15"/>
  <c r="O1026" i="15"/>
  <c r="O1035" i="15"/>
  <c r="Q1037" i="15"/>
  <c r="O1053" i="15"/>
  <c r="O1096" i="15"/>
  <c r="P1126" i="15"/>
  <c r="Q1127" i="15"/>
  <c r="Q1152" i="15"/>
  <c r="P1169" i="15"/>
  <c r="Q1178" i="15"/>
  <c r="O1181" i="15"/>
  <c r="Q1183" i="15"/>
  <c r="O1187" i="15"/>
  <c r="P1198" i="15"/>
  <c r="O1200" i="15"/>
  <c r="Q1215" i="15"/>
  <c r="P1223" i="15"/>
  <c r="P1238" i="15"/>
  <c r="P1242" i="15"/>
  <c r="O1254" i="15"/>
  <c r="O1261" i="15"/>
  <c r="Q1262" i="15"/>
  <c r="Q1280" i="15"/>
  <c r="Q1283" i="15"/>
  <c r="Q1285" i="15"/>
  <c r="Q1295" i="15"/>
  <c r="Q1299" i="15"/>
  <c r="O1304" i="15"/>
  <c r="P1309" i="15"/>
  <c r="O1313" i="15"/>
  <c r="O1326" i="15"/>
  <c r="O1339" i="15"/>
  <c r="O1341" i="15"/>
  <c r="Q1342" i="15"/>
  <c r="O1347" i="15"/>
  <c r="Q1358" i="15"/>
  <c r="P1364" i="15"/>
  <c r="O1370" i="15"/>
  <c r="O1376" i="15"/>
  <c r="Q1377" i="15"/>
  <c r="Q1396" i="15"/>
  <c r="Q1397" i="15"/>
  <c r="Q1458" i="15"/>
  <c r="Q1464" i="15"/>
  <c r="P1465" i="15"/>
  <c r="R1470" i="15"/>
  <c r="Q1470" i="15"/>
  <c r="Q1478" i="15"/>
  <c r="Q1481" i="15"/>
  <c r="Q1501" i="15"/>
  <c r="R1503" i="15"/>
  <c r="O1503" i="15"/>
  <c r="Q1505" i="15"/>
  <c r="R1507" i="15"/>
  <c r="O1507" i="15"/>
  <c r="P1518" i="15"/>
  <c r="Q1518" i="15"/>
  <c r="P1519" i="15"/>
  <c r="O1519" i="15"/>
  <c r="R1562" i="15"/>
  <c r="Q1562" i="15"/>
  <c r="R1573" i="15"/>
  <c r="Q1573" i="15"/>
  <c r="R1602" i="15"/>
  <c r="Q1602" i="15"/>
  <c r="P1627" i="15"/>
  <c r="Q1627" i="15"/>
  <c r="P1657" i="15"/>
  <c r="Q1657" i="15"/>
  <c r="O1657" i="15"/>
  <c r="P1689" i="15"/>
  <c r="O1689" i="15"/>
  <c r="R1744" i="15"/>
  <c r="Q1744" i="15"/>
  <c r="P1744" i="15"/>
  <c r="P1749" i="15"/>
  <c r="Q1749" i="15"/>
  <c r="O1749" i="15"/>
  <c r="P1802" i="15"/>
  <c r="O1802" i="15"/>
  <c r="Q1414" i="15"/>
  <c r="Q1417" i="15"/>
  <c r="P1456" i="15"/>
  <c r="Q1460" i="15"/>
  <c r="O1470" i="15"/>
  <c r="R1502" i="15"/>
  <c r="O1502" i="15"/>
  <c r="R1506" i="15"/>
  <c r="O1506" i="15"/>
  <c r="R1510" i="15"/>
  <c r="P1510" i="15"/>
  <c r="O1518" i="15"/>
  <c r="O1524" i="15"/>
  <c r="P1524" i="15"/>
  <c r="O1545" i="15"/>
  <c r="S1545" i="15"/>
  <c r="O1546" i="15"/>
  <c r="O1547" i="15"/>
  <c r="O1548" i="15"/>
  <c r="Q1553" i="15"/>
  <c r="O1562" i="15"/>
  <c r="O1573" i="15"/>
  <c r="R1584" i="15"/>
  <c r="P1584" i="15"/>
  <c r="Q1593" i="15"/>
  <c r="R1593" i="15"/>
  <c r="P1695" i="15"/>
  <c r="O1695" i="15"/>
  <c r="R1743" i="15"/>
  <c r="O1743" i="15"/>
  <c r="R1754" i="15"/>
  <c r="O1754" i="15"/>
  <c r="R1766" i="15"/>
  <c r="P1766" i="15"/>
  <c r="O1766" i="15"/>
  <c r="Q1766" i="15"/>
  <c r="R1779" i="15"/>
  <c r="P1779" i="15"/>
  <c r="O1779" i="15"/>
  <c r="Q1779" i="15"/>
  <c r="Q1690" i="15"/>
  <c r="Q1697" i="15"/>
  <c r="Q1727" i="15"/>
  <c r="P1781" i="15"/>
  <c r="P1790" i="15"/>
  <c r="P1798" i="15"/>
  <c r="Q1840" i="15"/>
  <c r="Q1847" i="15"/>
  <c r="P1847" i="15"/>
  <c r="Q1935" i="15"/>
  <c r="P1935" i="15"/>
  <c r="Q1969" i="15"/>
  <c r="Q1985" i="15"/>
  <c r="P1987" i="15"/>
  <c r="Q1996" i="15"/>
  <c r="P1999" i="15"/>
  <c r="P2004" i="15"/>
  <c r="O2063" i="15"/>
  <c r="P2076" i="15"/>
  <c r="O2085" i="15"/>
  <c r="O2091" i="15"/>
  <c r="O2107" i="15"/>
  <c r="P1759" i="15"/>
  <c r="P1843" i="15"/>
  <c r="O1857" i="15"/>
  <c r="P1909" i="15"/>
  <c r="R1921" i="15"/>
  <c r="P1942" i="15"/>
  <c r="O1957" i="15"/>
  <c r="P1986" i="15"/>
  <c r="P1991" i="15"/>
  <c r="O1994" i="15"/>
  <c r="O1998" i="15"/>
  <c r="O2017" i="15"/>
  <c r="Q2020" i="15"/>
  <c r="P2024" i="15"/>
  <c r="Q2085" i="15"/>
  <c r="Q2091" i="15"/>
  <c r="P2093" i="15"/>
  <c r="S2093" i="15"/>
  <c r="Q1510" i="15"/>
  <c r="P1580" i="15"/>
  <c r="Q1623" i="15"/>
  <c r="P1626" i="15"/>
  <c r="Q1629" i="15"/>
  <c r="P1675" i="15"/>
  <c r="O1690" i="15"/>
  <c r="O1697" i="15"/>
  <c r="O1727" i="15"/>
  <c r="O1737" i="15"/>
  <c r="P1747" i="15"/>
  <c r="Q1750" i="15"/>
  <c r="P1758" i="15"/>
  <c r="Q1777" i="15"/>
  <c r="O1781" i="15"/>
  <c r="O1790" i="15"/>
  <c r="Q1794" i="15"/>
  <c r="O1798" i="15"/>
  <c r="R1803" i="15"/>
  <c r="P1812" i="15"/>
  <c r="Q1822" i="15"/>
  <c r="O1840" i="15"/>
  <c r="P1845" i="15"/>
  <c r="O1847" i="15"/>
  <c r="P1857" i="15"/>
  <c r="P1897" i="15"/>
  <c r="P1908" i="15"/>
  <c r="P1916" i="15"/>
  <c r="Q1917" i="15"/>
  <c r="P1919" i="15"/>
  <c r="Q1922" i="15"/>
  <c r="O1935" i="15"/>
  <c r="Q1957" i="15"/>
  <c r="O1969" i="15"/>
  <c r="P1985" i="15"/>
  <c r="Q1986" i="15"/>
  <c r="Q1994" i="15"/>
  <c r="P1996" i="15"/>
  <c r="O1996" i="15"/>
  <c r="Q2017" i="15"/>
  <c r="Q2024" i="15"/>
  <c r="O11" i="15"/>
  <c r="O24" i="15"/>
  <c r="P28" i="15"/>
  <c r="P31" i="15"/>
  <c r="P36" i="15"/>
  <c r="O45" i="15"/>
  <c r="O50" i="15"/>
  <c r="Q53" i="15"/>
  <c r="Q8" i="15"/>
  <c r="Q11" i="15"/>
  <c r="O22" i="15"/>
  <c r="P24" i="15"/>
  <c r="Q26" i="15"/>
  <c r="Q28" i="15"/>
  <c r="Q31" i="15"/>
  <c r="P32" i="15"/>
  <c r="Q36" i="15"/>
  <c r="P50" i="15"/>
  <c r="P59" i="15"/>
  <c r="Q61" i="15"/>
  <c r="Q66" i="15"/>
  <c r="O79" i="15"/>
  <c r="Q95" i="15"/>
  <c r="P99" i="15"/>
  <c r="O108" i="15"/>
  <c r="P109" i="15"/>
  <c r="Q109" i="15"/>
  <c r="O113" i="15"/>
  <c r="P114" i="15"/>
  <c r="Q115" i="15"/>
  <c r="Q119" i="15"/>
  <c r="Q120" i="15"/>
  <c r="P120" i="15"/>
  <c r="P124" i="15"/>
  <c r="Q125" i="15"/>
  <c r="P125" i="15"/>
  <c r="P132" i="15"/>
  <c r="P141" i="15"/>
  <c r="P157" i="15"/>
  <c r="O165" i="15"/>
  <c r="O172" i="15"/>
  <c r="Q173" i="15"/>
  <c r="S173" i="15"/>
  <c r="P189" i="15"/>
  <c r="Q190" i="15"/>
  <c r="Q191" i="15"/>
  <c r="O194" i="15"/>
  <c r="O200" i="15"/>
  <c r="P201" i="15"/>
  <c r="P207" i="15"/>
  <c r="P210" i="15"/>
  <c r="P212" i="15"/>
  <c r="P214" i="15"/>
  <c r="O219" i="15"/>
  <c r="O222" i="15"/>
  <c r="Q223" i="15"/>
  <c r="O224" i="15"/>
  <c r="Q225" i="15"/>
  <c r="O235" i="15"/>
  <c r="P238" i="15"/>
  <c r="O242" i="15"/>
  <c r="Q249" i="15"/>
  <c r="P249" i="15"/>
  <c r="O254" i="15"/>
  <c r="O271" i="15"/>
  <c r="P277" i="15"/>
  <c r="O278" i="15"/>
  <c r="P292" i="15"/>
  <c r="O294" i="15"/>
  <c r="Q297" i="15"/>
  <c r="P299" i="15"/>
  <c r="O301" i="15"/>
  <c r="O313" i="15"/>
  <c r="O317" i="15"/>
  <c r="O346" i="15"/>
  <c r="O347" i="15"/>
  <c r="Q357" i="15"/>
  <c r="Q370" i="15"/>
  <c r="P380" i="15"/>
  <c r="Q380" i="15"/>
  <c r="Q391" i="15"/>
  <c r="P394" i="15"/>
  <c r="R457" i="15"/>
  <c r="P457" i="15"/>
  <c r="R467" i="15"/>
  <c r="Q467" i="15"/>
  <c r="P467" i="15"/>
  <c r="R490" i="15"/>
  <c r="P490" i="15"/>
  <c r="O490" i="15"/>
  <c r="O509" i="15"/>
  <c r="Q509" i="15"/>
  <c r="Q50" i="15"/>
  <c r="Q52" i="15"/>
  <c r="Q59" i="15"/>
  <c r="O64" i="15"/>
  <c r="P79" i="15"/>
  <c r="P108" i="15"/>
  <c r="Q108" i="15"/>
  <c r="P113" i="15"/>
  <c r="P138" i="15"/>
  <c r="O140" i="15"/>
  <c r="Q141" i="15"/>
  <c r="Q157" i="15"/>
  <c r="P165" i="15"/>
  <c r="P172" i="15"/>
  <c r="O187" i="15"/>
  <c r="Q189" i="15"/>
  <c r="P194" i="15"/>
  <c r="O199" i="15"/>
  <c r="Q200" i="15"/>
  <c r="Q201" i="15"/>
  <c r="Q210" i="15"/>
  <c r="O211" i="15"/>
  <c r="S211" i="15"/>
  <c r="Q212" i="15"/>
  <c r="Q214" i="15"/>
  <c r="P219" i="15"/>
  <c r="P222" i="15"/>
  <c r="P224" i="15"/>
  <c r="P230" i="15"/>
  <c r="Q235" i="15"/>
  <c r="P242" i="15"/>
  <c r="O252" i="15"/>
  <c r="O253" i="15"/>
  <c r="P254" i="15"/>
  <c r="O256" i="15"/>
  <c r="P267" i="15"/>
  <c r="P278" i="15"/>
  <c r="P294" i="15"/>
  <c r="O295" i="15"/>
  <c r="P298" i="15"/>
  <c r="P301" i="15"/>
  <c r="P311" i="15"/>
  <c r="P313" i="15"/>
  <c r="Q313" i="15"/>
  <c r="R317" i="15"/>
  <c r="O319" i="15"/>
  <c r="P333" i="15"/>
  <c r="Q346" i="15"/>
  <c r="O366" i="15"/>
  <c r="O374" i="15"/>
  <c r="O382" i="15"/>
  <c r="O387" i="15"/>
  <c r="O389" i="15"/>
  <c r="Q394" i="15"/>
  <c r="R432" i="15"/>
  <c r="Q432" i="15"/>
  <c r="O432" i="15"/>
  <c r="R441" i="15"/>
  <c r="P441" i="15"/>
  <c r="O441" i="15"/>
  <c r="R451" i="15"/>
  <c r="P451" i="15"/>
  <c r="P465" i="15"/>
  <c r="O467" i="15"/>
  <c r="R488" i="15"/>
  <c r="P488" i="15"/>
  <c r="O508" i="15"/>
  <c r="Q508" i="15"/>
  <c r="P23" i="15"/>
  <c r="O28" i="15"/>
  <c r="O31" i="15"/>
  <c r="O36" i="15"/>
  <c r="Q219" i="15"/>
  <c r="Q222" i="15"/>
  <c r="R491" i="15"/>
  <c r="P491" i="15"/>
  <c r="O491" i="15"/>
  <c r="O503" i="15"/>
  <c r="Q503" i="15"/>
  <c r="P53" i="15"/>
  <c r="O59" i="15"/>
  <c r="O61" i="15"/>
  <c r="P87" i="15"/>
  <c r="P100" i="15"/>
  <c r="P104" i="15"/>
  <c r="O109" i="15"/>
  <c r="O115" i="15"/>
  <c r="O120" i="15"/>
  <c r="O124" i="15"/>
  <c r="O125" i="15"/>
  <c r="P135" i="15"/>
  <c r="O141" i="15"/>
  <c r="O157" i="15"/>
  <c r="O189" i="15"/>
  <c r="O190" i="15"/>
  <c r="O191" i="15"/>
  <c r="P195" i="15"/>
  <c r="O201" i="15"/>
  <c r="P205" i="15"/>
  <c r="O210" i="15"/>
  <c r="O212" i="15"/>
  <c r="P229" i="15"/>
  <c r="P236" i="15"/>
  <c r="P239" i="15"/>
  <c r="O249" i="15"/>
  <c r="P276" i="15"/>
  <c r="P293" i="15"/>
  <c r="O297" i="15"/>
  <c r="P309" i="15"/>
  <c r="O357" i="15"/>
  <c r="O370" i="15"/>
  <c r="O380" i="15"/>
  <c r="Q381" i="15"/>
  <c r="O391" i="15"/>
  <c r="O394" i="15"/>
  <c r="R403" i="15"/>
  <c r="P403" i="15"/>
  <c r="R415" i="15"/>
  <c r="O415" i="15"/>
  <c r="R495" i="15"/>
  <c r="P495" i="15"/>
  <c r="Q451" i="15"/>
  <c r="P516" i="15"/>
  <c r="P531" i="15"/>
  <c r="Q566" i="15"/>
  <c r="Q568" i="15"/>
  <c r="P570" i="15"/>
  <c r="P575" i="15"/>
  <c r="Q578" i="15"/>
  <c r="Q582" i="15"/>
  <c r="Q584" i="15"/>
  <c r="Q588" i="15"/>
  <c r="Q590" i="15"/>
  <c r="Q610" i="15"/>
  <c r="P611" i="15"/>
  <c r="O612" i="15"/>
  <c r="O614" i="15"/>
  <c r="P615" i="15"/>
  <c r="P617" i="15"/>
  <c r="O619" i="15"/>
  <c r="O622" i="15"/>
  <c r="O627" i="15"/>
  <c r="Q631" i="15"/>
  <c r="O634" i="15"/>
  <c r="P638" i="15"/>
  <c r="P640" i="15"/>
  <c r="P642" i="15"/>
  <c r="O650" i="15"/>
  <c r="Q661" i="15"/>
  <c r="O663" i="15"/>
  <c r="P664" i="15"/>
  <c r="Q669" i="15"/>
  <c r="O682" i="15"/>
  <c r="P683" i="15"/>
  <c r="Q685" i="15"/>
  <c r="P687" i="15"/>
  <c r="O688" i="15"/>
  <c r="O693" i="15"/>
  <c r="P697" i="15"/>
  <c r="O708" i="15"/>
  <c r="Q717" i="15"/>
  <c r="Q732" i="15"/>
  <c r="S732" i="15"/>
  <c r="P736" i="15"/>
  <c r="Q738" i="15"/>
  <c r="Q741" i="15"/>
  <c r="Q742" i="15"/>
  <c r="O746" i="15"/>
  <c r="P747" i="15"/>
  <c r="O754" i="15"/>
  <c r="O757" i="15"/>
  <c r="O759" i="15"/>
  <c r="Q764" i="15"/>
  <c r="Q773" i="15"/>
  <c r="P777" i="15"/>
  <c r="Q784" i="15"/>
  <c r="O788" i="15"/>
  <c r="O790" i="15"/>
  <c r="P793" i="15"/>
  <c r="Q796" i="15"/>
  <c r="O799" i="15"/>
  <c r="O802" i="15"/>
  <c r="O804" i="15"/>
  <c r="P810" i="15"/>
  <c r="O813" i="15"/>
  <c r="O815" i="15"/>
  <c r="Q817" i="15"/>
  <c r="O819" i="15"/>
  <c r="O820" i="15"/>
  <c r="O824" i="15"/>
  <c r="O832" i="15"/>
  <c r="O836" i="15"/>
  <c r="P837" i="15"/>
  <c r="O843" i="15"/>
  <c r="P845" i="15"/>
  <c r="P848" i="15"/>
  <c r="Q851" i="15"/>
  <c r="Q859" i="15"/>
  <c r="O861" i="15"/>
  <c r="Q863" i="15"/>
  <c r="O873" i="15"/>
  <c r="P876" i="15"/>
  <c r="P877" i="15"/>
  <c r="Q880" i="15"/>
  <c r="P900" i="15"/>
  <c r="O913" i="15"/>
  <c r="Q929" i="15"/>
  <c r="P932" i="15"/>
  <c r="O938" i="15"/>
  <c r="Q940" i="15"/>
  <c r="O942" i="15"/>
  <c r="P944" i="15"/>
  <c r="P946" i="15"/>
  <c r="O954" i="15"/>
  <c r="P956" i="15"/>
  <c r="O961" i="15"/>
  <c r="P964" i="15"/>
  <c r="O968" i="15"/>
  <c r="P971" i="15"/>
  <c r="Q973" i="15"/>
  <c r="P974" i="15"/>
  <c r="O985" i="15"/>
  <c r="O986" i="15"/>
  <c r="O989" i="15"/>
  <c r="P991" i="15"/>
  <c r="Q992" i="15"/>
  <c r="O997" i="15"/>
  <c r="O1000" i="15"/>
  <c r="O1003" i="15"/>
  <c r="O1005" i="15"/>
  <c r="P1013" i="15"/>
  <c r="O1017" i="15"/>
  <c r="P1018" i="15"/>
  <c r="O1025" i="15"/>
  <c r="P1026" i="15"/>
  <c r="P1030" i="15"/>
  <c r="P1035" i="15"/>
  <c r="O1038" i="15"/>
  <c r="O1050" i="15"/>
  <c r="P1064" i="15"/>
  <c r="O1069" i="15"/>
  <c r="P1071" i="15"/>
  <c r="O1087" i="15"/>
  <c r="O1095" i="15"/>
  <c r="Q1119" i="15"/>
  <c r="Q1122" i="15"/>
  <c r="O1139" i="15"/>
  <c r="R1144" i="15"/>
  <c r="O1144" i="15"/>
  <c r="P1147" i="15"/>
  <c r="O1151" i="15"/>
  <c r="Q1151" i="15"/>
  <c r="R1155" i="15"/>
  <c r="Q1155" i="15"/>
  <c r="O1158" i="15"/>
  <c r="Q1158" i="15"/>
  <c r="O1162" i="15"/>
  <c r="Q1162" i="15"/>
  <c r="Q420" i="15"/>
  <c r="O439" i="15"/>
  <c r="O440" i="15"/>
  <c r="P449" i="15"/>
  <c r="O453" i="15"/>
  <c r="O464" i="15"/>
  <c r="O487" i="15"/>
  <c r="Q490" i="15"/>
  <c r="Q491" i="15"/>
  <c r="P494" i="15"/>
  <c r="P515" i="15"/>
  <c r="Q516" i="15"/>
  <c r="Q519" i="15"/>
  <c r="O521" i="15"/>
  <c r="O524" i="15"/>
  <c r="O526" i="15"/>
  <c r="Q529" i="15"/>
  <c r="Q531" i="15"/>
  <c r="O547" i="15"/>
  <c r="O548" i="15"/>
  <c r="O549" i="15"/>
  <c r="O550" i="15"/>
  <c r="O565" i="15"/>
  <c r="Q575" i="15"/>
  <c r="O583" i="15"/>
  <c r="O589" i="15"/>
  <c r="Q611" i="15"/>
  <c r="P612" i="15"/>
  <c r="O613" i="15"/>
  <c r="P614" i="15"/>
  <c r="Q615" i="15"/>
  <c r="Q617" i="15"/>
  <c r="P619" i="15"/>
  <c r="P622" i="15"/>
  <c r="Q625" i="15"/>
  <c r="P627" i="15"/>
  <c r="Q629" i="15"/>
  <c r="O632" i="15"/>
  <c r="P634" i="15"/>
  <c r="Q638" i="15"/>
  <c r="Q640" i="15"/>
  <c r="Q642" i="15"/>
  <c r="O648" i="15"/>
  <c r="O654" i="15"/>
  <c r="S654" i="15"/>
  <c r="Q656" i="15"/>
  <c r="O662" i="15"/>
  <c r="P663" i="15"/>
  <c r="Q664" i="15"/>
  <c r="O668" i="15"/>
  <c r="O670" i="15"/>
  <c r="O679" i="15"/>
  <c r="P682" i="15"/>
  <c r="O684" i="15"/>
  <c r="O686" i="15"/>
  <c r="Q687" i="15"/>
  <c r="Q688" i="15"/>
  <c r="P688" i="15"/>
  <c r="Q697" i="15"/>
  <c r="P708" i="15"/>
  <c r="O710" i="15"/>
  <c r="O712" i="15"/>
  <c r="Q736" i="15"/>
  <c r="Q746" i="15"/>
  <c r="Q747" i="15"/>
  <c r="P754" i="15"/>
  <c r="P757" i="15"/>
  <c r="P759" i="15"/>
  <c r="Q777" i="15"/>
  <c r="P788" i="15"/>
  <c r="P790" i="15"/>
  <c r="P799" i="15"/>
  <c r="P802" i="15"/>
  <c r="O806" i="15"/>
  <c r="Q810" i="15"/>
  <c r="P813" i="15"/>
  <c r="P819" i="15"/>
  <c r="O835" i="15"/>
  <c r="P836" i="15"/>
  <c r="Q837" i="15"/>
  <c r="O841" i="15"/>
  <c r="P843" i="15"/>
  <c r="Q848" i="15"/>
  <c r="O852" i="15"/>
  <c r="S852" i="15"/>
  <c r="P861" i="15"/>
  <c r="P873" i="15"/>
  <c r="O890" i="15"/>
  <c r="O893" i="15"/>
  <c r="Q894" i="15"/>
  <c r="Q898" i="15"/>
  <c r="Q900" i="15"/>
  <c r="O911" i="15"/>
  <c r="Q917" i="15"/>
  <c r="Q922" i="15"/>
  <c r="O930" i="15"/>
  <c r="Q932" i="15"/>
  <c r="P938" i="15"/>
  <c r="O941" i="15"/>
  <c r="P942" i="15"/>
  <c r="Q944" i="15"/>
  <c r="Q950" i="15"/>
  <c r="P954" i="15"/>
  <c r="O957" i="15"/>
  <c r="P961" i="15"/>
  <c r="P963" i="15"/>
  <c r="Q964" i="15"/>
  <c r="P968" i="15"/>
  <c r="Q971" i="15"/>
  <c r="Q974" i="15"/>
  <c r="Q976" i="15"/>
  <c r="O977" i="15"/>
  <c r="P985" i="15"/>
  <c r="O996" i="15"/>
  <c r="P997" i="15"/>
  <c r="P999" i="15"/>
  <c r="O999" i="15"/>
  <c r="Q1000" i="15"/>
  <c r="P1003" i="15"/>
  <c r="Q1005" i="15"/>
  <c r="P1009" i="15"/>
  <c r="Q1013" i="15"/>
  <c r="P1017" i="15"/>
  <c r="O1019" i="15"/>
  <c r="O1022" i="15"/>
  <c r="P1025" i="15"/>
  <c r="O1027" i="15"/>
  <c r="O1031" i="15"/>
  <c r="Q1035" i="15"/>
  <c r="O1037" i="15"/>
  <c r="P1038" i="15"/>
  <c r="P1050" i="15"/>
  <c r="O1054" i="15"/>
  <c r="O1059" i="15"/>
  <c r="Q1064" i="15"/>
  <c r="O1068" i="15"/>
  <c r="P1069" i="15"/>
  <c r="P1072" i="15"/>
  <c r="O1081" i="15"/>
  <c r="O1086" i="15"/>
  <c r="P1087" i="15"/>
  <c r="P1095" i="15"/>
  <c r="Q1115" i="15"/>
  <c r="O1118" i="15"/>
  <c r="O1123" i="15"/>
  <c r="O1127" i="15"/>
  <c r="O1132" i="15"/>
  <c r="O1133" i="15"/>
  <c r="P1134" i="15"/>
  <c r="P1144" i="15"/>
  <c r="P1151" i="15"/>
  <c r="O1155" i="15"/>
  <c r="P1158" i="15"/>
  <c r="Q1167" i="15"/>
  <c r="R1168" i="15"/>
  <c r="O1168" i="15"/>
  <c r="O1177" i="15"/>
  <c r="Q1177" i="15"/>
  <c r="P1177" i="15"/>
  <c r="R1189" i="15"/>
  <c r="O1189" i="15"/>
  <c r="P1209" i="15"/>
  <c r="O1209" i="15"/>
  <c r="Q612" i="15"/>
  <c r="Q619" i="15"/>
  <c r="Q622" i="15"/>
  <c r="Q627" i="15"/>
  <c r="Q634" i="15"/>
  <c r="Q663" i="15"/>
  <c r="Q682" i="15"/>
  <c r="Q754" i="15"/>
  <c r="Q799" i="15"/>
  <c r="Q802" i="15"/>
  <c r="Q813" i="15"/>
  <c r="Q819" i="15"/>
  <c r="Q836" i="15"/>
  <c r="Q861" i="15"/>
  <c r="Q961" i="15"/>
  <c r="Q985" i="15"/>
  <c r="Q997" i="15"/>
  <c r="Q1003" i="15"/>
  <c r="Q1017" i="15"/>
  <c r="Q1025" i="15"/>
  <c r="P1037" i="15"/>
  <c r="Q1050" i="15"/>
  <c r="Q1069" i="15"/>
  <c r="Q1087" i="15"/>
  <c r="P1127" i="15"/>
  <c r="Q1132" i="15"/>
  <c r="P1132" i="15"/>
  <c r="S1132" i="15"/>
  <c r="Q1133" i="15"/>
  <c r="P1133" i="15"/>
  <c r="Q1134" i="15"/>
  <c r="R1149" i="15"/>
  <c r="O1149" i="15"/>
  <c r="P1155" i="15"/>
  <c r="P1162" i="15"/>
  <c r="R1232" i="15"/>
  <c r="O1232" i="15"/>
  <c r="O876" i="15"/>
  <c r="O877" i="15"/>
  <c r="O880" i="15"/>
  <c r="Q883" i="15"/>
  <c r="R1147" i="15"/>
  <c r="O1147" i="15"/>
  <c r="O1153" i="15"/>
  <c r="Q1153" i="15"/>
  <c r="O1154" i="15"/>
  <c r="P1154" i="15"/>
  <c r="O1163" i="15"/>
  <c r="P1163" i="15"/>
  <c r="O1175" i="15"/>
  <c r="Q1175" i="15"/>
  <c r="P1175" i="15"/>
  <c r="O1194" i="15"/>
  <c r="Q1194" i="15"/>
  <c r="P1194" i="15"/>
  <c r="O1207" i="15"/>
  <c r="Q1207" i="15"/>
  <c r="P1207" i="15"/>
  <c r="O1338" i="15"/>
  <c r="O1354" i="15"/>
  <c r="P1357" i="15"/>
  <c r="O1361" i="15"/>
  <c r="P1363" i="15"/>
  <c r="Q1371" i="15"/>
  <c r="O1375" i="15"/>
  <c r="P1398" i="15"/>
  <c r="Q1401" i="15"/>
  <c r="Q1413" i="15"/>
  <c r="O1416" i="15"/>
  <c r="P1432" i="15"/>
  <c r="P1433" i="15"/>
  <c r="O1439" i="15"/>
  <c r="O1440" i="15"/>
  <c r="O1441" i="15"/>
  <c r="O1447" i="15"/>
  <c r="Q1455" i="15"/>
  <c r="Q1457" i="15"/>
  <c r="Q1459" i="15"/>
  <c r="Q1463" i="15"/>
  <c r="Q1469" i="15"/>
  <c r="O1472" i="15"/>
  <c r="Q1477" i="15"/>
  <c r="Q1483" i="15"/>
  <c r="P1483" i="15"/>
  <c r="O1484" i="15"/>
  <c r="O1486" i="15"/>
  <c r="P1487" i="15"/>
  <c r="P1498" i="15"/>
  <c r="Q1499" i="15"/>
  <c r="P1514" i="15"/>
  <c r="O1515" i="15"/>
  <c r="O1516" i="15"/>
  <c r="Q1517" i="15"/>
  <c r="Q1519" i="15"/>
  <c r="O1520" i="15"/>
  <c r="P1523" i="15"/>
  <c r="Q1527" i="15"/>
  <c r="Q1528" i="15"/>
  <c r="P1528" i="15"/>
  <c r="S1528" i="15"/>
  <c r="O1539" i="15"/>
  <c r="P1540" i="15"/>
  <c r="O1544" i="15"/>
  <c r="O1551" i="15"/>
  <c r="O1553" i="15"/>
  <c r="P1555" i="15"/>
  <c r="P1557" i="15"/>
  <c r="O1558" i="15"/>
  <c r="O1574" i="15"/>
  <c r="Q1576" i="15"/>
  <c r="O1582" i="15"/>
  <c r="P1583" i="15"/>
  <c r="Q1584" i="15"/>
  <c r="O1593" i="15"/>
  <c r="P1595" i="15"/>
  <c r="P1599" i="15"/>
  <c r="O1599" i="15"/>
  <c r="Q1599" i="15"/>
  <c r="S1599" i="15"/>
  <c r="O1600" i="15"/>
  <c r="Q1603" i="15"/>
  <c r="O1622" i="15"/>
  <c r="Q1624" i="15"/>
  <c r="P1625" i="15"/>
  <c r="O1629" i="15"/>
  <c r="O1648" i="15"/>
  <c r="O1649" i="15"/>
  <c r="Q1650" i="15"/>
  <c r="O1650" i="15"/>
  <c r="P1659" i="15"/>
  <c r="Q1664" i="15"/>
  <c r="S1664" i="15"/>
  <c r="R1667" i="15"/>
  <c r="Q1672" i="15"/>
  <c r="Q1676" i="15"/>
  <c r="Q1678" i="15"/>
  <c r="P1682" i="15"/>
  <c r="Q1685" i="15"/>
  <c r="P1687" i="15"/>
  <c r="Q1687" i="15"/>
  <c r="S1687" i="15"/>
  <c r="Q1689" i="15"/>
  <c r="Q1691" i="15"/>
  <c r="P1694" i="15"/>
  <c r="Q1695" i="15"/>
  <c r="Q1702" i="15"/>
  <c r="Q1740" i="15"/>
  <c r="P1740" i="15"/>
  <c r="R1782" i="15"/>
  <c r="O1782" i="15"/>
  <c r="Q1782" i="15"/>
  <c r="R1800" i="15"/>
  <c r="O1800" i="15"/>
  <c r="P1800" i="15"/>
  <c r="P1167" i="15"/>
  <c r="P1181" i="15"/>
  <c r="P1187" i="15"/>
  <c r="Q1223" i="15"/>
  <c r="P1239" i="15"/>
  <c r="Q1242" i="15"/>
  <c r="Q1247" i="15"/>
  <c r="O1251" i="15"/>
  <c r="P1260" i="15"/>
  <c r="Q1261" i="15"/>
  <c r="O1263" i="15"/>
  <c r="P1264" i="15"/>
  <c r="P1274" i="15"/>
  <c r="O1279" i="15"/>
  <c r="P1283" i="15"/>
  <c r="O1296" i="15"/>
  <c r="P1300" i="15"/>
  <c r="Q1303" i="15"/>
  <c r="O1311" i="15"/>
  <c r="P1315" i="15"/>
  <c r="O1325" i="15"/>
  <c r="O1331" i="15"/>
  <c r="Q1338" i="15"/>
  <c r="Q1347" i="15"/>
  <c r="O1353" i="15"/>
  <c r="P1354" i="15"/>
  <c r="Q1357" i="15"/>
  <c r="O1360" i="15"/>
  <c r="P1361" i="15"/>
  <c r="Q1363" i="15"/>
  <c r="Q1372" i="15"/>
  <c r="P1375" i="15"/>
  <c r="Q1376" i="15"/>
  <c r="O1392" i="15"/>
  <c r="O1396" i="15"/>
  <c r="O1402" i="15"/>
  <c r="P1414" i="15"/>
  <c r="P1416" i="15"/>
  <c r="P1417" i="15"/>
  <c r="P1439" i="15"/>
  <c r="P1440" i="15"/>
  <c r="P1441" i="15"/>
  <c r="P1447" i="15"/>
  <c r="P1460" i="15"/>
  <c r="P1486" i="15"/>
  <c r="Q1487" i="15"/>
  <c r="Q1498" i="15"/>
  <c r="Q1514" i="15"/>
  <c r="Q1515" i="15"/>
  <c r="P1515" i="15"/>
  <c r="Q1516" i="15"/>
  <c r="P1516" i="15"/>
  <c r="Q1520" i="15"/>
  <c r="P1539" i="15"/>
  <c r="P1544" i="15"/>
  <c r="P1551" i="15"/>
  <c r="P1553" i="15"/>
  <c r="Q1555" i="15"/>
  <c r="Q1557" i="15"/>
  <c r="Q1558" i="15"/>
  <c r="Q1574" i="15"/>
  <c r="P1582" i="15"/>
  <c r="Q1583" i="15"/>
  <c r="P1593" i="15"/>
  <c r="Q1648" i="15"/>
  <c r="P1648" i="15"/>
  <c r="Q1659" i="15"/>
  <c r="Q1694" i="15"/>
  <c r="P1717" i="15"/>
  <c r="O1717" i="15"/>
  <c r="Q1717" i="15"/>
  <c r="P1764" i="15"/>
  <c r="O1764" i="15"/>
  <c r="Q1764" i="15"/>
  <c r="R1776" i="15"/>
  <c r="O1776" i="15"/>
  <c r="Q1776" i="15"/>
  <c r="P1776" i="15"/>
  <c r="Q1788" i="15"/>
  <c r="P1788" i="15"/>
  <c r="R1796" i="15"/>
  <c r="O1796" i="15"/>
  <c r="Q1796" i="15"/>
  <c r="P1796" i="15"/>
  <c r="O1174" i="15"/>
  <c r="Q1181" i="15"/>
  <c r="P1183" i="15"/>
  <c r="P1186" i="15"/>
  <c r="Q1187" i="15"/>
  <c r="O1198" i="15"/>
  <c r="Q1209" i="15"/>
  <c r="Q1239" i="15"/>
  <c r="O1252" i="15"/>
  <c r="P1256" i="15"/>
  <c r="Q1260" i="15"/>
  <c r="P1263" i="15"/>
  <c r="Q1264" i="15"/>
  <c r="Q1274" i="15"/>
  <c r="P1296" i="15"/>
  <c r="Q1300" i="15"/>
  <c r="Q1315" i="15"/>
  <c r="P1325" i="15"/>
  <c r="P1331" i="15"/>
  <c r="P1353" i="15"/>
  <c r="Q1354" i="15"/>
  <c r="P1360" i="15"/>
  <c r="Q1361" i="15"/>
  <c r="Q1375" i="15"/>
  <c r="Q1416" i="15"/>
  <c r="Q1539" i="15"/>
  <c r="R1705" i="15"/>
  <c r="Q1705" i="15"/>
  <c r="Q1722" i="15"/>
  <c r="P1722" i="15"/>
  <c r="R1778" i="15"/>
  <c r="O1778" i="15"/>
  <c r="Q1778" i="15"/>
  <c r="P1778" i="15"/>
  <c r="Q1263" i="15"/>
  <c r="Q1296" i="15"/>
  <c r="O1432" i="15"/>
  <c r="O1433" i="15"/>
  <c r="P1457" i="15"/>
  <c r="P1459" i="15"/>
  <c r="Q1473" i="15"/>
  <c r="Q1480" i="15"/>
  <c r="O1483" i="15"/>
  <c r="O1487" i="15"/>
  <c r="O1514" i="15"/>
  <c r="P1552" i="15"/>
  <c r="O1555" i="15"/>
  <c r="O1557" i="15"/>
  <c r="O1583" i="15"/>
  <c r="O1595" i="15"/>
  <c r="P1603" i="15"/>
  <c r="Q1608" i="15"/>
  <c r="Q1621" i="15"/>
  <c r="O1624" i="15"/>
  <c r="O1625" i="15"/>
  <c r="O1659" i="15"/>
  <c r="O1672" i="15"/>
  <c r="O1705" i="15"/>
  <c r="Q1707" i="15"/>
  <c r="P1707" i="15"/>
  <c r="Q1745" i="15"/>
  <c r="P1745" i="15"/>
  <c r="Q1760" i="15"/>
  <c r="P1760" i="15"/>
  <c r="R1780" i="15"/>
  <c r="O1780" i="15"/>
  <c r="Q1780" i="15"/>
  <c r="P1780" i="15"/>
  <c r="R1792" i="15"/>
  <c r="O1792" i="15"/>
  <c r="Q1792" i="15"/>
  <c r="P1792" i="15"/>
  <c r="O1721" i="15"/>
  <c r="P1723" i="15"/>
  <c r="Q1737" i="15"/>
  <c r="P1739" i="15"/>
  <c r="O1741" i="15"/>
  <c r="Q1743" i="15"/>
  <c r="O1744" i="15"/>
  <c r="Q1746" i="15"/>
  <c r="P1748" i="15"/>
  <c r="O1753" i="15"/>
  <c r="Q1754" i="15"/>
  <c r="P1761" i="15"/>
  <c r="P1767" i="15"/>
  <c r="O1783" i="15"/>
  <c r="O1791" i="15"/>
  <c r="Q1793" i="15"/>
  <c r="O1795" i="15"/>
  <c r="Q1797" i="15"/>
  <c r="Q1800" i="15"/>
  <c r="P1803" i="15"/>
  <c r="O1815" i="15"/>
  <c r="P1816" i="15"/>
  <c r="Q1816" i="15"/>
  <c r="O1816" i="15"/>
  <c r="S1816" i="15"/>
  <c r="Q1817" i="15"/>
  <c r="P1817" i="15"/>
  <c r="Q1818" i="15"/>
  <c r="P1818" i="15"/>
  <c r="Q1823" i="15"/>
  <c r="P1842" i="15"/>
  <c r="Q1844" i="15"/>
  <c r="P1865" i="15"/>
  <c r="Q1874" i="15"/>
  <c r="P1894" i="15"/>
  <c r="O1919" i="15"/>
  <c r="Q1923" i="15"/>
  <c r="Q1926" i="15"/>
  <c r="Q1932" i="15"/>
  <c r="R1944" i="15"/>
  <c r="P1956" i="15"/>
  <c r="Q1956" i="15"/>
  <c r="Q1964" i="15"/>
  <c r="Q1968" i="15"/>
  <c r="Q1973" i="15"/>
  <c r="P2005" i="15"/>
  <c r="Q2015" i="15"/>
  <c r="P2027" i="15"/>
  <c r="Q2053" i="15"/>
  <c r="P2060" i="15"/>
  <c r="P2062" i="15"/>
  <c r="Q2062" i="15"/>
  <c r="O2065" i="15"/>
  <c r="P2075" i="15"/>
  <c r="Q2075" i="15"/>
  <c r="O2079" i="15"/>
  <c r="Q2082" i="15"/>
  <c r="P2086" i="15"/>
  <c r="P2090" i="15"/>
  <c r="P2092" i="15"/>
  <c r="Q2095" i="15"/>
  <c r="O2096" i="15"/>
  <c r="P2098" i="15"/>
  <c r="Q2099" i="15"/>
  <c r="O2109" i="15"/>
  <c r="P2110" i="15"/>
  <c r="P2111" i="15"/>
  <c r="P2112" i="15"/>
  <c r="P2116" i="15"/>
  <c r="P2124" i="15"/>
  <c r="R1826" i="15"/>
  <c r="Q1842" i="15"/>
  <c r="P1957" i="15"/>
  <c r="S1957" i="15"/>
  <c r="O1985" i="15"/>
  <c r="S1985" i="15"/>
  <c r="O1986" i="15"/>
  <c r="P1988" i="15"/>
  <c r="P1994" i="15"/>
  <c r="O2004" i="15"/>
  <c r="Q2005" i="15"/>
  <c r="O2014" i="15"/>
  <c r="P2020" i="15"/>
  <c r="Q2022" i="15"/>
  <c r="O2024" i="15"/>
  <c r="O2026" i="15"/>
  <c r="Q2027" i="15"/>
  <c r="O2030" i="15"/>
  <c r="O2058" i="15"/>
  <c r="P2079" i="15"/>
  <c r="Q2090" i="15"/>
  <c r="Q2092" i="15"/>
  <c r="Q2096" i="15"/>
  <c r="Q2098" i="15"/>
  <c r="Q2110" i="15"/>
  <c r="Q2111" i="15"/>
  <c r="Q2112" i="15"/>
  <c r="Q1734" i="15"/>
  <c r="P1737" i="15"/>
  <c r="P1743" i="15"/>
  <c r="P1746" i="15"/>
  <c r="P1754" i="15"/>
  <c r="Q1755" i="15"/>
  <c r="Q1775" i="15"/>
  <c r="P1793" i="15"/>
  <c r="P1797" i="15"/>
  <c r="R1802" i="15"/>
  <c r="S1802" i="15"/>
  <c r="Q1804" i="15"/>
  <c r="O1817" i="15"/>
  <c r="O1818" i="15"/>
  <c r="S1818" i="15"/>
  <c r="P1823" i="15"/>
  <c r="R1825" i="15"/>
  <c r="Q1838" i="15"/>
  <c r="O1842" i="15"/>
  <c r="O1844" i="15"/>
  <c r="P1854" i="15"/>
  <c r="Q1857" i="15"/>
  <c r="O1874" i="15"/>
  <c r="Q1895" i="15"/>
  <c r="R1897" i="15"/>
  <c r="P1905" i="15"/>
  <c r="Q1906" i="15"/>
  <c r="S1906" i="15"/>
  <c r="P1923" i="15"/>
  <c r="O1926" i="15"/>
  <c r="P1932" i="15"/>
  <c r="O1956" i="15"/>
  <c r="O1964" i="15"/>
  <c r="O1968" i="15"/>
  <c r="O1973" i="15"/>
  <c r="P1980" i="15"/>
  <c r="P1990" i="15"/>
  <c r="P2000" i="15"/>
  <c r="Q2004" i="15"/>
  <c r="O2005" i="15"/>
  <c r="P2015" i="15"/>
  <c r="Q2016" i="15"/>
  <c r="O2023" i="15"/>
  <c r="O2027" i="15"/>
  <c r="P2041" i="15"/>
  <c r="O2053" i="15"/>
  <c r="O2060" i="15"/>
  <c r="O2062" i="15"/>
  <c r="O2075" i="15"/>
  <c r="O2082" i="15"/>
  <c r="O2090" i="15"/>
  <c r="O2092" i="15"/>
  <c r="O2095" i="15"/>
  <c r="O2098" i="15"/>
  <c r="O2099" i="15"/>
  <c r="O2110" i="15"/>
  <c r="O2111" i="15"/>
  <c r="O2112" i="15"/>
  <c r="P2118" i="15"/>
  <c r="Q2119" i="15"/>
  <c r="O2124" i="15"/>
  <c r="P46" i="15"/>
  <c r="R46" i="15"/>
  <c r="Q130" i="15"/>
  <c r="M130" i="15"/>
  <c r="K139" i="15"/>
  <c r="K136" i="15"/>
  <c r="Q136" i="15"/>
  <c r="R130" i="15"/>
  <c r="M135" i="15"/>
  <c r="P181" i="15"/>
  <c r="K277" i="15"/>
  <c r="P273" i="15"/>
  <c r="R66" i="15"/>
  <c r="L139" i="15"/>
  <c r="L136" i="15"/>
  <c r="R136" i="15"/>
  <c r="R139" i="15"/>
  <c r="S253" i="15"/>
  <c r="S295" i="15"/>
  <c r="R45" i="15"/>
  <c r="R52" i="15"/>
  <c r="M230" i="15"/>
  <c r="S120" i="15"/>
  <c r="R271" i="15"/>
  <c r="M300" i="15"/>
  <c r="J304" i="15"/>
  <c r="M304" i="15"/>
  <c r="P300" i="15"/>
  <c r="R300" i="15"/>
  <c r="R9" i="15"/>
  <c r="P7" i="15"/>
  <c r="M8" i="15"/>
  <c r="P9" i="15"/>
  <c r="R10" i="15"/>
  <c r="P13" i="15"/>
  <c r="O15" i="15"/>
  <c r="P18" i="15"/>
  <c r="O26" i="15"/>
  <c r="R32" i="15"/>
  <c r="R37" i="15"/>
  <c r="P42" i="15"/>
  <c r="K45" i="15"/>
  <c r="Q7" i="15"/>
  <c r="Q9" i="15"/>
  <c r="O10" i="15"/>
  <c r="P11" i="15"/>
  <c r="Q13" i="15"/>
  <c r="P15" i="15"/>
  <c r="O16" i="15"/>
  <c r="Q18" i="15"/>
  <c r="Q21" i="15"/>
  <c r="P22" i="15"/>
  <c r="O23" i="15"/>
  <c r="Q25" i="15"/>
  <c r="P26" i="15"/>
  <c r="O27" i="15"/>
  <c r="O32" i="15"/>
  <c r="Q35" i="15"/>
  <c r="O37" i="15"/>
  <c r="Q42" i="15"/>
  <c r="O43" i="15"/>
  <c r="O44" i="15"/>
  <c r="O49" i="15"/>
  <c r="J51" i="15"/>
  <c r="J52" i="15"/>
  <c r="M58" i="15"/>
  <c r="Q58" i="15"/>
  <c r="O60" i="15"/>
  <c r="R61" i="15"/>
  <c r="Q62" i="15"/>
  <c r="Q63" i="15"/>
  <c r="L64" i="15"/>
  <c r="R64" i="15"/>
  <c r="O65" i="15"/>
  <c r="J66" i="15"/>
  <c r="M66" i="15"/>
  <c r="M67" i="15"/>
  <c r="I67" i="15"/>
  <c r="P68" i="15"/>
  <c r="Q75" i="15"/>
  <c r="O78" i="15"/>
  <c r="O82" i="15"/>
  <c r="O87" i="15"/>
  <c r="Q89" i="15"/>
  <c r="Q90" i="15"/>
  <c r="Q91" i="15"/>
  <c r="Q92" i="15"/>
  <c r="Q93" i="15"/>
  <c r="P95" i="15"/>
  <c r="S95" i="15"/>
  <c r="O99" i="15"/>
  <c r="K497" i="15"/>
  <c r="K496" i="15"/>
  <c r="O100" i="15"/>
  <c r="O101" i="15"/>
  <c r="O102" i="15"/>
  <c r="K103" i="15"/>
  <c r="O103" i="15"/>
  <c r="O104" i="15"/>
  <c r="O105" i="15"/>
  <c r="O106" i="15"/>
  <c r="P110" i="15"/>
  <c r="S110" i="15"/>
  <c r="P112" i="15"/>
  <c r="O114" i="15"/>
  <c r="P115" i="15"/>
  <c r="Q126" i="15"/>
  <c r="P127" i="15"/>
  <c r="P128" i="15"/>
  <c r="L129" i="15"/>
  <c r="R129" i="15"/>
  <c r="P129" i="15"/>
  <c r="P130" i="15"/>
  <c r="O131" i="15"/>
  <c r="K132" i="15"/>
  <c r="M132" i="15"/>
  <c r="O132" i="15"/>
  <c r="O134" i="15"/>
  <c r="O135" i="15"/>
  <c r="O136" i="15"/>
  <c r="K137" i="15"/>
  <c r="M137" i="15"/>
  <c r="O137" i="15"/>
  <c r="O138" i="15"/>
  <c r="O139" i="15"/>
  <c r="Q146" i="15"/>
  <c r="Q147" i="15"/>
  <c r="O153" i="15"/>
  <c r="Q160" i="15"/>
  <c r="O161" i="15"/>
  <c r="Q167" i="15"/>
  <c r="O168" i="15"/>
  <c r="Q169" i="15"/>
  <c r="R176" i="15"/>
  <c r="Q177" i="15"/>
  <c r="Q180" i="15"/>
  <c r="R187" i="15"/>
  <c r="Q188" i="15"/>
  <c r="R190" i="15"/>
  <c r="R191" i="15"/>
  <c r="Q193" i="15"/>
  <c r="O195" i="15"/>
  <c r="R198" i="15"/>
  <c r="R200" i="15"/>
  <c r="Q202" i="15"/>
  <c r="Q203" i="15"/>
  <c r="Q204" i="15"/>
  <c r="O205" i="15"/>
  <c r="Q206" i="15"/>
  <c r="O207" i="15"/>
  <c r="O218" i="15"/>
  <c r="Q220" i="15"/>
  <c r="Q227" i="15"/>
  <c r="O228" i="15"/>
  <c r="K229" i="15"/>
  <c r="O229" i="15"/>
  <c r="O230" i="15"/>
  <c r="R235" i="15"/>
  <c r="O236" i="15"/>
  <c r="Q237" i="15"/>
  <c r="O238" i="15"/>
  <c r="O239" i="15"/>
  <c r="P240" i="15"/>
  <c r="Q243" i="15"/>
  <c r="Q244" i="15"/>
  <c r="Q246" i="15"/>
  <c r="Q247" i="15"/>
  <c r="O250" i="15"/>
  <c r="Q255" i="15"/>
  <c r="Q259" i="15"/>
  <c r="M264" i="15"/>
  <c r="Q264" i="15"/>
  <c r="Q265" i="15"/>
  <c r="O267" i="15"/>
  <c r="O268" i="15"/>
  <c r="J272" i="15"/>
  <c r="P272" i="15"/>
  <c r="R273" i="15"/>
  <c r="O276" i="15"/>
  <c r="O283" i="15"/>
  <c r="O292" i="15"/>
  <c r="O293" i="15"/>
  <c r="Q296" i="15"/>
  <c r="P297" i="15"/>
  <c r="O298" i="15"/>
  <c r="O299" i="15"/>
  <c r="O300" i="15"/>
  <c r="Q302" i="15"/>
  <c r="Q303" i="15"/>
  <c r="Q304" i="15"/>
  <c r="R309" i="15"/>
  <c r="Q310" i="15"/>
  <c r="R311" i="15"/>
  <c r="P318" i="15"/>
  <c r="M340" i="15"/>
  <c r="P340" i="15"/>
  <c r="P341" i="15"/>
  <c r="Q398" i="15"/>
  <c r="M398" i="15"/>
  <c r="Q402" i="15"/>
  <c r="M402" i="15"/>
  <c r="P431" i="15"/>
  <c r="O431" i="15"/>
  <c r="Q431" i="15"/>
  <c r="P435" i="15"/>
  <c r="O435" i="15"/>
  <c r="Q435" i="15"/>
  <c r="P10" i="15"/>
  <c r="R18" i="15"/>
  <c r="R42" i="15"/>
  <c r="P43" i="15"/>
  <c r="R58" i="15"/>
  <c r="R62" i="15"/>
  <c r="R63" i="15"/>
  <c r="L65" i="15"/>
  <c r="R65" i="15"/>
  <c r="R67" i="15"/>
  <c r="M68" i="15"/>
  <c r="R75" i="15"/>
  <c r="P78" i="15"/>
  <c r="P82" i="15"/>
  <c r="R89" i="15"/>
  <c r="R90" i="15"/>
  <c r="R91" i="15"/>
  <c r="R92" i="15"/>
  <c r="R93" i="15"/>
  <c r="L497" i="15"/>
  <c r="L496" i="15"/>
  <c r="R496" i="15"/>
  <c r="L103" i="15"/>
  <c r="R103" i="15"/>
  <c r="R126" i="15"/>
  <c r="R146" i="15"/>
  <c r="R147" i="15"/>
  <c r="R160" i="15"/>
  <c r="R167" i="15"/>
  <c r="P168" i="15"/>
  <c r="R169" i="15"/>
  <c r="R177" i="15"/>
  <c r="R179" i="15"/>
  <c r="R180" i="15"/>
  <c r="R181" i="15"/>
  <c r="R182" i="15"/>
  <c r="R183" i="15"/>
  <c r="R188" i="15"/>
  <c r="R193" i="15"/>
  <c r="R202" i="15"/>
  <c r="R203" i="15"/>
  <c r="R204" i="15"/>
  <c r="R206" i="15"/>
  <c r="R220" i="15"/>
  <c r="R227" i="15"/>
  <c r="P228" i="15"/>
  <c r="R237" i="15"/>
  <c r="R243" i="15"/>
  <c r="R244" i="15"/>
  <c r="R246" i="15"/>
  <c r="R247" i="15"/>
  <c r="R255" i="15"/>
  <c r="R259" i="15"/>
  <c r="R264" i="15"/>
  <c r="R265" i="15"/>
  <c r="L268" i="15"/>
  <c r="M268" i="15"/>
  <c r="K272" i="15"/>
  <c r="Q272" i="15"/>
  <c r="K273" i="15"/>
  <c r="Q273" i="15"/>
  <c r="P283" i="15"/>
  <c r="R296" i="15"/>
  <c r="R302" i="15"/>
  <c r="J303" i="15"/>
  <c r="M303" i="15"/>
  <c r="R303" i="15"/>
  <c r="R304" i="15"/>
  <c r="O309" i="15"/>
  <c r="R310" i="15"/>
  <c r="O311" i="15"/>
  <c r="O335" i="15"/>
  <c r="Q335" i="15"/>
  <c r="R339" i="15"/>
  <c r="Q365" i="15"/>
  <c r="O365" i="15"/>
  <c r="O368" i="15"/>
  <c r="Q368" i="15"/>
  <c r="O369" i="15"/>
  <c r="Q369" i="15"/>
  <c r="P376" i="15"/>
  <c r="O376" i="15"/>
  <c r="Q376" i="15"/>
  <c r="R384" i="15"/>
  <c r="Q399" i="15"/>
  <c r="S399" i="15"/>
  <c r="M399" i="15"/>
  <c r="Q403" i="15"/>
  <c r="M403" i="15"/>
  <c r="P407" i="15"/>
  <c r="O407" i="15"/>
  <c r="Q407" i="15"/>
  <c r="M426" i="15"/>
  <c r="R425" i="15"/>
  <c r="R431" i="15"/>
  <c r="R435" i="15"/>
  <c r="P483" i="15"/>
  <c r="R7" i="15"/>
  <c r="R13" i="15"/>
  <c r="R21" i="15"/>
  <c r="R25" i="15"/>
  <c r="R35" i="15"/>
  <c r="P44" i="15"/>
  <c r="Q16" i="15"/>
  <c r="O21" i="15"/>
  <c r="Q23" i="15"/>
  <c r="O25" i="15"/>
  <c r="Q27" i="15"/>
  <c r="O35" i="15"/>
  <c r="Q43" i="15"/>
  <c r="M44" i="15"/>
  <c r="Q44" i="15"/>
  <c r="Q49" i="15"/>
  <c r="L51" i="15"/>
  <c r="R51" i="15"/>
  <c r="O58" i="15"/>
  <c r="Q60" i="15"/>
  <c r="O62" i="15"/>
  <c r="O63" i="15"/>
  <c r="J64" i="15"/>
  <c r="P64" i="15"/>
  <c r="S64" i="15"/>
  <c r="Q65" i="15"/>
  <c r="K67" i="15"/>
  <c r="Q67" i="15"/>
  <c r="O67" i="15"/>
  <c r="O75" i="15"/>
  <c r="Q78" i="15"/>
  <c r="Q82" i="15"/>
  <c r="Q87" i="15"/>
  <c r="O89" i="15"/>
  <c r="O90" i="15"/>
  <c r="O91" i="15"/>
  <c r="O92" i="15"/>
  <c r="O93" i="15"/>
  <c r="Q99" i="15"/>
  <c r="Q100" i="15"/>
  <c r="M101" i="15"/>
  <c r="Q101" i="15"/>
  <c r="Q102" i="15"/>
  <c r="Q103" i="15"/>
  <c r="Q104" i="15"/>
  <c r="Q105" i="15"/>
  <c r="Q106" i="15"/>
  <c r="Q114" i="15"/>
  <c r="O126" i="15"/>
  <c r="Q131" i="15"/>
  <c r="Q132" i="15"/>
  <c r="Q134" i="15"/>
  <c r="Q135" i="15"/>
  <c r="Q138" i="15"/>
  <c r="Q139" i="15"/>
  <c r="O146" i="15"/>
  <c r="O147" i="15"/>
  <c r="Q153" i="15"/>
  <c r="O160" i="15"/>
  <c r="Q161" i="15"/>
  <c r="O167" i="15"/>
  <c r="Q168" i="15"/>
  <c r="O169" i="15"/>
  <c r="O177" i="15"/>
  <c r="K178" i="15"/>
  <c r="K181" i="15"/>
  <c r="O178" i="15"/>
  <c r="K179" i="15"/>
  <c r="Q179" i="15"/>
  <c r="O179" i="15"/>
  <c r="O180" i="15"/>
  <c r="O181" i="15"/>
  <c r="K182" i="15"/>
  <c r="O182" i="15"/>
  <c r="K183" i="15"/>
  <c r="Q183" i="15"/>
  <c r="O183" i="15"/>
  <c r="O188" i="15"/>
  <c r="O193" i="15"/>
  <c r="Q195" i="15"/>
  <c r="O202" i="15"/>
  <c r="O203" i="15"/>
  <c r="O204" i="15"/>
  <c r="Q205" i="15"/>
  <c r="O206" i="15"/>
  <c r="Q207" i="15"/>
  <c r="Q218" i="15"/>
  <c r="O220" i="15"/>
  <c r="O227" i="15"/>
  <c r="Q228" i="15"/>
  <c r="Q229" i="15"/>
  <c r="Q230" i="15"/>
  <c r="Q236" i="15"/>
  <c r="O237" i="15"/>
  <c r="Q238" i="15"/>
  <c r="Q239" i="15"/>
  <c r="O243" i="15"/>
  <c r="O244" i="15"/>
  <c r="O246" i="15"/>
  <c r="O247" i="15"/>
  <c r="Q250" i="15"/>
  <c r="O255" i="15"/>
  <c r="P256" i="15"/>
  <c r="O259" i="15"/>
  <c r="P260" i="15"/>
  <c r="O264" i="15"/>
  <c r="O265" i="15"/>
  <c r="M267" i="15"/>
  <c r="Q267" i="15"/>
  <c r="Q268" i="15"/>
  <c r="L272" i="15"/>
  <c r="R272" i="15"/>
  <c r="Q276" i="15"/>
  <c r="Q283" i="15"/>
  <c r="Q292" i="15"/>
  <c r="M293" i="15"/>
  <c r="Q293" i="15"/>
  <c r="O296" i="15"/>
  <c r="Q298" i="15"/>
  <c r="Q299" i="15"/>
  <c r="Q300" i="15"/>
  <c r="O302" i="15"/>
  <c r="O303" i="15"/>
  <c r="O304" i="15"/>
  <c r="O310" i="15"/>
  <c r="Q347" i="15"/>
  <c r="O351" i="15"/>
  <c r="Q351" i="15"/>
  <c r="O352" i="15"/>
  <c r="Q352" i="15"/>
  <c r="P365" i="15"/>
  <c r="M368" i="15"/>
  <c r="P368" i="15"/>
  <c r="M369" i="15"/>
  <c r="P369" i="15"/>
  <c r="M370" i="15"/>
  <c r="P370" i="15"/>
  <c r="R376" i="15"/>
  <c r="M384" i="15"/>
  <c r="P388" i="15"/>
  <c r="O388" i="15"/>
  <c r="Q388" i="15"/>
  <c r="M389" i="15"/>
  <c r="P389" i="15"/>
  <c r="Q400" i="15"/>
  <c r="M400" i="15"/>
  <c r="R407" i="15"/>
  <c r="R426" i="15"/>
  <c r="M448" i="15"/>
  <c r="R497" i="15"/>
  <c r="S534" i="15"/>
  <c r="M53" i="15"/>
  <c r="M73" i="15"/>
  <c r="M74" i="15"/>
  <c r="J497" i="15"/>
  <c r="J496" i="15"/>
  <c r="P498" i="15"/>
  <c r="J103" i="15"/>
  <c r="M120" i="15"/>
  <c r="M124" i="15"/>
  <c r="Q124" i="15"/>
  <c r="M125" i="15"/>
  <c r="K129" i="15"/>
  <c r="M176" i="15"/>
  <c r="M191" i="15"/>
  <c r="M249" i="15"/>
  <c r="M266" i="15"/>
  <c r="M271" i="15"/>
  <c r="M295" i="15"/>
  <c r="Q317" i="15"/>
  <c r="Q333" i="15"/>
  <c r="R335" i="15"/>
  <c r="Q339" i="15"/>
  <c r="O339" i="15"/>
  <c r="Q340" i="15"/>
  <c r="O340" i="15"/>
  <c r="Q341" i="15"/>
  <c r="O341" i="15"/>
  <c r="M351" i="15"/>
  <c r="P351" i="15"/>
  <c r="M352" i="15"/>
  <c r="P352" i="15"/>
  <c r="R365" i="15"/>
  <c r="R368" i="15"/>
  <c r="R369" i="15"/>
  <c r="P377" i="15"/>
  <c r="P378" i="15"/>
  <c r="O378" i="15"/>
  <c r="Q378" i="15"/>
  <c r="R388" i="15"/>
  <c r="Q397" i="15"/>
  <c r="M397" i="15"/>
  <c r="Q401" i="15"/>
  <c r="M401" i="15"/>
  <c r="L418" i="15"/>
  <c r="R418" i="15"/>
  <c r="R420" i="15"/>
  <c r="P426" i="15"/>
  <c r="J484" i="15"/>
  <c r="P484" i="15"/>
  <c r="M483" i="15"/>
  <c r="Q527" i="15"/>
  <c r="P346" i="15"/>
  <c r="P347" i="15"/>
  <c r="P357" i="15"/>
  <c r="P366" i="15"/>
  <c r="S366" i="15"/>
  <c r="O371" i="15"/>
  <c r="P374" i="15"/>
  <c r="O377" i="15"/>
  <c r="P379" i="15"/>
  <c r="S379" i="15"/>
  <c r="P381" i="15"/>
  <c r="O383" i="15"/>
  <c r="O384" i="15"/>
  <c r="O385" i="15"/>
  <c r="P387" i="15"/>
  <c r="O390" i="15"/>
  <c r="P391" i="15"/>
  <c r="P392" i="15"/>
  <c r="P415" i="15"/>
  <c r="P416" i="15"/>
  <c r="L417" i="15"/>
  <c r="R417" i="15"/>
  <c r="L419" i="15"/>
  <c r="R419" i="15"/>
  <c r="P420" i="15"/>
  <c r="O424" i="15"/>
  <c r="K425" i="15"/>
  <c r="O425" i="15"/>
  <c r="O426" i="15"/>
  <c r="P432" i="15"/>
  <c r="P440" i="15"/>
  <c r="O448" i="15"/>
  <c r="O449" i="15"/>
  <c r="Q452" i="15"/>
  <c r="P453" i="15"/>
  <c r="O454" i="15"/>
  <c r="O455" i="15"/>
  <c r="O457" i="15"/>
  <c r="Q462" i="15"/>
  <c r="Q463" i="15"/>
  <c r="P464" i="15"/>
  <c r="O465" i="15"/>
  <c r="O466" i="15"/>
  <c r="Q468" i="15"/>
  <c r="Q469" i="15"/>
  <c r="O474" i="15"/>
  <c r="O475" i="15"/>
  <c r="M482" i="15"/>
  <c r="Q482" i="15"/>
  <c r="Q483" i="15"/>
  <c r="O488" i="15"/>
  <c r="O492" i="15"/>
  <c r="O493" i="15"/>
  <c r="O494" i="15"/>
  <c r="O495" i="15"/>
  <c r="O496" i="15"/>
  <c r="O497" i="15"/>
  <c r="O498" i="15"/>
  <c r="Q501" i="15"/>
  <c r="Q502" i="15"/>
  <c r="P503" i="15"/>
  <c r="Q504" i="15"/>
  <c r="Q505" i="15"/>
  <c r="P508" i="15"/>
  <c r="P509" i="15"/>
  <c r="O515" i="15"/>
  <c r="O519" i="15"/>
  <c r="Q520" i="15"/>
  <c r="Q525" i="15"/>
  <c r="L527" i="15"/>
  <c r="M527" i="15"/>
  <c r="P527" i="15"/>
  <c r="R528" i="15"/>
  <c r="S528" i="15"/>
  <c r="P529" i="15"/>
  <c r="Q530" i="15"/>
  <c r="Q532" i="15"/>
  <c r="Q535" i="15"/>
  <c r="Q537" i="15"/>
  <c r="Q539" i="15"/>
  <c r="Q544" i="15"/>
  <c r="R547" i="15"/>
  <c r="R548" i="15"/>
  <c r="R549" i="15"/>
  <c r="R550" i="15"/>
  <c r="R565" i="15"/>
  <c r="P566" i="15"/>
  <c r="R567" i="15"/>
  <c r="P568" i="15"/>
  <c r="O569" i="15"/>
  <c r="S569" i="15"/>
  <c r="R570" i="15"/>
  <c r="Q572" i="15"/>
  <c r="Q573" i="15"/>
  <c r="R576" i="15"/>
  <c r="Q577" i="15"/>
  <c r="P578" i="15"/>
  <c r="P582" i="15"/>
  <c r="R583" i="15"/>
  <c r="P584" i="15"/>
  <c r="P588" i="15"/>
  <c r="P590" i="15"/>
  <c r="Q594" i="15"/>
  <c r="O595" i="15"/>
  <c r="Q597" i="15"/>
  <c r="Q598" i="15"/>
  <c r="Q599" i="15"/>
  <c r="Q600" i="15"/>
  <c r="Q601" i="15"/>
  <c r="Q602" i="15"/>
  <c r="Q603" i="15"/>
  <c r="Q604" i="15"/>
  <c r="Q605" i="15"/>
  <c r="Q606" i="15"/>
  <c r="Q607" i="15"/>
  <c r="Q608" i="15"/>
  <c r="Q609" i="15"/>
  <c r="R614" i="15"/>
  <c r="Q616" i="15"/>
  <c r="Q620" i="15"/>
  <c r="P625" i="15"/>
  <c r="P629" i="15"/>
  <c r="R630" i="15"/>
  <c r="P631" i="15"/>
  <c r="R632" i="15"/>
  <c r="S632" i="15"/>
  <c r="Q635" i="15"/>
  <c r="Q639" i="15"/>
  <c r="Q641" i="15"/>
  <c r="R648" i="15"/>
  <c r="P649" i="15"/>
  <c r="R650" i="15"/>
  <c r="P651" i="15"/>
  <c r="Q653" i="15"/>
  <c r="P656" i="15"/>
  <c r="R657" i="15"/>
  <c r="R660" i="15"/>
  <c r="P661" i="15"/>
  <c r="R665" i="15"/>
  <c r="Q666" i="15"/>
  <c r="R668" i="15"/>
  <c r="P669" i="15"/>
  <c r="Q672" i="15"/>
  <c r="Q676" i="15"/>
  <c r="R677" i="15"/>
  <c r="R678" i="15"/>
  <c r="R681" i="15"/>
  <c r="M688" i="15"/>
  <c r="Q690" i="15"/>
  <c r="P690" i="15"/>
  <c r="M693" i="15"/>
  <c r="P696" i="15"/>
  <c r="O696" i="15"/>
  <c r="Q699" i="15"/>
  <c r="P699" i="15"/>
  <c r="Q704" i="15"/>
  <c r="P704" i="15"/>
  <c r="P709" i="15"/>
  <c r="O709" i="15"/>
  <c r="Q716" i="15"/>
  <c r="P716" i="15"/>
  <c r="Q719" i="15"/>
  <c r="P719" i="15"/>
  <c r="P725" i="15"/>
  <c r="O725" i="15"/>
  <c r="P729" i="15"/>
  <c r="O729" i="15"/>
  <c r="Q734" i="15"/>
  <c r="P734" i="15"/>
  <c r="P741" i="15"/>
  <c r="O741" i="15"/>
  <c r="Q756" i="15"/>
  <c r="P756" i="15"/>
  <c r="P758" i="15"/>
  <c r="O758" i="15"/>
  <c r="Q767" i="15"/>
  <c r="P767" i="15"/>
  <c r="O767" i="15"/>
  <c r="R452" i="15"/>
  <c r="R462" i="15"/>
  <c r="R463" i="15"/>
  <c r="R468" i="15"/>
  <c r="R469" i="15"/>
  <c r="R482" i="15"/>
  <c r="R483" i="15"/>
  <c r="R501" i="15"/>
  <c r="R502" i="15"/>
  <c r="R504" i="15"/>
  <c r="R505" i="15"/>
  <c r="R520" i="15"/>
  <c r="R525" i="15"/>
  <c r="R530" i="15"/>
  <c r="R532" i="15"/>
  <c r="R535" i="15"/>
  <c r="R537" i="15"/>
  <c r="R539" i="15"/>
  <c r="R544" i="15"/>
  <c r="R572" i="15"/>
  <c r="R573" i="15"/>
  <c r="R577" i="15"/>
  <c r="R594" i="15"/>
  <c r="P595" i="15"/>
  <c r="R597" i="15"/>
  <c r="R598" i="15"/>
  <c r="R599" i="15"/>
  <c r="R600" i="15"/>
  <c r="R601" i="15"/>
  <c r="R602" i="15"/>
  <c r="R603" i="15"/>
  <c r="R604" i="15"/>
  <c r="R605" i="15"/>
  <c r="R606" i="15"/>
  <c r="R607" i="15"/>
  <c r="R608" i="15"/>
  <c r="R609" i="15"/>
  <c r="P610" i="15"/>
  <c r="R616" i="15"/>
  <c r="R620" i="15"/>
  <c r="R635" i="15"/>
  <c r="R639" i="15"/>
  <c r="R641" i="15"/>
  <c r="R653" i="15"/>
  <c r="R666" i="15"/>
  <c r="R672" i="15"/>
  <c r="Q691" i="15"/>
  <c r="P691" i="15"/>
  <c r="O699" i="15"/>
  <c r="P706" i="15"/>
  <c r="O706" i="15"/>
  <c r="P721" i="15"/>
  <c r="O721" i="15"/>
  <c r="Q724" i="15"/>
  <c r="P724" i="15"/>
  <c r="P726" i="15"/>
  <c r="O726" i="15"/>
  <c r="P730" i="15"/>
  <c r="O730" i="15"/>
  <c r="P733" i="15"/>
  <c r="O733" i="15"/>
  <c r="P745" i="15"/>
  <c r="O745" i="15"/>
  <c r="P746" i="15"/>
  <c r="P748" i="15"/>
  <c r="O748" i="15"/>
  <c r="P755" i="15"/>
  <c r="O755" i="15"/>
  <c r="O756" i="15"/>
  <c r="Q758" i="15"/>
  <c r="Q759" i="15"/>
  <c r="M759" i="15"/>
  <c r="Q766" i="15"/>
  <c r="P766" i="15"/>
  <c r="O766" i="15"/>
  <c r="R767" i="15"/>
  <c r="Q371" i="15"/>
  <c r="Q377" i="15"/>
  <c r="Q383" i="15"/>
  <c r="Q384" i="15"/>
  <c r="Q385" i="15"/>
  <c r="Q390" i="15"/>
  <c r="J417" i="15"/>
  <c r="K417" i="15"/>
  <c r="M417" i="15"/>
  <c r="J418" i="15"/>
  <c r="J419" i="15"/>
  <c r="M424" i="15"/>
  <c r="Q424" i="15"/>
  <c r="Q425" i="15"/>
  <c r="Q426" i="15"/>
  <c r="Q448" i="15"/>
  <c r="Q449" i="15"/>
  <c r="O452" i="15"/>
  <c r="Q454" i="15"/>
  <c r="Q455" i="15"/>
  <c r="Q457" i="15"/>
  <c r="O462" i="15"/>
  <c r="O463" i="15"/>
  <c r="Q465" i="15"/>
  <c r="Q466" i="15"/>
  <c r="O468" i="15"/>
  <c r="O469" i="15"/>
  <c r="Q474" i="15"/>
  <c r="Q475" i="15"/>
  <c r="O482" i="15"/>
  <c r="O483" i="15"/>
  <c r="O484" i="15"/>
  <c r="O486" i="15"/>
  <c r="P487" i="15"/>
  <c r="Q488" i="15"/>
  <c r="Q492" i="15"/>
  <c r="Q493" i="15"/>
  <c r="Q494" i="15"/>
  <c r="Q495" i="15"/>
  <c r="Q496" i="15"/>
  <c r="Q497" i="15"/>
  <c r="O501" i="15"/>
  <c r="O502" i="15"/>
  <c r="R503" i="15"/>
  <c r="O504" i="15"/>
  <c r="O505" i="15"/>
  <c r="R508" i="15"/>
  <c r="R509" i="15"/>
  <c r="M519" i="15"/>
  <c r="O520" i="15"/>
  <c r="M521" i="15"/>
  <c r="O525" i="15"/>
  <c r="M526" i="15"/>
  <c r="Q526" i="15"/>
  <c r="R529" i="15"/>
  <c r="O530" i="15"/>
  <c r="M531" i="15"/>
  <c r="O532" i="15"/>
  <c r="O535" i="15"/>
  <c r="O537" i="15"/>
  <c r="O539" i="15"/>
  <c r="M543" i="15"/>
  <c r="O544" i="15"/>
  <c r="R566" i="15"/>
  <c r="R568" i="15"/>
  <c r="O572" i="15"/>
  <c r="O573" i="15"/>
  <c r="O577" i="15"/>
  <c r="R578" i="15"/>
  <c r="R582" i="15"/>
  <c r="R584" i="15"/>
  <c r="R588" i="15"/>
  <c r="P589" i="15"/>
  <c r="R590" i="15"/>
  <c r="O594" i="15"/>
  <c r="O597" i="15"/>
  <c r="O598" i="15"/>
  <c r="O599" i="15"/>
  <c r="O600" i="15"/>
  <c r="O601" i="15"/>
  <c r="O602" i="15"/>
  <c r="O603" i="15"/>
  <c r="O604" i="15"/>
  <c r="O605" i="15"/>
  <c r="O606" i="15"/>
  <c r="O607" i="15"/>
  <c r="O608" i="15"/>
  <c r="O609" i="15"/>
  <c r="O616" i="15"/>
  <c r="O620" i="15"/>
  <c r="R625" i="15"/>
  <c r="R629" i="15"/>
  <c r="P630" i="15"/>
  <c r="R631" i="15"/>
  <c r="M634" i="15"/>
  <c r="O635" i="15"/>
  <c r="O639" i="15"/>
  <c r="O641" i="15"/>
  <c r="P648" i="15"/>
  <c r="R649" i="15"/>
  <c r="P650" i="15"/>
  <c r="R651" i="15"/>
  <c r="O653" i="15"/>
  <c r="M654" i="15"/>
  <c r="R656" i="15"/>
  <c r="P660" i="15"/>
  <c r="R661" i="15"/>
  <c r="O666" i="15"/>
  <c r="R669" i="15"/>
  <c r="O672" i="15"/>
  <c r="O677" i="15"/>
  <c r="P678" i="15"/>
  <c r="P681" i="15"/>
  <c r="R690" i="15"/>
  <c r="O691" i="15"/>
  <c r="Q692" i="15"/>
  <c r="P692" i="15"/>
  <c r="P694" i="15"/>
  <c r="O694" i="15"/>
  <c r="R696" i="15"/>
  <c r="R699" i="15"/>
  <c r="Q703" i="15"/>
  <c r="P703" i="15"/>
  <c r="R704" i="15"/>
  <c r="Q706" i="15"/>
  <c r="R709" i="15"/>
  <c r="P711" i="15"/>
  <c r="O711" i="15"/>
  <c r="R716" i="15"/>
  <c r="R719" i="15"/>
  <c r="Q720" i="15"/>
  <c r="P720" i="15"/>
  <c r="Q721" i="15"/>
  <c r="O724" i="15"/>
  <c r="R725" i="15"/>
  <c r="Q726" i="15"/>
  <c r="P727" i="15"/>
  <c r="O727" i="15"/>
  <c r="R729" i="15"/>
  <c r="Q730" i="15"/>
  <c r="P731" i="15"/>
  <c r="O731" i="15"/>
  <c r="Q733" i="15"/>
  <c r="R734" i="15"/>
  <c r="P753" i="15"/>
  <c r="O753" i="15"/>
  <c r="Q757" i="15"/>
  <c r="M757" i="15"/>
  <c r="P760" i="15"/>
  <c r="O760" i="15"/>
  <c r="Q763" i="15"/>
  <c r="P763" i="15"/>
  <c r="R766" i="15"/>
  <c r="Q417" i="15"/>
  <c r="K418" i="15"/>
  <c r="Q418" i="15"/>
  <c r="K419" i="15"/>
  <c r="Q419" i="15"/>
  <c r="J425" i="15"/>
  <c r="M451" i="15"/>
  <c r="M490" i="15"/>
  <c r="M491" i="15"/>
  <c r="O676" i="15"/>
  <c r="Q677" i="15"/>
  <c r="Q678" i="15"/>
  <c r="R679" i="15"/>
  <c r="Q681" i="15"/>
  <c r="R683" i="15"/>
  <c r="S683" i="15"/>
  <c r="R684" i="15"/>
  <c r="R685" i="15"/>
  <c r="R691" i="15"/>
  <c r="M692" i="15"/>
  <c r="O692" i="15"/>
  <c r="Q693" i="15"/>
  <c r="P693" i="15"/>
  <c r="Q694" i="15"/>
  <c r="P695" i="15"/>
  <c r="O695" i="15"/>
  <c r="O703" i="15"/>
  <c r="R706" i="15"/>
  <c r="Q711" i="15"/>
  <c r="P717" i="15"/>
  <c r="O717" i="15"/>
  <c r="O720" i="15"/>
  <c r="R721" i="15"/>
  <c r="R724" i="15"/>
  <c r="R726" i="15"/>
  <c r="Q727" i="15"/>
  <c r="P728" i="15"/>
  <c r="O728" i="15"/>
  <c r="R730" i="15"/>
  <c r="Q731" i="15"/>
  <c r="R733" i="15"/>
  <c r="P735" i="15"/>
  <c r="O735" i="15"/>
  <c r="P743" i="15"/>
  <c r="R745" i="15"/>
  <c r="R748" i="15"/>
  <c r="Q752" i="15"/>
  <c r="P752" i="15"/>
  <c r="Q753" i="15"/>
  <c r="R755" i="15"/>
  <c r="Q760" i="15"/>
  <c r="P762" i="15"/>
  <c r="O762" i="15"/>
  <c r="O763" i="15"/>
  <c r="R768" i="15"/>
  <c r="R771" i="15"/>
  <c r="Q776" i="15"/>
  <c r="R778" i="15"/>
  <c r="R782" i="15"/>
  <c r="Q783" i="15"/>
  <c r="R785" i="15"/>
  <c r="Q786" i="15"/>
  <c r="R791" i="15"/>
  <c r="R794" i="15"/>
  <c r="Q795" i="15"/>
  <c r="R797" i="15"/>
  <c r="Q798" i="15"/>
  <c r="Q800" i="15"/>
  <c r="R801" i="15"/>
  <c r="R804" i="15"/>
  <c r="R806" i="15"/>
  <c r="Q807" i="15"/>
  <c r="Q808" i="15"/>
  <c r="Q809" i="15"/>
  <c r="R811" i="15"/>
  <c r="Q812" i="15"/>
  <c r="R815" i="15"/>
  <c r="Q816" i="15"/>
  <c r="R818" i="15"/>
  <c r="R820" i="15"/>
  <c r="Q821" i="15"/>
  <c r="R824" i="15"/>
  <c r="Q831" i="15"/>
  <c r="Q833" i="15"/>
  <c r="Q842" i="15"/>
  <c r="Q844" i="15"/>
  <c r="R850" i="15"/>
  <c r="R854" i="15"/>
  <c r="R856" i="15"/>
  <c r="R862" i="15"/>
  <c r="R869" i="15"/>
  <c r="P880" i="15"/>
  <c r="S880" i="15"/>
  <c r="R881" i="15"/>
  <c r="R887" i="15"/>
  <c r="P888" i="15"/>
  <c r="R889" i="15"/>
  <c r="R906" i="15"/>
  <c r="R928" i="15"/>
  <c r="R933" i="15"/>
  <c r="P937" i="15"/>
  <c r="R943" i="15"/>
  <c r="R945" i="15"/>
  <c r="Q967" i="15"/>
  <c r="R967" i="15"/>
  <c r="O970" i="15"/>
  <c r="P970" i="15"/>
  <c r="P983" i="15"/>
  <c r="O983" i="15"/>
  <c r="Q983" i="15"/>
  <c r="P1011" i="15"/>
  <c r="O1011" i="15"/>
  <c r="Q1011" i="15"/>
  <c r="P1016" i="15"/>
  <c r="O1016" i="15"/>
  <c r="Q1016" i="15"/>
  <c r="P1020" i="15"/>
  <c r="O1020" i="15"/>
  <c r="Q1020" i="15"/>
  <c r="P1024" i="15"/>
  <c r="O1024" i="15"/>
  <c r="Q1024" i="15"/>
  <c r="P1028" i="15"/>
  <c r="O1028" i="15"/>
  <c r="Q1028" i="15"/>
  <c r="P1041" i="15"/>
  <c r="O1041" i="15"/>
  <c r="Q1041" i="15"/>
  <c r="P1044" i="15"/>
  <c r="O1044" i="15"/>
  <c r="Q1044" i="15"/>
  <c r="P1063" i="15"/>
  <c r="O1063" i="15"/>
  <c r="Q1063" i="15"/>
  <c r="P1076" i="15"/>
  <c r="O1076" i="15"/>
  <c r="Q1076" i="15"/>
  <c r="P1084" i="15"/>
  <c r="O1084" i="15"/>
  <c r="Q1084" i="15"/>
  <c r="R764" i="15"/>
  <c r="R765" i="15"/>
  <c r="O768" i="15"/>
  <c r="O771" i="15"/>
  <c r="R776" i="15"/>
  <c r="R783" i="15"/>
  <c r="R786" i="15"/>
  <c r="R795" i="15"/>
  <c r="R798" i="15"/>
  <c r="R800" i="15"/>
  <c r="R807" i="15"/>
  <c r="R808" i="15"/>
  <c r="R809" i="15"/>
  <c r="R812" i="15"/>
  <c r="P814" i="15"/>
  <c r="R816" i="15"/>
  <c r="R821" i="15"/>
  <c r="P827" i="15"/>
  <c r="P830" i="15"/>
  <c r="R831" i="15"/>
  <c r="P832" i="15"/>
  <c r="R833" i="15"/>
  <c r="R842" i="15"/>
  <c r="R844" i="15"/>
  <c r="R847" i="15"/>
  <c r="O850" i="15"/>
  <c r="R851" i="15"/>
  <c r="O854" i="15"/>
  <c r="O856" i="15"/>
  <c r="R859" i="15"/>
  <c r="O862" i="15"/>
  <c r="R863" i="15"/>
  <c r="P868" i="15"/>
  <c r="O869" i="15"/>
  <c r="R879" i="15"/>
  <c r="O881" i="15"/>
  <c r="R882" i="15"/>
  <c r="R883" i="15"/>
  <c r="O887" i="15"/>
  <c r="O889" i="15"/>
  <c r="M890" i="15"/>
  <c r="M893" i="15"/>
  <c r="R894" i="15"/>
  <c r="R898" i="15"/>
  <c r="R899" i="15"/>
  <c r="O906" i="15"/>
  <c r="P907" i="15"/>
  <c r="P911" i="15"/>
  <c r="R912" i="15"/>
  <c r="P913" i="15"/>
  <c r="P916" i="15"/>
  <c r="R917" i="15"/>
  <c r="R922" i="15"/>
  <c r="O928" i="15"/>
  <c r="R929" i="15"/>
  <c r="P930" i="15"/>
  <c r="M932" i="15"/>
  <c r="O933" i="15"/>
  <c r="M934" i="15"/>
  <c r="R940" i="15"/>
  <c r="O943" i="15"/>
  <c r="M944" i="15"/>
  <c r="O945" i="15"/>
  <c r="P949" i="15"/>
  <c r="R950" i="15"/>
  <c r="Q956" i="15"/>
  <c r="M963" i="15"/>
  <c r="O967" i="15"/>
  <c r="P969" i="15"/>
  <c r="Q969" i="15"/>
  <c r="Q970" i="15"/>
  <c r="P978" i="15"/>
  <c r="O978" i="15"/>
  <c r="Q978" i="15"/>
  <c r="R983" i="15"/>
  <c r="P984" i="15"/>
  <c r="O984" i="15"/>
  <c r="Q984" i="15"/>
  <c r="P994" i="15"/>
  <c r="O994" i="15"/>
  <c r="Q994" i="15"/>
  <c r="R1011" i="15"/>
  <c r="P1012" i="15"/>
  <c r="O1012" i="15"/>
  <c r="Q1012" i="15"/>
  <c r="R1016" i="15"/>
  <c r="R1020" i="15"/>
  <c r="R1024" i="15"/>
  <c r="R1028" i="15"/>
  <c r="P1033" i="15"/>
  <c r="O1033" i="15"/>
  <c r="Q1033" i="15"/>
  <c r="P1039" i="15"/>
  <c r="O1039" i="15"/>
  <c r="Q1039" i="15"/>
  <c r="M1040" i="15"/>
  <c r="R1041" i="15"/>
  <c r="R1042" i="15"/>
  <c r="R1044" i="15"/>
  <c r="P1049" i="15"/>
  <c r="O1049" i="15"/>
  <c r="Q1049" i="15"/>
  <c r="P1056" i="15"/>
  <c r="O1056" i="15"/>
  <c r="Q1056" i="15"/>
  <c r="R1063" i="15"/>
  <c r="R1076" i="15"/>
  <c r="P1077" i="15"/>
  <c r="O1077" i="15"/>
  <c r="Q1077" i="15"/>
  <c r="R1084" i="15"/>
  <c r="P1091" i="15"/>
  <c r="O1091" i="15"/>
  <c r="Q1091" i="15"/>
  <c r="Q689" i="15"/>
  <c r="Q698" i="15"/>
  <c r="Q708" i="15"/>
  <c r="Q710" i="15"/>
  <c r="S710" i="15"/>
  <c r="Q712" i="15"/>
  <c r="Q715" i="15"/>
  <c r="Q718" i="15"/>
  <c r="Q737" i="15"/>
  <c r="Q739" i="15"/>
  <c r="Q743" i="15"/>
  <c r="R747" i="15"/>
  <c r="R749" i="15"/>
  <c r="O764" i="15"/>
  <c r="O765" i="15"/>
  <c r="P768" i="15"/>
  <c r="P771" i="15"/>
  <c r="O776" i="15"/>
  <c r="P778" i="15"/>
  <c r="Q781" i="15"/>
  <c r="P782" i="15"/>
  <c r="O783" i="15"/>
  <c r="P785" i="15"/>
  <c r="O786" i="15"/>
  <c r="Q788" i="15"/>
  <c r="Q789" i="15"/>
  <c r="Q790" i="15"/>
  <c r="P791" i="15"/>
  <c r="Q793" i="15"/>
  <c r="P794" i="15"/>
  <c r="O795" i="15"/>
  <c r="P797" i="15"/>
  <c r="O798" i="15"/>
  <c r="O800" i="15"/>
  <c r="P801" i="15"/>
  <c r="P804" i="15"/>
  <c r="P806" i="15"/>
  <c r="O807" i="15"/>
  <c r="O808" i="15"/>
  <c r="O809" i="15"/>
  <c r="P811" i="15"/>
  <c r="O812" i="15"/>
  <c r="Q814" i="15"/>
  <c r="P815" i="15"/>
  <c r="O816" i="15"/>
  <c r="P818" i="15"/>
  <c r="P820" i="15"/>
  <c r="O821" i="15"/>
  <c r="P824" i="15"/>
  <c r="Q827" i="15"/>
  <c r="Q830" i="15"/>
  <c r="O831" i="15"/>
  <c r="Q832" i="15"/>
  <c r="O833" i="15"/>
  <c r="Q841" i="15"/>
  <c r="O842" i="15"/>
  <c r="Q843" i="15"/>
  <c r="S843" i="15"/>
  <c r="O844" i="15"/>
  <c r="Q845" i="15"/>
  <c r="O847" i="15"/>
  <c r="Q849" i="15"/>
  <c r="S849" i="15"/>
  <c r="P850" i="15"/>
  <c r="O851" i="15"/>
  <c r="P854" i="15"/>
  <c r="P856" i="15"/>
  <c r="Q857" i="15"/>
  <c r="O859" i="15"/>
  <c r="P862" i="15"/>
  <c r="O863" i="15"/>
  <c r="Q865" i="15"/>
  <c r="Q868" i="15"/>
  <c r="P869" i="15"/>
  <c r="Q870" i="15"/>
  <c r="S870" i="15"/>
  <c r="Q871" i="15"/>
  <c r="Q876" i="15"/>
  <c r="Q877" i="15"/>
  <c r="O879" i="15"/>
  <c r="P881" i="15"/>
  <c r="O882" i="15"/>
  <c r="O883" i="15"/>
  <c r="P887" i="15"/>
  <c r="P889" i="15"/>
  <c r="O894" i="15"/>
  <c r="O898" i="15"/>
  <c r="O899" i="15"/>
  <c r="S899" i="15"/>
  <c r="Q901" i="15"/>
  <c r="S901" i="15"/>
  <c r="Q902" i="15"/>
  <c r="P906" i="15"/>
  <c r="Q907" i="15"/>
  <c r="Q911" i="15"/>
  <c r="O912" i="15"/>
  <c r="Q913" i="15"/>
  <c r="Q916" i="15"/>
  <c r="O917" i="15"/>
  <c r="Q918" i="15"/>
  <c r="Q921" i="15"/>
  <c r="O922" i="15"/>
  <c r="Q923" i="15"/>
  <c r="P928" i="15"/>
  <c r="O929" i="15"/>
  <c r="Q930" i="15"/>
  <c r="P933" i="15"/>
  <c r="Q938" i="15"/>
  <c r="O940" i="15"/>
  <c r="Q942" i="15"/>
  <c r="P943" i="15"/>
  <c r="P945" i="15"/>
  <c r="Q946" i="15"/>
  <c r="Q949" i="15"/>
  <c r="O950" i="15"/>
  <c r="Q953" i="15"/>
  <c r="Q954" i="15"/>
  <c r="R955" i="15"/>
  <c r="R956" i="15"/>
  <c r="O962" i="15"/>
  <c r="O966" i="15"/>
  <c r="P967" i="15"/>
  <c r="O969" i="15"/>
  <c r="R970" i="15"/>
  <c r="M971" i="15"/>
  <c r="O973" i="15"/>
  <c r="P973" i="15"/>
  <c r="R978" i="15"/>
  <c r="R984" i="15"/>
  <c r="R994" i="15"/>
  <c r="P998" i="15"/>
  <c r="P1001" i="15"/>
  <c r="O1001" i="15"/>
  <c r="Q1001" i="15"/>
  <c r="R1012" i="15"/>
  <c r="P1032" i="15"/>
  <c r="O1032" i="15"/>
  <c r="Q1032" i="15"/>
  <c r="R1033" i="15"/>
  <c r="R1039" i="15"/>
  <c r="Q1040" i="15"/>
  <c r="R1049" i="15"/>
  <c r="R1056" i="15"/>
  <c r="P1058" i="15"/>
  <c r="R1061" i="15"/>
  <c r="R1077" i="15"/>
  <c r="Q1079" i="15"/>
  <c r="M1079" i="15"/>
  <c r="R1091" i="15"/>
  <c r="P1094" i="15"/>
  <c r="O1094" i="15"/>
  <c r="Q1094" i="15"/>
  <c r="S1159" i="15"/>
  <c r="P962" i="15"/>
  <c r="P966" i="15"/>
  <c r="R969" i="15"/>
  <c r="P972" i="15"/>
  <c r="Q972" i="15"/>
  <c r="P982" i="15"/>
  <c r="O982" i="15"/>
  <c r="Q982" i="15"/>
  <c r="P1075" i="15"/>
  <c r="O1075" i="15"/>
  <c r="Q1075" i="15"/>
  <c r="Q1088" i="15"/>
  <c r="R1094" i="15"/>
  <c r="R968" i="15"/>
  <c r="R975" i="15"/>
  <c r="P976" i="15"/>
  <c r="R986" i="15"/>
  <c r="R989" i="15"/>
  <c r="O991" i="15"/>
  <c r="R993" i="15"/>
  <c r="O998" i="15"/>
  <c r="R1000" i="15"/>
  <c r="O1004" i="15"/>
  <c r="R1005" i="15"/>
  <c r="O1009" i="15"/>
  <c r="R1010" i="15"/>
  <c r="O1014" i="15"/>
  <c r="R1015" i="15"/>
  <c r="R1019" i="15"/>
  <c r="R1023" i="15"/>
  <c r="R1027" i="15"/>
  <c r="R2127" i="15"/>
  <c r="R1031" i="15"/>
  <c r="R1036" i="15"/>
  <c r="R1040" i="15"/>
  <c r="R1047" i="15"/>
  <c r="R1054" i="15"/>
  <c r="O1058" i="15"/>
  <c r="R1059" i="15"/>
  <c r="O1061" i="15"/>
  <c r="O1071" i="15"/>
  <c r="O1072" i="15"/>
  <c r="R1079" i="15"/>
  <c r="R1088" i="15"/>
  <c r="R1093" i="15"/>
  <c r="R1100" i="15"/>
  <c r="P1101" i="15"/>
  <c r="O1102" i="15"/>
  <c r="R1115" i="15"/>
  <c r="P1116" i="15"/>
  <c r="R1119" i="15"/>
  <c r="R1122" i="15"/>
  <c r="P1123" i="15"/>
  <c r="O1124" i="15"/>
  <c r="R1126" i="15"/>
  <c r="M1127" i="15"/>
  <c r="P1128" i="15"/>
  <c r="O1129" i="15"/>
  <c r="M1132" i="15"/>
  <c r="M1133" i="15"/>
  <c r="R1134" i="15"/>
  <c r="P1139" i="15"/>
  <c r="R1140" i="15"/>
  <c r="P1141" i="15"/>
  <c r="O1142" i="15"/>
  <c r="Q1144" i="15"/>
  <c r="O1145" i="15"/>
  <c r="O1148" i="15"/>
  <c r="M1149" i="15"/>
  <c r="O1150" i="15"/>
  <c r="R1151" i="15"/>
  <c r="R1153" i="15"/>
  <c r="R1154" i="15"/>
  <c r="P1156" i="15"/>
  <c r="R1158" i="15"/>
  <c r="M1159" i="15"/>
  <c r="O1160" i="15"/>
  <c r="R1162" i="15"/>
  <c r="R1163" i="15"/>
  <c r="R1164" i="15"/>
  <c r="R1167" i="15"/>
  <c r="P1168" i="15"/>
  <c r="R1169" i="15"/>
  <c r="P1174" i="15"/>
  <c r="R1175" i="15"/>
  <c r="O1176" i="15"/>
  <c r="R1177" i="15"/>
  <c r="R1178" i="15"/>
  <c r="O1180" i="15"/>
  <c r="P1182" i="15"/>
  <c r="R1183" i="15"/>
  <c r="O1185" i="15"/>
  <c r="R1186" i="15"/>
  <c r="M1187" i="15"/>
  <c r="P1190" i="15"/>
  <c r="O1190" i="15"/>
  <c r="Q1197" i="15"/>
  <c r="Q1201" i="15"/>
  <c r="P1201" i="15"/>
  <c r="Q1202" i="15"/>
  <c r="O1205" i="15"/>
  <c r="Q1211" i="15"/>
  <c r="P1211" i="15"/>
  <c r="O1211" i="15"/>
  <c r="Q1214" i="15"/>
  <c r="P1214" i="15"/>
  <c r="O1214" i="15"/>
  <c r="Q1217" i="15"/>
  <c r="P1217" i="15"/>
  <c r="O1217" i="15"/>
  <c r="Q1229" i="15"/>
  <c r="P1229" i="15"/>
  <c r="O1229" i="15"/>
  <c r="Q1095" i="15"/>
  <c r="P1096" i="15"/>
  <c r="O1100" i="15"/>
  <c r="Q1101" i="15"/>
  <c r="P1102" i="15"/>
  <c r="O1115" i="15"/>
  <c r="Q1116" i="15"/>
  <c r="Q1118" i="15"/>
  <c r="O1119" i="15"/>
  <c r="O1122" i="15"/>
  <c r="Q1123" i="15"/>
  <c r="P1124" i="15"/>
  <c r="Q1128" i="15"/>
  <c r="P1129" i="15"/>
  <c r="Q1139" i="15"/>
  <c r="Q1141" i="15"/>
  <c r="P1142" i="15"/>
  <c r="P1145" i="15"/>
  <c r="P1148" i="15"/>
  <c r="P1150" i="15"/>
  <c r="Q1156" i="15"/>
  <c r="P1160" i="15"/>
  <c r="Q1168" i="15"/>
  <c r="Q1174" i="15"/>
  <c r="P1176" i="15"/>
  <c r="P1180" i="15"/>
  <c r="Q1182" i="15"/>
  <c r="P1185" i="15"/>
  <c r="Q1188" i="15"/>
  <c r="Q1189" i="15"/>
  <c r="P1189" i="15"/>
  <c r="Q1190" i="15"/>
  <c r="O1201" i="15"/>
  <c r="Q1206" i="15"/>
  <c r="M1206" i="15"/>
  <c r="R1209" i="15"/>
  <c r="R1211" i="15"/>
  <c r="R1214" i="15"/>
  <c r="Q1216" i="15"/>
  <c r="P1216" i="15"/>
  <c r="O1216" i="15"/>
  <c r="R1217" i="15"/>
  <c r="Q1228" i="15"/>
  <c r="P1228" i="15"/>
  <c r="O1228" i="15"/>
  <c r="R1229" i="15"/>
  <c r="S1304" i="15"/>
  <c r="R976" i="15"/>
  <c r="P986" i="15"/>
  <c r="P989" i="15"/>
  <c r="Q991" i="15"/>
  <c r="Q998" i="15"/>
  <c r="Q1004" i="15"/>
  <c r="Q1009" i="15"/>
  <c r="P1010" i="15"/>
  <c r="Q1014" i="15"/>
  <c r="P1015" i="15"/>
  <c r="Q1018" i="15"/>
  <c r="P1019" i="15"/>
  <c r="Q1022" i="15"/>
  <c r="S1022" i="15"/>
  <c r="P1023" i="15"/>
  <c r="Q1026" i="15"/>
  <c r="P1027" i="15"/>
  <c r="Q1030" i="15"/>
  <c r="S1030" i="15"/>
  <c r="P1031" i="15"/>
  <c r="P1036" i="15"/>
  <c r="Q1038" i="15"/>
  <c r="P1040" i="15"/>
  <c r="Q1042" i="15"/>
  <c r="P1047" i="15"/>
  <c r="Q1058" i="15"/>
  <c r="Q1061" i="15"/>
  <c r="Q1071" i="15"/>
  <c r="Q1072" i="15"/>
  <c r="P1088" i="15"/>
  <c r="Q1090" i="15"/>
  <c r="P1093" i="15"/>
  <c r="Q1096" i="15"/>
  <c r="P1100" i="15"/>
  <c r="Q1102" i="15"/>
  <c r="Q1124" i="15"/>
  <c r="Q1129" i="15"/>
  <c r="Q1142" i="15"/>
  <c r="Q1145" i="15"/>
  <c r="Q1148" i="15"/>
  <c r="Q1150" i="15"/>
  <c r="Q1160" i="15"/>
  <c r="Q1176" i="15"/>
  <c r="Q1180" i="15"/>
  <c r="Q1185" i="15"/>
  <c r="P1199" i="15"/>
  <c r="O1199" i="15"/>
  <c r="P1200" i="15"/>
  <c r="R1228" i="15"/>
  <c r="P1197" i="15"/>
  <c r="O1197" i="15"/>
  <c r="P1202" i="15"/>
  <c r="O1202" i="15"/>
  <c r="Q1205" i="15"/>
  <c r="P1205" i="15"/>
  <c r="Q1218" i="15"/>
  <c r="P1218" i="15"/>
  <c r="O1218" i="15"/>
  <c r="R1225" i="15"/>
  <c r="R1234" i="15"/>
  <c r="R1235" i="15"/>
  <c r="R1241" i="15"/>
  <c r="P1243" i="15"/>
  <c r="P1247" i="15"/>
  <c r="R1248" i="15"/>
  <c r="R1253" i="15"/>
  <c r="R1257" i="15"/>
  <c r="R1258" i="15"/>
  <c r="R1266" i="15"/>
  <c r="R1275" i="15"/>
  <c r="R1278" i="15"/>
  <c r="R1284" i="15"/>
  <c r="R1302" i="15"/>
  <c r="R1306" i="15"/>
  <c r="R1318" i="15"/>
  <c r="R1319" i="15"/>
  <c r="R1340" i="15"/>
  <c r="R1344" i="15"/>
  <c r="R1349" i="15"/>
  <c r="R1350" i="15"/>
  <c r="R1355" i="15"/>
  <c r="R1366" i="15"/>
  <c r="R1367" i="15"/>
  <c r="R1368" i="15"/>
  <c r="R1379" i="15"/>
  <c r="R1380" i="15"/>
  <c r="O1395" i="15"/>
  <c r="R1395" i="15"/>
  <c r="Q1395" i="15"/>
  <c r="Q1419" i="15"/>
  <c r="P1419" i="15"/>
  <c r="O1419" i="15"/>
  <c r="Q1423" i="15"/>
  <c r="P1423" i="15"/>
  <c r="O1423" i="15"/>
  <c r="Q1431" i="15"/>
  <c r="P1431" i="15"/>
  <c r="O1431" i="15"/>
  <c r="Q1436" i="15"/>
  <c r="M1436" i="15"/>
  <c r="Q1439" i="15"/>
  <c r="M1439" i="15"/>
  <c r="P1446" i="15"/>
  <c r="O1446" i="15"/>
  <c r="Q1447" i="15"/>
  <c r="M1447" i="15"/>
  <c r="P1453" i="15"/>
  <c r="Q1471" i="15"/>
  <c r="P1471" i="15"/>
  <c r="O1471" i="15"/>
  <c r="P1472" i="15"/>
  <c r="L1472" i="15"/>
  <c r="M1472" i="15"/>
  <c r="Q1476" i="15"/>
  <c r="P1476" i="15"/>
  <c r="O1476" i="15"/>
  <c r="M1538" i="15"/>
  <c r="P1538" i="15"/>
  <c r="P1549" i="15"/>
  <c r="S1546" i="15"/>
  <c r="R1549" i="15"/>
  <c r="R1194" i="15"/>
  <c r="R1207" i="15"/>
  <c r="P1208" i="15"/>
  <c r="M1209" i="15"/>
  <c r="R1215" i="15"/>
  <c r="R1223" i="15"/>
  <c r="M1225" i="15"/>
  <c r="P1232" i="15"/>
  <c r="O1234" i="15"/>
  <c r="O1235" i="15"/>
  <c r="P1236" i="15"/>
  <c r="R1238" i="15"/>
  <c r="P1240" i="15"/>
  <c r="O1241" i="15"/>
  <c r="R1242" i="15"/>
  <c r="R1246" i="15"/>
  <c r="O1248" i="15"/>
  <c r="P1251" i="15"/>
  <c r="P1252" i="15"/>
  <c r="O1253" i="15"/>
  <c r="P1254" i="15"/>
  <c r="R1256" i="15"/>
  <c r="O1257" i="15"/>
  <c r="O1258" i="15"/>
  <c r="R1260" i="15"/>
  <c r="P1265" i="15"/>
  <c r="O1266" i="15"/>
  <c r="P1269" i="15"/>
  <c r="R1274" i="15"/>
  <c r="O1275" i="15"/>
  <c r="O1278" i="15"/>
  <c r="P1279" i="15"/>
  <c r="R1280" i="15"/>
  <c r="R1283" i="15"/>
  <c r="O1284" i="15"/>
  <c r="R1285" i="15"/>
  <c r="P1287" i="15"/>
  <c r="P1288" i="15"/>
  <c r="R1291" i="15"/>
  <c r="R1295" i="15"/>
  <c r="S1295" i="15"/>
  <c r="P1297" i="15"/>
  <c r="R1299" i="15"/>
  <c r="P1301" i="15"/>
  <c r="O1302" i="15"/>
  <c r="R1303" i="15"/>
  <c r="O1306" i="15"/>
  <c r="R1309" i="15"/>
  <c r="P1311" i="15"/>
  <c r="P1312" i="15"/>
  <c r="P1313" i="15"/>
  <c r="R1315" i="15"/>
  <c r="S1315" i="15"/>
  <c r="O1318" i="15"/>
  <c r="O1319" i="15"/>
  <c r="R1320" i="15"/>
  <c r="P1321" i="15"/>
  <c r="Q1324" i="15"/>
  <c r="Q1325" i="15"/>
  <c r="Q1326" i="15"/>
  <c r="R1336" i="15"/>
  <c r="R1337" i="15"/>
  <c r="P1338" i="15"/>
  <c r="R1339" i="15"/>
  <c r="S1339" i="15"/>
  <c r="O1340" i="15"/>
  <c r="P1341" i="15"/>
  <c r="R1342" i="15"/>
  <c r="O1344" i="15"/>
  <c r="O1349" i="15"/>
  <c r="O1350" i="15"/>
  <c r="O1355" i="15"/>
  <c r="O1366" i="15"/>
  <c r="O1367" i="15"/>
  <c r="O1368" i="15"/>
  <c r="R1370" i="15"/>
  <c r="R1371" i="15"/>
  <c r="R1372" i="15"/>
  <c r="O1379" i="15"/>
  <c r="O1380" i="15"/>
  <c r="O1382" i="15"/>
  <c r="P1383" i="15"/>
  <c r="O1388" i="15"/>
  <c r="O1391" i="15"/>
  <c r="P1395" i="15"/>
  <c r="Q1411" i="15"/>
  <c r="P1411" i="15"/>
  <c r="O1411" i="15"/>
  <c r="R1419" i="15"/>
  <c r="R1423" i="15"/>
  <c r="Q1424" i="15"/>
  <c r="P1424" i="15"/>
  <c r="O1424" i="15"/>
  <c r="R1431" i="15"/>
  <c r="Q1432" i="15"/>
  <c r="M1432" i="15"/>
  <c r="Q1440" i="15"/>
  <c r="M1440" i="15"/>
  <c r="Q1448" i="15"/>
  <c r="P1448" i="15"/>
  <c r="O1448" i="15"/>
  <c r="Q1462" i="15"/>
  <c r="P1462" i="15"/>
  <c r="O1462" i="15"/>
  <c r="R1471" i="15"/>
  <c r="S1503" i="15"/>
  <c r="Q1208" i="15"/>
  <c r="Q1232" i="15"/>
  <c r="P1234" i="15"/>
  <c r="P1235" i="15"/>
  <c r="Q1236" i="15"/>
  <c r="Q1240" i="15"/>
  <c r="P1241" i="15"/>
  <c r="P1248" i="15"/>
  <c r="Q1251" i="15"/>
  <c r="Q1252" i="15"/>
  <c r="P1253" i="15"/>
  <c r="Q1254" i="15"/>
  <c r="P1257" i="15"/>
  <c r="P1258" i="15"/>
  <c r="Q1265" i="15"/>
  <c r="P1266" i="15"/>
  <c r="Q1269" i="15"/>
  <c r="P1275" i="15"/>
  <c r="P1278" i="15"/>
  <c r="Q1279" i="15"/>
  <c r="P1284" i="15"/>
  <c r="Q1287" i="15"/>
  <c r="Q1288" i="15"/>
  <c r="Q1297" i="15"/>
  <c r="Q1301" i="15"/>
  <c r="P1302" i="15"/>
  <c r="P1306" i="15"/>
  <c r="Q1311" i="15"/>
  <c r="Q1312" i="15"/>
  <c r="Q1313" i="15"/>
  <c r="P1318" i="15"/>
  <c r="P1319" i="15"/>
  <c r="Q1321" i="15"/>
  <c r="Q1331" i="15"/>
  <c r="Q1332" i="15"/>
  <c r="O1336" i="15"/>
  <c r="O1337" i="15"/>
  <c r="P1340" i="15"/>
  <c r="P1344" i="15"/>
  <c r="P1349" i="15"/>
  <c r="P1350" i="15"/>
  <c r="P1355" i="15"/>
  <c r="R1357" i="15"/>
  <c r="R1358" i="15"/>
  <c r="R1362" i="15"/>
  <c r="R1363" i="15"/>
  <c r="R1364" i="15"/>
  <c r="P1366" i="15"/>
  <c r="P1367" i="15"/>
  <c r="P1368" i="15"/>
  <c r="O1371" i="15"/>
  <c r="O1372" i="15"/>
  <c r="P1379" i="15"/>
  <c r="P1380" i="15"/>
  <c r="Q1382" i="15"/>
  <c r="Q1383" i="15"/>
  <c r="O1386" i="15"/>
  <c r="Q1387" i="15"/>
  <c r="P1388" i="15"/>
  <c r="Q1391" i="15"/>
  <c r="Q1425" i="15"/>
  <c r="P1425" i="15"/>
  <c r="O1425" i="15"/>
  <c r="Q1433" i="15"/>
  <c r="M1433" i="15"/>
  <c r="Q1441" i="15"/>
  <c r="M1441" i="15"/>
  <c r="Q1452" i="15"/>
  <c r="P1452" i="15"/>
  <c r="O1452" i="15"/>
  <c r="R1462" i="15"/>
  <c r="Q1465" i="15"/>
  <c r="M1465" i="15"/>
  <c r="P1484" i="15"/>
  <c r="R1382" i="15"/>
  <c r="R1383" i="15"/>
  <c r="Q1386" i="15"/>
  <c r="M1387" i="15"/>
  <c r="O1387" i="15"/>
  <c r="R1388" i="15"/>
  <c r="R1391" i="15"/>
  <c r="M1394" i="15"/>
  <c r="R1425" i="15"/>
  <c r="Q1426" i="15"/>
  <c r="P1426" i="15"/>
  <c r="O1426" i="15"/>
  <c r="Q1434" i="15"/>
  <c r="P1434" i="15"/>
  <c r="O1434" i="15"/>
  <c r="Q1438" i="15"/>
  <c r="P1438" i="15"/>
  <c r="O1438" i="15"/>
  <c r="Q1445" i="15"/>
  <c r="P1445" i="15"/>
  <c r="O1445" i="15"/>
  <c r="L1446" i="15"/>
  <c r="R1446" i="15"/>
  <c r="K1446" i="15"/>
  <c r="Q1446" i="15"/>
  <c r="R1452" i="15"/>
  <c r="P1508" i="15"/>
  <c r="R1479" i="15"/>
  <c r="P1480" i="15"/>
  <c r="K1484" i="15"/>
  <c r="Q1484" i="15"/>
  <c r="R1485" i="15"/>
  <c r="K1508" i="15"/>
  <c r="Q1508" i="15"/>
  <c r="R1529" i="15"/>
  <c r="R1530" i="15"/>
  <c r="R1531" i="15"/>
  <c r="R1532" i="15"/>
  <c r="R1535" i="15"/>
  <c r="R1536" i="15"/>
  <c r="P1537" i="15"/>
  <c r="R1542" i="15"/>
  <c r="P1543" i="15"/>
  <c r="K1549" i="15"/>
  <c r="Q1549" i="15"/>
  <c r="R1554" i="15"/>
  <c r="R1559" i="15"/>
  <c r="R1560" i="15"/>
  <c r="R1561" i="15"/>
  <c r="R1569" i="15"/>
  <c r="R1570" i="15"/>
  <c r="R1575" i="15"/>
  <c r="P1577" i="15"/>
  <c r="R1581" i="15"/>
  <c r="R1588" i="15"/>
  <c r="R1589" i="15"/>
  <c r="Q1594" i="15"/>
  <c r="R1595" i="15"/>
  <c r="S1595" i="15"/>
  <c r="P1609" i="15"/>
  <c r="O1609" i="15"/>
  <c r="Q1628" i="15"/>
  <c r="P1628" i="15"/>
  <c r="O1628" i="15"/>
  <c r="M1629" i="15"/>
  <c r="P1629" i="15"/>
  <c r="Q1630" i="15"/>
  <c r="M1630" i="15"/>
  <c r="Q1643" i="15"/>
  <c r="O1643" i="15"/>
  <c r="R1643" i="15"/>
  <c r="P1643" i="15"/>
  <c r="R1397" i="15"/>
  <c r="S1397" i="15"/>
  <c r="Q1398" i="15"/>
  <c r="R1401" i="15"/>
  <c r="R1402" i="15"/>
  <c r="Q1403" i="15"/>
  <c r="R1406" i="15"/>
  <c r="R1407" i="15"/>
  <c r="R1442" i="15"/>
  <c r="R1455" i="15"/>
  <c r="R1463" i="15"/>
  <c r="P1464" i="15"/>
  <c r="R1473" i="15"/>
  <c r="R1477" i="15"/>
  <c r="O1479" i="15"/>
  <c r="O1485" i="15"/>
  <c r="Q1488" i="15"/>
  <c r="R1490" i="15"/>
  <c r="R1491" i="15"/>
  <c r="R1497" i="15"/>
  <c r="L1498" i="15"/>
  <c r="L1508" i="15"/>
  <c r="R1508" i="15"/>
  <c r="L1499" i="15"/>
  <c r="R1499" i="15"/>
  <c r="R1517" i="15"/>
  <c r="R1518" i="15"/>
  <c r="R1519" i="15"/>
  <c r="R1520" i="15"/>
  <c r="R1521" i="15"/>
  <c r="R1522" i="15"/>
  <c r="Q1523" i="15"/>
  <c r="Q1524" i="15"/>
  <c r="Q1525" i="15"/>
  <c r="Q1526" i="15"/>
  <c r="O1529" i="15"/>
  <c r="O1530" i="15"/>
  <c r="O1531" i="15"/>
  <c r="O1532" i="15"/>
  <c r="O1535" i="15"/>
  <c r="O1536" i="15"/>
  <c r="M1537" i="15"/>
  <c r="Q1537" i="15"/>
  <c r="Q1538" i="15"/>
  <c r="Q1540" i="15"/>
  <c r="O1542" i="15"/>
  <c r="Q1543" i="15"/>
  <c r="Q1552" i="15"/>
  <c r="O1554" i="15"/>
  <c r="Q1556" i="15"/>
  <c r="P1558" i="15"/>
  <c r="O1559" i="15"/>
  <c r="O1560" i="15"/>
  <c r="O1561" i="15"/>
  <c r="O1569" i="15"/>
  <c r="O1570" i="15"/>
  <c r="P1573" i="15"/>
  <c r="P1574" i="15"/>
  <c r="O1575" i="15"/>
  <c r="Q1577" i="15"/>
  <c r="P1578" i="15"/>
  <c r="O1581" i="15"/>
  <c r="O1588" i="15"/>
  <c r="O1589" i="15"/>
  <c r="O1590" i="15"/>
  <c r="O1591" i="15"/>
  <c r="R1594" i="15"/>
  <c r="Q1609" i="15"/>
  <c r="Q1625" i="15"/>
  <c r="M1625" i="15"/>
  <c r="R1628" i="15"/>
  <c r="O1658" i="15"/>
  <c r="Q1658" i="15"/>
  <c r="R1658" i="15"/>
  <c r="P1658" i="15"/>
  <c r="R1398" i="15"/>
  <c r="R1403" i="15"/>
  <c r="O1406" i="15"/>
  <c r="O1407" i="15"/>
  <c r="R1413" i="15"/>
  <c r="R1414" i="15"/>
  <c r="R1417" i="15"/>
  <c r="R1436" i="15"/>
  <c r="O1442" i="15"/>
  <c r="R1451" i="15"/>
  <c r="R1453" i="15"/>
  <c r="O1455" i="15"/>
  <c r="R1456" i="15"/>
  <c r="R1457" i="15"/>
  <c r="R1458" i="15"/>
  <c r="R1459" i="15"/>
  <c r="R1460" i="15"/>
  <c r="O1463" i="15"/>
  <c r="S1463" i="15"/>
  <c r="O1473" i="15"/>
  <c r="O1477" i="15"/>
  <c r="R1478" i="15"/>
  <c r="S1478" i="15"/>
  <c r="P1479" i="15"/>
  <c r="R1480" i="15"/>
  <c r="R1481" i="15"/>
  <c r="M1483" i="15"/>
  <c r="P1485" i="15"/>
  <c r="R1488" i="15"/>
  <c r="O1490" i="15"/>
  <c r="O1491" i="15"/>
  <c r="O1497" i="15"/>
  <c r="M1500" i="15"/>
  <c r="M1501" i="15"/>
  <c r="M1502" i="15"/>
  <c r="M1503" i="15"/>
  <c r="M1504" i="15"/>
  <c r="M1505" i="15"/>
  <c r="M1506" i="15"/>
  <c r="M1507" i="15"/>
  <c r="M1509" i="15"/>
  <c r="M1510" i="15"/>
  <c r="M1515" i="15"/>
  <c r="M1516" i="15"/>
  <c r="R1523" i="15"/>
  <c r="R1524" i="15"/>
  <c r="R1525" i="15"/>
  <c r="R1526" i="15"/>
  <c r="M1528" i="15"/>
  <c r="P1529" i="15"/>
  <c r="P1530" i="15"/>
  <c r="P1531" i="15"/>
  <c r="P1532" i="15"/>
  <c r="P1535" i="15"/>
  <c r="P1536" i="15"/>
  <c r="R1537" i="15"/>
  <c r="R1538" i="15"/>
  <c r="R1540" i="15"/>
  <c r="P1542" i="15"/>
  <c r="R1543" i="15"/>
  <c r="M1545" i="15"/>
  <c r="M1546" i="15"/>
  <c r="M1547" i="15"/>
  <c r="M1548" i="15"/>
  <c r="R1552" i="15"/>
  <c r="P1554" i="15"/>
  <c r="R1556" i="15"/>
  <c r="M1558" i="15"/>
  <c r="P1559" i="15"/>
  <c r="P1560" i="15"/>
  <c r="P1561" i="15"/>
  <c r="P1569" i="15"/>
  <c r="P1570" i="15"/>
  <c r="P1575" i="15"/>
  <c r="R1577" i="15"/>
  <c r="P1581" i="15"/>
  <c r="P1588" i="15"/>
  <c r="P1589" i="15"/>
  <c r="P1590" i="15"/>
  <c r="Q1591" i="15"/>
  <c r="P1598" i="15"/>
  <c r="O1598" i="15"/>
  <c r="R1600" i="15"/>
  <c r="R1609" i="15"/>
  <c r="P1616" i="15"/>
  <c r="Q1626" i="15"/>
  <c r="M1626" i="15"/>
  <c r="M1649" i="15"/>
  <c r="Q1649" i="15"/>
  <c r="O1651" i="15"/>
  <c r="Q1651" i="15"/>
  <c r="R1651" i="15"/>
  <c r="P1651" i="15"/>
  <c r="R1590" i="15"/>
  <c r="R1591" i="15"/>
  <c r="P1594" i="15"/>
  <c r="P1602" i="15"/>
  <c r="O1602" i="15"/>
  <c r="P1608" i="15"/>
  <c r="O1608" i="15"/>
  <c r="Q1636" i="15"/>
  <c r="P1636" i="15"/>
  <c r="O1636" i="15"/>
  <c r="O1653" i="15"/>
  <c r="Q1653" i="15"/>
  <c r="R1653" i="15"/>
  <c r="P1653" i="15"/>
  <c r="R1610" i="15"/>
  <c r="R1611" i="15"/>
  <c r="R1612" i="15"/>
  <c r="P1620" i="15"/>
  <c r="R1621" i="15"/>
  <c r="P1622" i="15"/>
  <c r="R1623" i="15"/>
  <c r="P1624" i="15"/>
  <c r="S1624" i="15"/>
  <c r="R1627" i="15"/>
  <c r="R1631" i="15"/>
  <c r="R1632" i="15"/>
  <c r="R1633" i="15"/>
  <c r="Q1660" i="15"/>
  <c r="O1660" i="15"/>
  <c r="Q1662" i="15"/>
  <c r="O1662" i="15"/>
  <c r="Q1665" i="15"/>
  <c r="O1665" i="15"/>
  <c r="O1673" i="15"/>
  <c r="Q1673" i="15"/>
  <c r="P1673" i="15"/>
  <c r="S1714" i="15"/>
  <c r="S1775" i="15"/>
  <c r="S1781" i="15"/>
  <c r="O1610" i="15"/>
  <c r="O1611" i="15"/>
  <c r="O1612" i="15"/>
  <c r="R1616" i="15"/>
  <c r="Q1620" i="15"/>
  <c r="O1621" i="15"/>
  <c r="Q1622" i="15"/>
  <c r="O1623" i="15"/>
  <c r="R1626" i="15"/>
  <c r="O1627" i="15"/>
  <c r="R1630" i="15"/>
  <c r="O1631" i="15"/>
  <c r="O1632" i="15"/>
  <c r="O1633" i="15"/>
  <c r="R1642" i="15"/>
  <c r="P1642" i="15"/>
  <c r="O1644" i="15"/>
  <c r="Q1644" i="15"/>
  <c r="Q1646" i="15"/>
  <c r="O1646" i="15"/>
  <c r="O1652" i="15"/>
  <c r="Q1652" i="15"/>
  <c r="P1660" i="15"/>
  <c r="P1662" i="15"/>
  <c r="P1665" i="15"/>
  <c r="O1667" i="15"/>
  <c r="Q1667" i="15"/>
  <c r="R1673" i="15"/>
  <c r="O1641" i="15"/>
  <c r="S1641" i="15"/>
  <c r="O1642" i="15"/>
  <c r="P1644" i="15"/>
  <c r="P1646" i="15"/>
  <c r="M1648" i="15"/>
  <c r="P1652" i="15"/>
  <c r="R1660" i="15"/>
  <c r="O1661" i="15"/>
  <c r="Q1661" i="15"/>
  <c r="R1662" i="15"/>
  <c r="R1665" i="15"/>
  <c r="O1683" i="15"/>
  <c r="Q1683" i="15"/>
  <c r="P1683" i="15"/>
  <c r="R1675" i="15"/>
  <c r="R1679" i="15"/>
  <c r="R1682" i="15"/>
  <c r="R1684" i="15"/>
  <c r="P1698" i="15"/>
  <c r="R1700" i="15"/>
  <c r="M1702" i="15"/>
  <c r="M1703" i="15"/>
  <c r="P1704" i="15"/>
  <c r="R1707" i="15"/>
  <c r="R1710" i="15"/>
  <c r="P1711" i="15"/>
  <c r="R1712" i="15"/>
  <c r="P1720" i="15"/>
  <c r="R1722" i="15"/>
  <c r="R1723" i="15"/>
  <c r="P1728" i="15"/>
  <c r="P1730" i="15"/>
  <c r="P1732" i="15"/>
  <c r="P1735" i="15"/>
  <c r="P1736" i="15"/>
  <c r="R1738" i="15"/>
  <c r="R1739" i="15"/>
  <c r="R1740" i="15"/>
  <c r="P1742" i="15"/>
  <c r="R1745" i="15"/>
  <c r="R1747" i="15"/>
  <c r="R1748" i="15"/>
  <c r="M1750" i="15"/>
  <c r="P1751" i="15"/>
  <c r="P1752" i="15"/>
  <c r="R1758" i="15"/>
  <c r="R1760" i="15"/>
  <c r="R1761" i="15"/>
  <c r="R1762" i="15"/>
  <c r="R1763" i="15"/>
  <c r="P1765" i="15"/>
  <c r="R1767" i="15"/>
  <c r="P1769" i="15"/>
  <c r="P1772" i="15"/>
  <c r="P1773" i="15"/>
  <c r="P1786" i="15"/>
  <c r="R1788" i="15"/>
  <c r="M1800" i="15"/>
  <c r="R1809" i="15"/>
  <c r="P1810" i="15"/>
  <c r="M1817" i="15"/>
  <c r="M1818" i="15"/>
  <c r="P1819" i="15"/>
  <c r="Q1820" i="15"/>
  <c r="Q1821" i="15"/>
  <c r="M1825" i="15"/>
  <c r="P1825" i="15"/>
  <c r="M1826" i="15"/>
  <c r="P1826" i="15"/>
  <c r="Q1839" i="15"/>
  <c r="O1839" i="15"/>
  <c r="P1645" i="15"/>
  <c r="R1649" i="15"/>
  <c r="R1650" i="15"/>
  <c r="R1657" i="15"/>
  <c r="R1666" i="15"/>
  <c r="R1672" i="15"/>
  <c r="O1675" i="15"/>
  <c r="R1676" i="15"/>
  <c r="S1676" i="15"/>
  <c r="O1679" i="15"/>
  <c r="S1679" i="15"/>
  <c r="O1682" i="15"/>
  <c r="O1684" i="15"/>
  <c r="R1685" i="15"/>
  <c r="R1689" i="15"/>
  <c r="R1690" i="15"/>
  <c r="R1691" i="15"/>
  <c r="R1695" i="15"/>
  <c r="R1697" i="15"/>
  <c r="Q1698" i="15"/>
  <c r="O1700" i="15"/>
  <c r="R1702" i="15"/>
  <c r="R1703" i="15"/>
  <c r="Q1704" i="15"/>
  <c r="O1707" i="15"/>
  <c r="O1710" i="15"/>
  <c r="Q1711" i="15"/>
  <c r="O1712" i="15"/>
  <c r="R1716" i="15"/>
  <c r="R1717" i="15"/>
  <c r="R1718" i="15"/>
  <c r="Q1720" i="15"/>
  <c r="O1722" i="15"/>
  <c r="O1723" i="15"/>
  <c r="R1727" i="15"/>
  <c r="Q1728" i="15"/>
  <c r="Q1730" i="15"/>
  <c r="Q1732" i="15"/>
  <c r="R1734" i="15"/>
  <c r="Q1735" i="15"/>
  <c r="Q1736" i="15"/>
  <c r="O1738" i="15"/>
  <c r="O1739" i="15"/>
  <c r="O1740" i="15"/>
  <c r="R1741" i="15"/>
  <c r="Q1742" i="15"/>
  <c r="O1745" i="15"/>
  <c r="O1747" i="15"/>
  <c r="O1748" i="15"/>
  <c r="R1749" i="15"/>
  <c r="R1750" i="15"/>
  <c r="Q1751" i="15"/>
  <c r="Q1752" i="15"/>
  <c r="R1755" i="15"/>
  <c r="O1758" i="15"/>
  <c r="O1760" i="15"/>
  <c r="O1761" i="15"/>
  <c r="O1762" i="15"/>
  <c r="O1763" i="15"/>
  <c r="R1764" i="15"/>
  <c r="Q1765" i="15"/>
  <c r="O1767" i="15"/>
  <c r="R1768" i="15"/>
  <c r="S1768" i="15"/>
  <c r="Q1769" i="15"/>
  <c r="R1771" i="15"/>
  <c r="Q1772" i="15"/>
  <c r="Q1773" i="15"/>
  <c r="P1782" i="15"/>
  <c r="P1783" i="15"/>
  <c r="Q1786" i="15"/>
  <c r="P1787" i="15"/>
  <c r="S1787" i="15"/>
  <c r="O1788" i="15"/>
  <c r="P1804" i="15"/>
  <c r="O1809" i="15"/>
  <c r="Q1810" i="15"/>
  <c r="P1815" i="15"/>
  <c r="S1815" i="15"/>
  <c r="Q1819" i="15"/>
  <c r="R1821" i="15"/>
  <c r="P1822" i="15"/>
  <c r="P1839" i="15"/>
  <c r="O1841" i="15"/>
  <c r="Q1841" i="15"/>
  <c r="S1847" i="15"/>
  <c r="S1857" i="15"/>
  <c r="R1698" i="15"/>
  <c r="P1700" i="15"/>
  <c r="R1704" i="15"/>
  <c r="P1710" i="15"/>
  <c r="R1711" i="15"/>
  <c r="P1712" i="15"/>
  <c r="R1720" i="15"/>
  <c r="R1728" i="15"/>
  <c r="R1730" i="15"/>
  <c r="R1732" i="15"/>
  <c r="R1735" i="15"/>
  <c r="R1736" i="15"/>
  <c r="R1742" i="15"/>
  <c r="R1751" i="15"/>
  <c r="R1752" i="15"/>
  <c r="R1765" i="15"/>
  <c r="R1769" i="15"/>
  <c r="R1772" i="15"/>
  <c r="R1773" i="15"/>
  <c r="R1786" i="15"/>
  <c r="P1809" i="15"/>
  <c r="R1810" i="15"/>
  <c r="R1819" i="15"/>
  <c r="P1820" i="15"/>
  <c r="O1837" i="15"/>
  <c r="Q1837" i="15"/>
  <c r="R1839" i="15"/>
  <c r="O1820" i="15"/>
  <c r="P1821" i="15"/>
  <c r="R1822" i="15"/>
  <c r="Q1824" i="15"/>
  <c r="O1824" i="15"/>
  <c r="Q1825" i="15"/>
  <c r="O1825" i="15"/>
  <c r="Q1826" i="15"/>
  <c r="O1826" i="15"/>
  <c r="P1837" i="15"/>
  <c r="R1841" i="15"/>
  <c r="Q1843" i="15"/>
  <c r="O1843" i="15"/>
  <c r="R1840" i="15"/>
  <c r="R1844" i="15"/>
  <c r="S1844" i="15"/>
  <c r="Q1845" i="15"/>
  <c r="O1853" i="15"/>
  <c r="Q1854" i="15"/>
  <c r="O1856" i="15"/>
  <c r="Q1858" i="15"/>
  <c r="P1859" i="15"/>
  <c r="O1864" i="15"/>
  <c r="M1865" i="15"/>
  <c r="Q1865" i="15"/>
  <c r="P1874" i="15"/>
  <c r="Q1876" i="15"/>
  <c r="O1877" i="15"/>
  <c r="M1894" i="15"/>
  <c r="Q1894" i="15"/>
  <c r="P1895" i="15"/>
  <c r="S1895" i="15"/>
  <c r="P1896" i="15"/>
  <c r="O1898" i="15"/>
  <c r="Q1904" i="15"/>
  <c r="Q1905" i="15"/>
  <c r="O1907" i="15"/>
  <c r="Q1908" i="15"/>
  <c r="Q1909" i="15"/>
  <c r="O1910" i="15"/>
  <c r="O1915" i="15"/>
  <c r="O1916" i="15"/>
  <c r="O1917" i="15"/>
  <c r="P1918" i="15"/>
  <c r="M1919" i="15"/>
  <c r="Q1919" i="15"/>
  <c r="P1920" i="15"/>
  <c r="O1921" i="15"/>
  <c r="O1922" i="15"/>
  <c r="R1923" i="15"/>
  <c r="R1932" i="15"/>
  <c r="S1932" i="15"/>
  <c r="M1935" i="15"/>
  <c r="Q1940" i="15"/>
  <c r="O1940" i="15"/>
  <c r="Q1942" i="15"/>
  <c r="O1942" i="15"/>
  <c r="M1954" i="15"/>
  <c r="M1956" i="15"/>
  <c r="R1845" i="15"/>
  <c r="M1847" i="15"/>
  <c r="P1853" i="15"/>
  <c r="R1854" i="15"/>
  <c r="P1856" i="15"/>
  <c r="R1858" i="15"/>
  <c r="P1864" i="15"/>
  <c r="R1865" i="15"/>
  <c r="R1876" i="15"/>
  <c r="P1877" i="15"/>
  <c r="R1894" i="15"/>
  <c r="Q1896" i="15"/>
  <c r="P1898" i="15"/>
  <c r="R1904" i="15"/>
  <c r="R1905" i="15"/>
  <c r="P1907" i="15"/>
  <c r="R1908" i="15"/>
  <c r="R1909" i="15"/>
  <c r="P1910" i="15"/>
  <c r="P1915" i="15"/>
  <c r="P1917" i="15"/>
  <c r="Q1918" i="15"/>
  <c r="Q1920" i="15"/>
  <c r="P1922" i="15"/>
  <c r="P1940" i="15"/>
  <c r="O1955" i="15"/>
  <c r="Q1955" i="15"/>
  <c r="Q1853" i="15"/>
  <c r="Q1856" i="15"/>
  <c r="Q1864" i="15"/>
  <c r="O1876" i="15"/>
  <c r="Q1877" i="15"/>
  <c r="Q1898" i="15"/>
  <c r="Q1907" i="15"/>
  <c r="Q1910" i="15"/>
  <c r="Q1915" i="15"/>
  <c r="Q1916" i="15"/>
  <c r="R1918" i="15"/>
  <c r="R1920" i="15"/>
  <c r="P1926" i="15"/>
  <c r="O1941" i="15"/>
  <c r="Q1941" i="15"/>
  <c r="P1955" i="15"/>
  <c r="O1959" i="15"/>
  <c r="Q1959" i="15"/>
  <c r="O1967" i="15"/>
  <c r="Q1967" i="15"/>
  <c r="S1996" i="15"/>
  <c r="P1941" i="15"/>
  <c r="O1944" i="15"/>
  <c r="Q1944" i="15"/>
  <c r="R1955" i="15"/>
  <c r="M1959" i="15"/>
  <c r="P1959" i="15"/>
  <c r="P1967" i="15"/>
  <c r="P1968" i="15"/>
  <c r="S1968" i="15"/>
  <c r="M1968" i="15"/>
  <c r="R1976" i="15"/>
  <c r="P1977" i="15"/>
  <c r="R1978" i="15"/>
  <c r="P1979" i="15"/>
  <c r="R1980" i="15"/>
  <c r="P1981" i="15"/>
  <c r="M1985" i="15"/>
  <c r="M1986" i="15"/>
  <c r="R1987" i="15"/>
  <c r="R1989" i="15"/>
  <c r="R1991" i="15"/>
  <c r="L2072" i="15"/>
  <c r="L2071" i="15"/>
  <c r="R2071" i="15"/>
  <c r="L2070" i="15"/>
  <c r="R2070" i="15"/>
  <c r="L2069" i="15"/>
  <c r="R2069" i="15"/>
  <c r="P2002" i="15"/>
  <c r="R2009" i="15"/>
  <c r="P2010" i="15"/>
  <c r="P1954" i="15"/>
  <c r="S1954" i="15"/>
  <c r="P1964" i="15"/>
  <c r="P1969" i="15"/>
  <c r="P1973" i="15"/>
  <c r="O1976" i="15"/>
  <c r="Q1977" i="15"/>
  <c r="O1978" i="15"/>
  <c r="Q1979" i="15"/>
  <c r="O1980" i="15"/>
  <c r="Q1981" i="15"/>
  <c r="O1987" i="15"/>
  <c r="Q1988" i="15"/>
  <c r="O1989" i="15"/>
  <c r="Q1990" i="15"/>
  <c r="O1991" i="15"/>
  <c r="J1997" i="15"/>
  <c r="J1998" i="15"/>
  <c r="Q1999" i="15"/>
  <c r="Q2000" i="15"/>
  <c r="Q2001" i="15"/>
  <c r="Q2002" i="15"/>
  <c r="O2009" i="15"/>
  <c r="Q2010" i="15"/>
  <c r="R2017" i="15"/>
  <c r="Q2021" i="15"/>
  <c r="P2021" i="15"/>
  <c r="K2123" i="15"/>
  <c r="Q2123" i="15"/>
  <c r="P1976" i="15"/>
  <c r="R1977" i="15"/>
  <c r="R1979" i="15"/>
  <c r="R1981" i="15"/>
  <c r="R1988" i="15"/>
  <c r="R1990" i="15"/>
  <c r="K2044" i="15"/>
  <c r="Q2044" i="15"/>
  <c r="K2043" i="15"/>
  <c r="Q2043" i="15"/>
  <c r="R1999" i="15"/>
  <c r="J2072" i="15"/>
  <c r="J2071" i="15"/>
  <c r="J2070" i="15"/>
  <c r="J2069" i="15"/>
  <c r="R2000" i="15"/>
  <c r="R2001" i="15"/>
  <c r="R2002" i="15"/>
  <c r="P2009" i="15"/>
  <c r="R2010" i="15"/>
  <c r="O2021" i="15"/>
  <c r="R2072" i="15"/>
  <c r="L1997" i="15"/>
  <c r="R1997" i="15"/>
  <c r="L1998" i="15"/>
  <c r="R1998" i="15"/>
  <c r="L2123" i="15"/>
  <c r="M2123" i="15"/>
  <c r="K2072" i="15"/>
  <c r="Q2072" i="15"/>
  <c r="K2071" i="15"/>
  <c r="Q2071" i="15"/>
  <c r="K2070" i="15"/>
  <c r="Q2070" i="15"/>
  <c r="K2069" i="15"/>
  <c r="Q2069" i="15"/>
  <c r="Q2014" i="15"/>
  <c r="P2014" i="15"/>
  <c r="P2016" i="15"/>
  <c r="O2016" i="15"/>
  <c r="S2112" i="15"/>
  <c r="R2040" i="15"/>
  <c r="R2048" i="15"/>
  <c r="R2052" i="15"/>
  <c r="R2055" i="15"/>
  <c r="R2056" i="15"/>
  <c r="P2058" i="15"/>
  <c r="R2059" i="15"/>
  <c r="P2065" i="15"/>
  <c r="R2078" i="15"/>
  <c r="R2104" i="15"/>
  <c r="R2106" i="15"/>
  <c r="R2122" i="15"/>
  <c r="R2015" i="15"/>
  <c r="R2020" i="15"/>
  <c r="R2022" i="15"/>
  <c r="P2023" i="15"/>
  <c r="P2026" i="15"/>
  <c r="O2040" i="15"/>
  <c r="Q2041" i="15"/>
  <c r="O2048" i="15"/>
  <c r="O2052" i="15"/>
  <c r="P2053" i="15"/>
  <c r="O2055" i="15"/>
  <c r="O2056" i="15"/>
  <c r="Q2058" i="15"/>
  <c r="O2059" i="15"/>
  <c r="Q2060" i="15"/>
  <c r="P2063" i="15"/>
  <c r="Q2065" i="15"/>
  <c r="Q2076" i="15"/>
  <c r="P2077" i="15"/>
  <c r="O2078" i="15"/>
  <c r="Q2081" i="15"/>
  <c r="P2082" i="15"/>
  <c r="Q2086" i="15"/>
  <c r="R2095" i="15"/>
  <c r="R2096" i="15"/>
  <c r="R2099" i="15"/>
  <c r="S2099" i="15"/>
  <c r="O2104" i="15"/>
  <c r="O2106" i="15"/>
  <c r="R2109" i="15"/>
  <c r="Q2116" i="15"/>
  <c r="Q2118" i="15"/>
  <c r="R2119" i="15"/>
  <c r="O2122" i="15"/>
  <c r="O2123" i="15"/>
  <c r="Q2023" i="15"/>
  <c r="Q2026" i="15"/>
  <c r="P2040" i="15"/>
  <c r="R2041" i="15"/>
  <c r="P2048" i="15"/>
  <c r="P2052" i="15"/>
  <c r="M2053" i="15"/>
  <c r="P2055" i="15"/>
  <c r="P2056" i="15"/>
  <c r="P2059" i="15"/>
  <c r="Q2063" i="15"/>
  <c r="R2076" i="15"/>
  <c r="P2078" i="15"/>
  <c r="R2081" i="15"/>
  <c r="R2086" i="15"/>
  <c r="P2104" i="15"/>
  <c r="P2106" i="15"/>
  <c r="M2107" i="15"/>
  <c r="R2116" i="15"/>
  <c r="R2118" i="15"/>
  <c r="P2122" i="15"/>
  <c r="P2123" i="15"/>
  <c r="Q2124" i="15"/>
  <c r="O2168" i="1"/>
  <c r="AD2127" i="1"/>
  <c r="AC2127" i="1"/>
  <c r="AB2127" i="1"/>
  <c r="AA2127" i="1"/>
  <c r="Z2127" i="1"/>
  <c r="V2127" i="1"/>
  <c r="N2127" i="1"/>
  <c r="L2127" i="1"/>
  <c r="K2127" i="1"/>
  <c r="AD2126" i="1"/>
  <c r="AC2126" i="1"/>
  <c r="AB2126" i="1"/>
  <c r="AA2126" i="1"/>
  <c r="Z2126" i="1"/>
  <c r="V2126" i="1"/>
  <c r="N2126" i="1"/>
  <c r="J2126" i="1"/>
  <c r="AD2125" i="1"/>
  <c r="AC2125" i="1"/>
  <c r="AB2125" i="1"/>
  <c r="AA2125" i="1"/>
  <c r="Z2125" i="1"/>
  <c r="V2125" i="1"/>
  <c r="N2125" i="1"/>
  <c r="Q2125" i="1"/>
  <c r="M2125" i="1"/>
  <c r="AD2124" i="1"/>
  <c r="AC2124" i="1"/>
  <c r="AB2124" i="1"/>
  <c r="AA2124" i="1"/>
  <c r="Z2124" i="1"/>
  <c r="AD2123" i="1"/>
  <c r="AC2123" i="1"/>
  <c r="AB2123" i="1"/>
  <c r="AA2123" i="1"/>
  <c r="Z2123" i="1"/>
  <c r="AD2122" i="1"/>
  <c r="AC2122" i="1"/>
  <c r="AB2122" i="1"/>
  <c r="AA2122" i="1"/>
  <c r="Z2122" i="1"/>
  <c r="V2122" i="1"/>
  <c r="N2122" i="1"/>
  <c r="P2122" i="1"/>
  <c r="L2122" i="1"/>
  <c r="K2122" i="1"/>
  <c r="AD2121" i="1"/>
  <c r="AC2121" i="1"/>
  <c r="AB2121" i="1"/>
  <c r="AA2121" i="1"/>
  <c r="Z2121" i="1"/>
  <c r="V2121" i="1"/>
  <c r="N2121" i="1"/>
  <c r="O2121" i="1"/>
  <c r="L2121" i="1"/>
  <c r="K2121" i="1"/>
  <c r="AD2120" i="1"/>
  <c r="AC2120" i="1"/>
  <c r="AB2120" i="1"/>
  <c r="AA2120" i="1"/>
  <c r="Z2120" i="1"/>
  <c r="AD2119" i="1"/>
  <c r="AC2119" i="1"/>
  <c r="AB2119" i="1"/>
  <c r="AA2119" i="1"/>
  <c r="Z2119" i="1"/>
  <c r="V2119" i="1"/>
  <c r="N2119" i="1"/>
  <c r="O2119" i="1"/>
  <c r="M2119" i="1"/>
  <c r="AD2118" i="1"/>
  <c r="AC2118" i="1"/>
  <c r="AB2118" i="1"/>
  <c r="AA2118" i="1"/>
  <c r="Z2118" i="1"/>
  <c r="V2118" i="1"/>
  <c r="N2118" i="1"/>
  <c r="M2118" i="1"/>
  <c r="AD2117" i="1"/>
  <c r="AC2117" i="1"/>
  <c r="AB2117" i="1"/>
  <c r="AA2117" i="1"/>
  <c r="Z2117" i="1"/>
  <c r="AD2116" i="1"/>
  <c r="AC2116" i="1"/>
  <c r="AB2116" i="1"/>
  <c r="AA2116" i="1"/>
  <c r="Z2116" i="1"/>
  <c r="AD2115" i="1"/>
  <c r="AC2115" i="1"/>
  <c r="AB2115" i="1"/>
  <c r="AA2115" i="1"/>
  <c r="Z2115" i="1"/>
  <c r="V2115" i="1"/>
  <c r="N2115" i="1"/>
  <c r="L2115" i="1"/>
  <c r="M2115" i="1"/>
  <c r="AD2114" i="1"/>
  <c r="AC2114" i="1"/>
  <c r="AB2114" i="1"/>
  <c r="AA2114" i="1"/>
  <c r="Z2114" i="1"/>
  <c r="V2114" i="1"/>
  <c r="N2114" i="1"/>
  <c r="L2114" i="1"/>
  <c r="M2114" i="1"/>
  <c r="AD2113" i="1"/>
  <c r="AC2113" i="1"/>
  <c r="AB2113" i="1"/>
  <c r="AA2113" i="1"/>
  <c r="Z2113" i="1"/>
  <c r="V2113" i="1"/>
  <c r="N2113" i="1"/>
  <c r="L2113" i="1"/>
  <c r="M2113" i="1"/>
  <c r="AD2112" i="1"/>
  <c r="AC2112" i="1"/>
  <c r="AB2112" i="1"/>
  <c r="AA2112" i="1"/>
  <c r="Z2112" i="1"/>
  <c r="V2112" i="1"/>
  <c r="N2112" i="1"/>
  <c r="L2112" i="1"/>
  <c r="M2112" i="1"/>
  <c r="AD2111" i="1"/>
  <c r="AC2111" i="1"/>
  <c r="AB2111" i="1"/>
  <c r="AA2111" i="1"/>
  <c r="Z2111" i="1"/>
  <c r="V2111" i="1"/>
  <c r="N2111" i="1"/>
  <c r="M2111" i="1"/>
  <c r="AD2110" i="1"/>
  <c r="AC2110" i="1"/>
  <c r="AB2110" i="1"/>
  <c r="AA2110" i="1"/>
  <c r="Z2110" i="1"/>
  <c r="V2110" i="1"/>
  <c r="N2110" i="1"/>
  <c r="L2110" i="1"/>
  <c r="K2110" i="1"/>
  <c r="AD2109" i="1"/>
  <c r="AC2109" i="1"/>
  <c r="AB2109" i="1"/>
  <c r="AA2109" i="1"/>
  <c r="Z2109" i="1"/>
  <c r="V2109" i="1"/>
  <c r="N2109" i="1"/>
  <c r="L2109" i="1"/>
  <c r="K2109" i="1"/>
  <c r="AD2108" i="1"/>
  <c r="AC2108" i="1"/>
  <c r="AB2108" i="1"/>
  <c r="AA2108" i="1"/>
  <c r="Z2108" i="1"/>
  <c r="AD2107" i="1"/>
  <c r="AC2107" i="1"/>
  <c r="AB2107" i="1"/>
  <c r="AA2107" i="1"/>
  <c r="Z2107" i="1"/>
  <c r="V2107" i="1"/>
  <c r="N2107" i="1"/>
  <c r="K2107" i="1"/>
  <c r="M2107" i="1"/>
  <c r="AD2106" i="1"/>
  <c r="AC2106" i="1"/>
  <c r="AB2106" i="1"/>
  <c r="AA2106" i="1"/>
  <c r="Z2106" i="1"/>
  <c r="V2106" i="1"/>
  <c r="N2106" i="1"/>
  <c r="M2106" i="1"/>
  <c r="AD2105" i="1"/>
  <c r="AC2105" i="1"/>
  <c r="AB2105" i="1"/>
  <c r="AA2105" i="1"/>
  <c r="Z2105" i="1"/>
  <c r="V2105" i="1"/>
  <c r="N2105" i="1"/>
  <c r="M2105" i="1"/>
  <c r="AD2104" i="1"/>
  <c r="AC2104" i="1"/>
  <c r="AB2104" i="1"/>
  <c r="AA2104" i="1"/>
  <c r="Z2104" i="1"/>
  <c r="V2104" i="1"/>
  <c r="N2104" i="1"/>
  <c r="M2104" i="1"/>
  <c r="AD2103" i="1"/>
  <c r="AC2103" i="1"/>
  <c r="AB2103" i="1"/>
  <c r="AA2103" i="1"/>
  <c r="Z2103" i="1"/>
  <c r="V2103" i="1"/>
  <c r="N2103" i="1"/>
  <c r="J2103" i="1"/>
  <c r="M2103" i="1"/>
  <c r="AD2102" i="1"/>
  <c r="AC2102" i="1"/>
  <c r="AB2102" i="1"/>
  <c r="AA2102" i="1"/>
  <c r="Z2102" i="1"/>
  <c r="V2102" i="1"/>
  <c r="N2102" i="1"/>
  <c r="R2102" i="1"/>
  <c r="J2102" i="1"/>
  <c r="M2102" i="1"/>
  <c r="AD2101" i="1"/>
  <c r="AC2101" i="1"/>
  <c r="AB2101" i="1"/>
  <c r="AA2101" i="1"/>
  <c r="Z2101" i="1"/>
  <c r="V2101" i="1"/>
  <c r="N2101" i="1"/>
  <c r="R2101" i="1"/>
  <c r="M2101" i="1"/>
  <c r="AD2100" i="1"/>
  <c r="AC2100" i="1"/>
  <c r="AB2100" i="1"/>
  <c r="AA2100" i="1"/>
  <c r="Z2100" i="1"/>
  <c r="AD2099" i="1"/>
  <c r="AC2099" i="1"/>
  <c r="AB2099" i="1"/>
  <c r="AA2099" i="1"/>
  <c r="Z2099" i="1"/>
  <c r="V2099" i="1"/>
  <c r="N2099" i="1"/>
  <c r="L2099" i="1"/>
  <c r="K2099" i="1"/>
  <c r="J2099" i="1"/>
  <c r="AD2098" i="1"/>
  <c r="AC2098" i="1"/>
  <c r="AB2098" i="1"/>
  <c r="AA2098" i="1"/>
  <c r="Z2098" i="1"/>
  <c r="V2098" i="1"/>
  <c r="N2098" i="1"/>
  <c r="L2098" i="1"/>
  <c r="K2098" i="1"/>
  <c r="J2098" i="1"/>
  <c r="AD2097" i="1"/>
  <c r="AC2097" i="1"/>
  <c r="AB2097" i="1"/>
  <c r="AA2097" i="1"/>
  <c r="Z2097" i="1"/>
  <c r="V2097" i="1"/>
  <c r="N2097" i="1"/>
  <c r="M2097" i="1"/>
  <c r="AD2096" i="1"/>
  <c r="AC2096" i="1"/>
  <c r="AB2096" i="1"/>
  <c r="AA2096" i="1"/>
  <c r="Z2096" i="1"/>
  <c r="V2096" i="1"/>
  <c r="N2096" i="1"/>
  <c r="L2096" i="1"/>
  <c r="K2096" i="1"/>
  <c r="J2096" i="1"/>
  <c r="AD2095" i="1"/>
  <c r="AC2095" i="1"/>
  <c r="AB2095" i="1"/>
  <c r="AA2095" i="1"/>
  <c r="Z2095" i="1"/>
  <c r="V2095" i="1"/>
  <c r="N2095" i="1"/>
  <c r="L2095" i="1"/>
  <c r="K2095" i="1"/>
  <c r="J2095" i="1"/>
  <c r="AD2094" i="1"/>
  <c r="AC2094" i="1"/>
  <c r="AB2094" i="1"/>
  <c r="AA2094" i="1"/>
  <c r="Z2094" i="1"/>
  <c r="V2094" i="1"/>
  <c r="N2094" i="1"/>
  <c r="L2094" i="1"/>
  <c r="K2094" i="1"/>
  <c r="J2094" i="1"/>
  <c r="AD2093" i="1"/>
  <c r="AC2093" i="1"/>
  <c r="AB2093" i="1"/>
  <c r="AA2093" i="1"/>
  <c r="Z2093" i="1"/>
  <c r="V2093" i="1"/>
  <c r="N2093" i="1"/>
  <c r="L2093" i="1"/>
  <c r="R2093" i="1"/>
  <c r="K2093" i="1"/>
  <c r="J2093" i="1"/>
  <c r="M2093" i="1"/>
  <c r="AD2092" i="1"/>
  <c r="AC2092" i="1"/>
  <c r="AB2092" i="1"/>
  <c r="AA2092" i="1"/>
  <c r="Z2092" i="1"/>
  <c r="AD2091" i="1"/>
  <c r="AC2091" i="1"/>
  <c r="AB2091" i="1"/>
  <c r="AA2091" i="1"/>
  <c r="Z2091" i="1"/>
  <c r="AD2090" i="1"/>
  <c r="AC2090" i="1"/>
  <c r="AB2090" i="1"/>
  <c r="AA2090" i="1"/>
  <c r="Z2090" i="1"/>
  <c r="AD2089" i="1"/>
  <c r="AC2089" i="1"/>
  <c r="AB2089" i="1"/>
  <c r="AA2089" i="1"/>
  <c r="Z2089" i="1"/>
  <c r="V2089" i="1"/>
  <c r="N2089" i="1"/>
  <c r="O2089" i="1"/>
  <c r="M2089" i="1"/>
  <c r="AD2088" i="1"/>
  <c r="AC2088" i="1"/>
  <c r="AB2088" i="1"/>
  <c r="AA2088" i="1"/>
  <c r="Z2088" i="1"/>
  <c r="V2088" i="1"/>
  <c r="N2088" i="1"/>
  <c r="L2088" i="1"/>
  <c r="K2088" i="1"/>
  <c r="J2088" i="1"/>
  <c r="M2088" i="1"/>
  <c r="AD2087" i="1"/>
  <c r="AC2087" i="1"/>
  <c r="AB2087" i="1"/>
  <c r="AA2087" i="1"/>
  <c r="Z2087" i="1"/>
  <c r="V2087" i="1"/>
  <c r="N2087" i="1"/>
  <c r="J2087" i="1"/>
  <c r="M2087" i="1"/>
  <c r="AD2086" i="1"/>
  <c r="AC2086" i="1"/>
  <c r="AB2086" i="1"/>
  <c r="AA2086" i="1"/>
  <c r="Z2086" i="1"/>
  <c r="AD2085" i="1"/>
  <c r="AC2085" i="1"/>
  <c r="AB2085" i="1"/>
  <c r="AA2085" i="1"/>
  <c r="Z2085" i="1"/>
  <c r="V2085" i="1"/>
  <c r="N2085" i="1"/>
  <c r="R2085" i="1"/>
  <c r="M2085" i="1"/>
  <c r="AD2084" i="1"/>
  <c r="AC2084" i="1"/>
  <c r="AB2084" i="1"/>
  <c r="AA2084" i="1"/>
  <c r="Z2084" i="1"/>
  <c r="V2084" i="1"/>
  <c r="N2084" i="1"/>
  <c r="L2084" i="1"/>
  <c r="K2084" i="1"/>
  <c r="J2084" i="1"/>
  <c r="AD2083" i="1"/>
  <c r="AC2083" i="1"/>
  <c r="AB2083" i="1"/>
  <c r="AA2083" i="1"/>
  <c r="Z2083" i="1"/>
  <c r="AD2082" i="1"/>
  <c r="AC2082" i="1"/>
  <c r="AB2082" i="1"/>
  <c r="AA2082" i="1"/>
  <c r="Z2082" i="1"/>
  <c r="V2082" i="1"/>
  <c r="N2082" i="1"/>
  <c r="P2082" i="1"/>
  <c r="M2082" i="1"/>
  <c r="AD2081" i="1"/>
  <c r="AC2081" i="1"/>
  <c r="AB2081" i="1"/>
  <c r="AA2081" i="1"/>
  <c r="Z2081" i="1"/>
  <c r="V2081" i="1"/>
  <c r="N2081" i="1"/>
  <c r="Q2081" i="1"/>
  <c r="M2081" i="1"/>
  <c r="AD2080" i="1"/>
  <c r="AC2080" i="1"/>
  <c r="AB2080" i="1"/>
  <c r="AA2080" i="1"/>
  <c r="Z2080" i="1"/>
  <c r="V2080" i="1"/>
  <c r="N2080" i="1"/>
  <c r="M2080" i="1"/>
  <c r="AD2079" i="1"/>
  <c r="AC2079" i="1"/>
  <c r="AB2079" i="1"/>
  <c r="AA2079" i="1"/>
  <c r="Z2079" i="1"/>
  <c r="V2079" i="1"/>
  <c r="N2079" i="1"/>
  <c r="O2079" i="1"/>
  <c r="M2079" i="1"/>
  <c r="AD2078" i="1"/>
  <c r="AC2078" i="1"/>
  <c r="AB2078" i="1"/>
  <c r="AA2078" i="1"/>
  <c r="Z2078" i="1"/>
  <c r="V2078" i="1"/>
  <c r="N2078" i="1"/>
  <c r="J2078" i="1"/>
  <c r="M2078" i="1"/>
  <c r="AD2077" i="1"/>
  <c r="AC2077" i="1"/>
  <c r="AB2077" i="1"/>
  <c r="AA2077" i="1"/>
  <c r="Z2077" i="1"/>
  <c r="AD2076" i="1"/>
  <c r="AC2076" i="1"/>
  <c r="AB2076" i="1"/>
  <c r="AA2076" i="1"/>
  <c r="Z2076" i="1"/>
  <c r="AD2075" i="1"/>
  <c r="AC2075" i="1"/>
  <c r="AB2075" i="1"/>
  <c r="AA2075" i="1"/>
  <c r="Z2075" i="1"/>
  <c r="V2075" i="1"/>
  <c r="N2075" i="1"/>
  <c r="AD2074" i="1"/>
  <c r="AC2074" i="1"/>
  <c r="AB2074" i="1"/>
  <c r="AA2074" i="1"/>
  <c r="Z2074" i="1"/>
  <c r="V2074" i="1"/>
  <c r="N2074" i="1"/>
  <c r="O2074" i="1"/>
  <c r="AD2073" i="1"/>
  <c r="AC2073" i="1"/>
  <c r="AB2073" i="1"/>
  <c r="AA2073" i="1"/>
  <c r="Z2073" i="1"/>
  <c r="V2073" i="1"/>
  <c r="N2073" i="1"/>
  <c r="O2073" i="1"/>
  <c r="AD2072" i="1"/>
  <c r="AC2072" i="1"/>
  <c r="AB2072" i="1"/>
  <c r="AA2072" i="1"/>
  <c r="Z2072" i="1"/>
  <c r="V2072" i="1"/>
  <c r="N2072" i="1"/>
  <c r="O2072" i="1"/>
  <c r="AD2071" i="1"/>
  <c r="AC2071" i="1"/>
  <c r="AB2071" i="1"/>
  <c r="AA2071" i="1"/>
  <c r="Z2071" i="1"/>
  <c r="AD2070" i="1"/>
  <c r="AC2070" i="1"/>
  <c r="AB2070" i="1"/>
  <c r="AA2070" i="1"/>
  <c r="Z2070" i="1"/>
  <c r="AD2069" i="1"/>
  <c r="AC2069" i="1"/>
  <c r="AB2069" i="1"/>
  <c r="AA2069" i="1"/>
  <c r="Z2069" i="1"/>
  <c r="V2069" i="1"/>
  <c r="N2069" i="1"/>
  <c r="J2069" i="1"/>
  <c r="M2069" i="1"/>
  <c r="AD2068" i="1"/>
  <c r="AC2068" i="1"/>
  <c r="AB2068" i="1"/>
  <c r="AA2068" i="1"/>
  <c r="Z2068" i="1"/>
  <c r="V2068" i="1"/>
  <c r="N2068" i="1"/>
  <c r="R2068" i="1"/>
  <c r="J2068" i="1"/>
  <c r="M2068" i="1"/>
  <c r="AD2067" i="1"/>
  <c r="AC2067" i="1"/>
  <c r="AB2067" i="1"/>
  <c r="AA2067" i="1"/>
  <c r="Z2067" i="1"/>
  <c r="AD2066" i="1"/>
  <c r="AC2066" i="1"/>
  <c r="AB2066" i="1"/>
  <c r="AA2066" i="1"/>
  <c r="Z2066" i="1"/>
  <c r="V2066" i="1"/>
  <c r="N2066" i="1"/>
  <c r="R2066" i="1"/>
  <c r="J2066" i="1"/>
  <c r="M2066" i="1"/>
  <c r="AD2065" i="1"/>
  <c r="AC2065" i="1"/>
  <c r="AB2065" i="1"/>
  <c r="AA2065" i="1"/>
  <c r="Z2065" i="1"/>
  <c r="V2065" i="1"/>
  <c r="N2065" i="1"/>
  <c r="J2065" i="1"/>
  <c r="M2065" i="1"/>
  <c r="AD2064" i="1"/>
  <c r="AC2064" i="1"/>
  <c r="AB2064" i="1"/>
  <c r="AA2064" i="1"/>
  <c r="Z2064" i="1"/>
  <c r="AD2063" i="1"/>
  <c r="AC2063" i="1"/>
  <c r="AB2063" i="1"/>
  <c r="AA2063" i="1"/>
  <c r="Z2063" i="1"/>
  <c r="V2063" i="1"/>
  <c r="N2063" i="1"/>
  <c r="R2063" i="1"/>
  <c r="K2063" i="1"/>
  <c r="AD2062" i="1"/>
  <c r="AC2062" i="1"/>
  <c r="AB2062" i="1"/>
  <c r="AA2062" i="1"/>
  <c r="Z2062" i="1"/>
  <c r="V2062" i="1"/>
  <c r="N2062" i="1"/>
  <c r="Q2062" i="1"/>
  <c r="J2062" i="1"/>
  <c r="M2062" i="1"/>
  <c r="AD2061" i="1"/>
  <c r="AC2061" i="1"/>
  <c r="AB2061" i="1"/>
  <c r="AA2061" i="1"/>
  <c r="Z2061" i="1"/>
  <c r="V2061" i="1"/>
  <c r="N2061" i="1"/>
  <c r="R2061" i="1"/>
  <c r="J2061" i="1"/>
  <c r="M2061" i="1"/>
  <c r="AD2060" i="1"/>
  <c r="AC2060" i="1"/>
  <c r="AB2060" i="1"/>
  <c r="AA2060" i="1"/>
  <c r="Z2060" i="1"/>
  <c r="V2060" i="1"/>
  <c r="N2060" i="1"/>
  <c r="M2060" i="1"/>
  <c r="AD2059" i="1"/>
  <c r="AC2059" i="1"/>
  <c r="AB2059" i="1"/>
  <c r="AA2059" i="1"/>
  <c r="Z2059" i="1"/>
  <c r="V2059" i="1"/>
  <c r="N2059" i="1"/>
  <c r="L2059" i="1"/>
  <c r="K2059" i="1"/>
  <c r="J2059" i="1"/>
  <c r="AD2058" i="1"/>
  <c r="AC2058" i="1"/>
  <c r="AB2058" i="1"/>
  <c r="AA2058" i="1"/>
  <c r="Z2058" i="1"/>
  <c r="V2058" i="1"/>
  <c r="N2058" i="1"/>
  <c r="L2058" i="1"/>
  <c r="K2058" i="1"/>
  <c r="J2058" i="1"/>
  <c r="AD2057" i="1"/>
  <c r="AC2057" i="1"/>
  <c r="AB2057" i="1"/>
  <c r="AA2057" i="1"/>
  <c r="Z2057" i="1"/>
  <c r="AD2056" i="1"/>
  <c r="AC2056" i="1"/>
  <c r="AB2056" i="1"/>
  <c r="AA2056" i="1"/>
  <c r="Z2056" i="1"/>
  <c r="V2056" i="1"/>
  <c r="N2056" i="1"/>
  <c r="L2056" i="1"/>
  <c r="K2056" i="1"/>
  <c r="AD2055" i="1"/>
  <c r="AC2055" i="1"/>
  <c r="AB2055" i="1"/>
  <c r="AA2055" i="1"/>
  <c r="Z2055" i="1"/>
  <c r="V2055" i="1"/>
  <c r="N2055" i="1"/>
  <c r="L2055" i="1"/>
  <c r="K2055" i="1"/>
  <c r="AD2054" i="1"/>
  <c r="AC2054" i="1"/>
  <c r="AB2054" i="1"/>
  <c r="AA2054" i="1"/>
  <c r="Z2054" i="1"/>
  <c r="V2054" i="1"/>
  <c r="N2054" i="1"/>
  <c r="M2054" i="1"/>
  <c r="AD2053" i="1"/>
  <c r="AC2053" i="1"/>
  <c r="AB2053" i="1"/>
  <c r="AA2053" i="1"/>
  <c r="Z2053" i="1"/>
  <c r="AD2052" i="1"/>
  <c r="AC2052" i="1"/>
  <c r="AB2052" i="1"/>
  <c r="AA2052" i="1"/>
  <c r="Z2052" i="1"/>
  <c r="V2052" i="1"/>
  <c r="N2052" i="1"/>
  <c r="M2052" i="1"/>
  <c r="AD2051" i="1"/>
  <c r="AC2051" i="1"/>
  <c r="AB2051" i="1"/>
  <c r="AA2051" i="1"/>
  <c r="Z2051" i="1"/>
  <c r="V2051" i="1"/>
  <c r="N2051" i="1"/>
  <c r="K2051" i="1"/>
  <c r="J2051" i="1"/>
  <c r="AD2050" i="1"/>
  <c r="AC2050" i="1"/>
  <c r="AB2050" i="1"/>
  <c r="AA2050" i="1"/>
  <c r="Z2050" i="1"/>
  <c r="AD2049" i="1"/>
  <c r="AC2049" i="1"/>
  <c r="AB2049" i="1"/>
  <c r="AA2049" i="1"/>
  <c r="Z2049" i="1"/>
  <c r="AD2048" i="1"/>
  <c r="AC2048" i="1"/>
  <c r="AB2048" i="1"/>
  <c r="AA2048" i="1"/>
  <c r="Z2048" i="1"/>
  <c r="V2048" i="1"/>
  <c r="N2048" i="1"/>
  <c r="M2048" i="1"/>
  <c r="AD2047" i="1"/>
  <c r="AC2047" i="1"/>
  <c r="AB2047" i="1"/>
  <c r="AA2047" i="1"/>
  <c r="Z2047" i="1"/>
  <c r="V2047" i="1"/>
  <c r="N2047" i="1"/>
  <c r="O2047" i="1"/>
  <c r="AD2046" i="1"/>
  <c r="AC2046" i="1"/>
  <c r="AB2046" i="1"/>
  <c r="AA2046" i="1"/>
  <c r="Z2046" i="1"/>
  <c r="V2046" i="1"/>
  <c r="N2046" i="1"/>
  <c r="O2046" i="1"/>
  <c r="AD2045" i="1"/>
  <c r="AC2045" i="1"/>
  <c r="AB2045" i="1"/>
  <c r="AA2045" i="1"/>
  <c r="Z2045" i="1"/>
  <c r="AD2044" i="1"/>
  <c r="AC2044" i="1"/>
  <c r="AB2044" i="1"/>
  <c r="AA2044" i="1"/>
  <c r="Z2044" i="1"/>
  <c r="V2044" i="1"/>
  <c r="N2044" i="1"/>
  <c r="O2044" i="1"/>
  <c r="L2044" i="1"/>
  <c r="M2044" i="1"/>
  <c r="AD2043" i="1"/>
  <c r="AC2043" i="1"/>
  <c r="AB2043" i="1"/>
  <c r="AA2043" i="1"/>
  <c r="Z2043" i="1"/>
  <c r="V2043" i="1"/>
  <c r="N2043" i="1"/>
  <c r="Q2043" i="1"/>
  <c r="L2043" i="1"/>
  <c r="M2043" i="1"/>
  <c r="AD2042" i="1"/>
  <c r="AC2042" i="1"/>
  <c r="AB2042" i="1"/>
  <c r="AA2042" i="1"/>
  <c r="Z2042" i="1"/>
  <c r="V2042" i="1"/>
  <c r="N2042" i="1"/>
  <c r="L2042" i="1"/>
  <c r="M2042" i="1"/>
  <c r="AD2041" i="1"/>
  <c r="AC2041" i="1"/>
  <c r="AB2041" i="1"/>
  <c r="AA2041" i="1"/>
  <c r="Z2041" i="1"/>
  <c r="V2041" i="1"/>
  <c r="N2041" i="1"/>
  <c r="K2041" i="1"/>
  <c r="M2041" i="1"/>
  <c r="AD2040" i="1"/>
  <c r="AC2040" i="1"/>
  <c r="AB2040" i="1"/>
  <c r="AA2040" i="1"/>
  <c r="Z2040" i="1"/>
  <c r="AD2039" i="1"/>
  <c r="AC2039" i="1"/>
  <c r="AB2039" i="1"/>
  <c r="AA2039" i="1"/>
  <c r="Z2039" i="1"/>
  <c r="AD2038" i="1"/>
  <c r="AC2038" i="1"/>
  <c r="AB2038" i="1"/>
  <c r="AA2038" i="1"/>
  <c r="Z2038" i="1"/>
  <c r="V2038" i="1"/>
  <c r="N2038" i="1"/>
  <c r="M2038" i="1"/>
  <c r="AD2037" i="1"/>
  <c r="AC2037" i="1"/>
  <c r="AB2037" i="1"/>
  <c r="AA2037" i="1"/>
  <c r="Z2037" i="1"/>
  <c r="V2037" i="1"/>
  <c r="N2037" i="1"/>
  <c r="M2037" i="1"/>
  <c r="AD2036" i="1"/>
  <c r="AC2036" i="1"/>
  <c r="AB2036" i="1"/>
  <c r="AA2036" i="1"/>
  <c r="Z2036" i="1"/>
  <c r="AD2035" i="1"/>
  <c r="AC2035" i="1"/>
  <c r="AB2035" i="1"/>
  <c r="AA2035" i="1"/>
  <c r="Z2035" i="1"/>
  <c r="V2035" i="1"/>
  <c r="N2035" i="1"/>
  <c r="M2035" i="1"/>
  <c r="AD2034" i="1"/>
  <c r="AC2034" i="1"/>
  <c r="AB2034" i="1"/>
  <c r="AA2034" i="1"/>
  <c r="Z2034" i="1"/>
  <c r="V2034" i="1"/>
  <c r="N2034" i="1"/>
  <c r="M2034" i="1"/>
  <c r="AD2033" i="1"/>
  <c r="AC2033" i="1"/>
  <c r="AB2033" i="1"/>
  <c r="AA2033" i="1"/>
  <c r="Z2033" i="1"/>
  <c r="V2033" i="1"/>
  <c r="N2033" i="1"/>
  <c r="J2033" i="1"/>
  <c r="P2033" i="1"/>
  <c r="M2033" i="1"/>
  <c r="AD2032" i="1"/>
  <c r="AC2032" i="1"/>
  <c r="AB2032" i="1"/>
  <c r="AA2032" i="1"/>
  <c r="Z2032" i="1"/>
  <c r="AD2031" i="1"/>
  <c r="AC2031" i="1"/>
  <c r="AB2031" i="1"/>
  <c r="AA2031" i="1"/>
  <c r="Z2031" i="1"/>
  <c r="AD2030" i="1"/>
  <c r="AC2030" i="1"/>
  <c r="AB2030" i="1"/>
  <c r="AA2030" i="1"/>
  <c r="Z2030" i="1"/>
  <c r="V2030" i="1"/>
  <c r="N2030" i="1"/>
  <c r="L2030" i="1"/>
  <c r="M2030" i="1"/>
  <c r="AD2029" i="1"/>
  <c r="AC2029" i="1"/>
  <c r="AB2029" i="1"/>
  <c r="AA2029" i="1"/>
  <c r="Z2029" i="1"/>
  <c r="V2029" i="1"/>
  <c r="N2029" i="1"/>
  <c r="L2029" i="1"/>
  <c r="M2029" i="1"/>
  <c r="AD2028" i="1"/>
  <c r="AC2028" i="1"/>
  <c r="AB2028" i="1"/>
  <c r="AA2028" i="1"/>
  <c r="Z2028" i="1"/>
  <c r="V2028" i="1"/>
  <c r="N2028" i="1"/>
  <c r="M2028" i="1"/>
  <c r="AD2027" i="1"/>
  <c r="AC2027" i="1"/>
  <c r="AB2027" i="1"/>
  <c r="AA2027" i="1"/>
  <c r="Z2027" i="1"/>
  <c r="V2027" i="1"/>
  <c r="N2027" i="1"/>
  <c r="K2027" i="1"/>
  <c r="M2027" i="1"/>
  <c r="AD2026" i="1"/>
  <c r="AC2026" i="1"/>
  <c r="AB2026" i="1"/>
  <c r="AA2026" i="1"/>
  <c r="Z2026" i="1"/>
  <c r="V2026" i="1"/>
  <c r="N2026" i="1"/>
  <c r="R2026" i="1"/>
  <c r="K2026" i="1"/>
  <c r="M2026" i="1"/>
  <c r="AD2025" i="1"/>
  <c r="AC2025" i="1"/>
  <c r="AB2025" i="1"/>
  <c r="AA2025" i="1"/>
  <c r="Z2025" i="1"/>
  <c r="V2025" i="1"/>
  <c r="N2025" i="1"/>
  <c r="J2025" i="1"/>
  <c r="M2025" i="1"/>
  <c r="AD2024" i="1"/>
  <c r="AC2024" i="1"/>
  <c r="AB2024" i="1"/>
  <c r="AA2024" i="1"/>
  <c r="Z2024" i="1"/>
  <c r="V2024" i="1"/>
  <c r="N2024" i="1"/>
  <c r="R2024" i="1"/>
  <c r="J2024" i="1"/>
  <c r="M2024" i="1"/>
  <c r="AD2023" i="1"/>
  <c r="AC2023" i="1"/>
  <c r="AB2023" i="1"/>
  <c r="AA2023" i="1"/>
  <c r="Z2023" i="1"/>
  <c r="V2023" i="1"/>
  <c r="N2023" i="1"/>
  <c r="O2023" i="1"/>
  <c r="M2023" i="1"/>
  <c r="AD2022" i="1"/>
  <c r="AC2022" i="1"/>
  <c r="AB2022" i="1"/>
  <c r="AA2022" i="1"/>
  <c r="Z2022" i="1"/>
  <c r="AD2021" i="1"/>
  <c r="AC2021" i="1"/>
  <c r="AB2021" i="1"/>
  <c r="AA2021" i="1"/>
  <c r="Z2021" i="1"/>
  <c r="AD2020" i="1"/>
  <c r="AC2020" i="1"/>
  <c r="AB2020" i="1"/>
  <c r="AA2020" i="1"/>
  <c r="Z2020" i="1"/>
  <c r="V2020" i="1"/>
  <c r="N2020" i="1"/>
  <c r="P2020" i="1"/>
  <c r="L2020" i="1"/>
  <c r="M2020" i="1"/>
  <c r="AD2019" i="1"/>
  <c r="AC2019" i="1"/>
  <c r="AB2019" i="1"/>
  <c r="AA2019" i="1"/>
  <c r="Z2019" i="1"/>
  <c r="V2019" i="1"/>
  <c r="N2019" i="1"/>
  <c r="L2019" i="1"/>
  <c r="K2019" i="1"/>
  <c r="AD2018" i="1"/>
  <c r="AC2018" i="1"/>
  <c r="AB2018" i="1"/>
  <c r="AA2018" i="1"/>
  <c r="Z2018" i="1"/>
  <c r="V2018" i="1"/>
  <c r="N2018" i="1"/>
  <c r="O2018" i="1"/>
  <c r="L2018" i="1"/>
  <c r="M2018" i="1"/>
  <c r="AD2017" i="1"/>
  <c r="AC2017" i="1"/>
  <c r="AB2017" i="1"/>
  <c r="AA2017" i="1"/>
  <c r="Z2017" i="1"/>
  <c r="V2017" i="1"/>
  <c r="N2017" i="1"/>
  <c r="Q2017" i="1"/>
  <c r="L2017" i="1"/>
  <c r="M2017" i="1"/>
  <c r="AD2016" i="1"/>
  <c r="AC2016" i="1"/>
  <c r="AB2016" i="1"/>
  <c r="AA2016" i="1"/>
  <c r="Z2016" i="1"/>
  <c r="AD2015" i="1"/>
  <c r="AC2015" i="1"/>
  <c r="AB2015" i="1"/>
  <c r="AA2015" i="1"/>
  <c r="Z2015" i="1"/>
  <c r="V2015" i="1"/>
  <c r="N2015" i="1"/>
  <c r="M2015" i="1"/>
  <c r="AD2014" i="1"/>
  <c r="AC2014" i="1"/>
  <c r="AB2014" i="1"/>
  <c r="AA2014" i="1"/>
  <c r="Z2014" i="1"/>
  <c r="V2014" i="1"/>
  <c r="N2014" i="1"/>
  <c r="M2014" i="1"/>
  <c r="AD2013" i="1"/>
  <c r="AC2013" i="1"/>
  <c r="AB2013" i="1"/>
  <c r="AA2013" i="1"/>
  <c r="Z2013" i="1"/>
  <c r="V2013" i="1"/>
  <c r="N2013" i="1"/>
  <c r="P2013" i="1"/>
  <c r="AD2012" i="1"/>
  <c r="AC2012" i="1"/>
  <c r="AB2012" i="1"/>
  <c r="AA2012" i="1"/>
  <c r="Z2012" i="1"/>
  <c r="V2012" i="1"/>
  <c r="N2012" i="1"/>
  <c r="O2012" i="1"/>
  <c r="J2012" i="1"/>
  <c r="M2012" i="1"/>
  <c r="AD2011" i="1"/>
  <c r="AC2011" i="1"/>
  <c r="AB2011" i="1"/>
  <c r="AA2011" i="1"/>
  <c r="Z2011" i="1"/>
  <c r="AD2010" i="1"/>
  <c r="AC2010" i="1"/>
  <c r="AB2010" i="1"/>
  <c r="AA2010" i="1"/>
  <c r="Z2010" i="1"/>
  <c r="AD2009" i="1"/>
  <c r="AC2009" i="1"/>
  <c r="AB2009" i="1"/>
  <c r="AA2009" i="1"/>
  <c r="Z2009" i="1"/>
  <c r="AD2008" i="1"/>
  <c r="AC2008" i="1"/>
  <c r="AB2008" i="1"/>
  <c r="AA2008" i="1"/>
  <c r="Z2008" i="1"/>
  <c r="V2008" i="1"/>
  <c r="N2008" i="1"/>
  <c r="L2008" i="1"/>
  <c r="K2008" i="1"/>
  <c r="J2008" i="1"/>
  <c r="AD2007" i="1"/>
  <c r="AC2007" i="1"/>
  <c r="AB2007" i="1"/>
  <c r="AA2007" i="1"/>
  <c r="Z2007" i="1"/>
  <c r="V2007" i="1"/>
  <c r="N2007" i="1"/>
  <c r="P2007" i="1"/>
  <c r="M2007" i="1"/>
  <c r="AD2006" i="1"/>
  <c r="AC2006" i="1"/>
  <c r="AB2006" i="1"/>
  <c r="AA2006" i="1"/>
  <c r="Z2006" i="1"/>
  <c r="V2006" i="1"/>
  <c r="N2006" i="1"/>
  <c r="M2006" i="1"/>
  <c r="AD2005" i="1"/>
  <c r="AC2005" i="1"/>
  <c r="AB2005" i="1"/>
  <c r="AA2005" i="1"/>
  <c r="Z2005" i="1"/>
  <c r="V2005" i="1"/>
  <c r="N2005" i="1"/>
  <c r="L2005" i="1"/>
  <c r="K2005" i="1"/>
  <c r="J2005" i="1"/>
  <c r="AD2004" i="1"/>
  <c r="AC2004" i="1"/>
  <c r="AB2004" i="1"/>
  <c r="AA2004" i="1"/>
  <c r="Z2004" i="1"/>
  <c r="V2004" i="1"/>
  <c r="N2004" i="1"/>
  <c r="K2004" i="1"/>
  <c r="Q2004" i="1"/>
  <c r="L2004" i="1"/>
  <c r="J2004" i="1"/>
  <c r="AD2003" i="1"/>
  <c r="AC2003" i="1"/>
  <c r="AB2003" i="1"/>
  <c r="AA2003" i="1"/>
  <c r="Z2003" i="1"/>
  <c r="V2003" i="1"/>
  <c r="N2003" i="1"/>
  <c r="L2003" i="1"/>
  <c r="L2001" i="1"/>
  <c r="K2003" i="1"/>
  <c r="K2001" i="1"/>
  <c r="J2003" i="1"/>
  <c r="AD2002" i="1"/>
  <c r="AC2002" i="1"/>
  <c r="AB2002" i="1"/>
  <c r="AA2002" i="1"/>
  <c r="Z2002" i="1"/>
  <c r="V2002" i="1"/>
  <c r="N2002" i="1"/>
  <c r="Q2002" i="1"/>
  <c r="M2002" i="1"/>
  <c r="AD2001" i="1"/>
  <c r="AC2001" i="1"/>
  <c r="AB2001" i="1"/>
  <c r="AA2001" i="1"/>
  <c r="Z2001" i="1"/>
  <c r="V2001" i="1"/>
  <c r="N2001" i="1"/>
  <c r="AD2000" i="1"/>
  <c r="AC2000" i="1"/>
  <c r="AB2000" i="1"/>
  <c r="AA2000" i="1"/>
  <c r="Z2000" i="1"/>
  <c r="V2000" i="1"/>
  <c r="N2000" i="1"/>
  <c r="AD1999" i="1"/>
  <c r="AC1999" i="1"/>
  <c r="AB1999" i="1"/>
  <c r="AA1999" i="1"/>
  <c r="Z1999" i="1"/>
  <c r="V1999" i="1"/>
  <c r="N1999" i="1"/>
  <c r="L1999" i="1"/>
  <c r="J1999" i="1"/>
  <c r="AD1998" i="1"/>
  <c r="AC1998" i="1"/>
  <c r="AB1998" i="1"/>
  <c r="AA1998" i="1"/>
  <c r="Z1998" i="1"/>
  <c r="AD1997" i="1"/>
  <c r="AC1997" i="1"/>
  <c r="AB1997" i="1"/>
  <c r="AA1997" i="1"/>
  <c r="Z1997" i="1"/>
  <c r="V1997" i="1"/>
  <c r="N1997" i="1"/>
  <c r="L1997" i="1"/>
  <c r="K1997" i="1"/>
  <c r="J1997" i="1"/>
  <c r="AD1996" i="1"/>
  <c r="AC1996" i="1"/>
  <c r="AB1996" i="1"/>
  <c r="AA1996" i="1"/>
  <c r="Z1996" i="1"/>
  <c r="V1996" i="1"/>
  <c r="N1996" i="1"/>
  <c r="M1996" i="1"/>
  <c r="AD1995" i="1"/>
  <c r="AC1995" i="1"/>
  <c r="AB1995" i="1"/>
  <c r="AA1995" i="1"/>
  <c r="Z1995" i="1"/>
  <c r="V1995" i="1"/>
  <c r="N1995" i="1"/>
  <c r="J1995" i="1"/>
  <c r="M1995" i="1"/>
  <c r="AD1994" i="1"/>
  <c r="AC1994" i="1"/>
  <c r="AB1994" i="1"/>
  <c r="AA1994" i="1"/>
  <c r="Z1994" i="1"/>
  <c r="V1994" i="1"/>
  <c r="N1994" i="1"/>
  <c r="O1994" i="1"/>
  <c r="K1994" i="1"/>
  <c r="M1994" i="1"/>
  <c r="AD1993" i="1"/>
  <c r="AC1993" i="1"/>
  <c r="AB1993" i="1"/>
  <c r="AA1993" i="1"/>
  <c r="Z1993" i="1"/>
  <c r="V1993" i="1"/>
  <c r="N1993" i="1"/>
  <c r="K1993" i="1"/>
  <c r="M1993" i="1"/>
  <c r="AD1992" i="1"/>
  <c r="AC1992" i="1"/>
  <c r="AB1992" i="1"/>
  <c r="AA1992" i="1"/>
  <c r="Z1992" i="1"/>
  <c r="V1992" i="1"/>
  <c r="N1992" i="1"/>
  <c r="O1992" i="1"/>
  <c r="K1992" i="1"/>
  <c r="M1992" i="1"/>
  <c r="AD1991" i="1"/>
  <c r="AC1991" i="1"/>
  <c r="AB1991" i="1"/>
  <c r="AA1991" i="1"/>
  <c r="Z1991" i="1"/>
  <c r="V1991" i="1"/>
  <c r="N1991" i="1"/>
  <c r="K1991" i="1"/>
  <c r="M1991" i="1"/>
  <c r="AD1990" i="1"/>
  <c r="AC1990" i="1"/>
  <c r="AB1990" i="1"/>
  <c r="AA1990" i="1"/>
  <c r="Z1990" i="1"/>
  <c r="V1990" i="1"/>
  <c r="N1990" i="1"/>
  <c r="O1990" i="1"/>
  <c r="L1990" i="1"/>
  <c r="J1990" i="1"/>
  <c r="AD1989" i="1"/>
  <c r="AC1989" i="1"/>
  <c r="AB1989" i="1"/>
  <c r="AA1989" i="1"/>
  <c r="Z1989" i="1"/>
  <c r="V1989" i="1"/>
  <c r="N1989" i="1"/>
  <c r="L1989" i="1"/>
  <c r="K1989" i="1"/>
  <c r="J1989" i="1"/>
  <c r="AD1988" i="1"/>
  <c r="AC1988" i="1"/>
  <c r="AB1988" i="1"/>
  <c r="AA1988" i="1"/>
  <c r="Z1988" i="1"/>
  <c r="V1988" i="1"/>
  <c r="N1988" i="1"/>
  <c r="L1988" i="1"/>
  <c r="K1988" i="1"/>
  <c r="J1988" i="1"/>
  <c r="AD1987" i="1"/>
  <c r="AC1987" i="1"/>
  <c r="AB1987" i="1"/>
  <c r="AA1987" i="1"/>
  <c r="Z1987" i="1"/>
  <c r="AD1986" i="1"/>
  <c r="AC1986" i="1"/>
  <c r="AB1986" i="1"/>
  <c r="AA1986" i="1"/>
  <c r="Z1986" i="1"/>
  <c r="AD1985" i="1"/>
  <c r="AC1985" i="1"/>
  <c r="AB1985" i="1"/>
  <c r="AA1985" i="1"/>
  <c r="Z1985" i="1"/>
  <c r="AD1984" i="1"/>
  <c r="AC1984" i="1"/>
  <c r="AB1984" i="1"/>
  <c r="AA1984" i="1"/>
  <c r="Z1984" i="1"/>
  <c r="V1984" i="1"/>
  <c r="N1984" i="1"/>
  <c r="R1984" i="1"/>
  <c r="K1984" i="1"/>
  <c r="AD1983" i="1"/>
  <c r="AC1983" i="1"/>
  <c r="AB1983" i="1"/>
  <c r="AA1983" i="1"/>
  <c r="Z1983" i="1"/>
  <c r="V1983" i="1"/>
  <c r="N1983" i="1"/>
  <c r="O1983" i="1"/>
  <c r="K1983" i="1"/>
  <c r="M1983" i="1"/>
  <c r="AD1982" i="1"/>
  <c r="AC1982" i="1"/>
  <c r="AB1982" i="1"/>
  <c r="AA1982" i="1"/>
  <c r="Z1982" i="1"/>
  <c r="V1982" i="1"/>
  <c r="N1982" i="1"/>
  <c r="K1982" i="1"/>
  <c r="M1982" i="1"/>
  <c r="AD1981" i="1"/>
  <c r="AC1981" i="1"/>
  <c r="AB1981" i="1"/>
  <c r="AA1981" i="1"/>
  <c r="Z1981" i="1"/>
  <c r="V1981" i="1"/>
  <c r="N1981" i="1"/>
  <c r="O1981" i="1"/>
  <c r="K1981" i="1"/>
  <c r="M1981" i="1"/>
  <c r="AD1980" i="1"/>
  <c r="AC1980" i="1"/>
  <c r="AB1980" i="1"/>
  <c r="AA1980" i="1"/>
  <c r="Z1980" i="1"/>
  <c r="V1980" i="1"/>
  <c r="N1980" i="1"/>
  <c r="K1980" i="1"/>
  <c r="M1980" i="1"/>
  <c r="AD1979" i="1"/>
  <c r="AC1979" i="1"/>
  <c r="AB1979" i="1"/>
  <c r="AA1979" i="1"/>
  <c r="Z1979" i="1"/>
  <c r="V1979" i="1"/>
  <c r="N1979" i="1"/>
  <c r="O1979" i="1"/>
  <c r="J1979" i="1"/>
  <c r="M1979" i="1"/>
  <c r="AD1978" i="1"/>
  <c r="AC1978" i="1"/>
  <c r="AB1978" i="1"/>
  <c r="AA1978" i="1"/>
  <c r="Z1978" i="1"/>
  <c r="AD1977" i="1"/>
  <c r="AC1977" i="1"/>
  <c r="AB1977" i="1"/>
  <c r="AA1977" i="1"/>
  <c r="Z1977" i="1"/>
  <c r="V1977" i="1"/>
  <c r="N1977" i="1"/>
  <c r="R1977" i="1"/>
  <c r="K1977" i="1"/>
  <c r="M1977" i="1"/>
  <c r="AD1976" i="1"/>
  <c r="AC1976" i="1"/>
  <c r="AB1976" i="1"/>
  <c r="AA1976" i="1"/>
  <c r="Z1976" i="1"/>
  <c r="V1976" i="1"/>
  <c r="N1976" i="1"/>
  <c r="R1976" i="1"/>
  <c r="J1976" i="1"/>
  <c r="M1976" i="1"/>
  <c r="AD1975" i="1"/>
  <c r="AC1975" i="1"/>
  <c r="AB1975" i="1"/>
  <c r="AA1975" i="1"/>
  <c r="Z1975" i="1"/>
  <c r="V1975" i="1"/>
  <c r="N1975" i="1"/>
  <c r="M1975" i="1"/>
  <c r="AD1974" i="1"/>
  <c r="AC1974" i="1"/>
  <c r="AB1974" i="1"/>
  <c r="AA1974" i="1"/>
  <c r="Z1974" i="1"/>
  <c r="AD1973" i="1"/>
  <c r="AC1973" i="1"/>
  <c r="AB1973" i="1"/>
  <c r="AA1973" i="1"/>
  <c r="Z1973" i="1"/>
  <c r="AD1972" i="1"/>
  <c r="AC1972" i="1"/>
  <c r="AB1972" i="1"/>
  <c r="AA1972" i="1"/>
  <c r="Z1972" i="1"/>
  <c r="V1972" i="1"/>
  <c r="N1972" i="1"/>
  <c r="K1972" i="1"/>
  <c r="M1972" i="1"/>
  <c r="AD1971" i="1"/>
  <c r="AC1971" i="1"/>
  <c r="AB1971" i="1"/>
  <c r="AA1971" i="1"/>
  <c r="Z1971" i="1"/>
  <c r="V1971" i="1"/>
  <c r="N1971" i="1"/>
  <c r="L1971" i="1"/>
  <c r="J1971" i="1"/>
  <c r="AD1970" i="1"/>
  <c r="AC1970" i="1"/>
  <c r="AB1970" i="1"/>
  <c r="AA1970" i="1"/>
  <c r="Z1970" i="1"/>
  <c r="V1970" i="1"/>
  <c r="N1970" i="1"/>
  <c r="K1970" i="1"/>
  <c r="M1970" i="1"/>
  <c r="AD1969" i="1"/>
  <c r="AC1969" i="1"/>
  <c r="AB1969" i="1"/>
  <c r="AA1969" i="1"/>
  <c r="Z1969" i="1"/>
  <c r="AD1968" i="1"/>
  <c r="AC1968" i="1"/>
  <c r="AB1968" i="1"/>
  <c r="AA1968" i="1"/>
  <c r="Z1968" i="1"/>
  <c r="V1968" i="1"/>
  <c r="N1968" i="1"/>
  <c r="M1968" i="1"/>
  <c r="AD1967" i="1"/>
  <c r="AC1967" i="1"/>
  <c r="AB1967" i="1"/>
  <c r="AA1967" i="1"/>
  <c r="Z1967" i="1"/>
  <c r="V1967" i="1"/>
  <c r="N1967" i="1"/>
  <c r="R1967" i="1"/>
  <c r="J1967" i="1"/>
  <c r="M1967" i="1"/>
  <c r="AD1966" i="1"/>
  <c r="AC1966" i="1"/>
  <c r="AB1966" i="1"/>
  <c r="AA1966" i="1"/>
  <c r="Z1966" i="1"/>
  <c r="V1966" i="1"/>
  <c r="N1966" i="1"/>
  <c r="J1966" i="1"/>
  <c r="M1966" i="1"/>
  <c r="AD1965" i="1"/>
  <c r="AC1965" i="1"/>
  <c r="AB1965" i="1"/>
  <c r="AA1965" i="1"/>
  <c r="Z1965" i="1"/>
  <c r="V1965" i="1"/>
  <c r="N1965" i="1"/>
  <c r="M1965" i="1"/>
  <c r="AD1964" i="1"/>
  <c r="AC1964" i="1"/>
  <c r="AB1964" i="1"/>
  <c r="AA1964" i="1"/>
  <c r="Z1964" i="1"/>
  <c r="AD1963" i="1"/>
  <c r="AC1963" i="1"/>
  <c r="AB1963" i="1"/>
  <c r="AA1963" i="1"/>
  <c r="Z1963" i="1"/>
  <c r="V1963" i="1"/>
  <c r="N1963" i="1"/>
  <c r="M1963" i="1"/>
  <c r="AD1962" i="1"/>
  <c r="AC1962" i="1"/>
  <c r="AB1962" i="1"/>
  <c r="AA1962" i="1"/>
  <c r="Z1962" i="1"/>
  <c r="V1962" i="1"/>
  <c r="N1962" i="1"/>
  <c r="K1962" i="1"/>
  <c r="Q1962" i="1"/>
  <c r="L1962" i="1"/>
  <c r="J1962" i="1"/>
  <c r="AD1961" i="1"/>
  <c r="AC1961" i="1"/>
  <c r="AB1961" i="1"/>
  <c r="AA1961" i="1"/>
  <c r="Z1961" i="1"/>
  <c r="AD1960" i="1"/>
  <c r="AC1960" i="1"/>
  <c r="AB1960" i="1"/>
  <c r="AA1960" i="1"/>
  <c r="Z1960" i="1"/>
  <c r="V1960" i="1"/>
  <c r="N1960" i="1"/>
  <c r="L1960" i="1"/>
  <c r="K1960" i="1"/>
  <c r="J1960" i="1"/>
  <c r="AD1959" i="1"/>
  <c r="AC1959" i="1"/>
  <c r="AB1959" i="1"/>
  <c r="AA1959" i="1"/>
  <c r="Z1959" i="1"/>
  <c r="V1959" i="1"/>
  <c r="N1959" i="1"/>
  <c r="L1959" i="1"/>
  <c r="J1959" i="1"/>
  <c r="M1959" i="1"/>
  <c r="AD1958" i="1"/>
  <c r="AC1958" i="1"/>
  <c r="AB1958" i="1"/>
  <c r="AA1958" i="1"/>
  <c r="Z1958" i="1"/>
  <c r="V1958" i="1"/>
  <c r="N1958" i="1"/>
  <c r="Q1958" i="1"/>
  <c r="L1958" i="1"/>
  <c r="J1958" i="1"/>
  <c r="AD1957" i="1"/>
  <c r="AC1957" i="1"/>
  <c r="AB1957" i="1"/>
  <c r="AA1957" i="1"/>
  <c r="Z1957" i="1"/>
  <c r="V1957" i="1"/>
  <c r="N1957" i="1"/>
  <c r="L1957" i="1"/>
  <c r="K1957" i="1"/>
  <c r="J1957" i="1"/>
  <c r="AD1956" i="1"/>
  <c r="AC1956" i="1"/>
  <c r="AB1956" i="1"/>
  <c r="AA1956" i="1"/>
  <c r="Z1956" i="1"/>
  <c r="V1956" i="1"/>
  <c r="N1956" i="1"/>
  <c r="M1956" i="1"/>
  <c r="AD1955" i="1"/>
  <c r="AC1955" i="1"/>
  <c r="AB1955" i="1"/>
  <c r="AA1955" i="1"/>
  <c r="Z1955" i="1"/>
  <c r="V1955" i="1"/>
  <c r="N1955" i="1"/>
  <c r="M1955" i="1"/>
  <c r="AD1954" i="1"/>
  <c r="AC1954" i="1"/>
  <c r="AB1954" i="1"/>
  <c r="AA1954" i="1"/>
  <c r="Z1954" i="1"/>
  <c r="AD1953" i="1"/>
  <c r="AC1953" i="1"/>
  <c r="AB1953" i="1"/>
  <c r="AA1953" i="1"/>
  <c r="Z1953" i="1"/>
  <c r="AD1952" i="1"/>
  <c r="AC1952" i="1"/>
  <c r="AB1952" i="1"/>
  <c r="AA1952" i="1"/>
  <c r="Z1952" i="1"/>
  <c r="AD1951" i="1"/>
  <c r="AC1951" i="1"/>
  <c r="AB1951" i="1"/>
  <c r="AA1951" i="1"/>
  <c r="Z1951" i="1"/>
  <c r="AD1950" i="1"/>
  <c r="AC1950" i="1"/>
  <c r="AB1950" i="1"/>
  <c r="AA1950" i="1"/>
  <c r="Z1950" i="1"/>
  <c r="V1950" i="1"/>
  <c r="N1950" i="1"/>
  <c r="M1950" i="1"/>
  <c r="AD1949" i="1"/>
  <c r="AC1949" i="1"/>
  <c r="AB1949" i="1"/>
  <c r="AA1949" i="1"/>
  <c r="Z1949" i="1"/>
  <c r="V1949" i="1"/>
  <c r="N1949" i="1"/>
  <c r="M1949" i="1"/>
  <c r="AD1948" i="1"/>
  <c r="AC1948" i="1"/>
  <c r="AB1948" i="1"/>
  <c r="AA1948" i="1"/>
  <c r="Z1948" i="1"/>
  <c r="AD1947" i="1"/>
  <c r="AC1947" i="1"/>
  <c r="AB1947" i="1"/>
  <c r="AA1947" i="1"/>
  <c r="Z1947" i="1"/>
  <c r="V1947" i="1"/>
  <c r="N1947" i="1"/>
  <c r="M1947" i="1"/>
  <c r="AD1946" i="1"/>
  <c r="AC1946" i="1"/>
  <c r="AB1946" i="1"/>
  <c r="AA1946" i="1"/>
  <c r="Z1946" i="1"/>
  <c r="AD1945" i="1"/>
  <c r="AC1945" i="1"/>
  <c r="AB1945" i="1"/>
  <c r="AA1945" i="1"/>
  <c r="Z1945" i="1"/>
  <c r="V1945" i="1"/>
  <c r="N1945" i="1"/>
  <c r="R1945" i="1"/>
  <c r="J1945" i="1"/>
  <c r="M1945" i="1"/>
  <c r="AD1944" i="1"/>
  <c r="AC1944" i="1"/>
  <c r="AB1944" i="1"/>
  <c r="AA1944" i="1"/>
  <c r="Z1944" i="1"/>
  <c r="V1944" i="1"/>
  <c r="N1944" i="1"/>
  <c r="J1944" i="1"/>
  <c r="M1944" i="1"/>
  <c r="AD1943" i="1"/>
  <c r="AC1943" i="1"/>
  <c r="AB1943" i="1"/>
  <c r="AA1943" i="1"/>
  <c r="Z1943" i="1"/>
  <c r="V1943" i="1"/>
  <c r="N1943" i="1"/>
  <c r="J1943" i="1"/>
  <c r="M1943" i="1"/>
  <c r="AD1942" i="1"/>
  <c r="AC1942" i="1"/>
  <c r="AB1942" i="1"/>
  <c r="AA1942" i="1"/>
  <c r="Z1942" i="1"/>
  <c r="V1942" i="1"/>
  <c r="N1942" i="1"/>
  <c r="AD1941" i="1"/>
  <c r="AC1941" i="1"/>
  <c r="AB1941" i="1"/>
  <c r="AA1941" i="1"/>
  <c r="Z1941" i="1"/>
  <c r="AD1940" i="1"/>
  <c r="AC1940" i="1"/>
  <c r="AB1940" i="1"/>
  <c r="AA1940" i="1"/>
  <c r="Z1940" i="1"/>
  <c r="AD1939" i="1"/>
  <c r="AC1939" i="1"/>
  <c r="AB1939" i="1"/>
  <c r="AA1939" i="1"/>
  <c r="Z1939" i="1"/>
  <c r="V1939" i="1"/>
  <c r="N1939" i="1"/>
  <c r="M1939" i="1"/>
  <c r="AD1938" i="1"/>
  <c r="AC1938" i="1"/>
  <c r="AB1938" i="1"/>
  <c r="AA1938" i="1"/>
  <c r="Z1938" i="1"/>
  <c r="V1938" i="1"/>
  <c r="N1938" i="1"/>
  <c r="L1938" i="1"/>
  <c r="K1938" i="1"/>
  <c r="J1938" i="1"/>
  <c r="AD1937" i="1"/>
  <c r="AC1937" i="1"/>
  <c r="AB1937" i="1"/>
  <c r="AA1937" i="1"/>
  <c r="Z1937" i="1"/>
  <c r="AD1936" i="1"/>
  <c r="AC1936" i="1"/>
  <c r="AB1936" i="1"/>
  <c r="AA1936" i="1"/>
  <c r="Z1936" i="1"/>
  <c r="V1936" i="1"/>
  <c r="N1936" i="1"/>
  <c r="M1936" i="1"/>
  <c r="AD1935" i="1"/>
  <c r="AC1935" i="1"/>
  <c r="AB1935" i="1"/>
  <c r="AA1935" i="1"/>
  <c r="Z1935" i="1"/>
  <c r="V1935" i="1"/>
  <c r="N1935" i="1"/>
  <c r="L1935" i="1"/>
  <c r="K1935" i="1"/>
  <c r="J1935" i="1"/>
  <c r="AD1934" i="1"/>
  <c r="AC1934" i="1"/>
  <c r="AB1934" i="1"/>
  <c r="AA1934" i="1"/>
  <c r="Z1934" i="1"/>
  <c r="V1934" i="1"/>
  <c r="N1934" i="1"/>
  <c r="M1934" i="1"/>
  <c r="AD1933" i="1"/>
  <c r="AC1933" i="1"/>
  <c r="AB1933" i="1"/>
  <c r="AA1933" i="1"/>
  <c r="Z1933" i="1"/>
  <c r="V1933" i="1"/>
  <c r="N1933" i="1"/>
  <c r="M1933" i="1"/>
  <c r="AD1932" i="1"/>
  <c r="AC1932" i="1"/>
  <c r="AB1932" i="1"/>
  <c r="AA1932" i="1"/>
  <c r="Z1932" i="1"/>
  <c r="V1932" i="1"/>
  <c r="N1932" i="1"/>
  <c r="M1932" i="1"/>
  <c r="AD1931" i="1"/>
  <c r="AC1931" i="1"/>
  <c r="AB1931" i="1"/>
  <c r="AA1931" i="1"/>
  <c r="Z1931" i="1"/>
  <c r="V1931" i="1"/>
  <c r="N1931" i="1"/>
  <c r="M1931" i="1"/>
  <c r="AD1930" i="1"/>
  <c r="AC1930" i="1"/>
  <c r="AB1930" i="1"/>
  <c r="AA1930" i="1"/>
  <c r="Z1930" i="1"/>
  <c r="V1930" i="1"/>
  <c r="N1930" i="1"/>
  <c r="M1930" i="1"/>
  <c r="AD1929" i="1"/>
  <c r="AC1929" i="1"/>
  <c r="AB1929" i="1"/>
  <c r="AA1929" i="1"/>
  <c r="Z1929" i="1"/>
  <c r="V1929" i="1"/>
  <c r="N1929" i="1"/>
  <c r="J1929" i="1"/>
  <c r="M1929" i="1"/>
  <c r="AD1928" i="1"/>
  <c r="AC1928" i="1"/>
  <c r="AB1928" i="1"/>
  <c r="AA1928" i="1"/>
  <c r="Z1928" i="1"/>
  <c r="AD1927" i="1"/>
  <c r="AC1927" i="1"/>
  <c r="AB1927" i="1"/>
  <c r="AA1927" i="1"/>
  <c r="Z1927" i="1"/>
  <c r="AD1926" i="1"/>
  <c r="AC1926" i="1"/>
  <c r="AB1926" i="1"/>
  <c r="AA1926" i="1"/>
  <c r="Z1926" i="1"/>
  <c r="V1926" i="1"/>
  <c r="N1926" i="1"/>
  <c r="Q1926" i="1"/>
  <c r="M1926" i="1"/>
  <c r="AD1925" i="1"/>
  <c r="AC1925" i="1"/>
  <c r="AB1925" i="1"/>
  <c r="AA1925" i="1"/>
  <c r="Z1925" i="1"/>
  <c r="V1925" i="1"/>
  <c r="N1925" i="1"/>
  <c r="R1925" i="1"/>
  <c r="M1925" i="1"/>
  <c r="AD1924" i="1"/>
  <c r="AC1924" i="1"/>
  <c r="AB1924" i="1"/>
  <c r="AA1924" i="1"/>
  <c r="Z1924" i="1"/>
  <c r="V1924" i="1"/>
  <c r="N1924" i="1"/>
  <c r="R1924" i="1"/>
  <c r="M1924" i="1"/>
  <c r="AD1923" i="1"/>
  <c r="AC1923" i="1"/>
  <c r="AB1923" i="1"/>
  <c r="AA1923" i="1"/>
  <c r="Z1923" i="1"/>
  <c r="V1923" i="1"/>
  <c r="N1923" i="1"/>
  <c r="O1923" i="1"/>
  <c r="M1923" i="1"/>
  <c r="AD1922" i="1"/>
  <c r="AC1922" i="1"/>
  <c r="AB1922" i="1"/>
  <c r="AA1922" i="1"/>
  <c r="Z1922" i="1"/>
  <c r="V1922" i="1"/>
  <c r="N1922" i="1"/>
  <c r="K1922" i="1"/>
  <c r="J1922" i="1"/>
  <c r="AD1921" i="1"/>
  <c r="AC1921" i="1"/>
  <c r="AB1921" i="1"/>
  <c r="AA1921" i="1"/>
  <c r="Z1921" i="1"/>
  <c r="V1921" i="1"/>
  <c r="N1921" i="1"/>
  <c r="O1921" i="1"/>
  <c r="K1921" i="1"/>
  <c r="J1921" i="1"/>
  <c r="M1921" i="1"/>
  <c r="AD1920" i="1"/>
  <c r="AC1920" i="1"/>
  <c r="AB1920" i="1"/>
  <c r="AA1920" i="1"/>
  <c r="Z1920" i="1"/>
  <c r="V1920" i="1"/>
  <c r="N1920" i="1"/>
  <c r="L1920" i="1"/>
  <c r="R1920" i="1"/>
  <c r="K1920" i="1"/>
  <c r="J1920" i="1"/>
  <c r="AD1919" i="1"/>
  <c r="AC1919" i="1"/>
  <c r="AB1919" i="1"/>
  <c r="AA1919" i="1"/>
  <c r="Z1919" i="1"/>
  <c r="V1919" i="1"/>
  <c r="N1919" i="1"/>
  <c r="L1919" i="1"/>
  <c r="K1919" i="1"/>
  <c r="J1919" i="1"/>
  <c r="AD1918" i="1"/>
  <c r="AC1918" i="1"/>
  <c r="AB1918" i="1"/>
  <c r="AA1918" i="1"/>
  <c r="Z1918" i="1"/>
  <c r="V1918" i="1"/>
  <c r="N1918" i="1"/>
  <c r="J1918" i="1"/>
  <c r="M1918" i="1"/>
  <c r="AD1917" i="1"/>
  <c r="AC1917" i="1"/>
  <c r="AB1917" i="1"/>
  <c r="AA1917" i="1"/>
  <c r="Z1917" i="1"/>
  <c r="V1917" i="1"/>
  <c r="N1917" i="1"/>
  <c r="M1917" i="1"/>
  <c r="AD1916" i="1"/>
  <c r="AC1916" i="1"/>
  <c r="AB1916" i="1"/>
  <c r="AA1916" i="1"/>
  <c r="Z1916" i="1"/>
  <c r="V1916" i="1"/>
  <c r="N1916" i="1"/>
  <c r="M1916" i="1"/>
  <c r="AD1915" i="1"/>
  <c r="AC1915" i="1"/>
  <c r="AB1915" i="1"/>
  <c r="AA1915" i="1"/>
  <c r="Z1915" i="1"/>
  <c r="AD1914" i="1"/>
  <c r="AC1914" i="1"/>
  <c r="AB1914" i="1"/>
  <c r="AA1914" i="1"/>
  <c r="Z1914" i="1"/>
  <c r="AD1913" i="1"/>
  <c r="AC1913" i="1"/>
  <c r="AB1913" i="1"/>
  <c r="AA1913" i="1"/>
  <c r="Z1913" i="1"/>
  <c r="V1913" i="1"/>
  <c r="N1913" i="1"/>
  <c r="L1913" i="1"/>
  <c r="M1913" i="1"/>
  <c r="AD1912" i="1"/>
  <c r="AC1912" i="1"/>
  <c r="AB1912" i="1"/>
  <c r="AA1912" i="1"/>
  <c r="Z1912" i="1"/>
  <c r="V1912" i="1"/>
  <c r="N1912" i="1"/>
  <c r="L1912" i="1"/>
  <c r="K1912" i="1"/>
  <c r="J1912" i="1"/>
  <c r="AD1911" i="1"/>
  <c r="AC1911" i="1"/>
  <c r="AB1911" i="1"/>
  <c r="AA1911" i="1"/>
  <c r="Z1911" i="1"/>
  <c r="V1911" i="1"/>
  <c r="N1911" i="1"/>
  <c r="P1911" i="1"/>
  <c r="K1911" i="1"/>
  <c r="M1911" i="1"/>
  <c r="AD1910" i="1"/>
  <c r="AC1910" i="1"/>
  <c r="AB1910" i="1"/>
  <c r="AA1910" i="1"/>
  <c r="Z1910" i="1"/>
  <c r="V1910" i="1"/>
  <c r="N1910" i="1"/>
  <c r="K1910" i="1"/>
  <c r="J1910" i="1"/>
  <c r="AD1909" i="1"/>
  <c r="AC1909" i="1"/>
  <c r="AB1909" i="1"/>
  <c r="AA1909" i="1"/>
  <c r="Z1909" i="1"/>
  <c r="V1909" i="1"/>
  <c r="Q1909" i="1"/>
  <c r="M1909" i="1"/>
  <c r="AD1907" i="1"/>
  <c r="AC1907" i="1"/>
  <c r="AB1907" i="1"/>
  <c r="AA1907" i="1"/>
  <c r="Z1907" i="1"/>
  <c r="V1907" i="1"/>
  <c r="N1907" i="1"/>
  <c r="L1907" i="1"/>
  <c r="K1907" i="1"/>
  <c r="J1907" i="1"/>
  <c r="AD1906" i="1"/>
  <c r="AC1906" i="1"/>
  <c r="AB1906" i="1"/>
  <c r="AA1906" i="1"/>
  <c r="Z1906" i="1"/>
  <c r="V1906" i="1"/>
  <c r="N1906" i="1"/>
  <c r="L1906" i="1"/>
  <c r="K1906" i="1"/>
  <c r="J1906" i="1"/>
  <c r="AD1905" i="1"/>
  <c r="AC1905" i="1"/>
  <c r="AB1905" i="1"/>
  <c r="AA1905" i="1"/>
  <c r="Z1905" i="1"/>
  <c r="AD1904" i="1"/>
  <c r="AC1904" i="1"/>
  <c r="AB1904" i="1"/>
  <c r="AA1904" i="1"/>
  <c r="Z1904" i="1"/>
  <c r="V1904" i="1"/>
  <c r="N1904" i="1"/>
  <c r="M1904" i="1"/>
  <c r="AD1903" i="1"/>
  <c r="AC1903" i="1"/>
  <c r="AB1903" i="1"/>
  <c r="AA1903" i="1"/>
  <c r="Z1903" i="1"/>
  <c r="V1903" i="1"/>
  <c r="N1903" i="1"/>
  <c r="M1903" i="1"/>
  <c r="AD1902" i="1"/>
  <c r="AC1902" i="1"/>
  <c r="AB1902" i="1"/>
  <c r="AA1902" i="1"/>
  <c r="Z1902" i="1"/>
  <c r="V1902" i="1"/>
  <c r="N1902" i="1"/>
  <c r="M1902" i="1"/>
  <c r="AD1901" i="1"/>
  <c r="AC1901" i="1"/>
  <c r="AB1901" i="1"/>
  <c r="AA1901" i="1"/>
  <c r="Z1901" i="1"/>
  <c r="AD1900" i="1"/>
  <c r="AC1900" i="1"/>
  <c r="AB1900" i="1"/>
  <c r="AA1900" i="1"/>
  <c r="Z1900" i="1"/>
  <c r="V1900" i="1"/>
  <c r="N1900" i="1"/>
  <c r="R1900" i="1"/>
  <c r="K1900" i="1"/>
  <c r="M1900" i="1"/>
  <c r="AD1899" i="1"/>
  <c r="AC1899" i="1"/>
  <c r="AB1899" i="1"/>
  <c r="AA1899" i="1"/>
  <c r="Z1899" i="1"/>
  <c r="V1899" i="1"/>
  <c r="N1899" i="1"/>
  <c r="L1899" i="1"/>
  <c r="K1899" i="1"/>
  <c r="J1899" i="1"/>
  <c r="AD1898" i="1"/>
  <c r="AC1898" i="1"/>
  <c r="AB1898" i="1"/>
  <c r="AA1898" i="1"/>
  <c r="Z1898" i="1"/>
  <c r="V1898" i="1"/>
  <c r="N1898" i="1"/>
  <c r="R1898" i="1"/>
  <c r="M1898" i="1"/>
  <c r="AD1897" i="1"/>
  <c r="AC1897" i="1"/>
  <c r="AB1897" i="1"/>
  <c r="AA1897" i="1"/>
  <c r="Z1897" i="1"/>
  <c r="V1897" i="1"/>
  <c r="N1897" i="1"/>
  <c r="R1897" i="1"/>
  <c r="M1897" i="1"/>
  <c r="AD1896" i="1"/>
  <c r="AC1896" i="1"/>
  <c r="AB1896" i="1"/>
  <c r="AA1896" i="1"/>
  <c r="Z1896" i="1"/>
  <c r="V1896" i="1"/>
  <c r="N1896" i="1"/>
  <c r="J1896" i="1"/>
  <c r="M1896" i="1"/>
  <c r="AD1895" i="1"/>
  <c r="AC1895" i="1"/>
  <c r="AB1895" i="1"/>
  <c r="AA1895" i="1"/>
  <c r="Z1895" i="1"/>
  <c r="V1895" i="1"/>
  <c r="N1895" i="1"/>
  <c r="AD1894" i="1"/>
  <c r="AC1894" i="1"/>
  <c r="AB1894" i="1"/>
  <c r="AA1894" i="1"/>
  <c r="Z1894" i="1"/>
  <c r="AD1893" i="1"/>
  <c r="AC1893" i="1"/>
  <c r="AB1893" i="1"/>
  <c r="AA1893" i="1"/>
  <c r="Z1893" i="1"/>
  <c r="V1893" i="1"/>
  <c r="N1893" i="1"/>
  <c r="M1893" i="1"/>
  <c r="AD1892" i="1"/>
  <c r="AC1892" i="1"/>
  <c r="AB1892" i="1"/>
  <c r="AA1892" i="1"/>
  <c r="Z1892" i="1"/>
  <c r="V1892" i="1"/>
  <c r="N1892" i="1"/>
  <c r="M1892" i="1"/>
  <c r="AD1891" i="1"/>
  <c r="AC1891" i="1"/>
  <c r="AB1891" i="1"/>
  <c r="AA1891" i="1"/>
  <c r="Z1891" i="1"/>
  <c r="V1891" i="1"/>
  <c r="N1891" i="1"/>
  <c r="M1891" i="1"/>
  <c r="AD1890" i="1"/>
  <c r="AC1890" i="1"/>
  <c r="AB1890" i="1"/>
  <c r="AA1890" i="1"/>
  <c r="Z1890" i="1"/>
  <c r="V1890" i="1"/>
  <c r="N1890" i="1"/>
  <c r="M1890" i="1"/>
  <c r="AD1889" i="1"/>
  <c r="AC1889" i="1"/>
  <c r="AB1889" i="1"/>
  <c r="AA1889" i="1"/>
  <c r="Z1889" i="1"/>
  <c r="V1889" i="1"/>
  <c r="N1889" i="1"/>
  <c r="M1889" i="1"/>
  <c r="AD1888" i="1"/>
  <c r="AC1888" i="1"/>
  <c r="AB1888" i="1"/>
  <c r="AA1888" i="1"/>
  <c r="Z1888" i="1"/>
  <c r="AD1887" i="1"/>
  <c r="AC1887" i="1"/>
  <c r="AB1887" i="1"/>
  <c r="AA1887" i="1"/>
  <c r="Z1887" i="1"/>
  <c r="V1887" i="1"/>
  <c r="N1887" i="1"/>
  <c r="M1887" i="1"/>
  <c r="AD1886" i="1"/>
  <c r="AC1886" i="1"/>
  <c r="AB1886" i="1"/>
  <c r="AA1886" i="1"/>
  <c r="Z1886" i="1"/>
  <c r="V1886" i="1"/>
  <c r="N1886" i="1"/>
  <c r="M1886" i="1"/>
  <c r="AD1885" i="1"/>
  <c r="AC1885" i="1"/>
  <c r="AB1885" i="1"/>
  <c r="AA1885" i="1"/>
  <c r="Z1885" i="1"/>
  <c r="V1885" i="1"/>
  <c r="N1885" i="1"/>
  <c r="M1885" i="1"/>
  <c r="AD1884" i="1"/>
  <c r="AC1884" i="1"/>
  <c r="AB1884" i="1"/>
  <c r="AA1884" i="1"/>
  <c r="Z1884" i="1"/>
  <c r="AD1883" i="1"/>
  <c r="AC1883" i="1"/>
  <c r="AB1883" i="1"/>
  <c r="AA1883" i="1"/>
  <c r="Z1883" i="1"/>
  <c r="AD1882" i="1"/>
  <c r="AC1882" i="1"/>
  <c r="AB1882" i="1"/>
  <c r="AA1882" i="1"/>
  <c r="Z1882" i="1"/>
  <c r="V1882" i="1"/>
  <c r="N1882" i="1"/>
  <c r="M1882" i="1"/>
  <c r="AD1881" i="1"/>
  <c r="AC1881" i="1"/>
  <c r="AB1881" i="1"/>
  <c r="AA1881" i="1"/>
  <c r="Z1881" i="1"/>
  <c r="V1881" i="1"/>
  <c r="N1881" i="1"/>
  <c r="M1881" i="1"/>
  <c r="AD1880" i="1"/>
  <c r="AC1880" i="1"/>
  <c r="AB1880" i="1"/>
  <c r="AA1880" i="1"/>
  <c r="Z1880" i="1"/>
  <c r="AD1879" i="1"/>
  <c r="AC1879" i="1"/>
  <c r="AB1879" i="1"/>
  <c r="AA1879" i="1"/>
  <c r="Z1879" i="1"/>
  <c r="V1879" i="1"/>
  <c r="N1879" i="1"/>
  <c r="R1879" i="1"/>
  <c r="J1879" i="1"/>
  <c r="M1879" i="1"/>
  <c r="AD1878" i="1"/>
  <c r="AC1878" i="1"/>
  <c r="AB1878" i="1"/>
  <c r="AA1878" i="1"/>
  <c r="Z1878" i="1"/>
  <c r="V1878" i="1"/>
  <c r="N1878" i="1"/>
  <c r="J1878" i="1"/>
  <c r="P1878" i="1"/>
  <c r="M1878" i="1"/>
  <c r="AD1877" i="1"/>
  <c r="AC1877" i="1"/>
  <c r="AB1877" i="1"/>
  <c r="AA1877" i="1"/>
  <c r="Z1877" i="1"/>
  <c r="AD1876" i="1"/>
  <c r="AC1876" i="1"/>
  <c r="AB1876" i="1"/>
  <c r="AA1876" i="1"/>
  <c r="Z1876" i="1"/>
  <c r="V1876" i="1"/>
  <c r="N1876" i="1"/>
  <c r="R1876" i="1"/>
  <c r="J1876" i="1"/>
  <c r="M1876" i="1"/>
  <c r="AD1875" i="1"/>
  <c r="AC1875" i="1"/>
  <c r="AB1875" i="1"/>
  <c r="AA1875" i="1"/>
  <c r="Z1875" i="1"/>
  <c r="V1875" i="1"/>
  <c r="N1875" i="1"/>
  <c r="M1875" i="1"/>
  <c r="AD1874" i="1"/>
  <c r="AC1874" i="1"/>
  <c r="AB1874" i="1"/>
  <c r="AA1874" i="1"/>
  <c r="Z1874" i="1"/>
  <c r="V1874" i="1"/>
  <c r="N1874" i="1"/>
  <c r="Q1874" i="1"/>
  <c r="J1874" i="1"/>
  <c r="M1874" i="1"/>
  <c r="AD1873" i="1"/>
  <c r="AC1873" i="1"/>
  <c r="AB1873" i="1"/>
  <c r="AA1873" i="1"/>
  <c r="Z1873" i="1"/>
  <c r="V1873" i="1"/>
  <c r="N1873" i="1"/>
  <c r="M1873" i="1"/>
  <c r="AD1872" i="1"/>
  <c r="AC1872" i="1"/>
  <c r="AB1872" i="1"/>
  <c r="AA1872" i="1"/>
  <c r="Z1872" i="1"/>
  <c r="V1872" i="1"/>
  <c r="N1872" i="1"/>
  <c r="M1872" i="1"/>
  <c r="AD1871" i="1"/>
  <c r="AC1871" i="1"/>
  <c r="AB1871" i="1"/>
  <c r="AA1871" i="1"/>
  <c r="Z1871" i="1"/>
  <c r="V1871" i="1"/>
  <c r="N1871" i="1"/>
  <c r="M1871" i="1"/>
  <c r="AD1870" i="1"/>
  <c r="AC1870" i="1"/>
  <c r="AB1870" i="1"/>
  <c r="AA1870" i="1"/>
  <c r="Z1870" i="1"/>
  <c r="V1870" i="1"/>
  <c r="N1870" i="1"/>
  <c r="M1870" i="1"/>
  <c r="AD1869" i="1"/>
  <c r="AC1869" i="1"/>
  <c r="AB1869" i="1"/>
  <c r="AA1869" i="1"/>
  <c r="Z1869" i="1"/>
  <c r="AD1868" i="1"/>
  <c r="AC1868" i="1"/>
  <c r="AB1868" i="1"/>
  <c r="AA1868" i="1"/>
  <c r="Z1868" i="1"/>
  <c r="V1868" i="1"/>
  <c r="N1868" i="1"/>
  <c r="M1868" i="1"/>
  <c r="AD1867" i="1"/>
  <c r="AC1867" i="1"/>
  <c r="AB1867" i="1"/>
  <c r="AA1867" i="1"/>
  <c r="Z1867" i="1"/>
  <c r="V1867" i="1"/>
  <c r="N1867" i="1"/>
  <c r="J1867" i="1"/>
  <c r="M1867" i="1"/>
  <c r="AD1866" i="1"/>
  <c r="AC1866" i="1"/>
  <c r="AB1866" i="1"/>
  <c r="AA1866" i="1"/>
  <c r="Z1866" i="1"/>
  <c r="V1866" i="1"/>
  <c r="N1866" i="1"/>
  <c r="R1866" i="1"/>
  <c r="J1866" i="1"/>
  <c r="M1866" i="1"/>
  <c r="AD1865" i="1"/>
  <c r="AC1865" i="1"/>
  <c r="AB1865" i="1"/>
  <c r="AA1865" i="1"/>
  <c r="Z1865" i="1"/>
  <c r="V1865" i="1"/>
  <c r="N1865" i="1"/>
  <c r="M1865" i="1"/>
  <c r="AD1864" i="1"/>
  <c r="AC1864" i="1"/>
  <c r="AB1864" i="1"/>
  <c r="AA1864" i="1"/>
  <c r="Z1864" i="1"/>
  <c r="AD1863" i="1"/>
  <c r="AC1863" i="1"/>
  <c r="AB1863" i="1"/>
  <c r="AA1863" i="1"/>
  <c r="Z1863" i="1"/>
  <c r="AD1862" i="1"/>
  <c r="AC1862" i="1"/>
  <c r="AB1862" i="1"/>
  <c r="AA1862" i="1"/>
  <c r="Z1862" i="1"/>
  <c r="AD1861" i="1"/>
  <c r="AB1861" i="1"/>
  <c r="Z1861" i="1"/>
  <c r="R1861" i="1"/>
  <c r="M1861" i="1"/>
  <c r="AD1858" i="1"/>
  <c r="AC1858" i="1"/>
  <c r="AB1858" i="1"/>
  <c r="AA1858" i="1"/>
  <c r="Z1858" i="1"/>
  <c r="V1858" i="1"/>
  <c r="N1858" i="1"/>
  <c r="P1858" i="1"/>
  <c r="M1858" i="1"/>
  <c r="AD1857" i="1"/>
  <c r="AC1857" i="1"/>
  <c r="AB1857" i="1"/>
  <c r="AA1857" i="1"/>
  <c r="Z1857" i="1"/>
  <c r="V1857" i="1"/>
  <c r="N1857" i="1"/>
  <c r="Q1857" i="1"/>
  <c r="M1857" i="1"/>
  <c r="AD1856" i="1"/>
  <c r="AC1856" i="1"/>
  <c r="AB1856" i="1"/>
  <c r="AA1856" i="1"/>
  <c r="Z1856" i="1"/>
  <c r="V1856" i="1"/>
  <c r="N1856" i="1"/>
  <c r="R1856" i="1"/>
  <c r="M1856" i="1"/>
  <c r="AD1855" i="1"/>
  <c r="AC1855" i="1"/>
  <c r="AB1855" i="1"/>
  <c r="AA1855" i="1"/>
  <c r="Z1855" i="1"/>
  <c r="AD1854" i="1"/>
  <c r="AC1854" i="1"/>
  <c r="AB1854" i="1"/>
  <c r="AA1854" i="1"/>
  <c r="Z1854" i="1"/>
  <c r="V1854" i="1"/>
  <c r="N1854" i="1"/>
  <c r="P1854" i="1"/>
  <c r="L1854" i="1"/>
  <c r="M1854" i="1"/>
  <c r="AD1853" i="1"/>
  <c r="AC1853" i="1"/>
  <c r="AB1853" i="1"/>
  <c r="AA1853" i="1"/>
  <c r="Z1853" i="1"/>
  <c r="V1853" i="1"/>
  <c r="N1853" i="1"/>
  <c r="R1853" i="1"/>
  <c r="M1853" i="1"/>
  <c r="AD1852" i="1"/>
  <c r="AC1852" i="1"/>
  <c r="AB1852" i="1"/>
  <c r="AA1852" i="1"/>
  <c r="Z1852" i="1"/>
  <c r="V1852" i="1"/>
  <c r="N1852" i="1"/>
  <c r="M1852" i="1"/>
  <c r="AD1851" i="1"/>
  <c r="AC1851" i="1"/>
  <c r="AB1851" i="1"/>
  <c r="AA1851" i="1"/>
  <c r="Z1851" i="1"/>
  <c r="V1851" i="1"/>
  <c r="N1851" i="1"/>
  <c r="M1851" i="1"/>
  <c r="AD1850" i="1"/>
  <c r="AC1850" i="1"/>
  <c r="AB1850" i="1"/>
  <c r="AA1850" i="1"/>
  <c r="Z1850" i="1"/>
  <c r="V1850" i="1"/>
  <c r="N1850" i="1"/>
  <c r="M1850" i="1"/>
  <c r="AD1849" i="1"/>
  <c r="AC1849" i="1"/>
  <c r="AB1849" i="1"/>
  <c r="AA1849" i="1"/>
  <c r="Z1849" i="1"/>
  <c r="V1849" i="1"/>
  <c r="N1849" i="1"/>
  <c r="M1849" i="1"/>
  <c r="AD1848" i="1"/>
  <c r="AC1848" i="1"/>
  <c r="AB1848" i="1"/>
  <c r="AA1848" i="1"/>
  <c r="Z1848" i="1"/>
  <c r="V1848" i="1"/>
  <c r="N1848" i="1"/>
  <c r="M1848" i="1"/>
  <c r="AD1847" i="1"/>
  <c r="AC1847" i="1"/>
  <c r="AB1847" i="1"/>
  <c r="AA1847" i="1"/>
  <c r="Z1847" i="1"/>
  <c r="V1847" i="1"/>
  <c r="N1847" i="1"/>
  <c r="L1847" i="1"/>
  <c r="K1847" i="1"/>
  <c r="J1847" i="1"/>
  <c r="AD1846" i="1"/>
  <c r="AC1846" i="1"/>
  <c r="AB1846" i="1"/>
  <c r="AA1846" i="1"/>
  <c r="Z1846" i="1"/>
  <c r="AD1845" i="1"/>
  <c r="AC1845" i="1"/>
  <c r="AB1845" i="1"/>
  <c r="AA1845" i="1"/>
  <c r="Z1845" i="1"/>
  <c r="V1845" i="1"/>
  <c r="N1845" i="1"/>
  <c r="P1845" i="1"/>
  <c r="M1845" i="1"/>
  <c r="AD1844" i="1"/>
  <c r="AC1844" i="1"/>
  <c r="AB1844" i="1"/>
  <c r="AA1844" i="1"/>
  <c r="Z1844" i="1"/>
  <c r="V1844" i="1"/>
  <c r="N1844" i="1"/>
  <c r="P1844" i="1"/>
  <c r="M1844" i="1"/>
  <c r="AD1843" i="1"/>
  <c r="AC1843" i="1"/>
  <c r="AB1843" i="1"/>
  <c r="AA1843" i="1"/>
  <c r="Z1843" i="1"/>
  <c r="V1843" i="1"/>
  <c r="N1843" i="1"/>
  <c r="R1843" i="1"/>
  <c r="M1843" i="1"/>
  <c r="AD1842" i="1"/>
  <c r="AC1842" i="1"/>
  <c r="AB1842" i="1"/>
  <c r="AA1842" i="1"/>
  <c r="Z1842" i="1"/>
  <c r="V1842" i="1"/>
  <c r="N1842" i="1"/>
  <c r="R1842" i="1"/>
  <c r="M1842" i="1"/>
  <c r="AD1841" i="1"/>
  <c r="AC1841" i="1"/>
  <c r="AB1841" i="1"/>
  <c r="AA1841" i="1"/>
  <c r="Z1841" i="1"/>
  <c r="V1841" i="1"/>
  <c r="N1841" i="1"/>
  <c r="M1841" i="1"/>
  <c r="AD1840" i="1"/>
  <c r="AC1840" i="1"/>
  <c r="AB1840" i="1"/>
  <c r="AA1840" i="1"/>
  <c r="Z1840" i="1"/>
  <c r="V1840" i="1"/>
  <c r="N1840" i="1"/>
  <c r="P1840" i="1"/>
  <c r="M1840" i="1"/>
  <c r="AD1839" i="1"/>
  <c r="AC1839" i="1"/>
  <c r="AB1839" i="1"/>
  <c r="AA1839" i="1"/>
  <c r="Z1839" i="1"/>
  <c r="V1839" i="1"/>
  <c r="N1839" i="1"/>
  <c r="R1839" i="1"/>
  <c r="M1839" i="1"/>
  <c r="AD1838" i="1"/>
  <c r="AC1838" i="1"/>
  <c r="AB1838" i="1"/>
  <c r="AA1838" i="1"/>
  <c r="Z1838" i="1"/>
  <c r="V1838" i="1"/>
  <c r="N1838" i="1"/>
  <c r="M1838" i="1"/>
  <c r="AD1837" i="1"/>
  <c r="AC1837" i="1"/>
  <c r="AB1837" i="1"/>
  <c r="AA1837" i="1"/>
  <c r="Z1837" i="1"/>
  <c r="V1837" i="1"/>
  <c r="N1837" i="1"/>
  <c r="M1837" i="1"/>
  <c r="AD1836" i="1"/>
  <c r="AC1836" i="1"/>
  <c r="AB1836" i="1"/>
  <c r="AA1836" i="1"/>
  <c r="Z1836" i="1"/>
  <c r="V1836" i="1"/>
  <c r="N1836" i="1"/>
  <c r="M1836" i="1"/>
  <c r="AD1835" i="1"/>
  <c r="AC1835" i="1"/>
  <c r="AB1835" i="1"/>
  <c r="AA1835" i="1"/>
  <c r="Z1835" i="1"/>
  <c r="AD1834" i="1"/>
  <c r="AC1834" i="1"/>
  <c r="AB1834" i="1"/>
  <c r="AA1834" i="1"/>
  <c r="Z1834" i="1"/>
  <c r="V1834" i="1"/>
  <c r="N1834" i="1"/>
  <c r="M1834" i="1"/>
  <c r="AD1833" i="1"/>
  <c r="AC1833" i="1"/>
  <c r="AB1833" i="1"/>
  <c r="AA1833" i="1"/>
  <c r="Z1833" i="1"/>
  <c r="V1833" i="1"/>
  <c r="N1833" i="1"/>
  <c r="M1833" i="1"/>
  <c r="AD1832" i="1"/>
  <c r="AC1832" i="1"/>
  <c r="AB1832" i="1"/>
  <c r="AA1832" i="1"/>
  <c r="Z1832" i="1"/>
  <c r="AD1831" i="1"/>
  <c r="AC1831" i="1"/>
  <c r="AB1831" i="1"/>
  <c r="AA1831" i="1"/>
  <c r="Z1831" i="1"/>
  <c r="AD1830" i="1"/>
  <c r="AC1830" i="1"/>
  <c r="AB1830" i="1"/>
  <c r="AA1830" i="1"/>
  <c r="Z1830" i="1"/>
  <c r="V1830" i="1"/>
  <c r="N1830" i="1"/>
  <c r="AD1829" i="1"/>
  <c r="AC1829" i="1"/>
  <c r="AB1829" i="1"/>
  <c r="AA1829" i="1"/>
  <c r="Z1829" i="1"/>
  <c r="V1829" i="1"/>
  <c r="N1829" i="1"/>
  <c r="AD1828" i="1"/>
  <c r="AC1828" i="1"/>
  <c r="AB1828" i="1"/>
  <c r="AA1828" i="1"/>
  <c r="Z1828" i="1"/>
  <c r="V1828" i="1"/>
  <c r="N1828" i="1"/>
  <c r="AD1827" i="1"/>
  <c r="AC1827" i="1"/>
  <c r="AB1827" i="1"/>
  <c r="AA1827" i="1"/>
  <c r="Z1827" i="1"/>
  <c r="AD1826" i="1"/>
  <c r="AC1826" i="1"/>
  <c r="AB1826" i="1"/>
  <c r="AA1826" i="1"/>
  <c r="Z1826" i="1"/>
  <c r="V1826" i="1"/>
  <c r="N1826" i="1"/>
  <c r="L1826" i="1"/>
  <c r="K1826" i="1"/>
  <c r="J1826" i="1"/>
  <c r="AD1825" i="1"/>
  <c r="AC1825" i="1"/>
  <c r="AB1825" i="1"/>
  <c r="AA1825" i="1"/>
  <c r="Z1825" i="1"/>
  <c r="V1825" i="1"/>
  <c r="N1825" i="1"/>
  <c r="L1825" i="1"/>
  <c r="K1825" i="1"/>
  <c r="J1825" i="1"/>
  <c r="AD1824" i="1"/>
  <c r="AC1824" i="1"/>
  <c r="AB1824" i="1"/>
  <c r="AA1824" i="1"/>
  <c r="Z1824" i="1"/>
  <c r="V1824" i="1"/>
  <c r="N1824" i="1"/>
  <c r="R1824" i="1"/>
  <c r="M1824" i="1"/>
  <c r="AD1823" i="1"/>
  <c r="AC1823" i="1"/>
  <c r="AB1823" i="1"/>
  <c r="AA1823" i="1"/>
  <c r="Z1823" i="1"/>
  <c r="V1823" i="1"/>
  <c r="N1823" i="1"/>
  <c r="R1823" i="1"/>
  <c r="M1823" i="1"/>
  <c r="AD1822" i="1"/>
  <c r="AC1822" i="1"/>
  <c r="AB1822" i="1"/>
  <c r="AA1822" i="1"/>
  <c r="Z1822" i="1"/>
  <c r="V1822" i="1"/>
  <c r="N1822" i="1"/>
  <c r="L1822" i="1"/>
  <c r="K1822" i="1"/>
  <c r="J1822" i="1"/>
  <c r="AD1821" i="1"/>
  <c r="AC1821" i="1"/>
  <c r="AB1821" i="1"/>
  <c r="AA1821" i="1"/>
  <c r="Z1821" i="1"/>
  <c r="V1821" i="1"/>
  <c r="N1821" i="1"/>
  <c r="R1821" i="1"/>
  <c r="M1821" i="1"/>
  <c r="AD1820" i="1"/>
  <c r="AC1820" i="1"/>
  <c r="AB1820" i="1"/>
  <c r="AA1820" i="1"/>
  <c r="Z1820" i="1"/>
  <c r="V1820" i="1"/>
  <c r="N1820" i="1"/>
  <c r="L1820" i="1"/>
  <c r="K1820" i="1"/>
  <c r="J1820" i="1"/>
  <c r="AD1819" i="1"/>
  <c r="AC1819" i="1"/>
  <c r="AB1819" i="1"/>
  <c r="AA1819" i="1"/>
  <c r="Z1819" i="1"/>
  <c r="V1819" i="1"/>
  <c r="N1819" i="1"/>
  <c r="M1819" i="1"/>
  <c r="AD1818" i="1"/>
  <c r="AC1818" i="1"/>
  <c r="AB1818" i="1"/>
  <c r="AA1818" i="1"/>
  <c r="Z1818" i="1"/>
  <c r="V1818" i="1"/>
  <c r="N1818" i="1"/>
  <c r="L1818" i="1"/>
  <c r="K1818" i="1"/>
  <c r="J1818" i="1"/>
  <c r="AD1817" i="1"/>
  <c r="AC1817" i="1"/>
  <c r="AB1817" i="1"/>
  <c r="AA1817" i="1"/>
  <c r="Z1817" i="1"/>
  <c r="V1817" i="1"/>
  <c r="N1817" i="1"/>
  <c r="L1817" i="1"/>
  <c r="K1817" i="1"/>
  <c r="J1817" i="1"/>
  <c r="AD1816" i="1"/>
  <c r="AC1816" i="1"/>
  <c r="AB1816" i="1"/>
  <c r="AA1816" i="1"/>
  <c r="Z1816" i="1"/>
  <c r="V1816" i="1"/>
  <c r="N1816" i="1"/>
  <c r="R1816" i="1"/>
  <c r="J1816" i="1"/>
  <c r="M1816" i="1"/>
  <c r="AD1815" i="1"/>
  <c r="AC1815" i="1"/>
  <c r="AB1815" i="1"/>
  <c r="AA1815" i="1"/>
  <c r="Z1815" i="1"/>
  <c r="V1815" i="1"/>
  <c r="N1815" i="1"/>
  <c r="M1815" i="1"/>
  <c r="AD1814" i="1"/>
  <c r="AC1814" i="1"/>
  <c r="AB1814" i="1"/>
  <c r="AA1814" i="1"/>
  <c r="Z1814" i="1"/>
  <c r="AD1813" i="1"/>
  <c r="AC1813" i="1"/>
  <c r="AB1813" i="1"/>
  <c r="AA1813" i="1"/>
  <c r="Z1813" i="1"/>
  <c r="V1813" i="1"/>
  <c r="N1813" i="1"/>
  <c r="M1813" i="1"/>
  <c r="AD1812" i="1"/>
  <c r="AC1812" i="1"/>
  <c r="AB1812" i="1"/>
  <c r="AA1812" i="1"/>
  <c r="Z1812" i="1"/>
  <c r="V1812" i="1"/>
  <c r="N1812" i="1"/>
  <c r="R1812" i="1"/>
  <c r="J1812" i="1"/>
  <c r="M1812" i="1"/>
  <c r="AD1811" i="1"/>
  <c r="AC1811" i="1"/>
  <c r="AB1811" i="1"/>
  <c r="AA1811" i="1"/>
  <c r="Z1811" i="1"/>
  <c r="AD1810" i="1"/>
  <c r="AC1810" i="1"/>
  <c r="AB1810" i="1"/>
  <c r="AA1810" i="1"/>
  <c r="Z1810" i="1"/>
  <c r="V1810" i="1"/>
  <c r="N1810" i="1"/>
  <c r="J1810" i="1"/>
  <c r="M1810" i="1"/>
  <c r="AD1809" i="1"/>
  <c r="AC1809" i="1"/>
  <c r="AB1809" i="1"/>
  <c r="AA1809" i="1"/>
  <c r="Z1809" i="1"/>
  <c r="V1809" i="1"/>
  <c r="N1809" i="1"/>
  <c r="R1809" i="1"/>
  <c r="J1809" i="1"/>
  <c r="M1809" i="1"/>
  <c r="AD1808" i="1"/>
  <c r="AC1808" i="1"/>
  <c r="AB1808" i="1"/>
  <c r="AA1808" i="1"/>
  <c r="Z1808" i="1"/>
  <c r="V1808" i="1"/>
  <c r="N1808" i="1"/>
  <c r="M1808" i="1"/>
  <c r="AD1807" i="1"/>
  <c r="AC1807" i="1"/>
  <c r="AB1807" i="1"/>
  <c r="AA1807" i="1"/>
  <c r="Z1807" i="1"/>
  <c r="AD1806" i="1"/>
  <c r="AC1806" i="1"/>
  <c r="AB1806" i="1"/>
  <c r="AA1806" i="1"/>
  <c r="Z1806" i="1"/>
  <c r="AD1805" i="1"/>
  <c r="AC1805" i="1"/>
  <c r="AB1805" i="1"/>
  <c r="AA1805" i="1"/>
  <c r="Z1805" i="1"/>
  <c r="AD1804" i="1"/>
  <c r="AC1804" i="1"/>
  <c r="AB1804" i="1"/>
  <c r="AA1804" i="1"/>
  <c r="Z1804" i="1"/>
  <c r="V1804" i="1"/>
  <c r="N1804" i="1"/>
  <c r="P1804" i="1"/>
  <c r="M1804" i="1"/>
  <c r="AD1803" i="1"/>
  <c r="AC1803" i="1"/>
  <c r="AB1803" i="1"/>
  <c r="AA1803" i="1"/>
  <c r="Z1803" i="1"/>
  <c r="V1803" i="1"/>
  <c r="N1803" i="1"/>
  <c r="Q1803" i="1"/>
  <c r="M1803" i="1"/>
  <c r="AD1802" i="1"/>
  <c r="AC1802" i="1"/>
  <c r="AB1802" i="1"/>
  <c r="AA1802" i="1"/>
  <c r="Z1802" i="1"/>
  <c r="V1802" i="1"/>
  <c r="N1802" i="1"/>
  <c r="P1802" i="1"/>
  <c r="M1802" i="1"/>
  <c r="AD1801" i="1"/>
  <c r="AC1801" i="1"/>
  <c r="AB1801" i="1"/>
  <c r="AA1801" i="1"/>
  <c r="Z1801" i="1"/>
  <c r="AD1800" i="1"/>
  <c r="AC1800" i="1"/>
  <c r="AB1800" i="1"/>
  <c r="AA1800" i="1"/>
  <c r="Z1800" i="1"/>
  <c r="V1800" i="1"/>
  <c r="N1800" i="1"/>
  <c r="L1800" i="1"/>
  <c r="K1800" i="1"/>
  <c r="J1800" i="1"/>
  <c r="AD1799" i="1"/>
  <c r="AC1799" i="1"/>
  <c r="AB1799" i="1"/>
  <c r="AA1799" i="1"/>
  <c r="Z1799" i="1"/>
  <c r="AD1798" i="1"/>
  <c r="AC1798" i="1"/>
  <c r="AB1798" i="1"/>
  <c r="AA1798" i="1"/>
  <c r="Z1798" i="1"/>
  <c r="V1798" i="1"/>
  <c r="N1798" i="1"/>
  <c r="P1798" i="1"/>
  <c r="M1798" i="1"/>
  <c r="AD1797" i="1"/>
  <c r="AC1797" i="1"/>
  <c r="AB1797" i="1"/>
  <c r="AA1797" i="1"/>
  <c r="Z1797" i="1"/>
  <c r="V1797" i="1"/>
  <c r="N1797" i="1"/>
  <c r="P1797" i="1"/>
  <c r="M1797" i="1"/>
  <c r="AD1796" i="1"/>
  <c r="AC1796" i="1"/>
  <c r="AB1796" i="1"/>
  <c r="AA1796" i="1"/>
  <c r="Z1796" i="1"/>
  <c r="V1796" i="1"/>
  <c r="N1796" i="1"/>
  <c r="P1796" i="1"/>
  <c r="M1796" i="1"/>
  <c r="AD1795" i="1"/>
  <c r="AC1795" i="1"/>
  <c r="AB1795" i="1"/>
  <c r="AA1795" i="1"/>
  <c r="Z1795" i="1"/>
  <c r="V1795" i="1"/>
  <c r="N1795" i="1"/>
  <c r="M1795" i="1"/>
  <c r="AD1794" i="1"/>
  <c r="AC1794" i="1"/>
  <c r="AB1794" i="1"/>
  <c r="AA1794" i="1"/>
  <c r="Z1794" i="1"/>
  <c r="V1794" i="1"/>
  <c r="N1794" i="1"/>
  <c r="P1794" i="1"/>
  <c r="M1794" i="1"/>
  <c r="AD1793" i="1"/>
  <c r="AC1793" i="1"/>
  <c r="AB1793" i="1"/>
  <c r="AA1793" i="1"/>
  <c r="Z1793" i="1"/>
  <c r="V1793" i="1"/>
  <c r="N1793" i="1"/>
  <c r="R1793" i="1"/>
  <c r="M1793" i="1"/>
  <c r="AD1792" i="1"/>
  <c r="AC1792" i="1"/>
  <c r="AB1792" i="1"/>
  <c r="AA1792" i="1"/>
  <c r="Z1792" i="1"/>
  <c r="V1792" i="1"/>
  <c r="N1792" i="1"/>
  <c r="P1792" i="1"/>
  <c r="M1792" i="1"/>
  <c r="AD1791" i="1"/>
  <c r="AC1791" i="1"/>
  <c r="AB1791" i="1"/>
  <c r="AA1791" i="1"/>
  <c r="Z1791" i="1"/>
  <c r="V1791" i="1"/>
  <c r="N1791" i="1"/>
  <c r="R1791" i="1"/>
  <c r="M1791" i="1"/>
  <c r="AD1790" i="1"/>
  <c r="AC1790" i="1"/>
  <c r="AB1790" i="1"/>
  <c r="AA1790" i="1"/>
  <c r="Z1790" i="1"/>
  <c r="V1790" i="1"/>
  <c r="N1790" i="1"/>
  <c r="P1790" i="1"/>
  <c r="M1790" i="1"/>
  <c r="AD1789" i="1"/>
  <c r="AC1789" i="1"/>
  <c r="AB1789" i="1"/>
  <c r="AA1789" i="1"/>
  <c r="Z1789" i="1"/>
  <c r="AD1788" i="1"/>
  <c r="AC1788" i="1"/>
  <c r="AB1788" i="1"/>
  <c r="AA1788" i="1"/>
  <c r="Z1788" i="1"/>
  <c r="V1788" i="1"/>
  <c r="N1788" i="1"/>
  <c r="R1788" i="1"/>
  <c r="M1788" i="1"/>
  <c r="AD1787" i="1"/>
  <c r="AC1787" i="1"/>
  <c r="AB1787" i="1"/>
  <c r="AA1787" i="1"/>
  <c r="Z1787" i="1"/>
  <c r="V1787" i="1"/>
  <c r="N1787" i="1"/>
  <c r="P1787" i="1"/>
  <c r="L1787" i="1"/>
  <c r="M1787" i="1"/>
  <c r="AD1786" i="1"/>
  <c r="AC1786" i="1"/>
  <c r="AB1786" i="1"/>
  <c r="AA1786" i="1"/>
  <c r="Z1786" i="1"/>
  <c r="V1786" i="1"/>
  <c r="N1786" i="1"/>
  <c r="P1786" i="1"/>
  <c r="M1786" i="1"/>
  <c r="AD1785" i="1"/>
  <c r="AC1785" i="1"/>
  <c r="AB1785" i="1"/>
  <c r="AA1785" i="1"/>
  <c r="Z1785" i="1"/>
  <c r="AD1784" i="1"/>
  <c r="AC1784" i="1"/>
  <c r="AB1784" i="1"/>
  <c r="AA1784" i="1"/>
  <c r="Z1784" i="1"/>
  <c r="AD1783" i="1"/>
  <c r="AC1783" i="1"/>
  <c r="AB1783" i="1"/>
  <c r="AA1783" i="1"/>
  <c r="Z1783" i="1"/>
  <c r="V1783" i="1"/>
  <c r="N1783" i="1"/>
  <c r="L1783" i="1"/>
  <c r="K1783" i="1"/>
  <c r="J1783" i="1"/>
  <c r="AD1782" i="1"/>
  <c r="AC1782" i="1"/>
  <c r="AB1782" i="1"/>
  <c r="AA1782" i="1"/>
  <c r="Z1782" i="1"/>
  <c r="V1782" i="1"/>
  <c r="N1782" i="1"/>
  <c r="L1782" i="1"/>
  <c r="J1782" i="1"/>
  <c r="K1782" i="1"/>
  <c r="M1782" i="1"/>
  <c r="AD1781" i="1"/>
  <c r="AC1781" i="1"/>
  <c r="AB1781" i="1"/>
  <c r="AA1781" i="1"/>
  <c r="Z1781" i="1"/>
  <c r="V1781" i="1"/>
  <c r="N1781" i="1"/>
  <c r="O1781" i="1"/>
  <c r="L1781" i="1"/>
  <c r="K1781" i="1"/>
  <c r="J1781" i="1"/>
  <c r="AD1780" i="1"/>
  <c r="AC1780" i="1"/>
  <c r="AB1780" i="1"/>
  <c r="AA1780" i="1"/>
  <c r="Z1780" i="1"/>
  <c r="V1780" i="1"/>
  <c r="N1780" i="1"/>
  <c r="O1780" i="1"/>
  <c r="L1780" i="1"/>
  <c r="K1780" i="1"/>
  <c r="J1780" i="1"/>
  <c r="AD1779" i="1"/>
  <c r="AC1779" i="1"/>
  <c r="AB1779" i="1"/>
  <c r="AA1779" i="1"/>
  <c r="Z1779" i="1"/>
  <c r="V1779" i="1"/>
  <c r="N1779" i="1"/>
  <c r="O1779" i="1"/>
  <c r="L1779" i="1"/>
  <c r="K1779" i="1"/>
  <c r="J1779" i="1"/>
  <c r="AD1778" i="1"/>
  <c r="AC1778" i="1"/>
  <c r="AB1778" i="1"/>
  <c r="AA1778" i="1"/>
  <c r="Z1778" i="1"/>
  <c r="V1778" i="1"/>
  <c r="N1778" i="1"/>
  <c r="O1778" i="1"/>
  <c r="L1778" i="1"/>
  <c r="K1778" i="1"/>
  <c r="J1778" i="1"/>
  <c r="AD1777" i="1"/>
  <c r="AC1777" i="1"/>
  <c r="AB1777" i="1"/>
  <c r="AA1777" i="1"/>
  <c r="Z1777" i="1"/>
  <c r="V1777" i="1"/>
  <c r="N1777" i="1"/>
  <c r="O1777" i="1"/>
  <c r="L1777" i="1"/>
  <c r="K1777" i="1"/>
  <c r="J1777" i="1"/>
  <c r="AD1776" i="1"/>
  <c r="AC1776" i="1"/>
  <c r="AB1776" i="1"/>
  <c r="AA1776" i="1"/>
  <c r="Z1776" i="1"/>
  <c r="V1776" i="1"/>
  <c r="N1776" i="1"/>
  <c r="L1776" i="1"/>
  <c r="K1776" i="1"/>
  <c r="J1776" i="1"/>
  <c r="AD1775" i="1"/>
  <c r="AC1775" i="1"/>
  <c r="AB1775" i="1"/>
  <c r="AA1775" i="1"/>
  <c r="Z1775" i="1"/>
  <c r="V1775" i="1"/>
  <c r="N1775" i="1"/>
  <c r="O1775" i="1"/>
  <c r="L1775" i="1"/>
  <c r="K1775" i="1"/>
  <c r="J1775" i="1"/>
  <c r="AD1774" i="1"/>
  <c r="AC1774" i="1"/>
  <c r="AB1774" i="1"/>
  <c r="AA1774" i="1"/>
  <c r="Z1774" i="1"/>
  <c r="AD1773" i="1"/>
  <c r="AC1773" i="1"/>
  <c r="AB1773" i="1"/>
  <c r="AA1773" i="1"/>
  <c r="Z1773" i="1"/>
  <c r="V1773" i="1"/>
  <c r="N1773" i="1"/>
  <c r="L1773" i="1"/>
  <c r="R1773" i="1"/>
  <c r="K1773" i="1"/>
  <c r="J1773" i="1"/>
  <c r="AD1772" i="1"/>
  <c r="AC1772" i="1"/>
  <c r="AB1772" i="1"/>
  <c r="AA1772" i="1"/>
  <c r="Z1772" i="1"/>
  <c r="V1772" i="1"/>
  <c r="N1772" i="1"/>
  <c r="P1772" i="1"/>
  <c r="M1772" i="1"/>
  <c r="AD1771" i="1"/>
  <c r="AC1771" i="1"/>
  <c r="AB1771" i="1"/>
  <c r="AA1771" i="1"/>
  <c r="Z1771" i="1"/>
  <c r="V1771" i="1"/>
  <c r="N1771" i="1"/>
  <c r="Q1771" i="1"/>
  <c r="J1771" i="1"/>
  <c r="M1771" i="1"/>
  <c r="AD1770" i="1"/>
  <c r="AC1770" i="1"/>
  <c r="AB1770" i="1"/>
  <c r="AA1770" i="1"/>
  <c r="Z1770" i="1"/>
  <c r="AD1769" i="1"/>
  <c r="AC1769" i="1"/>
  <c r="AB1769" i="1"/>
  <c r="AA1769" i="1"/>
  <c r="Z1769" i="1"/>
  <c r="V1769" i="1"/>
  <c r="N1769" i="1"/>
  <c r="R1769" i="1"/>
  <c r="M1769" i="1"/>
  <c r="AD1768" i="1"/>
  <c r="AC1768" i="1"/>
  <c r="AB1768" i="1"/>
  <c r="AA1768" i="1"/>
  <c r="Z1768" i="1"/>
  <c r="V1768" i="1"/>
  <c r="N1768" i="1"/>
  <c r="R1768" i="1"/>
  <c r="M1768" i="1"/>
  <c r="AD1767" i="1"/>
  <c r="AC1767" i="1"/>
  <c r="AB1767" i="1"/>
  <c r="AA1767" i="1"/>
  <c r="Z1767" i="1"/>
  <c r="V1767" i="1"/>
  <c r="N1767" i="1"/>
  <c r="M1767" i="1"/>
  <c r="AD1766" i="1"/>
  <c r="AC1766" i="1"/>
  <c r="AB1766" i="1"/>
  <c r="AA1766" i="1"/>
  <c r="Z1766" i="1"/>
  <c r="V1766" i="1"/>
  <c r="N1766" i="1"/>
  <c r="R1766" i="1"/>
  <c r="M1766" i="1"/>
  <c r="AD1765" i="1"/>
  <c r="AC1765" i="1"/>
  <c r="AB1765" i="1"/>
  <c r="AA1765" i="1"/>
  <c r="Z1765" i="1"/>
  <c r="V1765" i="1"/>
  <c r="N1765" i="1"/>
  <c r="O1765" i="1"/>
  <c r="M1765" i="1"/>
  <c r="AD1764" i="1"/>
  <c r="AC1764" i="1"/>
  <c r="AB1764" i="1"/>
  <c r="AA1764" i="1"/>
  <c r="Z1764" i="1"/>
  <c r="V1764" i="1"/>
  <c r="N1764" i="1"/>
  <c r="M1764" i="1"/>
  <c r="AD1763" i="1"/>
  <c r="AC1763" i="1"/>
  <c r="AB1763" i="1"/>
  <c r="AA1763" i="1"/>
  <c r="Z1763" i="1"/>
  <c r="V1763" i="1"/>
  <c r="N1763" i="1"/>
  <c r="R1763" i="1"/>
  <c r="M1763" i="1"/>
  <c r="AD1762" i="1"/>
  <c r="AC1762" i="1"/>
  <c r="AB1762" i="1"/>
  <c r="AA1762" i="1"/>
  <c r="Z1762" i="1"/>
  <c r="V1762" i="1"/>
  <c r="N1762" i="1"/>
  <c r="M1762" i="1"/>
  <c r="AD1761" i="1"/>
  <c r="AC1761" i="1"/>
  <c r="AB1761" i="1"/>
  <c r="AA1761" i="1"/>
  <c r="Z1761" i="1"/>
  <c r="V1761" i="1"/>
  <c r="N1761" i="1"/>
  <c r="R1761" i="1"/>
  <c r="M1761" i="1"/>
  <c r="AD1760" i="1"/>
  <c r="AC1760" i="1"/>
  <c r="AB1760" i="1"/>
  <c r="AA1760" i="1"/>
  <c r="Z1760" i="1"/>
  <c r="V1760" i="1"/>
  <c r="N1760" i="1"/>
  <c r="R1760" i="1"/>
  <c r="M1760" i="1"/>
  <c r="AD1759" i="1"/>
  <c r="AC1759" i="1"/>
  <c r="AB1759" i="1"/>
  <c r="AA1759" i="1"/>
  <c r="Z1759" i="1"/>
  <c r="V1759" i="1"/>
  <c r="N1759" i="1"/>
  <c r="R1759" i="1"/>
  <c r="K1759" i="1"/>
  <c r="J1759" i="1"/>
  <c r="AD1758" i="1"/>
  <c r="AC1758" i="1"/>
  <c r="AB1758" i="1"/>
  <c r="AA1758" i="1"/>
  <c r="Z1758" i="1"/>
  <c r="V1758" i="1"/>
  <c r="N1758" i="1"/>
  <c r="M1758" i="1"/>
  <c r="AD1757" i="1"/>
  <c r="AC1757" i="1"/>
  <c r="AB1757" i="1"/>
  <c r="AA1757" i="1"/>
  <c r="Z1757" i="1"/>
  <c r="AD1756" i="1"/>
  <c r="AC1756" i="1"/>
  <c r="AB1756" i="1"/>
  <c r="AA1756" i="1"/>
  <c r="Z1756" i="1"/>
  <c r="AD1755" i="1"/>
  <c r="AC1755" i="1"/>
  <c r="AB1755" i="1"/>
  <c r="AA1755" i="1"/>
  <c r="Z1755" i="1"/>
  <c r="V1755" i="1"/>
  <c r="N1755" i="1"/>
  <c r="L1755" i="1"/>
  <c r="M1755" i="1"/>
  <c r="AD1754" i="1"/>
  <c r="AC1754" i="1"/>
  <c r="AB1754" i="1"/>
  <c r="AA1754" i="1"/>
  <c r="Z1754" i="1"/>
  <c r="V1754" i="1"/>
  <c r="N1754" i="1"/>
  <c r="L1754" i="1"/>
  <c r="K1754" i="1"/>
  <c r="J1754" i="1"/>
  <c r="AD1753" i="1"/>
  <c r="AC1753" i="1"/>
  <c r="AB1753" i="1"/>
  <c r="AA1753" i="1"/>
  <c r="Z1753" i="1"/>
  <c r="V1753" i="1"/>
  <c r="N1753" i="1"/>
  <c r="M1753" i="1"/>
  <c r="AD1752" i="1"/>
  <c r="AC1752" i="1"/>
  <c r="AB1752" i="1"/>
  <c r="AA1752" i="1"/>
  <c r="Z1752" i="1"/>
  <c r="V1752" i="1"/>
  <c r="N1752" i="1"/>
  <c r="O1752" i="1"/>
  <c r="L1752" i="1"/>
  <c r="K1752" i="1"/>
  <c r="J1752" i="1"/>
  <c r="AD1751" i="1"/>
  <c r="AC1751" i="1"/>
  <c r="AB1751" i="1"/>
  <c r="AA1751" i="1"/>
  <c r="Z1751" i="1"/>
  <c r="V1751" i="1"/>
  <c r="N1751" i="1"/>
  <c r="O1751" i="1"/>
  <c r="M1751" i="1"/>
  <c r="AD1750" i="1"/>
  <c r="AC1750" i="1"/>
  <c r="AB1750" i="1"/>
  <c r="AA1750" i="1"/>
  <c r="Z1750" i="1"/>
  <c r="V1750" i="1"/>
  <c r="N1750" i="1"/>
  <c r="L1750" i="1"/>
  <c r="K1750" i="1"/>
  <c r="J1750" i="1"/>
  <c r="AD1749" i="1"/>
  <c r="AC1749" i="1"/>
  <c r="AB1749" i="1"/>
  <c r="AA1749" i="1"/>
  <c r="Z1749" i="1"/>
  <c r="V1749" i="1"/>
  <c r="N1749" i="1"/>
  <c r="M1749" i="1"/>
  <c r="AD1748" i="1"/>
  <c r="AC1748" i="1"/>
  <c r="AB1748" i="1"/>
  <c r="AA1748" i="1"/>
  <c r="Z1748" i="1"/>
  <c r="V1748" i="1"/>
  <c r="N1748" i="1"/>
  <c r="L1748" i="1"/>
  <c r="K1748" i="1"/>
  <c r="J1748" i="1"/>
  <c r="AD1747" i="1"/>
  <c r="AC1747" i="1"/>
  <c r="AB1747" i="1"/>
  <c r="AA1747" i="1"/>
  <c r="Z1747" i="1"/>
  <c r="V1747" i="1"/>
  <c r="N1747" i="1"/>
  <c r="R1747" i="1"/>
  <c r="M1747" i="1"/>
  <c r="AD1746" i="1"/>
  <c r="AC1746" i="1"/>
  <c r="AB1746" i="1"/>
  <c r="AA1746" i="1"/>
  <c r="Z1746" i="1"/>
  <c r="V1746" i="1"/>
  <c r="N1746" i="1"/>
  <c r="L1746" i="1"/>
  <c r="K1746" i="1"/>
  <c r="AD1745" i="1"/>
  <c r="AC1745" i="1"/>
  <c r="AB1745" i="1"/>
  <c r="AA1745" i="1"/>
  <c r="Z1745" i="1"/>
  <c r="V1745" i="1"/>
  <c r="N1745" i="1"/>
  <c r="R1745" i="1"/>
  <c r="M1745" i="1"/>
  <c r="AD1744" i="1"/>
  <c r="AC1744" i="1"/>
  <c r="AB1744" i="1"/>
  <c r="AA1744" i="1"/>
  <c r="Z1744" i="1"/>
  <c r="V1744" i="1"/>
  <c r="N1744" i="1"/>
  <c r="L1744" i="1"/>
  <c r="K1744" i="1"/>
  <c r="J1744" i="1"/>
  <c r="M1744" i="1"/>
  <c r="AD1743" i="1"/>
  <c r="AC1743" i="1"/>
  <c r="AB1743" i="1"/>
  <c r="AA1743" i="1"/>
  <c r="Z1743" i="1"/>
  <c r="V1743" i="1"/>
  <c r="N1743" i="1"/>
  <c r="M1743" i="1"/>
  <c r="AD1742" i="1"/>
  <c r="AC1742" i="1"/>
  <c r="AB1742" i="1"/>
  <c r="AA1742" i="1"/>
  <c r="Z1742" i="1"/>
  <c r="V1742" i="1"/>
  <c r="N1742" i="1"/>
  <c r="R1742" i="1"/>
  <c r="M1742" i="1"/>
  <c r="AD1741" i="1"/>
  <c r="AC1741" i="1"/>
  <c r="AB1741" i="1"/>
  <c r="AA1741" i="1"/>
  <c r="Z1741" i="1"/>
  <c r="V1741" i="1"/>
  <c r="N1741" i="1"/>
  <c r="R1741" i="1"/>
  <c r="M1741" i="1"/>
  <c r="AD1740" i="1"/>
  <c r="AC1740" i="1"/>
  <c r="AB1740" i="1"/>
  <c r="AA1740" i="1"/>
  <c r="Z1740" i="1"/>
  <c r="V1740" i="1"/>
  <c r="N1740" i="1"/>
  <c r="O1740" i="1"/>
  <c r="L1740" i="1"/>
  <c r="K1740" i="1"/>
  <c r="J1740" i="1"/>
  <c r="AD1739" i="1"/>
  <c r="AC1739" i="1"/>
  <c r="AB1739" i="1"/>
  <c r="AA1739" i="1"/>
  <c r="Z1739" i="1"/>
  <c r="V1739" i="1"/>
  <c r="N1739" i="1"/>
  <c r="L1739" i="1"/>
  <c r="R1739" i="1"/>
  <c r="K1739" i="1"/>
  <c r="J1739" i="1"/>
  <c r="AD1738" i="1"/>
  <c r="AC1738" i="1"/>
  <c r="AB1738" i="1"/>
  <c r="AA1738" i="1"/>
  <c r="Z1738" i="1"/>
  <c r="V1738" i="1"/>
  <c r="N1738" i="1"/>
  <c r="M1738" i="1"/>
  <c r="AD1737" i="1"/>
  <c r="AC1737" i="1"/>
  <c r="AB1737" i="1"/>
  <c r="AA1737" i="1"/>
  <c r="Z1737" i="1"/>
  <c r="V1737" i="1"/>
  <c r="N1737" i="1"/>
  <c r="R1737" i="1"/>
  <c r="M1737" i="1"/>
  <c r="AD1736" i="1"/>
  <c r="AC1736" i="1"/>
  <c r="AB1736" i="1"/>
  <c r="AA1736" i="1"/>
  <c r="Z1736" i="1"/>
  <c r="V1736" i="1"/>
  <c r="N1736" i="1"/>
  <c r="L1736" i="1"/>
  <c r="K1736" i="1"/>
  <c r="J1736" i="1"/>
  <c r="AD1735" i="1"/>
  <c r="AC1735" i="1"/>
  <c r="AB1735" i="1"/>
  <c r="AA1735" i="1"/>
  <c r="Z1735" i="1"/>
  <c r="V1735" i="1"/>
  <c r="N1735" i="1"/>
  <c r="R1735" i="1"/>
  <c r="M1735" i="1"/>
  <c r="AD1734" i="1"/>
  <c r="AC1734" i="1"/>
  <c r="AB1734" i="1"/>
  <c r="AA1734" i="1"/>
  <c r="Z1734" i="1"/>
  <c r="V1734" i="1"/>
  <c r="N1734" i="1"/>
  <c r="R1734" i="1"/>
  <c r="K1734" i="1"/>
  <c r="J1734" i="1"/>
  <c r="AD1733" i="1"/>
  <c r="AC1733" i="1"/>
  <c r="AB1733" i="1"/>
  <c r="AA1733" i="1"/>
  <c r="Z1733" i="1"/>
  <c r="AD1732" i="1"/>
  <c r="AC1732" i="1"/>
  <c r="AB1732" i="1"/>
  <c r="AA1732" i="1"/>
  <c r="Z1732" i="1"/>
  <c r="V1732" i="1"/>
  <c r="N1732" i="1"/>
  <c r="M1732" i="1"/>
  <c r="AD1731" i="1"/>
  <c r="AC1731" i="1"/>
  <c r="AB1731" i="1"/>
  <c r="AA1731" i="1"/>
  <c r="Z1731" i="1"/>
  <c r="V1731" i="1"/>
  <c r="N1731" i="1"/>
  <c r="AD1730" i="1"/>
  <c r="AC1730" i="1"/>
  <c r="AB1730" i="1"/>
  <c r="AA1730" i="1"/>
  <c r="Z1730" i="1"/>
  <c r="V1730" i="1"/>
  <c r="N1730" i="1"/>
  <c r="O1730" i="1"/>
  <c r="L1730" i="1"/>
  <c r="J1730" i="1"/>
  <c r="AD1729" i="1"/>
  <c r="AC1729" i="1"/>
  <c r="AB1729" i="1"/>
  <c r="AA1729" i="1"/>
  <c r="Z1729" i="1"/>
  <c r="AD1728" i="1"/>
  <c r="AC1728" i="1"/>
  <c r="AB1728" i="1"/>
  <c r="AA1728" i="1"/>
  <c r="Z1728" i="1"/>
  <c r="V1728" i="1"/>
  <c r="N1728" i="1"/>
  <c r="O1728" i="1"/>
  <c r="M1728" i="1"/>
  <c r="AD1727" i="1"/>
  <c r="AC1727" i="1"/>
  <c r="AB1727" i="1"/>
  <c r="AA1727" i="1"/>
  <c r="Z1727" i="1"/>
  <c r="V1727" i="1"/>
  <c r="N1727" i="1"/>
  <c r="R1727" i="1"/>
  <c r="J1727" i="1"/>
  <c r="M1727" i="1"/>
  <c r="AD1726" i="1"/>
  <c r="AC1726" i="1"/>
  <c r="AB1726" i="1"/>
  <c r="AA1726" i="1"/>
  <c r="Z1726" i="1"/>
  <c r="AD1725" i="1"/>
  <c r="AC1725" i="1"/>
  <c r="AB1725" i="1"/>
  <c r="AA1725" i="1"/>
  <c r="Z1725" i="1"/>
  <c r="AD1724" i="1"/>
  <c r="AC1724" i="1"/>
  <c r="AB1724" i="1"/>
  <c r="AA1724" i="1"/>
  <c r="Z1724" i="1"/>
  <c r="AD1723" i="1"/>
  <c r="AC1723" i="1"/>
  <c r="AB1723" i="1"/>
  <c r="AA1723" i="1"/>
  <c r="Z1723" i="1"/>
  <c r="V1723" i="1"/>
  <c r="N1723" i="1"/>
  <c r="Q1723" i="1"/>
  <c r="M1723" i="1"/>
  <c r="AD1722" i="1"/>
  <c r="AC1722" i="1"/>
  <c r="AB1722" i="1"/>
  <c r="AA1722" i="1"/>
  <c r="Z1722" i="1"/>
  <c r="V1722" i="1"/>
  <c r="N1722" i="1"/>
  <c r="M1722" i="1"/>
  <c r="AD1721" i="1"/>
  <c r="AC1721" i="1"/>
  <c r="AB1721" i="1"/>
  <c r="AA1721" i="1"/>
  <c r="Z1721" i="1"/>
  <c r="V1721" i="1"/>
  <c r="N1721" i="1"/>
  <c r="M1721" i="1"/>
  <c r="AD1720" i="1"/>
  <c r="AC1720" i="1"/>
  <c r="AB1720" i="1"/>
  <c r="AA1720" i="1"/>
  <c r="Z1720" i="1"/>
  <c r="V1720" i="1"/>
  <c r="N1720" i="1"/>
  <c r="M1720" i="1"/>
  <c r="AD1719" i="1"/>
  <c r="AC1719" i="1"/>
  <c r="AB1719" i="1"/>
  <c r="AA1719" i="1"/>
  <c r="Z1719" i="1"/>
  <c r="AD1718" i="1"/>
  <c r="AC1718" i="1"/>
  <c r="AB1718" i="1"/>
  <c r="AA1718" i="1"/>
  <c r="Z1718" i="1"/>
  <c r="V1718" i="1"/>
  <c r="N1718" i="1"/>
  <c r="P1718" i="1"/>
  <c r="M1718" i="1"/>
  <c r="AD1717" i="1"/>
  <c r="AC1717" i="1"/>
  <c r="AB1717" i="1"/>
  <c r="AA1717" i="1"/>
  <c r="Z1717" i="1"/>
  <c r="V1717" i="1"/>
  <c r="N1717" i="1"/>
  <c r="M1717" i="1"/>
  <c r="AD1716" i="1"/>
  <c r="AC1716" i="1"/>
  <c r="AB1716" i="1"/>
  <c r="AA1716" i="1"/>
  <c r="Z1716" i="1"/>
  <c r="V1716" i="1"/>
  <c r="N1716" i="1"/>
  <c r="M1716" i="1"/>
  <c r="AD1715" i="1"/>
  <c r="AC1715" i="1"/>
  <c r="AB1715" i="1"/>
  <c r="AA1715" i="1"/>
  <c r="Z1715" i="1"/>
  <c r="AD1714" i="1"/>
  <c r="AC1714" i="1"/>
  <c r="AB1714" i="1"/>
  <c r="AA1714" i="1"/>
  <c r="Z1714" i="1"/>
  <c r="V1714" i="1"/>
  <c r="N1714" i="1"/>
  <c r="K1714" i="1"/>
  <c r="M1714" i="1"/>
  <c r="AD1713" i="1"/>
  <c r="AC1713" i="1"/>
  <c r="AB1713" i="1"/>
  <c r="AA1713" i="1"/>
  <c r="Z1713" i="1"/>
  <c r="AD1712" i="1"/>
  <c r="AC1712" i="1"/>
  <c r="AB1712" i="1"/>
  <c r="AA1712" i="1"/>
  <c r="Z1712" i="1"/>
  <c r="V1712" i="1"/>
  <c r="N1712" i="1"/>
  <c r="J1712" i="1"/>
  <c r="M1712" i="1"/>
  <c r="AD1711" i="1"/>
  <c r="AC1711" i="1"/>
  <c r="AB1711" i="1"/>
  <c r="AA1711" i="1"/>
  <c r="Z1711" i="1"/>
  <c r="V1711" i="1"/>
  <c r="N1711" i="1"/>
  <c r="J1711" i="1"/>
  <c r="M1711" i="1"/>
  <c r="AD1710" i="1"/>
  <c r="AC1710" i="1"/>
  <c r="AB1710" i="1"/>
  <c r="AA1710" i="1"/>
  <c r="Z1710" i="1"/>
  <c r="V1710" i="1"/>
  <c r="N1710" i="1"/>
  <c r="O1710" i="1"/>
  <c r="J1710" i="1"/>
  <c r="M1710" i="1"/>
  <c r="AD1709" i="1"/>
  <c r="AC1709" i="1"/>
  <c r="AB1709" i="1"/>
  <c r="AA1709" i="1"/>
  <c r="Z1709" i="1"/>
  <c r="AD1708" i="1"/>
  <c r="AC1708" i="1"/>
  <c r="AB1708" i="1"/>
  <c r="AA1708" i="1"/>
  <c r="Z1708" i="1"/>
  <c r="AD1707" i="1"/>
  <c r="AC1707" i="1"/>
  <c r="AB1707" i="1"/>
  <c r="AA1707" i="1"/>
  <c r="Z1707" i="1"/>
  <c r="V1707" i="1"/>
  <c r="N1707" i="1"/>
  <c r="O1707" i="1"/>
  <c r="L1707" i="1"/>
  <c r="K1707" i="1"/>
  <c r="J1707" i="1"/>
  <c r="AD1706" i="1"/>
  <c r="AC1706" i="1"/>
  <c r="AB1706" i="1"/>
  <c r="AA1706" i="1"/>
  <c r="Z1706" i="1"/>
  <c r="AD1705" i="1"/>
  <c r="AC1705" i="1"/>
  <c r="AB1705" i="1"/>
  <c r="AA1705" i="1"/>
  <c r="Z1705" i="1"/>
  <c r="V1705" i="1"/>
  <c r="N1705" i="1"/>
  <c r="M1705" i="1"/>
  <c r="AD1704" i="1"/>
  <c r="AC1704" i="1"/>
  <c r="AB1704" i="1"/>
  <c r="AA1704" i="1"/>
  <c r="Z1704" i="1"/>
  <c r="V1704" i="1"/>
  <c r="N1704" i="1"/>
  <c r="M1704" i="1"/>
  <c r="AD1703" i="1"/>
  <c r="AC1703" i="1"/>
  <c r="AB1703" i="1"/>
  <c r="AA1703" i="1"/>
  <c r="Z1703" i="1"/>
  <c r="V1703" i="1"/>
  <c r="N1703" i="1"/>
  <c r="L1703" i="1"/>
  <c r="K1703" i="1"/>
  <c r="J1703" i="1"/>
  <c r="AD1702" i="1"/>
  <c r="AC1702" i="1"/>
  <c r="AB1702" i="1"/>
  <c r="AA1702" i="1"/>
  <c r="Z1702" i="1"/>
  <c r="V1702" i="1"/>
  <c r="N1702" i="1"/>
  <c r="L1702" i="1"/>
  <c r="K1702" i="1"/>
  <c r="J1702" i="1"/>
  <c r="AD1701" i="1"/>
  <c r="AC1701" i="1"/>
  <c r="AB1701" i="1"/>
  <c r="AA1701" i="1"/>
  <c r="Z1701" i="1"/>
  <c r="AD1700" i="1"/>
  <c r="AC1700" i="1"/>
  <c r="AB1700" i="1"/>
  <c r="AA1700" i="1"/>
  <c r="Z1700" i="1"/>
  <c r="V1700" i="1"/>
  <c r="N1700" i="1"/>
  <c r="O1700" i="1"/>
  <c r="J1700" i="1"/>
  <c r="M1700" i="1"/>
  <c r="AD1699" i="1"/>
  <c r="AC1699" i="1"/>
  <c r="AB1699" i="1"/>
  <c r="AA1699" i="1"/>
  <c r="Z1699" i="1"/>
  <c r="AD1698" i="1"/>
  <c r="AC1698" i="1"/>
  <c r="AB1698" i="1"/>
  <c r="AA1698" i="1"/>
  <c r="Z1698" i="1"/>
  <c r="V1698" i="1"/>
  <c r="N1698" i="1"/>
  <c r="Q1698" i="1"/>
  <c r="M1698" i="1"/>
  <c r="AD1697" i="1"/>
  <c r="AC1697" i="1"/>
  <c r="AB1697" i="1"/>
  <c r="AA1697" i="1"/>
  <c r="Z1697" i="1"/>
  <c r="V1697" i="1"/>
  <c r="N1697" i="1"/>
  <c r="Q1697" i="1"/>
  <c r="J1697" i="1"/>
  <c r="M1697" i="1"/>
  <c r="AD1696" i="1"/>
  <c r="AC1696" i="1"/>
  <c r="AB1696" i="1"/>
  <c r="AA1696" i="1"/>
  <c r="Z1696" i="1"/>
  <c r="V1696" i="1"/>
  <c r="N1696" i="1"/>
  <c r="J1696" i="1"/>
  <c r="M1696" i="1"/>
  <c r="AD1695" i="1"/>
  <c r="AC1695" i="1"/>
  <c r="AB1695" i="1"/>
  <c r="AA1695" i="1"/>
  <c r="Z1695" i="1"/>
  <c r="V1695" i="1"/>
  <c r="N1695" i="1"/>
  <c r="J1695" i="1"/>
  <c r="M1695" i="1"/>
  <c r="AD1694" i="1"/>
  <c r="AC1694" i="1"/>
  <c r="AB1694" i="1"/>
  <c r="AA1694" i="1"/>
  <c r="Z1694" i="1"/>
  <c r="V1694" i="1"/>
  <c r="N1694" i="1"/>
  <c r="P1694" i="1"/>
  <c r="M1694" i="1"/>
  <c r="AD1693" i="1"/>
  <c r="AC1693" i="1"/>
  <c r="AB1693" i="1"/>
  <c r="AA1693" i="1"/>
  <c r="Z1693" i="1"/>
  <c r="AD1692" i="1"/>
  <c r="AC1692" i="1"/>
  <c r="AB1692" i="1"/>
  <c r="AA1692" i="1"/>
  <c r="Z1692" i="1"/>
  <c r="AD1691" i="1"/>
  <c r="AC1691" i="1"/>
  <c r="AB1691" i="1"/>
  <c r="AA1691" i="1"/>
  <c r="Z1691" i="1"/>
  <c r="V1691" i="1"/>
  <c r="N1691" i="1"/>
  <c r="M1691" i="1"/>
  <c r="AD1690" i="1"/>
  <c r="AC1690" i="1"/>
  <c r="AB1690" i="1"/>
  <c r="AA1690" i="1"/>
  <c r="Z1690" i="1"/>
  <c r="V1690" i="1"/>
  <c r="N1690" i="1"/>
  <c r="R1690" i="1"/>
  <c r="M1690" i="1"/>
  <c r="AD1689" i="1"/>
  <c r="AC1689" i="1"/>
  <c r="AB1689" i="1"/>
  <c r="AA1689" i="1"/>
  <c r="Z1689" i="1"/>
  <c r="V1689" i="1"/>
  <c r="N1689" i="1"/>
  <c r="M1689" i="1"/>
  <c r="AD1688" i="1"/>
  <c r="AC1688" i="1"/>
  <c r="AB1688" i="1"/>
  <c r="AA1688" i="1"/>
  <c r="Z1688" i="1"/>
  <c r="AD1687" i="1"/>
  <c r="AC1687" i="1"/>
  <c r="AB1687" i="1"/>
  <c r="AA1687" i="1"/>
  <c r="Z1687" i="1"/>
  <c r="V1687" i="1"/>
  <c r="N1687" i="1"/>
  <c r="P1687" i="1"/>
  <c r="K1687" i="1"/>
  <c r="M1687" i="1"/>
  <c r="AD1686" i="1"/>
  <c r="AC1686" i="1"/>
  <c r="AB1686" i="1"/>
  <c r="AA1686" i="1"/>
  <c r="Z1686" i="1"/>
  <c r="AD1685" i="1"/>
  <c r="AC1685" i="1"/>
  <c r="AB1685" i="1"/>
  <c r="AA1685" i="1"/>
  <c r="Z1685" i="1"/>
  <c r="V1685" i="1"/>
  <c r="N1685" i="1"/>
  <c r="R1685" i="1"/>
  <c r="M1685" i="1"/>
  <c r="AD1684" i="1"/>
  <c r="AC1684" i="1"/>
  <c r="AB1684" i="1"/>
  <c r="AA1684" i="1"/>
  <c r="Z1684" i="1"/>
  <c r="V1684" i="1"/>
  <c r="N1684" i="1"/>
  <c r="J1684" i="1"/>
  <c r="M1684" i="1"/>
  <c r="AD1683" i="1"/>
  <c r="AC1683" i="1"/>
  <c r="AB1683" i="1"/>
  <c r="AA1683" i="1"/>
  <c r="Z1683" i="1"/>
  <c r="V1683" i="1"/>
  <c r="N1683" i="1"/>
  <c r="Q1683" i="1"/>
  <c r="J1683" i="1"/>
  <c r="M1683" i="1"/>
  <c r="AD1682" i="1"/>
  <c r="AC1682" i="1"/>
  <c r="AB1682" i="1"/>
  <c r="AA1682" i="1"/>
  <c r="Z1682" i="1"/>
  <c r="V1682" i="1"/>
  <c r="N1682" i="1"/>
  <c r="O1682" i="1"/>
  <c r="J1682" i="1"/>
  <c r="M1682" i="1"/>
  <c r="AD1681" i="1"/>
  <c r="AC1681" i="1"/>
  <c r="AB1681" i="1"/>
  <c r="AA1681" i="1"/>
  <c r="Z1681" i="1"/>
  <c r="AD1680" i="1"/>
  <c r="AC1680" i="1"/>
  <c r="AB1680" i="1"/>
  <c r="AA1680" i="1"/>
  <c r="Z1680" i="1"/>
  <c r="AD1679" i="1"/>
  <c r="AC1679" i="1"/>
  <c r="AB1679" i="1"/>
  <c r="AA1679" i="1"/>
  <c r="Z1679" i="1"/>
  <c r="V1679" i="1"/>
  <c r="N1679" i="1"/>
  <c r="J1679" i="1"/>
  <c r="M1679" i="1"/>
  <c r="AD1678" i="1"/>
  <c r="AC1678" i="1"/>
  <c r="AB1678" i="1"/>
  <c r="AA1678" i="1"/>
  <c r="Z1678" i="1"/>
  <c r="V1678" i="1"/>
  <c r="N1678" i="1"/>
  <c r="P1678" i="1"/>
  <c r="M1678" i="1"/>
  <c r="AD1677" i="1"/>
  <c r="AC1677" i="1"/>
  <c r="AB1677" i="1"/>
  <c r="AA1677" i="1"/>
  <c r="Z1677" i="1"/>
  <c r="AD1676" i="1"/>
  <c r="AC1676" i="1"/>
  <c r="AB1676" i="1"/>
  <c r="AA1676" i="1"/>
  <c r="Z1676" i="1"/>
  <c r="V1676" i="1"/>
  <c r="N1676" i="1"/>
  <c r="M1676" i="1"/>
  <c r="AD1675" i="1"/>
  <c r="AC1675" i="1"/>
  <c r="AB1675" i="1"/>
  <c r="AA1675" i="1"/>
  <c r="Z1675" i="1"/>
  <c r="V1675" i="1"/>
  <c r="N1675" i="1"/>
  <c r="O1675" i="1"/>
  <c r="M1675" i="1"/>
  <c r="AD1674" i="1"/>
  <c r="AC1674" i="1"/>
  <c r="AB1674" i="1"/>
  <c r="AA1674" i="1"/>
  <c r="Z1674" i="1"/>
  <c r="AD1673" i="1"/>
  <c r="AC1673" i="1"/>
  <c r="AB1673" i="1"/>
  <c r="AA1673" i="1"/>
  <c r="Z1673" i="1"/>
  <c r="V1673" i="1"/>
  <c r="N1673" i="1"/>
  <c r="Q1673" i="1"/>
  <c r="M1673" i="1"/>
  <c r="AD1672" i="1"/>
  <c r="AC1672" i="1"/>
  <c r="AB1672" i="1"/>
  <c r="AA1672" i="1"/>
  <c r="Z1672" i="1"/>
  <c r="V1672" i="1"/>
  <c r="N1672" i="1"/>
  <c r="M1672" i="1"/>
  <c r="AD1671" i="1"/>
  <c r="AC1671" i="1"/>
  <c r="AB1671" i="1"/>
  <c r="AA1671" i="1"/>
  <c r="Z1671" i="1"/>
  <c r="AD1670" i="1"/>
  <c r="AC1670" i="1"/>
  <c r="AB1670" i="1"/>
  <c r="AA1670" i="1"/>
  <c r="Z1670" i="1"/>
  <c r="AD1669" i="1"/>
  <c r="AC1669" i="1"/>
  <c r="AB1669" i="1"/>
  <c r="AA1669" i="1"/>
  <c r="Z1669" i="1"/>
  <c r="V1669" i="1"/>
  <c r="N1669" i="1"/>
  <c r="AD1668" i="1"/>
  <c r="AC1668" i="1"/>
  <c r="AB1668" i="1"/>
  <c r="AA1668" i="1"/>
  <c r="Z1668" i="1"/>
  <c r="AD1667" i="1"/>
  <c r="AC1667" i="1"/>
  <c r="AB1667" i="1"/>
  <c r="AA1667" i="1"/>
  <c r="Z1667" i="1"/>
  <c r="V1667" i="1"/>
  <c r="N1667" i="1"/>
  <c r="Q1667" i="1"/>
  <c r="M1667" i="1"/>
  <c r="AD1666" i="1"/>
  <c r="AC1666" i="1"/>
  <c r="AB1666" i="1"/>
  <c r="AA1666" i="1"/>
  <c r="Z1666" i="1"/>
  <c r="V1666" i="1"/>
  <c r="N1666" i="1"/>
  <c r="R1666" i="1"/>
  <c r="M1666" i="1"/>
  <c r="AD1665" i="1"/>
  <c r="AC1665" i="1"/>
  <c r="AB1665" i="1"/>
  <c r="AA1665" i="1"/>
  <c r="Z1665" i="1"/>
  <c r="V1665" i="1"/>
  <c r="N1665" i="1"/>
  <c r="M1665" i="1"/>
  <c r="AD1664" i="1"/>
  <c r="AC1664" i="1"/>
  <c r="AB1664" i="1"/>
  <c r="AA1664" i="1"/>
  <c r="Z1664" i="1"/>
  <c r="V1664" i="1"/>
  <c r="N1664" i="1"/>
  <c r="K1664" i="1"/>
  <c r="M1664" i="1"/>
  <c r="AD1663" i="1"/>
  <c r="AC1663" i="1"/>
  <c r="AB1663" i="1"/>
  <c r="AA1663" i="1"/>
  <c r="Z1663" i="1"/>
  <c r="AD1662" i="1"/>
  <c r="AC1662" i="1"/>
  <c r="AB1662" i="1"/>
  <c r="AA1662" i="1"/>
  <c r="Z1662" i="1"/>
  <c r="V1662" i="1"/>
  <c r="N1662" i="1"/>
  <c r="K1662" i="1"/>
  <c r="AD1661" i="1"/>
  <c r="AC1661" i="1"/>
  <c r="AB1661" i="1"/>
  <c r="AA1661" i="1"/>
  <c r="Z1661" i="1"/>
  <c r="V1661" i="1"/>
  <c r="N1661" i="1"/>
  <c r="K1661" i="1"/>
  <c r="M1661" i="1"/>
  <c r="AD1660" i="1"/>
  <c r="AC1660" i="1"/>
  <c r="AB1660" i="1"/>
  <c r="AA1660" i="1"/>
  <c r="Z1660" i="1"/>
  <c r="V1660" i="1"/>
  <c r="N1660" i="1"/>
  <c r="O1660" i="1"/>
  <c r="K1660" i="1"/>
  <c r="AD1659" i="1"/>
  <c r="AC1659" i="1"/>
  <c r="AB1659" i="1"/>
  <c r="AA1659" i="1"/>
  <c r="Z1659" i="1"/>
  <c r="V1659" i="1"/>
  <c r="N1659" i="1"/>
  <c r="M1659" i="1"/>
  <c r="AD1658" i="1"/>
  <c r="AC1658" i="1"/>
  <c r="AB1658" i="1"/>
  <c r="AA1658" i="1"/>
  <c r="Z1658" i="1"/>
  <c r="V1658" i="1"/>
  <c r="N1658" i="1"/>
  <c r="Q1658" i="1"/>
  <c r="M1658" i="1"/>
  <c r="AD1657" i="1"/>
  <c r="AC1657" i="1"/>
  <c r="AB1657" i="1"/>
  <c r="AA1657" i="1"/>
  <c r="Z1657" i="1"/>
  <c r="V1657" i="1"/>
  <c r="N1657" i="1"/>
  <c r="M1657" i="1"/>
  <c r="AD1656" i="1"/>
  <c r="AC1656" i="1"/>
  <c r="AB1656" i="1"/>
  <c r="AA1656" i="1"/>
  <c r="Z1656" i="1"/>
  <c r="AD1655" i="1"/>
  <c r="AC1655" i="1"/>
  <c r="AB1655" i="1"/>
  <c r="AA1655" i="1"/>
  <c r="Z1655" i="1"/>
  <c r="AD1654" i="1"/>
  <c r="AC1654" i="1"/>
  <c r="AB1654" i="1"/>
  <c r="AA1654" i="1"/>
  <c r="Z1654" i="1"/>
  <c r="AD1653" i="1"/>
  <c r="AC1653" i="1"/>
  <c r="AB1653" i="1"/>
  <c r="AA1653" i="1"/>
  <c r="Z1653" i="1"/>
  <c r="V1653" i="1"/>
  <c r="N1653" i="1"/>
  <c r="Q1653" i="1"/>
  <c r="M1653" i="1"/>
  <c r="AD1652" i="1"/>
  <c r="AC1652" i="1"/>
  <c r="AB1652" i="1"/>
  <c r="AA1652" i="1"/>
  <c r="Z1652" i="1"/>
  <c r="V1652" i="1"/>
  <c r="N1652" i="1"/>
  <c r="Q1652" i="1"/>
  <c r="M1652" i="1"/>
  <c r="AD1651" i="1"/>
  <c r="AC1651" i="1"/>
  <c r="AB1651" i="1"/>
  <c r="AA1651" i="1"/>
  <c r="Z1651" i="1"/>
  <c r="V1651" i="1"/>
  <c r="N1651" i="1"/>
  <c r="Q1651" i="1"/>
  <c r="M1651" i="1"/>
  <c r="AD1650" i="1"/>
  <c r="AC1650" i="1"/>
  <c r="AB1650" i="1"/>
  <c r="AA1650" i="1"/>
  <c r="Z1650" i="1"/>
  <c r="V1650" i="1"/>
  <c r="N1650" i="1"/>
  <c r="L1650" i="1"/>
  <c r="K1650" i="1"/>
  <c r="J1650" i="1"/>
  <c r="AD1649" i="1"/>
  <c r="AC1649" i="1"/>
  <c r="AB1649" i="1"/>
  <c r="AA1649" i="1"/>
  <c r="Z1649" i="1"/>
  <c r="V1649" i="1"/>
  <c r="N1649" i="1"/>
  <c r="L1649" i="1"/>
  <c r="K1649" i="1"/>
  <c r="J1649" i="1"/>
  <c r="AD1648" i="1"/>
  <c r="AC1648" i="1"/>
  <c r="AB1648" i="1"/>
  <c r="AA1648" i="1"/>
  <c r="Z1648" i="1"/>
  <c r="V1648" i="1"/>
  <c r="N1648" i="1"/>
  <c r="L1648" i="1"/>
  <c r="K1648" i="1"/>
  <c r="J1648" i="1"/>
  <c r="AD1647" i="1"/>
  <c r="AC1647" i="1"/>
  <c r="AB1647" i="1"/>
  <c r="AA1647" i="1"/>
  <c r="Z1647" i="1"/>
  <c r="AD1646" i="1"/>
  <c r="AC1646" i="1"/>
  <c r="AB1646" i="1"/>
  <c r="AA1646" i="1"/>
  <c r="Z1646" i="1"/>
  <c r="V1646" i="1"/>
  <c r="N1646" i="1"/>
  <c r="R1646" i="1"/>
  <c r="J1646" i="1"/>
  <c r="M1646" i="1"/>
  <c r="AD1645" i="1"/>
  <c r="AC1645" i="1"/>
  <c r="AB1645" i="1"/>
  <c r="AA1645" i="1"/>
  <c r="Z1645" i="1"/>
  <c r="V1645" i="1"/>
  <c r="N1645" i="1"/>
  <c r="P1645" i="1"/>
  <c r="M1645" i="1"/>
  <c r="AD1644" i="1"/>
  <c r="AC1644" i="1"/>
  <c r="AB1644" i="1"/>
  <c r="AA1644" i="1"/>
  <c r="Z1644" i="1"/>
  <c r="V1644" i="1"/>
  <c r="N1644" i="1"/>
  <c r="Q1644" i="1"/>
  <c r="J1644" i="1"/>
  <c r="M1644" i="1"/>
  <c r="AD1643" i="1"/>
  <c r="AC1643" i="1"/>
  <c r="AB1643" i="1"/>
  <c r="AA1643" i="1"/>
  <c r="Z1643" i="1"/>
  <c r="V1643" i="1"/>
  <c r="N1643" i="1"/>
  <c r="J1643" i="1"/>
  <c r="M1643" i="1"/>
  <c r="AD1642" i="1"/>
  <c r="AC1642" i="1"/>
  <c r="AB1642" i="1"/>
  <c r="AA1642" i="1"/>
  <c r="Z1642" i="1"/>
  <c r="V1642" i="1"/>
  <c r="N1642" i="1"/>
  <c r="M1642" i="1"/>
  <c r="AD1641" i="1"/>
  <c r="AC1641" i="1"/>
  <c r="AB1641" i="1"/>
  <c r="AA1641" i="1"/>
  <c r="Z1641" i="1"/>
  <c r="V1641" i="1"/>
  <c r="N1641" i="1"/>
  <c r="Q1641" i="1"/>
  <c r="J1641" i="1"/>
  <c r="M1641" i="1"/>
  <c r="AD1640" i="1"/>
  <c r="AC1640" i="1"/>
  <c r="AB1640" i="1"/>
  <c r="AA1640" i="1"/>
  <c r="Z1640" i="1"/>
  <c r="AD1639" i="1"/>
  <c r="AC1639" i="1"/>
  <c r="AB1639" i="1"/>
  <c r="AA1639" i="1"/>
  <c r="Z1639" i="1"/>
  <c r="V1639" i="1"/>
  <c r="AD1638" i="1"/>
  <c r="AC1638" i="1"/>
  <c r="AB1638" i="1"/>
  <c r="AA1638" i="1"/>
  <c r="Z1638" i="1"/>
  <c r="AD1637" i="1"/>
  <c r="AC1637" i="1"/>
  <c r="AB1637" i="1"/>
  <c r="AA1637" i="1"/>
  <c r="Z1637" i="1"/>
  <c r="AD1636" i="1"/>
  <c r="AC1636" i="1"/>
  <c r="AB1636" i="1"/>
  <c r="AA1636" i="1"/>
  <c r="Z1636" i="1"/>
  <c r="V1636" i="1"/>
  <c r="N1636" i="1"/>
  <c r="P1636" i="1"/>
  <c r="M1636" i="1"/>
  <c r="AD1635" i="1"/>
  <c r="AC1635" i="1"/>
  <c r="AB1635" i="1"/>
  <c r="AA1635" i="1"/>
  <c r="Z1635" i="1"/>
  <c r="V1635" i="1"/>
  <c r="N1635" i="1"/>
  <c r="AD1634" i="1"/>
  <c r="AC1634" i="1"/>
  <c r="AB1634" i="1"/>
  <c r="AA1634" i="1"/>
  <c r="Z1634" i="1"/>
  <c r="V1634" i="1"/>
  <c r="N1634" i="1"/>
  <c r="AD1633" i="1"/>
  <c r="AC1633" i="1"/>
  <c r="AB1633" i="1"/>
  <c r="AA1633" i="1"/>
  <c r="Z1633" i="1"/>
  <c r="V1633" i="1"/>
  <c r="N1633" i="1"/>
  <c r="L1633" i="1"/>
  <c r="K1633" i="1"/>
  <c r="J1633" i="1"/>
  <c r="AD1632" i="1"/>
  <c r="AC1632" i="1"/>
  <c r="AB1632" i="1"/>
  <c r="AA1632" i="1"/>
  <c r="Z1632" i="1"/>
  <c r="V1632" i="1"/>
  <c r="N1632" i="1"/>
  <c r="L1632" i="1"/>
  <c r="K1632" i="1"/>
  <c r="J1632" i="1"/>
  <c r="AD1631" i="1"/>
  <c r="AC1631" i="1"/>
  <c r="AB1631" i="1"/>
  <c r="AA1631" i="1"/>
  <c r="Z1631" i="1"/>
  <c r="V1631" i="1"/>
  <c r="N1631" i="1"/>
  <c r="K1631" i="1"/>
  <c r="J1631" i="1"/>
  <c r="AD1630" i="1"/>
  <c r="AC1630" i="1"/>
  <c r="AB1630" i="1"/>
  <c r="AA1630" i="1"/>
  <c r="Z1630" i="1"/>
  <c r="V1630" i="1"/>
  <c r="N1630" i="1"/>
  <c r="R1630" i="1"/>
  <c r="K1630" i="1"/>
  <c r="J1630" i="1"/>
  <c r="AD1629" i="1"/>
  <c r="AC1629" i="1"/>
  <c r="AB1629" i="1"/>
  <c r="AA1629" i="1"/>
  <c r="Z1629" i="1"/>
  <c r="V1629" i="1"/>
  <c r="N1629" i="1"/>
  <c r="K1629" i="1"/>
  <c r="J1629" i="1"/>
  <c r="M1629" i="1"/>
  <c r="AD1628" i="1"/>
  <c r="AC1628" i="1"/>
  <c r="AB1628" i="1"/>
  <c r="AA1628" i="1"/>
  <c r="Z1628" i="1"/>
  <c r="V1628" i="1"/>
  <c r="N1628" i="1"/>
  <c r="K1628" i="1"/>
  <c r="J1628" i="1"/>
  <c r="M1628" i="1"/>
  <c r="AD1627" i="1"/>
  <c r="AC1627" i="1"/>
  <c r="AB1627" i="1"/>
  <c r="AA1627" i="1"/>
  <c r="Z1627" i="1"/>
  <c r="V1627" i="1"/>
  <c r="N1627" i="1"/>
  <c r="R1627" i="1"/>
  <c r="K1627" i="1"/>
  <c r="J1627" i="1"/>
  <c r="AD1626" i="1"/>
  <c r="AC1626" i="1"/>
  <c r="AB1626" i="1"/>
  <c r="AA1626" i="1"/>
  <c r="Z1626" i="1"/>
  <c r="V1626" i="1"/>
  <c r="N1626" i="1"/>
  <c r="R1626" i="1"/>
  <c r="K1626" i="1"/>
  <c r="J1626" i="1"/>
  <c r="AD1625" i="1"/>
  <c r="AC1625" i="1"/>
  <c r="AB1625" i="1"/>
  <c r="AA1625" i="1"/>
  <c r="Z1625" i="1"/>
  <c r="V1625" i="1"/>
  <c r="N1625" i="1"/>
  <c r="L1625" i="1"/>
  <c r="K1625" i="1"/>
  <c r="J1625" i="1"/>
  <c r="AD1624" i="1"/>
  <c r="AC1624" i="1"/>
  <c r="AB1624" i="1"/>
  <c r="AA1624" i="1"/>
  <c r="Z1624" i="1"/>
  <c r="V1624" i="1"/>
  <c r="N1624" i="1"/>
  <c r="Q1624" i="1"/>
  <c r="J1624" i="1"/>
  <c r="M1624" i="1"/>
  <c r="AD1623" i="1"/>
  <c r="AC1623" i="1"/>
  <c r="AB1623" i="1"/>
  <c r="AA1623" i="1"/>
  <c r="Z1623" i="1"/>
  <c r="V1623" i="1"/>
  <c r="N1623" i="1"/>
  <c r="J1623" i="1"/>
  <c r="M1623" i="1"/>
  <c r="AD1622" i="1"/>
  <c r="AC1622" i="1"/>
  <c r="AB1622" i="1"/>
  <c r="AA1622" i="1"/>
  <c r="Z1622" i="1"/>
  <c r="V1622" i="1"/>
  <c r="N1622" i="1"/>
  <c r="Q1622" i="1"/>
  <c r="J1622" i="1"/>
  <c r="M1622" i="1"/>
  <c r="AD1621" i="1"/>
  <c r="AC1621" i="1"/>
  <c r="AB1621" i="1"/>
  <c r="AA1621" i="1"/>
  <c r="Z1621" i="1"/>
  <c r="V1621" i="1"/>
  <c r="N1621" i="1"/>
  <c r="O1621" i="1"/>
  <c r="J1621" i="1"/>
  <c r="M1621" i="1"/>
  <c r="AD1620" i="1"/>
  <c r="AC1620" i="1"/>
  <c r="AB1620" i="1"/>
  <c r="AA1620" i="1"/>
  <c r="Z1620" i="1"/>
  <c r="V1620" i="1"/>
  <c r="N1620" i="1"/>
  <c r="Q1620" i="1"/>
  <c r="J1620" i="1"/>
  <c r="M1620" i="1"/>
  <c r="AD1619" i="1"/>
  <c r="AC1619" i="1"/>
  <c r="AB1619" i="1"/>
  <c r="AA1619" i="1"/>
  <c r="Z1619" i="1"/>
  <c r="AD1618" i="1"/>
  <c r="AC1618" i="1"/>
  <c r="AB1618" i="1"/>
  <c r="AA1618" i="1"/>
  <c r="Z1618" i="1"/>
  <c r="V1618" i="1"/>
  <c r="N1618" i="1"/>
  <c r="AD1617" i="1"/>
  <c r="AC1617" i="1"/>
  <c r="AB1617" i="1"/>
  <c r="AA1617" i="1"/>
  <c r="Z1617" i="1"/>
  <c r="V1617" i="1"/>
  <c r="N1617" i="1"/>
  <c r="AD1616" i="1"/>
  <c r="AC1616" i="1"/>
  <c r="AB1616" i="1"/>
  <c r="AA1616" i="1"/>
  <c r="Z1616" i="1"/>
  <c r="V1616" i="1"/>
  <c r="N1616" i="1"/>
  <c r="R1616" i="1"/>
  <c r="J1616" i="1"/>
  <c r="M1616" i="1"/>
  <c r="AD1615" i="1"/>
  <c r="AC1615" i="1"/>
  <c r="AB1615" i="1"/>
  <c r="AA1615" i="1"/>
  <c r="Z1615" i="1"/>
  <c r="AD1614" i="1"/>
  <c r="AC1614" i="1"/>
  <c r="AB1614" i="1"/>
  <c r="AA1614" i="1"/>
  <c r="Z1614" i="1"/>
  <c r="AD1613" i="1"/>
  <c r="AC1613" i="1"/>
  <c r="AB1613" i="1"/>
  <c r="AA1613" i="1"/>
  <c r="Z1613" i="1"/>
  <c r="AD1612" i="1"/>
  <c r="AC1612" i="1"/>
  <c r="AB1612" i="1"/>
  <c r="AA1612" i="1"/>
  <c r="Z1612" i="1"/>
  <c r="V1612" i="1"/>
  <c r="N1612" i="1"/>
  <c r="M1612" i="1"/>
  <c r="L1612" i="1"/>
  <c r="K1612" i="1"/>
  <c r="J1612" i="1"/>
  <c r="AD1611" i="1"/>
  <c r="AC1611" i="1"/>
  <c r="AB1611" i="1"/>
  <c r="AA1611" i="1"/>
  <c r="Z1611" i="1"/>
  <c r="V1611" i="1"/>
  <c r="N1611" i="1"/>
  <c r="M1611" i="1"/>
  <c r="L1611" i="1"/>
  <c r="K1611" i="1"/>
  <c r="J1611" i="1"/>
  <c r="AD1610" i="1"/>
  <c r="AC1610" i="1"/>
  <c r="AB1610" i="1"/>
  <c r="AA1610" i="1"/>
  <c r="Z1610" i="1"/>
  <c r="V1610" i="1"/>
  <c r="N1610" i="1"/>
  <c r="L1610" i="1"/>
  <c r="K1610" i="1"/>
  <c r="J1610" i="1"/>
  <c r="AD1609" i="1"/>
  <c r="AC1609" i="1"/>
  <c r="AB1609" i="1"/>
  <c r="AA1609" i="1"/>
  <c r="Z1609" i="1"/>
  <c r="V1609" i="1"/>
  <c r="N1609" i="1"/>
  <c r="L1609" i="1"/>
  <c r="K1609" i="1"/>
  <c r="J1609" i="1"/>
  <c r="AD1608" i="1"/>
  <c r="AC1608" i="1"/>
  <c r="AB1608" i="1"/>
  <c r="AA1608" i="1"/>
  <c r="Z1608" i="1"/>
  <c r="V1608" i="1"/>
  <c r="N1608" i="1"/>
  <c r="L1608" i="1"/>
  <c r="K1608" i="1"/>
  <c r="J1608" i="1"/>
  <c r="AD1607" i="1"/>
  <c r="AC1607" i="1"/>
  <c r="AB1607" i="1"/>
  <c r="AA1607" i="1"/>
  <c r="Z1607" i="1"/>
  <c r="V1607" i="1"/>
  <c r="N1607" i="1"/>
  <c r="AD1606" i="1"/>
  <c r="AC1606" i="1"/>
  <c r="AB1606" i="1"/>
  <c r="AA1606" i="1"/>
  <c r="Z1606" i="1"/>
  <c r="V1606" i="1"/>
  <c r="N1606" i="1"/>
  <c r="AD1605" i="1"/>
  <c r="AC1605" i="1"/>
  <c r="AB1605" i="1"/>
  <c r="AA1605" i="1"/>
  <c r="Z1605" i="1"/>
  <c r="AD1604" i="1"/>
  <c r="AC1604" i="1"/>
  <c r="AB1604" i="1"/>
  <c r="AA1604" i="1"/>
  <c r="Z1604" i="1"/>
  <c r="AD1603" i="1"/>
  <c r="AC1603" i="1"/>
  <c r="AB1603" i="1"/>
  <c r="AA1603" i="1"/>
  <c r="Z1603" i="1"/>
  <c r="V1603" i="1"/>
  <c r="N1603" i="1"/>
  <c r="R1603" i="1"/>
  <c r="M1603" i="1"/>
  <c r="AD1602" i="1"/>
  <c r="AC1602" i="1"/>
  <c r="AB1602" i="1"/>
  <c r="AA1602" i="1"/>
  <c r="Z1602" i="1"/>
  <c r="V1602" i="1"/>
  <c r="N1602" i="1"/>
  <c r="J1602" i="1"/>
  <c r="M1602" i="1"/>
  <c r="AD1601" i="1"/>
  <c r="AC1601" i="1"/>
  <c r="AB1601" i="1"/>
  <c r="AA1601" i="1"/>
  <c r="Z1601" i="1"/>
  <c r="AD1600" i="1"/>
  <c r="AC1600" i="1"/>
  <c r="AB1600" i="1"/>
  <c r="AA1600" i="1"/>
  <c r="Z1600" i="1"/>
  <c r="V1600" i="1"/>
  <c r="N1600" i="1"/>
  <c r="L1600" i="1"/>
  <c r="K1600" i="1"/>
  <c r="J1600" i="1"/>
  <c r="AD1599" i="1"/>
  <c r="AC1599" i="1"/>
  <c r="AB1599" i="1"/>
  <c r="AA1599" i="1"/>
  <c r="Z1599" i="1"/>
  <c r="V1599" i="1"/>
  <c r="N1599" i="1"/>
  <c r="P1599" i="1"/>
  <c r="M1599" i="1"/>
  <c r="AD1598" i="1"/>
  <c r="AC1598" i="1"/>
  <c r="AB1598" i="1"/>
  <c r="AA1598" i="1"/>
  <c r="Z1598" i="1"/>
  <c r="V1598" i="1"/>
  <c r="N1598" i="1"/>
  <c r="L1598" i="1"/>
  <c r="K1598" i="1"/>
  <c r="J1598" i="1"/>
  <c r="AD1597" i="1"/>
  <c r="AC1597" i="1"/>
  <c r="AB1597" i="1"/>
  <c r="AA1597" i="1"/>
  <c r="Z1597" i="1"/>
  <c r="AD1596" i="1"/>
  <c r="AC1596" i="1"/>
  <c r="AB1596" i="1"/>
  <c r="AA1596" i="1"/>
  <c r="Z1596" i="1"/>
  <c r="AD1595" i="1"/>
  <c r="AC1595" i="1"/>
  <c r="AB1595" i="1"/>
  <c r="AA1595" i="1"/>
  <c r="Z1595" i="1"/>
  <c r="V1595" i="1"/>
  <c r="N1595" i="1"/>
  <c r="Q1595" i="1"/>
  <c r="L1595" i="1"/>
  <c r="M1595" i="1"/>
  <c r="AD1594" i="1"/>
  <c r="AC1594" i="1"/>
  <c r="AB1594" i="1"/>
  <c r="AA1594" i="1"/>
  <c r="Z1594" i="1"/>
  <c r="V1594" i="1"/>
  <c r="N1594" i="1"/>
  <c r="R1594" i="1"/>
  <c r="K1594" i="1"/>
  <c r="AD1593" i="1"/>
  <c r="AC1593" i="1"/>
  <c r="AB1593" i="1"/>
  <c r="AA1593" i="1"/>
  <c r="Z1593" i="1"/>
  <c r="V1593" i="1"/>
  <c r="N1593" i="1"/>
  <c r="M1593" i="1"/>
  <c r="AD1592" i="1"/>
  <c r="AC1592" i="1"/>
  <c r="AB1592" i="1"/>
  <c r="AA1592" i="1"/>
  <c r="Z1592" i="1"/>
  <c r="V1592" i="1"/>
  <c r="N1592" i="1"/>
  <c r="R1592" i="1"/>
  <c r="J1592" i="1"/>
  <c r="M1592" i="1"/>
  <c r="AD1591" i="1"/>
  <c r="AC1591" i="1"/>
  <c r="AB1591" i="1"/>
  <c r="AA1591" i="1"/>
  <c r="Z1591" i="1"/>
  <c r="V1591" i="1"/>
  <c r="N1591" i="1"/>
  <c r="M1591" i="1"/>
  <c r="AD1590" i="1"/>
  <c r="AC1590" i="1"/>
  <c r="AB1590" i="1"/>
  <c r="AA1590" i="1"/>
  <c r="Z1590" i="1"/>
  <c r="V1590" i="1"/>
  <c r="N1590" i="1"/>
  <c r="J1590" i="1"/>
  <c r="M1590" i="1"/>
  <c r="AD1589" i="1"/>
  <c r="AC1589" i="1"/>
  <c r="AB1589" i="1"/>
  <c r="AA1589" i="1"/>
  <c r="Z1589" i="1"/>
  <c r="V1589" i="1"/>
  <c r="N1589" i="1"/>
  <c r="L1589" i="1"/>
  <c r="K1589" i="1"/>
  <c r="J1589" i="1"/>
  <c r="AD1588" i="1"/>
  <c r="AC1588" i="1"/>
  <c r="AB1588" i="1"/>
  <c r="AA1588" i="1"/>
  <c r="Z1588" i="1"/>
  <c r="V1588" i="1"/>
  <c r="N1588" i="1"/>
  <c r="L1588" i="1"/>
  <c r="K1588" i="1"/>
  <c r="J1588" i="1"/>
  <c r="AD1587" i="1"/>
  <c r="AC1587" i="1"/>
  <c r="AB1587" i="1"/>
  <c r="AA1587" i="1"/>
  <c r="Z1587" i="1"/>
  <c r="V1587" i="1"/>
  <c r="N1587" i="1"/>
  <c r="M1587" i="1"/>
  <c r="AD1586" i="1"/>
  <c r="AC1586" i="1"/>
  <c r="AB1586" i="1"/>
  <c r="AA1586" i="1"/>
  <c r="Z1586" i="1"/>
  <c r="V1586" i="1"/>
  <c r="N1586" i="1"/>
  <c r="AD1585" i="1"/>
  <c r="AC1585" i="1"/>
  <c r="AB1585" i="1"/>
  <c r="AA1585" i="1"/>
  <c r="Z1585" i="1"/>
  <c r="AD1584" i="1"/>
  <c r="AC1584" i="1"/>
  <c r="AB1584" i="1"/>
  <c r="AA1584" i="1"/>
  <c r="Z1584" i="1"/>
  <c r="V1584" i="1"/>
  <c r="N1584" i="1"/>
  <c r="M1584" i="1"/>
  <c r="AD1583" i="1"/>
  <c r="AC1583" i="1"/>
  <c r="AB1583" i="1"/>
  <c r="AA1583" i="1"/>
  <c r="Z1583" i="1"/>
  <c r="V1583" i="1"/>
  <c r="N1583" i="1"/>
  <c r="R1583" i="1"/>
  <c r="M1583" i="1"/>
  <c r="AD1582" i="1"/>
  <c r="AC1582" i="1"/>
  <c r="AB1582" i="1"/>
  <c r="AA1582" i="1"/>
  <c r="Z1582" i="1"/>
  <c r="V1582" i="1"/>
  <c r="N1582" i="1"/>
  <c r="M1582" i="1"/>
  <c r="AD1581" i="1"/>
  <c r="AC1581" i="1"/>
  <c r="AB1581" i="1"/>
  <c r="AA1581" i="1"/>
  <c r="Z1581" i="1"/>
  <c r="V1581" i="1"/>
  <c r="N1581" i="1"/>
  <c r="L1581" i="1"/>
  <c r="J1581" i="1"/>
  <c r="AD1580" i="1"/>
  <c r="AC1580" i="1"/>
  <c r="AB1580" i="1"/>
  <c r="AA1580" i="1"/>
  <c r="Z1580" i="1"/>
  <c r="V1580" i="1"/>
  <c r="N1580" i="1"/>
  <c r="J1580" i="1"/>
  <c r="M1580" i="1"/>
  <c r="AD1579" i="1"/>
  <c r="AC1579" i="1"/>
  <c r="AB1579" i="1"/>
  <c r="AA1579" i="1"/>
  <c r="Z1579" i="1"/>
  <c r="AD1578" i="1"/>
  <c r="AC1578" i="1"/>
  <c r="AB1578" i="1"/>
  <c r="AA1578" i="1"/>
  <c r="Z1578" i="1"/>
  <c r="V1578" i="1"/>
  <c r="N1578" i="1"/>
  <c r="R1578" i="1"/>
  <c r="M1578" i="1"/>
  <c r="AD1577" i="1"/>
  <c r="AC1577" i="1"/>
  <c r="AB1577" i="1"/>
  <c r="AA1577" i="1"/>
  <c r="Z1577" i="1"/>
  <c r="V1577" i="1"/>
  <c r="N1577" i="1"/>
  <c r="R1577" i="1"/>
  <c r="J1577" i="1"/>
  <c r="M1577" i="1"/>
  <c r="AD1576" i="1"/>
  <c r="AC1576" i="1"/>
  <c r="AB1576" i="1"/>
  <c r="AA1576" i="1"/>
  <c r="Z1576" i="1"/>
  <c r="V1576" i="1"/>
  <c r="N1576" i="1"/>
  <c r="P1576" i="1"/>
  <c r="M1576" i="1"/>
  <c r="AD1575" i="1"/>
  <c r="AC1575" i="1"/>
  <c r="AB1575" i="1"/>
  <c r="AA1575" i="1"/>
  <c r="Z1575" i="1"/>
  <c r="V1575" i="1"/>
  <c r="N1575" i="1"/>
  <c r="R1575" i="1"/>
  <c r="J1575" i="1"/>
  <c r="M1575" i="1"/>
  <c r="AD1574" i="1"/>
  <c r="AC1574" i="1"/>
  <c r="AB1574" i="1"/>
  <c r="AA1574" i="1"/>
  <c r="Z1574" i="1"/>
  <c r="V1574" i="1"/>
  <c r="N1574" i="1"/>
  <c r="Q1574" i="1"/>
  <c r="M1574" i="1"/>
  <c r="AD1573" i="1"/>
  <c r="AC1573" i="1"/>
  <c r="AB1573" i="1"/>
  <c r="AA1573" i="1"/>
  <c r="Z1573" i="1"/>
  <c r="V1573" i="1"/>
  <c r="N1573" i="1"/>
  <c r="Q1573" i="1"/>
  <c r="M1573" i="1"/>
  <c r="AD1572" i="1"/>
  <c r="AC1572" i="1"/>
  <c r="AB1572" i="1"/>
  <c r="AA1572" i="1"/>
  <c r="Z1572" i="1"/>
  <c r="AD1571" i="1"/>
  <c r="AC1571" i="1"/>
  <c r="AB1571" i="1"/>
  <c r="AA1571" i="1"/>
  <c r="Z1571" i="1"/>
  <c r="AD1570" i="1"/>
  <c r="AC1570" i="1"/>
  <c r="AB1570" i="1"/>
  <c r="AA1570" i="1"/>
  <c r="Z1570" i="1"/>
  <c r="V1570" i="1"/>
  <c r="N1570" i="1"/>
  <c r="O1570" i="1"/>
  <c r="L1570" i="1"/>
  <c r="K1570" i="1"/>
  <c r="J1570" i="1"/>
  <c r="AD1569" i="1"/>
  <c r="AC1569" i="1"/>
  <c r="AB1569" i="1"/>
  <c r="AA1569" i="1"/>
  <c r="Z1569" i="1"/>
  <c r="V1569" i="1"/>
  <c r="N1569" i="1"/>
  <c r="M1569" i="1"/>
  <c r="AD1568" i="1"/>
  <c r="AC1568" i="1"/>
  <c r="AB1568" i="1"/>
  <c r="AA1568" i="1"/>
  <c r="Z1568" i="1"/>
  <c r="V1568" i="1"/>
  <c r="N1568" i="1"/>
  <c r="AD1567" i="1"/>
  <c r="AC1567" i="1"/>
  <c r="AB1567" i="1"/>
  <c r="AA1567" i="1"/>
  <c r="Z1567" i="1"/>
  <c r="V1567" i="1"/>
  <c r="N1567" i="1"/>
  <c r="AD1566" i="1"/>
  <c r="AC1566" i="1"/>
  <c r="AB1566" i="1"/>
  <c r="AA1566" i="1"/>
  <c r="Z1566" i="1"/>
  <c r="V1566" i="1"/>
  <c r="N1566" i="1"/>
  <c r="AD1565" i="1"/>
  <c r="AC1565" i="1"/>
  <c r="AB1565" i="1"/>
  <c r="AA1565" i="1"/>
  <c r="Z1565" i="1"/>
  <c r="V1565" i="1"/>
  <c r="N1565" i="1"/>
  <c r="AD1564" i="1"/>
  <c r="AC1564" i="1"/>
  <c r="AB1564" i="1"/>
  <c r="AA1564" i="1"/>
  <c r="Z1564" i="1"/>
  <c r="V1564" i="1"/>
  <c r="N1564" i="1"/>
  <c r="AD1563" i="1"/>
  <c r="AC1563" i="1"/>
  <c r="AB1563" i="1"/>
  <c r="AA1563" i="1"/>
  <c r="Z1563" i="1"/>
  <c r="V1563" i="1"/>
  <c r="N1563" i="1"/>
  <c r="AD1562" i="1"/>
  <c r="AC1562" i="1"/>
  <c r="AB1562" i="1"/>
  <c r="AA1562" i="1"/>
  <c r="Z1562" i="1"/>
  <c r="V1562" i="1"/>
  <c r="N1562" i="1"/>
  <c r="M1562" i="1"/>
  <c r="AD1561" i="1"/>
  <c r="AC1561" i="1"/>
  <c r="AB1561" i="1"/>
  <c r="AA1561" i="1"/>
  <c r="Z1561" i="1"/>
  <c r="V1561" i="1"/>
  <c r="N1561" i="1"/>
  <c r="L1561" i="1"/>
  <c r="K1561" i="1"/>
  <c r="J1561" i="1"/>
  <c r="AD1560" i="1"/>
  <c r="AC1560" i="1"/>
  <c r="AB1560" i="1"/>
  <c r="AA1560" i="1"/>
  <c r="Z1560" i="1"/>
  <c r="V1560" i="1"/>
  <c r="N1560" i="1"/>
  <c r="L1560" i="1"/>
  <c r="K1560" i="1"/>
  <c r="J1560" i="1"/>
  <c r="AD1559" i="1"/>
  <c r="AC1559" i="1"/>
  <c r="AB1559" i="1"/>
  <c r="AA1559" i="1"/>
  <c r="Z1559" i="1"/>
  <c r="V1559" i="1"/>
  <c r="N1559" i="1"/>
  <c r="P1559" i="1"/>
  <c r="M1559" i="1"/>
  <c r="AD1558" i="1"/>
  <c r="AC1558" i="1"/>
  <c r="AB1558" i="1"/>
  <c r="AA1558" i="1"/>
  <c r="Z1558" i="1"/>
  <c r="V1558" i="1"/>
  <c r="N1558" i="1"/>
  <c r="L1558" i="1"/>
  <c r="K1558" i="1"/>
  <c r="J1558" i="1"/>
  <c r="AD1557" i="1"/>
  <c r="AC1557" i="1"/>
  <c r="AB1557" i="1"/>
  <c r="AA1557" i="1"/>
  <c r="Z1557" i="1"/>
  <c r="V1557" i="1"/>
  <c r="N1557" i="1"/>
  <c r="Q1557" i="1"/>
  <c r="M1557" i="1"/>
  <c r="AD1556" i="1"/>
  <c r="AC1556" i="1"/>
  <c r="AB1556" i="1"/>
  <c r="AA1556" i="1"/>
  <c r="Z1556" i="1"/>
  <c r="V1556" i="1"/>
  <c r="N1556" i="1"/>
  <c r="M1556" i="1"/>
  <c r="AD1555" i="1"/>
  <c r="AC1555" i="1"/>
  <c r="AB1555" i="1"/>
  <c r="AA1555" i="1"/>
  <c r="Z1555" i="1"/>
  <c r="V1555" i="1"/>
  <c r="N1555" i="1"/>
  <c r="M1555" i="1"/>
  <c r="AD1554" i="1"/>
  <c r="AC1554" i="1"/>
  <c r="AB1554" i="1"/>
  <c r="AA1554" i="1"/>
  <c r="Z1554" i="1"/>
  <c r="V1554" i="1"/>
  <c r="N1554" i="1"/>
  <c r="R1554" i="1"/>
  <c r="M1554" i="1"/>
  <c r="AD1553" i="1"/>
  <c r="AC1553" i="1"/>
  <c r="AB1553" i="1"/>
  <c r="AA1553" i="1"/>
  <c r="Z1553" i="1"/>
  <c r="V1553" i="1"/>
  <c r="N1553" i="1"/>
  <c r="M1553" i="1"/>
  <c r="AD1552" i="1"/>
  <c r="AC1552" i="1"/>
  <c r="AB1552" i="1"/>
  <c r="AA1552" i="1"/>
  <c r="Z1552" i="1"/>
  <c r="V1552" i="1"/>
  <c r="N1552" i="1"/>
  <c r="O1552" i="1"/>
  <c r="M1552" i="1"/>
  <c r="AD1551" i="1"/>
  <c r="AC1551" i="1"/>
  <c r="AB1551" i="1"/>
  <c r="AA1551" i="1"/>
  <c r="Z1551" i="1"/>
  <c r="V1551" i="1"/>
  <c r="N1551" i="1"/>
  <c r="M1551" i="1"/>
  <c r="AD1550" i="1"/>
  <c r="AC1550" i="1"/>
  <c r="AB1550" i="1"/>
  <c r="AA1550" i="1"/>
  <c r="Z1550" i="1"/>
  <c r="AD1549" i="1"/>
  <c r="AC1549" i="1"/>
  <c r="AB1549" i="1"/>
  <c r="AA1549" i="1"/>
  <c r="Z1549" i="1"/>
  <c r="V1549" i="1"/>
  <c r="N1549" i="1"/>
  <c r="AD1548" i="1"/>
  <c r="AC1548" i="1"/>
  <c r="AB1548" i="1"/>
  <c r="AA1548" i="1"/>
  <c r="Z1548" i="1"/>
  <c r="V1548" i="1"/>
  <c r="N1548" i="1"/>
  <c r="L1548" i="1"/>
  <c r="K1548" i="1"/>
  <c r="J1548" i="1"/>
  <c r="AD1547" i="1"/>
  <c r="AC1547" i="1"/>
  <c r="AB1547" i="1"/>
  <c r="AA1547" i="1"/>
  <c r="Z1547" i="1"/>
  <c r="V1547" i="1"/>
  <c r="N1547" i="1"/>
  <c r="L1547" i="1"/>
  <c r="K1547" i="1"/>
  <c r="J1547" i="1"/>
  <c r="AD1546" i="1"/>
  <c r="AC1546" i="1"/>
  <c r="AB1546" i="1"/>
  <c r="AA1546" i="1"/>
  <c r="Z1546" i="1"/>
  <c r="V1546" i="1"/>
  <c r="N1546" i="1"/>
  <c r="L1546" i="1"/>
  <c r="R1546" i="1"/>
  <c r="K1546" i="1"/>
  <c r="J1546" i="1"/>
  <c r="AD1545" i="1"/>
  <c r="AC1545" i="1"/>
  <c r="AB1545" i="1"/>
  <c r="AA1545" i="1"/>
  <c r="Z1545" i="1"/>
  <c r="V1545" i="1"/>
  <c r="N1545" i="1"/>
  <c r="L1545" i="1"/>
  <c r="L1549" i="1"/>
  <c r="K1545" i="1"/>
  <c r="K1549" i="1"/>
  <c r="J1545" i="1"/>
  <c r="J1549" i="1"/>
  <c r="AD1544" i="1"/>
  <c r="AC1544" i="1"/>
  <c r="AB1544" i="1"/>
  <c r="AA1544" i="1"/>
  <c r="Z1544" i="1"/>
  <c r="V1544" i="1"/>
  <c r="N1544" i="1"/>
  <c r="M1544" i="1"/>
  <c r="AD1543" i="1"/>
  <c r="AC1543" i="1"/>
  <c r="AB1543" i="1"/>
  <c r="AA1543" i="1"/>
  <c r="Z1543" i="1"/>
  <c r="V1543" i="1"/>
  <c r="N1543" i="1"/>
  <c r="O1543" i="1"/>
  <c r="J1543" i="1"/>
  <c r="M1543" i="1"/>
  <c r="AD1542" i="1"/>
  <c r="AC1542" i="1"/>
  <c r="AB1542" i="1"/>
  <c r="AA1542" i="1"/>
  <c r="Z1542" i="1"/>
  <c r="V1542" i="1"/>
  <c r="N1542" i="1"/>
  <c r="R1542" i="1"/>
  <c r="M1542" i="1"/>
  <c r="AD1541" i="1"/>
  <c r="AC1541" i="1"/>
  <c r="AB1541" i="1"/>
  <c r="AA1541" i="1"/>
  <c r="Z1541" i="1"/>
  <c r="V1541" i="1"/>
  <c r="N1541" i="1"/>
  <c r="M1541" i="1"/>
  <c r="AD1540" i="1"/>
  <c r="AC1540" i="1"/>
  <c r="AB1540" i="1"/>
  <c r="AA1540" i="1"/>
  <c r="Z1540" i="1"/>
  <c r="V1540" i="1"/>
  <c r="N1540" i="1"/>
  <c r="K1540" i="1"/>
  <c r="AD1539" i="1"/>
  <c r="AC1539" i="1"/>
  <c r="AB1539" i="1"/>
  <c r="AA1539" i="1"/>
  <c r="Z1539" i="1"/>
  <c r="V1539" i="1"/>
  <c r="N1539" i="1"/>
  <c r="R1539" i="1"/>
  <c r="M1539" i="1"/>
  <c r="AD1538" i="1"/>
  <c r="AC1538" i="1"/>
  <c r="AB1538" i="1"/>
  <c r="AA1538" i="1"/>
  <c r="Z1538" i="1"/>
  <c r="V1538" i="1"/>
  <c r="N1538" i="1"/>
  <c r="O1538" i="1"/>
  <c r="L1538" i="1"/>
  <c r="K1538" i="1"/>
  <c r="J1537" i="1"/>
  <c r="J1538" i="1"/>
  <c r="AD1537" i="1"/>
  <c r="AC1537" i="1"/>
  <c r="AB1537" i="1"/>
  <c r="AA1537" i="1"/>
  <c r="Z1537" i="1"/>
  <c r="V1537" i="1"/>
  <c r="N1537" i="1"/>
  <c r="R1537" i="1"/>
  <c r="M1537" i="1"/>
  <c r="AD1536" i="1"/>
  <c r="AC1536" i="1"/>
  <c r="AB1536" i="1"/>
  <c r="AA1536" i="1"/>
  <c r="Z1536" i="1"/>
  <c r="V1536" i="1"/>
  <c r="N1536" i="1"/>
  <c r="L1536" i="1"/>
  <c r="K1536" i="1"/>
  <c r="J1536" i="1"/>
  <c r="AD1535" i="1"/>
  <c r="AC1535" i="1"/>
  <c r="AB1535" i="1"/>
  <c r="AA1535" i="1"/>
  <c r="Z1535" i="1"/>
  <c r="V1535" i="1"/>
  <c r="N1535" i="1"/>
  <c r="L1535" i="1"/>
  <c r="K1535" i="1"/>
  <c r="J1535" i="1"/>
  <c r="AD1534" i="1"/>
  <c r="AC1534" i="1"/>
  <c r="AB1534" i="1"/>
  <c r="AA1534" i="1"/>
  <c r="Z1534" i="1"/>
  <c r="AD1533" i="1"/>
  <c r="AC1533" i="1"/>
  <c r="AB1533" i="1"/>
  <c r="AA1533" i="1"/>
  <c r="Z1533" i="1"/>
  <c r="V1533" i="1"/>
  <c r="N1533" i="1"/>
  <c r="AD1532" i="1"/>
  <c r="AC1532" i="1"/>
  <c r="AB1532" i="1"/>
  <c r="AA1532" i="1"/>
  <c r="Z1532" i="1"/>
  <c r="V1532" i="1"/>
  <c r="N1532" i="1"/>
  <c r="O1532" i="1"/>
  <c r="L1532" i="1"/>
  <c r="K1532" i="1"/>
  <c r="J1532" i="1"/>
  <c r="AD1531" i="1"/>
  <c r="AC1531" i="1"/>
  <c r="AB1531" i="1"/>
  <c r="AA1531" i="1"/>
  <c r="Z1531" i="1"/>
  <c r="V1531" i="1"/>
  <c r="N1531" i="1"/>
  <c r="O1531" i="1"/>
  <c r="L1531" i="1"/>
  <c r="K1531" i="1"/>
  <c r="J1531" i="1"/>
  <c r="AD1530" i="1"/>
  <c r="AC1530" i="1"/>
  <c r="AB1530" i="1"/>
  <c r="AA1530" i="1"/>
  <c r="Z1530" i="1"/>
  <c r="V1530" i="1"/>
  <c r="N1530" i="1"/>
  <c r="O1530" i="1"/>
  <c r="L1530" i="1"/>
  <c r="K1530" i="1"/>
  <c r="J1530" i="1"/>
  <c r="AD1529" i="1"/>
  <c r="AC1529" i="1"/>
  <c r="AB1529" i="1"/>
  <c r="AA1529" i="1"/>
  <c r="Z1529" i="1"/>
  <c r="V1529" i="1"/>
  <c r="N1529" i="1"/>
  <c r="M1529" i="1"/>
  <c r="AD1528" i="1"/>
  <c r="AC1528" i="1"/>
  <c r="AB1528" i="1"/>
  <c r="AA1528" i="1"/>
  <c r="Z1528" i="1"/>
  <c r="V1528" i="1"/>
  <c r="N1528" i="1"/>
  <c r="L1528" i="1"/>
  <c r="K1528" i="1"/>
  <c r="J1528" i="1"/>
  <c r="AD1527" i="1"/>
  <c r="AC1527" i="1"/>
  <c r="AB1527" i="1"/>
  <c r="AA1527" i="1"/>
  <c r="Z1527" i="1"/>
  <c r="V1527" i="1"/>
  <c r="N1527" i="1"/>
  <c r="R1527" i="1"/>
  <c r="M1527" i="1"/>
  <c r="AD1526" i="1"/>
  <c r="AC1526" i="1"/>
  <c r="AB1526" i="1"/>
  <c r="AA1526" i="1"/>
  <c r="Z1526" i="1"/>
  <c r="V1526" i="1"/>
  <c r="N1526" i="1"/>
  <c r="L1526" i="1"/>
  <c r="R1526" i="1"/>
  <c r="K1526" i="1"/>
  <c r="J1526" i="1"/>
  <c r="M1526" i="1"/>
  <c r="AD1525" i="1"/>
  <c r="AC1525" i="1"/>
  <c r="AB1525" i="1"/>
  <c r="AA1525" i="1"/>
  <c r="Z1525" i="1"/>
  <c r="V1525" i="1"/>
  <c r="N1525" i="1"/>
  <c r="L1525" i="1"/>
  <c r="K1525" i="1"/>
  <c r="J1525" i="1"/>
  <c r="AD1524" i="1"/>
  <c r="AC1524" i="1"/>
  <c r="AB1524" i="1"/>
  <c r="AA1524" i="1"/>
  <c r="Z1524" i="1"/>
  <c r="V1524" i="1"/>
  <c r="N1524" i="1"/>
  <c r="L1524" i="1"/>
  <c r="K1524" i="1"/>
  <c r="J1524" i="1"/>
  <c r="AD1523" i="1"/>
  <c r="AC1523" i="1"/>
  <c r="AB1523" i="1"/>
  <c r="AA1523" i="1"/>
  <c r="Z1523" i="1"/>
  <c r="V1523" i="1"/>
  <c r="N1523" i="1"/>
  <c r="Q1523" i="1"/>
  <c r="M1523" i="1"/>
  <c r="AD1522" i="1"/>
  <c r="AC1522" i="1"/>
  <c r="AB1522" i="1"/>
  <c r="AA1522" i="1"/>
  <c r="Z1522" i="1"/>
  <c r="V1522" i="1"/>
  <c r="N1522" i="1"/>
  <c r="L1522" i="1"/>
  <c r="K1522" i="1"/>
  <c r="J1522" i="1"/>
  <c r="AD1521" i="1"/>
  <c r="AC1521" i="1"/>
  <c r="AB1521" i="1"/>
  <c r="AA1521" i="1"/>
  <c r="Z1521" i="1"/>
  <c r="V1521" i="1"/>
  <c r="N1521" i="1"/>
  <c r="L1521" i="1"/>
  <c r="K1521" i="1"/>
  <c r="J1521" i="1"/>
  <c r="AD1520" i="1"/>
  <c r="AC1520" i="1"/>
  <c r="AB1520" i="1"/>
  <c r="AA1520" i="1"/>
  <c r="Z1520" i="1"/>
  <c r="V1520" i="1"/>
  <c r="N1520" i="1"/>
  <c r="O1520" i="1"/>
  <c r="L1520" i="1"/>
  <c r="K1520" i="1"/>
  <c r="J1520" i="1"/>
  <c r="AD1519" i="1"/>
  <c r="AC1519" i="1"/>
  <c r="AB1519" i="1"/>
  <c r="AA1519" i="1"/>
  <c r="Z1519" i="1"/>
  <c r="V1519" i="1"/>
  <c r="N1519" i="1"/>
  <c r="L1519" i="1"/>
  <c r="K1519" i="1"/>
  <c r="J1519" i="1"/>
  <c r="AD1518" i="1"/>
  <c r="AC1518" i="1"/>
  <c r="AB1518" i="1"/>
  <c r="AA1518" i="1"/>
  <c r="Z1518" i="1"/>
  <c r="V1518" i="1"/>
  <c r="N1518" i="1"/>
  <c r="O1518" i="1"/>
  <c r="J1518" i="1"/>
  <c r="K1518" i="1"/>
  <c r="AD1517" i="1"/>
  <c r="AC1517" i="1"/>
  <c r="AB1517" i="1"/>
  <c r="AA1517" i="1"/>
  <c r="Z1517" i="1"/>
  <c r="V1517" i="1"/>
  <c r="N1517" i="1"/>
  <c r="O1517" i="1"/>
  <c r="J1517" i="1"/>
  <c r="M1517" i="1"/>
  <c r="AD1516" i="1"/>
  <c r="AC1516" i="1"/>
  <c r="AB1516" i="1"/>
  <c r="AA1516" i="1"/>
  <c r="Z1516" i="1"/>
  <c r="V1516" i="1"/>
  <c r="N1516" i="1"/>
  <c r="L1516" i="1"/>
  <c r="K1516" i="1"/>
  <c r="J1516" i="1"/>
  <c r="AD1515" i="1"/>
  <c r="AC1515" i="1"/>
  <c r="AB1515" i="1"/>
  <c r="AA1515" i="1"/>
  <c r="Z1515" i="1"/>
  <c r="V1515" i="1"/>
  <c r="N1515" i="1"/>
  <c r="L1515" i="1"/>
  <c r="K1515" i="1"/>
  <c r="J1515" i="1"/>
  <c r="AD1514" i="1"/>
  <c r="AC1514" i="1"/>
  <c r="AB1514" i="1"/>
  <c r="AA1514" i="1"/>
  <c r="Z1514" i="1"/>
  <c r="V1514" i="1"/>
  <c r="N1514" i="1"/>
  <c r="M1514" i="1"/>
  <c r="AD1513" i="1"/>
  <c r="AC1513" i="1"/>
  <c r="AB1513" i="1"/>
  <c r="AA1513" i="1"/>
  <c r="Z1513" i="1"/>
  <c r="AD1512" i="1"/>
  <c r="AC1512" i="1"/>
  <c r="AB1512" i="1"/>
  <c r="AA1512" i="1"/>
  <c r="Z1512" i="1"/>
  <c r="AD1511" i="1"/>
  <c r="AC1511" i="1"/>
  <c r="AB1511" i="1"/>
  <c r="AA1511" i="1"/>
  <c r="Z1511" i="1"/>
  <c r="AD1510" i="1"/>
  <c r="AC1510" i="1"/>
  <c r="AB1510" i="1"/>
  <c r="AA1510" i="1"/>
  <c r="Z1510" i="1"/>
  <c r="V1510" i="1"/>
  <c r="N1510" i="1"/>
  <c r="L1510" i="1"/>
  <c r="K1510" i="1"/>
  <c r="J1510" i="1"/>
  <c r="AD1509" i="1"/>
  <c r="AC1509" i="1"/>
  <c r="AB1509" i="1"/>
  <c r="AA1509" i="1"/>
  <c r="Z1509" i="1"/>
  <c r="V1509" i="1"/>
  <c r="N1509" i="1"/>
  <c r="L1509" i="1"/>
  <c r="K1509" i="1"/>
  <c r="J1509" i="1"/>
  <c r="AD1508" i="1"/>
  <c r="AC1508" i="1"/>
  <c r="AB1508" i="1"/>
  <c r="AA1508" i="1"/>
  <c r="Z1508" i="1"/>
  <c r="V1508" i="1"/>
  <c r="N1508" i="1"/>
  <c r="AD1507" i="1"/>
  <c r="AC1507" i="1"/>
  <c r="AB1507" i="1"/>
  <c r="AA1507" i="1"/>
  <c r="Z1507" i="1"/>
  <c r="V1507" i="1"/>
  <c r="N1507" i="1"/>
  <c r="L1507" i="1"/>
  <c r="K1507" i="1"/>
  <c r="J1507" i="1"/>
  <c r="AD1506" i="1"/>
  <c r="AC1506" i="1"/>
  <c r="AB1506" i="1"/>
  <c r="AA1506" i="1"/>
  <c r="Z1506" i="1"/>
  <c r="V1506" i="1"/>
  <c r="N1506" i="1"/>
  <c r="L1506" i="1"/>
  <c r="K1506" i="1"/>
  <c r="J1506" i="1"/>
  <c r="AD1505" i="1"/>
  <c r="AC1505" i="1"/>
  <c r="AB1505" i="1"/>
  <c r="AA1505" i="1"/>
  <c r="Z1505" i="1"/>
  <c r="V1505" i="1"/>
  <c r="N1505" i="1"/>
  <c r="L1505" i="1"/>
  <c r="K1505" i="1"/>
  <c r="J1505" i="1"/>
  <c r="AD1504" i="1"/>
  <c r="AC1504" i="1"/>
  <c r="AB1504" i="1"/>
  <c r="AA1504" i="1"/>
  <c r="Z1504" i="1"/>
  <c r="V1504" i="1"/>
  <c r="N1504" i="1"/>
  <c r="L1504" i="1"/>
  <c r="K1504" i="1"/>
  <c r="J1504" i="1"/>
  <c r="AD1503" i="1"/>
  <c r="AC1503" i="1"/>
  <c r="AB1503" i="1"/>
  <c r="AA1503" i="1"/>
  <c r="Z1503" i="1"/>
  <c r="V1503" i="1"/>
  <c r="N1503" i="1"/>
  <c r="L1503" i="1"/>
  <c r="K1503" i="1"/>
  <c r="J1503" i="1"/>
  <c r="AD1502" i="1"/>
  <c r="AC1502" i="1"/>
  <c r="AB1502" i="1"/>
  <c r="AA1502" i="1"/>
  <c r="Z1502" i="1"/>
  <c r="V1502" i="1"/>
  <c r="N1502" i="1"/>
  <c r="L1502" i="1"/>
  <c r="K1502" i="1"/>
  <c r="J1502" i="1"/>
  <c r="AD1501" i="1"/>
  <c r="AC1501" i="1"/>
  <c r="AB1501" i="1"/>
  <c r="AA1501" i="1"/>
  <c r="Z1501" i="1"/>
  <c r="V1501" i="1"/>
  <c r="N1501" i="1"/>
  <c r="L1501" i="1"/>
  <c r="K1501" i="1"/>
  <c r="J1501" i="1"/>
  <c r="AD1500" i="1"/>
  <c r="AC1500" i="1"/>
  <c r="AB1500" i="1"/>
  <c r="AA1500" i="1"/>
  <c r="Z1500" i="1"/>
  <c r="V1500" i="1"/>
  <c r="N1500" i="1"/>
  <c r="L1500" i="1"/>
  <c r="K1500" i="1"/>
  <c r="J1500" i="1"/>
  <c r="AD1499" i="1"/>
  <c r="AC1499" i="1"/>
  <c r="AB1499" i="1"/>
  <c r="AA1499" i="1"/>
  <c r="Z1499" i="1"/>
  <c r="V1499" i="1"/>
  <c r="N1499" i="1"/>
  <c r="J1499" i="1"/>
  <c r="AD1498" i="1"/>
  <c r="AC1498" i="1"/>
  <c r="AB1498" i="1"/>
  <c r="AA1498" i="1"/>
  <c r="Z1498" i="1"/>
  <c r="V1498" i="1"/>
  <c r="N1498" i="1"/>
  <c r="J1498" i="1"/>
  <c r="AD1497" i="1"/>
  <c r="AC1497" i="1"/>
  <c r="AB1497" i="1"/>
  <c r="AA1497" i="1"/>
  <c r="Z1497" i="1"/>
  <c r="N1497" i="1"/>
  <c r="O1497" i="1"/>
  <c r="M1497" i="1"/>
  <c r="AD1496" i="1"/>
  <c r="AC1496" i="1"/>
  <c r="AB1496" i="1"/>
  <c r="AA1496" i="1"/>
  <c r="Z1496" i="1"/>
  <c r="N1496" i="1"/>
  <c r="M1496" i="1"/>
  <c r="AD1495" i="1"/>
  <c r="AC1495" i="1"/>
  <c r="AB1495" i="1"/>
  <c r="AA1495" i="1"/>
  <c r="Z1495" i="1"/>
  <c r="N1495" i="1"/>
  <c r="M1495" i="1"/>
  <c r="AD1494" i="1"/>
  <c r="AC1494" i="1"/>
  <c r="AB1494" i="1"/>
  <c r="AA1494" i="1"/>
  <c r="Z1494" i="1"/>
  <c r="AD1493" i="1"/>
  <c r="AC1493" i="1"/>
  <c r="AB1493" i="1"/>
  <c r="AA1493" i="1"/>
  <c r="Z1493" i="1"/>
  <c r="AD1492" i="1"/>
  <c r="AC1492" i="1"/>
  <c r="AB1492" i="1"/>
  <c r="AA1492" i="1"/>
  <c r="Z1492" i="1"/>
  <c r="AD1491" i="1"/>
  <c r="AC1491" i="1"/>
  <c r="AB1491" i="1"/>
  <c r="AA1491" i="1"/>
  <c r="Z1491" i="1"/>
  <c r="N1491" i="1"/>
  <c r="O1491" i="1"/>
  <c r="M1491" i="1"/>
  <c r="AD1490" i="1"/>
  <c r="AC1490" i="1"/>
  <c r="AB1490" i="1"/>
  <c r="AA1490" i="1"/>
  <c r="Z1490" i="1"/>
  <c r="N1490" i="1"/>
  <c r="O1490" i="1"/>
  <c r="L1490" i="1"/>
  <c r="K1490" i="1"/>
  <c r="J1490" i="1"/>
  <c r="AD1489" i="1"/>
  <c r="AC1489" i="1"/>
  <c r="AB1489" i="1"/>
  <c r="AA1489" i="1"/>
  <c r="Z1489" i="1"/>
  <c r="AD1488" i="1"/>
  <c r="AC1488" i="1"/>
  <c r="AB1488" i="1"/>
  <c r="AA1488" i="1"/>
  <c r="Z1488" i="1"/>
  <c r="N1488" i="1"/>
  <c r="P1488" i="1"/>
  <c r="M1488" i="1"/>
  <c r="AD1487" i="1"/>
  <c r="AC1487" i="1"/>
  <c r="AB1487" i="1"/>
  <c r="AA1487" i="1"/>
  <c r="Z1487" i="1"/>
  <c r="N1487" i="1"/>
  <c r="M1487" i="1"/>
  <c r="AD1486" i="1"/>
  <c r="AC1486" i="1"/>
  <c r="AB1486" i="1"/>
  <c r="AA1486" i="1"/>
  <c r="Z1486" i="1"/>
  <c r="V1486" i="1"/>
  <c r="N1486" i="1"/>
  <c r="Q1486" i="1"/>
  <c r="M1486" i="1"/>
  <c r="AD1485" i="1"/>
  <c r="AC1485" i="1"/>
  <c r="AB1485" i="1"/>
  <c r="AA1485" i="1"/>
  <c r="Z1485" i="1"/>
  <c r="N1485" i="1"/>
  <c r="Q1485" i="1"/>
  <c r="M1485" i="1"/>
  <c r="AD1484" i="1"/>
  <c r="AC1484" i="1"/>
  <c r="AB1484" i="1"/>
  <c r="AA1484" i="1"/>
  <c r="Z1484" i="1"/>
  <c r="V1484" i="1"/>
  <c r="N1484" i="1"/>
  <c r="AD1483" i="1"/>
  <c r="AC1483" i="1"/>
  <c r="AB1483" i="1"/>
  <c r="AA1483" i="1"/>
  <c r="Z1483" i="1"/>
  <c r="V1483" i="1"/>
  <c r="N1483" i="1"/>
  <c r="L1483" i="1"/>
  <c r="L1484" i="1"/>
  <c r="K1483" i="1"/>
  <c r="K1484" i="1"/>
  <c r="J1483" i="1"/>
  <c r="AD1482" i="1"/>
  <c r="AC1482" i="1"/>
  <c r="AB1482" i="1"/>
  <c r="AA1482" i="1"/>
  <c r="Z1482" i="1"/>
  <c r="AD1481" i="1"/>
  <c r="AC1481" i="1"/>
  <c r="AB1481" i="1"/>
  <c r="AA1481" i="1"/>
  <c r="Z1481" i="1"/>
  <c r="V1481" i="1"/>
  <c r="N1481" i="1"/>
  <c r="L1481" i="1"/>
  <c r="K1481" i="1"/>
  <c r="J1481" i="1"/>
  <c r="M1481" i="1"/>
  <c r="AD1480" i="1"/>
  <c r="AC1480" i="1"/>
  <c r="AB1480" i="1"/>
  <c r="AA1480" i="1"/>
  <c r="Z1480" i="1"/>
  <c r="V1480" i="1"/>
  <c r="N1480" i="1"/>
  <c r="J1480" i="1"/>
  <c r="M1480" i="1"/>
  <c r="AD1479" i="1"/>
  <c r="AC1479" i="1"/>
  <c r="AB1479" i="1"/>
  <c r="AA1479" i="1"/>
  <c r="Z1479" i="1"/>
  <c r="V1479" i="1"/>
  <c r="N1479" i="1"/>
  <c r="Q1479" i="1"/>
  <c r="J1479" i="1"/>
  <c r="M1479" i="1"/>
  <c r="AD1478" i="1"/>
  <c r="AC1478" i="1"/>
  <c r="AB1478" i="1"/>
  <c r="AA1478" i="1"/>
  <c r="Z1478" i="1"/>
  <c r="V1478" i="1"/>
  <c r="N1478" i="1"/>
  <c r="P1478" i="1"/>
  <c r="M1478" i="1"/>
  <c r="AD1477" i="1"/>
  <c r="AC1477" i="1"/>
  <c r="AB1477" i="1"/>
  <c r="AA1477" i="1"/>
  <c r="Z1477" i="1"/>
  <c r="V1477" i="1"/>
  <c r="N1477" i="1"/>
  <c r="O1477" i="1"/>
  <c r="J1477" i="1"/>
  <c r="M1477" i="1"/>
  <c r="AD1476" i="1"/>
  <c r="AC1476" i="1"/>
  <c r="AB1476" i="1"/>
  <c r="AA1476" i="1"/>
  <c r="Z1476" i="1"/>
  <c r="V1476" i="1"/>
  <c r="N1476" i="1"/>
  <c r="M1476" i="1"/>
  <c r="AD1475" i="1"/>
  <c r="AC1475" i="1"/>
  <c r="AB1475" i="1"/>
  <c r="AA1475" i="1"/>
  <c r="Z1475" i="1"/>
  <c r="AD1474" i="1"/>
  <c r="AC1474" i="1"/>
  <c r="AB1474" i="1"/>
  <c r="AA1474" i="1"/>
  <c r="Z1474" i="1"/>
  <c r="AD1473" i="1"/>
  <c r="AC1473" i="1"/>
  <c r="AB1473" i="1"/>
  <c r="AA1473" i="1"/>
  <c r="Z1473" i="1"/>
  <c r="V1473" i="1"/>
  <c r="N1473" i="1"/>
  <c r="O1473" i="1"/>
  <c r="K1473" i="1"/>
  <c r="M1473" i="1"/>
  <c r="AD1472" i="1"/>
  <c r="AC1472" i="1"/>
  <c r="AB1472" i="1"/>
  <c r="AA1472" i="1"/>
  <c r="Z1472" i="1"/>
  <c r="V1472" i="1"/>
  <c r="N1472" i="1"/>
  <c r="Q1472" i="1"/>
  <c r="J1472" i="1"/>
  <c r="L1472" i="1"/>
  <c r="AD1471" i="1"/>
  <c r="AC1471" i="1"/>
  <c r="AB1471" i="1"/>
  <c r="AA1471" i="1"/>
  <c r="Z1471" i="1"/>
  <c r="V1471" i="1"/>
  <c r="N1471" i="1"/>
  <c r="Q1471" i="1"/>
  <c r="J1471" i="1"/>
  <c r="M1471" i="1"/>
  <c r="AD1470" i="1"/>
  <c r="AC1470" i="1"/>
  <c r="AB1470" i="1"/>
  <c r="AA1470" i="1"/>
  <c r="Z1470" i="1"/>
  <c r="V1470" i="1"/>
  <c r="N1470" i="1"/>
  <c r="M1470" i="1"/>
  <c r="AD1469" i="1"/>
  <c r="AC1469" i="1"/>
  <c r="AB1469" i="1"/>
  <c r="AA1469" i="1"/>
  <c r="Z1469" i="1"/>
  <c r="V1469" i="1"/>
  <c r="N1469" i="1"/>
  <c r="Q1469" i="1"/>
  <c r="M1469" i="1"/>
  <c r="AD1468" i="1"/>
  <c r="AC1468" i="1"/>
  <c r="AB1468" i="1"/>
  <c r="AA1468" i="1"/>
  <c r="Z1468" i="1"/>
  <c r="AD1467" i="1"/>
  <c r="AC1467" i="1"/>
  <c r="AB1467" i="1"/>
  <c r="AA1467" i="1"/>
  <c r="Z1467" i="1"/>
  <c r="AD1466" i="1"/>
  <c r="AC1466" i="1"/>
  <c r="AB1466" i="1"/>
  <c r="AA1466" i="1"/>
  <c r="Z1466" i="1"/>
  <c r="AD1465" i="1"/>
  <c r="AC1465" i="1"/>
  <c r="AB1465" i="1"/>
  <c r="AA1465" i="1"/>
  <c r="Z1465" i="1"/>
  <c r="V1465" i="1"/>
  <c r="N1465" i="1"/>
  <c r="L1465" i="1"/>
  <c r="K1465" i="1"/>
  <c r="J1465" i="1"/>
  <c r="AD1464" i="1"/>
  <c r="AC1464" i="1"/>
  <c r="AB1464" i="1"/>
  <c r="AA1464" i="1"/>
  <c r="Z1464" i="1"/>
  <c r="V1464" i="1"/>
  <c r="N1464" i="1"/>
  <c r="J1464" i="1"/>
  <c r="M1464" i="1"/>
  <c r="AD1463" i="1"/>
  <c r="AC1463" i="1"/>
  <c r="AB1463" i="1"/>
  <c r="AA1463" i="1"/>
  <c r="Z1463" i="1"/>
  <c r="V1463" i="1"/>
  <c r="N1463" i="1"/>
  <c r="M1463" i="1"/>
  <c r="AD1462" i="1"/>
  <c r="AC1462" i="1"/>
  <c r="AB1462" i="1"/>
  <c r="AA1462" i="1"/>
  <c r="Z1462" i="1"/>
  <c r="V1462" i="1"/>
  <c r="N1462" i="1"/>
  <c r="J1462" i="1"/>
  <c r="M1462" i="1"/>
  <c r="AD1461" i="1"/>
  <c r="AC1461" i="1"/>
  <c r="AB1461" i="1"/>
  <c r="AA1461" i="1"/>
  <c r="Z1461" i="1"/>
  <c r="AD1460" i="1"/>
  <c r="AC1460" i="1"/>
  <c r="AB1460" i="1"/>
  <c r="AA1460" i="1"/>
  <c r="Z1460" i="1"/>
  <c r="V1460" i="1"/>
  <c r="N1460" i="1"/>
  <c r="P1460" i="1"/>
  <c r="M1460" i="1"/>
  <c r="AD1459" i="1"/>
  <c r="AC1459" i="1"/>
  <c r="AB1459" i="1"/>
  <c r="AA1459" i="1"/>
  <c r="Z1459" i="1"/>
  <c r="V1459" i="1"/>
  <c r="N1459" i="1"/>
  <c r="M1459" i="1"/>
  <c r="AD1458" i="1"/>
  <c r="AC1458" i="1"/>
  <c r="AB1458" i="1"/>
  <c r="AA1458" i="1"/>
  <c r="Z1458" i="1"/>
  <c r="V1458" i="1"/>
  <c r="N1458" i="1"/>
  <c r="M1458" i="1"/>
  <c r="AD1457" i="1"/>
  <c r="AC1457" i="1"/>
  <c r="AB1457" i="1"/>
  <c r="AA1457" i="1"/>
  <c r="Z1457" i="1"/>
  <c r="V1457" i="1"/>
  <c r="N1457" i="1"/>
  <c r="P1457" i="1"/>
  <c r="M1457" i="1"/>
  <c r="AD1456" i="1"/>
  <c r="AC1456" i="1"/>
  <c r="AB1456" i="1"/>
  <c r="AA1456" i="1"/>
  <c r="Z1456" i="1"/>
  <c r="V1456" i="1"/>
  <c r="N1456" i="1"/>
  <c r="M1456" i="1"/>
  <c r="AD1455" i="1"/>
  <c r="AC1455" i="1"/>
  <c r="AB1455" i="1"/>
  <c r="AA1455" i="1"/>
  <c r="Z1455" i="1"/>
  <c r="V1455" i="1"/>
  <c r="N1455" i="1"/>
  <c r="J1455" i="1"/>
  <c r="AD1454" i="1"/>
  <c r="AC1454" i="1"/>
  <c r="AB1454" i="1"/>
  <c r="AA1454" i="1"/>
  <c r="Z1454" i="1"/>
  <c r="V1454" i="1"/>
  <c r="N1454" i="1"/>
  <c r="AD1453" i="1"/>
  <c r="AC1453" i="1"/>
  <c r="AB1453" i="1"/>
  <c r="AA1453" i="1"/>
  <c r="Z1453" i="1"/>
  <c r="V1453" i="1"/>
  <c r="N1453" i="1"/>
  <c r="J1453" i="1"/>
  <c r="M1453" i="1"/>
  <c r="AD1452" i="1"/>
  <c r="AC1452" i="1"/>
  <c r="AB1452" i="1"/>
  <c r="AA1452" i="1"/>
  <c r="Z1452" i="1"/>
  <c r="V1452" i="1"/>
  <c r="N1452" i="1"/>
  <c r="Q1452" i="1"/>
  <c r="J1452" i="1"/>
  <c r="M1452" i="1"/>
  <c r="AD1451" i="1"/>
  <c r="AC1451" i="1"/>
  <c r="AB1451" i="1"/>
  <c r="AA1451" i="1"/>
  <c r="Z1451" i="1"/>
  <c r="V1451" i="1"/>
  <c r="N1451" i="1"/>
  <c r="M1451" i="1"/>
  <c r="AD1450" i="1"/>
  <c r="AC1450" i="1"/>
  <c r="AB1450" i="1"/>
  <c r="AA1450" i="1"/>
  <c r="Z1450" i="1"/>
  <c r="AD1449" i="1"/>
  <c r="AC1449" i="1"/>
  <c r="AB1449" i="1"/>
  <c r="AA1449" i="1"/>
  <c r="Z1449" i="1"/>
  <c r="AD1448" i="1"/>
  <c r="AC1448" i="1"/>
  <c r="AB1448" i="1"/>
  <c r="AA1448" i="1"/>
  <c r="Z1448" i="1"/>
  <c r="V1448" i="1"/>
  <c r="N1448" i="1"/>
  <c r="M1448" i="1"/>
  <c r="AD1447" i="1"/>
  <c r="AC1447" i="1"/>
  <c r="AB1447" i="1"/>
  <c r="AA1447" i="1"/>
  <c r="Z1447" i="1"/>
  <c r="V1447" i="1"/>
  <c r="N1447" i="1"/>
  <c r="L1447" i="1"/>
  <c r="K1447" i="1"/>
  <c r="AD1446" i="1"/>
  <c r="AC1446" i="1"/>
  <c r="AB1446" i="1"/>
  <c r="AA1446" i="1"/>
  <c r="Z1446" i="1"/>
  <c r="V1446" i="1"/>
  <c r="N1446" i="1"/>
  <c r="J1446" i="1"/>
  <c r="AD1445" i="1"/>
  <c r="AC1445" i="1"/>
  <c r="AB1445" i="1"/>
  <c r="AA1445" i="1"/>
  <c r="Z1445" i="1"/>
  <c r="V1445" i="1"/>
  <c r="N1445" i="1"/>
  <c r="P1445" i="1"/>
  <c r="K1445" i="1"/>
  <c r="M1445" i="1"/>
  <c r="AD1444" i="1"/>
  <c r="AC1444" i="1"/>
  <c r="AB1444" i="1"/>
  <c r="AA1444" i="1"/>
  <c r="Z1444" i="1"/>
  <c r="AD1443" i="1"/>
  <c r="AC1443" i="1"/>
  <c r="AB1443" i="1"/>
  <c r="AA1443" i="1"/>
  <c r="Z1443" i="1"/>
  <c r="AD1442" i="1"/>
  <c r="AC1442" i="1"/>
  <c r="AB1442" i="1"/>
  <c r="AA1442" i="1"/>
  <c r="Z1442" i="1"/>
  <c r="V1442" i="1"/>
  <c r="N1442" i="1"/>
  <c r="L1442" i="1"/>
  <c r="M1442" i="1"/>
  <c r="AD1441" i="1"/>
  <c r="AC1441" i="1"/>
  <c r="AB1441" i="1"/>
  <c r="AA1441" i="1"/>
  <c r="Z1441" i="1"/>
  <c r="V1441" i="1"/>
  <c r="N1441" i="1"/>
  <c r="L1441" i="1"/>
  <c r="K1441" i="1"/>
  <c r="J1441" i="1"/>
  <c r="AD1440" i="1"/>
  <c r="AC1440" i="1"/>
  <c r="AB1440" i="1"/>
  <c r="AA1440" i="1"/>
  <c r="Z1440" i="1"/>
  <c r="V1440" i="1"/>
  <c r="N1440" i="1"/>
  <c r="L1440" i="1"/>
  <c r="K1440" i="1"/>
  <c r="J1440" i="1"/>
  <c r="AD1439" i="1"/>
  <c r="AC1439" i="1"/>
  <c r="AB1439" i="1"/>
  <c r="AA1439" i="1"/>
  <c r="Z1439" i="1"/>
  <c r="V1439" i="1"/>
  <c r="N1439" i="1"/>
  <c r="L1439" i="1"/>
  <c r="K1439" i="1"/>
  <c r="J1439" i="1"/>
  <c r="AD1438" i="1"/>
  <c r="AC1438" i="1"/>
  <c r="AB1438" i="1"/>
  <c r="AA1438" i="1"/>
  <c r="Z1438" i="1"/>
  <c r="V1438" i="1"/>
  <c r="N1438" i="1"/>
  <c r="M1438" i="1"/>
  <c r="AD1437" i="1"/>
  <c r="AC1437" i="1"/>
  <c r="AB1437" i="1"/>
  <c r="AA1437" i="1"/>
  <c r="Z1437" i="1"/>
  <c r="AD1436" i="1"/>
  <c r="AC1436" i="1"/>
  <c r="AB1436" i="1"/>
  <c r="AA1436" i="1"/>
  <c r="Z1436" i="1"/>
  <c r="V1436" i="1"/>
  <c r="N1436" i="1"/>
  <c r="K1436" i="1"/>
  <c r="M1436" i="1"/>
  <c r="AD1435" i="1"/>
  <c r="AC1435" i="1"/>
  <c r="AB1435" i="1"/>
  <c r="AA1435" i="1"/>
  <c r="Z1435" i="1"/>
  <c r="AD1434" i="1"/>
  <c r="AC1434" i="1"/>
  <c r="AB1434" i="1"/>
  <c r="AA1434" i="1"/>
  <c r="Z1434" i="1"/>
  <c r="V1434" i="1"/>
  <c r="N1434" i="1"/>
  <c r="Q1434" i="1"/>
  <c r="M1434" i="1"/>
  <c r="AD1433" i="1"/>
  <c r="AC1433" i="1"/>
  <c r="AB1433" i="1"/>
  <c r="AA1433" i="1"/>
  <c r="Z1433" i="1"/>
  <c r="V1433" i="1"/>
  <c r="N1433" i="1"/>
  <c r="L1433" i="1"/>
  <c r="K1433" i="1"/>
  <c r="J1433" i="1"/>
  <c r="AD1432" i="1"/>
  <c r="AC1432" i="1"/>
  <c r="AB1432" i="1"/>
  <c r="AA1432" i="1"/>
  <c r="Z1432" i="1"/>
  <c r="V1432" i="1"/>
  <c r="N1432" i="1"/>
  <c r="L1432" i="1"/>
  <c r="K1432" i="1"/>
  <c r="J1432" i="1"/>
  <c r="AD1431" i="1"/>
  <c r="AC1431" i="1"/>
  <c r="AB1431" i="1"/>
  <c r="AA1431" i="1"/>
  <c r="Z1431" i="1"/>
  <c r="V1431" i="1"/>
  <c r="N1431" i="1"/>
  <c r="Q1431" i="1"/>
  <c r="M1431" i="1"/>
  <c r="AD1430" i="1"/>
  <c r="AC1430" i="1"/>
  <c r="AB1430" i="1"/>
  <c r="AA1430" i="1"/>
  <c r="Z1430" i="1"/>
  <c r="AD1429" i="1"/>
  <c r="AC1429" i="1"/>
  <c r="AB1429" i="1"/>
  <c r="AA1429" i="1"/>
  <c r="Z1429" i="1"/>
  <c r="AD1428" i="1"/>
  <c r="AC1428" i="1"/>
  <c r="AB1428" i="1"/>
  <c r="AA1428" i="1"/>
  <c r="Z1428" i="1"/>
  <c r="AD1427" i="1"/>
  <c r="AC1427" i="1"/>
  <c r="AB1427" i="1"/>
  <c r="AA1427" i="1"/>
  <c r="Z1427" i="1"/>
  <c r="AD1426" i="1"/>
  <c r="AC1426" i="1"/>
  <c r="AB1426" i="1"/>
  <c r="AA1426" i="1"/>
  <c r="Z1426" i="1"/>
  <c r="V1426" i="1"/>
  <c r="N1426" i="1"/>
  <c r="M1426" i="1"/>
  <c r="AD1425" i="1"/>
  <c r="AC1425" i="1"/>
  <c r="AB1425" i="1"/>
  <c r="AA1425" i="1"/>
  <c r="Z1425" i="1"/>
  <c r="V1425" i="1"/>
  <c r="N1425" i="1"/>
  <c r="Q1425" i="1"/>
  <c r="M1425" i="1"/>
  <c r="AD1424" i="1"/>
  <c r="AC1424" i="1"/>
  <c r="AB1424" i="1"/>
  <c r="AA1424" i="1"/>
  <c r="Z1424" i="1"/>
  <c r="V1424" i="1"/>
  <c r="N1424" i="1"/>
  <c r="M1424" i="1"/>
  <c r="AD1423" i="1"/>
  <c r="AC1423" i="1"/>
  <c r="AB1423" i="1"/>
  <c r="AA1423" i="1"/>
  <c r="Z1423" i="1"/>
  <c r="V1423" i="1"/>
  <c r="N1423" i="1"/>
  <c r="Q1423" i="1"/>
  <c r="M1423" i="1"/>
  <c r="AD1422" i="1"/>
  <c r="AC1422" i="1"/>
  <c r="AB1422" i="1"/>
  <c r="AA1422" i="1"/>
  <c r="Z1422" i="1"/>
  <c r="AD1421" i="1"/>
  <c r="AC1421" i="1"/>
  <c r="AB1421" i="1"/>
  <c r="AA1421" i="1"/>
  <c r="Z1421" i="1"/>
  <c r="AD1420" i="1"/>
  <c r="AC1420" i="1"/>
  <c r="AB1420" i="1"/>
  <c r="AA1420" i="1"/>
  <c r="Z1420" i="1"/>
  <c r="AD1419" i="1"/>
  <c r="AC1419" i="1"/>
  <c r="AB1419" i="1"/>
  <c r="AA1419" i="1"/>
  <c r="Z1419" i="1"/>
  <c r="V1419" i="1"/>
  <c r="N1419" i="1"/>
  <c r="M1419" i="1"/>
  <c r="AD1418" i="1"/>
  <c r="AC1418" i="1"/>
  <c r="AB1418" i="1"/>
  <c r="AA1418" i="1"/>
  <c r="Z1418" i="1"/>
  <c r="AD1417" i="1"/>
  <c r="AC1417" i="1"/>
  <c r="AB1417" i="1"/>
  <c r="AA1417" i="1"/>
  <c r="Z1417" i="1"/>
  <c r="V1417" i="1"/>
  <c r="N1417" i="1"/>
  <c r="L1417" i="1"/>
  <c r="K1417" i="1"/>
  <c r="J1417" i="1"/>
  <c r="AD1416" i="1"/>
  <c r="AC1416" i="1"/>
  <c r="AB1416" i="1"/>
  <c r="AA1416" i="1"/>
  <c r="Z1416" i="1"/>
  <c r="V1416" i="1"/>
  <c r="N1416" i="1"/>
  <c r="M1416" i="1"/>
  <c r="AD1415" i="1"/>
  <c r="AC1415" i="1"/>
  <c r="AB1415" i="1"/>
  <c r="AA1415" i="1"/>
  <c r="Z1415" i="1"/>
  <c r="AD1414" i="1"/>
  <c r="AC1414" i="1"/>
  <c r="AB1414" i="1"/>
  <c r="AA1414" i="1"/>
  <c r="Z1414" i="1"/>
  <c r="V1414" i="1"/>
  <c r="N1414" i="1"/>
  <c r="R1414" i="1"/>
  <c r="M1414" i="1"/>
  <c r="AD1413" i="1"/>
  <c r="AC1413" i="1"/>
  <c r="AB1413" i="1"/>
  <c r="AA1413" i="1"/>
  <c r="Z1413" i="1"/>
  <c r="V1413" i="1"/>
  <c r="N1413" i="1"/>
  <c r="M1413" i="1"/>
  <c r="AD1412" i="1"/>
  <c r="AC1412" i="1"/>
  <c r="AB1412" i="1"/>
  <c r="AA1412" i="1"/>
  <c r="Z1412" i="1"/>
  <c r="AD1411" i="1"/>
  <c r="AC1411" i="1"/>
  <c r="AB1411" i="1"/>
  <c r="AA1411" i="1"/>
  <c r="Z1411" i="1"/>
  <c r="V1411" i="1"/>
  <c r="N1411" i="1"/>
  <c r="J1411" i="1"/>
  <c r="M1411" i="1"/>
  <c r="AD1410" i="1"/>
  <c r="AC1410" i="1"/>
  <c r="AB1410" i="1"/>
  <c r="AA1410" i="1"/>
  <c r="Z1410" i="1"/>
  <c r="V1410" i="1"/>
  <c r="N1410" i="1"/>
  <c r="M1410" i="1"/>
  <c r="AD1409" i="1"/>
  <c r="AC1409" i="1"/>
  <c r="AB1409" i="1"/>
  <c r="AA1409" i="1"/>
  <c r="Z1409" i="1"/>
  <c r="AD1408" i="1"/>
  <c r="AC1408" i="1"/>
  <c r="AB1408" i="1"/>
  <c r="AA1408" i="1"/>
  <c r="Z1408" i="1"/>
  <c r="AD1407" i="1"/>
  <c r="AC1407" i="1"/>
  <c r="AB1407" i="1"/>
  <c r="AA1407" i="1"/>
  <c r="Z1407" i="1"/>
  <c r="V1407" i="1"/>
  <c r="N1407" i="1"/>
  <c r="Q1407" i="1"/>
  <c r="M1407" i="1"/>
  <c r="AD1406" i="1"/>
  <c r="AC1406" i="1"/>
  <c r="AB1406" i="1"/>
  <c r="AA1406" i="1"/>
  <c r="Z1406" i="1"/>
  <c r="V1406" i="1"/>
  <c r="N1406" i="1"/>
  <c r="M1406" i="1"/>
  <c r="AD1405" i="1"/>
  <c r="AC1405" i="1"/>
  <c r="AB1405" i="1"/>
  <c r="AA1405" i="1"/>
  <c r="Z1405" i="1"/>
  <c r="AD1404" i="1"/>
  <c r="AC1404" i="1"/>
  <c r="AB1404" i="1"/>
  <c r="AA1404" i="1"/>
  <c r="Z1404" i="1"/>
  <c r="AD1403" i="1"/>
  <c r="AC1403" i="1"/>
  <c r="AB1403" i="1"/>
  <c r="AA1403" i="1"/>
  <c r="Z1403" i="1"/>
  <c r="V1403" i="1"/>
  <c r="N1403" i="1"/>
  <c r="M1403" i="1"/>
  <c r="AD1402" i="1"/>
  <c r="AC1402" i="1"/>
  <c r="AB1402" i="1"/>
  <c r="AA1402" i="1"/>
  <c r="Z1402" i="1"/>
  <c r="V1402" i="1"/>
  <c r="N1402" i="1"/>
  <c r="M1402" i="1"/>
  <c r="AD1401" i="1"/>
  <c r="AC1401" i="1"/>
  <c r="AB1401" i="1"/>
  <c r="AA1401" i="1"/>
  <c r="Z1401" i="1"/>
  <c r="V1401" i="1"/>
  <c r="N1401" i="1"/>
  <c r="R1401" i="1"/>
  <c r="M1401" i="1"/>
  <c r="AD1400" i="1"/>
  <c r="AC1400" i="1"/>
  <c r="AB1400" i="1"/>
  <c r="AA1400" i="1"/>
  <c r="Z1400" i="1"/>
  <c r="AD1399" i="1"/>
  <c r="AC1399" i="1"/>
  <c r="AB1399" i="1"/>
  <c r="AA1399" i="1"/>
  <c r="Z1399" i="1"/>
  <c r="AD1398" i="1"/>
  <c r="AC1398" i="1"/>
  <c r="AB1398" i="1"/>
  <c r="AA1398" i="1"/>
  <c r="Z1398" i="1"/>
  <c r="V1398" i="1"/>
  <c r="N1398" i="1"/>
  <c r="P1398" i="1"/>
  <c r="M1398" i="1"/>
  <c r="AD1397" i="1"/>
  <c r="AC1397" i="1"/>
  <c r="AB1397" i="1"/>
  <c r="AA1397" i="1"/>
  <c r="Z1397" i="1"/>
  <c r="V1397" i="1"/>
  <c r="N1397" i="1"/>
  <c r="L1397" i="1"/>
  <c r="J1397" i="1"/>
  <c r="AD1396" i="1"/>
  <c r="AC1396" i="1"/>
  <c r="AB1396" i="1"/>
  <c r="AA1396" i="1"/>
  <c r="Z1396" i="1"/>
  <c r="V1396" i="1"/>
  <c r="N1396" i="1"/>
  <c r="Q1396" i="1"/>
  <c r="M1396" i="1"/>
  <c r="AD1395" i="1"/>
  <c r="AC1395" i="1"/>
  <c r="AB1395" i="1"/>
  <c r="AA1395" i="1"/>
  <c r="Z1395" i="1"/>
  <c r="V1395" i="1"/>
  <c r="N1395" i="1"/>
  <c r="L1395" i="1"/>
  <c r="J1395" i="1"/>
  <c r="AD1394" i="1"/>
  <c r="AC1394" i="1"/>
  <c r="AB1394" i="1"/>
  <c r="AA1394" i="1"/>
  <c r="Z1394" i="1"/>
  <c r="V1394" i="1"/>
  <c r="N1394" i="1"/>
  <c r="Q1394" i="1"/>
  <c r="L1394" i="1"/>
  <c r="J1394" i="1"/>
  <c r="AD1393" i="1"/>
  <c r="AC1393" i="1"/>
  <c r="AB1393" i="1"/>
  <c r="AA1393" i="1"/>
  <c r="Z1393" i="1"/>
  <c r="AD1392" i="1"/>
  <c r="AC1392" i="1"/>
  <c r="AB1392" i="1"/>
  <c r="AA1392" i="1"/>
  <c r="Z1392" i="1"/>
  <c r="V1392" i="1"/>
  <c r="N1392" i="1"/>
  <c r="Q1392" i="1"/>
  <c r="L1392" i="1"/>
  <c r="M1392" i="1"/>
  <c r="AD1391" i="1"/>
  <c r="AC1391" i="1"/>
  <c r="AB1391" i="1"/>
  <c r="AA1391" i="1"/>
  <c r="Z1391" i="1"/>
  <c r="V1391" i="1"/>
  <c r="N1391" i="1"/>
  <c r="M1391" i="1"/>
  <c r="AD1390" i="1"/>
  <c r="AC1390" i="1"/>
  <c r="AB1390" i="1"/>
  <c r="AA1390" i="1"/>
  <c r="Z1390" i="1"/>
  <c r="V1390" i="1"/>
  <c r="N1390" i="1"/>
  <c r="AD1389" i="1"/>
  <c r="AC1389" i="1"/>
  <c r="AB1389" i="1"/>
  <c r="AA1389" i="1"/>
  <c r="Z1389" i="1"/>
  <c r="AD1388" i="1"/>
  <c r="AC1388" i="1"/>
  <c r="AB1388" i="1"/>
  <c r="AA1388" i="1"/>
  <c r="Z1388" i="1"/>
  <c r="V1388" i="1"/>
  <c r="N1388" i="1"/>
  <c r="L1388" i="1"/>
  <c r="K1388" i="1"/>
  <c r="J1388" i="1"/>
  <c r="AD1387" i="1"/>
  <c r="AC1387" i="1"/>
  <c r="AB1387" i="1"/>
  <c r="AA1387" i="1"/>
  <c r="Z1387" i="1"/>
  <c r="V1387" i="1"/>
  <c r="N1387" i="1"/>
  <c r="L1387" i="1"/>
  <c r="K1387" i="1"/>
  <c r="J1387" i="1"/>
  <c r="AD1386" i="1"/>
  <c r="AC1386" i="1"/>
  <c r="AB1386" i="1"/>
  <c r="AA1386" i="1"/>
  <c r="Z1386" i="1"/>
  <c r="V1386" i="1"/>
  <c r="N1386" i="1"/>
  <c r="P1386" i="1"/>
  <c r="M1386" i="1"/>
  <c r="AD1385" i="1"/>
  <c r="AC1385" i="1"/>
  <c r="AB1385" i="1"/>
  <c r="AA1385" i="1"/>
  <c r="Z1385" i="1"/>
  <c r="AD1384" i="1"/>
  <c r="AC1384" i="1"/>
  <c r="AB1384" i="1"/>
  <c r="AA1384" i="1"/>
  <c r="Z1384" i="1"/>
  <c r="AD1383" i="1"/>
  <c r="AC1383" i="1"/>
  <c r="AB1383" i="1"/>
  <c r="AA1383" i="1"/>
  <c r="Z1383" i="1"/>
  <c r="V1383" i="1"/>
  <c r="N1383" i="1"/>
  <c r="O1383" i="1"/>
  <c r="M1383" i="1"/>
  <c r="AD1382" i="1"/>
  <c r="AC1382" i="1"/>
  <c r="AB1382" i="1"/>
  <c r="AA1382" i="1"/>
  <c r="Z1382" i="1"/>
  <c r="V1382" i="1"/>
  <c r="N1382" i="1"/>
  <c r="L1382" i="1"/>
  <c r="J1382" i="1"/>
  <c r="AD1381" i="1"/>
  <c r="AC1381" i="1"/>
  <c r="AB1381" i="1"/>
  <c r="AA1381" i="1"/>
  <c r="Z1381" i="1"/>
  <c r="AD1380" i="1"/>
  <c r="AC1380" i="1"/>
  <c r="AB1380" i="1"/>
  <c r="AA1380" i="1"/>
  <c r="Z1380" i="1"/>
  <c r="V1380" i="1"/>
  <c r="N1380" i="1"/>
  <c r="P1380" i="1"/>
  <c r="M1380" i="1"/>
  <c r="AD1379" i="1"/>
  <c r="AC1379" i="1"/>
  <c r="AB1379" i="1"/>
  <c r="AA1379" i="1"/>
  <c r="Z1379" i="1"/>
  <c r="V1379" i="1"/>
  <c r="N1379" i="1"/>
  <c r="R1379" i="1"/>
  <c r="M1379" i="1"/>
  <c r="AD1378" i="1"/>
  <c r="AC1378" i="1"/>
  <c r="AB1378" i="1"/>
  <c r="AA1378" i="1"/>
  <c r="Z1378" i="1"/>
  <c r="AD1377" i="1"/>
  <c r="AC1377" i="1"/>
  <c r="AB1377" i="1"/>
  <c r="AA1377" i="1"/>
  <c r="Z1377" i="1"/>
  <c r="V1377" i="1"/>
  <c r="N1377" i="1"/>
  <c r="P1377" i="1"/>
  <c r="M1377" i="1"/>
  <c r="AD1376" i="1"/>
  <c r="AC1376" i="1"/>
  <c r="AB1376" i="1"/>
  <c r="AA1376" i="1"/>
  <c r="Z1376" i="1"/>
  <c r="V1376" i="1"/>
  <c r="N1376" i="1"/>
  <c r="M1376" i="1"/>
  <c r="AD1375" i="1"/>
  <c r="AC1375" i="1"/>
  <c r="AB1375" i="1"/>
  <c r="AA1375" i="1"/>
  <c r="Z1375" i="1"/>
  <c r="V1375" i="1"/>
  <c r="N1375" i="1"/>
  <c r="Q1375" i="1"/>
  <c r="M1375" i="1"/>
  <c r="AD1374" i="1"/>
  <c r="AC1374" i="1"/>
  <c r="AB1374" i="1"/>
  <c r="AA1374" i="1"/>
  <c r="Z1374" i="1"/>
  <c r="AD1373" i="1"/>
  <c r="AC1373" i="1"/>
  <c r="AB1373" i="1"/>
  <c r="AA1373" i="1"/>
  <c r="Z1373" i="1"/>
  <c r="AD1372" i="1"/>
  <c r="AC1372" i="1"/>
  <c r="AB1372" i="1"/>
  <c r="AA1372" i="1"/>
  <c r="Z1372" i="1"/>
  <c r="V1372" i="1"/>
  <c r="N1372" i="1"/>
  <c r="R1372" i="1"/>
  <c r="M1372" i="1"/>
  <c r="AD1371" i="1"/>
  <c r="AC1371" i="1"/>
  <c r="AB1371" i="1"/>
  <c r="AA1371" i="1"/>
  <c r="Z1371" i="1"/>
  <c r="V1371" i="1"/>
  <c r="N1371" i="1"/>
  <c r="M1371" i="1"/>
  <c r="AD1370" i="1"/>
  <c r="AC1370" i="1"/>
  <c r="AB1370" i="1"/>
  <c r="AA1370" i="1"/>
  <c r="Z1370" i="1"/>
  <c r="V1370" i="1"/>
  <c r="N1370" i="1"/>
  <c r="R1370" i="1"/>
  <c r="M1370" i="1"/>
  <c r="AD1369" i="1"/>
  <c r="AC1369" i="1"/>
  <c r="AB1369" i="1"/>
  <c r="AA1369" i="1"/>
  <c r="Z1369" i="1"/>
  <c r="AD1368" i="1"/>
  <c r="AC1368" i="1"/>
  <c r="AB1368" i="1"/>
  <c r="AA1368" i="1"/>
  <c r="Z1368" i="1"/>
  <c r="V1368" i="1"/>
  <c r="N1368" i="1"/>
  <c r="M1368" i="1"/>
  <c r="AD1367" i="1"/>
  <c r="AC1367" i="1"/>
  <c r="AB1367" i="1"/>
  <c r="AA1367" i="1"/>
  <c r="Z1367" i="1"/>
  <c r="V1367" i="1"/>
  <c r="N1367" i="1"/>
  <c r="R1367" i="1"/>
  <c r="M1367" i="1"/>
  <c r="AD1366" i="1"/>
  <c r="AC1366" i="1"/>
  <c r="AB1366" i="1"/>
  <c r="AA1366" i="1"/>
  <c r="Z1366" i="1"/>
  <c r="V1366" i="1"/>
  <c r="N1366" i="1"/>
  <c r="P1366" i="1"/>
  <c r="M1366" i="1"/>
  <c r="AD1365" i="1"/>
  <c r="AC1365" i="1"/>
  <c r="AB1365" i="1"/>
  <c r="AA1365" i="1"/>
  <c r="Z1365" i="1"/>
  <c r="AD1364" i="1"/>
  <c r="AC1364" i="1"/>
  <c r="AB1364" i="1"/>
  <c r="AA1364" i="1"/>
  <c r="Z1364" i="1"/>
  <c r="V1364" i="1"/>
  <c r="N1364" i="1"/>
  <c r="R1364" i="1"/>
  <c r="M1364" i="1"/>
  <c r="AD1363" i="1"/>
  <c r="AC1363" i="1"/>
  <c r="AB1363" i="1"/>
  <c r="AA1363" i="1"/>
  <c r="Z1363" i="1"/>
  <c r="V1363" i="1"/>
  <c r="N1363" i="1"/>
  <c r="R1363" i="1"/>
  <c r="M1363" i="1"/>
  <c r="AD1362" i="1"/>
  <c r="AC1362" i="1"/>
  <c r="AB1362" i="1"/>
  <c r="AA1362" i="1"/>
  <c r="Z1362" i="1"/>
  <c r="V1362" i="1"/>
  <c r="N1362" i="1"/>
  <c r="R1362" i="1"/>
  <c r="AD1361" i="1"/>
  <c r="AC1361" i="1"/>
  <c r="AB1361" i="1"/>
  <c r="AA1361" i="1"/>
  <c r="Z1361" i="1"/>
  <c r="V1361" i="1"/>
  <c r="N1361" i="1"/>
  <c r="R1361" i="1"/>
  <c r="M1361" i="1"/>
  <c r="AD1360" i="1"/>
  <c r="AC1360" i="1"/>
  <c r="AB1360" i="1"/>
  <c r="AA1360" i="1"/>
  <c r="Z1360" i="1"/>
  <c r="V1360" i="1"/>
  <c r="N1360" i="1"/>
  <c r="M1360" i="1"/>
  <c r="AD1359" i="1"/>
  <c r="AC1359" i="1"/>
  <c r="AB1359" i="1"/>
  <c r="AA1359" i="1"/>
  <c r="Z1359" i="1"/>
  <c r="AD1358" i="1"/>
  <c r="AC1358" i="1"/>
  <c r="AB1358" i="1"/>
  <c r="AA1358" i="1"/>
  <c r="Z1358" i="1"/>
  <c r="V1358" i="1"/>
  <c r="N1358" i="1"/>
  <c r="R1358" i="1"/>
  <c r="M1358" i="1"/>
  <c r="AD1357" i="1"/>
  <c r="AC1357" i="1"/>
  <c r="AB1357" i="1"/>
  <c r="AA1357" i="1"/>
  <c r="Z1357" i="1"/>
  <c r="V1357" i="1"/>
  <c r="N1357" i="1"/>
  <c r="R1357" i="1"/>
  <c r="M1357" i="1"/>
  <c r="AD1356" i="1"/>
  <c r="AC1356" i="1"/>
  <c r="AB1356" i="1"/>
  <c r="AA1356" i="1"/>
  <c r="Z1356" i="1"/>
  <c r="AD1355" i="1"/>
  <c r="AC1355" i="1"/>
  <c r="AB1355" i="1"/>
  <c r="AA1355" i="1"/>
  <c r="Z1355" i="1"/>
  <c r="V1355" i="1"/>
  <c r="N1355" i="1"/>
  <c r="K1355" i="1"/>
  <c r="M1355" i="1"/>
  <c r="AD1354" i="1"/>
  <c r="AC1354" i="1"/>
  <c r="AB1354" i="1"/>
  <c r="AA1354" i="1"/>
  <c r="Z1354" i="1"/>
  <c r="V1354" i="1"/>
  <c r="N1354" i="1"/>
  <c r="Q1354" i="1"/>
  <c r="M1354" i="1"/>
  <c r="AD1353" i="1"/>
  <c r="AC1353" i="1"/>
  <c r="AB1353" i="1"/>
  <c r="AA1353" i="1"/>
  <c r="Z1353" i="1"/>
  <c r="V1353" i="1"/>
  <c r="N1353" i="1"/>
  <c r="M1353" i="1"/>
  <c r="AD1352" i="1"/>
  <c r="AC1352" i="1"/>
  <c r="AB1352" i="1"/>
  <c r="AA1352" i="1"/>
  <c r="Z1352" i="1"/>
  <c r="AD1351" i="1"/>
  <c r="AC1351" i="1"/>
  <c r="AB1351" i="1"/>
  <c r="AA1351" i="1"/>
  <c r="Z1351" i="1"/>
  <c r="AD1350" i="1"/>
  <c r="AC1350" i="1"/>
  <c r="AB1350" i="1"/>
  <c r="AA1350" i="1"/>
  <c r="Z1350" i="1"/>
  <c r="V1350" i="1"/>
  <c r="N1350" i="1"/>
  <c r="P1350" i="1"/>
  <c r="M1350" i="1"/>
  <c r="AD1349" i="1"/>
  <c r="AC1349" i="1"/>
  <c r="AB1349" i="1"/>
  <c r="AA1349" i="1"/>
  <c r="Z1349" i="1"/>
  <c r="V1349" i="1"/>
  <c r="N1349" i="1"/>
  <c r="M1349" i="1"/>
  <c r="AD1348" i="1"/>
  <c r="AC1348" i="1"/>
  <c r="AB1348" i="1"/>
  <c r="AA1348" i="1"/>
  <c r="Z1348" i="1"/>
  <c r="AD1347" i="1"/>
  <c r="AC1347" i="1"/>
  <c r="AB1347" i="1"/>
  <c r="AA1347" i="1"/>
  <c r="Z1347" i="1"/>
  <c r="V1347" i="1"/>
  <c r="N1347" i="1"/>
  <c r="M1347" i="1"/>
  <c r="AD1346" i="1"/>
  <c r="AC1346" i="1"/>
  <c r="AB1346" i="1"/>
  <c r="AA1346" i="1"/>
  <c r="Z1346" i="1"/>
  <c r="AD1345" i="1"/>
  <c r="AC1345" i="1"/>
  <c r="AB1345" i="1"/>
  <c r="AA1345" i="1"/>
  <c r="Z1345" i="1"/>
  <c r="AD1344" i="1"/>
  <c r="AC1344" i="1"/>
  <c r="AB1344" i="1"/>
  <c r="AA1344" i="1"/>
  <c r="Z1344" i="1"/>
  <c r="V1344" i="1"/>
  <c r="N1344" i="1"/>
  <c r="L1344" i="1"/>
  <c r="M1344" i="1"/>
  <c r="AD1343" i="1"/>
  <c r="AC1343" i="1"/>
  <c r="AB1343" i="1"/>
  <c r="AA1343" i="1"/>
  <c r="Z1343" i="1"/>
  <c r="AD1342" i="1"/>
  <c r="AC1342" i="1"/>
  <c r="AB1342" i="1"/>
  <c r="AA1342" i="1"/>
  <c r="Z1342" i="1"/>
  <c r="V1342" i="1"/>
  <c r="N1342" i="1"/>
  <c r="J1342" i="1"/>
  <c r="M1342" i="1"/>
  <c r="AD1341" i="1"/>
  <c r="AC1341" i="1"/>
  <c r="AB1341" i="1"/>
  <c r="AA1341" i="1"/>
  <c r="Z1341" i="1"/>
  <c r="V1341" i="1"/>
  <c r="N1341" i="1"/>
  <c r="K1341" i="1"/>
  <c r="J1341" i="1"/>
  <c r="AD1340" i="1"/>
  <c r="AC1340" i="1"/>
  <c r="AB1340" i="1"/>
  <c r="AA1340" i="1"/>
  <c r="Z1340" i="1"/>
  <c r="V1340" i="1"/>
  <c r="N1340" i="1"/>
  <c r="K1340" i="1"/>
  <c r="J1340" i="1"/>
  <c r="AD1339" i="1"/>
  <c r="AC1339" i="1"/>
  <c r="AB1339" i="1"/>
  <c r="AA1339" i="1"/>
  <c r="Z1339" i="1"/>
  <c r="V1339" i="1"/>
  <c r="N1339" i="1"/>
  <c r="R1339" i="1"/>
  <c r="J1339" i="1"/>
  <c r="M1339" i="1"/>
  <c r="AD1338" i="1"/>
  <c r="AC1338" i="1"/>
  <c r="AB1338" i="1"/>
  <c r="AA1338" i="1"/>
  <c r="Z1338" i="1"/>
  <c r="V1338" i="1"/>
  <c r="N1338" i="1"/>
  <c r="J1338" i="1"/>
  <c r="M1338" i="1"/>
  <c r="AD1337" i="1"/>
  <c r="AC1337" i="1"/>
  <c r="AB1337" i="1"/>
  <c r="AA1337" i="1"/>
  <c r="Z1337" i="1"/>
  <c r="V1337" i="1"/>
  <c r="N1337" i="1"/>
  <c r="L1337" i="1"/>
  <c r="K1337" i="1"/>
  <c r="J1337" i="1"/>
  <c r="AD1336" i="1"/>
  <c r="AC1336" i="1"/>
  <c r="AB1336" i="1"/>
  <c r="AA1336" i="1"/>
  <c r="Z1336" i="1"/>
  <c r="V1336" i="1"/>
  <c r="N1336" i="1"/>
  <c r="L1336" i="1"/>
  <c r="K1336" i="1"/>
  <c r="J1336" i="1"/>
  <c r="AD1335" i="1"/>
  <c r="AC1335" i="1"/>
  <c r="AB1335" i="1"/>
  <c r="AA1335" i="1"/>
  <c r="Z1335" i="1"/>
  <c r="AD1334" i="1"/>
  <c r="AC1334" i="1"/>
  <c r="AB1334" i="1"/>
  <c r="AA1334" i="1"/>
  <c r="Z1334" i="1"/>
  <c r="AD1333" i="1"/>
  <c r="AC1333" i="1"/>
  <c r="AB1333" i="1"/>
  <c r="AA1333" i="1"/>
  <c r="Z1333" i="1"/>
  <c r="AD1332" i="1"/>
  <c r="AC1332" i="1"/>
  <c r="AB1332" i="1"/>
  <c r="AA1332" i="1"/>
  <c r="Z1332" i="1"/>
  <c r="V1332" i="1"/>
  <c r="N1332" i="1"/>
  <c r="M1332" i="1"/>
  <c r="AD1331" i="1"/>
  <c r="AC1331" i="1"/>
  <c r="AB1331" i="1"/>
  <c r="AA1331" i="1"/>
  <c r="Z1331" i="1"/>
  <c r="V1331" i="1"/>
  <c r="N1331" i="1"/>
  <c r="M1331" i="1"/>
  <c r="AD1330" i="1"/>
  <c r="AC1330" i="1"/>
  <c r="AB1330" i="1"/>
  <c r="AA1330" i="1"/>
  <c r="Z1330" i="1"/>
  <c r="AD1329" i="1"/>
  <c r="AC1329" i="1"/>
  <c r="AB1329" i="1"/>
  <c r="AA1329" i="1"/>
  <c r="Z1329" i="1"/>
  <c r="V1329" i="1"/>
  <c r="N1329" i="1"/>
  <c r="AD1328" i="1"/>
  <c r="AC1328" i="1"/>
  <c r="AB1328" i="1"/>
  <c r="AA1328" i="1"/>
  <c r="Z1328" i="1"/>
  <c r="V1328" i="1"/>
  <c r="N1328" i="1"/>
  <c r="AD1327" i="1"/>
  <c r="AC1327" i="1"/>
  <c r="AB1327" i="1"/>
  <c r="AA1327" i="1"/>
  <c r="Z1327" i="1"/>
  <c r="AD1326" i="1"/>
  <c r="AC1326" i="1"/>
  <c r="AB1326" i="1"/>
  <c r="AA1326" i="1"/>
  <c r="Z1326" i="1"/>
  <c r="V1326" i="1"/>
  <c r="N1326" i="1"/>
  <c r="R1326" i="1"/>
  <c r="M1326" i="1"/>
  <c r="AD1325" i="1"/>
  <c r="AC1325" i="1"/>
  <c r="AB1325" i="1"/>
  <c r="AA1325" i="1"/>
  <c r="Z1325" i="1"/>
  <c r="V1325" i="1"/>
  <c r="N1325" i="1"/>
  <c r="R1325" i="1"/>
  <c r="M1325" i="1"/>
  <c r="AD1324" i="1"/>
  <c r="AC1324" i="1"/>
  <c r="AB1324" i="1"/>
  <c r="AA1324" i="1"/>
  <c r="Z1324" i="1"/>
  <c r="V1324" i="1"/>
  <c r="N1324" i="1"/>
  <c r="R1324" i="1"/>
  <c r="M1324" i="1"/>
  <c r="AD1323" i="1"/>
  <c r="AC1323" i="1"/>
  <c r="AB1323" i="1"/>
  <c r="AA1323" i="1"/>
  <c r="Z1323" i="1"/>
  <c r="AD1322" i="1"/>
  <c r="AC1322" i="1"/>
  <c r="AB1322" i="1"/>
  <c r="AA1322" i="1"/>
  <c r="Z1322" i="1"/>
  <c r="AD1321" i="1"/>
  <c r="AC1321" i="1"/>
  <c r="AB1321" i="1"/>
  <c r="AA1321" i="1"/>
  <c r="Z1321" i="1"/>
  <c r="V1321" i="1"/>
  <c r="N1321" i="1"/>
  <c r="J1321" i="1"/>
  <c r="M1321" i="1"/>
  <c r="AD1320" i="1"/>
  <c r="AC1320" i="1"/>
  <c r="AB1320" i="1"/>
  <c r="AA1320" i="1"/>
  <c r="Z1320" i="1"/>
  <c r="V1320" i="1"/>
  <c r="N1320" i="1"/>
  <c r="R1320" i="1"/>
  <c r="K1320" i="1"/>
  <c r="M1320" i="1"/>
  <c r="AD1319" i="1"/>
  <c r="AC1319" i="1"/>
  <c r="AB1319" i="1"/>
  <c r="AA1319" i="1"/>
  <c r="Z1319" i="1"/>
  <c r="V1319" i="1"/>
  <c r="N1319" i="1"/>
  <c r="R1319" i="1"/>
  <c r="M1319" i="1"/>
  <c r="AD1318" i="1"/>
  <c r="AC1318" i="1"/>
  <c r="AB1318" i="1"/>
  <c r="AA1318" i="1"/>
  <c r="Z1318" i="1"/>
  <c r="V1318" i="1"/>
  <c r="N1318" i="1"/>
  <c r="R1318" i="1"/>
  <c r="M1318" i="1"/>
  <c r="AD1317" i="1"/>
  <c r="AC1317" i="1"/>
  <c r="AB1317" i="1"/>
  <c r="AA1317" i="1"/>
  <c r="Z1317" i="1"/>
  <c r="AD1316" i="1"/>
  <c r="AC1316" i="1"/>
  <c r="AB1316" i="1"/>
  <c r="AA1316" i="1"/>
  <c r="Z1316" i="1"/>
  <c r="AD1315" i="1"/>
  <c r="AC1315" i="1"/>
  <c r="AB1315" i="1"/>
  <c r="AA1315" i="1"/>
  <c r="Z1315" i="1"/>
  <c r="V1315" i="1"/>
  <c r="N1315" i="1"/>
  <c r="O1315" i="1"/>
  <c r="M1315" i="1"/>
  <c r="AD1314" i="1"/>
  <c r="AC1314" i="1"/>
  <c r="AB1314" i="1"/>
  <c r="AA1314" i="1"/>
  <c r="Z1314" i="1"/>
  <c r="AD1313" i="1"/>
  <c r="AC1313" i="1"/>
  <c r="AB1313" i="1"/>
  <c r="AA1313" i="1"/>
  <c r="Z1313" i="1"/>
  <c r="V1313" i="1"/>
  <c r="N1313" i="1"/>
  <c r="M1313" i="1"/>
  <c r="AD1312" i="1"/>
  <c r="AC1312" i="1"/>
  <c r="AB1312" i="1"/>
  <c r="AA1312" i="1"/>
  <c r="Z1312" i="1"/>
  <c r="V1312" i="1"/>
  <c r="N1312" i="1"/>
  <c r="O1312" i="1"/>
  <c r="M1312" i="1"/>
  <c r="AD1311" i="1"/>
  <c r="AC1311" i="1"/>
  <c r="AB1311" i="1"/>
  <c r="AA1311" i="1"/>
  <c r="Z1311" i="1"/>
  <c r="V1311" i="1"/>
  <c r="N1311" i="1"/>
  <c r="M1311" i="1"/>
  <c r="AD1310" i="1"/>
  <c r="AC1310" i="1"/>
  <c r="AB1310" i="1"/>
  <c r="AA1310" i="1"/>
  <c r="Z1310" i="1"/>
  <c r="AD1309" i="1"/>
  <c r="AC1309" i="1"/>
  <c r="AB1309" i="1"/>
  <c r="AA1309" i="1"/>
  <c r="Z1309" i="1"/>
  <c r="V1309" i="1"/>
  <c r="N1309" i="1"/>
  <c r="O1309" i="1"/>
  <c r="L1309" i="1"/>
  <c r="K1309" i="1"/>
  <c r="AD1308" i="1"/>
  <c r="AC1308" i="1"/>
  <c r="AB1308" i="1"/>
  <c r="AA1308" i="1"/>
  <c r="Z1308" i="1"/>
  <c r="AD1307" i="1"/>
  <c r="AC1307" i="1"/>
  <c r="AB1307" i="1"/>
  <c r="AA1307" i="1"/>
  <c r="Z1307" i="1"/>
  <c r="AD1306" i="1"/>
  <c r="AC1306" i="1"/>
  <c r="AB1306" i="1"/>
  <c r="AA1306" i="1"/>
  <c r="Z1306" i="1"/>
  <c r="V1306" i="1"/>
  <c r="N1306" i="1"/>
  <c r="M1306" i="1"/>
  <c r="AD1305" i="1"/>
  <c r="AC1305" i="1"/>
  <c r="AB1305" i="1"/>
  <c r="AA1305" i="1"/>
  <c r="Z1305" i="1"/>
  <c r="AD1304" i="1"/>
  <c r="AC1304" i="1"/>
  <c r="AB1304" i="1"/>
  <c r="AA1304" i="1"/>
  <c r="Z1304" i="1"/>
  <c r="V1304" i="1"/>
  <c r="N1304" i="1"/>
  <c r="R1304" i="1"/>
  <c r="M1304" i="1"/>
  <c r="AD1303" i="1"/>
  <c r="AC1303" i="1"/>
  <c r="AB1303" i="1"/>
  <c r="AA1303" i="1"/>
  <c r="Z1303" i="1"/>
  <c r="V1303" i="1"/>
  <c r="N1303" i="1"/>
  <c r="O1303" i="1"/>
  <c r="M1303" i="1"/>
  <c r="AD1302" i="1"/>
  <c r="AC1302" i="1"/>
  <c r="AB1302" i="1"/>
  <c r="AA1302" i="1"/>
  <c r="Z1302" i="1"/>
  <c r="V1302" i="1"/>
  <c r="N1302" i="1"/>
  <c r="M1302" i="1"/>
  <c r="AD1301" i="1"/>
  <c r="AC1301" i="1"/>
  <c r="AB1301" i="1"/>
  <c r="AA1301" i="1"/>
  <c r="Z1301" i="1"/>
  <c r="V1301" i="1"/>
  <c r="N1301" i="1"/>
  <c r="O1301" i="1"/>
  <c r="M1301" i="1"/>
  <c r="AD1300" i="1"/>
  <c r="AC1300" i="1"/>
  <c r="AB1300" i="1"/>
  <c r="AA1300" i="1"/>
  <c r="Z1300" i="1"/>
  <c r="V1300" i="1"/>
  <c r="N1300" i="1"/>
  <c r="R1300" i="1"/>
  <c r="M1300" i="1"/>
  <c r="AD1299" i="1"/>
  <c r="AC1299" i="1"/>
  <c r="AB1299" i="1"/>
  <c r="AA1299" i="1"/>
  <c r="Z1299" i="1"/>
  <c r="V1299" i="1"/>
  <c r="N1299" i="1"/>
  <c r="O1299" i="1"/>
  <c r="M1299" i="1"/>
  <c r="AD1298" i="1"/>
  <c r="AC1298" i="1"/>
  <c r="AB1298" i="1"/>
  <c r="AA1298" i="1"/>
  <c r="Z1298" i="1"/>
  <c r="AD1297" i="1"/>
  <c r="AC1297" i="1"/>
  <c r="AB1297" i="1"/>
  <c r="AA1297" i="1"/>
  <c r="Z1297" i="1"/>
  <c r="V1297" i="1"/>
  <c r="N1297" i="1"/>
  <c r="O1297" i="1"/>
  <c r="M1297" i="1"/>
  <c r="AD1296" i="1"/>
  <c r="AC1296" i="1"/>
  <c r="AB1296" i="1"/>
  <c r="AA1296" i="1"/>
  <c r="Z1296" i="1"/>
  <c r="V1296" i="1"/>
  <c r="N1296" i="1"/>
  <c r="R1296" i="1"/>
  <c r="M1296" i="1"/>
  <c r="AD1295" i="1"/>
  <c r="AC1295" i="1"/>
  <c r="AB1295" i="1"/>
  <c r="AA1295" i="1"/>
  <c r="Z1295" i="1"/>
  <c r="V1295" i="1"/>
  <c r="N1295" i="1"/>
  <c r="O1295" i="1"/>
  <c r="M1295" i="1"/>
  <c r="AD1294" i="1"/>
  <c r="AC1294" i="1"/>
  <c r="AB1294" i="1"/>
  <c r="AA1294" i="1"/>
  <c r="Z1294" i="1"/>
  <c r="AD1293" i="1"/>
  <c r="AC1293" i="1"/>
  <c r="AB1293" i="1"/>
  <c r="AA1293" i="1"/>
  <c r="Z1293" i="1"/>
  <c r="AD1292" i="1"/>
  <c r="AC1292" i="1"/>
  <c r="AB1292" i="1"/>
  <c r="AA1292" i="1"/>
  <c r="Z1292" i="1"/>
  <c r="AD1291" i="1"/>
  <c r="AC1291" i="1"/>
  <c r="AB1291" i="1"/>
  <c r="AA1291" i="1"/>
  <c r="Z1291" i="1"/>
  <c r="V1291" i="1"/>
  <c r="N1291" i="1"/>
  <c r="O1291" i="1"/>
  <c r="M1291" i="1"/>
  <c r="AD1290" i="1"/>
  <c r="AC1290" i="1"/>
  <c r="AB1290" i="1"/>
  <c r="AA1290" i="1"/>
  <c r="Z1290" i="1"/>
  <c r="AD1289" i="1"/>
  <c r="AC1289" i="1"/>
  <c r="AB1289" i="1"/>
  <c r="AA1289" i="1"/>
  <c r="Z1289" i="1"/>
  <c r="AD1288" i="1"/>
  <c r="AC1288" i="1"/>
  <c r="AB1288" i="1"/>
  <c r="AA1288" i="1"/>
  <c r="Z1288" i="1"/>
  <c r="V1288" i="1"/>
  <c r="N1288" i="1"/>
  <c r="O1288" i="1"/>
  <c r="M1288" i="1"/>
  <c r="AD1287" i="1"/>
  <c r="AC1287" i="1"/>
  <c r="AB1287" i="1"/>
  <c r="AA1287" i="1"/>
  <c r="Z1287" i="1"/>
  <c r="V1287" i="1"/>
  <c r="N1287" i="1"/>
  <c r="M1287" i="1"/>
  <c r="AD1286" i="1"/>
  <c r="AC1286" i="1"/>
  <c r="AB1286" i="1"/>
  <c r="AA1286" i="1"/>
  <c r="Z1286" i="1"/>
  <c r="AD1285" i="1"/>
  <c r="AC1285" i="1"/>
  <c r="AB1285" i="1"/>
  <c r="AA1285" i="1"/>
  <c r="Z1285" i="1"/>
  <c r="V1285" i="1"/>
  <c r="N1285" i="1"/>
  <c r="O1285" i="1"/>
  <c r="M1285" i="1"/>
  <c r="AD1284" i="1"/>
  <c r="AC1284" i="1"/>
  <c r="AB1284" i="1"/>
  <c r="AA1284" i="1"/>
  <c r="Z1284" i="1"/>
  <c r="V1284" i="1"/>
  <c r="N1284" i="1"/>
  <c r="L1284" i="1"/>
  <c r="R1284" i="1"/>
  <c r="K1284" i="1"/>
  <c r="AD1283" i="1"/>
  <c r="AC1283" i="1"/>
  <c r="AB1283" i="1"/>
  <c r="AA1283" i="1"/>
  <c r="Z1283" i="1"/>
  <c r="V1283" i="1"/>
  <c r="N1283" i="1"/>
  <c r="O1283" i="1"/>
  <c r="J1283" i="1"/>
  <c r="M1283" i="1"/>
  <c r="AD1282" i="1"/>
  <c r="AC1282" i="1"/>
  <c r="AB1282" i="1"/>
  <c r="AA1282" i="1"/>
  <c r="Z1282" i="1"/>
  <c r="AD1281" i="1"/>
  <c r="AC1281" i="1"/>
  <c r="AB1281" i="1"/>
  <c r="AA1281" i="1"/>
  <c r="Z1281" i="1"/>
  <c r="AD1280" i="1"/>
  <c r="AC1280" i="1"/>
  <c r="AB1280" i="1"/>
  <c r="AA1280" i="1"/>
  <c r="Z1280" i="1"/>
  <c r="V1280" i="1"/>
  <c r="N1280" i="1"/>
  <c r="K1280" i="1"/>
  <c r="M1280" i="1"/>
  <c r="AD1279" i="1"/>
  <c r="AC1279" i="1"/>
  <c r="AB1279" i="1"/>
  <c r="AA1279" i="1"/>
  <c r="Z1279" i="1"/>
  <c r="V1279" i="1"/>
  <c r="N1279" i="1"/>
  <c r="L1279" i="1"/>
  <c r="K1279" i="1"/>
  <c r="AD1278" i="1"/>
  <c r="AC1278" i="1"/>
  <c r="AB1278" i="1"/>
  <c r="AA1278" i="1"/>
  <c r="Z1278" i="1"/>
  <c r="V1278" i="1"/>
  <c r="N1278" i="1"/>
  <c r="R1278" i="1"/>
  <c r="J1278" i="1"/>
  <c r="AD1277" i="1"/>
  <c r="AC1277" i="1"/>
  <c r="AB1277" i="1"/>
  <c r="AA1277" i="1"/>
  <c r="Z1277" i="1"/>
  <c r="AD1276" i="1"/>
  <c r="AC1276" i="1"/>
  <c r="AB1276" i="1"/>
  <c r="AA1276" i="1"/>
  <c r="Z1276" i="1"/>
  <c r="AD1275" i="1"/>
  <c r="AC1275" i="1"/>
  <c r="AB1275" i="1"/>
  <c r="AA1275" i="1"/>
  <c r="Z1275" i="1"/>
  <c r="V1275" i="1"/>
  <c r="N1275" i="1"/>
  <c r="L1275" i="1"/>
  <c r="K1275" i="1"/>
  <c r="AD1274" i="1"/>
  <c r="AC1274" i="1"/>
  <c r="AB1274" i="1"/>
  <c r="AA1274" i="1"/>
  <c r="Z1274" i="1"/>
  <c r="V1274" i="1"/>
  <c r="N1274" i="1"/>
  <c r="R1274" i="1"/>
  <c r="M1274" i="1"/>
  <c r="AD1273" i="1"/>
  <c r="AC1273" i="1"/>
  <c r="AB1273" i="1"/>
  <c r="AA1273" i="1"/>
  <c r="Z1273" i="1"/>
  <c r="AD1272" i="1"/>
  <c r="AC1272" i="1"/>
  <c r="AB1272" i="1"/>
  <c r="AA1272" i="1"/>
  <c r="Z1272" i="1"/>
  <c r="AD1271" i="1"/>
  <c r="AC1271" i="1"/>
  <c r="AB1271" i="1"/>
  <c r="AA1271" i="1"/>
  <c r="Z1271" i="1"/>
  <c r="V1271" i="1"/>
  <c r="N1271" i="1"/>
  <c r="AD1270" i="1"/>
  <c r="AC1270" i="1"/>
  <c r="AB1270" i="1"/>
  <c r="AA1270" i="1"/>
  <c r="Z1270" i="1"/>
  <c r="AD1269" i="1"/>
  <c r="AC1269" i="1"/>
  <c r="AB1269" i="1"/>
  <c r="AA1269" i="1"/>
  <c r="Z1269" i="1"/>
  <c r="V1269" i="1"/>
  <c r="N1269" i="1"/>
  <c r="M1269" i="1"/>
  <c r="AD1268" i="1"/>
  <c r="AC1268" i="1"/>
  <c r="AB1268" i="1"/>
  <c r="AA1268" i="1"/>
  <c r="Z1268" i="1"/>
  <c r="AD1267" i="1"/>
  <c r="AC1267" i="1"/>
  <c r="AB1267" i="1"/>
  <c r="AA1267" i="1"/>
  <c r="Z1267" i="1"/>
  <c r="AD1266" i="1"/>
  <c r="AC1266" i="1"/>
  <c r="AB1266" i="1"/>
  <c r="AA1266" i="1"/>
  <c r="Z1266" i="1"/>
  <c r="V1266" i="1"/>
  <c r="N1266" i="1"/>
  <c r="R1266" i="1"/>
  <c r="M1266" i="1"/>
  <c r="AD1265" i="1"/>
  <c r="AC1265" i="1"/>
  <c r="AB1265" i="1"/>
  <c r="AA1265" i="1"/>
  <c r="Z1265" i="1"/>
  <c r="V1265" i="1"/>
  <c r="N1265" i="1"/>
  <c r="O1265" i="1"/>
  <c r="M1265" i="1"/>
  <c r="AD1264" i="1"/>
  <c r="AC1264" i="1"/>
  <c r="AB1264" i="1"/>
  <c r="AA1264" i="1"/>
  <c r="Z1264" i="1"/>
  <c r="V1264" i="1"/>
  <c r="N1264" i="1"/>
  <c r="M1264" i="1"/>
  <c r="AD1263" i="1"/>
  <c r="AC1263" i="1"/>
  <c r="AB1263" i="1"/>
  <c r="AA1263" i="1"/>
  <c r="Z1263" i="1"/>
  <c r="V1263" i="1"/>
  <c r="N1263" i="1"/>
  <c r="R1263" i="1"/>
  <c r="M1263" i="1"/>
  <c r="AD1262" i="1"/>
  <c r="AC1262" i="1"/>
  <c r="AB1262" i="1"/>
  <c r="AA1262" i="1"/>
  <c r="Z1262" i="1"/>
  <c r="V1262" i="1"/>
  <c r="N1262" i="1"/>
  <c r="R1262" i="1"/>
  <c r="M1262" i="1"/>
  <c r="AD1261" i="1"/>
  <c r="AC1261" i="1"/>
  <c r="AB1261" i="1"/>
  <c r="AA1261" i="1"/>
  <c r="Z1261" i="1"/>
  <c r="V1261" i="1"/>
  <c r="N1261" i="1"/>
  <c r="R1261" i="1"/>
  <c r="M1261" i="1"/>
  <c r="AD1260" i="1"/>
  <c r="AC1260" i="1"/>
  <c r="AB1260" i="1"/>
  <c r="AA1260" i="1"/>
  <c r="Z1260" i="1"/>
  <c r="V1260" i="1"/>
  <c r="N1260" i="1"/>
  <c r="R1260" i="1"/>
  <c r="M1260" i="1"/>
  <c r="AD1259" i="1"/>
  <c r="AC1259" i="1"/>
  <c r="AB1259" i="1"/>
  <c r="AA1259" i="1"/>
  <c r="Z1259" i="1"/>
  <c r="AD1258" i="1"/>
  <c r="AC1258" i="1"/>
  <c r="AB1258" i="1"/>
  <c r="AA1258" i="1"/>
  <c r="Z1258" i="1"/>
  <c r="V1258" i="1"/>
  <c r="N1258" i="1"/>
  <c r="L1258" i="1"/>
  <c r="K1258" i="1"/>
  <c r="J1258" i="1"/>
  <c r="AD1257" i="1"/>
  <c r="AC1257" i="1"/>
  <c r="AB1257" i="1"/>
  <c r="AA1257" i="1"/>
  <c r="Z1257" i="1"/>
  <c r="V1257" i="1"/>
  <c r="N1257" i="1"/>
  <c r="L1257" i="1"/>
  <c r="K1257" i="1"/>
  <c r="AD1256" i="1"/>
  <c r="AC1256" i="1"/>
  <c r="AB1256" i="1"/>
  <c r="AA1256" i="1"/>
  <c r="Z1256" i="1"/>
  <c r="V1256" i="1"/>
  <c r="N1256" i="1"/>
  <c r="M1256" i="1"/>
  <c r="AD1255" i="1"/>
  <c r="AC1255" i="1"/>
  <c r="AB1255" i="1"/>
  <c r="AA1255" i="1"/>
  <c r="Z1255" i="1"/>
  <c r="AD1254" i="1"/>
  <c r="AC1254" i="1"/>
  <c r="AB1254" i="1"/>
  <c r="AA1254" i="1"/>
  <c r="Z1254" i="1"/>
  <c r="V1254" i="1"/>
  <c r="N1254" i="1"/>
  <c r="O1254" i="1"/>
  <c r="L1254" i="1"/>
  <c r="K1254" i="1"/>
  <c r="AD1253" i="1"/>
  <c r="AC1253" i="1"/>
  <c r="AB1253" i="1"/>
  <c r="AA1253" i="1"/>
  <c r="Z1253" i="1"/>
  <c r="V1253" i="1"/>
  <c r="N1253" i="1"/>
  <c r="R1253" i="1"/>
  <c r="M1253" i="1"/>
  <c r="AD1252" i="1"/>
  <c r="AC1252" i="1"/>
  <c r="AB1252" i="1"/>
  <c r="AA1252" i="1"/>
  <c r="Z1252" i="1"/>
  <c r="V1252" i="1"/>
  <c r="N1252" i="1"/>
  <c r="M1252" i="1"/>
  <c r="AD1251" i="1"/>
  <c r="AC1251" i="1"/>
  <c r="AB1251" i="1"/>
  <c r="AA1251" i="1"/>
  <c r="Z1251" i="1"/>
  <c r="V1251" i="1"/>
  <c r="N1251" i="1"/>
  <c r="O1251" i="1"/>
  <c r="M1251" i="1"/>
  <c r="AD1250" i="1"/>
  <c r="AC1250" i="1"/>
  <c r="AB1250" i="1"/>
  <c r="AA1250" i="1"/>
  <c r="Z1250" i="1"/>
  <c r="AD1249" i="1"/>
  <c r="AC1249" i="1"/>
  <c r="AB1249" i="1"/>
  <c r="AA1249" i="1"/>
  <c r="Z1249" i="1"/>
  <c r="AD1248" i="1"/>
  <c r="AC1248" i="1"/>
  <c r="AB1248" i="1"/>
  <c r="AA1248" i="1"/>
  <c r="Z1248" i="1"/>
  <c r="V1248" i="1"/>
  <c r="N1248" i="1"/>
  <c r="R1248" i="1"/>
  <c r="K1248" i="1"/>
  <c r="AD1247" i="1"/>
  <c r="AC1247" i="1"/>
  <c r="AB1247" i="1"/>
  <c r="AA1247" i="1"/>
  <c r="Z1247" i="1"/>
  <c r="V1247" i="1"/>
  <c r="N1247" i="1"/>
  <c r="Q1247" i="1"/>
  <c r="J1247" i="1"/>
  <c r="M1247" i="1"/>
  <c r="AD1246" i="1"/>
  <c r="AC1246" i="1"/>
  <c r="AB1246" i="1"/>
  <c r="AA1246" i="1"/>
  <c r="Z1246" i="1"/>
  <c r="V1246" i="1"/>
  <c r="N1246" i="1"/>
  <c r="R1246" i="1"/>
  <c r="M1246" i="1"/>
  <c r="AD1245" i="1"/>
  <c r="AC1245" i="1"/>
  <c r="AB1245" i="1"/>
  <c r="AA1245" i="1"/>
  <c r="Z1245" i="1"/>
  <c r="AD1244" i="1"/>
  <c r="AC1244" i="1"/>
  <c r="AB1244" i="1"/>
  <c r="AA1244" i="1"/>
  <c r="Z1244" i="1"/>
  <c r="AD1243" i="1"/>
  <c r="AC1243" i="1"/>
  <c r="AB1243" i="1"/>
  <c r="AA1243" i="1"/>
  <c r="Z1243" i="1"/>
  <c r="V1243" i="1"/>
  <c r="N1243" i="1"/>
  <c r="R1243" i="1"/>
  <c r="J1243" i="1"/>
  <c r="M1243" i="1"/>
  <c r="AD1242" i="1"/>
  <c r="AC1242" i="1"/>
  <c r="AB1242" i="1"/>
  <c r="AA1242" i="1"/>
  <c r="Z1242" i="1"/>
  <c r="V1242" i="1"/>
  <c r="N1242" i="1"/>
  <c r="R1242" i="1"/>
  <c r="M1242" i="1"/>
  <c r="AD1241" i="1"/>
  <c r="AC1241" i="1"/>
  <c r="AB1241" i="1"/>
  <c r="AA1241" i="1"/>
  <c r="Z1241" i="1"/>
  <c r="V1241" i="1"/>
  <c r="N1241" i="1"/>
  <c r="R1241" i="1"/>
  <c r="M1241" i="1"/>
  <c r="AD1240" i="1"/>
  <c r="AC1240" i="1"/>
  <c r="AB1240" i="1"/>
  <c r="AA1240" i="1"/>
  <c r="Z1240" i="1"/>
  <c r="V1240" i="1"/>
  <c r="N1240" i="1"/>
  <c r="M1240" i="1"/>
  <c r="AD1239" i="1"/>
  <c r="AC1239" i="1"/>
  <c r="AB1239" i="1"/>
  <c r="AA1239" i="1"/>
  <c r="Z1239" i="1"/>
  <c r="V1239" i="1"/>
  <c r="N1239" i="1"/>
  <c r="R1239" i="1"/>
  <c r="M1239" i="1"/>
  <c r="AD1238" i="1"/>
  <c r="AC1238" i="1"/>
  <c r="AB1238" i="1"/>
  <c r="AA1238" i="1"/>
  <c r="Z1238" i="1"/>
  <c r="V1238" i="1"/>
  <c r="N1238" i="1"/>
  <c r="M1238" i="1"/>
  <c r="AD1237" i="1"/>
  <c r="AC1237" i="1"/>
  <c r="AB1237" i="1"/>
  <c r="AA1237" i="1"/>
  <c r="Z1237" i="1"/>
  <c r="AD1236" i="1"/>
  <c r="AC1236" i="1"/>
  <c r="AB1236" i="1"/>
  <c r="AA1236" i="1"/>
  <c r="Z1236" i="1"/>
  <c r="V1236" i="1"/>
  <c r="N1236" i="1"/>
  <c r="O1236" i="1"/>
  <c r="K1236" i="1"/>
  <c r="J1236" i="1"/>
  <c r="AD1235" i="1"/>
  <c r="AC1235" i="1"/>
  <c r="AB1235" i="1"/>
  <c r="AA1235" i="1"/>
  <c r="Z1235" i="1"/>
  <c r="V1235" i="1"/>
  <c r="N1235" i="1"/>
  <c r="R1235" i="1"/>
  <c r="M1235" i="1"/>
  <c r="AD1234" i="1"/>
  <c r="AC1234" i="1"/>
  <c r="AB1234" i="1"/>
  <c r="AA1234" i="1"/>
  <c r="Z1234" i="1"/>
  <c r="V1234" i="1"/>
  <c r="N1234" i="1"/>
  <c r="R1234" i="1"/>
  <c r="M1234" i="1"/>
  <c r="AD1233" i="1"/>
  <c r="AC1233" i="1"/>
  <c r="AB1233" i="1"/>
  <c r="AA1233" i="1"/>
  <c r="Z1233" i="1"/>
  <c r="AD1232" i="1"/>
  <c r="AC1232" i="1"/>
  <c r="AB1232" i="1"/>
  <c r="AA1232" i="1"/>
  <c r="Z1232" i="1"/>
  <c r="V1232" i="1"/>
  <c r="N1232" i="1"/>
  <c r="M1232" i="1"/>
  <c r="AD1231" i="1"/>
  <c r="AC1231" i="1"/>
  <c r="AB1231" i="1"/>
  <c r="AA1231" i="1"/>
  <c r="Z1231" i="1"/>
  <c r="AD1230" i="1"/>
  <c r="AC1230" i="1"/>
  <c r="AB1230" i="1"/>
  <c r="AA1230" i="1"/>
  <c r="Z1230" i="1"/>
  <c r="AD1229" i="1"/>
  <c r="AC1229" i="1"/>
  <c r="AB1229" i="1"/>
  <c r="AA1229" i="1"/>
  <c r="Z1229" i="1"/>
  <c r="V1229" i="1"/>
  <c r="N1229" i="1"/>
  <c r="L1229" i="1"/>
  <c r="K1229" i="1"/>
  <c r="J1229" i="1"/>
  <c r="AD1228" i="1"/>
  <c r="AC1228" i="1"/>
  <c r="AB1228" i="1"/>
  <c r="AA1228" i="1"/>
  <c r="Z1228" i="1"/>
  <c r="V1228" i="1"/>
  <c r="N1228" i="1"/>
  <c r="L1228" i="1"/>
  <c r="K1228" i="1"/>
  <c r="J1228" i="1"/>
  <c r="AD1227" i="1"/>
  <c r="AC1227" i="1"/>
  <c r="AB1227" i="1"/>
  <c r="AA1227" i="1"/>
  <c r="Z1227" i="1"/>
  <c r="AD1226" i="1"/>
  <c r="AC1226" i="1"/>
  <c r="AB1226" i="1"/>
  <c r="AA1226" i="1"/>
  <c r="Z1226" i="1"/>
  <c r="AD1225" i="1"/>
  <c r="AC1225" i="1"/>
  <c r="AB1225" i="1"/>
  <c r="AA1225" i="1"/>
  <c r="Z1225" i="1"/>
  <c r="V1225" i="1"/>
  <c r="N1225" i="1"/>
  <c r="L1225" i="1"/>
  <c r="K1225" i="1"/>
  <c r="J1225" i="1"/>
  <c r="AD1224" i="1"/>
  <c r="AC1224" i="1"/>
  <c r="AB1224" i="1"/>
  <c r="AA1224" i="1"/>
  <c r="Z1224" i="1"/>
  <c r="V1224" i="1"/>
  <c r="N1224" i="1"/>
  <c r="J1224" i="1"/>
  <c r="M1224" i="1"/>
  <c r="AD1223" i="1"/>
  <c r="AC1223" i="1"/>
  <c r="AB1223" i="1"/>
  <c r="AA1223" i="1"/>
  <c r="Z1223" i="1"/>
  <c r="V1223" i="1"/>
  <c r="N1223" i="1"/>
  <c r="M1223" i="1"/>
  <c r="AD1222" i="1"/>
  <c r="AC1222" i="1"/>
  <c r="AB1222" i="1"/>
  <c r="AA1222" i="1"/>
  <c r="Z1222" i="1"/>
  <c r="AD1221" i="1"/>
  <c r="AC1221" i="1"/>
  <c r="AB1221" i="1"/>
  <c r="AA1221" i="1"/>
  <c r="Z1221" i="1"/>
  <c r="AD1220" i="1"/>
  <c r="AC1220" i="1"/>
  <c r="AB1220" i="1"/>
  <c r="AA1220" i="1"/>
  <c r="Z1220" i="1"/>
  <c r="AD1219" i="1"/>
  <c r="AC1219" i="1"/>
  <c r="AB1219" i="1"/>
  <c r="AA1219" i="1"/>
  <c r="Z1219" i="1"/>
  <c r="AD1218" i="1"/>
  <c r="AC1218" i="1"/>
  <c r="AB1218" i="1"/>
  <c r="AA1218" i="1"/>
  <c r="Z1218" i="1"/>
  <c r="V1218" i="1"/>
  <c r="N1218" i="1"/>
  <c r="L1218" i="1"/>
  <c r="K1218" i="1"/>
  <c r="J1218" i="1"/>
  <c r="AD1217" i="1"/>
  <c r="AC1217" i="1"/>
  <c r="AB1217" i="1"/>
  <c r="AA1217" i="1"/>
  <c r="Z1217" i="1"/>
  <c r="V1217" i="1"/>
  <c r="N1217" i="1"/>
  <c r="O1217" i="1"/>
  <c r="L1217" i="1"/>
  <c r="K1217" i="1"/>
  <c r="J1217" i="1"/>
  <c r="AD1216" i="1"/>
  <c r="AC1216" i="1"/>
  <c r="AB1216" i="1"/>
  <c r="AA1216" i="1"/>
  <c r="Z1216" i="1"/>
  <c r="V1216" i="1"/>
  <c r="N1216" i="1"/>
  <c r="L1216" i="1"/>
  <c r="R1216" i="1"/>
  <c r="K1216" i="1"/>
  <c r="J1216" i="1"/>
  <c r="AD1215" i="1"/>
  <c r="AC1215" i="1"/>
  <c r="AB1215" i="1"/>
  <c r="AA1215" i="1"/>
  <c r="Z1215" i="1"/>
  <c r="V1215" i="1"/>
  <c r="N1215" i="1"/>
  <c r="R1215" i="1"/>
  <c r="M1215" i="1"/>
  <c r="AD1214" i="1"/>
  <c r="AC1214" i="1"/>
  <c r="AB1214" i="1"/>
  <c r="AA1214" i="1"/>
  <c r="Z1214" i="1"/>
  <c r="V1214" i="1"/>
  <c r="N1214" i="1"/>
  <c r="J1214" i="1"/>
  <c r="M1214" i="1"/>
  <c r="AD1213" i="1"/>
  <c r="AC1213" i="1"/>
  <c r="AB1213" i="1"/>
  <c r="AA1213" i="1"/>
  <c r="Z1213" i="1"/>
  <c r="AD1212" i="1"/>
  <c r="AC1212" i="1"/>
  <c r="AB1212" i="1"/>
  <c r="AA1212" i="1"/>
  <c r="Z1212" i="1"/>
  <c r="AD1211" i="1"/>
  <c r="AC1211" i="1"/>
  <c r="AB1211" i="1"/>
  <c r="AA1211" i="1"/>
  <c r="Z1211" i="1"/>
  <c r="V1211" i="1"/>
  <c r="N1211" i="1"/>
  <c r="L1211" i="1"/>
  <c r="K1211" i="1"/>
  <c r="AD1210" i="1"/>
  <c r="AC1210" i="1"/>
  <c r="AB1210" i="1"/>
  <c r="AA1210" i="1"/>
  <c r="Z1210" i="1"/>
  <c r="V1210" i="1"/>
  <c r="N1210" i="1"/>
  <c r="AD1209" i="1"/>
  <c r="AC1209" i="1"/>
  <c r="AB1209" i="1"/>
  <c r="AA1209" i="1"/>
  <c r="Z1209" i="1"/>
  <c r="V1209" i="1"/>
  <c r="N1209" i="1"/>
  <c r="L1209" i="1"/>
  <c r="K1209" i="1"/>
  <c r="AD1208" i="1"/>
  <c r="AC1208" i="1"/>
  <c r="AB1208" i="1"/>
  <c r="AA1208" i="1"/>
  <c r="Z1208" i="1"/>
  <c r="V1208" i="1"/>
  <c r="N1208" i="1"/>
  <c r="O1208" i="1"/>
  <c r="K1208" i="1"/>
  <c r="M1208" i="1"/>
  <c r="AD1207" i="1"/>
  <c r="AC1207" i="1"/>
  <c r="AB1207" i="1"/>
  <c r="AA1207" i="1"/>
  <c r="Z1207" i="1"/>
  <c r="V1207" i="1"/>
  <c r="N1207" i="1"/>
  <c r="L1207" i="1"/>
  <c r="K1207" i="1"/>
  <c r="AD1206" i="1"/>
  <c r="AC1206" i="1"/>
  <c r="AB1206" i="1"/>
  <c r="AA1206" i="1"/>
  <c r="Z1206" i="1"/>
  <c r="V1206" i="1"/>
  <c r="N1206" i="1"/>
  <c r="L1206" i="1"/>
  <c r="K1206" i="1"/>
  <c r="AD1205" i="1"/>
  <c r="AC1205" i="1"/>
  <c r="AB1205" i="1"/>
  <c r="AA1205" i="1"/>
  <c r="Z1205" i="1"/>
  <c r="V1205" i="1"/>
  <c r="N1205" i="1"/>
  <c r="O1205" i="1"/>
  <c r="M1205" i="1"/>
  <c r="AD1204" i="1"/>
  <c r="AC1204" i="1"/>
  <c r="AB1204" i="1"/>
  <c r="AA1204" i="1"/>
  <c r="Z1204" i="1"/>
  <c r="AD1203" i="1"/>
  <c r="AC1203" i="1"/>
  <c r="AB1203" i="1"/>
  <c r="AA1203" i="1"/>
  <c r="Z1203" i="1"/>
  <c r="AD1202" i="1"/>
  <c r="AC1202" i="1"/>
  <c r="AB1202" i="1"/>
  <c r="AA1202" i="1"/>
  <c r="Z1202" i="1"/>
  <c r="V1202" i="1"/>
  <c r="N1202" i="1"/>
  <c r="K1202" i="1"/>
  <c r="AD1201" i="1"/>
  <c r="AC1201" i="1"/>
  <c r="AB1201" i="1"/>
  <c r="AA1201" i="1"/>
  <c r="Z1201" i="1"/>
  <c r="V1201" i="1"/>
  <c r="N1201" i="1"/>
  <c r="O1201" i="1"/>
  <c r="M1201" i="1"/>
  <c r="AD1200" i="1"/>
  <c r="AC1200" i="1"/>
  <c r="AB1200" i="1"/>
  <c r="AA1200" i="1"/>
  <c r="Z1200" i="1"/>
  <c r="V1200" i="1"/>
  <c r="N1200" i="1"/>
  <c r="R1200" i="1"/>
  <c r="J1200" i="1"/>
  <c r="M1200" i="1"/>
  <c r="AD1199" i="1"/>
  <c r="AC1199" i="1"/>
  <c r="AB1199" i="1"/>
  <c r="AA1199" i="1"/>
  <c r="Z1199" i="1"/>
  <c r="V1199" i="1"/>
  <c r="N1199" i="1"/>
  <c r="R1199" i="1"/>
  <c r="J1199" i="1"/>
  <c r="M1199" i="1"/>
  <c r="AD1198" i="1"/>
  <c r="AC1198" i="1"/>
  <c r="AB1198" i="1"/>
  <c r="AA1198" i="1"/>
  <c r="Z1198" i="1"/>
  <c r="V1198" i="1"/>
  <c r="N1198" i="1"/>
  <c r="R1198" i="1"/>
  <c r="J1198" i="1"/>
  <c r="M1198" i="1"/>
  <c r="AD1197" i="1"/>
  <c r="AC1197" i="1"/>
  <c r="AB1197" i="1"/>
  <c r="AA1197" i="1"/>
  <c r="Z1197" i="1"/>
  <c r="V1197" i="1"/>
  <c r="N1197" i="1"/>
  <c r="J1197" i="1"/>
  <c r="M1197" i="1"/>
  <c r="AD1196" i="1"/>
  <c r="AC1196" i="1"/>
  <c r="AB1196" i="1"/>
  <c r="AA1196" i="1"/>
  <c r="Z1196" i="1"/>
  <c r="AD1195" i="1"/>
  <c r="AC1195" i="1"/>
  <c r="AB1195" i="1"/>
  <c r="AA1195" i="1"/>
  <c r="Z1195" i="1"/>
  <c r="AD1194" i="1"/>
  <c r="AC1194" i="1"/>
  <c r="AB1194" i="1"/>
  <c r="AA1194" i="1"/>
  <c r="Z1194" i="1"/>
  <c r="V1194" i="1"/>
  <c r="N1194" i="1"/>
  <c r="M1194" i="1"/>
  <c r="AD1193" i="1"/>
  <c r="AC1193" i="1"/>
  <c r="AB1193" i="1"/>
  <c r="AA1193" i="1"/>
  <c r="Z1193" i="1"/>
  <c r="AD1192" i="1"/>
  <c r="AC1192" i="1"/>
  <c r="AB1192" i="1"/>
  <c r="AA1192" i="1"/>
  <c r="Z1192" i="1"/>
  <c r="V1192" i="1"/>
  <c r="AD1191" i="1"/>
  <c r="AC1191" i="1"/>
  <c r="AB1191" i="1"/>
  <c r="AA1191" i="1"/>
  <c r="Z1191" i="1"/>
  <c r="AD1190" i="1"/>
  <c r="AC1190" i="1"/>
  <c r="AB1190" i="1"/>
  <c r="AA1190" i="1"/>
  <c r="Z1190" i="1"/>
  <c r="V1190" i="1"/>
  <c r="N1190" i="1"/>
  <c r="P1190" i="1"/>
  <c r="L1190" i="1"/>
  <c r="M1190" i="1"/>
  <c r="AD1189" i="1"/>
  <c r="AC1189" i="1"/>
  <c r="AB1189" i="1"/>
  <c r="AA1189" i="1"/>
  <c r="Z1189" i="1"/>
  <c r="V1189" i="1"/>
  <c r="N1189" i="1"/>
  <c r="O1189" i="1"/>
  <c r="M1189" i="1"/>
  <c r="AD1188" i="1"/>
  <c r="AC1188" i="1"/>
  <c r="AB1188" i="1"/>
  <c r="AA1188" i="1"/>
  <c r="Z1188" i="1"/>
  <c r="V1188" i="1"/>
  <c r="N1188" i="1"/>
  <c r="O1188" i="1"/>
  <c r="K1188" i="1"/>
  <c r="M1188" i="1"/>
  <c r="AD1187" i="1"/>
  <c r="AC1187" i="1"/>
  <c r="AB1187" i="1"/>
  <c r="AA1187" i="1"/>
  <c r="Z1187" i="1"/>
  <c r="V1187" i="1"/>
  <c r="N1187" i="1"/>
  <c r="O1187" i="1"/>
  <c r="K1187" i="1"/>
  <c r="M1187" i="1"/>
  <c r="AD1186" i="1"/>
  <c r="AC1186" i="1"/>
  <c r="AB1186" i="1"/>
  <c r="AA1186" i="1"/>
  <c r="Z1186" i="1"/>
  <c r="V1186" i="1"/>
  <c r="N1186" i="1"/>
  <c r="M1186" i="1"/>
  <c r="AD1185" i="1"/>
  <c r="AC1185" i="1"/>
  <c r="AB1185" i="1"/>
  <c r="AA1185" i="1"/>
  <c r="Z1185" i="1"/>
  <c r="V1185" i="1"/>
  <c r="N1185" i="1"/>
  <c r="K1185" i="1"/>
  <c r="Q1185" i="1"/>
  <c r="M1185" i="1"/>
  <c r="AD1184" i="1"/>
  <c r="AC1184" i="1"/>
  <c r="AB1184" i="1"/>
  <c r="AA1184" i="1"/>
  <c r="Z1184" i="1"/>
  <c r="AD1183" i="1"/>
  <c r="AC1183" i="1"/>
  <c r="AB1183" i="1"/>
  <c r="AA1183" i="1"/>
  <c r="Z1183" i="1"/>
  <c r="V1183" i="1"/>
  <c r="N1183" i="1"/>
  <c r="L1183" i="1"/>
  <c r="K1183" i="1"/>
  <c r="AD1182" i="1"/>
  <c r="AC1182" i="1"/>
  <c r="AB1182" i="1"/>
  <c r="AA1182" i="1"/>
  <c r="Z1182" i="1"/>
  <c r="V1182" i="1"/>
  <c r="N1182" i="1"/>
  <c r="R1182" i="1"/>
  <c r="M1182" i="1"/>
  <c r="AD1181" i="1"/>
  <c r="AC1181" i="1"/>
  <c r="AB1181" i="1"/>
  <c r="AA1181" i="1"/>
  <c r="Z1181" i="1"/>
  <c r="V1181" i="1"/>
  <c r="N1181" i="1"/>
  <c r="O1181" i="1"/>
  <c r="L1181" i="1"/>
  <c r="M1181" i="1"/>
  <c r="AD1180" i="1"/>
  <c r="AC1180" i="1"/>
  <c r="AB1180" i="1"/>
  <c r="AA1180" i="1"/>
  <c r="Z1180" i="1"/>
  <c r="V1180" i="1"/>
  <c r="N1180" i="1"/>
  <c r="K1180" i="1"/>
  <c r="J1180" i="1"/>
  <c r="M1180" i="1"/>
  <c r="AD1179" i="1"/>
  <c r="AC1179" i="1"/>
  <c r="AB1179" i="1"/>
  <c r="AA1179" i="1"/>
  <c r="Z1179" i="1"/>
  <c r="AD1178" i="1"/>
  <c r="AC1178" i="1"/>
  <c r="AB1178" i="1"/>
  <c r="AA1178" i="1"/>
  <c r="Z1178" i="1"/>
  <c r="V1178" i="1"/>
  <c r="N1178" i="1"/>
  <c r="R1178" i="1"/>
  <c r="M1178" i="1"/>
  <c r="AD1177" i="1"/>
  <c r="AC1177" i="1"/>
  <c r="AB1177" i="1"/>
  <c r="AA1177" i="1"/>
  <c r="Z1177" i="1"/>
  <c r="V1177" i="1"/>
  <c r="N1177" i="1"/>
  <c r="M1177" i="1"/>
  <c r="AD1176" i="1"/>
  <c r="AC1176" i="1"/>
  <c r="AB1176" i="1"/>
  <c r="AA1176" i="1"/>
  <c r="Z1176" i="1"/>
  <c r="V1176" i="1"/>
  <c r="N1176" i="1"/>
  <c r="K1176" i="1"/>
  <c r="J1176" i="1"/>
  <c r="AD1175" i="1"/>
  <c r="AC1175" i="1"/>
  <c r="AB1175" i="1"/>
  <c r="AA1175" i="1"/>
  <c r="Z1175" i="1"/>
  <c r="V1175" i="1"/>
  <c r="N1175" i="1"/>
  <c r="R1175" i="1"/>
  <c r="K1175" i="1"/>
  <c r="J1175" i="1"/>
  <c r="AD1174" i="1"/>
  <c r="AC1174" i="1"/>
  <c r="AB1174" i="1"/>
  <c r="AA1174" i="1"/>
  <c r="Z1174" i="1"/>
  <c r="V1174" i="1"/>
  <c r="N1174" i="1"/>
  <c r="R1174" i="1"/>
  <c r="M1174" i="1"/>
  <c r="AD1173" i="1"/>
  <c r="AC1173" i="1"/>
  <c r="AB1173" i="1"/>
  <c r="AA1173" i="1"/>
  <c r="Z1173" i="1"/>
  <c r="AD1172" i="1"/>
  <c r="AC1172" i="1"/>
  <c r="AB1172" i="1"/>
  <c r="AA1172" i="1"/>
  <c r="Z1172" i="1"/>
  <c r="AD1171" i="1"/>
  <c r="AC1171" i="1"/>
  <c r="AB1171" i="1"/>
  <c r="AA1171" i="1"/>
  <c r="Z1171" i="1"/>
  <c r="V1171" i="1"/>
  <c r="AD1170" i="1"/>
  <c r="AC1170" i="1"/>
  <c r="AB1170" i="1"/>
  <c r="AA1170" i="1"/>
  <c r="Z1170" i="1"/>
  <c r="AD1169" i="1"/>
  <c r="AC1169" i="1"/>
  <c r="AB1169" i="1"/>
  <c r="AA1169" i="1"/>
  <c r="Z1169" i="1"/>
  <c r="V1169" i="1"/>
  <c r="N1169" i="1"/>
  <c r="K1169" i="1"/>
  <c r="AD1168" i="1"/>
  <c r="AC1168" i="1"/>
  <c r="AB1168" i="1"/>
  <c r="AA1168" i="1"/>
  <c r="Z1168" i="1"/>
  <c r="V1168" i="1"/>
  <c r="N1168" i="1"/>
  <c r="R1168" i="1"/>
  <c r="J1168" i="1"/>
  <c r="M1168" i="1"/>
  <c r="AD1167" i="1"/>
  <c r="AC1167" i="1"/>
  <c r="AB1167" i="1"/>
  <c r="AA1167" i="1"/>
  <c r="Z1167" i="1"/>
  <c r="V1167" i="1"/>
  <c r="N1167" i="1"/>
  <c r="R1167" i="1"/>
  <c r="J1167" i="1"/>
  <c r="AD1166" i="1"/>
  <c r="AC1166" i="1"/>
  <c r="AB1166" i="1"/>
  <c r="AA1166" i="1"/>
  <c r="Z1166" i="1"/>
  <c r="AD1165" i="1"/>
  <c r="AC1165" i="1"/>
  <c r="AB1165" i="1"/>
  <c r="AA1165" i="1"/>
  <c r="Z1165" i="1"/>
  <c r="AD1164" i="1"/>
  <c r="AC1164" i="1"/>
  <c r="AB1164" i="1"/>
  <c r="AA1164" i="1"/>
  <c r="Z1164" i="1"/>
  <c r="V1164" i="1"/>
  <c r="N1164" i="1"/>
  <c r="L1164" i="1"/>
  <c r="K1164" i="1"/>
  <c r="J1164" i="1"/>
  <c r="AD1163" i="1"/>
  <c r="AC1163" i="1"/>
  <c r="AB1163" i="1"/>
  <c r="AA1163" i="1"/>
  <c r="Z1163" i="1"/>
  <c r="V1163" i="1"/>
  <c r="N1163" i="1"/>
  <c r="L1163" i="1"/>
  <c r="R1163" i="1"/>
  <c r="K1163" i="1"/>
  <c r="J1163" i="1"/>
  <c r="AD1162" i="1"/>
  <c r="AC1162" i="1"/>
  <c r="AB1162" i="1"/>
  <c r="AA1162" i="1"/>
  <c r="Z1162" i="1"/>
  <c r="V1162" i="1"/>
  <c r="N1162" i="1"/>
  <c r="J1162" i="1"/>
  <c r="AD1161" i="1"/>
  <c r="AC1161" i="1"/>
  <c r="AB1161" i="1"/>
  <c r="AA1161" i="1"/>
  <c r="Z1161" i="1"/>
  <c r="V1161" i="1"/>
  <c r="N1161" i="1"/>
  <c r="AD1160" i="1"/>
  <c r="AC1160" i="1"/>
  <c r="AB1160" i="1"/>
  <c r="AA1160" i="1"/>
  <c r="Z1160" i="1"/>
  <c r="V1160" i="1"/>
  <c r="N1160" i="1"/>
  <c r="J1160" i="1"/>
  <c r="M1160" i="1"/>
  <c r="AD1159" i="1"/>
  <c r="AC1159" i="1"/>
  <c r="AB1159" i="1"/>
  <c r="AA1159" i="1"/>
  <c r="Z1159" i="1"/>
  <c r="V1159" i="1"/>
  <c r="N1159" i="1"/>
  <c r="O1159" i="1"/>
  <c r="K1159" i="1"/>
  <c r="M1159" i="1"/>
  <c r="AD1158" i="1"/>
  <c r="AC1158" i="1"/>
  <c r="AB1158" i="1"/>
  <c r="AA1158" i="1"/>
  <c r="Z1158" i="1"/>
  <c r="V1158" i="1"/>
  <c r="N1158" i="1"/>
  <c r="R1158" i="1"/>
  <c r="M1158" i="1"/>
  <c r="AD1157" i="1"/>
  <c r="AC1157" i="1"/>
  <c r="AB1157" i="1"/>
  <c r="AA1157" i="1"/>
  <c r="Z1157" i="1"/>
  <c r="AD1156" i="1"/>
  <c r="AC1156" i="1"/>
  <c r="AB1156" i="1"/>
  <c r="AA1156" i="1"/>
  <c r="Z1156" i="1"/>
  <c r="V1156" i="1"/>
  <c r="N1156" i="1"/>
  <c r="R1156" i="1"/>
  <c r="M1156" i="1"/>
  <c r="AD1155" i="1"/>
  <c r="AC1155" i="1"/>
  <c r="AB1155" i="1"/>
  <c r="AA1155" i="1"/>
  <c r="Z1155" i="1"/>
  <c r="V1155" i="1"/>
  <c r="N1155" i="1"/>
  <c r="O1155" i="1"/>
  <c r="M1155" i="1"/>
  <c r="AD1154" i="1"/>
  <c r="AC1154" i="1"/>
  <c r="AB1154" i="1"/>
  <c r="AA1154" i="1"/>
  <c r="Z1154" i="1"/>
  <c r="V1154" i="1"/>
  <c r="N1154" i="1"/>
  <c r="L1154" i="1"/>
  <c r="K1154" i="1"/>
  <c r="J1154" i="1"/>
  <c r="AD1153" i="1"/>
  <c r="AC1153" i="1"/>
  <c r="AB1153" i="1"/>
  <c r="AA1153" i="1"/>
  <c r="Z1153" i="1"/>
  <c r="V1153" i="1"/>
  <c r="N1153" i="1"/>
  <c r="L1153" i="1"/>
  <c r="R1153" i="1"/>
  <c r="K1153" i="1"/>
  <c r="J1153" i="1"/>
  <c r="AD1152" i="1"/>
  <c r="AC1152" i="1"/>
  <c r="AB1152" i="1"/>
  <c r="AA1152" i="1"/>
  <c r="Z1152" i="1"/>
  <c r="V1152" i="1"/>
  <c r="N1152" i="1"/>
  <c r="O1152" i="1"/>
  <c r="M1152" i="1"/>
  <c r="AD1151" i="1"/>
  <c r="AC1151" i="1"/>
  <c r="AB1151" i="1"/>
  <c r="AA1151" i="1"/>
  <c r="Z1151" i="1"/>
  <c r="V1151" i="1"/>
  <c r="N1151" i="1"/>
  <c r="R1151" i="1"/>
  <c r="M1151" i="1"/>
  <c r="AD1150" i="1"/>
  <c r="AC1150" i="1"/>
  <c r="AB1150" i="1"/>
  <c r="AA1150" i="1"/>
  <c r="Z1150" i="1"/>
  <c r="V1150" i="1"/>
  <c r="N1150" i="1"/>
  <c r="R1150" i="1"/>
  <c r="K1150" i="1"/>
  <c r="AD1149" i="1"/>
  <c r="AC1149" i="1"/>
  <c r="AB1149" i="1"/>
  <c r="AA1149" i="1"/>
  <c r="Z1149" i="1"/>
  <c r="V1149" i="1"/>
  <c r="N1149" i="1"/>
  <c r="O1149" i="1"/>
  <c r="J1149" i="1"/>
  <c r="M1149" i="1"/>
  <c r="AD1148" i="1"/>
  <c r="AC1148" i="1"/>
  <c r="AB1148" i="1"/>
  <c r="AA1148" i="1"/>
  <c r="Z1148" i="1"/>
  <c r="V1148" i="1"/>
  <c r="N1148" i="1"/>
  <c r="O1148" i="1"/>
  <c r="J1148" i="1"/>
  <c r="M1148" i="1"/>
  <c r="AD1147" i="1"/>
  <c r="AC1147" i="1"/>
  <c r="AB1147" i="1"/>
  <c r="AA1147" i="1"/>
  <c r="Z1147" i="1"/>
  <c r="V1147" i="1"/>
  <c r="N1147" i="1"/>
  <c r="O1147" i="1"/>
  <c r="M1147" i="1"/>
  <c r="AD1146" i="1"/>
  <c r="AC1146" i="1"/>
  <c r="AB1146" i="1"/>
  <c r="AA1146" i="1"/>
  <c r="Z1146" i="1"/>
  <c r="AD1145" i="1"/>
  <c r="AC1145" i="1"/>
  <c r="AB1145" i="1"/>
  <c r="AA1145" i="1"/>
  <c r="Z1145" i="1"/>
  <c r="V1145" i="1"/>
  <c r="N1145" i="1"/>
  <c r="O1145" i="1"/>
  <c r="K1145" i="1"/>
  <c r="AD1144" i="1"/>
  <c r="AC1144" i="1"/>
  <c r="AB1144" i="1"/>
  <c r="AA1144" i="1"/>
  <c r="Z1144" i="1"/>
  <c r="V1144" i="1"/>
  <c r="N1144" i="1"/>
  <c r="O1144" i="1"/>
  <c r="K1144" i="1"/>
  <c r="M1144" i="1"/>
  <c r="AD1143" i="1"/>
  <c r="AC1143" i="1"/>
  <c r="AB1143" i="1"/>
  <c r="AA1143" i="1"/>
  <c r="Z1143" i="1"/>
  <c r="AD1142" i="1"/>
  <c r="AC1142" i="1"/>
  <c r="AB1142" i="1"/>
  <c r="AA1142" i="1"/>
  <c r="Z1142" i="1"/>
  <c r="V1142" i="1"/>
  <c r="N1142" i="1"/>
  <c r="O1142" i="1"/>
  <c r="M1142" i="1"/>
  <c r="AD1141" i="1"/>
  <c r="AC1141" i="1"/>
  <c r="AB1141" i="1"/>
  <c r="AA1141" i="1"/>
  <c r="Z1141" i="1"/>
  <c r="V1141" i="1"/>
  <c r="N1141" i="1"/>
  <c r="R1141" i="1"/>
  <c r="J1141" i="1"/>
  <c r="M1141" i="1"/>
  <c r="AD1140" i="1"/>
  <c r="AC1140" i="1"/>
  <c r="AB1140" i="1"/>
  <c r="AA1140" i="1"/>
  <c r="Z1140" i="1"/>
  <c r="V1140" i="1"/>
  <c r="N1140" i="1"/>
  <c r="R1140" i="1"/>
  <c r="J1140" i="1"/>
  <c r="AD1139" i="1"/>
  <c r="AC1139" i="1"/>
  <c r="AB1139" i="1"/>
  <c r="AA1139" i="1"/>
  <c r="Z1139" i="1"/>
  <c r="V1139" i="1"/>
  <c r="N1139" i="1"/>
  <c r="R1139" i="1"/>
  <c r="M1139" i="1"/>
  <c r="AD1138" i="1"/>
  <c r="AC1138" i="1"/>
  <c r="AB1138" i="1"/>
  <c r="AA1138" i="1"/>
  <c r="Z1138" i="1"/>
  <c r="AD1137" i="1"/>
  <c r="AC1137" i="1"/>
  <c r="AB1137" i="1"/>
  <c r="AA1137" i="1"/>
  <c r="Z1137" i="1"/>
  <c r="AD1136" i="1"/>
  <c r="AC1136" i="1"/>
  <c r="AB1136" i="1"/>
  <c r="AA1136" i="1"/>
  <c r="Z1136" i="1"/>
  <c r="V1136" i="1"/>
  <c r="AD1135" i="1"/>
  <c r="AC1135" i="1"/>
  <c r="AB1135" i="1"/>
  <c r="AA1135" i="1"/>
  <c r="Z1135" i="1"/>
  <c r="AD1134" i="1"/>
  <c r="AC1134" i="1"/>
  <c r="AB1134" i="1"/>
  <c r="AA1134" i="1"/>
  <c r="Z1134" i="1"/>
  <c r="V1134" i="1"/>
  <c r="N1134" i="1"/>
  <c r="R1134" i="1"/>
  <c r="K1134" i="1"/>
  <c r="J1134" i="1"/>
  <c r="AD1133" i="1"/>
  <c r="AC1133" i="1"/>
  <c r="AB1133" i="1"/>
  <c r="AA1133" i="1"/>
  <c r="Z1133" i="1"/>
  <c r="V1133" i="1"/>
  <c r="N1133" i="1"/>
  <c r="L1133" i="1"/>
  <c r="R1133" i="1"/>
  <c r="K1133" i="1"/>
  <c r="J1133" i="1"/>
  <c r="AD1132" i="1"/>
  <c r="AC1132" i="1"/>
  <c r="AB1132" i="1"/>
  <c r="AA1132" i="1"/>
  <c r="Z1132" i="1"/>
  <c r="V1132" i="1"/>
  <c r="N1132" i="1"/>
  <c r="L1132" i="1"/>
  <c r="K1132" i="1"/>
  <c r="J1132" i="1"/>
  <c r="AD1131" i="1"/>
  <c r="AC1131" i="1"/>
  <c r="AB1131" i="1"/>
  <c r="AA1131" i="1"/>
  <c r="Z1131" i="1"/>
  <c r="AD1130" i="1"/>
  <c r="AC1130" i="1"/>
  <c r="AB1130" i="1"/>
  <c r="AA1130" i="1"/>
  <c r="Z1130" i="1"/>
  <c r="AD1129" i="1"/>
  <c r="AC1129" i="1"/>
  <c r="AB1129" i="1"/>
  <c r="AA1129" i="1"/>
  <c r="Z1129" i="1"/>
  <c r="V1129" i="1"/>
  <c r="N1129" i="1"/>
  <c r="L1129" i="1"/>
  <c r="M1129" i="1"/>
  <c r="AD1128" i="1"/>
  <c r="AC1128" i="1"/>
  <c r="AB1128" i="1"/>
  <c r="AA1128" i="1"/>
  <c r="Z1128" i="1"/>
  <c r="V1128" i="1"/>
  <c r="N1128" i="1"/>
  <c r="R1128" i="1"/>
  <c r="M1128" i="1"/>
  <c r="AD1127" i="1"/>
  <c r="AC1127" i="1"/>
  <c r="AB1127" i="1"/>
  <c r="AA1127" i="1"/>
  <c r="Z1127" i="1"/>
  <c r="V1127" i="1"/>
  <c r="N1127" i="1"/>
  <c r="O1127" i="1"/>
  <c r="K1127" i="1"/>
  <c r="M1127" i="1"/>
  <c r="AD1126" i="1"/>
  <c r="AC1126" i="1"/>
  <c r="AB1126" i="1"/>
  <c r="AA1126" i="1"/>
  <c r="Z1126" i="1"/>
  <c r="V1126" i="1"/>
  <c r="N1126" i="1"/>
  <c r="M1126" i="1"/>
  <c r="AD1125" i="1"/>
  <c r="AC1125" i="1"/>
  <c r="AB1125" i="1"/>
  <c r="AA1125" i="1"/>
  <c r="Z1125" i="1"/>
  <c r="AD1124" i="1"/>
  <c r="AC1124" i="1"/>
  <c r="AB1124" i="1"/>
  <c r="AA1124" i="1"/>
  <c r="Z1124" i="1"/>
  <c r="V1124" i="1"/>
  <c r="N1124" i="1"/>
  <c r="O1124" i="1"/>
  <c r="M1124" i="1"/>
  <c r="AD1123" i="1"/>
  <c r="AC1123" i="1"/>
  <c r="AB1123" i="1"/>
  <c r="AA1123" i="1"/>
  <c r="Z1123" i="1"/>
  <c r="V1123" i="1"/>
  <c r="N1123" i="1"/>
  <c r="J1123" i="1"/>
  <c r="M1123" i="1"/>
  <c r="AD1122" i="1"/>
  <c r="AC1122" i="1"/>
  <c r="AB1122" i="1"/>
  <c r="AA1122" i="1"/>
  <c r="Z1122" i="1"/>
  <c r="V1122" i="1"/>
  <c r="N1122" i="1"/>
  <c r="R1122" i="1"/>
  <c r="J1122" i="1"/>
  <c r="AD1121" i="1"/>
  <c r="AC1121" i="1"/>
  <c r="AB1121" i="1"/>
  <c r="AA1121" i="1"/>
  <c r="Z1121" i="1"/>
  <c r="AD1120" i="1"/>
  <c r="AC1120" i="1"/>
  <c r="AB1120" i="1"/>
  <c r="AA1120" i="1"/>
  <c r="Z1120" i="1"/>
  <c r="AD1119" i="1"/>
  <c r="AC1119" i="1"/>
  <c r="AB1119" i="1"/>
  <c r="AA1119" i="1"/>
  <c r="Z1119" i="1"/>
  <c r="V1119" i="1"/>
  <c r="N1119" i="1"/>
  <c r="K1119" i="1"/>
  <c r="AD1118" i="1"/>
  <c r="AC1118" i="1"/>
  <c r="AB1118" i="1"/>
  <c r="AA1118" i="1"/>
  <c r="Z1118" i="1"/>
  <c r="V1118" i="1"/>
  <c r="N1118" i="1"/>
  <c r="L1118" i="1"/>
  <c r="K1118" i="1"/>
  <c r="M1118" i="1"/>
  <c r="AD1117" i="1"/>
  <c r="AC1117" i="1"/>
  <c r="AB1117" i="1"/>
  <c r="AA1117" i="1"/>
  <c r="Z1117" i="1"/>
  <c r="AD1116" i="1"/>
  <c r="AC1116" i="1"/>
  <c r="AB1116" i="1"/>
  <c r="AA1116" i="1"/>
  <c r="Z1116" i="1"/>
  <c r="V1116" i="1"/>
  <c r="N1116" i="1"/>
  <c r="R1116" i="1"/>
  <c r="J1116" i="1"/>
  <c r="M1116" i="1"/>
  <c r="AD1115" i="1"/>
  <c r="AC1115" i="1"/>
  <c r="AB1115" i="1"/>
  <c r="AA1115" i="1"/>
  <c r="Z1115" i="1"/>
  <c r="V1115" i="1"/>
  <c r="N1115" i="1"/>
  <c r="R1115" i="1"/>
  <c r="J1115" i="1"/>
  <c r="AD1114" i="1"/>
  <c r="AC1114" i="1"/>
  <c r="AB1114" i="1"/>
  <c r="AA1114" i="1"/>
  <c r="Z1114" i="1"/>
  <c r="AD1113" i="1"/>
  <c r="AC1113" i="1"/>
  <c r="AB1113" i="1"/>
  <c r="AA1113" i="1"/>
  <c r="Z1113" i="1"/>
  <c r="AD1112" i="1"/>
  <c r="AC1112" i="1"/>
  <c r="AB1112" i="1"/>
  <c r="AA1112" i="1"/>
  <c r="Z1112" i="1"/>
  <c r="AD1111" i="1"/>
  <c r="AC1111" i="1"/>
  <c r="AB1111" i="1"/>
  <c r="AA1111" i="1"/>
  <c r="Z1111" i="1"/>
  <c r="V1111" i="1"/>
  <c r="AD1110" i="1"/>
  <c r="AC1110" i="1"/>
  <c r="AB1110" i="1"/>
  <c r="AA1110" i="1"/>
  <c r="Z1110" i="1"/>
  <c r="AD1109" i="1"/>
  <c r="AC1109" i="1"/>
  <c r="AB1109" i="1"/>
  <c r="AA1109" i="1"/>
  <c r="Z1109" i="1"/>
  <c r="V1109" i="1"/>
  <c r="AD1108" i="1"/>
  <c r="AC1108" i="1"/>
  <c r="AB1108" i="1"/>
  <c r="AA1108" i="1"/>
  <c r="Z1108" i="1"/>
  <c r="AD1107" i="1"/>
  <c r="AC1107" i="1"/>
  <c r="AB1107" i="1"/>
  <c r="AA1107" i="1"/>
  <c r="Z1107" i="1"/>
  <c r="AD1106" i="1"/>
  <c r="AC1106" i="1"/>
  <c r="AB1106" i="1"/>
  <c r="AA1106" i="1"/>
  <c r="Z1106" i="1"/>
  <c r="V1106" i="1"/>
  <c r="AD1105" i="1"/>
  <c r="AC1105" i="1"/>
  <c r="AB1105" i="1"/>
  <c r="AA1105" i="1"/>
  <c r="Z1105" i="1"/>
  <c r="AD1104" i="1"/>
  <c r="AC1104" i="1"/>
  <c r="AB1104" i="1"/>
  <c r="AA1104" i="1"/>
  <c r="Z1104" i="1"/>
  <c r="V1104" i="1"/>
  <c r="AD1103" i="1"/>
  <c r="AC1103" i="1"/>
  <c r="AB1103" i="1"/>
  <c r="AA1103" i="1"/>
  <c r="Z1103" i="1"/>
  <c r="AD1102" i="1"/>
  <c r="AC1102" i="1"/>
  <c r="AB1102" i="1"/>
  <c r="AA1102" i="1"/>
  <c r="Z1102" i="1"/>
  <c r="V1102" i="1"/>
  <c r="N1102" i="1"/>
  <c r="O1102" i="1"/>
  <c r="M1102" i="1"/>
  <c r="AD1101" i="1"/>
  <c r="AC1101" i="1"/>
  <c r="AB1101" i="1"/>
  <c r="AA1101" i="1"/>
  <c r="Z1101" i="1"/>
  <c r="V1101" i="1"/>
  <c r="N1101" i="1"/>
  <c r="R1101" i="1"/>
  <c r="J1101" i="1"/>
  <c r="M1101" i="1"/>
  <c r="AD1100" i="1"/>
  <c r="AC1100" i="1"/>
  <c r="AB1100" i="1"/>
  <c r="AA1100" i="1"/>
  <c r="Z1100" i="1"/>
  <c r="V1100" i="1"/>
  <c r="N1100" i="1"/>
  <c r="R1100" i="1"/>
  <c r="J1100" i="1"/>
  <c r="M1100" i="1"/>
  <c r="AD1099" i="1"/>
  <c r="AC1099" i="1"/>
  <c r="AB1099" i="1"/>
  <c r="AA1099" i="1"/>
  <c r="Z1099" i="1"/>
  <c r="AD1098" i="1"/>
  <c r="AC1098" i="1"/>
  <c r="AB1098" i="1"/>
  <c r="AA1098" i="1"/>
  <c r="Z1098" i="1"/>
  <c r="AD1097" i="1"/>
  <c r="AC1097" i="1"/>
  <c r="AB1097" i="1"/>
  <c r="AA1097" i="1"/>
  <c r="Z1097" i="1"/>
  <c r="AD1096" i="1"/>
  <c r="AC1096" i="1"/>
  <c r="AB1096" i="1"/>
  <c r="AA1096" i="1"/>
  <c r="Z1096" i="1"/>
  <c r="V1096" i="1"/>
  <c r="N1096" i="1"/>
  <c r="R1096" i="1"/>
  <c r="M1096" i="1"/>
  <c r="AD1095" i="1"/>
  <c r="AC1095" i="1"/>
  <c r="AB1095" i="1"/>
  <c r="AA1095" i="1"/>
  <c r="Z1095" i="1"/>
  <c r="V1095" i="1"/>
  <c r="N1095" i="1"/>
  <c r="K1095" i="1"/>
  <c r="M1095" i="1"/>
  <c r="AD1094" i="1"/>
  <c r="AC1094" i="1"/>
  <c r="AB1094" i="1"/>
  <c r="AA1094" i="1"/>
  <c r="Z1094" i="1"/>
  <c r="V1094" i="1"/>
  <c r="N1094" i="1"/>
  <c r="R1094" i="1"/>
  <c r="M1094" i="1"/>
  <c r="AD1093" i="1"/>
  <c r="AC1093" i="1"/>
  <c r="AB1093" i="1"/>
  <c r="AA1093" i="1"/>
  <c r="Z1093" i="1"/>
  <c r="V1093" i="1"/>
  <c r="N1093" i="1"/>
  <c r="R1093" i="1"/>
  <c r="J1093" i="1"/>
  <c r="M1093" i="1"/>
  <c r="AD1092" i="1"/>
  <c r="AC1092" i="1"/>
  <c r="AB1092" i="1"/>
  <c r="AA1092" i="1"/>
  <c r="Z1092" i="1"/>
  <c r="AD1091" i="1"/>
  <c r="AC1091" i="1"/>
  <c r="AB1091" i="1"/>
  <c r="AA1091" i="1"/>
  <c r="Z1091" i="1"/>
  <c r="V1091" i="1"/>
  <c r="N1091" i="1"/>
  <c r="J1091" i="1"/>
  <c r="M1091" i="1"/>
  <c r="AD1090" i="1"/>
  <c r="AC1090" i="1"/>
  <c r="AB1090" i="1"/>
  <c r="AA1090" i="1"/>
  <c r="Z1090" i="1"/>
  <c r="V1090" i="1"/>
  <c r="N1090" i="1"/>
  <c r="R1090" i="1"/>
  <c r="J1090" i="1"/>
  <c r="M1090" i="1"/>
  <c r="AD1089" i="1"/>
  <c r="AC1089" i="1"/>
  <c r="AB1089" i="1"/>
  <c r="AA1089" i="1"/>
  <c r="Z1089" i="1"/>
  <c r="AD1088" i="1"/>
  <c r="AC1088" i="1"/>
  <c r="AB1088" i="1"/>
  <c r="AA1088" i="1"/>
  <c r="Z1088" i="1"/>
  <c r="V1088" i="1"/>
  <c r="N1088" i="1"/>
  <c r="P1088" i="1"/>
  <c r="L1088" i="1"/>
  <c r="K1088" i="1"/>
  <c r="AD1087" i="1"/>
  <c r="AC1087" i="1"/>
  <c r="AB1087" i="1"/>
  <c r="AA1087" i="1"/>
  <c r="Z1087" i="1"/>
  <c r="V1087" i="1"/>
  <c r="N1087" i="1"/>
  <c r="R1087" i="1"/>
  <c r="M1087" i="1"/>
  <c r="AD1086" i="1"/>
  <c r="AC1086" i="1"/>
  <c r="AB1086" i="1"/>
  <c r="AA1086" i="1"/>
  <c r="Z1086" i="1"/>
  <c r="V1086" i="1"/>
  <c r="N1086" i="1"/>
  <c r="M1086" i="1"/>
  <c r="AD1085" i="1"/>
  <c r="AC1085" i="1"/>
  <c r="AB1085" i="1"/>
  <c r="AA1085" i="1"/>
  <c r="Z1085" i="1"/>
  <c r="V1085" i="1"/>
  <c r="N1085" i="1"/>
  <c r="M1085" i="1"/>
  <c r="AD1084" i="1"/>
  <c r="AC1084" i="1"/>
  <c r="AB1084" i="1"/>
  <c r="AA1084" i="1"/>
  <c r="Z1084" i="1"/>
  <c r="V1084" i="1"/>
  <c r="N1084" i="1"/>
  <c r="J1084" i="1"/>
  <c r="M1084" i="1"/>
  <c r="AD1083" i="1"/>
  <c r="AC1083" i="1"/>
  <c r="AB1083" i="1"/>
  <c r="AA1083" i="1"/>
  <c r="Z1083" i="1"/>
  <c r="AD1082" i="1"/>
  <c r="AC1082" i="1"/>
  <c r="AB1082" i="1"/>
  <c r="AA1082" i="1"/>
  <c r="Z1082" i="1"/>
  <c r="AD1081" i="1"/>
  <c r="AC1081" i="1"/>
  <c r="AB1081" i="1"/>
  <c r="AA1081" i="1"/>
  <c r="Z1081" i="1"/>
  <c r="V1081" i="1"/>
  <c r="N1081" i="1"/>
  <c r="M1081" i="1"/>
  <c r="AD1080" i="1"/>
  <c r="AC1080" i="1"/>
  <c r="AB1080" i="1"/>
  <c r="AA1080" i="1"/>
  <c r="Z1080" i="1"/>
  <c r="AD1079" i="1"/>
  <c r="AC1079" i="1"/>
  <c r="AB1079" i="1"/>
  <c r="AA1079" i="1"/>
  <c r="Z1079" i="1"/>
  <c r="V1079" i="1"/>
  <c r="N1079" i="1"/>
  <c r="L1079" i="1"/>
  <c r="K1079" i="1"/>
  <c r="AD1078" i="1"/>
  <c r="AC1078" i="1"/>
  <c r="AB1078" i="1"/>
  <c r="AA1078" i="1"/>
  <c r="Z1078" i="1"/>
  <c r="AD1077" i="1"/>
  <c r="AC1077" i="1"/>
  <c r="AB1077" i="1"/>
  <c r="AA1077" i="1"/>
  <c r="Z1077" i="1"/>
  <c r="V1077" i="1"/>
  <c r="N1077" i="1"/>
  <c r="M1077" i="1"/>
  <c r="AD1076" i="1"/>
  <c r="AC1076" i="1"/>
  <c r="AB1076" i="1"/>
  <c r="AA1076" i="1"/>
  <c r="Z1076" i="1"/>
  <c r="V1076" i="1"/>
  <c r="N1076" i="1"/>
  <c r="R1076" i="1"/>
  <c r="M1076" i="1"/>
  <c r="AD1075" i="1"/>
  <c r="AC1075" i="1"/>
  <c r="AB1075" i="1"/>
  <c r="AA1075" i="1"/>
  <c r="Z1075" i="1"/>
  <c r="V1075" i="1"/>
  <c r="N1075" i="1"/>
  <c r="M1075" i="1"/>
  <c r="AD1074" i="1"/>
  <c r="AC1074" i="1"/>
  <c r="AB1074" i="1"/>
  <c r="AA1074" i="1"/>
  <c r="Z1074" i="1"/>
  <c r="AD1073" i="1"/>
  <c r="AC1073" i="1"/>
  <c r="AB1073" i="1"/>
  <c r="AA1073" i="1"/>
  <c r="Z1073" i="1"/>
  <c r="AD1072" i="1"/>
  <c r="AC1072" i="1"/>
  <c r="AB1072" i="1"/>
  <c r="AA1072" i="1"/>
  <c r="Z1072" i="1"/>
  <c r="V1072" i="1"/>
  <c r="N1072" i="1"/>
  <c r="O1072" i="1"/>
  <c r="M1072" i="1"/>
  <c r="AD1071" i="1"/>
  <c r="AC1071" i="1"/>
  <c r="AB1071" i="1"/>
  <c r="AA1071" i="1"/>
  <c r="Z1071" i="1"/>
  <c r="V1071" i="1"/>
  <c r="N1071" i="1"/>
  <c r="O1071" i="1"/>
  <c r="M1071" i="1"/>
  <c r="AD1070" i="1"/>
  <c r="AC1070" i="1"/>
  <c r="AB1070" i="1"/>
  <c r="AA1070" i="1"/>
  <c r="Z1070" i="1"/>
  <c r="AD1069" i="1"/>
  <c r="AC1069" i="1"/>
  <c r="AB1069" i="1"/>
  <c r="AA1069" i="1"/>
  <c r="Z1069" i="1"/>
  <c r="V1069" i="1"/>
  <c r="N1069" i="1"/>
  <c r="M1069" i="1"/>
  <c r="AD1068" i="1"/>
  <c r="AC1068" i="1"/>
  <c r="AB1068" i="1"/>
  <c r="AA1068" i="1"/>
  <c r="Z1068" i="1"/>
  <c r="V1068" i="1"/>
  <c r="N1068" i="1"/>
  <c r="M1068" i="1"/>
  <c r="AD1067" i="1"/>
  <c r="AC1067" i="1"/>
  <c r="AB1067" i="1"/>
  <c r="AA1067" i="1"/>
  <c r="Z1067" i="1"/>
  <c r="AD1066" i="1"/>
  <c r="AC1066" i="1"/>
  <c r="AB1066" i="1"/>
  <c r="AA1066" i="1"/>
  <c r="Z1066" i="1"/>
  <c r="AD1065" i="1"/>
  <c r="AC1065" i="1"/>
  <c r="AB1065" i="1"/>
  <c r="AA1065" i="1"/>
  <c r="Z1065" i="1"/>
  <c r="AD1064" i="1"/>
  <c r="AC1064" i="1"/>
  <c r="AB1064" i="1"/>
  <c r="AA1064" i="1"/>
  <c r="Z1064" i="1"/>
  <c r="V1064" i="1"/>
  <c r="N1064" i="1"/>
  <c r="K1064" i="1"/>
  <c r="M1064" i="1"/>
  <c r="AD1063" i="1"/>
  <c r="AC1063" i="1"/>
  <c r="AB1063" i="1"/>
  <c r="AA1063" i="1"/>
  <c r="Z1063" i="1"/>
  <c r="V1063" i="1"/>
  <c r="N1063" i="1"/>
  <c r="M1063" i="1"/>
  <c r="AD1062" i="1"/>
  <c r="AC1062" i="1"/>
  <c r="AB1062" i="1"/>
  <c r="AA1062" i="1"/>
  <c r="Z1062" i="1"/>
  <c r="AD1061" i="1"/>
  <c r="AC1061" i="1"/>
  <c r="AB1061" i="1"/>
  <c r="AA1061" i="1"/>
  <c r="Z1061" i="1"/>
  <c r="V1061" i="1"/>
  <c r="N1061" i="1"/>
  <c r="O1061" i="1"/>
  <c r="L1061" i="1"/>
  <c r="M1061" i="1"/>
  <c r="AD1060" i="1"/>
  <c r="AC1060" i="1"/>
  <c r="AB1060" i="1"/>
  <c r="AA1060" i="1"/>
  <c r="Z1060" i="1"/>
  <c r="AD1059" i="1"/>
  <c r="AC1059" i="1"/>
  <c r="AB1059" i="1"/>
  <c r="AA1059" i="1"/>
  <c r="Z1059" i="1"/>
  <c r="V1059" i="1"/>
  <c r="N1059" i="1"/>
  <c r="R1059" i="1"/>
  <c r="M1059" i="1"/>
  <c r="AD1058" i="1"/>
  <c r="AC1058" i="1"/>
  <c r="AB1058" i="1"/>
  <c r="AA1058" i="1"/>
  <c r="Z1058" i="1"/>
  <c r="V1058" i="1"/>
  <c r="N1058" i="1"/>
  <c r="J1058" i="1"/>
  <c r="AD1057" i="1"/>
  <c r="AC1057" i="1"/>
  <c r="AB1057" i="1"/>
  <c r="AA1057" i="1"/>
  <c r="Z1057" i="1"/>
  <c r="V1057" i="1"/>
  <c r="N1057" i="1"/>
  <c r="Q1057" i="1"/>
  <c r="M1057" i="1"/>
  <c r="AD1056" i="1"/>
  <c r="AC1056" i="1"/>
  <c r="AB1056" i="1"/>
  <c r="AA1056" i="1"/>
  <c r="Z1056" i="1"/>
  <c r="V1056" i="1"/>
  <c r="N1056" i="1"/>
  <c r="L1056" i="1"/>
  <c r="K1056" i="1"/>
  <c r="J1056" i="1"/>
  <c r="AD1055" i="1"/>
  <c r="AC1055" i="1"/>
  <c r="AB1055" i="1"/>
  <c r="AA1055" i="1"/>
  <c r="Z1055" i="1"/>
  <c r="AD1054" i="1"/>
  <c r="AC1054" i="1"/>
  <c r="AB1054" i="1"/>
  <c r="AA1054" i="1"/>
  <c r="Z1054" i="1"/>
  <c r="V1054" i="1"/>
  <c r="N1054" i="1"/>
  <c r="R1054" i="1"/>
  <c r="J1054" i="1"/>
  <c r="M1054" i="1"/>
  <c r="AD1053" i="1"/>
  <c r="AC1053" i="1"/>
  <c r="AB1053" i="1"/>
  <c r="AA1053" i="1"/>
  <c r="Z1053" i="1"/>
  <c r="V1053" i="1"/>
  <c r="N1053" i="1"/>
  <c r="R1053" i="1"/>
  <c r="J1053" i="1"/>
  <c r="M1053" i="1"/>
  <c r="AD1052" i="1"/>
  <c r="AC1052" i="1"/>
  <c r="AB1052" i="1"/>
  <c r="AA1052" i="1"/>
  <c r="Z1052" i="1"/>
  <c r="AD1051" i="1"/>
  <c r="AC1051" i="1"/>
  <c r="AB1051" i="1"/>
  <c r="AA1051" i="1"/>
  <c r="Z1051" i="1"/>
  <c r="AD1050" i="1"/>
  <c r="AC1050" i="1"/>
  <c r="AB1050" i="1"/>
  <c r="AA1050" i="1"/>
  <c r="Z1050" i="1"/>
  <c r="V1050" i="1"/>
  <c r="N1050" i="1"/>
  <c r="R1050" i="1"/>
  <c r="M1050" i="1"/>
  <c r="AD1049" i="1"/>
  <c r="AC1049" i="1"/>
  <c r="AB1049" i="1"/>
  <c r="AA1049" i="1"/>
  <c r="Z1049" i="1"/>
  <c r="V1049" i="1"/>
  <c r="N1049" i="1"/>
  <c r="M1049" i="1"/>
  <c r="AD1048" i="1"/>
  <c r="AC1048" i="1"/>
  <c r="AB1048" i="1"/>
  <c r="AA1048" i="1"/>
  <c r="Z1048" i="1"/>
  <c r="AD1047" i="1"/>
  <c r="AC1047" i="1"/>
  <c r="AB1047" i="1"/>
  <c r="AA1047" i="1"/>
  <c r="Z1047" i="1"/>
  <c r="V1047" i="1"/>
  <c r="N1047" i="1"/>
  <c r="M1047" i="1"/>
  <c r="AD1046" i="1"/>
  <c r="AC1046" i="1"/>
  <c r="AB1046" i="1"/>
  <c r="AA1046" i="1"/>
  <c r="Z1046" i="1"/>
  <c r="AD1045" i="1"/>
  <c r="AC1045" i="1"/>
  <c r="AB1045" i="1"/>
  <c r="AA1045" i="1"/>
  <c r="Z1045" i="1"/>
  <c r="AD1044" i="1"/>
  <c r="AC1044" i="1"/>
  <c r="AB1044" i="1"/>
  <c r="AA1044" i="1"/>
  <c r="Z1044" i="1"/>
  <c r="V1044" i="1"/>
  <c r="N1044" i="1"/>
  <c r="M1044" i="1"/>
  <c r="AD1043" i="1"/>
  <c r="AC1043" i="1"/>
  <c r="AB1043" i="1"/>
  <c r="AA1043" i="1"/>
  <c r="Z1043" i="1"/>
  <c r="AD1042" i="1"/>
  <c r="AC1042" i="1"/>
  <c r="AB1042" i="1"/>
  <c r="AA1042" i="1"/>
  <c r="Z1042" i="1"/>
  <c r="V1042" i="1"/>
  <c r="N1042" i="1"/>
  <c r="O1042" i="1"/>
  <c r="AD1041" i="1"/>
  <c r="AC1041" i="1"/>
  <c r="AB1041" i="1"/>
  <c r="AA1041" i="1"/>
  <c r="Z1041" i="1"/>
  <c r="V1041" i="1"/>
  <c r="N1041" i="1"/>
  <c r="R1041" i="1"/>
  <c r="M1041" i="1"/>
  <c r="AD1040" i="1"/>
  <c r="AC1040" i="1"/>
  <c r="AB1040" i="1"/>
  <c r="AA1040" i="1"/>
  <c r="Z1040" i="1"/>
  <c r="V1040" i="1"/>
  <c r="N1040" i="1"/>
  <c r="P1040" i="1"/>
  <c r="K1040" i="1"/>
  <c r="AD1039" i="1"/>
  <c r="AC1039" i="1"/>
  <c r="AB1039" i="1"/>
  <c r="AA1039" i="1"/>
  <c r="Z1039" i="1"/>
  <c r="V1039" i="1"/>
  <c r="N1039" i="1"/>
  <c r="L1039" i="1"/>
  <c r="K1039" i="1"/>
  <c r="AD1038" i="1"/>
  <c r="AC1038" i="1"/>
  <c r="AB1038" i="1"/>
  <c r="AA1038" i="1"/>
  <c r="Z1038" i="1"/>
  <c r="V1038" i="1"/>
  <c r="N1038" i="1"/>
  <c r="M1038" i="1"/>
  <c r="AD1037" i="1"/>
  <c r="AC1037" i="1"/>
  <c r="AB1037" i="1"/>
  <c r="AA1037" i="1"/>
  <c r="Z1037" i="1"/>
  <c r="V1037" i="1"/>
  <c r="N1037" i="1"/>
  <c r="L1037" i="1"/>
  <c r="L1042" i="1"/>
  <c r="M1042" i="1"/>
  <c r="AD1036" i="1"/>
  <c r="AC1036" i="1"/>
  <c r="AB1036" i="1"/>
  <c r="AA1036" i="1"/>
  <c r="Z1036" i="1"/>
  <c r="V1036" i="1"/>
  <c r="N1036" i="1"/>
  <c r="O1036" i="1"/>
  <c r="L1036" i="1"/>
  <c r="M1036" i="1"/>
  <c r="AD1035" i="1"/>
  <c r="AC1035" i="1"/>
  <c r="AB1035" i="1"/>
  <c r="AA1035" i="1"/>
  <c r="Z1035" i="1"/>
  <c r="V1035" i="1"/>
  <c r="N1035" i="1"/>
  <c r="M1035" i="1"/>
  <c r="AD1034" i="1"/>
  <c r="AC1034" i="1"/>
  <c r="AB1034" i="1"/>
  <c r="AA1034" i="1"/>
  <c r="Z1034" i="1"/>
  <c r="AD1033" i="1"/>
  <c r="AC1033" i="1"/>
  <c r="AB1033" i="1"/>
  <c r="AA1033" i="1"/>
  <c r="Z1033" i="1"/>
  <c r="V1033" i="1"/>
  <c r="N1033" i="1"/>
  <c r="K1033" i="1"/>
  <c r="L1033" i="1"/>
  <c r="J1033" i="1"/>
  <c r="AD1032" i="1"/>
  <c r="AC1032" i="1"/>
  <c r="AB1032" i="1"/>
  <c r="AA1032" i="1"/>
  <c r="Z1032" i="1"/>
  <c r="V1032" i="1"/>
  <c r="N1032" i="1"/>
  <c r="J1032" i="1"/>
  <c r="M1032" i="1"/>
  <c r="AD1031" i="1"/>
  <c r="AC1031" i="1"/>
  <c r="AB1031" i="1"/>
  <c r="AA1031" i="1"/>
  <c r="Z1031" i="1"/>
  <c r="V1031" i="1"/>
  <c r="N1031" i="1"/>
  <c r="R1031" i="1"/>
  <c r="M1031" i="1"/>
  <c r="AD1030" i="1"/>
  <c r="AC1030" i="1"/>
  <c r="AB1030" i="1"/>
  <c r="AA1030" i="1"/>
  <c r="Z1030" i="1"/>
  <c r="V1030" i="1"/>
  <c r="N1030" i="1"/>
  <c r="M1030" i="1"/>
  <c r="AD1029" i="1"/>
  <c r="AC1029" i="1"/>
  <c r="AB1029" i="1"/>
  <c r="AA1029" i="1"/>
  <c r="Z1029" i="1"/>
  <c r="AD1028" i="1"/>
  <c r="AC1028" i="1"/>
  <c r="AB1028" i="1"/>
  <c r="AA1028" i="1"/>
  <c r="Z1028" i="1"/>
  <c r="V1028" i="1"/>
  <c r="N1028" i="1"/>
  <c r="M1028" i="1"/>
  <c r="AD1027" i="1"/>
  <c r="AC1027" i="1"/>
  <c r="AB1027" i="1"/>
  <c r="AA1027" i="1"/>
  <c r="Z1027" i="1"/>
  <c r="V1027" i="1"/>
  <c r="N1027" i="1"/>
  <c r="R1027" i="1"/>
  <c r="M1027" i="1"/>
  <c r="AD1026" i="1"/>
  <c r="AC1026" i="1"/>
  <c r="AB1026" i="1"/>
  <c r="AA1026" i="1"/>
  <c r="Z1026" i="1"/>
  <c r="V1026" i="1"/>
  <c r="N1026" i="1"/>
  <c r="O1026" i="1"/>
  <c r="M1026" i="1"/>
  <c r="AD1025" i="1"/>
  <c r="AC1025" i="1"/>
  <c r="AB1025" i="1"/>
  <c r="AA1025" i="1"/>
  <c r="Z1025" i="1"/>
  <c r="V1025" i="1"/>
  <c r="N1025" i="1"/>
  <c r="P1025" i="1"/>
  <c r="M1025" i="1"/>
  <c r="AD1024" i="1"/>
  <c r="AC1024" i="1"/>
  <c r="AB1024" i="1"/>
  <c r="AA1024" i="1"/>
  <c r="Z1024" i="1"/>
  <c r="V1024" i="1"/>
  <c r="N1024" i="1"/>
  <c r="Q1024" i="1"/>
  <c r="M1024" i="1"/>
  <c r="AD1023" i="1"/>
  <c r="AC1023" i="1"/>
  <c r="AB1023" i="1"/>
  <c r="AA1023" i="1"/>
  <c r="Z1023" i="1"/>
  <c r="V1023" i="1"/>
  <c r="N1023" i="1"/>
  <c r="M1023" i="1"/>
  <c r="AD1022" i="1"/>
  <c r="AC1022" i="1"/>
  <c r="AB1022" i="1"/>
  <c r="AA1022" i="1"/>
  <c r="Z1022" i="1"/>
  <c r="V1022" i="1"/>
  <c r="N1022" i="1"/>
  <c r="O1022" i="1"/>
  <c r="M1022" i="1"/>
  <c r="AD1021" i="1"/>
  <c r="AC1021" i="1"/>
  <c r="AB1021" i="1"/>
  <c r="AA1021" i="1"/>
  <c r="Z1021" i="1"/>
  <c r="V1021" i="1"/>
  <c r="N1021" i="1"/>
  <c r="P1021" i="1"/>
  <c r="M1021" i="1"/>
  <c r="AD1020" i="1"/>
  <c r="AC1020" i="1"/>
  <c r="AB1020" i="1"/>
  <c r="AA1020" i="1"/>
  <c r="Z1020" i="1"/>
  <c r="V1020" i="1"/>
  <c r="N1020" i="1"/>
  <c r="Q1020" i="1"/>
  <c r="M1020" i="1"/>
  <c r="AD1019" i="1"/>
  <c r="AC1019" i="1"/>
  <c r="AB1019" i="1"/>
  <c r="AA1019" i="1"/>
  <c r="Z1019" i="1"/>
  <c r="V1019" i="1"/>
  <c r="N1019" i="1"/>
  <c r="M1019" i="1"/>
  <c r="AD1018" i="1"/>
  <c r="AC1018" i="1"/>
  <c r="AB1018" i="1"/>
  <c r="AA1018" i="1"/>
  <c r="Z1018" i="1"/>
  <c r="V1018" i="1"/>
  <c r="N1018" i="1"/>
  <c r="R1018" i="1"/>
  <c r="M1018" i="1"/>
  <c r="AD1017" i="1"/>
  <c r="AC1017" i="1"/>
  <c r="AB1017" i="1"/>
  <c r="AA1017" i="1"/>
  <c r="Z1017" i="1"/>
  <c r="V1017" i="1"/>
  <c r="N1017" i="1"/>
  <c r="O1017" i="1"/>
  <c r="M1017" i="1"/>
  <c r="AD1016" i="1"/>
  <c r="AC1016" i="1"/>
  <c r="AB1016" i="1"/>
  <c r="AA1016" i="1"/>
  <c r="Z1016" i="1"/>
  <c r="V1016" i="1"/>
  <c r="N1016" i="1"/>
  <c r="P1016" i="1"/>
  <c r="M1016" i="1"/>
  <c r="AD1015" i="1"/>
  <c r="AC1015" i="1"/>
  <c r="AB1015" i="1"/>
  <c r="AA1015" i="1"/>
  <c r="Z1015" i="1"/>
  <c r="V1015" i="1"/>
  <c r="N1015" i="1"/>
  <c r="Q1015" i="1"/>
  <c r="M1015" i="1"/>
  <c r="AD1014" i="1"/>
  <c r="AC1014" i="1"/>
  <c r="AB1014" i="1"/>
  <c r="AA1014" i="1"/>
  <c r="Z1014" i="1"/>
  <c r="V1014" i="1"/>
  <c r="N1014" i="1"/>
  <c r="M1014" i="1"/>
  <c r="AD1013" i="1"/>
  <c r="AC1013" i="1"/>
  <c r="AB1013" i="1"/>
  <c r="AA1013" i="1"/>
  <c r="Z1013" i="1"/>
  <c r="V1013" i="1"/>
  <c r="N1013" i="1"/>
  <c r="M1013" i="1"/>
  <c r="AD1012" i="1"/>
  <c r="AC1012" i="1"/>
  <c r="AB1012" i="1"/>
  <c r="AA1012" i="1"/>
  <c r="Z1012" i="1"/>
  <c r="V1012" i="1"/>
  <c r="N1012" i="1"/>
  <c r="P1012" i="1"/>
  <c r="M1012" i="1"/>
  <c r="AD1011" i="1"/>
  <c r="AC1011" i="1"/>
  <c r="AB1011" i="1"/>
  <c r="AA1011" i="1"/>
  <c r="Z1011" i="1"/>
  <c r="V1011" i="1"/>
  <c r="N1011" i="1"/>
  <c r="P1011" i="1"/>
  <c r="M1011" i="1"/>
  <c r="AD1010" i="1"/>
  <c r="AC1010" i="1"/>
  <c r="AB1010" i="1"/>
  <c r="AA1010" i="1"/>
  <c r="Z1010" i="1"/>
  <c r="V1010" i="1"/>
  <c r="N1010" i="1"/>
  <c r="M1010" i="1"/>
  <c r="AD1009" i="1"/>
  <c r="AC1009" i="1"/>
  <c r="AB1009" i="1"/>
  <c r="AA1009" i="1"/>
  <c r="Z1009" i="1"/>
  <c r="V1009" i="1"/>
  <c r="N1009" i="1"/>
  <c r="R1009" i="1"/>
  <c r="M1009" i="1"/>
  <c r="AD1008" i="1"/>
  <c r="AC1008" i="1"/>
  <c r="AB1008" i="1"/>
  <c r="AA1008" i="1"/>
  <c r="Z1008" i="1"/>
  <c r="AD1007" i="1"/>
  <c r="AC1007" i="1"/>
  <c r="AB1007" i="1"/>
  <c r="AA1007" i="1"/>
  <c r="Z1007" i="1"/>
  <c r="AD1006" i="1"/>
  <c r="AC1006" i="1"/>
  <c r="AB1006" i="1"/>
  <c r="AA1006" i="1"/>
  <c r="Z1006" i="1"/>
  <c r="AD1005" i="1"/>
  <c r="AC1005" i="1"/>
  <c r="AB1005" i="1"/>
  <c r="AA1005" i="1"/>
  <c r="Z1005" i="1"/>
  <c r="V1005" i="1"/>
  <c r="N1005" i="1"/>
  <c r="Q1005" i="1"/>
  <c r="M1005" i="1"/>
  <c r="AD1004" i="1"/>
  <c r="AC1004" i="1"/>
  <c r="AB1004" i="1"/>
  <c r="AA1004" i="1"/>
  <c r="Z1004" i="1"/>
  <c r="V1004" i="1"/>
  <c r="N1004" i="1"/>
  <c r="K1004" i="1"/>
  <c r="M1004" i="1"/>
  <c r="AD1003" i="1"/>
  <c r="AC1003" i="1"/>
  <c r="AB1003" i="1"/>
  <c r="AA1003" i="1"/>
  <c r="Z1003" i="1"/>
  <c r="V1003" i="1"/>
  <c r="N1003" i="1"/>
  <c r="R1003" i="1"/>
  <c r="M1003" i="1"/>
  <c r="AD1002" i="1"/>
  <c r="AC1002" i="1"/>
  <c r="AB1002" i="1"/>
  <c r="AA1002" i="1"/>
  <c r="Z1002" i="1"/>
  <c r="AD1001" i="1"/>
  <c r="AC1001" i="1"/>
  <c r="AB1001" i="1"/>
  <c r="AA1001" i="1"/>
  <c r="Z1001" i="1"/>
  <c r="V1001" i="1"/>
  <c r="N1001" i="1"/>
  <c r="P1001" i="1"/>
  <c r="M1001" i="1"/>
  <c r="AD1000" i="1"/>
  <c r="AC1000" i="1"/>
  <c r="AB1000" i="1"/>
  <c r="AA1000" i="1"/>
  <c r="Z1000" i="1"/>
  <c r="V1000" i="1"/>
  <c r="N1000" i="1"/>
  <c r="K1000" i="1"/>
  <c r="M1000" i="1"/>
  <c r="AD999" i="1"/>
  <c r="AC999" i="1"/>
  <c r="AB999" i="1"/>
  <c r="AA999" i="1"/>
  <c r="Z999" i="1"/>
  <c r="V999" i="1"/>
  <c r="N999" i="1"/>
  <c r="O999" i="1"/>
  <c r="L999" i="1"/>
  <c r="J999" i="1"/>
  <c r="M999" i="1"/>
  <c r="AD998" i="1"/>
  <c r="AC998" i="1"/>
  <c r="AB998" i="1"/>
  <c r="AA998" i="1"/>
  <c r="Z998" i="1"/>
  <c r="V998" i="1"/>
  <c r="N998" i="1"/>
  <c r="J998" i="1"/>
  <c r="M998" i="1"/>
  <c r="AD997" i="1"/>
  <c r="AC997" i="1"/>
  <c r="AB997" i="1"/>
  <c r="AA997" i="1"/>
  <c r="Z997" i="1"/>
  <c r="V997" i="1"/>
  <c r="N997" i="1"/>
  <c r="R997" i="1"/>
  <c r="M997" i="1"/>
  <c r="AD996" i="1"/>
  <c r="AC996" i="1"/>
  <c r="AB996" i="1"/>
  <c r="AA996" i="1"/>
  <c r="Z996" i="1"/>
  <c r="V996" i="1"/>
  <c r="N996" i="1"/>
  <c r="R996" i="1"/>
  <c r="M996" i="1"/>
  <c r="AD995" i="1"/>
  <c r="AC995" i="1"/>
  <c r="AB995" i="1"/>
  <c r="AA995" i="1"/>
  <c r="Z995" i="1"/>
  <c r="AD994" i="1"/>
  <c r="AC994" i="1"/>
  <c r="AB994" i="1"/>
  <c r="AA994" i="1"/>
  <c r="Z994" i="1"/>
  <c r="V994" i="1"/>
  <c r="N994" i="1"/>
  <c r="P994" i="1"/>
  <c r="M994" i="1"/>
  <c r="AD993" i="1"/>
  <c r="AC993" i="1"/>
  <c r="AB993" i="1"/>
  <c r="AA993" i="1"/>
  <c r="Z993" i="1"/>
  <c r="V993" i="1"/>
  <c r="N993" i="1"/>
  <c r="J993" i="1"/>
  <c r="M993" i="1"/>
  <c r="AD992" i="1"/>
  <c r="AC992" i="1"/>
  <c r="AB992" i="1"/>
  <c r="AA992" i="1"/>
  <c r="Z992" i="1"/>
  <c r="V992" i="1"/>
  <c r="N992" i="1"/>
  <c r="L992" i="1"/>
  <c r="J992" i="1"/>
  <c r="AD991" i="1"/>
  <c r="AC991" i="1"/>
  <c r="AB991" i="1"/>
  <c r="AA991" i="1"/>
  <c r="Z991" i="1"/>
  <c r="V991" i="1"/>
  <c r="N991" i="1"/>
  <c r="M991" i="1"/>
  <c r="AD990" i="1"/>
  <c r="AC990" i="1"/>
  <c r="AB990" i="1"/>
  <c r="AA990" i="1"/>
  <c r="Z990" i="1"/>
  <c r="V990" i="1"/>
  <c r="N990" i="1"/>
  <c r="R990" i="1"/>
  <c r="J990" i="1"/>
  <c r="M990" i="1"/>
  <c r="AD989" i="1"/>
  <c r="AC989" i="1"/>
  <c r="AB989" i="1"/>
  <c r="AA989" i="1"/>
  <c r="Z989" i="1"/>
  <c r="V989" i="1"/>
  <c r="N989" i="1"/>
  <c r="Q989" i="1"/>
  <c r="J989" i="1"/>
  <c r="M989" i="1"/>
  <c r="AD988" i="1"/>
  <c r="AC988" i="1"/>
  <c r="AB988" i="1"/>
  <c r="AA988" i="1"/>
  <c r="Z988" i="1"/>
  <c r="AD987" i="1"/>
  <c r="AC987" i="1"/>
  <c r="AB987" i="1"/>
  <c r="AA987" i="1"/>
  <c r="Z987" i="1"/>
  <c r="AD986" i="1"/>
  <c r="AC986" i="1"/>
  <c r="AB986" i="1"/>
  <c r="AA986" i="1"/>
  <c r="Z986" i="1"/>
  <c r="V986" i="1"/>
  <c r="N986" i="1"/>
  <c r="Q986" i="1"/>
  <c r="J986" i="1"/>
  <c r="M986" i="1"/>
  <c r="AD985" i="1"/>
  <c r="AC985" i="1"/>
  <c r="AB985" i="1"/>
  <c r="AA985" i="1"/>
  <c r="Z985" i="1"/>
  <c r="V985" i="1"/>
  <c r="N985" i="1"/>
  <c r="M985" i="1"/>
  <c r="AD984" i="1"/>
  <c r="AC984" i="1"/>
  <c r="AB984" i="1"/>
  <c r="AA984" i="1"/>
  <c r="Z984" i="1"/>
  <c r="V984" i="1"/>
  <c r="N984" i="1"/>
  <c r="M984" i="1"/>
  <c r="AD983" i="1"/>
  <c r="AC983" i="1"/>
  <c r="AB983" i="1"/>
  <c r="AA983" i="1"/>
  <c r="Z983" i="1"/>
  <c r="V983" i="1"/>
  <c r="N983" i="1"/>
  <c r="M983" i="1"/>
  <c r="AD982" i="1"/>
  <c r="AC982" i="1"/>
  <c r="AB982" i="1"/>
  <c r="AA982" i="1"/>
  <c r="Z982" i="1"/>
  <c r="V982" i="1"/>
  <c r="N982" i="1"/>
  <c r="P982" i="1"/>
  <c r="M982" i="1"/>
  <c r="AD981" i="1"/>
  <c r="AC981" i="1"/>
  <c r="AB981" i="1"/>
  <c r="AA981" i="1"/>
  <c r="Z981" i="1"/>
  <c r="AD980" i="1"/>
  <c r="AC980" i="1"/>
  <c r="AB980" i="1"/>
  <c r="AA980" i="1"/>
  <c r="Z980" i="1"/>
  <c r="AD979" i="1"/>
  <c r="AC979" i="1"/>
  <c r="AB979" i="1"/>
  <c r="AA979" i="1"/>
  <c r="Z979" i="1"/>
  <c r="V979" i="1"/>
  <c r="N979" i="1"/>
  <c r="P979" i="1"/>
  <c r="M979" i="1"/>
  <c r="AD978" i="1"/>
  <c r="AC978" i="1"/>
  <c r="AB978" i="1"/>
  <c r="AA978" i="1"/>
  <c r="Z978" i="1"/>
  <c r="V978" i="1"/>
  <c r="N978" i="1"/>
  <c r="P978" i="1"/>
  <c r="L978" i="1"/>
  <c r="K978" i="1"/>
  <c r="M978" i="1"/>
  <c r="AD977" i="1"/>
  <c r="AC977" i="1"/>
  <c r="AB977" i="1"/>
  <c r="AA977" i="1"/>
  <c r="Z977" i="1"/>
  <c r="V977" i="1"/>
  <c r="N977" i="1"/>
  <c r="L977" i="1"/>
  <c r="K977" i="1"/>
  <c r="J977" i="1"/>
  <c r="AD976" i="1"/>
  <c r="AC976" i="1"/>
  <c r="AB976" i="1"/>
  <c r="AA976" i="1"/>
  <c r="Z976" i="1"/>
  <c r="V976" i="1"/>
  <c r="N976" i="1"/>
  <c r="J976" i="1"/>
  <c r="M976" i="1"/>
  <c r="AD975" i="1"/>
  <c r="AC975" i="1"/>
  <c r="AB975" i="1"/>
  <c r="AA975" i="1"/>
  <c r="Z975" i="1"/>
  <c r="V975" i="1"/>
  <c r="N975" i="1"/>
  <c r="Q975" i="1"/>
  <c r="M975" i="1"/>
  <c r="AD974" i="1"/>
  <c r="AC974" i="1"/>
  <c r="AB974" i="1"/>
  <c r="AA974" i="1"/>
  <c r="Z974" i="1"/>
  <c r="V974" i="1"/>
  <c r="N974" i="1"/>
  <c r="R974" i="1"/>
  <c r="K974" i="1"/>
  <c r="AD973" i="1"/>
  <c r="AC973" i="1"/>
  <c r="AB973" i="1"/>
  <c r="AA973" i="1"/>
  <c r="Z973" i="1"/>
  <c r="V973" i="1"/>
  <c r="N973" i="1"/>
  <c r="O973" i="1"/>
  <c r="M973" i="1"/>
  <c r="AD972" i="1"/>
  <c r="AC972" i="1"/>
  <c r="AB972" i="1"/>
  <c r="AA972" i="1"/>
  <c r="Z972" i="1"/>
  <c r="V972" i="1"/>
  <c r="N972" i="1"/>
  <c r="P972" i="1"/>
  <c r="K972" i="1"/>
  <c r="M972" i="1"/>
  <c r="AD971" i="1"/>
  <c r="AC971" i="1"/>
  <c r="AB971" i="1"/>
  <c r="AA971" i="1"/>
  <c r="Z971" i="1"/>
  <c r="V971" i="1"/>
  <c r="N971" i="1"/>
  <c r="R971" i="1"/>
  <c r="K971" i="1"/>
  <c r="AD970" i="1"/>
  <c r="AC970" i="1"/>
  <c r="AB970" i="1"/>
  <c r="AA970" i="1"/>
  <c r="Z970" i="1"/>
  <c r="V970" i="1"/>
  <c r="N970" i="1"/>
  <c r="O970" i="1"/>
  <c r="M970" i="1"/>
  <c r="AD969" i="1"/>
  <c r="AC969" i="1"/>
  <c r="AB969" i="1"/>
  <c r="AA969" i="1"/>
  <c r="Z969" i="1"/>
  <c r="V969" i="1"/>
  <c r="N969" i="1"/>
  <c r="K969" i="1"/>
  <c r="M969" i="1"/>
  <c r="AD968" i="1"/>
  <c r="AC968" i="1"/>
  <c r="AB968" i="1"/>
  <c r="AA968" i="1"/>
  <c r="Z968" i="1"/>
  <c r="V968" i="1"/>
  <c r="N968" i="1"/>
  <c r="Q968" i="1"/>
  <c r="M968" i="1"/>
  <c r="AD967" i="1"/>
  <c r="AC967" i="1"/>
  <c r="AB967" i="1"/>
  <c r="AA967" i="1"/>
  <c r="Z967" i="1"/>
  <c r="V967" i="1"/>
  <c r="N967" i="1"/>
  <c r="Q967" i="1"/>
  <c r="M967" i="1"/>
  <c r="AD966" i="1"/>
  <c r="AC966" i="1"/>
  <c r="AB966" i="1"/>
  <c r="AA966" i="1"/>
  <c r="Z966" i="1"/>
  <c r="V966" i="1"/>
  <c r="N966" i="1"/>
  <c r="Q966" i="1"/>
  <c r="M966" i="1"/>
  <c r="AD965" i="1"/>
  <c r="AC965" i="1"/>
  <c r="AB965" i="1"/>
  <c r="AA965" i="1"/>
  <c r="Z965" i="1"/>
  <c r="AD964" i="1"/>
  <c r="AC964" i="1"/>
  <c r="AB964" i="1"/>
  <c r="AA964" i="1"/>
  <c r="Z964" i="1"/>
  <c r="V964" i="1"/>
  <c r="N964" i="1"/>
  <c r="R964" i="1"/>
  <c r="M964" i="1"/>
  <c r="AD963" i="1"/>
  <c r="AC963" i="1"/>
  <c r="AB963" i="1"/>
  <c r="AA963" i="1"/>
  <c r="Z963" i="1"/>
  <c r="V963" i="1"/>
  <c r="N963" i="1"/>
  <c r="O963" i="1"/>
  <c r="L963" i="1"/>
  <c r="K963" i="1"/>
  <c r="AD962" i="1"/>
  <c r="AC962" i="1"/>
  <c r="AB962" i="1"/>
  <c r="AA962" i="1"/>
  <c r="Z962" i="1"/>
  <c r="V962" i="1"/>
  <c r="N962" i="1"/>
  <c r="Q962" i="1"/>
  <c r="M962" i="1"/>
  <c r="AD961" i="1"/>
  <c r="AC961" i="1"/>
  <c r="AB961" i="1"/>
  <c r="AA961" i="1"/>
  <c r="Z961" i="1"/>
  <c r="V961" i="1"/>
  <c r="N961" i="1"/>
  <c r="L961" i="1"/>
  <c r="M961" i="1"/>
  <c r="AD960" i="1"/>
  <c r="AC960" i="1"/>
  <c r="AB960" i="1"/>
  <c r="AA960" i="1"/>
  <c r="Z960" i="1"/>
  <c r="AD959" i="1"/>
  <c r="AC959" i="1"/>
  <c r="AB959" i="1"/>
  <c r="AA959" i="1"/>
  <c r="Z959" i="1"/>
  <c r="AD958" i="1"/>
  <c r="AC958" i="1"/>
  <c r="AB958" i="1"/>
  <c r="AA958" i="1"/>
  <c r="Z958" i="1"/>
  <c r="AD957" i="1"/>
  <c r="AC957" i="1"/>
  <c r="AB957" i="1"/>
  <c r="AA957" i="1"/>
  <c r="Z957" i="1"/>
  <c r="V957" i="1"/>
  <c r="N957" i="1"/>
  <c r="R957" i="1"/>
  <c r="M957" i="1"/>
  <c r="AD956" i="1"/>
  <c r="AC956" i="1"/>
  <c r="AB956" i="1"/>
  <c r="AA956" i="1"/>
  <c r="Z956" i="1"/>
  <c r="V956" i="1"/>
  <c r="N956" i="1"/>
  <c r="O956" i="1"/>
  <c r="K956" i="1"/>
  <c r="AD955" i="1"/>
  <c r="AC955" i="1"/>
  <c r="AB955" i="1"/>
  <c r="AA955" i="1"/>
  <c r="Z955" i="1"/>
  <c r="V955" i="1"/>
  <c r="N955" i="1"/>
  <c r="P955" i="1"/>
  <c r="M955" i="1"/>
  <c r="AD954" i="1"/>
  <c r="AC954" i="1"/>
  <c r="AB954" i="1"/>
  <c r="AA954" i="1"/>
  <c r="Z954" i="1"/>
  <c r="V954" i="1"/>
  <c r="N954" i="1"/>
  <c r="P954" i="1"/>
  <c r="M954" i="1"/>
  <c r="AD953" i="1"/>
  <c r="AC953" i="1"/>
  <c r="AB953" i="1"/>
  <c r="AA953" i="1"/>
  <c r="Z953" i="1"/>
  <c r="V953" i="1"/>
  <c r="N953" i="1"/>
  <c r="P953" i="1"/>
  <c r="M953" i="1"/>
  <c r="AD952" i="1"/>
  <c r="AC952" i="1"/>
  <c r="AB952" i="1"/>
  <c r="AA952" i="1"/>
  <c r="Z952" i="1"/>
  <c r="AD951" i="1"/>
  <c r="AC951" i="1"/>
  <c r="AB951" i="1"/>
  <c r="AA951" i="1"/>
  <c r="Z951" i="1"/>
  <c r="V951" i="1"/>
  <c r="N951" i="1"/>
  <c r="Q951" i="1"/>
  <c r="M951" i="1"/>
  <c r="AD950" i="1"/>
  <c r="AC950" i="1"/>
  <c r="AB950" i="1"/>
  <c r="AA950" i="1"/>
  <c r="Z950" i="1"/>
  <c r="V950" i="1"/>
  <c r="N950" i="1"/>
  <c r="R950" i="1"/>
  <c r="J950" i="1"/>
  <c r="M950" i="1"/>
  <c r="AD949" i="1"/>
  <c r="AC949" i="1"/>
  <c r="AB949" i="1"/>
  <c r="AA949" i="1"/>
  <c r="Z949" i="1"/>
  <c r="V949" i="1"/>
  <c r="N949" i="1"/>
  <c r="J949" i="1"/>
  <c r="M949" i="1"/>
  <c r="AD948" i="1"/>
  <c r="AC948" i="1"/>
  <c r="AB948" i="1"/>
  <c r="AA948" i="1"/>
  <c r="Z948" i="1"/>
  <c r="AD947" i="1"/>
  <c r="AC947" i="1"/>
  <c r="AB947" i="1"/>
  <c r="AA947" i="1"/>
  <c r="Z947" i="1"/>
  <c r="AD946" i="1"/>
  <c r="AC946" i="1"/>
  <c r="AB946" i="1"/>
  <c r="AA946" i="1"/>
  <c r="Z946" i="1"/>
  <c r="V946" i="1"/>
  <c r="N946" i="1"/>
  <c r="P946" i="1"/>
  <c r="L946" i="1"/>
  <c r="K946" i="1"/>
  <c r="M946" i="1"/>
  <c r="AD945" i="1"/>
  <c r="AC945" i="1"/>
  <c r="AB945" i="1"/>
  <c r="AA945" i="1"/>
  <c r="Z945" i="1"/>
  <c r="V945" i="1"/>
  <c r="N945" i="1"/>
  <c r="K945" i="1"/>
  <c r="M945" i="1"/>
  <c r="AD944" i="1"/>
  <c r="AC944" i="1"/>
  <c r="AB944" i="1"/>
  <c r="AA944" i="1"/>
  <c r="Z944" i="1"/>
  <c r="V944" i="1"/>
  <c r="N944" i="1"/>
  <c r="K944" i="1"/>
  <c r="J944" i="1"/>
  <c r="M944" i="1"/>
  <c r="AD943" i="1"/>
  <c r="AC943" i="1"/>
  <c r="AB943" i="1"/>
  <c r="AA943" i="1"/>
  <c r="Z943" i="1"/>
  <c r="V943" i="1"/>
  <c r="N943" i="1"/>
  <c r="R943" i="1"/>
  <c r="M943" i="1"/>
  <c r="AD942" i="1"/>
  <c r="AC942" i="1"/>
  <c r="AB942" i="1"/>
  <c r="AA942" i="1"/>
  <c r="Z942" i="1"/>
  <c r="V942" i="1"/>
  <c r="N942" i="1"/>
  <c r="P942" i="1"/>
  <c r="K942" i="1"/>
  <c r="M942" i="1"/>
  <c r="AD941" i="1"/>
  <c r="AC941" i="1"/>
  <c r="AB941" i="1"/>
  <c r="AA941" i="1"/>
  <c r="Z941" i="1"/>
  <c r="V941" i="1"/>
  <c r="N941" i="1"/>
  <c r="Q941" i="1"/>
  <c r="M941" i="1"/>
  <c r="AD940" i="1"/>
  <c r="AC940" i="1"/>
  <c r="AB940" i="1"/>
  <c r="AA940" i="1"/>
  <c r="Z940" i="1"/>
  <c r="V940" i="1"/>
  <c r="N940" i="1"/>
  <c r="R940" i="1"/>
  <c r="J940" i="1"/>
  <c r="M940" i="1"/>
  <c r="AD939" i="1"/>
  <c r="AC939" i="1"/>
  <c r="AB939" i="1"/>
  <c r="AA939" i="1"/>
  <c r="Z939" i="1"/>
  <c r="AD938" i="1"/>
  <c r="AC938" i="1"/>
  <c r="AB938" i="1"/>
  <c r="AA938" i="1"/>
  <c r="Z938" i="1"/>
  <c r="V938" i="1"/>
  <c r="N938" i="1"/>
  <c r="P938" i="1"/>
  <c r="M938" i="1"/>
  <c r="AD937" i="1"/>
  <c r="AC937" i="1"/>
  <c r="AB937" i="1"/>
  <c r="AA937" i="1"/>
  <c r="Z937" i="1"/>
  <c r="V937" i="1"/>
  <c r="N937" i="1"/>
  <c r="Q937" i="1"/>
  <c r="J937" i="1"/>
  <c r="M937" i="1"/>
  <c r="AD936" i="1"/>
  <c r="AC936" i="1"/>
  <c r="AB936" i="1"/>
  <c r="AA936" i="1"/>
  <c r="Z936" i="1"/>
  <c r="AD935" i="1"/>
  <c r="AC935" i="1"/>
  <c r="AB935" i="1"/>
  <c r="AA935" i="1"/>
  <c r="Z935" i="1"/>
  <c r="AD934" i="1"/>
  <c r="AC934" i="1"/>
  <c r="AB934" i="1"/>
  <c r="AA934" i="1"/>
  <c r="Z934" i="1"/>
  <c r="V934" i="1"/>
  <c r="N934" i="1"/>
  <c r="K934" i="1"/>
  <c r="M934" i="1"/>
  <c r="AD933" i="1"/>
  <c r="AC933" i="1"/>
  <c r="AB933" i="1"/>
  <c r="AA933" i="1"/>
  <c r="Z933" i="1"/>
  <c r="V933" i="1"/>
  <c r="N933" i="1"/>
  <c r="R933" i="1"/>
  <c r="K933" i="1"/>
  <c r="AD932" i="1"/>
  <c r="AC932" i="1"/>
  <c r="AB932" i="1"/>
  <c r="AA932" i="1"/>
  <c r="Z932" i="1"/>
  <c r="V932" i="1"/>
  <c r="N932" i="1"/>
  <c r="K932" i="1"/>
  <c r="Q932" i="1"/>
  <c r="M932" i="1"/>
  <c r="AD931" i="1"/>
  <c r="AC931" i="1"/>
  <c r="AB931" i="1"/>
  <c r="AA931" i="1"/>
  <c r="Z931" i="1"/>
  <c r="AD930" i="1"/>
  <c r="AC930" i="1"/>
  <c r="AB930" i="1"/>
  <c r="AA930" i="1"/>
  <c r="Z930" i="1"/>
  <c r="V930" i="1"/>
  <c r="N930" i="1"/>
  <c r="J930" i="1"/>
  <c r="M930" i="1"/>
  <c r="AD929" i="1"/>
  <c r="AC929" i="1"/>
  <c r="AB929" i="1"/>
  <c r="AA929" i="1"/>
  <c r="Z929" i="1"/>
  <c r="V929" i="1"/>
  <c r="N929" i="1"/>
  <c r="R929" i="1"/>
  <c r="M929" i="1"/>
  <c r="AD928" i="1"/>
  <c r="AC928" i="1"/>
  <c r="AB928" i="1"/>
  <c r="AA928" i="1"/>
  <c r="Z928" i="1"/>
  <c r="V928" i="1"/>
  <c r="N928" i="1"/>
  <c r="M928" i="1"/>
  <c r="AD927" i="1"/>
  <c r="AC927" i="1"/>
  <c r="AB927" i="1"/>
  <c r="AA927" i="1"/>
  <c r="Z927" i="1"/>
  <c r="AD926" i="1"/>
  <c r="AC926" i="1"/>
  <c r="AB926" i="1"/>
  <c r="AA926" i="1"/>
  <c r="Z926" i="1"/>
  <c r="AD925" i="1"/>
  <c r="AC925" i="1"/>
  <c r="AB925" i="1"/>
  <c r="AA925" i="1"/>
  <c r="Z925" i="1"/>
  <c r="AD924" i="1"/>
  <c r="AC924" i="1"/>
  <c r="AB924" i="1"/>
  <c r="AA924" i="1"/>
  <c r="Z924" i="1"/>
  <c r="AD923" i="1"/>
  <c r="AC923" i="1"/>
  <c r="AB923" i="1"/>
  <c r="AA923" i="1"/>
  <c r="Z923" i="1"/>
  <c r="V923" i="1"/>
  <c r="N923" i="1"/>
  <c r="P923" i="1"/>
  <c r="L923" i="1"/>
  <c r="M923" i="1"/>
  <c r="AD922" i="1"/>
  <c r="AC922" i="1"/>
  <c r="AB922" i="1"/>
  <c r="AA922" i="1"/>
  <c r="Z922" i="1"/>
  <c r="V922" i="1"/>
  <c r="N922" i="1"/>
  <c r="L922" i="1"/>
  <c r="M922" i="1"/>
  <c r="AD921" i="1"/>
  <c r="AC921" i="1"/>
  <c r="AB921" i="1"/>
  <c r="AA921" i="1"/>
  <c r="Z921" i="1"/>
  <c r="V921" i="1"/>
  <c r="N921" i="1"/>
  <c r="P921" i="1"/>
  <c r="L921" i="1"/>
  <c r="M921" i="1"/>
  <c r="AD920" i="1"/>
  <c r="AC920" i="1"/>
  <c r="AB920" i="1"/>
  <c r="AA920" i="1"/>
  <c r="Z920" i="1"/>
  <c r="AD919" i="1"/>
  <c r="AC919" i="1"/>
  <c r="AB919" i="1"/>
  <c r="AA919" i="1"/>
  <c r="Z919" i="1"/>
  <c r="AD918" i="1"/>
  <c r="AC918" i="1"/>
  <c r="AB918" i="1"/>
  <c r="AA918" i="1"/>
  <c r="Z918" i="1"/>
  <c r="V918" i="1"/>
  <c r="N918" i="1"/>
  <c r="P918" i="1"/>
  <c r="K918" i="1"/>
  <c r="M918" i="1"/>
  <c r="AD917" i="1"/>
  <c r="AC917" i="1"/>
  <c r="AB917" i="1"/>
  <c r="AA917" i="1"/>
  <c r="Z917" i="1"/>
  <c r="V917" i="1"/>
  <c r="N917" i="1"/>
  <c r="R917" i="1"/>
  <c r="J917" i="1"/>
  <c r="M917" i="1"/>
  <c r="AD916" i="1"/>
  <c r="AC916" i="1"/>
  <c r="AB916" i="1"/>
  <c r="AA916" i="1"/>
  <c r="Z916" i="1"/>
  <c r="V916" i="1"/>
  <c r="N916" i="1"/>
  <c r="J916" i="1"/>
  <c r="M916" i="1"/>
  <c r="AD915" i="1"/>
  <c r="AC915" i="1"/>
  <c r="AB915" i="1"/>
  <c r="AA915" i="1"/>
  <c r="Z915" i="1"/>
  <c r="AD914" i="1"/>
  <c r="AC914" i="1"/>
  <c r="AB914" i="1"/>
  <c r="AA914" i="1"/>
  <c r="Z914" i="1"/>
  <c r="AD913" i="1"/>
  <c r="AC913" i="1"/>
  <c r="AB913" i="1"/>
  <c r="AA913" i="1"/>
  <c r="Z913" i="1"/>
  <c r="V913" i="1"/>
  <c r="N913" i="1"/>
  <c r="J913" i="1"/>
  <c r="M913" i="1"/>
  <c r="AD912" i="1"/>
  <c r="AC912" i="1"/>
  <c r="AB912" i="1"/>
  <c r="AA912" i="1"/>
  <c r="Z912" i="1"/>
  <c r="V912" i="1"/>
  <c r="N912" i="1"/>
  <c r="R912" i="1"/>
  <c r="J912" i="1"/>
  <c r="M912" i="1"/>
  <c r="AD911" i="1"/>
  <c r="AC911" i="1"/>
  <c r="AB911" i="1"/>
  <c r="AA911" i="1"/>
  <c r="Z911" i="1"/>
  <c r="V911" i="1"/>
  <c r="N911" i="1"/>
  <c r="J911" i="1"/>
  <c r="M911" i="1"/>
  <c r="AD910" i="1"/>
  <c r="AC910" i="1"/>
  <c r="AB910" i="1"/>
  <c r="AA910" i="1"/>
  <c r="Z910" i="1"/>
  <c r="V910" i="1"/>
  <c r="N910" i="1"/>
  <c r="Q910" i="1"/>
  <c r="M910" i="1"/>
  <c r="AD909" i="1"/>
  <c r="AC909" i="1"/>
  <c r="AB909" i="1"/>
  <c r="AA909" i="1"/>
  <c r="Z909" i="1"/>
  <c r="AD908" i="1"/>
  <c r="AC908" i="1"/>
  <c r="AB908" i="1"/>
  <c r="AA908" i="1"/>
  <c r="Z908" i="1"/>
  <c r="AD907" i="1"/>
  <c r="AC907" i="1"/>
  <c r="AB907" i="1"/>
  <c r="AA907" i="1"/>
  <c r="Z907" i="1"/>
  <c r="V907" i="1"/>
  <c r="N907" i="1"/>
  <c r="K907" i="1"/>
  <c r="J907" i="1"/>
  <c r="AD906" i="1"/>
  <c r="AC906" i="1"/>
  <c r="AB906" i="1"/>
  <c r="AA906" i="1"/>
  <c r="Z906" i="1"/>
  <c r="V906" i="1"/>
  <c r="N906" i="1"/>
  <c r="R906" i="1"/>
  <c r="K906" i="1"/>
  <c r="J906" i="1"/>
  <c r="AD905" i="1"/>
  <c r="AC905" i="1"/>
  <c r="AB905" i="1"/>
  <c r="AA905" i="1"/>
  <c r="Z905" i="1"/>
  <c r="V905" i="1"/>
  <c r="N905" i="1"/>
  <c r="Q905" i="1"/>
  <c r="M905" i="1"/>
  <c r="AD904" i="1"/>
  <c r="AC904" i="1"/>
  <c r="AB904" i="1"/>
  <c r="AA904" i="1"/>
  <c r="Z904" i="1"/>
  <c r="AD903" i="1"/>
  <c r="AC903" i="1"/>
  <c r="AB903" i="1"/>
  <c r="AA903" i="1"/>
  <c r="Z903" i="1"/>
  <c r="AD902" i="1"/>
  <c r="AC902" i="1"/>
  <c r="AB902" i="1"/>
  <c r="AA902" i="1"/>
  <c r="Z902" i="1"/>
  <c r="V902" i="1"/>
  <c r="N902" i="1"/>
  <c r="L902" i="1"/>
  <c r="K902" i="1"/>
  <c r="J902" i="1"/>
  <c r="AD901" i="1"/>
  <c r="AC901" i="1"/>
  <c r="AB901" i="1"/>
  <c r="AA901" i="1"/>
  <c r="Z901" i="1"/>
  <c r="V901" i="1"/>
  <c r="N901" i="1"/>
  <c r="P901" i="1"/>
  <c r="M901" i="1"/>
  <c r="AD900" i="1"/>
  <c r="AC900" i="1"/>
  <c r="AB900" i="1"/>
  <c r="AA900" i="1"/>
  <c r="Z900" i="1"/>
  <c r="V900" i="1"/>
  <c r="N900" i="1"/>
  <c r="Q900" i="1"/>
  <c r="M900" i="1"/>
  <c r="AD899" i="1"/>
  <c r="AC899" i="1"/>
  <c r="AB899" i="1"/>
  <c r="AA899" i="1"/>
  <c r="Z899" i="1"/>
  <c r="V899" i="1"/>
  <c r="N899" i="1"/>
  <c r="R899" i="1"/>
  <c r="M899" i="1"/>
  <c r="AD898" i="1"/>
  <c r="AC898" i="1"/>
  <c r="AB898" i="1"/>
  <c r="AA898" i="1"/>
  <c r="Z898" i="1"/>
  <c r="V898" i="1"/>
  <c r="N898" i="1"/>
  <c r="R898" i="1"/>
  <c r="M898" i="1"/>
  <c r="AD897" i="1"/>
  <c r="AC897" i="1"/>
  <c r="AB897" i="1"/>
  <c r="AA897" i="1"/>
  <c r="Z897" i="1"/>
  <c r="AD896" i="1"/>
  <c r="AC896" i="1"/>
  <c r="AB896" i="1"/>
  <c r="AA896" i="1"/>
  <c r="Z896" i="1"/>
  <c r="AD895" i="1"/>
  <c r="AC895" i="1"/>
  <c r="AB895" i="1"/>
  <c r="AA895" i="1"/>
  <c r="Z895" i="1"/>
  <c r="AD894" i="1"/>
  <c r="AC894" i="1"/>
  <c r="AB894" i="1"/>
  <c r="AA894" i="1"/>
  <c r="Z894" i="1"/>
  <c r="V894" i="1"/>
  <c r="N894" i="1"/>
  <c r="L894" i="1"/>
  <c r="K894" i="1"/>
  <c r="AD893" i="1"/>
  <c r="AC893" i="1"/>
  <c r="AB893" i="1"/>
  <c r="AA893" i="1"/>
  <c r="Z893" i="1"/>
  <c r="V893" i="1"/>
  <c r="N893" i="1"/>
  <c r="K893" i="1"/>
  <c r="Q893" i="1"/>
  <c r="M893" i="1"/>
  <c r="AD892" i="1"/>
  <c r="AC892" i="1"/>
  <c r="AB892" i="1"/>
  <c r="AA892" i="1"/>
  <c r="Z892" i="1"/>
  <c r="AD891" i="1"/>
  <c r="AC891" i="1"/>
  <c r="AB891" i="1"/>
  <c r="AA891" i="1"/>
  <c r="Z891" i="1"/>
  <c r="AD890" i="1"/>
  <c r="AC890" i="1"/>
  <c r="AB890" i="1"/>
  <c r="AA890" i="1"/>
  <c r="Z890" i="1"/>
  <c r="V890" i="1"/>
  <c r="N890" i="1"/>
  <c r="K890" i="1"/>
  <c r="M890" i="1"/>
  <c r="AD889" i="1"/>
  <c r="AC889" i="1"/>
  <c r="AB889" i="1"/>
  <c r="AA889" i="1"/>
  <c r="Z889" i="1"/>
  <c r="V889" i="1"/>
  <c r="N889" i="1"/>
  <c r="R889" i="1"/>
  <c r="J889" i="1"/>
  <c r="M889" i="1"/>
  <c r="AD888" i="1"/>
  <c r="AC888" i="1"/>
  <c r="AB888" i="1"/>
  <c r="AA888" i="1"/>
  <c r="Z888" i="1"/>
  <c r="V888" i="1"/>
  <c r="N888" i="1"/>
  <c r="Q888" i="1"/>
  <c r="J888" i="1"/>
  <c r="M888" i="1"/>
  <c r="AD887" i="1"/>
  <c r="AC887" i="1"/>
  <c r="AB887" i="1"/>
  <c r="AA887" i="1"/>
  <c r="Z887" i="1"/>
  <c r="V887" i="1"/>
  <c r="N887" i="1"/>
  <c r="R887" i="1"/>
  <c r="J887" i="1"/>
  <c r="M887" i="1"/>
  <c r="AD886" i="1"/>
  <c r="AC886" i="1"/>
  <c r="AB886" i="1"/>
  <c r="AA886" i="1"/>
  <c r="Z886" i="1"/>
  <c r="V886" i="1"/>
  <c r="N886" i="1"/>
  <c r="AD885" i="1"/>
  <c r="AC885" i="1"/>
  <c r="AB885" i="1"/>
  <c r="AA885" i="1"/>
  <c r="Z885" i="1"/>
  <c r="AD884" i="1"/>
  <c r="AC884" i="1"/>
  <c r="AB884" i="1"/>
  <c r="AA884" i="1"/>
  <c r="Z884" i="1"/>
  <c r="AD883" i="1"/>
  <c r="AC883" i="1"/>
  <c r="AB883" i="1"/>
  <c r="AA883" i="1"/>
  <c r="Z883" i="1"/>
  <c r="V883" i="1"/>
  <c r="N883" i="1"/>
  <c r="R883" i="1"/>
  <c r="M883" i="1"/>
  <c r="AD882" i="1"/>
  <c r="AC882" i="1"/>
  <c r="AB882" i="1"/>
  <c r="AA882" i="1"/>
  <c r="Z882" i="1"/>
  <c r="V882" i="1"/>
  <c r="N882" i="1"/>
  <c r="M882" i="1"/>
  <c r="AD881" i="1"/>
  <c r="AC881" i="1"/>
  <c r="AB881" i="1"/>
  <c r="AA881" i="1"/>
  <c r="Z881" i="1"/>
  <c r="V881" i="1"/>
  <c r="N881" i="1"/>
  <c r="O881" i="1"/>
  <c r="J881" i="1"/>
  <c r="M881" i="1"/>
  <c r="AD880" i="1"/>
  <c r="AC880" i="1"/>
  <c r="AB880" i="1"/>
  <c r="AA880" i="1"/>
  <c r="Z880" i="1"/>
  <c r="V880" i="1"/>
  <c r="N880" i="1"/>
  <c r="Q880" i="1"/>
  <c r="J880" i="1"/>
  <c r="M880" i="1"/>
  <c r="AD879" i="1"/>
  <c r="AC879" i="1"/>
  <c r="AB879" i="1"/>
  <c r="AA879" i="1"/>
  <c r="Z879" i="1"/>
  <c r="V879" i="1"/>
  <c r="N879" i="1"/>
  <c r="R879" i="1"/>
  <c r="M879" i="1"/>
  <c r="AD878" i="1"/>
  <c r="AC878" i="1"/>
  <c r="AB878" i="1"/>
  <c r="AA878" i="1"/>
  <c r="Z878" i="1"/>
  <c r="AD877" i="1"/>
  <c r="AC877" i="1"/>
  <c r="AB877" i="1"/>
  <c r="AA877" i="1"/>
  <c r="Z877" i="1"/>
  <c r="V877" i="1"/>
  <c r="N877" i="1"/>
  <c r="L877" i="1"/>
  <c r="K877" i="1"/>
  <c r="J877" i="1"/>
  <c r="AD876" i="1"/>
  <c r="AC876" i="1"/>
  <c r="AB876" i="1"/>
  <c r="AA876" i="1"/>
  <c r="Z876" i="1"/>
  <c r="V876" i="1"/>
  <c r="N876" i="1"/>
  <c r="L876" i="1"/>
  <c r="K876" i="1"/>
  <c r="J876" i="1"/>
  <c r="M876" i="1"/>
  <c r="AD875" i="1"/>
  <c r="AC875" i="1"/>
  <c r="AB875" i="1"/>
  <c r="AA875" i="1"/>
  <c r="Z875" i="1"/>
  <c r="AD874" i="1"/>
  <c r="AC874" i="1"/>
  <c r="AB874" i="1"/>
  <c r="AA874" i="1"/>
  <c r="Z874" i="1"/>
  <c r="V874" i="1"/>
  <c r="N874" i="1"/>
  <c r="L874" i="1"/>
  <c r="K874" i="1"/>
  <c r="J874" i="1"/>
  <c r="AD873" i="1"/>
  <c r="AC873" i="1"/>
  <c r="AB873" i="1"/>
  <c r="AA873" i="1"/>
  <c r="Z873" i="1"/>
  <c r="V873" i="1"/>
  <c r="N873" i="1"/>
  <c r="L873" i="1"/>
  <c r="K873" i="1"/>
  <c r="J873" i="1"/>
  <c r="AD872" i="1"/>
  <c r="AC872" i="1"/>
  <c r="AB872" i="1"/>
  <c r="AA872" i="1"/>
  <c r="Z872" i="1"/>
  <c r="V872" i="1"/>
  <c r="N872" i="1"/>
  <c r="AD871" i="1"/>
  <c r="AC871" i="1"/>
  <c r="AB871" i="1"/>
  <c r="AA871" i="1"/>
  <c r="Z871" i="1"/>
  <c r="V871" i="1"/>
  <c r="N871" i="1"/>
  <c r="L871" i="1"/>
  <c r="K871" i="1"/>
  <c r="J871" i="1"/>
  <c r="AD870" i="1"/>
  <c r="AC870" i="1"/>
  <c r="AB870" i="1"/>
  <c r="AA870" i="1"/>
  <c r="Z870" i="1"/>
  <c r="V870" i="1"/>
  <c r="N870" i="1"/>
  <c r="L870" i="1"/>
  <c r="K870" i="1"/>
  <c r="J870" i="1"/>
  <c r="AD869" i="1"/>
  <c r="AC869" i="1"/>
  <c r="AB869" i="1"/>
  <c r="AA869" i="1"/>
  <c r="Z869" i="1"/>
  <c r="V869" i="1"/>
  <c r="N869" i="1"/>
  <c r="R869" i="1"/>
  <c r="M869" i="1"/>
  <c r="AD868" i="1"/>
  <c r="AC868" i="1"/>
  <c r="AB868" i="1"/>
  <c r="AA868" i="1"/>
  <c r="Z868" i="1"/>
  <c r="V868" i="1"/>
  <c r="N868" i="1"/>
  <c r="J868" i="1"/>
  <c r="P868" i="1"/>
  <c r="M868" i="1"/>
  <c r="AD867" i="1"/>
  <c r="AC867" i="1"/>
  <c r="AB867" i="1"/>
  <c r="AA867" i="1"/>
  <c r="Z867" i="1"/>
  <c r="AD866" i="1"/>
  <c r="AC866" i="1"/>
  <c r="AB866" i="1"/>
  <c r="AA866" i="1"/>
  <c r="Z866" i="1"/>
  <c r="AD865" i="1"/>
  <c r="AC865" i="1"/>
  <c r="AB865" i="1"/>
  <c r="AA865" i="1"/>
  <c r="Z865" i="1"/>
  <c r="V865" i="1"/>
  <c r="N865" i="1"/>
  <c r="P865" i="1"/>
  <c r="M865" i="1"/>
  <c r="AD864" i="1"/>
  <c r="AC864" i="1"/>
  <c r="AB864" i="1"/>
  <c r="AA864" i="1"/>
  <c r="Z864" i="1"/>
  <c r="AD863" i="1"/>
  <c r="AC863" i="1"/>
  <c r="AB863" i="1"/>
  <c r="AA863" i="1"/>
  <c r="Z863" i="1"/>
  <c r="V863" i="1"/>
  <c r="N863" i="1"/>
  <c r="M863" i="1"/>
  <c r="AD862" i="1"/>
  <c r="AC862" i="1"/>
  <c r="AB862" i="1"/>
  <c r="AA862" i="1"/>
  <c r="Z862" i="1"/>
  <c r="V862" i="1"/>
  <c r="N862" i="1"/>
  <c r="K862" i="1"/>
  <c r="M862" i="1"/>
  <c r="AD861" i="1"/>
  <c r="AC861" i="1"/>
  <c r="AB861" i="1"/>
  <c r="AA861" i="1"/>
  <c r="Z861" i="1"/>
  <c r="V861" i="1"/>
  <c r="N861" i="1"/>
  <c r="Q861" i="1"/>
  <c r="M861" i="1"/>
  <c r="AD860" i="1"/>
  <c r="AC860" i="1"/>
  <c r="AB860" i="1"/>
  <c r="AA860" i="1"/>
  <c r="Z860" i="1"/>
  <c r="V860" i="1"/>
  <c r="N860" i="1"/>
  <c r="Q860" i="1"/>
  <c r="M860" i="1"/>
  <c r="AD859" i="1"/>
  <c r="AC859" i="1"/>
  <c r="AB859" i="1"/>
  <c r="AA859" i="1"/>
  <c r="Z859" i="1"/>
  <c r="V859" i="1"/>
  <c r="N859" i="1"/>
  <c r="R859" i="1"/>
  <c r="M859" i="1"/>
  <c r="AD858" i="1"/>
  <c r="AC858" i="1"/>
  <c r="AB858" i="1"/>
  <c r="AA858" i="1"/>
  <c r="Z858" i="1"/>
  <c r="AD857" i="1"/>
  <c r="AC857" i="1"/>
  <c r="AB857" i="1"/>
  <c r="AA857" i="1"/>
  <c r="Z857" i="1"/>
  <c r="V857" i="1"/>
  <c r="N857" i="1"/>
  <c r="M857" i="1"/>
  <c r="L857" i="1"/>
  <c r="K857" i="1"/>
  <c r="AD856" i="1"/>
  <c r="AC856" i="1"/>
  <c r="AB856" i="1"/>
  <c r="AA856" i="1"/>
  <c r="Z856" i="1"/>
  <c r="V856" i="1"/>
  <c r="N856" i="1"/>
  <c r="L856" i="1"/>
  <c r="K856" i="1"/>
  <c r="AD855" i="1"/>
  <c r="AC855" i="1"/>
  <c r="AB855" i="1"/>
  <c r="AA855" i="1"/>
  <c r="Z855" i="1"/>
  <c r="AD854" i="1"/>
  <c r="AC854" i="1"/>
  <c r="AB854" i="1"/>
  <c r="AA854" i="1"/>
  <c r="Z854" i="1"/>
  <c r="V854" i="1"/>
  <c r="N854" i="1"/>
  <c r="M854" i="1"/>
  <c r="AD853" i="1"/>
  <c r="AC853" i="1"/>
  <c r="AB853" i="1"/>
  <c r="AA853" i="1"/>
  <c r="Z853" i="1"/>
  <c r="AD852" i="1"/>
  <c r="AC852" i="1"/>
  <c r="AB852" i="1"/>
  <c r="AA852" i="1"/>
  <c r="Z852" i="1"/>
  <c r="V852" i="1"/>
  <c r="N852" i="1"/>
  <c r="Q852" i="1"/>
  <c r="M852" i="1"/>
  <c r="AD851" i="1"/>
  <c r="AC851" i="1"/>
  <c r="AB851" i="1"/>
  <c r="AA851" i="1"/>
  <c r="Z851" i="1"/>
  <c r="V851" i="1"/>
  <c r="N851" i="1"/>
  <c r="R851" i="1"/>
  <c r="M851" i="1"/>
  <c r="AD850" i="1"/>
  <c r="AC850" i="1"/>
  <c r="AB850" i="1"/>
  <c r="AA850" i="1"/>
  <c r="Z850" i="1"/>
  <c r="V850" i="1"/>
  <c r="N850" i="1"/>
  <c r="M850" i="1"/>
  <c r="AD849" i="1"/>
  <c r="AC849" i="1"/>
  <c r="AB849" i="1"/>
  <c r="AA849" i="1"/>
  <c r="Z849" i="1"/>
  <c r="V849" i="1"/>
  <c r="N849" i="1"/>
  <c r="M849" i="1"/>
  <c r="AD848" i="1"/>
  <c r="AC848" i="1"/>
  <c r="AB848" i="1"/>
  <c r="AA848" i="1"/>
  <c r="Z848" i="1"/>
  <c r="V848" i="1"/>
  <c r="N848" i="1"/>
  <c r="R848" i="1"/>
  <c r="M848" i="1"/>
  <c r="AD847" i="1"/>
  <c r="AC847" i="1"/>
  <c r="AB847" i="1"/>
  <c r="AA847" i="1"/>
  <c r="Z847" i="1"/>
  <c r="V847" i="1"/>
  <c r="N847" i="1"/>
  <c r="M847" i="1"/>
  <c r="AD846" i="1"/>
  <c r="AC846" i="1"/>
  <c r="AB846" i="1"/>
  <c r="AA846" i="1"/>
  <c r="Z846" i="1"/>
  <c r="AD845" i="1"/>
  <c r="AC845" i="1"/>
  <c r="AB845" i="1"/>
  <c r="AA845" i="1"/>
  <c r="Z845" i="1"/>
  <c r="V845" i="1"/>
  <c r="N845" i="1"/>
  <c r="R845" i="1"/>
  <c r="K845" i="1"/>
  <c r="M845" i="1"/>
  <c r="AD844" i="1"/>
  <c r="AC844" i="1"/>
  <c r="AB844" i="1"/>
  <c r="AA844" i="1"/>
  <c r="Z844" i="1"/>
  <c r="V844" i="1"/>
  <c r="N844" i="1"/>
  <c r="R844" i="1"/>
  <c r="K844" i="1"/>
  <c r="M844" i="1"/>
  <c r="AD843" i="1"/>
  <c r="AC843" i="1"/>
  <c r="AB843" i="1"/>
  <c r="AA843" i="1"/>
  <c r="Z843" i="1"/>
  <c r="V843" i="1"/>
  <c r="N843" i="1"/>
  <c r="R843" i="1"/>
  <c r="K843" i="1"/>
  <c r="M843" i="1"/>
  <c r="AD842" i="1"/>
  <c r="AC842" i="1"/>
  <c r="AB842" i="1"/>
  <c r="AA842" i="1"/>
  <c r="Z842" i="1"/>
  <c r="V842" i="1"/>
  <c r="N842" i="1"/>
  <c r="K842" i="1"/>
  <c r="M842" i="1"/>
  <c r="AD841" i="1"/>
  <c r="AC841" i="1"/>
  <c r="AB841" i="1"/>
  <c r="AA841" i="1"/>
  <c r="Z841" i="1"/>
  <c r="V841" i="1"/>
  <c r="N841" i="1"/>
  <c r="K841" i="1"/>
  <c r="Q841" i="1"/>
  <c r="M841" i="1"/>
  <c r="AD840" i="1"/>
  <c r="AC840" i="1"/>
  <c r="AB840" i="1"/>
  <c r="AA840" i="1"/>
  <c r="Z840" i="1"/>
  <c r="AD839" i="1"/>
  <c r="AC839" i="1"/>
  <c r="AB839" i="1"/>
  <c r="AA839" i="1"/>
  <c r="Z839" i="1"/>
  <c r="AD838" i="1"/>
  <c r="AC838" i="1"/>
  <c r="AB838" i="1"/>
  <c r="AA838" i="1"/>
  <c r="Z838" i="1"/>
  <c r="AD837" i="1"/>
  <c r="AC837" i="1"/>
  <c r="AB837" i="1"/>
  <c r="AA837" i="1"/>
  <c r="Z837" i="1"/>
  <c r="V837" i="1"/>
  <c r="N837" i="1"/>
  <c r="M837" i="1"/>
  <c r="AD836" i="1"/>
  <c r="AC836" i="1"/>
  <c r="AB836" i="1"/>
  <c r="AA836" i="1"/>
  <c r="Z836" i="1"/>
  <c r="V836" i="1"/>
  <c r="N836" i="1"/>
  <c r="M836" i="1"/>
  <c r="AD835" i="1"/>
  <c r="AC835" i="1"/>
  <c r="AB835" i="1"/>
  <c r="AA835" i="1"/>
  <c r="Z835" i="1"/>
  <c r="V835" i="1"/>
  <c r="N835" i="1"/>
  <c r="M835" i="1"/>
  <c r="AD834" i="1"/>
  <c r="AC834" i="1"/>
  <c r="AB834" i="1"/>
  <c r="AA834" i="1"/>
  <c r="Z834" i="1"/>
  <c r="V834" i="1"/>
  <c r="N834" i="1"/>
  <c r="O834" i="1"/>
  <c r="M834" i="1"/>
  <c r="AD833" i="1"/>
  <c r="AC833" i="1"/>
  <c r="AB833" i="1"/>
  <c r="AA833" i="1"/>
  <c r="Z833" i="1"/>
  <c r="V833" i="1"/>
  <c r="N833" i="1"/>
  <c r="R833" i="1"/>
  <c r="K833" i="1"/>
  <c r="M833" i="1"/>
  <c r="AD832" i="1"/>
  <c r="AC832" i="1"/>
  <c r="AB832" i="1"/>
  <c r="AA832" i="1"/>
  <c r="Z832" i="1"/>
  <c r="V832" i="1"/>
  <c r="N832" i="1"/>
  <c r="J832" i="1"/>
  <c r="M832" i="1"/>
  <c r="AD831" i="1"/>
  <c r="AC831" i="1"/>
  <c r="AB831" i="1"/>
  <c r="AA831" i="1"/>
  <c r="Z831" i="1"/>
  <c r="V831" i="1"/>
  <c r="N831" i="1"/>
  <c r="J831" i="1"/>
  <c r="M831" i="1"/>
  <c r="AD830" i="1"/>
  <c r="AC830" i="1"/>
  <c r="AB830" i="1"/>
  <c r="AA830" i="1"/>
  <c r="Z830" i="1"/>
  <c r="V830" i="1"/>
  <c r="N830" i="1"/>
  <c r="J830" i="1"/>
  <c r="M830" i="1"/>
  <c r="AD829" i="1"/>
  <c r="AC829" i="1"/>
  <c r="AB829" i="1"/>
  <c r="AA829" i="1"/>
  <c r="Z829" i="1"/>
  <c r="AD828" i="1"/>
  <c r="AC828" i="1"/>
  <c r="AB828" i="1"/>
  <c r="AA828" i="1"/>
  <c r="Z828" i="1"/>
  <c r="AD827" i="1"/>
  <c r="AC827" i="1"/>
  <c r="AB827" i="1"/>
  <c r="AA827" i="1"/>
  <c r="Z827" i="1"/>
  <c r="V827" i="1"/>
  <c r="N827" i="1"/>
  <c r="J827" i="1"/>
  <c r="M827" i="1"/>
  <c r="AD826" i="1"/>
  <c r="AC826" i="1"/>
  <c r="AB826" i="1"/>
  <c r="AA826" i="1"/>
  <c r="Z826" i="1"/>
  <c r="V826" i="1"/>
  <c r="N826" i="1"/>
  <c r="AD825" i="1"/>
  <c r="AC825" i="1"/>
  <c r="AB825" i="1"/>
  <c r="AA825" i="1"/>
  <c r="Z825" i="1"/>
  <c r="V825" i="1"/>
  <c r="N825" i="1"/>
  <c r="J825" i="1"/>
  <c r="M825" i="1"/>
  <c r="AD824" i="1"/>
  <c r="AC824" i="1"/>
  <c r="AB824" i="1"/>
  <c r="AA824" i="1"/>
  <c r="Z824" i="1"/>
  <c r="V824" i="1"/>
  <c r="N824" i="1"/>
  <c r="J824" i="1"/>
  <c r="M824" i="1"/>
  <c r="AD823" i="1"/>
  <c r="AC823" i="1"/>
  <c r="AB823" i="1"/>
  <c r="AA823" i="1"/>
  <c r="Z823" i="1"/>
  <c r="AD822" i="1"/>
  <c r="AC822" i="1"/>
  <c r="AB822" i="1"/>
  <c r="AA822" i="1"/>
  <c r="Z822" i="1"/>
  <c r="AD821" i="1"/>
  <c r="AC821" i="1"/>
  <c r="AB821" i="1"/>
  <c r="AA821" i="1"/>
  <c r="Z821" i="1"/>
  <c r="V821" i="1"/>
  <c r="N821" i="1"/>
  <c r="R821" i="1"/>
  <c r="M821" i="1"/>
  <c r="AD820" i="1"/>
  <c r="AC820" i="1"/>
  <c r="AB820" i="1"/>
  <c r="AA820" i="1"/>
  <c r="Z820" i="1"/>
  <c r="V820" i="1"/>
  <c r="N820" i="1"/>
  <c r="Q820" i="1"/>
  <c r="L820" i="1"/>
  <c r="M820" i="1"/>
  <c r="AD819" i="1"/>
  <c r="AC819" i="1"/>
  <c r="AB819" i="1"/>
  <c r="AA819" i="1"/>
  <c r="Z819" i="1"/>
  <c r="V819" i="1"/>
  <c r="N819" i="1"/>
  <c r="L819" i="1"/>
  <c r="M819" i="1"/>
  <c r="AD818" i="1"/>
  <c r="AC818" i="1"/>
  <c r="AB818" i="1"/>
  <c r="AA818" i="1"/>
  <c r="Z818" i="1"/>
  <c r="V818" i="1"/>
  <c r="N818" i="1"/>
  <c r="L818" i="1"/>
  <c r="M818" i="1"/>
  <c r="AD817" i="1"/>
  <c r="AC817" i="1"/>
  <c r="AB817" i="1"/>
  <c r="AA817" i="1"/>
  <c r="Z817" i="1"/>
  <c r="V817" i="1"/>
  <c r="N817" i="1"/>
  <c r="O817" i="1"/>
  <c r="M817" i="1"/>
  <c r="AD816" i="1"/>
  <c r="AC816" i="1"/>
  <c r="AB816" i="1"/>
  <c r="AA816" i="1"/>
  <c r="Z816" i="1"/>
  <c r="V816" i="1"/>
  <c r="N816" i="1"/>
  <c r="R816" i="1"/>
  <c r="K816" i="1"/>
  <c r="M816" i="1"/>
  <c r="AD815" i="1"/>
  <c r="AC815" i="1"/>
  <c r="AB815" i="1"/>
  <c r="AA815" i="1"/>
  <c r="Z815" i="1"/>
  <c r="V815" i="1"/>
  <c r="N815" i="1"/>
  <c r="M815" i="1"/>
  <c r="AD814" i="1"/>
  <c r="AC814" i="1"/>
  <c r="AB814" i="1"/>
  <c r="AA814" i="1"/>
  <c r="Z814" i="1"/>
  <c r="V814" i="1"/>
  <c r="N814" i="1"/>
  <c r="J814" i="1"/>
  <c r="M814" i="1"/>
  <c r="AD813" i="1"/>
  <c r="AC813" i="1"/>
  <c r="AB813" i="1"/>
  <c r="AA813" i="1"/>
  <c r="Z813" i="1"/>
  <c r="V813" i="1"/>
  <c r="N813" i="1"/>
  <c r="M813" i="1"/>
  <c r="AD812" i="1"/>
  <c r="AC812" i="1"/>
  <c r="AB812" i="1"/>
  <c r="AA812" i="1"/>
  <c r="Z812" i="1"/>
  <c r="V812" i="1"/>
  <c r="N812" i="1"/>
  <c r="R812" i="1"/>
  <c r="M812" i="1"/>
  <c r="AD811" i="1"/>
  <c r="AC811" i="1"/>
  <c r="AB811" i="1"/>
  <c r="AA811" i="1"/>
  <c r="Z811" i="1"/>
  <c r="V811" i="1"/>
  <c r="N811" i="1"/>
  <c r="K811" i="1"/>
  <c r="AD810" i="1"/>
  <c r="AC810" i="1"/>
  <c r="AB810" i="1"/>
  <c r="AA810" i="1"/>
  <c r="Z810" i="1"/>
  <c r="V810" i="1"/>
  <c r="N810" i="1"/>
  <c r="K810" i="1"/>
  <c r="M810" i="1"/>
  <c r="AD809" i="1"/>
  <c r="AC809" i="1"/>
  <c r="AB809" i="1"/>
  <c r="AA809" i="1"/>
  <c r="Z809" i="1"/>
  <c r="V809" i="1"/>
  <c r="N809" i="1"/>
  <c r="R809" i="1"/>
  <c r="M809" i="1"/>
  <c r="AD808" i="1"/>
  <c r="AC808" i="1"/>
  <c r="AB808" i="1"/>
  <c r="AA808" i="1"/>
  <c r="Z808" i="1"/>
  <c r="V808" i="1"/>
  <c r="N808" i="1"/>
  <c r="M808" i="1"/>
  <c r="AD807" i="1"/>
  <c r="AC807" i="1"/>
  <c r="AB807" i="1"/>
  <c r="AA807" i="1"/>
  <c r="Z807" i="1"/>
  <c r="V807" i="1"/>
  <c r="N807" i="1"/>
  <c r="M807" i="1"/>
  <c r="AD806" i="1"/>
  <c r="AC806" i="1"/>
  <c r="AB806" i="1"/>
  <c r="AA806" i="1"/>
  <c r="Z806" i="1"/>
  <c r="V806" i="1"/>
  <c r="N806" i="1"/>
  <c r="R806" i="1"/>
  <c r="J806" i="1"/>
  <c r="AD805" i="1"/>
  <c r="AC805" i="1"/>
  <c r="AB805" i="1"/>
  <c r="AA805" i="1"/>
  <c r="Z805" i="1"/>
  <c r="V805" i="1"/>
  <c r="N805" i="1"/>
  <c r="J805" i="1"/>
  <c r="M805" i="1"/>
  <c r="AD804" i="1"/>
  <c r="AC804" i="1"/>
  <c r="AB804" i="1"/>
  <c r="AA804" i="1"/>
  <c r="Z804" i="1"/>
  <c r="V804" i="1"/>
  <c r="N804" i="1"/>
  <c r="M804" i="1"/>
  <c r="AD803" i="1"/>
  <c r="AC803" i="1"/>
  <c r="AB803" i="1"/>
  <c r="AA803" i="1"/>
  <c r="Z803" i="1"/>
  <c r="AD802" i="1"/>
  <c r="AC802" i="1"/>
  <c r="AB802" i="1"/>
  <c r="AA802" i="1"/>
  <c r="Z802" i="1"/>
  <c r="V802" i="1"/>
  <c r="N802" i="1"/>
  <c r="L802" i="1"/>
  <c r="M802" i="1"/>
  <c r="AD801" i="1"/>
  <c r="AC801" i="1"/>
  <c r="AB801" i="1"/>
  <c r="AA801" i="1"/>
  <c r="Z801" i="1"/>
  <c r="V801" i="1"/>
  <c r="N801" i="1"/>
  <c r="L801" i="1"/>
  <c r="K801" i="1"/>
  <c r="AD800" i="1"/>
  <c r="AC800" i="1"/>
  <c r="AB800" i="1"/>
  <c r="AA800" i="1"/>
  <c r="Z800" i="1"/>
  <c r="V800" i="1"/>
  <c r="N800" i="1"/>
  <c r="L800" i="1"/>
  <c r="K800" i="1"/>
  <c r="AD799" i="1"/>
  <c r="AC799" i="1"/>
  <c r="AB799" i="1"/>
  <c r="AA799" i="1"/>
  <c r="Z799" i="1"/>
  <c r="V799" i="1"/>
  <c r="N799" i="1"/>
  <c r="K799" i="1"/>
  <c r="M799" i="1"/>
  <c r="AD798" i="1"/>
  <c r="AC798" i="1"/>
  <c r="AB798" i="1"/>
  <c r="AA798" i="1"/>
  <c r="Z798" i="1"/>
  <c r="V798" i="1"/>
  <c r="N798" i="1"/>
  <c r="R798" i="1"/>
  <c r="M798" i="1"/>
  <c r="AD797" i="1"/>
  <c r="AC797" i="1"/>
  <c r="AB797" i="1"/>
  <c r="AA797" i="1"/>
  <c r="Z797" i="1"/>
  <c r="V797" i="1"/>
  <c r="N797" i="1"/>
  <c r="O797" i="1"/>
  <c r="J797" i="1"/>
  <c r="M797" i="1"/>
  <c r="AD796" i="1"/>
  <c r="AC796" i="1"/>
  <c r="AB796" i="1"/>
  <c r="AA796" i="1"/>
  <c r="Z796" i="1"/>
  <c r="V796" i="1"/>
  <c r="N796" i="1"/>
  <c r="M796" i="1"/>
  <c r="AD795" i="1"/>
  <c r="AC795" i="1"/>
  <c r="AB795" i="1"/>
  <c r="AA795" i="1"/>
  <c r="Z795" i="1"/>
  <c r="V795" i="1"/>
  <c r="N795" i="1"/>
  <c r="M795" i="1"/>
  <c r="AD794" i="1"/>
  <c r="AC794" i="1"/>
  <c r="AB794" i="1"/>
  <c r="AA794" i="1"/>
  <c r="Z794" i="1"/>
  <c r="V794" i="1"/>
  <c r="N794" i="1"/>
  <c r="O794" i="1"/>
  <c r="M794" i="1"/>
  <c r="AD793" i="1"/>
  <c r="AC793" i="1"/>
  <c r="AB793" i="1"/>
  <c r="AA793" i="1"/>
  <c r="Z793" i="1"/>
  <c r="V793" i="1"/>
  <c r="N793" i="1"/>
  <c r="R793" i="1"/>
  <c r="M793" i="1"/>
  <c r="AD792" i="1"/>
  <c r="AC792" i="1"/>
  <c r="AB792" i="1"/>
  <c r="AA792" i="1"/>
  <c r="Z792" i="1"/>
  <c r="V792" i="1"/>
  <c r="N792" i="1"/>
  <c r="R792" i="1"/>
  <c r="J792" i="1"/>
  <c r="M792" i="1"/>
  <c r="AD791" i="1"/>
  <c r="AC791" i="1"/>
  <c r="AB791" i="1"/>
  <c r="AA791" i="1"/>
  <c r="Z791" i="1"/>
  <c r="V791" i="1"/>
  <c r="N791" i="1"/>
  <c r="J791" i="1"/>
  <c r="AD790" i="1"/>
  <c r="AC790" i="1"/>
  <c r="AB790" i="1"/>
  <c r="AA790" i="1"/>
  <c r="Z790" i="1"/>
  <c r="V790" i="1"/>
  <c r="N790" i="1"/>
  <c r="R790" i="1"/>
  <c r="M790" i="1"/>
  <c r="AD789" i="1"/>
  <c r="AC789" i="1"/>
  <c r="AB789" i="1"/>
  <c r="AA789" i="1"/>
  <c r="Z789" i="1"/>
  <c r="V789" i="1"/>
  <c r="N789" i="1"/>
  <c r="M789" i="1"/>
  <c r="AD788" i="1"/>
  <c r="AC788" i="1"/>
  <c r="AB788" i="1"/>
  <c r="AA788" i="1"/>
  <c r="Z788" i="1"/>
  <c r="V788" i="1"/>
  <c r="N788" i="1"/>
  <c r="M788" i="1"/>
  <c r="AD787" i="1"/>
  <c r="AC787" i="1"/>
  <c r="AB787" i="1"/>
  <c r="AA787" i="1"/>
  <c r="Z787" i="1"/>
  <c r="AD786" i="1"/>
  <c r="AC786" i="1"/>
  <c r="AB786" i="1"/>
  <c r="AA786" i="1"/>
  <c r="Z786" i="1"/>
  <c r="V786" i="1"/>
  <c r="N786" i="1"/>
  <c r="M786" i="1"/>
  <c r="AD785" i="1"/>
  <c r="AC785" i="1"/>
  <c r="AB785" i="1"/>
  <c r="AA785" i="1"/>
  <c r="Z785" i="1"/>
  <c r="V785" i="1"/>
  <c r="N785" i="1"/>
  <c r="L785" i="1"/>
  <c r="K785" i="1"/>
  <c r="AD784" i="1"/>
  <c r="AC784" i="1"/>
  <c r="AB784" i="1"/>
  <c r="AA784" i="1"/>
  <c r="Z784" i="1"/>
  <c r="V784" i="1"/>
  <c r="N784" i="1"/>
  <c r="R784" i="1"/>
  <c r="M784" i="1"/>
  <c r="AD783" i="1"/>
  <c r="AC783" i="1"/>
  <c r="AB783" i="1"/>
  <c r="AA783" i="1"/>
  <c r="Z783" i="1"/>
  <c r="V783" i="1"/>
  <c r="N783" i="1"/>
  <c r="R783" i="1"/>
  <c r="M783" i="1"/>
  <c r="AD782" i="1"/>
  <c r="AC782" i="1"/>
  <c r="AB782" i="1"/>
  <c r="AA782" i="1"/>
  <c r="Z782" i="1"/>
  <c r="V782" i="1"/>
  <c r="N782" i="1"/>
  <c r="O782" i="1"/>
  <c r="K782" i="1"/>
  <c r="AD781" i="1"/>
  <c r="AC781" i="1"/>
  <c r="AB781" i="1"/>
  <c r="AA781" i="1"/>
  <c r="Z781" i="1"/>
  <c r="V781" i="1"/>
  <c r="N781" i="1"/>
  <c r="M781" i="1"/>
  <c r="AD780" i="1"/>
  <c r="AC780" i="1"/>
  <c r="AB780" i="1"/>
  <c r="AA780" i="1"/>
  <c r="Z780" i="1"/>
  <c r="AD779" i="1"/>
  <c r="AC779" i="1"/>
  <c r="AB779" i="1"/>
  <c r="AA779" i="1"/>
  <c r="Z779" i="1"/>
  <c r="AD778" i="1"/>
  <c r="AC778" i="1"/>
  <c r="AB778" i="1"/>
  <c r="AA778" i="1"/>
  <c r="Z778" i="1"/>
  <c r="V778" i="1"/>
  <c r="N778" i="1"/>
  <c r="J778" i="1"/>
  <c r="M778" i="1"/>
  <c r="AD777" i="1"/>
  <c r="AC777" i="1"/>
  <c r="AB777" i="1"/>
  <c r="AA777" i="1"/>
  <c r="Z777" i="1"/>
  <c r="V777" i="1"/>
  <c r="N777" i="1"/>
  <c r="R777" i="1"/>
  <c r="M777" i="1"/>
  <c r="AD776" i="1"/>
  <c r="AC776" i="1"/>
  <c r="AB776" i="1"/>
  <c r="AA776" i="1"/>
  <c r="Z776" i="1"/>
  <c r="V776" i="1"/>
  <c r="N776" i="1"/>
  <c r="M776" i="1"/>
  <c r="AD775" i="1"/>
  <c r="AC775" i="1"/>
  <c r="AB775" i="1"/>
  <c r="AA775" i="1"/>
  <c r="Z775" i="1"/>
  <c r="AD774" i="1"/>
  <c r="AC774" i="1"/>
  <c r="AB774" i="1"/>
  <c r="AA774" i="1"/>
  <c r="Z774" i="1"/>
  <c r="AD773" i="1"/>
  <c r="AC773" i="1"/>
  <c r="AB773" i="1"/>
  <c r="AA773" i="1"/>
  <c r="Z773" i="1"/>
  <c r="V773" i="1"/>
  <c r="N773" i="1"/>
  <c r="R773" i="1"/>
  <c r="M773" i="1"/>
  <c r="AD772" i="1"/>
  <c r="AC772" i="1"/>
  <c r="AB772" i="1"/>
  <c r="AA772" i="1"/>
  <c r="Z772" i="1"/>
  <c r="AD771" i="1"/>
  <c r="AC771" i="1"/>
  <c r="AB771" i="1"/>
  <c r="AA771" i="1"/>
  <c r="Z771" i="1"/>
  <c r="V771" i="1"/>
  <c r="N771" i="1"/>
  <c r="L771" i="1"/>
  <c r="K771" i="1"/>
  <c r="AD770" i="1"/>
  <c r="AC770" i="1"/>
  <c r="AB770" i="1"/>
  <c r="AA770" i="1"/>
  <c r="Z770" i="1"/>
  <c r="V770" i="1"/>
  <c r="N770" i="1"/>
  <c r="R770" i="1"/>
  <c r="M770" i="1"/>
  <c r="AD769" i="1"/>
  <c r="AC769" i="1"/>
  <c r="AB769" i="1"/>
  <c r="AA769" i="1"/>
  <c r="Z769" i="1"/>
  <c r="AD768" i="1"/>
  <c r="AC768" i="1"/>
  <c r="AB768" i="1"/>
  <c r="AA768" i="1"/>
  <c r="Z768" i="1"/>
  <c r="V768" i="1"/>
  <c r="N768" i="1"/>
  <c r="O768" i="1"/>
  <c r="L768" i="1"/>
  <c r="K768" i="1"/>
  <c r="J768" i="1"/>
  <c r="AD767" i="1"/>
  <c r="AC767" i="1"/>
  <c r="AB767" i="1"/>
  <c r="AA767" i="1"/>
  <c r="Z767" i="1"/>
  <c r="V767" i="1"/>
  <c r="N767" i="1"/>
  <c r="L767" i="1"/>
  <c r="K767" i="1"/>
  <c r="J767" i="1"/>
  <c r="AD766" i="1"/>
  <c r="AC766" i="1"/>
  <c r="AB766" i="1"/>
  <c r="AA766" i="1"/>
  <c r="Z766" i="1"/>
  <c r="V766" i="1"/>
  <c r="N766" i="1"/>
  <c r="O766" i="1"/>
  <c r="L766" i="1"/>
  <c r="K766" i="1"/>
  <c r="J766" i="1"/>
  <c r="AD765" i="1"/>
  <c r="AC765" i="1"/>
  <c r="AB765" i="1"/>
  <c r="AA765" i="1"/>
  <c r="Z765" i="1"/>
  <c r="V765" i="1"/>
  <c r="N765" i="1"/>
  <c r="R765" i="1"/>
  <c r="M765" i="1"/>
  <c r="AD764" i="1"/>
  <c r="AC764" i="1"/>
  <c r="AB764" i="1"/>
  <c r="AA764" i="1"/>
  <c r="Z764" i="1"/>
  <c r="V764" i="1"/>
  <c r="N764" i="1"/>
  <c r="M764" i="1"/>
  <c r="AD763" i="1"/>
  <c r="AC763" i="1"/>
  <c r="AB763" i="1"/>
  <c r="AA763" i="1"/>
  <c r="Z763" i="1"/>
  <c r="V763" i="1"/>
  <c r="N763" i="1"/>
  <c r="L763" i="1"/>
  <c r="K763" i="1"/>
  <c r="M763" i="1"/>
  <c r="AD762" i="1"/>
  <c r="AC762" i="1"/>
  <c r="AB762" i="1"/>
  <c r="AA762" i="1"/>
  <c r="Z762" i="1"/>
  <c r="V762" i="1"/>
  <c r="N762" i="1"/>
  <c r="L762" i="1"/>
  <c r="K762" i="1"/>
  <c r="AD761" i="1"/>
  <c r="AC761" i="1"/>
  <c r="AB761" i="1"/>
  <c r="AA761" i="1"/>
  <c r="Z761" i="1"/>
  <c r="AD760" i="1"/>
  <c r="AC760" i="1"/>
  <c r="AB760" i="1"/>
  <c r="AA760" i="1"/>
  <c r="Z760" i="1"/>
  <c r="V760" i="1"/>
  <c r="N760" i="1"/>
  <c r="K760" i="1"/>
  <c r="AD759" i="1"/>
  <c r="AC759" i="1"/>
  <c r="AB759" i="1"/>
  <c r="AA759" i="1"/>
  <c r="Z759" i="1"/>
  <c r="V759" i="1"/>
  <c r="N759" i="1"/>
  <c r="R759" i="1"/>
  <c r="K759" i="1"/>
  <c r="M759" i="1"/>
  <c r="AD758" i="1"/>
  <c r="AC758" i="1"/>
  <c r="AB758" i="1"/>
  <c r="AA758" i="1"/>
  <c r="Z758" i="1"/>
  <c r="V758" i="1"/>
  <c r="N758" i="1"/>
  <c r="K758" i="1"/>
  <c r="AD757" i="1"/>
  <c r="AC757" i="1"/>
  <c r="AB757" i="1"/>
  <c r="AA757" i="1"/>
  <c r="Z757" i="1"/>
  <c r="V757" i="1"/>
  <c r="N757" i="1"/>
  <c r="L757" i="1"/>
  <c r="K757" i="1"/>
  <c r="AD756" i="1"/>
  <c r="AC756" i="1"/>
  <c r="AB756" i="1"/>
  <c r="AA756" i="1"/>
  <c r="Z756" i="1"/>
  <c r="V756" i="1"/>
  <c r="N756" i="1"/>
  <c r="L756" i="1"/>
  <c r="K756" i="1"/>
  <c r="M756" i="1"/>
  <c r="AD755" i="1"/>
  <c r="AC755" i="1"/>
  <c r="AB755" i="1"/>
  <c r="AA755" i="1"/>
  <c r="Z755" i="1"/>
  <c r="V755" i="1"/>
  <c r="N755" i="1"/>
  <c r="J755" i="1"/>
  <c r="M755" i="1"/>
  <c r="AD754" i="1"/>
  <c r="AC754" i="1"/>
  <c r="AB754" i="1"/>
  <c r="AA754" i="1"/>
  <c r="Z754" i="1"/>
  <c r="V754" i="1"/>
  <c r="N754" i="1"/>
  <c r="J754" i="1"/>
  <c r="M754" i="1"/>
  <c r="AD753" i="1"/>
  <c r="AC753" i="1"/>
  <c r="AB753" i="1"/>
  <c r="AA753" i="1"/>
  <c r="Z753" i="1"/>
  <c r="V753" i="1"/>
  <c r="N753" i="1"/>
  <c r="J753" i="1"/>
  <c r="M753" i="1"/>
  <c r="AD752" i="1"/>
  <c r="AC752" i="1"/>
  <c r="AB752" i="1"/>
  <c r="AA752" i="1"/>
  <c r="Z752" i="1"/>
  <c r="V752" i="1"/>
  <c r="N752" i="1"/>
  <c r="O752" i="1"/>
  <c r="M752" i="1"/>
  <c r="AD751" i="1"/>
  <c r="AC751" i="1"/>
  <c r="AB751" i="1"/>
  <c r="AA751" i="1"/>
  <c r="Z751" i="1"/>
  <c r="AD750" i="1"/>
  <c r="AC750" i="1"/>
  <c r="AB750" i="1"/>
  <c r="AA750" i="1"/>
  <c r="Z750" i="1"/>
  <c r="AD749" i="1"/>
  <c r="AC749" i="1"/>
  <c r="AB749" i="1"/>
  <c r="AA749" i="1"/>
  <c r="Z749" i="1"/>
  <c r="V749" i="1"/>
  <c r="N749" i="1"/>
  <c r="M749" i="1"/>
  <c r="AD748" i="1"/>
  <c r="AC748" i="1"/>
  <c r="AB748" i="1"/>
  <c r="AA748" i="1"/>
  <c r="Z748" i="1"/>
  <c r="V748" i="1"/>
  <c r="N748" i="1"/>
  <c r="P748" i="1"/>
  <c r="L748" i="1"/>
  <c r="K748" i="1"/>
  <c r="AD747" i="1"/>
  <c r="AC747" i="1"/>
  <c r="AB747" i="1"/>
  <c r="AA747" i="1"/>
  <c r="Z747" i="1"/>
  <c r="V747" i="1"/>
  <c r="N747" i="1"/>
  <c r="L747" i="1"/>
  <c r="K747" i="1"/>
  <c r="AD746" i="1"/>
  <c r="AC746" i="1"/>
  <c r="AB746" i="1"/>
  <c r="AA746" i="1"/>
  <c r="Z746" i="1"/>
  <c r="V746" i="1"/>
  <c r="N746" i="1"/>
  <c r="Q746" i="1"/>
  <c r="J746" i="1"/>
  <c r="M746" i="1"/>
  <c r="AD745" i="1"/>
  <c r="AC745" i="1"/>
  <c r="AB745" i="1"/>
  <c r="AA745" i="1"/>
  <c r="Z745" i="1"/>
  <c r="V745" i="1"/>
  <c r="N745" i="1"/>
  <c r="R745" i="1"/>
  <c r="M745" i="1"/>
  <c r="AD744" i="1"/>
  <c r="AC744" i="1"/>
  <c r="AB744" i="1"/>
  <c r="AA744" i="1"/>
  <c r="Z744" i="1"/>
  <c r="AD743" i="1"/>
  <c r="AC743" i="1"/>
  <c r="AB743" i="1"/>
  <c r="AA743" i="1"/>
  <c r="Z743" i="1"/>
  <c r="V743" i="1"/>
  <c r="N743" i="1"/>
  <c r="R743" i="1"/>
  <c r="J743" i="1"/>
  <c r="M743" i="1"/>
  <c r="AD742" i="1"/>
  <c r="AC742" i="1"/>
  <c r="AB742" i="1"/>
  <c r="AA742" i="1"/>
  <c r="Z742" i="1"/>
  <c r="V742" i="1"/>
  <c r="N742" i="1"/>
  <c r="M742" i="1"/>
  <c r="AD741" i="1"/>
  <c r="AC741" i="1"/>
  <c r="AB741" i="1"/>
  <c r="AA741" i="1"/>
  <c r="Z741" i="1"/>
  <c r="V741" i="1"/>
  <c r="N741" i="1"/>
  <c r="M741" i="1"/>
  <c r="AD740" i="1"/>
  <c r="AC740" i="1"/>
  <c r="AB740" i="1"/>
  <c r="AA740" i="1"/>
  <c r="Z740" i="1"/>
  <c r="AD739" i="1"/>
  <c r="AC739" i="1"/>
  <c r="AB739" i="1"/>
  <c r="AA739" i="1"/>
  <c r="Z739" i="1"/>
  <c r="V739" i="1"/>
  <c r="N739" i="1"/>
  <c r="M739" i="1"/>
  <c r="AD738" i="1"/>
  <c r="AC738" i="1"/>
  <c r="AB738" i="1"/>
  <c r="AA738" i="1"/>
  <c r="Z738" i="1"/>
  <c r="V738" i="1"/>
  <c r="N738" i="1"/>
  <c r="R738" i="1"/>
  <c r="K738" i="1"/>
  <c r="J738" i="1"/>
  <c r="AD737" i="1"/>
  <c r="AC737" i="1"/>
  <c r="AB737" i="1"/>
  <c r="AA737" i="1"/>
  <c r="Z737" i="1"/>
  <c r="V737" i="1"/>
  <c r="N737" i="1"/>
  <c r="R737" i="1"/>
  <c r="M737" i="1"/>
  <c r="AD736" i="1"/>
  <c r="AC736" i="1"/>
  <c r="AB736" i="1"/>
  <c r="AA736" i="1"/>
  <c r="Z736" i="1"/>
  <c r="V736" i="1"/>
  <c r="N736" i="1"/>
  <c r="R736" i="1"/>
  <c r="M736" i="1"/>
  <c r="AD735" i="1"/>
  <c r="AC735" i="1"/>
  <c r="AB735" i="1"/>
  <c r="AA735" i="1"/>
  <c r="Z735" i="1"/>
  <c r="V735" i="1"/>
  <c r="N735" i="1"/>
  <c r="M735" i="1"/>
  <c r="AD734" i="1"/>
  <c r="AC734" i="1"/>
  <c r="AB734" i="1"/>
  <c r="AA734" i="1"/>
  <c r="Z734" i="1"/>
  <c r="V734" i="1"/>
  <c r="N734" i="1"/>
  <c r="O734" i="1"/>
  <c r="K734" i="1"/>
  <c r="J734" i="1"/>
  <c r="AD733" i="1"/>
  <c r="AC733" i="1"/>
  <c r="AB733" i="1"/>
  <c r="AA733" i="1"/>
  <c r="Z733" i="1"/>
  <c r="V733" i="1"/>
  <c r="N733" i="1"/>
  <c r="K733" i="1"/>
  <c r="J733" i="1"/>
  <c r="AD732" i="1"/>
  <c r="AC732" i="1"/>
  <c r="AB732" i="1"/>
  <c r="AA732" i="1"/>
  <c r="Z732" i="1"/>
  <c r="V732" i="1"/>
  <c r="N732" i="1"/>
  <c r="M732" i="1"/>
  <c r="AD731" i="1"/>
  <c r="AC731" i="1"/>
  <c r="AB731" i="1"/>
  <c r="AA731" i="1"/>
  <c r="Z731" i="1"/>
  <c r="V731" i="1"/>
  <c r="N731" i="1"/>
  <c r="L731" i="1"/>
  <c r="K731" i="1"/>
  <c r="J731" i="1"/>
  <c r="AD730" i="1"/>
  <c r="AC730" i="1"/>
  <c r="AB730" i="1"/>
  <c r="AA730" i="1"/>
  <c r="Z730" i="1"/>
  <c r="V730" i="1"/>
  <c r="N730" i="1"/>
  <c r="L730" i="1"/>
  <c r="K730" i="1"/>
  <c r="J730" i="1"/>
  <c r="AD729" i="1"/>
  <c r="AC729" i="1"/>
  <c r="AB729" i="1"/>
  <c r="AA729" i="1"/>
  <c r="Z729" i="1"/>
  <c r="V729" i="1"/>
  <c r="N729" i="1"/>
  <c r="L729" i="1"/>
  <c r="K729" i="1"/>
  <c r="J729" i="1"/>
  <c r="AD728" i="1"/>
  <c r="AC728" i="1"/>
  <c r="AB728" i="1"/>
  <c r="AA728" i="1"/>
  <c r="Z728" i="1"/>
  <c r="V728" i="1"/>
  <c r="N728" i="1"/>
  <c r="L728" i="1"/>
  <c r="K728" i="1"/>
  <c r="J728" i="1"/>
  <c r="AD727" i="1"/>
  <c r="AC727" i="1"/>
  <c r="AB727" i="1"/>
  <c r="AA727" i="1"/>
  <c r="Z727" i="1"/>
  <c r="V727" i="1"/>
  <c r="N727" i="1"/>
  <c r="L727" i="1"/>
  <c r="K727" i="1"/>
  <c r="J727" i="1"/>
  <c r="AD726" i="1"/>
  <c r="AC726" i="1"/>
  <c r="AB726" i="1"/>
  <c r="AA726" i="1"/>
  <c r="Z726" i="1"/>
  <c r="V726" i="1"/>
  <c r="N726" i="1"/>
  <c r="L726" i="1"/>
  <c r="K726" i="1"/>
  <c r="J726" i="1"/>
  <c r="AD725" i="1"/>
  <c r="AC725" i="1"/>
  <c r="AB725" i="1"/>
  <c r="AA725" i="1"/>
  <c r="Z725" i="1"/>
  <c r="V725" i="1"/>
  <c r="N725" i="1"/>
  <c r="Q725" i="1"/>
  <c r="M725" i="1"/>
  <c r="AD724" i="1"/>
  <c r="AC724" i="1"/>
  <c r="AB724" i="1"/>
  <c r="AA724" i="1"/>
  <c r="Z724" i="1"/>
  <c r="V724" i="1"/>
  <c r="N724" i="1"/>
  <c r="M724" i="1"/>
  <c r="AD723" i="1"/>
  <c r="AC723" i="1"/>
  <c r="AB723" i="1"/>
  <c r="AA723" i="1"/>
  <c r="Z723" i="1"/>
  <c r="AD722" i="1"/>
  <c r="AC722" i="1"/>
  <c r="AB722" i="1"/>
  <c r="AA722" i="1"/>
  <c r="Z722" i="1"/>
  <c r="AD721" i="1"/>
  <c r="AC721" i="1"/>
  <c r="AB721" i="1"/>
  <c r="AA721" i="1"/>
  <c r="Z721" i="1"/>
  <c r="V721" i="1"/>
  <c r="N721" i="1"/>
  <c r="L721" i="1"/>
  <c r="M721" i="1"/>
  <c r="AD720" i="1"/>
  <c r="AC720" i="1"/>
  <c r="AB720" i="1"/>
  <c r="AA720" i="1"/>
  <c r="Z720" i="1"/>
  <c r="V720" i="1"/>
  <c r="N720" i="1"/>
  <c r="M720" i="1"/>
  <c r="AD719" i="1"/>
  <c r="AC719" i="1"/>
  <c r="AB719" i="1"/>
  <c r="AA719" i="1"/>
  <c r="Z719" i="1"/>
  <c r="V719" i="1"/>
  <c r="N719" i="1"/>
  <c r="M719" i="1"/>
  <c r="AD718" i="1"/>
  <c r="AC718" i="1"/>
  <c r="AB718" i="1"/>
  <c r="AA718" i="1"/>
  <c r="Z718" i="1"/>
  <c r="V718" i="1"/>
  <c r="N718" i="1"/>
  <c r="L718" i="1"/>
  <c r="M718" i="1"/>
  <c r="AD717" i="1"/>
  <c r="AC717" i="1"/>
  <c r="AB717" i="1"/>
  <c r="AA717" i="1"/>
  <c r="Z717" i="1"/>
  <c r="V717" i="1"/>
  <c r="N717" i="1"/>
  <c r="Q717" i="1"/>
  <c r="M717" i="1"/>
  <c r="AD716" i="1"/>
  <c r="AC716" i="1"/>
  <c r="AB716" i="1"/>
  <c r="AA716" i="1"/>
  <c r="Z716" i="1"/>
  <c r="V716" i="1"/>
  <c r="N716" i="1"/>
  <c r="M716" i="1"/>
  <c r="AD715" i="1"/>
  <c r="AC715" i="1"/>
  <c r="AB715" i="1"/>
  <c r="AA715" i="1"/>
  <c r="Z715" i="1"/>
  <c r="V715" i="1"/>
  <c r="N715" i="1"/>
  <c r="O715" i="1"/>
  <c r="L715" i="1"/>
  <c r="M715" i="1"/>
  <c r="AD714" i="1"/>
  <c r="AC714" i="1"/>
  <c r="AB714" i="1"/>
  <c r="AA714" i="1"/>
  <c r="Z714" i="1"/>
  <c r="AD713" i="1"/>
  <c r="AC713" i="1"/>
  <c r="AB713" i="1"/>
  <c r="AA713" i="1"/>
  <c r="Z713" i="1"/>
  <c r="AD712" i="1"/>
  <c r="AC712" i="1"/>
  <c r="AB712" i="1"/>
  <c r="AA712" i="1"/>
  <c r="Z712" i="1"/>
  <c r="V712" i="1"/>
  <c r="N712" i="1"/>
  <c r="L712" i="1"/>
  <c r="M712" i="1"/>
  <c r="AD711" i="1"/>
  <c r="AC711" i="1"/>
  <c r="AB711" i="1"/>
  <c r="AA711" i="1"/>
  <c r="Z711" i="1"/>
  <c r="V711" i="1"/>
  <c r="N711" i="1"/>
  <c r="L711" i="1"/>
  <c r="M711" i="1"/>
  <c r="AD710" i="1"/>
  <c r="AC710" i="1"/>
  <c r="AB710" i="1"/>
  <c r="AA710" i="1"/>
  <c r="Z710" i="1"/>
  <c r="V710" i="1"/>
  <c r="N710" i="1"/>
  <c r="K710" i="1"/>
  <c r="M710" i="1"/>
  <c r="AD709" i="1"/>
  <c r="AC709" i="1"/>
  <c r="AB709" i="1"/>
  <c r="AA709" i="1"/>
  <c r="Z709" i="1"/>
  <c r="V709" i="1"/>
  <c r="N709" i="1"/>
  <c r="L709" i="1"/>
  <c r="R709" i="1"/>
  <c r="K709" i="1"/>
  <c r="AD708" i="1"/>
  <c r="AC708" i="1"/>
  <c r="AB708" i="1"/>
  <c r="AA708" i="1"/>
  <c r="Z708" i="1"/>
  <c r="N708" i="1"/>
  <c r="R708" i="1"/>
  <c r="M708" i="1"/>
  <c r="AD707" i="1"/>
  <c r="AC707" i="1"/>
  <c r="AB707" i="1"/>
  <c r="AA707" i="1"/>
  <c r="Z707" i="1"/>
  <c r="AD706" i="1"/>
  <c r="AC706" i="1"/>
  <c r="AB706" i="1"/>
  <c r="AA706" i="1"/>
  <c r="Z706" i="1"/>
  <c r="V706" i="1"/>
  <c r="N706" i="1"/>
  <c r="L706" i="1"/>
  <c r="K706" i="1"/>
  <c r="AD705" i="1"/>
  <c r="AC705" i="1"/>
  <c r="AB705" i="1"/>
  <c r="AA705" i="1"/>
  <c r="Z705" i="1"/>
  <c r="V705" i="1"/>
  <c r="N705" i="1"/>
  <c r="P705" i="1"/>
  <c r="L705" i="1"/>
  <c r="K705" i="1"/>
  <c r="AD704" i="1"/>
  <c r="AC704" i="1"/>
  <c r="AB704" i="1"/>
  <c r="AA704" i="1"/>
  <c r="Z704" i="1"/>
  <c r="V704" i="1"/>
  <c r="N704" i="1"/>
  <c r="M704" i="1"/>
  <c r="AD703" i="1"/>
  <c r="AC703" i="1"/>
  <c r="AB703" i="1"/>
  <c r="AA703" i="1"/>
  <c r="Z703" i="1"/>
  <c r="V703" i="1"/>
  <c r="N703" i="1"/>
  <c r="R703" i="1"/>
  <c r="M703" i="1"/>
  <c r="AD702" i="1"/>
  <c r="AC702" i="1"/>
  <c r="AB702" i="1"/>
  <c r="AA702" i="1"/>
  <c r="Z702" i="1"/>
  <c r="AD701" i="1"/>
  <c r="AC701" i="1"/>
  <c r="AB701" i="1"/>
  <c r="AA701" i="1"/>
  <c r="Z701" i="1"/>
  <c r="AD700" i="1"/>
  <c r="AC700" i="1"/>
  <c r="AB700" i="1"/>
  <c r="AA700" i="1"/>
  <c r="Z700" i="1"/>
  <c r="AD699" i="1"/>
  <c r="AC699" i="1"/>
  <c r="AB699" i="1"/>
  <c r="AA699" i="1"/>
  <c r="Z699" i="1"/>
  <c r="V699" i="1"/>
  <c r="N699" i="1"/>
  <c r="R699" i="1"/>
  <c r="M699" i="1"/>
  <c r="AD698" i="1"/>
  <c r="AC698" i="1"/>
  <c r="AB698" i="1"/>
  <c r="AA698" i="1"/>
  <c r="Z698" i="1"/>
  <c r="V698" i="1"/>
  <c r="N698" i="1"/>
  <c r="R698" i="1"/>
  <c r="M698" i="1"/>
  <c r="AD697" i="1"/>
  <c r="AC697" i="1"/>
  <c r="AB697" i="1"/>
  <c r="AA697" i="1"/>
  <c r="Z697" i="1"/>
  <c r="V697" i="1"/>
  <c r="N697" i="1"/>
  <c r="P697" i="1"/>
  <c r="M697" i="1"/>
  <c r="AD696" i="1"/>
  <c r="AC696" i="1"/>
  <c r="AB696" i="1"/>
  <c r="AA696" i="1"/>
  <c r="Z696" i="1"/>
  <c r="V696" i="1"/>
  <c r="N696" i="1"/>
  <c r="L696" i="1"/>
  <c r="K696" i="1"/>
  <c r="J696" i="1"/>
  <c r="AD695" i="1"/>
  <c r="AC695" i="1"/>
  <c r="AB695" i="1"/>
  <c r="AA695" i="1"/>
  <c r="Z695" i="1"/>
  <c r="V695" i="1"/>
  <c r="N695" i="1"/>
  <c r="L695" i="1"/>
  <c r="K695" i="1"/>
  <c r="J695" i="1"/>
  <c r="AD694" i="1"/>
  <c r="AC694" i="1"/>
  <c r="AB694" i="1"/>
  <c r="AA694" i="1"/>
  <c r="Z694" i="1"/>
  <c r="V694" i="1"/>
  <c r="N694" i="1"/>
  <c r="M694" i="1"/>
  <c r="AD693" i="1"/>
  <c r="AC693" i="1"/>
  <c r="AB693" i="1"/>
  <c r="AA693" i="1"/>
  <c r="Z693" i="1"/>
  <c r="V693" i="1"/>
  <c r="N693" i="1"/>
  <c r="L693" i="1"/>
  <c r="K693" i="1"/>
  <c r="J693" i="1"/>
  <c r="AD692" i="1"/>
  <c r="AC692" i="1"/>
  <c r="AB692" i="1"/>
  <c r="AA692" i="1"/>
  <c r="Z692" i="1"/>
  <c r="V692" i="1"/>
  <c r="N692" i="1"/>
  <c r="L692" i="1"/>
  <c r="K692" i="1"/>
  <c r="J692" i="1"/>
  <c r="AD691" i="1"/>
  <c r="AC691" i="1"/>
  <c r="AB691" i="1"/>
  <c r="AA691" i="1"/>
  <c r="Z691" i="1"/>
  <c r="V691" i="1"/>
  <c r="N691" i="1"/>
  <c r="L691" i="1"/>
  <c r="K691" i="1"/>
  <c r="J691" i="1"/>
  <c r="AD690" i="1"/>
  <c r="AC690" i="1"/>
  <c r="AB690" i="1"/>
  <c r="AA690" i="1"/>
  <c r="Z690" i="1"/>
  <c r="V690" i="1"/>
  <c r="N690" i="1"/>
  <c r="R690" i="1"/>
  <c r="M690" i="1"/>
  <c r="AD689" i="1"/>
  <c r="AC689" i="1"/>
  <c r="AB689" i="1"/>
  <c r="AA689" i="1"/>
  <c r="Z689" i="1"/>
  <c r="V689" i="1"/>
  <c r="N689" i="1"/>
  <c r="M689" i="1"/>
  <c r="AD688" i="1"/>
  <c r="AC688" i="1"/>
  <c r="AB688" i="1"/>
  <c r="AA688" i="1"/>
  <c r="Z688" i="1"/>
  <c r="V688" i="1"/>
  <c r="N688" i="1"/>
  <c r="O688" i="1"/>
  <c r="L688" i="1"/>
  <c r="K688" i="1"/>
  <c r="J688" i="1"/>
  <c r="AD687" i="1"/>
  <c r="AC687" i="1"/>
  <c r="AB687" i="1"/>
  <c r="AA687" i="1"/>
  <c r="Z687" i="1"/>
  <c r="V687" i="1"/>
  <c r="N687" i="1"/>
  <c r="J687" i="1"/>
  <c r="P687" i="1"/>
  <c r="L687" i="1"/>
  <c r="K687" i="1"/>
  <c r="AD686" i="1"/>
  <c r="AC686" i="1"/>
  <c r="AB686" i="1"/>
  <c r="AA686" i="1"/>
  <c r="Z686" i="1"/>
  <c r="V686" i="1"/>
  <c r="N686" i="1"/>
  <c r="P686" i="1"/>
  <c r="M686" i="1"/>
  <c r="AD685" i="1"/>
  <c r="AC685" i="1"/>
  <c r="AB685" i="1"/>
  <c r="AA685" i="1"/>
  <c r="Z685" i="1"/>
  <c r="V685" i="1"/>
  <c r="N685" i="1"/>
  <c r="R685" i="1"/>
  <c r="M685" i="1"/>
  <c r="AD684" i="1"/>
  <c r="AC684" i="1"/>
  <c r="AB684" i="1"/>
  <c r="AA684" i="1"/>
  <c r="Z684" i="1"/>
  <c r="V684" i="1"/>
  <c r="N684" i="1"/>
  <c r="R684" i="1"/>
  <c r="M684" i="1"/>
  <c r="AD683" i="1"/>
  <c r="AC683" i="1"/>
  <c r="AB683" i="1"/>
  <c r="AA683" i="1"/>
  <c r="Z683" i="1"/>
  <c r="V683" i="1"/>
  <c r="N683" i="1"/>
  <c r="M683" i="1"/>
  <c r="AD682" i="1"/>
  <c r="AC682" i="1"/>
  <c r="AB682" i="1"/>
  <c r="AA682" i="1"/>
  <c r="Z682" i="1"/>
  <c r="V682" i="1"/>
  <c r="N682" i="1"/>
  <c r="P682" i="1"/>
  <c r="M682" i="1"/>
  <c r="AD681" i="1"/>
  <c r="AC681" i="1"/>
  <c r="AB681" i="1"/>
  <c r="AA681" i="1"/>
  <c r="Z681" i="1"/>
  <c r="V681" i="1"/>
  <c r="N681" i="1"/>
  <c r="M681" i="1"/>
  <c r="AD680" i="1"/>
  <c r="AC680" i="1"/>
  <c r="AB680" i="1"/>
  <c r="AA680" i="1"/>
  <c r="Z680" i="1"/>
  <c r="AD679" i="1"/>
  <c r="AC679" i="1"/>
  <c r="AB679" i="1"/>
  <c r="AA679" i="1"/>
  <c r="Z679" i="1"/>
  <c r="V679" i="1"/>
  <c r="N679" i="1"/>
  <c r="L679" i="1"/>
  <c r="M679" i="1"/>
  <c r="AD678" i="1"/>
  <c r="AC678" i="1"/>
  <c r="AB678" i="1"/>
  <c r="AA678" i="1"/>
  <c r="Z678" i="1"/>
  <c r="V678" i="1"/>
  <c r="N678" i="1"/>
  <c r="L678" i="1"/>
  <c r="M678" i="1"/>
  <c r="AD677" i="1"/>
  <c r="AC677" i="1"/>
  <c r="AB677" i="1"/>
  <c r="AA677" i="1"/>
  <c r="Z677" i="1"/>
  <c r="V677" i="1"/>
  <c r="N677" i="1"/>
  <c r="R677" i="1"/>
  <c r="M677" i="1"/>
  <c r="AD676" i="1"/>
  <c r="AC676" i="1"/>
  <c r="AB676" i="1"/>
  <c r="AA676" i="1"/>
  <c r="Z676" i="1"/>
  <c r="V676" i="1"/>
  <c r="N676" i="1"/>
  <c r="M676" i="1"/>
  <c r="AD675" i="1"/>
  <c r="AC675" i="1"/>
  <c r="AB675" i="1"/>
  <c r="AA675" i="1"/>
  <c r="Z675" i="1"/>
  <c r="AD674" i="1"/>
  <c r="AC674" i="1"/>
  <c r="AB674" i="1"/>
  <c r="AA674" i="1"/>
  <c r="Z674" i="1"/>
  <c r="AD673" i="1"/>
  <c r="AC673" i="1"/>
  <c r="AB673" i="1"/>
  <c r="AA673" i="1"/>
  <c r="Z673" i="1"/>
  <c r="V673" i="1"/>
  <c r="N673" i="1"/>
  <c r="P673" i="1"/>
  <c r="M673" i="1"/>
  <c r="AD672" i="1"/>
  <c r="AC672" i="1"/>
  <c r="AB672" i="1"/>
  <c r="AA672" i="1"/>
  <c r="Z672" i="1"/>
  <c r="V672" i="1"/>
  <c r="N672" i="1"/>
  <c r="Q672" i="1"/>
  <c r="L672" i="1"/>
  <c r="M672" i="1"/>
  <c r="AD671" i="1"/>
  <c r="AC671" i="1"/>
  <c r="AB671" i="1"/>
  <c r="AA671" i="1"/>
  <c r="Z671" i="1"/>
  <c r="AD670" i="1"/>
  <c r="AC670" i="1"/>
  <c r="AB670" i="1"/>
  <c r="AA670" i="1"/>
  <c r="Z670" i="1"/>
  <c r="V670" i="1"/>
  <c r="N670" i="1"/>
  <c r="R670" i="1"/>
  <c r="M670" i="1"/>
  <c r="AD669" i="1"/>
  <c r="AC669" i="1"/>
  <c r="AB669" i="1"/>
  <c r="AA669" i="1"/>
  <c r="Z669" i="1"/>
  <c r="V669" i="1"/>
  <c r="N669" i="1"/>
  <c r="P669" i="1"/>
  <c r="K669" i="1"/>
  <c r="M669" i="1"/>
  <c r="AD668" i="1"/>
  <c r="AC668" i="1"/>
  <c r="AB668" i="1"/>
  <c r="AA668" i="1"/>
  <c r="Z668" i="1"/>
  <c r="V668" i="1"/>
  <c r="N668" i="1"/>
  <c r="K668" i="1"/>
  <c r="M668" i="1"/>
  <c r="AD667" i="1"/>
  <c r="AC667" i="1"/>
  <c r="AB667" i="1"/>
  <c r="AA667" i="1"/>
  <c r="Z667" i="1"/>
  <c r="AD666" i="1"/>
  <c r="AC666" i="1"/>
  <c r="AB666" i="1"/>
  <c r="AA666" i="1"/>
  <c r="Z666" i="1"/>
  <c r="V666" i="1"/>
  <c r="N666" i="1"/>
  <c r="M666" i="1"/>
  <c r="AD665" i="1"/>
  <c r="AC665" i="1"/>
  <c r="AB665" i="1"/>
  <c r="AA665" i="1"/>
  <c r="Z665" i="1"/>
  <c r="V665" i="1"/>
  <c r="N665" i="1"/>
  <c r="R665" i="1"/>
  <c r="M665" i="1"/>
  <c r="AD664" i="1"/>
  <c r="AC664" i="1"/>
  <c r="AB664" i="1"/>
  <c r="AA664" i="1"/>
  <c r="Z664" i="1"/>
  <c r="V664" i="1"/>
  <c r="N664" i="1"/>
  <c r="M664" i="1"/>
  <c r="AD663" i="1"/>
  <c r="AC663" i="1"/>
  <c r="AB663" i="1"/>
  <c r="AA663" i="1"/>
  <c r="Z663" i="1"/>
  <c r="V663" i="1"/>
  <c r="N663" i="1"/>
  <c r="R663" i="1"/>
  <c r="M663" i="1"/>
  <c r="AD662" i="1"/>
  <c r="AC662" i="1"/>
  <c r="AB662" i="1"/>
  <c r="AA662" i="1"/>
  <c r="Z662" i="1"/>
  <c r="V662" i="1"/>
  <c r="N662" i="1"/>
  <c r="M662" i="1"/>
  <c r="AD661" i="1"/>
  <c r="AC661" i="1"/>
  <c r="AB661" i="1"/>
  <c r="AA661" i="1"/>
  <c r="Z661" i="1"/>
  <c r="V661" i="1"/>
  <c r="N661" i="1"/>
  <c r="J661" i="1"/>
  <c r="M661" i="1"/>
  <c r="AD660" i="1"/>
  <c r="AC660" i="1"/>
  <c r="AB660" i="1"/>
  <c r="AA660" i="1"/>
  <c r="Z660" i="1"/>
  <c r="V660" i="1"/>
  <c r="N660" i="1"/>
  <c r="R660" i="1"/>
  <c r="J660" i="1"/>
  <c r="M660" i="1"/>
  <c r="AD659" i="1"/>
  <c r="AC659" i="1"/>
  <c r="AB659" i="1"/>
  <c r="AA659" i="1"/>
  <c r="Z659" i="1"/>
  <c r="AD658" i="1"/>
  <c r="AC658" i="1"/>
  <c r="AB658" i="1"/>
  <c r="AA658" i="1"/>
  <c r="Z658" i="1"/>
  <c r="AD657" i="1"/>
  <c r="AC657" i="1"/>
  <c r="AB657" i="1"/>
  <c r="AA657" i="1"/>
  <c r="Z657" i="1"/>
  <c r="V657" i="1"/>
  <c r="N657" i="1"/>
  <c r="L657" i="1"/>
  <c r="M657" i="1"/>
  <c r="AD656" i="1"/>
  <c r="AC656" i="1"/>
  <c r="AB656" i="1"/>
  <c r="AA656" i="1"/>
  <c r="Z656" i="1"/>
  <c r="V656" i="1"/>
  <c r="N656" i="1"/>
  <c r="P656" i="1"/>
  <c r="K656" i="1"/>
  <c r="M656" i="1"/>
  <c r="AD655" i="1"/>
  <c r="AC655" i="1"/>
  <c r="AB655" i="1"/>
  <c r="AA655" i="1"/>
  <c r="Z655" i="1"/>
  <c r="AD654" i="1"/>
  <c r="AC654" i="1"/>
  <c r="AB654" i="1"/>
  <c r="AA654" i="1"/>
  <c r="Z654" i="1"/>
  <c r="V654" i="1"/>
  <c r="N654" i="1"/>
  <c r="R654" i="1"/>
  <c r="K654" i="1"/>
  <c r="M654" i="1"/>
  <c r="AD653" i="1"/>
  <c r="AC653" i="1"/>
  <c r="AB653" i="1"/>
  <c r="AA653" i="1"/>
  <c r="Z653" i="1"/>
  <c r="V653" i="1"/>
  <c r="N653" i="1"/>
  <c r="R653" i="1"/>
  <c r="K653" i="1"/>
  <c r="M653" i="1"/>
  <c r="AD652" i="1"/>
  <c r="AC652" i="1"/>
  <c r="AB652" i="1"/>
  <c r="AA652" i="1"/>
  <c r="Z652" i="1"/>
  <c r="AD651" i="1"/>
  <c r="AC651" i="1"/>
  <c r="AB651" i="1"/>
  <c r="AA651" i="1"/>
  <c r="Z651" i="1"/>
  <c r="V651" i="1"/>
  <c r="N651" i="1"/>
  <c r="O651" i="1"/>
  <c r="J651" i="1"/>
  <c r="AD650" i="1"/>
  <c r="AC650" i="1"/>
  <c r="AB650" i="1"/>
  <c r="AA650" i="1"/>
  <c r="Z650" i="1"/>
  <c r="V650" i="1"/>
  <c r="N650" i="1"/>
  <c r="R650" i="1"/>
  <c r="J650" i="1"/>
  <c r="M650" i="1"/>
  <c r="AD649" i="1"/>
  <c r="AC649" i="1"/>
  <c r="AB649" i="1"/>
  <c r="AA649" i="1"/>
  <c r="Z649" i="1"/>
  <c r="V649" i="1"/>
  <c r="N649" i="1"/>
  <c r="O649" i="1"/>
  <c r="J649" i="1"/>
  <c r="AD648" i="1"/>
  <c r="AC648" i="1"/>
  <c r="AB648" i="1"/>
  <c r="AA648" i="1"/>
  <c r="Z648" i="1"/>
  <c r="V648" i="1"/>
  <c r="N648" i="1"/>
  <c r="R648" i="1"/>
  <c r="J648" i="1"/>
  <c r="M648" i="1"/>
  <c r="AD647" i="1"/>
  <c r="AC647" i="1"/>
  <c r="AB647" i="1"/>
  <c r="AA647" i="1"/>
  <c r="Z647" i="1"/>
  <c r="AD646" i="1"/>
  <c r="AC646" i="1"/>
  <c r="AB646" i="1"/>
  <c r="AA646" i="1"/>
  <c r="Z646" i="1"/>
  <c r="AD645" i="1"/>
  <c r="AC645" i="1"/>
  <c r="AB645" i="1"/>
  <c r="AA645" i="1"/>
  <c r="Z645" i="1"/>
  <c r="AD644" i="1"/>
  <c r="AC644" i="1"/>
  <c r="AB644" i="1"/>
  <c r="AA644" i="1"/>
  <c r="Z644" i="1"/>
  <c r="V644" i="1"/>
  <c r="N644" i="1"/>
  <c r="AD643" i="1"/>
  <c r="AC643" i="1"/>
  <c r="AB643" i="1"/>
  <c r="AA643" i="1"/>
  <c r="Z643" i="1"/>
  <c r="AD642" i="1"/>
  <c r="AC642" i="1"/>
  <c r="AB642" i="1"/>
  <c r="AA642" i="1"/>
  <c r="Z642" i="1"/>
  <c r="V642" i="1"/>
  <c r="N642" i="1"/>
  <c r="L642" i="1"/>
  <c r="M642" i="1"/>
  <c r="AD641" i="1"/>
  <c r="AC641" i="1"/>
  <c r="AB641" i="1"/>
  <c r="AA641" i="1"/>
  <c r="Z641" i="1"/>
  <c r="V641" i="1"/>
  <c r="N641" i="1"/>
  <c r="L641" i="1"/>
  <c r="M641" i="1"/>
  <c r="AD640" i="1"/>
  <c r="AC640" i="1"/>
  <c r="AB640" i="1"/>
  <c r="AA640" i="1"/>
  <c r="Z640" i="1"/>
  <c r="V640" i="1"/>
  <c r="N640" i="1"/>
  <c r="L640" i="1"/>
  <c r="M640" i="1"/>
  <c r="AD639" i="1"/>
  <c r="AC639" i="1"/>
  <c r="AB639" i="1"/>
  <c r="AA639" i="1"/>
  <c r="Z639" i="1"/>
  <c r="V639" i="1"/>
  <c r="N639" i="1"/>
  <c r="L639" i="1"/>
  <c r="M639" i="1"/>
  <c r="AD638" i="1"/>
  <c r="AC638" i="1"/>
  <c r="AB638" i="1"/>
  <c r="AA638" i="1"/>
  <c r="Z638" i="1"/>
  <c r="V638" i="1"/>
  <c r="N638" i="1"/>
  <c r="O638" i="1"/>
  <c r="L638" i="1"/>
  <c r="M638" i="1"/>
  <c r="AD637" i="1"/>
  <c r="AC637" i="1"/>
  <c r="AB637" i="1"/>
  <c r="AA637" i="1"/>
  <c r="Z637" i="1"/>
  <c r="V637" i="1"/>
  <c r="N637" i="1"/>
  <c r="M637" i="1"/>
  <c r="AD636" i="1"/>
  <c r="AC636" i="1"/>
  <c r="AB636" i="1"/>
  <c r="AA636" i="1"/>
  <c r="Z636" i="1"/>
  <c r="V636" i="1"/>
  <c r="N636" i="1"/>
  <c r="M636" i="1"/>
  <c r="AD635" i="1"/>
  <c r="AC635" i="1"/>
  <c r="AB635" i="1"/>
  <c r="AA635" i="1"/>
  <c r="Z635" i="1"/>
  <c r="V635" i="1"/>
  <c r="N635" i="1"/>
  <c r="O635" i="1"/>
  <c r="K635" i="1"/>
  <c r="M635" i="1"/>
  <c r="AD634" i="1"/>
  <c r="AC634" i="1"/>
  <c r="AB634" i="1"/>
  <c r="AA634" i="1"/>
  <c r="Z634" i="1"/>
  <c r="V634" i="1"/>
  <c r="N634" i="1"/>
  <c r="R634" i="1"/>
  <c r="K634" i="1"/>
  <c r="M634" i="1"/>
  <c r="AD633" i="1"/>
  <c r="AC633" i="1"/>
  <c r="AB633" i="1"/>
  <c r="AA633" i="1"/>
  <c r="Z633" i="1"/>
  <c r="AD632" i="1"/>
  <c r="AC632" i="1"/>
  <c r="AB632" i="1"/>
  <c r="AA632" i="1"/>
  <c r="Z632" i="1"/>
  <c r="V632" i="1"/>
  <c r="N632" i="1"/>
  <c r="R632" i="1"/>
  <c r="K632" i="1"/>
  <c r="M632" i="1"/>
  <c r="AD631" i="1"/>
  <c r="AC631" i="1"/>
  <c r="AB631" i="1"/>
  <c r="AA631" i="1"/>
  <c r="Z631" i="1"/>
  <c r="V631" i="1"/>
  <c r="N631" i="1"/>
  <c r="O631" i="1"/>
  <c r="J631" i="1"/>
  <c r="AD630" i="1"/>
  <c r="AC630" i="1"/>
  <c r="AB630" i="1"/>
  <c r="AA630" i="1"/>
  <c r="Z630" i="1"/>
  <c r="V630" i="1"/>
  <c r="N630" i="1"/>
  <c r="R630" i="1"/>
  <c r="J630" i="1"/>
  <c r="M630" i="1"/>
  <c r="AD629" i="1"/>
  <c r="AC629" i="1"/>
  <c r="AB629" i="1"/>
  <c r="AA629" i="1"/>
  <c r="Z629" i="1"/>
  <c r="V629" i="1"/>
  <c r="N629" i="1"/>
  <c r="O629" i="1"/>
  <c r="J629" i="1"/>
  <c r="AD628" i="1"/>
  <c r="AC628" i="1"/>
  <c r="AB628" i="1"/>
  <c r="AA628" i="1"/>
  <c r="Z628" i="1"/>
  <c r="AD627" i="1"/>
  <c r="AC627" i="1"/>
  <c r="AB627" i="1"/>
  <c r="AA627" i="1"/>
  <c r="Z627" i="1"/>
  <c r="V627" i="1"/>
  <c r="N627" i="1"/>
  <c r="L627" i="1"/>
  <c r="K627" i="1"/>
  <c r="AD626" i="1"/>
  <c r="AC626" i="1"/>
  <c r="AB626" i="1"/>
  <c r="AA626" i="1"/>
  <c r="Z626" i="1"/>
  <c r="V626" i="1"/>
  <c r="N626" i="1"/>
  <c r="L626" i="1"/>
  <c r="K626" i="1"/>
  <c r="AD625" i="1"/>
  <c r="AC625" i="1"/>
  <c r="AB625" i="1"/>
  <c r="AA625" i="1"/>
  <c r="Z625" i="1"/>
  <c r="V625" i="1"/>
  <c r="N625" i="1"/>
  <c r="O625" i="1"/>
  <c r="J625" i="1"/>
  <c r="AD624" i="1"/>
  <c r="AC624" i="1"/>
  <c r="AB624" i="1"/>
  <c r="AA624" i="1"/>
  <c r="Z624" i="1"/>
  <c r="V624" i="1"/>
  <c r="N624" i="1"/>
  <c r="M624" i="1"/>
  <c r="AD623" i="1"/>
  <c r="AC623" i="1"/>
  <c r="AB623" i="1"/>
  <c r="AA623" i="1"/>
  <c r="Z623" i="1"/>
  <c r="AD622" i="1"/>
  <c r="AC622" i="1"/>
  <c r="AB622" i="1"/>
  <c r="AA622" i="1"/>
  <c r="Z622" i="1"/>
  <c r="V622" i="1"/>
  <c r="N622" i="1"/>
  <c r="L622" i="1"/>
  <c r="M622" i="1"/>
  <c r="AD621" i="1"/>
  <c r="AC621" i="1"/>
  <c r="AB621" i="1"/>
  <c r="AA621" i="1"/>
  <c r="Z621" i="1"/>
  <c r="V621" i="1"/>
  <c r="N621" i="1"/>
  <c r="M621" i="1"/>
  <c r="AD620" i="1"/>
  <c r="AC620" i="1"/>
  <c r="AB620" i="1"/>
  <c r="AA620" i="1"/>
  <c r="Z620" i="1"/>
  <c r="V620" i="1"/>
  <c r="N620" i="1"/>
  <c r="P620" i="1"/>
  <c r="K620" i="1"/>
  <c r="M620" i="1"/>
  <c r="AD619" i="1"/>
  <c r="AC619" i="1"/>
  <c r="AB619" i="1"/>
  <c r="AA619" i="1"/>
  <c r="Z619" i="1"/>
  <c r="V619" i="1"/>
  <c r="N619" i="1"/>
  <c r="L619" i="1"/>
  <c r="K619" i="1"/>
  <c r="AD618" i="1"/>
  <c r="AC618" i="1"/>
  <c r="AB618" i="1"/>
  <c r="AA618" i="1"/>
  <c r="Z618" i="1"/>
  <c r="AD617" i="1"/>
  <c r="AC617" i="1"/>
  <c r="AB617" i="1"/>
  <c r="AA617" i="1"/>
  <c r="Z617" i="1"/>
  <c r="V617" i="1"/>
  <c r="N617" i="1"/>
  <c r="L617" i="1"/>
  <c r="M617" i="1"/>
  <c r="AD616" i="1"/>
  <c r="AC616" i="1"/>
  <c r="AB616" i="1"/>
  <c r="AA616" i="1"/>
  <c r="Z616" i="1"/>
  <c r="V616" i="1"/>
  <c r="N616" i="1"/>
  <c r="L616" i="1"/>
  <c r="M616" i="1"/>
  <c r="AD615" i="1"/>
  <c r="AC615" i="1"/>
  <c r="AB615" i="1"/>
  <c r="AA615" i="1"/>
  <c r="Z615" i="1"/>
  <c r="V615" i="1"/>
  <c r="N615" i="1"/>
  <c r="L615" i="1"/>
  <c r="K615" i="1"/>
  <c r="AD614" i="1"/>
  <c r="AC614" i="1"/>
  <c r="AB614" i="1"/>
  <c r="AA614" i="1"/>
  <c r="Z614" i="1"/>
  <c r="V614" i="1"/>
  <c r="N614" i="1"/>
  <c r="R614" i="1"/>
  <c r="M614" i="1"/>
  <c r="AD613" i="1"/>
  <c r="AC613" i="1"/>
  <c r="AB613" i="1"/>
  <c r="AA613" i="1"/>
  <c r="Z613" i="1"/>
  <c r="V613" i="1"/>
  <c r="N613" i="1"/>
  <c r="L613" i="1"/>
  <c r="K613" i="1"/>
  <c r="J613" i="1"/>
  <c r="AD612" i="1"/>
  <c r="AC612" i="1"/>
  <c r="AB612" i="1"/>
  <c r="AA612" i="1"/>
  <c r="Z612" i="1"/>
  <c r="V612" i="1"/>
  <c r="N612" i="1"/>
  <c r="L612" i="1"/>
  <c r="K612" i="1"/>
  <c r="J612" i="1"/>
  <c r="AD611" i="1"/>
  <c r="AC611" i="1"/>
  <c r="AB611" i="1"/>
  <c r="AA611" i="1"/>
  <c r="Z611" i="1"/>
  <c r="V611" i="1"/>
  <c r="N611" i="1"/>
  <c r="L611" i="1"/>
  <c r="K611" i="1"/>
  <c r="J611" i="1"/>
  <c r="AD610" i="1"/>
  <c r="AC610" i="1"/>
  <c r="AB610" i="1"/>
  <c r="AA610" i="1"/>
  <c r="Z610" i="1"/>
  <c r="V610" i="1"/>
  <c r="N610" i="1"/>
  <c r="J610" i="1"/>
  <c r="M610" i="1"/>
  <c r="AD609" i="1"/>
  <c r="AC609" i="1"/>
  <c r="AB609" i="1"/>
  <c r="AA609" i="1"/>
  <c r="Z609" i="1"/>
  <c r="V609" i="1"/>
  <c r="N609" i="1"/>
  <c r="L609" i="1"/>
  <c r="K609" i="1"/>
  <c r="J609" i="1"/>
  <c r="AD608" i="1"/>
  <c r="AC608" i="1"/>
  <c r="AB608" i="1"/>
  <c r="AA608" i="1"/>
  <c r="Z608" i="1"/>
  <c r="V608" i="1"/>
  <c r="N608" i="1"/>
  <c r="L608" i="1"/>
  <c r="K608" i="1"/>
  <c r="J608" i="1"/>
  <c r="AD607" i="1"/>
  <c r="AC607" i="1"/>
  <c r="AB607" i="1"/>
  <c r="AA607" i="1"/>
  <c r="Z607" i="1"/>
  <c r="V607" i="1"/>
  <c r="N607" i="1"/>
  <c r="L607" i="1"/>
  <c r="R607" i="1"/>
  <c r="K607" i="1"/>
  <c r="J607" i="1"/>
  <c r="AD606" i="1"/>
  <c r="AC606" i="1"/>
  <c r="AB606" i="1"/>
  <c r="AA606" i="1"/>
  <c r="Z606" i="1"/>
  <c r="V606" i="1"/>
  <c r="N606" i="1"/>
  <c r="L606" i="1"/>
  <c r="R606" i="1"/>
  <c r="K606" i="1"/>
  <c r="J606" i="1"/>
  <c r="M606" i="1"/>
  <c r="AD605" i="1"/>
  <c r="AC605" i="1"/>
  <c r="AB605" i="1"/>
  <c r="AA605" i="1"/>
  <c r="Z605" i="1"/>
  <c r="V605" i="1"/>
  <c r="N605" i="1"/>
  <c r="L605" i="1"/>
  <c r="K605" i="1"/>
  <c r="J605" i="1"/>
  <c r="AD604" i="1"/>
  <c r="AC604" i="1"/>
  <c r="AB604" i="1"/>
  <c r="AA604" i="1"/>
  <c r="Z604" i="1"/>
  <c r="V604" i="1"/>
  <c r="N604" i="1"/>
  <c r="L604" i="1"/>
  <c r="K604" i="1"/>
  <c r="J604" i="1"/>
  <c r="AD603" i="1"/>
  <c r="AC603" i="1"/>
  <c r="AB603" i="1"/>
  <c r="AA603" i="1"/>
  <c r="Z603" i="1"/>
  <c r="V603" i="1"/>
  <c r="N603" i="1"/>
  <c r="L603" i="1"/>
  <c r="K603" i="1"/>
  <c r="J603" i="1"/>
  <c r="AD602" i="1"/>
  <c r="AC602" i="1"/>
  <c r="AB602" i="1"/>
  <c r="AA602" i="1"/>
  <c r="Z602" i="1"/>
  <c r="V602" i="1"/>
  <c r="N602" i="1"/>
  <c r="L602" i="1"/>
  <c r="K602" i="1"/>
  <c r="J602" i="1"/>
  <c r="AD601" i="1"/>
  <c r="AC601" i="1"/>
  <c r="AB601" i="1"/>
  <c r="AA601" i="1"/>
  <c r="Z601" i="1"/>
  <c r="V601" i="1"/>
  <c r="N601" i="1"/>
  <c r="L601" i="1"/>
  <c r="K601" i="1"/>
  <c r="J601" i="1"/>
  <c r="AC600" i="1"/>
  <c r="AB600" i="1"/>
  <c r="AA600" i="1"/>
  <c r="Z600" i="1"/>
  <c r="V600" i="1"/>
  <c r="N600" i="1"/>
  <c r="L600" i="1"/>
  <c r="K600" i="1"/>
  <c r="J600" i="1"/>
  <c r="AD599" i="1"/>
  <c r="AC599" i="1"/>
  <c r="AB599" i="1"/>
  <c r="AA599" i="1"/>
  <c r="Z599" i="1"/>
  <c r="V599" i="1"/>
  <c r="N599" i="1"/>
  <c r="L599" i="1"/>
  <c r="K599" i="1"/>
  <c r="J599" i="1"/>
  <c r="AD598" i="1"/>
  <c r="AC598" i="1"/>
  <c r="AB598" i="1"/>
  <c r="AA598" i="1"/>
  <c r="Z598" i="1"/>
  <c r="V598" i="1"/>
  <c r="N598" i="1"/>
  <c r="L598" i="1"/>
  <c r="K598" i="1"/>
  <c r="J598" i="1"/>
  <c r="AD597" i="1"/>
  <c r="AC597" i="1"/>
  <c r="AB597" i="1"/>
  <c r="AA597" i="1"/>
  <c r="Z597" i="1"/>
  <c r="V597" i="1"/>
  <c r="N597" i="1"/>
  <c r="P597" i="1"/>
  <c r="K597" i="1"/>
  <c r="M597" i="1"/>
  <c r="AD596" i="1"/>
  <c r="AC596" i="1"/>
  <c r="AB596" i="1"/>
  <c r="AA596" i="1"/>
  <c r="Z596" i="1"/>
  <c r="V596" i="1"/>
  <c r="N596" i="1"/>
  <c r="M596" i="1"/>
  <c r="AD595" i="1"/>
  <c r="AC595" i="1"/>
  <c r="AB595" i="1"/>
  <c r="AA595" i="1"/>
  <c r="Z595" i="1"/>
  <c r="V595" i="1"/>
  <c r="N595" i="1"/>
  <c r="J595" i="1"/>
  <c r="M595" i="1"/>
  <c r="AD594" i="1"/>
  <c r="AC594" i="1"/>
  <c r="AB594" i="1"/>
  <c r="AA594" i="1"/>
  <c r="Z594" i="1"/>
  <c r="V594" i="1"/>
  <c r="N594" i="1"/>
  <c r="J594" i="1"/>
  <c r="M594" i="1"/>
  <c r="AD593" i="1"/>
  <c r="AC593" i="1"/>
  <c r="AB593" i="1"/>
  <c r="AA593" i="1"/>
  <c r="Z593" i="1"/>
  <c r="V593" i="1"/>
  <c r="N593" i="1"/>
  <c r="M593" i="1"/>
  <c r="AD592" i="1"/>
  <c r="AC592" i="1"/>
  <c r="AB592" i="1"/>
  <c r="AA592" i="1"/>
  <c r="Z592" i="1"/>
  <c r="V592" i="1"/>
  <c r="N592" i="1"/>
  <c r="M592" i="1"/>
  <c r="AD591" i="1"/>
  <c r="AC591" i="1"/>
  <c r="AB591" i="1"/>
  <c r="AA591" i="1"/>
  <c r="Z591" i="1"/>
  <c r="AD590" i="1"/>
  <c r="AC590" i="1"/>
  <c r="AB590" i="1"/>
  <c r="AA590" i="1"/>
  <c r="Z590" i="1"/>
  <c r="V590" i="1"/>
  <c r="N590" i="1"/>
  <c r="O590" i="1"/>
  <c r="J590" i="1"/>
  <c r="AD589" i="1"/>
  <c r="AC589" i="1"/>
  <c r="AB589" i="1"/>
  <c r="AA589" i="1"/>
  <c r="Z589" i="1"/>
  <c r="V589" i="1"/>
  <c r="N589" i="1"/>
  <c r="R589" i="1"/>
  <c r="J589" i="1"/>
  <c r="M589" i="1"/>
  <c r="AD588" i="1"/>
  <c r="AC588" i="1"/>
  <c r="AB588" i="1"/>
  <c r="AA588" i="1"/>
  <c r="Z588" i="1"/>
  <c r="V588" i="1"/>
  <c r="N588" i="1"/>
  <c r="J588" i="1"/>
  <c r="M588" i="1"/>
  <c r="AD587" i="1"/>
  <c r="AC587" i="1"/>
  <c r="AB587" i="1"/>
  <c r="AA587" i="1"/>
  <c r="Z587" i="1"/>
  <c r="V587" i="1"/>
  <c r="N587" i="1"/>
  <c r="M587" i="1"/>
  <c r="AD586" i="1"/>
  <c r="AC586" i="1"/>
  <c r="AB586" i="1"/>
  <c r="AA586" i="1"/>
  <c r="Z586" i="1"/>
  <c r="AD585" i="1"/>
  <c r="AC585" i="1"/>
  <c r="AB585" i="1"/>
  <c r="AA585" i="1"/>
  <c r="Z585" i="1"/>
  <c r="AD584" i="1"/>
  <c r="AC584" i="1"/>
  <c r="AB584" i="1"/>
  <c r="AA584" i="1"/>
  <c r="Z584" i="1"/>
  <c r="V584" i="1"/>
  <c r="N584" i="1"/>
  <c r="P584" i="1"/>
  <c r="L584" i="1"/>
  <c r="M584" i="1"/>
  <c r="AD583" i="1"/>
  <c r="AC583" i="1"/>
  <c r="AB583" i="1"/>
  <c r="AA583" i="1"/>
  <c r="Z583" i="1"/>
  <c r="V583" i="1"/>
  <c r="N583" i="1"/>
  <c r="L583" i="1"/>
  <c r="M583" i="1"/>
  <c r="AD582" i="1"/>
  <c r="AC582" i="1"/>
  <c r="AB582" i="1"/>
  <c r="AA582" i="1"/>
  <c r="Z582" i="1"/>
  <c r="V582" i="1"/>
  <c r="N582" i="1"/>
  <c r="P582" i="1"/>
  <c r="K582" i="1"/>
  <c r="M582" i="1"/>
  <c r="AD581" i="1"/>
  <c r="AC581" i="1"/>
  <c r="AB581" i="1"/>
  <c r="AA581" i="1"/>
  <c r="Z581" i="1"/>
  <c r="V581" i="1"/>
  <c r="N581" i="1"/>
  <c r="M581" i="1"/>
  <c r="AD580" i="1"/>
  <c r="AC580" i="1"/>
  <c r="AB580" i="1"/>
  <c r="AA580" i="1"/>
  <c r="Z580" i="1"/>
  <c r="AD579" i="1"/>
  <c r="AC579" i="1"/>
  <c r="AB579" i="1"/>
  <c r="AA579" i="1"/>
  <c r="Z579" i="1"/>
  <c r="AD578" i="1"/>
  <c r="AC578" i="1"/>
  <c r="AB578" i="1"/>
  <c r="AA578" i="1"/>
  <c r="Z578" i="1"/>
  <c r="V578" i="1"/>
  <c r="N578" i="1"/>
  <c r="P578" i="1"/>
  <c r="M578" i="1"/>
  <c r="AD577" i="1"/>
  <c r="AC577" i="1"/>
  <c r="AB577" i="1"/>
  <c r="AA577" i="1"/>
  <c r="Z577" i="1"/>
  <c r="V577" i="1"/>
  <c r="N577" i="1"/>
  <c r="M577" i="1"/>
  <c r="AD576" i="1"/>
  <c r="AC576" i="1"/>
  <c r="AB576" i="1"/>
  <c r="AA576" i="1"/>
  <c r="Z576" i="1"/>
  <c r="V576" i="1"/>
  <c r="N576" i="1"/>
  <c r="M576" i="1"/>
  <c r="AD575" i="1"/>
  <c r="AC575" i="1"/>
  <c r="AB575" i="1"/>
  <c r="AA575" i="1"/>
  <c r="Z575" i="1"/>
  <c r="V575" i="1"/>
  <c r="N575" i="1"/>
  <c r="R575" i="1"/>
  <c r="M575" i="1"/>
  <c r="AD574" i="1"/>
  <c r="AC574" i="1"/>
  <c r="AB574" i="1"/>
  <c r="AA574" i="1"/>
  <c r="Z574" i="1"/>
  <c r="AD573" i="1"/>
  <c r="AC573" i="1"/>
  <c r="AB573" i="1"/>
  <c r="AA573" i="1"/>
  <c r="Z573" i="1"/>
  <c r="V573" i="1"/>
  <c r="N573" i="1"/>
  <c r="O573" i="1"/>
  <c r="L573" i="1"/>
  <c r="K573" i="1"/>
  <c r="J573" i="1"/>
  <c r="AD572" i="1"/>
  <c r="AC572" i="1"/>
  <c r="AB572" i="1"/>
  <c r="AA572" i="1"/>
  <c r="Z572" i="1"/>
  <c r="V572" i="1"/>
  <c r="N572" i="1"/>
  <c r="L572" i="1"/>
  <c r="K572" i="1"/>
  <c r="J572" i="1"/>
  <c r="AD571" i="1"/>
  <c r="AC571" i="1"/>
  <c r="AB571" i="1"/>
  <c r="AA571" i="1"/>
  <c r="Z571" i="1"/>
  <c r="AD570" i="1"/>
  <c r="AC570" i="1"/>
  <c r="AB570" i="1"/>
  <c r="AA570" i="1"/>
  <c r="Z570" i="1"/>
  <c r="V570" i="1"/>
  <c r="N570" i="1"/>
  <c r="R570" i="1"/>
  <c r="M570" i="1"/>
  <c r="AD569" i="1"/>
  <c r="AC569" i="1"/>
  <c r="AB569" i="1"/>
  <c r="AA569" i="1"/>
  <c r="Z569" i="1"/>
  <c r="V569" i="1"/>
  <c r="N569" i="1"/>
  <c r="R569" i="1"/>
  <c r="M569" i="1"/>
  <c r="AD568" i="1"/>
  <c r="AC568" i="1"/>
  <c r="AB568" i="1"/>
  <c r="AA568" i="1"/>
  <c r="Z568" i="1"/>
  <c r="V568" i="1"/>
  <c r="N568" i="1"/>
  <c r="P568" i="1"/>
  <c r="L568" i="1"/>
  <c r="M568" i="1"/>
  <c r="AD567" i="1"/>
  <c r="AC567" i="1"/>
  <c r="AB567" i="1"/>
  <c r="AA567" i="1"/>
  <c r="Z567" i="1"/>
  <c r="V567" i="1"/>
  <c r="N567" i="1"/>
  <c r="K567" i="1"/>
  <c r="M567" i="1"/>
  <c r="AD566" i="1"/>
  <c r="AC566" i="1"/>
  <c r="AB566" i="1"/>
  <c r="AA566" i="1"/>
  <c r="Z566" i="1"/>
  <c r="V566" i="1"/>
  <c r="N566" i="1"/>
  <c r="P566" i="1"/>
  <c r="K566" i="1"/>
  <c r="M566" i="1"/>
  <c r="AD565" i="1"/>
  <c r="AC565" i="1"/>
  <c r="AB565" i="1"/>
  <c r="AA565" i="1"/>
  <c r="Z565" i="1"/>
  <c r="V565" i="1"/>
  <c r="N565" i="1"/>
  <c r="R565" i="1"/>
  <c r="K565" i="1"/>
  <c r="M565" i="1"/>
  <c r="AD564" i="1"/>
  <c r="AC564" i="1"/>
  <c r="AB564" i="1"/>
  <c r="AA564" i="1"/>
  <c r="Z564" i="1"/>
  <c r="V564" i="1"/>
  <c r="N564" i="1"/>
  <c r="M564" i="1"/>
  <c r="AD563" i="1"/>
  <c r="AC563" i="1"/>
  <c r="AB563" i="1"/>
  <c r="AA563" i="1"/>
  <c r="Z563" i="1"/>
  <c r="AD562" i="1"/>
  <c r="AC562" i="1"/>
  <c r="AB562" i="1"/>
  <c r="AA562" i="1"/>
  <c r="Z562" i="1"/>
  <c r="AD561" i="1"/>
  <c r="AC561" i="1"/>
  <c r="AB561" i="1"/>
  <c r="AA561" i="1"/>
  <c r="Z561" i="1"/>
  <c r="AD560" i="1"/>
  <c r="AC560" i="1"/>
  <c r="AB560" i="1"/>
  <c r="AA560" i="1"/>
  <c r="Z560" i="1"/>
  <c r="V560" i="1"/>
  <c r="N560" i="1"/>
  <c r="AD559" i="1"/>
  <c r="AC559" i="1"/>
  <c r="AB559" i="1"/>
  <c r="AA559" i="1"/>
  <c r="Z559" i="1"/>
  <c r="AD558" i="1"/>
  <c r="AC558" i="1"/>
  <c r="AB558" i="1"/>
  <c r="AA558" i="1"/>
  <c r="Z558" i="1"/>
  <c r="V558" i="1"/>
  <c r="N558" i="1"/>
  <c r="AD557" i="1"/>
  <c r="AC557" i="1"/>
  <c r="AB557" i="1"/>
  <c r="AA557" i="1"/>
  <c r="Z557" i="1"/>
  <c r="AD556" i="1"/>
  <c r="AC556" i="1"/>
  <c r="AB556" i="1"/>
  <c r="AA556" i="1"/>
  <c r="Z556" i="1"/>
  <c r="V556" i="1"/>
  <c r="N556" i="1"/>
  <c r="M556" i="1"/>
  <c r="AD555" i="1"/>
  <c r="AC555" i="1"/>
  <c r="AB555" i="1"/>
  <c r="AA555" i="1"/>
  <c r="Z555" i="1"/>
  <c r="V555" i="1"/>
  <c r="N555" i="1"/>
  <c r="M555" i="1"/>
  <c r="AD554" i="1"/>
  <c r="AC554" i="1"/>
  <c r="AB554" i="1"/>
  <c r="AA554" i="1"/>
  <c r="Z554" i="1"/>
  <c r="V554" i="1"/>
  <c r="N554" i="1"/>
  <c r="M554" i="1"/>
  <c r="AD553" i="1"/>
  <c r="AC553" i="1"/>
  <c r="AB553" i="1"/>
  <c r="AA553" i="1"/>
  <c r="Z553" i="1"/>
  <c r="AD552" i="1"/>
  <c r="AC552" i="1"/>
  <c r="AB552" i="1"/>
  <c r="AA552" i="1"/>
  <c r="Z552" i="1"/>
  <c r="AD551" i="1"/>
  <c r="AC551" i="1"/>
  <c r="AB551" i="1"/>
  <c r="AA551" i="1"/>
  <c r="Z551" i="1"/>
  <c r="AD550" i="1"/>
  <c r="AC550" i="1"/>
  <c r="AB550" i="1"/>
  <c r="AA550" i="1"/>
  <c r="Z550" i="1"/>
  <c r="V550" i="1"/>
  <c r="N550" i="1"/>
  <c r="L550" i="1"/>
  <c r="K550" i="1"/>
  <c r="J550" i="1"/>
  <c r="AD549" i="1"/>
  <c r="AC549" i="1"/>
  <c r="AB549" i="1"/>
  <c r="AA549" i="1"/>
  <c r="Z549" i="1"/>
  <c r="V549" i="1"/>
  <c r="N549" i="1"/>
  <c r="L549" i="1"/>
  <c r="K549" i="1"/>
  <c r="J549" i="1"/>
  <c r="AD548" i="1"/>
  <c r="AC548" i="1"/>
  <c r="AB548" i="1"/>
  <c r="AA548" i="1"/>
  <c r="Z548" i="1"/>
  <c r="V548" i="1"/>
  <c r="N548" i="1"/>
  <c r="L548" i="1"/>
  <c r="K548" i="1"/>
  <c r="J548" i="1"/>
  <c r="AD547" i="1"/>
  <c r="AC547" i="1"/>
  <c r="AB547" i="1"/>
  <c r="AA547" i="1"/>
  <c r="Z547" i="1"/>
  <c r="V547" i="1"/>
  <c r="N547" i="1"/>
  <c r="R547" i="1"/>
  <c r="M547" i="1"/>
  <c r="AD546" i="1"/>
  <c r="AC546" i="1"/>
  <c r="AB546" i="1"/>
  <c r="AA546" i="1"/>
  <c r="Z546" i="1"/>
  <c r="V546" i="1"/>
  <c r="N546" i="1"/>
  <c r="O546" i="1"/>
  <c r="M546" i="1"/>
  <c r="AD545" i="1"/>
  <c r="AC545" i="1"/>
  <c r="AB545" i="1"/>
  <c r="AA545" i="1"/>
  <c r="Z545" i="1"/>
  <c r="AD544" i="1"/>
  <c r="AC544" i="1"/>
  <c r="AB544" i="1"/>
  <c r="AA544" i="1"/>
  <c r="Z544" i="1"/>
  <c r="V544" i="1"/>
  <c r="N544" i="1"/>
  <c r="Q544" i="1"/>
  <c r="L544" i="1"/>
  <c r="M544" i="1"/>
  <c r="AD543" i="1"/>
  <c r="AC543" i="1"/>
  <c r="AB543" i="1"/>
  <c r="AA543" i="1"/>
  <c r="Z543" i="1"/>
  <c r="V543" i="1"/>
  <c r="N543" i="1"/>
  <c r="O543" i="1"/>
  <c r="K543" i="1"/>
  <c r="M543" i="1"/>
  <c r="AD542" i="1"/>
  <c r="AC542" i="1"/>
  <c r="AB542" i="1"/>
  <c r="AA542" i="1"/>
  <c r="Z542" i="1"/>
  <c r="AD541" i="1"/>
  <c r="AC541" i="1"/>
  <c r="AB541" i="1"/>
  <c r="AA541" i="1"/>
  <c r="Z541" i="1"/>
  <c r="V541" i="1"/>
  <c r="AD540" i="1"/>
  <c r="AC540" i="1"/>
  <c r="AB540" i="1"/>
  <c r="AA540" i="1"/>
  <c r="Z540" i="1"/>
  <c r="AD539" i="1"/>
  <c r="AC539" i="1"/>
  <c r="AB539" i="1"/>
  <c r="AA539" i="1"/>
  <c r="Z539" i="1"/>
  <c r="V539" i="1"/>
  <c r="N539" i="1"/>
  <c r="L539" i="1"/>
  <c r="M539" i="1"/>
  <c r="AD538" i="1"/>
  <c r="AC538" i="1"/>
  <c r="AB538" i="1"/>
  <c r="AA538" i="1"/>
  <c r="Z538" i="1"/>
  <c r="V538" i="1"/>
  <c r="N538" i="1"/>
  <c r="L538" i="1"/>
  <c r="M538" i="1"/>
  <c r="AD537" i="1"/>
  <c r="AC537" i="1"/>
  <c r="AB537" i="1"/>
  <c r="AA537" i="1"/>
  <c r="Z537" i="1"/>
  <c r="V537" i="1"/>
  <c r="N537" i="1"/>
  <c r="Q537" i="1"/>
  <c r="L537" i="1"/>
  <c r="M537" i="1"/>
  <c r="AD536" i="1"/>
  <c r="AC536" i="1"/>
  <c r="AB536" i="1"/>
  <c r="AA536" i="1"/>
  <c r="Z536" i="1"/>
  <c r="V536" i="1"/>
  <c r="N536" i="1"/>
  <c r="L536" i="1"/>
  <c r="M536" i="1"/>
  <c r="AD535" i="1"/>
  <c r="AC535" i="1"/>
  <c r="AB535" i="1"/>
  <c r="AA535" i="1"/>
  <c r="Z535" i="1"/>
  <c r="V535" i="1"/>
  <c r="N535" i="1"/>
  <c r="P535" i="1"/>
  <c r="L535" i="1"/>
  <c r="M535" i="1"/>
  <c r="AD534" i="1"/>
  <c r="AC534" i="1"/>
  <c r="AB534" i="1"/>
  <c r="AA534" i="1"/>
  <c r="Z534" i="1"/>
  <c r="V534" i="1"/>
  <c r="N534" i="1"/>
  <c r="L534" i="1"/>
  <c r="M534" i="1"/>
  <c r="AD533" i="1"/>
  <c r="AC533" i="1"/>
  <c r="AB533" i="1"/>
  <c r="AA533" i="1"/>
  <c r="Z533" i="1"/>
  <c r="V533" i="1"/>
  <c r="N533" i="1"/>
  <c r="M533" i="1"/>
  <c r="AD532" i="1"/>
  <c r="AC532" i="1"/>
  <c r="AB532" i="1"/>
  <c r="AA532" i="1"/>
  <c r="Z532" i="1"/>
  <c r="V532" i="1"/>
  <c r="N532" i="1"/>
  <c r="O532" i="1"/>
  <c r="L532" i="1"/>
  <c r="M532" i="1"/>
  <c r="AD531" i="1"/>
  <c r="AC531" i="1"/>
  <c r="AB531" i="1"/>
  <c r="AA531" i="1"/>
  <c r="Z531" i="1"/>
  <c r="V531" i="1"/>
  <c r="N531" i="1"/>
  <c r="K531" i="1"/>
  <c r="M531" i="1"/>
  <c r="AD530" i="1"/>
  <c r="AC530" i="1"/>
  <c r="AB530" i="1"/>
  <c r="AA530" i="1"/>
  <c r="Z530" i="1"/>
  <c r="V530" i="1"/>
  <c r="N530" i="1"/>
  <c r="O530" i="1"/>
  <c r="L530" i="1"/>
  <c r="K530" i="1"/>
  <c r="AD529" i="1"/>
  <c r="AC529" i="1"/>
  <c r="AB529" i="1"/>
  <c r="AA529" i="1"/>
  <c r="Z529" i="1"/>
  <c r="V529" i="1"/>
  <c r="N529" i="1"/>
  <c r="L529" i="1"/>
  <c r="M529" i="1"/>
  <c r="AD528" i="1"/>
  <c r="AC528" i="1"/>
  <c r="AB528" i="1"/>
  <c r="AA528" i="1"/>
  <c r="Z528" i="1"/>
  <c r="V528" i="1"/>
  <c r="N528" i="1"/>
  <c r="R528" i="1"/>
  <c r="K528" i="1"/>
  <c r="M528" i="1"/>
  <c r="AD527" i="1"/>
  <c r="AC527" i="1"/>
  <c r="AB527" i="1"/>
  <c r="AA527" i="1"/>
  <c r="Z527" i="1"/>
  <c r="V527" i="1"/>
  <c r="N527" i="1"/>
  <c r="O527" i="1"/>
  <c r="AD526" i="1"/>
  <c r="AC526" i="1"/>
  <c r="AB526" i="1"/>
  <c r="AA526" i="1"/>
  <c r="Z526" i="1"/>
  <c r="V526" i="1"/>
  <c r="N526" i="1"/>
  <c r="K526" i="1"/>
  <c r="K527" i="1"/>
  <c r="AD525" i="1"/>
  <c r="AC525" i="1"/>
  <c r="AB525" i="1"/>
  <c r="AA525" i="1"/>
  <c r="Z525" i="1"/>
  <c r="V525" i="1"/>
  <c r="N525" i="1"/>
  <c r="P525" i="1"/>
  <c r="K525" i="1"/>
  <c r="M525" i="1"/>
  <c r="AD524" i="1"/>
  <c r="AC524" i="1"/>
  <c r="AB524" i="1"/>
  <c r="AA524" i="1"/>
  <c r="Z524" i="1"/>
  <c r="V524" i="1"/>
  <c r="N524" i="1"/>
  <c r="L524" i="1"/>
  <c r="K524" i="1"/>
  <c r="AD523" i="1"/>
  <c r="AC523" i="1"/>
  <c r="AB523" i="1"/>
  <c r="AA523" i="1"/>
  <c r="Z523" i="1"/>
  <c r="V523" i="1"/>
  <c r="N523" i="1"/>
  <c r="M523" i="1"/>
  <c r="AD522" i="1"/>
  <c r="AC522" i="1"/>
  <c r="AB522" i="1"/>
  <c r="AA522" i="1"/>
  <c r="Z522" i="1"/>
  <c r="AD521" i="1"/>
  <c r="AC521" i="1"/>
  <c r="AB521" i="1"/>
  <c r="AA521" i="1"/>
  <c r="Z521" i="1"/>
  <c r="V521" i="1"/>
  <c r="N521" i="1"/>
  <c r="K521" i="1"/>
  <c r="M521" i="1"/>
  <c r="AD520" i="1"/>
  <c r="AC520" i="1"/>
  <c r="AB520" i="1"/>
  <c r="AA520" i="1"/>
  <c r="Z520" i="1"/>
  <c r="V520" i="1"/>
  <c r="N520" i="1"/>
  <c r="K520" i="1"/>
  <c r="M520" i="1"/>
  <c r="AD519" i="1"/>
  <c r="AC519" i="1"/>
  <c r="AB519" i="1"/>
  <c r="AA519" i="1"/>
  <c r="Z519" i="1"/>
  <c r="V519" i="1"/>
  <c r="N519" i="1"/>
  <c r="R519" i="1"/>
  <c r="K519" i="1"/>
  <c r="J519" i="1"/>
  <c r="AD518" i="1"/>
  <c r="AC518" i="1"/>
  <c r="AB518" i="1"/>
  <c r="AA518" i="1"/>
  <c r="Z518" i="1"/>
  <c r="V518" i="1"/>
  <c r="N518" i="1"/>
  <c r="M518" i="1"/>
  <c r="AD517" i="1"/>
  <c r="AC517" i="1"/>
  <c r="AB517" i="1"/>
  <c r="AA517" i="1"/>
  <c r="Z517" i="1"/>
  <c r="V517" i="1"/>
  <c r="N517" i="1"/>
  <c r="M517" i="1"/>
  <c r="AD516" i="1"/>
  <c r="AC516" i="1"/>
  <c r="AB516" i="1"/>
  <c r="AA516" i="1"/>
  <c r="Z516" i="1"/>
  <c r="V516" i="1"/>
  <c r="N516" i="1"/>
  <c r="R516" i="1"/>
  <c r="M516" i="1"/>
  <c r="AD515" i="1"/>
  <c r="AC515" i="1"/>
  <c r="AB515" i="1"/>
  <c r="AA515" i="1"/>
  <c r="Z515" i="1"/>
  <c r="V515" i="1"/>
  <c r="N515" i="1"/>
  <c r="P515" i="1"/>
  <c r="M515" i="1"/>
  <c r="AD514" i="1"/>
  <c r="AC514" i="1"/>
  <c r="AB514" i="1"/>
  <c r="AA514" i="1"/>
  <c r="Z514" i="1"/>
  <c r="AD513" i="1"/>
  <c r="AC513" i="1"/>
  <c r="AB513" i="1"/>
  <c r="AA513" i="1"/>
  <c r="Z513" i="1"/>
  <c r="AD512" i="1"/>
  <c r="AC512" i="1"/>
  <c r="AB512" i="1"/>
  <c r="AA512" i="1"/>
  <c r="Z512" i="1"/>
  <c r="AD511" i="1"/>
  <c r="AC511" i="1"/>
  <c r="AB511" i="1"/>
  <c r="AA511" i="1"/>
  <c r="Z511" i="1"/>
  <c r="AD510" i="1"/>
  <c r="AC510" i="1"/>
  <c r="AB510" i="1"/>
  <c r="AA510" i="1"/>
  <c r="Z510" i="1"/>
  <c r="V510" i="1"/>
  <c r="N510" i="1"/>
  <c r="M510" i="1"/>
  <c r="AD509" i="1"/>
  <c r="AC509" i="1"/>
  <c r="AB509" i="1"/>
  <c r="AA509" i="1"/>
  <c r="Z509" i="1"/>
  <c r="V509" i="1"/>
  <c r="N509" i="1"/>
  <c r="L509" i="1"/>
  <c r="K509" i="1"/>
  <c r="J509" i="1"/>
  <c r="AD508" i="1"/>
  <c r="AC508" i="1"/>
  <c r="AB508" i="1"/>
  <c r="AA508" i="1"/>
  <c r="Z508" i="1"/>
  <c r="V508" i="1"/>
  <c r="N508" i="1"/>
  <c r="L508" i="1"/>
  <c r="K508" i="1"/>
  <c r="J508" i="1"/>
  <c r="AD507" i="1"/>
  <c r="AC507" i="1"/>
  <c r="AB507" i="1"/>
  <c r="AA507" i="1"/>
  <c r="Z507" i="1"/>
  <c r="V507" i="1"/>
  <c r="N507" i="1"/>
  <c r="M507" i="1"/>
  <c r="AD506" i="1"/>
  <c r="AC506" i="1"/>
  <c r="AB506" i="1"/>
  <c r="AA506" i="1"/>
  <c r="Z506" i="1"/>
  <c r="AD505" i="1"/>
  <c r="AC505" i="1"/>
  <c r="AB505" i="1"/>
  <c r="AA505" i="1"/>
  <c r="Z505" i="1"/>
  <c r="V505" i="1"/>
  <c r="N505" i="1"/>
  <c r="L505" i="1"/>
  <c r="K505" i="1"/>
  <c r="J505" i="1"/>
  <c r="AD504" i="1"/>
  <c r="AC504" i="1"/>
  <c r="AB504" i="1"/>
  <c r="AA504" i="1"/>
  <c r="Z504" i="1"/>
  <c r="V504" i="1"/>
  <c r="N504" i="1"/>
  <c r="L504" i="1"/>
  <c r="K504" i="1"/>
  <c r="AD503" i="1"/>
  <c r="AC503" i="1"/>
  <c r="AB503" i="1"/>
  <c r="AA503" i="1"/>
  <c r="Z503" i="1"/>
  <c r="V503" i="1"/>
  <c r="N503" i="1"/>
  <c r="P503" i="1"/>
  <c r="M503" i="1"/>
  <c r="AD502" i="1"/>
  <c r="AC502" i="1"/>
  <c r="AB502" i="1"/>
  <c r="AA502" i="1"/>
  <c r="Z502" i="1"/>
  <c r="V502" i="1"/>
  <c r="N502" i="1"/>
  <c r="L502" i="1"/>
  <c r="K502" i="1"/>
  <c r="J502" i="1"/>
  <c r="AD501" i="1"/>
  <c r="AC501" i="1"/>
  <c r="AB501" i="1"/>
  <c r="AA501" i="1"/>
  <c r="Z501" i="1"/>
  <c r="V501" i="1"/>
  <c r="N501" i="1"/>
  <c r="L501" i="1"/>
  <c r="K501" i="1"/>
  <c r="J501" i="1"/>
  <c r="AD500" i="1"/>
  <c r="AC500" i="1"/>
  <c r="AB500" i="1"/>
  <c r="AA500" i="1"/>
  <c r="Z500" i="1"/>
  <c r="V500" i="1"/>
  <c r="N500" i="1"/>
  <c r="AD499" i="1"/>
  <c r="AC499" i="1"/>
  <c r="AB499" i="1"/>
  <c r="AA499" i="1"/>
  <c r="Z499" i="1"/>
  <c r="V499" i="1"/>
  <c r="N499" i="1"/>
  <c r="AD498" i="1"/>
  <c r="AC498" i="1"/>
  <c r="AB498" i="1"/>
  <c r="AA498" i="1"/>
  <c r="Z498" i="1"/>
  <c r="V498" i="1"/>
  <c r="N498" i="1"/>
  <c r="O498" i="1"/>
  <c r="AD497" i="1"/>
  <c r="AC497" i="1"/>
  <c r="AB497" i="1"/>
  <c r="AA497" i="1"/>
  <c r="Z497" i="1"/>
  <c r="V497" i="1"/>
  <c r="N497" i="1"/>
  <c r="O497" i="1"/>
  <c r="AD496" i="1"/>
  <c r="AC496" i="1"/>
  <c r="AB496" i="1"/>
  <c r="AA496" i="1"/>
  <c r="Z496" i="1"/>
  <c r="V496" i="1"/>
  <c r="N496" i="1"/>
  <c r="O496" i="1"/>
  <c r="AD495" i="1"/>
  <c r="AC495" i="1"/>
  <c r="AB495" i="1"/>
  <c r="AA495" i="1"/>
  <c r="Z495" i="1"/>
  <c r="V495" i="1"/>
  <c r="N495" i="1"/>
  <c r="L495" i="1"/>
  <c r="K495" i="1"/>
  <c r="J495" i="1"/>
  <c r="M495" i="1"/>
  <c r="AD494" i="1"/>
  <c r="AC494" i="1"/>
  <c r="AB494" i="1"/>
  <c r="AA494" i="1"/>
  <c r="Z494" i="1"/>
  <c r="V494" i="1"/>
  <c r="N494" i="1"/>
  <c r="L494" i="1"/>
  <c r="K494" i="1"/>
  <c r="J494" i="1"/>
  <c r="AD493" i="1"/>
  <c r="AC493" i="1"/>
  <c r="AB493" i="1"/>
  <c r="AA493" i="1"/>
  <c r="Z493" i="1"/>
  <c r="V493" i="1"/>
  <c r="N493" i="1"/>
  <c r="L493" i="1"/>
  <c r="K493" i="1"/>
  <c r="J493" i="1"/>
  <c r="AD492" i="1"/>
  <c r="AC492" i="1"/>
  <c r="AB492" i="1"/>
  <c r="AA492" i="1"/>
  <c r="Z492" i="1"/>
  <c r="V492" i="1"/>
  <c r="N492" i="1"/>
  <c r="O492" i="1"/>
  <c r="K492" i="1"/>
  <c r="L492" i="1"/>
  <c r="M492" i="1"/>
  <c r="AD491" i="1"/>
  <c r="AC491" i="1"/>
  <c r="AB491" i="1"/>
  <c r="AA491" i="1"/>
  <c r="Z491" i="1"/>
  <c r="V491" i="1"/>
  <c r="N491" i="1"/>
  <c r="L491" i="1"/>
  <c r="K491" i="1"/>
  <c r="J491" i="1"/>
  <c r="AD490" i="1"/>
  <c r="AC490" i="1"/>
  <c r="AB490" i="1"/>
  <c r="AA490" i="1"/>
  <c r="Z490" i="1"/>
  <c r="V490" i="1"/>
  <c r="N490" i="1"/>
  <c r="L490" i="1"/>
  <c r="K490" i="1"/>
  <c r="J490" i="1"/>
  <c r="AD489" i="1"/>
  <c r="AC489" i="1"/>
  <c r="AB489" i="1"/>
  <c r="AA489" i="1"/>
  <c r="Z489" i="1"/>
  <c r="AD488" i="1"/>
  <c r="AC488" i="1"/>
  <c r="AB488" i="1"/>
  <c r="AA488" i="1"/>
  <c r="Z488" i="1"/>
  <c r="V488" i="1"/>
  <c r="N488" i="1"/>
  <c r="P488" i="1"/>
  <c r="L488" i="1"/>
  <c r="K488" i="1"/>
  <c r="AD487" i="1"/>
  <c r="AC487" i="1"/>
  <c r="AB487" i="1"/>
  <c r="AA487" i="1"/>
  <c r="Z487" i="1"/>
  <c r="V487" i="1"/>
  <c r="N487" i="1"/>
  <c r="R487" i="1"/>
  <c r="K487" i="1"/>
  <c r="J487" i="1"/>
  <c r="M487" i="1"/>
  <c r="AD486" i="1"/>
  <c r="AC486" i="1"/>
  <c r="AB486" i="1"/>
  <c r="AA486" i="1"/>
  <c r="Z486" i="1"/>
  <c r="V486" i="1"/>
  <c r="N486" i="1"/>
  <c r="O486" i="1"/>
  <c r="AD485" i="1"/>
  <c r="AC485" i="1"/>
  <c r="AB485" i="1"/>
  <c r="AA485" i="1"/>
  <c r="Z485" i="1"/>
  <c r="V485" i="1"/>
  <c r="N485" i="1"/>
  <c r="M485" i="1"/>
  <c r="AD484" i="1"/>
  <c r="AC484" i="1"/>
  <c r="AB484" i="1"/>
  <c r="AA484" i="1"/>
  <c r="Z484" i="1"/>
  <c r="V484" i="1"/>
  <c r="N484" i="1"/>
  <c r="O484" i="1"/>
  <c r="AD483" i="1"/>
  <c r="AC483" i="1"/>
  <c r="AB483" i="1"/>
  <c r="AA483" i="1"/>
  <c r="Z483" i="1"/>
  <c r="V483" i="1"/>
  <c r="N483" i="1"/>
  <c r="O483" i="1"/>
  <c r="AD482" i="1"/>
  <c r="AC482" i="1"/>
  <c r="AB482" i="1"/>
  <c r="AA482" i="1"/>
  <c r="Z482" i="1"/>
  <c r="V482" i="1"/>
  <c r="N482" i="1"/>
  <c r="L482" i="1"/>
  <c r="L483" i="1"/>
  <c r="K482" i="1"/>
  <c r="J482" i="1"/>
  <c r="J483" i="1"/>
  <c r="AD481" i="1"/>
  <c r="AC481" i="1"/>
  <c r="AB481" i="1"/>
  <c r="AA481" i="1"/>
  <c r="Z481" i="1"/>
  <c r="V481" i="1"/>
  <c r="N481" i="1"/>
  <c r="AD480" i="1"/>
  <c r="AC480" i="1"/>
  <c r="AB480" i="1"/>
  <c r="AA480" i="1"/>
  <c r="Z480" i="1"/>
  <c r="AD479" i="1"/>
  <c r="AC479" i="1"/>
  <c r="AB479" i="1"/>
  <c r="AA479" i="1"/>
  <c r="Z479" i="1"/>
  <c r="AD478" i="1"/>
  <c r="AC478" i="1"/>
  <c r="AB478" i="1"/>
  <c r="AA478" i="1"/>
  <c r="Z478" i="1"/>
  <c r="V478" i="1"/>
  <c r="N478" i="1"/>
  <c r="AD477" i="1"/>
  <c r="AC477" i="1"/>
  <c r="AB477" i="1"/>
  <c r="AA477" i="1"/>
  <c r="Z477" i="1"/>
  <c r="V477" i="1"/>
  <c r="N477" i="1"/>
  <c r="AD476" i="1"/>
  <c r="AC476" i="1"/>
  <c r="AB476" i="1"/>
  <c r="AA476" i="1"/>
  <c r="Z476" i="1"/>
  <c r="V476" i="1"/>
  <c r="N476" i="1"/>
  <c r="AD475" i="1"/>
  <c r="AC475" i="1"/>
  <c r="AB475" i="1"/>
  <c r="AA475" i="1"/>
  <c r="Z475" i="1"/>
  <c r="V475" i="1"/>
  <c r="N475" i="1"/>
  <c r="L475" i="1"/>
  <c r="K475" i="1"/>
  <c r="J475" i="1"/>
  <c r="AD474" i="1"/>
  <c r="AC474" i="1"/>
  <c r="AB474" i="1"/>
  <c r="AA474" i="1"/>
  <c r="Z474" i="1"/>
  <c r="V474" i="1"/>
  <c r="N474" i="1"/>
  <c r="L474" i="1"/>
  <c r="K474" i="1"/>
  <c r="J474" i="1"/>
  <c r="AD473" i="1"/>
  <c r="AC473" i="1"/>
  <c r="AB473" i="1"/>
  <c r="AA473" i="1"/>
  <c r="Z473" i="1"/>
  <c r="V473" i="1"/>
  <c r="N473" i="1"/>
  <c r="AD472" i="1"/>
  <c r="AC472" i="1"/>
  <c r="AB472" i="1"/>
  <c r="AA472" i="1"/>
  <c r="Z472" i="1"/>
  <c r="AD471" i="1"/>
  <c r="AC471" i="1"/>
  <c r="AB471" i="1"/>
  <c r="AA471" i="1"/>
  <c r="Z471" i="1"/>
  <c r="V471" i="1"/>
  <c r="N471" i="1"/>
  <c r="Q471" i="1"/>
  <c r="M471" i="1"/>
  <c r="AD470" i="1"/>
  <c r="AC470" i="1"/>
  <c r="AB470" i="1"/>
  <c r="AA470" i="1"/>
  <c r="Z470" i="1"/>
  <c r="V470" i="1"/>
  <c r="N470" i="1"/>
  <c r="Q470" i="1"/>
  <c r="M470" i="1"/>
  <c r="AD469" i="1"/>
  <c r="AC469" i="1"/>
  <c r="AB469" i="1"/>
  <c r="AA469" i="1"/>
  <c r="Z469" i="1"/>
  <c r="V469" i="1"/>
  <c r="N469" i="1"/>
  <c r="L469" i="1"/>
  <c r="K469" i="1"/>
  <c r="J469" i="1"/>
  <c r="AD468" i="1"/>
  <c r="AC468" i="1"/>
  <c r="AB468" i="1"/>
  <c r="AA468" i="1"/>
  <c r="Z468" i="1"/>
  <c r="V468" i="1"/>
  <c r="N468" i="1"/>
  <c r="M468" i="1"/>
  <c r="AD467" i="1"/>
  <c r="AC467" i="1"/>
  <c r="AB467" i="1"/>
  <c r="AA467" i="1"/>
  <c r="Z467" i="1"/>
  <c r="V467" i="1"/>
  <c r="N467" i="1"/>
  <c r="R467" i="1"/>
  <c r="M467" i="1"/>
  <c r="AD466" i="1"/>
  <c r="AC466" i="1"/>
  <c r="AB466" i="1"/>
  <c r="AA466" i="1"/>
  <c r="Z466" i="1"/>
  <c r="V466" i="1"/>
  <c r="N466" i="1"/>
  <c r="L466" i="1"/>
  <c r="K466" i="1"/>
  <c r="J466" i="1"/>
  <c r="AD465" i="1"/>
  <c r="AC465" i="1"/>
  <c r="AB465" i="1"/>
  <c r="AA465" i="1"/>
  <c r="Z465" i="1"/>
  <c r="V465" i="1"/>
  <c r="N465" i="1"/>
  <c r="O465" i="1"/>
  <c r="M465" i="1"/>
  <c r="AD464" i="1"/>
  <c r="AC464" i="1"/>
  <c r="AB464" i="1"/>
  <c r="AA464" i="1"/>
  <c r="Z464" i="1"/>
  <c r="V464" i="1"/>
  <c r="N464" i="1"/>
  <c r="P464" i="1"/>
  <c r="M464" i="1"/>
  <c r="AD463" i="1"/>
  <c r="AC463" i="1"/>
  <c r="AB463" i="1"/>
  <c r="AA463" i="1"/>
  <c r="Z463" i="1"/>
  <c r="V463" i="1"/>
  <c r="N463" i="1"/>
  <c r="L463" i="1"/>
  <c r="K463" i="1"/>
  <c r="J463" i="1"/>
  <c r="AD462" i="1"/>
  <c r="AC462" i="1"/>
  <c r="AB462" i="1"/>
  <c r="AA462" i="1"/>
  <c r="Z462" i="1"/>
  <c r="V462" i="1"/>
  <c r="N462" i="1"/>
  <c r="L462" i="1"/>
  <c r="K462" i="1"/>
  <c r="J462" i="1"/>
  <c r="AD461" i="1"/>
  <c r="AC461" i="1"/>
  <c r="AB461" i="1"/>
  <c r="AA461" i="1"/>
  <c r="Z461" i="1"/>
  <c r="V461" i="1"/>
  <c r="N461" i="1"/>
  <c r="Q461" i="1"/>
  <c r="AD460" i="1"/>
  <c r="AC460" i="1"/>
  <c r="AB460" i="1"/>
  <c r="AA460" i="1"/>
  <c r="Z460" i="1"/>
  <c r="V460" i="1"/>
  <c r="N460" i="1"/>
  <c r="Q460" i="1"/>
  <c r="AD459" i="1"/>
  <c r="AC459" i="1"/>
  <c r="AB459" i="1"/>
  <c r="AA459" i="1"/>
  <c r="Z459" i="1"/>
  <c r="AD458" i="1"/>
  <c r="AC458" i="1"/>
  <c r="AB458" i="1"/>
  <c r="AA458" i="1"/>
  <c r="Z458" i="1"/>
  <c r="V458" i="1"/>
  <c r="N458" i="1"/>
  <c r="Q458" i="1"/>
  <c r="M458" i="1"/>
  <c r="AD457" i="1"/>
  <c r="AC457" i="1"/>
  <c r="AB457" i="1"/>
  <c r="AA457" i="1"/>
  <c r="Z457" i="1"/>
  <c r="V457" i="1"/>
  <c r="N457" i="1"/>
  <c r="L457" i="1"/>
  <c r="K457" i="1"/>
  <c r="J457" i="1"/>
  <c r="AD456" i="1"/>
  <c r="AC456" i="1"/>
  <c r="AB456" i="1"/>
  <c r="AA456" i="1"/>
  <c r="Z456" i="1"/>
  <c r="V456" i="1"/>
  <c r="N456" i="1"/>
  <c r="Q456" i="1"/>
  <c r="AD455" i="1"/>
  <c r="AC455" i="1"/>
  <c r="AB455" i="1"/>
  <c r="AA455" i="1"/>
  <c r="Z455" i="1"/>
  <c r="V455" i="1"/>
  <c r="N455" i="1"/>
  <c r="O455" i="1"/>
  <c r="L455" i="1"/>
  <c r="K455" i="1"/>
  <c r="J455" i="1"/>
  <c r="AD454" i="1"/>
  <c r="AC454" i="1"/>
  <c r="AB454" i="1"/>
  <c r="AA454" i="1"/>
  <c r="Z454" i="1"/>
  <c r="V454" i="1"/>
  <c r="N454" i="1"/>
  <c r="Q454" i="1"/>
  <c r="M454" i="1"/>
  <c r="AD453" i="1"/>
  <c r="AC453" i="1"/>
  <c r="AB453" i="1"/>
  <c r="AA453" i="1"/>
  <c r="Z453" i="1"/>
  <c r="V453" i="1"/>
  <c r="N453" i="1"/>
  <c r="P453" i="1"/>
  <c r="M453" i="1"/>
  <c r="AD452" i="1"/>
  <c r="AC452" i="1"/>
  <c r="AB452" i="1"/>
  <c r="AA452" i="1"/>
  <c r="Z452" i="1"/>
  <c r="V452" i="1"/>
  <c r="N452" i="1"/>
  <c r="M452" i="1"/>
  <c r="AD451" i="1"/>
  <c r="AC451" i="1"/>
  <c r="AB451" i="1"/>
  <c r="AA451" i="1"/>
  <c r="Z451" i="1"/>
  <c r="V451" i="1"/>
  <c r="N451" i="1"/>
  <c r="L451" i="1"/>
  <c r="K451" i="1"/>
  <c r="J451" i="1"/>
  <c r="AD450" i="1"/>
  <c r="AC450" i="1"/>
  <c r="AB450" i="1"/>
  <c r="AA450" i="1"/>
  <c r="Z450" i="1"/>
  <c r="V450" i="1"/>
  <c r="N450" i="1"/>
  <c r="R450" i="1"/>
  <c r="M450" i="1"/>
  <c r="AD449" i="1"/>
  <c r="AC449" i="1"/>
  <c r="AB449" i="1"/>
  <c r="AA449" i="1"/>
  <c r="Z449" i="1"/>
  <c r="V449" i="1"/>
  <c r="N449" i="1"/>
  <c r="L449" i="1"/>
  <c r="K449" i="1"/>
  <c r="J449" i="1"/>
  <c r="AD448" i="1"/>
  <c r="AC448" i="1"/>
  <c r="AB448" i="1"/>
  <c r="AA448" i="1"/>
  <c r="Z448" i="1"/>
  <c r="V448" i="1"/>
  <c r="N448" i="1"/>
  <c r="L448" i="1"/>
  <c r="K448" i="1"/>
  <c r="J448" i="1"/>
  <c r="AD447" i="1"/>
  <c r="AC447" i="1"/>
  <c r="AB447" i="1"/>
  <c r="AA447" i="1"/>
  <c r="Z447" i="1"/>
  <c r="V447" i="1"/>
  <c r="N447" i="1"/>
  <c r="Q447" i="1"/>
  <c r="AD446" i="1"/>
  <c r="AC446" i="1"/>
  <c r="AB446" i="1"/>
  <c r="AA446" i="1"/>
  <c r="Z446" i="1"/>
  <c r="V446" i="1"/>
  <c r="N446" i="1"/>
  <c r="Q446" i="1"/>
  <c r="AD445" i="1"/>
  <c r="AC445" i="1"/>
  <c r="AB445" i="1"/>
  <c r="AA445" i="1"/>
  <c r="Z445" i="1"/>
  <c r="AD444" i="1"/>
  <c r="AC444" i="1"/>
  <c r="AB444" i="1"/>
  <c r="AA444" i="1"/>
  <c r="Z444" i="1"/>
  <c r="AD443" i="1"/>
  <c r="AC443" i="1"/>
  <c r="AB443" i="1"/>
  <c r="AA443" i="1"/>
  <c r="Z443" i="1"/>
  <c r="AD442" i="1"/>
  <c r="AC442" i="1"/>
  <c r="AB442" i="1"/>
  <c r="AA442" i="1"/>
  <c r="Z442" i="1"/>
  <c r="V442" i="1"/>
  <c r="N442" i="1"/>
  <c r="M442" i="1"/>
  <c r="AD441" i="1"/>
  <c r="AC441" i="1"/>
  <c r="AB441" i="1"/>
  <c r="AA441" i="1"/>
  <c r="Z441" i="1"/>
  <c r="V441" i="1"/>
  <c r="N441" i="1"/>
  <c r="K441" i="1"/>
  <c r="M441" i="1"/>
  <c r="AD440" i="1"/>
  <c r="AC440" i="1"/>
  <c r="AB440" i="1"/>
  <c r="AA440" i="1"/>
  <c r="Z440" i="1"/>
  <c r="V440" i="1"/>
  <c r="N440" i="1"/>
  <c r="J440" i="1"/>
  <c r="M440" i="1"/>
  <c r="AD439" i="1"/>
  <c r="AC439" i="1"/>
  <c r="AB439" i="1"/>
  <c r="AA439" i="1"/>
  <c r="Z439" i="1"/>
  <c r="V439" i="1"/>
  <c r="N439" i="1"/>
  <c r="J439" i="1"/>
  <c r="M439" i="1"/>
  <c r="AD438" i="1"/>
  <c r="AC438" i="1"/>
  <c r="AB438" i="1"/>
  <c r="AA438" i="1"/>
  <c r="Z438" i="1"/>
  <c r="AD437" i="1"/>
  <c r="AC437" i="1"/>
  <c r="AB437" i="1"/>
  <c r="AA437" i="1"/>
  <c r="Z437" i="1"/>
  <c r="V437" i="1"/>
  <c r="N437" i="1"/>
  <c r="M437" i="1"/>
  <c r="AD436" i="1"/>
  <c r="AC436" i="1"/>
  <c r="AB436" i="1"/>
  <c r="AA436" i="1"/>
  <c r="Z436" i="1"/>
  <c r="V436" i="1"/>
  <c r="N436" i="1"/>
  <c r="M436" i="1"/>
  <c r="AD435" i="1"/>
  <c r="AC435" i="1"/>
  <c r="AB435" i="1"/>
  <c r="AA435" i="1"/>
  <c r="Z435" i="1"/>
  <c r="V435" i="1"/>
  <c r="N435" i="1"/>
  <c r="J435" i="1"/>
  <c r="M435" i="1"/>
  <c r="AD434" i="1"/>
  <c r="AC434" i="1"/>
  <c r="AB434" i="1"/>
  <c r="AA434" i="1"/>
  <c r="Z434" i="1"/>
  <c r="AD433" i="1"/>
  <c r="AC433" i="1"/>
  <c r="AB433" i="1"/>
  <c r="AA433" i="1"/>
  <c r="Z433" i="1"/>
  <c r="V433" i="1"/>
  <c r="N433" i="1"/>
  <c r="M433" i="1"/>
  <c r="AD432" i="1"/>
  <c r="AC432" i="1"/>
  <c r="AB432" i="1"/>
  <c r="AA432" i="1"/>
  <c r="Z432" i="1"/>
  <c r="V432" i="1"/>
  <c r="N432" i="1"/>
  <c r="R432" i="1"/>
  <c r="M432" i="1"/>
  <c r="AD431" i="1"/>
  <c r="AC431" i="1"/>
  <c r="AB431" i="1"/>
  <c r="AA431" i="1"/>
  <c r="Z431" i="1"/>
  <c r="V431" i="1"/>
  <c r="N431" i="1"/>
  <c r="Q431" i="1"/>
  <c r="M431" i="1"/>
  <c r="AD430" i="1"/>
  <c r="AC430" i="1"/>
  <c r="AB430" i="1"/>
  <c r="AA430" i="1"/>
  <c r="Z430" i="1"/>
  <c r="V430" i="1"/>
  <c r="N430" i="1"/>
  <c r="M430" i="1"/>
  <c r="AD429" i="1"/>
  <c r="AC429" i="1"/>
  <c r="AB429" i="1"/>
  <c r="AA429" i="1"/>
  <c r="Z429" i="1"/>
  <c r="V429" i="1"/>
  <c r="N429" i="1"/>
  <c r="AD428" i="1"/>
  <c r="AC428" i="1"/>
  <c r="AB428" i="1"/>
  <c r="AA428" i="1"/>
  <c r="Z428" i="1"/>
  <c r="AD427" i="1"/>
  <c r="AC427" i="1"/>
  <c r="AB427" i="1"/>
  <c r="AA427" i="1"/>
  <c r="Z427" i="1"/>
  <c r="AD426" i="1"/>
  <c r="AC426" i="1"/>
  <c r="AB426" i="1"/>
  <c r="AA426" i="1"/>
  <c r="Z426" i="1"/>
  <c r="V426" i="1"/>
  <c r="N426" i="1"/>
  <c r="O426" i="1"/>
  <c r="AD425" i="1"/>
  <c r="AC425" i="1"/>
  <c r="AB425" i="1"/>
  <c r="AA425" i="1"/>
  <c r="Z425" i="1"/>
  <c r="V425" i="1"/>
  <c r="N425" i="1"/>
  <c r="O425" i="1"/>
  <c r="AD424" i="1"/>
  <c r="AC424" i="1"/>
  <c r="AB424" i="1"/>
  <c r="AA424" i="1"/>
  <c r="Z424" i="1"/>
  <c r="V424" i="1"/>
  <c r="N424" i="1"/>
  <c r="J424" i="1"/>
  <c r="P424" i="1"/>
  <c r="L424" i="1"/>
  <c r="L426" i="1"/>
  <c r="K424" i="1"/>
  <c r="K426" i="1"/>
  <c r="J426" i="1"/>
  <c r="AD423" i="1"/>
  <c r="AC423" i="1"/>
  <c r="AB423" i="1"/>
  <c r="AA423" i="1"/>
  <c r="Z423" i="1"/>
  <c r="V423" i="1"/>
  <c r="N423" i="1"/>
  <c r="M423" i="1"/>
  <c r="AD422" i="1"/>
  <c r="AC422" i="1"/>
  <c r="AB422" i="1"/>
  <c r="AA422" i="1"/>
  <c r="Z422" i="1"/>
  <c r="V422" i="1"/>
  <c r="N422" i="1"/>
  <c r="M422" i="1"/>
  <c r="AD421" i="1"/>
  <c r="AC421" i="1"/>
  <c r="AB421" i="1"/>
  <c r="AA421" i="1"/>
  <c r="Z421" i="1"/>
  <c r="AD420" i="1"/>
  <c r="AC420" i="1"/>
  <c r="AB420" i="1"/>
  <c r="AA420" i="1"/>
  <c r="Z420" i="1"/>
  <c r="V420" i="1"/>
  <c r="N420" i="1"/>
  <c r="AD419" i="1"/>
  <c r="AC419" i="1"/>
  <c r="AB419" i="1"/>
  <c r="AA419" i="1"/>
  <c r="Z419" i="1"/>
  <c r="V419" i="1"/>
  <c r="N419" i="1"/>
  <c r="AD418" i="1"/>
  <c r="AC418" i="1"/>
  <c r="AB418" i="1"/>
  <c r="AA418" i="1"/>
  <c r="Z418" i="1"/>
  <c r="V418" i="1"/>
  <c r="N418" i="1"/>
  <c r="AD417" i="1"/>
  <c r="AC417" i="1"/>
  <c r="AB417" i="1"/>
  <c r="AA417" i="1"/>
  <c r="Z417" i="1"/>
  <c r="V417" i="1"/>
  <c r="N417" i="1"/>
  <c r="AD416" i="1"/>
  <c r="AC416" i="1"/>
  <c r="AB416" i="1"/>
  <c r="AA416" i="1"/>
  <c r="Z416" i="1"/>
  <c r="V416" i="1"/>
  <c r="N416" i="1"/>
  <c r="L416" i="1"/>
  <c r="K416" i="1"/>
  <c r="J416" i="1"/>
  <c r="AD415" i="1"/>
  <c r="AC415" i="1"/>
  <c r="AB415" i="1"/>
  <c r="AA415" i="1"/>
  <c r="Z415" i="1"/>
  <c r="V415" i="1"/>
  <c r="N415" i="1"/>
  <c r="L415" i="1"/>
  <c r="K415" i="1"/>
  <c r="K420" i="1"/>
  <c r="J415" i="1"/>
  <c r="J419" i="1"/>
  <c r="AD414" i="1"/>
  <c r="AC414" i="1"/>
  <c r="AB414" i="1"/>
  <c r="AA414" i="1"/>
  <c r="Z414" i="1"/>
  <c r="V414" i="1"/>
  <c r="N414" i="1"/>
  <c r="AD413" i="1"/>
  <c r="AC413" i="1"/>
  <c r="AB413" i="1"/>
  <c r="AA413" i="1"/>
  <c r="Z413" i="1"/>
  <c r="V413" i="1"/>
  <c r="N413" i="1"/>
  <c r="M413" i="1"/>
  <c r="AD412" i="1"/>
  <c r="AC412" i="1"/>
  <c r="AB412" i="1"/>
  <c r="AA412" i="1"/>
  <c r="Z412" i="1"/>
  <c r="AD411" i="1"/>
  <c r="AC411" i="1"/>
  <c r="AB411" i="1"/>
  <c r="AA411" i="1"/>
  <c r="Z411" i="1"/>
  <c r="V411" i="1"/>
  <c r="N411" i="1"/>
  <c r="M411" i="1"/>
  <c r="AD410" i="1"/>
  <c r="AC410" i="1"/>
  <c r="AB410" i="1"/>
  <c r="AA410" i="1"/>
  <c r="Z410" i="1"/>
  <c r="V410" i="1"/>
  <c r="N410" i="1"/>
  <c r="M410" i="1"/>
  <c r="AD409" i="1"/>
  <c r="AC409" i="1"/>
  <c r="AB409" i="1"/>
  <c r="AA409" i="1"/>
  <c r="Z409" i="1"/>
  <c r="V409" i="1"/>
  <c r="N409" i="1"/>
  <c r="M409" i="1"/>
  <c r="AD408" i="1"/>
  <c r="AC408" i="1"/>
  <c r="AB408" i="1"/>
  <c r="AA408" i="1"/>
  <c r="Z408" i="1"/>
  <c r="AD407" i="1"/>
  <c r="AC407" i="1"/>
  <c r="AB407" i="1"/>
  <c r="AA407" i="1"/>
  <c r="Z407" i="1"/>
  <c r="V407" i="1"/>
  <c r="N407" i="1"/>
  <c r="K407" i="1"/>
  <c r="M407" i="1"/>
  <c r="AD406" i="1"/>
  <c r="AC406" i="1"/>
  <c r="AB406" i="1"/>
  <c r="AA406" i="1"/>
  <c r="Z406" i="1"/>
  <c r="AD405" i="1"/>
  <c r="AC405" i="1"/>
  <c r="AB405" i="1"/>
  <c r="AA405" i="1"/>
  <c r="Z405" i="1"/>
  <c r="AD404" i="1"/>
  <c r="AC404" i="1"/>
  <c r="AB404" i="1"/>
  <c r="AA404" i="1"/>
  <c r="Z404" i="1"/>
  <c r="AD403" i="1"/>
  <c r="AC403" i="1"/>
  <c r="AB403" i="1"/>
  <c r="AA403" i="1"/>
  <c r="Z403" i="1"/>
  <c r="V403" i="1"/>
  <c r="N403" i="1"/>
  <c r="L403" i="1"/>
  <c r="K403" i="1"/>
  <c r="J403" i="1"/>
  <c r="AD402" i="1"/>
  <c r="AC402" i="1"/>
  <c r="AB402" i="1"/>
  <c r="AA402" i="1"/>
  <c r="Z402" i="1"/>
  <c r="V402" i="1"/>
  <c r="N402" i="1"/>
  <c r="L402" i="1"/>
  <c r="K402" i="1"/>
  <c r="J402" i="1"/>
  <c r="AD401" i="1"/>
  <c r="AC401" i="1"/>
  <c r="AB401" i="1"/>
  <c r="AA401" i="1"/>
  <c r="Z401" i="1"/>
  <c r="V401" i="1"/>
  <c r="N401" i="1"/>
  <c r="L401" i="1"/>
  <c r="K401" i="1"/>
  <c r="J401" i="1"/>
  <c r="AD400" i="1"/>
  <c r="AC400" i="1"/>
  <c r="AB400" i="1"/>
  <c r="AA400" i="1"/>
  <c r="Z400" i="1"/>
  <c r="V400" i="1"/>
  <c r="N400" i="1"/>
  <c r="L400" i="1"/>
  <c r="K400" i="1"/>
  <c r="J400" i="1"/>
  <c r="AD399" i="1"/>
  <c r="AC399" i="1"/>
  <c r="AB399" i="1"/>
  <c r="AA399" i="1"/>
  <c r="Z399" i="1"/>
  <c r="V399" i="1"/>
  <c r="N399" i="1"/>
  <c r="L399" i="1"/>
  <c r="K399" i="1"/>
  <c r="J399" i="1"/>
  <c r="AD398" i="1"/>
  <c r="AC398" i="1"/>
  <c r="AB398" i="1"/>
  <c r="AA398" i="1"/>
  <c r="Z398" i="1"/>
  <c r="V398" i="1"/>
  <c r="N398" i="1"/>
  <c r="L398" i="1"/>
  <c r="K398" i="1"/>
  <c r="J398" i="1"/>
  <c r="M398" i="1"/>
  <c r="AD397" i="1"/>
  <c r="AC397" i="1"/>
  <c r="AB397" i="1"/>
  <c r="AA397" i="1"/>
  <c r="Z397" i="1"/>
  <c r="V397" i="1"/>
  <c r="N397" i="1"/>
  <c r="O397" i="1"/>
  <c r="L397" i="1"/>
  <c r="K397" i="1"/>
  <c r="J397" i="1"/>
  <c r="AD396" i="1"/>
  <c r="AC396" i="1"/>
  <c r="AB396" i="1"/>
  <c r="AA396" i="1"/>
  <c r="Z396" i="1"/>
  <c r="V396" i="1"/>
  <c r="N396" i="1"/>
  <c r="M396" i="1"/>
  <c r="AD395" i="1"/>
  <c r="AC395" i="1"/>
  <c r="AB395" i="1"/>
  <c r="AA395" i="1"/>
  <c r="Z395" i="1"/>
  <c r="V395" i="1"/>
  <c r="N395" i="1"/>
  <c r="M395" i="1"/>
  <c r="AD394" i="1"/>
  <c r="AC394" i="1"/>
  <c r="AB394" i="1"/>
  <c r="AA394" i="1"/>
  <c r="Z394" i="1"/>
  <c r="V394" i="1"/>
  <c r="N394" i="1"/>
  <c r="P394" i="1"/>
  <c r="M394" i="1"/>
  <c r="AD393" i="1"/>
  <c r="AC393" i="1"/>
  <c r="AB393" i="1"/>
  <c r="AA393" i="1"/>
  <c r="Z393" i="1"/>
  <c r="AD392" i="1"/>
  <c r="AC392" i="1"/>
  <c r="AB392" i="1"/>
  <c r="AA392" i="1"/>
  <c r="Z392" i="1"/>
  <c r="V392" i="1"/>
  <c r="N392" i="1"/>
  <c r="L392" i="1"/>
  <c r="K392" i="1"/>
  <c r="J392" i="1"/>
  <c r="AD391" i="1"/>
  <c r="AC391" i="1"/>
  <c r="AB391" i="1"/>
  <c r="AA391" i="1"/>
  <c r="Z391" i="1"/>
  <c r="V391" i="1"/>
  <c r="N391" i="1"/>
  <c r="L391" i="1"/>
  <c r="K391" i="1"/>
  <c r="AD390" i="1"/>
  <c r="AC390" i="1"/>
  <c r="AB390" i="1"/>
  <c r="AA390" i="1"/>
  <c r="Z390" i="1"/>
  <c r="V390" i="1"/>
  <c r="N390" i="1"/>
  <c r="K390" i="1"/>
  <c r="J390" i="1"/>
  <c r="AD389" i="1"/>
  <c r="AC389" i="1"/>
  <c r="AB389" i="1"/>
  <c r="AA389" i="1"/>
  <c r="Z389" i="1"/>
  <c r="V389" i="1"/>
  <c r="N389" i="1"/>
  <c r="K389" i="1"/>
  <c r="J389" i="1"/>
  <c r="AD388" i="1"/>
  <c r="AC388" i="1"/>
  <c r="AB388" i="1"/>
  <c r="AA388" i="1"/>
  <c r="Z388" i="1"/>
  <c r="V388" i="1"/>
  <c r="N388" i="1"/>
  <c r="K388" i="1"/>
  <c r="J388" i="1"/>
  <c r="AD387" i="1"/>
  <c r="AC387" i="1"/>
  <c r="AB387" i="1"/>
  <c r="AA387" i="1"/>
  <c r="Z387" i="1"/>
  <c r="V387" i="1"/>
  <c r="N387" i="1"/>
  <c r="R387" i="1"/>
  <c r="K387" i="1"/>
  <c r="M387" i="1"/>
  <c r="AD386" i="1"/>
  <c r="AC386" i="1"/>
  <c r="AB386" i="1"/>
  <c r="AA386" i="1"/>
  <c r="Z386" i="1"/>
  <c r="AD385" i="1"/>
  <c r="AC385" i="1"/>
  <c r="AB385" i="1"/>
  <c r="AA385" i="1"/>
  <c r="Z385" i="1"/>
  <c r="V385" i="1"/>
  <c r="N385" i="1"/>
  <c r="L385" i="1"/>
  <c r="K385" i="1"/>
  <c r="J385" i="1"/>
  <c r="AD384" i="1"/>
  <c r="AC384" i="1"/>
  <c r="AB384" i="1"/>
  <c r="AA384" i="1"/>
  <c r="Z384" i="1"/>
  <c r="V384" i="1"/>
  <c r="N384" i="1"/>
  <c r="K384" i="1"/>
  <c r="Q384" i="1"/>
  <c r="L384" i="1"/>
  <c r="J384" i="1"/>
  <c r="AD383" i="1"/>
  <c r="AC383" i="1"/>
  <c r="AB383" i="1"/>
  <c r="AA383" i="1"/>
  <c r="Z383" i="1"/>
  <c r="V383" i="1"/>
  <c r="N383" i="1"/>
  <c r="L383" i="1"/>
  <c r="K383" i="1"/>
  <c r="AD382" i="1"/>
  <c r="AC382" i="1"/>
  <c r="AB382" i="1"/>
  <c r="AA382" i="1"/>
  <c r="Z382" i="1"/>
  <c r="V382" i="1"/>
  <c r="N382" i="1"/>
  <c r="J382" i="1"/>
  <c r="M382" i="1"/>
  <c r="AD381" i="1"/>
  <c r="AC381" i="1"/>
  <c r="AB381" i="1"/>
  <c r="AA381" i="1"/>
  <c r="Z381" i="1"/>
  <c r="V381" i="1"/>
  <c r="N381" i="1"/>
  <c r="R381" i="1"/>
  <c r="J381" i="1"/>
  <c r="M381" i="1"/>
  <c r="AD380" i="1"/>
  <c r="AC380" i="1"/>
  <c r="AB380" i="1"/>
  <c r="AA380" i="1"/>
  <c r="Z380" i="1"/>
  <c r="V380" i="1"/>
  <c r="N380" i="1"/>
  <c r="J380" i="1"/>
  <c r="M380" i="1"/>
  <c r="AD379" i="1"/>
  <c r="AC379" i="1"/>
  <c r="AB379" i="1"/>
  <c r="AA379" i="1"/>
  <c r="Z379" i="1"/>
  <c r="V379" i="1"/>
  <c r="N379" i="1"/>
  <c r="M379" i="1"/>
  <c r="AD378" i="1"/>
  <c r="AC378" i="1"/>
  <c r="AB378" i="1"/>
  <c r="AA378" i="1"/>
  <c r="Z378" i="1"/>
  <c r="V378" i="1"/>
  <c r="N378" i="1"/>
  <c r="R378" i="1"/>
  <c r="J378" i="1"/>
  <c r="M378" i="1"/>
  <c r="AD377" i="1"/>
  <c r="AC377" i="1"/>
  <c r="AB377" i="1"/>
  <c r="AA377" i="1"/>
  <c r="Z377" i="1"/>
  <c r="V377" i="1"/>
  <c r="N377" i="1"/>
  <c r="Q377" i="1"/>
  <c r="J377" i="1"/>
  <c r="M377" i="1"/>
  <c r="AD376" i="1"/>
  <c r="AC376" i="1"/>
  <c r="AB376" i="1"/>
  <c r="AA376" i="1"/>
  <c r="Z376" i="1"/>
  <c r="V376" i="1"/>
  <c r="N376" i="1"/>
  <c r="Q376" i="1"/>
  <c r="J376" i="1"/>
  <c r="M376" i="1"/>
  <c r="AD375" i="1"/>
  <c r="AC375" i="1"/>
  <c r="AB375" i="1"/>
  <c r="AA375" i="1"/>
  <c r="Z375" i="1"/>
  <c r="V375" i="1"/>
  <c r="N375" i="1"/>
  <c r="Q375" i="1"/>
  <c r="M375" i="1"/>
  <c r="AD374" i="1"/>
  <c r="AC374" i="1"/>
  <c r="AB374" i="1"/>
  <c r="AA374" i="1"/>
  <c r="Z374" i="1"/>
  <c r="V374" i="1"/>
  <c r="N374" i="1"/>
  <c r="R374" i="1"/>
  <c r="M374" i="1"/>
  <c r="AD373" i="1"/>
  <c r="AC373" i="1"/>
  <c r="AB373" i="1"/>
  <c r="AA373" i="1"/>
  <c r="Z373" i="1"/>
  <c r="AD372" i="1"/>
  <c r="AC372" i="1"/>
  <c r="AB372" i="1"/>
  <c r="AA372" i="1"/>
  <c r="Z372" i="1"/>
  <c r="AD371" i="1"/>
  <c r="AC371" i="1"/>
  <c r="AB371" i="1"/>
  <c r="AA371" i="1"/>
  <c r="Z371" i="1"/>
  <c r="V371" i="1"/>
  <c r="N371" i="1"/>
  <c r="Q371" i="1"/>
  <c r="L371" i="1"/>
  <c r="J371" i="1"/>
  <c r="AD370" i="1"/>
  <c r="AC370" i="1"/>
  <c r="AB370" i="1"/>
  <c r="AA370" i="1"/>
  <c r="Z370" i="1"/>
  <c r="V370" i="1"/>
  <c r="N370" i="1"/>
  <c r="L370" i="1"/>
  <c r="J370" i="1"/>
  <c r="M370" i="1"/>
  <c r="AD369" i="1"/>
  <c r="AC369" i="1"/>
  <c r="AB369" i="1"/>
  <c r="AA369" i="1"/>
  <c r="Z369" i="1"/>
  <c r="V369" i="1"/>
  <c r="N369" i="1"/>
  <c r="L369" i="1"/>
  <c r="K369" i="1"/>
  <c r="J369" i="1"/>
  <c r="AD368" i="1"/>
  <c r="AC368" i="1"/>
  <c r="AB368" i="1"/>
  <c r="AA368" i="1"/>
  <c r="Z368" i="1"/>
  <c r="V368" i="1"/>
  <c r="N368" i="1"/>
  <c r="L368" i="1"/>
  <c r="R368" i="1"/>
  <c r="K368" i="1"/>
  <c r="J368" i="1"/>
  <c r="AD367" i="1"/>
  <c r="AC367" i="1"/>
  <c r="AB367" i="1"/>
  <c r="AA367" i="1"/>
  <c r="Z367" i="1"/>
  <c r="V367" i="1"/>
  <c r="N367" i="1"/>
  <c r="AD366" i="1"/>
  <c r="AC366" i="1"/>
  <c r="AB366" i="1"/>
  <c r="AA366" i="1"/>
  <c r="Z366" i="1"/>
  <c r="V366" i="1"/>
  <c r="N366" i="1"/>
  <c r="L366" i="1"/>
  <c r="J366" i="1"/>
  <c r="AD365" i="1"/>
  <c r="AC365" i="1"/>
  <c r="AB365" i="1"/>
  <c r="AA365" i="1"/>
  <c r="Z365" i="1"/>
  <c r="V365" i="1"/>
  <c r="N365" i="1"/>
  <c r="Q365" i="1"/>
  <c r="M365" i="1"/>
  <c r="AD364" i="1"/>
  <c r="AC364" i="1"/>
  <c r="AB364" i="1"/>
  <c r="AA364" i="1"/>
  <c r="Z364" i="1"/>
  <c r="V364" i="1"/>
  <c r="N364" i="1"/>
  <c r="AD363" i="1"/>
  <c r="AC363" i="1"/>
  <c r="AB363" i="1"/>
  <c r="AA363" i="1"/>
  <c r="Z363" i="1"/>
  <c r="AD362" i="1"/>
  <c r="AC362" i="1"/>
  <c r="AB362" i="1"/>
  <c r="AA362" i="1"/>
  <c r="Z362" i="1"/>
  <c r="V362" i="1"/>
  <c r="N362" i="1"/>
  <c r="Q362" i="1"/>
  <c r="M362" i="1"/>
  <c r="AD361" i="1"/>
  <c r="AC361" i="1"/>
  <c r="AB361" i="1"/>
  <c r="AA361" i="1"/>
  <c r="Z361" i="1"/>
  <c r="V361" i="1"/>
  <c r="N361" i="1"/>
  <c r="Q361" i="1"/>
  <c r="M361" i="1"/>
  <c r="AD360" i="1"/>
  <c r="AC360" i="1"/>
  <c r="AB360" i="1"/>
  <c r="AA360" i="1"/>
  <c r="Z360" i="1"/>
  <c r="V360" i="1"/>
  <c r="N360" i="1"/>
  <c r="Q360" i="1"/>
  <c r="M360" i="1"/>
  <c r="AD359" i="1"/>
  <c r="AC359" i="1"/>
  <c r="AB359" i="1"/>
  <c r="AA359" i="1"/>
  <c r="Z359" i="1"/>
  <c r="V359" i="1"/>
  <c r="N359" i="1"/>
  <c r="Q359" i="1"/>
  <c r="M359" i="1"/>
  <c r="AD358" i="1"/>
  <c r="AC358" i="1"/>
  <c r="AB358" i="1"/>
  <c r="AA358" i="1"/>
  <c r="Z358" i="1"/>
  <c r="V358" i="1"/>
  <c r="N358" i="1"/>
  <c r="J358" i="1"/>
  <c r="M358" i="1"/>
  <c r="AD357" i="1"/>
  <c r="AC357" i="1"/>
  <c r="AB357" i="1"/>
  <c r="AA357" i="1"/>
  <c r="Z357" i="1"/>
  <c r="V357" i="1"/>
  <c r="N357" i="1"/>
  <c r="R357" i="1"/>
  <c r="K357" i="1"/>
  <c r="M357" i="1"/>
  <c r="AD356" i="1"/>
  <c r="AC356" i="1"/>
  <c r="AB356" i="1"/>
  <c r="AA356" i="1"/>
  <c r="Z356" i="1"/>
  <c r="AD355" i="1"/>
  <c r="AC355" i="1"/>
  <c r="AB355" i="1"/>
  <c r="AA355" i="1"/>
  <c r="Z355" i="1"/>
  <c r="AD354" i="1"/>
  <c r="AC354" i="1"/>
  <c r="AB354" i="1"/>
  <c r="AA354" i="1"/>
  <c r="Z354" i="1"/>
  <c r="V354" i="1"/>
  <c r="N354" i="1"/>
  <c r="Q354" i="1"/>
  <c r="M354" i="1"/>
  <c r="AD353" i="1"/>
  <c r="AC353" i="1"/>
  <c r="AB353" i="1"/>
  <c r="AA353" i="1"/>
  <c r="Z353" i="1"/>
  <c r="V353" i="1"/>
  <c r="N353" i="1"/>
  <c r="Q353" i="1"/>
  <c r="AD352" i="1"/>
  <c r="AC352" i="1"/>
  <c r="AB352" i="1"/>
  <c r="AA352" i="1"/>
  <c r="Z352" i="1"/>
  <c r="V352" i="1"/>
  <c r="N352" i="1"/>
  <c r="L352" i="1"/>
  <c r="K352" i="1"/>
  <c r="J352" i="1"/>
  <c r="AD351" i="1"/>
  <c r="AC351" i="1"/>
  <c r="AB351" i="1"/>
  <c r="AA351" i="1"/>
  <c r="Z351" i="1"/>
  <c r="V351" i="1"/>
  <c r="N351" i="1"/>
  <c r="L351" i="1"/>
  <c r="K351" i="1"/>
  <c r="J351" i="1"/>
  <c r="AD350" i="1"/>
  <c r="AC350" i="1"/>
  <c r="AB350" i="1"/>
  <c r="AA350" i="1"/>
  <c r="Z350" i="1"/>
  <c r="V350" i="1"/>
  <c r="N350" i="1"/>
  <c r="Q350" i="1"/>
  <c r="M350" i="1"/>
  <c r="AD349" i="1"/>
  <c r="AC349" i="1"/>
  <c r="AB349" i="1"/>
  <c r="AA349" i="1"/>
  <c r="Z349" i="1"/>
  <c r="V349" i="1"/>
  <c r="N349" i="1"/>
  <c r="Q349" i="1"/>
  <c r="M349" i="1"/>
  <c r="AD348" i="1"/>
  <c r="AC348" i="1"/>
  <c r="AB348" i="1"/>
  <c r="AA348" i="1"/>
  <c r="Z348" i="1"/>
  <c r="V348" i="1"/>
  <c r="N348" i="1"/>
  <c r="Q348" i="1"/>
  <c r="M348" i="1"/>
  <c r="AD347" i="1"/>
  <c r="AC347" i="1"/>
  <c r="AB347" i="1"/>
  <c r="AA347" i="1"/>
  <c r="Z347" i="1"/>
  <c r="V347" i="1"/>
  <c r="N347" i="1"/>
  <c r="L347" i="1"/>
  <c r="K347" i="1"/>
  <c r="J347" i="1"/>
  <c r="AD346" i="1"/>
  <c r="AC346" i="1"/>
  <c r="AB346" i="1"/>
  <c r="AA346" i="1"/>
  <c r="Z346" i="1"/>
  <c r="V346" i="1"/>
  <c r="N346" i="1"/>
  <c r="L346" i="1"/>
  <c r="K346" i="1"/>
  <c r="M346" i="1"/>
  <c r="AD345" i="1"/>
  <c r="AC345" i="1"/>
  <c r="AB345" i="1"/>
  <c r="AA345" i="1"/>
  <c r="Z345" i="1"/>
  <c r="V345" i="1"/>
  <c r="N345" i="1"/>
  <c r="Q345" i="1"/>
  <c r="M345" i="1"/>
  <c r="AD344" i="1"/>
  <c r="AC344" i="1"/>
  <c r="AB344" i="1"/>
  <c r="AA344" i="1"/>
  <c r="Z344" i="1"/>
  <c r="AD343" i="1"/>
  <c r="AC343" i="1"/>
  <c r="AB343" i="1"/>
  <c r="AA343" i="1"/>
  <c r="Z343" i="1"/>
  <c r="AD342" i="1"/>
  <c r="AC342" i="1"/>
  <c r="AB342" i="1"/>
  <c r="AA342" i="1"/>
  <c r="Z342" i="1"/>
  <c r="V342" i="1"/>
  <c r="N342" i="1"/>
  <c r="Q342" i="1"/>
  <c r="M342" i="1"/>
  <c r="AD341" i="1"/>
  <c r="AC341" i="1"/>
  <c r="AB341" i="1"/>
  <c r="AA341" i="1"/>
  <c r="Z341" i="1"/>
  <c r="V341" i="1"/>
  <c r="N341" i="1"/>
  <c r="L341" i="1"/>
  <c r="K341" i="1"/>
  <c r="J341" i="1"/>
  <c r="AD340" i="1"/>
  <c r="AC340" i="1"/>
  <c r="AB340" i="1"/>
  <c r="AA340" i="1"/>
  <c r="Z340" i="1"/>
  <c r="V340" i="1"/>
  <c r="N340" i="1"/>
  <c r="L340" i="1"/>
  <c r="K340" i="1"/>
  <c r="J340" i="1"/>
  <c r="AD339" i="1"/>
  <c r="AC339" i="1"/>
  <c r="AB339" i="1"/>
  <c r="AA339" i="1"/>
  <c r="Z339" i="1"/>
  <c r="V339" i="1"/>
  <c r="N339" i="1"/>
  <c r="L339" i="1"/>
  <c r="K339" i="1"/>
  <c r="AD338" i="1"/>
  <c r="AC338" i="1"/>
  <c r="AB338" i="1"/>
  <c r="AA338" i="1"/>
  <c r="Z338" i="1"/>
  <c r="V338" i="1"/>
  <c r="N338" i="1"/>
  <c r="M338" i="1"/>
  <c r="AD337" i="1"/>
  <c r="AC337" i="1"/>
  <c r="AB337" i="1"/>
  <c r="AA337" i="1"/>
  <c r="Z337" i="1"/>
  <c r="V337" i="1"/>
  <c r="N337" i="1"/>
  <c r="AD336" i="1"/>
  <c r="AC336" i="1"/>
  <c r="AB336" i="1"/>
  <c r="AA336" i="1"/>
  <c r="Z336" i="1"/>
  <c r="V336" i="1"/>
  <c r="N336" i="1"/>
  <c r="M336" i="1"/>
  <c r="AD335" i="1"/>
  <c r="AC335" i="1"/>
  <c r="AB335" i="1"/>
  <c r="AA335" i="1"/>
  <c r="Z335" i="1"/>
  <c r="V335" i="1"/>
  <c r="N335" i="1"/>
  <c r="R335" i="1"/>
  <c r="M335" i="1"/>
  <c r="AD334" i="1"/>
  <c r="AC334" i="1"/>
  <c r="AB334" i="1"/>
  <c r="AA334" i="1"/>
  <c r="Z334" i="1"/>
  <c r="V334" i="1"/>
  <c r="N334" i="1"/>
  <c r="Q334" i="1"/>
  <c r="M334" i="1"/>
  <c r="AD333" i="1"/>
  <c r="AC333" i="1"/>
  <c r="AB333" i="1"/>
  <c r="AA333" i="1"/>
  <c r="Z333" i="1"/>
  <c r="V333" i="1"/>
  <c r="N333" i="1"/>
  <c r="K333" i="1"/>
  <c r="M333" i="1"/>
  <c r="AD332" i="1"/>
  <c r="AC332" i="1"/>
  <c r="AB332" i="1"/>
  <c r="AA332" i="1"/>
  <c r="Z332" i="1"/>
  <c r="V332" i="1"/>
  <c r="N332" i="1"/>
  <c r="M332" i="1"/>
  <c r="AD331" i="1"/>
  <c r="AC331" i="1"/>
  <c r="AB331" i="1"/>
  <c r="AA331" i="1"/>
  <c r="Z331" i="1"/>
  <c r="AD330" i="1"/>
  <c r="AC330" i="1"/>
  <c r="AB330" i="1"/>
  <c r="AA330" i="1"/>
  <c r="Z330" i="1"/>
  <c r="V330" i="1"/>
  <c r="N330" i="1"/>
  <c r="M330" i="1"/>
  <c r="AD329" i="1"/>
  <c r="AC329" i="1"/>
  <c r="AB329" i="1"/>
  <c r="AA329" i="1"/>
  <c r="Z329" i="1"/>
  <c r="V329" i="1"/>
  <c r="N329" i="1"/>
  <c r="M329" i="1"/>
  <c r="AD328" i="1"/>
  <c r="AC328" i="1"/>
  <c r="AB328" i="1"/>
  <c r="AA328" i="1"/>
  <c r="Z328" i="1"/>
  <c r="AD327" i="1"/>
  <c r="AC327" i="1"/>
  <c r="AB327" i="1"/>
  <c r="AA327" i="1"/>
  <c r="Z327" i="1"/>
  <c r="AD326" i="1"/>
  <c r="AC326" i="1"/>
  <c r="AB326" i="1"/>
  <c r="AA326" i="1"/>
  <c r="Z326" i="1"/>
  <c r="V326" i="1"/>
  <c r="N326" i="1"/>
  <c r="M326" i="1"/>
  <c r="AD325" i="1"/>
  <c r="AC325" i="1"/>
  <c r="AB325" i="1"/>
  <c r="AA325" i="1"/>
  <c r="Z325" i="1"/>
  <c r="V325" i="1"/>
  <c r="N325" i="1"/>
  <c r="AD324" i="1"/>
  <c r="AC324" i="1"/>
  <c r="AB324" i="1"/>
  <c r="AA324" i="1"/>
  <c r="Z324" i="1"/>
  <c r="V324" i="1"/>
  <c r="N324" i="1"/>
  <c r="Q324" i="1"/>
  <c r="M324" i="1"/>
  <c r="AD323" i="1"/>
  <c r="AC323" i="1"/>
  <c r="AB323" i="1"/>
  <c r="AA323" i="1"/>
  <c r="Z323" i="1"/>
  <c r="V323" i="1"/>
  <c r="N323" i="1"/>
  <c r="Q323" i="1"/>
  <c r="M323" i="1"/>
  <c r="AD322" i="1"/>
  <c r="AC322" i="1"/>
  <c r="AB322" i="1"/>
  <c r="AA322" i="1"/>
  <c r="Z322" i="1"/>
  <c r="V322" i="1"/>
  <c r="N322" i="1"/>
  <c r="Q322" i="1"/>
  <c r="M322" i="1"/>
  <c r="AD321" i="1"/>
  <c r="AC321" i="1"/>
  <c r="AB321" i="1"/>
  <c r="AA321" i="1"/>
  <c r="Z321" i="1"/>
  <c r="AD320" i="1"/>
  <c r="AC320" i="1"/>
  <c r="AB320" i="1"/>
  <c r="AA320" i="1"/>
  <c r="Z320" i="1"/>
  <c r="V320" i="1"/>
  <c r="N320" i="1"/>
  <c r="Q320" i="1"/>
  <c r="M320" i="1"/>
  <c r="AD319" i="1"/>
  <c r="AC319" i="1"/>
  <c r="AB319" i="1"/>
  <c r="AA319" i="1"/>
  <c r="Z319" i="1"/>
  <c r="V319" i="1"/>
  <c r="N319" i="1"/>
  <c r="R319" i="1"/>
  <c r="K319" i="1"/>
  <c r="M319" i="1"/>
  <c r="AD318" i="1"/>
  <c r="AC318" i="1"/>
  <c r="AB318" i="1"/>
  <c r="AA318" i="1"/>
  <c r="Z318" i="1"/>
  <c r="V318" i="1"/>
  <c r="N318" i="1"/>
  <c r="J318" i="1"/>
  <c r="M318" i="1"/>
  <c r="AD317" i="1"/>
  <c r="AC317" i="1"/>
  <c r="AB317" i="1"/>
  <c r="AA317" i="1"/>
  <c r="Z317" i="1"/>
  <c r="V317" i="1"/>
  <c r="N317" i="1"/>
  <c r="R317" i="1"/>
  <c r="J317" i="1"/>
  <c r="M317" i="1"/>
  <c r="AD316" i="1"/>
  <c r="AC316" i="1"/>
  <c r="AB316" i="1"/>
  <c r="AA316" i="1"/>
  <c r="Z316" i="1"/>
  <c r="AD315" i="1"/>
  <c r="AC315" i="1"/>
  <c r="AB315" i="1"/>
  <c r="AA315" i="1"/>
  <c r="Z315" i="1"/>
  <c r="V315" i="1"/>
  <c r="N315" i="1"/>
  <c r="M315" i="1"/>
  <c r="AD314" i="1"/>
  <c r="AC314" i="1"/>
  <c r="AB314" i="1"/>
  <c r="AA314" i="1"/>
  <c r="Z314" i="1"/>
  <c r="V314" i="1"/>
  <c r="N314" i="1"/>
  <c r="M314" i="1"/>
  <c r="AD313" i="1"/>
  <c r="AC313" i="1"/>
  <c r="AB313" i="1"/>
  <c r="AA313" i="1"/>
  <c r="Z313" i="1"/>
  <c r="V313" i="1"/>
  <c r="N313" i="1"/>
  <c r="Q313" i="1"/>
  <c r="J313" i="1"/>
  <c r="M313" i="1"/>
  <c r="AD312" i="1"/>
  <c r="AC312" i="1"/>
  <c r="AB312" i="1"/>
  <c r="AA312" i="1"/>
  <c r="Z312" i="1"/>
  <c r="AD311" i="1"/>
  <c r="AC311" i="1"/>
  <c r="AB311" i="1"/>
  <c r="AA311" i="1"/>
  <c r="Z311" i="1"/>
  <c r="V311" i="1"/>
  <c r="N311" i="1"/>
  <c r="P311" i="1"/>
  <c r="L311" i="1"/>
  <c r="K311" i="1"/>
  <c r="M311" i="1"/>
  <c r="AD310" i="1"/>
  <c r="AC310" i="1"/>
  <c r="AB310" i="1"/>
  <c r="AA310" i="1"/>
  <c r="Z310" i="1"/>
  <c r="V310" i="1"/>
  <c r="N310" i="1"/>
  <c r="R310" i="1"/>
  <c r="M310" i="1"/>
  <c r="AD309" i="1"/>
  <c r="AC309" i="1"/>
  <c r="AB309" i="1"/>
  <c r="AA309" i="1"/>
  <c r="Z309" i="1"/>
  <c r="V309" i="1"/>
  <c r="N309" i="1"/>
  <c r="P309" i="1"/>
  <c r="M309" i="1"/>
  <c r="AD308" i="1"/>
  <c r="AC308" i="1"/>
  <c r="AB308" i="1"/>
  <c r="AA308" i="1"/>
  <c r="Z308" i="1"/>
  <c r="V308" i="1"/>
  <c r="N308" i="1"/>
  <c r="M308" i="1"/>
  <c r="AD307" i="1"/>
  <c r="AC307" i="1"/>
  <c r="AB307" i="1"/>
  <c r="AA307" i="1"/>
  <c r="Z307" i="1"/>
  <c r="V307" i="1"/>
  <c r="N307" i="1"/>
  <c r="M307" i="1"/>
  <c r="AD306" i="1"/>
  <c r="AC306" i="1"/>
  <c r="AB306" i="1"/>
  <c r="AA306" i="1"/>
  <c r="Z306" i="1"/>
  <c r="AD305" i="1"/>
  <c r="AC305" i="1"/>
  <c r="AB305" i="1"/>
  <c r="AA305" i="1"/>
  <c r="Z305" i="1"/>
  <c r="AD304" i="1"/>
  <c r="AC304" i="1"/>
  <c r="AB304" i="1"/>
  <c r="AA304" i="1"/>
  <c r="Z304" i="1"/>
  <c r="V304" i="1"/>
  <c r="N304" i="1"/>
  <c r="O304" i="1"/>
  <c r="AD303" i="1"/>
  <c r="AC303" i="1"/>
  <c r="AB303" i="1"/>
  <c r="AA303" i="1"/>
  <c r="Z303" i="1"/>
  <c r="V303" i="1"/>
  <c r="N303" i="1"/>
  <c r="O303" i="1"/>
  <c r="AD302" i="1"/>
  <c r="AC302" i="1"/>
  <c r="AB302" i="1"/>
  <c r="AA302" i="1"/>
  <c r="Z302" i="1"/>
  <c r="V302" i="1"/>
  <c r="N302" i="1"/>
  <c r="O302" i="1"/>
  <c r="M302" i="1"/>
  <c r="AD301" i="1"/>
  <c r="AC301" i="1"/>
  <c r="AB301" i="1"/>
  <c r="AA301" i="1"/>
  <c r="Z301" i="1"/>
  <c r="V301" i="1"/>
  <c r="N301" i="1"/>
  <c r="P301" i="1"/>
  <c r="M301" i="1"/>
  <c r="AD300" i="1"/>
  <c r="AC300" i="1"/>
  <c r="AB300" i="1"/>
  <c r="AA300" i="1"/>
  <c r="Z300" i="1"/>
  <c r="V300" i="1"/>
  <c r="N300" i="1"/>
  <c r="AD299" i="1"/>
  <c r="AC299" i="1"/>
  <c r="AB299" i="1"/>
  <c r="AA299" i="1"/>
  <c r="Z299" i="1"/>
  <c r="V299" i="1"/>
  <c r="N299" i="1"/>
  <c r="L299" i="1"/>
  <c r="L303" i="1"/>
  <c r="K299" i="1"/>
  <c r="K303" i="1"/>
  <c r="J299" i="1"/>
  <c r="AD298" i="1"/>
  <c r="AC298" i="1"/>
  <c r="AB298" i="1"/>
  <c r="AA298" i="1"/>
  <c r="Z298" i="1"/>
  <c r="V298" i="1"/>
  <c r="N298" i="1"/>
  <c r="Q298" i="1"/>
  <c r="M298" i="1"/>
  <c r="AD297" i="1"/>
  <c r="AC297" i="1"/>
  <c r="AB297" i="1"/>
  <c r="AA297" i="1"/>
  <c r="Z297" i="1"/>
  <c r="V297" i="1"/>
  <c r="N297" i="1"/>
  <c r="R297" i="1"/>
  <c r="M297" i="1"/>
  <c r="AD296" i="1"/>
  <c r="AC296" i="1"/>
  <c r="AB296" i="1"/>
  <c r="AA296" i="1"/>
  <c r="Z296" i="1"/>
  <c r="V296" i="1"/>
  <c r="N296" i="1"/>
  <c r="O296" i="1"/>
  <c r="M296" i="1"/>
  <c r="AD295" i="1"/>
  <c r="AC295" i="1"/>
  <c r="AB295" i="1"/>
  <c r="AA295" i="1"/>
  <c r="Z295" i="1"/>
  <c r="V295" i="1"/>
  <c r="N295" i="1"/>
  <c r="L295" i="1"/>
  <c r="K295" i="1"/>
  <c r="J295" i="1"/>
  <c r="AD294" i="1"/>
  <c r="AC294" i="1"/>
  <c r="AB294" i="1"/>
  <c r="AA294" i="1"/>
  <c r="Z294" i="1"/>
  <c r="V294" i="1"/>
  <c r="N294" i="1"/>
  <c r="P294" i="1"/>
  <c r="M294" i="1"/>
  <c r="AD293" i="1"/>
  <c r="AC293" i="1"/>
  <c r="AB293" i="1"/>
  <c r="AA293" i="1"/>
  <c r="Z293" i="1"/>
  <c r="V293" i="1"/>
  <c r="N293" i="1"/>
  <c r="L293" i="1"/>
  <c r="L300" i="1"/>
  <c r="L304" i="1"/>
  <c r="K293" i="1"/>
  <c r="K300" i="1"/>
  <c r="K304" i="1"/>
  <c r="J293" i="1"/>
  <c r="AD292" i="1"/>
  <c r="AC292" i="1"/>
  <c r="AB292" i="1"/>
  <c r="AA292" i="1"/>
  <c r="Z292" i="1"/>
  <c r="V292" i="1"/>
  <c r="N292" i="1"/>
  <c r="L292" i="1"/>
  <c r="K292" i="1"/>
  <c r="J292" i="1"/>
  <c r="AD291" i="1"/>
  <c r="AC291" i="1"/>
  <c r="AB291" i="1"/>
  <c r="AA291" i="1"/>
  <c r="Z291" i="1"/>
  <c r="V291" i="1"/>
  <c r="N291" i="1"/>
  <c r="M291" i="1"/>
  <c r="AD290" i="1"/>
  <c r="AC290" i="1"/>
  <c r="AB290" i="1"/>
  <c r="AA290" i="1"/>
  <c r="Z290" i="1"/>
  <c r="AD289" i="1"/>
  <c r="AC289" i="1"/>
  <c r="AB289" i="1"/>
  <c r="AA289" i="1"/>
  <c r="Z289" i="1"/>
  <c r="V289" i="1"/>
  <c r="N289" i="1"/>
  <c r="M289" i="1"/>
  <c r="AD288" i="1"/>
  <c r="AC288" i="1"/>
  <c r="AB288" i="1"/>
  <c r="AA288" i="1"/>
  <c r="Z288" i="1"/>
  <c r="V288" i="1"/>
  <c r="N288" i="1"/>
  <c r="M288" i="1"/>
  <c r="AD287" i="1"/>
  <c r="AC287" i="1"/>
  <c r="AB287" i="1"/>
  <c r="AA287" i="1"/>
  <c r="Z287" i="1"/>
  <c r="AD286" i="1"/>
  <c r="AC286" i="1"/>
  <c r="AB286" i="1"/>
  <c r="AA286" i="1"/>
  <c r="Z286" i="1"/>
  <c r="V286" i="1"/>
  <c r="N286" i="1"/>
  <c r="AD285" i="1"/>
  <c r="AC285" i="1"/>
  <c r="AB285" i="1"/>
  <c r="AA285" i="1"/>
  <c r="Z285" i="1"/>
  <c r="V285" i="1"/>
  <c r="N285" i="1"/>
  <c r="M285" i="1"/>
  <c r="AD284" i="1"/>
  <c r="AC284" i="1"/>
  <c r="AB284" i="1"/>
  <c r="AA284" i="1"/>
  <c r="Z284" i="1"/>
  <c r="V284" i="1"/>
  <c r="N284" i="1"/>
  <c r="AD283" i="1"/>
  <c r="AC283" i="1"/>
  <c r="AB283" i="1"/>
  <c r="AA283" i="1"/>
  <c r="Z283" i="1"/>
  <c r="V283" i="1"/>
  <c r="N283" i="1"/>
  <c r="Q283" i="1"/>
  <c r="J283" i="1"/>
  <c r="M283" i="1"/>
  <c r="AD282" i="1"/>
  <c r="AC282" i="1"/>
  <c r="AB282" i="1"/>
  <c r="AA282" i="1"/>
  <c r="Z282" i="1"/>
  <c r="V282" i="1"/>
  <c r="N282" i="1"/>
  <c r="M282" i="1"/>
  <c r="AD281" i="1"/>
  <c r="AC281" i="1"/>
  <c r="AB281" i="1"/>
  <c r="AA281" i="1"/>
  <c r="Z281" i="1"/>
  <c r="AD280" i="1"/>
  <c r="AC280" i="1"/>
  <c r="AB280" i="1"/>
  <c r="AA280" i="1"/>
  <c r="Z280" i="1"/>
  <c r="AD279" i="1"/>
  <c r="AC279" i="1"/>
  <c r="AB279" i="1"/>
  <c r="AA279" i="1"/>
  <c r="Z279" i="1"/>
  <c r="AD278" i="1"/>
  <c r="AC278" i="1"/>
  <c r="AB278" i="1"/>
  <c r="AA278" i="1"/>
  <c r="Z278" i="1"/>
  <c r="V278" i="1"/>
  <c r="N278" i="1"/>
  <c r="L278" i="1"/>
  <c r="K278" i="1"/>
  <c r="J278" i="1"/>
  <c r="AD277" i="1"/>
  <c r="AC277" i="1"/>
  <c r="AB277" i="1"/>
  <c r="AA277" i="1"/>
  <c r="Z277" i="1"/>
  <c r="V277" i="1"/>
  <c r="N277" i="1"/>
  <c r="O277" i="1"/>
  <c r="AD276" i="1"/>
  <c r="AC276" i="1"/>
  <c r="AB276" i="1"/>
  <c r="AA276" i="1"/>
  <c r="Z276" i="1"/>
  <c r="V276" i="1"/>
  <c r="N276" i="1"/>
  <c r="Q276" i="1"/>
  <c r="M276" i="1"/>
  <c r="AD275" i="1"/>
  <c r="AC275" i="1"/>
  <c r="AB275" i="1"/>
  <c r="AA275" i="1"/>
  <c r="Z275" i="1"/>
  <c r="AD274" i="1"/>
  <c r="AC274" i="1"/>
  <c r="AB274" i="1"/>
  <c r="AA274" i="1"/>
  <c r="Z274" i="1"/>
  <c r="V274" i="1"/>
  <c r="N274" i="1"/>
  <c r="Q274" i="1"/>
  <c r="M274" i="1"/>
  <c r="AD273" i="1"/>
  <c r="AC273" i="1"/>
  <c r="AB273" i="1"/>
  <c r="AA273" i="1"/>
  <c r="Z273" i="1"/>
  <c r="V273" i="1"/>
  <c r="N273" i="1"/>
  <c r="J264" i="1"/>
  <c r="J273" i="1"/>
  <c r="K277" i="1"/>
  <c r="AD272" i="1"/>
  <c r="AC272" i="1"/>
  <c r="AB272" i="1"/>
  <c r="AA272" i="1"/>
  <c r="Z272" i="1"/>
  <c r="V272" i="1"/>
  <c r="N272" i="1"/>
  <c r="J272" i="1"/>
  <c r="AD271" i="1"/>
  <c r="AC271" i="1"/>
  <c r="AB271" i="1"/>
  <c r="AA271" i="1"/>
  <c r="Z271" i="1"/>
  <c r="V271" i="1"/>
  <c r="N271" i="1"/>
  <c r="P271" i="1"/>
  <c r="AD270" i="1"/>
  <c r="AC270" i="1"/>
  <c r="AB270" i="1"/>
  <c r="AA270" i="1"/>
  <c r="Z270" i="1"/>
  <c r="V270" i="1"/>
  <c r="N270" i="1"/>
  <c r="Q270" i="1"/>
  <c r="M270" i="1"/>
  <c r="AD269" i="1"/>
  <c r="AC269" i="1"/>
  <c r="AB269" i="1"/>
  <c r="AA269" i="1"/>
  <c r="Z269" i="1"/>
  <c r="AD268" i="1"/>
  <c r="AC268" i="1"/>
  <c r="AB268" i="1"/>
  <c r="AA268" i="1"/>
  <c r="Z268" i="1"/>
  <c r="V268" i="1"/>
  <c r="N268" i="1"/>
  <c r="J268" i="1"/>
  <c r="AD267" i="1"/>
  <c r="AC267" i="1"/>
  <c r="AB267" i="1"/>
  <c r="AA267" i="1"/>
  <c r="Z267" i="1"/>
  <c r="V267" i="1"/>
  <c r="N267" i="1"/>
  <c r="K267" i="1"/>
  <c r="Q267" i="1"/>
  <c r="L267" i="1"/>
  <c r="L271" i="1"/>
  <c r="AD266" i="1"/>
  <c r="AC266" i="1"/>
  <c r="AB266" i="1"/>
  <c r="AA266" i="1"/>
  <c r="Z266" i="1"/>
  <c r="V266" i="1"/>
  <c r="N266" i="1"/>
  <c r="P266" i="1"/>
  <c r="L266" i="1"/>
  <c r="K266" i="1"/>
  <c r="AD265" i="1"/>
  <c r="AC265" i="1"/>
  <c r="AB265" i="1"/>
  <c r="AA265" i="1"/>
  <c r="Z265" i="1"/>
  <c r="V265" i="1"/>
  <c r="N265" i="1"/>
  <c r="O265" i="1"/>
  <c r="L265" i="1"/>
  <c r="K265" i="1"/>
  <c r="J265" i="1"/>
  <c r="AD264" i="1"/>
  <c r="AC264" i="1"/>
  <c r="AB264" i="1"/>
  <c r="AA264" i="1"/>
  <c r="Z264" i="1"/>
  <c r="V264" i="1"/>
  <c r="N264" i="1"/>
  <c r="O264" i="1"/>
  <c r="L264" i="1"/>
  <c r="AD263" i="1"/>
  <c r="AC263" i="1"/>
  <c r="AB263" i="1"/>
  <c r="AA263" i="1"/>
  <c r="Z263" i="1"/>
  <c r="V263" i="1"/>
  <c r="N263" i="1"/>
  <c r="Q263" i="1"/>
  <c r="AD262" i="1"/>
  <c r="AC262" i="1"/>
  <c r="AB262" i="1"/>
  <c r="AA262" i="1"/>
  <c r="Z262" i="1"/>
  <c r="AD261" i="1"/>
  <c r="AC261" i="1"/>
  <c r="AB261" i="1"/>
  <c r="AA261" i="1"/>
  <c r="Z261" i="1"/>
  <c r="AD260" i="1"/>
  <c r="AC260" i="1"/>
  <c r="AB260" i="1"/>
  <c r="AA260" i="1"/>
  <c r="Z260" i="1"/>
  <c r="V260" i="1"/>
  <c r="N260" i="1"/>
  <c r="L260" i="1"/>
  <c r="J260" i="1"/>
  <c r="AD259" i="1"/>
  <c r="AC259" i="1"/>
  <c r="AB259" i="1"/>
  <c r="AA259" i="1"/>
  <c r="Z259" i="1"/>
  <c r="V259" i="1"/>
  <c r="N259" i="1"/>
  <c r="O259" i="1"/>
  <c r="L259" i="1"/>
  <c r="K259" i="1"/>
  <c r="AD258" i="1"/>
  <c r="AC258" i="1"/>
  <c r="AB258" i="1"/>
  <c r="AA258" i="1"/>
  <c r="Z258" i="1"/>
  <c r="V258" i="1"/>
  <c r="N258" i="1"/>
  <c r="Q258" i="1"/>
  <c r="M258" i="1"/>
  <c r="AD257" i="1"/>
  <c r="AC257" i="1"/>
  <c r="AB257" i="1"/>
  <c r="AA257" i="1"/>
  <c r="Z257" i="1"/>
  <c r="V257" i="1"/>
  <c r="N257" i="1"/>
  <c r="Q257" i="1"/>
  <c r="M257" i="1"/>
  <c r="AD256" i="1"/>
  <c r="AC256" i="1"/>
  <c r="AB256" i="1"/>
  <c r="AA256" i="1"/>
  <c r="Z256" i="1"/>
  <c r="V256" i="1"/>
  <c r="N256" i="1"/>
  <c r="K256" i="1"/>
  <c r="J256" i="1"/>
  <c r="AD255" i="1"/>
  <c r="AC255" i="1"/>
  <c r="AB255" i="1"/>
  <c r="AA255" i="1"/>
  <c r="Z255" i="1"/>
  <c r="V255" i="1"/>
  <c r="N255" i="1"/>
  <c r="O255" i="1"/>
  <c r="K255" i="1"/>
  <c r="J255" i="1"/>
  <c r="AD254" i="1"/>
  <c r="AC254" i="1"/>
  <c r="AB254" i="1"/>
  <c r="AA254" i="1"/>
  <c r="Z254" i="1"/>
  <c r="V254" i="1"/>
  <c r="N254" i="1"/>
  <c r="R254" i="1"/>
  <c r="K254" i="1"/>
  <c r="AD253" i="1"/>
  <c r="AC253" i="1"/>
  <c r="AB253" i="1"/>
  <c r="AA253" i="1"/>
  <c r="Z253" i="1"/>
  <c r="V253" i="1"/>
  <c r="N253" i="1"/>
  <c r="J253" i="1"/>
  <c r="M253" i="1"/>
  <c r="AD252" i="1"/>
  <c r="AC252" i="1"/>
  <c r="AB252" i="1"/>
  <c r="AA252" i="1"/>
  <c r="Z252" i="1"/>
  <c r="V252" i="1"/>
  <c r="N252" i="1"/>
  <c r="R252" i="1"/>
  <c r="K252" i="1"/>
  <c r="AD251" i="1"/>
  <c r="AC251" i="1"/>
  <c r="AB251" i="1"/>
  <c r="AA251" i="1"/>
  <c r="Z251" i="1"/>
  <c r="AD250" i="1"/>
  <c r="AC250" i="1"/>
  <c r="AB250" i="1"/>
  <c r="AA250" i="1"/>
  <c r="Z250" i="1"/>
  <c r="V250" i="1"/>
  <c r="N250" i="1"/>
  <c r="L250" i="1"/>
  <c r="K250" i="1"/>
  <c r="AD249" i="1"/>
  <c r="AC249" i="1"/>
  <c r="AB249" i="1"/>
  <c r="AA249" i="1"/>
  <c r="Z249" i="1"/>
  <c r="V249" i="1"/>
  <c r="N249" i="1"/>
  <c r="P249" i="1"/>
  <c r="K249" i="1"/>
  <c r="L249" i="1"/>
  <c r="M249" i="1"/>
  <c r="AD248" i="1"/>
  <c r="AC248" i="1"/>
  <c r="AB248" i="1"/>
  <c r="AA248" i="1"/>
  <c r="Z248" i="1"/>
  <c r="V248" i="1"/>
  <c r="N248" i="1"/>
  <c r="M248" i="1"/>
  <c r="AD247" i="1"/>
  <c r="AC247" i="1"/>
  <c r="AB247" i="1"/>
  <c r="AA247" i="1"/>
  <c r="Z247" i="1"/>
  <c r="V247" i="1"/>
  <c r="N247" i="1"/>
  <c r="O247" i="1"/>
  <c r="L247" i="1"/>
  <c r="K247" i="1"/>
  <c r="J247" i="1"/>
  <c r="AD246" i="1"/>
  <c r="AC246" i="1"/>
  <c r="AB246" i="1"/>
  <c r="AA246" i="1"/>
  <c r="Z246" i="1"/>
  <c r="V246" i="1"/>
  <c r="N246" i="1"/>
  <c r="O246" i="1"/>
  <c r="L246" i="1"/>
  <c r="J246" i="1"/>
  <c r="M246" i="1"/>
  <c r="AD245" i="1"/>
  <c r="AC245" i="1"/>
  <c r="AB245" i="1"/>
  <c r="AA245" i="1"/>
  <c r="Z245" i="1"/>
  <c r="V245" i="1"/>
  <c r="N245" i="1"/>
  <c r="Q245" i="1"/>
  <c r="M245" i="1"/>
  <c r="AD244" i="1"/>
  <c r="AC244" i="1"/>
  <c r="AB244" i="1"/>
  <c r="AA244" i="1"/>
  <c r="Z244" i="1"/>
  <c r="V244" i="1"/>
  <c r="N244" i="1"/>
  <c r="O244" i="1"/>
  <c r="L244" i="1"/>
  <c r="K244" i="1"/>
  <c r="J244" i="1"/>
  <c r="AD243" i="1"/>
  <c r="AC243" i="1"/>
  <c r="AB243" i="1"/>
  <c r="AA243" i="1"/>
  <c r="Z243" i="1"/>
  <c r="V243" i="1"/>
  <c r="N243" i="1"/>
  <c r="O243" i="1"/>
  <c r="L243" i="1"/>
  <c r="K243" i="1"/>
  <c r="AD242" i="1"/>
  <c r="AC242" i="1"/>
  <c r="AB242" i="1"/>
  <c r="AA242" i="1"/>
  <c r="Z242" i="1"/>
  <c r="V242" i="1"/>
  <c r="N242" i="1"/>
  <c r="L242" i="1"/>
  <c r="K242" i="1"/>
  <c r="J242" i="1"/>
  <c r="AD241" i="1"/>
  <c r="AC241" i="1"/>
  <c r="AB241" i="1"/>
  <c r="AA241" i="1"/>
  <c r="Z241" i="1"/>
  <c r="V241" i="1"/>
  <c r="N241" i="1"/>
  <c r="L241" i="1"/>
  <c r="K241" i="1"/>
  <c r="J241" i="1"/>
  <c r="AD240" i="1"/>
  <c r="AC240" i="1"/>
  <c r="AB240" i="1"/>
  <c r="AA240" i="1"/>
  <c r="Z240" i="1"/>
  <c r="V240" i="1"/>
  <c r="N240" i="1"/>
  <c r="L240" i="1"/>
  <c r="R240" i="1"/>
  <c r="J240" i="1"/>
  <c r="AD239" i="1"/>
  <c r="AC239" i="1"/>
  <c r="AB239" i="1"/>
  <c r="AA239" i="1"/>
  <c r="Z239" i="1"/>
  <c r="V239" i="1"/>
  <c r="N239" i="1"/>
  <c r="L239" i="1"/>
  <c r="K239" i="1"/>
  <c r="J239" i="1"/>
  <c r="AD238" i="1"/>
  <c r="AC238" i="1"/>
  <c r="AB238" i="1"/>
  <c r="AA238" i="1"/>
  <c r="Z238" i="1"/>
  <c r="V238" i="1"/>
  <c r="N238" i="1"/>
  <c r="K238" i="1"/>
  <c r="M238" i="1"/>
  <c r="AD237" i="1"/>
  <c r="AC237" i="1"/>
  <c r="AB237" i="1"/>
  <c r="AA237" i="1"/>
  <c r="Z237" i="1"/>
  <c r="V237" i="1"/>
  <c r="N237" i="1"/>
  <c r="O237" i="1"/>
  <c r="J237" i="1"/>
  <c r="M237" i="1"/>
  <c r="AD236" i="1"/>
  <c r="AC236" i="1"/>
  <c r="AB236" i="1"/>
  <c r="AA236" i="1"/>
  <c r="Z236" i="1"/>
  <c r="V236" i="1"/>
  <c r="N236" i="1"/>
  <c r="K236" i="1"/>
  <c r="J236" i="1"/>
  <c r="AD235" i="1"/>
  <c r="AC235" i="1"/>
  <c r="AB235" i="1"/>
  <c r="AA235" i="1"/>
  <c r="Z235" i="1"/>
  <c r="V235" i="1"/>
  <c r="N235" i="1"/>
  <c r="J235" i="1"/>
  <c r="K235" i="1"/>
  <c r="M235" i="1"/>
  <c r="AD234" i="1"/>
  <c r="AC234" i="1"/>
  <c r="AB234" i="1"/>
  <c r="AA234" i="1"/>
  <c r="Z234" i="1"/>
  <c r="V234" i="1"/>
  <c r="N234" i="1"/>
  <c r="Q234" i="1"/>
  <c r="M234" i="1"/>
  <c r="AD233" i="1"/>
  <c r="AC233" i="1"/>
  <c r="AB233" i="1"/>
  <c r="AA233" i="1"/>
  <c r="Z233" i="1"/>
  <c r="AD232" i="1"/>
  <c r="AC232" i="1"/>
  <c r="AB232" i="1"/>
  <c r="AA232" i="1"/>
  <c r="Z232" i="1"/>
  <c r="AD231" i="1"/>
  <c r="AC231" i="1"/>
  <c r="AB231" i="1"/>
  <c r="AA231" i="1"/>
  <c r="Z231" i="1"/>
  <c r="V231" i="1"/>
  <c r="N231" i="1"/>
  <c r="AD230" i="1"/>
  <c r="AC230" i="1"/>
  <c r="AB230" i="1"/>
  <c r="AA230" i="1"/>
  <c r="Z230" i="1"/>
  <c r="V230" i="1"/>
  <c r="N230" i="1"/>
  <c r="J222" i="1"/>
  <c r="J230" i="1"/>
  <c r="AD229" i="1"/>
  <c r="AC229" i="1"/>
  <c r="AB229" i="1"/>
  <c r="AA229" i="1"/>
  <c r="Z229" i="1"/>
  <c r="V229" i="1"/>
  <c r="N229" i="1"/>
  <c r="J229" i="1"/>
  <c r="AD228" i="1"/>
  <c r="AC228" i="1"/>
  <c r="AB228" i="1"/>
  <c r="AA228" i="1"/>
  <c r="Z228" i="1"/>
  <c r="V228" i="1"/>
  <c r="N228" i="1"/>
  <c r="Q228" i="1"/>
  <c r="J228" i="1"/>
  <c r="M228" i="1"/>
  <c r="AD227" i="1"/>
  <c r="AC227" i="1"/>
  <c r="AB227" i="1"/>
  <c r="AA227" i="1"/>
  <c r="Z227" i="1"/>
  <c r="V227" i="1"/>
  <c r="N227" i="1"/>
  <c r="J227" i="1"/>
  <c r="M227" i="1"/>
  <c r="AD226" i="1"/>
  <c r="AC226" i="1"/>
  <c r="AB226" i="1"/>
  <c r="AA226" i="1"/>
  <c r="Z226" i="1"/>
  <c r="AD225" i="1"/>
  <c r="AC225" i="1"/>
  <c r="AB225" i="1"/>
  <c r="AA225" i="1"/>
  <c r="Z225" i="1"/>
  <c r="V225" i="1"/>
  <c r="N225" i="1"/>
  <c r="L225" i="1"/>
  <c r="K225" i="1"/>
  <c r="J225" i="1"/>
  <c r="AD224" i="1"/>
  <c r="AC224" i="1"/>
  <c r="AB224" i="1"/>
  <c r="AA224" i="1"/>
  <c r="Z224" i="1"/>
  <c r="V224" i="1"/>
  <c r="N224" i="1"/>
  <c r="L224" i="1"/>
  <c r="K224" i="1"/>
  <c r="J224" i="1"/>
  <c r="AD223" i="1"/>
  <c r="AC223" i="1"/>
  <c r="AB223" i="1"/>
  <c r="AA223" i="1"/>
  <c r="Z223" i="1"/>
  <c r="V223" i="1"/>
  <c r="N223" i="1"/>
  <c r="L223" i="1"/>
  <c r="R223" i="1"/>
  <c r="K223" i="1"/>
  <c r="J223" i="1"/>
  <c r="AD222" i="1"/>
  <c r="AC222" i="1"/>
  <c r="AB222" i="1"/>
  <c r="AA222" i="1"/>
  <c r="Z222" i="1"/>
  <c r="V222" i="1"/>
  <c r="N222" i="1"/>
  <c r="L222" i="1"/>
  <c r="L230" i="1"/>
  <c r="K222" i="1"/>
  <c r="AD221" i="1"/>
  <c r="AC221" i="1"/>
  <c r="AB221" i="1"/>
  <c r="AA221" i="1"/>
  <c r="Z221" i="1"/>
  <c r="AD220" i="1"/>
  <c r="AC220" i="1"/>
  <c r="AB220" i="1"/>
  <c r="AA220" i="1"/>
  <c r="Z220" i="1"/>
  <c r="V220" i="1"/>
  <c r="N220" i="1"/>
  <c r="O220" i="1"/>
  <c r="L220" i="1"/>
  <c r="K220" i="1"/>
  <c r="AD219" i="1"/>
  <c r="AC219" i="1"/>
  <c r="AB219" i="1"/>
  <c r="AA219" i="1"/>
  <c r="Z219" i="1"/>
  <c r="V219" i="1"/>
  <c r="N219" i="1"/>
  <c r="L219" i="1"/>
  <c r="K219" i="1"/>
  <c r="AD218" i="1"/>
  <c r="AC218" i="1"/>
  <c r="AB218" i="1"/>
  <c r="AA218" i="1"/>
  <c r="Z218" i="1"/>
  <c r="V218" i="1"/>
  <c r="N218" i="1"/>
  <c r="K218" i="1"/>
  <c r="M218" i="1"/>
  <c r="AD217" i="1"/>
  <c r="AC217" i="1"/>
  <c r="AB217" i="1"/>
  <c r="AA217" i="1"/>
  <c r="Z217" i="1"/>
  <c r="AD216" i="1"/>
  <c r="AC216" i="1"/>
  <c r="AB216" i="1"/>
  <c r="AA216" i="1"/>
  <c r="Z216" i="1"/>
  <c r="AD215" i="1"/>
  <c r="AC215" i="1"/>
  <c r="AB215" i="1"/>
  <c r="AA215" i="1"/>
  <c r="Z215" i="1"/>
  <c r="AD214" i="1"/>
  <c r="AC214" i="1"/>
  <c r="AB214" i="1"/>
  <c r="AA214" i="1"/>
  <c r="Z214" i="1"/>
  <c r="V214" i="1"/>
  <c r="N214" i="1"/>
  <c r="L214" i="1"/>
  <c r="K214" i="1"/>
  <c r="J214" i="1"/>
  <c r="AD213" i="1"/>
  <c r="AC213" i="1"/>
  <c r="AB213" i="1"/>
  <c r="AA213" i="1"/>
  <c r="Z213" i="1"/>
  <c r="V213" i="1"/>
  <c r="N213" i="1"/>
  <c r="L213" i="1"/>
  <c r="K213" i="1"/>
  <c r="J213" i="1"/>
  <c r="AD212" i="1"/>
  <c r="AC212" i="1"/>
  <c r="AB212" i="1"/>
  <c r="AA212" i="1"/>
  <c r="Z212" i="1"/>
  <c r="V212" i="1"/>
  <c r="N212" i="1"/>
  <c r="L212" i="1"/>
  <c r="K212" i="1"/>
  <c r="J212" i="1"/>
  <c r="AD211" i="1"/>
  <c r="AC211" i="1"/>
  <c r="AB211" i="1"/>
  <c r="AA211" i="1"/>
  <c r="Z211" i="1"/>
  <c r="V211" i="1"/>
  <c r="N211" i="1"/>
  <c r="L211" i="1"/>
  <c r="R211" i="1"/>
  <c r="K211" i="1"/>
  <c r="J211" i="1"/>
  <c r="AD210" i="1"/>
  <c r="AC210" i="1"/>
  <c r="AB210" i="1"/>
  <c r="AA210" i="1"/>
  <c r="Z210" i="1"/>
  <c r="V210" i="1"/>
  <c r="N210" i="1"/>
  <c r="L210" i="1"/>
  <c r="K210" i="1"/>
  <c r="AD209" i="1"/>
  <c r="AC209" i="1"/>
  <c r="AB209" i="1"/>
  <c r="AA209" i="1"/>
  <c r="Z209" i="1"/>
  <c r="V209" i="1"/>
  <c r="N209" i="1"/>
  <c r="M209" i="1"/>
  <c r="AD208" i="1"/>
  <c r="AC208" i="1"/>
  <c r="AB208" i="1"/>
  <c r="AA208" i="1"/>
  <c r="Z208" i="1"/>
  <c r="V208" i="1"/>
  <c r="N208" i="1"/>
  <c r="M208" i="1"/>
  <c r="AD207" i="1"/>
  <c r="AC207" i="1"/>
  <c r="AB207" i="1"/>
  <c r="AA207" i="1"/>
  <c r="Z207" i="1"/>
  <c r="V207" i="1"/>
  <c r="N207" i="1"/>
  <c r="K207" i="1"/>
  <c r="M207" i="1"/>
  <c r="AD206" i="1"/>
  <c r="AC206" i="1"/>
  <c r="AB206" i="1"/>
  <c r="AA206" i="1"/>
  <c r="Z206" i="1"/>
  <c r="V206" i="1"/>
  <c r="N206" i="1"/>
  <c r="O206" i="1"/>
  <c r="K206" i="1"/>
  <c r="AD205" i="1"/>
  <c r="AC205" i="1"/>
  <c r="AB205" i="1"/>
  <c r="AA205" i="1"/>
  <c r="Z205" i="1"/>
  <c r="V205" i="1"/>
  <c r="N205" i="1"/>
  <c r="R205" i="1"/>
  <c r="K205" i="1"/>
  <c r="M205" i="1"/>
  <c r="AD204" i="1"/>
  <c r="AC204" i="1"/>
  <c r="AB204" i="1"/>
  <c r="AA204" i="1"/>
  <c r="Z204" i="1"/>
  <c r="V204" i="1"/>
  <c r="N204" i="1"/>
  <c r="O204" i="1"/>
  <c r="L204" i="1"/>
  <c r="K204" i="1"/>
  <c r="J204" i="1"/>
  <c r="AD203" i="1"/>
  <c r="AC203" i="1"/>
  <c r="AB203" i="1"/>
  <c r="AA203" i="1"/>
  <c r="Z203" i="1"/>
  <c r="V203" i="1"/>
  <c r="N203" i="1"/>
  <c r="O203" i="1"/>
  <c r="L203" i="1"/>
  <c r="K203" i="1"/>
  <c r="J203" i="1"/>
  <c r="AD202" i="1"/>
  <c r="AC202" i="1"/>
  <c r="AB202" i="1"/>
  <c r="AA202" i="1"/>
  <c r="Z202" i="1"/>
  <c r="V202" i="1"/>
  <c r="N202" i="1"/>
  <c r="O202" i="1"/>
  <c r="L202" i="1"/>
  <c r="K202" i="1"/>
  <c r="M202" i="1"/>
  <c r="AD201" i="1"/>
  <c r="AC201" i="1"/>
  <c r="AB201" i="1"/>
  <c r="AA201" i="1"/>
  <c r="Z201" i="1"/>
  <c r="V201" i="1"/>
  <c r="N201" i="1"/>
  <c r="R201" i="1"/>
  <c r="K201" i="1"/>
  <c r="AD200" i="1"/>
  <c r="AC200" i="1"/>
  <c r="AB200" i="1"/>
  <c r="AA200" i="1"/>
  <c r="Z200" i="1"/>
  <c r="V200" i="1"/>
  <c r="N200" i="1"/>
  <c r="P200" i="1"/>
  <c r="K200" i="1"/>
  <c r="M200" i="1"/>
  <c r="AD199" i="1"/>
  <c r="AC199" i="1"/>
  <c r="AB199" i="1"/>
  <c r="AA199" i="1"/>
  <c r="Z199" i="1"/>
  <c r="V199" i="1"/>
  <c r="N199" i="1"/>
  <c r="R199" i="1"/>
  <c r="J199" i="1"/>
  <c r="M199" i="1"/>
  <c r="AD198" i="1"/>
  <c r="AC198" i="1"/>
  <c r="AB198" i="1"/>
  <c r="AA198" i="1"/>
  <c r="Z198" i="1"/>
  <c r="V198" i="1"/>
  <c r="N198" i="1"/>
  <c r="P198" i="1"/>
  <c r="M198" i="1"/>
  <c r="AD197" i="1"/>
  <c r="AC197" i="1"/>
  <c r="AB197" i="1"/>
  <c r="AA197" i="1"/>
  <c r="Z197" i="1"/>
  <c r="AD196" i="1"/>
  <c r="AC196" i="1"/>
  <c r="AB196" i="1"/>
  <c r="AA196" i="1"/>
  <c r="Z196" i="1"/>
  <c r="V196" i="1"/>
  <c r="N196" i="1"/>
  <c r="L196" i="1"/>
  <c r="K196" i="1"/>
  <c r="M196" i="1"/>
  <c r="AD195" i="1"/>
  <c r="AC195" i="1"/>
  <c r="AB195" i="1"/>
  <c r="AA195" i="1"/>
  <c r="Z195" i="1"/>
  <c r="V195" i="1"/>
  <c r="N195" i="1"/>
  <c r="M195" i="1"/>
  <c r="AD194" i="1"/>
  <c r="AC194" i="1"/>
  <c r="AB194" i="1"/>
  <c r="AA194" i="1"/>
  <c r="Z194" i="1"/>
  <c r="V194" i="1"/>
  <c r="N194" i="1"/>
  <c r="R194" i="1"/>
  <c r="M194" i="1"/>
  <c r="AD193" i="1"/>
  <c r="AC193" i="1"/>
  <c r="AB193" i="1"/>
  <c r="AA193" i="1"/>
  <c r="Z193" i="1"/>
  <c r="V193" i="1"/>
  <c r="N193" i="1"/>
  <c r="R193" i="1"/>
  <c r="M193" i="1"/>
  <c r="AD192" i="1"/>
  <c r="AC192" i="1"/>
  <c r="AB192" i="1"/>
  <c r="AA192" i="1"/>
  <c r="Z192" i="1"/>
  <c r="V192" i="1"/>
  <c r="N192" i="1"/>
  <c r="M192" i="1"/>
  <c r="AD191" i="1"/>
  <c r="AC191" i="1"/>
  <c r="AB191" i="1"/>
  <c r="AA191" i="1"/>
  <c r="Z191" i="1"/>
  <c r="V191" i="1"/>
  <c r="N191" i="1"/>
  <c r="J191" i="1"/>
  <c r="K191" i="1"/>
  <c r="L191" i="1"/>
  <c r="M191" i="1"/>
  <c r="AD190" i="1"/>
  <c r="AC190" i="1"/>
  <c r="AB190" i="1"/>
  <c r="AA190" i="1"/>
  <c r="Z190" i="1"/>
  <c r="V190" i="1"/>
  <c r="N190" i="1"/>
  <c r="J190" i="1"/>
  <c r="M190" i="1"/>
  <c r="AD189" i="1"/>
  <c r="AC189" i="1"/>
  <c r="AB189" i="1"/>
  <c r="AA189" i="1"/>
  <c r="Z189" i="1"/>
  <c r="V189" i="1"/>
  <c r="N189" i="1"/>
  <c r="R189" i="1"/>
  <c r="M189" i="1"/>
  <c r="AD188" i="1"/>
  <c r="AC188" i="1"/>
  <c r="AB188" i="1"/>
  <c r="AA188" i="1"/>
  <c r="Z188" i="1"/>
  <c r="V188" i="1"/>
  <c r="N188" i="1"/>
  <c r="R188" i="1"/>
  <c r="M188" i="1"/>
  <c r="AD187" i="1"/>
  <c r="AC187" i="1"/>
  <c r="AB187" i="1"/>
  <c r="AA187" i="1"/>
  <c r="Z187" i="1"/>
  <c r="V187" i="1"/>
  <c r="N187" i="1"/>
  <c r="P187" i="1"/>
  <c r="M187" i="1"/>
  <c r="AD186" i="1"/>
  <c r="AC186" i="1"/>
  <c r="AB186" i="1"/>
  <c r="AA186" i="1"/>
  <c r="Z186" i="1"/>
  <c r="AD185" i="1"/>
  <c r="AC185" i="1"/>
  <c r="AB185" i="1"/>
  <c r="AA185" i="1"/>
  <c r="Z185" i="1"/>
  <c r="AD184" i="1"/>
  <c r="AC184" i="1"/>
  <c r="AB184" i="1"/>
  <c r="AA184" i="1"/>
  <c r="Z184" i="1"/>
  <c r="V184" i="1"/>
  <c r="N184" i="1"/>
  <c r="M184" i="1"/>
  <c r="AD183" i="1"/>
  <c r="AC183" i="1"/>
  <c r="AB183" i="1"/>
  <c r="AA183" i="1"/>
  <c r="Z183" i="1"/>
  <c r="V183" i="1"/>
  <c r="N183" i="1"/>
  <c r="O183" i="1"/>
  <c r="AD182" i="1"/>
  <c r="AC182" i="1"/>
  <c r="AB182" i="1"/>
  <c r="AA182" i="1"/>
  <c r="Z182" i="1"/>
  <c r="V182" i="1"/>
  <c r="N182" i="1"/>
  <c r="O182" i="1"/>
  <c r="AD181" i="1"/>
  <c r="AC181" i="1"/>
  <c r="AB181" i="1"/>
  <c r="AA181" i="1"/>
  <c r="Z181" i="1"/>
  <c r="V181" i="1"/>
  <c r="N181" i="1"/>
  <c r="O181" i="1"/>
  <c r="AD180" i="1"/>
  <c r="AC180" i="1"/>
  <c r="AB180" i="1"/>
  <c r="AA180" i="1"/>
  <c r="Z180" i="1"/>
  <c r="V180" i="1"/>
  <c r="N180" i="1"/>
  <c r="O180" i="1"/>
  <c r="L180" i="1"/>
  <c r="K180" i="1"/>
  <c r="J180" i="1"/>
  <c r="AD179" i="1"/>
  <c r="AC179" i="1"/>
  <c r="AB179" i="1"/>
  <c r="AA179" i="1"/>
  <c r="Z179" i="1"/>
  <c r="V179" i="1"/>
  <c r="N179" i="1"/>
  <c r="O179" i="1"/>
  <c r="AD178" i="1"/>
  <c r="AC178" i="1"/>
  <c r="AB178" i="1"/>
  <c r="AA178" i="1"/>
  <c r="Z178" i="1"/>
  <c r="V178" i="1"/>
  <c r="N178" i="1"/>
  <c r="O178" i="1"/>
  <c r="AD177" i="1"/>
  <c r="AC177" i="1"/>
  <c r="AB177" i="1"/>
  <c r="AA177" i="1"/>
  <c r="Z177" i="1"/>
  <c r="V177" i="1"/>
  <c r="N177" i="1"/>
  <c r="O177" i="1"/>
  <c r="M177" i="1"/>
  <c r="AD176" i="1"/>
  <c r="AC176" i="1"/>
  <c r="AB176" i="1"/>
  <c r="AA176" i="1"/>
  <c r="Z176" i="1"/>
  <c r="V176" i="1"/>
  <c r="N176" i="1"/>
  <c r="L176" i="1"/>
  <c r="K176" i="1"/>
  <c r="K183" i="1"/>
  <c r="J176" i="1"/>
  <c r="J183" i="1"/>
  <c r="AD175" i="1"/>
  <c r="AC175" i="1"/>
  <c r="AB175" i="1"/>
  <c r="AA175" i="1"/>
  <c r="Z175" i="1"/>
  <c r="V175" i="1"/>
  <c r="N175" i="1"/>
  <c r="Q175" i="1"/>
  <c r="M175" i="1"/>
  <c r="AD174" i="1"/>
  <c r="AC174" i="1"/>
  <c r="AB174" i="1"/>
  <c r="AA174" i="1"/>
  <c r="Z174" i="1"/>
  <c r="AD173" i="1"/>
  <c r="AC173" i="1"/>
  <c r="AB173" i="1"/>
  <c r="AA173" i="1"/>
  <c r="Z173" i="1"/>
  <c r="V173" i="1"/>
  <c r="N173" i="1"/>
  <c r="L173" i="1"/>
  <c r="K173" i="1"/>
  <c r="J173" i="1"/>
  <c r="AD172" i="1"/>
  <c r="AC172" i="1"/>
  <c r="AB172" i="1"/>
  <c r="AA172" i="1"/>
  <c r="Z172" i="1"/>
  <c r="V172" i="1"/>
  <c r="N172" i="1"/>
  <c r="R172" i="1"/>
  <c r="M172" i="1"/>
  <c r="AD171" i="1"/>
  <c r="AC171" i="1"/>
  <c r="AB171" i="1"/>
  <c r="AA171" i="1"/>
  <c r="Z171" i="1"/>
  <c r="V171" i="1"/>
  <c r="N171" i="1"/>
  <c r="M171" i="1"/>
  <c r="AD170" i="1"/>
  <c r="AC170" i="1"/>
  <c r="AB170" i="1"/>
  <c r="AA170" i="1"/>
  <c r="Z170" i="1"/>
  <c r="V170" i="1"/>
  <c r="N170" i="1"/>
  <c r="M170" i="1"/>
  <c r="AD169" i="1"/>
  <c r="AC169" i="1"/>
  <c r="AB169" i="1"/>
  <c r="AA169" i="1"/>
  <c r="Z169" i="1"/>
  <c r="V169" i="1"/>
  <c r="N169" i="1"/>
  <c r="O169" i="1"/>
  <c r="J169" i="1"/>
  <c r="M169" i="1"/>
  <c r="AD168" i="1"/>
  <c r="AC168" i="1"/>
  <c r="AB168" i="1"/>
  <c r="AA168" i="1"/>
  <c r="Z168" i="1"/>
  <c r="V168" i="1"/>
  <c r="N168" i="1"/>
  <c r="J168" i="1"/>
  <c r="M168" i="1"/>
  <c r="AD167" i="1"/>
  <c r="AC167" i="1"/>
  <c r="AB167" i="1"/>
  <c r="AA167" i="1"/>
  <c r="Z167" i="1"/>
  <c r="V167" i="1"/>
  <c r="N167" i="1"/>
  <c r="O167" i="1"/>
  <c r="J167" i="1"/>
  <c r="M167" i="1"/>
  <c r="AD166" i="1"/>
  <c r="AC166" i="1"/>
  <c r="AB166" i="1"/>
  <c r="AA166" i="1"/>
  <c r="Z166" i="1"/>
  <c r="AD165" i="1"/>
  <c r="AC165" i="1"/>
  <c r="AB165" i="1"/>
  <c r="AA165" i="1"/>
  <c r="Z165" i="1"/>
  <c r="V165" i="1"/>
  <c r="N165" i="1"/>
  <c r="L165" i="1"/>
  <c r="K165" i="1"/>
  <c r="AD164" i="1"/>
  <c r="AC164" i="1"/>
  <c r="AB164" i="1"/>
  <c r="AA164" i="1"/>
  <c r="Z164" i="1"/>
  <c r="V164" i="1"/>
  <c r="N164" i="1"/>
  <c r="M164" i="1"/>
  <c r="AD163" i="1"/>
  <c r="AC163" i="1"/>
  <c r="AB163" i="1"/>
  <c r="AA163" i="1"/>
  <c r="Z163" i="1"/>
  <c r="V163" i="1"/>
  <c r="N163" i="1"/>
  <c r="M163" i="1"/>
  <c r="AD162" i="1"/>
  <c r="AC162" i="1"/>
  <c r="AB162" i="1"/>
  <c r="AA162" i="1"/>
  <c r="Z162" i="1"/>
  <c r="V162" i="1"/>
  <c r="N162" i="1"/>
  <c r="M162" i="1"/>
  <c r="AD161" i="1"/>
  <c r="AC161" i="1"/>
  <c r="AB161" i="1"/>
  <c r="AA161" i="1"/>
  <c r="Z161" i="1"/>
  <c r="V161" i="1"/>
  <c r="N161" i="1"/>
  <c r="K161" i="1"/>
  <c r="M161" i="1"/>
  <c r="AD160" i="1"/>
  <c r="AC160" i="1"/>
  <c r="AB160" i="1"/>
  <c r="AA160" i="1"/>
  <c r="Z160" i="1"/>
  <c r="V160" i="1"/>
  <c r="N160" i="1"/>
  <c r="O160" i="1"/>
  <c r="L160" i="1"/>
  <c r="K160" i="1"/>
  <c r="J160" i="1"/>
  <c r="AD159" i="1"/>
  <c r="AC159" i="1"/>
  <c r="AB159" i="1"/>
  <c r="AA159" i="1"/>
  <c r="Z159" i="1"/>
  <c r="V159" i="1"/>
  <c r="N159" i="1"/>
  <c r="M159" i="1"/>
  <c r="AD158" i="1"/>
  <c r="AC158" i="1"/>
  <c r="AB158" i="1"/>
  <c r="AA158" i="1"/>
  <c r="Z158" i="1"/>
  <c r="AD157" i="1"/>
  <c r="AC157" i="1"/>
  <c r="AB157" i="1"/>
  <c r="AA157" i="1"/>
  <c r="Z157" i="1"/>
  <c r="V157" i="1"/>
  <c r="N157" i="1"/>
  <c r="P157" i="1"/>
  <c r="M157" i="1"/>
  <c r="AD156" i="1"/>
  <c r="AC156" i="1"/>
  <c r="AB156" i="1"/>
  <c r="AA156" i="1"/>
  <c r="Z156" i="1"/>
  <c r="V156" i="1"/>
  <c r="N156" i="1"/>
  <c r="M156" i="1"/>
  <c r="AD155" i="1"/>
  <c r="AC155" i="1"/>
  <c r="AB155" i="1"/>
  <c r="AA155" i="1"/>
  <c r="Z155" i="1"/>
  <c r="V155" i="1"/>
  <c r="N155" i="1"/>
  <c r="M155" i="1"/>
  <c r="AD154" i="1"/>
  <c r="AC154" i="1"/>
  <c r="AB154" i="1"/>
  <c r="AA154" i="1"/>
  <c r="Z154" i="1"/>
  <c r="V154" i="1"/>
  <c r="N154" i="1"/>
  <c r="M154" i="1"/>
  <c r="AD153" i="1"/>
  <c r="AC153" i="1"/>
  <c r="AB153" i="1"/>
  <c r="AA153" i="1"/>
  <c r="Z153" i="1"/>
  <c r="V153" i="1"/>
  <c r="N153" i="1"/>
  <c r="L153" i="1"/>
  <c r="K153" i="1"/>
  <c r="J153" i="1"/>
  <c r="AD152" i="1"/>
  <c r="AC152" i="1"/>
  <c r="AB152" i="1"/>
  <c r="AA152" i="1"/>
  <c r="Z152" i="1"/>
  <c r="AD151" i="1"/>
  <c r="AC151" i="1"/>
  <c r="AB151" i="1"/>
  <c r="AA151" i="1"/>
  <c r="Z151" i="1"/>
  <c r="V151" i="1"/>
  <c r="N151" i="1"/>
  <c r="M151" i="1"/>
  <c r="AD150" i="1"/>
  <c r="AC150" i="1"/>
  <c r="AB150" i="1"/>
  <c r="AA150" i="1"/>
  <c r="Z150" i="1"/>
  <c r="V150" i="1"/>
  <c r="N150" i="1"/>
  <c r="M150" i="1"/>
  <c r="AD149" i="1"/>
  <c r="AC149" i="1"/>
  <c r="AB149" i="1"/>
  <c r="AA149" i="1"/>
  <c r="Z149" i="1"/>
  <c r="V149" i="1"/>
  <c r="N149" i="1"/>
  <c r="M149" i="1"/>
  <c r="AD148" i="1"/>
  <c r="AC148" i="1"/>
  <c r="AB148" i="1"/>
  <c r="AA148" i="1"/>
  <c r="Z148" i="1"/>
  <c r="AD147" i="1"/>
  <c r="AC147" i="1"/>
  <c r="AB147" i="1"/>
  <c r="AA147" i="1"/>
  <c r="Z147" i="1"/>
  <c r="V147" i="1"/>
  <c r="N147" i="1"/>
  <c r="O147" i="1"/>
  <c r="L147" i="1"/>
  <c r="K147" i="1"/>
  <c r="J147" i="1"/>
  <c r="AD146" i="1"/>
  <c r="AC146" i="1"/>
  <c r="AB146" i="1"/>
  <c r="AA146" i="1"/>
  <c r="Z146" i="1"/>
  <c r="V146" i="1"/>
  <c r="N146" i="1"/>
  <c r="O146" i="1"/>
  <c r="M146" i="1"/>
  <c r="AD145" i="1"/>
  <c r="AC145" i="1"/>
  <c r="AB145" i="1"/>
  <c r="AA145" i="1"/>
  <c r="Z145" i="1"/>
  <c r="V145" i="1"/>
  <c r="N145" i="1"/>
  <c r="M145" i="1"/>
  <c r="AD144" i="1"/>
  <c r="AC144" i="1"/>
  <c r="AB144" i="1"/>
  <c r="AA144" i="1"/>
  <c r="Z144" i="1"/>
  <c r="V144" i="1"/>
  <c r="N144" i="1"/>
  <c r="M144" i="1"/>
  <c r="AD143" i="1"/>
  <c r="AC143" i="1"/>
  <c r="AB143" i="1"/>
  <c r="AA143" i="1"/>
  <c r="Z143" i="1"/>
  <c r="AD142" i="1"/>
  <c r="AC142" i="1"/>
  <c r="AB142" i="1"/>
  <c r="AA142" i="1"/>
  <c r="Z142" i="1"/>
  <c r="AD141" i="1"/>
  <c r="AC141" i="1"/>
  <c r="AB141" i="1"/>
  <c r="AA141" i="1"/>
  <c r="Z141" i="1"/>
  <c r="V141" i="1"/>
  <c r="N141" i="1"/>
  <c r="L141" i="1"/>
  <c r="K141" i="1"/>
  <c r="J141" i="1"/>
  <c r="AD140" i="1"/>
  <c r="AC140" i="1"/>
  <c r="AB140" i="1"/>
  <c r="AA140" i="1"/>
  <c r="Z140" i="1"/>
  <c r="V140" i="1"/>
  <c r="N140" i="1"/>
  <c r="L140" i="1"/>
  <c r="K140" i="1"/>
  <c r="AD139" i="1"/>
  <c r="AC139" i="1"/>
  <c r="AB139" i="1"/>
  <c r="AA139" i="1"/>
  <c r="Z139" i="1"/>
  <c r="V139" i="1"/>
  <c r="N139" i="1"/>
  <c r="AD138" i="1"/>
  <c r="AC138" i="1"/>
  <c r="AB138" i="1"/>
  <c r="AA138" i="1"/>
  <c r="Z138" i="1"/>
  <c r="V138" i="1"/>
  <c r="N138" i="1"/>
  <c r="L138" i="1"/>
  <c r="K138" i="1"/>
  <c r="J138" i="1"/>
  <c r="AD137" i="1"/>
  <c r="AC137" i="1"/>
  <c r="AB137" i="1"/>
  <c r="AA137" i="1"/>
  <c r="Z137" i="1"/>
  <c r="V137" i="1"/>
  <c r="N137" i="1"/>
  <c r="AD136" i="1"/>
  <c r="AC136" i="1"/>
  <c r="AB136" i="1"/>
  <c r="AA136" i="1"/>
  <c r="Z136" i="1"/>
  <c r="V136" i="1"/>
  <c r="N136" i="1"/>
  <c r="AD135" i="1"/>
  <c r="AC135" i="1"/>
  <c r="AB135" i="1"/>
  <c r="AA135" i="1"/>
  <c r="Z135" i="1"/>
  <c r="V135" i="1"/>
  <c r="N135" i="1"/>
  <c r="AD134" i="1"/>
  <c r="AC134" i="1"/>
  <c r="AB134" i="1"/>
  <c r="AA134" i="1"/>
  <c r="Z134" i="1"/>
  <c r="V134" i="1"/>
  <c r="N134" i="1"/>
  <c r="L134" i="1"/>
  <c r="K134" i="1"/>
  <c r="AD133" i="1"/>
  <c r="AC133" i="1"/>
  <c r="AB133" i="1"/>
  <c r="AA133" i="1"/>
  <c r="Z133" i="1"/>
  <c r="V133" i="1"/>
  <c r="N133" i="1"/>
  <c r="M133" i="1"/>
  <c r="AD132" i="1"/>
  <c r="AC132" i="1"/>
  <c r="AB132" i="1"/>
  <c r="AA132" i="1"/>
  <c r="Z132" i="1"/>
  <c r="V132" i="1"/>
  <c r="N132" i="1"/>
  <c r="AD131" i="1"/>
  <c r="AC131" i="1"/>
  <c r="AB131" i="1"/>
  <c r="AA131" i="1"/>
  <c r="Z131" i="1"/>
  <c r="V131" i="1"/>
  <c r="N131" i="1"/>
  <c r="M131" i="1"/>
  <c r="AD130" i="1"/>
  <c r="AC130" i="1"/>
  <c r="AB130" i="1"/>
  <c r="AA130" i="1"/>
  <c r="Z130" i="1"/>
  <c r="V130" i="1"/>
  <c r="N130" i="1"/>
  <c r="O130" i="1"/>
  <c r="J130" i="1"/>
  <c r="AD129" i="1"/>
  <c r="AC129" i="1"/>
  <c r="AB129" i="1"/>
  <c r="AA129" i="1"/>
  <c r="Z129" i="1"/>
  <c r="V129" i="1"/>
  <c r="N129" i="1"/>
  <c r="O129" i="1"/>
  <c r="J129" i="1"/>
  <c r="AD128" i="1"/>
  <c r="AC128" i="1"/>
  <c r="AB128" i="1"/>
  <c r="AA128" i="1"/>
  <c r="Z128" i="1"/>
  <c r="V128" i="1"/>
  <c r="N128" i="1"/>
  <c r="O128" i="1"/>
  <c r="L128" i="1"/>
  <c r="L135" i="1"/>
  <c r="K128" i="1"/>
  <c r="J128" i="1"/>
  <c r="AD127" i="1"/>
  <c r="AC127" i="1"/>
  <c r="AB127" i="1"/>
  <c r="AA127" i="1"/>
  <c r="Z127" i="1"/>
  <c r="V127" i="1"/>
  <c r="N127" i="1"/>
  <c r="R127" i="1"/>
  <c r="M127" i="1"/>
  <c r="AD126" i="1"/>
  <c r="AC126" i="1"/>
  <c r="AB126" i="1"/>
  <c r="AA126" i="1"/>
  <c r="Z126" i="1"/>
  <c r="V126" i="1"/>
  <c r="N126" i="1"/>
  <c r="M126" i="1"/>
  <c r="AD125" i="1"/>
  <c r="AC125" i="1"/>
  <c r="AB125" i="1"/>
  <c r="AA125" i="1"/>
  <c r="Z125" i="1"/>
  <c r="V125" i="1"/>
  <c r="N125" i="1"/>
  <c r="L125" i="1"/>
  <c r="L137" i="1"/>
  <c r="K125" i="1"/>
  <c r="K137" i="1"/>
  <c r="J125" i="1"/>
  <c r="J132" i="1"/>
  <c r="AD124" i="1"/>
  <c r="AC124" i="1"/>
  <c r="AB124" i="1"/>
  <c r="AA124" i="1"/>
  <c r="Z124" i="1"/>
  <c r="V124" i="1"/>
  <c r="N124" i="1"/>
  <c r="P124" i="1"/>
  <c r="L124" i="1"/>
  <c r="L129" i="1"/>
  <c r="K124" i="1"/>
  <c r="K130" i="1"/>
  <c r="AD123" i="1"/>
  <c r="AC123" i="1"/>
  <c r="AB123" i="1"/>
  <c r="AA123" i="1"/>
  <c r="Z123" i="1"/>
  <c r="V123" i="1"/>
  <c r="N123" i="1"/>
  <c r="M123" i="1"/>
  <c r="AD122" i="1"/>
  <c r="AC122" i="1"/>
  <c r="AB122" i="1"/>
  <c r="AA122" i="1"/>
  <c r="Z122" i="1"/>
  <c r="AD121" i="1"/>
  <c r="AC121" i="1"/>
  <c r="AB121" i="1"/>
  <c r="AA121" i="1"/>
  <c r="Z121" i="1"/>
  <c r="V121" i="1"/>
  <c r="N121" i="1"/>
  <c r="M121" i="1"/>
  <c r="AD120" i="1"/>
  <c r="AC120" i="1"/>
  <c r="AB120" i="1"/>
  <c r="AA120" i="1"/>
  <c r="Z120" i="1"/>
  <c r="V120" i="1"/>
  <c r="N120" i="1"/>
  <c r="L120" i="1"/>
  <c r="K120" i="1"/>
  <c r="J120" i="1"/>
  <c r="AD119" i="1"/>
  <c r="AC119" i="1"/>
  <c r="AB119" i="1"/>
  <c r="AA119" i="1"/>
  <c r="Z119" i="1"/>
  <c r="V119" i="1"/>
  <c r="N119" i="1"/>
  <c r="M119" i="1"/>
  <c r="AD118" i="1"/>
  <c r="AC118" i="1"/>
  <c r="AB118" i="1"/>
  <c r="AA118" i="1"/>
  <c r="Z118" i="1"/>
  <c r="V118" i="1"/>
  <c r="N118" i="1"/>
  <c r="AD117" i="1"/>
  <c r="AC117" i="1"/>
  <c r="AB117" i="1"/>
  <c r="AA117" i="1"/>
  <c r="Z117" i="1"/>
  <c r="AD116" i="1"/>
  <c r="AC116" i="1"/>
  <c r="AB116" i="1"/>
  <c r="AA116" i="1"/>
  <c r="Z116" i="1"/>
  <c r="AD115" i="1"/>
  <c r="AC115" i="1"/>
  <c r="AB115" i="1"/>
  <c r="AA115" i="1"/>
  <c r="Z115" i="1"/>
  <c r="V115" i="1"/>
  <c r="N115" i="1"/>
  <c r="P115" i="1"/>
  <c r="L115" i="1"/>
  <c r="K115" i="1"/>
  <c r="AD114" i="1"/>
  <c r="AC114" i="1"/>
  <c r="AB114" i="1"/>
  <c r="AA114" i="1"/>
  <c r="Z114" i="1"/>
  <c r="V114" i="1"/>
  <c r="N114" i="1"/>
  <c r="L114" i="1"/>
  <c r="K114" i="1"/>
  <c r="AD113" i="1"/>
  <c r="AC113" i="1"/>
  <c r="AB113" i="1"/>
  <c r="AA113" i="1"/>
  <c r="Z113" i="1"/>
  <c r="V113" i="1"/>
  <c r="N113" i="1"/>
  <c r="L113" i="1"/>
  <c r="M113" i="1"/>
  <c r="AD112" i="1"/>
  <c r="AC112" i="1"/>
  <c r="AB112" i="1"/>
  <c r="AA112" i="1"/>
  <c r="Z112" i="1"/>
  <c r="V112" i="1"/>
  <c r="N112" i="1"/>
  <c r="P112" i="1"/>
  <c r="L112" i="1"/>
  <c r="M112" i="1"/>
  <c r="AD111" i="1"/>
  <c r="AC111" i="1"/>
  <c r="AB111" i="1"/>
  <c r="AA111" i="1"/>
  <c r="Z111" i="1"/>
  <c r="V111" i="1"/>
  <c r="N111" i="1"/>
  <c r="R111" i="1"/>
  <c r="K111" i="1"/>
  <c r="M111" i="1"/>
  <c r="AD110" i="1"/>
  <c r="AC110" i="1"/>
  <c r="AB110" i="1"/>
  <c r="AA110" i="1"/>
  <c r="Z110" i="1"/>
  <c r="V110" i="1"/>
  <c r="N110" i="1"/>
  <c r="R110" i="1"/>
  <c r="J110" i="1"/>
  <c r="M110" i="1"/>
  <c r="AD109" i="1"/>
  <c r="AC109" i="1"/>
  <c r="AB109" i="1"/>
  <c r="AA109" i="1"/>
  <c r="Z109" i="1"/>
  <c r="V109" i="1"/>
  <c r="N109" i="1"/>
  <c r="J109" i="1"/>
  <c r="M109" i="1"/>
  <c r="AD108" i="1"/>
  <c r="AC108" i="1"/>
  <c r="AB108" i="1"/>
  <c r="AA108" i="1"/>
  <c r="Z108" i="1"/>
  <c r="V108" i="1"/>
  <c r="N108" i="1"/>
  <c r="R108" i="1"/>
  <c r="J108" i="1"/>
  <c r="M108" i="1"/>
  <c r="AD107" i="1"/>
  <c r="AC107" i="1"/>
  <c r="AB107" i="1"/>
  <c r="AA107" i="1"/>
  <c r="Z107" i="1"/>
  <c r="AD106" i="1"/>
  <c r="AC106" i="1"/>
  <c r="AB106" i="1"/>
  <c r="AA106" i="1"/>
  <c r="Z106" i="1"/>
  <c r="V106" i="1"/>
  <c r="N106" i="1"/>
  <c r="L106" i="1"/>
  <c r="K106" i="1"/>
  <c r="J106" i="1"/>
  <c r="AD105" i="1"/>
  <c r="AC105" i="1"/>
  <c r="AB105" i="1"/>
  <c r="AA105" i="1"/>
  <c r="Z105" i="1"/>
  <c r="V105" i="1"/>
  <c r="N105" i="1"/>
  <c r="L105" i="1"/>
  <c r="K105" i="1"/>
  <c r="J105" i="1"/>
  <c r="AD104" i="1"/>
  <c r="AC104" i="1"/>
  <c r="AB104" i="1"/>
  <c r="AA104" i="1"/>
  <c r="Z104" i="1"/>
  <c r="V104" i="1"/>
  <c r="N104" i="1"/>
  <c r="L104" i="1"/>
  <c r="K104" i="1"/>
  <c r="J104" i="1"/>
  <c r="AD103" i="1"/>
  <c r="AC103" i="1"/>
  <c r="AB103" i="1"/>
  <c r="AA103" i="1"/>
  <c r="Z103" i="1"/>
  <c r="V103" i="1"/>
  <c r="N103" i="1"/>
  <c r="AD102" i="1"/>
  <c r="AC102" i="1"/>
  <c r="AB102" i="1"/>
  <c r="AA102" i="1"/>
  <c r="Z102" i="1"/>
  <c r="V102" i="1"/>
  <c r="N102" i="1"/>
  <c r="L102" i="1"/>
  <c r="K102" i="1"/>
  <c r="J102" i="1"/>
  <c r="AD101" i="1"/>
  <c r="AC101" i="1"/>
  <c r="AB101" i="1"/>
  <c r="AA101" i="1"/>
  <c r="Z101" i="1"/>
  <c r="V101" i="1"/>
  <c r="N101" i="1"/>
  <c r="L101" i="1"/>
  <c r="K101" i="1"/>
  <c r="J101" i="1"/>
  <c r="AD100" i="1"/>
  <c r="AC100" i="1"/>
  <c r="AB100" i="1"/>
  <c r="AA100" i="1"/>
  <c r="Z100" i="1"/>
  <c r="V100" i="1"/>
  <c r="N100" i="1"/>
  <c r="L100" i="1"/>
  <c r="K100" i="1"/>
  <c r="J100" i="1"/>
  <c r="AD99" i="1"/>
  <c r="AC99" i="1"/>
  <c r="AB99" i="1"/>
  <c r="AA99" i="1"/>
  <c r="Z99" i="1"/>
  <c r="V99" i="1"/>
  <c r="N99" i="1"/>
  <c r="L99" i="1"/>
  <c r="K99" i="1"/>
  <c r="J99" i="1"/>
  <c r="AD98" i="1"/>
  <c r="AC98" i="1"/>
  <c r="AB98" i="1"/>
  <c r="AA98" i="1"/>
  <c r="Z98" i="1"/>
  <c r="V98" i="1"/>
  <c r="N98" i="1"/>
  <c r="M98" i="1"/>
  <c r="AD97" i="1"/>
  <c r="AC97" i="1"/>
  <c r="AB97" i="1"/>
  <c r="AA97" i="1"/>
  <c r="Z97" i="1"/>
  <c r="V97" i="1"/>
  <c r="N97" i="1"/>
  <c r="M97" i="1"/>
  <c r="AD96" i="1"/>
  <c r="AC96" i="1"/>
  <c r="AB96" i="1"/>
  <c r="AA96" i="1"/>
  <c r="Z96" i="1"/>
  <c r="AD95" i="1"/>
  <c r="AC95" i="1"/>
  <c r="AB95" i="1"/>
  <c r="AA95" i="1"/>
  <c r="Z95" i="1"/>
  <c r="V95" i="1"/>
  <c r="N95" i="1"/>
  <c r="L95" i="1"/>
  <c r="K95" i="1"/>
  <c r="J95" i="1"/>
  <c r="AD94" i="1"/>
  <c r="AC94" i="1"/>
  <c r="AB94" i="1"/>
  <c r="AA94" i="1"/>
  <c r="Z94" i="1"/>
  <c r="V94" i="1"/>
  <c r="N94" i="1"/>
  <c r="O94" i="1"/>
  <c r="M94" i="1"/>
  <c r="AD93" i="1"/>
  <c r="AC93" i="1"/>
  <c r="AB93" i="1"/>
  <c r="AA93" i="1"/>
  <c r="Z93" i="1"/>
  <c r="V93" i="1"/>
  <c r="N93" i="1"/>
  <c r="O93" i="1"/>
  <c r="L93" i="1"/>
  <c r="K93" i="1"/>
  <c r="J93" i="1"/>
  <c r="AD92" i="1"/>
  <c r="AC92" i="1"/>
  <c r="AB92" i="1"/>
  <c r="AA92" i="1"/>
  <c r="Z92" i="1"/>
  <c r="V92" i="1"/>
  <c r="N92" i="1"/>
  <c r="O92" i="1"/>
  <c r="L92" i="1"/>
  <c r="K92" i="1"/>
  <c r="J92" i="1"/>
  <c r="AD91" i="1"/>
  <c r="AC91" i="1"/>
  <c r="AB91" i="1"/>
  <c r="AA91" i="1"/>
  <c r="Z91" i="1"/>
  <c r="V91" i="1"/>
  <c r="N91" i="1"/>
  <c r="O91" i="1"/>
  <c r="L91" i="1"/>
  <c r="K91" i="1"/>
  <c r="J91" i="1"/>
  <c r="AD90" i="1"/>
  <c r="AC90" i="1"/>
  <c r="AB90" i="1"/>
  <c r="AA90" i="1"/>
  <c r="Z90" i="1"/>
  <c r="V90" i="1"/>
  <c r="N90" i="1"/>
  <c r="O90" i="1"/>
  <c r="L90" i="1"/>
  <c r="K90" i="1"/>
  <c r="J90" i="1"/>
  <c r="AD89" i="1"/>
  <c r="AC89" i="1"/>
  <c r="AB89" i="1"/>
  <c r="AA89" i="1"/>
  <c r="Z89" i="1"/>
  <c r="V89" i="1"/>
  <c r="N89" i="1"/>
  <c r="O89" i="1"/>
  <c r="M89" i="1"/>
  <c r="AD88" i="1"/>
  <c r="AC88" i="1"/>
  <c r="AB88" i="1"/>
  <c r="AA88" i="1"/>
  <c r="Z88" i="1"/>
  <c r="AD87" i="1"/>
  <c r="AC87" i="1"/>
  <c r="AB87" i="1"/>
  <c r="AA87" i="1"/>
  <c r="Z87" i="1"/>
  <c r="V87" i="1"/>
  <c r="N87" i="1"/>
  <c r="R87" i="1"/>
  <c r="M87" i="1"/>
  <c r="AD86" i="1"/>
  <c r="AC86" i="1"/>
  <c r="AB86" i="1"/>
  <c r="AA86" i="1"/>
  <c r="Z86" i="1"/>
  <c r="AD85" i="1"/>
  <c r="AC85" i="1"/>
  <c r="AB85" i="1"/>
  <c r="AA85" i="1"/>
  <c r="Z85" i="1"/>
  <c r="AD84" i="1"/>
  <c r="AC84" i="1"/>
  <c r="AB84" i="1"/>
  <c r="AA84" i="1"/>
  <c r="Z84" i="1"/>
  <c r="AD83" i="1"/>
  <c r="AC83" i="1"/>
  <c r="AB83" i="1"/>
  <c r="AA83" i="1"/>
  <c r="Z83" i="1"/>
  <c r="V83" i="1"/>
  <c r="N83" i="1"/>
  <c r="M83" i="1"/>
  <c r="AD82" i="1"/>
  <c r="AC82" i="1"/>
  <c r="AB82" i="1"/>
  <c r="AA82" i="1"/>
  <c r="Z82" i="1"/>
  <c r="V82" i="1"/>
  <c r="N82" i="1"/>
  <c r="J82" i="1"/>
  <c r="M82" i="1"/>
  <c r="AD81" i="1"/>
  <c r="AC81" i="1"/>
  <c r="AB81" i="1"/>
  <c r="AA81" i="1"/>
  <c r="Z81" i="1"/>
  <c r="V81" i="1"/>
  <c r="N81" i="1"/>
  <c r="M81" i="1"/>
  <c r="AD80" i="1"/>
  <c r="AC80" i="1"/>
  <c r="AB80" i="1"/>
  <c r="AA80" i="1"/>
  <c r="Z80" i="1"/>
  <c r="AD79" i="1"/>
  <c r="AC79" i="1"/>
  <c r="AB79" i="1"/>
  <c r="AA79" i="1"/>
  <c r="Z79" i="1"/>
  <c r="V79" i="1"/>
  <c r="N79" i="1"/>
  <c r="M79" i="1"/>
  <c r="AD78" i="1"/>
  <c r="AC78" i="1"/>
  <c r="AB78" i="1"/>
  <c r="AA78" i="1"/>
  <c r="Z78" i="1"/>
  <c r="V78" i="1"/>
  <c r="N78" i="1"/>
  <c r="R78" i="1"/>
  <c r="J78" i="1"/>
  <c r="M78" i="1"/>
  <c r="AD77" i="1"/>
  <c r="AC77" i="1"/>
  <c r="AB77" i="1"/>
  <c r="AA77" i="1"/>
  <c r="Z77" i="1"/>
  <c r="AD76" i="1"/>
  <c r="AC76" i="1"/>
  <c r="AB76" i="1"/>
  <c r="AA76" i="1"/>
  <c r="Z76" i="1"/>
  <c r="V76" i="1"/>
  <c r="N76" i="1"/>
  <c r="AD75" i="1"/>
  <c r="AC75" i="1"/>
  <c r="AB75" i="1"/>
  <c r="AA75" i="1"/>
  <c r="Z75" i="1"/>
  <c r="V75" i="1"/>
  <c r="N75" i="1"/>
  <c r="O75" i="1"/>
  <c r="M75" i="1"/>
  <c r="AD74" i="1"/>
  <c r="AC74" i="1"/>
  <c r="AB74" i="1"/>
  <c r="AA74" i="1"/>
  <c r="Z74" i="1"/>
  <c r="V74" i="1"/>
  <c r="N74" i="1"/>
  <c r="L74" i="1"/>
  <c r="K74" i="1"/>
  <c r="J74" i="1"/>
  <c r="AD73" i="1"/>
  <c r="AC73" i="1"/>
  <c r="AB73" i="1"/>
  <c r="AA73" i="1"/>
  <c r="Z73" i="1"/>
  <c r="V73" i="1"/>
  <c r="N73" i="1"/>
  <c r="L73" i="1"/>
  <c r="K73" i="1"/>
  <c r="J73" i="1"/>
  <c r="AD72" i="1"/>
  <c r="AC72" i="1"/>
  <c r="AB72" i="1"/>
  <c r="AA72" i="1"/>
  <c r="Z72" i="1"/>
  <c r="V72" i="1"/>
  <c r="N72" i="1"/>
  <c r="M72" i="1"/>
  <c r="AD71" i="1"/>
  <c r="AC71" i="1"/>
  <c r="AB71" i="1"/>
  <c r="AA71" i="1"/>
  <c r="Z71" i="1"/>
  <c r="V71" i="1"/>
  <c r="N71" i="1"/>
  <c r="M71" i="1"/>
  <c r="AD70" i="1"/>
  <c r="AC70" i="1"/>
  <c r="AB70" i="1"/>
  <c r="AA70" i="1"/>
  <c r="Z70" i="1"/>
  <c r="AD69" i="1"/>
  <c r="AC69" i="1"/>
  <c r="AB69" i="1"/>
  <c r="AA69" i="1"/>
  <c r="Z69" i="1"/>
  <c r="AD68" i="1"/>
  <c r="AC68" i="1"/>
  <c r="AB68" i="1"/>
  <c r="AA68" i="1"/>
  <c r="Z68" i="1"/>
  <c r="V68" i="1"/>
  <c r="N68" i="1"/>
  <c r="L68" i="1"/>
  <c r="K68" i="1"/>
  <c r="J68" i="1"/>
  <c r="I68" i="1"/>
  <c r="AD67" i="1"/>
  <c r="AC67" i="1"/>
  <c r="AB67" i="1"/>
  <c r="AA67" i="1"/>
  <c r="Z67" i="1"/>
  <c r="V67" i="1"/>
  <c r="N67" i="1"/>
  <c r="AD66" i="1"/>
  <c r="AC66" i="1"/>
  <c r="AB66" i="1"/>
  <c r="AA66" i="1"/>
  <c r="Z66" i="1"/>
  <c r="V66" i="1"/>
  <c r="N66" i="1"/>
  <c r="AD65" i="1"/>
  <c r="AC65" i="1"/>
  <c r="AB65" i="1"/>
  <c r="AA65" i="1"/>
  <c r="Z65" i="1"/>
  <c r="V65" i="1"/>
  <c r="N65" i="1"/>
  <c r="AD64" i="1"/>
  <c r="AC64" i="1"/>
  <c r="AB64" i="1"/>
  <c r="AA64" i="1"/>
  <c r="Z64" i="1"/>
  <c r="V64" i="1"/>
  <c r="N64" i="1"/>
  <c r="AD63" i="1"/>
  <c r="AC63" i="1"/>
  <c r="AB63" i="1"/>
  <c r="AA63" i="1"/>
  <c r="Z63" i="1"/>
  <c r="V63" i="1"/>
  <c r="N63" i="1"/>
  <c r="L63" i="1"/>
  <c r="K63" i="1"/>
  <c r="J63" i="1"/>
  <c r="AD62" i="1"/>
  <c r="AC62" i="1"/>
  <c r="AB62" i="1"/>
  <c r="AA62" i="1"/>
  <c r="Z62" i="1"/>
  <c r="V62" i="1"/>
  <c r="N62" i="1"/>
  <c r="R62" i="1"/>
  <c r="M62" i="1"/>
  <c r="AD61" i="1"/>
  <c r="AC61" i="1"/>
  <c r="AB61" i="1"/>
  <c r="AA61" i="1"/>
  <c r="Z61" i="1"/>
  <c r="V61" i="1"/>
  <c r="N61" i="1"/>
  <c r="P61" i="1"/>
  <c r="M61" i="1"/>
  <c r="AD60" i="1"/>
  <c r="AC60" i="1"/>
  <c r="AB60" i="1"/>
  <c r="AA60" i="1"/>
  <c r="Z60" i="1"/>
  <c r="V60" i="1"/>
  <c r="N60" i="1"/>
  <c r="Q60" i="1"/>
  <c r="M60" i="1"/>
  <c r="AD59" i="1"/>
  <c r="AC59" i="1"/>
  <c r="AB59" i="1"/>
  <c r="AA59" i="1"/>
  <c r="Z59" i="1"/>
  <c r="V59" i="1"/>
  <c r="N59" i="1"/>
  <c r="R59" i="1"/>
  <c r="M59" i="1"/>
  <c r="AD58" i="1"/>
  <c r="AC58" i="1"/>
  <c r="AB58" i="1"/>
  <c r="AA58" i="1"/>
  <c r="Z58" i="1"/>
  <c r="V58" i="1"/>
  <c r="N58" i="1"/>
  <c r="L58" i="1"/>
  <c r="L66" i="1"/>
  <c r="L67" i="1"/>
  <c r="K58" i="1"/>
  <c r="K65" i="1"/>
  <c r="J58" i="1"/>
  <c r="J64" i="1"/>
  <c r="AD57" i="1"/>
  <c r="AC57" i="1"/>
  <c r="AB57" i="1"/>
  <c r="AA57" i="1"/>
  <c r="Z57" i="1"/>
  <c r="V57" i="1"/>
  <c r="N57" i="1"/>
  <c r="M57" i="1"/>
  <c r="AD56" i="1"/>
  <c r="AC56" i="1"/>
  <c r="AB56" i="1"/>
  <c r="AA56" i="1"/>
  <c r="Z56" i="1"/>
  <c r="V56" i="1"/>
  <c r="N56" i="1"/>
  <c r="M56" i="1"/>
  <c r="AD55" i="1"/>
  <c r="AC55" i="1"/>
  <c r="AB55" i="1"/>
  <c r="AA55" i="1"/>
  <c r="Z55" i="1"/>
  <c r="V55" i="1"/>
  <c r="N55" i="1"/>
  <c r="M55" i="1"/>
  <c r="AD54" i="1"/>
  <c r="AC54" i="1"/>
  <c r="AB54" i="1"/>
  <c r="AA54" i="1"/>
  <c r="Z54" i="1"/>
  <c r="AD53" i="1"/>
  <c r="AC53" i="1"/>
  <c r="AB53" i="1"/>
  <c r="AA53" i="1"/>
  <c r="Z53" i="1"/>
  <c r="V53" i="1"/>
  <c r="N53" i="1"/>
  <c r="L53" i="1"/>
  <c r="K53" i="1"/>
  <c r="J53" i="1"/>
  <c r="AD52" i="1"/>
  <c r="AC52" i="1"/>
  <c r="AB52" i="1"/>
  <c r="AA52" i="1"/>
  <c r="Z52" i="1"/>
  <c r="V52" i="1"/>
  <c r="N52" i="1"/>
  <c r="AD51" i="1"/>
  <c r="AC51" i="1"/>
  <c r="AB51" i="1"/>
  <c r="AA51" i="1"/>
  <c r="Z51" i="1"/>
  <c r="V51" i="1"/>
  <c r="N51" i="1"/>
  <c r="AD50" i="1"/>
  <c r="AC50" i="1"/>
  <c r="AB50" i="1"/>
  <c r="AA50" i="1"/>
  <c r="Z50" i="1"/>
  <c r="V50" i="1"/>
  <c r="N50" i="1"/>
  <c r="P50" i="1"/>
  <c r="M50" i="1"/>
  <c r="AD49" i="1"/>
  <c r="AC49" i="1"/>
  <c r="AB49" i="1"/>
  <c r="AA49" i="1"/>
  <c r="Z49" i="1"/>
  <c r="V49" i="1"/>
  <c r="N49" i="1"/>
  <c r="L49" i="1"/>
  <c r="L52" i="1"/>
  <c r="K49" i="1"/>
  <c r="K52" i="1"/>
  <c r="J49" i="1"/>
  <c r="AD48" i="1"/>
  <c r="AC48" i="1"/>
  <c r="AB48" i="1"/>
  <c r="AA48" i="1"/>
  <c r="Z48" i="1"/>
  <c r="V48" i="1"/>
  <c r="N48" i="1"/>
  <c r="M48" i="1"/>
  <c r="AD47" i="1"/>
  <c r="AC47" i="1"/>
  <c r="AB47" i="1"/>
  <c r="AA47" i="1"/>
  <c r="Z47" i="1"/>
  <c r="AD46" i="1"/>
  <c r="AC46" i="1"/>
  <c r="AB46" i="1"/>
  <c r="AA46" i="1"/>
  <c r="Z46" i="1"/>
  <c r="V46" i="1"/>
  <c r="N46" i="1"/>
  <c r="AD45" i="1"/>
  <c r="AC45" i="1"/>
  <c r="AB45" i="1"/>
  <c r="AA45" i="1"/>
  <c r="Z45" i="1"/>
  <c r="V45" i="1"/>
  <c r="N45" i="1"/>
  <c r="P45" i="1"/>
  <c r="AD44" i="1"/>
  <c r="AC44" i="1"/>
  <c r="AB44" i="1"/>
  <c r="AA44" i="1"/>
  <c r="Z44" i="1"/>
  <c r="V44" i="1"/>
  <c r="N44" i="1"/>
  <c r="L44" i="1"/>
  <c r="L46" i="1"/>
  <c r="K44" i="1"/>
  <c r="L45" i="1"/>
  <c r="J44" i="1"/>
  <c r="J46" i="1"/>
  <c r="AD43" i="1"/>
  <c r="AC43" i="1"/>
  <c r="AB43" i="1"/>
  <c r="AA43" i="1"/>
  <c r="Z43" i="1"/>
  <c r="V43" i="1"/>
  <c r="N43" i="1"/>
  <c r="Q43" i="1"/>
  <c r="J43" i="1"/>
  <c r="M43" i="1"/>
  <c r="AD42" i="1"/>
  <c r="AC42" i="1"/>
  <c r="AB42" i="1"/>
  <c r="AA42" i="1"/>
  <c r="Z42" i="1"/>
  <c r="V42" i="1"/>
  <c r="N42" i="1"/>
  <c r="L42" i="1"/>
  <c r="K42" i="1"/>
  <c r="J42" i="1"/>
  <c r="AD41" i="1"/>
  <c r="AC41" i="1"/>
  <c r="AB41" i="1"/>
  <c r="AA41" i="1"/>
  <c r="Z41" i="1"/>
  <c r="V41" i="1"/>
  <c r="N41" i="1"/>
  <c r="M41" i="1"/>
  <c r="AD40" i="1"/>
  <c r="AC40" i="1"/>
  <c r="AB40" i="1"/>
  <c r="AA40" i="1"/>
  <c r="Z40" i="1"/>
  <c r="AD39" i="1"/>
  <c r="AC39" i="1"/>
  <c r="AB39" i="1"/>
  <c r="AA39" i="1"/>
  <c r="Z39" i="1"/>
  <c r="AD38" i="1"/>
  <c r="AC38" i="1"/>
  <c r="AB38" i="1"/>
  <c r="AA38" i="1"/>
  <c r="Z38" i="1"/>
  <c r="V38" i="1"/>
  <c r="N38" i="1"/>
  <c r="M38" i="1"/>
  <c r="AD37" i="1"/>
  <c r="AC37" i="1"/>
  <c r="AB37" i="1"/>
  <c r="AA37" i="1"/>
  <c r="Z37" i="1"/>
  <c r="V37" i="1"/>
  <c r="N37" i="1"/>
  <c r="Q37" i="1"/>
  <c r="M37" i="1"/>
  <c r="AD36" i="1"/>
  <c r="AC36" i="1"/>
  <c r="AB36" i="1"/>
  <c r="AA36" i="1"/>
  <c r="Z36" i="1"/>
  <c r="V36" i="1"/>
  <c r="N36" i="1"/>
  <c r="R36" i="1"/>
  <c r="M36" i="1"/>
  <c r="AD35" i="1"/>
  <c r="AC35" i="1"/>
  <c r="AB35" i="1"/>
  <c r="AA35" i="1"/>
  <c r="Z35" i="1"/>
  <c r="V35" i="1"/>
  <c r="N35" i="1"/>
  <c r="R35" i="1"/>
  <c r="M35" i="1"/>
  <c r="AD34" i="1"/>
  <c r="AC34" i="1"/>
  <c r="AB34" i="1"/>
  <c r="AA34" i="1"/>
  <c r="Z34" i="1"/>
  <c r="V34" i="1"/>
  <c r="N34" i="1"/>
  <c r="M34" i="1"/>
  <c r="AD33" i="1"/>
  <c r="AC33" i="1"/>
  <c r="AB33" i="1"/>
  <c r="AA33" i="1"/>
  <c r="Z33" i="1"/>
  <c r="AD32" i="1"/>
  <c r="AC32" i="1"/>
  <c r="AB32" i="1"/>
  <c r="AA32" i="1"/>
  <c r="Z32" i="1"/>
  <c r="V32" i="1"/>
  <c r="N32" i="1"/>
  <c r="L32" i="1"/>
  <c r="K32" i="1"/>
  <c r="J32" i="1"/>
  <c r="AD31" i="1"/>
  <c r="AC31" i="1"/>
  <c r="AB31" i="1"/>
  <c r="AA31" i="1"/>
  <c r="Z31" i="1"/>
  <c r="V31" i="1"/>
  <c r="N31" i="1"/>
  <c r="R31" i="1"/>
  <c r="M31" i="1"/>
  <c r="AD30" i="1"/>
  <c r="AC30" i="1"/>
  <c r="AB30" i="1"/>
  <c r="AA30" i="1"/>
  <c r="Z30" i="1"/>
  <c r="V30" i="1"/>
  <c r="N30" i="1"/>
  <c r="M30" i="1"/>
  <c r="AD29" i="1"/>
  <c r="AC29" i="1"/>
  <c r="AB29" i="1"/>
  <c r="AA29" i="1"/>
  <c r="Z29" i="1"/>
  <c r="AD28" i="1"/>
  <c r="AC28" i="1"/>
  <c r="AB28" i="1"/>
  <c r="AA28" i="1"/>
  <c r="Z28" i="1"/>
  <c r="V28" i="1"/>
  <c r="N28" i="1"/>
  <c r="P28" i="1"/>
  <c r="M28" i="1"/>
  <c r="AD27" i="1"/>
  <c r="AC27" i="1"/>
  <c r="AB27" i="1"/>
  <c r="AA27" i="1"/>
  <c r="Z27" i="1"/>
  <c r="V27" i="1"/>
  <c r="N27" i="1"/>
  <c r="Q27" i="1"/>
  <c r="M27" i="1"/>
  <c r="AD26" i="1"/>
  <c r="AC26" i="1"/>
  <c r="AB26" i="1"/>
  <c r="AA26" i="1"/>
  <c r="Z26" i="1"/>
  <c r="V26" i="1"/>
  <c r="N26" i="1"/>
  <c r="L26" i="1"/>
  <c r="K26" i="1"/>
  <c r="J26" i="1"/>
  <c r="M26" i="1"/>
  <c r="AD25" i="1"/>
  <c r="AC25" i="1"/>
  <c r="AB25" i="1"/>
  <c r="AA25" i="1"/>
  <c r="Z25" i="1"/>
  <c r="V25" i="1"/>
  <c r="N25" i="1"/>
  <c r="L25" i="1"/>
  <c r="K25" i="1"/>
  <c r="J25" i="1"/>
  <c r="AD24" i="1"/>
  <c r="AC24" i="1"/>
  <c r="AB24" i="1"/>
  <c r="AA24" i="1"/>
  <c r="Z24" i="1"/>
  <c r="V24" i="1"/>
  <c r="N24" i="1"/>
  <c r="P24" i="1"/>
  <c r="M24" i="1"/>
  <c r="AD23" i="1"/>
  <c r="AC23" i="1"/>
  <c r="AB23" i="1"/>
  <c r="AA23" i="1"/>
  <c r="Z23" i="1"/>
  <c r="V23" i="1"/>
  <c r="N23" i="1"/>
  <c r="Q23" i="1"/>
  <c r="M23" i="1"/>
  <c r="AD22" i="1"/>
  <c r="AC22" i="1"/>
  <c r="AB22" i="1"/>
  <c r="AA22" i="1"/>
  <c r="Z22" i="1"/>
  <c r="V22" i="1"/>
  <c r="N22" i="1"/>
  <c r="R22" i="1"/>
  <c r="M22" i="1"/>
  <c r="AD21" i="1"/>
  <c r="AC21" i="1"/>
  <c r="AB21" i="1"/>
  <c r="AA21" i="1"/>
  <c r="Z21" i="1"/>
  <c r="V21" i="1"/>
  <c r="N21" i="1"/>
  <c r="R21" i="1"/>
  <c r="J21" i="1"/>
  <c r="M21" i="1"/>
  <c r="AD20" i="1"/>
  <c r="AC20" i="1"/>
  <c r="AB20" i="1"/>
  <c r="AA20" i="1"/>
  <c r="Z20" i="1"/>
  <c r="AD19" i="1"/>
  <c r="AC19" i="1"/>
  <c r="AB19" i="1"/>
  <c r="AA19" i="1"/>
  <c r="Z19" i="1"/>
  <c r="AD18" i="1"/>
  <c r="AC18" i="1"/>
  <c r="AB18" i="1"/>
  <c r="AA18" i="1"/>
  <c r="Z18" i="1"/>
  <c r="V18" i="1"/>
  <c r="N18" i="1"/>
  <c r="L18" i="1"/>
  <c r="K18" i="1"/>
  <c r="J18" i="1"/>
  <c r="I18" i="1"/>
  <c r="AD17" i="1"/>
  <c r="AC17" i="1"/>
  <c r="AB17" i="1"/>
  <c r="AA17" i="1"/>
  <c r="Z17" i="1"/>
  <c r="V17" i="1"/>
  <c r="N17" i="1"/>
  <c r="J17" i="1"/>
  <c r="P17" i="1"/>
  <c r="L17" i="1"/>
  <c r="K17" i="1"/>
  <c r="I17" i="1"/>
  <c r="AD16" i="1"/>
  <c r="AC16" i="1"/>
  <c r="AB16" i="1"/>
  <c r="AA16" i="1"/>
  <c r="Z16" i="1"/>
  <c r="V16" i="1"/>
  <c r="N16" i="1"/>
  <c r="Q16" i="1"/>
  <c r="M16" i="1"/>
  <c r="AD15" i="1"/>
  <c r="AC15" i="1"/>
  <c r="AB15" i="1"/>
  <c r="AA15" i="1"/>
  <c r="Z15" i="1"/>
  <c r="V15" i="1"/>
  <c r="N15" i="1"/>
  <c r="L15" i="1"/>
  <c r="K15" i="1"/>
  <c r="J15" i="1"/>
  <c r="I15" i="1"/>
  <c r="AD14" i="1"/>
  <c r="AC14" i="1"/>
  <c r="AB14" i="1"/>
  <c r="AA14" i="1"/>
  <c r="Z14" i="1"/>
  <c r="V14" i="1"/>
  <c r="N14" i="1"/>
  <c r="M14" i="1"/>
  <c r="AD13" i="1"/>
  <c r="AC13" i="1"/>
  <c r="AB13" i="1"/>
  <c r="AA13" i="1"/>
  <c r="Z13" i="1"/>
  <c r="V13" i="1"/>
  <c r="N13" i="1"/>
  <c r="R13" i="1"/>
  <c r="J13" i="1"/>
  <c r="M13" i="1"/>
  <c r="AD12" i="1"/>
  <c r="AC12" i="1"/>
  <c r="AB12" i="1"/>
  <c r="AA12" i="1"/>
  <c r="Z12" i="1"/>
  <c r="AD11" i="1"/>
  <c r="AC11" i="1"/>
  <c r="AB11" i="1"/>
  <c r="AA11" i="1"/>
  <c r="Z11" i="1"/>
  <c r="V11" i="1"/>
  <c r="N11" i="1"/>
  <c r="R11" i="1"/>
  <c r="K11" i="1"/>
  <c r="J11" i="1"/>
  <c r="M11" i="1"/>
  <c r="AD10" i="1"/>
  <c r="AC10" i="1"/>
  <c r="AB10" i="1"/>
  <c r="AA10" i="1"/>
  <c r="Z10" i="1"/>
  <c r="V10" i="1"/>
  <c r="N10" i="1"/>
  <c r="Q10" i="1"/>
  <c r="J10" i="1"/>
  <c r="M10" i="1"/>
  <c r="AD9" i="1"/>
  <c r="AC9" i="1"/>
  <c r="AB9" i="1"/>
  <c r="AA9" i="1"/>
  <c r="Z9" i="1"/>
  <c r="V9" i="1"/>
  <c r="N9" i="1"/>
  <c r="R9" i="1"/>
  <c r="M9" i="1"/>
  <c r="AD8" i="1"/>
  <c r="AC8" i="1"/>
  <c r="AB8" i="1"/>
  <c r="AA8" i="1"/>
  <c r="Z8" i="1"/>
  <c r="V8" i="1"/>
  <c r="N8" i="1"/>
  <c r="I8" i="1"/>
  <c r="O8" i="1"/>
  <c r="J8" i="1"/>
  <c r="AD7" i="1"/>
  <c r="AC7" i="1"/>
  <c r="AB7" i="1"/>
  <c r="AA7" i="1"/>
  <c r="Z7" i="1"/>
  <c r="V7" i="1"/>
  <c r="N7" i="1"/>
  <c r="R7" i="1"/>
  <c r="I7" i="1"/>
  <c r="AD6" i="1"/>
  <c r="AC6" i="1"/>
  <c r="AB6" i="1"/>
  <c r="AA6" i="1"/>
  <c r="Z6" i="1"/>
  <c r="AD5" i="1"/>
  <c r="AC5" i="1"/>
  <c r="AB5" i="1"/>
  <c r="AA5" i="1"/>
  <c r="Z5" i="1"/>
  <c r="AD4" i="1"/>
  <c r="AC4" i="1"/>
  <c r="AB4" i="1"/>
  <c r="AA4" i="1"/>
  <c r="Z4" i="1"/>
  <c r="AD3" i="1"/>
  <c r="AC3" i="1"/>
  <c r="AB3" i="1"/>
  <c r="AA3" i="1"/>
  <c r="Z3" i="1"/>
  <c r="R549" i="1"/>
  <c r="R583" i="1"/>
  <c r="M801" i="1"/>
  <c r="R1218" i="1"/>
  <c r="R1258" i="1"/>
  <c r="M1279" i="1"/>
  <c r="M1626" i="1"/>
  <c r="M1960" i="1"/>
  <c r="R1999" i="1"/>
  <c r="M2055" i="1"/>
  <c r="S1283" i="15"/>
  <c r="S1154" i="15"/>
  <c r="S1392" i="15"/>
  <c r="R113" i="1"/>
  <c r="M91" i="1"/>
  <c r="P253" i="1"/>
  <c r="P370" i="1"/>
  <c r="R491" i="1"/>
  <c r="M607" i="1"/>
  <c r="Q944" i="1"/>
  <c r="M1588" i="1"/>
  <c r="M1598" i="1"/>
  <c r="M1600" i="1"/>
  <c r="M1781" i="1"/>
  <c r="M1906" i="1"/>
  <c r="M1997" i="1"/>
  <c r="S1521" i="15"/>
  <c r="S1342" i="15"/>
  <c r="R527" i="15"/>
  <c r="M181" i="15"/>
  <c r="M46" i="15"/>
  <c r="S210" i="15"/>
  <c r="S109" i="15"/>
  <c r="S1510" i="15"/>
  <c r="S979" i="15"/>
  <c r="S74" i="15"/>
  <c r="S1053" i="15"/>
  <c r="S1447" i="15"/>
  <c r="M204" i="1"/>
  <c r="R213" i="1"/>
  <c r="R225" i="1"/>
  <c r="P235" i="1"/>
  <c r="M239" i="1"/>
  <c r="R242" i="1"/>
  <c r="M243" i="1"/>
  <c r="M292" i="1"/>
  <c r="M366" i="1"/>
  <c r="M530" i="1"/>
  <c r="M757" i="1"/>
  <c r="M1133" i="1"/>
  <c r="R2056" i="1"/>
  <c r="S1921" i="15"/>
  <c r="R1472" i="15"/>
  <c r="M182" i="15"/>
  <c r="S2092" i="15"/>
  <c r="S1547" i="15"/>
  <c r="S196" i="15"/>
  <c r="R1633" i="1"/>
  <c r="R1938" i="1"/>
  <c r="Q2027" i="1"/>
  <c r="R2029" i="1"/>
  <c r="Q2059" i="1"/>
  <c r="R2110" i="1"/>
  <c r="S610" i="15"/>
  <c r="M136" i="15"/>
  <c r="M139" i="15"/>
  <c r="S738" i="15"/>
  <c r="M92" i="1"/>
  <c r="M73" i="1"/>
  <c r="R278" i="1"/>
  <c r="R366" i="1"/>
  <c r="P380" i="1"/>
  <c r="R392" i="1"/>
  <c r="M549" i="1"/>
  <c r="R678" i="1"/>
  <c r="Q1176" i="1"/>
  <c r="M1417" i="1"/>
  <c r="R1609" i="1"/>
  <c r="M1746" i="1"/>
  <c r="M1783" i="1"/>
  <c r="M1847" i="1"/>
  <c r="M1910" i="1"/>
  <c r="S1727" i="15"/>
  <c r="M1498" i="15"/>
  <c r="S1417" i="15"/>
  <c r="M1508" i="15"/>
  <c r="Q137" i="15"/>
  <c r="R178" i="15"/>
  <c r="S68" i="15"/>
  <c r="S141" i="15"/>
  <c r="S1754" i="15"/>
  <c r="S1507" i="15"/>
  <c r="S546" i="15"/>
  <c r="Q239" i="1"/>
  <c r="Q292" i="1"/>
  <c r="M488" i="1"/>
  <c r="M601" i="1"/>
  <c r="M771" i="1"/>
  <c r="M907" i="1"/>
  <c r="P949" i="1"/>
  <c r="M1153" i="1"/>
  <c r="M1163" i="1"/>
  <c r="M1546" i="1"/>
  <c r="M1730" i="1"/>
  <c r="M1773" i="1"/>
  <c r="M1990" i="1"/>
  <c r="M1999" i="1"/>
  <c r="M2095" i="1"/>
  <c r="S1432" i="15"/>
  <c r="S1439" i="15"/>
  <c r="S240" i="15"/>
  <c r="M229" i="15"/>
  <c r="S112" i="15"/>
  <c r="S2030" i="15"/>
  <c r="S1803" i="15"/>
  <c r="S1264" i="15"/>
  <c r="S1127" i="15"/>
  <c r="S2091" i="15"/>
  <c r="S567" i="15"/>
  <c r="S549" i="15"/>
  <c r="S398" i="15"/>
  <c r="S187" i="15"/>
  <c r="S1753" i="15"/>
  <c r="S893" i="15"/>
  <c r="S773" i="15"/>
  <c r="S140" i="15"/>
  <c r="S1224" i="15"/>
  <c r="S825" i="15"/>
  <c r="S2095" i="15"/>
  <c r="S1755" i="15"/>
  <c r="S1702" i="15"/>
  <c r="S1695" i="15"/>
  <c r="S1519" i="15"/>
  <c r="S1402" i="15"/>
  <c r="S1320" i="15"/>
  <c r="S1299" i="15"/>
  <c r="S1256" i="15"/>
  <c r="S1000" i="15"/>
  <c r="S548" i="15"/>
  <c r="S333" i="15"/>
  <c r="S370" i="15"/>
  <c r="S2024" i="15"/>
  <c r="S1527" i="15"/>
  <c r="S1149" i="15"/>
  <c r="S977" i="15"/>
  <c r="S1035" i="15"/>
  <c r="S157" i="15"/>
  <c r="S313" i="15"/>
  <c r="S1777" i="15"/>
  <c r="S2107" i="15"/>
  <c r="S1935" i="15"/>
  <c r="S1505" i="15"/>
  <c r="S1502" i="15"/>
  <c r="S213" i="15"/>
  <c r="S17" i="15"/>
  <c r="S2077" i="15"/>
  <c r="S1453" i="15"/>
  <c r="S1558" i="15"/>
  <c r="S1464" i="15"/>
  <c r="S1338" i="15"/>
  <c r="S1280" i="15"/>
  <c r="S1200" i="15"/>
  <c r="S1188" i="15"/>
  <c r="S1095" i="15"/>
  <c r="S757" i="15"/>
  <c r="S657" i="15"/>
  <c r="S576" i="15"/>
  <c r="S387" i="15"/>
  <c r="S346" i="15"/>
  <c r="S256" i="15"/>
  <c r="S127" i="15"/>
  <c r="S1296" i="15"/>
  <c r="S1516" i="15"/>
  <c r="S686" i="15"/>
  <c r="S119" i="15"/>
  <c r="S1626" i="15"/>
  <c r="S1539" i="15"/>
  <c r="S824" i="15"/>
  <c r="S469" i="15"/>
  <c r="S2110" i="15"/>
  <c r="S2062" i="15"/>
  <c r="S2005" i="15"/>
  <c r="S944" i="15"/>
  <c r="S575" i="15"/>
  <c r="S634" i="15"/>
  <c r="S214" i="15"/>
  <c r="S36" i="15"/>
  <c r="S1737" i="15"/>
  <c r="S1986" i="15"/>
  <c r="S1779" i="15"/>
  <c r="S1766" i="15"/>
  <c r="S1743" i="15"/>
  <c r="S1506" i="15"/>
  <c r="S1562" i="15"/>
  <c r="S1187" i="15"/>
  <c r="S1759" i="15"/>
  <c r="S1812" i="15"/>
  <c r="S1501" i="15"/>
  <c r="S642" i="15"/>
  <c r="S805" i="15"/>
  <c r="S199" i="15"/>
  <c r="S971" i="15"/>
  <c r="S531" i="15"/>
  <c r="S538" i="15"/>
  <c r="S133" i="15"/>
  <c r="S1872" i="15"/>
  <c r="S1548" i="15"/>
  <c r="S73" i="15"/>
  <c r="S2079" i="15"/>
  <c r="S1696" i="15"/>
  <c r="S111" i="15"/>
  <c r="S1974" i="15"/>
  <c r="S1500" i="15"/>
  <c r="S992" i="15"/>
  <c r="S225" i="15"/>
  <c r="S53" i="15"/>
  <c r="S1592" i="15"/>
  <c r="S450" i="15"/>
  <c r="S963" i="15"/>
  <c r="S817" i="15"/>
  <c r="S1580" i="15"/>
  <c r="S792" i="15"/>
  <c r="S615" i="15"/>
  <c r="S1541" i="15"/>
  <c r="S1963" i="15"/>
  <c r="S990" i="15"/>
  <c r="S2096" i="15"/>
  <c r="S1969" i="15"/>
  <c r="S1522" i="15"/>
  <c r="S1518" i="15"/>
  <c r="S1274" i="15"/>
  <c r="S1260" i="15"/>
  <c r="S1247" i="15"/>
  <c r="S401" i="15"/>
  <c r="S190" i="15"/>
  <c r="S2090" i="15"/>
  <c r="S2119" i="15"/>
  <c r="S1919" i="15"/>
  <c r="S1782" i="15"/>
  <c r="S1630" i="15"/>
  <c r="S1600" i="15"/>
  <c r="S1625" i="15"/>
  <c r="S1119" i="15"/>
  <c r="S1183" i="15"/>
  <c r="S1897" i="15"/>
  <c r="S2098" i="15"/>
  <c r="S613" i="15"/>
  <c r="S1050" i="15"/>
  <c r="S2060" i="15"/>
  <c r="S2022" i="15"/>
  <c r="S1520" i="15"/>
  <c r="S1508" i="15"/>
  <c r="S1433" i="15"/>
  <c r="S1225" i="15"/>
  <c r="S1090" i="15"/>
  <c r="S1118" i="15"/>
  <c r="S923" i="15"/>
  <c r="S739" i="15"/>
  <c r="S712" i="15"/>
  <c r="S400" i="15"/>
  <c r="S2111" i="15"/>
  <c r="S2075" i="15"/>
  <c r="S1721" i="15"/>
  <c r="S1705" i="15"/>
  <c r="S1776" i="15"/>
  <c r="S1800" i="15"/>
  <c r="S999" i="15"/>
  <c r="S985" i="15"/>
  <c r="S819" i="15"/>
  <c r="S802" i="15"/>
  <c r="S640" i="15"/>
  <c r="S1964" i="15"/>
  <c r="S1926" i="15"/>
  <c r="S1750" i="15"/>
  <c r="S1745" i="15"/>
  <c r="S1734" i="15"/>
  <c r="S1703" i="15"/>
  <c r="S1697" i="15"/>
  <c r="S1666" i="15"/>
  <c r="S1633" i="15"/>
  <c r="S1451" i="15"/>
  <c r="S1517" i="15"/>
  <c r="S1629" i="15"/>
  <c r="S1341" i="15"/>
  <c r="S1285" i="15"/>
  <c r="S1238" i="15"/>
  <c r="S1243" i="15"/>
  <c r="S1019" i="15"/>
  <c r="S949" i="15"/>
  <c r="S942" i="15"/>
  <c r="S863" i="15"/>
  <c r="S816" i="15"/>
  <c r="S793" i="15"/>
  <c r="S737" i="15"/>
  <c r="S937" i="15"/>
  <c r="S684" i="15"/>
  <c r="S660" i="15"/>
  <c r="S668" i="15"/>
  <c r="S570" i="15"/>
  <c r="S464" i="15"/>
  <c r="S420" i="15"/>
  <c r="S416" i="15"/>
  <c r="S374" i="15"/>
  <c r="S389" i="15"/>
  <c r="S318" i="15"/>
  <c r="S235" i="15"/>
  <c r="S176" i="15"/>
  <c r="S11" i="15"/>
  <c r="S961" i="15"/>
  <c r="S890" i="15"/>
  <c r="S777" i="15"/>
  <c r="S664" i="15"/>
  <c r="S617" i="15"/>
  <c r="S125" i="15"/>
  <c r="S223" i="15"/>
  <c r="S358" i="15"/>
  <c r="S2082" i="15"/>
  <c r="S2053" i="15"/>
  <c r="S2020" i="15"/>
  <c r="S1840" i="15"/>
  <c r="S1749" i="15"/>
  <c r="S1657" i="15"/>
  <c r="S1465" i="15"/>
  <c r="S1321" i="15"/>
  <c r="S1309" i="15"/>
  <c r="S1301" i="15"/>
  <c r="S1291" i="15"/>
  <c r="S1284" i="15"/>
  <c r="S1257" i="15"/>
  <c r="S1236" i="15"/>
  <c r="S1208" i="15"/>
  <c r="S1036" i="15"/>
  <c r="S1026" i="15"/>
  <c r="S1206" i="15"/>
  <c r="S1164" i="15"/>
  <c r="S940" i="15"/>
  <c r="S921" i="15"/>
  <c r="S877" i="15"/>
  <c r="S718" i="15"/>
  <c r="S888" i="15"/>
  <c r="S589" i="15"/>
  <c r="S583" i="15"/>
  <c r="S415" i="15"/>
  <c r="S397" i="15"/>
  <c r="S115" i="15"/>
  <c r="S61" i="15"/>
  <c r="S271" i="15"/>
  <c r="S1744" i="15"/>
  <c r="S861" i="15"/>
  <c r="S611" i="15"/>
  <c r="S524" i="15"/>
  <c r="S252" i="15"/>
  <c r="S2124" i="15"/>
  <c r="S2109" i="15"/>
  <c r="S2015" i="15"/>
  <c r="S2017" i="15"/>
  <c r="S1973" i="15"/>
  <c r="S1920" i="15"/>
  <c r="S1874" i="15"/>
  <c r="P2127" i="15"/>
  <c r="S1804" i="15"/>
  <c r="S1783" i="15"/>
  <c r="S1771" i="15"/>
  <c r="S1741" i="15"/>
  <c r="S1650" i="15"/>
  <c r="S1481" i="15"/>
  <c r="S1364" i="15"/>
  <c r="S1326" i="15"/>
  <c r="S1042" i="15"/>
  <c r="S1169" i="15"/>
  <c r="S1163" i="15"/>
  <c r="S1151" i="15"/>
  <c r="S1140" i="15"/>
  <c r="S1059" i="15"/>
  <c r="S902" i="15"/>
  <c r="S845" i="15"/>
  <c r="S841" i="15"/>
  <c r="S715" i="15"/>
  <c r="S698" i="15"/>
  <c r="S519" i="15"/>
  <c r="S453" i="15"/>
  <c r="S243" i="15"/>
  <c r="S273" i="15"/>
  <c r="S402" i="15"/>
  <c r="S1838" i="15"/>
  <c r="S439" i="15"/>
  <c r="S31" i="15"/>
  <c r="S382" i="15"/>
  <c r="S241" i="15"/>
  <c r="S1383" i="15"/>
  <c r="S1538" i="15"/>
  <c r="S929" i="15"/>
  <c r="S847" i="15"/>
  <c r="S842" i="15"/>
  <c r="S804" i="15"/>
  <c r="S797" i="15"/>
  <c r="S786" i="15"/>
  <c r="S505" i="15"/>
  <c r="S501" i="15"/>
  <c r="S237" i="15"/>
  <c r="S92" i="15"/>
  <c r="S311" i="15"/>
  <c r="S1557" i="15"/>
  <c r="S1514" i="15"/>
  <c r="S1064" i="15"/>
  <c r="S1017" i="15"/>
  <c r="S848" i="15"/>
  <c r="S810" i="15"/>
  <c r="S687" i="15"/>
  <c r="S249" i="15"/>
  <c r="S212" i="15"/>
  <c r="S59" i="15"/>
  <c r="S28" i="15"/>
  <c r="S2000" i="15"/>
  <c r="S1549" i="15"/>
  <c r="S1313" i="15"/>
  <c r="S1300" i="15"/>
  <c r="S1239" i="15"/>
  <c r="P449" i="1"/>
  <c r="S2021" i="15"/>
  <c r="S1980" i="15"/>
  <c r="S1905" i="15"/>
  <c r="S1854" i="15"/>
  <c r="S1821" i="15"/>
  <c r="S1767" i="15"/>
  <c r="S1738" i="15"/>
  <c r="S37" i="15"/>
  <c r="S1648" i="15"/>
  <c r="S1515" i="15"/>
  <c r="S1181" i="15"/>
  <c r="S1694" i="15"/>
  <c r="S467" i="15"/>
  <c r="S2085" i="15"/>
  <c r="S1037" i="15"/>
  <c r="S932" i="15"/>
  <c r="S736" i="15"/>
  <c r="S697" i="15"/>
  <c r="S1013" i="15"/>
  <c r="S934" i="15"/>
  <c r="S1021" i="15"/>
  <c r="S1820" i="15"/>
  <c r="S1707" i="15"/>
  <c r="S1817" i="15"/>
  <c r="S1746" i="15"/>
  <c r="S1133" i="15"/>
  <c r="S1147" i="15"/>
  <c r="S1025" i="15"/>
  <c r="S451" i="15"/>
  <c r="S201" i="15"/>
  <c r="S189" i="15"/>
  <c r="S8" i="15"/>
  <c r="S543" i="15"/>
  <c r="S956" i="15"/>
  <c r="S974" i="15"/>
  <c r="S900" i="15"/>
  <c r="S873" i="15"/>
  <c r="S837" i="15"/>
  <c r="S799" i="15"/>
  <c r="S638" i="15"/>
  <c r="S491" i="15"/>
  <c r="S2086" i="15"/>
  <c r="S1683" i="15"/>
  <c r="S1661" i="15"/>
  <c r="S1627" i="15"/>
  <c r="S1621" i="15"/>
  <c r="R657" i="1"/>
  <c r="R18" i="1"/>
  <c r="R25" i="1"/>
  <c r="M341" i="1"/>
  <c r="R347" i="1"/>
  <c r="Q352" i="1"/>
  <c r="Q390" i="1"/>
  <c r="M399" i="1"/>
  <c r="R627" i="1"/>
  <c r="R74" i="1"/>
  <c r="J137" i="1"/>
  <c r="M137" i="1"/>
  <c r="R173" i="1"/>
  <c r="M8" i="1"/>
  <c r="M32" i="1"/>
  <c r="R42" i="1"/>
  <c r="M74" i="1"/>
  <c r="M102" i="1"/>
  <c r="R106" i="1"/>
  <c r="L130" i="1"/>
  <c r="L139" i="1"/>
  <c r="R139" i="1"/>
  <c r="R141" i="1"/>
  <c r="R165" i="1"/>
  <c r="Q183" i="1"/>
  <c r="M260" i="1"/>
  <c r="M339" i="1"/>
  <c r="Q340" i="1"/>
  <c r="M347" i="1"/>
  <c r="M385" i="1"/>
  <c r="M389" i="1"/>
  <c r="R391" i="1"/>
  <c r="J418" i="1"/>
  <c r="M494" i="1"/>
  <c r="R502" i="1"/>
  <c r="P509" i="1"/>
  <c r="M598" i="1"/>
  <c r="M600" i="1"/>
  <c r="M602" i="1"/>
  <c r="M605" i="1"/>
  <c r="R611" i="1"/>
  <c r="R613" i="1"/>
  <c r="M104" i="1"/>
  <c r="M106" i="1"/>
  <c r="M153" i="1"/>
  <c r="M256" i="1"/>
  <c r="P260" i="1"/>
  <c r="M383" i="1"/>
  <c r="M448" i="1"/>
  <c r="M449" i="1"/>
  <c r="M474" i="1"/>
  <c r="R691" i="1"/>
  <c r="R693" i="1"/>
  <c r="M785" i="1"/>
  <c r="R1257" i="1"/>
  <c r="R1275" i="1"/>
  <c r="R1337" i="1"/>
  <c r="M1388" i="1"/>
  <c r="M1397" i="1"/>
  <c r="M1522" i="1"/>
  <c r="M1545" i="1"/>
  <c r="R1703" i="1"/>
  <c r="P1867" i="1"/>
  <c r="R1913" i="1"/>
  <c r="R1919" i="1"/>
  <c r="P1943" i="1"/>
  <c r="M1989" i="1"/>
  <c r="M2098" i="1"/>
  <c r="R2114" i="1"/>
  <c r="R534" i="1"/>
  <c r="M599" i="1"/>
  <c r="M608" i="1"/>
  <c r="M609" i="1"/>
  <c r="M626" i="1"/>
  <c r="M687" i="1"/>
  <c r="M691" i="1"/>
  <c r="M693" i="1"/>
  <c r="R728" i="1"/>
  <c r="M747" i="1"/>
  <c r="M856" i="1"/>
  <c r="M873" i="1"/>
  <c r="M877" i="1"/>
  <c r="P911" i="1"/>
  <c r="R922" i="1"/>
  <c r="Q934" i="1"/>
  <c r="M992" i="1"/>
  <c r="Q1225" i="1"/>
  <c r="M1254" i="1"/>
  <c r="M1382" i="1"/>
  <c r="M1394" i="1"/>
  <c r="R1442" i="1"/>
  <c r="Q1500" i="1"/>
  <c r="Q1504" i="1"/>
  <c r="M1509" i="1"/>
  <c r="P1516" i="1"/>
  <c r="R1558" i="1"/>
  <c r="R1561" i="1"/>
  <c r="M1581" i="1"/>
  <c r="Q1629" i="1"/>
  <c r="M1702" i="1"/>
  <c r="M1703" i="1"/>
  <c r="M1776" i="1"/>
  <c r="M1778" i="1"/>
  <c r="P1810" i="1"/>
  <c r="R1817" i="1"/>
  <c r="P1825" i="1"/>
  <c r="M1912" i="1"/>
  <c r="M1938" i="1"/>
  <c r="M1971" i="1"/>
  <c r="R1988" i="1"/>
  <c r="K2000" i="1"/>
  <c r="Q2000" i="1"/>
  <c r="M2005" i="1"/>
  <c r="M2019" i="1"/>
  <c r="P2065" i="1"/>
  <c r="M2094" i="1"/>
  <c r="Q2109" i="1"/>
  <c r="R2115" i="1"/>
  <c r="R2127" i="1"/>
  <c r="M603" i="1"/>
  <c r="R617" i="1"/>
  <c r="M766" i="1"/>
  <c r="M767" i="1"/>
  <c r="M870" i="1"/>
  <c r="M871" i="1"/>
  <c r="Q874" i="1"/>
  <c r="M894" i="1"/>
  <c r="M902" i="1"/>
  <c r="P907" i="1"/>
  <c r="M1039" i="1"/>
  <c r="M1056" i="1"/>
  <c r="Q1209" i="1"/>
  <c r="M1225" i="1"/>
  <c r="M1341" i="1"/>
  <c r="M1441" i="1"/>
  <c r="M1530" i="1"/>
  <c r="M1532" i="1"/>
  <c r="M1535" i="1"/>
  <c r="M1560" i="1"/>
  <c r="M1609" i="1"/>
  <c r="M1633" i="1"/>
  <c r="P1702" i="1"/>
  <c r="M1748" i="1"/>
  <c r="M1750" i="1"/>
  <c r="M1754" i="1"/>
  <c r="M1759" i="1"/>
  <c r="M1825" i="1"/>
  <c r="M1922" i="1"/>
  <c r="M1988" i="1"/>
  <c r="P2008" i="1"/>
  <c r="M2058" i="1"/>
  <c r="M2096" i="1"/>
  <c r="M2099" i="1"/>
  <c r="R101" i="1"/>
  <c r="K129" i="1"/>
  <c r="M129" i="1"/>
  <c r="K132" i="1"/>
  <c r="L183" i="1"/>
  <c r="M183" i="1"/>
  <c r="L182" i="1"/>
  <c r="L179" i="1"/>
  <c r="R179" i="1"/>
  <c r="L178" i="1"/>
  <c r="L181" i="1"/>
  <c r="L420" i="1"/>
  <c r="L419" i="1"/>
  <c r="M490" i="1"/>
  <c r="M493" i="1"/>
  <c r="K46" i="1"/>
  <c r="L51" i="1"/>
  <c r="R15" i="1"/>
  <c r="Q49" i="1"/>
  <c r="J66" i="1"/>
  <c r="J67" i="1"/>
  <c r="P67" i="1"/>
  <c r="R105" i="1"/>
  <c r="M125" i="1"/>
  <c r="L132" i="1"/>
  <c r="R132" i="1"/>
  <c r="R140" i="1"/>
  <c r="M160" i="1"/>
  <c r="M176" i="1"/>
  <c r="M265" i="1"/>
  <c r="K273" i="1"/>
  <c r="M266" i="1"/>
  <c r="M351" i="1"/>
  <c r="M369" i="1"/>
  <c r="M397" i="1"/>
  <c r="M400" i="1"/>
  <c r="M604" i="1"/>
  <c r="M17" i="1"/>
  <c r="M15" i="1"/>
  <c r="R26" i="1"/>
  <c r="Q32" i="1"/>
  <c r="M42" i="1"/>
  <c r="Q44" i="1"/>
  <c r="M49" i="1"/>
  <c r="R58" i="1"/>
  <c r="M90" i="1"/>
  <c r="M93" i="1"/>
  <c r="M95" i="1"/>
  <c r="R100" i="1"/>
  <c r="M114" i="1"/>
  <c r="M124" i="1"/>
  <c r="P125" i="1"/>
  <c r="M147" i="1"/>
  <c r="M236" i="1"/>
  <c r="M250" i="1"/>
  <c r="M392" i="1"/>
  <c r="P399" i="1"/>
  <c r="M475" i="1"/>
  <c r="P505" i="1"/>
  <c r="M508" i="1"/>
  <c r="M519" i="1"/>
  <c r="Q603" i="1"/>
  <c r="P876" i="1"/>
  <c r="R961" i="1"/>
  <c r="M963" i="1"/>
  <c r="P191" i="1"/>
  <c r="Q218" i="1"/>
  <c r="O227" i="1"/>
  <c r="Q236" i="1"/>
  <c r="Q238" i="1"/>
  <c r="M247" i="1"/>
  <c r="Q250" i="1"/>
  <c r="Q293" i="1"/>
  <c r="M340" i="1"/>
  <c r="R346" i="1"/>
  <c r="Q351" i="1"/>
  <c r="P358" i="1"/>
  <c r="R369" i="1"/>
  <c r="P382" i="1"/>
  <c r="M384" i="1"/>
  <c r="M390" i="1"/>
  <c r="Q401" i="1"/>
  <c r="R463" i="1"/>
  <c r="M491" i="1"/>
  <c r="M509" i="1"/>
  <c r="R548" i="1"/>
  <c r="R550" i="1"/>
  <c r="P588" i="1"/>
  <c r="R605" i="1"/>
  <c r="P609" i="1"/>
  <c r="R615" i="1"/>
  <c r="R619" i="1"/>
  <c r="P661" i="1"/>
  <c r="R692" i="1"/>
  <c r="R695" i="1"/>
  <c r="M705" i="1"/>
  <c r="M768" i="1"/>
  <c r="R857" i="1"/>
  <c r="P871" i="1"/>
  <c r="M874" i="1"/>
  <c r="Q890" i="1"/>
  <c r="R894" i="1"/>
  <c r="P930" i="1"/>
  <c r="M977" i="1"/>
  <c r="R1118" i="1"/>
  <c r="R1132" i="1"/>
  <c r="R1154" i="1"/>
  <c r="R1164" i="1"/>
  <c r="R1206" i="1"/>
  <c r="M1521" i="1"/>
  <c r="P176" i="1"/>
  <c r="P190" i="1"/>
  <c r="R196" i="1"/>
  <c r="M203" i="1"/>
  <c r="R210" i="1"/>
  <c r="R212" i="1"/>
  <c r="R214" i="1"/>
  <c r="R219" i="1"/>
  <c r="M220" i="1"/>
  <c r="R222" i="1"/>
  <c r="R224" i="1"/>
  <c r="M240" i="1"/>
  <c r="R241" i="1"/>
  <c r="M244" i="1"/>
  <c r="P256" i="1"/>
  <c r="M259" i="1"/>
  <c r="L273" i="1"/>
  <c r="M267" i="1"/>
  <c r="M293" i="1"/>
  <c r="P318" i="1"/>
  <c r="Q333" i="1"/>
  <c r="Q339" i="1"/>
  <c r="Q341" i="1"/>
  <c r="M352" i="1"/>
  <c r="M368" i="1"/>
  <c r="M371" i="1"/>
  <c r="Q383" i="1"/>
  <c r="Q385" i="1"/>
  <c r="P389" i="1"/>
  <c r="M391" i="1"/>
  <c r="P448" i="1"/>
  <c r="Q494" i="1"/>
  <c r="R501" i="1"/>
  <c r="P508" i="1"/>
  <c r="M526" i="1"/>
  <c r="M548" i="1"/>
  <c r="M550" i="1"/>
  <c r="R600" i="1"/>
  <c r="R604" i="1"/>
  <c r="R608" i="1"/>
  <c r="R640" i="1"/>
  <c r="M688" i="1"/>
  <c r="M692" i="1"/>
  <c r="Q727" i="1"/>
  <c r="P870" i="1"/>
  <c r="Q873" i="1"/>
  <c r="Q977" i="1"/>
  <c r="Q1000" i="1"/>
  <c r="M1209" i="1"/>
  <c r="M738" i="1"/>
  <c r="P877" i="1"/>
  <c r="P902" i="1"/>
  <c r="M1206" i="1"/>
  <c r="M1337" i="1"/>
  <c r="M1340" i="1"/>
  <c r="L1446" i="1"/>
  <c r="K1446" i="1"/>
  <c r="M1528" i="1"/>
  <c r="M1531" i="1"/>
  <c r="M1547" i="1"/>
  <c r="Q1465" i="1"/>
  <c r="M1483" i="1"/>
  <c r="M1510" i="1"/>
  <c r="P1519" i="1"/>
  <c r="R1547" i="1"/>
  <c r="M1589" i="1"/>
  <c r="M1625" i="1"/>
  <c r="Q1661" i="1"/>
  <c r="M1736" i="1"/>
  <c r="M1739" i="1"/>
  <c r="R1746" i="1"/>
  <c r="M1775" i="1"/>
  <c r="M1777" i="1"/>
  <c r="M1779" i="1"/>
  <c r="M1822" i="1"/>
  <c r="M1907" i="1"/>
  <c r="P1912" i="1"/>
  <c r="M1958" i="1"/>
  <c r="R1959" i="1"/>
  <c r="R1971" i="1"/>
  <c r="R1989" i="1"/>
  <c r="Q2003" i="1"/>
  <c r="Q2005" i="1"/>
  <c r="M2051" i="1"/>
  <c r="Q2055" i="1"/>
  <c r="Q2058" i="1"/>
  <c r="P2078" i="1"/>
  <c r="M2084" i="1"/>
  <c r="R2094" i="1"/>
  <c r="R2099" i="1"/>
  <c r="R2113" i="1"/>
  <c r="M1501" i="1"/>
  <c r="M1503" i="1"/>
  <c r="M1505" i="1"/>
  <c r="M1507" i="1"/>
  <c r="M1515" i="1"/>
  <c r="P1524" i="1"/>
  <c r="M1558" i="1"/>
  <c r="P1589" i="1"/>
  <c r="M1648" i="1"/>
  <c r="M1650" i="1"/>
  <c r="P1906" i="1"/>
  <c r="M1919" i="1"/>
  <c r="P1922" i="1"/>
  <c r="M2121" i="1"/>
  <c r="M2127" i="1"/>
  <c r="M1740" i="1"/>
  <c r="Q1980" i="1"/>
  <c r="Q1982" i="1"/>
  <c r="Q1991" i="1"/>
  <c r="Q2051" i="1"/>
  <c r="M1132" i="1"/>
  <c r="M1134" i="1"/>
  <c r="M1154" i="1"/>
  <c r="M1164" i="1"/>
  <c r="M1176" i="1"/>
  <c r="M1207" i="1"/>
  <c r="M1309" i="1"/>
  <c r="M1336" i="1"/>
  <c r="P1340" i="1"/>
  <c r="M1387" i="1"/>
  <c r="M1395" i="1"/>
  <c r="Q1433" i="1"/>
  <c r="M1447" i="1"/>
  <c r="M1490" i="1"/>
  <c r="M1500" i="1"/>
  <c r="M1502" i="1"/>
  <c r="M1504" i="1"/>
  <c r="M1506" i="1"/>
  <c r="R1522" i="1"/>
  <c r="R1525" i="1"/>
  <c r="M1536" i="1"/>
  <c r="Q1545" i="1"/>
  <c r="M1548" i="1"/>
  <c r="M1561" i="1"/>
  <c r="R1598" i="1"/>
  <c r="M1608" i="1"/>
  <c r="M1610" i="1"/>
  <c r="R1611" i="1"/>
  <c r="Q1625" i="1"/>
  <c r="P1628" i="1"/>
  <c r="M1630" i="1"/>
  <c r="M1632" i="1"/>
  <c r="M1649" i="1"/>
  <c r="M1707" i="1"/>
  <c r="M1752" i="1"/>
  <c r="P1782" i="1"/>
  <c r="R1800" i="1"/>
  <c r="P1818" i="1"/>
  <c r="R1826" i="1"/>
  <c r="P1896" i="1"/>
  <c r="P1907" i="1"/>
  <c r="M1920" i="1"/>
  <c r="R1960" i="1"/>
  <c r="M1962" i="1"/>
  <c r="Q1993" i="1"/>
  <c r="M2004" i="1"/>
  <c r="M2008" i="1"/>
  <c r="M2059" i="1"/>
  <c r="P2088" i="1"/>
  <c r="R2095" i="1"/>
  <c r="Q2107" i="1"/>
  <c r="M2109" i="1"/>
  <c r="R2112" i="1"/>
  <c r="O777" i="1"/>
  <c r="O783" i="1"/>
  <c r="Q502" i="1"/>
  <c r="Q1190" i="1"/>
  <c r="O1199" i="1"/>
  <c r="Q426" i="1"/>
  <c r="Q569" i="1"/>
  <c r="P821" i="1"/>
  <c r="P1627" i="1"/>
  <c r="Q1633" i="1"/>
  <c r="O1745" i="1"/>
  <c r="O1769" i="1"/>
  <c r="O2061" i="1"/>
  <c r="O2066" i="1"/>
  <c r="P2079" i="1"/>
  <c r="Q2088" i="1"/>
  <c r="P2127" i="1"/>
  <c r="P397" i="1"/>
  <c r="P1096" i="1"/>
  <c r="P1603" i="1"/>
  <c r="O1627" i="1"/>
  <c r="Q1628" i="1"/>
  <c r="O1633" i="1"/>
  <c r="Q519" i="1"/>
  <c r="Q167" i="1"/>
  <c r="Q199" i="1"/>
  <c r="P715" i="1"/>
  <c r="Q1520" i="1"/>
  <c r="O1522" i="1"/>
  <c r="Q1702" i="1"/>
  <c r="O1703" i="1"/>
  <c r="P1926" i="1"/>
  <c r="O1959" i="1"/>
  <c r="Q1960" i="1"/>
  <c r="P1962" i="1"/>
  <c r="P64" i="1"/>
  <c r="Q575" i="1"/>
  <c r="O816" i="1"/>
  <c r="O821" i="1"/>
  <c r="Q1072" i="1"/>
  <c r="P1817" i="1"/>
  <c r="P1843" i="1"/>
  <c r="O2004" i="1"/>
  <c r="P265" i="1"/>
  <c r="Q378" i="1"/>
  <c r="P501" i="1"/>
  <c r="O1115" i="1"/>
  <c r="P1498" i="1"/>
  <c r="O1526" i="1"/>
  <c r="Q266" i="1"/>
  <c r="Q304" i="1"/>
  <c r="Q335" i="1"/>
  <c r="P677" i="1"/>
  <c r="O708" i="1"/>
  <c r="Q759" i="1"/>
  <c r="P768" i="1"/>
  <c r="Q889" i="1"/>
  <c r="O922" i="1"/>
  <c r="Q1096" i="1"/>
  <c r="P1164" i="1"/>
  <c r="P1199" i="1"/>
  <c r="Q1519" i="1"/>
  <c r="Q1522" i="1"/>
  <c r="O1739" i="1"/>
  <c r="P1923" i="1"/>
  <c r="O1989" i="1"/>
  <c r="P2093" i="1"/>
  <c r="Q2094" i="1"/>
  <c r="O2095" i="1"/>
  <c r="P889" i="1"/>
  <c r="P922" i="1"/>
  <c r="Q1102" i="1"/>
  <c r="Q1122" i="1"/>
  <c r="O1414" i="1"/>
  <c r="P2095" i="1"/>
  <c r="Q201" i="1"/>
  <c r="Q1700" i="1"/>
  <c r="O1702" i="1"/>
  <c r="Q1734" i="1"/>
  <c r="R1899" i="1"/>
  <c r="O2005" i="1"/>
  <c r="O869" i="1"/>
  <c r="O1100" i="1"/>
  <c r="Q1361" i="1"/>
  <c r="P1504" i="1"/>
  <c r="O1646" i="1"/>
  <c r="P1685" i="1"/>
  <c r="O1690" i="1"/>
  <c r="O1857" i="1"/>
  <c r="O2003" i="1"/>
  <c r="P264" i="1"/>
  <c r="O369" i="1"/>
  <c r="O608" i="1"/>
  <c r="R1209" i="1"/>
  <c r="P368" i="1"/>
  <c r="O604" i="1"/>
  <c r="P605" i="1"/>
  <c r="Q790" i="1"/>
  <c r="O844" i="1"/>
  <c r="P997" i="1"/>
  <c r="R1022" i="1"/>
  <c r="O1150" i="1"/>
  <c r="O1178" i="1"/>
  <c r="O1182" i="1"/>
  <c r="P1185" i="1"/>
  <c r="Q1200" i="1"/>
  <c r="Q1205" i="1"/>
  <c r="P1218" i="1"/>
  <c r="P1367" i="1"/>
  <c r="Q1578" i="1"/>
  <c r="Q1627" i="1"/>
  <c r="S1627" i="1"/>
  <c r="P1690" i="1"/>
  <c r="R1728" i="1"/>
  <c r="O1734" i="1"/>
  <c r="P1740" i="1"/>
  <c r="O1747" i="1"/>
  <c r="O1810" i="1"/>
  <c r="P1876" i="1"/>
  <c r="P1991" i="1"/>
  <c r="Q2012" i="1"/>
  <c r="O2013" i="1"/>
  <c r="Q607" i="1"/>
  <c r="Q277" i="1"/>
  <c r="P649" i="1"/>
  <c r="P651" i="1"/>
  <c r="Q709" i="1"/>
  <c r="Q1178" i="1"/>
  <c r="Q1182" i="1"/>
  <c r="R1780" i="1"/>
  <c r="S2010" i="15"/>
  <c r="S1711" i="15"/>
  <c r="S2118" i="15"/>
  <c r="S2116" i="15"/>
  <c r="S2076" i="15"/>
  <c r="S2059" i="15"/>
  <c r="S2058" i="15"/>
  <c r="S1990" i="15"/>
  <c r="S1923" i="15"/>
  <c r="S1865" i="15"/>
  <c r="S1845" i="15"/>
  <c r="S1764" i="15"/>
  <c r="S1740" i="15"/>
  <c r="S1672" i="15"/>
  <c r="S1667" i="15"/>
  <c r="S1611" i="15"/>
  <c r="S1536" i="15"/>
  <c r="S1530" i="15"/>
  <c r="S1499" i="15"/>
  <c r="S1403" i="15"/>
  <c r="S1484" i="15"/>
  <c r="S1441" i="15"/>
  <c r="S1252" i="15"/>
  <c r="S1440" i="15"/>
  <c r="S1265" i="15"/>
  <c r="S1207" i="15"/>
  <c r="S1010" i="15"/>
  <c r="S1209" i="15"/>
  <c r="S1162" i="15"/>
  <c r="S1144" i="15"/>
  <c r="S259" i="15"/>
  <c r="S90" i="15"/>
  <c r="S309" i="15"/>
  <c r="S2063" i="15"/>
  <c r="S1735" i="15"/>
  <c r="S1822" i="15"/>
  <c r="S1810" i="15"/>
  <c r="S1763" i="15"/>
  <c r="S1758" i="15"/>
  <c r="S1751" i="15"/>
  <c r="S1620" i="15"/>
  <c r="S1616" i="15"/>
  <c r="S1436" i="15"/>
  <c r="S1337" i="15"/>
  <c r="S1303" i="15"/>
  <c r="S1018" i="15"/>
  <c r="S989" i="15"/>
  <c r="S1116" i="15"/>
  <c r="S1180" i="15"/>
  <c r="S922" i="15"/>
  <c r="S916" i="15"/>
  <c r="S811" i="15"/>
  <c r="S806" i="15"/>
  <c r="S782" i="15"/>
  <c r="S756" i="15"/>
  <c r="S246" i="15"/>
  <c r="S146" i="15"/>
  <c r="S75" i="15"/>
  <c r="S1765" i="15"/>
  <c r="S1742" i="15"/>
  <c r="S1736" i="15"/>
  <c r="S1631" i="15"/>
  <c r="S1211" i="15"/>
  <c r="S1153" i="15"/>
  <c r="S946" i="15"/>
  <c r="S883" i="15"/>
  <c r="S831" i="15"/>
  <c r="S791" i="15"/>
  <c r="S747" i="15"/>
  <c r="S565" i="15"/>
  <c r="S547" i="15"/>
  <c r="S381" i="15"/>
  <c r="S1155" i="15"/>
  <c r="S688" i="15"/>
  <c r="S490" i="15"/>
  <c r="S796" i="15"/>
  <c r="S1175" i="15"/>
  <c r="S1167" i="15"/>
  <c r="S1134" i="15"/>
  <c r="S1054" i="15"/>
  <c r="S993" i="15"/>
  <c r="S976" i="15"/>
  <c r="S918" i="15"/>
  <c r="S894" i="15"/>
  <c r="S876" i="15"/>
  <c r="S851" i="15"/>
  <c r="S820" i="15"/>
  <c r="S868" i="15"/>
  <c r="S693" i="15"/>
  <c r="S650" i="15"/>
  <c r="S639" i="15"/>
  <c r="S630" i="15"/>
  <c r="S616" i="15"/>
  <c r="S606" i="15"/>
  <c r="S602" i="15"/>
  <c r="S598" i="15"/>
  <c r="S578" i="15"/>
  <c r="S539" i="15"/>
  <c r="S526" i="15"/>
  <c r="S520" i="15"/>
  <c r="S487" i="15"/>
  <c r="S482" i="15"/>
  <c r="S468" i="15"/>
  <c r="S462" i="15"/>
  <c r="S452" i="15"/>
  <c r="S746" i="15"/>
  <c r="S741" i="15"/>
  <c r="S665" i="15"/>
  <c r="S614" i="15"/>
  <c r="S550" i="15"/>
  <c r="S527" i="15"/>
  <c r="S440" i="15"/>
  <c r="S392" i="15"/>
  <c r="S317" i="15"/>
  <c r="S264" i="15"/>
  <c r="S255" i="15"/>
  <c r="S244" i="15"/>
  <c r="S203" i="15"/>
  <c r="S188" i="15"/>
  <c r="S169" i="15"/>
  <c r="S160" i="15"/>
  <c r="S126" i="15"/>
  <c r="S63" i="15"/>
  <c r="S200" i="15"/>
  <c r="S191" i="15"/>
  <c r="S128" i="15"/>
  <c r="S22" i="15"/>
  <c r="S46" i="15"/>
  <c r="S2027" i="15"/>
  <c r="S1823" i="15"/>
  <c r="S1780" i="15"/>
  <c r="S1555" i="15"/>
  <c r="S1778" i="15"/>
  <c r="S1198" i="15"/>
  <c r="S521" i="15"/>
  <c r="S380" i="15"/>
  <c r="S441" i="15"/>
  <c r="S319" i="15"/>
  <c r="S266" i="15"/>
  <c r="S975" i="15"/>
  <c r="S871" i="15"/>
  <c r="S865" i="15"/>
  <c r="S857" i="15"/>
  <c r="S833" i="15"/>
  <c r="S818" i="15"/>
  <c r="S812" i="15"/>
  <c r="S800" i="15"/>
  <c r="S794" i="15"/>
  <c r="S783" i="15"/>
  <c r="S689" i="15"/>
  <c r="S911" i="15"/>
  <c r="S762" i="15"/>
  <c r="S685" i="15"/>
  <c r="S679" i="15"/>
  <c r="S760" i="15"/>
  <c r="S678" i="15"/>
  <c r="S666" i="15"/>
  <c r="S635" i="15"/>
  <c r="S609" i="15"/>
  <c r="S605" i="15"/>
  <c r="S601" i="15"/>
  <c r="S597" i="15"/>
  <c r="S577" i="15"/>
  <c r="S537" i="15"/>
  <c r="S530" i="15"/>
  <c r="S504" i="15"/>
  <c r="S759" i="15"/>
  <c r="S690" i="15"/>
  <c r="S661" i="15"/>
  <c r="S625" i="15"/>
  <c r="S515" i="15"/>
  <c r="S432" i="15"/>
  <c r="S391" i="15"/>
  <c r="S357" i="15"/>
  <c r="S124" i="15"/>
  <c r="S302" i="15"/>
  <c r="S296" i="15"/>
  <c r="S260" i="15"/>
  <c r="S227" i="15"/>
  <c r="S206" i="15"/>
  <c r="S202" i="15"/>
  <c r="S91" i="15"/>
  <c r="S62" i="15"/>
  <c r="S35" i="15"/>
  <c r="S21" i="15"/>
  <c r="S403" i="15"/>
  <c r="S297" i="15"/>
  <c r="S198" i="15"/>
  <c r="S130" i="15"/>
  <c r="S1994" i="15"/>
  <c r="S1483" i="15"/>
  <c r="S516" i="15"/>
  <c r="S394" i="15"/>
  <c r="Q1570" i="1"/>
  <c r="Q1763" i="1"/>
  <c r="Q1780" i="1"/>
  <c r="Q124" i="1"/>
  <c r="Q125" i="1"/>
  <c r="O140" i="1"/>
  <c r="O165" i="1"/>
  <c r="P211" i="1"/>
  <c r="Q212" i="1"/>
  <c r="P259" i="1"/>
  <c r="Q260" i="1"/>
  <c r="Q264" i="1"/>
  <c r="Q265" i="1"/>
  <c r="Q368" i="1"/>
  <c r="Q501" i="1"/>
  <c r="Q605" i="1"/>
  <c r="O663" i="1"/>
  <c r="Q685" i="1"/>
  <c r="Q698" i="1"/>
  <c r="Q708" i="1"/>
  <c r="P752" i="1"/>
  <c r="P765" i="1"/>
  <c r="P766" i="1"/>
  <c r="Q783" i="1"/>
  <c r="O812" i="1"/>
  <c r="P833" i="1"/>
  <c r="O933" i="1"/>
  <c r="P964" i="1"/>
  <c r="P973" i="1"/>
  <c r="O1005" i="1"/>
  <c r="O1009" i="1"/>
  <c r="O1031" i="1"/>
  <c r="O1040" i="1"/>
  <c r="O1088" i="1"/>
  <c r="O1094" i="1"/>
  <c r="P1145" i="1"/>
  <c r="O1151" i="1"/>
  <c r="P1163" i="1"/>
  <c r="Q1263" i="1"/>
  <c r="P1312" i="1"/>
  <c r="O1379" i="1"/>
  <c r="P1486" i="1"/>
  <c r="Q1532" i="1"/>
  <c r="R1574" i="1"/>
  <c r="Q1759" i="1"/>
  <c r="P1853" i="1"/>
  <c r="O1913" i="1"/>
  <c r="P1982" i="1"/>
  <c r="O1993" i="1"/>
  <c r="Q1999" i="1"/>
  <c r="P2003" i="1"/>
  <c r="P2004" i="1"/>
  <c r="P2005" i="1"/>
  <c r="O2020" i="1"/>
  <c r="P75" i="1"/>
  <c r="P146" i="1"/>
  <c r="Q211" i="1"/>
  <c r="Q259" i="1"/>
  <c r="R402" i="1"/>
  <c r="P450" i="1"/>
  <c r="Q466" i="1"/>
  <c r="P527" i="1"/>
  <c r="O575" i="1"/>
  <c r="P583" i="1"/>
  <c r="P657" i="1"/>
  <c r="P665" i="1"/>
  <c r="Q678" i="1"/>
  <c r="O695" i="1"/>
  <c r="O748" i="1"/>
  <c r="Q765" i="1"/>
  <c r="Q766" i="1"/>
  <c r="O770" i="1"/>
  <c r="Q782" i="1"/>
  <c r="O798" i="1"/>
  <c r="O848" i="1"/>
  <c r="O889" i="1"/>
  <c r="Q973" i="1"/>
  <c r="O990" i="1"/>
  <c r="P1072" i="1"/>
  <c r="P1102" i="1"/>
  <c r="O1132" i="1"/>
  <c r="O1154" i="1"/>
  <c r="Q1199" i="1"/>
  <c r="Q1234" i="1"/>
  <c r="O1339" i="1"/>
  <c r="O1445" i="1"/>
  <c r="Q1531" i="1"/>
  <c r="O1542" i="1"/>
  <c r="O1575" i="1"/>
  <c r="P1598" i="1"/>
  <c r="Q1690" i="1"/>
  <c r="Q1710" i="1"/>
  <c r="O1763" i="1"/>
  <c r="O1771" i="1"/>
  <c r="P1780" i="1"/>
  <c r="O1786" i="1"/>
  <c r="Q1898" i="1"/>
  <c r="R2027" i="1"/>
  <c r="S2122" i="15"/>
  <c r="S2081" i="15"/>
  <c r="S2052" i="15"/>
  <c r="S2026" i="15"/>
  <c r="S2001" i="15"/>
  <c r="S1988" i="15"/>
  <c r="S2002" i="15"/>
  <c r="S1979" i="15"/>
  <c r="S1944" i="15"/>
  <c r="S1941" i="15"/>
  <c r="S1908" i="15"/>
  <c r="S1858" i="15"/>
  <c r="S1809" i="15"/>
  <c r="S1723" i="15"/>
  <c r="S1710" i="15"/>
  <c r="S1769" i="15"/>
  <c r="S1752" i="15"/>
  <c r="S1673" i="15"/>
  <c r="S1594" i="15"/>
  <c r="S1480" i="15"/>
  <c r="S1473" i="15"/>
  <c r="S1588" i="15"/>
  <c r="S1543" i="15"/>
  <c r="S1532" i="15"/>
  <c r="S1526" i="15"/>
  <c r="S1411" i="15"/>
  <c r="S1297" i="15"/>
  <c r="S1254" i="15"/>
  <c r="S1248" i="15"/>
  <c r="S1240" i="15"/>
  <c r="S1419" i="15"/>
  <c r="S1093" i="15"/>
  <c r="S1122" i="15"/>
  <c r="S1096" i="15"/>
  <c r="S1101" i="15"/>
  <c r="S972" i="15"/>
  <c r="S1079" i="15"/>
  <c r="S801" i="15"/>
  <c r="S795" i="15"/>
  <c r="S785" i="15"/>
  <c r="S778" i="15"/>
  <c r="S907" i="15"/>
  <c r="S830" i="15"/>
  <c r="S814" i="15"/>
  <c r="S743" i="15"/>
  <c r="S692" i="15"/>
  <c r="S648" i="15"/>
  <c r="S594" i="15"/>
  <c r="S544" i="15"/>
  <c r="S734" i="15"/>
  <c r="S716" i="15"/>
  <c r="S651" i="15"/>
  <c r="S631" i="15"/>
  <c r="S584" i="15"/>
  <c r="S566" i="15"/>
  <c r="S529" i="15"/>
  <c r="S509" i="15"/>
  <c r="S503" i="15"/>
  <c r="S347" i="15"/>
  <c r="S378" i="15"/>
  <c r="S340" i="15"/>
  <c r="S388" i="15"/>
  <c r="S352" i="15"/>
  <c r="S310" i="15"/>
  <c r="S247" i="15"/>
  <c r="S220" i="15"/>
  <c r="S180" i="15"/>
  <c r="S167" i="15"/>
  <c r="S147" i="15"/>
  <c r="S1956" i="15"/>
  <c r="S1842" i="15"/>
  <c r="S1544" i="15"/>
  <c r="S619" i="15"/>
  <c r="S612" i="15"/>
  <c r="S301" i="15"/>
  <c r="S254" i="15"/>
  <c r="S2023" i="15"/>
  <c r="S2065" i="15"/>
  <c r="S2014" i="15"/>
  <c r="S1987" i="15"/>
  <c r="S1894" i="15"/>
  <c r="S1730" i="15"/>
  <c r="S1720" i="15"/>
  <c r="S1556" i="15"/>
  <c r="S1525" i="15"/>
  <c r="S1398" i="15"/>
  <c r="S1537" i="15"/>
  <c r="S1336" i="15"/>
  <c r="S1279" i="15"/>
  <c r="S1202" i="15"/>
  <c r="S1040" i="15"/>
  <c r="S1168" i="15"/>
  <c r="S1156" i="15"/>
  <c r="S1139" i="15"/>
  <c r="S950" i="15"/>
  <c r="S917" i="15"/>
  <c r="S844" i="15"/>
  <c r="S776" i="15"/>
  <c r="S928" i="15"/>
  <c r="S913" i="15"/>
  <c r="S827" i="15"/>
  <c r="S1020" i="15"/>
  <c r="S672" i="15"/>
  <c r="S641" i="15"/>
  <c r="S607" i="15"/>
  <c r="S603" i="15"/>
  <c r="S599" i="15"/>
  <c r="S590" i="15"/>
  <c r="S582" i="15"/>
  <c r="S532" i="15"/>
  <c r="S508" i="15"/>
  <c r="S265" i="15"/>
  <c r="S204" i="15"/>
  <c r="S193" i="15"/>
  <c r="S177" i="15"/>
  <c r="S93" i="15"/>
  <c r="S89" i="15"/>
  <c r="S58" i="15"/>
  <c r="S42" i="15"/>
  <c r="S18" i="15"/>
  <c r="S9" i="15"/>
  <c r="S2004" i="15"/>
  <c r="S1593" i="15"/>
  <c r="S754" i="15"/>
  <c r="S278" i="15"/>
  <c r="S222" i="15"/>
  <c r="S194" i="15"/>
  <c r="S79" i="15"/>
  <c r="S50" i="15"/>
  <c r="S2041" i="15"/>
  <c r="S1999" i="15"/>
  <c r="S1981" i="15"/>
  <c r="S1977" i="15"/>
  <c r="S1955" i="15"/>
  <c r="S1909" i="15"/>
  <c r="S1904" i="15"/>
  <c r="S1942" i="15"/>
  <c r="S1918" i="15"/>
  <c r="S1910" i="15"/>
  <c r="S1864" i="15"/>
  <c r="S1773" i="15"/>
  <c r="S1712" i="15"/>
  <c r="S1819" i="15"/>
  <c r="S1728" i="15"/>
  <c r="S1704" i="15"/>
  <c r="S1590" i="15"/>
  <c r="S1540" i="15"/>
  <c r="S1524" i="15"/>
  <c r="S1643" i="15"/>
  <c r="S1577" i="15"/>
  <c r="S1445" i="15"/>
  <c r="S1088" i="15"/>
  <c r="S1027" i="15"/>
  <c r="S1141" i="15"/>
  <c r="S1205" i="15"/>
  <c r="S1160" i="15"/>
  <c r="S1123" i="15"/>
  <c r="S1032" i="15"/>
  <c r="S1091" i="15"/>
  <c r="S1039" i="15"/>
  <c r="S832" i="15"/>
  <c r="S681" i="15"/>
  <c r="S656" i="15"/>
  <c r="S649" i="15"/>
  <c r="S629" i="15"/>
  <c r="S568" i="15"/>
  <c r="S1553" i="15"/>
  <c r="S627" i="15"/>
  <c r="S219" i="15"/>
  <c r="S172" i="15"/>
  <c r="S108" i="15"/>
  <c r="S24" i="15"/>
  <c r="S1772" i="15"/>
  <c r="S1649" i="15"/>
  <c r="S1552" i="15"/>
  <c r="S1523" i="15"/>
  <c r="S930" i="15"/>
  <c r="S669" i="15"/>
  <c r="S588" i="15"/>
  <c r="S13" i="15"/>
  <c r="S7" i="15"/>
  <c r="S1551" i="15"/>
  <c r="S682" i="15"/>
  <c r="S622" i="15"/>
  <c r="S294" i="15"/>
  <c r="S242" i="15"/>
  <c r="S224" i="15"/>
  <c r="S165" i="15"/>
  <c r="S113" i="15"/>
  <c r="O398" i="1"/>
  <c r="Q398" i="1"/>
  <c r="R435" i="1"/>
  <c r="Q435" i="1"/>
  <c r="O435" i="1"/>
  <c r="R595" i="1"/>
  <c r="Q595" i="1"/>
  <c r="O595" i="1"/>
  <c r="R599" i="1"/>
  <c r="Q599" i="1"/>
  <c r="P599" i="1"/>
  <c r="O742" i="1"/>
  <c r="R742" i="1"/>
  <c r="P916" i="1"/>
  <c r="Q916" i="1"/>
  <c r="P984" i="1"/>
  <c r="Q984" i="1"/>
  <c r="Q1028" i="1"/>
  <c r="P1028" i="1"/>
  <c r="O1038" i="1"/>
  <c r="Q1038" i="1"/>
  <c r="R1202" i="1"/>
  <c r="P1202" i="1"/>
  <c r="O31" i="1"/>
  <c r="O101" i="1"/>
  <c r="Q111" i="1"/>
  <c r="R135" i="1"/>
  <c r="M134" i="1"/>
  <c r="O141" i="1"/>
  <c r="P173" i="1"/>
  <c r="Q188" i="1"/>
  <c r="O196" i="1"/>
  <c r="P210" i="1"/>
  <c r="P214" i="1"/>
  <c r="Q235" i="1"/>
  <c r="P243" i="1"/>
  <c r="P244" i="1"/>
  <c r="P246" i="1"/>
  <c r="P247" i="1"/>
  <c r="Q249" i="1"/>
  <c r="Q253" i="1"/>
  <c r="Q302" i="1"/>
  <c r="O319" i="1"/>
  <c r="Q389" i="1"/>
  <c r="R535" i="1"/>
  <c r="Q535" i="1"/>
  <c r="R597" i="1"/>
  <c r="Q597" i="1"/>
  <c r="R598" i="1"/>
  <c r="O598" i="1"/>
  <c r="O613" i="1"/>
  <c r="R635" i="1"/>
  <c r="Q635" i="1"/>
  <c r="P635" i="1"/>
  <c r="S635" i="1"/>
  <c r="R720" i="1"/>
  <c r="Q720" i="1"/>
  <c r="P720" i="1"/>
  <c r="R734" i="1"/>
  <c r="P734" i="1"/>
  <c r="R814" i="1"/>
  <c r="Q814" i="1"/>
  <c r="R841" i="1"/>
  <c r="Q845" i="1"/>
  <c r="P899" i="1"/>
  <c r="P913" i="1"/>
  <c r="Q913" i="1"/>
  <c r="O934" i="1"/>
  <c r="O937" i="1"/>
  <c r="R945" i="1"/>
  <c r="Q945" i="1"/>
  <c r="O945" i="1"/>
  <c r="P945" i="1"/>
  <c r="S945" i="1"/>
  <c r="R1013" i="1"/>
  <c r="Q1013" i="1"/>
  <c r="P1013" i="1"/>
  <c r="P1038" i="1"/>
  <c r="R1162" i="1"/>
  <c r="O1162" i="1"/>
  <c r="O1252" i="1"/>
  <c r="Q1252" i="1"/>
  <c r="Q52" i="1"/>
  <c r="P196" i="1"/>
  <c r="O201" i="1"/>
  <c r="Q210" i="1"/>
  <c r="P213" i="1"/>
  <c r="Q214" i="1"/>
  <c r="Q243" i="1"/>
  <c r="Q244" i="1"/>
  <c r="Q246" i="1"/>
  <c r="Q247" i="1"/>
  <c r="P277" i="1"/>
  <c r="P297" i="1"/>
  <c r="M299" i="1"/>
  <c r="O310" i="1"/>
  <c r="O335" i="1"/>
  <c r="Q380" i="1"/>
  <c r="O402" i="1"/>
  <c r="P402" i="1"/>
  <c r="Q457" i="1"/>
  <c r="P465" i="1"/>
  <c r="R610" i="1"/>
  <c r="Q610" i="1"/>
  <c r="R706" i="1"/>
  <c r="O706" i="1"/>
  <c r="Q794" i="1"/>
  <c r="O806" i="1"/>
  <c r="R808" i="1"/>
  <c r="O808" i="1"/>
  <c r="R831" i="1"/>
  <c r="O831" i="1"/>
  <c r="R881" i="1"/>
  <c r="Q881" i="1"/>
  <c r="O976" i="1"/>
  <c r="Q976" i="1"/>
  <c r="O1013" i="1"/>
  <c r="Q1061" i="1"/>
  <c r="R1085" i="1"/>
  <c r="Q1085" i="1"/>
  <c r="O1160" i="1"/>
  <c r="Q1160" i="1"/>
  <c r="R46" i="1"/>
  <c r="P36" i="1"/>
  <c r="Q63" i="1"/>
  <c r="R134" i="1"/>
  <c r="P147" i="1"/>
  <c r="Q190" i="1"/>
  <c r="Q191" i="1"/>
  <c r="P212" i="1"/>
  <c r="Q213" i="1"/>
  <c r="P220" i="1"/>
  <c r="Q237" i="1"/>
  <c r="Q240" i="1"/>
  <c r="P255" i="1"/>
  <c r="Q297" i="1"/>
  <c r="P335" i="1"/>
  <c r="Q358" i="1"/>
  <c r="O368" i="1"/>
  <c r="P457" i="1"/>
  <c r="M457" i="1"/>
  <c r="R462" i="1"/>
  <c r="P462" i="1"/>
  <c r="R638" i="1"/>
  <c r="Q638" i="1"/>
  <c r="Q640" i="1"/>
  <c r="O653" i="1"/>
  <c r="R724" i="1"/>
  <c r="O724" i="1"/>
  <c r="P745" i="1"/>
  <c r="O785" i="1"/>
  <c r="P785" i="1"/>
  <c r="O825" i="1"/>
  <c r="R825" i="1"/>
  <c r="R928" i="1"/>
  <c r="P928" i="1"/>
  <c r="R956" i="1"/>
  <c r="P956" i="1"/>
  <c r="P969" i="1"/>
  <c r="Q969" i="1"/>
  <c r="R1119" i="1"/>
  <c r="P1119" i="1"/>
  <c r="Q1332" i="1"/>
  <c r="P1332" i="1"/>
  <c r="Q1823" i="1"/>
  <c r="Q1984" i="1"/>
  <c r="Q1988" i="1"/>
  <c r="Q2112" i="1"/>
  <c r="Q463" i="1"/>
  <c r="Q611" i="1"/>
  <c r="P1150" i="1"/>
  <c r="Q1312" i="1"/>
  <c r="P1465" i="1"/>
  <c r="P1469" i="1"/>
  <c r="P1472" i="1"/>
  <c r="P1542" i="1"/>
  <c r="O1554" i="1"/>
  <c r="M1570" i="1"/>
  <c r="O1594" i="1"/>
  <c r="O1609" i="1"/>
  <c r="O1626" i="1"/>
  <c r="Q1703" i="1"/>
  <c r="Q1707" i="1"/>
  <c r="Q1745" i="1"/>
  <c r="P1747" i="1"/>
  <c r="O1761" i="1"/>
  <c r="O1768" i="1"/>
  <c r="O1772" i="1"/>
  <c r="R1797" i="1"/>
  <c r="Q1810" i="1"/>
  <c r="O1823" i="1"/>
  <c r="P1839" i="1"/>
  <c r="O1856" i="1"/>
  <c r="P1900" i="1"/>
  <c r="P1925" i="1"/>
  <c r="O1984" i="1"/>
  <c r="O1988" i="1"/>
  <c r="Q2020" i="1"/>
  <c r="O2112" i="1"/>
  <c r="O2113" i="1"/>
  <c r="P2121" i="1"/>
  <c r="P435" i="1"/>
  <c r="P454" i="1"/>
  <c r="Q462" i="1"/>
  <c r="Q534" i="1"/>
  <c r="O619" i="1"/>
  <c r="O627" i="1"/>
  <c r="P629" i="1"/>
  <c r="P631" i="1"/>
  <c r="O634" i="1"/>
  <c r="O654" i="1"/>
  <c r="Q670" i="1"/>
  <c r="P678" i="1"/>
  <c r="O685" i="1"/>
  <c r="Q734" i="1"/>
  <c r="O859" i="1"/>
  <c r="O879" i="1"/>
  <c r="O883" i="1"/>
  <c r="P929" i="1"/>
  <c r="Q956" i="1"/>
  <c r="Q978" i="1"/>
  <c r="P1003" i="1"/>
  <c r="M1037" i="1"/>
  <c r="L1040" i="1"/>
  <c r="R1040" i="1"/>
  <c r="O1041" i="1"/>
  <c r="Q1042" i="1"/>
  <c r="Q1053" i="1"/>
  <c r="R1057" i="1"/>
  <c r="Q1087" i="1"/>
  <c r="O1096" i="1"/>
  <c r="P1124" i="1"/>
  <c r="Q1141" i="1"/>
  <c r="Q1145" i="1"/>
  <c r="Q1148" i="1"/>
  <c r="Q1150" i="1"/>
  <c r="P1234" i="1"/>
  <c r="R1247" i="1"/>
  <c r="P1278" i="1"/>
  <c r="O1361" i="1"/>
  <c r="O1372" i="1"/>
  <c r="P1433" i="1"/>
  <c r="P1500" i="1"/>
  <c r="Q1530" i="1"/>
  <c r="P1531" i="1"/>
  <c r="P1532" i="1"/>
  <c r="R1538" i="1"/>
  <c r="Q1542" i="1"/>
  <c r="Q1547" i="1"/>
  <c r="R1557" i="1"/>
  <c r="O1561" i="1"/>
  <c r="P1583" i="1"/>
  <c r="Q1609" i="1"/>
  <c r="P1666" i="1"/>
  <c r="Q1675" i="1"/>
  <c r="Q1682" i="1"/>
  <c r="O1727" i="1"/>
  <c r="Q1747" i="1"/>
  <c r="Q1761" i="1"/>
  <c r="R1772" i="1"/>
  <c r="P1823" i="1"/>
  <c r="P1856" i="1"/>
  <c r="P1984" i="1"/>
  <c r="P1988" i="1"/>
  <c r="P2112" i="1"/>
  <c r="Q2113" i="1"/>
  <c r="O59" i="1"/>
  <c r="P22" i="1"/>
  <c r="Q28" i="1"/>
  <c r="M53" i="1"/>
  <c r="Q61" i="1"/>
  <c r="Q93" i="1"/>
  <c r="Q112" i="1"/>
  <c r="Q120" i="1"/>
  <c r="P194" i="1"/>
  <c r="Q241" i="1"/>
  <c r="P241" i="1"/>
  <c r="Q242" i="1"/>
  <c r="P242" i="1"/>
  <c r="Q278" i="1"/>
  <c r="R352" i="1"/>
  <c r="O352" i="1"/>
  <c r="P391" i="1"/>
  <c r="P392" i="1"/>
  <c r="P452" i="1"/>
  <c r="O452" i="1"/>
  <c r="M466" i="1"/>
  <c r="R474" i="1"/>
  <c r="Q474" i="1"/>
  <c r="R475" i="1"/>
  <c r="Q475" i="1"/>
  <c r="O493" i="1"/>
  <c r="P493" i="1"/>
  <c r="R526" i="1"/>
  <c r="O526" i="1"/>
  <c r="R544" i="1"/>
  <c r="P544" i="1"/>
  <c r="R601" i="1"/>
  <c r="Q601" i="1"/>
  <c r="R602" i="1"/>
  <c r="O602" i="1"/>
  <c r="R664" i="1"/>
  <c r="Q664" i="1"/>
  <c r="R676" i="1"/>
  <c r="P676" i="1"/>
  <c r="R689" i="1"/>
  <c r="Q689" i="1"/>
  <c r="O689" i="1"/>
  <c r="R739" i="1"/>
  <c r="Q739" i="1"/>
  <c r="O767" i="1"/>
  <c r="P767" i="1"/>
  <c r="R824" i="1"/>
  <c r="O824" i="1"/>
  <c r="R854" i="1"/>
  <c r="O854" i="1"/>
  <c r="R863" i="1"/>
  <c r="O863" i="1"/>
  <c r="O26" i="1"/>
  <c r="O15" i="1"/>
  <c r="P35" i="1"/>
  <c r="O63" i="1"/>
  <c r="Q9" i="1"/>
  <c r="Q35" i="1"/>
  <c r="O45" i="1"/>
  <c r="P62" i="1"/>
  <c r="O64" i="1"/>
  <c r="O68" i="1"/>
  <c r="Q92" i="1"/>
  <c r="P129" i="1"/>
  <c r="R137" i="1"/>
  <c r="P140" i="1"/>
  <c r="P141" i="1"/>
  <c r="Q146" i="1"/>
  <c r="Q147" i="1"/>
  <c r="Q169" i="1"/>
  <c r="M180" i="1"/>
  <c r="O199" i="1"/>
  <c r="P201" i="1"/>
  <c r="O210" i="1"/>
  <c r="O211" i="1"/>
  <c r="O212" i="1"/>
  <c r="O213" i="1"/>
  <c r="O214" i="1"/>
  <c r="P302" i="1"/>
  <c r="P310" i="1"/>
  <c r="P319" i="1"/>
  <c r="R351" i="1"/>
  <c r="P351" i="1"/>
  <c r="P352" i="1"/>
  <c r="O381" i="1"/>
  <c r="R388" i="1"/>
  <c r="O388" i="1"/>
  <c r="P432" i="1"/>
  <c r="R449" i="1"/>
  <c r="O449" i="1"/>
  <c r="Q452" i="1"/>
  <c r="O462" i="1"/>
  <c r="P463" i="1"/>
  <c r="O463" i="1"/>
  <c r="O474" i="1"/>
  <c r="O501" i="1"/>
  <c r="P502" i="1"/>
  <c r="O502" i="1"/>
  <c r="R515" i="1"/>
  <c r="Q515" i="1"/>
  <c r="R525" i="1"/>
  <c r="O525" i="1"/>
  <c r="Q526" i="1"/>
  <c r="R532" i="1"/>
  <c r="Q532" i="1"/>
  <c r="P532" i="1"/>
  <c r="S532" i="1"/>
  <c r="O534" i="1"/>
  <c r="O544" i="1"/>
  <c r="O600" i="1"/>
  <c r="P601" i="1"/>
  <c r="O606" i="1"/>
  <c r="P607" i="1"/>
  <c r="R609" i="1"/>
  <c r="Q609" i="1"/>
  <c r="R616" i="1"/>
  <c r="O616" i="1"/>
  <c r="R622" i="1"/>
  <c r="Q622" i="1"/>
  <c r="R672" i="1"/>
  <c r="P672" i="1"/>
  <c r="R679" i="1"/>
  <c r="Q679" i="1"/>
  <c r="R719" i="1"/>
  <c r="Q719" i="1"/>
  <c r="P719" i="1"/>
  <c r="O719" i="1"/>
  <c r="R755" i="1"/>
  <c r="Q755" i="1"/>
  <c r="O755" i="1"/>
  <c r="R757" i="1"/>
  <c r="Q757" i="1"/>
  <c r="R796" i="1"/>
  <c r="O796" i="1"/>
  <c r="R807" i="1"/>
  <c r="P807" i="1"/>
  <c r="R842" i="1"/>
  <c r="O842" i="1"/>
  <c r="R379" i="1"/>
  <c r="O379" i="1"/>
  <c r="P407" i="1"/>
  <c r="Q407" i="1"/>
  <c r="R441" i="1"/>
  <c r="P441" i="1"/>
  <c r="Q468" i="1"/>
  <c r="O468" i="1"/>
  <c r="R536" i="1"/>
  <c r="Q536" i="1"/>
  <c r="R577" i="1"/>
  <c r="Q577" i="1"/>
  <c r="R594" i="1"/>
  <c r="O594" i="1"/>
  <c r="R639" i="1"/>
  <c r="P639" i="1"/>
  <c r="R683" i="1"/>
  <c r="O683" i="1"/>
  <c r="R694" i="1"/>
  <c r="Q694" i="1"/>
  <c r="P694" i="1"/>
  <c r="O694" i="1"/>
  <c r="R732" i="1"/>
  <c r="O732" i="1"/>
  <c r="R776" i="1"/>
  <c r="O776" i="1"/>
  <c r="R802" i="1"/>
  <c r="O802" i="1"/>
  <c r="R847" i="1"/>
  <c r="P847" i="1"/>
  <c r="O35" i="1"/>
  <c r="S35" i="1"/>
  <c r="P127" i="1"/>
  <c r="M132" i="1"/>
  <c r="O194" i="1"/>
  <c r="O241" i="1"/>
  <c r="O242" i="1"/>
  <c r="Q256" i="1"/>
  <c r="P278" i="1"/>
  <c r="Q294" i="1"/>
  <c r="M295" i="1"/>
  <c r="Q303" i="1"/>
  <c r="R376" i="1"/>
  <c r="O376" i="1"/>
  <c r="O391" i="1"/>
  <c r="O392" i="1"/>
  <c r="O399" i="1"/>
  <c r="Q399" i="1"/>
  <c r="O400" i="1"/>
  <c r="P400" i="1"/>
  <c r="R494" i="1"/>
  <c r="P494" i="1"/>
  <c r="Q525" i="1"/>
  <c r="R546" i="1"/>
  <c r="Q546" i="1"/>
  <c r="P577" i="1"/>
  <c r="R603" i="1"/>
  <c r="P603" i="1"/>
  <c r="O617" i="1"/>
  <c r="R620" i="1"/>
  <c r="Q620" i="1"/>
  <c r="Q639" i="1"/>
  <c r="R662" i="1"/>
  <c r="Q662" i="1"/>
  <c r="R696" i="1"/>
  <c r="O696" i="1"/>
  <c r="Q711" i="1"/>
  <c r="P711" i="1"/>
  <c r="O756" i="1"/>
  <c r="Q756" i="1"/>
  <c r="P756" i="1"/>
  <c r="R764" i="1"/>
  <c r="Q764" i="1"/>
  <c r="P764" i="1"/>
  <c r="O764" i="1"/>
  <c r="O771" i="1"/>
  <c r="Q771" i="1"/>
  <c r="Q789" i="1"/>
  <c r="R789" i="1"/>
  <c r="O799" i="1"/>
  <c r="R799" i="1"/>
  <c r="R811" i="1"/>
  <c r="P811" i="1"/>
  <c r="R856" i="1"/>
  <c r="Q856" i="1"/>
  <c r="P856" i="1"/>
  <c r="R1306" i="1"/>
  <c r="Q1306" i="1"/>
  <c r="R1349" i="1"/>
  <c r="P1349" i="1"/>
  <c r="O1397" i="1"/>
  <c r="R1397" i="1"/>
  <c r="R1403" i="1"/>
  <c r="O1403" i="1"/>
  <c r="R1456" i="1"/>
  <c r="Q1456" i="1"/>
  <c r="O1456" i="1"/>
  <c r="Q1506" i="1"/>
  <c r="P1506" i="1"/>
  <c r="Q1514" i="1"/>
  <c r="P1514" i="1"/>
  <c r="R1581" i="1"/>
  <c r="O1581" i="1"/>
  <c r="Q1581" i="1"/>
  <c r="P1591" i="1"/>
  <c r="Q1591" i="1"/>
  <c r="O1643" i="1"/>
  <c r="Q1643" i="1"/>
  <c r="R1662" i="1"/>
  <c r="P1662" i="1"/>
  <c r="O1662" i="1"/>
  <c r="R1754" i="1"/>
  <c r="Q1754" i="1"/>
  <c r="Q1947" i="1"/>
  <c r="P1947" i="1"/>
  <c r="P2019" i="1"/>
  <c r="Q2019" i="1"/>
  <c r="O2084" i="1"/>
  <c r="P2084" i="1"/>
  <c r="R2096" i="1"/>
  <c r="Q2096" i="1"/>
  <c r="Q745" i="1"/>
  <c r="Q887" i="1"/>
  <c r="Q928" i="1"/>
  <c r="O944" i="1"/>
  <c r="P961" i="1"/>
  <c r="Q964" i="1"/>
  <c r="O971" i="1"/>
  <c r="O979" i="1"/>
  <c r="Q982" i="1"/>
  <c r="O996" i="1"/>
  <c r="Q997" i="1"/>
  <c r="Q1003" i="1"/>
  <c r="O1018" i="1"/>
  <c r="O1027" i="1"/>
  <c r="Q1050" i="1"/>
  <c r="P1059" i="1"/>
  <c r="O1090" i="1"/>
  <c r="O1093" i="1"/>
  <c r="Q1119" i="1"/>
  <c r="P1122" i="1"/>
  <c r="Q1128" i="1"/>
  <c r="O1133" i="1"/>
  <c r="O1140" i="1"/>
  <c r="P1142" i="1"/>
  <c r="O1153" i="1"/>
  <c r="Q1156" i="1"/>
  <c r="P1167" i="1"/>
  <c r="Q1168" i="1"/>
  <c r="O1175" i="1"/>
  <c r="P1189" i="1"/>
  <c r="P1208" i="1"/>
  <c r="P1217" i="1"/>
  <c r="R1225" i="1"/>
  <c r="P1241" i="1"/>
  <c r="O1246" i="1"/>
  <c r="Q1253" i="1"/>
  <c r="O1266" i="1"/>
  <c r="Q1288" i="1"/>
  <c r="P1301" i="1"/>
  <c r="O1349" i="1"/>
  <c r="R1388" i="1"/>
  <c r="Q1388" i="1"/>
  <c r="O1388" i="1"/>
  <c r="R1395" i="1"/>
  <c r="O1395" i="1"/>
  <c r="Q1403" i="1"/>
  <c r="Q1410" i="1"/>
  <c r="O1410" i="1"/>
  <c r="Q1416" i="1"/>
  <c r="O1416" i="1"/>
  <c r="Q1440" i="1"/>
  <c r="P1440" i="1"/>
  <c r="R1451" i="1"/>
  <c r="O1451" i="1"/>
  <c r="Q1451" i="1"/>
  <c r="P1456" i="1"/>
  <c r="R1480" i="1"/>
  <c r="O1480" i="1"/>
  <c r="Q1510" i="1"/>
  <c r="P1510" i="1"/>
  <c r="O1529" i="1"/>
  <c r="Q1529" i="1"/>
  <c r="P1581" i="1"/>
  <c r="R1623" i="1"/>
  <c r="O1623" i="1"/>
  <c r="R1672" i="1"/>
  <c r="P1672" i="1"/>
  <c r="P1696" i="1"/>
  <c r="Q1696" i="1"/>
  <c r="R1717" i="1"/>
  <c r="Q1717" i="1"/>
  <c r="O1717" i="1"/>
  <c r="R1749" i="1"/>
  <c r="P1749" i="1"/>
  <c r="O1749" i="1"/>
  <c r="R1753" i="1"/>
  <c r="Q1753" i="1"/>
  <c r="R1764" i="1"/>
  <c r="P1764" i="1"/>
  <c r="R1795" i="1"/>
  <c r="P1795" i="1"/>
  <c r="P1819" i="1"/>
  <c r="Q1819" i="1"/>
  <c r="O1819" i="1"/>
  <c r="R1838" i="1"/>
  <c r="P1838" i="1"/>
  <c r="R1918" i="1"/>
  <c r="O1918" i="1"/>
  <c r="R1966" i="1"/>
  <c r="Q1966" i="1"/>
  <c r="R1997" i="1"/>
  <c r="Q1997" i="1"/>
  <c r="P1997" i="1"/>
  <c r="O1997" i="1"/>
  <c r="R2001" i="1"/>
  <c r="Q2001" i="1"/>
  <c r="R2080" i="1"/>
  <c r="P2080" i="1"/>
  <c r="P971" i="1"/>
  <c r="P996" i="1"/>
  <c r="P1018" i="1"/>
  <c r="P1027" i="1"/>
  <c r="Q1059" i="1"/>
  <c r="Q1090" i="1"/>
  <c r="Q1140" i="1"/>
  <c r="Q1142" i="1"/>
  <c r="P1175" i="1"/>
  <c r="O1190" i="1"/>
  <c r="P1201" i="1"/>
  <c r="Q1208" i="1"/>
  <c r="P1216" i="1"/>
  <c r="P1235" i="1"/>
  <c r="P1266" i="1"/>
  <c r="O1284" i="1"/>
  <c r="Q1301" i="1"/>
  <c r="O1319" i="1"/>
  <c r="R1336" i="1"/>
  <c r="O1336" i="1"/>
  <c r="P1388" i="1"/>
  <c r="Q1395" i="1"/>
  <c r="P1448" i="1"/>
  <c r="O1448" i="1"/>
  <c r="P1451" i="1"/>
  <c r="R1458" i="1"/>
  <c r="O1458" i="1"/>
  <c r="Q1480" i="1"/>
  <c r="R1541" i="1"/>
  <c r="Q1541" i="1"/>
  <c r="R1589" i="1"/>
  <c r="O1589" i="1"/>
  <c r="Q1589" i="1"/>
  <c r="R1600" i="1"/>
  <c r="O1600" i="1"/>
  <c r="P1664" i="1"/>
  <c r="Q1664" i="1"/>
  <c r="O1720" i="1"/>
  <c r="R1720" i="1"/>
  <c r="O1776" i="1"/>
  <c r="Q1776" i="1"/>
  <c r="P1776" i="1"/>
  <c r="R1910" i="1"/>
  <c r="P1910" i="1"/>
  <c r="R1972" i="1"/>
  <c r="Q1972" i="1"/>
  <c r="P1972" i="1"/>
  <c r="O1972" i="1"/>
  <c r="P426" i="1"/>
  <c r="Q449" i="1"/>
  <c r="P455" i="1"/>
  <c r="P590" i="1"/>
  <c r="Q615" i="1"/>
  <c r="P685" i="1"/>
  <c r="S685" i="1"/>
  <c r="P699" i="1"/>
  <c r="P703" i="1"/>
  <c r="P709" i="1"/>
  <c r="R715" i="1"/>
  <c r="Q737" i="1"/>
  <c r="O745" i="1"/>
  <c r="R746" i="1"/>
  <c r="Q752" i="1"/>
  <c r="P783" i="1"/>
  <c r="Q785" i="1"/>
  <c r="P794" i="1"/>
  <c r="Q797" i="1"/>
  <c r="P809" i="1"/>
  <c r="Q811" i="1"/>
  <c r="R817" i="1"/>
  <c r="O820" i="1"/>
  <c r="R834" i="1"/>
  <c r="Q843" i="1"/>
  <c r="O851" i="1"/>
  <c r="O861" i="1"/>
  <c r="Q865" i="1"/>
  <c r="Q868" i="1"/>
  <c r="P883" i="1"/>
  <c r="O894" i="1"/>
  <c r="O899" i="1"/>
  <c r="O910" i="1"/>
  <c r="O917" i="1"/>
  <c r="O928" i="1"/>
  <c r="O943" i="1"/>
  <c r="Q953" i="1"/>
  <c r="O964" i="1"/>
  <c r="Q971" i="1"/>
  <c r="O997" i="1"/>
  <c r="O1003" i="1"/>
  <c r="P1009" i="1"/>
  <c r="O1015" i="1"/>
  <c r="R1021" i="1"/>
  <c r="O1028" i="1"/>
  <c r="P1031" i="1"/>
  <c r="R1037" i="1"/>
  <c r="P1042" i="1"/>
  <c r="Q1054" i="1"/>
  <c r="P1071" i="1"/>
  <c r="O1119" i="1"/>
  <c r="O1122" i="1"/>
  <c r="Q1124" i="1"/>
  <c r="O1134" i="1"/>
  <c r="O1158" i="1"/>
  <c r="O1163" i="1"/>
  <c r="O1164" i="1"/>
  <c r="O1167" i="1"/>
  <c r="Q1174" i="1"/>
  <c r="Q1175" i="1"/>
  <c r="P1176" i="1"/>
  <c r="O1202" i="1"/>
  <c r="P1205" i="1"/>
  <c r="O1234" i="1"/>
  <c r="P1252" i="1"/>
  <c r="Q1284" i="1"/>
  <c r="P1284" i="1"/>
  <c r="Q1297" i="1"/>
  <c r="Q1304" i="1"/>
  <c r="P1319" i="1"/>
  <c r="R1332" i="1"/>
  <c r="O1332" i="1"/>
  <c r="O1401" i="1"/>
  <c r="P1401" i="1"/>
  <c r="Q1448" i="1"/>
  <c r="P1452" i="1"/>
  <c r="O1452" i="1"/>
  <c r="Q1458" i="1"/>
  <c r="R1460" i="1"/>
  <c r="O1460" i="1"/>
  <c r="Q1460" i="1"/>
  <c r="P1480" i="1"/>
  <c r="Q1502" i="1"/>
  <c r="P1502" i="1"/>
  <c r="R1519" i="1"/>
  <c r="O1519" i="1"/>
  <c r="P1520" i="1"/>
  <c r="R1551" i="1"/>
  <c r="P1551" i="1"/>
  <c r="R1559" i="1"/>
  <c r="O1559" i="1"/>
  <c r="Q1559" i="1"/>
  <c r="R1576" i="1"/>
  <c r="O1576" i="1"/>
  <c r="R1580" i="1"/>
  <c r="P1580" i="1"/>
  <c r="R1599" i="1"/>
  <c r="O1599" i="1"/>
  <c r="P1600" i="1"/>
  <c r="R1608" i="1"/>
  <c r="P1608" i="1"/>
  <c r="R1657" i="1"/>
  <c r="O1657" i="1"/>
  <c r="P1657" i="1"/>
  <c r="Q1657" i="1"/>
  <c r="S1657" i="1"/>
  <c r="Q1676" i="1"/>
  <c r="O1676" i="1"/>
  <c r="R1689" i="1"/>
  <c r="O1689" i="1"/>
  <c r="R1750" i="1"/>
  <c r="P1750" i="1"/>
  <c r="O1750" i="1"/>
  <c r="P1820" i="1"/>
  <c r="O1820" i="1"/>
  <c r="R1847" i="1"/>
  <c r="P1847" i="1"/>
  <c r="R1957" i="1"/>
  <c r="P1957" i="1"/>
  <c r="O1957" i="1"/>
  <c r="Q1970" i="1"/>
  <c r="P1970" i="1"/>
  <c r="R2098" i="1"/>
  <c r="Q2098" i="1"/>
  <c r="P2098" i="1"/>
  <c r="O2098" i="1"/>
  <c r="P1499" i="1"/>
  <c r="Q1660" i="1"/>
  <c r="Q1925" i="1"/>
  <c r="P2044" i="1"/>
  <c r="P2056" i="1"/>
  <c r="O2068" i="1"/>
  <c r="O2078" i="1"/>
  <c r="O2085" i="1"/>
  <c r="P2110" i="1"/>
  <c r="O2122" i="1"/>
  <c r="P1361" i="1"/>
  <c r="Q1414" i="1"/>
  <c r="R1549" i="1"/>
  <c r="Q1554" i="1"/>
  <c r="Q1561" i="1"/>
  <c r="P1570" i="1"/>
  <c r="P1611" i="1"/>
  <c r="P1675" i="1"/>
  <c r="O1685" i="1"/>
  <c r="Q1687" i="1"/>
  <c r="Q1694" i="1"/>
  <c r="P1707" i="1"/>
  <c r="P1710" i="1"/>
  <c r="P1712" i="1"/>
  <c r="Q1727" i="1"/>
  <c r="Q1737" i="1"/>
  <c r="Q1739" i="1"/>
  <c r="O1741" i="1"/>
  <c r="P1760" i="1"/>
  <c r="P1763" i="1"/>
  <c r="P1768" i="1"/>
  <c r="R1771" i="1"/>
  <c r="P1778" i="1"/>
  <c r="P1791" i="1"/>
  <c r="Q1840" i="1"/>
  <c r="Q1876" i="1"/>
  <c r="P1898" i="1"/>
  <c r="M1899" i="1"/>
  <c r="O1900" i="1"/>
  <c r="P1921" i="1"/>
  <c r="O1925" i="1"/>
  <c r="R1943" i="1"/>
  <c r="O1967" i="1"/>
  <c r="O1976" i="1"/>
  <c r="Q1989" i="1"/>
  <c r="O1999" i="1"/>
  <c r="O2024" i="1"/>
  <c r="Q2056" i="1"/>
  <c r="Q2068" i="1"/>
  <c r="Q2078" i="1"/>
  <c r="P2085" i="1"/>
  <c r="O2093" i="1"/>
  <c r="Q2099" i="1"/>
  <c r="Q2110" i="1"/>
  <c r="M2122" i="1"/>
  <c r="Q2122" i="1"/>
  <c r="S272" i="15"/>
  <c r="S2106" i="15"/>
  <c r="S2078" i="15"/>
  <c r="S2056" i="15"/>
  <c r="S2048" i="15"/>
  <c r="S2040" i="15"/>
  <c r="L2044" i="15"/>
  <c r="R2044" i="15"/>
  <c r="L2043" i="15"/>
  <c r="R2043" i="15"/>
  <c r="P2072" i="15"/>
  <c r="S2072" i="15"/>
  <c r="M2072" i="15"/>
  <c r="S1991" i="15"/>
  <c r="S1978" i="15"/>
  <c r="S1876" i="15"/>
  <c r="S1917" i="15"/>
  <c r="S1853" i="15"/>
  <c r="S1825" i="15"/>
  <c r="S1837" i="15"/>
  <c r="S1859" i="15"/>
  <c r="S1841" i="15"/>
  <c r="S1748" i="15"/>
  <c r="S1700" i="15"/>
  <c r="S1684" i="15"/>
  <c r="S1675" i="15"/>
  <c r="S1839" i="15"/>
  <c r="S1644" i="15"/>
  <c r="S1632" i="15"/>
  <c r="S1610" i="15"/>
  <c r="S1665" i="15"/>
  <c r="S1660" i="15"/>
  <c r="S1622" i="15"/>
  <c r="S1602" i="15"/>
  <c r="S1658" i="15"/>
  <c r="S1589" i="15"/>
  <c r="S1570" i="15"/>
  <c r="S1559" i="15"/>
  <c r="S1535" i="15"/>
  <c r="S1529" i="15"/>
  <c r="S1609" i="15"/>
  <c r="R1498" i="15"/>
  <c r="S1498" i="15"/>
  <c r="S1462" i="15"/>
  <c r="S1388" i="15"/>
  <c r="S1350" i="15"/>
  <c r="S1302" i="15"/>
  <c r="S1253" i="15"/>
  <c r="S1199" i="15"/>
  <c r="S1023" i="15"/>
  <c r="S1015" i="15"/>
  <c r="S986" i="15"/>
  <c r="S1100" i="15"/>
  <c r="S1214" i="15"/>
  <c r="S1190" i="15"/>
  <c r="S1185" i="15"/>
  <c r="S1148" i="15"/>
  <c r="S1061" i="15"/>
  <c r="S1014" i="15"/>
  <c r="S1004" i="15"/>
  <c r="S991" i="15"/>
  <c r="S969" i="15"/>
  <c r="S912" i="15"/>
  <c r="S859" i="15"/>
  <c r="S1056" i="15"/>
  <c r="S1049" i="15"/>
  <c r="S1012" i="15"/>
  <c r="S945" i="15"/>
  <c r="S887" i="15"/>
  <c r="S862" i="15"/>
  <c r="S768" i="15"/>
  <c r="S1084" i="15"/>
  <c r="S1041" i="15"/>
  <c r="S1016" i="15"/>
  <c r="S763" i="15"/>
  <c r="S728" i="15"/>
  <c r="M425" i="15"/>
  <c r="P425" i="15"/>
  <c r="S425" i="15"/>
  <c r="S731" i="15"/>
  <c r="S727" i="15"/>
  <c r="S724" i="15"/>
  <c r="S620" i="15"/>
  <c r="S572" i="15"/>
  <c r="S502" i="15"/>
  <c r="S483" i="15"/>
  <c r="S463" i="15"/>
  <c r="M419" i="15"/>
  <c r="S766" i="15"/>
  <c r="S725" i="15"/>
  <c r="S696" i="15"/>
  <c r="S494" i="15"/>
  <c r="S454" i="15"/>
  <c r="S448" i="15"/>
  <c r="P419" i="15"/>
  <c r="S419" i="15"/>
  <c r="P417" i="15"/>
  <c r="S417" i="15"/>
  <c r="S385" i="15"/>
  <c r="S341" i="15"/>
  <c r="S339" i="15"/>
  <c r="M103" i="15"/>
  <c r="P103" i="15"/>
  <c r="M497" i="15"/>
  <c r="P497" i="15"/>
  <c r="S351" i="15"/>
  <c r="S407" i="15"/>
  <c r="S365" i="15"/>
  <c r="S335" i="15"/>
  <c r="M64" i="15"/>
  <c r="S431" i="15"/>
  <c r="S300" i="15"/>
  <c r="S276" i="15"/>
  <c r="S236" i="15"/>
  <c r="S218" i="15"/>
  <c r="Q182" i="15"/>
  <c r="Q178" i="15"/>
  <c r="S178" i="15"/>
  <c r="S139" i="15"/>
  <c r="S136" i="15"/>
  <c r="S106" i="15"/>
  <c r="S100" i="15"/>
  <c r="S78" i="15"/>
  <c r="S60" i="15"/>
  <c r="S43" i="15"/>
  <c r="S32" i="15"/>
  <c r="S23" i="15"/>
  <c r="S16" i="15"/>
  <c r="S10" i="15"/>
  <c r="M273" i="15"/>
  <c r="S2104" i="15"/>
  <c r="S2055" i="15"/>
  <c r="P2069" i="15"/>
  <c r="S2069" i="15"/>
  <c r="M2069" i="15"/>
  <c r="S2009" i="15"/>
  <c r="S1967" i="15"/>
  <c r="S1940" i="15"/>
  <c r="S1916" i="15"/>
  <c r="S1898" i="15"/>
  <c r="S1747" i="15"/>
  <c r="S1682" i="15"/>
  <c r="S1646" i="15"/>
  <c r="S1623" i="15"/>
  <c r="M1499" i="15"/>
  <c r="S1490" i="15"/>
  <c r="S1477" i="15"/>
  <c r="S1455" i="15"/>
  <c r="S1575" i="15"/>
  <c r="S1569" i="15"/>
  <c r="S1628" i="15"/>
  <c r="S1387" i="15"/>
  <c r="S1340" i="15"/>
  <c r="S1278" i="15"/>
  <c r="S1266" i="15"/>
  <c r="M1549" i="15"/>
  <c r="S1472" i="15"/>
  <c r="S1395" i="15"/>
  <c r="S1197" i="15"/>
  <c r="S1115" i="15"/>
  <c r="S1229" i="15"/>
  <c r="S1217" i="15"/>
  <c r="S1145" i="15"/>
  <c r="S984" i="15"/>
  <c r="S978" i="15"/>
  <c r="S933" i="15"/>
  <c r="S906" i="15"/>
  <c r="S850" i="15"/>
  <c r="S1044" i="15"/>
  <c r="S695" i="15"/>
  <c r="M418" i="15"/>
  <c r="S748" i="15"/>
  <c r="S745" i="15"/>
  <c r="S730" i="15"/>
  <c r="S706" i="15"/>
  <c r="S595" i="15"/>
  <c r="S497" i="15"/>
  <c r="S493" i="15"/>
  <c r="S475" i="15"/>
  <c r="S466" i="15"/>
  <c r="S384" i="15"/>
  <c r="S377" i="15"/>
  <c r="S183" i="15"/>
  <c r="S369" i="15"/>
  <c r="S435" i="15"/>
  <c r="S299" i="15"/>
  <c r="S293" i="15"/>
  <c r="S267" i="15"/>
  <c r="S239" i="15"/>
  <c r="S228" i="15"/>
  <c r="S207" i="15"/>
  <c r="S195" i="15"/>
  <c r="Q181" i="15"/>
  <c r="S181" i="15"/>
  <c r="M178" i="15"/>
  <c r="S168" i="15"/>
  <c r="S153" i="15"/>
  <c r="S138" i="15"/>
  <c r="S135" i="15"/>
  <c r="S131" i="15"/>
  <c r="S114" i="15"/>
  <c r="S105" i="15"/>
  <c r="S102" i="15"/>
  <c r="P66" i="15"/>
  <c r="S66" i="15"/>
  <c r="J67" i="15"/>
  <c r="P67" i="15"/>
  <c r="S67" i="15"/>
  <c r="M51" i="15"/>
  <c r="S27" i="15"/>
  <c r="S15" i="15"/>
  <c r="M65" i="15"/>
  <c r="P51" i="15"/>
  <c r="S51" i="15"/>
  <c r="Q277" i="15"/>
  <c r="L277" i="15"/>
  <c r="R277" i="15"/>
  <c r="M183" i="15"/>
  <c r="R2123" i="15"/>
  <c r="S2123" i="15"/>
  <c r="S2016" i="15"/>
  <c r="P2070" i="15"/>
  <c r="S2070" i="15"/>
  <c r="M2070" i="15"/>
  <c r="J2044" i="15"/>
  <c r="J2043" i="15"/>
  <c r="P1998" i="15"/>
  <c r="S1998" i="15"/>
  <c r="M1998" i="15"/>
  <c r="S1989" i="15"/>
  <c r="S1976" i="15"/>
  <c r="S1922" i="15"/>
  <c r="S1915" i="15"/>
  <c r="S1907" i="15"/>
  <c r="S1896" i="15"/>
  <c r="S1877" i="15"/>
  <c r="S1856" i="15"/>
  <c r="S1843" i="15"/>
  <c r="S1826" i="15"/>
  <c r="S1824" i="15"/>
  <c r="S1739" i="15"/>
  <c r="S1612" i="15"/>
  <c r="S1662" i="15"/>
  <c r="S1636" i="15"/>
  <c r="S1608" i="15"/>
  <c r="S1598" i="15"/>
  <c r="S1591" i="15"/>
  <c r="S1581" i="15"/>
  <c r="S1561" i="15"/>
  <c r="S1542" i="15"/>
  <c r="S1531" i="15"/>
  <c r="S1479" i="15"/>
  <c r="M1446" i="15"/>
  <c r="M1484" i="15"/>
  <c r="S1452" i="15"/>
  <c r="S1382" i="15"/>
  <c r="S1344" i="15"/>
  <c r="S1306" i="15"/>
  <c r="S1275" i="15"/>
  <c r="S1241" i="15"/>
  <c r="S1235" i="15"/>
  <c r="S1446" i="15"/>
  <c r="S1218" i="15"/>
  <c r="S1228" i="15"/>
  <c r="S1216" i="15"/>
  <c r="S1176" i="15"/>
  <c r="S1150" i="15"/>
  <c r="S1129" i="15"/>
  <c r="S1058" i="15"/>
  <c r="O2127" i="15"/>
  <c r="S1009" i="15"/>
  <c r="S998" i="15"/>
  <c r="S856" i="15"/>
  <c r="S1024" i="15"/>
  <c r="S753" i="15"/>
  <c r="S711" i="15"/>
  <c r="S758" i="15"/>
  <c r="S729" i="15"/>
  <c r="S709" i="15"/>
  <c r="S492" i="15"/>
  <c r="S474" i="15"/>
  <c r="S465" i="15"/>
  <c r="S457" i="15"/>
  <c r="S424" i="15"/>
  <c r="P418" i="15"/>
  <c r="S418" i="15"/>
  <c r="S390" i="15"/>
  <c r="S383" i="15"/>
  <c r="S376" i="15"/>
  <c r="S298" i="15"/>
  <c r="S292" i="15"/>
  <c r="S238" i="15"/>
  <c r="S230" i="15"/>
  <c r="S137" i="15"/>
  <c r="S134" i="15"/>
  <c r="S104" i="15"/>
  <c r="S101" i="15"/>
  <c r="S87" i="15"/>
  <c r="S65" i="15"/>
  <c r="S49" i="15"/>
  <c r="P303" i="15"/>
  <c r="S303" i="15"/>
  <c r="R268" i="15"/>
  <c r="S268" i="15"/>
  <c r="M179" i="15"/>
  <c r="P2071" i="15"/>
  <c r="S2071" i="15"/>
  <c r="M2071" i="15"/>
  <c r="P1997" i="15"/>
  <c r="S1997" i="15"/>
  <c r="M1997" i="15"/>
  <c r="S1959" i="15"/>
  <c r="S1560" i="15"/>
  <c r="S1554" i="15"/>
  <c r="S1391" i="15"/>
  <c r="S1380" i="15"/>
  <c r="S1355" i="15"/>
  <c r="S1471" i="15"/>
  <c r="Q2127" i="15"/>
  <c r="S889" i="15"/>
  <c r="S881" i="15"/>
  <c r="S854" i="15"/>
  <c r="S771" i="15"/>
  <c r="S1028" i="15"/>
  <c r="S735" i="15"/>
  <c r="S717" i="15"/>
  <c r="S694" i="15"/>
  <c r="S691" i="15"/>
  <c r="S653" i="15"/>
  <c r="S608" i="15"/>
  <c r="S604" i="15"/>
  <c r="S600" i="15"/>
  <c r="S573" i="15"/>
  <c r="S535" i="15"/>
  <c r="S525" i="15"/>
  <c r="S755" i="15"/>
  <c r="S733" i="15"/>
  <c r="S726" i="15"/>
  <c r="S721" i="15"/>
  <c r="S699" i="15"/>
  <c r="S767" i="15"/>
  <c r="S495" i="15"/>
  <c r="S488" i="15"/>
  <c r="S455" i="15"/>
  <c r="S449" i="15"/>
  <c r="S426" i="15"/>
  <c r="S371" i="15"/>
  <c r="K484" i="15"/>
  <c r="J486" i="15"/>
  <c r="Q129" i="15"/>
  <c r="S129" i="15"/>
  <c r="M129" i="15"/>
  <c r="M496" i="15"/>
  <c r="P496" i="15"/>
  <c r="S496" i="15"/>
  <c r="S182" i="15"/>
  <c r="S179" i="15"/>
  <c r="S25" i="15"/>
  <c r="S368" i="15"/>
  <c r="S283" i="15"/>
  <c r="M272" i="15"/>
  <c r="S250" i="15"/>
  <c r="S229" i="15"/>
  <c r="S205" i="15"/>
  <c r="S161" i="15"/>
  <c r="S132" i="15"/>
  <c r="S103" i="15"/>
  <c r="K498" i="15"/>
  <c r="S99" i="15"/>
  <c r="S82" i="15"/>
  <c r="M52" i="15"/>
  <c r="P52" i="15"/>
  <c r="S52" i="15"/>
  <c r="S44" i="15"/>
  <c r="Q45" i="15"/>
  <c r="S45" i="15"/>
  <c r="M45" i="15"/>
  <c r="S26" i="15"/>
  <c r="P304" i="15"/>
  <c r="S304" i="15"/>
  <c r="O25" i="1"/>
  <c r="P7" i="1"/>
  <c r="Q8" i="1"/>
  <c r="Q21" i="1"/>
  <c r="P58" i="1"/>
  <c r="M63" i="1"/>
  <c r="Q68" i="1"/>
  <c r="P68" i="1"/>
  <c r="Q89" i="1"/>
  <c r="Q90" i="1"/>
  <c r="P91" i="1"/>
  <c r="O106" i="1"/>
  <c r="P108" i="1"/>
  <c r="P110" i="1"/>
  <c r="O115" i="1"/>
  <c r="M120" i="1"/>
  <c r="P130" i="1"/>
  <c r="J139" i="1"/>
  <c r="P139" i="1"/>
  <c r="J136" i="1"/>
  <c r="P136" i="1"/>
  <c r="O18" i="1"/>
  <c r="Q7" i="1"/>
  <c r="P8" i="1"/>
  <c r="O9" i="1"/>
  <c r="Q13" i="1"/>
  <c r="Q18" i="1"/>
  <c r="Q25" i="1"/>
  <c r="P42" i="1"/>
  <c r="O7" i="1"/>
  <c r="P9" i="1"/>
  <c r="O11" i="1"/>
  <c r="O22" i="1"/>
  <c r="P26" i="1"/>
  <c r="P31" i="1"/>
  <c r="O36" i="1"/>
  <c r="Q42" i="1"/>
  <c r="Q58" i="1"/>
  <c r="O62" i="1"/>
  <c r="R63" i="1"/>
  <c r="Q91" i="1"/>
  <c r="P92" i="1"/>
  <c r="P93" i="1"/>
  <c r="Q108" i="1"/>
  <c r="Q110" i="1"/>
  <c r="O112" i="1"/>
  <c r="P53" i="1"/>
  <c r="O126" i="1"/>
  <c r="P126" i="1"/>
  <c r="Q126" i="1"/>
  <c r="P128" i="1"/>
  <c r="J135" i="1"/>
  <c r="P135" i="1"/>
  <c r="O13" i="1"/>
  <c r="Q17" i="1"/>
  <c r="P18" i="1"/>
  <c r="O21" i="1"/>
  <c r="Q24" i="1"/>
  <c r="P25" i="1"/>
  <c r="O42" i="1"/>
  <c r="R45" i="1"/>
  <c r="O46" i="1"/>
  <c r="Q50" i="1"/>
  <c r="Q53" i="1"/>
  <c r="O58" i="1"/>
  <c r="P59" i="1"/>
  <c r="Q62" i="1"/>
  <c r="P63" i="1"/>
  <c r="P66" i="1"/>
  <c r="Q75" i="1"/>
  <c r="P89" i="1"/>
  <c r="P90" i="1"/>
  <c r="O108" i="1"/>
  <c r="O110" i="1"/>
  <c r="P133" i="1"/>
  <c r="Q133" i="1"/>
  <c r="M138" i="1"/>
  <c r="Q160" i="1"/>
  <c r="P172" i="1"/>
  <c r="O173" i="1"/>
  <c r="Q177" i="1"/>
  <c r="Q180" i="1"/>
  <c r="O188" i="1"/>
  <c r="P189" i="1"/>
  <c r="P193" i="1"/>
  <c r="Q198" i="1"/>
  <c r="Q200" i="1"/>
  <c r="P202" i="1"/>
  <c r="P203" i="1"/>
  <c r="P204" i="1"/>
  <c r="Q219" i="1"/>
  <c r="P219" i="1"/>
  <c r="Q222" i="1"/>
  <c r="P222" i="1"/>
  <c r="Q223" i="1"/>
  <c r="P223" i="1"/>
  <c r="Q224" i="1"/>
  <c r="P224" i="1"/>
  <c r="Q225" i="1"/>
  <c r="P225" i="1"/>
  <c r="O252" i="1"/>
  <c r="O254" i="1"/>
  <c r="O278" i="1"/>
  <c r="S278" i="1"/>
  <c r="P295" i="1"/>
  <c r="O297" i="1"/>
  <c r="Q299" i="1"/>
  <c r="Q301" i="1"/>
  <c r="Q309" i="1"/>
  <c r="Q318" i="1"/>
  <c r="P346" i="1"/>
  <c r="P347" i="1"/>
  <c r="O351" i="1"/>
  <c r="S351" i="1"/>
  <c r="P357" i="1"/>
  <c r="Q369" i="1"/>
  <c r="P374" i="1"/>
  <c r="O378" i="1"/>
  <c r="Q382" i="1"/>
  <c r="P387" i="1"/>
  <c r="Q388" i="1"/>
  <c r="Q394" i="1"/>
  <c r="Q397" i="1"/>
  <c r="P398" i="1"/>
  <c r="O407" i="1"/>
  <c r="P419" i="1"/>
  <c r="R424" i="1"/>
  <c r="O424" i="1"/>
  <c r="M451" i="1"/>
  <c r="P451" i="1"/>
  <c r="R466" i="1"/>
  <c r="O466" i="1"/>
  <c r="Q469" i="1"/>
  <c r="O475" i="1"/>
  <c r="P487" i="1"/>
  <c r="Q492" i="1"/>
  <c r="O505" i="1"/>
  <c r="R521" i="1"/>
  <c r="Q521" i="1"/>
  <c r="O521" i="1"/>
  <c r="R543" i="1"/>
  <c r="Q543" i="1"/>
  <c r="R567" i="1"/>
  <c r="P567" i="1"/>
  <c r="R573" i="1"/>
  <c r="P573" i="1"/>
  <c r="R576" i="1"/>
  <c r="P576" i="1"/>
  <c r="R612" i="1"/>
  <c r="O612" i="1"/>
  <c r="R668" i="1"/>
  <c r="P668" i="1"/>
  <c r="Q721" i="1"/>
  <c r="P721" i="1"/>
  <c r="R735" i="1"/>
  <c r="P735" i="1"/>
  <c r="O735" i="1"/>
  <c r="R781" i="1"/>
  <c r="Q781" i="1"/>
  <c r="R815" i="1"/>
  <c r="Q815" i="1"/>
  <c r="P815" i="1"/>
  <c r="O815" i="1"/>
  <c r="R819" i="1"/>
  <c r="O819" i="1"/>
  <c r="R832" i="1"/>
  <c r="Q832" i="1"/>
  <c r="R882" i="1"/>
  <c r="P882" i="1"/>
  <c r="O882" i="1"/>
  <c r="O127" i="1"/>
  <c r="R128" i="1"/>
  <c r="R129" i="1"/>
  <c r="Q172" i="1"/>
  <c r="P188" i="1"/>
  <c r="Q193" i="1"/>
  <c r="Q202" i="1"/>
  <c r="Q203" i="1"/>
  <c r="Q204" i="1"/>
  <c r="S212" i="1"/>
  <c r="P252" i="1"/>
  <c r="P254" i="1"/>
  <c r="Q255" i="1"/>
  <c r="Q295" i="1"/>
  <c r="S335" i="1"/>
  <c r="R482" i="1"/>
  <c r="O482" i="1"/>
  <c r="R495" i="1"/>
  <c r="Q495" i="1"/>
  <c r="P495" i="1"/>
  <c r="P504" i="1"/>
  <c r="O504" i="1"/>
  <c r="O529" i="1"/>
  <c r="P529" i="1"/>
  <c r="R531" i="1"/>
  <c r="Q531" i="1"/>
  <c r="R538" i="1"/>
  <c r="Q538" i="1"/>
  <c r="O538" i="1"/>
  <c r="R572" i="1"/>
  <c r="P572" i="1"/>
  <c r="O712" i="1"/>
  <c r="R712" i="1"/>
  <c r="Q712" i="1"/>
  <c r="P712" i="1"/>
  <c r="R726" i="1"/>
  <c r="P726" i="1"/>
  <c r="P730" i="1"/>
  <c r="O730" i="1"/>
  <c r="R733" i="1"/>
  <c r="O733" i="1"/>
  <c r="R741" i="1"/>
  <c r="P741" i="1"/>
  <c r="O741" i="1"/>
  <c r="R758" i="1"/>
  <c r="P758" i="1"/>
  <c r="O758" i="1"/>
  <c r="R762" i="1"/>
  <c r="P762" i="1"/>
  <c r="O762" i="1"/>
  <c r="O791" i="1"/>
  <c r="Q791" i="1"/>
  <c r="R800" i="1"/>
  <c r="P800" i="1"/>
  <c r="O800" i="1"/>
  <c r="O804" i="1"/>
  <c r="Q804" i="1"/>
  <c r="P804" i="1"/>
  <c r="R850" i="1"/>
  <c r="Q850" i="1"/>
  <c r="P850" i="1"/>
  <c r="O850" i="1"/>
  <c r="Q176" i="1"/>
  <c r="Q252" i="1"/>
  <c r="Q254" i="1"/>
  <c r="P272" i="1"/>
  <c r="P273" i="1"/>
  <c r="P296" i="1"/>
  <c r="Q311" i="1"/>
  <c r="O317" i="1"/>
  <c r="R431" i="1"/>
  <c r="P431" i="1"/>
  <c r="R439" i="1"/>
  <c r="P439" i="1"/>
  <c r="R454" i="1"/>
  <c r="O454" i="1"/>
  <c r="R455" i="1"/>
  <c r="Q455" i="1"/>
  <c r="R457" i="1"/>
  <c r="O457" i="1"/>
  <c r="P467" i="1"/>
  <c r="R468" i="1"/>
  <c r="P468" i="1"/>
  <c r="P469" i="1"/>
  <c r="O469" i="1"/>
  <c r="P482" i="1"/>
  <c r="R488" i="1"/>
  <c r="Q488" i="1"/>
  <c r="P491" i="1"/>
  <c r="O495" i="1"/>
  <c r="R520" i="1"/>
  <c r="P520" i="1"/>
  <c r="O520" i="1"/>
  <c r="R524" i="1"/>
  <c r="O524" i="1"/>
  <c r="O531" i="1"/>
  <c r="R539" i="1"/>
  <c r="Q539" i="1"/>
  <c r="P539" i="1"/>
  <c r="P570" i="1"/>
  <c r="O572" i="1"/>
  <c r="R641" i="1"/>
  <c r="Q641" i="1"/>
  <c r="P641" i="1"/>
  <c r="O641" i="1"/>
  <c r="R704" i="1"/>
  <c r="P704" i="1"/>
  <c r="R716" i="1"/>
  <c r="Q716" i="1"/>
  <c r="P716" i="1"/>
  <c r="O716" i="1"/>
  <c r="R753" i="1"/>
  <c r="Q753" i="1"/>
  <c r="P753" i="1"/>
  <c r="O753" i="1"/>
  <c r="O778" i="1"/>
  <c r="Q778" i="1"/>
  <c r="P778" i="1"/>
  <c r="R786" i="1"/>
  <c r="Q786" i="1"/>
  <c r="P786" i="1"/>
  <c r="O786" i="1"/>
  <c r="R830" i="1"/>
  <c r="Q830" i="1"/>
  <c r="O836" i="1"/>
  <c r="R836" i="1"/>
  <c r="Q127" i="1"/>
  <c r="Q157" i="1"/>
  <c r="P160" i="1"/>
  <c r="P165" i="1"/>
  <c r="O172" i="1"/>
  <c r="P177" i="1"/>
  <c r="P180" i="1"/>
  <c r="Q187" i="1"/>
  <c r="O189" i="1"/>
  <c r="O193" i="1"/>
  <c r="P206" i="1"/>
  <c r="O219" i="1"/>
  <c r="Q220" i="1"/>
  <c r="O222" i="1"/>
  <c r="O223" i="1"/>
  <c r="O224" i="1"/>
  <c r="O225" i="1"/>
  <c r="Q296" i="1"/>
  <c r="Q310" i="1"/>
  <c r="S310" i="1"/>
  <c r="O346" i="1"/>
  <c r="O347" i="1"/>
  <c r="O357" i="1"/>
  <c r="O366" i="1"/>
  <c r="P369" i="1"/>
  <c r="Q370" i="1"/>
  <c r="O374" i="1"/>
  <c r="P379" i="1"/>
  <c r="O387" i="1"/>
  <c r="P388" i="1"/>
  <c r="Q400" i="1"/>
  <c r="O431" i="1"/>
  <c r="R448" i="1"/>
  <c r="O448" i="1"/>
  <c r="M455" i="1"/>
  <c r="R465" i="1"/>
  <c r="Q465" i="1"/>
  <c r="Q482" i="1"/>
  <c r="O488" i="1"/>
  <c r="R490" i="1"/>
  <c r="P490" i="1"/>
  <c r="P492" i="1"/>
  <c r="R493" i="1"/>
  <c r="Q493" i="1"/>
  <c r="Q520" i="1"/>
  <c r="R530" i="1"/>
  <c r="Q530" i="1"/>
  <c r="P530" i="1"/>
  <c r="R537" i="1"/>
  <c r="P537" i="1"/>
  <c r="O537" i="1"/>
  <c r="O539" i="1"/>
  <c r="R642" i="1"/>
  <c r="Q642" i="1"/>
  <c r="O642" i="1"/>
  <c r="R666" i="1"/>
  <c r="Q666" i="1"/>
  <c r="P666" i="1"/>
  <c r="O666" i="1"/>
  <c r="R681" i="1"/>
  <c r="Q681" i="1"/>
  <c r="P681" i="1"/>
  <c r="O681" i="1"/>
  <c r="R710" i="1"/>
  <c r="Q710" i="1"/>
  <c r="O710" i="1"/>
  <c r="O718" i="1"/>
  <c r="R718" i="1"/>
  <c r="P718" i="1"/>
  <c r="R729" i="1"/>
  <c r="P729" i="1"/>
  <c r="O729" i="1"/>
  <c r="R731" i="1"/>
  <c r="P731" i="1"/>
  <c r="O731" i="1"/>
  <c r="R747" i="1"/>
  <c r="O747" i="1"/>
  <c r="R754" i="1"/>
  <c r="Q754" i="1"/>
  <c r="R760" i="1"/>
  <c r="P760" i="1"/>
  <c r="O760" i="1"/>
  <c r="O763" i="1"/>
  <c r="Q763" i="1"/>
  <c r="P763" i="1"/>
  <c r="R788" i="1"/>
  <c r="Q788" i="1"/>
  <c r="R795" i="1"/>
  <c r="Q795" i="1"/>
  <c r="P795" i="1"/>
  <c r="O795" i="1"/>
  <c r="O801" i="1"/>
  <c r="Q801" i="1"/>
  <c r="P801" i="1"/>
  <c r="O810" i="1"/>
  <c r="R810" i="1"/>
  <c r="Q818" i="1"/>
  <c r="P818" i="1"/>
  <c r="O818" i="1"/>
  <c r="Q827" i="1"/>
  <c r="R827" i="1"/>
  <c r="R862" i="1"/>
  <c r="Q862" i="1"/>
  <c r="P862" i="1"/>
  <c r="O862" i="1"/>
  <c r="R985" i="1"/>
  <c r="Q985" i="1"/>
  <c r="R992" i="1"/>
  <c r="P992" i="1"/>
  <c r="O992" i="1"/>
  <c r="R998" i="1"/>
  <c r="O998" i="1"/>
  <c r="R1023" i="1"/>
  <c r="Q1023" i="1"/>
  <c r="P1023" i="1"/>
  <c r="R1069" i="1"/>
  <c r="Q1069" i="1"/>
  <c r="R1123" i="1"/>
  <c r="Q1123" i="1"/>
  <c r="O1129" i="1"/>
  <c r="Q1129" i="1"/>
  <c r="P1129" i="1"/>
  <c r="R1169" i="1"/>
  <c r="P1169" i="1"/>
  <c r="O1169" i="1"/>
  <c r="R1228" i="1"/>
  <c r="P1228" i="1"/>
  <c r="O1228" i="1"/>
  <c r="O1232" i="1"/>
  <c r="Q1232" i="1"/>
  <c r="P1232" i="1"/>
  <c r="O1311" i="1"/>
  <c r="Q1311" i="1"/>
  <c r="P1311" i="1"/>
  <c r="R1355" i="1"/>
  <c r="P1355" i="1"/>
  <c r="O1355" i="1"/>
  <c r="R1376" i="1"/>
  <c r="P1376" i="1"/>
  <c r="Q1376" i="1"/>
  <c r="O1376" i="1"/>
  <c r="R1436" i="1"/>
  <c r="O1436" i="1"/>
  <c r="Q1436" i="1"/>
  <c r="P1436" i="1"/>
  <c r="P1462" i="1"/>
  <c r="O1462" i="1"/>
  <c r="Q1462" i="1"/>
  <c r="R1555" i="1"/>
  <c r="P1555" i="1"/>
  <c r="O1555" i="1"/>
  <c r="R1560" i="1"/>
  <c r="Q1560" i="1"/>
  <c r="P1560" i="1"/>
  <c r="O1560" i="1"/>
  <c r="R1562" i="1"/>
  <c r="P1562" i="1"/>
  <c r="O1562" i="1"/>
  <c r="R1610" i="1"/>
  <c r="Q1610" i="1"/>
  <c r="P1610" i="1"/>
  <c r="O1610" i="1"/>
  <c r="R1631" i="1"/>
  <c r="P1631" i="1"/>
  <c r="O1631" i="1"/>
  <c r="R1649" i="1"/>
  <c r="P1649" i="1"/>
  <c r="O1649" i="1"/>
  <c r="R1695" i="1"/>
  <c r="O1695" i="1"/>
  <c r="Q1695" i="1"/>
  <c r="R1738" i="1"/>
  <c r="Q1738" i="1"/>
  <c r="P1738" i="1"/>
  <c r="O1738" i="1"/>
  <c r="R1744" i="1"/>
  <c r="Q1744" i="1"/>
  <c r="R1758" i="1"/>
  <c r="Q1758" i="1"/>
  <c r="P1758" i="1"/>
  <c r="O1758" i="1"/>
  <c r="Q505" i="1"/>
  <c r="Q572" i="1"/>
  <c r="Q573" i="1"/>
  <c r="P594" i="1"/>
  <c r="Q594" i="1"/>
  <c r="P598" i="1"/>
  <c r="P600" i="1"/>
  <c r="P602" i="1"/>
  <c r="P604" i="1"/>
  <c r="P606" i="1"/>
  <c r="P608" i="1"/>
  <c r="Q613" i="1"/>
  <c r="P616" i="1"/>
  <c r="Q617" i="1"/>
  <c r="Q619" i="1"/>
  <c r="Q627" i="1"/>
  <c r="Q634" i="1"/>
  <c r="P653" i="1"/>
  <c r="Q654" i="1"/>
  <c r="Q663" i="1"/>
  <c r="Q683" i="1"/>
  <c r="Q695" i="1"/>
  <c r="P695" i="1"/>
  <c r="Q696" i="1"/>
  <c r="P696" i="1"/>
  <c r="Q706" i="1"/>
  <c r="P706" i="1"/>
  <c r="P724" i="1"/>
  <c r="Q767" i="1"/>
  <c r="Q768" i="1"/>
  <c r="P776" i="1"/>
  <c r="P798" i="1"/>
  <c r="Q806" i="1"/>
  <c r="P808" i="1"/>
  <c r="P812" i="1"/>
  <c r="P816" i="1"/>
  <c r="P820" i="1"/>
  <c r="P824" i="1"/>
  <c r="Q824" i="1"/>
  <c r="S824" i="1"/>
  <c r="P842" i="1"/>
  <c r="P844" i="1"/>
  <c r="P851" i="1"/>
  <c r="P854" i="1"/>
  <c r="P859" i="1"/>
  <c r="P863" i="1"/>
  <c r="P869" i="1"/>
  <c r="P879" i="1"/>
  <c r="O888" i="1"/>
  <c r="P894" i="1"/>
  <c r="O898" i="1"/>
  <c r="O900" i="1"/>
  <c r="Q902" i="1"/>
  <c r="O906" i="1"/>
  <c r="O912" i="1"/>
  <c r="Q930" i="1"/>
  <c r="P933" i="1"/>
  <c r="O940" i="1"/>
  <c r="P943" i="1"/>
  <c r="Q954" i="1"/>
  <c r="O957" i="1"/>
  <c r="P963" i="1"/>
  <c r="P970" i="1"/>
  <c r="O974" i="1"/>
  <c r="R977" i="1"/>
  <c r="O977" i="1"/>
  <c r="O985" i="1"/>
  <c r="P990" i="1"/>
  <c r="Q990" i="1"/>
  <c r="R991" i="1"/>
  <c r="O991" i="1"/>
  <c r="Q992" i="1"/>
  <c r="O1000" i="1"/>
  <c r="R1004" i="1"/>
  <c r="P1004" i="1"/>
  <c r="O1004" i="1"/>
  <c r="O1023" i="1"/>
  <c r="Q1037" i="1"/>
  <c r="R1047" i="1"/>
  <c r="P1047" i="1"/>
  <c r="O1047" i="1"/>
  <c r="R1079" i="1"/>
  <c r="P1079" i="1"/>
  <c r="O1079" i="1"/>
  <c r="R1183" i="1"/>
  <c r="P1183" i="1"/>
  <c r="O1183" i="1"/>
  <c r="R1197" i="1"/>
  <c r="Q1197" i="1"/>
  <c r="O1197" i="1"/>
  <c r="R1214" i="1"/>
  <c r="Q1214" i="1"/>
  <c r="P1214" i="1"/>
  <c r="O1214" i="1"/>
  <c r="O1279" i="1"/>
  <c r="Q1279" i="1"/>
  <c r="P1279" i="1"/>
  <c r="R1302" i="1"/>
  <c r="Q1302" i="1"/>
  <c r="P1302" i="1"/>
  <c r="O1302" i="1"/>
  <c r="R1321" i="1"/>
  <c r="Q1321" i="1"/>
  <c r="O1321" i="1"/>
  <c r="R1341" i="1"/>
  <c r="O1341" i="1"/>
  <c r="Q1341" i="1"/>
  <c r="P1341" i="1"/>
  <c r="R1347" i="1"/>
  <c r="Q1347" i="1"/>
  <c r="P1347" i="1"/>
  <c r="O1347" i="1"/>
  <c r="O1402" i="1"/>
  <c r="R1402" i="1"/>
  <c r="Q1406" i="1"/>
  <c r="R1406" i="1"/>
  <c r="Q1483" i="1"/>
  <c r="P1483" i="1"/>
  <c r="Q1487" i="1"/>
  <c r="P1487" i="1"/>
  <c r="Q1505" i="1"/>
  <c r="P1505" i="1"/>
  <c r="R419" i="1"/>
  <c r="Q448" i="1"/>
  <c r="R451" i="1"/>
  <c r="R483" i="1"/>
  <c r="O494" i="1"/>
  <c r="Q504" i="1"/>
  <c r="O515" i="1"/>
  <c r="O519" i="1"/>
  <c r="Q524" i="1"/>
  <c r="O535" i="1"/>
  <c r="O536" i="1"/>
  <c r="O569" i="1"/>
  <c r="O577" i="1"/>
  <c r="O597" i="1"/>
  <c r="S597" i="1"/>
  <c r="Q598" i="1"/>
  <c r="O599" i="1"/>
  <c r="S599" i="1"/>
  <c r="Q600" i="1"/>
  <c r="O601" i="1"/>
  <c r="Q602" i="1"/>
  <c r="O603" i="1"/>
  <c r="Q604" i="1"/>
  <c r="O605" i="1"/>
  <c r="Q606" i="1"/>
  <c r="O607" i="1"/>
  <c r="Q608" i="1"/>
  <c r="O609" i="1"/>
  <c r="O610" i="1"/>
  <c r="O611" i="1"/>
  <c r="Q612" i="1"/>
  <c r="O615" i="1"/>
  <c r="Q616" i="1"/>
  <c r="O620" i="1"/>
  <c r="O622" i="1"/>
  <c r="O639" i="1"/>
  <c r="S639" i="1"/>
  <c r="O640" i="1"/>
  <c r="Q653" i="1"/>
  <c r="O662" i="1"/>
  <c r="O664" i="1"/>
  <c r="O670" i="1"/>
  <c r="O672" i="1"/>
  <c r="O678" i="1"/>
  <c r="O679" i="1"/>
  <c r="P684" i="1"/>
  <c r="P688" i="1"/>
  <c r="O698" i="1"/>
  <c r="O709" i="1"/>
  <c r="S709" i="1"/>
  <c r="O720" i="1"/>
  <c r="Q724" i="1"/>
  <c r="P728" i="1"/>
  <c r="O765" i="1"/>
  <c r="P771" i="1"/>
  <c r="Q776" i="1"/>
  <c r="P782" i="1"/>
  <c r="S783" i="1"/>
  <c r="Q793" i="1"/>
  <c r="P797" i="1"/>
  <c r="Q798" i="1"/>
  <c r="P806" i="1"/>
  <c r="O807" i="1"/>
  <c r="O809" i="1"/>
  <c r="O811" i="1"/>
  <c r="O833" i="1"/>
  <c r="O847" i="1"/>
  <c r="O852" i="1"/>
  <c r="Q854" i="1"/>
  <c r="O856" i="1"/>
  <c r="S856" i="1"/>
  <c r="O860" i="1"/>
  <c r="Q869" i="1"/>
  <c r="Q870" i="1"/>
  <c r="Q871" i="1"/>
  <c r="Q876" i="1"/>
  <c r="Q877" i="1"/>
  <c r="O887" i="1"/>
  <c r="O890" i="1"/>
  <c r="O893" i="1"/>
  <c r="P898" i="1"/>
  <c r="P906" i="1"/>
  <c r="Q918" i="1"/>
  <c r="Q921" i="1"/>
  <c r="Q923" i="1"/>
  <c r="O929" i="1"/>
  <c r="Q933" i="1"/>
  <c r="O941" i="1"/>
  <c r="Q943" i="1"/>
  <c r="O950" i="1"/>
  <c r="Q955" i="1"/>
  <c r="P957" i="1"/>
  <c r="O961" i="1"/>
  <c r="Q963" i="1"/>
  <c r="Q970" i="1"/>
  <c r="Q972" i="1"/>
  <c r="P974" i="1"/>
  <c r="P977" i="1"/>
  <c r="R979" i="1"/>
  <c r="Q979" i="1"/>
  <c r="P985" i="1"/>
  <c r="P991" i="1"/>
  <c r="Q993" i="1"/>
  <c r="O993" i="1"/>
  <c r="R999" i="1"/>
  <c r="Q999" i="1"/>
  <c r="P999" i="1"/>
  <c r="R1014" i="1"/>
  <c r="P1014" i="1"/>
  <c r="O1014" i="1"/>
  <c r="Q1019" i="1"/>
  <c r="O1019" i="1"/>
  <c r="O1030" i="1"/>
  <c r="Q1030" i="1"/>
  <c r="P1030" i="1"/>
  <c r="Q1036" i="1"/>
  <c r="P1036" i="1"/>
  <c r="Q1047" i="1"/>
  <c r="R1091" i="1"/>
  <c r="O1091" i="1"/>
  <c r="R1177" i="1"/>
  <c r="Q1177" i="1"/>
  <c r="P1177" i="1"/>
  <c r="O1177" i="1"/>
  <c r="Q1180" i="1"/>
  <c r="P1180" i="1"/>
  <c r="R1207" i="1"/>
  <c r="O1207" i="1"/>
  <c r="R1229" i="1"/>
  <c r="P1229" i="1"/>
  <c r="O1229" i="1"/>
  <c r="O1313" i="1"/>
  <c r="Q1313" i="1"/>
  <c r="P1313" i="1"/>
  <c r="R1360" i="1"/>
  <c r="Q1360" i="1"/>
  <c r="P1360" i="1"/>
  <c r="O1360" i="1"/>
  <c r="P1419" i="1"/>
  <c r="O1419" i="1"/>
  <c r="P1424" i="1"/>
  <c r="O1424" i="1"/>
  <c r="Q1424" i="1"/>
  <c r="P1446" i="1"/>
  <c r="O1446" i="1"/>
  <c r="R1453" i="1"/>
  <c r="O1453" i="1"/>
  <c r="Q1453" i="1"/>
  <c r="R1481" i="1"/>
  <c r="Q1481" i="1"/>
  <c r="O1481" i="1"/>
  <c r="P1481" i="1"/>
  <c r="P625" i="1"/>
  <c r="S745" i="1"/>
  <c r="P791" i="1"/>
  <c r="S889" i="1"/>
  <c r="Q906" i="1"/>
  <c r="S928" i="1"/>
  <c r="Q974" i="1"/>
  <c r="P983" i="1"/>
  <c r="Q983" i="1"/>
  <c r="Q1010" i="1"/>
  <c r="O1010" i="1"/>
  <c r="R1017" i="1"/>
  <c r="Q1017" i="1"/>
  <c r="P1017" i="1"/>
  <c r="R1044" i="1"/>
  <c r="O1044" i="1"/>
  <c r="R1049" i="1"/>
  <c r="O1049" i="1"/>
  <c r="O1058" i="1"/>
  <c r="Q1058" i="1"/>
  <c r="R1126" i="1"/>
  <c r="Q1126" i="1"/>
  <c r="P1126" i="1"/>
  <c r="O1126" i="1"/>
  <c r="R1186" i="1"/>
  <c r="Q1186" i="1"/>
  <c r="P1186" i="1"/>
  <c r="O1186" i="1"/>
  <c r="R1194" i="1"/>
  <c r="O1194" i="1"/>
  <c r="P1211" i="1"/>
  <c r="O1211" i="1"/>
  <c r="R1223" i="1"/>
  <c r="O1223" i="1"/>
  <c r="O1240" i="1"/>
  <c r="Q1240" i="1"/>
  <c r="P1240" i="1"/>
  <c r="R1264" i="1"/>
  <c r="Q1264" i="1"/>
  <c r="O1269" i="1"/>
  <c r="Q1269" i="1"/>
  <c r="P1269" i="1"/>
  <c r="O1287" i="1"/>
  <c r="Q1287" i="1"/>
  <c r="P1287" i="1"/>
  <c r="R1331" i="1"/>
  <c r="Q1331" i="1"/>
  <c r="P1331" i="1"/>
  <c r="O1331" i="1"/>
  <c r="R1338" i="1"/>
  <c r="Q1338" i="1"/>
  <c r="O1338" i="1"/>
  <c r="R1344" i="1"/>
  <c r="P1344" i="1"/>
  <c r="O1344" i="1"/>
  <c r="R1353" i="1"/>
  <c r="O1353" i="1"/>
  <c r="Q1353" i="1"/>
  <c r="P1353" i="1"/>
  <c r="R1368" i="1"/>
  <c r="O1368" i="1"/>
  <c r="P1368" i="1"/>
  <c r="R1387" i="1"/>
  <c r="Q1387" i="1"/>
  <c r="O1387" i="1"/>
  <c r="P1387" i="1"/>
  <c r="Q1470" i="1"/>
  <c r="P1470" i="1"/>
  <c r="Q996" i="1"/>
  <c r="Q1027" i="1"/>
  <c r="Q1031" i="1"/>
  <c r="Q1071" i="1"/>
  <c r="Q1115" i="1"/>
  <c r="P1134" i="1"/>
  <c r="P1140" i="1"/>
  <c r="P1151" i="1"/>
  <c r="P1153" i="1"/>
  <c r="P1154" i="1"/>
  <c r="P1158" i="1"/>
  <c r="P1162" i="1"/>
  <c r="P1178" i="1"/>
  <c r="Q1189" i="1"/>
  <c r="Q1235" i="1"/>
  <c r="Q1236" i="1"/>
  <c r="Q1241" i="1"/>
  <c r="R1340" i="1"/>
  <c r="O1340" i="1"/>
  <c r="R1350" i="1"/>
  <c r="O1350" i="1"/>
  <c r="R1366" i="1"/>
  <c r="O1366" i="1"/>
  <c r="R1386" i="1"/>
  <c r="O1386" i="1"/>
  <c r="P1411" i="1"/>
  <c r="O1411" i="1"/>
  <c r="P1425" i="1"/>
  <c r="O1425" i="1"/>
  <c r="P1434" i="1"/>
  <c r="O1434" i="1"/>
  <c r="Q1439" i="1"/>
  <c r="P1439" i="1"/>
  <c r="Q1447" i="1"/>
  <c r="P1447" i="1"/>
  <c r="Q1464" i="1"/>
  <c r="P1464" i="1"/>
  <c r="P1471" i="1"/>
  <c r="O1471" i="1"/>
  <c r="P1479" i="1"/>
  <c r="O1479" i="1"/>
  <c r="Q1507" i="1"/>
  <c r="P1507" i="1"/>
  <c r="Q1521" i="1"/>
  <c r="O1521" i="1"/>
  <c r="R1528" i="1"/>
  <c r="Q1528" i="1"/>
  <c r="O1535" i="1"/>
  <c r="Q1535" i="1"/>
  <c r="P1535" i="1"/>
  <c r="Q1549" i="1"/>
  <c r="R1588" i="1"/>
  <c r="Q1588" i="1"/>
  <c r="P1588" i="1"/>
  <c r="O1588" i="1"/>
  <c r="P1642" i="1"/>
  <c r="Q1642" i="1"/>
  <c r="R1691" i="1"/>
  <c r="O1691" i="1"/>
  <c r="Q1691" i="1"/>
  <c r="P1691" i="1"/>
  <c r="O1054" i="1"/>
  <c r="O1059" i="1"/>
  <c r="P1061" i="1"/>
  <c r="S1096" i="1"/>
  <c r="P1115" i="1"/>
  <c r="Q1158" i="1"/>
  <c r="Q1183" i="1"/>
  <c r="O1248" i="1"/>
  <c r="P1251" i="1"/>
  <c r="O1253" i="1"/>
  <c r="P1254" i="1"/>
  <c r="O1257" i="1"/>
  <c r="O1258" i="1"/>
  <c r="Q1261" i="1"/>
  <c r="P1265" i="1"/>
  <c r="Q1266" i="1"/>
  <c r="S1266" i="1"/>
  <c r="O1275" i="1"/>
  <c r="O1278" i="1"/>
  <c r="Q1296" i="1"/>
  <c r="Q1300" i="1"/>
  <c r="O1306" i="1"/>
  <c r="O1318" i="1"/>
  <c r="P1321" i="1"/>
  <c r="P1338" i="1"/>
  <c r="R1354" i="1"/>
  <c r="P1354" i="1"/>
  <c r="R1375" i="1"/>
  <c r="O1375" i="1"/>
  <c r="R1377" i="1"/>
  <c r="Q1377" i="1"/>
  <c r="R1382" i="1"/>
  <c r="O1382" i="1"/>
  <c r="R1391" i="1"/>
  <c r="O1391" i="1"/>
  <c r="R1413" i="1"/>
  <c r="O1413" i="1"/>
  <c r="Q1413" i="1"/>
  <c r="R1417" i="1"/>
  <c r="O1417" i="1"/>
  <c r="Q1417" i="1"/>
  <c r="P1426" i="1"/>
  <c r="O1426" i="1"/>
  <c r="Q1432" i="1"/>
  <c r="P1432" i="1"/>
  <c r="P1438" i="1"/>
  <c r="O1438" i="1"/>
  <c r="Q1441" i="1"/>
  <c r="P1441" i="1"/>
  <c r="P1453" i="1"/>
  <c r="R1459" i="1"/>
  <c r="Q1459" i="1"/>
  <c r="O1459" i="1"/>
  <c r="P1476" i="1"/>
  <c r="O1476" i="1"/>
  <c r="Q1501" i="1"/>
  <c r="P1501" i="1"/>
  <c r="Q1509" i="1"/>
  <c r="P1509" i="1"/>
  <c r="M1516" i="1"/>
  <c r="P1521" i="1"/>
  <c r="R1569" i="1"/>
  <c r="Q1569" i="1"/>
  <c r="P1569" i="1"/>
  <c r="O1569" i="1"/>
  <c r="R1582" i="1"/>
  <c r="P1582" i="1"/>
  <c r="O1582" i="1"/>
  <c r="R1602" i="1"/>
  <c r="Q1602" i="1"/>
  <c r="O1602" i="1"/>
  <c r="R1632" i="1"/>
  <c r="Q1632" i="1"/>
  <c r="P1632" i="1"/>
  <c r="O1632" i="1"/>
  <c r="R1648" i="1"/>
  <c r="P1648" i="1"/>
  <c r="O1648" i="1"/>
  <c r="R1650" i="1"/>
  <c r="P1650" i="1"/>
  <c r="O1650" i="1"/>
  <c r="R1665" i="1"/>
  <c r="P1665" i="1"/>
  <c r="Q1665" i="1"/>
  <c r="O1665" i="1"/>
  <c r="O1722" i="1"/>
  <c r="P1722" i="1"/>
  <c r="Q1722" i="1"/>
  <c r="P1058" i="1"/>
  <c r="Q1169" i="1"/>
  <c r="Q1201" i="1"/>
  <c r="O1216" i="1"/>
  <c r="O1218" i="1"/>
  <c r="O1235" i="1"/>
  <c r="P1236" i="1"/>
  <c r="O1241" i="1"/>
  <c r="Q1243" i="1"/>
  <c r="P1248" i="1"/>
  <c r="Q1251" i="1"/>
  <c r="P1253" i="1"/>
  <c r="Q1254" i="1"/>
  <c r="P1257" i="1"/>
  <c r="P1258" i="1"/>
  <c r="Q1262" i="1"/>
  <c r="Q1265" i="1"/>
  <c r="P1275" i="1"/>
  <c r="Q1278" i="1"/>
  <c r="P1288" i="1"/>
  <c r="P1297" i="1"/>
  <c r="P1306" i="1"/>
  <c r="P1318" i="1"/>
  <c r="O1320" i="1"/>
  <c r="O1337" i="1"/>
  <c r="R1342" i="1"/>
  <c r="O1342" i="1"/>
  <c r="O1354" i="1"/>
  <c r="O1367" i="1"/>
  <c r="O1370" i="1"/>
  <c r="R1371" i="1"/>
  <c r="O1371" i="1"/>
  <c r="P1375" i="1"/>
  <c r="O1377" i="1"/>
  <c r="P1379" i="1"/>
  <c r="R1380" i="1"/>
  <c r="O1380" i="1"/>
  <c r="P1382" i="1"/>
  <c r="P1391" i="1"/>
  <c r="R1398" i="1"/>
  <c r="O1398" i="1"/>
  <c r="Q1398" i="1"/>
  <c r="P1413" i="1"/>
  <c r="P1417" i="1"/>
  <c r="P1423" i="1"/>
  <c r="O1423" i="1"/>
  <c r="Q1426" i="1"/>
  <c r="P1431" i="1"/>
  <c r="O1431" i="1"/>
  <c r="Q1438" i="1"/>
  <c r="R1457" i="1"/>
  <c r="O1457" i="1"/>
  <c r="Q1457" i="1"/>
  <c r="P1459" i="1"/>
  <c r="Q1476" i="1"/>
  <c r="R1478" i="1"/>
  <c r="Q1478" i="1"/>
  <c r="O1478" i="1"/>
  <c r="P1485" i="1"/>
  <c r="O1485" i="1"/>
  <c r="R1488" i="1"/>
  <c r="Q1488" i="1"/>
  <c r="O1488" i="1"/>
  <c r="Q1503" i="1"/>
  <c r="P1503" i="1"/>
  <c r="Q1515" i="1"/>
  <c r="P1515" i="1"/>
  <c r="R1536" i="1"/>
  <c r="Q1536" i="1"/>
  <c r="P1536" i="1"/>
  <c r="O1536" i="1"/>
  <c r="R1584" i="1"/>
  <c r="P1584" i="1"/>
  <c r="O1584" i="1"/>
  <c r="R1612" i="1"/>
  <c r="Q1612" i="1"/>
  <c r="P1612" i="1"/>
  <c r="O1612" i="1"/>
  <c r="P1659" i="1"/>
  <c r="Q1659" i="1"/>
  <c r="Q1401" i="1"/>
  <c r="P1403" i="1"/>
  <c r="S1403" i="1"/>
  <c r="M1472" i="1"/>
  <c r="P1594" i="1"/>
  <c r="Q1598" i="1"/>
  <c r="Q1608" i="1"/>
  <c r="P1609" i="1"/>
  <c r="Q1611" i="1"/>
  <c r="Q1623" i="1"/>
  <c r="Q1646" i="1"/>
  <c r="R1660" i="1"/>
  <c r="P1660" i="1"/>
  <c r="R1718" i="1"/>
  <c r="Q1718" i="1"/>
  <c r="O1718" i="1"/>
  <c r="O1723" i="1"/>
  <c r="P1723" i="1"/>
  <c r="R1743" i="1"/>
  <c r="Q1743" i="1"/>
  <c r="R1748" i="1"/>
  <c r="Q1748" i="1"/>
  <c r="P1748" i="1"/>
  <c r="O1748" i="1"/>
  <c r="O1684" i="1"/>
  <c r="Q1684" i="1"/>
  <c r="R1716" i="1"/>
  <c r="O1716" i="1"/>
  <c r="Q1716" i="1"/>
  <c r="R1755" i="1"/>
  <c r="P1755" i="1"/>
  <c r="O1755" i="1"/>
  <c r="R1762" i="1"/>
  <c r="Q1762" i="1"/>
  <c r="P1762" i="1"/>
  <c r="O1762" i="1"/>
  <c r="R1767" i="1"/>
  <c r="Q1767" i="1"/>
  <c r="P1767" i="1"/>
  <c r="O1767" i="1"/>
  <c r="R1394" i="1"/>
  <c r="P1410" i="1"/>
  <c r="P1414" i="1"/>
  <c r="P1416" i="1"/>
  <c r="Q1445" i="1"/>
  <c r="P1458" i="1"/>
  <c r="Q1516" i="1"/>
  <c r="P1522" i="1"/>
  <c r="P1529" i="1"/>
  <c r="P1530" i="1"/>
  <c r="M1538" i="1"/>
  <c r="M1549" i="1"/>
  <c r="O1551" i="1"/>
  <c r="P1554" i="1"/>
  <c r="S1554" i="1"/>
  <c r="P1561" i="1"/>
  <c r="Q1575" i="1"/>
  <c r="O1580" i="1"/>
  <c r="O1583" i="1"/>
  <c r="O1592" i="1"/>
  <c r="O1598" i="1"/>
  <c r="O1603" i="1"/>
  <c r="O1608" i="1"/>
  <c r="O1611" i="1"/>
  <c r="O1616" i="1"/>
  <c r="Q1621" i="1"/>
  <c r="O1630" i="1"/>
  <c r="Q1631" i="1"/>
  <c r="P1633" i="1"/>
  <c r="Q1636" i="1"/>
  <c r="Q1645" i="1"/>
  <c r="O1666" i="1"/>
  <c r="O1672" i="1"/>
  <c r="R1676" i="1"/>
  <c r="P1676" i="1"/>
  <c r="Q1678" i="1"/>
  <c r="O1679" i="1"/>
  <c r="Q1679" i="1"/>
  <c r="R1697" i="1"/>
  <c r="O1697" i="1"/>
  <c r="O1712" i="1"/>
  <c r="Q1712" i="1"/>
  <c r="P1716" i="1"/>
  <c r="R1730" i="1"/>
  <c r="Q1740" i="1"/>
  <c r="Q1760" i="1"/>
  <c r="R1781" i="1"/>
  <c r="O1788" i="1"/>
  <c r="P1793" i="1"/>
  <c r="O1809" i="1"/>
  <c r="P1816" i="1"/>
  <c r="P1826" i="1"/>
  <c r="Q1838" i="1"/>
  <c r="O1842" i="1"/>
  <c r="O1844" i="1"/>
  <c r="Q1847" i="1"/>
  <c r="O1866" i="1"/>
  <c r="O1874" i="1"/>
  <c r="O1897" i="1"/>
  <c r="P1899" i="1"/>
  <c r="O1909" i="1"/>
  <c r="Q1912" i="1"/>
  <c r="O1919" i="1"/>
  <c r="O1920" i="1"/>
  <c r="O1924" i="1"/>
  <c r="R1926" i="1"/>
  <c r="O1938" i="1"/>
  <c r="P1945" i="1"/>
  <c r="P1971" i="1"/>
  <c r="O1971" i="1"/>
  <c r="O1977" i="1"/>
  <c r="P1980" i="1"/>
  <c r="O2000" i="1"/>
  <c r="P2002" i="1"/>
  <c r="R2023" i="1"/>
  <c r="O2026" i="1"/>
  <c r="O2029" i="1"/>
  <c r="O2063" i="1"/>
  <c r="Q2065" i="1"/>
  <c r="Q2080" i="1"/>
  <c r="P2089" i="1"/>
  <c r="O2102" i="1"/>
  <c r="O2114" i="1"/>
  <c r="O2115" i="1"/>
  <c r="P2119" i="1"/>
  <c r="P1788" i="1"/>
  <c r="P1809" i="1"/>
  <c r="Q1809" i="1"/>
  <c r="P1842" i="1"/>
  <c r="Q1844" i="1"/>
  <c r="P1897" i="1"/>
  <c r="Q1899" i="1"/>
  <c r="P1919" i="1"/>
  <c r="P1920" i="1"/>
  <c r="P1924" i="1"/>
  <c r="Q1971" i="1"/>
  <c r="P1977" i="1"/>
  <c r="P2026" i="1"/>
  <c r="P2029" i="1"/>
  <c r="P2063" i="1"/>
  <c r="O2082" i="1"/>
  <c r="Q2085" i="1"/>
  <c r="Q2093" i="1"/>
  <c r="O2094" i="1"/>
  <c r="Q2095" i="1"/>
  <c r="S2095" i="1"/>
  <c r="O2096" i="1"/>
  <c r="O2099" i="1"/>
  <c r="O2101" i="1"/>
  <c r="P2102" i="1"/>
  <c r="Q2102" i="1"/>
  <c r="P2114" i="1"/>
  <c r="Q2115" i="1"/>
  <c r="Q1662" i="1"/>
  <c r="P1689" i="1"/>
  <c r="P1703" i="1"/>
  <c r="P1717" i="1"/>
  <c r="P1727" i="1"/>
  <c r="P1739" i="1"/>
  <c r="S1739" i="1"/>
  <c r="P1741" i="1"/>
  <c r="P1745" i="1"/>
  <c r="S1745" i="1"/>
  <c r="Q1746" i="1"/>
  <c r="O1760" i="1"/>
  <c r="P1761" i="1"/>
  <c r="O1764" i="1"/>
  <c r="Q1772" i="1"/>
  <c r="Q1778" i="1"/>
  <c r="Q1786" i="1"/>
  <c r="Q1788" i="1"/>
  <c r="P1812" i="1"/>
  <c r="P1824" i="1"/>
  <c r="O1838" i="1"/>
  <c r="O1840" i="1"/>
  <c r="Q1842" i="1"/>
  <c r="O1847" i="1"/>
  <c r="O1876" i="1"/>
  <c r="O1879" i="1"/>
  <c r="Q1897" i="1"/>
  <c r="O1910" i="1"/>
  <c r="P1913" i="1"/>
  <c r="Q1922" i="1"/>
  <c r="O1926" i="1"/>
  <c r="P1958" i="1"/>
  <c r="Q1959" i="1"/>
  <c r="O1960" i="1"/>
  <c r="O1966" i="1"/>
  <c r="P1967" i="1"/>
  <c r="Q1967" i="1"/>
  <c r="P1976" i="1"/>
  <c r="Q1976" i="1"/>
  <c r="Q1977" i="1"/>
  <c r="P1989" i="1"/>
  <c r="O1991" i="1"/>
  <c r="P1993" i="1"/>
  <c r="P1999" i="1"/>
  <c r="S1999" i="1"/>
  <c r="O2001" i="1"/>
  <c r="R2018" i="1"/>
  <c r="R2019" i="1"/>
  <c r="P2024" i="1"/>
  <c r="Q2044" i="1"/>
  <c r="O2056" i="1"/>
  <c r="Q2061" i="1"/>
  <c r="Q2063" i="1"/>
  <c r="O2080" i="1"/>
  <c r="Q2082" i="1"/>
  <c r="O2088" i="1"/>
  <c r="P2094" i="1"/>
  <c r="P2096" i="1"/>
  <c r="P2099" i="1"/>
  <c r="Q2101" i="1"/>
  <c r="O2110" i="1"/>
  <c r="Q2114" i="1"/>
  <c r="M46" i="1"/>
  <c r="P46" i="1"/>
  <c r="R67" i="1"/>
  <c r="P21" i="1"/>
  <c r="R23" i="1"/>
  <c r="R32" i="1"/>
  <c r="R44" i="1"/>
  <c r="K45" i="1"/>
  <c r="M45" i="1"/>
  <c r="R49" i="1"/>
  <c r="R60" i="1"/>
  <c r="L64" i="1"/>
  <c r="R64" i="1"/>
  <c r="L65" i="1"/>
  <c r="R65" i="1"/>
  <c r="Q82" i="1"/>
  <c r="P82" i="1"/>
  <c r="R95" i="1"/>
  <c r="Q95" i="1"/>
  <c r="K497" i="1"/>
  <c r="Q497" i="1"/>
  <c r="K496" i="1"/>
  <c r="Q496" i="1"/>
  <c r="J498" i="1"/>
  <c r="P498" i="1"/>
  <c r="M101" i="1"/>
  <c r="Q102" i="1"/>
  <c r="P102" i="1"/>
  <c r="P109" i="1"/>
  <c r="O109" i="1"/>
  <c r="Q131" i="1"/>
  <c r="P131" i="1"/>
  <c r="O131" i="1"/>
  <c r="O136" i="1"/>
  <c r="Q141" i="1"/>
  <c r="M141" i="1"/>
  <c r="Q161" i="1"/>
  <c r="P161" i="1"/>
  <c r="O161" i="1"/>
  <c r="Q165" i="1"/>
  <c r="M165" i="1"/>
  <c r="Q168" i="1"/>
  <c r="P168" i="1"/>
  <c r="O168" i="1"/>
  <c r="P183" i="1"/>
  <c r="Q273" i="1"/>
  <c r="M273" i="1"/>
  <c r="R10" i="1"/>
  <c r="P13" i="1"/>
  <c r="R16" i="1"/>
  <c r="R27" i="1"/>
  <c r="R37" i="1"/>
  <c r="M7" i="1"/>
  <c r="O16" i="1"/>
  <c r="R17" i="1"/>
  <c r="M18" i="1"/>
  <c r="O23" i="1"/>
  <c r="O27" i="1"/>
  <c r="O32" i="1"/>
  <c r="O43" i="1"/>
  <c r="O44" i="1"/>
  <c r="O49" i="1"/>
  <c r="R50" i="1"/>
  <c r="J51" i="1"/>
  <c r="R51" i="1"/>
  <c r="J52" i="1"/>
  <c r="M52" i="1"/>
  <c r="R52" i="1"/>
  <c r="R53" i="1"/>
  <c r="M58" i="1"/>
  <c r="O60" i="1"/>
  <c r="R61" i="1"/>
  <c r="Q65" i="1"/>
  <c r="O66" i="1"/>
  <c r="M68" i="1"/>
  <c r="R68" i="1"/>
  <c r="P73" i="1"/>
  <c r="O73" i="1"/>
  <c r="P79" i="1"/>
  <c r="O79" i="1"/>
  <c r="O82" i="1"/>
  <c r="P95" i="1"/>
  <c r="Q99" i="1"/>
  <c r="P99" i="1"/>
  <c r="O102" i="1"/>
  <c r="O103" i="1"/>
  <c r="Q104" i="1"/>
  <c r="P104" i="1"/>
  <c r="Q109" i="1"/>
  <c r="R112" i="1"/>
  <c r="Q114" i="1"/>
  <c r="P114" i="1"/>
  <c r="R115" i="1"/>
  <c r="P119" i="1"/>
  <c r="O119" i="1"/>
  <c r="Q128" i="1"/>
  <c r="M128" i="1"/>
  <c r="K135" i="1"/>
  <c r="Q135" i="1"/>
  <c r="R131" i="1"/>
  <c r="Q153" i="1"/>
  <c r="P153" i="1"/>
  <c r="O153" i="1"/>
  <c r="R161" i="1"/>
  <c r="R168" i="1"/>
  <c r="Q195" i="1"/>
  <c r="P195" i="1"/>
  <c r="O195" i="1"/>
  <c r="Q207" i="1"/>
  <c r="P207" i="1"/>
  <c r="O207" i="1"/>
  <c r="S241" i="1"/>
  <c r="R43" i="1"/>
  <c r="R8" i="1"/>
  <c r="O10" i="1"/>
  <c r="P11" i="1"/>
  <c r="P15" i="1"/>
  <c r="R24" i="1"/>
  <c r="M25" i="1"/>
  <c r="R28" i="1"/>
  <c r="O37" i="1"/>
  <c r="P10" i="1"/>
  <c r="Q11" i="1"/>
  <c r="Q15" i="1"/>
  <c r="P16" i="1"/>
  <c r="O17" i="1"/>
  <c r="Q22" i="1"/>
  <c r="P23" i="1"/>
  <c r="O24" i="1"/>
  <c r="Q26" i="1"/>
  <c r="P27" i="1"/>
  <c r="O28" i="1"/>
  <c r="S28" i="1"/>
  <c r="Q31" i="1"/>
  <c r="P32" i="1"/>
  <c r="Q36" i="1"/>
  <c r="P37" i="1"/>
  <c r="P43" i="1"/>
  <c r="P44" i="1"/>
  <c r="Q46" i="1"/>
  <c r="P49" i="1"/>
  <c r="O50" i="1"/>
  <c r="K51" i="1"/>
  <c r="Q51" i="1"/>
  <c r="O51" i="1"/>
  <c r="O52" i="1"/>
  <c r="O53" i="1"/>
  <c r="Q59" i="1"/>
  <c r="P60" i="1"/>
  <c r="O61" i="1"/>
  <c r="J65" i="1"/>
  <c r="P65" i="1"/>
  <c r="O65" i="1"/>
  <c r="K66" i="1"/>
  <c r="K67" i="1"/>
  <c r="Q67" i="1"/>
  <c r="Q73" i="1"/>
  <c r="P74" i="1"/>
  <c r="O74" i="1"/>
  <c r="Q78" i="1"/>
  <c r="P78" i="1"/>
  <c r="Q79" i="1"/>
  <c r="R82" i="1"/>
  <c r="Q87" i="1"/>
  <c r="P87" i="1"/>
  <c r="S94" i="1"/>
  <c r="M99" i="1"/>
  <c r="O99" i="1"/>
  <c r="Q100" i="1"/>
  <c r="P100" i="1"/>
  <c r="R102" i="1"/>
  <c r="J103" i="1"/>
  <c r="O104" i="1"/>
  <c r="Q105" i="1"/>
  <c r="P105" i="1"/>
  <c r="R109" i="1"/>
  <c r="P113" i="1"/>
  <c r="O113" i="1"/>
  <c r="O114" i="1"/>
  <c r="Q119" i="1"/>
  <c r="P120" i="1"/>
  <c r="Q129" i="1"/>
  <c r="Q134" i="1"/>
  <c r="P134" i="1"/>
  <c r="O134" i="1"/>
  <c r="Q138" i="1"/>
  <c r="P138" i="1"/>
  <c r="O138" i="1"/>
  <c r="R153" i="1"/>
  <c r="P169" i="1"/>
  <c r="R195" i="1"/>
  <c r="R207" i="1"/>
  <c r="Q300" i="1"/>
  <c r="M44" i="1"/>
  <c r="K64" i="1"/>
  <c r="R66" i="1"/>
  <c r="O67" i="1"/>
  <c r="R73" i="1"/>
  <c r="Q74" i="1"/>
  <c r="O78" i="1"/>
  <c r="R79" i="1"/>
  <c r="O87" i="1"/>
  <c r="R99" i="1"/>
  <c r="J497" i="1"/>
  <c r="J496" i="1"/>
  <c r="M100" i="1"/>
  <c r="O100" i="1"/>
  <c r="Q101" i="1"/>
  <c r="P101" i="1"/>
  <c r="K103" i="1"/>
  <c r="Q103" i="1"/>
  <c r="R104" i="1"/>
  <c r="M105" i="1"/>
  <c r="O105" i="1"/>
  <c r="Q106" i="1"/>
  <c r="P106" i="1"/>
  <c r="P111" i="1"/>
  <c r="O111" i="1"/>
  <c r="Q113" i="1"/>
  <c r="R114" i="1"/>
  <c r="Q115" i="1"/>
  <c r="M115" i="1"/>
  <c r="R119" i="1"/>
  <c r="Q130" i="1"/>
  <c r="M130" i="1"/>
  <c r="K139" i="1"/>
  <c r="K136" i="1"/>
  <c r="Q136" i="1"/>
  <c r="Q132" i="1"/>
  <c r="P132" i="1"/>
  <c r="O132" i="1"/>
  <c r="O135" i="1"/>
  <c r="Q137" i="1"/>
  <c r="P137" i="1"/>
  <c r="O137" i="1"/>
  <c r="R138" i="1"/>
  <c r="O139" i="1"/>
  <c r="Q140" i="1"/>
  <c r="S140" i="1"/>
  <c r="M140" i="1"/>
  <c r="P167" i="1"/>
  <c r="Q173" i="1"/>
  <c r="M173" i="1"/>
  <c r="Q205" i="1"/>
  <c r="P205" i="1"/>
  <c r="O205" i="1"/>
  <c r="Q206" i="1"/>
  <c r="M206" i="1"/>
  <c r="R218" i="1"/>
  <c r="P227" i="1"/>
  <c r="R228" i="1"/>
  <c r="R230" i="1"/>
  <c r="R236" i="1"/>
  <c r="P237" i="1"/>
  <c r="R238" i="1"/>
  <c r="R239" i="1"/>
  <c r="O240" i="1"/>
  <c r="R250" i="1"/>
  <c r="R267" i="1"/>
  <c r="R276" i="1"/>
  <c r="R283" i="1"/>
  <c r="R292" i="1"/>
  <c r="R293" i="1"/>
  <c r="R298" i="1"/>
  <c r="R299" i="1"/>
  <c r="J300" i="1"/>
  <c r="P300" i="1"/>
  <c r="R300" i="1"/>
  <c r="R313" i="1"/>
  <c r="R333" i="1"/>
  <c r="R339" i="1"/>
  <c r="R340" i="1"/>
  <c r="R341" i="1"/>
  <c r="R365" i="1"/>
  <c r="R371" i="1"/>
  <c r="P376" i="1"/>
  <c r="R377" i="1"/>
  <c r="P378" i="1"/>
  <c r="R383" i="1"/>
  <c r="R384" i="1"/>
  <c r="R385" i="1"/>
  <c r="R390" i="1"/>
  <c r="Q403" i="1"/>
  <c r="O403" i="1"/>
  <c r="O415" i="1"/>
  <c r="Q415" i="1"/>
  <c r="O416" i="1"/>
  <c r="Q416" i="1"/>
  <c r="O420" i="1"/>
  <c r="Q420" i="1"/>
  <c r="P483" i="1"/>
  <c r="J484" i="1"/>
  <c r="R120" i="1"/>
  <c r="R124" i="1"/>
  <c r="R125" i="1"/>
  <c r="R133" i="1"/>
  <c r="R157" i="1"/>
  <c r="R176" i="1"/>
  <c r="R187" i="1"/>
  <c r="R190" i="1"/>
  <c r="R191" i="1"/>
  <c r="R198" i="1"/>
  <c r="P199" i="1"/>
  <c r="S199" i="1"/>
  <c r="R200" i="1"/>
  <c r="O218" i="1"/>
  <c r="Q227" i="1"/>
  <c r="O228" i="1"/>
  <c r="K229" i="1"/>
  <c r="O229" i="1"/>
  <c r="K230" i="1"/>
  <c r="M230" i="1"/>
  <c r="O230" i="1"/>
  <c r="R235" i="1"/>
  <c r="O236" i="1"/>
  <c r="O238" i="1"/>
  <c r="O239" i="1"/>
  <c r="P240" i="1"/>
  <c r="R249" i="1"/>
  <c r="O250" i="1"/>
  <c r="R253" i="1"/>
  <c r="M255" i="1"/>
  <c r="R256" i="1"/>
  <c r="R260" i="1"/>
  <c r="M264" i="1"/>
  <c r="R266" i="1"/>
  <c r="O267" i="1"/>
  <c r="K268" i="1"/>
  <c r="Q268" i="1"/>
  <c r="O268" i="1"/>
  <c r="R271" i="1"/>
  <c r="R273" i="1"/>
  <c r="O276" i="1"/>
  <c r="L277" i="1"/>
  <c r="R277" i="1"/>
  <c r="S277" i="1"/>
  <c r="O283" i="1"/>
  <c r="O292" i="1"/>
  <c r="O293" i="1"/>
  <c r="R294" i="1"/>
  <c r="R295" i="1"/>
  <c r="O298" i="1"/>
  <c r="O299" i="1"/>
  <c r="O300" i="1"/>
  <c r="R301" i="1"/>
  <c r="R309" i="1"/>
  <c r="R311" i="1"/>
  <c r="O313" i="1"/>
  <c r="P317" i="1"/>
  <c r="R318" i="1"/>
  <c r="O333" i="1"/>
  <c r="O339" i="1"/>
  <c r="O340" i="1"/>
  <c r="O341" i="1"/>
  <c r="R358" i="1"/>
  <c r="O365" i="1"/>
  <c r="P366" i="1"/>
  <c r="R370" i="1"/>
  <c r="O371" i="1"/>
  <c r="O377" i="1"/>
  <c r="R380" i="1"/>
  <c r="P381" i="1"/>
  <c r="R382" i="1"/>
  <c r="O383" i="1"/>
  <c r="O384" i="1"/>
  <c r="O385" i="1"/>
  <c r="M388" i="1"/>
  <c r="R389" i="1"/>
  <c r="O390" i="1"/>
  <c r="R394" i="1"/>
  <c r="R397" i="1"/>
  <c r="R398" i="1"/>
  <c r="R399" i="1"/>
  <c r="R400" i="1"/>
  <c r="M401" i="1"/>
  <c r="O401" i="1"/>
  <c r="M403" i="1"/>
  <c r="P403" i="1"/>
  <c r="M415" i="1"/>
  <c r="P415" i="1"/>
  <c r="M416" i="1"/>
  <c r="P416" i="1"/>
  <c r="J417" i="1"/>
  <c r="L418" i="1"/>
  <c r="R418" i="1"/>
  <c r="O419" i="1"/>
  <c r="M424" i="1"/>
  <c r="Q424" i="1"/>
  <c r="K425" i="1"/>
  <c r="Q425" i="1"/>
  <c r="O440" i="1"/>
  <c r="Q440" i="1"/>
  <c r="S463" i="1"/>
  <c r="S501" i="1"/>
  <c r="S544" i="1"/>
  <c r="R75" i="1"/>
  <c r="R89" i="1"/>
  <c r="R90" i="1"/>
  <c r="R91" i="1"/>
  <c r="R92" i="1"/>
  <c r="R93" i="1"/>
  <c r="L497" i="1"/>
  <c r="R497" i="1"/>
  <c r="L496" i="1"/>
  <c r="R496" i="1"/>
  <c r="L103" i="1"/>
  <c r="R103" i="1"/>
  <c r="O120" i="1"/>
  <c r="O124" i="1"/>
  <c r="O125" i="1"/>
  <c r="R126" i="1"/>
  <c r="O133" i="1"/>
  <c r="R146" i="1"/>
  <c r="S146" i="1"/>
  <c r="R147" i="1"/>
  <c r="O157" i="1"/>
  <c r="R160" i="1"/>
  <c r="R167" i="1"/>
  <c r="R169" i="1"/>
  <c r="O176" i="1"/>
  <c r="R177" i="1"/>
  <c r="J178" i="1"/>
  <c r="R178" i="1"/>
  <c r="J179" i="1"/>
  <c r="R180" i="1"/>
  <c r="R181" i="1"/>
  <c r="J182" i="1"/>
  <c r="R182" i="1"/>
  <c r="R183" i="1"/>
  <c r="O187" i="1"/>
  <c r="Q189" i="1"/>
  <c r="O190" i="1"/>
  <c r="O191" i="1"/>
  <c r="Q194" i="1"/>
  <c r="Q196" i="1"/>
  <c r="O198" i="1"/>
  <c r="O200" i="1"/>
  <c r="M201" i="1"/>
  <c r="R202" i="1"/>
  <c r="R203" i="1"/>
  <c r="R204" i="1"/>
  <c r="R206" i="1"/>
  <c r="M210" i="1"/>
  <c r="M211" i="1"/>
  <c r="M212" i="1"/>
  <c r="M213" i="1"/>
  <c r="M214" i="1"/>
  <c r="P218" i="1"/>
  <c r="M219" i="1"/>
  <c r="R220" i="1"/>
  <c r="M222" i="1"/>
  <c r="M223" i="1"/>
  <c r="M224" i="1"/>
  <c r="M225" i="1"/>
  <c r="R227" i="1"/>
  <c r="P228" i="1"/>
  <c r="L229" i="1"/>
  <c r="L498" i="1"/>
  <c r="R498" i="1"/>
  <c r="P229" i="1"/>
  <c r="P230" i="1"/>
  <c r="O235" i="1"/>
  <c r="P236" i="1"/>
  <c r="R237" i="1"/>
  <c r="P238" i="1"/>
  <c r="P239" i="1"/>
  <c r="M241" i="1"/>
  <c r="M242" i="1"/>
  <c r="R243" i="1"/>
  <c r="S243" i="1"/>
  <c r="R244" i="1"/>
  <c r="R246" i="1"/>
  <c r="R247" i="1"/>
  <c r="O249" i="1"/>
  <c r="P250" i="1"/>
  <c r="M252" i="1"/>
  <c r="O253" i="1"/>
  <c r="M254" i="1"/>
  <c r="R255" i="1"/>
  <c r="O256" i="1"/>
  <c r="R259" i="1"/>
  <c r="S259" i="1"/>
  <c r="O260" i="1"/>
  <c r="R264" i="1"/>
  <c r="S264" i="1"/>
  <c r="R265" i="1"/>
  <c r="O266" i="1"/>
  <c r="P267" i="1"/>
  <c r="L268" i="1"/>
  <c r="R268" i="1"/>
  <c r="P268" i="1"/>
  <c r="K271" i="1"/>
  <c r="O271" i="1"/>
  <c r="K272" i="1"/>
  <c r="O272" i="1"/>
  <c r="O273" i="1"/>
  <c r="P276" i="1"/>
  <c r="M278" i="1"/>
  <c r="P283" i="1"/>
  <c r="P292" i="1"/>
  <c r="P293" i="1"/>
  <c r="O294" i="1"/>
  <c r="O295" i="1"/>
  <c r="R296" i="1"/>
  <c r="P298" i="1"/>
  <c r="P299" i="1"/>
  <c r="O301" i="1"/>
  <c r="R302" i="1"/>
  <c r="S302" i="1"/>
  <c r="J303" i="1"/>
  <c r="R303" i="1"/>
  <c r="R304" i="1"/>
  <c r="O309" i="1"/>
  <c r="O311" i="1"/>
  <c r="P313" i="1"/>
  <c r="Q317" i="1"/>
  <c r="O318" i="1"/>
  <c r="Q319" i="1"/>
  <c r="P333" i="1"/>
  <c r="P339" i="1"/>
  <c r="P340" i="1"/>
  <c r="P341" i="1"/>
  <c r="Q346" i="1"/>
  <c r="Q347" i="1"/>
  <c r="Q357" i="1"/>
  <c r="O358" i="1"/>
  <c r="P365" i="1"/>
  <c r="Q366" i="1"/>
  <c r="O370" i="1"/>
  <c r="P371" i="1"/>
  <c r="Q374" i="1"/>
  <c r="P377" i="1"/>
  <c r="Q379" i="1"/>
  <c r="O380" i="1"/>
  <c r="Q381" i="1"/>
  <c r="O382" i="1"/>
  <c r="P383" i="1"/>
  <c r="P384" i="1"/>
  <c r="P385" i="1"/>
  <c r="Q387" i="1"/>
  <c r="O389" i="1"/>
  <c r="P390" i="1"/>
  <c r="Q391" i="1"/>
  <c r="Q392" i="1"/>
  <c r="S392" i="1"/>
  <c r="O394" i="1"/>
  <c r="P401" i="1"/>
  <c r="Q402" i="1"/>
  <c r="R403" i="1"/>
  <c r="R415" i="1"/>
  <c r="R416" i="1"/>
  <c r="L417" i="1"/>
  <c r="R417" i="1"/>
  <c r="O418" i="1"/>
  <c r="J420" i="1"/>
  <c r="M420" i="1"/>
  <c r="R420" i="1"/>
  <c r="M426" i="1"/>
  <c r="P440" i="1"/>
  <c r="L527" i="1"/>
  <c r="R527" i="1"/>
  <c r="K178" i="1"/>
  <c r="K179" i="1"/>
  <c r="Q179" i="1"/>
  <c r="K182" i="1"/>
  <c r="Q182" i="1"/>
  <c r="L272" i="1"/>
  <c r="R272" i="1"/>
  <c r="R401" i="1"/>
  <c r="M402" i="1"/>
  <c r="O417" i="1"/>
  <c r="P418" i="1"/>
  <c r="R426" i="1"/>
  <c r="O432" i="1"/>
  <c r="Q432" i="1"/>
  <c r="Q439" i="1"/>
  <c r="O439" i="1"/>
  <c r="R440" i="1"/>
  <c r="Q441" i="1"/>
  <c r="O441" i="1"/>
  <c r="R492" i="1"/>
  <c r="R407" i="1"/>
  <c r="S407" i="1"/>
  <c r="L425" i="1"/>
  <c r="R425" i="1"/>
  <c r="O450" i="1"/>
  <c r="O451" i="1"/>
  <c r="R452" i="1"/>
  <c r="S452" i="1"/>
  <c r="Q453" i="1"/>
  <c r="Q464" i="1"/>
  <c r="P466" i="1"/>
  <c r="O467" i="1"/>
  <c r="R469" i="1"/>
  <c r="P474" i="1"/>
  <c r="S474" i="1"/>
  <c r="P475" i="1"/>
  <c r="O487" i="1"/>
  <c r="O490" i="1"/>
  <c r="O491" i="1"/>
  <c r="Q503" i="1"/>
  <c r="R504" i="1"/>
  <c r="R505" i="1"/>
  <c r="Q508" i="1"/>
  <c r="Q509" i="1"/>
  <c r="O516" i="1"/>
  <c r="P519" i="1"/>
  <c r="P521" i="1"/>
  <c r="P524" i="1"/>
  <c r="P526" i="1"/>
  <c r="S526" i="1"/>
  <c r="Q527" i="1"/>
  <c r="O528" i="1"/>
  <c r="Q529" i="1"/>
  <c r="P531" i="1"/>
  <c r="P534" i="1"/>
  <c r="P536" i="1"/>
  <c r="P538" i="1"/>
  <c r="P543" i="1"/>
  <c r="P546" i="1"/>
  <c r="S546" i="1"/>
  <c r="O547" i="1"/>
  <c r="O548" i="1"/>
  <c r="O549" i="1"/>
  <c r="O550" i="1"/>
  <c r="O565" i="1"/>
  <c r="Q566" i="1"/>
  <c r="O567" i="1"/>
  <c r="Q568" i="1"/>
  <c r="P569" i="1"/>
  <c r="O570" i="1"/>
  <c r="P575" i="1"/>
  <c r="S575" i="1"/>
  <c r="O576" i="1"/>
  <c r="Q578" i="1"/>
  <c r="Q582" i="1"/>
  <c r="O583" i="1"/>
  <c r="Q584" i="1"/>
  <c r="Q588" i="1"/>
  <c r="O589" i="1"/>
  <c r="M590" i="1"/>
  <c r="Q590" i="1"/>
  <c r="P595" i="1"/>
  <c r="P610" i="1"/>
  <c r="P611" i="1"/>
  <c r="P612" i="1"/>
  <c r="P613" i="1"/>
  <c r="O614" i="1"/>
  <c r="P615" i="1"/>
  <c r="P617" i="1"/>
  <c r="S617" i="1"/>
  <c r="P619" i="1"/>
  <c r="P622" i="1"/>
  <c r="M625" i="1"/>
  <c r="Q625" i="1"/>
  <c r="P627" i="1"/>
  <c r="M629" i="1"/>
  <c r="Q629" i="1"/>
  <c r="O630" i="1"/>
  <c r="M631" i="1"/>
  <c r="Q631" i="1"/>
  <c r="O632" i="1"/>
  <c r="P634" i="1"/>
  <c r="P638" i="1"/>
  <c r="S638" i="1"/>
  <c r="P640" i="1"/>
  <c r="P642" i="1"/>
  <c r="O648" i="1"/>
  <c r="M649" i="1"/>
  <c r="Q649" i="1"/>
  <c r="O650" i="1"/>
  <c r="M651" i="1"/>
  <c r="Q651" i="1"/>
  <c r="P654" i="1"/>
  <c r="Q656" i="1"/>
  <c r="O657" i="1"/>
  <c r="O660" i="1"/>
  <c r="Q661" i="1"/>
  <c r="P662" i="1"/>
  <c r="P663" i="1"/>
  <c r="P664" i="1"/>
  <c r="O665" i="1"/>
  <c r="O668" i="1"/>
  <c r="Q669" i="1"/>
  <c r="P670" i="1"/>
  <c r="Q673" i="1"/>
  <c r="O676" i="1"/>
  <c r="O677" i="1"/>
  <c r="P679" i="1"/>
  <c r="Q682" i="1"/>
  <c r="P683" i="1"/>
  <c r="O684" i="1"/>
  <c r="Q686" i="1"/>
  <c r="Q687" i="1"/>
  <c r="Q688" i="1"/>
  <c r="P689" i="1"/>
  <c r="O690" i="1"/>
  <c r="O691" i="1"/>
  <c r="O692" i="1"/>
  <c r="O693" i="1"/>
  <c r="Q697" i="1"/>
  <c r="P698" i="1"/>
  <c r="S698" i="1"/>
  <c r="O699" i="1"/>
  <c r="O703" i="1"/>
  <c r="O704" i="1"/>
  <c r="Q705" i="1"/>
  <c r="P708" i="1"/>
  <c r="P710" i="1"/>
  <c r="O711" i="1"/>
  <c r="Q715" i="1"/>
  <c r="R717" i="1"/>
  <c r="Q718" i="1"/>
  <c r="O721" i="1"/>
  <c r="R725" i="1"/>
  <c r="M726" i="1"/>
  <c r="O726" i="1"/>
  <c r="R727" i="1"/>
  <c r="M728" i="1"/>
  <c r="O728" i="1"/>
  <c r="M731" i="1"/>
  <c r="M733" i="1"/>
  <c r="P733" i="1"/>
  <c r="S734" i="1"/>
  <c r="P737" i="1"/>
  <c r="O737" i="1"/>
  <c r="O738" i="1"/>
  <c r="Q742" i="1"/>
  <c r="P742" i="1"/>
  <c r="Q743" i="1"/>
  <c r="Q748" i="1"/>
  <c r="M748" i="1"/>
  <c r="P754" i="1"/>
  <c r="O754" i="1"/>
  <c r="P755" i="1"/>
  <c r="S755" i="1"/>
  <c r="P757" i="1"/>
  <c r="O757" i="1"/>
  <c r="M782" i="1"/>
  <c r="O784" i="1"/>
  <c r="P789" i="1"/>
  <c r="O789" i="1"/>
  <c r="M791" i="1"/>
  <c r="O792" i="1"/>
  <c r="M806" i="1"/>
  <c r="S811" i="1"/>
  <c r="P814" i="1"/>
  <c r="O814" i="1"/>
  <c r="Q817" i="1"/>
  <c r="P817" i="1"/>
  <c r="R818" i="1"/>
  <c r="Q819" i="1"/>
  <c r="P819" i="1"/>
  <c r="R820" i="1"/>
  <c r="Q825" i="1"/>
  <c r="P825" i="1"/>
  <c r="P830" i="1"/>
  <c r="O830" i="1"/>
  <c r="P831" i="1"/>
  <c r="P841" i="1"/>
  <c r="O841" i="1"/>
  <c r="P845" i="1"/>
  <c r="O845" i="1"/>
  <c r="R453" i="1"/>
  <c r="R464" i="1"/>
  <c r="K483" i="1"/>
  <c r="Q483" i="1"/>
  <c r="R503" i="1"/>
  <c r="R508" i="1"/>
  <c r="R509" i="1"/>
  <c r="P516" i="1"/>
  <c r="M524" i="1"/>
  <c r="P528" i="1"/>
  <c r="R529" i="1"/>
  <c r="P547" i="1"/>
  <c r="P548" i="1"/>
  <c r="P549" i="1"/>
  <c r="P550" i="1"/>
  <c r="P565" i="1"/>
  <c r="R566" i="1"/>
  <c r="R568" i="1"/>
  <c r="R578" i="1"/>
  <c r="R582" i="1"/>
  <c r="R584" i="1"/>
  <c r="R588" i="1"/>
  <c r="P589" i="1"/>
  <c r="R590" i="1"/>
  <c r="M611" i="1"/>
  <c r="M612" i="1"/>
  <c r="M613" i="1"/>
  <c r="P614" i="1"/>
  <c r="M615" i="1"/>
  <c r="M619" i="1"/>
  <c r="R625" i="1"/>
  <c r="M627" i="1"/>
  <c r="R629" i="1"/>
  <c r="P630" i="1"/>
  <c r="R631" i="1"/>
  <c r="P632" i="1"/>
  <c r="P648" i="1"/>
  <c r="R649" i="1"/>
  <c r="P650" i="1"/>
  <c r="R651" i="1"/>
  <c r="R656" i="1"/>
  <c r="P660" i="1"/>
  <c r="R661" i="1"/>
  <c r="R669" i="1"/>
  <c r="R673" i="1"/>
  <c r="R682" i="1"/>
  <c r="R686" i="1"/>
  <c r="R687" i="1"/>
  <c r="R688" i="1"/>
  <c r="P690" i="1"/>
  <c r="P691" i="1"/>
  <c r="P692" i="1"/>
  <c r="P693" i="1"/>
  <c r="R697" i="1"/>
  <c r="R705" i="1"/>
  <c r="Q736" i="1"/>
  <c r="P736" i="1"/>
  <c r="Q749" i="1"/>
  <c r="P749" i="1"/>
  <c r="Q758" i="1"/>
  <c r="M758" i="1"/>
  <c r="Q773" i="1"/>
  <c r="P773" i="1"/>
  <c r="Q800" i="1"/>
  <c r="M800" i="1"/>
  <c r="Q805" i="1"/>
  <c r="P805" i="1"/>
  <c r="Q813" i="1"/>
  <c r="P813" i="1"/>
  <c r="Q835" i="1"/>
  <c r="P835" i="1"/>
  <c r="Q837" i="1"/>
  <c r="P837" i="1"/>
  <c r="P849" i="1"/>
  <c r="O849" i="1"/>
  <c r="K417" i="1"/>
  <c r="Q417" i="1"/>
  <c r="K418" i="1"/>
  <c r="K419" i="1"/>
  <c r="Q419" i="1"/>
  <c r="J425" i="1"/>
  <c r="Q450" i="1"/>
  <c r="Q451" i="1"/>
  <c r="O453" i="1"/>
  <c r="O464" i="1"/>
  <c r="Q467" i="1"/>
  <c r="Q487" i="1"/>
  <c r="Q490" i="1"/>
  <c r="Q491" i="1"/>
  <c r="O503" i="1"/>
  <c r="O508" i="1"/>
  <c r="O509" i="1"/>
  <c r="Q516" i="1"/>
  <c r="Q528" i="1"/>
  <c r="Q547" i="1"/>
  <c r="Q548" i="1"/>
  <c r="Q549" i="1"/>
  <c r="Q550" i="1"/>
  <c r="Q565" i="1"/>
  <c r="O566" i="1"/>
  <c r="Q567" i="1"/>
  <c r="O568" i="1"/>
  <c r="Q570" i="1"/>
  <c r="Q576" i="1"/>
  <c r="O578" i="1"/>
  <c r="O582" i="1"/>
  <c r="Q583" i="1"/>
  <c r="O584" i="1"/>
  <c r="O588" i="1"/>
  <c r="Q589" i="1"/>
  <c r="Q614" i="1"/>
  <c r="Q630" i="1"/>
  <c r="Q632" i="1"/>
  <c r="Q648" i="1"/>
  <c r="Q650" i="1"/>
  <c r="O656" i="1"/>
  <c r="Q657" i="1"/>
  <c r="Q660" i="1"/>
  <c r="O661" i="1"/>
  <c r="Q665" i="1"/>
  <c r="Q668" i="1"/>
  <c r="O669" i="1"/>
  <c r="O673" i="1"/>
  <c r="Q676" i="1"/>
  <c r="Q677" i="1"/>
  <c r="O682" i="1"/>
  <c r="Q684" i="1"/>
  <c r="O686" i="1"/>
  <c r="O687" i="1"/>
  <c r="Q690" i="1"/>
  <c r="Q691" i="1"/>
  <c r="Q692" i="1"/>
  <c r="Q693" i="1"/>
  <c r="O697" i="1"/>
  <c r="Q699" i="1"/>
  <c r="Q703" i="1"/>
  <c r="Q704" i="1"/>
  <c r="O705" i="1"/>
  <c r="R711" i="1"/>
  <c r="O717" i="1"/>
  <c r="R721" i="1"/>
  <c r="O725" i="1"/>
  <c r="M727" i="1"/>
  <c r="O727" i="1"/>
  <c r="M729" i="1"/>
  <c r="R730" i="1"/>
  <c r="Q732" i="1"/>
  <c r="P732" i="1"/>
  <c r="M734" i="1"/>
  <c r="O736" i="1"/>
  <c r="P739" i="1"/>
  <c r="O739" i="1"/>
  <c r="Q747" i="1"/>
  <c r="P747" i="1"/>
  <c r="R748" i="1"/>
  <c r="O749" i="1"/>
  <c r="P759" i="1"/>
  <c r="O759" i="1"/>
  <c r="Q770" i="1"/>
  <c r="P770" i="1"/>
  <c r="O773" i="1"/>
  <c r="Q777" i="1"/>
  <c r="P777" i="1"/>
  <c r="P781" i="1"/>
  <c r="O781" i="1"/>
  <c r="P788" i="1"/>
  <c r="O788" i="1"/>
  <c r="P790" i="1"/>
  <c r="O790" i="1"/>
  <c r="P793" i="1"/>
  <c r="O793" i="1"/>
  <c r="Q796" i="1"/>
  <c r="P796" i="1"/>
  <c r="Q802" i="1"/>
  <c r="P802" i="1"/>
  <c r="O805" i="1"/>
  <c r="M811" i="1"/>
  <c r="O813" i="1"/>
  <c r="P832" i="1"/>
  <c r="O832" i="1"/>
  <c r="O835" i="1"/>
  <c r="O837" i="1"/>
  <c r="P843" i="1"/>
  <c r="O843" i="1"/>
  <c r="Q848" i="1"/>
  <c r="P848" i="1"/>
  <c r="Q849" i="1"/>
  <c r="M462" i="1"/>
  <c r="M463" i="1"/>
  <c r="M469" i="1"/>
  <c r="M482" i="1"/>
  <c r="M501" i="1"/>
  <c r="M502" i="1"/>
  <c r="M504" i="1"/>
  <c r="M505" i="1"/>
  <c r="M572" i="1"/>
  <c r="M573" i="1"/>
  <c r="M695" i="1"/>
  <c r="M696" i="1"/>
  <c r="M706" i="1"/>
  <c r="M709" i="1"/>
  <c r="P717" i="1"/>
  <c r="P725" i="1"/>
  <c r="Q726" i="1"/>
  <c r="P727" i="1"/>
  <c r="Q728" i="1"/>
  <c r="M730" i="1"/>
  <c r="Q738" i="1"/>
  <c r="P738" i="1"/>
  <c r="P743" i="1"/>
  <c r="O743" i="1"/>
  <c r="P746" i="1"/>
  <c r="O746" i="1"/>
  <c r="R749" i="1"/>
  <c r="Q760" i="1"/>
  <c r="M760" i="1"/>
  <c r="Q762" i="1"/>
  <c r="M762" i="1"/>
  <c r="Q784" i="1"/>
  <c r="P784" i="1"/>
  <c r="Q792" i="1"/>
  <c r="P792" i="1"/>
  <c r="Q799" i="1"/>
  <c r="P799" i="1"/>
  <c r="R805" i="1"/>
  <c r="Q810" i="1"/>
  <c r="P810" i="1"/>
  <c r="R813" i="1"/>
  <c r="P827" i="1"/>
  <c r="O827" i="1"/>
  <c r="Q834" i="1"/>
  <c r="P834" i="1"/>
  <c r="R835" i="1"/>
  <c r="Q836" i="1"/>
  <c r="P836" i="1"/>
  <c r="R837" i="1"/>
  <c r="R849" i="1"/>
  <c r="P857" i="1"/>
  <c r="O857" i="1"/>
  <c r="Q857" i="1"/>
  <c r="R852" i="1"/>
  <c r="R860" i="1"/>
  <c r="R861" i="1"/>
  <c r="R873" i="1"/>
  <c r="R874" i="1"/>
  <c r="R880" i="1"/>
  <c r="P881" i="1"/>
  <c r="P887" i="1"/>
  <c r="S887" i="1"/>
  <c r="R888" i="1"/>
  <c r="R890" i="1"/>
  <c r="R893" i="1"/>
  <c r="R900" i="1"/>
  <c r="Q901" i="1"/>
  <c r="R905" i="1"/>
  <c r="Q907" i="1"/>
  <c r="R910" i="1"/>
  <c r="Q911" i="1"/>
  <c r="R932" i="1"/>
  <c r="R934" i="1"/>
  <c r="R937" i="1"/>
  <c r="Q938" i="1"/>
  <c r="R941" i="1"/>
  <c r="Q942" i="1"/>
  <c r="R944" i="1"/>
  <c r="Q946" i="1"/>
  <c r="Q949" i="1"/>
  <c r="R951" i="1"/>
  <c r="R962" i="1"/>
  <c r="R966" i="1"/>
  <c r="R967" i="1"/>
  <c r="R968" i="1"/>
  <c r="R975" i="1"/>
  <c r="P976" i="1"/>
  <c r="R986" i="1"/>
  <c r="R989" i="1"/>
  <c r="R993" i="1"/>
  <c r="Q994" i="1"/>
  <c r="R1000" i="1"/>
  <c r="Q1001" i="1"/>
  <c r="R1005" i="1"/>
  <c r="R1010" i="1"/>
  <c r="Q1011" i="1"/>
  <c r="Q1012" i="1"/>
  <c r="R1015" i="1"/>
  <c r="Q1016" i="1"/>
  <c r="R1019" i="1"/>
  <c r="R1020" i="1"/>
  <c r="P1035" i="1"/>
  <c r="O1035" i="1"/>
  <c r="Q1039" i="1"/>
  <c r="P1039" i="1"/>
  <c r="Q1056" i="1"/>
  <c r="P1056" i="1"/>
  <c r="P1064" i="1"/>
  <c r="O1064" i="1"/>
  <c r="Q1075" i="1"/>
  <c r="P1075" i="1"/>
  <c r="Q1077" i="1"/>
  <c r="P1077" i="1"/>
  <c r="P1081" i="1"/>
  <c r="O1081" i="1"/>
  <c r="Q1084" i="1"/>
  <c r="P1084" i="1"/>
  <c r="M1088" i="1"/>
  <c r="P1093" i="1"/>
  <c r="R865" i="1"/>
  <c r="R868" i="1"/>
  <c r="R870" i="1"/>
  <c r="R871" i="1"/>
  <c r="O873" i="1"/>
  <c r="O874" i="1"/>
  <c r="R876" i="1"/>
  <c r="R877" i="1"/>
  <c r="O880" i="1"/>
  <c r="R901" i="1"/>
  <c r="R902" i="1"/>
  <c r="O905" i="1"/>
  <c r="M906" i="1"/>
  <c r="R907" i="1"/>
  <c r="R911" i="1"/>
  <c r="P912" i="1"/>
  <c r="R913" i="1"/>
  <c r="R916" i="1"/>
  <c r="P917" i="1"/>
  <c r="R918" i="1"/>
  <c r="R921" i="1"/>
  <c r="R923" i="1"/>
  <c r="R930" i="1"/>
  <c r="O932" i="1"/>
  <c r="M933" i="1"/>
  <c r="R938" i="1"/>
  <c r="P940" i="1"/>
  <c r="R942" i="1"/>
  <c r="R946" i="1"/>
  <c r="R949" i="1"/>
  <c r="P950" i="1"/>
  <c r="O951" i="1"/>
  <c r="R953" i="1"/>
  <c r="R954" i="1"/>
  <c r="R955" i="1"/>
  <c r="M956" i="1"/>
  <c r="O962" i="1"/>
  <c r="O966" i="1"/>
  <c r="O967" i="1"/>
  <c r="O968" i="1"/>
  <c r="R969" i="1"/>
  <c r="R972" i="1"/>
  <c r="O975" i="1"/>
  <c r="R978" i="1"/>
  <c r="R982" i="1"/>
  <c r="R983" i="1"/>
  <c r="R984" i="1"/>
  <c r="O986" i="1"/>
  <c r="O989" i="1"/>
  <c r="R994" i="1"/>
  <c r="P998" i="1"/>
  <c r="R1001" i="1"/>
  <c r="R1011" i="1"/>
  <c r="R1012" i="1"/>
  <c r="R1016" i="1"/>
  <c r="O1024" i="1"/>
  <c r="O1025" i="1"/>
  <c r="P1026" i="1"/>
  <c r="Q1032" i="1"/>
  <c r="P1032" i="1"/>
  <c r="Q1033" i="1"/>
  <c r="P1033" i="1"/>
  <c r="Q1035" i="1"/>
  <c r="O1039" i="1"/>
  <c r="O1056" i="1"/>
  <c r="M1058" i="1"/>
  <c r="Q1063" i="1"/>
  <c r="P1063" i="1"/>
  <c r="Q1064" i="1"/>
  <c r="P1068" i="1"/>
  <c r="O1068" i="1"/>
  <c r="O1075" i="1"/>
  <c r="O1077" i="1"/>
  <c r="Q1081" i="1"/>
  <c r="O1084" i="1"/>
  <c r="P1086" i="1"/>
  <c r="O1086" i="1"/>
  <c r="P1090" i="1"/>
  <c r="S1122" i="1"/>
  <c r="S1150" i="1"/>
  <c r="Q729" i="1"/>
  <c r="Q730" i="1"/>
  <c r="Q731" i="1"/>
  <c r="Q733" i="1"/>
  <c r="Q735" i="1"/>
  <c r="Q741" i="1"/>
  <c r="R752" i="1"/>
  <c r="R756" i="1"/>
  <c r="S756" i="1"/>
  <c r="R763" i="1"/>
  <c r="R766" i="1"/>
  <c r="S766" i="1"/>
  <c r="R767" i="1"/>
  <c r="R768" i="1"/>
  <c r="S768" i="1"/>
  <c r="R771" i="1"/>
  <c r="R778" i="1"/>
  <c r="R782" i="1"/>
  <c r="S782" i="1"/>
  <c r="R785" i="1"/>
  <c r="R791" i="1"/>
  <c r="R794" i="1"/>
  <c r="R797" i="1"/>
  <c r="R801" i="1"/>
  <c r="R804" i="1"/>
  <c r="Q807" i="1"/>
  <c r="Q808" i="1"/>
  <c r="Q809" i="1"/>
  <c r="Q812" i="1"/>
  <c r="Q816" i="1"/>
  <c r="Q821" i="1"/>
  <c r="Q831" i="1"/>
  <c r="Q833" i="1"/>
  <c r="Q842" i="1"/>
  <c r="Q844" i="1"/>
  <c r="Q847" i="1"/>
  <c r="Q851" i="1"/>
  <c r="P852" i="1"/>
  <c r="Q859" i="1"/>
  <c r="P860" i="1"/>
  <c r="P861" i="1"/>
  <c r="Q863" i="1"/>
  <c r="O865" i="1"/>
  <c r="O868" i="1"/>
  <c r="O870" i="1"/>
  <c r="O871" i="1"/>
  <c r="P873" i="1"/>
  <c r="P874" i="1"/>
  <c r="O876" i="1"/>
  <c r="O877" i="1"/>
  <c r="Q879" i="1"/>
  <c r="P880" i="1"/>
  <c r="Q882" i="1"/>
  <c r="Q883" i="1"/>
  <c r="P888" i="1"/>
  <c r="P890" i="1"/>
  <c r="P893" i="1"/>
  <c r="Q894" i="1"/>
  <c r="Q898" i="1"/>
  <c r="Q899" i="1"/>
  <c r="S899" i="1"/>
  <c r="P900" i="1"/>
  <c r="O901" i="1"/>
  <c r="O902" i="1"/>
  <c r="P905" i="1"/>
  <c r="O907" i="1"/>
  <c r="P910" i="1"/>
  <c r="O911" i="1"/>
  <c r="Q912" i="1"/>
  <c r="O913" i="1"/>
  <c r="O916" i="1"/>
  <c r="Q917" i="1"/>
  <c r="O918" i="1"/>
  <c r="O921" i="1"/>
  <c r="Q922" i="1"/>
  <c r="O923" i="1"/>
  <c r="Q929" i="1"/>
  <c r="O930" i="1"/>
  <c r="P932" i="1"/>
  <c r="P934" i="1"/>
  <c r="P937" i="1"/>
  <c r="O938" i="1"/>
  <c r="Q940" i="1"/>
  <c r="P941" i="1"/>
  <c r="O942" i="1"/>
  <c r="P944" i="1"/>
  <c r="O946" i="1"/>
  <c r="O949" i="1"/>
  <c r="Q950" i="1"/>
  <c r="P951" i="1"/>
  <c r="O953" i="1"/>
  <c r="O954" i="1"/>
  <c r="O955" i="1"/>
  <c r="Q957" i="1"/>
  <c r="Q961" i="1"/>
  <c r="S961" i="1"/>
  <c r="P962" i="1"/>
  <c r="R963" i="1"/>
  <c r="P966" i="1"/>
  <c r="P967" i="1"/>
  <c r="P968" i="1"/>
  <c r="O969" i="1"/>
  <c r="R970" i="1"/>
  <c r="M971" i="1"/>
  <c r="O972" i="1"/>
  <c r="R973" i="1"/>
  <c r="M974" i="1"/>
  <c r="P975" i="1"/>
  <c r="R976" i="1"/>
  <c r="O978" i="1"/>
  <c r="O982" i="1"/>
  <c r="O983" i="1"/>
  <c r="O984" i="1"/>
  <c r="P986" i="1"/>
  <c r="P989" i="1"/>
  <c r="Q991" i="1"/>
  <c r="P993" i="1"/>
  <c r="O994" i="1"/>
  <c r="Q998" i="1"/>
  <c r="P1000" i="1"/>
  <c r="O1001" i="1"/>
  <c r="Q1004" i="1"/>
  <c r="P1005" i="1"/>
  <c r="Q1009" i="1"/>
  <c r="S1009" i="1"/>
  <c r="P1010" i="1"/>
  <c r="O1011" i="1"/>
  <c r="O1012" i="1"/>
  <c r="Q1014" i="1"/>
  <c r="P1015" i="1"/>
  <c r="O1016" i="1"/>
  <c r="Q1018" i="1"/>
  <c r="S1018" i="1"/>
  <c r="P1019" i="1"/>
  <c r="O1020" i="1"/>
  <c r="O1021" i="1"/>
  <c r="P1022" i="1"/>
  <c r="P1024" i="1"/>
  <c r="Q1025" i="1"/>
  <c r="Q1026" i="1"/>
  <c r="R1028" i="1"/>
  <c r="O1032" i="1"/>
  <c r="O1033" i="1"/>
  <c r="R1035" i="1"/>
  <c r="R1036" i="1"/>
  <c r="R1039" i="1"/>
  <c r="Q1040" i="1"/>
  <c r="M1040" i="1"/>
  <c r="Q1044" i="1"/>
  <c r="P1044" i="1"/>
  <c r="P1050" i="1"/>
  <c r="O1050" i="1"/>
  <c r="R1056" i="1"/>
  <c r="O1063" i="1"/>
  <c r="R1064" i="1"/>
  <c r="Q1068" i="1"/>
  <c r="R1075" i="1"/>
  <c r="Q1076" i="1"/>
  <c r="P1076" i="1"/>
  <c r="R1077" i="1"/>
  <c r="Q1079" i="1"/>
  <c r="M1079" i="1"/>
  <c r="R1081" i="1"/>
  <c r="R1084" i="1"/>
  <c r="Q1086" i="1"/>
  <c r="R1088" i="1"/>
  <c r="Q1095" i="1"/>
  <c r="P1095" i="1"/>
  <c r="O1095" i="1"/>
  <c r="P1020" i="1"/>
  <c r="Q1021" i="1"/>
  <c r="Q1022" i="1"/>
  <c r="R1024" i="1"/>
  <c r="R1025" i="1"/>
  <c r="R1026" i="1"/>
  <c r="R1032" i="1"/>
  <c r="M1033" i="1"/>
  <c r="R1033" i="1"/>
  <c r="P1037" i="1"/>
  <c r="O1037" i="1"/>
  <c r="Q1041" i="1"/>
  <c r="P1041" i="1"/>
  <c r="Q1049" i="1"/>
  <c r="P1049" i="1"/>
  <c r="P1053" i="1"/>
  <c r="O1053" i="1"/>
  <c r="P1054" i="1"/>
  <c r="P1057" i="1"/>
  <c r="O1057" i="1"/>
  <c r="R1063" i="1"/>
  <c r="R1068" i="1"/>
  <c r="P1069" i="1"/>
  <c r="O1069" i="1"/>
  <c r="O1076" i="1"/>
  <c r="P1085" i="1"/>
  <c r="O1085" i="1"/>
  <c r="R1086" i="1"/>
  <c r="P1087" i="1"/>
  <c r="O1087" i="1"/>
  <c r="R1095" i="1"/>
  <c r="P1100" i="1"/>
  <c r="R1030" i="1"/>
  <c r="R1038" i="1"/>
  <c r="R1042" i="1"/>
  <c r="R1058" i="1"/>
  <c r="R1061" i="1"/>
  <c r="R1071" i="1"/>
  <c r="R1072" i="1"/>
  <c r="Q1088" i="1"/>
  <c r="P1091" i="1"/>
  <c r="Q1093" i="1"/>
  <c r="P1094" i="1"/>
  <c r="Q1100" i="1"/>
  <c r="O1101" i="1"/>
  <c r="R1102" i="1"/>
  <c r="M1115" i="1"/>
  <c r="O1116" i="1"/>
  <c r="O1118" i="1"/>
  <c r="M1119" i="1"/>
  <c r="M1122" i="1"/>
  <c r="O1123" i="1"/>
  <c r="R1124" i="1"/>
  <c r="P1127" i="1"/>
  <c r="O1128" i="1"/>
  <c r="R1129" i="1"/>
  <c r="P1132" i="1"/>
  <c r="P1133" i="1"/>
  <c r="Q1134" i="1"/>
  <c r="O1139" i="1"/>
  <c r="M1140" i="1"/>
  <c r="O1141" i="1"/>
  <c r="R1142" i="1"/>
  <c r="P1144" i="1"/>
  <c r="R1145" i="1"/>
  <c r="S1145" i="1"/>
  <c r="P1147" i="1"/>
  <c r="R1148" i="1"/>
  <c r="P1149" i="1"/>
  <c r="Q1151" i="1"/>
  <c r="P1152" i="1"/>
  <c r="Q1153" i="1"/>
  <c r="Q1154" i="1"/>
  <c r="P1155" i="1"/>
  <c r="O1156" i="1"/>
  <c r="P1159" i="1"/>
  <c r="R1160" i="1"/>
  <c r="M1162" i="1"/>
  <c r="Q1162" i="1"/>
  <c r="Q1163" i="1"/>
  <c r="S1163" i="1"/>
  <c r="Q1164" i="1"/>
  <c r="M1167" i="1"/>
  <c r="Q1167" i="1"/>
  <c r="O1168" i="1"/>
  <c r="M1169" i="1"/>
  <c r="O1174" i="1"/>
  <c r="M1175" i="1"/>
  <c r="R1176" i="1"/>
  <c r="R1180" i="1"/>
  <c r="P1181" i="1"/>
  <c r="M1183" i="1"/>
  <c r="R1185" i="1"/>
  <c r="P1187" i="1"/>
  <c r="Q1202" i="1"/>
  <c r="M1202" i="1"/>
  <c r="Q1215" i="1"/>
  <c r="P1215" i="1"/>
  <c r="Q1218" i="1"/>
  <c r="M1218" i="1"/>
  <c r="P1224" i="1"/>
  <c r="O1224" i="1"/>
  <c r="M1236" i="1"/>
  <c r="Q1238" i="1"/>
  <c r="P1238" i="1"/>
  <c r="Q1239" i="1"/>
  <c r="O1242" i="1"/>
  <c r="O1256" i="1"/>
  <c r="Q1256" i="1"/>
  <c r="P1256" i="1"/>
  <c r="Q1257" i="1"/>
  <c r="M1257" i="1"/>
  <c r="O1280" i="1"/>
  <c r="Q1280" i="1"/>
  <c r="P1280" i="1"/>
  <c r="Q1091" i="1"/>
  <c r="Q1094" i="1"/>
  <c r="P1101" i="1"/>
  <c r="P1116" i="1"/>
  <c r="P1118" i="1"/>
  <c r="P1123" i="1"/>
  <c r="Q1127" i="1"/>
  <c r="P1128" i="1"/>
  <c r="Q1132" i="1"/>
  <c r="Q1133" i="1"/>
  <c r="P1139" i="1"/>
  <c r="P1141" i="1"/>
  <c r="Q1144" i="1"/>
  <c r="Q1147" i="1"/>
  <c r="Q1149" i="1"/>
  <c r="Q1152" i="1"/>
  <c r="Q1155" i="1"/>
  <c r="P1156" i="1"/>
  <c r="Q1159" i="1"/>
  <c r="P1168" i="1"/>
  <c r="P1174" i="1"/>
  <c r="O1176" i="1"/>
  <c r="O1180" i="1"/>
  <c r="Q1181" i="1"/>
  <c r="P1182" i="1"/>
  <c r="O1185" i="1"/>
  <c r="Q1187" i="1"/>
  <c r="P1188" i="1"/>
  <c r="R1190" i="1"/>
  <c r="S1190" i="1"/>
  <c r="Q1194" i="1"/>
  <c r="P1194" i="1"/>
  <c r="P1200" i="1"/>
  <c r="O1200" i="1"/>
  <c r="Q1207" i="1"/>
  <c r="P1207" i="1"/>
  <c r="P1209" i="1"/>
  <c r="O1209" i="1"/>
  <c r="Q1211" i="1"/>
  <c r="M1211" i="1"/>
  <c r="O1215" i="1"/>
  <c r="R1217" i="1"/>
  <c r="Q1223" i="1"/>
  <c r="P1223" i="1"/>
  <c r="Q1224" i="1"/>
  <c r="P1225" i="1"/>
  <c r="O1225" i="1"/>
  <c r="Q1228" i="1"/>
  <c r="M1228" i="1"/>
  <c r="O1238" i="1"/>
  <c r="P1247" i="1"/>
  <c r="O1247" i="1"/>
  <c r="R1256" i="1"/>
  <c r="Q1258" i="1"/>
  <c r="M1258" i="1"/>
  <c r="R1280" i="1"/>
  <c r="S1284" i="1"/>
  <c r="Q1101" i="1"/>
  <c r="Q1116" i="1"/>
  <c r="Q1118" i="1"/>
  <c r="R1127" i="1"/>
  <c r="Q1139" i="1"/>
  <c r="R1144" i="1"/>
  <c r="R1147" i="1"/>
  <c r="P1148" i="1"/>
  <c r="R1149" i="1"/>
  <c r="R1152" i="1"/>
  <c r="R1155" i="1"/>
  <c r="R1159" i="1"/>
  <c r="P1160" i="1"/>
  <c r="R1181" i="1"/>
  <c r="R1187" i="1"/>
  <c r="Q1188" i="1"/>
  <c r="P1198" i="1"/>
  <c r="O1198" i="1"/>
  <c r="P1206" i="1"/>
  <c r="O1206" i="1"/>
  <c r="Q1216" i="1"/>
  <c r="M1216" i="1"/>
  <c r="R1224" i="1"/>
  <c r="Q1229" i="1"/>
  <c r="M1229" i="1"/>
  <c r="R1238" i="1"/>
  <c r="P1243" i="1"/>
  <c r="O1243" i="1"/>
  <c r="Q1246" i="1"/>
  <c r="P1246" i="1"/>
  <c r="Q1248" i="1"/>
  <c r="M1248" i="1"/>
  <c r="O1260" i="1"/>
  <c r="Q1260" i="1"/>
  <c r="P1260" i="1"/>
  <c r="M1145" i="1"/>
  <c r="M1150" i="1"/>
  <c r="R1188" i="1"/>
  <c r="P1197" i="1"/>
  <c r="Q1198" i="1"/>
  <c r="Q1206" i="1"/>
  <c r="R1211" i="1"/>
  <c r="Q1217" i="1"/>
  <c r="M1217" i="1"/>
  <c r="P1239" i="1"/>
  <c r="O1239" i="1"/>
  <c r="Q1242" i="1"/>
  <c r="P1242" i="1"/>
  <c r="O1274" i="1"/>
  <c r="Q1274" i="1"/>
  <c r="P1274" i="1"/>
  <c r="Q1275" i="1"/>
  <c r="M1275" i="1"/>
  <c r="R1189" i="1"/>
  <c r="R1201" i="1"/>
  <c r="R1205" i="1"/>
  <c r="S1205" i="1"/>
  <c r="R1208" i="1"/>
  <c r="R1232" i="1"/>
  <c r="R1236" i="1"/>
  <c r="R1240" i="1"/>
  <c r="R1251" i="1"/>
  <c r="R1252" i="1"/>
  <c r="R1254" i="1"/>
  <c r="O1261" i="1"/>
  <c r="O1262" i="1"/>
  <c r="O1263" i="1"/>
  <c r="O1264" i="1"/>
  <c r="R1265" i="1"/>
  <c r="R1269" i="1"/>
  <c r="M1278" i="1"/>
  <c r="R1279" i="1"/>
  <c r="P1283" i="1"/>
  <c r="M1284" i="1"/>
  <c r="P1285" i="1"/>
  <c r="R1287" i="1"/>
  <c r="R1288" i="1"/>
  <c r="P1291" i="1"/>
  <c r="P1295" i="1"/>
  <c r="O1296" i="1"/>
  <c r="R1297" i="1"/>
  <c r="P1299" i="1"/>
  <c r="O1300" i="1"/>
  <c r="R1301" i="1"/>
  <c r="P1303" i="1"/>
  <c r="O1304" i="1"/>
  <c r="P1309" i="1"/>
  <c r="R1311" i="1"/>
  <c r="R1312" i="1"/>
  <c r="R1313" i="1"/>
  <c r="P1315" i="1"/>
  <c r="Q1318" i="1"/>
  <c r="Q1319" i="1"/>
  <c r="P1320" i="1"/>
  <c r="O1324" i="1"/>
  <c r="O1325" i="1"/>
  <c r="O1326" i="1"/>
  <c r="P1336" i="1"/>
  <c r="P1337" i="1"/>
  <c r="P1339" i="1"/>
  <c r="Q1340" i="1"/>
  <c r="P1342" i="1"/>
  <c r="Q1344" i="1"/>
  <c r="Q1349" i="1"/>
  <c r="Q1350" i="1"/>
  <c r="Q1355" i="1"/>
  <c r="O1357" i="1"/>
  <c r="O1358" i="1"/>
  <c r="O1362" i="1"/>
  <c r="O1363" i="1"/>
  <c r="O1364" i="1"/>
  <c r="Q1366" i="1"/>
  <c r="Q1367" i="1"/>
  <c r="Q1368" i="1"/>
  <c r="P1370" i="1"/>
  <c r="P1371" i="1"/>
  <c r="P1372" i="1"/>
  <c r="Q1379" i="1"/>
  <c r="Q1380" i="1"/>
  <c r="Q1382" i="1"/>
  <c r="P1383" i="1"/>
  <c r="Q1386" i="1"/>
  <c r="Q1391" i="1"/>
  <c r="P1392" i="1"/>
  <c r="P1395" i="1"/>
  <c r="P1396" i="1"/>
  <c r="P1397" i="1"/>
  <c r="P1402" i="1"/>
  <c r="M1433" i="1"/>
  <c r="M1440" i="1"/>
  <c r="O1455" i="1"/>
  <c r="P1455" i="1"/>
  <c r="S1480" i="1"/>
  <c r="P1261" i="1"/>
  <c r="P1262" i="1"/>
  <c r="P1263" i="1"/>
  <c r="P1264" i="1"/>
  <c r="Q1283" i="1"/>
  <c r="Q1285" i="1"/>
  <c r="Q1291" i="1"/>
  <c r="Q1295" i="1"/>
  <c r="P1296" i="1"/>
  <c r="Q1299" i="1"/>
  <c r="P1300" i="1"/>
  <c r="Q1303" i="1"/>
  <c r="P1304" i="1"/>
  <c r="Q1309" i="1"/>
  <c r="Q1315" i="1"/>
  <c r="Q1320" i="1"/>
  <c r="P1324" i="1"/>
  <c r="P1325" i="1"/>
  <c r="P1326" i="1"/>
  <c r="Q1336" i="1"/>
  <c r="Q1337" i="1"/>
  <c r="Q1339" i="1"/>
  <c r="Q1342" i="1"/>
  <c r="P1357" i="1"/>
  <c r="P1358" i="1"/>
  <c r="P1362" i="1"/>
  <c r="P1363" i="1"/>
  <c r="P1364" i="1"/>
  <c r="Q1370" i="1"/>
  <c r="Q1371" i="1"/>
  <c r="Q1372" i="1"/>
  <c r="Q1383" i="1"/>
  <c r="R1392" i="1"/>
  <c r="O1394" i="1"/>
  <c r="R1396" i="1"/>
  <c r="Q1397" i="1"/>
  <c r="Q1402" i="1"/>
  <c r="O1407" i="1"/>
  <c r="P1407" i="1"/>
  <c r="M1432" i="1"/>
  <c r="M1439" i="1"/>
  <c r="O1463" i="1"/>
  <c r="Q1463" i="1"/>
  <c r="P1463" i="1"/>
  <c r="R1283" i="1"/>
  <c r="R1285" i="1"/>
  <c r="R1291" i="1"/>
  <c r="R1295" i="1"/>
  <c r="R1299" i="1"/>
  <c r="R1303" i="1"/>
  <c r="R1309" i="1"/>
  <c r="R1315" i="1"/>
  <c r="Q1324" i="1"/>
  <c r="Q1325" i="1"/>
  <c r="Q1326" i="1"/>
  <c r="Q1357" i="1"/>
  <c r="Q1358" i="1"/>
  <c r="Q1362" i="1"/>
  <c r="Q1363" i="1"/>
  <c r="Q1364" i="1"/>
  <c r="R1383" i="1"/>
  <c r="P1394" i="1"/>
  <c r="Q1446" i="1"/>
  <c r="M1446" i="1"/>
  <c r="R1463" i="1"/>
  <c r="M1465" i="1"/>
  <c r="Q1484" i="1"/>
  <c r="O1392" i="1"/>
  <c r="O1396" i="1"/>
  <c r="O1406" i="1"/>
  <c r="P1406" i="1"/>
  <c r="R1407" i="1"/>
  <c r="O1442" i="1"/>
  <c r="Q1442" i="1"/>
  <c r="P1442" i="1"/>
  <c r="K1455" i="1"/>
  <c r="L1455" i="1"/>
  <c r="R1455" i="1"/>
  <c r="Q1518" i="1"/>
  <c r="L1518" i="1"/>
  <c r="M1518" i="1"/>
  <c r="R1410" i="1"/>
  <c r="Q1411" i="1"/>
  <c r="R1416" i="1"/>
  <c r="Q1419" i="1"/>
  <c r="R1432" i="1"/>
  <c r="R1433" i="1"/>
  <c r="R1439" i="1"/>
  <c r="R1440" i="1"/>
  <c r="R1441" i="1"/>
  <c r="R1447" i="1"/>
  <c r="R1464" i="1"/>
  <c r="R1465" i="1"/>
  <c r="R1469" i="1"/>
  <c r="R1470" i="1"/>
  <c r="R1472" i="1"/>
  <c r="P1473" i="1"/>
  <c r="P1477" i="1"/>
  <c r="R1483" i="1"/>
  <c r="J1484" i="1"/>
  <c r="R1484" i="1"/>
  <c r="R1486" i="1"/>
  <c r="R1487" i="1"/>
  <c r="P1490" i="1"/>
  <c r="P1491" i="1"/>
  <c r="P1497" i="1"/>
  <c r="R1500" i="1"/>
  <c r="R1501" i="1"/>
  <c r="R1502" i="1"/>
  <c r="R1503" i="1"/>
  <c r="R1504" i="1"/>
  <c r="R1505" i="1"/>
  <c r="R1506" i="1"/>
  <c r="R1507" i="1"/>
  <c r="J1508" i="1"/>
  <c r="R1509" i="1"/>
  <c r="R1510" i="1"/>
  <c r="R1514" i="1"/>
  <c r="R1515" i="1"/>
  <c r="R1516" i="1"/>
  <c r="P1517" i="1"/>
  <c r="P1518" i="1"/>
  <c r="M1519" i="1"/>
  <c r="R1520" i="1"/>
  <c r="S1520" i="1"/>
  <c r="P1523" i="1"/>
  <c r="Q1524" i="1"/>
  <c r="Q1540" i="1"/>
  <c r="P1540" i="1"/>
  <c r="P1544" i="1"/>
  <c r="O1544" i="1"/>
  <c r="P1548" i="1"/>
  <c r="O1548" i="1"/>
  <c r="P1553" i="1"/>
  <c r="O1553" i="1"/>
  <c r="Q1556" i="1"/>
  <c r="P1556" i="1"/>
  <c r="P1558" i="1"/>
  <c r="O1558" i="1"/>
  <c r="R1570" i="1"/>
  <c r="P1575" i="1"/>
  <c r="Q1577" i="1"/>
  <c r="P1577" i="1"/>
  <c r="R1411" i="1"/>
  <c r="R1419" i="1"/>
  <c r="R1423" i="1"/>
  <c r="R1424" i="1"/>
  <c r="R1425" i="1"/>
  <c r="R1426" i="1"/>
  <c r="R1431" i="1"/>
  <c r="O1432" i="1"/>
  <c r="O1433" i="1"/>
  <c r="R1434" i="1"/>
  <c r="R1438" i="1"/>
  <c r="O1439" i="1"/>
  <c r="O1440" i="1"/>
  <c r="O1441" i="1"/>
  <c r="R1445" i="1"/>
  <c r="R1446" i="1"/>
  <c r="O1447" i="1"/>
  <c r="R1448" i="1"/>
  <c r="R1452" i="1"/>
  <c r="R1462" i="1"/>
  <c r="O1464" i="1"/>
  <c r="O1465" i="1"/>
  <c r="O1469" i="1"/>
  <c r="O1470" i="1"/>
  <c r="R1471" i="1"/>
  <c r="O1472" i="1"/>
  <c r="Q1473" i="1"/>
  <c r="R1476" i="1"/>
  <c r="Q1477" i="1"/>
  <c r="R1479" i="1"/>
  <c r="O1483" i="1"/>
  <c r="O1484" i="1"/>
  <c r="R1485" i="1"/>
  <c r="O1486" i="1"/>
  <c r="O1487" i="1"/>
  <c r="Q1490" i="1"/>
  <c r="Q1491" i="1"/>
  <c r="Q1497" i="1"/>
  <c r="K1498" i="1"/>
  <c r="Q1498" i="1"/>
  <c r="O1498" i="1"/>
  <c r="K1499" i="1"/>
  <c r="Q1499" i="1"/>
  <c r="O1499" i="1"/>
  <c r="O1500" i="1"/>
  <c r="O1501" i="1"/>
  <c r="O1502" i="1"/>
  <c r="O1503" i="1"/>
  <c r="O1504" i="1"/>
  <c r="O1505" i="1"/>
  <c r="O1506" i="1"/>
  <c r="O1507" i="1"/>
  <c r="O1508" i="1"/>
  <c r="O1509" i="1"/>
  <c r="O1510" i="1"/>
  <c r="O1514" i="1"/>
  <c r="O1515" i="1"/>
  <c r="O1516" i="1"/>
  <c r="Q1517" i="1"/>
  <c r="R1523" i="1"/>
  <c r="M1524" i="1"/>
  <c r="O1524" i="1"/>
  <c r="O1540" i="1"/>
  <c r="Q1543" i="1"/>
  <c r="P1543" i="1"/>
  <c r="Q1544" i="1"/>
  <c r="P1545" i="1"/>
  <c r="O1545" i="1"/>
  <c r="Q1548" i="1"/>
  <c r="Q1552" i="1"/>
  <c r="P1552" i="1"/>
  <c r="Q1553" i="1"/>
  <c r="O1556" i="1"/>
  <c r="Q1558" i="1"/>
  <c r="P1573" i="1"/>
  <c r="O1573" i="1"/>
  <c r="O1577" i="1"/>
  <c r="R1473" i="1"/>
  <c r="R1477" i="1"/>
  <c r="R1490" i="1"/>
  <c r="R1491" i="1"/>
  <c r="R1497" i="1"/>
  <c r="R1517" i="1"/>
  <c r="Q1525" i="1"/>
  <c r="P1525" i="1"/>
  <c r="P1527" i="1"/>
  <c r="O1527" i="1"/>
  <c r="Q1537" i="1"/>
  <c r="P1537" i="1"/>
  <c r="P1539" i="1"/>
  <c r="O1539" i="1"/>
  <c r="S1542" i="1"/>
  <c r="R1544" i="1"/>
  <c r="P1546" i="1"/>
  <c r="O1546" i="1"/>
  <c r="R1548" i="1"/>
  <c r="R1553" i="1"/>
  <c r="R1556" i="1"/>
  <c r="Q1590" i="1"/>
  <c r="P1590" i="1"/>
  <c r="O1590" i="1"/>
  <c r="Q1593" i="1"/>
  <c r="P1593" i="1"/>
  <c r="O1593" i="1"/>
  <c r="Q1594" i="1"/>
  <c r="M1594" i="1"/>
  <c r="M1520" i="1"/>
  <c r="R1521" i="1"/>
  <c r="O1523" i="1"/>
  <c r="R1524" i="1"/>
  <c r="M1525" i="1"/>
  <c r="O1525" i="1"/>
  <c r="Q1526" i="1"/>
  <c r="P1526" i="1"/>
  <c r="Q1527" i="1"/>
  <c r="P1528" i="1"/>
  <c r="O1528" i="1"/>
  <c r="O1537" i="1"/>
  <c r="Q1538" i="1"/>
  <c r="P1538" i="1"/>
  <c r="Q1539" i="1"/>
  <c r="L1540" i="1"/>
  <c r="R1540" i="1"/>
  <c r="P1541" i="1"/>
  <c r="O1541" i="1"/>
  <c r="R1543" i="1"/>
  <c r="R1545" i="1"/>
  <c r="Q1546" i="1"/>
  <c r="P1547" i="1"/>
  <c r="O1547" i="1"/>
  <c r="P1549" i="1"/>
  <c r="O1549" i="1"/>
  <c r="R1552" i="1"/>
  <c r="P1557" i="1"/>
  <c r="O1557" i="1"/>
  <c r="S1559" i="1"/>
  <c r="R1573" i="1"/>
  <c r="P1574" i="1"/>
  <c r="O1574" i="1"/>
  <c r="P1578" i="1"/>
  <c r="O1578" i="1"/>
  <c r="S1581" i="1"/>
  <c r="R1590" i="1"/>
  <c r="R1593" i="1"/>
  <c r="R1595" i="1"/>
  <c r="P1602" i="1"/>
  <c r="R1620" i="1"/>
  <c r="P1621" i="1"/>
  <c r="R1622" i="1"/>
  <c r="P1623" i="1"/>
  <c r="R1624" i="1"/>
  <c r="R1625" i="1"/>
  <c r="R1629" i="1"/>
  <c r="R1641" i="1"/>
  <c r="P1643" i="1"/>
  <c r="R1644" i="1"/>
  <c r="P1646" i="1"/>
  <c r="R1651" i="1"/>
  <c r="R1652" i="1"/>
  <c r="R1653" i="1"/>
  <c r="R1658" i="1"/>
  <c r="R1661" i="1"/>
  <c r="R1667" i="1"/>
  <c r="R1673" i="1"/>
  <c r="P1679" i="1"/>
  <c r="P1682" i="1"/>
  <c r="R1683" i="1"/>
  <c r="P1684" i="1"/>
  <c r="R1698" i="1"/>
  <c r="P1700" i="1"/>
  <c r="P1705" i="1"/>
  <c r="O1705" i="1"/>
  <c r="R1591" i="1"/>
  <c r="P1592" i="1"/>
  <c r="O1595" i="1"/>
  <c r="P1616" i="1"/>
  <c r="O1620" i="1"/>
  <c r="O1622" i="1"/>
  <c r="O1624" i="1"/>
  <c r="O1625" i="1"/>
  <c r="P1626" i="1"/>
  <c r="M1627" i="1"/>
  <c r="R1628" i="1"/>
  <c r="O1629" i="1"/>
  <c r="P1630" i="1"/>
  <c r="M1631" i="1"/>
  <c r="R1636" i="1"/>
  <c r="O1641" i="1"/>
  <c r="R1642" i="1"/>
  <c r="O1644" i="1"/>
  <c r="R1645" i="1"/>
  <c r="O1651" i="1"/>
  <c r="O1652" i="1"/>
  <c r="O1653" i="1"/>
  <c r="O1658" i="1"/>
  <c r="R1659" i="1"/>
  <c r="M1660" i="1"/>
  <c r="O1661" i="1"/>
  <c r="M1662" i="1"/>
  <c r="R1664" i="1"/>
  <c r="O1667" i="1"/>
  <c r="O1673" i="1"/>
  <c r="R1678" i="1"/>
  <c r="O1683" i="1"/>
  <c r="R1687" i="1"/>
  <c r="R1694" i="1"/>
  <c r="P1695" i="1"/>
  <c r="R1696" i="1"/>
  <c r="P1697" i="1"/>
  <c r="O1698" i="1"/>
  <c r="Q1704" i="1"/>
  <c r="P1704" i="1"/>
  <c r="Q1705" i="1"/>
  <c r="Q1711" i="1"/>
  <c r="P1711" i="1"/>
  <c r="P1714" i="1"/>
  <c r="O1714" i="1"/>
  <c r="P1721" i="1"/>
  <c r="O1721" i="1"/>
  <c r="O1732" i="1"/>
  <c r="Q1732" i="1"/>
  <c r="P1732" i="1"/>
  <c r="O1736" i="1"/>
  <c r="Q1736" i="1"/>
  <c r="P1736" i="1"/>
  <c r="R1740" i="1"/>
  <c r="R1529" i="1"/>
  <c r="R1530" i="1"/>
  <c r="R1531" i="1"/>
  <c r="S1531" i="1"/>
  <c r="R1532" i="1"/>
  <c r="S1532" i="1"/>
  <c r="R1535" i="1"/>
  <c r="Q1551" i="1"/>
  <c r="Q1555" i="1"/>
  <c r="Q1562" i="1"/>
  <c r="Q1576" i="1"/>
  <c r="Q1580" i="1"/>
  <c r="Q1582" i="1"/>
  <c r="Q1583" i="1"/>
  <c r="Q1584" i="1"/>
  <c r="O1591" i="1"/>
  <c r="Q1592" i="1"/>
  <c r="P1595" i="1"/>
  <c r="Q1599" i="1"/>
  <c r="Q1600" i="1"/>
  <c r="S1600" i="1"/>
  <c r="Q1603" i="1"/>
  <c r="Q1616" i="1"/>
  <c r="P1620" i="1"/>
  <c r="R1621" i="1"/>
  <c r="P1622" i="1"/>
  <c r="P1624" i="1"/>
  <c r="P1625" i="1"/>
  <c r="Q1626" i="1"/>
  <c r="O1628" i="1"/>
  <c r="P1629" i="1"/>
  <c r="Q1630" i="1"/>
  <c r="O1636" i="1"/>
  <c r="P1641" i="1"/>
  <c r="O1642" i="1"/>
  <c r="R1643" i="1"/>
  <c r="P1644" i="1"/>
  <c r="O1645" i="1"/>
  <c r="Q1648" i="1"/>
  <c r="Q1649" i="1"/>
  <c r="Q1650" i="1"/>
  <c r="P1651" i="1"/>
  <c r="P1652" i="1"/>
  <c r="P1653" i="1"/>
  <c r="P1658" i="1"/>
  <c r="O1659" i="1"/>
  <c r="P1661" i="1"/>
  <c r="O1664" i="1"/>
  <c r="Q1666" i="1"/>
  <c r="P1667" i="1"/>
  <c r="Q1672" i="1"/>
  <c r="P1673" i="1"/>
  <c r="R1675" i="1"/>
  <c r="O1678" i="1"/>
  <c r="R1679" i="1"/>
  <c r="R1682" i="1"/>
  <c r="P1683" i="1"/>
  <c r="R1684" i="1"/>
  <c r="Q1685" i="1"/>
  <c r="O1687" i="1"/>
  <c r="Q1689" i="1"/>
  <c r="O1694" i="1"/>
  <c r="O1696" i="1"/>
  <c r="P1698" i="1"/>
  <c r="R1700" i="1"/>
  <c r="R1702" i="1"/>
  <c r="S1702" i="1"/>
  <c r="O1704" i="1"/>
  <c r="R1705" i="1"/>
  <c r="O1711" i="1"/>
  <c r="Q1714" i="1"/>
  <c r="Q1720" i="1"/>
  <c r="P1720" i="1"/>
  <c r="Q1721" i="1"/>
  <c r="Q1728" i="1"/>
  <c r="P1728" i="1"/>
  <c r="R1732" i="1"/>
  <c r="P1734" i="1"/>
  <c r="M1734" i="1"/>
  <c r="O1735" i="1"/>
  <c r="Q1735" i="1"/>
  <c r="P1735" i="1"/>
  <c r="R1736" i="1"/>
  <c r="R1704" i="1"/>
  <c r="R1711" i="1"/>
  <c r="R1714" i="1"/>
  <c r="R1721" i="1"/>
  <c r="Q1730" i="1"/>
  <c r="P1730" i="1"/>
  <c r="O1742" i="1"/>
  <c r="Q1742" i="1"/>
  <c r="P1742" i="1"/>
  <c r="R1707" i="1"/>
  <c r="R1710" i="1"/>
  <c r="S1710" i="1"/>
  <c r="R1712" i="1"/>
  <c r="R1722" i="1"/>
  <c r="R1723" i="1"/>
  <c r="O1737" i="1"/>
  <c r="Q1741" i="1"/>
  <c r="S1741" i="1"/>
  <c r="O1743" i="1"/>
  <c r="O1744" i="1"/>
  <c r="O1746" i="1"/>
  <c r="Q1749" i="1"/>
  <c r="S1749" i="1"/>
  <c r="Q1750" i="1"/>
  <c r="P1751" i="1"/>
  <c r="P1752" i="1"/>
  <c r="O1753" i="1"/>
  <c r="O1754" i="1"/>
  <c r="Q1755" i="1"/>
  <c r="O1759" i="1"/>
  <c r="Q1764" i="1"/>
  <c r="P1765" i="1"/>
  <c r="O1766" i="1"/>
  <c r="Q1768" i="1"/>
  <c r="P1769" i="1"/>
  <c r="O1773" i="1"/>
  <c r="P1775" i="1"/>
  <c r="R1776" i="1"/>
  <c r="P1777" i="1"/>
  <c r="R1778" i="1"/>
  <c r="P1779" i="1"/>
  <c r="M1780" i="1"/>
  <c r="P1781" i="1"/>
  <c r="P1815" i="1"/>
  <c r="O1815" i="1"/>
  <c r="Q1815" i="1"/>
  <c r="M1818" i="1"/>
  <c r="P1737" i="1"/>
  <c r="P1743" i="1"/>
  <c r="P1744" i="1"/>
  <c r="P1746" i="1"/>
  <c r="Q1751" i="1"/>
  <c r="Q1752" i="1"/>
  <c r="P1753" i="1"/>
  <c r="P1754" i="1"/>
  <c r="P1759" i="1"/>
  <c r="Q1765" i="1"/>
  <c r="P1766" i="1"/>
  <c r="Q1769" i="1"/>
  <c r="Q1773" i="1"/>
  <c r="Q1775" i="1"/>
  <c r="Q1777" i="1"/>
  <c r="Q1779" i="1"/>
  <c r="S1780" i="1"/>
  <c r="Q1781" i="1"/>
  <c r="O1782" i="1"/>
  <c r="Q1782" i="1"/>
  <c r="O1783" i="1"/>
  <c r="Q1783" i="1"/>
  <c r="R1787" i="1"/>
  <c r="Q1790" i="1"/>
  <c r="O1790" i="1"/>
  <c r="Q1792" i="1"/>
  <c r="O1792" i="1"/>
  <c r="Q1794" i="1"/>
  <c r="O1794" i="1"/>
  <c r="Q1796" i="1"/>
  <c r="O1796" i="1"/>
  <c r="Q1798" i="1"/>
  <c r="O1798" i="1"/>
  <c r="O1802" i="1"/>
  <c r="R1802" i="1"/>
  <c r="O1804" i="1"/>
  <c r="Q1804" i="1"/>
  <c r="R1815" i="1"/>
  <c r="M1817" i="1"/>
  <c r="R1825" i="1"/>
  <c r="M1826" i="1"/>
  <c r="R1751" i="1"/>
  <c r="R1752" i="1"/>
  <c r="R1765" i="1"/>
  <c r="Q1766" i="1"/>
  <c r="P1771" i="1"/>
  <c r="S1771" i="1"/>
  <c r="R1775" i="1"/>
  <c r="R1777" i="1"/>
  <c r="R1779" i="1"/>
  <c r="P1783" i="1"/>
  <c r="Q1800" i="1"/>
  <c r="O1800" i="1"/>
  <c r="P1822" i="1"/>
  <c r="O1822" i="1"/>
  <c r="Q1822" i="1"/>
  <c r="P1837" i="1"/>
  <c r="O1837" i="1"/>
  <c r="Q1837" i="1"/>
  <c r="P1841" i="1"/>
  <c r="O1841" i="1"/>
  <c r="Q1841" i="1"/>
  <c r="P1773" i="1"/>
  <c r="R1782" i="1"/>
  <c r="R1783" i="1"/>
  <c r="O1787" i="1"/>
  <c r="Q1787" i="1"/>
  <c r="R1790" i="1"/>
  <c r="Q1791" i="1"/>
  <c r="O1791" i="1"/>
  <c r="R1792" i="1"/>
  <c r="Q1793" i="1"/>
  <c r="O1793" i="1"/>
  <c r="R1794" i="1"/>
  <c r="Q1795" i="1"/>
  <c r="O1795" i="1"/>
  <c r="R1796" i="1"/>
  <c r="Q1797" i="1"/>
  <c r="O1797" i="1"/>
  <c r="R1798" i="1"/>
  <c r="M1800" i="1"/>
  <c r="P1800" i="1"/>
  <c r="P1803" i="1"/>
  <c r="R1803" i="1"/>
  <c r="R1804" i="1"/>
  <c r="R1818" i="1"/>
  <c r="Q1820" i="1"/>
  <c r="M1820" i="1"/>
  <c r="P1821" i="1"/>
  <c r="O1821" i="1"/>
  <c r="Q1821" i="1"/>
  <c r="R1822" i="1"/>
  <c r="R1837" i="1"/>
  <c r="R1841" i="1"/>
  <c r="S1861" i="1"/>
  <c r="R1786" i="1"/>
  <c r="R1810" i="1"/>
  <c r="S1810" i="1"/>
  <c r="O1812" i="1"/>
  <c r="O1816" i="1"/>
  <c r="O1817" i="1"/>
  <c r="O1818" i="1"/>
  <c r="R1819" i="1"/>
  <c r="R1820" i="1"/>
  <c r="O1824" i="1"/>
  <c r="O1825" i="1"/>
  <c r="O1826" i="1"/>
  <c r="O1839" i="1"/>
  <c r="R1840" i="1"/>
  <c r="O1843" i="1"/>
  <c r="R1844" i="1"/>
  <c r="Q1845" i="1"/>
  <c r="O1853" i="1"/>
  <c r="Q1854" i="1"/>
  <c r="R1857" i="1"/>
  <c r="Q1858" i="1"/>
  <c r="Q1867" i="1"/>
  <c r="R1874" i="1"/>
  <c r="Q1878" i="1"/>
  <c r="Q1896" i="1"/>
  <c r="Q1906" i="1"/>
  <c r="Q1907" i="1"/>
  <c r="R1909" i="1"/>
  <c r="Q1911" i="1"/>
  <c r="Q1957" i="1"/>
  <c r="M1957" i="1"/>
  <c r="R1845" i="1"/>
  <c r="R1854" i="1"/>
  <c r="R1858" i="1"/>
  <c r="P1866" i="1"/>
  <c r="R1867" i="1"/>
  <c r="R1878" i="1"/>
  <c r="P1879" i="1"/>
  <c r="R1896" i="1"/>
  <c r="R1906" i="1"/>
  <c r="R1907" i="1"/>
  <c r="R1911" i="1"/>
  <c r="R1912" i="1"/>
  <c r="P1918" i="1"/>
  <c r="Q1921" i="1"/>
  <c r="R1922" i="1"/>
  <c r="Q1923" i="1"/>
  <c r="O1929" i="1"/>
  <c r="Q1929" i="1"/>
  <c r="O1935" i="1"/>
  <c r="Q1935" i="1"/>
  <c r="Q1938" i="1"/>
  <c r="Q1944" i="1"/>
  <c r="O1944" i="1"/>
  <c r="Q1812" i="1"/>
  <c r="Q1816" i="1"/>
  <c r="Q1817" i="1"/>
  <c r="Q1818" i="1"/>
  <c r="Q1824" i="1"/>
  <c r="Q1825" i="1"/>
  <c r="Q1826" i="1"/>
  <c r="Q1839" i="1"/>
  <c r="Q1843" i="1"/>
  <c r="O1845" i="1"/>
  <c r="Q1853" i="1"/>
  <c r="O1854" i="1"/>
  <c r="Q1856" i="1"/>
  <c r="S1856" i="1"/>
  <c r="P1857" i="1"/>
  <c r="O1858" i="1"/>
  <c r="Q1866" i="1"/>
  <c r="O1867" i="1"/>
  <c r="P1874" i="1"/>
  <c r="O1878" i="1"/>
  <c r="Q1879" i="1"/>
  <c r="O1896" i="1"/>
  <c r="Q1900" i="1"/>
  <c r="O1906" i="1"/>
  <c r="O1907" i="1"/>
  <c r="P1909" i="1"/>
  <c r="Q1910" i="1"/>
  <c r="O1911" i="1"/>
  <c r="O1912" i="1"/>
  <c r="Q1913" i="1"/>
  <c r="Q1918" i="1"/>
  <c r="Q1919" i="1"/>
  <c r="Q1920" i="1"/>
  <c r="R1921" i="1"/>
  <c r="O1922" i="1"/>
  <c r="R1923" i="1"/>
  <c r="P1929" i="1"/>
  <c r="M1935" i="1"/>
  <c r="P1935" i="1"/>
  <c r="P1944" i="1"/>
  <c r="L2047" i="1"/>
  <c r="R2047" i="1"/>
  <c r="L2046" i="1"/>
  <c r="R2046" i="1"/>
  <c r="R1929" i="1"/>
  <c r="R1935" i="1"/>
  <c r="O1943" i="1"/>
  <c r="Q1943" i="1"/>
  <c r="R1944" i="1"/>
  <c r="O1945" i="1"/>
  <c r="Q1945" i="1"/>
  <c r="R1947" i="1"/>
  <c r="R1958" i="1"/>
  <c r="R1962" i="1"/>
  <c r="R1970" i="1"/>
  <c r="P1979" i="1"/>
  <c r="R1980" i="1"/>
  <c r="P1981" i="1"/>
  <c r="R1982" i="1"/>
  <c r="P1983" i="1"/>
  <c r="P1990" i="1"/>
  <c r="R1991" i="1"/>
  <c r="P1992" i="1"/>
  <c r="R1993" i="1"/>
  <c r="P1994" i="1"/>
  <c r="K2047" i="1"/>
  <c r="Q2047" i="1"/>
  <c r="K2046" i="1"/>
  <c r="Q2046" i="1"/>
  <c r="R2002" i="1"/>
  <c r="K2126" i="1"/>
  <c r="Q2126" i="1"/>
  <c r="J2075" i="1"/>
  <c r="J2074" i="1"/>
  <c r="J2073" i="1"/>
  <c r="J2072" i="1"/>
  <c r="R2003" i="1"/>
  <c r="S2003" i="1"/>
  <c r="R2004" i="1"/>
  <c r="S2004" i="1"/>
  <c r="R2005" i="1"/>
  <c r="Q2007" i="1"/>
  <c r="Q2008" i="1"/>
  <c r="P2012" i="1"/>
  <c r="R2017" i="1"/>
  <c r="Q2018" i="1"/>
  <c r="O2019" i="1"/>
  <c r="R2020" i="1"/>
  <c r="S2020" i="1"/>
  <c r="Q2023" i="1"/>
  <c r="P1938" i="1"/>
  <c r="O1947" i="1"/>
  <c r="O1958" i="1"/>
  <c r="P1959" i="1"/>
  <c r="P1960" i="1"/>
  <c r="O1962" i="1"/>
  <c r="P1966" i="1"/>
  <c r="O1970" i="1"/>
  <c r="Q1979" i="1"/>
  <c r="O1980" i="1"/>
  <c r="Q1981" i="1"/>
  <c r="O1982" i="1"/>
  <c r="Q1983" i="1"/>
  <c r="Q1990" i="1"/>
  <c r="Q1992" i="1"/>
  <c r="Q1994" i="1"/>
  <c r="L2000" i="1"/>
  <c r="R2000" i="1"/>
  <c r="O2002" i="1"/>
  <c r="L2126" i="1"/>
  <c r="R2126" i="1"/>
  <c r="K2075" i="1"/>
  <c r="Q2075" i="1"/>
  <c r="K2074" i="1"/>
  <c r="Q2074" i="1"/>
  <c r="K2073" i="1"/>
  <c r="Q2073" i="1"/>
  <c r="K2072" i="1"/>
  <c r="Q2072" i="1"/>
  <c r="R2007" i="1"/>
  <c r="R2008" i="1"/>
  <c r="P2025" i="1"/>
  <c r="O2025" i="1"/>
  <c r="P2030" i="1"/>
  <c r="O2030" i="1"/>
  <c r="R1979" i="1"/>
  <c r="R1981" i="1"/>
  <c r="R1983" i="1"/>
  <c r="R1990" i="1"/>
  <c r="R1992" i="1"/>
  <c r="R1994" i="1"/>
  <c r="L2075" i="1"/>
  <c r="R2075" i="1"/>
  <c r="L2074" i="1"/>
  <c r="R2074" i="1"/>
  <c r="L2073" i="1"/>
  <c r="R2073" i="1"/>
  <c r="L2072" i="1"/>
  <c r="R2072" i="1"/>
  <c r="O2007" i="1"/>
  <c r="O2008" i="1"/>
  <c r="R2012" i="1"/>
  <c r="K2013" i="1"/>
  <c r="O2017" i="1"/>
  <c r="Q2025" i="1"/>
  <c r="Q2030" i="1"/>
  <c r="M1984" i="1"/>
  <c r="J2000" i="1"/>
  <c r="J2001" i="1"/>
  <c r="M2003" i="1"/>
  <c r="R2013" i="1"/>
  <c r="P2017" i="1"/>
  <c r="P2018" i="1"/>
  <c r="P2023" i="1"/>
  <c r="R2025" i="1"/>
  <c r="P2027" i="1"/>
  <c r="O2027" i="1"/>
  <c r="R2030" i="1"/>
  <c r="Q2033" i="1"/>
  <c r="R2043" i="1"/>
  <c r="R2051" i="1"/>
  <c r="R2055" i="1"/>
  <c r="R2058" i="1"/>
  <c r="R2059" i="1"/>
  <c r="P2061" i="1"/>
  <c r="R2062" i="1"/>
  <c r="P2068" i="1"/>
  <c r="R2081" i="1"/>
  <c r="R2107" i="1"/>
  <c r="R2109" i="1"/>
  <c r="R2125" i="1"/>
  <c r="O2127" i="1"/>
  <c r="R2033" i="1"/>
  <c r="O2043" i="1"/>
  <c r="O2051" i="1"/>
  <c r="O2055" i="1"/>
  <c r="O2058" i="1"/>
  <c r="O2059" i="1"/>
  <c r="O2062" i="1"/>
  <c r="M2063" i="1"/>
  <c r="R2065" i="1"/>
  <c r="P2066" i="1"/>
  <c r="R2078" i="1"/>
  <c r="Q2079" i="1"/>
  <c r="O2081" i="1"/>
  <c r="R2082" i="1"/>
  <c r="Q2084" i="1"/>
  <c r="R2088" i="1"/>
  <c r="Q2089" i="1"/>
  <c r="P2101" i="1"/>
  <c r="O2107" i="1"/>
  <c r="O2109" i="1"/>
  <c r="P2113" i="1"/>
  <c r="P2115" i="1"/>
  <c r="Q2119" i="1"/>
  <c r="Q2121" i="1"/>
  <c r="R2122" i="1"/>
  <c r="O2125" i="1"/>
  <c r="O2126" i="1"/>
  <c r="Q2024" i="1"/>
  <c r="Q2026" i="1"/>
  <c r="Q2029" i="1"/>
  <c r="O2033" i="1"/>
  <c r="P2043" i="1"/>
  <c r="R2044" i="1"/>
  <c r="P2051" i="1"/>
  <c r="P2055" i="1"/>
  <c r="M2056" i="1"/>
  <c r="P2058" i="1"/>
  <c r="P2059" i="1"/>
  <c r="P2062" i="1"/>
  <c r="O2065" i="1"/>
  <c r="Q2066" i="1"/>
  <c r="O2075" i="1"/>
  <c r="R2079" i="1"/>
  <c r="P2081" i="1"/>
  <c r="R2084" i="1"/>
  <c r="R2089" i="1"/>
  <c r="P2107" i="1"/>
  <c r="P2109" i="1"/>
  <c r="M2110" i="1"/>
  <c r="R2119" i="1"/>
  <c r="R2121" i="1"/>
  <c r="P2125" i="1"/>
  <c r="P2126" i="1"/>
  <c r="Q2127" i="1"/>
  <c r="S1957" i="1"/>
  <c r="S265" i="1"/>
  <c r="S605" i="1"/>
  <c r="S881" i="1"/>
  <c r="S603" i="1"/>
  <c r="S1395" i="1"/>
  <c r="S2113" i="1"/>
  <c r="S1900" i="1"/>
  <c r="S1202" i="1"/>
  <c r="S1675" i="1"/>
  <c r="S1042" i="1"/>
  <c r="S246" i="1"/>
  <c r="S1561" i="1"/>
  <c r="S609" i="1"/>
  <c r="S601" i="1"/>
  <c r="S535" i="1"/>
  <c r="S706" i="1"/>
  <c r="S1090" i="1"/>
  <c r="S244" i="1"/>
  <c r="M277" i="15"/>
  <c r="S2122" i="1"/>
  <c r="S368" i="1"/>
  <c r="S695" i="1"/>
  <c r="S956" i="1"/>
  <c r="S223" i="1"/>
  <c r="S694" i="1"/>
  <c r="S352" i="1"/>
  <c r="S1013" i="1"/>
  <c r="S435" i="1"/>
  <c r="S1199" i="1"/>
  <c r="S210" i="1"/>
  <c r="S2085" i="1"/>
  <c r="S678" i="1"/>
  <c r="S494" i="1"/>
  <c r="S1040" i="1"/>
  <c r="S399" i="1"/>
  <c r="S376" i="1"/>
  <c r="S141" i="1"/>
  <c r="S1662" i="1"/>
  <c r="S672" i="1"/>
  <c r="S607" i="1"/>
  <c r="S173" i="1"/>
  <c r="S2056" i="1"/>
  <c r="S1609" i="1"/>
  <c r="S1027" i="1"/>
  <c r="S515" i="1"/>
  <c r="S297" i="1"/>
  <c r="S213" i="1"/>
  <c r="S525" i="1"/>
  <c r="S1504" i="1"/>
  <c r="S1500" i="1"/>
  <c r="S868" i="1"/>
  <c r="S1514" i="1"/>
  <c r="S1441" i="1"/>
  <c r="S1134" i="1"/>
  <c r="S1022" i="1"/>
  <c r="S398" i="1"/>
  <c r="S865" i="1"/>
  <c r="S317" i="1"/>
  <c r="S301" i="1"/>
  <c r="S502" i="1"/>
  <c r="S1898" i="1"/>
  <c r="S1061" i="1"/>
  <c r="S75" i="1"/>
  <c r="S59" i="1"/>
  <c r="S1154" i="1"/>
  <c r="S1036" i="1"/>
  <c r="S91" i="1"/>
  <c r="S1451" i="1"/>
  <c r="S242" i="1"/>
  <c r="S201" i="1"/>
  <c r="S180" i="1"/>
  <c r="S160" i="1"/>
  <c r="S13" i="1"/>
  <c r="S1847" i="1"/>
  <c r="S1666" i="1"/>
  <c r="S260" i="1"/>
  <c r="S1153" i="1"/>
  <c r="S974" i="1"/>
  <c r="S2112" i="1"/>
  <c r="S1823" i="1"/>
  <c r="S462" i="1"/>
  <c r="S211" i="1"/>
  <c r="S1876" i="1"/>
  <c r="S1633" i="1"/>
  <c r="S1589" i="1"/>
  <c r="S214" i="1"/>
  <c r="S2098" i="1"/>
  <c r="S1519" i="1"/>
  <c r="S1175" i="1"/>
  <c r="S1140" i="1"/>
  <c r="S1119" i="1"/>
  <c r="S971" i="1"/>
  <c r="S449" i="1"/>
  <c r="S1838" i="1"/>
  <c r="S1660" i="1"/>
  <c r="S1991" i="1"/>
  <c r="S1776" i="1"/>
  <c r="S1768" i="1"/>
  <c r="S1734" i="1"/>
  <c r="S1580" i="1"/>
  <c r="S1551" i="1"/>
  <c r="S1301" i="1"/>
  <c r="S1164" i="1"/>
  <c r="S922" i="1"/>
  <c r="S883" i="1"/>
  <c r="S794" i="1"/>
  <c r="S715" i="1"/>
  <c r="S654" i="1"/>
  <c r="S622" i="1"/>
  <c r="S466" i="1"/>
  <c r="S426" i="1"/>
  <c r="S402" i="1"/>
  <c r="S391" i="1"/>
  <c r="S374" i="1"/>
  <c r="L136" i="1"/>
  <c r="M136" i="1"/>
  <c r="S1989" i="1"/>
  <c r="S1703" i="1"/>
  <c r="S1522" i="1"/>
  <c r="S577" i="1"/>
  <c r="S1960" i="1"/>
  <c r="S2078" i="1"/>
  <c r="S2068" i="1"/>
  <c r="S1819" i="1"/>
  <c r="S1707" i="1"/>
  <c r="S1599" i="1"/>
  <c r="S1529" i="1"/>
  <c r="S1575" i="1"/>
  <c r="S1252" i="1"/>
  <c r="S1079" i="1"/>
  <c r="S1028" i="1"/>
  <c r="S851" i="1"/>
  <c r="S833" i="1"/>
  <c r="S812" i="1"/>
  <c r="S729" i="1"/>
  <c r="S619" i="1"/>
  <c r="S595" i="1"/>
  <c r="S319" i="1"/>
  <c r="S196" i="1"/>
  <c r="S2110" i="1"/>
  <c r="S2093" i="1"/>
  <c r="S1059" i="1"/>
  <c r="S620" i="1"/>
  <c r="R130" i="1"/>
  <c r="S130" i="1"/>
  <c r="S2005" i="1"/>
  <c r="S1778" i="1"/>
  <c r="S1750" i="1"/>
  <c r="S1672" i="1"/>
  <c r="S1740" i="1"/>
  <c r="S1594" i="1"/>
  <c r="S1452" i="1"/>
  <c r="S1445" i="1"/>
  <c r="S1570" i="1"/>
  <c r="S1208" i="1"/>
  <c r="S1216" i="1"/>
  <c r="S1167" i="1"/>
  <c r="S1162" i="1"/>
  <c r="S1054" i="1"/>
  <c r="S929" i="1"/>
  <c r="S847" i="1"/>
  <c r="S785" i="1"/>
  <c r="S689" i="1"/>
  <c r="S534" i="1"/>
  <c r="S379" i="1"/>
  <c r="S247" i="1"/>
  <c r="S194" i="1"/>
  <c r="S147" i="1"/>
  <c r="S92" i="1"/>
  <c r="S400" i="1"/>
  <c r="S1772" i="1"/>
  <c r="S1727" i="1"/>
  <c r="S1763" i="1"/>
  <c r="S615" i="1"/>
  <c r="S504" i="1"/>
  <c r="S165" i="1"/>
  <c r="S1611" i="1"/>
  <c r="S1321" i="1"/>
  <c r="S679" i="1"/>
  <c r="S664" i="1"/>
  <c r="S1976" i="1"/>
  <c r="S990" i="1"/>
  <c r="M139" i="1"/>
  <c r="S1608" i="1"/>
  <c r="S2061" i="1"/>
  <c r="S1697" i="1"/>
  <c r="S1646" i="1"/>
  <c r="S1382" i="1"/>
  <c r="S1279" i="1"/>
  <c r="S1254" i="1"/>
  <c r="M418" i="1"/>
  <c r="S129" i="1"/>
  <c r="S2024" i="1"/>
  <c r="S2088" i="1"/>
  <c r="S1910" i="1"/>
  <c r="S1844" i="1"/>
  <c r="S1515" i="1"/>
  <c r="S736" i="1"/>
  <c r="S492" i="1"/>
  <c r="S347" i="1"/>
  <c r="S125" i="1"/>
  <c r="S1160" i="1"/>
  <c r="S2063" i="1"/>
  <c r="S1306" i="1"/>
  <c r="S933" i="1"/>
  <c r="S369" i="1"/>
  <c r="S572" i="1"/>
  <c r="S42" i="1"/>
  <c r="S9" i="1"/>
  <c r="S2026" i="1"/>
  <c r="S1993" i="1"/>
  <c r="S1650" i="1"/>
  <c r="S1471" i="1"/>
  <c r="S1340" i="1"/>
  <c r="S1265" i="1"/>
  <c r="S1240" i="1"/>
  <c r="S1275" i="1"/>
  <c r="S1229" i="1"/>
  <c r="S791" i="1"/>
  <c r="S771" i="1"/>
  <c r="S763" i="1"/>
  <c r="S202" i="1"/>
  <c r="S176" i="1"/>
  <c r="S93" i="1"/>
  <c r="S108" i="1"/>
  <c r="S1966" i="1"/>
  <c r="S2019" i="1"/>
  <c r="S1695" i="1"/>
  <c r="S1218" i="1"/>
  <c r="S1151" i="1"/>
  <c r="S1030" i="1"/>
  <c r="S859" i="1"/>
  <c r="S627" i="1"/>
  <c r="S613" i="1"/>
  <c r="S536" i="1"/>
  <c r="S295" i="1"/>
  <c r="S256" i="1"/>
  <c r="S204" i="1"/>
  <c r="S191" i="1"/>
  <c r="S183" i="1"/>
  <c r="S31" i="1"/>
  <c r="S2101" i="1"/>
  <c r="S1920" i="1"/>
  <c r="S1355" i="1"/>
  <c r="S1058" i="1"/>
  <c r="S1000" i="1"/>
  <c r="S916" i="1"/>
  <c r="S842" i="1"/>
  <c r="S816" i="1"/>
  <c r="S255" i="1"/>
  <c r="S128" i="1"/>
  <c r="M527" i="1"/>
  <c r="S439" i="1"/>
  <c r="S389" i="1"/>
  <c r="S455" i="1"/>
  <c r="S254" i="1"/>
  <c r="S388" i="1"/>
  <c r="S225" i="1"/>
  <c r="S1549" i="1"/>
  <c r="S387" i="1"/>
  <c r="S735" i="1"/>
  <c r="S640" i="1"/>
  <c r="S610" i="1"/>
  <c r="S524" i="1"/>
  <c r="S1432" i="1"/>
  <c r="S382" i="1"/>
  <c r="S1557" i="1"/>
  <c r="S949" i="1"/>
  <c r="S934" i="1"/>
  <c r="S198" i="1"/>
  <c r="S124" i="1"/>
  <c r="Q139" i="1"/>
  <c r="S139" i="1"/>
  <c r="S1925" i="1"/>
  <c r="S893" i="1"/>
  <c r="S2080" i="1"/>
  <c r="S1767" i="1"/>
  <c r="S1598" i="1"/>
  <c r="S1536" i="1"/>
  <c r="S1478" i="1"/>
  <c r="S1235" i="1"/>
  <c r="S1417" i="1"/>
  <c r="S1387" i="1"/>
  <c r="S1481" i="1"/>
  <c r="S979" i="1"/>
  <c r="S724" i="1"/>
  <c r="S1341" i="1"/>
  <c r="S1302" i="1"/>
  <c r="S696" i="1"/>
  <c r="S594" i="1"/>
  <c r="S1758" i="1"/>
  <c r="S1560" i="1"/>
  <c r="S1436" i="1"/>
  <c r="S537" i="1"/>
  <c r="S488" i="1"/>
  <c r="S573" i="1"/>
  <c r="S1922" i="1"/>
  <c r="S1623" i="1"/>
  <c r="S1602" i="1"/>
  <c r="S1350" i="1"/>
  <c r="S1297" i="1"/>
  <c r="S1228" i="1"/>
  <c r="S538" i="1"/>
  <c r="S2029" i="1"/>
  <c r="S2115" i="1"/>
  <c r="S2082" i="1"/>
  <c r="S1913" i="1"/>
  <c r="S1649" i="1"/>
  <c r="S1236" i="1"/>
  <c r="S1197" i="1"/>
  <c r="S818" i="1"/>
  <c r="S521" i="1"/>
  <c r="S475" i="1"/>
  <c r="S115" i="1"/>
  <c r="S8" i="1"/>
  <c r="M135" i="1"/>
  <c r="S1897" i="1"/>
  <c r="S850" i="1"/>
  <c r="S2044" i="1"/>
  <c r="S1840" i="1"/>
  <c r="S1764" i="1"/>
  <c r="S1712" i="1"/>
  <c r="S1648" i="1"/>
  <c r="S1562" i="1"/>
  <c r="S1462" i="1"/>
  <c r="S1336" i="1"/>
  <c r="S1320" i="1"/>
  <c r="S1014" i="1"/>
  <c r="S991" i="1"/>
  <c r="S894" i="1"/>
  <c r="S741" i="1"/>
  <c r="S357" i="1"/>
  <c r="S296" i="1"/>
  <c r="S220" i="1"/>
  <c r="S778" i="1"/>
  <c r="S760" i="1"/>
  <c r="S800" i="1"/>
  <c r="S758" i="1"/>
  <c r="S22" i="1"/>
  <c r="S1909" i="1"/>
  <c r="R1518" i="1"/>
  <c r="S1518" i="1"/>
  <c r="S804" i="1"/>
  <c r="S378" i="1"/>
  <c r="S1535" i="1"/>
  <c r="S1896" i="1"/>
  <c r="S1541" i="1"/>
  <c r="S1538" i="1"/>
  <c r="S2114" i="1"/>
  <c r="S2102" i="1"/>
  <c r="S1748" i="1"/>
  <c r="S1569" i="1"/>
  <c r="S1912" i="1"/>
  <c r="S1781" i="1"/>
  <c r="S799" i="1"/>
  <c r="S1044" i="1"/>
  <c r="S1977" i="1"/>
  <c r="S1971" i="1"/>
  <c r="S1115" i="1"/>
  <c r="S1338" i="1"/>
  <c r="S906" i="1"/>
  <c r="S992" i="1"/>
  <c r="S985" i="1"/>
  <c r="S520" i="1"/>
  <c r="S63" i="1"/>
  <c r="S1700" i="1"/>
  <c r="S1919" i="1"/>
  <c r="S1755" i="1"/>
  <c r="S1723" i="1"/>
  <c r="S1530" i="1"/>
  <c r="S1479" i="1"/>
  <c r="S1313" i="1"/>
  <c r="S1129" i="1"/>
  <c r="S1015" i="1"/>
  <c r="S1010" i="1"/>
  <c r="S993" i="1"/>
  <c r="S984" i="1"/>
  <c r="S972" i="1"/>
  <c r="S923" i="1"/>
  <c r="S911" i="1"/>
  <c r="S902" i="1"/>
  <c r="S888" i="1"/>
  <c r="S844" i="1"/>
  <c r="S797" i="1"/>
  <c r="S767" i="1"/>
  <c r="S731" i="1"/>
  <c r="S762" i="1"/>
  <c r="S642" i="1"/>
  <c r="S543" i="1"/>
  <c r="S531" i="1"/>
  <c r="S469" i="1"/>
  <c r="S431" i="1"/>
  <c r="S7" i="1"/>
  <c r="S36" i="1"/>
  <c r="S795" i="1"/>
  <c r="S681" i="1"/>
  <c r="S666" i="1"/>
  <c r="S712" i="1"/>
  <c r="S1577" i="1"/>
  <c r="S1959" i="1"/>
  <c r="S1866" i="1"/>
  <c r="S1555" i="1"/>
  <c r="S1521" i="1"/>
  <c r="S1483" i="1"/>
  <c r="S1391" i="1"/>
  <c r="S1380" i="1"/>
  <c r="S1344" i="1"/>
  <c r="S1049" i="1"/>
  <c r="S1004" i="1"/>
  <c r="S963" i="1"/>
  <c r="S937" i="1"/>
  <c r="S801" i="1"/>
  <c r="S582" i="1"/>
  <c r="S503" i="1"/>
  <c r="S710" i="1"/>
  <c r="S634" i="1"/>
  <c r="S612" i="1"/>
  <c r="S519" i="1"/>
  <c r="S505" i="1"/>
  <c r="S90" i="1"/>
  <c r="S24" i="1"/>
  <c r="S15" i="1"/>
  <c r="S224" i="1"/>
  <c r="S1747" i="1"/>
  <c r="S2127" i="1"/>
  <c r="S1402" i="1"/>
  <c r="S1339" i="1"/>
  <c r="S1185" i="1"/>
  <c r="S1176" i="1"/>
  <c r="S1127" i="1"/>
  <c r="S777" i="1"/>
  <c r="S651" i="1"/>
  <c r="M229" i="1"/>
  <c r="S1253" i="1"/>
  <c r="S2121" i="1"/>
  <c r="S2079" i="1"/>
  <c r="S1938" i="1"/>
  <c r="S1988" i="1"/>
  <c r="S2089" i="1"/>
  <c r="S1982" i="1"/>
  <c r="S1970" i="1"/>
  <c r="S1918" i="1"/>
  <c r="S1857" i="1"/>
  <c r="S1853" i="1"/>
  <c r="S1817" i="1"/>
  <c r="S1751" i="1"/>
  <c r="S1621" i="1"/>
  <c r="S1477" i="1"/>
  <c r="S1053" i="1"/>
  <c r="S432" i="1"/>
  <c r="S206" i="1"/>
  <c r="S776" i="1"/>
  <c r="S18" i="1"/>
  <c r="S1984" i="1"/>
  <c r="S1526" i="1"/>
  <c r="S1299" i="1"/>
  <c r="S912" i="1"/>
  <c r="S1241" i="1"/>
  <c r="S606" i="1"/>
  <c r="S598" i="1"/>
  <c r="S127" i="1"/>
  <c r="S2017" i="1"/>
  <c r="S1867" i="1"/>
  <c r="S1777" i="1"/>
  <c r="S1802" i="1"/>
  <c r="S1779" i="1"/>
  <c r="S1744" i="1"/>
  <c r="S1626" i="1"/>
  <c r="S1490" i="1"/>
  <c r="S1291" i="1"/>
  <c r="S1217" i="1"/>
  <c r="S1133" i="1"/>
  <c r="S1041" i="1"/>
  <c r="S718" i="1"/>
  <c r="S89" i="1"/>
  <c r="S26" i="1"/>
  <c r="S1958" i="1"/>
  <c r="S2023" i="1"/>
  <c r="S2002" i="1"/>
  <c r="S1947" i="1"/>
  <c r="S2012" i="1"/>
  <c r="S1992" i="1"/>
  <c r="S1687" i="1"/>
  <c r="S1664" i="1"/>
  <c r="S1630" i="1"/>
  <c r="S1473" i="1"/>
  <c r="S1411" i="1"/>
  <c r="S1260" i="1"/>
  <c r="S921" i="1"/>
  <c r="S913" i="1"/>
  <c r="S1084" i="1"/>
  <c r="S998" i="1"/>
  <c r="S975" i="1"/>
  <c r="S950" i="1"/>
  <c r="S940" i="1"/>
  <c r="S944" i="1"/>
  <c r="S566" i="1"/>
  <c r="S453" i="1"/>
  <c r="S625" i="1"/>
  <c r="S590" i="1"/>
  <c r="S576" i="1"/>
  <c r="S450" i="1"/>
  <c r="S249" i="1"/>
  <c r="S157" i="1"/>
  <c r="S120" i="1"/>
  <c r="S239" i="1"/>
  <c r="S228" i="1"/>
  <c r="S11" i="1"/>
  <c r="P52" i="1"/>
  <c r="S52" i="1"/>
  <c r="S1017" i="1"/>
  <c r="S1019" i="1"/>
  <c r="S653" i="1"/>
  <c r="S977" i="1"/>
  <c r="S863" i="1"/>
  <c r="S820" i="1"/>
  <c r="S806" i="1"/>
  <c r="S616" i="1"/>
  <c r="S604" i="1"/>
  <c r="S1610" i="1"/>
  <c r="S1517" i="1"/>
  <c r="S1020" i="1"/>
  <c r="S2007" i="1"/>
  <c r="S2027" i="1"/>
  <c r="S2018" i="1"/>
  <c r="S1981" i="1"/>
  <c r="S1923" i="1"/>
  <c r="S1820" i="1"/>
  <c r="S1696" i="1"/>
  <c r="S1616" i="1"/>
  <c r="S1622" i="1"/>
  <c r="S1592" i="1"/>
  <c r="M1540" i="1"/>
  <c r="S1537" i="1"/>
  <c r="S1465" i="1"/>
  <c r="S1397" i="1"/>
  <c r="S1303" i="1"/>
  <c r="S1283" i="1"/>
  <c r="S1207" i="1"/>
  <c r="S978" i="1"/>
  <c r="S969" i="1"/>
  <c r="S918" i="1"/>
  <c r="S890" i="1"/>
  <c r="S743" i="1"/>
  <c r="S508" i="1"/>
  <c r="S631" i="1"/>
  <c r="S529" i="1"/>
  <c r="S841" i="1"/>
  <c r="S819" i="1"/>
  <c r="S728" i="1"/>
  <c r="S629" i="1"/>
  <c r="S394" i="1"/>
  <c r="S370" i="1"/>
  <c r="S318" i="1"/>
  <c r="S309" i="1"/>
  <c r="S273" i="1"/>
  <c r="R229" i="1"/>
  <c r="M51" i="1"/>
  <c r="S109" i="1"/>
  <c r="S1676" i="1"/>
  <c r="S1257" i="1"/>
  <c r="S1588" i="1"/>
  <c r="S1453" i="1"/>
  <c r="S999" i="1"/>
  <c r="S602" i="1"/>
  <c r="S465" i="1"/>
  <c r="S448" i="1"/>
  <c r="S219" i="1"/>
  <c r="S172" i="1"/>
  <c r="S641" i="1"/>
  <c r="S468" i="1"/>
  <c r="S495" i="1"/>
  <c r="S252" i="1"/>
  <c r="S222" i="1"/>
  <c r="S1388" i="1"/>
  <c r="S793" i="1"/>
  <c r="S759" i="1"/>
  <c r="S825" i="1"/>
  <c r="S101" i="1"/>
  <c r="S67" i="1"/>
  <c r="R136" i="1"/>
  <c r="S136" i="1"/>
  <c r="S32" i="1"/>
  <c r="S1924" i="1"/>
  <c r="S854" i="1"/>
  <c r="S608" i="1"/>
  <c r="S600" i="1"/>
  <c r="S539" i="1"/>
  <c r="S530" i="1"/>
  <c r="S493" i="1"/>
  <c r="S1972" i="1"/>
  <c r="S1997" i="1"/>
  <c r="P486" i="15"/>
  <c r="M2043" i="15"/>
  <c r="P2043" i="15"/>
  <c r="S2043" i="15"/>
  <c r="Q498" i="15"/>
  <c r="S498" i="15"/>
  <c r="M498" i="15"/>
  <c r="K486" i="15"/>
  <c r="Q486" i="15"/>
  <c r="L484" i="15"/>
  <c r="Q484" i="15"/>
  <c r="M2044" i="15"/>
  <c r="P2044" i="15"/>
  <c r="S2044" i="15"/>
  <c r="S277" i="15"/>
  <c r="S1766" i="1"/>
  <c r="S917" i="1"/>
  <c r="S1093" i="1"/>
  <c r="S366" i="1"/>
  <c r="M483" i="1"/>
  <c r="K498" i="1"/>
  <c r="Q498" i="1"/>
  <c r="S498" i="1"/>
  <c r="M2075" i="1"/>
  <c r="S1921" i="1"/>
  <c r="S1682" i="1"/>
  <c r="S976" i="1"/>
  <c r="S2051" i="1"/>
  <c r="S1773" i="1"/>
  <c r="S1765" i="1"/>
  <c r="S1743" i="1"/>
  <c r="S1735" i="1"/>
  <c r="S1673" i="1"/>
  <c r="S1644" i="1"/>
  <c r="S1679" i="1"/>
  <c r="S1446" i="1"/>
  <c r="S1463" i="1"/>
  <c r="S1188" i="1"/>
  <c r="S1181" i="1"/>
  <c r="S1155" i="1"/>
  <c r="S1132" i="1"/>
  <c r="S1101" i="1"/>
  <c r="S1095" i="1"/>
  <c r="S946" i="1"/>
  <c r="S901" i="1"/>
  <c r="S852" i="1"/>
  <c r="S730" i="1"/>
  <c r="S1026" i="1"/>
  <c r="S810" i="1"/>
  <c r="S705" i="1"/>
  <c r="S669" i="1"/>
  <c r="S738" i="1"/>
  <c r="S733" i="1"/>
  <c r="S699" i="1"/>
  <c r="S692" i="1"/>
  <c r="S688" i="1"/>
  <c r="S683" i="1"/>
  <c r="S650" i="1"/>
  <c r="S611" i="1"/>
  <c r="S583" i="1"/>
  <c r="S346" i="1"/>
  <c r="S424" i="1"/>
  <c r="S365" i="1"/>
  <c r="S313" i="1"/>
  <c r="S416" i="1"/>
  <c r="S237" i="1"/>
  <c r="S167" i="1"/>
  <c r="S78" i="1"/>
  <c r="S169" i="1"/>
  <c r="S68" i="1"/>
  <c r="Q230" i="1"/>
  <c r="S230" i="1"/>
  <c r="S131" i="1"/>
  <c r="S21" i="1"/>
  <c r="S1967" i="1"/>
  <c r="S2094" i="1"/>
  <c r="S1842" i="1"/>
  <c r="S1809" i="1"/>
  <c r="S1398" i="1"/>
  <c r="S1632" i="1"/>
  <c r="S1214" i="1"/>
  <c r="S1631" i="1"/>
  <c r="S1169" i="1"/>
  <c r="S1023" i="1"/>
  <c r="S753" i="1"/>
  <c r="S457" i="1"/>
  <c r="S454" i="1"/>
  <c r="S1383" i="1"/>
  <c r="S2065" i="1"/>
  <c r="S1994" i="1"/>
  <c r="M2126" i="1"/>
  <c r="S1990" i="1"/>
  <c r="S2033" i="1"/>
  <c r="S2126" i="1"/>
  <c r="S2119" i="1"/>
  <c r="S2084" i="1"/>
  <c r="S2066" i="1"/>
  <c r="S1980" i="1"/>
  <c r="S1983" i="1"/>
  <c r="S1979" i="1"/>
  <c r="S1839" i="1"/>
  <c r="S1816" i="1"/>
  <c r="S1787" i="1"/>
  <c r="S1782" i="1"/>
  <c r="S1769" i="1"/>
  <c r="S1730" i="1"/>
  <c r="S1684" i="1"/>
  <c r="S1525" i="1"/>
  <c r="S1590" i="1"/>
  <c r="S1440" i="1"/>
  <c r="S1337" i="1"/>
  <c r="S1315" i="1"/>
  <c r="S1309" i="1"/>
  <c r="S1300" i="1"/>
  <c r="S1295" i="1"/>
  <c r="S1285" i="1"/>
  <c r="S1248" i="1"/>
  <c r="S1159" i="1"/>
  <c r="S1148" i="1"/>
  <c r="S1225" i="1"/>
  <c r="S1187" i="1"/>
  <c r="S1149" i="1"/>
  <c r="S1144" i="1"/>
  <c r="S1139" i="1"/>
  <c r="S1123" i="1"/>
  <c r="S1088" i="1"/>
  <c r="S1100" i="1"/>
  <c r="S900" i="1"/>
  <c r="S861" i="1"/>
  <c r="S843" i="1"/>
  <c r="S832" i="1"/>
  <c r="S732" i="1"/>
  <c r="S727" i="1"/>
  <c r="S687" i="1"/>
  <c r="S588" i="1"/>
  <c r="S578" i="1"/>
  <c r="S464" i="1"/>
  <c r="S737" i="1"/>
  <c r="S649" i="1"/>
  <c r="M419" i="1"/>
  <c r="S380" i="1"/>
  <c r="M277" i="1"/>
  <c r="S235" i="1"/>
  <c r="S203" i="1"/>
  <c r="S190" i="1"/>
  <c r="S177" i="1"/>
  <c r="S397" i="1"/>
  <c r="S371" i="1"/>
  <c r="S333" i="1"/>
  <c r="S299" i="1"/>
  <c r="S293" i="1"/>
  <c r="S227" i="1"/>
  <c r="S106" i="1"/>
  <c r="S65" i="1"/>
  <c r="S112" i="1"/>
  <c r="S1926" i="1"/>
  <c r="S2099" i="1"/>
  <c r="S1899" i="1"/>
  <c r="S1665" i="1"/>
  <c r="S1278" i="1"/>
  <c r="S862" i="1"/>
  <c r="S786" i="1"/>
  <c r="S482" i="1"/>
  <c r="S188" i="1"/>
  <c r="S58" i="1"/>
  <c r="S110" i="1"/>
  <c r="S1775" i="1"/>
  <c r="S1035" i="1"/>
  <c r="S684" i="1"/>
  <c r="S527" i="1"/>
  <c r="S1874" i="1"/>
  <c r="S1879" i="1"/>
  <c r="S1752" i="1"/>
  <c r="S1643" i="1"/>
  <c r="S1505" i="1"/>
  <c r="S1501" i="1"/>
  <c r="S1439" i="1"/>
  <c r="S1342" i="1"/>
  <c r="S1274" i="1"/>
  <c r="S1147" i="1"/>
  <c r="S1280" i="1"/>
  <c r="S932" i="1"/>
  <c r="S773" i="1"/>
  <c r="S717" i="1"/>
  <c r="S817" i="1"/>
  <c r="S757" i="1"/>
  <c r="S569" i="1"/>
  <c r="S451" i="1"/>
  <c r="Q418" i="1"/>
  <c r="S418" i="1"/>
  <c r="S189" i="1"/>
  <c r="S133" i="1"/>
  <c r="P420" i="1"/>
  <c r="S420" i="1"/>
  <c r="S381" i="1"/>
  <c r="S483" i="1"/>
  <c r="S87" i="1"/>
  <c r="S114" i="1"/>
  <c r="M103" i="1"/>
  <c r="S99" i="1"/>
  <c r="S95" i="1"/>
  <c r="S46" i="1"/>
  <c r="S2096" i="1"/>
  <c r="S1612" i="1"/>
  <c r="S1183" i="1"/>
  <c r="S1738" i="1"/>
  <c r="S193" i="1"/>
  <c r="S716" i="1"/>
  <c r="S62" i="1"/>
  <c r="S25" i="1"/>
  <c r="S2025" i="1"/>
  <c r="S1661" i="1"/>
  <c r="S549" i="1"/>
  <c r="M417" i="1"/>
  <c r="P417" i="1"/>
  <c r="S417" i="1"/>
  <c r="S276" i="1"/>
  <c r="S2125" i="1"/>
  <c r="S2059" i="1"/>
  <c r="S2043" i="1"/>
  <c r="M2000" i="1"/>
  <c r="P2000" i="1"/>
  <c r="S2000" i="1"/>
  <c r="S1962" i="1"/>
  <c r="P2072" i="1"/>
  <c r="S2072" i="1"/>
  <c r="M2072" i="1"/>
  <c r="S1943" i="1"/>
  <c r="S1907" i="1"/>
  <c r="S1854" i="1"/>
  <c r="S1929" i="1"/>
  <c r="S1826" i="1"/>
  <c r="S1812" i="1"/>
  <c r="S1822" i="1"/>
  <c r="S1783" i="1"/>
  <c r="S1753" i="1"/>
  <c r="S1742" i="1"/>
  <c r="S1711" i="1"/>
  <c r="S1694" i="1"/>
  <c r="S1628" i="1"/>
  <c r="S1736" i="1"/>
  <c r="S1667" i="1"/>
  <c r="S1620" i="1"/>
  <c r="S1705" i="1"/>
  <c r="S1593" i="1"/>
  <c r="S1556" i="1"/>
  <c r="S1543" i="1"/>
  <c r="S1507" i="1"/>
  <c r="S1503" i="1"/>
  <c r="S1472" i="1"/>
  <c r="S1558" i="1"/>
  <c r="S1553" i="1"/>
  <c r="S1544" i="1"/>
  <c r="S1304" i="1"/>
  <c r="S1198" i="1"/>
  <c r="S1238" i="1"/>
  <c r="S1211" i="1"/>
  <c r="S1180" i="1"/>
  <c r="S1256" i="1"/>
  <c r="S1168" i="1"/>
  <c r="S1032" i="1"/>
  <c r="S877" i="1"/>
  <c r="S871" i="1"/>
  <c r="S1056" i="1"/>
  <c r="S1025" i="1"/>
  <c r="S874" i="1"/>
  <c r="S857" i="1"/>
  <c r="S805" i="1"/>
  <c r="S747" i="1"/>
  <c r="S725" i="1"/>
  <c r="S686" i="1"/>
  <c r="S656" i="1"/>
  <c r="S584" i="1"/>
  <c r="S509" i="1"/>
  <c r="S849" i="1"/>
  <c r="S814" i="1"/>
  <c r="S754" i="1"/>
  <c r="S721" i="1"/>
  <c r="S691" i="1"/>
  <c r="S665" i="1"/>
  <c r="S614" i="1"/>
  <c r="S589" i="1"/>
  <c r="S570" i="1"/>
  <c r="S548" i="1"/>
  <c r="S490" i="1"/>
  <c r="Q271" i="1"/>
  <c r="S271" i="1"/>
  <c r="M271" i="1"/>
  <c r="S266" i="1"/>
  <c r="S253" i="1"/>
  <c r="S187" i="1"/>
  <c r="S385" i="1"/>
  <c r="S341" i="1"/>
  <c r="S298" i="1"/>
  <c r="S292" i="1"/>
  <c r="S250" i="1"/>
  <c r="S238" i="1"/>
  <c r="S126" i="1"/>
  <c r="S100" i="1"/>
  <c r="S138" i="1"/>
  <c r="S134" i="1"/>
  <c r="S113" i="1"/>
  <c r="Q45" i="1"/>
  <c r="S45" i="1"/>
  <c r="S10" i="1"/>
  <c r="S195" i="1"/>
  <c r="S153" i="1"/>
  <c r="S119" i="1"/>
  <c r="S73" i="1"/>
  <c r="S60" i="1"/>
  <c r="S49" i="1"/>
  <c r="S27" i="1"/>
  <c r="S16" i="1"/>
  <c r="M268" i="1"/>
  <c r="Q229" i="1"/>
  <c r="S229" i="1"/>
  <c r="P51" i="1"/>
  <c r="S51" i="1"/>
  <c r="S2107" i="1"/>
  <c r="J2047" i="1"/>
  <c r="J2046" i="1"/>
  <c r="M2001" i="1"/>
  <c r="P2001" i="1"/>
  <c r="S2001" i="1"/>
  <c r="M2013" i="1"/>
  <c r="Q2013" i="1"/>
  <c r="S2013" i="1"/>
  <c r="S1714" i="1"/>
  <c r="S1527" i="1"/>
  <c r="L1499" i="1"/>
  <c r="L1498" i="1"/>
  <c r="M1498" i="1"/>
  <c r="K1508" i="1"/>
  <c r="Q1508" i="1"/>
  <c r="S748" i="1"/>
  <c r="S567" i="1"/>
  <c r="S516" i="1"/>
  <c r="S491" i="1"/>
  <c r="K181" i="1"/>
  <c r="Q181" i="1"/>
  <c r="Q178" i="1"/>
  <c r="M182" i="1"/>
  <c r="P182" i="1"/>
  <c r="S182" i="1"/>
  <c r="M179" i="1"/>
  <c r="P179" i="1"/>
  <c r="S179" i="1"/>
  <c r="S440" i="1"/>
  <c r="S268" i="1"/>
  <c r="M300" i="1"/>
  <c r="J304" i="1"/>
  <c r="M497" i="1"/>
  <c r="Q64" i="1"/>
  <c r="S64" i="1"/>
  <c r="M64" i="1"/>
  <c r="S161" i="1"/>
  <c r="S2081" i="1"/>
  <c r="S2058" i="1"/>
  <c r="S2008" i="1"/>
  <c r="S2030" i="1"/>
  <c r="P2075" i="1"/>
  <c r="S2075" i="1"/>
  <c r="P2073" i="1"/>
  <c r="S2073" i="1"/>
  <c r="M2073" i="1"/>
  <c r="S1945" i="1"/>
  <c r="S1911" i="1"/>
  <c r="S1906" i="1"/>
  <c r="S1878" i="1"/>
  <c r="S1858" i="1"/>
  <c r="S1843" i="1"/>
  <c r="S1825" i="1"/>
  <c r="S1818" i="1"/>
  <c r="S1803" i="1"/>
  <c r="S1837" i="1"/>
  <c r="S1804" i="1"/>
  <c r="S1759" i="1"/>
  <c r="S1746" i="1"/>
  <c r="S1737" i="1"/>
  <c r="S1720" i="1"/>
  <c r="S1636" i="1"/>
  <c r="S1591" i="1"/>
  <c r="S1721" i="1"/>
  <c r="S1683" i="1"/>
  <c r="S1641" i="1"/>
  <c r="S1629" i="1"/>
  <c r="S1625" i="1"/>
  <c r="S1528" i="1"/>
  <c r="S1523" i="1"/>
  <c r="S1546" i="1"/>
  <c r="S1545" i="1"/>
  <c r="S1524" i="1"/>
  <c r="S1510" i="1"/>
  <c r="S1506" i="1"/>
  <c r="S1502" i="1"/>
  <c r="S1464" i="1"/>
  <c r="S1447" i="1"/>
  <c r="S1433" i="1"/>
  <c r="P1508" i="1"/>
  <c r="S1419" i="1"/>
  <c r="M1455" i="1"/>
  <c r="S1392" i="1"/>
  <c r="S1394" i="1"/>
  <c r="Q1455" i="1"/>
  <c r="S1455" i="1"/>
  <c r="S1326" i="1"/>
  <c r="S1243" i="1"/>
  <c r="S1206" i="1"/>
  <c r="S1247" i="1"/>
  <c r="S1209" i="1"/>
  <c r="S1156" i="1"/>
  <c r="S1141" i="1"/>
  <c r="S1012" i="1"/>
  <c r="S930" i="1"/>
  <c r="S907" i="1"/>
  <c r="S876" i="1"/>
  <c r="S870" i="1"/>
  <c r="S1039" i="1"/>
  <c r="S1024" i="1"/>
  <c r="S989" i="1"/>
  <c r="S880" i="1"/>
  <c r="S873" i="1"/>
  <c r="S1064" i="1"/>
  <c r="S746" i="1"/>
  <c r="S848" i="1"/>
  <c r="S837" i="1"/>
  <c r="S796" i="1"/>
  <c r="S661" i="1"/>
  <c r="S845" i="1"/>
  <c r="S831" i="1"/>
  <c r="S726" i="1"/>
  <c r="S711" i="1"/>
  <c r="S690" i="1"/>
  <c r="S660" i="1"/>
  <c r="S565" i="1"/>
  <c r="S547" i="1"/>
  <c r="S528" i="1"/>
  <c r="S487" i="1"/>
  <c r="S467" i="1"/>
  <c r="S441" i="1"/>
  <c r="S358" i="1"/>
  <c r="S311" i="1"/>
  <c r="M303" i="1"/>
  <c r="P303" i="1"/>
  <c r="S303" i="1"/>
  <c r="S294" i="1"/>
  <c r="S200" i="1"/>
  <c r="J181" i="1"/>
  <c r="M178" i="1"/>
  <c r="P178" i="1"/>
  <c r="S419" i="1"/>
  <c r="S390" i="1"/>
  <c r="S384" i="1"/>
  <c r="S340" i="1"/>
  <c r="S283" i="1"/>
  <c r="S267" i="1"/>
  <c r="S236" i="1"/>
  <c r="S218" i="1"/>
  <c r="P484" i="1"/>
  <c r="K484" i="1"/>
  <c r="J486" i="1"/>
  <c r="S415" i="1"/>
  <c r="S240" i="1"/>
  <c r="S205" i="1"/>
  <c r="S132" i="1"/>
  <c r="M66" i="1"/>
  <c r="M67" i="1"/>
  <c r="S104" i="1"/>
  <c r="Q66" i="1"/>
  <c r="S66" i="1"/>
  <c r="S53" i="1"/>
  <c r="S50" i="1"/>
  <c r="S17" i="1"/>
  <c r="S82" i="1"/>
  <c r="S44" i="1"/>
  <c r="S23" i="1"/>
  <c r="P103" i="1"/>
  <c r="S103" i="1"/>
  <c r="S2062" i="1"/>
  <c r="S1754" i="1"/>
  <c r="S1704" i="1"/>
  <c r="S1364" i="1"/>
  <c r="S1116" i="1"/>
  <c r="P425" i="1"/>
  <c r="S425" i="1"/>
  <c r="M425" i="1"/>
  <c r="S668" i="1"/>
  <c r="S632" i="1"/>
  <c r="S2109" i="1"/>
  <c r="S2055" i="1"/>
  <c r="P2074" i="1"/>
  <c r="S2074" i="1"/>
  <c r="M2074" i="1"/>
  <c r="S1845" i="1"/>
  <c r="S1944" i="1"/>
  <c r="S1935" i="1"/>
  <c r="S1824" i="1"/>
  <c r="S1821" i="1"/>
  <c r="S1841" i="1"/>
  <c r="S1800" i="1"/>
  <c r="S1815" i="1"/>
  <c r="S1728" i="1"/>
  <c r="S1658" i="1"/>
  <c r="S1624" i="1"/>
  <c r="S1595" i="1"/>
  <c r="S1547" i="1"/>
  <c r="S1539" i="1"/>
  <c r="S1552" i="1"/>
  <c r="S1540" i="1"/>
  <c r="S1516" i="1"/>
  <c r="S1509" i="1"/>
  <c r="S1548" i="1"/>
  <c r="M1484" i="1"/>
  <c r="P1484" i="1"/>
  <c r="S1484" i="1"/>
  <c r="S1296" i="1"/>
  <c r="S1264" i="1"/>
  <c r="S1239" i="1"/>
  <c r="S1200" i="1"/>
  <c r="S1224" i="1"/>
  <c r="S1118" i="1"/>
  <c r="S1091" i="1"/>
  <c r="S1037" i="1"/>
  <c r="S1050" i="1"/>
  <c r="S1021" i="1"/>
  <c r="S1016" i="1"/>
  <c r="S942" i="1"/>
  <c r="S986" i="1"/>
  <c r="S827" i="1"/>
  <c r="S802" i="1"/>
  <c r="S739" i="1"/>
  <c r="S697" i="1"/>
  <c r="S682" i="1"/>
  <c r="S568" i="1"/>
  <c r="S830" i="1"/>
  <c r="S792" i="1"/>
  <c r="S693" i="1"/>
  <c r="S657" i="1"/>
  <c r="S648" i="1"/>
  <c r="S630" i="1"/>
  <c r="S550" i="1"/>
  <c r="P497" i="1"/>
  <c r="S497" i="1"/>
  <c r="Q272" i="1"/>
  <c r="S272" i="1"/>
  <c r="M272" i="1"/>
  <c r="S401" i="1"/>
  <c r="S383" i="1"/>
  <c r="S377" i="1"/>
  <c r="S339" i="1"/>
  <c r="S300" i="1"/>
  <c r="S403" i="1"/>
  <c r="S137" i="1"/>
  <c r="S135" i="1"/>
  <c r="S111" i="1"/>
  <c r="S105" i="1"/>
  <c r="M496" i="1"/>
  <c r="P496" i="1"/>
  <c r="S496" i="1"/>
  <c r="S74" i="1"/>
  <c r="S61" i="1"/>
  <c r="S37" i="1"/>
  <c r="S207" i="1"/>
  <c r="S102" i="1"/>
  <c r="S79" i="1"/>
  <c r="M65" i="1"/>
  <c r="S43" i="1"/>
  <c r="S168" i="1"/>
  <c r="M498" i="1"/>
  <c r="S178" i="1"/>
  <c r="L486" i="15"/>
  <c r="R486" i="15"/>
  <c r="S486" i="15"/>
  <c r="R484" i="15"/>
  <c r="S484" i="15"/>
  <c r="M484" i="15"/>
  <c r="L1508" i="1"/>
  <c r="R1498" i="1"/>
  <c r="S1498" i="1"/>
  <c r="M2046" i="1"/>
  <c r="P2046" i="1"/>
  <c r="S2046" i="1"/>
  <c r="Q484" i="1"/>
  <c r="K486" i="1"/>
  <c r="Q486" i="1"/>
  <c r="L484" i="1"/>
  <c r="M304" i="1"/>
  <c r="P304" i="1"/>
  <c r="S304" i="1"/>
  <c r="R1499" i="1"/>
  <c r="S1499" i="1"/>
  <c r="M1499" i="1"/>
  <c r="M2047" i="1"/>
  <c r="P2047" i="1"/>
  <c r="S2047" i="1"/>
  <c r="M181" i="1"/>
  <c r="P181" i="1"/>
  <c r="S181" i="1"/>
  <c r="P486" i="1"/>
  <c r="M486" i="15"/>
  <c r="L486" i="1"/>
  <c r="R484" i="1"/>
  <c r="M484" i="1"/>
  <c r="R1508" i="1"/>
  <c r="S1508" i="1"/>
  <c r="M1508" i="1"/>
  <c r="S484" i="1"/>
  <c r="R486" i="1"/>
  <c r="S486" i="1"/>
  <c r="M486" i="1"/>
</calcChain>
</file>

<file path=xl/sharedStrings.xml><?xml version="1.0" encoding="utf-8"?>
<sst xmlns="http://schemas.openxmlformats.org/spreadsheetml/2006/main" count="40039" uniqueCount="3495">
  <si>
    <t>PAPB_version_validée_CIPC_09-10-2019</t>
  </si>
  <si>
    <t>Cod Prog</t>
  </si>
  <si>
    <t>Cod SPr</t>
  </si>
  <si>
    <t>Cod Res</t>
  </si>
  <si>
    <t>Cod Str</t>
  </si>
  <si>
    <t>Cod Act</t>
  </si>
  <si>
    <t>Activités</t>
  </si>
  <si>
    <t>Nature</t>
  </si>
  <si>
    <t>Unité de compte</t>
  </si>
  <si>
    <t>Qnté 2019</t>
  </si>
  <si>
    <t>Qnté 2020</t>
  </si>
  <si>
    <t>Qnté 2021</t>
  </si>
  <si>
    <t>Qnté 2022</t>
  </si>
  <si>
    <t>Qnté Total</t>
  </si>
  <si>
    <t>Coût Unitaire</t>
  </si>
  <si>
    <t>Montant 2019</t>
  </si>
  <si>
    <t>Montant 2020</t>
  </si>
  <si>
    <t>Montant 2021</t>
  </si>
  <si>
    <t>Montant 2022</t>
  </si>
  <si>
    <t>Montant Total          2019-2022</t>
  </si>
  <si>
    <t>Financement</t>
  </si>
  <si>
    <t>Code_CDMT_programme</t>
  </si>
  <si>
    <t>Code_CDMT_nature de la dépense</t>
  </si>
  <si>
    <t>Services responsables</t>
  </si>
  <si>
    <t xml:space="preserve">Services de mise en œuvre </t>
  </si>
  <si>
    <t>Départements</t>
  </si>
  <si>
    <t>Programme</t>
  </si>
  <si>
    <t>Sous programme</t>
  </si>
  <si>
    <t>Resultats</t>
  </si>
  <si>
    <t>Stratégie</t>
  </si>
  <si>
    <t>Code_Activité</t>
  </si>
  <si>
    <t>Accès et équité à l'enseignement général</t>
  </si>
  <si>
    <t>MENA</t>
  </si>
  <si>
    <t>Accès équitable au préscolaire</t>
  </si>
  <si>
    <t xml:space="preserve"> Le préscolaire est réorganisé</t>
  </si>
  <si>
    <t>Réorganisation de l’offre du préscolaire (de 3 à 2 ans)</t>
  </si>
  <si>
    <t>Validation politique des normes et standards du préscolaire (projet disponible)</t>
  </si>
  <si>
    <t>Atelier</t>
  </si>
  <si>
    <t>h/j/a</t>
  </si>
  <si>
    <t>BM</t>
  </si>
  <si>
    <t>MENA_Programme 2. Développement du préscolaire</t>
  </si>
  <si>
    <t>DNEP</t>
  </si>
  <si>
    <t>Finalisation du document politique du préscolaire</t>
  </si>
  <si>
    <t>Reprographie du document de politique du préscolaire et les normes et standards</t>
  </si>
  <si>
    <t>Impression</t>
  </si>
  <si>
    <t>IMP/PR</t>
  </si>
  <si>
    <t xml:space="preserve">Vulgarisation au niveau régional de la politique et les normes et standards du préscolaire  </t>
  </si>
  <si>
    <t xml:space="preserve">Ateliers </t>
  </si>
  <si>
    <t xml:space="preserve">Vulgarisation au niveau préfectoral du document de politique du préscolaire et des normes et standards  </t>
  </si>
  <si>
    <t>Adaptation du mode de fonctionnement du préscolaire</t>
  </si>
  <si>
    <t>Formation des encadreurs du préscolaire au niveau IRE, DPE/DCE, DSEE sur l'encadrement du préscolaire (y compris les classes uniques au Préscolaire)/pris en compte dans activité 23327</t>
  </si>
  <si>
    <t>Formation</t>
  </si>
  <si>
    <t>h/f</t>
  </si>
  <si>
    <t>Mise en place des classes uniques du préscolaire dans les écoles primaires publiques en zone rurale</t>
  </si>
  <si>
    <t>Décision</t>
  </si>
  <si>
    <t>sif</t>
  </si>
  <si>
    <t>GG</t>
  </si>
  <si>
    <t>Supervision des CEC et des établissements préscolaires publics</t>
  </si>
  <si>
    <t>Mission</t>
  </si>
  <si>
    <t>h/j/m</t>
  </si>
  <si>
    <t>CHILDFUND</t>
  </si>
  <si>
    <t xml:space="preserve">Formation des éducateurs sur la gestion des classes uniques </t>
  </si>
  <si>
    <t>IRE/DPE</t>
  </si>
  <si>
    <t xml:space="preserve"> La demande de préscolarisation est stimulée</t>
  </si>
  <si>
    <t>Sensibilisation des communautés sur l'importance de la préscolarisation des enfants et la nouvelle organisation du préscolaire</t>
  </si>
  <si>
    <t>Conception des messages publicitaires et des affiches sur la préscolarisation des enfants</t>
  </si>
  <si>
    <t>h/j/ap</t>
  </si>
  <si>
    <t>UNICEF</t>
  </si>
  <si>
    <t>Impression et distribution des outils de sensibilisation des communautés sur la préscolarisation des enfants (Affiches, boîtes à image, etc.)</t>
  </si>
  <si>
    <t>outils de sensibilisation</t>
  </si>
  <si>
    <t>Kit/DSEE</t>
  </si>
  <si>
    <t>Diffusions des messages dans les médias sur la préscolarisation des enfants</t>
  </si>
  <si>
    <t>Emission</t>
  </si>
  <si>
    <t>diffusion</t>
  </si>
  <si>
    <t xml:space="preserve">Sensibilisation des communautés sur la préscolarisation des enfants à l'intérieur du pays </t>
  </si>
  <si>
    <t>campagne de sensibilisation</t>
  </si>
  <si>
    <t>campagne</t>
  </si>
  <si>
    <t>DPE/DCE</t>
  </si>
  <si>
    <t>Prise en charge des enfants du préscolaire par les cantines des écoles situées à proximité</t>
  </si>
  <si>
    <t>Identification des CEC situés à proximité des écoles à cantines</t>
  </si>
  <si>
    <t>Travaux administratifs</t>
  </si>
  <si>
    <t>DNCAS</t>
  </si>
  <si>
    <t>Acquisition et distribution des vivres supplémentaires</t>
  </si>
  <si>
    <t>Ration alimentaire</t>
  </si>
  <si>
    <t>rat/éléve</t>
  </si>
  <si>
    <t>Suivi de la gestion des cantines scolaires</t>
  </si>
  <si>
    <t>Création de cantines au niveau des CEC éloignés des écoles primaires à cantine</t>
  </si>
  <si>
    <t>Identification des CEC éloignés des écoles primaires à cantine</t>
  </si>
  <si>
    <t>travaux administratifs</t>
  </si>
  <si>
    <t xml:space="preserve">Implantation des nouvelles cantines dans les CEC en concertation avec les communautés </t>
  </si>
  <si>
    <t>Acquisition et distribution des vivres aux CEC à cantine</t>
  </si>
  <si>
    <t>Suivi de la gestion des cantines préscolaires (pris en compte dans activité 11223)</t>
  </si>
  <si>
    <t>pm</t>
  </si>
  <si>
    <t xml:space="preserve"> Les capacités d’accueil au préscolaire public et communautaires augmentent en milieux rural et urbain</t>
  </si>
  <si>
    <t>Construction d'établissements préscolaires publics en zone urbaine</t>
  </si>
  <si>
    <t>Identification des sites de construction des établissements préscolaires publics</t>
  </si>
  <si>
    <t>BSD</t>
  </si>
  <si>
    <t>Confirmation des sites de construction des établissements préscolaires publics</t>
  </si>
  <si>
    <t>SNIES</t>
  </si>
  <si>
    <t>Etude du plan-type d'établissement préscolaire préfectoral public</t>
  </si>
  <si>
    <t>assistance technique</t>
  </si>
  <si>
    <t>h/j/cn</t>
  </si>
  <si>
    <t>Exécution des travaux de construction des établissements préscolaires publics</t>
  </si>
  <si>
    <t>Construction</t>
  </si>
  <si>
    <t>SDC/pr</t>
  </si>
  <si>
    <t>Equipement des établissements préscolaires public en mobiliers et matériels ludiques</t>
  </si>
  <si>
    <t>Equipement</t>
  </si>
  <si>
    <t>EQ/SDC/pr</t>
  </si>
  <si>
    <t>Supervision des travaux de construction des établissements préscolaires publics</t>
  </si>
  <si>
    <t>Supervision</t>
  </si>
  <si>
    <t>sup</t>
  </si>
  <si>
    <t>Construction de salles d’activités de préprimaire à coté des écoles primaires publiques à cantine en zone rurale</t>
  </si>
  <si>
    <t xml:space="preserve">Identification des sites de construction des salles d’activités de pré primaire </t>
  </si>
  <si>
    <t xml:space="preserve">Confirmation des sites de construction des salles d’activités de pré primaire </t>
  </si>
  <si>
    <t>Exécution des travaux de construction des salles d'activité de pré primaire</t>
  </si>
  <si>
    <t>Construction de salle</t>
  </si>
  <si>
    <t>Equipement des salles de pré primaire en mobiliers et matériels ludiques</t>
  </si>
  <si>
    <t>Equipement par salle</t>
  </si>
  <si>
    <t>AR</t>
  </si>
  <si>
    <t>Supervision des travaux de construction et d'équipement des salles d'activité de pré primaire</t>
  </si>
  <si>
    <t>Construction/réhabilitation/rénovation de CEC</t>
  </si>
  <si>
    <t xml:space="preserve">Evaluation/inventaire des CEC existants </t>
  </si>
  <si>
    <t xml:space="preserve">Identification des CEC à rénover/réhabiliter </t>
  </si>
  <si>
    <t>Réunion</t>
  </si>
  <si>
    <t>Confirmation des sites de construction des nouveaux CEC (par les partenaires)</t>
  </si>
  <si>
    <t>Exécution des travaux de réhabilitation/rénovation des CEC</t>
  </si>
  <si>
    <t>réh/cec</t>
  </si>
  <si>
    <t>Exécution des travaux de construction des nouveaux CEC</t>
  </si>
  <si>
    <t>cons/cec</t>
  </si>
  <si>
    <t>PLAN</t>
  </si>
  <si>
    <t xml:space="preserve">Equipement des CEC en mobiliers </t>
  </si>
  <si>
    <t>Mobilier par salle</t>
  </si>
  <si>
    <t>EQ/CEC</t>
  </si>
  <si>
    <t>Equipement des CEC en matériels ludiques</t>
  </si>
  <si>
    <t xml:space="preserve">Equipement </t>
  </si>
  <si>
    <t>m.lud/cec</t>
  </si>
  <si>
    <t>Supervision des travaux de construction/ réhabilitation/ rénovation /équipement des CEC</t>
  </si>
  <si>
    <t>Supervisions</t>
  </si>
  <si>
    <t>sup/reh</t>
  </si>
  <si>
    <t xml:space="preserve"> Les CEC et les établissements préscolaires publics sont dotées en éducateurs en nombre suffisant </t>
  </si>
  <si>
    <t>Recrutement d’éducateurs en nombre suffisant</t>
  </si>
  <si>
    <t>Identification des besoins en tenant compte des capacités d'accueil</t>
  </si>
  <si>
    <t>DRH</t>
  </si>
  <si>
    <t>Organisation de concours de recrutement des éducateurs au niveau déconcentré/décentralisé (organisé par la fonction publique)</t>
  </si>
  <si>
    <t>FP</t>
  </si>
  <si>
    <t>Prise en charge des candidats retenus après leur prise de service</t>
  </si>
  <si>
    <t>Salaire</t>
  </si>
  <si>
    <t>edu</t>
  </si>
  <si>
    <t>prise en charge des salaires du personnel dans les établissements du préscolaire</t>
  </si>
  <si>
    <t>salaires</t>
  </si>
  <si>
    <t>MS/préscolaire</t>
  </si>
  <si>
    <t>Suivi de l'allocation des éducateurs aux établissements (pris en compte dans gouvernance)</t>
  </si>
  <si>
    <t>Prise en charge progressive de la rémunération des éducateurs communautaires par l’Etat</t>
  </si>
  <si>
    <t>Identification et évaluation des éducateurs communautaires en service</t>
  </si>
  <si>
    <t>Prise en charge des élèves-éducateurs certifiés après leur reprise de service</t>
  </si>
  <si>
    <t>Subvention par éducateur</t>
  </si>
  <si>
    <t>sub/ed</t>
  </si>
  <si>
    <t>Prise en charge des aides-éducateurs par l’Etat à travers de subventions aux comités de gestion</t>
  </si>
  <si>
    <t>Identification et évaluation des aides-éducateurs communautaires en service ( Voir activité 11421)</t>
  </si>
  <si>
    <t>PM</t>
  </si>
  <si>
    <t>CT</t>
  </si>
  <si>
    <t>Elaboration et adoption d'un protocole d'accord avec les CR pour la prise en charge des aides-éducateurs</t>
  </si>
  <si>
    <t>Prise en charge des aides-éducateurs suivant le protocole adopté (pris en charge par les CT)</t>
  </si>
  <si>
    <t xml:space="preserve"> Accès équitable et achèvement du primaire</t>
  </si>
  <si>
    <t xml:space="preserve"> Tous les enfants de 6 ans sont inscrits au primaire </t>
  </si>
  <si>
    <t>Identification des causes de la faiblesse de la scolarisation</t>
  </si>
  <si>
    <t>Etude sur les causes de la faible scolarisation</t>
  </si>
  <si>
    <t>Assistance technique</t>
  </si>
  <si>
    <t>forfait/étud/fscol</t>
  </si>
  <si>
    <t>BAS</t>
  </si>
  <si>
    <t>MENA_Programme 3. Enseignement élémentaire</t>
  </si>
  <si>
    <t>Information/sensibilisation des parents pour la scolarisation des enfants en particulier les filles dans les zones à faible taux de scolarisation</t>
  </si>
  <si>
    <t>Conception de messages publicitaires</t>
  </si>
  <si>
    <t>STGE</t>
  </si>
  <si>
    <t>Diffusions des messages dans les médias</t>
  </si>
  <si>
    <t>Missions de sensibilisation des communautés dans les sous-préfectures les moins scolarisées (genre et entrées précoces)</t>
  </si>
  <si>
    <t>Sensibilisation des enseignants et encadreurs sur la question de genre et les entrées précoces à l'école</t>
  </si>
  <si>
    <t>mission</t>
  </si>
  <si>
    <t>FoCEB</t>
  </si>
  <si>
    <t>IRE/DPE/DCE</t>
  </si>
  <si>
    <t>Incitation de la demande de scolarisation par la création des cantines dans les milieux défavorisés y compris les écoles FA</t>
  </si>
  <si>
    <t>DéFinition concertée de critères de choix des écoles devant bénéficier de cantines</t>
  </si>
  <si>
    <t>Travaux administratif</t>
  </si>
  <si>
    <t>Identification des écoles prioritaires sur la base des critères retenus</t>
  </si>
  <si>
    <t xml:space="preserve">Implantation des nouvelles cantines en concertation avec les communautés </t>
  </si>
  <si>
    <t>Acquisition et distribution des vivres pour les cantines scolaires</t>
  </si>
  <si>
    <t>Rat/éléve</t>
  </si>
  <si>
    <t>PAM</t>
  </si>
  <si>
    <t>Suivi des cantines scolaires</t>
  </si>
  <si>
    <t>Mise en place d'une stratégie de scolarisation des enfants des foyers coraniques et des centres de mémorisation du Saint Coran</t>
  </si>
  <si>
    <t>Recensement des écoles arabo-islamiques, des foyers coraniques et des centres de mémorisation du saint Coran</t>
  </si>
  <si>
    <t>BID</t>
  </si>
  <si>
    <t>DNEF</t>
  </si>
  <si>
    <t>DSEE</t>
  </si>
  <si>
    <t>Elaboration d'une stratégie de scolarisation des enfants des écoles arabo-islamiques, des foyers coraniques et des centres de mémorisation du saint Coran</t>
  </si>
  <si>
    <t>Etude</t>
  </si>
  <si>
    <t>Consultant national</t>
  </si>
  <si>
    <t>Validation et diffusion de la stratégie de scolarisation des enfants des écoles arabo-islamiques, des foyers coraniques et des centres de mémorisation du saint Coran</t>
  </si>
  <si>
    <t>Mise en œuvre de la stratégie de scolarisation des enfants des écoles arabo-islamiques, des foyers coraniques et des centres de mémorisation du saint Coran</t>
  </si>
  <si>
    <t>Appui</t>
  </si>
  <si>
    <t>sub/foyers cor/an</t>
  </si>
  <si>
    <t>Suivi/évaluation de la mise en œuvre de la stratégie</t>
  </si>
  <si>
    <t xml:space="preserve"> Toutes les localités disposent d’écoles primaires avec des infrastructures adéquates  </t>
  </si>
  <si>
    <t>Rénovation/réhabilitation de salles de classe en tenant compte de la prévention des catastrophes naturels, y compris dans les FA</t>
  </si>
  <si>
    <t>Identification des écoles devant bénéficier de réhabilitation ou de rénovation de salles de classe en tenant compte de la prévention des catastrophes naturels (travaux effectués par les communes)</t>
  </si>
  <si>
    <t>Communes</t>
  </si>
  <si>
    <t>ANAFIC</t>
  </si>
  <si>
    <t>Rénovation/réhabilitation de salles de classe, y compris dans les FA</t>
  </si>
  <si>
    <t>Rénovation d'une classe</t>
  </si>
  <si>
    <t>réh/sdc/prim</t>
  </si>
  <si>
    <t>Communes/ANAFIC/SNIES/</t>
  </si>
  <si>
    <t>Supervision des travaux de réhabilitation/rénovation des salles de classe</t>
  </si>
  <si>
    <t>Suivi/évaluation de la réhabilitation/rénovation des salles de classe (voir suivi construction activité 122210)</t>
  </si>
  <si>
    <t>Mission pm</t>
  </si>
  <si>
    <t>Construction et équipement de salles de classe au primaire avec rampe d’accès et en tenant compte de la prévention des catastrophes naturels</t>
  </si>
  <si>
    <t>Identification de sites de nouvelles constructions ou d'extension</t>
  </si>
  <si>
    <t>Validation des sites devant bénéficier de construction de salles de classe</t>
  </si>
  <si>
    <t>Réalisation des travaux de construction des salles de classe maitrise d'ouvrage des communes</t>
  </si>
  <si>
    <t>cons/sdc/prim</t>
  </si>
  <si>
    <t>Réalisation des travaux de construction des salles de classe maitrise d'ouvrage SNIES</t>
  </si>
  <si>
    <t>Réalisation des travaux de construction des salles de classe maitrise d'ouvrage ONG</t>
  </si>
  <si>
    <t>Allemagne</t>
  </si>
  <si>
    <t>ONG</t>
  </si>
  <si>
    <t>Réalisation des travaux de construction de 123 salles de classe, latrines et équipement (maitrise d'ouvrage partenaire)</t>
  </si>
  <si>
    <t>consprim/japon</t>
  </si>
  <si>
    <t>Équipement des salles de classe en mobiliers scolaires (communes)</t>
  </si>
  <si>
    <t>EQ/SDC/prim</t>
  </si>
  <si>
    <t>Equipement des salles de classe en mobiliers scolaires (SNIES)</t>
  </si>
  <si>
    <t>Equipement des salles de classe en mobiliers scolaires (ONG)</t>
  </si>
  <si>
    <t>Supervision des travaux de construction et d'équipement des salles de classe (maitrise d'ouvrage des communes)</t>
  </si>
  <si>
    <t>Supervision des travaux de construction et d'équipement des salles de classe (maitrise d'ouvrage SNIES)</t>
  </si>
  <si>
    <t>Supervision des travaux de construction et d'équipement des salles de classe (maitrise d'ouvrage ONG)</t>
  </si>
  <si>
    <t>Suivi évaluation des constructions (à tous les niveaux de l'enseignement général et les réhabilitations)</t>
  </si>
  <si>
    <t xml:space="preserve"> Toutes les écoles primaires publiques et communautaires sont dotées en enseignants en nombre suffisant, y compris les FA</t>
  </si>
  <si>
    <t>Recrutement d’enseignants</t>
  </si>
  <si>
    <t>Identification des besoins en enseignants</t>
  </si>
  <si>
    <t>FP/DPE/DCE/ Communes</t>
  </si>
  <si>
    <t>Organisation de concours de recrutement des enseignants au niveau déconcentré/décentralisé (pris en charge par les frais d'inscription)</t>
  </si>
  <si>
    <t>Concours</t>
  </si>
  <si>
    <t>FP/MDB</t>
  </si>
  <si>
    <t>masse salariale annuelle des nouveaux enseignant</t>
  </si>
  <si>
    <t>sal/ens</t>
  </si>
  <si>
    <t>BSD/DRH</t>
  </si>
  <si>
    <t>Suivi de l'allocation des enseignants</t>
  </si>
  <si>
    <t>Prise en charge progressive des enseignants communautaires</t>
  </si>
  <si>
    <t>Identification de qualification des enseignants communautaires en service</t>
  </si>
  <si>
    <t>DPE/DSEE</t>
  </si>
  <si>
    <t>Formation des enseignants communautaires à l'ENI (pris en compte dans budget ENI)</t>
  </si>
  <si>
    <t>ENI</t>
  </si>
  <si>
    <t>Prise en charge des maîtres communautaires certifiés (pris en compte dans activité 12313)</t>
  </si>
  <si>
    <t>Optimisation de l’utilisation des enseignants</t>
  </si>
  <si>
    <t>Réactualisation des critères de redéploiement des enseignants en concertation avec les syndicats</t>
  </si>
  <si>
    <t>Identification des enseignants sans charge horaire (pris en compte dans le budget des structures déconcentrées)</t>
  </si>
  <si>
    <t>Redéploiement des enseignants sans charge vers les zones déficitaires</t>
  </si>
  <si>
    <t>Cabinet</t>
  </si>
  <si>
    <t>SG</t>
  </si>
  <si>
    <t>Suivi du redéploiement des enseignants (pris en compte dans activité 12314)</t>
  </si>
  <si>
    <t>Paiement des salaires des enseignants en service</t>
  </si>
  <si>
    <t>MS/primaire</t>
  </si>
  <si>
    <t>Renforcement des mesures incitatives pour le maintien des enseignants dans les zones difficiles</t>
  </si>
  <si>
    <t>Travaux préparatoires de la concertation sur les mesures incitatives à mettre en place en faveur des enseignants (enveloppes des primes accordées aux enseignants, nombre de bénéficiaires : craie, prime de zone, multigrade, critères, etc.)</t>
  </si>
  <si>
    <t>Concertation avec les partenaires sociaux (en particulier les syndicats) pour l'identification des mesures incitatives pour le maintien des enseignants dans les zones difficiles</t>
  </si>
  <si>
    <t>Concertation</t>
  </si>
  <si>
    <t>CABINET</t>
  </si>
  <si>
    <t xml:space="preserve">Validation des mesures incitatives et des modalités de paiement pour le maintien des enseignants dans les zones difficiles </t>
  </si>
  <si>
    <t>Adoption du document portant les modalités d'octroi et de paiement des primes aux enseignants (craie, zones, etc.)</t>
  </si>
  <si>
    <t>Identification annuelle des enseignants des zones difficiles devant bénéficier des mesures incitatives (pris en compte dans budget services déconcentrés)</t>
  </si>
  <si>
    <t>Octroi des avantages aux enseignants évoluant dans les zones difficiles (pris en compte dans le salaire moyen des enseignants)</t>
  </si>
  <si>
    <t>DRH/FP/Budget</t>
  </si>
  <si>
    <t>Suivi de l'octroi des primes et autres avantages (pour tous les niveaux)</t>
  </si>
  <si>
    <t>DRH/IGE/BSD</t>
  </si>
  <si>
    <t>Normalisation des enseignement dans les écoles FA privées</t>
  </si>
  <si>
    <t>Etude diagnostique de l'enseignement FA en Guinée</t>
  </si>
  <si>
    <t>IGE</t>
  </si>
  <si>
    <t xml:space="preserve">Elaboration d'un cahier de charge type et d'un modèle d'un plan de modernisation </t>
  </si>
  <si>
    <t>Concertation et diffusion auprès des promoteurs des écoles FA</t>
  </si>
  <si>
    <t xml:space="preserve">Elaboration de plan de normalisation par les écoles FA </t>
  </si>
  <si>
    <t>FA</t>
  </si>
  <si>
    <t>Choix des écoles à normaliser et signature de contrat de normalisation</t>
  </si>
  <si>
    <t>Appui aux écoles retenues</t>
  </si>
  <si>
    <t xml:space="preserve">dotation annuelle </t>
  </si>
  <si>
    <t>env/FA</t>
  </si>
  <si>
    <t>IRE</t>
  </si>
  <si>
    <t>Suivi de la normalisation des écoles retenues</t>
  </si>
  <si>
    <t>Remplacement de salles de classe précaires, y compris dans les FA</t>
  </si>
  <si>
    <t>Identification des écoles avec des classes précaires (hangars, banco, paille, etc.)</t>
  </si>
  <si>
    <t>Construction de salles de classe pour le remplacement des salles de classe précaires, y compris dans les FA (maitrise d'ouvrage communes)</t>
  </si>
  <si>
    <t>Construction de salles de classe pour le remplacement des salles de classe précaires, y compris dans les FA maitrise d'ouvrage SNIES</t>
  </si>
  <si>
    <t>Construction de salles de classe pour le remplacement des salles de classe précaires, y compris dans les FA maitrise d'ouvrage ONG</t>
  </si>
  <si>
    <t>Equipement des salles de classe en mobiliers scolaires (communes)</t>
  </si>
  <si>
    <t>Supervision des travaux de construction de salles de classe pour le remplacement des salles de classe précaires, y compris dans les FA</t>
  </si>
  <si>
    <t xml:space="preserve"> Toutes les écoles primaires, y compris les FA, offrent aux élèves des conditions favorables à leur maintien, en particulier, les filles</t>
  </si>
  <si>
    <t>Adaptation du mode de fonctionnement de l’école aux ressources disponibles pour assurer la continuité éducative</t>
  </si>
  <si>
    <t>Voyage d'études pour s'enquérir des expériences de certains pays dans la mise en place des écoles à classe unique</t>
  </si>
  <si>
    <t>Voyage</t>
  </si>
  <si>
    <t>voy/per</t>
  </si>
  <si>
    <t>PSE</t>
  </si>
  <si>
    <t>Atelier intégré pour dégager les rôles et responsabilités, formation, capitalisation des acquis du voyage d'études et actualisation du reférentiel de compétences</t>
  </si>
  <si>
    <t>atelier</t>
  </si>
  <si>
    <t>Révision des normes de fonctionnement des écoles (mode de recrutement, Ratio élèves/enseignant maximum, minimum, double-vacation, CMG, etc.)</t>
  </si>
  <si>
    <t>Formation des encadreurs au niveau IRE, DPE/DCE, DSEE sur la stratégie d'optimisation de l'utilisation des ressources (salles, enseignants) : Double-flux, CMG</t>
  </si>
  <si>
    <t>h/j/f</t>
  </si>
  <si>
    <t>Mise en place des classes multigrades, double vacation dans les écoles primaires en fonction de leur situation</t>
  </si>
  <si>
    <t>Formation des enseignants sur la gestion des classes multigrades, uniques ou à effectif pléthoriques</t>
  </si>
  <si>
    <t>DPE/DSSE</t>
  </si>
  <si>
    <t>Supervision du fonctionnement des CMG, des CDV, classe unique</t>
  </si>
  <si>
    <t>Lutte contre les violences sur le chemin de l’école, dans les écoles, et dans les familles, particulièrement envers les filles</t>
  </si>
  <si>
    <t>Etude sur les violences en milieu scolaire</t>
  </si>
  <si>
    <t>forfait /viol</t>
  </si>
  <si>
    <t>DNEC</t>
  </si>
  <si>
    <t>Actualisation des textes règlementaires sur les violences en milieu scolaire</t>
  </si>
  <si>
    <t>ST/CGE/DNEC/IGE</t>
  </si>
  <si>
    <t>Impression des textes règlementaires sur les violences en milieu scolaire</t>
  </si>
  <si>
    <t>Imp</t>
  </si>
  <si>
    <t>Vulgarisation des textes règlementaires sur les violences en milieu scolaire</t>
  </si>
  <si>
    <t>Ateliers</t>
  </si>
  <si>
    <t>ST/CGE/DNEC</t>
  </si>
  <si>
    <t xml:space="preserve">Sensibilisation des élèves, enseignants et parents d'élèves sur les méfaits des différentes formes de violences </t>
  </si>
  <si>
    <t>Mise en place de structures de veille sur les violences en milieu scolaires</t>
  </si>
  <si>
    <t>Renforcement des conseils de discipline au sein des établissements scolaires en matière de violences</t>
  </si>
  <si>
    <t>Appui à la stratégie de tutorat en faveur des élèves vulnérables, notamment les filles (par les communautés)</t>
  </si>
  <si>
    <t>décision</t>
  </si>
  <si>
    <t>ST/CGE</t>
  </si>
  <si>
    <t>Prise en charge psychosociale des filles victimes de violences</t>
  </si>
  <si>
    <t>dot/an/dsee</t>
  </si>
  <si>
    <t>Suivi/évaluation des activités sur les violences en milieu scolaire</t>
  </si>
  <si>
    <t>DNEC/ST/CGE/IGE</t>
  </si>
  <si>
    <t xml:space="preserve"> Accès à l’éducation non formelle</t>
  </si>
  <si>
    <t>La demande de scolarisation non formelle est accrue chez les enfants déscolarisés et les non scolarisés</t>
  </si>
  <si>
    <t>Information/sensibilisation des communautés sur l’offre d’éducation non-formelle</t>
  </si>
  <si>
    <t>MENA_Programme 5. Alphabétisation et éducation non formelle</t>
  </si>
  <si>
    <t>DNAENF</t>
  </si>
  <si>
    <t xml:space="preserve">Missions de sensibilisation des communautés </t>
  </si>
  <si>
    <t>Octroi de kits scolaires auxs apprenants</t>
  </si>
  <si>
    <t>Acquisition et distribution des kits scolaires</t>
  </si>
  <si>
    <t>Kit par apprenant</t>
  </si>
  <si>
    <t>Kit/app</t>
  </si>
  <si>
    <t>Suivi/évaluation de la distribution des kits scolaires</t>
  </si>
  <si>
    <t>Prise en charge des apprenants du non formelle par les cantines des écoles situées à proximité</t>
  </si>
  <si>
    <t>Identification des centres Nafa situés à proximité des écoles à cantines</t>
  </si>
  <si>
    <t>Ration</t>
  </si>
  <si>
    <t>Suivi de la gestion des cantines scolaires dans les centres Nafa (voir suivi cantines activités 12125)</t>
  </si>
  <si>
    <t xml:space="preserve"> L’offre d’éducation non formelle est diversifiée</t>
  </si>
  <si>
    <t>Elargissement de l’approche de la scolarisation primaire accélérée</t>
  </si>
  <si>
    <t>Elargissement progressif de l’approche de la scolarisation primaire accélérée</t>
  </si>
  <si>
    <t>Partage de l'expérience de Télimélé sur l’approche de la scolarisation primaire accélérée</t>
  </si>
  <si>
    <t>Toilettage des programmes des classes accélérés</t>
  </si>
  <si>
    <t>INRAP</t>
  </si>
  <si>
    <t>Validation des nouveaux programmes</t>
  </si>
  <si>
    <t>Reprographie des nouveaux programmes et des guides</t>
  </si>
  <si>
    <t>imp/pr</t>
  </si>
  <si>
    <t>Vulgarisation et formation des encadreurs sur les programmes accéléré</t>
  </si>
  <si>
    <t>h/j/fr</t>
  </si>
  <si>
    <t>Formation des enseignants à l'approche de la scolarisation primaire accélérée (évaluation des élèves, etc.)</t>
  </si>
  <si>
    <t xml:space="preserve">Sensibilisation des parents et du personnel enseignant à l'approche de la scolarisation primaire accélérée </t>
  </si>
  <si>
    <t>mission de sensibilisation</t>
  </si>
  <si>
    <t xml:space="preserve">Mise place progressive de l'approche de la scolarisation primaire accélérée dans les écoles </t>
  </si>
  <si>
    <t>Acquisition et distribution de fourniture scolaire et de matériel didactique pour les élèves au primaire)</t>
  </si>
  <si>
    <t>Fourniture</t>
  </si>
  <si>
    <t>kit/élév/ca</t>
  </si>
  <si>
    <t>Réorganisation de l'horaire des cours pour optimiser l’utilisation des infrastructures existantes en vue d’assurer la scolarisation accélérée</t>
  </si>
  <si>
    <t>Suivi/évaluation de l'approche de la scolarisation primaire accélérée</t>
  </si>
  <si>
    <t>Réorganisation de l’apprentissage dans les centres NAFA en fonction des besoins locaux et développement des passerelles entre le formel et le non formel</t>
  </si>
  <si>
    <t>Révision des contenus des programmes pour favoriser les passerelles (programmes NAFA)</t>
  </si>
  <si>
    <t xml:space="preserve">Formation des enseignants </t>
  </si>
  <si>
    <t>Suivi/évaluation de l'application des passerelles</t>
  </si>
  <si>
    <t>supervision</t>
  </si>
  <si>
    <t>DCE/DPE</t>
  </si>
  <si>
    <t>Diversification des métiers en fonction de l'économie locale</t>
  </si>
  <si>
    <t>Formation des animateurs à l'approche Nafa</t>
  </si>
  <si>
    <t>Les capacités d’accueil d’éducation non formelle se sont accrues</t>
  </si>
  <si>
    <t>Construction/Réhabilitation/Renovation des centres NAFA</t>
  </si>
  <si>
    <t>Identification des centres à rénover et des sites de construction de nouveaux centres NAFA (effectuée par les structures déconcentrées)</t>
  </si>
  <si>
    <t>Réhabilitation des centres existants</t>
  </si>
  <si>
    <t>Réhabilitation</t>
  </si>
  <si>
    <t>réh/nafa</t>
  </si>
  <si>
    <t>Construction de nouveaux centres Nafa</t>
  </si>
  <si>
    <t>centre/nafa</t>
  </si>
  <si>
    <t>Supervision des travaux de construction/réhabilitation des centres Nafa</t>
  </si>
  <si>
    <t>Dotation des centres NAFA en équipements et mobilier</t>
  </si>
  <si>
    <t>Estimation des besoins en mobilier et équipement des centres Nafa</t>
  </si>
  <si>
    <t>Acquisition et distribution des mobiliers pour les nouveaux centres Nafa</t>
  </si>
  <si>
    <t>mobilier</t>
  </si>
  <si>
    <t>mob/nafa</t>
  </si>
  <si>
    <t>Acquisition et distribution des équipements pour les centres Nafa</t>
  </si>
  <si>
    <t xml:space="preserve">équipement </t>
  </si>
  <si>
    <t>EQ/nafa</t>
  </si>
  <si>
    <t>Suivi de la distribution des mobiliers et équipements des centres Nafa</t>
  </si>
  <si>
    <t>Dotation des centres NAFA en matières d'œuvre</t>
  </si>
  <si>
    <t xml:space="preserve">Acquisition et distribution de matières d'œuvre </t>
  </si>
  <si>
    <t>Dotation par centre</t>
  </si>
  <si>
    <t>dot/nafa</t>
  </si>
  <si>
    <t>Suivi/évaluation de la distribution des matières d'œuvre</t>
  </si>
  <si>
    <t xml:space="preserve"> Accès et équité au collège</t>
  </si>
  <si>
    <t xml:space="preserve"> L’accès au collège est amélioré en tenant compte de l’équité et de l’élargissement de l’éducation de base</t>
  </si>
  <si>
    <t>Réorganisation du collège (tronc commun, collège de proximité etc)</t>
  </si>
  <si>
    <t>Révision des textes de fonctionnement des collèges</t>
  </si>
  <si>
    <t xml:space="preserve">MENA_Sous-programme 4.1. Collège </t>
  </si>
  <si>
    <t>DNESGT</t>
  </si>
  <si>
    <t>Diffusion et partage des nouveaux textes</t>
  </si>
  <si>
    <t>Adaptation des curricula des collèges (voir qualité)</t>
  </si>
  <si>
    <t>Introduction progressive de l'apprentissage des métiers traditionnels locaux au collège</t>
  </si>
  <si>
    <t>Suivi/évaluation du fonctionnement des nouveaux collèges (voir implantation des nouveaux programmes)</t>
  </si>
  <si>
    <t>Optimisation de l’utilisation des salles de classe au collège, y compris les FA</t>
  </si>
  <si>
    <t>Généralisation progressive de la stratégie de double flux aux collèges ruraux</t>
  </si>
  <si>
    <t>Suivi/évaluation du fonctionnement des double-flux collèges (Pris en compte dans les budgets des IRE)</t>
  </si>
  <si>
    <t>Construction/réhabilitation/rénovation de salles de classe avec rampe d’accès au Collège en tenant compte de la prévention des catastrophes naturelles, y compris les FA</t>
  </si>
  <si>
    <t>Identification des établissements et des localités devant bénéficier de construction de réhabilitation ou de rénovation de salles de classe au Collège (budget IRE)</t>
  </si>
  <si>
    <t>Réalisation des travaux de réhabilitation ou de rénovation des salles de classe</t>
  </si>
  <si>
    <t>réh/sdc/col</t>
  </si>
  <si>
    <t>Réalisation des travaux de construction des salles de classe</t>
  </si>
  <si>
    <t>cons/sdc/col</t>
  </si>
  <si>
    <t>Construction de 63 classes, latrines et équipement (maitrise d'ouvrage partenaire)</t>
  </si>
  <si>
    <t>conscol/japon</t>
  </si>
  <si>
    <t>JICA</t>
  </si>
  <si>
    <t>Equipement des salles de classe en mobiliers scolaires</t>
  </si>
  <si>
    <t>Mobilier</t>
  </si>
  <si>
    <t>EQ/SDC/col</t>
  </si>
  <si>
    <t>Supervision de la construction, réhabilitation et de l'équipement des salles de classe</t>
  </si>
  <si>
    <t xml:space="preserve"> Tous les Collèges publics sont dotés en enseignants en nombre suffisant </t>
  </si>
  <si>
    <t>Recrutement d’enseignants en nombre suffisant</t>
  </si>
  <si>
    <t>BSD/IRE</t>
  </si>
  <si>
    <t xml:space="preserve">Organisation de concours de recrutement des enseignants au niveau déconcentré/décentralisé </t>
  </si>
  <si>
    <t>MP</t>
  </si>
  <si>
    <t>sal/ens/col</t>
  </si>
  <si>
    <t>Prise en charge du personnel en service dans les établissements du premier cycle du secondaire</t>
  </si>
  <si>
    <t>MS/col</t>
  </si>
  <si>
    <t>Prise en charge progressive des enseignants contractuels communautaire</t>
  </si>
  <si>
    <t>Identification et évaluation des enseignants contractuels communautaire en service</t>
  </si>
  <si>
    <t>SNFPP</t>
  </si>
  <si>
    <t>Formation des enseignants communautaires en service ayant les qualifications nécessaires à l'ISSEG (Budget ISSEG)</t>
  </si>
  <si>
    <t>ISSEG</t>
  </si>
  <si>
    <t>Prise en charge des élèves-enseignants certifiés après leur reprise de service (pris en compte dans activité 14213)</t>
  </si>
  <si>
    <t>DéFinition des normes et critères de fonctionnement des Collèges (Ratio élèves/GP maximum, minimum, double-vacation.)</t>
  </si>
  <si>
    <t>Validation des normes et critères de fonctionnement des Collèges (Ratio élèves/GP maximum, minimum, double-vacation.)</t>
  </si>
  <si>
    <t>Formation des encadreurs au niveau IRE, DPE/DCE sur la stratégie d'optimisation de l'utilisation des ressources (salles, enseignants)</t>
  </si>
  <si>
    <t>formation</t>
  </si>
  <si>
    <t>Supervision de l'utilisation des enseignants et salles de classe (pris en compte dans budget structures déconcentrées)</t>
  </si>
  <si>
    <t>Identification des mesures incitatives pour le maintien des enseignants dans les zones difficiles en concertation avec les syndicats, y compris la prime de zone (voir activité 12341)</t>
  </si>
  <si>
    <t>Validation et adoption des mesures incitatives (activité 12342 et 12343)</t>
  </si>
  <si>
    <t>Identification des enseignants dans zones difficiles devant bénéficier des avantages (voir activité 12345)</t>
  </si>
  <si>
    <t>MDB</t>
  </si>
  <si>
    <t>Suivi de l'octroi des primes et autres avantages et réactualisation annuelles des listes (activité 12347)</t>
  </si>
  <si>
    <t xml:space="preserve"> Tous les Collèges offrent aux élèves des conditions favorables à leur maintien</t>
  </si>
  <si>
    <t>Adaptation du calendrier scolaire des Collèges aux conditions locales et aux dates des examens nationaux</t>
  </si>
  <si>
    <t>Concertation sur les critères d'adaptation du calendrier scolaire aux réalités locales et en tenant compte du calendrier des examens nationaux (activité organisée par les structures déconcentrées sur leur budget)</t>
  </si>
  <si>
    <t>Aménagement des calendriers scolaires en fonction des réalités de chaque établissement</t>
  </si>
  <si>
    <t>Textes</t>
  </si>
  <si>
    <t>Lutte contre les violences et les harcèlements subis par les filles sur le chemin de l’école et dans les écoles (pris en compte dans 1242)</t>
  </si>
  <si>
    <t>Actualisation des textes règlementaires sur les violences en milieu scolaire (pris en compte dans act. 12421)</t>
  </si>
  <si>
    <t xml:space="preserve">Impression des textes règlementaires sur les violences en milieu scolaire </t>
  </si>
  <si>
    <t>impression</t>
  </si>
  <si>
    <t>imp</t>
  </si>
  <si>
    <t>Vulgarisation des textes règlementaires sur les violences en milieu scolaire (compris dans activité 12423)</t>
  </si>
  <si>
    <t>sensibilisation</t>
  </si>
  <si>
    <t>Mise en place de structures de veille sur les violences en milieu scolaires (12425)</t>
  </si>
  <si>
    <t>Appui à la stratégie de tutorat en faveur des élèves vulnérables, notamment les filles</t>
  </si>
  <si>
    <t>dotation</t>
  </si>
  <si>
    <t>dot/STGE</t>
  </si>
  <si>
    <t>Suivi/évaluation des activités sur les violences en milieu scolaire (activité 12429)</t>
  </si>
  <si>
    <t xml:space="preserve"> Promotion de l'éducation inclusive, y compris les FA</t>
  </si>
  <si>
    <t xml:space="preserve"> L'environnement d’enseignement et d'apprentissage est adapté aux besoins spécifiques  des enfants en situation de handicap</t>
  </si>
  <si>
    <t>Identification des établissements devant bénéficier de construction de rampes d'accès (activité 12221)</t>
  </si>
  <si>
    <t>BSD/DPE/DCE</t>
  </si>
  <si>
    <t>Réalisation des travaux de construction des rampes d'accès</t>
  </si>
  <si>
    <t>rampe</t>
  </si>
  <si>
    <t>Supervision de la construction des rampes d'accès (pris en compte dans supervision des constructions et de la réhabilitation)</t>
  </si>
  <si>
    <t>Identification des sites devant bénéficier de construction de latrines adaptées aux personnes vivant avec un handicap en fonction de la disponibilité de rampes d'accès</t>
  </si>
  <si>
    <t>Validation des sites devant bénéficier de construction de latrines adaptées aux personnes vivant avec un handicap en fonction de la disponibilité de rampes d'accès</t>
  </si>
  <si>
    <t>SNIES/BSD</t>
  </si>
  <si>
    <t>Réalisation des travaux de construction des latrines adaptées</t>
  </si>
  <si>
    <t>construction</t>
  </si>
  <si>
    <t>latrine/hand</t>
  </si>
  <si>
    <t>Construction de latrines (pris en compte dans activité 12226 et 14135)</t>
  </si>
  <si>
    <t>Supervision de la construction des latrines adaptées (pris en compte dans supervision des constructions et de la réhabilitation)</t>
  </si>
  <si>
    <t xml:space="preserve"> Un protocole d’assistance matérielle, humaine et technique est élaboré et adopté</t>
  </si>
  <si>
    <t>Mise en place et actualisation de la cartographie des enfants en situation de handicap (ESH)</t>
  </si>
  <si>
    <t>Elaboration des outils de collecte des données sur les élèves en situation de handicap à intégrer dans le questionnaire de collecte des BSD</t>
  </si>
  <si>
    <t>Validation des outils de collecte des données sur les élèves en situation de handicap à intégrer dans le questionnaire de collecte des BSD</t>
  </si>
  <si>
    <t>Intégration des outils de collecte des données sur les élèves en situation de handicap dans la BDD du BSD</t>
  </si>
  <si>
    <t>Formation des agents de collecte sur les outils (pris en compte dans formation des enquêteurs)</t>
  </si>
  <si>
    <t>Collecte des données sur les ESH (dans le cadre de l'enquête annuelle)</t>
  </si>
  <si>
    <t>Traitement des données sur les ESH (dans le cadre de l'enquête annuelle)</t>
  </si>
  <si>
    <t>Prise en charge des ESH en matériels adaptés et en assistance sociale</t>
  </si>
  <si>
    <t>Identification des équipements et matériels spécialisés nécessaires par type de handicap</t>
  </si>
  <si>
    <t>Exploitation des données</t>
  </si>
  <si>
    <t>Plaidoirie pour la mobilisation des équipements et matériels spécialisés (appareillages orthopédiques, prothèses auditives, lunettes, canne, béquilles et fauteuils roulants)</t>
  </si>
  <si>
    <t>Forum</t>
  </si>
  <si>
    <t>Acquisition des équipements et matériels spécialisés en faveur des ESH (Divers dons en nature et acquisition de compléments)</t>
  </si>
  <si>
    <t xml:space="preserve">Distribution des équipements et matériels spécialisés en faveur des ESH dans les écoles et établissements scolaires </t>
  </si>
  <si>
    <t>acquisition matériels spécialisés</t>
  </si>
  <si>
    <t>dot/esh</t>
  </si>
  <si>
    <t>Plaidoirie pour la mobilisation des personnes ressources (assistants, interprètes/traducteurs, guides, soutien scolaire)</t>
  </si>
  <si>
    <t xml:space="preserve"> L'éducation inclusive est intégrée dans la prise de décision par les différents acteurs</t>
  </si>
  <si>
    <t>Renforcement des capacités en éducation inclusive (pilotage, directeurs, enseignants)</t>
  </si>
  <si>
    <t>Elaboration d'une politique et de normes pour l'éducation inclusive et mise en place de mécanismes de soutien aux écoles</t>
  </si>
  <si>
    <t>divers</t>
  </si>
  <si>
    <t>forfait /EI</t>
  </si>
  <si>
    <t>Constitution d'une équipe de cadre nationaux pour la prise en charge des ESH</t>
  </si>
  <si>
    <t>Renforcement des capacités de l'équipe nationale dans la prise en charge des ESH</t>
  </si>
  <si>
    <t>Formation à l'extérieur</t>
  </si>
  <si>
    <t>Cu/fe</t>
  </si>
  <si>
    <t>Diffusion des textes de loi sur l'inclusion</t>
  </si>
  <si>
    <t>réprographie</t>
  </si>
  <si>
    <t>Formation des encadreurs régionaux et préfectoraux par l'équipe nationale en stratégie de prise en charge des ESH</t>
  </si>
  <si>
    <t>Formation des directeurs d'école et enseignants en stratégie de prise en charge des ESH par les structures déconcentrées</t>
  </si>
  <si>
    <t>h/j/fp</t>
  </si>
  <si>
    <t>Sensibilisation des différents acteurs en éducation sur l'éducation inclusive</t>
  </si>
  <si>
    <t>Production des supports de sensibilisation des différents acteurs (décideurs, structures déconcentrées, directeurs, enseignants, communautés, OPH) sur la prise en charge des enfants en situation de handicap</t>
  </si>
  <si>
    <t>Diffusion des outils de sensibilisation des différents acteurs sur la prise en charge des enfants en situation de handicap à travers les médias</t>
  </si>
  <si>
    <t>Message</t>
  </si>
  <si>
    <t xml:space="preserve">Sensibilisation des parents d'enfants en situation de handicap pour la scolarisation de leurs enfants </t>
  </si>
  <si>
    <t xml:space="preserve"> DPE/DCE</t>
  </si>
  <si>
    <t>DE</t>
  </si>
  <si>
    <t>Renforcement de la gratuité de l'école primaire</t>
  </si>
  <si>
    <t>Etude d'opportunité et appui à la mobilisation de Financements locaux pour la prise en charge des coûts indirects de la scolarisation des enfants issus des milieux défavorisés</t>
  </si>
  <si>
    <t>DéFinition concertée des critères de choix des élèves devant bénéficier de fournitures scolaires</t>
  </si>
  <si>
    <t>Identification des élèves devant bénéficier de fournitures scolaires sur la base des critères retenus</t>
  </si>
  <si>
    <t>Acquisition et distribution des fournitures aux enfants défavorisés</t>
  </si>
  <si>
    <t>Achat</t>
  </si>
  <si>
    <t>kit/élév</t>
  </si>
  <si>
    <t>DAF</t>
  </si>
  <si>
    <t>Suivi/évaluation de la distribution des fournitures scolaires (audit échantillon annuel)</t>
  </si>
  <si>
    <t>Audit/DAF</t>
  </si>
  <si>
    <t xml:space="preserve"> Accès et équité au lycée</t>
  </si>
  <si>
    <t xml:space="preserve"> L’accès au lycée est maitrisé en tenant compte de l’équité et de la diversification des filières</t>
  </si>
  <si>
    <t>Diversification des filières au lycée</t>
  </si>
  <si>
    <t>Construction et équipement de lycées techniques</t>
  </si>
  <si>
    <t>LT</t>
  </si>
  <si>
    <t>MENA_Sous-programme 4.2. Lycée</t>
  </si>
  <si>
    <t>Optimisation de l’utilisation des salles de classe au lycée, y compris les FA</t>
  </si>
  <si>
    <t>Identification d'une stratégie d'optimisation de l'utilisation des salles de classes et des enseignants dans les établissements</t>
  </si>
  <si>
    <t>Mise en place de la stratégie d'optimisation de l'utilisation des salles de classes et des enseignants dans les établissements</t>
  </si>
  <si>
    <t>Suivi/évaluation du fonctionnement des établissements en lien avec la nouvelle organisation</t>
  </si>
  <si>
    <t>suivi par les IRE</t>
  </si>
  <si>
    <t>Construction de salles de classe avec rampe d’accès au lycée en tenant compte de la prévention des catastrophes naturelles, y compris les FA</t>
  </si>
  <si>
    <t>Identification des établissements et des localités devant bénéficier de construction de salles de classe au Lycée (pris en compte dans activité 12222)</t>
  </si>
  <si>
    <t>Validation des sites devant bénéficier de construction de salles de classe (Pris en compte dans activité 12222)</t>
  </si>
  <si>
    <t>BSD/SNIES/IRE</t>
  </si>
  <si>
    <t>cons/sdc/lyc</t>
  </si>
  <si>
    <t>EQ/SDC/lyc</t>
  </si>
  <si>
    <t xml:space="preserve">Supervision de la construction des salles de classe </t>
  </si>
  <si>
    <t>Réhabilitation/rénovation de salles de classe au Lycée en tenant compte de la prévention des catastrophes naturelles, y compris les FA</t>
  </si>
  <si>
    <t>Identification des établissements et des localités devant bénéficier de réhabilitation ou de rénovation de salles de classe (activité 12222)</t>
  </si>
  <si>
    <t>Validation des sites devant bénéficier de réhabilitation/rénovation (activité 12222)</t>
  </si>
  <si>
    <t>réh/sdc/Lyc</t>
  </si>
  <si>
    <t>Entreprises</t>
  </si>
  <si>
    <t xml:space="preserve">Supervision de la réhabilitation et de l'équipement des salles de classe </t>
  </si>
  <si>
    <t>Superviseurs</t>
  </si>
  <si>
    <t> Tous les lycées publics sont dotés en enseignants en nombre suffisant, y compris les FA</t>
  </si>
  <si>
    <t>Recrutement d’enseignants de lycée en nombre suffisant, y compris les FA</t>
  </si>
  <si>
    <t xml:space="preserve">Organisation de concours de recrutement des enseignants </t>
  </si>
  <si>
    <t>FP/IRE</t>
  </si>
  <si>
    <t>Masse salariale annuelle des nouveaux enseignant</t>
  </si>
  <si>
    <t>sal/ens/Lyc</t>
  </si>
  <si>
    <t>Prise en charge du personnel dans les établissements du secondaire second cycle</t>
  </si>
  <si>
    <t xml:space="preserve">Masse salariale annuelle </t>
  </si>
  <si>
    <t>MS/lyc</t>
  </si>
  <si>
    <t>Suivi de l'allocation des enseignants (pris en compte activité 12314)</t>
  </si>
  <si>
    <t>Prise en charge progressive des enseignants contractuels au lycée, y compris les FA</t>
  </si>
  <si>
    <t>Identification et évaluation des enseignants contractuels en service</t>
  </si>
  <si>
    <t>Prise en charge des élèves-enseignants certifiés après leur reprise de service (pris en compte dans activité 16213)</t>
  </si>
  <si>
    <t>Optimisation de l’utilisation des enseignants au lycée, y compris les FA</t>
  </si>
  <si>
    <t>DéFinition des normes et critères de fonctionnement des lycées (Ratio élèves/GP maximum, minimum, double-vacation.)</t>
  </si>
  <si>
    <t>Validation des normes et critères de fonctionnement des Lycées (Ratio élèves/GP maximum, minimum, double-vacation.)</t>
  </si>
  <si>
    <t xml:space="preserve"> Santé et hygiène scolaires </t>
  </si>
  <si>
    <t xml:space="preserve"> Les conditions d'hygiène sont améliorées au sein des écoles et établissements</t>
  </si>
  <si>
    <t>Construction/rénovation des latrines séparées</t>
  </si>
  <si>
    <t>Identification des centres, écoles et établissements devant bénéficier de construction ou de rénovation de latrines</t>
  </si>
  <si>
    <t>Confirmation des sites de construction ou de rénovation de latrines (activité 12222)</t>
  </si>
  <si>
    <t>Rénovation/réhabilitation de latrines, y compris dans les FA (réhabilitation de 30% des latrines ayant besoin d'être réhabilités existantes courant ProDEG)</t>
  </si>
  <si>
    <t>reh/lat</t>
  </si>
  <si>
    <t>Construction de latrines séparées (filles/garçons) en faveur des écoles, centres et établissement scolaires, y compris les FA ne disposant pas de latrines (dotation de 30% sur la période)</t>
  </si>
  <si>
    <t>latrine</t>
  </si>
  <si>
    <t>Construction de bloc de latrines séparées (filles/garçons) en faveur des écoles, établissement scolaires, construits (100% des nouvelles écoles disposent de latrines)</t>
  </si>
  <si>
    <t>Supervision de la construction/rénovation des latrines et de points d'eau</t>
  </si>
  <si>
    <t>sup/lat</t>
  </si>
  <si>
    <t>Suivi/évaluation de la construction/rénovation des latrines (voir 12226)</t>
  </si>
  <si>
    <t>BSD/IRE/DPE</t>
  </si>
  <si>
    <t>Aménagement/rénovation des point d'eau</t>
  </si>
  <si>
    <t>Identification des centres, écoles et établissements devant bénéficier d'aménagement ou de réhabilitation de points d'eau</t>
  </si>
  <si>
    <t>Confirmation des sites d'aménagement des points d'eau</t>
  </si>
  <si>
    <t>Rénovation/réhabilitation de points d'eau, y compris dans les FA</t>
  </si>
  <si>
    <t xml:space="preserve">travaux </t>
  </si>
  <si>
    <t>reh/point eau</t>
  </si>
  <si>
    <t>Aménagement de points d’eau en faveur des écoles, centres et établissement scolaires nouveaux</t>
  </si>
  <si>
    <t>point eau</t>
  </si>
  <si>
    <t>Aménagement de points d’eau en faveur des écoles, centres et établissement scolaires existants, y compris les FA</t>
  </si>
  <si>
    <t>Supervision de l'aménagement/rénovation des points d'eau (pris en compte dans supervision construction latrines)</t>
  </si>
  <si>
    <t>Suivi/évaluation de l'aménagement/rénovation des points d'eau (suivi travaux construction</t>
  </si>
  <si>
    <t>Mise en place de kits de lavage des mains dans les écoles et établissements</t>
  </si>
  <si>
    <t>Identification des écoles et établissements devant bénéficier de kits de lavage des mains et estimation des besoins en savon et eau de javel</t>
  </si>
  <si>
    <t>Acquisition et distribution de kits de lavage des mains</t>
  </si>
  <si>
    <t>Achat de kits</t>
  </si>
  <si>
    <t>kit/mains</t>
  </si>
  <si>
    <t>SNSSU</t>
  </si>
  <si>
    <t>Acquisition et distribution de savon et eau de javel aux écoles (pris en compte dans subvention aux écoles)</t>
  </si>
  <si>
    <t>Sensibilisation des APEAE sur la fourniture régulière de savon et eau de javel aux écoles</t>
  </si>
  <si>
    <t>DE/CES</t>
  </si>
  <si>
    <t>Suivi/évaluation de l'utilisation des kits de lavage des mains dans les établissements</t>
  </si>
  <si>
    <t xml:space="preserve"> La santé scolaire est améliorée au sein des écoles et établissements scolaires, y compris les FA</t>
  </si>
  <si>
    <t>Mise à disposition des écoles et établissements d'infirmerie et de boîte à pharmacie</t>
  </si>
  <si>
    <t>Classification des écoles et établissements selon la taille et identification des infirmeries scolaires existantes</t>
  </si>
  <si>
    <t>Rénovation des infirmeries scolaires</t>
  </si>
  <si>
    <t>Rénovation</t>
  </si>
  <si>
    <t>réh/infirmerie</t>
  </si>
  <si>
    <t>Entreprise</t>
  </si>
  <si>
    <t>Equipement des infirmeries scolaires</t>
  </si>
  <si>
    <t>EQ/infirmerie</t>
  </si>
  <si>
    <t>MS</t>
  </si>
  <si>
    <t>Approvisionnement des infirmeries en médicaments et consommables</t>
  </si>
  <si>
    <t>dot/infirm</t>
  </si>
  <si>
    <t>Affectation de personnels soignants aux infirmeries scolaires rénovées (par le Ministère de la santé)</t>
  </si>
  <si>
    <t>Acte administratif</t>
  </si>
  <si>
    <t>Acquisition et distribution de boîtes à pharmacie aux écoles (pris en compte dans subventions écoles)</t>
  </si>
  <si>
    <t>boite/phar</t>
  </si>
  <si>
    <t>Formation des enseignants des écoles et établissements à faible effectif aux soins de secours</t>
  </si>
  <si>
    <t>Suivi/évaluation du fonctionnement des infirmeries et boîtes à pharmacie scolaires</t>
  </si>
  <si>
    <t>Prévention et lutte contre les maladies en milieu scolaire</t>
  </si>
  <si>
    <t>Sensibilisation et information des enseignants, élèves et parents d'élèves sur l'organisation des visites médicales, des campagnes de déparasitage</t>
  </si>
  <si>
    <t>Communiqués radiotélévisés</t>
  </si>
  <si>
    <t>Organisation de visites médicales annuelles en faveur des élèves (dans les écoles pour le primaire et dans les structures sanitaires pour le secondaire, un agent effectue en moyenne 28 enfants par jour)</t>
  </si>
  <si>
    <t>coût de déplacement d'un agent de santé</t>
  </si>
  <si>
    <t>h/j/d</t>
  </si>
  <si>
    <t>MS/DPE</t>
  </si>
  <si>
    <t>Acquisition de déparasitant en faveur des élèves</t>
  </si>
  <si>
    <t>dose par éléve</t>
  </si>
  <si>
    <t>dépar/élève</t>
  </si>
  <si>
    <t xml:space="preserve"> Acquisition de micronutriments en faveur des élèves du préscolaire et du primaire (des cantines)</t>
  </si>
  <si>
    <t>micro/élève</t>
  </si>
  <si>
    <t>Organisation de campagnes de déparasitages en faveur des élèves (pris en compte dans visite médicale)</t>
  </si>
  <si>
    <t xml:space="preserve"> Organisation de campagnes d'administration de micronutriments en faveur des élèves du préscolaire et du primaire (pris en compte dans visite médicale)</t>
  </si>
  <si>
    <t>Formation des encadreurs régionaux et préfectoraux/communaux sur les IST/VIH-Sida en milieu scolaire et sur la prévention des grossesses</t>
  </si>
  <si>
    <t xml:space="preserve">Sensibilisation des élèves sur les IST/VIH-Sida en milieu scolaire </t>
  </si>
  <si>
    <t>Sensibilisation des filles sur la prévention des grossesses précoces et non désirées</t>
  </si>
  <si>
    <t>Octroi de kits d’hygiène aux filles issues des milieux défavorisés</t>
  </si>
  <si>
    <t>Ciblage des filles matures en zone rurale</t>
  </si>
  <si>
    <t>Acquisition et distribution régulière de kits d'hygiène aux filles</t>
  </si>
  <si>
    <t>Kit d'hygiène</t>
  </si>
  <si>
    <t>Kit/fille</t>
  </si>
  <si>
    <t>Suivi/évaluation de la distribution des kits d'hygiène</t>
  </si>
  <si>
    <t>Qualité des enseignements et des apprentissages</t>
  </si>
  <si>
    <t xml:space="preserve"> Révision/ adaptation des curricula/programmes (place des sciences ; franco-arabe, intégration de l’éducation à la citoyenneté, l'éducation complète à la sexualité, éducation environnementale…)</t>
  </si>
  <si>
    <t xml:space="preserve"> les contenus des programmes (du préscolaire, du primaire, 1er et second cycle du secondaire) sont progressivement révisés, adaptés et diversifiés</t>
  </si>
  <si>
    <t>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t>
  </si>
  <si>
    <t>Etudes pour l'élargissement de l'éducation de base (curriculas, examens,  architecture des collèges de petite taille, évolution du profils des enseignants) et diversification des filières au secondaire</t>
  </si>
  <si>
    <t>h/j/ci</t>
  </si>
  <si>
    <t>MENA_Transversal</t>
  </si>
  <si>
    <t>Organisation d'un voyage d'étude sur l'élargissement de l'éducation de base (pays d'Afrique)</t>
  </si>
  <si>
    <t>voyage étude</t>
  </si>
  <si>
    <t>Mise en place de l'équipe chargée du pilotage de la révision des programmes (préscolaire, primaire, collège et lycée et de la formation initiale des enseignants)</t>
  </si>
  <si>
    <t>Texte</t>
  </si>
  <si>
    <t>Elaboration des TdR et recrutement d'une assistance technique pour la déFinition des profils de sortie de différents niveaux et l'élaboration d'un cahier de charges et d'un plan d'actions pour la révision des curricula</t>
  </si>
  <si>
    <t>Equipe pilotage (EP)</t>
  </si>
  <si>
    <t>Elaboration des profils de sortie, du cahier des charges et du plan d'actions (Directions : préscolaire, Enseignement fondamental, Enseignement secondaire)</t>
  </si>
  <si>
    <t>EP</t>
  </si>
  <si>
    <t>Concertation et partage</t>
  </si>
  <si>
    <t>Validation des profils</t>
  </si>
  <si>
    <t>Conception/élaboration et expérimentation de nouveaux curricula/programmes</t>
  </si>
  <si>
    <t>Mise en place des équipes techniques de rédaction des curricula</t>
  </si>
  <si>
    <t>texte</t>
  </si>
  <si>
    <t>Mobilisation d'une assistance technique pour l'accompagnement de la révision des curricula</t>
  </si>
  <si>
    <t>h/m/ci</t>
  </si>
  <si>
    <t>C/ProDEG</t>
  </si>
  <si>
    <t>Révision du curriculum du préscolaire</t>
  </si>
  <si>
    <t>DNEPSCE</t>
  </si>
  <si>
    <t>Révision du curriculum du collège</t>
  </si>
  <si>
    <t>Révision du curriculum du lycée en rapport avec les nouvelles filières (11éme année)</t>
  </si>
  <si>
    <t>Révision du curriculum de la formation initiale des enseignants du préscolaire avec l'INRAP</t>
  </si>
  <si>
    <t>atelier de production</t>
  </si>
  <si>
    <t>Révision du curriculum de la formation initiale des formateurs des ENIs en tenant compte des nouveaux programmes du préscolaire et du primaire avec l'ENI et l'INRAP</t>
  </si>
  <si>
    <t>Révision du curriculum de la formation initiale des enseignants en tenant compte des nouvelles filières au secondaire avec la DNESGT</t>
  </si>
  <si>
    <t>Formation des enseignants chargés de l'expérimentation au préscolaire avec la DNPSCE</t>
  </si>
  <si>
    <t xml:space="preserve"> formation des enseignants chargés de l'expérimentation au collège avec la DNEF et DNESGT</t>
  </si>
  <si>
    <t>Choix des écoles pour l'expérimentation au préscolaire, collège et lycée (DNPSCE, DNEF, DNESGT, IRE, DPE/DCE)</t>
  </si>
  <si>
    <t>formation des enseignants chargés de l'expérimentation au lycée avec la DNESGT</t>
  </si>
  <si>
    <t>formation des enseignants chargés de l'expérimentation pour les ENI avec DNEF</t>
  </si>
  <si>
    <t>METFP</t>
  </si>
  <si>
    <t>Formation des enseignants chargés de l'expérimentation à l'ISSEG avec la DNESGT</t>
  </si>
  <si>
    <t>MESRS</t>
  </si>
  <si>
    <t>Suivi de l'expérimentation avec DNEPSCE, DNEF et DNESGT</t>
  </si>
  <si>
    <t>Réajustement des curricula expérimenté du préscolaire avec la DNEPSCE</t>
  </si>
  <si>
    <t>Suivi de l'expérimentation en 11ième Année avec la DNESGT</t>
  </si>
  <si>
    <t>Formation des enseignants aux nouveaux curricula à tous les niveaux</t>
  </si>
  <si>
    <t>PM à intégrer dans la seconde phase de mise en œuvre du PRODEG</t>
  </si>
  <si>
    <t>Adaptation des manuels/matériels pédagogiques et ludiques aux nouveaux curricula à tous les niveaux et pour tous les enfants</t>
  </si>
  <si>
    <t>Adaptation des matériels pédagogiques du préscolaire</t>
  </si>
  <si>
    <t>Appui aux enseignants à l'utilisation du matériel pédagogique du préscolaire</t>
  </si>
  <si>
    <t>DNPSCE</t>
  </si>
  <si>
    <t>Introduction des approches innovantes dans le cursus scolaire</t>
  </si>
  <si>
    <t xml:space="preserve">Révision des supports pédagogiques EGRA (guides et affiches) </t>
  </si>
  <si>
    <t>réprographie et distribution du matériel pédagogique EGRA au enseignants et aux élèves</t>
  </si>
  <si>
    <t>reprographie</t>
  </si>
  <si>
    <t>Lot/inn</t>
  </si>
  <si>
    <t>Formation des enseignants, encadreurs, représentants APEAE sur les techniques d'enseignement et d'apprentissage de la lecture au primaire</t>
  </si>
  <si>
    <t xml:space="preserve"> Diversification des filière au lycée</t>
  </si>
  <si>
    <t xml:space="preserve"> Les nouvelles filières de formation au lycée sont introduites</t>
  </si>
  <si>
    <t>Choix et expériementation des filières d’enseignement au lycée</t>
  </si>
  <si>
    <t>Identification et mise place d'une équipe technique chargée de l'implantation des filières</t>
  </si>
  <si>
    <t xml:space="preserve">Elaboration des profils de sortie et du cahier de charges avec DNESGT et l'IGE (pris en charge dans activité 21113) </t>
  </si>
  <si>
    <t xml:space="preserve">Spécification des matériels/équipements nécessaires pour les lycées expérimentaux avec la DNESGT (pris en compte dans activité 21125) </t>
  </si>
  <si>
    <t>expérimentaion des filières choisies</t>
  </si>
  <si>
    <t>Elaboration et validation d'un plan d'action opérationnel pour l'implantation progressive des filiéres</t>
  </si>
  <si>
    <t xml:space="preserve"> Formation initiale et continue des enseignants/éducateurs y compris dans les méthodes pédagogiques innovatntes  </t>
  </si>
  <si>
    <t xml:space="preserve"> Une formation initiale de qualité (polyvalence, méthodes pédagogiques innovantes, éducation inclusive et gestion des classes multigrades) des formateurs et cohérente avec les curricula, est mise en place</t>
  </si>
  <si>
    <t>La mise en place des standards de qualité sur la formation initiale (ENI)</t>
  </si>
  <si>
    <t xml:space="preserve">Mise en place d'une équipe technique nationale chargée de déFinir les standards de qualité sur la formation initiale </t>
  </si>
  <si>
    <t/>
  </si>
  <si>
    <t>ETN</t>
  </si>
  <si>
    <t xml:space="preserve">Recrutement d'une expertise internationale d'appui à l'équipe </t>
  </si>
  <si>
    <t>DéFinition des standards de qualité sur la formation initiale avec les ENI et l'ISSEG</t>
  </si>
  <si>
    <t xml:space="preserve"> Consultant</t>
  </si>
  <si>
    <t>Partage et validation des standards de qualité sur la formation initiale avec les ENI et l'ISSEG</t>
  </si>
  <si>
    <t>Suivi de l'application des standards de qualité sur la formation initiale</t>
  </si>
  <si>
    <t>Disponibilité de personnel qualifié dans les ENI</t>
  </si>
  <si>
    <t>masse salariale</t>
  </si>
  <si>
    <t>MS/ENI</t>
  </si>
  <si>
    <t>dotation des ENI en ressources suffisantes pour le fonctionnement</t>
  </si>
  <si>
    <t>Subvention des ENI</t>
  </si>
  <si>
    <t>sub/ENI</t>
  </si>
  <si>
    <t>Extension de la formation des éducateurs du préscolaire dans les ENI</t>
  </si>
  <si>
    <t>Appui à la généralisation de la formation initiale des éducateurs du préscolaire dans les ENI</t>
  </si>
  <si>
    <t>Divers</t>
  </si>
  <si>
    <t>forfait/fi/educ</t>
  </si>
  <si>
    <t>Renforcer la formation des enseignants dans la gestion des classes uniques</t>
  </si>
  <si>
    <t>Elaboration d'un référentiel de compétences pour la gestion des classes uniques</t>
  </si>
  <si>
    <t>Elaboration d'un guide de gestion des classes uniques</t>
  </si>
  <si>
    <t>Prise en compte du reférentiel dans les programmes des ENI</t>
  </si>
  <si>
    <t>Acquisition de matériel et équipement pédagogique pour le fonctionnement des écoles primaire à classe unique</t>
  </si>
  <si>
    <t>EQ/ECU/MEP</t>
  </si>
  <si>
    <t xml:space="preserve"> Les cercles de qualité sont créés et sont opérationnels </t>
  </si>
  <si>
    <t>Institutionnalisation des cercles de qualité aux différents niveaux (DSEE,DPE/DCE/IRE)</t>
  </si>
  <si>
    <t>Textes instituant les cercles de qualité avec le préscolaire, l'enseignement fondamental et le secondaire</t>
  </si>
  <si>
    <t>Formation d'un noyau pour la formation des cercles de qualité à la démarche qualité</t>
  </si>
  <si>
    <t>IRE,DPE/DCE, DSEE</t>
  </si>
  <si>
    <t>Rencontre périodique des cercles de qualité</t>
  </si>
  <si>
    <t>Rencontres</t>
  </si>
  <si>
    <t>DPE/DCE,DSEE,DE</t>
  </si>
  <si>
    <t>Capitalisation des pratiques innovantes avec le préscolaire, l'enseignement fondamental et le secondaire</t>
  </si>
  <si>
    <t>atelier de partage</t>
  </si>
  <si>
    <t xml:space="preserve"> Une formation continue de qualité, adaptée aux différents profils des enseignants/éducateurs (ceux qui viennent des établissements de formation, ceux qui ont passé le concours à la fonction publique et les autres) et cohérente avec la formation initiale est mise en place</t>
  </si>
  <si>
    <t>Mise en place des standards de qualité pour la formation continue</t>
  </si>
  <si>
    <t>Mise en place d'une équipe technique nationale chargée de déFinir les standards de qualité sur la formation continue (DNPSCE, DNEF, DNESGT, IGE)</t>
  </si>
  <si>
    <t xml:space="preserve">Recrutement d'une expertise internationale d'appui à l’équipe (DNPSCE, DNEF, DNESGT, IGE) </t>
  </si>
  <si>
    <t>DéFinition des standards de qualité sur la formation continue (DNPSCE, DNEF, DNESGT, IGE)</t>
  </si>
  <si>
    <t>DFC</t>
  </si>
  <si>
    <t>Partage et validation des standards de qualité sur la formation continue (DNPSCE, DNEF, DNESGT, IGE)</t>
  </si>
  <si>
    <t>Mise en place d'une Ingénierie de la formation continue</t>
  </si>
  <si>
    <t>Recrutement d'une expertise internationale (Compris dans l'activité 23212)</t>
  </si>
  <si>
    <t>Identification d'un dispositif d'ingénierie de la formation en adéquation avec la stratégie de formation continue des enseignants (Voir activité 23141)</t>
  </si>
  <si>
    <t>Consultant</t>
  </si>
  <si>
    <t>Développement des outils pour l'opérationnalisation du dispositif</t>
  </si>
  <si>
    <t>validation et diffusion des outils</t>
  </si>
  <si>
    <t>Identification des besoins de formation aux différents niveaux</t>
  </si>
  <si>
    <t>travaux administratif</t>
  </si>
  <si>
    <t>Elaboration d'un plan de formation continue sur 3 ans (à actualiser annuellement)</t>
  </si>
  <si>
    <t>Organisation des sessions de formation continue à l'intention des éducateurs du préscolaire Y compris du communautaire</t>
  </si>
  <si>
    <t xml:space="preserve">formation </t>
  </si>
  <si>
    <t>Organisation des sessions de formation continue à l'intention des enseignants du primaire</t>
  </si>
  <si>
    <t>Organisation des sessions de formation continue à l'intention des enseignants du collège</t>
  </si>
  <si>
    <t>Organisation des sessions de formation continue à l'intention des enseignants du lycée</t>
  </si>
  <si>
    <t>Organisation de sessions de formation à l'intention des formateurs des centres NAFA</t>
  </si>
  <si>
    <t>Supervision pédagogique des enseignants formés</t>
  </si>
  <si>
    <t>suivi</t>
  </si>
  <si>
    <t>SNCESE</t>
  </si>
  <si>
    <t xml:space="preserve">Collecte des informations sur le suivi des actions de formation continue </t>
  </si>
  <si>
    <t>Traitement et analyse des informations sur le dispositif de formation continue</t>
  </si>
  <si>
    <t>Rédaction et validation du rapport d'évaluation</t>
  </si>
  <si>
    <t>Redynamisation des centres de formation continue</t>
  </si>
  <si>
    <t>Etude de faisabilité pour la redynamisation des centres régionaux de formation continue</t>
  </si>
  <si>
    <t>Restitution et validation des résultats de l'étude</t>
  </si>
  <si>
    <t>Elaboration d'un plan d'actions pour la redynamisation des centres régionaux</t>
  </si>
  <si>
    <t>Validation du plan d'actions pour la redynamisation des centres régionaux</t>
  </si>
  <si>
    <t>Relance des journées d’animation pédagogiques</t>
  </si>
  <si>
    <t>Institutionnalisation des journées d'animation pédagogique</t>
  </si>
  <si>
    <t>Identification du contenu des journées d'animation pédagogique</t>
  </si>
  <si>
    <t xml:space="preserve"> IRE, DPE/DCE, DSEE, DE</t>
  </si>
  <si>
    <t>Organisation des journées d'animation pédagogique dans chaque DPE/DCE (voir subvention)</t>
  </si>
  <si>
    <t>subvention annuelle</t>
  </si>
  <si>
    <t>Suivi des journées d'animation pédagogique</t>
  </si>
  <si>
    <t>Suivi pédagogique par le directeur d’école et les Chef d’Unité Pédagogique</t>
  </si>
  <si>
    <t>Elaboration et validation des outils standardisés de suivi pédagogique</t>
  </si>
  <si>
    <t>IRE, DPE/DCE, DSEE, DE</t>
  </si>
  <si>
    <t>Elaboration d'un manuel de suivi pédagogique</t>
  </si>
  <si>
    <t>Validation des outils et du manuel</t>
  </si>
  <si>
    <t xml:space="preserve">Diffusion des outils et du manuel aux directeurs d'école et aux chefs de groupe pédagogique </t>
  </si>
  <si>
    <t>iMP</t>
  </si>
  <si>
    <t>Evaluation régulière des compétences des enseignants et éducateurs sortant des établissements de formation initiale</t>
  </si>
  <si>
    <t>Mise en place d'un dispositif de suivi-évaluation des cohortes sortant des institutions de formations initiales avec DNPSCE, DNEF, DNESGT, DFC DRH</t>
  </si>
  <si>
    <t>Conception d'une base de données de suivi des cohortes des sortants des ENI (avec DNPSCE, DNEF, DRH)</t>
  </si>
  <si>
    <t>Rédaction du manuel d'utilisation de la base de données (pris en compte dans activité 23132) (avec DNPSCE, DNEF, DNESGT, DRH)</t>
  </si>
  <si>
    <t>Conception des outils de collecte de données des cohortes (pris en compte dans activité 23132) (avec DNPSCE, DNEF, DNESGT, DRH)</t>
  </si>
  <si>
    <t>Validation des outils de collecte et du manuel d'utilisation de la base de données</t>
  </si>
  <si>
    <t>Formation des encadreurs et mise à disposition des outils pour la collecte de données</t>
  </si>
  <si>
    <t>Traitement et analyse des données collectées (codification saisie et toilettage des fichiers)</t>
  </si>
  <si>
    <t>CNSCSE</t>
  </si>
  <si>
    <t>Rédaction du rapport d'analyse</t>
  </si>
  <si>
    <t>Partage du résultat (rapport) avec les institutions de formation initiale</t>
  </si>
  <si>
    <t>Intégration des méthodes pédagogiques innovantes dans la formation initiale</t>
  </si>
  <si>
    <t>Intégration des innovations porteuses (e.g. approche EGRA, EGMA, Pédagogie Active, APC, approche FIERE pour tous etc.) dans les programmes de formation initiale dans les ENI (Pris en compte dans les activités 23214)</t>
  </si>
  <si>
    <t xml:space="preserve">PM </t>
  </si>
  <si>
    <t>ENI, ISSEG</t>
  </si>
  <si>
    <t xml:space="preserve"> Encadrement des enseignants : appui et contrôle</t>
  </si>
  <si>
    <t xml:space="preserve"> Un dispositif efficace d’encadrement est déFini (organisation, rôles des différents acteurs)</t>
  </si>
  <si>
    <t>Etat des lieux de l’encadrement (Forces et faiblesses)</t>
  </si>
  <si>
    <t>Préparation des outils du diagnostic</t>
  </si>
  <si>
    <t>CNECSE</t>
  </si>
  <si>
    <t>Recueil des informations qualitatives et quantitatives sur la pertinence de l'encadrement actuel</t>
  </si>
  <si>
    <t>Traitement et analyse des informations collectées</t>
  </si>
  <si>
    <t>Partage et validation des résultats issus du diagnostic</t>
  </si>
  <si>
    <t>Conception, élaboration et validation de nouveaux textes relatifs aux rôles et responsabilités des acteurs dans l'encadrement</t>
  </si>
  <si>
    <t>Elaboration et mise en œuvre d'une feuille de route pour l'encadrement des enseignants</t>
  </si>
  <si>
    <t>Conception, élaboration et validation de nouveaux textes et manuel de procédures relatifs aux rôles et responsabilités des acteurs dans l'encadrement</t>
  </si>
  <si>
    <t>Dissémination du manuel de procédures d’encadrement et expérimentation</t>
  </si>
  <si>
    <t>Dissémination du manuel de procédures d’encadrement</t>
  </si>
  <si>
    <t>Manuel/encadreur</t>
  </si>
  <si>
    <t>IMP</t>
  </si>
  <si>
    <t>IRE,DPE/DCE</t>
  </si>
  <si>
    <t>Suivi du respect du manuel de procédures de l'encadrement</t>
  </si>
  <si>
    <t xml:space="preserve"> L’encadrement dispose des ressources humaines en nombre nécessaire et en profil pertinent</t>
  </si>
  <si>
    <t>DéFinition d’un cadre organique (Poste, profil, nombre…)</t>
  </si>
  <si>
    <t xml:space="preserve">Audit organisationnel des services chargés de l'encadrement </t>
  </si>
  <si>
    <t>Sevice d'audit</t>
  </si>
  <si>
    <t>Validation des résultats de l'audit organisationnel</t>
  </si>
  <si>
    <t>DéFinition des redéploiements nécessaires, des recrutements du personnel et des mécanismes d'affectation aux postes (pris en compte dans activité 24211)</t>
  </si>
  <si>
    <t xml:space="preserve">Adoption des textes organisant les services d'encadrement et l'affectation aux postes  </t>
  </si>
  <si>
    <t>textes</t>
  </si>
  <si>
    <t>Renforcement des capacités des inspecteurs</t>
  </si>
  <si>
    <t>Renforcement des capacités des inspecteurs (démultiplication de la formation)</t>
  </si>
  <si>
    <t>Mise en place du cadre organique déFini</t>
  </si>
  <si>
    <t>Conception, élaboration et validation de nouveaux textes et un dispositif relatif aux rôles et responsabilités des acteurs dans l'encadrement</t>
  </si>
  <si>
    <t>Elaboration et dissémination d’un manuel de procédures d’encadrement</t>
  </si>
  <si>
    <t>Redéploiement des profils nécessaires pour la mise en place des cadres organiques</t>
  </si>
  <si>
    <t>Suivi régulier du respect du cadre organique</t>
  </si>
  <si>
    <t>Suivi du respect de la mise en œuvre des cadres organiques</t>
  </si>
  <si>
    <t>identification et mise en œuvre des correctifs nécessaires</t>
  </si>
  <si>
    <t>travail administratif</t>
  </si>
  <si>
    <t xml:space="preserve"> Les acteurs de l’encadrement disposent des ressources matérielles nécessaires pour mener à bien leurs fonctions  </t>
  </si>
  <si>
    <t>Identification et mise à disposition des ressources matérielles nécessaires pour chaque corps d’encadreurs</t>
  </si>
  <si>
    <t>Détermination des besoins en ressources matériels liées au poste d'encadrement (pris en compte dans l'audit)</t>
  </si>
  <si>
    <t>DAAF</t>
  </si>
  <si>
    <t>Analyse des besoins en ressources matérielles existantes</t>
  </si>
  <si>
    <t>Mise à disposition des ressources matérielles ( en partie dans gouvernance)</t>
  </si>
  <si>
    <t>forfait</t>
  </si>
  <si>
    <t>Env/UNICEF</t>
  </si>
  <si>
    <t>Renforcement de la gestion des écoles</t>
  </si>
  <si>
    <t>Appui technique à la genéralisation de l'approche gestion à la base</t>
  </si>
  <si>
    <t>Renforcement des capacités des acteurs et des partenaires sur le terrain à la genéralisation de l'approche gestion à la base</t>
  </si>
  <si>
    <t xml:space="preserve">Suivi de l'opérationnalisation du dispositif de l'approche gestion à la base </t>
  </si>
  <si>
    <t xml:space="preserve">Renforcement des capacités des structures déconcentrées sur les procédures de mise en œuvre des PAE </t>
  </si>
  <si>
    <t>Renforcement des associations des parents d'élèves et leur implication dans la gestion des écoles</t>
  </si>
  <si>
    <t>forf/APE</t>
  </si>
  <si>
    <t>Renforcement du développement et de la mise en œuvre des projets de développement des écoles primaires</t>
  </si>
  <si>
    <t>subvention</t>
  </si>
  <si>
    <t>sub/école</t>
  </si>
  <si>
    <t xml:space="preserve">Suivi de la mise en eouvre des PAE </t>
  </si>
  <si>
    <t>Mise en place progressive de subvention de fonctionnement pour les collèges</t>
  </si>
  <si>
    <t>sub/col</t>
  </si>
  <si>
    <t>Mise en place progressive de subvention de fonctionnement pour les Lycées</t>
  </si>
  <si>
    <t>sub/lyc</t>
  </si>
  <si>
    <t xml:space="preserve"> Conditions d’apprentissage améliorées </t>
  </si>
  <si>
    <t xml:space="preserve"> Les manuels et guides adaptés aux nouveaux curricula sont développés</t>
  </si>
  <si>
    <t>Formation des groupes disciplinaires et rédaction des manuels et guides</t>
  </si>
  <si>
    <t>Révision des textes relatifs à l'élaboration de matériels scolaires (pris en compte dans l'activité 21121)</t>
  </si>
  <si>
    <t>Mise en place des équipes multidisciplinaire de rédaction (inspecteurs, enseignants, formateurs.)</t>
  </si>
  <si>
    <t>acte</t>
  </si>
  <si>
    <t>Renforcement des capacités des équipes à l'élaboration des manuels scolaires et guides</t>
  </si>
  <si>
    <t>Rédaction des manuels scolaires et guides</t>
  </si>
  <si>
    <t>Equipes disciplinaires</t>
  </si>
  <si>
    <t>Validation des contenus et impression des manuels</t>
  </si>
  <si>
    <t>Mise en place d'un comité scientifique chargé de la lecture et de l'évaluation du contenu</t>
  </si>
  <si>
    <t>Partage et validation du contenu des manuels scolaires et guides élaborés</t>
  </si>
  <si>
    <t>Comité scientifique (CS)</t>
  </si>
  <si>
    <t>Impression des manuels scolaires et guides pour l'expérimentation des manuels et guides du préscolaire</t>
  </si>
  <si>
    <t>reproduction de documents</t>
  </si>
  <si>
    <t>Impression des manuels scolaires et guides pour l'expérimentation des manuels et guides en 7éme année</t>
  </si>
  <si>
    <t>Reproduction et distribution des manuels scolaires et des guides dans les établissements du préscolaire</t>
  </si>
  <si>
    <t>Manuel et guide par béneficiaire</t>
  </si>
  <si>
    <t>man/présc</t>
  </si>
  <si>
    <t xml:space="preserve"> Les  enseignants sont formés à l'utilisation des manuels et guides de l'enseignant</t>
  </si>
  <si>
    <t>Sensibilisation et Formation des enseignants et éducateurs à l'utilisation des guides et manuels d'enseignants</t>
  </si>
  <si>
    <t>Formation des enseignants et éducateurs à l'utilisation des manuels et guides d'enseignants au préscolaire</t>
  </si>
  <si>
    <t xml:space="preserve">Formation des enseignants et éducateurs à l'utilisation des manuels et guides </t>
  </si>
  <si>
    <t>Production des outils de suivi de l'utilisation des manuels et guides</t>
  </si>
  <si>
    <t>Collecte de données sur l'utilisation des manuels et guides</t>
  </si>
  <si>
    <t>Suivi des enseignants à l'utilisation des manuels et guides par les services déconcentrés</t>
  </si>
  <si>
    <t>encadrement</t>
  </si>
  <si>
    <t>IRE/DCE/DPE/DSEE</t>
  </si>
  <si>
    <t>Rédaction du rapport</t>
  </si>
  <si>
    <t>DNEF,DNESGT,DNPSEC,IGE, IRE,DPE/DCE,DSEE,DE</t>
  </si>
  <si>
    <t xml:space="preserve"> Les élèves du primaire et du secondaire disposent des manuels des matières fondamentales en quantité suffisante.</t>
  </si>
  <si>
    <t>Distribution des manuels et guides</t>
  </si>
  <si>
    <t>acquisition de manuels pour le primaire</t>
  </si>
  <si>
    <t>Reproduction</t>
  </si>
  <si>
    <t>manuel/pr</t>
  </si>
  <si>
    <t>acquisition de guides pour le primaire</t>
  </si>
  <si>
    <t>guide/ens/pr</t>
  </si>
  <si>
    <t>Acquisition de manuels pour le collège (hors 7ème année)</t>
  </si>
  <si>
    <t>manuel/col</t>
  </si>
  <si>
    <t>Acquisition de guides pour le collège (hors 7ème année)</t>
  </si>
  <si>
    <t>guide/ens/sec</t>
  </si>
  <si>
    <t>Acquisition de manuels (Français et Mathématiques) pour le Lycée (hors 11ème année)</t>
  </si>
  <si>
    <t>manuel/Lyc</t>
  </si>
  <si>
    <t>Acquisition de guides pour le Lyce (hors 11ème année)</t>
  </si>
  <si>
    <t>redynamiser les comités de gestion des manuels</t>
  </si>
  <si>
    <t xml:space="preserve">Sensibilisation sur la distribution des manuels scolaires </t>
  </si>
  <si>
    <t>Révision des textes organisant, la gestion et la conservation des manuels (en tenant compte des résultats de l'audit activité 25331)</t>
  </si>
  <si>
    <t>texte administratif</t>
  </si>
  <si>
    <t>Partage et diffusion des textes</t>
  </si>
  <si>
    <t>Organisation des audits sur la gestion des manuels</t>
  </si>
  <si>
    <t>Organisation d'un audit sur la gestion des manuels scolaires</t>
  </si>
  <si>
    <t>Audit</t>
  </si>
  <si>
    <t>Mise en place de mécanismes de suivi de la gestion des manuels et développement des outils appropriés sur la base des recommandations de l'audit</t>
  </si>
  <si>
    <t>Organisation de missions régulières de suivi de la mise en œuvre des textes organisant la gestion et la conservation</t>
  </si>
  <si>
    <t>Partage et diffusion des résultats du suivi</t>
  </si>
  <si>
    <t>Mise en place des remédiations préconisées par la mission de suivi</t>
  </si>
  <si>
    <t>acte administratif</t>
  </si>
  <si>
    <t xml:space="preserve"> Les enseignants utilisent en classe les matériels didactiques et ludiques</t>
  </si>
  <si>
    <t>Formation des personnes pour le développement des matériels didactiques et ludiques</t>
  </si>
  <si>
    <t>Identification des enseignants devant élaborer les matériels didactiques et ludiques</t>
  </si>
  <si>
    <t>Appui au développement des modules de formation à la conception du matériel didactiques et ludiques</t>
  </si>
  <si>
    <t>Assistancetechnique</t>
  </si>
  <si>
    <t>Elaboration de modules sur la conception et la fabrication matériels didactiques avec l'appui de l'assistance technique (activité 25412)</t>
  </si>
  <si>
    <t>Elaboration de modules sur la fabrication matériels ludiques avec l'appui de l'assistance technique (activité 25412)</t>
  </si>
  <si>
    <t>Formation des formateurs des éducateurs au développement de matériels ludiques (niveau DSEE)</t>
  </si>
  <si>
    <t>Conception des outils de suivi des enseignants à l'utilisation des matériels didactiques et ludiques</t>
  </si>
  <si>
    <t>Formation du noyau des formateurs à la production du matériel didactique</t>
  </si>
  <si>
    <t>Développement des matériels ludiques et didactiques et équipement des CEC</t>
  </si>
  <si>
    <t>production du matériel ludiques par les éducateurs (acquisition de petits matériels)</t>
  </si>
  <si>
    <t>Acquisition matériels</t>
  </si>
  <si>
    <t>dot/préscol</t>
  </si>
  <si>
    <t>Appui à la production du matériel didactique par les IRE/DPE (subvention de fonctionnement)</t>
  </si>
  <si>
    <t xml:space="preserve">pm </t>
  </si>
  <si>
    <t>Suivi des enseignants à l'utilisation des matériels didactiques et ludiques</t>
  </si>
  <si>
    <t>travail de la DPE/DSEE</t>
  </si>
  <si>
    <t>Aménagement et installations d'aires de jeux et de malle à lire dans les CEC</t>
  </si>
  <si>
    <t>airdejeux/CEC</t>
  </si>
  <si>
    <t>Validation du matériel didactique produit</t>
  </si>
  <si>
    <t>Identification par les IRE et les DPE des productions les plus pertinentes et partage avec la commission scientifique (voir activité 25121)</t>
  </si>
  <si>
    <t>choix par le comité scientifique des productions à vulgariser</t>
  </si>
  <si>
    <t>CS</t>
  </si>
  <si>
    <t>Distribution du matériel validé</t>
  </si>
  <si>
    <t>Reproduction et distribution du matériel retenu</t>
  </si>
  <si>
    <t>Matériel</t>
  </si>
  <si>
    <t>dot/rep mat</t>
  </si>
  <si>
    <t xml:space="preserve"> les enseignants sont plus ou moins satisfaits de leur conditions de vie</t>
  </si>
  <si>
    <t>Amélioration des conditions de vie des enseignants</t>
  </si>
  <si>
    <t xml:space="preserve"> Mise en place d’un mécanisme de dialogue permanent syndicats des enseignants et gouvernement</t>
  </si>
  <si>
    <t xml:space="preserve"> Identifier des canaux porteurs pour l’attractivité du métier d’enseignant en Guinée</t>
  </si>
  <si>
    <t>Syndicats</t>
  </si>
  <si>
    <t>Renforcement des capacités professionnelles des enseignants</t>
  </si>
  <si>
    <t xml:space="preserve"> Les laboratoires et kits sont installés progressivement dans les établissements secondaires</t>
  </si>
  <si>
    <t>création de conditions pratiques d'enseignement</t>
  </si>
  <si>
    <t>Mise en place d'un comité pour la déFinition d'une stratégie pour le renforcement de l'enseignement scientifique dans le secondaire</t>
  </si>
  <si>
    <t>Spécification par le comité du matériel à utiliser pour l'expérimentation dans des lycées pilotes</t>
  </si>
  <si>
    <t>Acquisition de matériel adaptés pour l'expérimentation</t>
  </si>
  <si>
    <t>Forfait/ens scien</t>
  </si>
  <si>
    <t>Démarrage de l'expérimentation dans les établissements pilotes</t>
  </si>
  <si>
    <t>Suivi de l'expérimentation</t>
  </si>
  <si>
    <t xml:space="preserve">Acquisition de mallettes pédagogiques </t>
  </si>
  <si>
    <t>matériel</t>
  </si>
  <si>
    <t>mallette</t>
  </si>
  <si>
    <t>Promotion de l’initiative de l’enseignement des mathématiques, des sciences au Secondaire</t>
  </si>
  <si>
    <t xml:space="preserve">Création d'un Comité du programme MS4SSA             </t>
  </si>
  <si>
    <t xml:space="preserve">Sélection de 20 écoles pilotes (14 régions administratives et 6 à Conakry).                    </t>
  </si>
  <si>
    <t>IRE, DPE/DCE, DE</t>
  </si>
  <si>
    <t>Choix d'une équipe de 20 formateurs de formateurs.</t>
  </si>
  <si>
    <t>Formation de 20 formateurs à l'étranger de l'initiative MS4SSA</t>
  </si>
  <si>
    <t>Equipement en ressources informatiques des structures en charge de MS4SSA</t>
  </si>
  <si>
    <t>Informatique</t>
  </si>
  <si>
    <t>poste de travail</t>
  </si>
  <si>
    <t>Equipement d'une salle de formation des formateurs en informatique (ISSEG)</t>
  </si>
  <si>
    <t>ordinateur</t>
  </si>
  <si>
    <t>Acquisition d'équipement informatique pour les formateurs (ISSEG)</t>
  </si>
  <si>
    <t>ordin/portable</t>
  </si>
  <si>
    <t>Complément d'équipement de projection pour la salle (ISSEG)</t>
  </si>
  <si>
    <t>Accessoires divers</t>
  </si>
  <si>
    <t>dot/ISSEG</t>
  </si>
  <si>
    <t xml:space="preserve">Acquisition de véhicule pour la liaison  </t>
  </si>
  <si>
    <t>Matériel roulant</t>
  </si>
  <si>
    <t>véhicule 4x4</t>
  </si>
  <si>
    <t>Reproduction des modules MS4SSA</t>
  </si>
  <si>
    <t>Expérimentation dans les établissements pilotes</t>
  </si>
  <si>
    <t>Préparation des fiches d’évaluation des modules MS4SSA pour les établissements pilotes</t>
  </si>
  <si>
    <t>IGE, INRAP, SNCESE)</t>
  </si>
  <si>
    <t>Observation de classe des enseignants dans l'enseignement des modules MS4SSA</t>
  </si>
  <si>
    <t>Traitement et analyse des données recueillies (élaboration du rapport de suivi)</t>
  </si>
  <si>
    <t>IGE, INRAP, ISSEG</t>
  </si>
  <si>
    <t xml:space="preserve"> validation du rapport de suivi</t>
  </si>
  <si>
    <t>Promotion et développement des TICE dans les enseignements apprentissages</t>
  </si>
  <si>
    <t>Elaboration d'un document de politique d'introduction des TICE dans l'éducation</t>
  </si>
  <si>
    <t>étude</t>
  </si>
  <si>
    <t>forfait /tice</t>
  </si>
  <si>
    <t>SITIC</t>
  </si>
  <si>
    <t>Elaboration des outils de collecte des informations sur l'utilisation des TICE dans les établissements scolaires</t>
  </si>
  <si>
    <t xml:space="preserve"> DNESGT</t>
  </si>
  <si>
    <t>Validation des outils</t>
  </si>
  <si>
    <t>Manuel de remplissage du questionnaire (prise en compte dans l'activité 23261)</t>
  </si>
  <si>
    <t>Collecte des données (dans le cadre de l'enquête statistique annuelle)</t>
  </si>
  <si>
    <t>Traitement et analyse des données recueillies et rédaction du rapport diagnostic</t>
  </si>
  <si>
    <t>Validation du rapport diagnostic des TICE</t>
  </si>
  <si>
    <t>Elaboration d'un schéma directeur d'informatisation des établissements du secondaire</t>
  </si>
  <si>
    <t xml:space="preserve">Formation de 4 cadres du SITIC à l'extérieure sur Utilisation professionnelle de la micro-informatique et des technologies mobiles </t>
  </si>
  <si>
    <t>Transfert de compétence aux cadres du SITIC sur la micro-informatique et les technologies mobiles</t>
  </si>
  <si>
    <t>Elaboration de procédures d'utilisation de suivi, d'évaluation et de gestion des cyber centres dans les établissements.</t>
  </si>
  <si>
    <t>Choix des écoles pilotes pour la mise en œuvre progressive du schéma directeur/ (établissements disposants de cyber centre)</t>
  </si>
  <si>
    <t>Formation des animateurs des centres des établissements pilotes</t>
  </si>
  <si>
    <t>Dotation en complément d'équipements pour les centres informatique des établissements pilotes</t>
  </si>
  <si>
    <t>équipement divers</t>
  </si>
  <si>
    <t>EQ/Sal/inf</t>
  </si>
  <si>
    <t xml:space="preserve">Suivi et évaluation des établissements pilotes </t>
  </si>
  <si>
    <t>Partage des résultats de l'évaluation</t>
  </si>
  <si>
    <t>Amendement du schéma directeur et des différents outils en fonction des résultats de l'évaluation</t>
  </si>
  <si>
    <t>Préparation de l'expansion (choix des établissements, calendrier, …)</t>
  </si>
  <si>
    <t xml:space="preserve"> Extension progressive de l'enseignement de l'anglais au secondaire(collège)</t>
  </si>
  <si>
    <t>Recrutement de professeurs d'anglais en quantité suffisante</t>
  </si>
  <si>
    <t>Réalisation d'une étude de suivi évaluation de l'initiative (besoins en enseignants anglophones, profils, besoins en formation continue, disponibilité ressources matérielles, pertinence, etc.)</t>
  </si>
  <si>
    <t>Missions</t>
  </si>
  <si>
    <t>EDP</t>
  </si>
  <si>
    <t>Conception et élaboration des modules</t>
  </si>
  <si>
    <t>Dotation des enseignants d'anglais aux collèges</t>
  </si>
  <si>
    <t>PM (Programme accès)</t>
  </si>
  <si>
    <t>SIF</t>
  </si>
  <si>
    <t>Appui en formation continue des professeurs d'anglais</t>
  </si>
  <si>
    <t xml:space="preserve"> Les activités extrascolaires sont diversifiées</t>
  </si>
  <si>
    <t>Renforcement des activités artistiques, culturelles et sportives dans les écoles</t>
  </si>
  <si>
    <t>Actualisation du document de politique sur les activités artistiques, culturelles et sportives en milieu scolaire</t>
  </si>
  <si>
    <t>SNSS</t>
  </si>
  <si>
    <t>Validation du document de politique sur les activités artistiques, culturelles et sportives en milieu scolaire</t>
  </si>
  <si>
    <t>Impression du document de politique sur les activités artistiques, culturelles et sportives en milieu scolaire</t>
  </si>
  <si>
    <t>Vulgarisation du document de politique sur les activités artistiques, culturelles et sportives en milieu scolaire</t>
  </si>
  <si>
    <t>Organisation de compétitions sportives, artistiques et culturelles au niveau DSEE (prise en compte dans activité 12438)</t>
  </si>
  <si>
    <t>Organisation de compétitions sportives, artistiques et culturelles au niveau DPE/DCE (prise en compte dans activité 12438)</t>
  </si>
  <si>
    <t>Organisation de compétitions sportives, artistiques et culturelles au niveau IRE (prise en compte dans activité 12438)</t>
  </si>
  <si>
    <t>Organisation de compétitions sportives, artistiques et culturelles au niveau National</t>
  </si>
  <si>
    <t>Forfait</t>
  </si>
  <si>
    <t>dot/an/mena</t>
  </si>
  <si>
    <t xml:space="preserve"> Examen et évaluation</t>
  </si>
  <si>
    <t xml:space="preserve"> Les évaluations des acquis au primaire et secondaire sont régulières, exploitées et disséminées.  </t>
  </si>
  <si>
    <t>Conception et la validation des outils de collecte de données</t>
  </si>
  <si>
    <t>Actualisation des outils d'évaluation au primaire</t>
  </si>
  <si>
    <t>Conception des outils d'évaluation des acquis des élèves au collège</t>
  </si>
  <si>
    <t>Formation des administrateurs de test pour l'expérimentation des outils</t>
  </si>
  <si>
    <t>Collecte de données sur le terrain dans 20 écoles pour tester les outils</t>
  </si>
  <si>
    <t>Analyse psychométrique des items et Finalisation des instruments de collecte</t>
  </si>
  <si>
    <t>Evaluation standardisée des acquis des élèves (CP2, CE2 et CM2) : Mise à échelle "Collecte", analyse et la rédaction du rapport d’évaluation</t>
  </si>
  <si>
    <t>Evaluation des acquis des élèves du CP2 (Reprographie des outils, colisage, échantillonnage, achat de petit matériel, formation, collecte, traitement, etc.)</t>
  </si>
  <si>
    <t>Evaluation</t>
  </si>
  <si>
    <t>Evaluation/prim</t>
  </si>
  <si>
    <t>Evaluation des acquis des élèves du CE2 (Reprographie des outils, colisage, échantillonnage, achat de petit matériel, formation, collecte, traitement, etc.)</t>
  </si>
  <si>
    <t>Evaluation des acquis des élèves du CM2 (Reprographie des outils, colisage, échantillonnage, achat de petit matériel, formation, collecte, traitement, etc.)</t>
  </si>
  <si>
    <t>Evaluation Internationale PASEC2019</t>
  </si>
  <si>
    <t>éval/pasec</t>
  </si>
  <si>
    <t>Cabinet MEN-A</t>
  </si>
  <si>
    <t>PASEC-Guinée</t>
  </si>
  <si>
    <t>Evaluation de type EGRA</t>
  </si>
  <si>
    <t>evaluation</t>
  </si>
  <si>
    <t>éval/egra</t>
  </si>
  <si>
    <t>Evaluation standardisée des acquis des élèves au secondaire : Mise échelle, analyse et la rédaction du rapport d’évaluation</t>
  </si>
  <si>
    <t>Evaluation des acquis des élèves de la 9éme année (Reprographie des outils, colisage, échantillonnage, achat de petit matériel, formation, collecte, traitement, etc.)</t>
  </si>
  <si>
    <t>Evaluation/Col</t>
  </si>
  <si>
    <t>Dissémination des résultats des évaluations à tous les niveaux (Régions, préfecture, DSEE et Ecoles)</t>
  </si>
  <si>
    <t xml:space="preserve">Partage des résultats des rapports d'évaluation au niveau déconcentré </t>
  </si>
  <si>
    <t xml:space="preserve">Partage des résultats du rapport d'analyse des examens nationaux au niveau déconcentré </t>
  </si>
  <si>
    <t>SNECOS</t>
  </si>
  <si>
    <t>Renforcement des capacités du service national d'évaluation</t>
  </si>
  <si>
    <t>Formation à l'extérieur de 4 cadres du SNCESE en analyse psychométrique et en analyse des données</t>
  </si>
  <si>
    <t>formation à l'étranger</t>
  </si>
  <si>
    <t>h/an/fe</t>
  </si>
  <si>
    <t xml:space="preserve">Transfert de compétence de 20 cadres du SNCESE en analyse du 1er degré (Statistique descriptive, nettoyage des fichiers, conception d'un masque de saisie etc.) en faisant faire </t>
  </si>
  <si>
    <t>travaux</t>
  </si>
  <si>
    <t>Equipement en matériel informatique du service d'évaluation</t>
  </si>
  <si>
    <t>informatique</t>
  </si>
  <si>
    <t>Acquisition de logiciels de traitement de données"SPSS, SPAD"</t>
  </si>
  <si>
    <t>accessoires</t>
  </si>
  <si>
    <t>Logiciel</t>
  </si>
  <si>
    <t>Acquisition d'un véhicule pour la supervision des activités d'évaluation</t>
  </si>
  <si>
    <t>Renforcement des évaluations pilotes</t>
  </si>
  <si>
    <t>Evaluation des acquis scolaires et préscolaires dans les communes de convergence</t>
  </si>
  <si>
    <t>évaluation</t>
  </si>
  <si>
    <t xml:space="preserve"> La fiabilité des examens nationaux est améliorée</t>
  </si>
  <si>
    <t>Collecte des données des examens nationaux</t>
  </si>
  <si>
    <t>Conception d'un questionnaire d'informations des élèves candidats (par échantillon)</t>
  </si>
  <si>
    <t>Collecte annuelle des fichiers de base des résultats des examens nationaux (Entrée en 7ième, BEPC et BAC)</t>
  </si>
  <si>
    <t>Formation des administrateurs de test (superviseurs des examens)</t>
  </si>
  <si>
    <t>Reproduction des questionnaires</t>
  </si>
  <si>
    <t>Remplissage des questionnaires par l'échantillon sous l'administration des superviseurs des examens (pris en charge dans budget examen)</t>
  </si>
  <si>
    <t>Traitement des données (codification, saisie et toilettage des fichiers)</t>
  </si>
  <si>
    <t>Analyse et rédaction du rapport d'évaluation</t>
  </si>
  <si>
    <t>Analyse et rédaction du rapport d'audit</t>
  </si>
  <si>
    <t>Contrôle de conformité entre la note et la production de l'élève, entre la note sur la copie et celle sur la fiche de centralisation, entre la note sur la fiche de centralisation et la note saisie)</t>
  </si>
  <si>
    <t>SNECSO</t>
  </si>
  <si>
    <t>Rédaction du rapport d'audit</t>
  </si>
  <si>
    <t>Adaptation des textes organisants les examens nationaux</t>
  </si>
  <si>
    <t>Mise en place d'une commission nationale pour la révision des procédures de passation des examens pour les rendre plus transparents</t>
  </si>
  <si>
    <t>décison</t>
  </si>
  <si>
    <t>Proposition de révision des procédures du déroulement des examens par la commission en concertation avec les partenaires et les acteurs (syndicats, les APEAE, les structures déconcentrées et le service des examens)</t>
  </si>
  <si>
    <t xml:space="preserve">Validation de la proposition de révision des procédures du déroulement des examens </t>
  </si>
  <si>
    <t xml:space="preserve">Adoption des textes fixant les procédures de déroulement des examens </t>
  </si>
  <si>
    <t>Organisation des examens et concours</t>
  </si>
  <si>
    <t>examens et concours</t>
  </si>
  <si>
    <t>Conc-exam/mena</t>
  </si>
  <si>
    <t xml:space="preserve"> Un document référentiel sur la production et l'utilisation des données des évaluations standardisées est mis en place</t>
  </si>
  <si>
    <t>Rédaction du document de référence</t>
  </si>
  <si>
    <t>Mise en place de l'équipe chargée de l'élaboration du document de référence sur la production et l'utilisation des données des évaluations</t>
  </si>
  <si>
    <t>Rédaction du document de référentiel sur la production et l'utilisation des données des évaluations avec l'appui de l'expertise</t>
  </si>
  <si>
    <t>Validation du document</t>
  </si>
  <si>
    <t>Partage du document au niveau central et déconcentré</t>
  </si>
  <si>
    <t>reproduction</t>
  </si>
  <si>
    <t xml:space="preserve"> Les capacités des enseignants en méthodes d'évaluation sont renforcés</t>
  </si>
  <si>
    <t>Formation des enseignants en conception d'items/épreuves et en notation (docimologie)</t>
  </si>
  <si>
    <t>Formation des cadres du niveau central et déconcentré en docimologie</t>
  </si>
  <si>
    <t>SNESCO</t>
  </si>
  <si>
    <t xml:space="preserve">Duplication des formations auprès des enseignants correcteurs par les responsables des évaluations au niveau déconcentré </t>
  </si>
  <si>
    <t>IRE/DFE/DCE/DSEE</t>
  </si>
  <si>
    <t xml:space="preserve"> Introduction de l'enseignement bilingue Français-langues nationales au primaire</t>
  </si>
  <si>
    <t xml:space="preserve"> Les résultats de la phase pilote sont capitalisés pour identifier les stratégies d’utilisation des langues nationales dans l’enseignement et l’apprentissageUne instance de pilotage de la réforme du bilinguisme est opérationnelle</t>
  </si>
  <si>
    <t>Recomposition de l'instance de pilotage de la réforme du bilinguisme</t>
  </si>
  <si>
    <t xml:space="preserve">Création d’une instance de pilotage de la réforme des langues nationales </t>
  </si>
  <si>
    <t>Travaux adm</t>
  </si>
  <si>
    <t>Instance de pilotage (IDP)</t>
  </si>
  <si>
    <t>Poursuite de la mise en œuvre de la phase pilote actuelle</t>
  </si>
  <si>
    <t>forfait annuel</t>
  </si>
  <si>
    <t>Forfait/ens lang</t>
  </si>
  <si>
    <t>Evaluation des résultats de la phase pilote</t>
  </si>
  <si>
    <t>forfait /éval</t>
  </si>
  <si>
    <t>SG/C/PRoDEG</t>
  </si>
  <si>
    <t xml:space="preserve">Suivi-supervision de la phase pilote </t>
  </si>
  <si>
    <t>missions</t>
  </si>
  <si>
    <t xml:space="preserve"> Des étude sont réalisées pour préparer la mise à l'échelle</t>
  </si>
  <si>
    <t>Recrutement d'un cabinet spécialisée pour la conduite de l'étude</t>
  </si>
  <si>
    <t>Elaboration des TDR</t>
  </si>
  <si>
    <t>IDP</t>
  </si>
  <si>
    <t>Réalisation de l'étude sociolinguistique (aires linguistiques, compétences linguistiques des enseignants, etc.)</t>
  </si>
  <si>
    <t>Concertation et validation du rapport de l'étude</t>
  </si>
  <si>
    <t>Une expertise nationale en  langues nationales est disponible</t>
  </si>
  <si>
    <t>Mise en place d’une équipe nationale pour la conduite du processus</t>
  </si>
  <si>
    <t>Création du comité national</t>
  </si>
  <si>
    <t>Formation des enseignants à l'approche</t>
  </si>
  <si>
    <t>Intégrations de la formation en enseignement bilingue dans les institutions de formation initiale</t>
  </si>
  <si>
    <t xml:space="preserve">Les acteurs et partenaires adhèrent à l’approche l’enseignement  et de l’apprentissage des langues nationales </t>
  </si>
  <si>
    <t>Sensibilisation de tous les acteurs et partenaires</t>
  </si>
  <si>
    <t>Conception et diffusion de messages radio/télé, affiches, etc.</t>
  </si>
  <si>
    <t>Publicité</t>
  </si>
  <si>
    <t>Organisation de plaidoyers</t>
  </si>
  <si>
    <t>Bilan du processus</t>
  </si>
  <si>
    <t xml:space="preserve"> L’utilisation des langues nationales dans l’enseignement et l’apprentissage est effective</t>
  </si>
  <si>
    <t>Les langues nationales sont généralisées progressivement dans les écoles</t>
  </si>
  <si>
    <t>Elaboration des supports didactiques</t>
  </si>
  <si>
    <t>Dissémination des supports didactiques</t>
  </si>
  <si>
    <t>Formation des enseignants et encadreurs</t>
  </si>
  <si>
    <t>Expansion et réforme de l’ETFP</t>
  </si>
  <si>
    <t>Identification des besoins en qualification de l’économie</t>
  </si>
  <si>
    <t>Les besoins en compétence des secteurs prioritaires sont identifiés</t>
  </si>
  <si>
    <t>Réalisation d’études d'identification impliquant tous les acteurs à tous les niveaux</t>
  </si>
  <si>
    <t>Appui à l'identification des études à mener et élaboration des TDR (y compris les données pouvant être régulièrement collectées)</t>
  </si>
  <si>
    <t>METFP-ET_Programme 1. Renforcement de la gouvernance au niveau central et déconcentré</t>
  </si>
  <si>
    <t>consultant</t>
  </si>
  <si>
    <t>Etudes sur les besoins des secteurs prioritaires</t>
  </si>
  <si>
    <t>Collecte de données pour l'étude sur les besoins en emploi des secteurs prioritaires (regroupement par région administrative)</t>
  </si>
  <si>
    <t>Mission de collecte</t>
  </si>
  <si>
    <t>Direction Nationale</t>
  </si>
  <si>
    <t>IRETFP</t>
  </si>
  <si>
    <t>Organisation de concertations avec tous les acteurs, en particulier avec les professionnels à tous les niveaux</t>
  </si>
  <si>
    <t>Organisation de rencontres de concertation et de partage des résultats des études</t>
  </si>
  <si>
    <t>DNL</t>
  </si>
  <si>
    <t>IRET</t>
  </si>
  <si>
    <t>Identification des filières prioritaires à développer</t>
  </si>
  <si>
    <t>Centres de formation</t>
  </si>
  <si>
    <t>Validation du choix des filières</t>
  </si>
  <si>
    <t>centre de formation</t>
  </si>
  <si>
    <t xml:space="preserve"> Un dispositif de veille sur les métiers, d’anticipation et d’identification des besoins du marché du travail est opérationnel</t>
  </si>
  <si>
    <t>DéFinition des missions, du mode de fonctionnement du dispositif</t>
  </si>
  <si>
    <t>Organisation de rencontres de concertation pour la déFinition des missions et du mode de fonctionnement du dispositif de veille</t>
  </si>
  <si>
    <t>IRETF</t>
  </si>
  <si>
    <t>Identification du dispositif sur la base des résultats de la concertation</t>
  </si>
  <si>
    <t>Mise en place et opérationnalisation du dispositif de veille</t>
  </si>
  <si>
    <t>Elaboration, adoption et diffusion des textes réglementaires (gestion paritaire)</t>
  </si>
  <si>
    <t>Textes juridiques</t>
  </si>
  <si>
    <t>Appui technique pour l'élaboration de fiches de collecte et du guide de remplissage des fiches sur les métiers porteurs par zone (sur la base des résultats de l'activité 31112)</t>
  </si>
  <si>
    <t>Appui technique pour la mise en place d'une base de données sur les métiers porteurs par zone (sur la base des résultats de l'activité 31112)</t>
  </si>
  <si>
    <t>Elaboration d'un guide d'utilisation de la base de données (prise en compte dans activité 31223)</t>
  </si>
  <si>
    <t>Collecte périodique des données sur le marché de l'emploi</t>
  </si>
  <si>
    <t>SSP</t>
  </si>
  <si>
    <t>Saisie et analyse des données collectées</t>
  </si>
  <si>
    <t>Organisation des rencontres du groupe de gestion paritaire du dispositif de veille</t>
  </si>
  <si>
    <t>Rencontre</t>
  </si>
  <si>
    <t>Partenaires socio-professionnels</t>
  </si>
  <si>
    <t xml:space="preserve"> Un mécanisme de suivi de l’insertion est opérationnel</t>
  </si>
  <si>
    <t>Conception et mise en place du mécanisme de suivi de l’insertion</t>
  </si>
  <si>
    <t>Appui à la mise en place et à l'opérationnalisation d'un dispositif de suivi de l'insertion socioprofessionnelle</t>
  </si>
  <si>
    <t>Assistance technique longue durée</t>
  </si>
  <si>
    <t>DéFinition du mécanisme de suivi de l'insertion</t>
  </si>
  <si>
    <t>ateliers de travail</t>
  </si>
  <si>
    <t>la mise en place du dispositif d'insertion</t>
  </si>
  <si>
    <t>texte réglementaire</t>
  </si>
  <si>
    <t>Réalisation d’actions de suivi et d’analyse de l’insertion des diplômés de l’ETFP</t>
  </si>
  <si>
    <t>Elaboration de guide d'enquête pour le suivi de l'insertion professionnelle (pris en compte dans activité 31311)</t>
  </si>
  <si>
    <t>Développement d'une application pour le suivi de l'insertion (niveau établissement et niveau national pris en charge dans activité 31311)</t>
  </si>
  <si>
    <t>Collecte périodique des données sur l'insertion professionnelle au niveau des institutions de formation et des entreprises (voir budget établissement)</t>
  </si>
  <si>
    <t>Analyse et partage des résultats annuels du suivi de l'insertion</t>
  </si>
  <si>
    <t xml:space="preserve">Prise en charge dans les programmes de formation des constats de l'analyse du suivi de l'insertion </t>
  </si>
  <si>
    <t xml:space="preserve"> Mise en place d’une ingénierie de formation adaptée aux besoins de l’économie</t>
  </si>
  <si>
    <t xml:space="preserve"> Un dispositif institutionnel de formation du personnel de formation et d’ingénierie de formation est mis en place</t>
  </si>
  <si>
    <t>DéFinition des missions du dispositif institutionnel de l’ingénierie de formation</t>
  </si>
  <si>
    <t>Appui à la déFinition du dispositif institutionnel et à l'accompagnement de l'ingénierie de formation (appui long terme sur l'ensemble du processus)</t>
  </si>
  <si>
    <t>METFP-ET_Programme 2. Développement de la formation professionnelle et technique</t>
  </si>
  <si>
    <t>Elaboration d'un cahier de charges (pris en compte dans 32111)</t>
  </si>
  <si>
    <t xml:space="preserve">Partage et validation du projet de dispositif </t>
  </si>
  <si>
    <t>Elaboration et adoption des textes réglementant le fonctionnement du dispositif</t>
  </si>
  <si>
    <t>Opérationnalisation du dispositif</t>
  </si>
  <si>
    <t>DéFinition de critères de sélection de conseillers pédagogiques pour la rédaction des programmes et de formateurs de formateurs en APC</t>
  </si>
  <si>
    <t>Elaboration de plans et supports de formation (Pris en compte dans 32111)</t>
  </si>
  <si>
    <t>Recrutement de conseillers pour la rédaction des programmes</t>
  </si>
  <si>
    <t xml:space="preserve">Formation de conseillers sur la méthodologie APC </t>
  </si>
  <si>
    <t>Appui développement des nouveaux programmes pour les nouvelles filières (pris en compte dans activité 32111)</t>
  </si>
  <si>
    <t>Elaboration des nouveaux programmes et des guides d'accompagnement</t>
  </si>
  <si>
    <t>ateliers</t>
  </si>
  <si>
    <t>Division Développement des Programmes</t>
  </si>
  <si>
    <t>Révision des programmes existants selon l'APC</t>
  </si>
  <si>
    <t>Recrutement de formateurs pour la formation des formateurs en méthodologie APC (pris en compte activité 32111</t>
  </si>
  <si>
    <t>Formation de formateurs (formateurs d l'ENPETP) en méthodologie APC</t>
  </si>
  <si>
    <t>ENPETP</t>
  </si>
  <si>
    <t>Acquisition d'équipements pour l'ENPETP</t>
  </si>
  <si>
    <t>EQ/ENPETP</t>
  </si>
  <si>
    <t>Appui à la déFinition d'outils de gestion et d'encadrement pour l'ENPETP</t>
  </si>
  <si>
    <t>Formation du personnel d'encadrement de l'ENPET à l'utilisation des outils</t>
  </si>
  <si>
    <t>Formation de formateurs (Prof CFP, ENAE, Ecoles de santé) de l'ENPETP à l'APC</t>
  </si>
  <si>
    <t>Organisation des examens de sortie et concours d'entrée dans les institutions de l'ETFPET</t>
  </si>
  <si>
    <t>Examen</t>
  </si>
  <si>
    <t>Concours/etfp</t>
  </si>
  <si>
    <t>SECSP</t>
  </si>
  <si>
    <t xml:space="preserve"> Les TIC et l’économie verte sont prises en compte dans l’élaboration des programmes</t>
  </si>
  <si>
    <t>Intégration des TIC et prise en compte de l’économie verte dans l’actualisation et l’élaboration des programmes</t>
  </si>
  <si>
    <t>Prise en compte des TIC et de l'économie verte dans les nouveaux programmes et dans les programmes révisés (pris en compte dans activités 32126 et 32127)</t>
  </si>
  <si>
    <t>Service TIC du Ministère</t>
  </si>
  <si>
    <t>Equipement des ERAM en matériel informatiques (voir activité 33117)</t>
  </si>
  <si>
    <t>SNIEM</t>
  </si>
  <si>
    <t>Equipement des ENI en matériel informatiques</t>
  </si>
  <si>
    <t>Matériel informatique</t>
  </si>
  <si>
    <t>dot/ENI</t>
  </si>
  <si>
    <t>Equipement des ENAE en matériel informatiques</t>
  </si>
  <si>
    <t>dot/ENAE</t>
  </si>
  <si>
    <t>Formation des responsables TIC des ENI, ERAM, ENAE, Ecoles de santé</t>
  </si>
  <si>
    <t>Service TIC</t>
  </si>
  <si>
    <t xml:space="preserve"> Un cadre adéquat pour le développement de la formation en milieu du travail est mis en place</t>
  </si>
  <si>
    <t>DéFinition d’un cadre de développement de l’apprentissage</t>
  </si>
  <si>
    <t>Appui à la déFinition d'un cadre de développement de l'apprentissage (assistance technique longue durée pour accompagner le processus dans son ensemble)</t>
  </si>
  <si>
    <t>Elaboration d'une fiche de collecte pour l'identification des maitres apprentis et des cadres d'apprentissage (en collaboration avec les fédérations)</t>
  </si>
  <si>
    <t>Identification/Recensement des maitres apprentis et des cadres d'apprentissage adéquats (A faire par les fédérations)</t>
  </si>
  <si>
    <t>Missions pour la collecte des données</t>
  </si>
  <si>
    <t>OP/Inspections Régionales</t>
  </si>
  <si>
    <t xml:space="preserve">Validation par les acteurs au niveau régional et national des résultats de la collecte et déFinition des appuis à mener </t>
  </si>
  <si>
    <t>Partage des résultats de l'étude sur le cadre de l'apprentissage</t>
  </si>
  <si>
    <t xml:space="preserve">atelier de partage </t>
  </si>
  <si>
    <t>IRETFP/OP</t>
  </si>
  <si>
    <t>Adoption du nouveau cadre d'apprentissage</t>
  </si>
  <si>
    <t>DéFinition d’un cadre de développement de l’alternance</t>
  </si>
  <si>
    <t>Appui à la déFinition d'un cadre de développement de l'alternance (compris dans l'activité 32311)</t>
  </si>
  <si>
    <t>Conception des fiches d'identification des entreprises (compris dans 32311)</t>
  </si>
  <si>
    <t>Validation des fiches de collecte par les acteurs concernés</t>
  </si>
  <si>
    <t>Identification des entreprises par zone et par secteur d'activité</t>
  </si>
  <si>
    <t>DNL/IRETPF/OP</t>
  </si>
  <si>
    <t>Validation du cadre de l'alternance</t>
  </si>
  <si>
    <t>Elaboration et adoption des textes organisant l'alternance</t>
  </si>
  <si>
    <t>Mise en place d’un dispositif de validation des acquis de l’expérience</t>
  </si>
  <si>
    <t>Appui à la mise en place d'un dispositif de validation des acquis (voir activité 32311)</t>
  </si>
  <si>
    <t>Concertation sur la proposition de dispositif de validation des acquis</t>
  </si>
  <si>
    <t>IGETFP</t>
  </si>
  <si>
    <t>Elaboration des textes règlementant la validation des acquis des apprentissages</t>
  </si>
  <si>
    <t xml:space="preserve"> Développement de l’offre de formation professionnelle et technique de qualité</t>
  </si>
  <si>
    <t xml:space="preserve"> L’accès aux dispositifs de l’ETFP est accrue en lien avec les besoins (quantitatifs et qualitatifs) de l’économie avec une priorité accordée aux filières porteuses dans les secteurs primaire et secondaire</t>
  </si>
  <si>
    <t>Accroissement de la capacité d’accueil (infrastructures, équipements en tenant compte des besoins des apprenants porteurs de handicap et à besoins éducatifs speciaux ainsi que les catastrophes naturelles)</t>
  </si>
  <si>
    <t>Etudes et supervisions des travaux de rénovation des CFP en cours</t>
  </si>
  <si>
    <t>étude et suivi travaux en cours</t>
  </si>
  <si>
    <t>étude suivi /CFP</t>
  </si>
  <si>
    <t>AFD/PAFISAM</t>
  </si>
  <si>
    <t xml:space="preserve">Etudes et supervisions des ERAM </t>
  </si>
  <si>
    <t>Sup</t>
  </si>
  <si>
    <t>étude suivi /ERAM</t>
  </si>
  <si>
    <t>Construction et équipement du complexe sectoriel BTP hôtellerie (Don fondation Mohamed VI</t>
  </si>
  <si>
    <t>Travaux d’extension ENSAC</t>
  </si>
  <si>
    <t>Constructions</t>
  </si>
  <si>
    <t>const/ENSAC</t>
  </si>
  <si>
    <t>Construction du CFP de Lambanyi</t>
  </si>
  <si>
    <t>const/CFP</t>
  </si>
  <si>
    <t>Construction des ERAM de Coyah et Dabola</t>
  </si>
  <si>
    <t>const/ERAM</t>
  </si>
  <si>
    <t>Equipement de 4 ERAM : Boké, Labé, Siguiri et N’Zérékoré</t>
  </si>
  <si>
    <t>equip/ERAM</t>
  </si>
  <si>
    <t>Construction de 2 ERAM : Mamou et Kindia</t>
  </si>
  <si>
    <t>Construction et Equipement ENI Mamou</t>
  </si>
  <si>
    <t>Constructions/ Equipement</t>
  </si>
  <si>
    <t>const/eni</t>
  </si>
  <si>
    <t>Sécurisation du Site de l’ENEPS</t>
  </si>
  <si>
    <t>const/ENEPS</t>
  </si>
  <si>
    <t>Construction de CAFPPS</t>
  </si>
  <si>
    <t>const/CAFPPS</t>
  </si>
  <si>
    <t>Equipement de CAFPPS</t>
  </si>
  <si>
    <t>EQ/CAFPPS</t>
  </si>
  <si>
    <t>Construction de la clôture de l’ENI et du CFP de Mamou</t>
  </si>
  <si>
    <t>clo/ENI</t>
  </si>
  <si>
    <t>Rénovation et extension du CFP de Ratoma</t>
  </si>
  <si>
    <t>renov/CFP</t>
  </si>
  <si>
    <t>BM/BoCEJ</t>
  </si>
  <si>
    <t>Rénovation et extension du CFP Bordo Kankan</t>
  </si>
  <si>
    <t>Equipement des ERAM de Coyah, Dabola, Kindia et Mamou</t>
  </si>
  <si>
    <t>Equipement des CFP</t>
  </si>
  <si>
    <t>equip/CFP</t>
  </si>
  <si>
    <t>Rénovation et extension des infrastructures de l'ENAM, de l'ENPET, de CEPERTAM, des CFP et ENAE de Matoto,  Beyla, Fria, Boké, Koba, Tolo,Macenta et du CAFPPS Macenta</t>
  </si>
  <si>
    <t>Travaux</t>
  </si>
  <si>
    <t>travaux/ETFP</t>
  </si>
  <si>
    <t>UC/PAFISAM</t>
  </si>
  <si>
    <t>Equipement ateliers de l'ENAM, de l'ENPET, de CEPERTAM, des CFP et ENAE de Matoto, Macenta, Beyla, Fria, Boké, Koba, Tolo, et du CAFPPS Macenta</t>
  </si>
  <si>
    <t>EQ/ETFP</t>
  </si>
  <si>
    <t>Rénovation et équipement des ateliers des CFP Donka, Ratoma, CENFOTH</t>
  </si>
  <si>
    <t>Travaux/CFP</t>
  </si>
  <si>
    <t>UC/BoCEJ</t>
  </si>
  <si>
    <t>Institutions de formation</t>
  </si>
  <si>
    <t>Dotation des établissements en personnel qualifié suffisant</t>
  </si>
  <si>
    <t>Recrutement du personnel de formation pour les centres de formation (hors ENI)</t>
  </si>
  <si>
    <t>masse salariale du personnel dans les établissements</t>
  </si>
  <si>
    <t>MS/étab/METFP</t>
  </si>
  <si>
    <t>Fonction Publique</t>
  </si>
  <si>
    <t>Formation du personnel enseignant à l’ENPET (CFP, ENAE, Ecoles de SANTE)</t>
  </si>
  <si>
    <t>Formation du personnel enseignant des ERAM à l'étranger</t>
  </si>
  <si>
    <t>Fomation</t>
  </si>
  <si>
    <t>h/an/fa</t>
  </si>
  <si>
    <t>Dotation des établissements du post primaire pour la prise en charge de la vacation des professionnels (voir budget établissement)</t>
  </si>
  <si>
    <t>DRH, DN, Institution</t>
  </si>
  <si>
    <t>Application de divers modes de formation (apprentissage, résidentiel, alternance, en situation de travail…)</t>
  </si>
  <si>
    <t>Encadrement et appui méthodologique aux maitres apprentis retenus</t>
  </si>
  <si>
    <t>Suivi</t>
  </si>
  <si>
    <t>forfait/suivi</t>
  </si>
  <si>
    <t>DN</t>
  </si>
  <si>
    <t>OP</t>
  </si>
  <si>
    <t>Acquisition de Kit d'apprentissage pour les apprentis encadrés</t>
  </si>
  <si>
    <t>Petits outillages</t>
  </si>
  <si>
    <t>kit/atelier</t>
  </si>
  <si>
    <t>DN et OP</t>
  </si>
  <si>
    <t>Orientation professionnelle et placement des apprentis</t>
  </si>
  <si>
    <t>Recrutement des superviseurs (Post primaire, CFP, ENI, ENAE, Ecoles de Santé)</t>
  </si>
  <si>
    <t>texte d'affectation</t>
  </si>
  <si>
    <t>Développement de guide de supervision pédagogique</t>
  </si>
  <si>
    <t>Formation des superviseurs (Post primaire, CFP, ENI, ENAE, Ecoles de Santé)</t>
  </si>
  <si>
    <t xml:space="preserve"> IRET</t>
  </si>
  <si>
    <t>Dotation des superviseurs en Moto</t>
  </si>
  <si>
    <t>moto</t>
  </si>
  <si>
    <t>Fournisseur</t>
  </si>
  <si>
    <t>Organisation des activités de supervision</t>
  </si>
  <si>
    <t>Mission terrain</t>
  </si>
  <si>
    <t>Fournitures de matières d'œuvres</t>
  </si>
  <si>
    <t>Allocations pour l'achat de matières d'œuvre pour les institutions de formation (hors ENI)</t>
  </si>
  <si>
    <t>subvention aux établissements</t>
  </si>
  <si>
    <t>sub/étabETFP</t>
  </si>
  <si>
    <t xml:space="preserve"> L’équité dans l’accès est améliorée (genre, zones, régions, besoins spécifiques)</t>
  </si>
  <si>
    <t>DéFinition et Mise en place de mécanismes favorisant l’équité</t>
  </si>
  <si>
    <t>DéFinition de critères pour l'octroi de bourses aux filles dans les filières du secteur primaire et secondaire</t>
  </si>
  <si>
    <t>Genre Equité</t>
  </si>
  <si>
    <t>Modélisé</t>
  </si>
  <si>
    <t>Attribution de bourses pour les filles retenues</t>
  </si>
  <si>
    <t>boursiére</t>
  </si>
  <si>
    <t>compl/fille</t>
  </si>
  <si>
    <t>Genre équité</t>
  </si>
  <si>
    <t>Attribution de bourses pour les élèves maitres dans les ENI</t>
  </si>
  <si>
    <t>boursiers</t>
  </si>
  <si>
    <t>Bourse/étud/etfp</t>
  </si>
  <si>
    <t>Institutions de formation(ENI)</t>
  </si>
  <si>
    <t xml:space="preserve"> Un dispositif d’appui à l’insertion socioprofessionnelle y compris l’entreprenariat est opérationnel</t>
  </si>
  <si>
    <t>Consolidation des mécanismes d’appui à l’insertion</t>
  </si>
  <si>
    <t>Réalisation d'un état des lieux des dispositifs d'insertion existants</t>
  </si>
  <si>
    <t>Service consultant</t>
  </si>
  <si>
    <t>Choix et adoption d'un dispositif d'insertion</t>
  </si>
  <si>
    <t>Opérationnalisation,(notamment allocation de ressources) des mécanismes d’appui à l’insertion</t>
  </si>
  <si>
    <t>Amélioration de l'adhésion des jeunes diplômés dans les organisations professionnelles</t>
  </si>
  <si>
    <t>OP, Institutions de formation</t>
  </si>
  <si>
    <t>Plaidoyer auprès des institutions Financières pour le Financement des projets d'insertion (auto-emploi)</t>
  </si>
  <si>
    <t>Etude de faisabilité de la mise en œuvre d'un fonds d'insertion</t>
  </si>
  <si>
    <t>Dotation de kits d'appui à l'insertion</t>
  </si>
  <si>
    <t>outillage</t>
  </si>
  <si>
    <t>Kit/insertion</t>
  </si>
  <si>
    <t>Institutions de formation
IRETFP
OP</t>
  </si>
  <si>
    <t>Suivi et encadrement des appuyés</t>
  </si>
  <si>
    <t>Travaux de supervisions des apprentissages</t>
  </si>
  <si>
    <t>indemnités des superviseurs</t>
  </si>
  <si>
    <t>sup/app</t>
  </si>
  <si>
    <t>Intégration de la dimension entrepreunariale dans le dispositif de formation</t>
  </si>
  <si>
    <t>Introduction dans les cursus de formation du développement de projet personnel</t>
  </si>
  <si>
    <t>Décision administratif</t>
  </si>
  <si>
    <t>Instituitions de formation</t>
  </si>
  <si>
    <t>Etude pour la mise en place d'incubateurs</t>
  </si>
  <si>
    <t xml:space="preserve"> le Financement du développement de l’ETFP</t>
  </si>
  <si>
    <t xml:space="preserve"> L’allocation budgétaire de l’ETFP dans le budget de l’éducation est améliorée</t>
  </si>
  <si>
    <t>Plaidoyer pour concrétiser la priorité accordée à l’ETFP</t>
  </si>
  <si>
    <t>Réorganisation et réorientation des projets de budget en lien avec la réforme de l'ETFP</t>
  </si>
  <si>
    <t>Travail administratif</t>
  </si>
  <si>
    <t>Organisation de réunion de concertation et d'information avec les services techniques du budget et du plan</t>
  </si>
  <si>
    <t>Adaptation des lignes budgétaire pour tenir compte des spécificités de l’ETFP</t>
  </si>
  <si>
    <t>Proposition de lignes budgétaires pour les activités spécifiques à l'ETFP</t>
  </si>
  <si>
    <t xml:space="preserve"> </t>
  </si>
  <si>
    <t>Validation de lignes budgétaires par la direction nationale du budget</t>
  </si>
  <si>
    <t xml:space="preserve"> Le reversement intégral du produit de la taxe de l’apprentissage au FNQP est effectif</t>
  </si>
  <si>
    <t>Plaidoyer pour le reversement intégral du produit de la taxe de l’apprentissage au FNQP</t>
  </si>
  <si>
    <t>Elaboration et adoption des textes instaurant le reversement de la taxe d'apprentissage pour le Financement de la formation professionnelle</t>
  </si>
  <si>
    <t>ONFPP</t>
  </si>
  <si>
    <t>Révision des textes régissant le fonds national pour la qualification professionnelle</t>
  </si>
  <si>
    <t>Introduction dans le contrat des sociétés minières le paiement de la CFPCA pour la mise à niveau de la main d'œuvre nationale</t>
  </si>
  <si>
    <t>Mise en place d’une stratégie de gestion de la taxe d’apprentissage</t>
  </si>
  <si>
    <t>Organisation de rencontres avec les services concernés (ONFPP, différents services du METFP-ET et employeurs) pour la déFinition de stratégie de gestion de la taxe d'apprentissage</t>
  </si>
  <si>
    <t>rencontre</t>
  </si>
  <si>
    <t xml:space="preserve">Opérationnalisation de la stratégie de gestion de la taxe
</t>
  </si>
  <si>
    <t>Mise en œuvre des activités Financées par la taxe d'apprentissage par l'ONFPP</t>
  </si>
  <si>
    <t>Entreprises
institutions de formation</t>
  </si>
  <si>
    <t xml:space="preserve"> La contribution du milieu socioprofessionnel dans le partage du coût de formation est accrue</t>
  </si>
  <si>
    <t>Elaboration d’un cadre parteunarial favorisant le partage de coût de la formation avec le milieu socioprofessionnel</t>
  </si>
  <si>
    <t>Organisation d'un état des lieux</t>
  </si>
  <si>
    <t>Consultation 
nationale</t>
  </si>
  <si>
    <t>Identification des partenaires potentiels (pris en compte dans l'activité 34311)</t>
  </si>
  <si>
    <t>Identification de grandes orientations et axes de partenariats (pris en compte dans l'activité 34311)</t>
  </si>
  <si>
    <t>formalisation du cadre partenarial</t>
  </si>
  <si>
    <t>fonctionnement du cadre partenarial</t>
  </si>
  <si>
    <t>Mise en place d’un cadre qui favorise les prestations de services par les institutions de l’ETFP</t>
  </si>
  <si>
    <t>Elaboration de lignes directrices et d'orientation qui favorisent les prestations de services par les institutions de l'ETFP</t>
  </si>
  <si>
    <t>Assistance Technique</t>
  </si>
  <si>
    <t>h/J/ci</t>
  </si>
  <si>
    <t>Vulgarisation des textes élaborés</t>
  </si>
  <si>
    <t>Elaboration et mise en œuvre d’une stratégie de communication et de sensibilisation du milieu socioprofessionnel</t>
  </si>
  <si>
    <t>Etat des lieux</t>
  </si>
  <si>
    <t>Consultation Nationale</t>
  </si>
  <si>
    <t>h/j/Cn</t>
  </si>
  <si>
    <t>Elaboration d’un plan de communication (pris en compte dans activité 34331)</t>
  </si>
  <si>
    <t>vulgarisation du plan de communication</t>
  </si>
  <si>
    <t xml:space="preserve">atelier </t>
  </si>
  <si>
    <t>h/J/a</t>
  </si>
  <si>
    <t>Service Communication</t>
  </si>
  <si>
    <t>DN 
IRETFP</t>
  </si>
  <si>
    <t>Mise en œuvre d'activités de communication</t>
  </si>
  <si>
    <t>communication</t>
  </si>
  <si>
    <t>Forfait/com</t>
  </si>
  <si>
    <t xml:space="preserve"> Développement de la formation continue des actifs en situation de travail</t>
  </si>
  <si>
    <t xml:space="preserve"> la stratégie globale de formation continue est mise en œuvre</t>
  </si>
  <si>
    <t>Elaboration d’une stratégie nationale de formation continue avec l'implication active des professionnels</t>
  </si>
  <si>
    <t>Réalisation d'une étude</t>
  </si>
  <si>
    <t>METFP-ET_Programme 3. Promotion de l’emploi et du travail</t>
  </si>
  <si>
    <t>DN
IRETFP
Institutions de formation</t>
  </si>
  <si>
    <t>Organisation d'atelier d'élaboration</t>
  </si>
  <si>
    <t xml:space="preserve">DN
IRETFP
</t>
  </si>
  <si>
    <t>Adoption de la stratégie nationale de formation continue</t>
  </si>
  <si>
    <t>IRET
Institutions</t>
  </si>
  <si>
    <t>Promotion de nouveaux mécanismes d'incitation à la formation continue</t>
  </si>
  <si>
    <t>pm sera pris en compte dans la seconde phase du PRODEG</t>
  </si>
  <si>
    <t>Opérationnalisation des nouveaux mécanismes de formation continue</t>
  </si>
  <si>
    <t xml:space="preserve"> La prestation de service en formation continue est accrue dans les centres</t>
  </si>
  <si>
    <t>Renforcement de capacités des centres en prestation de service en matière de formation continue</t>
  </si>
  <si>
    <t>Mise en œuvre d'actions de formations continues dans les centres</t>
  </si>
  <si>
    <t xml:space="preserve"> Renforcement des capacités de pilotage et de gestion dans le cadre d’une gouvernance parteunariale multi niveaux</t>
  </si>
  <si>
    <t>Des cadres formalisés de concertation entre les acteurs de la formation professionnelle publics, partenaires sociaux économiques, les collectivités territoriales, sont opérationnels</t>
  </si>
  <si>
    <t>DéFinition des cadres de concertation</t>
  </si>
  <si>
    <t>Identification, information et sensibilisation de tous les partenaires pour la déFinition des cadres de concertation à tous les niveaux (local, régional et national)</t>
  </si>
  <si>
    <t>IRETFP
OP</t>
  </si>
  <si>
    <t>Elaboration de textes régissant le fonctionnement des cadres de concertation à tous les niveaux</t>
  </si>
  <si>
    <t>IRETFP
OP
BSD</t>
  </si>
  <si>
    <t xml:space="preserve">Opérationnalisation des cadres
</t>
  </si>
  <si>
    <t>Prise en charge des frais de concertation</t>
  </si>
  <si>
    <t>Perdiems</t>
  </si>
  <si>
    <t>DN
IRETFP
institutions de fortmation</t>
  </si>
  <si>
    <t>Formation des acteurs impliqués dans les concertations</t>
  </si>
  <si>
    <t xml:space="preserve"> L’autonomisation des institutions est accrue dans un cadre de redevabilité</t>
  </si>
  <si>
    <t>DéFinition d’un modèle de fonctionnement des institutions de l’ETFP</t>
  </si>
  <si>
    <t>Etude sur la gouvernance des établissements de l'ETFP</t>
  </si>
  <si>
    <t>Concertation et validation des recommandations des résultats de l'étude</t>
  </si>
  <si>
    <t>DN
IRETFP
OP
Institutions</t>
  </si>
  <si>
    <t>Elaboration et adoption des textes réglementaires et organisationnels des établissements pilotes</t>
  </si>
  <si>
    <t xml:space="preserve">Déploiement progressif du modèle de fonctionnement retenue
</t>
  </si>
  <si>
    <t>Identification des besoins en formation et en organisation des établissements pilotes pour la mise en place du nouveau modèle de fonctionnement (pris en compte dans activité 36211)</t>
  </si>
  <si>
    <t>DN
IRETFP</t>
  </si>
  <si>
    <t>Formation des ressources humaines des établissements</t>
  </si>
  <si>
    <t xml:space="preserve">DAF
IRETFP
DRH </t>
  </si>
  <si>
    <t>Financement des sessions des organes de gestion (pris en compte dans la subvention des établissements)</t>
  </si>
  <si>
    <t xml:space="preserve">Réalisation des audits annuels des comptes des établissements pilotes </t>
  </si>
  <si>
    <t xml:space="preserve"> La concertation est améliorée au niveaux des autres établissements (établissements non impliqués dans l'expérimentation du nouveau modèle de gouvernance)</t>
  </si>
  <si>
    <t>Renforcement du fonctionnement des conseils d'établissements</t>
  </si>
  <si>
    <t>Information, sensibilisation des partenaires sur la mise en place et l'importance des conseils d'établissement</t>
  </si>
  <si>
    <t>OP
IRETFP</t>
  </si>
  <si>
    <t>Identification des points forts et des points faibles des centres de formation en termes d'implication du secteur privé</t>
  </si>
  <si>
    <t>Renforcement de capacités des membres des conseils d'établissement</t>
  </si>
  <si>
    <t>Ateliers d'information</t>
  </si>
  <si>
    <t>Elaboration et mise en œuvre des projets d'établissements</t>
  </si>
  <si>
    <t>pm seconde phase du PRODEG</t>
  </si>
  <si>
    <t xml:space="preserve"> La capacité de pilotage et de mise en œuvre, technique et Financière, de l’ETFP est renforcée</t>
  </si>
  <si>
    <t xml:space="preserve">Mise en place d’un Système articulé d’information et de gestion de l’ETFP capitalisant et consolidant les données à tous les niveaux
</t>
  </si>
  <si>
    <t>DéFinition de l'architecture d'un système d'information articulé aux différents niveaux</t>
  </si>
  <si>
    <t>BSD/UCBoCEJ</t>
  </si>
  <si>
    <t>Développement du système d'information pour les différents niveaux et l'identification des équipements et des compétences nécessaires à sa mise en place</t>
  </si>
  <si>
    <t>BSD/UC BoCEJ</t>
  </si>
  <si>
    <t>Elaboration d'un plan d'opérationnalisation du système d'information (pris en compte dans activité 36312)</t>
  </si>
  <si>
    <t xml:space="preserve">Renforcement de la gestion des ressources humaines chargée de la gestion de l’ETFP
</t>
  </si>
  <si>
    <t xml:space="preserve">Elaboration d'un audit organisationnel du METFP (déFinition des postes et des profils et adéquation profils poste et identification des besoins en formation et élaboration d'un plan de formation) </t>
  </si>
  <si>
    <t>DéFinition d'un mécanisme d'évaluation des performances du personnel de l'ETFP</t>
  </si>
  <si>
    <t>Atelier interministériel</t>
  </si>
  <si>
    <t xml:space="preserve">DN
</t>
  </si>
  <si>
    <t xml:space="preserve">Renforcement des moyens et outils de travail
</t>
  </si>
  <si>
    <t>Réalisation d'une étude sur les couts unitaires des programmes d'études</t>
  </si>
  <si>
    <t>Elaboration d'un manuel de procédures de gestion des ressources humaines</t>
  </si>
  <si>
    <t>BSD/UC BoCEJ
DN</t>
  </si>
  <si>
    <t>Validation et diffusion du manuel de GRH</t>
  </si>
  <si>
    <t>Acquisition de matériels informatiques pour la GRH</t>
  </si>
  <si>
    <t>Acquisition de MODEMS internet</t>
  </si>
  <si>
    <t>clef</t>
  </si>
  <si>
    <t>Clé3G</t>
  </si>
  <si>
    <t>DN
DRH</t>
  </si>
  <si>
    <t>Mise à jour régulière de la base de données GRH (compris dans activités 36433 et 36434)</t>
  </si>
  <si>
    <t>Service informatique</t>
  </si>
  <si>
    <t>Acquisition de moyens logistiques pour les Directions nationales et Inspections régionales de l'ETFP</t>
  </si>
  <si>
    <t>Voiture</t>
  </si>
  <si>
    <t>PRPM</t>
  </si>
  <si>
    <t>Construction de 8 inspections régionales de l'ETFP</t>
  </si>
  <si>
    <t>cons/IRETFP</t>
  </si>
  <si>
    <t>SNIEM
PRPM</t>
  </si>
  <si>
    <t>Equipement de 8 inspections</t>
  </si>
  <si>
    <t>Lot de mobilier et équipement</t>
  </si>
  <si>
    <t>EQ/IRETFP</t>
  </si>
  <si>
    <t>PRMP</t>
  </si>
  <si>
    <t>Adaptation et mise en cohérence des rôles et responsabilités des différentes structures concernées par l’ETFP</t>
  </si>
  <si>
    <t>Révision des textes et cadres organiques des structures et services de l'ETFP (attributions, organisations et fonctionnement des services)</t>
  </si>
  <si>
    <t>vulgarisation des textes, des lois et conventions et traités</t>
  </si>
  <si>
    <t>production d'un livret</t>
  </si>
  <si>
    <t>Recrutement de consultants pour la formation des inspecteurs de l'enseignement technique et de la formation professionnelle</t>
  </si>
  <si>
    <t>IGET</t>
  </si>
  <si>
    <t>assistance techniques</t>
  </si>
  <si>
    <t>Recrutement des inspecteurs à former</t>
  </si>
  <si>
    <t>Formation des inspecteurs</t>
  </si>
  <si>
    <t>Organisation de l'inspection dans les institutions de formation par les services centraux</t>
  </si>
  <si>
    <t>Organisation de l'inspection dans les institutions de formation par les services régionaux</t>
  </si>
  <si>
    <t>Le dispositif de communication et d’orientation professionnelle est opérationnel</t>
  </si>
  <si>
    <t>Configuration du dispositif de communication et d’orientation professionnelle</t>
  </si>
  <si>
    <t>Etude pour la déFinition du dispositif de communication sur l'orientation professionnelle</t>
  </si>
  <si>
    <t>Validation des résultats de l'étude</t>
  </si>
  <si>
    <t>Vulgarisation du dispositif de communication</t>
  </si>
  <si>
    <t>Mise en œuvre du dispositif de communication</t>
  </si>
  <si>
    <t>PM (mis en œuvre dans le prochain PAPB)</t>
  </si>
  <si>
    <t xml:space="preserve"> Un système d’assurance qualité est mis en place</t>
  </si>
  <si>
    <t>Développement du système d’assurance qualité en cours de mise en œuvre</t>
  </si>
  <si>
    <t>Auto-évaluation des programmes pilotes sur la base du manuel de procédures</t>
  </si>
  <si>
    <t>ANAQ
IGETFP
Institutions</t>
  </si>
  <si>
    <t>Evaluation indépendante des programmes pilotes</t>
  </si>
  <si>
    <t>ANAQ</t>
  </si>
  <si>
    <t>Accréditation des programmes ayant satisfait à l'évaluation</t>
  </si>
  <si>
    <t>Institutions</t>
  </si>
  <si>
    <t>Mise à jour des programmes non accrédités en fonction des recommandations de l'évaluation</t>
  </si>
  <si>
    <t>Extension de la mise en œuvre du système d’assurance qualité</t>
  </si>
  <si>
    <t>Formation des établissements sur l'assurance qualité (chefs d'établissements et de filières)</t>
  </si>
  <si>
    <t>Auto-évaluation des programmes retenues sur la base du manuel de procédures</t>
  </si>
  <si>
    <t>Evaluation indépendante des programmes retenus</t>
  </si>
  <si>
    <t>Développement d’un Cadre National de Certification et de Qualification (CNCQ)</t>
  </si>
  <si>
    <t>Etat des lieux de la formation et de la certification</t>
  </si>
  <si>
    <t>Identification des problématiques de la certification et de la qualification en formation professionnelle (pris en compte dans activité 36531)</t>
  </si>
  <si>
    <t>Elaboration du cadre légal et réglementaire de la qualification et de la certification</t>
  </si>
  <si>
    <t>atelier d'élaboration</t>
  </si>
  <si>
    <t>Concertation sur le CNCQ</t>
  </si>
  <si>
    <t>Adoption des textes réglementaires</t>
  </si>
  <si>
    <t>Diffusion des textes</t>
  </si>
  <si>
    <t>reproduction et distribution des textes</t>
  </si>
  <si>
    <t>Application du CNCQ</t>
  </si>
  <si>
    <t>PM (phase 2 du PRODEG)</t>
  </si>
  <si>
    <t>Participation à la mise en place du cadre régional de certification</t>
  </si>
  <si>
    <t>harmonisation du CNCQ de la guinée avec le cadre régional (pris en compte dans la stratégie 3654)</t>
  </si>
  <si>
    <t>IGETFP
DN
IRETFP</t>
  </si>
  <si>
    <t xml:space="preserve"> Une loi cadre de l’ETFP est élaborée</t>
  </si>
  <si>
    <t xml:space="preserve">élaboration de la loi cadre avec une approche participative
</t>
  </si>
  <si>
    <t xml:space="preserve">Appui d'une expertise internationale pour la déFinition du contenu de la loi cadre sur la formation professionnelle </t>
  </si>
  <si>
    <t>Appui à l'élaboration du projet de loi cadre de l'ETFP</t>
  </si>
  <si>
    <t>Concertation avec les acteurs</t>
  </si>
  <si>
    <t>DN
IRET
OP</t>
  </si>
  <si>
    <t>Validation</t>
  </si>
  <si>
    <t>Promulgation</t>
  </si>
  <si>
    <t>Vulgarisation</t>
  </si>
  <si>
    <t xml:space="preserve"> Le cadre juridique et règlementaire est adapté </t>
  </si>
  <si>
    <t>Revue du cadre existant et adaptation au nouveau cadre</t>
  </si>
  <si>
    <t>Analyse de la cohérence des différents textes régissant l'ETFP avec la loi cadre</t>
  </si>
  <si>
    <t>Commission ad'hoc</t>
  </si>
  <si>
    <t xml:space="preserve">DN 
</t>
  </si>
  <si>
    <t>Mobilisation d'Expertise nationale</t>
  </si>
  <si>
    <t>Elaboration des projets de textes</t>
  </si>
  <si>
    <t>Validation des textes</t>
  </si>
  <si>
    <t xml:space="preserve"> Suivi et évaluation du programme reforme et expansion de l'ETFP est assuré</t>
  </si>
  <si>
    <t xml:space="preserve">Mise en place d'un cadre de suivi-évaluation
</t>
  </si>
  <si>
    <t>DéFinition du cadre partenarial de suivi évaluation de l'ETFP</t>
  </si>
  <si>
    <t>atelier de concertation</t>
  </si>
  <si>
    <t>DN
IRETFP
OP</t>
  </si>
  <si>
    <t>Evaluation régulière des performances de l'ETFP (à tous les niveaux)</t>
  </si>
  <si>
    <t>Partage des résultats des évaluations des performances de l'ETFP (à tous les niveaux)</t>
  </si>
  <si>
    <t>ateliers de partage</t>
  </si>
  <si>
    <t>Elaboration du rapport de performance de l'ETFP</t>
  </si>
  <si>
    <t>Partage du rapport de performance</t>
  </si>
  <si>
    <t>Réforme de l’enseignement supérieur et la recherche scientifique et de l'innovation</t>
  </si>
  <si>
    <t xml:space="preserve"> Gouvernance et pilotage de l’enseignement supérieur et de la recherche scientifique</t>
  </si>
  <si>
    <t xml:space="preserve"> Les textes sont produits/révisés, les manuels de procédure de gestion sont élaborés aFin de mieux situer les rôles et les responsabilités. </t>
  </si>
  <si>
    <t>Production/révision des textes et de manuels de procédure</t>
  </si>
  <si>
    <t>Identification des textes à réviser/produire et constitution des commissions</t>
  </si>
  <si>
    <t>MESRS_Programme 1. Gouvernance du système</t>
  </si>
  <si>
    <t>DRH/DGES/DGRSIT</t>
  </si>
  <si>
    <t>Travaux des commissions pour la révision/production des textes (y compris l'obligation de publication de comptes Financiers)</t>
  </si>
  <si>
    <t>Recrutement des consultants pour l'élaboration des manuels de procédures</t>
  </si>
  <si>
    <t xml:space="preserve"> Les ateliers de partage des documents sont tenus</t>
  </si>
  <si>
    <t>Diffusion et partage des documents</t>
  </si>
  <si>
    <t>Validation et partage des documents</t>
  </si>
  <si>
    <t>IES/IRS</t>
  </si>
  <si>
    <t>Reproduction et diffusion</t>
  </si>
  <si>
    <t xml:space="preserve"> Un système d’information efficace et performant est mis en œuvre  aFin de favoriser le reporting et la reddition des comptes</t>
  </si>
  <si>
    <t>Diffusion des rapports Financiers à l’interne et à l’externe</t>
  </si>
  <si>
    <t>Mise en ligne de rapports Financiers des IES &amp; IRS</t>
  </si>
  <si>
    <t>SIC</t>
  </si>
  <si>
    <t>Introduction et généralisation de la GAR</t>
  </si>
  <si>
    <t>Adoption des textes introduisant la GAR (voir activité 41112)</t>
  </si>
  <si>
    <t>Recrutement d'un cabinet de formation pour la production de support de formation</t>
  </si>
  <si>
    <t>Formation du personnel à la GAR</t>
  </si>
  <si>
    <t>Renforcement et modernisation de la production des données statistiques pour la gestion et le pilotage</t>
  </si>
  <si>
    <t>Acquisition du matériel informatique (ordinateurs de bureau)</t>
  </si>
  <si>
    <t>Equipement informatique</t>
  </si>
  <si>
    <t>Poste de travail</t>
  </si>
  <si>
    <t>Acquisition du matériel informatique (portables)</t>
  </si>
  <si>
    <t>Développement d'une application pour la collecte et le traitement des données avec des interfaces dans les institutions</t>
  </si>
  <si>
    <t>Acquisition du matériel informatique (serveur)</t>
  </si>
  <si>
    <t>serveur</t>
  </si>
  <si>
    <t>Recrutement de consultants pour la modernisation des outils de collecte de données (pris en compte dans 41333)</t>
  </si>
  <si>
    <t>Formation du personnel</t>
  </si>
  <si>
    <t xml:space="preserve"> Les capacités des personnels administratifs et d’appui sont renforcées</t>
  </si>
  <si>
    <t>Renforcement des capacités des personnels à tous les niveaux du système dans des domaines pertinents</t>
  </si>
  <si>
    <t>Identification de besoins de formation</t>
  </si>
  <si>
    <t>Production de support de formation</t>
  </si>
  <si>
    <t xml:space="preserve"> L’évolution quantitative de l’enseignement supérieur est maitrisée</t>
  </si>
  <si>
    <t>Recensement biométrique des étudiants</t>
  </si>
  <si>
    <t>Constitution d'une commission chargée du recensement biométrique des étudiants</t>
  </si>
  <si>
    <t>Consulltants</t>
  </si>
  <si>
    <t>Acquisition de matériel informatique pour la collecte des données biométriques des étudiants</t>
  </si>
  <si>
    <t>tablette</t>
  </si>
  <si>
    <t xml:space="preserve">Acquisition de lecteur d'empreintes </t>
  </si>
  <si>
    <t>lecteur d'empreinte</t>
  </si>
  <si>
    <t>mat/empreinte</t>
  </si>
  <si>
    <t>Mission de terrain</t>
  </si>
  <si>
    <t>Consltants</t>
  </si>
  <si>
    <t>Pérennisation de l’orientation en ligne des bacheliers, à travers la plateforme « GUPOL »</t>
  </si>
  <si>
    <t>Amélioration de la plateforme GUPOL</t>
  </si>
  <si>
    <t>Campagnes de communication à destination de bacheliers</t>
  </si>
  <si>
    <t>Campagnes radio et télé</t>
  </si>
  <si>
    <t>Sessions de la commission d'orientation</t>
  </si>
  <si>
    <t>DGES</t>
  </si>
  <si>
    <t>Introduction de la politique d’octroi des bourses sur critères</t>
  </si>
  <si>
    <t>Réalisation d'une étude de faisabilité</t>
  </si>
  <si>
    <t>Consultants</t>
  </si>
  <si>
    <t>Adoption de la politique d'octroi des bourses sur critères</t>
  </si>
  <si>
    <t>Mise en place de la politique d'octroi des bourses sur critères au niveau national</t>
  </si>
  <si>
    <t>Mise en place de la politique d'octroi des bourses sur critères à l'étranger</t>
  </si>
  <si>
    <t xml:space="preserve">Octroi des bourses nationales </t>
  </si>
  <si>
    <t>bourses en Guinée</t>
  </si>
  <si>
    <t>Bourse/étud/sup</t>
  </si>
  <si>
    <t xml:space="preserve">Octroi des bourses à l'étranger </t>
  </si>
  <si>
    <t>enveloppe</t>
  </si>
  <si>
    <t>Enveloppe/an</t>
  </si>
  <si>
    <t>Octroi des bourses pour les étudiants orientés dans les universités privés (Fin 2019)</t>
  </si>
  <si>
    <t>Enveloppe/privé</t>
  </si>
  <si>
    <t xml:space="preserve"> Les organes de gouvernance sont fonctionnels</t>
  </si>
  <si>
    <t>Organisation des Conseils/Comités</t>
  </si>
  <si>
    <t>Tenue de conseils/comités (jetons de présence pris en charge dans les subventions des IES)</t>
  </si>
  <si>
    <t>Rectotat/DG</t>
  </si>
  <si>
    <t>Mise en œuvre des textes de gouvernance</t>
  </si>
  <si>
    <t xml:space="preserve">Application des textes </t>
  </si>
  <si>
    <t xml:space="preserve"> L’autonomie des institutions est renforcée</t>
  </si>
  <si>
    <t>Renforcement des capacités en matière de gestion administrative et Financière</t>
  </si>
  <si>
    <t>Formation du personnel en gestion administrative et Financière (GAF)</t>
  </si>
  <si>
    <t xml:space="preserve"> La mobilisation de ressources Financières est accrue</t>
  </si>
  <si>
    <t>Développement de stratégies de coopération avec le secteur privé et à l’internationale pour mobiliser de ressources additionnelles</t>
  </si>
  <si>
    <t xml:space="preserve">Elaboration d'une stratégie de mobilisation de ressources </t>
  </si>
  <si>
    <t>Diffusion de la stratégie de mobilisation de ressources</t>
  </si>
  <si>
    <t>Réunions (communications et déplacements)</t>
  </si>
  <si>
    <t>Mission pour la mobilisation de ressources</t>
  </si>
  <si>
    <t>déplacements à l'international</t>
  </si>
  <si>
    <t xml:space="preserve"> L’efficacité dans l’utilisation des fonds alloués aux institutions est améliorée</t>
  </si>
  <si>
    <t>Maîtrise de cycle de projets</t>
  </si>
  <si>
    <t>Recrutement de consultant pour l'élaboration de support de formation et la formation</t>
  </si>
  <si>
    <t>Formation en conception et gestion de projet</t>
  </si>
  <si>
    <t xml:space="preserve">Appui technique aux institutions dans la conception et la gestion de projet </t>
  </si>
  <si>
    <t>Adoption de l'élaboration de projets d'établissements pluri-annuels</t>
  </si>
  <si>
    <t>Formations des institutions dans l'élaboration des projets d'établissement pris en compte dans activité 41913)</t>
  </si>
  <si>
    <t>Elaboration et validation de projets d'établissement</t>
  </si>
  <si>
    <t>CA</t>
  </si>
  <si>
    <t>Modernisation de l'administration</t>
  </si>
  <si>
    <t>Dotation des établissements en subvention de fonctionnement</t>
  </si>
  <si>
    <t>Subvention IES</t>
  </si>
  <si>
    <t>sub/IES</t>
  </si>
  <si>
    <t xml:space="preserve"> Expansion de l’offre publique pour un système plus équitable en lien avec les priorités nationales </t>
  </si>
  <si>
    <t xml:space="preserve"> La capacité d’accueil en infrastructures, équipements et en enseignants des institutions est accrue</t>
  </si>
  <si>
    <t>Construction/rénovation et équipement de bâtiments administratifs, acquisition d'immobilisation et de matériels</t>
  </si>
  <si>
    <t>Construction de bâtiments à usage administratifs</t>
  </si>
  <si>
    <t>cons/MESRS</t>
  </si>
  <si>
    <t>MESRS_Programme 2. Développement de l’enseignement supérieur</t>
  </si>
  <si>
    <t>acquisition de matériels transport (bus de transport pour étudiants)</t>
  </si>
  <si>
    <t>matériel roulant</t>
  </si>
  <si>
    <t>Env/Bus</t>
  </si>
  <si>
    <t>acquisition de matériels informatique</t>
  </si>
  <si>
    <t>matériel informatique</t>
  </si>
  <si>
    <t>Construction/rénovation et équipement d’infrastructures à usage pédagogique, de recherche et œuvres universitaires, avec rampe d'accès et tenant compte de la prévention des catastrophes naturelles</t>
  </si>
  <si>
    <t>Assistance validation des Etudes/Contrôle et supervision des travaux de réhabilitation et d'extension</t>
  </si>
  <si>
    <t>forfait/sup</t>
  </si>
  <si>
    <t>SNIEUS</t>
  </si>
  <si>
    <t>Construction des amphis</t>
  </si>
  <si>
    <t>const/amphi</t>
  </si>
  <si>
    <t>Réhabilitation et équipement des infrastructures de l'UGAN Conakry</t>
  </si>
  <si>
    <t>construction et équipement</t>
  </si>
  <si>
    <t>UGAN</t>
  </si>
  <si>
    <t>DAF/SNIEUS</t>
  </si>
  <si>
    <t>Construction de l'annexe de Bordo de l'UJN/Kankan</t>
  </si>
  <si>
    <t xml:space="preserve">construction </t>
  </si>
  <si>
    <t>UJN/Kankan</t>
  </si>
  <si>
    <t>Réhabilitation et Extension des 4 universites</t>
  </si>
  <si>
    <t>reh/universités</t>
  </si>
  <si>
    <t>Rehabilitation des ISAV-VGE/Faranah</t>
  </si>
  <si>
    <t>ISAV-VGE</t>
  </si>
  <si>
    <t>Recrutement de personnel enseignant en qualité suffisante</t>
  </si>
  <si>
    <t>Salaire du personnel des IES (enseignants et non enseignants)</t>
  </si>
  <si>
    <t>traitement et salaire du personnel du MESRS</t>
  </si>
  <si>
    <t>MS/MESRS</t>
  </si>
  <si>
    <t xml:space="preserve"> Le nombre des effectifs orientés vers les filières techniques et scientifiques est considérablement augmenté</t>
  </si>
  <si>
    <t>Renforcement de la formation binaire des enseignants du secondaire dans les sciences</t>
  </si>
  <si>
    <t>Révision de curricula pour renforcer les programmes de formation en sciences à l'ISSEG</t>
  </si>
  <si>
    <t>Mise en place des mesures incitatives</t>
  </si>
  <si>
    <t>Octroi de bourses incitatives (Pris en compte dans activité 41533)</t>
  </si>
  <si>
    <t>IES</t>
  </si>
  <si>
    <t>Accès prioritaire aux logements universitaires</t>
  </si>
  <si>
    <t>Appui à l'insertion (placement en stages)</t>
  </si>
  <si>
    <t>Indemnités de stage</t>
  </si>
  <si>
    <t>All_Stage/étud</t>
  </si>
  <si>
    <t>R</t>
  </si>
  <si>
    <t>Mise en place de classes préparatoires aux grandes écoles</t>
  </si>
  <si>
    <t>Recrutement d'une expertise technique pour l'étude globale sur la mise en place de classes préparatoires</t>
  </si>
  <si>
    <t xml:space="preserve"> La professionnalisation des filières est effective</t>
  </si>
  <si>
    <t>Révision et professionnalisation des programmes</t>
  </si>
  <si>
    <t>Identification des programmes à professionnaliser par les institutions</t>
  </si>
  <si>
    <t>travaux administratives</t>
  </si>
  <si>
    <t>Constitution des commissions pour la révision/professionnalisation</t>
  </si>
  <si>
    <t>Travaux de commissions</t>
  </si>
  <si>
    <t>Séances de travail (moyennant perdiems)</t>
  </si>
  <si>
    <t>Recrutement d'une expertise technique en ingénierie de la formation</t>
  </si>
  <si>
    <t xml:space="preserve"> Le nombre de filles, d’étudiants (es) handicapés (es) et ceux/celles issus (es) des couches défavorisées fréquentant les différentes formations est significativement augmenté</t>
  </si>
  <si>
    <t>Mise en place d’un fonds pour la valorisation du rôle des étudiantes dans le supérieur</t>
  </si>
  <si>
    <t>Elaboration et adoption des textes / critères</t>
  </si>
  <si>
    <t>Création d'un ligne budgétaire</t>
  </si>
  <si>
    <t>Mise en place de la ligne budgétaire</t>
  </si>
  <si>
    <t>envel/an</t>
  </si>
  <si>
    <t>Mise en place d’infrastructures et équipements adaptés</t>
  </si>
  <si>
    <t>Construction de rampes d'accès (Pris en compte dans activités 52111 à 52116)</t>
  </si>
  <si>
    <t>Construction de toilettes adaptées (Pris en compte dans activités 52111 à 52116)</t>
  </si>
  <si>
    <t>Instauration des mesures d’accompagnement</t>
  </si>
  <si>
    <t>Elaboration et adoption des textes et des critères d'octroi des bourses pour les personnes avec handicap et les filles inscrites dans les STIM (pris en compte dans activité 41533)</t>
  </si>
  <si>
    <t>Octroi des bourses (pris en compte dans activités 41533 et 41534)</t>
  </si>
  <si>
    <t xml:space="preserve"> Qualité de l’enseignement, de la formation et de la recherche scientifique</t>
  </si>
  <si>
    <t xml:space="preserve"> Le fonctionnement de l'ANAQ est renforcée</t>
  </si>
  <si>
    <t>Evaluation de la qualité de l’éducation et de la recherche dans les institutions d’enseignement supérieur et de recherche</t>
  </si>
  <si>
    <t>Accréditation de programmes par l'ANAQ</t>
  </si>
  <si>
    <t>Acc/prog</t>
  </si>
  <si>
    <t>Recrutement par l'ANAQ de consultants pour l'évaluation des institutions</t>
  </si>
  <si>
    <t>Réalisation de missions de sensibilisation sur l'assurance qualité</t>
  </si>
  <si>
    <t>Formation des cadres des institutions en assurance qualité</t>
  </si>
  <si>
    <t>Accréditation des programmes de formation et des institutions</t>
  </si>
  <si>
    <t>Recrutement par l'ANAQ de consultants pour l'accréditation des programmes</t>
  </si>
  <si>
    <t xml:space="preserve"> Les stages pour les étudiants sont renforcés et rendus obligatoires</t>
  </si>
  <si>
    <t>Elaboration de plans de stages</t>
  </si>
  <si>
    <t>Identification des filières nécessitant des stages</t>
  </si>
  <si>
    <t>Création des partenariats avec le secteur privé</t>
  </si>
  <si>
    <t>Identification des partenaires du secteur privé</t>
  </si>
  <si>
    <t>Mise en place de conventions avec les partenaires du secteur privé pour l'accompagnement des étudiants</t>
  </si>
  <si>
    <t>Missions+deplacements</t>
  </si>
  <si>
    <t>subv/structure</t>
  </si>
  <si>
    <t xml:space="preserve"> La proportion des diplômés du supérieur ayant des compétences requises notamment en STIM (sciences, en technologies, en ingénierie et en mathématiques) est nettement augmentée</t>
  </si>
  <si>
    <t>Réforme des formations en ingénierie</t>
  </si>
  <si>
    <t>Identification des programmes à réformer</t>
  </si>
  <si>
    <t>Constitution des commissions pour la réforme</t>
  </si>
  <si>
    <t>Paiement des perdiems</t>
  </si>
  <si>
    <t>Rénovation et équipement de laboratoires et CDI</t>
  </si>
  <si>
    <t>Dénombrement des labos</t>
  </si>
  <si>
    <t>Rénovation et équipement des laboratoires (pris en compte dans activités 52112, 52113 52114 et 52116)</t>
  </si>
  <si>
    <t>Mise en œuvre du projet stratégique « 1000 PhD et 5000 Masters »</t>
  </si>
  <si>
    <t>Examen des dossiers des enseignants par la commission mise en place</t>
  </si>
  <si>
    <t>Financement des formations en master en Guinée (pris en compte dans subventions aux établissements)</t>
  </si>
  <si>
    <t>Financement des formations en master à l'étranger (pris en compte dans activité 41536)</t>
  </si>
  <si>
    <t>Financement des formations en Doctorat en Guinée (pris en compte dans subventions aux établissements)</t>
  </si>
  <si>
    <t>Financement des formations en Doctorat à l'étranger</t>
  </si>
  <si>
    <t>Form/an/étranger</t>
  </si>
  <si>
    <t>Augmentation des publications de travaux de recherche</t>
  </si>
  <si>
    <t>Elaboration des critères d'octroi des primes de recherche</t>
  </si>
  <si>
    <t>DGRSIT</t>
  </si>
  <si>
    <t>Elaboration d'un répertoire des publications</t>
  </si>
  <si>
    <t>Paiement des primes de publications</t>
  </si>
  <si>
    <t>Renforcement de l’encadrement des mémoires et thèses</t>
  </si>
  <si>
    <t>Réactualisation des critères d'octroi des primes d'encadrement</t>
  </si>
  <si>
    <t xml:space="preserve">Elaboration de la liste des mémoires et thèses par encadreur </t>
  </si>
  <si>
    <t>paiement des primes d'encadrement (pris en compte dans subvention des établissements)</t>
  </si>
  <si>
    <t xml:space="preserve"> Les structures d’accompagnement et de suivi des diplômés sur le marché du travail sont fonctionnelles</t>
  </si>
  <si>
    <t>Création de structures d’accompagnement des étudiants diplômés</t>
  </si>
  <si>
    <t>Elaboration/publication des actes de création des structures au niveau des institutions et au niveau central</t>
  </si>
  <si>
    <t>Nomination des cadres dans les structures de suivi</t>
  </si>
  <si>
    <t>Opérationnalisation des structures (pris en compte dans les subventions des institutions)</t>
  </si>
  <si>
    <t>Pérennisation du forum des étudiants de Guinée (FEG)</t>
  </si>
  <si>
    <t>Mise en place des cadres de concertations du FEG</t>
  </si>
  <si>
    <t>Opérationnalisation des cadres de concertation</t>
  </si>
  <si>
    <t>Subvention de fonctionnement</t>
  </si>
  <si>
    <t>envel/an/CC</t>
  </si>
  <si>
    <t>Création des incubateurs dans les institutions</t>
  </si>
  <si>
    <t>Réalisation d'études de faisabilité pour la création d'incubateurs</t>
  </si>
  <si>
    <t>Création de projets</t>
  </si>
  <si>
    <t>Subvention d'équipement</t>
  </si>
  <si>
    <t>subv/incub</t>
  </si>
  <si>
    <t xml:space="preserve"> L’utilisation des TICE dans l’enseignement supérieur et la recherche scientifique est améliorée</t>
  </si>
  <si>
    <t>Amélioration de la connectivité à internet (infrastructures de réseaux et bande passante) dans toutes les institutions</t>
  </si>
  <si>
    <t>Etude d'identification des besoins techniques (pris en compte dans étude sur le schéma directeur en cours)</t>
  </si>
  <si>
    <t>SI/RISTEL</t>
  </si>
  <si>
    <t>Acquisition d'équipement informatiques pour la mise en œuvre progressive du schéma directeur</t>
  </si>
  <si>
    <t>dot/Ètab</t>
  </si>
  <si>
    <t>Serv.TIC</t>
  </si>
  <si>
    <t>Renforcement des capacités des ressources humaines nécessaire pour prendre en charge l’utilisation des TICE</t>
  </si>
  <si>
    <t>Nomination des cadres en charge des TICE</t>
  </si>
  <si>
    <t>Accompagnement des Institutions (formation)</t>
  </si>
  <si>
    <t>Accompagnement des Institutions (maintenance)</t>
  </si>
  <si>
    <t>Renforcement de l’usage pédagogique des applications informatiques et de l’Internet (formation à distance, espaces numériques, télé-enseignement)</t>
  </si>
  <si>
    <t>Dotation d'outils informatiques aux institutions</t>
  </si>
  <si>
    <t>Equipement de salles de classe en vidéo projecteurs</t>
  </si>
  <si>
    <t>vidproj</t>
  </si>
  <si>
    <t>Constructions de laboratoires informatiques (pris en compte dans activités 52112, 52113 52114 et 52116)</t>
  </si>
  <si>
    <t>Equipement de laboratoires informatiques</t>
  </si>
  <si>
    <t>SI</t>
  </si>
  <si>
    <t>Dotation pour le fonctionnement des formations à distance</t>
  </si>
  <si>
    <t>subvention fonctionnement</t>
  </si>
  <si>
    <t>sub/ensdist</t>
  </si>
  <si>
    <t xml:space="preserve"> Une politique nationale de la recherche scientifique et de l’innovation est adoptée</t>
  </si>
  <si>
    <t>Elaboration et adoption de la politique nationale de la recherche et de l’innovation technologique </t>
  </si>
  <si>
    <t>Rédaction du document de politique</t>
  </si>
  <si>
    <t>Partage et validation du document de politique</t>
  </si>
  <si>
    <t xml:space="preserve">Mise en œuvre des activités de recherche scientifiques dans les IES </t>
  </si>
  <si>
    <t>Subvention des IRS</t>
  </si>
  <si>
    <t>sub/IRS</t>
  </si>
  <si>
    <t xml:space="preserve"> Des Financements adéquats sont alloués au programme de recherche scientifique et de l’innovation</t>
  </si>
  <si>
    <t>Création d’un fonds de recherche et d’innovation technologique en partenariat avec le secteur privé</t>
  </si>
  <si>
    <t>Elaboration et adoption des textes relatifs au fonds</t>
  </si>
  <si>
    <t>IRS/CDI</t>
  </si>
  <si>
    <t>Financement du fonds (Fonds privés)</t>
  </si>
  <si>
    <t xml:space="preserve"> Le niveau de productions scientifiques en quantité et qualité est amélioré et les résultats de la recherche scientifique et de l’innovation sont mieux capitalisés et valorisés</t>
  </si>
  <si>
    <t>Création de l’académie des sciences de Guinée</t>
  </si>
  <si>
    <t>Elaboration des textes</t>
  </si>
  <si>
    <t>Validation et adoption des textes</t>
  </si>
  <si>
    <t>Organisation des journées scientifiques dans les institutions</t>
  </si>
  <si>
    <t>Planification des activités des journées scientifiques dans les institutions</t>
  </si>
  <si>
    <t>DGES/DGRSIT</t>
  </si>
  <si>
    <t>Financement des activités (Fin privé)</t>
  </si>
  <si>
    <t>Octroi d'un budget</t>
  </si>
  <si>
    <t>Renforcement des capacités du personnel</t>
  </si>
  <si>
    <t>Identification des personnels à former</t>
  </si>
  <si>
    <t>Organisation des formations</t>
  </si>
  <si>
    <t>Renforcement des moyens mis à la disposition des instituts de recherche</t>
  </si>
  <si>
    <t>Dotation des IRS en moyens adéquats</t>
  </si>
  <si>
    <t>subvention de fonctionnement</t>
  </si>
  <si>
    <t xml:space="preserve"> Conditions de vie du personnel enseignant et de recherche (à reporter dans le programme gouvernance)</t>
  </si>
  <si>
    <t xml:space="preserve"> L’attractivité du métier d’enseignant-chercheur est relevée</t>
  </si>
  <si>
    <t>Augmentation des primes allouées aux grades académiques</t>
  </si>
  <si>
    <t>Octroi de primes aux Professeurs/DR (dans salaires enseignants supérieur)</t>
  </si>
  <si>
    <t>Octroi de primes aux Maitres de conférence/MR (dans salaires enseignants supérieur)</t>
  </si>
  <si>
    <t>Octroi de primes aux maitres assistants/AR(dans salaires enseignants supérieur)</t>
  </si>
  <si>
    <t>Octroi de primes aux assistants/CR(dans salaires enseignants supérieur)</t>
  </si>
  <si>
    <t>Gouvernance et pilotage du secteur</t>
  </si>
  <si>
    <t>Gestion des flux (mécanismes, orientations, et passerelles)</t>
  </si>
  <si>
    <t>Les acteurs se sont appropriés les textes règlementaires et les manuels de procédure définissant la gestion des flux</t>
  </si>
  <si>
    <t>Élaboration et validation des textes et des manuels de procédures</t>
  </si>
  <si>
    <t>Constitution d'une commission nationale chargée de réviser les textes</t>
  </si>
  <si>
    <t>Tranvsal_secteur</t>
  </si>
  <si>
    <t>Cabinet/METFP</t>
  </si>
  <si>
    <t>SNECSO/METFP</t>
  </si>
  <si>
    <t xml:space="preserve">Organisation d'un atelier pour l'élaboration des projets de textes </t>
  </si>
  <si>
    <t>SG/MESRS</t>
  </si>
  <si>
    <t>Adoption des textes</t>
  </si>
  <si>
    <t xml:space="preserve">Textes </t>
  </si>
  <si>
    <t>Formation des acteurs de mise en œuvre des textes et des manuels de procédures</t>
  </si>
  <si>
    <t>Organisation de sessions de formations des acteurs de mise en œuvre et diffusion des nouveaux textes (SNECSO, IRE, DPE/DCE/Etablissements)</t>
  </si>
  <si>
    <t>Suivi de la mise en œuvre des textes et manuels de procédures</t>
  </si>
  <si>
    <t>Mise en place d'une commission nationale d'orientation</t>
  </si>
  <si>
    <t>Mise en œuvre des nouveaux textes (organisation des réunions de la sous-commission d'orientation du MENA)</t>
  </si>
  <si>
    <t>Mise en œuvre des nouveaux textes (organisation des réunions de la sous-commission d'orientation du MESRS)</t>
  </si>
  <si>
    <t>Mise en œuvre des nouveaux textes (organisation des réunions de la sous-commission d'orientation du METFP)</t>
  </si>
  <si>
    <t>Service Examen</t>
  </si>
  <si>
    <t>Organisation des sessions de la commission nationale d'orientation (CNO)</t>
  </si>
  <si>
    <t>CIPC</t>
  </si>
  <si>
    <t>CNO</t>
  </si>
  <si>
    <t>Les acteurs concernés (conseillers et enseignants, parents et communautés) contribuent au respect des normes d'orientation</t>
  </si>
  <si>
    <t>Evaluation des compétences des conseillers à l’orientation</t>
  </si>
  <si>
    <t>Elaboration des guides et matériels pour l'orientation</t>
  </si>
  <si>
    <t>IGE/DNESGT</t>
  </si>
  <si>
    <t>Reproduction des guides et matériels</t>
  </si>
  <si>
    <t>Formation des conseillers à l'orientions à l'utilisation des guides et matériels (y compris la mise à disposition des guides et matériels)</t>
  </si>
  <si>
    <t>Suivi de l'application des textes d'orientation (pris en compte dans les activités des inspections)</t>
  </si>
  <si>
    <t xml:space="preserve"> Le logiciel d'immatriculation et de suivi des élèves est amélioré et utilisé</t>
  </si>
  <si>
    <t>Amélioration du logiciel d'immatriculation et de suivi des élèves</t>
  </si>
  <si>
    <t>Actualisation des outils d'immatriculation et de suivi des élèves</t>
  </si>
  <si>
    <t>Validation des outils d'immatriculation et de suivi des élèves</t>
  </si>
  <si>
    <t>Formation des cadres des structures déconcentrées à l'utilisation des outils d'immatriculation et de suivi des élèves</t>
  </si>
  <si>
    <t>Installation de la base de données d'immatriculation des élèves au niveau des établissements (pris en charge dans les budgets des DPE/DCE)</t>
  </si>
  <si>
    <t>Saisie de la liste des élèves à immatriculer (par classe de 50 élèves en moyenne)</t>
  </si>
  <si>
    <t>Saisie de données</t>
  </si>
  <si>
    <t xml:space="preserve">Saisie/quest </t>
  </si>
  <si>
    <t>Consolidation des bases de données d'immatriculation des élèves au niveau des DPE/DCE et IRE</t>
  </si>
  <si>
    <t>Consolidation des bases de données d'immatriculation des élèves au niveau national</t>
  </si>
  <si>
    <t>Génération des matricules au niveau national</t>
  </si>
  <si>
    <t>Transmission des matricules aux IRE, DPE/DCE et établissements</t>
  </si>
  <si>
    <t>Impression et affichages des matricules des élèves (pris en charge dans les budgets des établissements)</t>
  </si>
  <si>
    <t>Sensibilisation des élèves, des parents et de la communauté sur l'importance de l’ETFP</t>
  </si>
  <si>
    <t>Elaboration d'une stratégie de sensibilisation</t>
  </si>
  <si>
    <t>SINDA</t>
  </si>
  <si>
    <t>Campagnes de sensibilisation des enseignants</t>
  </si>
  <si>
    <t xml:space="preserve">affiches, depliants, émission, messages </t>
  </si>
  <si>
    <t>Emissions à la radio et à la télé</t>
  </si>
  <si>
    <t>Campagne publicitaire</t>
  </si>
  <si>
    <t>diffusion/n</t>
  </si>
  <si>
    <t>SINDA/Cel COM</t>
  </si>
  <si>
    <t>sensibilisation à l'importance de l'ETFP</t>
  </si>
  <si>
    <t xml:space="preserve">Campagne </t>
  </si>
  <si>
    <t>Déconcentration, décentralisation, et partenariats (implication des communautés et des autres parties prenantes)</t>
  </si>
  <si>
    <t>Les rôles et responsabilités des acteurs sont clairement déFinis</t>
  </si>
  <si>
    <t>Production de manuels de procédures pour les différents acteurs (rôles et responsabilités)</t>
  </si>
  <si>
    <t>Mise en place d'une équipe chargée d'élaborer une feuille de route sur la décentralisation de l'éducation</t>
  </si>
  <si>
    <t xml:space="preserve">Indentification des rôles et responsabilités des services déconcentrés de l'éducation en lien avec le code des collectivités territoriales </t>
  </si>
  <si>
    <t>travaux administratifs/révue documentaire</t>
  </si>
  <si>
    <t>Elaboration de manuels sur les rôles et responsabilités des structures déconcentrées et les rapports avec les collectivités territoriales</t>
  </si>
  <si>
    <t>ateliers d'élaboration</t>
  </si>
  <si>
    <t>Reproduction des manuels sur les rôles et responsabilités des structures déconcentrées</t>
  </si>
  <si>
    <t>Formation des acteurs et diffusion des manuels</t>
  </si>
  <si>
    <t>Les acteurs ont les compétences et les ressources nécessaires pour exercer leurs missions</t>
  </si>
  <si>
    <t>Renforcement des compétences des structures aux différents niveaux sur la programmation, planification et l’exécution budgétaire (formation, outils, guide, suivi régulier…)</t>
  </si>
  <si>
    <t>Mise en place d'un dispositif de renforcement des capacités des structures en charge de la programmation, planification et exécution budgétaire en collaboration avec les services du Ministère des Finances (élaboration d'outils de formation, de guides et organisation des formations)</t>
  </si>
  <si>
    <t>CDMT</t>
  </si>
  <si>
    <t xml:space="preserve">Elaboration des guides d'utilisation des outils de planification et de programmation budgétaire </t>
  </si>
  <si>
    <t>Formation action sur la planification et l'exécution budgétaire</t>
  </si>
  <si>
    <t>ST/ProDEG (CDMT)</t>
  </si>
  <si>
    <t>Formation action sur la programation et l'exécution budgétaire</t>
  </si>
  <si>
    <t>Reproduction des guides d'utilisation des outils de planification et de programmation budgétaire</t>
  </si>
  <si>
    <t>Impression + distribution</t>
  </si>
  <si>
    <t>Suivi de l'utilisation des guides de planification et de programmation budgétaire</t>
  </si>
  <si>
    <t>Renforcement des rôles des structures déconcentrées dans la préparation du budget de l’état pour l’éducation</t>
  </si>
  <si>
    <t>3. Dépenses de fonctionnement</t>
  </si>
  <si>
    <t xml:space="preserve">Appui à l'organisation des sessions sous préfectorales de préparation du budget </t>
  </si>
  <si>
    <t>Organisation des sessions sous préfectorales de préparation du budget (pris en compte dans budget DSEE)</t>
  </si>
  <si>
    <t>Organisation des sessions préfectorales sur la préparation du budget (pris en compte dans budget DPE/DCE)</t>
  </si>
  <si>
    <t>DPE</t>
  </si>
  <si>
    <t>Organisation des sessions régionales sur la préparation du budget (pris en compte dans budget IRE)</t>
  </si>
  <si>
    <t>Organisation des sessions nationale de préparation du budget (pris en compte dans budget DAF)</t>
  </si>
  <si>
    <t>CDMT DAF</t>
  </si>
  <si>
    <t>Suivi régulier de l’application des textes et procédures d’exécution budgétaire</t>
  </si>
  <si>
    <t>Organisation de missions d'audit des ressources mises à la disposition des structures déconcentrées</t>
  </si>
  <si>
    <t>Serv Audit</t>
  </si>
  <si>
    <t>Mise en œuvre des recommandations issues des missions d'audit</t>
  </si>
  <si>
    <t xml:space="preserve"> Systèmes d’information pour la gestion de l'éducation (collecte, analyse, diffusion, et utilisation des informations) </t>
  </si>
  <si>
    <t xml:space="preserve"> La production des données permet d’offrir aux différents acteurs et utilisateurs à tous les niveaux l’information dont ils ont besoin</t>
  </si>
  <si>
    <t>Organisation de la collecte classique</t>
  </si>
  <si>
    <t>Révision des outils de collecte en tenant compte de l'éducation inclusive, les catastrophes naturelles/crises, santé sexuelle, enseignement coranique etc……</t>
  </si>
  <si>
    <t>Impression des fiches de collecte (MENA)</t>
  </si>
  <si>
    <t>Fiche de collecte</t>
  </si>
  <si>
    <t>IDEC</t>
  </si>
  <si>
    <t>Impression des fiches de collecte (MESRS)</t>
  </si>
  <si>
    <t>Impression des fiches de collecte (METFP)</t>
  </si>
  <si>
    <t>Lancement de la campagne de la collecte et distribution des fiches de collecte</t>
  </si>
  <si>
    <t>Collecte de données</t>
  </si>
  <si>
    <t>dotation par école</t>
  </si>
  <si>
    <t>dot/CSS</t>
  </si>
  <si>
    <t>missions de collecte</t>
  </si>
  <si>
    <t>UE</t>
  </si>
  <si>
    <t>Mise en place d'installation en ennergie solaire dans les IRE et DPE/DCE</t>
  </si>
  <si>
    <t>énergie solaire</t>
  </si>
  <si>
    <t>installation</t>
  </si>
  <si>
    <t>Acquisition d'ordinateurs</t>
  </si>
  <si>
    <t>UGP</t>
  </si>
  <si>
    <t>Saisie de données (pour le préscolaire et les NAFA et l'alpha)</t>
  </si>
  <si>
    <t>Saisie de données du supérieur</t>
  </si>
  <si>
    <t>atelier saisie et traitement de données</t>
  </si>
  <si>
    <t>Saisie de données de l'ETFP</t>
  </si>
  <si>
    <t>Suivi et contrôle de la collecte</t>
  </si>
  <si>
    <t>Ateliers régionaux d'apurement, validation et fusion</t>
  </si>
  <si>
    <t>Elaboration des rapports d'analyse et dépliants au niveau national (MENA)</t>
  </si>
  <si>
    <t>Elaboration des rapports d'analyse et dépliants au niveau national (METFP)</t>
  </si>
  <si>
    <t>Elaboration des rapports d'analyse et dépliants au niveau national (MESRS)</t>
  </si>
  <si>
    <t>Elaboration des rapports d'analyse et dépliants au niveau déconcentré (pris en charge dans les subventions)</t>
  </si>
  <si>
    <t>Mise à l’échelle de la numérisation de la collecte de données</t>
  </si>
  <si>
    <t>Recrutement d'une expertise technique pour développer le logiciel de collecte numérique</t>
  </si>
  <si>
    <t>Acquisition de tablettes pour la collecte</t>
  </si>
  <si>
    <t>Acquisition de chargeurs solaires</t>
  </si>
  <si>
    <t>Chargeurs solaires</t>
  </si>
  <si>
    <t>chargeur solaire</t>
  </si>
  <si>
    <t>Hébergement du site du BSD</t>
  </si>
  <si>
    <t>Heb/site</t>
  </si>
  <si>
    <t>Abonnement internet pour le BSD</t>
  </si>
  <si>
    <t>abonnement annuel</t>
  </si>
  <si>
    <t>abon/an</t>
  </si>
  <si>
    <t>Acquisition d'un serveur pour le stockage des données du BSD</t>
  </si>
  <si>
    <t xml:space="preserve">Forfait internet pour le IRE, DPE/DCE et </t>
  </si>
  <si>
    <t>Test des outils de collecte</t>
  </si>
  <si>
    <t>Initiation des cadres du BSD au niveau déconcentré à l'utilisation de l'application de collecte numérique</t>
  </si>
  <si>
    <t>Initiation des DSEE et DE à l'utilisation de l'application de collecte numérique</t>
  </si>
  <si>
    <t xml:space="preserve">Organisation de la supervision de la collecte des données </t>
  </si>
  <si>
    <t xml:space="preserve">Apurement et migration des données collectées et saisies dans accès </t>
  </si>
  <si>
    <t>Promotion de l’utilisation des données par les acteurs y compris les bénéficiaires concernés (dépliants, réunions d’échange, …)</t>
  </si>
  <si>
    <t>Impression des annuaires statistiques et dépliants (niveau central et déconcentré)</t>
  </si>
  <si>
    <t>annuaire</t>
  </si>
  <si>
    <t>Impression des annuaires statistiques et dépliants (Supérieur)</t>
  </si>
  <si>
    <t>Impression des annuaires statistiques et dépliants (niveau central et déconcentré ETFP)</t>
  </si>
  <si>
    <t>Partage des données avec les acteurs et partenaires du MENA</t>
  </si>
  <si>
    <t>Partage des données avec les acteurs et partenaires du MESRS</t>
  </si>
  <si>
    <t>Partage des données avec les acteurs et partenaires du METFP</t>
  </si>
  <si>
    <t>Partage des annuaires, rapports d'analyse et dépliants sur le site web du MENA</t>
  </si>
  <si>
    <t>Partage des annuaires, rapports d'analyse et dépliants sur le site web du MESRS</t>
  </si>
  <si>
    <t>Partage des annuaires, rapports d'analyse et dépliants sur le site web du METFP</t>
  </si>
  <si>
    <t>Mise à jour des questionnaires internationaux (ISU, UNESCO, ISESCO, …)</t>
  </si>
  <si>
    <t>Mise à jour des questionnaires internationaux (ISU, UNESCO, ISESCO,)</t>
  </si>
  <si>
    <t>Appui à l'utilisation des données par les écoles pour le suivi et monitoring des indicateurs</t>
  </si>
  <si>
    <t xml:space="preserve"> Le Système d'Informations et de Gestion de l'Education est intégré et est utilisé pour la prise de décision</t>
  </si>
  <si>
    <t>Intégration des Systèmes d'Informations et de Gestion de l'Education</t>
  </si>
  <si>
    <t xml:space="preserve">Elaboration des TDR pour l'élaboration du schéma directeur du SIGE </t>
  </si>
  <si>
    <t>Appui à l'identification des besoins, élaboration d'un cahier de charges et déFinition d'un schéma directeur pour la collecte numérique (pris en compte par l'assistance technique activité 541212)</t>
  </si>
  <si>
    <t>Validation du schéma directeur</t>
  </si>
  <si>
    <t>Mise en œuvre du schéma directeur (analyse de la structure des bases de données, développement de la nouvelle architecture et migration des données vers la nouvelle plateforme) (pris en compte par l'assistance technique activité 541212)</t>
  </si>
  <si>
    <t xml:space="preserve">Identification et correction des incohérences sur les données du BSD et de la GRH </t>
  </si>
  <si>
    <t>Collecte et intégration des données complémentaires (voir sous-programme GRH)</t>
  </si>
  <si>
    <t>Mise en place et actualisation d’un site web pour chaque Département ministériel</t>
  </si>
  <si>
    <t>Développement d'un site web du MENA</t>
  </si>
  <si>
    <t>Serv Inform</t>
  </si>
  <si>
    <t>Formation des cadres du BSD/MENA à l'administration du site web</t>
  </si>
  <si>
    <t>Mise à jour du sites web du MENA</t>
  </si>
  <si>
    <t>Mise à jour du sites web du MESRS</t>
  </si>
  <si>
    <t>Mise à jour du sites web du METFP</t>
  </si>
  <si>
    <t>Renforcement des capacités des structures du secteur de l’éducation aux techniques de production des données, à l’exploitation des bases de données ; et aux techniques d’élaboration d’un rapport d’analyse</t>
  </si>
  <si>
    <t>Acquisition de matériels roulants pour la collecte des données (voir activité 56226 et 57315)</t>
  </si>
  <si>
    <t>Acquisition de matériels roulants pour la supervision de la collecte (voir 57314)</t>
  </si>
  <si>
    <t>Organisation de sessions de formation des cadres chargés de la collecte et du traitement des données des structures centrales et déconcentrées</t>
  </si>
  <si>
    <t>Acquisition de matériels informatiques et accessoires (ordinateurs fixes)</t>
  </si>
  <si>
    <t>Acquisition de matériels informatiques et accessoires (ordinateurs portables)</t>
  </si>
  <si>
    <t xml:space="preserve">Formation des formateurs à l'exploitation des données intégrées (gestionnaires des ressources humaines et cadres du BSD) </t>
  </si>
  <si>
    <t>Serv Infor</t>
  </si>
  <si>
    <t>Formation des gestionnaires des ressources humaines et des cadres du BSD à l'exploitation des données intégrées (IRE et DPE/DCE)</t>
  </si>
  <si>
    <t xml:space="preserve"> Le développement de la carte scolaire permet une meilleure planification et gestion du réseau des écoles, établissements/institutions  et de réduire les disparités</t>
  </si>
  <si>
    <t>Géoréférencement des écoles, établissements, et institutions, et des localités sans école</t>
  </si>
  <si>
    <t>Géo référencement des nouvelles écoles et leur environnement</t>
  </si>
  <si>
    <t>Organisation de la formation des cadres des structures centrales et déconcentrées en utilisation en données géo référencées</t>
  </si>
  <si>
    <t>Identification des sites de construction scolaire</t>
  </si>
  <si>
    <t>RedéFinition des critères de la carte scolaire</t>
  </si>
  <si>
    <t>Constitution et actualisation d'une base de données des sites de construction</t>
  </si>
  <si>
    <t>travaux admin</t>
  </si>
  <si>
    <t xml:space="preserve"> Les données sont utilisées pour un meilleur pilotage du système/ les activités sont planifiées sur la base d’indicateurs de performance</t>
  </si>
  <si>
    <t>Appui aux sessions de pilotage et suivi de la mise en œuvre des recommandations</t>
  </si>
  <si>
    <t>Mise à disposition de chaque structure du MENA de données statistiques pour son pilotage</t>
  </si>
  <si>
    <t>Mise à disposition de chaque structure du METFP de données statistiques pour son pilotage</t>
  </si>
  <si>
    <t>Diffusion des recommandations par des canaux de communication (radio, TV, Meeting, etc.</t>
  </si>
  <si>
    <t>Campagnes publicitaires/médiatiques</t>
  </si>
  <si>
    <t>Serv Com/BSD</t>
  </si>
  <si>
    <t>Evaluation de la mise en œuvre des recommandations des sessions de pilotage aux différents niveaux (IRE, DPE/DCE, DSEE)</t>
  </si>
  <si>
    <t xml:space="preserve">Evaluation de la mise en œuvre des recommandations des sessions de pilotage aux différents niveaux </t>
  </si>
  <si>
    <t xml:space="preserve"> Conception de plans de développement et gestion de projets</t>
  </si>
  <si>
    <t xml:space="preserve"> Les BSD ont les compétences nécessaires à la conception, l’élaboration, le suivi et l’évaluation des projets et plans de dévéloppement</t>
  </si>
  <si>
    <t>Analyse du fonctionnement et des résultats des BSD dans ce domaine</t>
  </si>
  <si>
    <t>DéFinition des tâches et des profils des BSD et de l'adéquation des profils disponibles aux missions (BSD MENA, MESRS, METFP)</t>
  </si>
  <si>
    <t>Elaboration d'un plan de renforcement des capacités et d'un plan de recrutement ou de redéploiement pour les 3 BSD (pris en compte dans activité 54111)</t>
  </si>
  <si>
    <t>Pm</t>
  </si>
  <si>
    <t>MENA, METFP, MESRS</t>
  </si>
  <si>
    <t>Elaboration d'un manuel de procédures et d'un guide décrivant la mise en œuvre des tâches par service des 3 BSD (divisions, sections, etc.) (pris en compte dans activité 54111)</t>
  </si>
  <si>
    <t>Renforcement des capacités des BSD</t>
  </si>
  <si>
    <t>Partage d'expérience avec des services de planification de la sous-région (MENA, MESRS, METFP)</t>
  </si>
  <si>
    <t>Voyage d'étude</t>
  </si>
  <si>
    <t>Voy/Per</t>
  </si>
  <si>
    <t>Dotation du BSD MENA en logiciels de gestion de projets</t>
  </si>
  <si>
    <t>Achat logiciel</t>
  </si>
  <si>
    <t>logiciel</t>
  </si>
  <si>
    <t>Dotation du BSD MESRS en logiciels de gestion de projets</t>
  </si>
  <si>
    <t>Dotation du BSD METFP en logiciels de gestion de projets</t>
  </si>
  <si>
    <t>Mise en œuvre progressive du plan de formation des BSD (Formation des BSD et démembrements sur les logiciels de gestion des Projets éducatifs y compris BSD MESRS et METFP°</t>
  </si>
  <si>
    <t>Mise en œuvre progressive du plan de formation des BSD (Formation des BSD à l'exploitation des bases de données à l'aide requêtes (niveau central et déconcentré) y compris BSD MESRS et METFP</t>
  </si>
  <si>
    <t>Mise en œuvre progressive du plan de formation des BSD (Formation des BSD à l'utilisation des outils d'analyse multidimensionnels (niveau central et déconcentré)</t>
  </si>
  <si>
    <t>Mise en œuvre progressive du plan de formation des BSD (Formation des BSD à aux logiciels d'analyse statistique (SPSS, STATA, CS Pro) y compris BSD MESRS et METFP</t>
  </si>
  <si>
    <t>Mise en œuvre progressive du plan de formation des BSD (Formation des cadres des BSD en Planification et gestion des politiques éducatives y compris BSD MESRS et METFP</t>
  </si>
  <si>
    <t>institution</t>
  </si>
  <si>
    <t xml:space="preserve">Mise en œuvre progressive du plan de redéploiement du personnel (à l'interne) </t>
  </si>
  <si>
    <t xml:space="preserve">Mise en œuvre progressive du plan de recrutement (affectation de nouveaux profils) </t>
  </si>
  <si>
    <t>Recrutement d'une assistance longue durée pour appuyer les 3 BSD dans le traitement des données scolaires et universitaire et la formation du personnel permanent</t>
  </si>
  <si>
    <t xml:space="preserve">Assistance technique nationale </t>
  </si>
  <si>
    <t>h/an/cn</t>
  </si>
  <si>
    <t xml:space="preserve"> Les BSD ont la compétence d’élaborer, de suivre et d’évaluer les plans de développement</t>
  </si>
  <si>
    <t>Analyse situationnelle</t>
  </si>
  <si>
    <t>Pris en compte dans activité du résultat 5411</t>
  </si>
  <si>
    <t>Planification</t>
  </si>
  <si>
    <t>Formation action en planification, des cadres des BSD niveau central et déconcentré par les cadres centraux (plans de développement en cohérence avec le PRODEG)</t>
  </si>
  <si>
    <t>missions appui</t>
  </si>
  <si>
    <t>Elaboration des plans de développement des institutions du Supérieur en cohérence avec le PRODEG</t>
  </si>
  <si>
    <t>Elaboration des plans de développement régionaux de l'ETFP en cohérence avec le PRODEG</t>
  </si>
  <si>
    <t xml:space="preserve">Elaboration des plans d'actions annuels budgétisés en cohérence avec le PAPB du PRODEG </t>
  </si>
  <si>
    <t>Elaboration des plans d'actions annuels budgétisés en cohérence avec le PAPB du PRODEG (pris en compte dans le budget de fonctionnement des universités et pour le niveau national dans le budget du CDMT)</t>
  </si>
  <si>
    <t>Elaboration des plans d'actions annuels budgétisés en cohérence avec le PAPB du PRODEG</t>
  </si>
  <si>
    <t>Suivi et évaluation</t>
  </si>
  <si>
    <t>Suivi et évaluation de la mise en œuvre des plans de développement (suivi du plan d'actions annuel)</t>
  </si>
  <si>
    <t>Elaboration systématique de rapport d'achèvement des projets (en cours de mise en œuvre au MENA)</t>
  </si>
  <si>
    <t>Elaboration systématique de rapport d'achèvement des projets (en cours de mise en œuvre au MESRS)</t>
  </si>
  <si>
    <t>Elaboration systématique de rapport d'achèvement des projets (en cours de mise en œuvre au METFP)</t>
  </si>
  <si>
    <t xml:space="preserve"> Gestion des RH (recrutement, affectation, motivation, fidélisation, gestion de carrières…)</t>
  </si>
  <si>
    <t xml:space="preserve"> Assainissement et harmonisation des bases de données sur les personnels</t>
  </si>
  <si>
    <t>Développement d'un dispositif cohérent d'assainissement et d'harmonisation des bases de données existantes (Analyse des bases de données existantes et leur harmonisation MENA)</t>
  </si>
  <si>
    <t>Elaboration des protocoles de mise à jour de la BD, d’harmonisation avec les BD FP et Solde et d’identification/d’assainissement des anomalies ainsi que de la correction</t>
  </si>
  <si>
    <t>Identification et correction des incohérences sur les données en lien avec les travaux sur le SIGE (pris en compte dans activité 53414)</t>
  </si>
  <si>
    <t>Collecte des données complémentaires sur les personnels</t>
  </si>
  <si>
    <t>intégration des données complémentaires sur les personnels</t>
  </si>
  <si>
    <t>Partage et validation des résultats de l'harmonisation des bases de données</t>
  </si>
  <si>
    <t>Conception d'un système intégré d'information</t>
  </si>
  <si>
    <t>Acquisition de matériels informatiques et accessoires (ordinateurs fixes) sur la base des travaux sur le SIGE</t>
  </si>
  <si>
    <t>Acquisition de matériels informatiques et accessoires (ordinateurs portables) sur la base des travaux sur le SIGE</t>
  </si>
  <si>
    <t>Acquisition de matériels informatiques (serveur)</t>
  </si>
  <si>
    <t>Serveur</t>
  </si>
  <si>
    <t>Accès stable à internet de la GRH</t>
  </si>
  <si>
    <t>Formation des gestionnaires et utilisateurs des bases à leur exploitation</t>
  </si>
  <si>
    <t>voir activités 53126 et 53127</t>
  </si>
  <si>
    <t xml:space="preserve"> La politique nationale de la question enseignante est déFinie, validée et progressivement mise en œuvre </t>
  </si>
  <si>
    <t>Elaboration d'un état des lieux de la gestion des enseigants du primaire</t>
  </si>
  <si>
    <t>Etude sur la gestion des enseignants au primaire</t>
  </si>
  <si>
    <t>forfait /GRH</t>
  </si>
  <si>
    <t>vulgarisation des résultats de l'étude sur la gestion des enseignants au primaire</t>
  </si>
  <si>
    <t>Développement et validation de la politique nationale des enseigants</t>
  </si>
  <si>
    <t>Elaboration, validation et dissémination de la politique holistique sur la profession enseignante</t>
  </si>
  <si>
    <t>doc/pol</t>
  </si>
  <si>
    <t>UNESCO</t>
  </si>
  <si>
    <t>Mettre en place les conditions nécessaires pour rendre attractive le métier d'enseignant</t>
  </si>
  <si>
    <t>Identification des pistes et des canaux pour renforcer l'attractivité de la fonction enseignante (en lien avec la politique nationale)</t>
  </si>
  <si>
    <t>Concertation sur les pistes prioritaires d'intervention</t>
  </si>
  <si>
    <t xml:space="preserve"> Les procédures et critères de recrutement sont déFinis et respectés</t>
  </si>
  <si>
    <t>Développement de procédures et critères de recrutement par poste</t>
  </si>
  <si>
    <t>Elaboration des textes réglementaires d'application du décret relatif au recrutement des personnels enseignants</t>
  </si>
  <si>
    <t>Partage et validation des textes rédigés</t>
  </si>
  <si>
    <t>Reprographie des textes règlementaires</t>
  </si>
  <si>
    <t>Dissémination des textes dans toutes les structures pour application</t>
  </si>
  <si>
    <t>Sensibilisation des acteurs et partenaires sur les procédures et critères de recrutement par poste</t>
  </si>
  <si>
    <t>Organisation de campagnes d'information et de sensibilisation des acteurs et partenaires sociaux sur les procédures et critères de recrutement sur poste</t>
  </si>
  <si>
    <t>Publication régulière d’informations sur le profil des recrutés et le respect des procédures</t>
  </si>
  <si>
    <t>Description des profils recherchés</t>
  </si>
  <si>
    <t>Identification des postes à pourvoir</t>
  </si>
  <si>
    <t>Diffusion des besoins et des critères de candidature</t>
  </si>
  <si>
    <t xml:space="preserve"> Les critères d’affectation sont clairement déFinis et respectés</t>
  </si>
  <si>
    <t>Développement de procédures et critères d’affectation par poste</t>
  </si>
  <si>
    <t>Appui à la mise en œuvre du barème des mouvements de personnels</t>
  </si>
  <si>
    <t>Amélioration du manuel de procédure d'application du barème des mouvements de personnels</t>
  </si>
  <si>
    <t>Vulgarisation du manuel</t>
  </si>
  <si>
    <t>formation sur le manuel de procédure d'application du barème des mouvements de personnels</t>
  </si>
  <si>
    <t>Application effective du dispositif du barème dans l'allocation des enseignants</t>
  </si>
  <si>
    <t>Sensibilisation des acteurs et partenaires sur les procédures et critères d’affectation par poste</t>
  </si>
  <si>
    <t>Organisation des campagnes d'information sur le manuel de procédures d'application du barème au niveau central et déconcentré</t>
  </si>
  <si>
    <t xml:space="preserve">Missions </t>
  </si>
  <si>
    <t>Publication régulière d’informations sur les affectations/mutations et le respect des procédures</t>
  </si>
  <si>
    <t>Rédaction d'un bulletin semestriel d'information sur les affectations/mutations et le respect des procédures</t>
  </si>
  <si>
    <t>Impression et diffusion du bulletin</t>
  </si>
  <si>
    <t>Prise en charge des salaires du personnel administratif du MENA (niveau central et niveaux déconcentrés)</t>
  </si>
  <si>
    <t>MS/MENA</t>
  </si>
  <si>
    <t>Prise en charge des salaires du personnel administratif du METFP (niveau central et niveaux déconcentrés)</t>
  </si>
  <si>
    <t>MS/METFP</t>
  </si>
  <si>
    <t>Missions de contrôle du respect des critères et procédures d’affectation</t>
  </si>
  <si>
    <t>Organisation de missions de contrôle du respect des procédures au niveau déconcentré (IRE et DPE/DCE)</t>
  </si>
  <si>
    <t xml:space="preserve"> Un plan de carrière motivant est validé et utilisé dans le cadre de la gestion des carrières</t>
  </si>
  <si>
    <t>Développement et validation du plan de carrière en collaboration avec le Ministère de la Fonction Publique et les partenaires sociaux</t>
  </si>
  <si>
    <t>Elaboration d'un plan de carrière du personnel enseignant</t>
  </si>
  <si>
    <t>Révision des textes juridiques relatifs à la gestion de carrière concernant les enseignants</t>
  </si>
  <si>
    <t>Partage et validation du plan de carrière du personnel enseignant</t>
  </si>
  <si>
    <t>Sensibilisation et vulgarisation du plan de carrière auprès de tous les acteurs et partenaires concernés</t>
  </si>
  <si>
    <t>Campagne d'interprétation, d'appropriation et de vulgarisation des textes relatifs au plan de carrière des enseignants auprès de tous les acteurs institutionnels et partenaires</t>
  </si>
  <si>
    <t>Utilisation de la base de données pour le suivi de la mise en œuvre du plan de carrière</t>
  </si>
  <si>
    <t>Mise à jour régulière de la base de données sur les personnels du MENA</t>
  </si>
  <si>
    <t>Mise à jour régulière de la base de données sur les personnels du MESRS</t>
  </si>
  <si>
    <t>Mise à jour régulière de la base de données sur les personnels du METFP</t>
  </si>
  <si>
    <t>Poursuite de la mise en œuvre du systéme de contrôle de présence des enseignants et amélioration par l'usage du telèphone portable (en lien avec le numéro vert de la DPE)</t>
  </si>
  <si>
    <t>Révision et validation du dispositif existant pour le rendre plus opérationnel par l’utilisation du téléphone portable</t>
  </si>
  <si>
    <t xml:space="preserve">Atelier </t>
  </si>
  <si>
    <t>Formation des utilisateurs du dispositif</t>
  </si>
  <si>
    <t>Expérimentation du dispositif dans un échantillon d'écoles</t>
  </si>
  <si>
    <t>Acquisition des téléphones portables et puces téléphoniques</t>
  </si>
  <si>
    <t>tèl+puce</t>
  </si>
  <si>
    <t xml:space="preserve"> Gestion des ressources Financières</t>
  </si>
  <si>
    <t>Le Financement du secteur est en adéquation avec les objectifs</t>
  </si>
  <si>
    <t>Sessions de sensibilisation sur l’importance de l’éducation comme investissement auprès de différents publics (parlementaires, médias, communes, …)</t>
  </si>
  <si>
    <t>DéFinition de stratégies de communication sur l’importance de l’éducation comme investissement</t>
  </si>
  <si>
    <t>Mise en œuvre de la stratégie de communication vers le grand public</t>
  </si>
  <si>
    <t xml:space="preserve">dotation </t>
  </si>
  <si>
    <t>Serv Com</t>
  </si>
  <si>
    <t>Développement de stratégies allant dans le sens de la mobilisation des Financements innovants auprès des acteurs économiques</t>
  </si>
  <si>
    <t>Organisation des sessions de concertation avec les acteurs économiques (sociétés minières, banques, téléphonies…)</t>
  </si>
  <si>
    <t>Développement de projet de partenariat public privé au supérieur et à la formation professionnelle</t>
  </si>
  <si>
    <t>Suivi des intentions de Financement</t>
  </si>
  <si>
    <t>Préparation des documents de plaidoyer auprès des hauts décideurs pour l’accroissement de la part du secteur de l’éducation dans le budget de l’état</t>
  </si>
  <si>
    <t>Formation et partage des outils d'actualisation du CDMT avec les BSD, les Services Financiers au niveau central et déconcentrés du Secteur</t>
  </si>
  <si>
    <t xml:space="preserve">Elaboration du document CDMT </t>
  </si>
  <si>
    <t>Mise à jour du document CDMT après conférence budgétaire</t>
  </si>
  <si>
    <t xml:space="preserve">Mise à jour du document CDMT après l'adoption de la loi rectificative </t>
  </si>
  <si>
    <t>Atelier de partage du CDMT à tous les niveaux</t>
  </si>
  <si>
    <t>Atelier de partage et de validation du canevas et de la feuille de route, collecte et traitement des données pour la rédaction du rapport annuel de performance du secteur</t>
  </si>
  <si>
    <t>Rédaction du rapport de performance, version provisoire</t>
  </si>
  <si>
    <t>Partage du rapport provisoire pour lecture et amendement</t>
  </si>
  <si>
    <t>Intégration des observations faites sur la version provisoire</t>
  </si>
  <si>
    <t>Edition et Dissémination du rapport de performance, version déFinitive</t>
  </si>
  <si>
    <t>Organisation d'une session de présentation des documents de plaidoyer et distribution du RAP</t>
  </si>
  <si>
    <t>Organisation des journées de portes ouvertes sur l'Education (concertation sur les problématiques du secteur)</t>
  </si>
  <si>
    <t xml:space="preserve"> Les structures bénéficiaires reçoivent à temps les budgets nécessaires pour la mise en œuvre de leurs activités</t>
  </si>
  <si>
    <t>Publication des allocations budgétaires</t>
  </si>
  <si>
    <t>Formation des cadres centraux/déconcentrés et de Cellule CDMT en Excel Avancé pour faciliter l'exploitation budget sous son format Excel</t>
  </si>
  <si>
    <t>Extraction et transmission du budget des services centraux et déconcentrés</t>
  </si>
  <si>
    <t>Planification de l'exécution budgétaire par service et transmission au niveau central</t>
  </si>
  <si>
    <t>Intégration par la DAF des planifications budgétaires transmises dans le plan de mise en œuvre du budget du secteur</t>
  </si>
  <si>
    <t xml:space="preserve">Mise à disposition des budgets aux structures déconcentrées (subventions DPE/DCE/IRE, DSEE) </t>
  </si>
  <si>
    <t>dot/fonct</t>
  </si>
  <si>
    <t>Mise à disposition des budgets aux administrations centrales du MENA</t>
  </si>
  <si>
    <t>budget annuel</t>
  </si>
  <si>
    <t>dot/fonct/AC/MENA</t>
  </si>
  <si>
    <t>Mise à disposition des budgets aux administrations centrales et déconcentrées du METFP</t>
  </si>
  <si>
    <t>dot/fonct/METFP</t>
  </si>
  <si>
    <t>Mise à disposition des budgets aux administrations centrales du MESRS</t>
  </si>
  <si>
    <t>dot/fonct/MESRS</t>
  </si>
  <si>
    <t>Paiement des contributions aux institutions internationales (Confemen, ADEA, Karanta, etc.)</t>
  </si>
  <si>
    <t>Contribution</t>
  </si>
  <si>
    <t>Mise en œuvre de mécanismes de suivi des budgets jusqu’à l’école/établissement/institution</t>
  </si>
  <si>
    <t>Actualisation des outils de suivi de l'exécution des budgets</t>
  </si>
  <si>
    <t>Document</t>
  </si>
  <si>
    <t>Conduite des missions de suivi (exécution des budgets, des plans d'actions)</t>
  </si>
  <si>
    <t>Publication des résultats des mécanismes de suivi</t>
  </si>
  <si>
    <t>Elaboration d'un tableau de bord sur la mise en œuvre du budget du MENA</t>
  </si>
  <si>
    <t>Reproduction du tableau de bord du MENA</t>
  </si>
  <si>
    <t>Diffusion du tableau de bord du MENA</t>
  </si>
  <si>
    <t>Média</t>
  </si>
  <si>
    <t>Elaboration d'un tableau de bord sur la mise en œuvre du budget du MESRS</t>
  </si>
  <si>
    <t>Reproduction du tableau de bord du MESRS</t>
  </si>
  <si>
    <t>Diffusion du tableau de bord du MESRS</t>
  </si>
  <si>
    <t>Elaboration d'un tableau de bord sur la mise en œuvre du budget du METFP</t>
  </si>
  <si>
    <t>Reproduction du tableau de bord du METFP</t>
  </si>
  <si>
    <t>Diffusion du tableau de bord du METFP</t>
  </si>
  <si>
    <t xml:space="preserve"> Une plus grande transparence sur l’utilisation des ressources Financières permet une utilisation, conforme aux objectifs de la programmation</t>
  </si>
  <si>
    <t>Production d'affiches sur le budget alloué aux structures (sur le budget des structures)</t>
  </si>
  <si>
    <t>IDEAC</t>
  </si>
  <si>
    <t>Formation des chargés du matériel et équipement en comptabilité matière au niveau central et déconcentré</t>
  </si>
  <si>
    <t>Diffusion du budget sur le site web du secteur</t>
  </si>
  <si>
    <t>Publication des rapports d’exécution budgétaire</t>
  </si>
  <si>
    <t>Elaboration du rapport d'exécution du budget par structure</t>
  </si>
  <si>
    <t>Production d'affiches sur le budget exécuté par structure</t>
  </si>
  <si>
    <t>Diffusion de l'exécution des budgets sur le site web du Ministère</t>
  </si>
  <si>
    <t>Renforcement des contrôles et audits</t>
  </si>
  <si>
    <t>Organisation des missions d'audits sur échantillon</t>
  </si>
  <si>
    <t>AUDIT</t>
  </si>
  <si>
    <t>Renforcement de la traçabilité des dépenses d'éducation (dépenses publiques)</t>
  </si>
  <si>
    <t>Renforcement des capacités des chargés de la gestion matiére</t>
  </si>
  <si>
    <t>Etude sur la traçabilité des dépenses publiques en éducation</t>
  </si>
  <si>
    <t>RDP</t>
  </si>
  <si>
    <t xml:space="preserve"> Coordination sectorielle</t>
  </si>
  <si>
    <t xml:space="preserve"> Des organes de pilotage et de coordination interministérielles existent et fonctionnent éfficacement</t>
  </si>
  <si>
    <t>Analyse du fonctionnement des structures de coordination et de pilotage existantes et recommandations pour l’amélioration de la coordination et de pilotage</t>
  </si>
  <si>
    <t>Elaboration des TDR pour le recrutement d'un consultant</t>
  </si>
  <si>
    <t>Identification d'un plan d'amélioration du fonctionnement des structures de coordination</t>
  </si>
  <si>
    <t>Validation de l'étude</t>
  </si>
  <si>
    <t>Mise en œuvre des recommandations</t>
  </si>
  <si>
    <t>Dissémination des recommandations pour l'amélioration du fonctionnement des structures</t>
  </si>
  <si>
    <t>Prise de décision pour la mise en œuvre des recommandations</t>
  </si>
  <si>
    <t>Appui au fonctionnement des structures de coordination et de pilotage</t>
  </si>
  <si>
    <t>Appui à l'organisation de formations pour les cadres de la coordination sectorielle en suivi évaluation des politiques éducatives</t>
  </si>
  <si>
    <t>Formation des cadres en coordination sectorielle (CDMT, C/PSE, Secrétariats Généraux des Ministères)</t>
  </si>
  <si>
    <t>Tenue des sessions statutaires des organes de pilotage et de coordination CSPE (sous-préfecture)</t>
  </si>
  <si>
    <t>Tenue des sessions statutaires des organes de pilotage et de coordination CPPE (préfecture)</t>
  </si>
  <si>
    <t>Tenue des sessions statutaires des organes de pilotage et de coordination CRPE (région)</t>
  </si>
  <si>
    <t>Tenue des sessions statutaires des organes de pilotage et de coordination CNPE (national)</t>
  </si>
  <si>
    <t>Appui au suivi et à la concertation au niveau national et au niveau communal de la mise en œuvre du programme UNICEF</t>
  </si>
  <si>
    <t>mission, concertation, élaboration politique</t>
  </si>
  <si>
    <t>Partage des rapports et des recommandations des structures de coordination et pilotage avec les acteurs concernés</t>
  </si>
  <si>
    <t>Centralisation des rapports des sessions statutaires</t>
  </si>
  <si>
    <t xml:space="preserve">Diffusion des rapports des sessions statutaires </t>
  </si>
  <si>
    <t>Analyse des résultats des sessions et formulation de lettre de directive spécifique à chaque structure</t>
  </si>
  <si>
    <t xml:space="preserve"> Des organes de pilotage et de coordination du ProDEG sont mis en place et sont fonctionnels</t>
  </si>
  <si>
    <t>Mise en place des instances de pilotage et de coordination</t>
  </si>
  <si>
    <t>Elaboration et adoption des textes de création du comité interministériel de coordination et de pilotage</t>
  </si>
  <si>
    <t>Adoption d'un texte créant le secrétariat technique de coordination du ProDEG</t>
  </si>
  <si>
    <t>Opérationnalisation des instances de pilotage et de coordination</t>
  </si>
  <si>
    <t>Affectation du personnel en fonction des profils nécessaires (10 en provenance des 3 ministères)</t>
  </si>
  <si>
    <t>Acquisition de mobilier de bureau</t>
  </si>
  <si>
    <t>équipement complet d'un bureau</t>
  </si>
  <si>
    <t>EQ/bureau</t>
  </si>
  <si>
    <t>Acquisition de mobilier pour la salle de réunion</t>
  </si>
  <si>
    <t>équipement complet en mobilier</t>
  </si>
  <si>
    <t>EQ/SR</t>
  </si>
  <si>
    <t>Acquisition d'équipement informatique</t>
  </si>
  <si>
    <t>Acquisition d'ordinateur portable</t>
  </si>
  <si>
    <t>Acquisition de moyens de transports pour les activités de coordination et de suivi</t>
  </si>
  <si>
    <t>véhicule</t>
  </si>
  <si>
    <t>Allocations budgétaires pour le fonctionnement de la coordination sectorielle du  PSE en 2019</t>
  </si>
  <si>
    <t>dotation annuelle</t>
  </si>
  <si>
    <t>fonct/ST/PRODEG</t>
  </si>
  <si>
    <t>Allocations budgétaires pour le fonctionnement du ST/ProDEG</t>
  </si>
  <si>
    <t>Organisation des revues sectorielles</t>
  </si>
  <si>
    <t>organisation revue</t>
  </si>
  <si>
    <t>revue</t>
  </si>
  <si>
    <t>Préparation de la mise en œuvre du ProDEG et suivi évaluation</t>
  </si>
  <si>
    <t>Elaboration des plans d'actions annuels du ProDEG</t>
  </si>
  <si>
    <t>Validation des plans d'actions annuels du ProDEG par le GSE (pris en compte dans le budget ST/ProDEG)</t>
  </si>
  <si>
    <t>GSE</t>
  </si>
  <si>
    <t>Mise à la disposition de chaque structure de son plan d'action annuel (IRE, Cabinet, Directions centrales, universités, etc.)</t>
  </si>
  <si>
    <t>Elaboration des rapports de suivi semestriel du ProDEG par structure (pris en compte dans leur budget)</t>
  </si>
  <si>
    <t>ST/ProDEG</t>
  </si>
  <si>
    <t>Elaboration des rapports de suivi semestriel et annuel du ProDEG par Département (pris en compte dans leur budget)</t>
  </si>
  <si>
    <t>Elaboration des rapports de suivi semestriel et annuel du ProDEG (pris en compte dans le budget de la ST/ProDEG)</t>
  </si>
  <si>
    <t>Elaboration du second plan d'action triennal du ProDEG</t>
  </si>
  <si>
    <t>forfait /PAPB</t>
  </si>
  <si>
    <t>Évaluation de la mise en œuvre de la phase 1 du PRODEG</t>
  </si>
  <si>
    <t>Les unités de gestion des projets d'appui à la mise en eouvre du développemet du seteur sont fonctionnelles</t>
  </si>
  <si>
    <t>Fonctionnement de la coordination du FOCEB y compris audit annuel et communication sur le projet</t>
  </si>
  <si>
    <t>forfait /Foceb</t>
  </si>
  <si>
    <t>C/FoCEB</t>
  </si>
  <si>
    <t>Fonctionnement de l'unité de coordination du projet de la banque mondialepour l'appui au préscolaire et à la qualité au primaire y compris audit annuel et communication sur le projet</t>
  </si>
  <si>
    <t>forfait /proBM</t>
  </si>
  <si>
    <t>UGP/BM</t>
  </si>
  <si>
    <t>Fonctionnement de la coordination du BOCEJ y compris audit annuel et communication sur le projet</t>
  </si>
  <si>
    <t>forfait /BOCEJ</t>
  </si>
  <si>
    <t>BM/BOCEJ</t>
  </si>
  <si>
    <t>BOCEJ</t>
  </si>
  <si>
    <t>Fonctionnement de la coordination du PAFISAM y compris audit annuel et communication sur le projet</t>
  </si>
  <si>
    <t>forfait /PAFISAM</t>
  </si>
  <si>
    <t xml:space="preserve"> Renforcement des compétences de l’administration (cadre normatif, poste-profil, évaluation, équipement, formations…)</t>
  </si>
  <si>
    <t xml:space="preserve"> Les cadres organiques des différentes structures sont redéFinis pour que leur efficacité s’améliore </t>
  </si>
  <si>
    <t>Évaluation des forces et faiblesses des cadres organiques à tous les niveaux</t>
  </si>
  <si>
    <t>Elaboration de TDR pour le recrutement d'un cabinet/consultant</t>
  </si>
  <si>
    <t>Réalisation d'une étude sur les forces et les faibles des cadres organiques des 3 ministères</t>
  </si>
  <si>
    <t>travaux sur la révision du cadre organique en fonction des recommandations de l'état des lieux (pris en compte dans activité 58112)</t>
  </si>
  <si>
    <t>Développement des cadres organiques adaptés (mission, attributions, organisation, nombre et profil de postes…)</t>
  </si>
  <si>
    <t>Adoption et publication d'actes administratifs sur les nouveaux cadres</t>
  </si>
  <si>
    <t>Adaptation des manuels de procédures aux nouveaux cadres organiques (pris en compte dans 58112)</t>
  </si>
  <si>
    <t>Ameublement des cadres organiques</t>
  </si>
  <si>
    <t>Elaboration d'un texte réglementant les relations entre les universités et les communautés</t>
  </si>
  <si>
    <t>Rectorats/DG</t>
  </si>
  <si>
    <t>Mise à jour des textes règlementant la création, l'ouverture et le fonctionnement des établissements privés pré-universitaires</t>
  </si>
  <si>
    <t>Adoption du texte sur les établissements privés</t>
  </si>
  <si>
    <t>Organisation d'un forum sur l'enseignement privé</t>
  </si>
  <si>
    <t>forum</t>
  </si>
  <si>
    <t>Dissémination des cadres organiques et sensibilisation des acteurs concernés</t>
  </si>
  <si>
    <t xml:space="preserve">Reproduction des manuels de procédures </t>
  </si>
  <si>
    <t>Organisation de sessions de partage des manuels de procédures et remise des manuels</t>
  </si>
  <si>
    <t>Collecte et analyse périodique d’informations sur le respect des cadres organiques</t>
  </si>
  <si>
    <t>Organisation d'inspections périodiques</t>
  </si>
  <si>
    <t>Analyse et prise de décisions</t>
  </si>
  <si>
    <t xml:space="preserve"> Le plan de relève permet l’existence continue d’un corps administratif compétent</t>
  </si>
  <si>
    <t>Création d’un corps d’administrateurs scolaires et d’un corps d’inspecteurs</t>
  </si>
  <si>
    <t>Evaluation de la disponibilité des administrateurs scolaires et des inspecteurs d'éducation (primaire, secondaire et ETFP) au niveau du secteur</t>
  </si>
  <si>
    <t>Détermination des besoins actuels et futurs du système en administrateurs scolaires et inspecteurs d'éducation</t>
  </si>
  <si>
    <t>Actualisation des textes administratifs relatifs aux corps d'administrateurs et d'inspecteurs</t>
  </si>
  <si>
    <t>Organisations de formations régulières pour l’entrée dans les corps des administrateurs scolaires et des inspecteurs</t>
  </si>
  <si>
    <t>Elaboration des critères d'admissibilité</t>
  </si>
  <si>
    <t>Session d'organisation de concours d'entrée des postulants (budget concours)</t>
  </si>
  <si>
    <t>Publication des résultats</t>
  </si>
  <si>
    <t>session de formation des inspecteurs en présentiel (voir ISSEG)</t>
  </si>
  <si>
    <t>session de formation des directeurs d'écoles et chefs d'établissements à distance (voir ISSEG)</t>
  </si>
  <si>
    <t>Renforcement des compétences des administrateurs scolaires et inspecteurs (formations continues ; manuels de procédures; guides ; appui)</t>
  </si>
  <si>
    <t>Identification des institutions de formations</t>
  </si>
  <si>
    <t>Élaborations des modules de formation</t>
  </si>
  <si>
    <t>Mise en œuvre de la formation des administrateurs scolaires et inspecteurs</t>
  </si>
  <si>
    <t>Evaluation de la formation</t>
  </si>
  <si>
    <t>Développement régulier de plans de formation pour le personnel des différentes structures administratives</t>
  </si>
  <si>
    <t>Mise en place d'une commission chargée du pilotage du programme de renforcement des capacités individuelles des agents du MENA</t>
  </si>
  <si>
    <t>Identification des besoins en renforcement des capacités des cadres (réalisée par la DRH)</t>
  </si>
  <si>
    <t>Commission</t>
  </si>
  <si>
    <t xml:space="preserve">Production annuelle et validation de plans de formation </t>
  </si>
  <si>
    <t>Mise en œuvre des plans de formation</t>
  </si>
  <si>
    <t>Mise en œuvre progressive des plans de formation en adéquation avec les profils et les postes (pris en compte partiellement dans les différents sous programmes)</t>
  </si>
  <si>
    <t>Formation d'un noyau dur de personnel d'encadrement pour le préscolaire</t>
  </si>
  <si>
    <t>Formation des directeurs centraux et des IRE au management</t>
  </si>
  <si>
    <t>Suivi de la mise en œuvre des plans de formations</t>
  </si>
  <si>
    <t>Rapport</t>
  </si>
  <si>
    <t>Analyse des capacités institutionnelles des administrations du MENA</t>
  </si>
  <si>
    <t xml:space="preserve"> Chaque structure dispose des moyens logistiques nécessaires à l’accomplissement de sa mission</t>
  </si>
  <si>
    <t>Evaluation de l'état des lieux et dotation des services en moyens logistiques et équipements</t>
  </si>
  <si>
    <t>Elaboration d'un questionnaire par structure sur la base du questionnaire existant (inventaire et besoins)</t>
  </si>
  <si>
    <t>Evaluation des besoins en moyens logistiques et équipements, en rapport avec les missions des structures (sur la base de l'inventaire et des cadres organiques)</t>
  </si>
  <si>
    <t>Vérification des besoins pour un échantillon de structures</t>
  </si>
  <si>
    <t>Acquisition de matériels roulants</t>
  </si>
  <si>
    <t>motos</t>
  </si>
  <si>
    <t>véhicules</t>
  </si>
  <si>
    <t>Acquisition d'équipement informatique (ordinateurs portables)</t>
  </si>
  <si>
    <t>ordinateurs</t>
  </si>
  <si>
    <t>ordinateurs portables</t>
  </si>
  <si>
    <t>Acquisition d'équipement de connexion internet</t>
  </si>
  <si>
    <t>Les résultats des évaluations régulières des structures centrales et déconcentrées permettent d’améliorer leur performance</t>
  </si>
  <si>
    <t>Évaluation périodique de la performance des structures et institutions dans la mise en œuvre des activités</t>
  </si>
  <si>
    <t>DéFinition d'une démarche d'évaluation régulière des performances des différentes structures</t>
  </si>
  <si>
    <t>Validation des mécanismes d'évaluation des performances</t>
  </si>
  <si>
    <t>réunion de cabinet</t>
  </si>
  <si>
    <t>Déclinaison des lettres de mission annuelle par administration (IRE, Directions centrales)</t>
  </si>
  <si>
    <t xml:space="preserve">Déclinaison des lettres de mission aux services (IRE pour les DPE/DCE, DPE/DCE pour les DSEE et les établissements, DSSE aux écoles, Directions centrales aux divisions et sections) </t>
  </si>
  <si>
    <t>Elaboration de rapport annuel de mise en œuvre des lettres de missions (tous les niveaux)</t>
  </si>
  <si>
    <t>Consolidation des rapports par les IRE et les directions centrales</t>
  </si>
  <si>
    <t>Vérification de l'effectivité de la mise en œuvre des lettres de mission sur un échantillon</t>
  </si>
  <si>
    <t>Elaboration du rapport global de mise en œuvre des lettres de mission du Ministère</t>
  </si>
  <si>
    <t>Exploitation des résultats des rapports de performance</t>
  </si>
  <si>
    <t>Analyse du rapport de mise en œuvre et élaboration des recommandations aux différentes structures</t>
  </si>
  <si>
    <t>Suivi de la mise en œuvre des recommandations</t>
  </si>
  <si>
    <t xml:space="preserve">  L’ensemble des acteurs de l’administration éducative sont conscients des vulnérabilités qui menacent la mise œuvre du ProDEG et savent comment y répondre </t>
  </si>
  <si>
    <t>Elaboration d’une stratégie nationale de prévention et de gestion des risques et des catastrophes naturelles</t>
  </si>
  <si>
    <t>Constitution d'une commission technique interministérielle pour l'élaboration de la stratégie nationale</t>
  </si>
  <si>
    <t>Organisation de concertations pour élaborer la stratégie</t>
  </si>
  <si>
    <t>Validation et adoption de la stratégie</t>
  </si>
  <si>
    <t>Diffusion de la stratégie</t>
  </si>
  <si>
    <t>Sensibilisation des acteurs</t>
  </si>
  <si>
    <t>Campagnes de vulgarisation de la stratégie</t>
  </si>
  <si>
    <t>Mise en place de mécanismes de la stratégie de prévention et de gestion des risques</t>
  </si>
  <si>
    <t>Mise en place d’un mécanisme de suivi et de prévention des risques</t>
  </si>
  <si>
    <t xml:space="preserve">Suivi régulier des vulnérabilités et des réponses </t>
  </si>
  <si>
    <t>Education et alphabétisation des adultes</t>
  </si>
  <si>
    <t>Mobilisation sociale pour l’accroissement des Financements de l’AEA</t>
  </si>
  <si>
    <t xml:space="preserve"> les acteurs et les PTF concernés sont mobilisés en faveur de l’AEA.</t>
  </si>
  <si>
    <t>Sensibilisation et plaidoyer en faveur de l'AEA</t>
  </si>
  <si>
    <t>identification des groupes cibles et des principaux messages</t>
  </si>
  <si>
    <t>Mise en place d'équipes de suivi au niveau central et dans les régions</t>
  </si>
  <si>
    <t xml:space="preserve">Organisation de rencontres de sensibilisation en collaboration avec les structures déconcentrées </t>
  </si>
  <si>
    <t xml:space="preserve"> antennes AEA/sections AEA</t>
  </si>
  <si>
    <t>Organisation d'ateliers régionaux de sensibilisation (pour la prise en compte de l’AEA dans les PDL)</t>
  </si>
  <si>
    <t xml:space="preserve"> Antenne AEA/sections AEA</t>
  </si>
  <si>
    <t>Organisation d'émissions radio-télévisées en collaboration avec les structures déconcentrées de la DNAEN</t>
  </si>
  <si>
    <t>Emission radiotélévisée</t>
  </si>
  <si>
    <t>RTG</t>
  </si>
  <si>
    <t>Augmentation des budgets alloués à l'AEA</t>
  </si>
  <si>
    <t>Elaboration de projet de budget annuel</t>
  </si>
  <si>
    <t>Plaidoyer auprès des autorités pour l'approbation du projet de budget</t>
  </si>
  <si>
    <t>Développement de partenariats en faveur des activités d'AEA</t>
  </si>
  <si>
    <t>Mise en place du comité de coordination et de suivi des activités d'AEA (multi-acteurs)</t>
  </si>
  <si>
    <t>Texte juridique</t>
  </si>
  <si>
    <t>MEN-A</t>
  </si>
  <si>
    <t xml:space="preserve"> Réalisation par le comité de coordination de l’état de lieux des partenariats existants et possibles</t>
  </si>
  <si>
    <t>Comité de coordination</t>
  </si>
  <si>
    <t>  Organisation d’une table ronde ou réunion des partenaires au niveau national sur AEA</t>
  </si>
  <si>
    <t>Mise en place de nouveaux partenariats</t>
  </si>
  <si>
    <t>Mise en place d'un dispositif de Financement de l'alphabétisation</t>
  </si>
  <si>
    <t>Etude sur la mise en place d'un fonds national pour l'alphabétisation</t>
  </si>
  <si>
    <t xml:space="preserve"> Organisation des événements spéciaux de levée de fonds en faveur de l’AEA</t>
  </si>
  <si>
    <t>Validation des résultats de l'étude sur la mise en place du Fonds National pour l’Alphabétisation et l’Education Non Formelle</t>
  </si>
  <si>
    <t xml:space="preserve"> Une synergie d’actions existe entre les différents départements intervenant en AEA </t>
  </si>
  <si>
    <t>Développement et mise en place d'un cadre de concertation</t>
  </si>
  <si>
    <t>Mise en place du conseil national de l'AENF</t>
  </si>
  <si>
    <t>décret</t>
  </si>
  <si>
    <t>SGG</t>
  </si>
  <si>
    <t xml:space="preserve"> Elaboration d’un document de référence de l'alphabétisation (concerté avec tous les acteurs)</t>
  </si>
  <si>
    <t xml:space="preserve"> Diffusion et vulgarisation du document référentiel à tous les acteurs</t>
  </si>
  <si>
    <t>Renforcement des capacités de plaidoyer et de suivi des structures en charge de l'AEA</t>
  </si>
  <si>
    <t>Organisation d'une concertation sur les stratégies d'AENF (acquis et faiblesses)</t>
  </si>
  <si>
    <t>Elaboration d'un manuel de procédure pour l'organisation des activités de plaidoyer de suivi évaluation des activités d'AENF en tenant compte des résultats de la concertation)</t>
  </si>
  <si>
    <t>Renforcement de capacités des acteurs en plaidoyer et suivi évaluation des activités d'AENF</t>
  </si>
  <si>
    <t>Vulgarisation des manuels de procédures</t>
  </si>
  <si>
    <t>Démultiplication de la formation au niveau des acteurs</t>
  </si>
  <si>
    <t>Antenne AEA/ section AEA</t>
  </si>
  <si>
    <t>déploiement des acteurs formés sur le terrain pour le plaidoyer</t>
  </si>
  <si>
    <t xml:space="preserve"> Diversification des approches pour un plus grand accès équitable (modèles, des types de  centres )</t>
  </si>
  <si>
    <t>Plusieurs approches et modèles sont identifiées, validées et développées dans l’AEA</t>
  </si>
  <si>
    <t>Renforcement des capacités des acteurs sur les nouvelles approches</t>
  </si>
  <si>
    <t>identification des opérateurs (dans le cadre de l'étude du milieu)</t>
  </si>
  <si>
    <t>Réseaux</t>
  </si>
  <si>
    <t xml:space="preserve">identification des approches </t>
  </si>
  <si>
    <t>formation des formateurs aux nouvelles approches</t>
  </si>
  <si>
    <t>démultiplication de la formation au niveau des alphabétiseurs</t>
  </si>
  <si>
    <t>formaliser le partenariat avec les radios rurales et la télévision nationale pour l’approche un foyer un centre d’alphabétisation (en partenariat avec le Ministère de l'information)</t>
  </si>
  <si>
    <t>Partenariat</t>
  </si>
  <si>
    <t xml:space="preserve">Intégration des modules dans le programme de diffusion </t>
  </si>
  <si>
    <t>partenariat avec le ministère de la communication</t>
  </si>
  <si>
    <t>Diffusion des cours d'alphabétisation selon le programme retenu par les radios et la télévision</t>
  </si>
  <si>
    <t>diffusion ds cours</t>
  </si>
  <si>
    <t>Mise en œuvre et suivi évaluation de l'apprentissage</t>
  </si>
  <si>
    <t>identification des cibles (Localités et centres)</t>
  </si>
  <si>
    <t>organisation des sessions de formation des formateurs</t>
  </si>
  <si>
    <t>Organisation des campagnes d'alphabétisation par les opérateurs</t>
  </si>
  <si>
    <t>Session</t>
  </si>
  <si>
    <t>per/alpha</t>
  </si>
  <si>
    <t>supervision des activités</t>
  </si>
  <si>
    <t>Antenne AEA/section AEA</t>
  </si>
  <si>
    <t>suivi et évaluation par le niveau déconcentré</t>
  </si>
  <si>
    <t>antenne AEA/section AEA/ONG</t>
  </si>
  <si>
    <t>suivi et évaluation conjoint par le niveau central et les Réseaux d'ONG</t>
  </si>
  <si>
    <t xml:space="preserve"> Amélioration de la qualité </t>
  </si>
  <si>
    <t xml:space="preserve"> Les curricula sont adaptés et maitrisés par les opérateurs et les formateurs</t>
  </si>
  <si>
    <t>Révision et d'adaptation des curricula de l'AEA</t>
  </si>
  <si>
    <t>actualisation et élaboration des curricula</t>
  </si>
  <si>
    <t xml:space="preserve"> INRAP</t>
  </si>
  <si>
    <t>reproduction des curricula</t>
  </si>
  <si>
    <t>dissémination (dans le cadre des missions de suivi)</t>
  </si>
  <si>
    <t>La révision de la durée des formations d'alphabétisation (Alpha initiale 6 mois, 1mois de consolidation et 5 mois de post alpha)</t>
  </si>
  <si>
    <t>Formation sur les nouveaux curricula</t>
  </si>
  <si>
    <t xml:space="preserve"> formation des formateurs</t>
  </si>
  <si>
    <t>formation des superviseurs et animateurs</t>
  </si>
  <si>
    <t xml:space="preserve"> Les bonnes pratiques d’AENF sont identifiées, améliorées et partagées</t>
  </si>
  <si>
    <t>Mise en place d'un dispositif d'identification des innovations</t>
  </si>
  <si>
    <t>identification des bonnes pratiques (conjoint DNAENF et ONG)</t>
  </si>
  <si>
    <t xml:space="preserve">voyage d'étude </t>
  </si>
  <si>
    <t xml:space="preserve">Partage des résultats du voyage d'études </t>
  </si>
  <si>
    <t>Elaboration de guides sur les innovations</t>
  </si>
  <si>
    <t>formation des superviseurs et animateurs sur les innovations</t>
  </si>
  <si>
    <t>expérimentation des bonnes pratiques (par les centres)</t>
  </si>
  <si>
    <t>bonnes pratiques capitalisées et diffusée (Rapport)</t>
  </si>
  <si>
    <t>multiplication et vulgarisation du rapport sur les bonnes pratiques</t>
  </si>
  <si>
    <t xml:space="preserve"> Des modules de formation en andragogie sont intégrés dans les cursus de la formation initiale des enseignants</t>
  </si>
  <si>
    <t>Développement de modules de formations</t>
  </si>
  <si>
    <t xml:space="preserve">Elaboration d'un programme harmonisé de formation des formateurs en AENF </t>
  </si>
  <si>
    <t>Elaborer un module de formation en AENF pour les professeurs d’Ecoles Normales (PEN) et les Conseillers Pédagogique Maitre Formateur (CPMF) à l’ISSEG (introduire dans la révision des programmes de l'ISSEG)</t>
  </si>
  <si>
    <t>Elaborer et introduire un module de formation en AENF pour les élèves Maitres des ENI (introduire dans la révision des programmes des ENI)</t>
  </si>
  <si>
    <t>Implantation des modules de formation sur l'AENF</t>
  </si>
  <si>
    <t>introduction des modules dans les programmes d’enseignements</t>
  </si>
  <si>
    <t>texte juridique</t>
  </si>
  <si>
    <t>Mise en place des formations à l'ISSEG (subvention ISSEG)</t>
  </si>
  <si>
    <t xml:space="preserve"> Un dispositif d’accréditation des différents niveaux et de certification en AENF est mis en place.</t>
  </si>
  <si>
    <t>DéFinition du dispositif de certification</t>
  </si>
  <si>
    <t>mise en place de l'équipe d'évaluation (operateur, section préfectorale d'AENF)</t>
  </si>
  <si>
    <t xml:space="preserve">texte </t>
  </si>
  <si>
    <t>antenne AEA/section AEA/ONG operatrice</t>
  </si>
  <si>
    <t>Révision des outils de l'évaluation</t>
  </si>
  <si>
    <t>Evaluation de Fin d'apprentissage par niveau</t>
  </si>
  <si>
    <t>mission par structures déconcentrées</t>
  </si>
  <si>
    <t>Certification des apprenants</t>
  </si>
  <si>
    <t>conception, reproduction des certificats</t>
  </si>
  <si>
    <t>Remise des certificats par les ONG</t>
  </si>
  <si>
    <t xml:space="preserve"> Les compétences linguistiques, pédagogiques et andragogiques des moniteurs, des éducateurs, des animateurs et autres sont renforcées.</t>
  </si>
  <si>
    <t>Élaboration du matériel et du dispositif de formation</t>
  </si>
  <si>
    <t>Conception et élaboration du matériel de formation des formateurs</t>
  </si>
  <si>
    <t>Formation des formateurs relais</t>
  </si>
  <si>
    <t>Mise en place du dispositif et organisation régulière des formations</t>
  </si>
  <si>
    <t>Organisation par les formateurs des formations au niveau local (pris en charge par les ONG et autres opérateurs)</t>
  </si>
  <si>
    <t>Suivi des résultats des formations</t>
  </si>
  <si>
    <t xml:space="preserve"> Les capacités des opérateurs d’AENF en matière de mise en œuvre des activités d'AEA sont renforcées </t>
  </si>
  <si>
    <t>Recensement des opérateurs par les réseaux</t>
  </si>
  <si>
    <t>collecte des données</t>
  </si>
  <si>
    <t>RESEAUX</t>
  </si>
  <si>
    <t>Elaboration d'un annuaire des opérateurs</t>
  </si>
  <si>
    <t>Révision concertée du manuel de procédures d'alphabétisation (mode faire faire)</t>
  </si>
  <si>
    <t>Validation du manuel de procédure en mode faire-faire</t>
  </si>
  <si>
    <t>Partage et dissémination du nouveau manuel</t>
  </si>
  <si>
    <t>Production de livrets et de guides</t>
  </si>
  <si>
    <t>Elaboration des livrets et guides de formation</t>
  </si>
  <si>
    <t xml:space="preserve"> Validation des livrets</t>
  </si>
  <si>
    <t>Financement des activités d'AENF pour les operateurs</t>
  </si>
  <si>
    <t>appel d'offres pour le choix des opérateurs</t>
  </si>
  <si>
    <t>cahiers de charge</t>
  </si>
  <si>
    <t>Choix des opérateurs et signature des contrats</t>
  </si>
  <si>
    <t xml:space="preserve">Le matériel didactique approprié est disponible en quantité suffisante </t>
  </si>
  <si>
    <t>Acquisition et distribution de matériel didactique</t>
  </si>
  <si>
    <t>Acquisition et distribution de manuels et guides pour les alphabétiseurs</t>
  </si>
  <si>
    <t>Impression manuel et guide</t>
  </si>
  <si>
    <t>man/alpha/educ</t>
  </si>
  <si>
    <t>Acquisition de livrets pour les apprenants</t>
  </si>
  <si>
    <t>impression livret</t>
  </si>
  <si>
    <t>apprenant/alpha</t>
  </si>
  <si>
    <t xml:space="preserve"> Le suivi évaluation des activités d'AEA est amélioré et systématisé au niveau central et déconcentré </t>
  </si>
  <si>
    <t>Renforcement des capacités en suivi, évaluation et contrôle au niveau central et local</t>
  </si>
  <si>
    <t>Elaboration d'un guide pour le suivi et l'évaluation des activités d'alphabétisation</t>
  </si>
  <si>
    <t>Reproduction et distribution des guide</t>
  </si>
  <si>
    <t>Acquisition de matériel roulant pour les chefs section AENF</t>
  </si>
  <si>
    <t>Acquisition d'équipement informatique pour la DNAENF</t>
  </si>
  <si>
    <t>installation de l'internet au niveau de la direction</t>
  </si>
  <si>
    <t>connexion</t>
  </si>
  <si>
    <t>Renforcement des capacités des cadres et agents d'encadrement</t>
  </si>
  <si>
    <t>Participation des cadres aux rencontres nationale, sous régionale et internationale en AEA (budget mission)</t>
  </si>
  <si>
    <t>voyages</t>
  </si>
  <si>
    <t>participation des cadres aux formations sous régionales et internationale en matière d'AEA (sur invitation)</t>
  </si>
  <si>
    <t>Organisation annuelle de la journée internationale de l'alphabétisation</t>
  </si>
  <si>
    <t>Mise en place de la commission d'organisation</t>
  </si>
  <si>
    <t>Organisation de l'atelier bilan et collecte des informations</t>
  </si>
  <si>
    <t>Organisation des cérémonies commémoratives du 8 septembre</t>
  </si>
  <si>
    <t>Cérémonie</t>
  </si>
  <si>
    <t>forf/cerémonie</t>
  </si>
  <si>
    <t xml:space="preserve">Développement de la Post-alphabétisation </t>
  </si>
  <si>
    <t xml:space="preserve">Promotion du développement de la production écrite en langues nationales </t>
  </si>
  <si>
    <t>Promouvoir la production endogène des ouvrages, journaux, etc écrits en langues nationales</t>
  </si>
  <si>
    <t>identification et formation des écrivains en langues nationales parmi les néo alphabètes</t>
  </si>
  <si>
    <t>Antenne AEA/section AEA/ONG</t>
  </si>
  <si>
    <t xml:space="preserve">Organisation de concours de meilleurs récits, histoires, monographies des villages……)  </t>
  </si>
  <si>
    <t>Prix</t>
  </si>
  <si>
    <t>forfait/prix</t>
  </si>
  <si>
    <t xml:space="preserve">Publication de la production dans les journaux locaux </t>
  </si>
  <si>
    <t>Plaidoyer</t>
  </si>
  <si>
    <t xml:space="preserve">Organisation d'atelier de rédaction d'articles en langues nationales par les néo alphabètes </t>
  </si>
  <si>
    <t>antenne AEA/section AEA/ONG/néoalphabètes</t>
  </si>
  <si>
    <t>Développement d'actions de plaidoyer pour la production d'enseignes et d'écriteaux en langues nationales</t>
  </si>
  <si>
    <t>Elaboration d'une stratégie nationale de création et de développement de foyers d'environnement lettré</t>
  </si>
  <si>
    <t>Validation technique de la stratégie</t>
  </si>
  <si>
    <t>Soumission de la stratégie pour validation au gouvernement</t>
  </si>
  <si>
    <t xml:space="preserve">MENA </t>
  </si>
  <si>
    <t xml:space="preserve">Adoption par le Gouvernement de la stratégie nationale pour le développement d'un environnement lettré en langues nationales </t>
  </si>
  <si>
    <t>Décison</t>
  </si>
  <si>
    <t>Poursuite de l'expérimentation sur l'utilisation du numérique pour renforcer la post alphabétisation (DVV)</t>
  </si>
  <si>
    <t>DVV</t>
  </si>
  <si>
    <t>Evaluation de l'expérimentation sur l'utilisation du numérique pour renforcer la post alphabétisation (DVV)</t>
  </si>
  <si>
    <t>Analyse des résultats de l'expérimentation sur l'utilisation du numérique pour renforcer la post alphabétisation (DVV)</t>
  </si>
  <si>
    <t>Redynamisation des bibliothèques villageoise</t>
  </si>
  <si>
    <t>Etat des lieux des bibliothèques villageoises</t>
  </si>
  <si>
    <t>DéFinitions des besoins prioritaires</t>
  </si>
  <si>
    <t>antenne AEA/Section AEA/appr</t>
  </si>
  <si>
    <t>construction de nouvelles bibliothèques villageoise</t>
  </si>
  <si>
    <t>Local</t>
  </si>
  <si>
    <t>cons/biblio</t>
  </si>
  <si>
    <t>Equipement des bibliothèques villageoise</t>
  </si>
  <si>
    <t>EQ/bib/vill</t>
  </si>
  <si>
    <t>Reproduction et distribution des livrets et des productions en langues nationales</t>
  </si>
  <si>
    <t>Dotation en Kits  faits  en LN</t>
  </si>
  <si>
    <t>Kit/bibliothéque</t>
  </si>
  <si>
    <t xml:space="preserve"> Les activités génératrices de revenus sont encouragées et soutenues (autour des structures d'alphabétisation)</t>
  </si>
  <si>
    <t>Promotion de l'organisation des alphabétisés et des alphabétiseurs en Groupement de métier</t>
  </si>
  <si>
    <t xml:space="preserve">Regroupement des néo alphabètes et des alphabétiseurs par groupement de métiers </t>
  </si>
  <si>
    <t>Financement d'AGR en faveur de ces groupements</t>
  </si>
  <si>
    <t>Financement des AGR</t>
  </si>
  <si>
    <t>Forf/AGR</t>
  </si>
  <si>
    <t>Développement de modules de formation en matière de gestion Financière, organisation paysanne et communication et formation des membres des groupements</t>
  </si>
  <si>
    <t>Conception et élaboration de documents de gestion en faveur des groupements mis en place</t>
  </si>
  <si>
    <t>formation des membres des groupements en gestion Financière</t>
  </si>
  <si>
    <t xml:space="preserve"> Les activités de post alphabétisation sont soutenues </t>
  </si>
  <si>
    <t>Organisation systématique de formation en post alphabétisation pour les néoalphabétisés</t>
  </si>
  <si>
    <t>Formation des néo alphabétisés</t>
  </si>
  <si>
    <t>per/post alpha</t>
  </si>
  <si>
    <t>suivi des formation</t>
  </si>
  <si>
    <t>Fin</t>
  </si>
  <si>
    <t xml:space="preserve">Organisations des activités de CCC sur l’accès des enfants dépourvus, exclus et vulnérables aux soins affectifs, psychosociaux, services de santé et d’éducation de qualité y compris en situation d’urgence </t>
  </si>
  <si>
    <t>Seances</t>
  </si>
  <si>
    <t>Appuis aux communautés pour l’experientation de l’approche Maman Modele pour soutenir et promouvoir le développement de la petite enfance (santé, nutrition, la protection et le développement psycho moteur et cognitif de l’enfant) et la responsabilité parentale</t>
  </si>
  <si>
    <t>communaute</t>
  </si>
  <si>
    <t>Participation active aux réseaux déjà existants et alliances sur le Développement de la petite enfance (ECDAN, Cadre des ONG I en Guinea, African Early Childhood Network (AfECN), Clusters, etc...);</t>
  </si>
  <si>
    <t>participation</t>
  </si>
  <si>
    <t>Implication des OSC, des medias dans les campagnes d’éducation à la parentalité positive.(Participation des OCB,  des medias dans les campagnes d’éducation à la parentalité positive)</t>
  </si>
  <si>
    <t>séance</t>
  </si>
  <si>
    <t>Appui a la realisation des supervisions conjointes CO/LP/IRE/DPE</t>
  </si>
  <si>
    <t>Appui aux DPE/IRE pour le renforcement des capacites des DE, Chefs d'etablissement en leadership administratif et pedagogique et la gestion des classes multigrades</t>
  </si>
  <si>
    <t>Amélioration des compétences d'apprentissage et des services de base pour les femmes et les filles fréquentant le Centre d'Autonomisation et de Promotion des Femmes de la Fria »</t>
  </si>
  <si>
    <t>Formation+Equipement</t>
  </si>
  <si>
    <t xml:space="preserve">Building community and youth response capacity for child protection during crisis </t>
  </si>
  <si>
    <t>Amelioration de  l'acces des enfants aux services d'education prescolaire par  l'octroi des velos a Dabola</t>
  </si>
  <si>
    <t>Amenagement des aires de jeux au niveau des CEC</t>
  </si>
  <si>
    <t>Amenagement</t>
  </si>
  <si>
    <t>Acquisition des équipements et matériels diactiques/ludiques pour les CEC</t>
  </si>
  <si>
    <t>achat</t>
  </si>
  <si>
    <t>Organisation des visites medicales en faveur des enfants des CEC</t>
  </si>
  <si>
    <t>Visite</t>
  </si>
  <si>
    <t>Formation des eduacteurs des CEC</t>
  </si>
  <si>
    <t>Appui au   suivi pedagogique au CEC</t>
  </si>
  <si>
    <t>Sensibilisation sur  l'education des filles et les enfants en situation de handicap</t>
  </si>
  <si>
    <t>Acquisition et distribution des fournitures et kits aux enfants défavorisés</t>
  </si>
  <si>
    <t>scolarisation</t>
  </si>
  <si>
    <t>Formation des enseignants l'ECS, accent un accent sur les IST/VIH-Sida en milieu scolaire et sur la prévention des grossesses et mariage precoce</t>
  </si>
  <si>
    <t xml:space="preserve">Sensibilisation des élèves sur la prévention des grossesses précoces et non désirées, les IST/VIH-Sida en milieu scolaire </t>
  </si>
  <si>
    <t>Dotation des ecoles des planches du ruban rouge et des fiches pedagogiques sur l'ECS</t>
  </si>
  <si>
    <t>Sensibilisation des menages et communautes sur la prevention des mariages precoces, les grossesses precoces, le suivi des enfants a l'ecole, la reduction des charges domestiques pour les filles, et les violences sur les enfants e particulier sur les filles</t>
  </si>
  <si>
    <t>Sensibilisation des elus locaux  des collectivites sur la prevention des mariages precoces, les grossesses precoces, et les violences sur les enfants en particulier sur les filles</t>
  </si>
  <si>
    <t>Renforcement des capacites des organisations Communautaires de base (APEAE, AME,GDE,CDE)</t>
  </si>
  <si>
    <t>Formation/appui</t>
  </si>
  <si>
    <t>Appui a la participation des organisations des enfants et des jeunes dans la gestion des ecoles</t>
  </si>
  <si>
    <t>Soutien des actions de plaidoyer des OCB et societe civile</t>
  </si>
  <si>
    <t>Soutien</t>
  </si>
  <si>
    <t>Amelioration de l'environnement d'apprentissage avec prise en compte des besoins des filles (latrines, lavage des mains, espaces des jeux)</t>
  </si>
  <si>
    <t>Appui a l'emelioration des programmes d'enseignements avec prise en compte des besoins specifiques des filles ( MGF/E, autres violences, )</t>
  </si>
  <si>
    <t>Amelioration</t>
  </si>
  <si>
    <t>Suivi pedagogique des enseignants au niveau des ecoles</t>
  </si>
  <si>
    <t>Formation des enseignants sur l'education inclusive, les pedagogies actives et les didactiques en francais, mathematique, secience d'observations et autres displines</t>
  </si>
  <si>
    <t xml:space="preserve">Sensibilisation des élèves sur la prévention des grossesses précoces et non désirées et les IST/VIH-Sida en milieu scolaire </t>
  </si>
  <si>
    <t>Amelioration de l'envoronnement d'apprentissage avec prise en compte des besoins des filles (latrines, rampes,points d'eau, spaces des jeux )</t>
  </si>
  <si>
    <t>Insertion des enfants et jeunes dans les centres d'apprentissages des metiers</t>
  </si>
  <si>
    <t>Insertion</t>
  </si>
  <si>
    <t>Promotion de l'employabilite des filles</t>
  </si>
  <si>
    <t>Soutien  aux familles ( revenu, information, gestion des enfants..)</t>
  </si>
  <si>
    <t>Appui aux fonctionnement des structures de dialogue sectorielle (CSPPE,CPPE,CRPE)</t>
  </si>
  <si>
    <t>session</t>
  </si>
  <si>
    <t xml:space="preserve">octroie de bourse a milles enfants vulnerables entrant au college en 2019 </t>
  </si>
  <si>
    <t>Rénovation et extension &amp; équipements des infrastructures des 2 sites Kankan, Pita</t>
  </si>
  <si>
    <t>Renforcement du dispositif ASCAD (AT institutionnel, gestion,…)</t>
  </si>
  <si>
    <t>Assistance technqiue</t>
  </si>
  <si>
    <t>AIDE ET ACTION</t>
  </si>
  <si>
    <t>FONDS KOWEITIEN</t>
  </si>
  <si>
    <t>FONDS SAOUDIEN</t>
  </si>
  <si>
    <t>PNUD</t>
  </si>
  <si>
    <t>AFD</t>
  </si>
  <si>
    <t>Campagne</t>
  </si>
  <si>
    <t>ateler</t>
  </si>
  <si>
    <t>PAPB_version_validée_CIPC_09-10-2019 - actualisé en novembre</t>
  </si>
  <si>
    <t xml:space="preserve"> Montant 2021</t>
  </si>
  <si>
    <t xml:space="preserve"> Montant 2022</t>
  </si>
  <si>
    <t>(vide)</t>
  </si>
  <si>
    <t>Total général</t>
  </si>
  <si>
    <t>Financement par programme prioritaire en million de GNF</t>
  </si>
  <si>
    <t>Financement par bailleur en million de GNF</t>
  </si>
  <si>
    <t>Bailleurs</t>
  </si>
  <si>
    <t>3-Expansion et réforme de l’ETFP</t>
  </si>
  <si>
    <t>1-Accès et équité à l'enseignement général</t>
  </si>
  <si>
    <t>2-Qualité des enseignements et des apprentissages</t>
  </si>
  <si>
    <t>5-Gouvernance et pilotage du secteur</t>
  </si>
  <si>
    <t>6-Education et alphabétisation des adultes</t>
  </si>
  <si>
    <t>4-Réforme de l’enseignement supérieur et la recherche scientifique et de l'innovation</t>
  </si>
  <si>
    <t>Financement bailleur par ministère en million de GNF</t>
  </si>
  <si>
    <t>Financement par sous programme en million de GNF</t>
  </si>
  <si>
    <t>11- Accès équitable au préscolaire</t>
  </si>
  <si>
    <t>12- Accès équitable et achèvement du primaire</t>
  </si>
  <si>
    <t>13- Accès à l’éducation non formelle</t>
  </si>
  <si>
    <t>14- Accès et équité au collège</t>
  </si>
  <si>
    <t>15- Promotion de l'éducation inclusive, y compris les FA</t>
  </si>
  <si>
    <t>16- Accès et équité au lycée</t>
  </si>
  <si>
    <t xml:space="preserve">17- Santé et hygiène scolaires </t>
  </si>
  <si>
    <t>21- Révision/ adaptation des curricula/programmes (place des sciences ; franco-arabe, intégration de l’éducation à la citoyenneté, l'éducation complète à la sexualité, éducation environnementale…)</t>
  </si>
  <si>
    <t>22- Diversification des filière au lycée</t>
  </si>
  <si>
    <t xml:space="preserve">23- Formation initiale et continue des enseignants/éducateurs y compris dans les méthodes pédagogiques innovatntes  </t>
  </si>
  <si>
    <t>24- Encadrement des enseignants : appui et contrôle</t>
  </si>
  <si>
    <t xml:space="preserve">25- Conditions d’apprentissage améliorées </t>
  </si>
  <si>
    <t>26- Examen et évaluation</t>
  </si>
  <si>
    <t>27- Introduction de l'enseignement bilingue Français-langues nationales au primaire</t>
  </si>
  <si>
    <t>31- Identification des besoins en qualification de l’économie</t>
  </si>
  <si>
    <t>32- Mise en place d’une ingénierie de formation adaptée aux besoins de l’économie</t>
  </si>
  <si>
    <t>33- Développement de l’offre de formation professionnelle et technique de qualité</t>
  </si>
  <si>
    <t>34- le financement du développement de l’ETFP</t>
  </si>
  <si>
    <t>35- Développement de la formation continue des actifs en situation de travail</t>
  </si>
  <si>
    <t>36- Renforcement des capacités de pilotage et de gestion dans le cadre d’une gouvernance parteunariale multi niveaux</t>
  </si>
  <si>
    <t>41- Gouvernance et pilotage de l’enseignement supérieur et de la recherche scientifique</t>
  </si>
  <si>
    <t xml:space="preserve">42- Expansion de l’offre publique pour un système plus équitable en lien avec les priorités nationales </t>
  </si>
  <si>
    <t>43- Qualité de l’enseignement, de la formation et de la recherche scientifique</t>
  </si>
  <si>
    <t>44- Conditions de vie du personnel enseignant et de recherche (à reporter dans le programme gouvernance)</t>
  </si>
  <si>
    <t>51-Gestion des flux (mécanismes, orientations, et passerelles)</t>
  </si>
  <si>
    <t>52-Déconcentration, décentralisation, et partenariats (implication des communautés et des autres parties prenantes)</t>
  </si>
  <si>
    <t xml:space="preserve">53- Systèmes d’information pour la gestion de l'éducation (collecte, analyse, diffusion, et utilisation des informations) </t>
  </si>
  <si>
    <t>54- Conception de plans de développement et gestion de projets</t>
  </si>
  <si>
    <t>55- Gestion des RH (recrutement, affectation, motivation, fidélisation, gestion de carrières…)</t>
  </si>
  <si>
    <t>56- Gestion des ressources financières</t>
  </si>
  <si>
    <t>57- Coordination sectorielle</t>
  </si>
  <si>
    <t>58- Renforcement des compétences de l’administration (cadre normatif, poste-profil, évaluation, équipement, formations…)</t>
  </si>
  <si>
    <t>61-Mobilisation sociale pour l’accroissement des financements de l’AEA</t>
  </si>
  <si>
    <t>62- Diversification des approches pour un plus grand accès équitable (modèles, des types de  centres )</t>
  </si>
  <si>
    <t xml:space="preserve">63- Amélioration de la qualité </t>
  </si>
  <si>
    <t xml:space="preserve">64-Développement de la Post-alphabétisation </t>
  </si>
  <si>
    <t>111- Le préscolaire est réorganisé</t>
  </si>
  <si>
    <t>1111-Réorganisation de l’offre du préscolaire (de 3 à 2 ans)</t>
  </si>
  <si>
    <t>1112-Adaptation du mode de fonctionnement du préscolaire</t>
  </si>
  <si>
    <t>112- La demande de préscolarisation est stimulée</t>
  </si>
  <si>
    <t>1121-Sensibilisation des communautés sur l'importance de la préscolarisation des enfants et la nouvelle organisation du préscolaire</t>
  </si>
  <si>
    <t>1122-Prise en charge des enfants du préscolaire par les cantines des écoles situées à proximité</t>
  </si>
  <si>
    <t>1123-Création de cantines au niveau des CEC éloignés des écoles primaires à cantine</t>
  </si>
  <si>
    <t>113- Les capacités d’accueil au préscolaire public et communautaires augmentent en milieux rural et urbain</t>
  </si>
  <si>
    <t>1131-Construction d'établissements préscolaires publics en zone urbaine</t>
  </si>
  <si>
    <t>1132-Construction de salles d’activités de préprimaire à coté des écoles primaires publiques à cantine en zone rurale</t>
  </si>
  <si>
    <t>1133-Construction/réhabilitation/rénovation de CEC</t>
  </si>
  <si>
    <t xml:space="preserve">114- Les CEC et les établissements préscolaires publics sont dotées en éducateurs en nombre suffisant </t>
  </si>
  <si>
    <t>1141-Recrutement d’éducateurs en nombre suffisant</t>
  </si>
  <si>
    <t>1142-Prise en charge progressive de la rémunération des éducateurs communautaires par l’Etat</t>
  </si>
  <si>
    <t>1143-Prise en charge des aides-éducateurs par l’Etat à travers de subventions aux comités de gestion</t>
  </si>
  <si>
    <t xml:space="preserve">121- Tous les enfants de 6 ans sont inscrits au primaire </t>
  </si>
  <si>
    <t>1211-Identification des causes de la faiblesse de la scolarisation</t>
  </si>
  <si>
    <t>1212-Information/sensibilisation des parents pour la scolarisation des enfants en particulier les filles dans les zones à faible taux de scolarisation</t>
  </si>
  <si>
    <t>1213-Incitation de la demande de scolarisation par la création des cantines dans les milieux défavorisés y compris les écoles FA</t>
  </si>
  <si>
    <t>1214-Mise en place d'une stratégie de scolarisation des enfants des foyers coraniques et des centres de mémorisation du Saint Coran</t>
  </si>
  <si>
    <t xml:space="preserve">122- Toutes les localités disposent d’écoles primaires avec des infrastructures adéquates  </t>
  </si>
  <si>
    <t>1221-Rénovation/réhabilitation de salles de classe en tenant compte de la prévention des catastrophes naturels, y compris dans les FA</t>
  </si>
  <si>
    <t>1222-Construction et équipement de salles de classe au primaire avec rampe d’accès et en tenant compte de la prévention des catastrophes naturels</t>
  </si>
  <si>
    <t>123- Toutes les écoles primaires publiques et communautaires sont dotées en enseignants en nombre suffisant, y compris les FA</t>
  </si>
  <si>
    <t>1231-Recrutement d’enseignants</t>
  </si>
  <si>
    <t>1232-Prise en charge progressive des enseignants communautaires</t>
  </si>
  <si>
    <t>1233-Optimisation de l’utilisation des enseignants</t>
  </si>
  <si>
    <t>1234-Renforcement des mesures incitatives pour le maintien des enseignants dans les zones difficiles</t>
  </si>
  <si>
    <t>1235-Normalisation des enseignement dans les écoles FA privées</t>
  </si>
  <si>
    <t>1236-Remplacement de salles de classe précaires, y compris dans les FA</t>
  </si>
  <si>
    <t>124- Toutes les écoles primaires, y compris les FA, offrent aux élèves des conditions favorables à leur maintien, en particulier, les filles</t>
  </si>
  <si>
    <t>1241-Adaptation du mode de fonctionnement de l’école aux ressources disponibles pour assurer la continuité éducative</t>
  </si>
  <si>
    <t>1242-Lutte contre les violences sur le chemin de l’école, dans les écoles, et dans les familles, particulièrement envers les filles</t>
  </si>
  <si>
    <t>1311-Information/sensibilisation des communautés sur l’offre d’éducation non-formelle</t>
  </si>
  <si>
    <t>1312-Octroi de kits scolaires auxs apprenants</t>
  </si>
  <si>
    <t>1313-Prise en charge des apprenants du non formelle par les cantines des écoles situées à proximité</t>
  </si>
  <si>
    <t>131-La demande de scolarisation non formelle est accrue chez les enfants déscolarisés et les non scolarisés</t>
  </si>
  <si>
    <t>132- L’offre d’éducation non formelle est diversifiée</t>
  </si>
  <si>
    <t>1321-Elargissement de l’approche de la scolarisation primaire accélérée</t>
  </si>
  <si>
    <t>1322-Réorganisation de l’apprentissage dans les centres NAFA en fonction des besoins locaux et développement des passerelles entre le formel et le non formel</t>
  </si>
  <si>
    <t>1331-Construction/Réhabilitation/Renovation des centres NAFA</t>
  </si>
  <si>
    <t>1332-Dotation des centres NAFA en équipements et mobilier</t>
  </si>
  <si>
    <t>1333-Dotation des centres NAFA en matières d'œuvre</t>
  </si>
  <si>
    <t>133-Les capacités d’accueil d’éducation non formelle se sont accrues</t>
  </si>
  <si>
    <t>141- L’accès au collège est amélioré en tenant compte de l’équité et de l’élargissement de l’éducation de base</t>
  </si>
  <si>
    <t>1411-Réorganisation du collège (tronc commun, collège de proximité etc)</t>
  </si>
  <si>
    <t>1412-Optimisation de l’utilisation des salles de classe au collège, y compris les FA</t>
  </si>
  <si>
    <t>1413-Construction/réhabilitation/rénovation de salles de classe avec rampe d’accès au Collège en tenant compte de la prévention des catastrophes naturelles, y compris les FA</t>
  </si>
  <si>
    <t xml:space="preserve">142- Tous les Collèges publics sont dotés en enseignants en nombre suffisant </t>
  </si>
  <si>
    <t>1421-Recrutement d’enseignants en nombre suffisant</t>
  </si>
  <si>
    <t>1422-Prise en charge progressive des enseignants contractuels communautaire</t>
  </si>
  <si>
    <t>1423-Optimisation de l’utilisation des enseignants</t>
  </si>
  <si>
    <t>1424-Renforcement des mesures incitatives pour le maintien des enseignants dans les zones difficiles</t>
  </si>
  <si>
    <t>143- Tous les Collèges offrent aux élèves des conditions favorables à leur maintien</t>
  </si>
  <si>
    <t>1431-Adaptation du calendrier scolaire des Collèges aux conditions locales et aux dates des examens nationaux</t>
  </si>
  <si>
    <t>1432-Lutte contre les violences et les harcèlements subis par les filles sur le chemin de l’école et dans les écoles (pris en compte dans 1242)</t>
  </si>
  <si>
    <t>151-Construction de rampes d'accès pour les écoles/établissements qui n'en disposent pas</t>
  </si>
  <si>
    <t>152- Un protocole d’assistance matérielle, humaine et technique est élaboré et adopté</t>
  </si>
  <si>
    <t>1521-Mise en place et actualisation de la cartographie des enfants en situation de handicap (ESH)</t>
  </si>
  <si>
    <t>1522-Prise en charge des ESH en matériels adaptés et en assistance sociale</t>
  </si>
  <si>
    <t>153- L'éducation inclusive est intégrée dans la prise de décision par les différents acteurs</t>
  </si>
  <si>
    <t>1531-Renforcement des capacités en éducation inclusive (pilotage, directeurs, enseignants)</t>
  </si>
  <si>
    <t>1532-Sensibilisation des différents acteurs en éducation sur l'éducation inclusive</t>
  </si>
  <si>
    <t>1533-Renforcement de la gratuité de l'école primaire</t>
  </si>
  <si>
    <t>161- L’accès au lycée est maitrisé en tenant compte de l’équité et de la diversification des filières</t>
  </si>
  <si>
    <t>1611-Diversification des filières au lycée</t>
  </si>
  <si>
    <t>1612-Optimisation de l’utilisation des salles de classe au lycée, y compris les FA</t>
  </si>
  <si>
    <t>1613-Construction de salles de classe avec rampe d’accès au lycée en tenant compte de la prévention des catastrophes naturelles, y compris les FA</t>
  </si>
  <si>
    <t>1614-Réhabilitation/rénovation de salles de classe au Lycée en tenant compte de la prévention des catastrophes naturelles, y compris les FA</t>
  </si>
  <si>
    <t>162- Tous les lycées publics sont dotés en enseignants en nombre suffisant, y compris les FA</t>
  </si>
  <si>
    <t>1621-Recrutement d’enseignants de lycée en nombre suffisant, y compris les FA</t>
  </si>
  <si>
    <t>1622-Prise en charge progressive des enseignants contractuels au lycée, y compris les FA</t>
  </si>
  <si>
    <t>1623-Optimisation de l’utilisation des enseignants au lycée, y compris les FA</t>
  </si>
  <si>
    <t>171- Les conditions d'hygiène sont améliorées au sein des écoles et établissements</t>
  </si>
  <si>
    <t>1711-Construction/rénovation des latrines séparées</t>
  </si>
  <si>
    <t>1712-Aménagement/rénovation des point d'eau</t>
  </si>
  <si>
    <t>1713-Mise en place de kits de lavage des mains dans les écoles et établissements</t>
  </si>
  <si>
    <t>172- La santé scolaire est améliorée au sein des écoles et établissements scolaires, y compris les FA</t>
  </si>
  <si>
    <t>1721-Mise à disposition des écoles et établissements d'infirmerie et de boîte à pharmacie</t>
  </si>
  <si>
    <t>1722-Prévention et lutte contre les maladies en milieu scolaire</t>
  </si>
  <si>
    <t>1723-Octroi de kits d’hygiène aux filles issues des milieux défavorisés</t>
  </si>
  <si>
    <t>211- les contenus des programmes (du préscolaire, du primaire, 1er et second cycle du secondaire) sont progressivement révisés, adaptés et diversifiés</t>
  </si>
  <si>
    <t>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t>
  </si>
  <si>
    <t>2112-Conception/élaboration et expérimentation de nouveaux curricula/programmes</t>
  </si>
  <si>
    <t>2113-Formation des enseignants aux nouveaux curricula à tous les niveaux</t>
  </si>
  <si>
    <t>2114-Adaptation des manuels/matériels pédagogiques et ludiques aux nouveaux curricula à tous les niveaux et pour tous les enfants</t>
  </si>
  <si>
    <t>2115-Introduction des approches innovantes dans le cursus scolaire</t>
  </si>
  <si>
    <t>221- Les nouvelles filières de formation au lycée sont introduites</t>
  </si>
  <si>
    <t>2211-Choix et expériementation des filières d’enseignement au lycée</t>
  </si>
  <si>
    <t>2212-expérimentaion des filières choisies</t>
  </si>
  <si>
    <t>2213-Elaboration et validation d'un plan d'action opérationnel pour l'implantation progressive des filiéres</t>
  </si>
  <si>
    <t>231- Une formation initiale de qualité (polyvalence, méthodes pédagogiques innovantes, éducation inclusive et gestion des classes multigrades) des formateurs et cohérente avec les curricula, est mise en place</t>
  </si>
  <si>
    <t>2311-La mise en place des standards de qualité sur la formation initiale (ENI)</t>
  </si>
  <si>
    <t>2312-Extension de la formation des éducateurs du préscolaire dans les ENI</t>
  </si>
  <si>
    <t>2313-Renforcer la formation des enseignants dans la gestion des classes uniques</t>
  </si>
  <si>
    <t xml:space="preserve">232- Les cercles de qualité sont créés et sont opérationnels </t>
  </si>
  <si>
    <t>2321-Institutionnalisation des cercles de qualité aux différents niveaux (DSEE,DPE/DCE/IRE)</t>
  </si>
  <si>
    <t>233- Une formation continue de qualité, adaptée aux différents profils des enseignants/éducateurs (ceux qui viennent des établissements de formation, ceux qui ont passé le concours à la fonction publique et les autres) et cohérente avec la formation initiale est mise en place</t>
  </si>
  <si>
    <t>2331-Mise en place des standards de qualité pour la formation continue</t>
  </si>
  <si>
    <t>2332-Mise en place d'une Ingénierie de la formation continue</t>
  </si>
  <si>
    <t>2333-Redynamisation des centres de formation continue</t>
  </si>
  <si>
    <t>2334-Relance des journées d’animation pédagogiques</t>
  </si>
  <si>
    <t>2335-Suivi pédagogique par le directeur d’école et les Chef d’Unité Pédagogique</t>
  </si>
  <si>
    <t>2336-Evaluation régulière des compétences des enseignants et éducateurs sortant des établissements de formation initiale</t>
  </si>
  <si>
    <t>2337-Intégration des méthodes pédagogiques innovantes dans la formation initiale</t>
  </si>
  <si>
    <t>241- Un dispositif efficace d’encadrement est défini (organisation, rôles des différents acteurs)</t>
  </si>
  <si>
    <t>2411-Etat des lieux de l’encadrement (Forces et faiblesses)</t>
  </si>
  <si>
    <t>2412-Conception, élaboration et validation de nouveaux textes relatifs aux rôles et responsabilités des acteurs dans l'encadrement</t>
  </si>
  <si>
    <t>2413-Dissémination du manuel de procédures d’encadrement et expérimentation</t>
  </si>
  <si>
    <t>242- L’encadrement dispose des ressources humaines en nombre nécessaire et en profil pertinent</t>
  </si>
  <si>
    <t>2421-Définition d’un cadre organique (Poste, profil, nombre…)</t>
  </si>
  <si>
    <t>2422-Mise en place du cadre organique défini</t>
  </si>
  <si>
    <t>2423-Suivi régulier du respect du cadre organique</t>
  </si>
  <si>
    <t xml:space="preserve">243- Les acteurs de l’encadrement disposent des ressources matérielles nécessaires pour mener à bien leurs fonctions  </t>
  </si>
  <si>
    <t>2431-Identification et mise à disposition des ressources matérielles nécessaires pour chaque corps d’encadreurs</t>
  </si>
  <si>
    <t>2432-Renforcement de la gestion des écoles</t>
  </si>
  <si>
    <t>251- Les manuels et guides adaptés aux nouveaux curricula sont développés</t>
  </si>
  <si>
    <t>2511-Formation des groupes disciplinaires et rédaction des manuels et guides</t>
  </si>
  <si>
    <t>2512-Validation des contenus et impression des manuels</t>
  </si>
  <si>
    <t>252- Les  enseignants sont formés à l'utilisation des manuels et guides de l'enseignant</t>
  </si>
  <si>
    <t>2521-Sensibilisation et Formation des enseignants et éducateurs à l'utilisation des guides et manuels d'enseignants</t>
  </si>
  <si>
    <t>253- Les élèves du primaire et du secondaire disposent des manuels des matières fondamentales en quantité suffisante.</t>
  </si>
  <si>
    <t>2531-Distribution des manuels et guides</t>
  </si>
  <si>
    <t>2532-redynamiser les comités de gestion des manuels</t>
  </si>
  <si>
    <t>2533-Organisation des audits sur la gestion des manuels</t>
  </si>
  <si>
    <t>254- Les enseignants utilisent en classe les matériels didactiques et ludiques</t>
  </si>
  <si>
    <t>2541-Formation des personnes pour le développement des matériels didactiques et ludiques</t>
  </si>
  <si>
    <t>2542-Développement des matériels ludiques et didactiques et équipement des CEC</t>
  </si>
  <si>
    <t>2543-Validation du matériel didactique produit</t>
  </si>
  <si>
    <t>2544-Distribution du matériel validé</t>
  </si>
  <si>
    <t>255- les enseignants sont plus ou moins satisfaits de leur conditions de vie</t>
  </si>
  <si>
    <t>2551-Amélioration des conditions de vie des enseignants</t>
  </si>
  <si>
    <t>256- Les laboratoires et kits sont installés progressivement dans les établissements secondaires</t>
  </si>
  <si>
    <t>2561-création de conditions pratiques d'enseignement</t>
  </si>
  <si>
    <t>2562-Promotion de l’initiative de l’enseignement des mathématiques, des sciences au Secondaire</t>
  </si>
  <si>
    <t>2563-Promotion et développement des TICE dans les enseignements apprentissages</t>
  </si>
  <si>
    <t>257- Extension progressive de l'enseignement de l'anglais au secondaire(collège)</t>
  </si>
  <si>
    <t>2571-Recrutement de professeurs d'anglais en quantité suffisante</t>
  </si>
  <si>
    <t>258- Les activités extrascolaires sont diversifiées</t>
  </si>
  <si>
    <t>2581-Renforcement des activités artistiques, culturelles et sportives dans les écoles</t>
  </si>
  <si>
    <t xml:space="preserve">261- Les évaluations des acquis au primaire et secondaire sont régulières, exploitées et disséminées.  </t>
  </si>
  <si>
    <t>2611-Conception et la validation des outils de collecte de données</t>
  </si>
  <si>
    <t>2612-Evaluation standardisée des acquis des élèves (CP2, CE2 et CM2) : Mise à échelle "Collecte", analyse et la rédaction du rapport d’évaluation</t>
  </si>
  <si>
    <t>2613-Evaluation standardisée des acquis des élèves au secondaire : Mise échelle, analyse et la rédaction du rapport d’évaluation</t>
  </si>
  <si>
    <t>2614-Dissémination des résultats des évaluations à tous les niveaux (Régions, préfecture, DSEE et Ecoles)</t>
  </si>
  <si>
    <t>2615-Renforcement des capacités du service national d'évaluation</t>
  </si>
  <si>
    <t>2616-Renforcement des évaluations pilotes</t>
  </si>
  <si>
    <t>262- La fiabilité des examens nationaux est améliorée</t>
  </si>
  <si>
    <t>2621-Collecte des données des examens nationaux</t>
  </si>
  <si>
    <t>2622-Analyse et rédaction du rapport d'audit</t>
  </si>
  <si>
    <t>2623-Adaptation des textes organisants les examens nationaux</t>
  </si>
  <si>
    <t>263- Un document référentiel sur la production et l'utilisation des données des évaluations standardisées est mis en place</t>
  </si>
  <si>
    <t>2631-Rédaction du document de référence</t>
  </si>
  <si>
    <t>264- Les capacités des enseignants en méthodes d'évaluation sont renforcés</t>
  </si>
  <si>
    <t>2641-Formation des enseignants en conception d'items/épreuves et en notation (docimologie)</t>
  </si>
  <si>
    <t>271- Les résultats de la phase pilote sont capitalisés pour identifier les stratégies d’utilisation des langues nationales dans l’enseignement et l’apprentissageUne instance de pilotage de la réforme du bilinguisme est opérationnelle</t>
  </si>
  <si>
    <t>2711-Recomposition de l'instance de pilotage de la réforme du bilinguisme</t>
  </si>
  <si>
    <t>272- Des étude sont réalisées pour préparer la mise à l'échelle</t>
  </si>
  <si>
    <t>2721-Recrutement d'un cabinet spécialisée pour la conduite de l'étude</t>
  </si>
  <si>
    <t>2731-Mise en place d’une équipe nationale pour la conduite du processus</t>
  </si>
  <si>
    <t>273-Une expertise nationale en  langues nationales est disponible</t>
  </si>
  <si>
    <t>2741-Sensibilisation de tous les acteurs et partenaires</t>
  </si>
  <si>
    <t xml:space="preserve">274-Les acteurs et partenaires adhèrent à l’approche l’enseignement  et de l’apprentissage des langues nationales </t>
  </si>
  <si>
    <t>275- L’utilisation des langues nationales dans l’enseignement et l’apprentissage est effective</t>
  </si>
  <si>
    <t>2751-Les langues nationales sont généralisées progressivement dans les écoles</t>
  </si>
  <si>
    <t>311- Les besoins en compétence des secteurs prioritaires sont identifiés</t>
  </si>
  <si>
    <t>3111-Réalisation d’études d'identification impliquant tous les acteurs à tous les niveaux</t>
  </si>
  <si>
    <t>3112-Organisation de concertations avec tous les acteurs, en particulier avec les professionnels à tous les niveaux</t>
  </si>
  <si>
    <t>312- Un dispositif de veille sur les métiers, d’anticipation et d’identification des besoins du marché du travail est opérationnel</t>
  </si>
  <si>
    <t>3121-Définition des missions, du mode de fonctionnement du dispositif</t>
  </si>
  <si>
    <t>3122-Mise en place et opérationnalisation du dispositif de veille</t>
  </si>
  <si>
    <t>313- Un mécanisme de suivi de l’insertion est opérationnel</t>
  </si>
  <si>
    <t>3131-Conception et mise en place du mécanisme de suivi de l’insertion</t>
  </si>
  <si>
    <t>3132-Réalisation d’actions de suivi et d’analyse de l’insertion des diplômés de l’ETFP</t>
  </si>
  <si>
    <t>321- Un dispositif institutionnel de formation du personnel de formation et d’ingénierie de formation est mis en place</t>
  </si>
  <si>
    <t>3211-Définition des missions du dispositif institutionnel de l’ingénierie de formation</t>
  </si>
  <si>
    <t>3212-Opérationnalisation du dispositif</t>
  </si>
  <si>
    <t>322- Les TIC et l’économie verte sont prises en compte dans l’élaboration des programmes</t>
  </si>
  <si>
    <t>3221-Intégration des TIC et prise en compte de l’économie verte dans l’actualisation et l’élaboration des programmes</t>
  </si>
  <si>
    <t>323- Un cadre adéquat pour le développement de la formation en milieu du travail est mis en place</t>
  </si>
  <si>
    <t>3231-Définition d’un cadre de développement de l’apprentissage</t>
  </si>
  <si>
    <t>3232-Définition d’un cadre de développement de l’alternance</t>
  </si>
  <si>
    <t>3233-Mise en place d’un dispositif de validation des acquis de l’expérience</t>
  </si>
  <si>
    <t>331- L’accès aux dispositifs de l’ETFP est accrue en lien avec les besoins (quantitatifs et qualitatifs) de l’économie avec une priorité accordée aux filières porteuses dans les secteurs primaire et secondaire</t>
  </si>
  <si>
    <t>3311-Accroissement de la capacité d’accueil (infrastructures, équipements en tenant compte des besoins des apprenants porteurs de handicap et à besoins éducatifs speciaux ainsi que les catastrophes naturelles)</t>
  </si>
  <si>
    <t>3312-Dotation des établissements en personnel qualifié suffisant</t>
  </si>
  <si>
    <t>3313-Application de divers modes de formation (apprentissage, résidentiel, alternance, en situation de travail…)</t>
  </si>
  <si>
    <t>3314-Fournitures de matières d'œuvres</t>
  </si>
  <si>
    <t>332- L’équité dans l’accès est améliorée (genre, zones, régions, besoins spécifiques)</t>
  </si>
  <si>
    <t>3321-Définition et Mise en place de mécanismes favorisant l’équité</t>
  </si>
  <si>
    <t>333- Un dispositif d’appui à l’insertion socioprofessionnelle y compris l’entreprenariat est opérationnel</t>
  </si>
  <si>
    <t>3331-Consolidation des mécanismes d’appui à l’insertion</t>
  </si>
  <si>
    <t>3332-Opérationnalisation,(notamment allocation de ressources) des mécanismes d’appui à l’insertion</t>
  </si>
  <si>
    <t>3333-Suivi et encadrement des appuyés</t>
  </si>
  <si>
    <t>3334-Intégration de la dimension entrepreunariale dans le dispositif de formation</t>
  </si>
  <si>
    <t>341- L’allocation budgétaire de l’ETFP dans le budget de l’éducation est améliorée</t>
  </si>
  <si>
    <t>3411-Plaidoyer pour concrétiser la priorité accordée à l’ETFP</t>
  </si>
  <si>
    <t>3412-Adaptation des lignes budgétaire pour tenir compte des spécificités de l’ETFP</t>
  </si>
  <si>
    <t>342- Le reversement intégral du produit de la taxe de l’apprentissage au FNQP est effectif</t>
  </si>
  <si>
    <t>3421-Plaidoyer pour le reversement intégral du produit de la taxe de l’apprentissage au FNQP</t>
  </si>
  <si>
    <t>3422-Mise en place d’une stratégie de gestion de la taxe d’apprentissage</t>
  </si>
  <si>
    <t xml:space="preserve">3423-Opérationnalisation de la stratégie de gestion de la taxe
</t>
  </si>
  <si>
    <t>343- La contribution du milieu socioprofessionnel dans le partage du coût de formation est accrue</t>
  </si>
  <si>
    <t>3431-Elaboration d’un cadre parteunarial favorisant le partage de coût de la formation avec le milieu socioprofessionnel</t>
  </si>
  <si>
    <t>3432-Mise en place d’un cadre qui favorise les prestations de services par les institutions de l’ETFP</t>
  </si>
  <si>
    <t>3433-Elaboration et mise en œuvre d’une stratégie de communication et de sensibilisation du milieu socioprofessionnel</t>
  </si>
  <si>
    <t>352- la stratégie globale de formation continue est mise en œuvre</t>
  </si>
  <si>
    <t>3521-Elaboration d’une stratégie nationale de formation continue avec l'implication active des professionnels</t>
  </si>
  <si>
    <t>3522-Promotion de nouveaux mécanismes d'incitation à la formation continue</t>
  </si>
  <si>
    <t>3523-Opérationnalisation des nouveaux mécanismes de formation continue</t>
  </si>
  <si>
    <t>353- La prestation de service en formation continue est accrue dans les centres</t>
  </si>
  <si>
    <t>3531-Renforcement de capacités des centres en prestation de service en matière de formation continue</t>
  </si>
  <si>
    <t>3532-Mise en œuvre d'actions de formations continues dans les centres</t>
  </si>
  <si>
    <t>3611-Définition des cadres de concertation</t>
  </si>
  <si>
    <t xml:space="preserve">3612-Opérationnalisation des cadres
</t>
  </si>
  <si>
    <t>361-Des cadres formalisés de concertation entre les acteurs de la formation professionnelle publics, partenaires sociaux économiques, les collectivités territoriales, sont opérationnels</t>
  </si>
  <si>
    <t>362- L’autonomisation des institutions est accrue dans un cadre de redevabilité</t>
  </si>
  <si>
    <t>3621-Définition d’un modèle de fonctionnement des institutions de l’ETFP</t>
  </si>
  <si>
    <t xml:space="preserve">3622-Déploiement progressif du modèle de fonctionnement retenue
</t>
  </si>
  <si>
    <t>363- La concertation est améliorée au niveaux des autres établissements (établissements non impliqués dans l'expérimentation du nouveau modèle de gouvernance)</t>
  </si>
  <si>
    <t>3631-Renforcement du fonctionnement des conseils d'établissements</t>
  </si>
  <si>
    <t>3632-Elaboration et mise en œuvre des projets d'établissements</t>
  </si>
  <si>
    <t>364- La capacité de pilotage et de mise en œuvre, technique et financière, de l’ETFP est renforcée</t>
  </si>
  <si>
    <t xml:space="preserve">3641-Mise en place d’un Système articulé d’information et de gestion de l’ETFP capitalisant et consolidant les données à tous les niveaux
</t>
  </si>
  <si>
    <t xml:space="preserve">3642-Renforcement de la gestion des ressources humaines chargée de la gestion de l’ETFP
</t>
  </si>
  <si>
    <t xml:space="preserve">3643-Renforcement des moyens et outils de travail
</t>
  </si>
  <si>
    <t>3644-Adaptation et mise en cohérence des rôles et responsabilités des différentes structures concernées par l’ETFP</t>
  </si>
  <si>
    <t>3651-Configuration du dispositif de communication et d’orientation professionnelle</t>
  </si>
  <si>
    <t>3652-Mise en œuvre du dispositif de communication</t>
  </si>
  <si>
    <t>365-Le dispositif de communication et d’orientation professionnelle est opérationnel</t>
  </si>
  <si>
    <t>366- Un système d’assurance qualité est mis en place</t>
  </si>
  <si>
    <t>3661-Développement du système d’assurance qualité en cours de mise en œuvre</t>
  </si>
  <si>
    <t>3662-Extension de la mise en œuvre du système d’assurance qualité</t>
  </si>
  <si>
    <t>3663-Développement d’un Cadre National de Certification et de Qualification (CNCQ)</t>
  </si>
  <si>
    <t>3664-Application du CNCQ</t>
  </si>
  <si>
    <t>3665-Participation à la mise en place du cadre régional de certification</t>
  </si>
  <si>
    <t>367- Une loi cadre de l’ETFP est élaborée</t>
  </si>
  <si>
    <t xml:space="preserve">3671-élaboration de la loi cadre avec une approche participative
</t>
  </si>
  <si>
    <t xml:space="preserve">368- Le cadre juridique et règlementaire est adapté </t>
  </si>
  <si>
    <t>3681-Revue du cadre existant et adaptation au nouveau cadre</t>
  </si>
  <si>
    <t>369- Suivi et évaluation du programme reforme et expansion de l'ETFP est assuré</t>
  </si>
  <si>
    <t xml:space="preserve">3691-Mise en place d'un cadre de suivi-évaluation
</t>
  </si>
  <si>
    <t xml:space="preserve">411- Les textes sont produits/révisés, les manuels de procédure de gestion sont élaborés afin de mieux situer les rôles et les responsabilités. </t>
  </si>
  <si>
    <t>4110-Modernisation de l'administration</t>
  </si>
  <si>
    <t>4111-Production/révision des textes et de manuels de procédure</t>
  </si>
  <si>
    <t>412- Les ateliers de partage des documents sont tenus</t>
  </si>
  <si>
    <t>4121-Diffusion et partage des documents</t>
  </si>
  <si>
    <t>413- Un système d’information efficace et performant est mis en œuvre  afin de favoriser le reporting et la reddition des comptes</t>
  </si>
  <si>
    <t>4131-Diffusion des rapports financiers à l’interne et à l’externe</t>
  </si>
  <si>
    <t>4132-Introduction et généralisation de la GAR</t>
  </si>
  <si>
    <t>4133-Renforcement et modernisation de la production des données statistiques pour la gestion et le pilotage</t>
  </si>
  <si>
    <t>414- Les capacités des personnels administratifs et d’appui sont renforcées</t>
  </si>
  <si>
    <t>4141-Renforcement des capacités des personnels à tous les niveaux du système dans des domaines pertinents</t>
  </si>
  <si>
    <t>415- L’évolution quantitative de l’enseignement supérieur est maitrisée</t>
  </si>
  <si>
    <t>4151-Recensement biométrique des étudiants</t>
  </si>
  <si>
    <t>4152-Pérennisation de l’orientation en ligne des bacheliers, à travers la plateforme « GUPOL »</t>
  </si>
  <si>
    <t>4153-Introduction de la politique d’octroi des bourses sur critères</t>
  </si>
  <si>
    <t>416- Les organes de gouvernance sont fonctionnels</t>
  </si>
  <si>
    <t>4161-Organisation des Conseils/Comités</t>
  </si>
  <si>
    <t>4162-Mise en œuvre des textes de gouvernance</t>
  </si>
  <si>
    <t>417- L’autonomie des institutions est renforcée</t>
  </si>
  <si>
    <t>4171-Renforcement des capacités en matière de gestion administrative et financière</t>
  </si>
  <si>
    <t>418- La mobilisation de ressources financières est accrue</t>
  </si>
  <si>
    <t>4181-Développement de stratégies de coopération avec le secteur privé et à l’internationale pour mobiliser de ressources additionnelles</t>
  </si>
  <si>
    <t>419- L’efficacité dans l’utilisation des fonds alloués aux institutions est améliorée</t>
  </si>
  <si>
    <t>4191-Maîtrise de cycle de projets</t>
  </si>
  <si>
    <t>4192-Adoption de l'élaboration de projets d'établissements pluri-annuels</t>
  </si>
  <si>
    <t>421- La capacité d’accueil en infrastructures, équipements et en enseignants des institutions est accrue</t>
  </si>
  <si>
    <t>4211-Construction/rénovation et équipement de bâtiments administratifs, acquisition d'immobilisation et de matériels</t>
  </si>
  <si>
    <t>4212-Construction/rénovation et équipement d’infrastructures à usage pédagogique, de recherche et œuvres universitaires, avec rampe d'accès et tenant compte de la prévention des catastrophes naturelles</t>
  </si>
  <si>
    <t>4213-Recrutement de personnel enseignant en qualité suffisante</t>
  </si>
  <si>
    <t>422- Le nombre des effectifs orientés vers les filières techniques et scientifiques est considérablement augmenté</t>
  </si>
  <si>
    <t>4221-Renforcement de la formation binaire des enseignants du secondaire dans les sciences</t>
  </si>
  <si>
    <t>4222-Mise en place des mesures incitatives</t>
  </si>
  <si>
    <t>4223-Mise en place de classes préparatoires aux grandes écoles</t>
  </si>
  <si>
    <t>423- La professionnalisation des filières est effective</t>
  </si>
  <si>
    <t>4231-Révision et professionnalisation des programmes</t>
  </si>
  <si>
    <t>424- Le nombre de filles, d’étudiants (es) handicapés (es) et ceux/celles issus (es) des couches défavorisées fréquentant les différentes formations est significativement augmenté</t>
  </si>
  <si>
    <t>4241-Mise en place d’un fonds pour la valorisation du rôle des étudiantes dans le supérieur</t>
  </si>
  <si>
    <t>4242-Mise en place d’infrastructures et équipements adaptés</t>
  </si>
  <si>
    <t>4243-Instauration des mesures d’accompagnement</t>
  </si>
  <si>
    <t>431- Le fonctionnement de l'ANAQ est renforcée</t>
  </si>
  <si>
    <t>4311-Evaluation de la qualité de l’éducation et de la recherche dans les institutions d’enseignement supérieur et de recherche</t>
  </si>
  <si>
    <t>4312-Accréditation des programmes de formation et des institutions</t>
  </si>
  <si>
    <t>432- Les stages pour les étudiants sont renforcés et rendus obligatoires</t>
  </si>
  <si>
    <t>4321-Elaboration de plans de stages</t>
  </si>
  <si>
    <t>4322-Création des partenariats avec le secteur privé</t>
  </si>
  <si>
    <t>433- La proportion des diplômés du supérieur ayant des compétences requises notamment en STIM (sciences, en technologies, en ingénierie et en mathématiques) est nettement augmentée</t>
  </si>
  <si>
    <t>4331-Réforme des formations en ingénierie</t>
  </si>
  <si>
    <t>4332-Rénovation et équipement de laboratoires et CDI</t>
  </si>
  <si>
    <t>4333-Mise en œuvre du projet stratégique « 1000 PhD et 5000 Masters »</t>
  </si>
  <si>
    <t>4334-Augmentation des publications de travaux de recherche</t>
  </si>
  <si>
    <t>4335-Renforcement de l’encadrement des mémoires et thèses</t>
  </si>
  <si>
    <t>434- Les structures d’accompagnement et de suivi des diplômés sur le marché du travail sont fonctionnelles</t>
  </si>
  <si>
    <t>4341-Création de structures d’accompagnement des étudiants diplômés</t>
  </si>
  <si>
    <t>4342-Pérennisation du forum des étudiants de Guinée (FEG)</t>
  </si>
  <si>
    <t>4343-Création des incubateurs dans les institutions</t>
  </si>
  <si>
    <t>435- L’utilisation des TICE dans l’enseignement supérieur et la recherche scientifique est améliorée</t>
  </si>
  <si>
    <t>4351-Amélioration de la connectivité à internet (infrastructures de réseaux et bande passante) dans toutes les institutions</t>
  </si>
  <si>
    <t>4352-Renforcement des capacités des ressources humaines nécessaire pour prendre en charge l’utilisation des TICE</t>
  </si>
  <si>
    <t>4353-Renforcement de l’usage pédagogique des applications informatiques et de l’Internet (formation à distance, espaces numériques, télé-enseignement)</t>
  </si>
  <si>
    <t>436- Une politique nationale de la recherche scientifique et de l’innovation est adoptée</t>
  </si>
  <si>
    <t>4361-Elaboration et adoption de la politique nationale de la recherche et de l’innovation technologique </t>
  </si>
  <si>
    <t>437- Des financements adéquats sont alloués au programme de recherche scientifique et de l’innovation</t>
  </si>
  <si>
    <t>4371-Création d’un fonds de recherche et d’innovation technologique en partenariat avec le secteur privé</t>
  </si>
  <si>
    <t>438- Le niveau de productions scientifiques en quantité et qualité est amélioré et les résultats de la recherche scientifique et de l’innovation sont mieux capitalisés et valorisés</t>
  </si>
  <si>
    <t>4381-Création de l’académie des sciences de Guinée</t>
  </si>
  <si>
    <t>4382-Organisation des journées scientifiques dans les institutions</t>
  </si>
  <si>
    <t>4383-Renforcement des capacités du personnel</t>
  </si>
  <si>
    <t>4384-Renforcement des moyens mis à la disposition des instituts de recherche</t>
  </si>
  <si>
    <t>441- L’attractivité du métier d’enseignant-chercheur est relevée</t>
  </si>
  <si>
    <t>4411-Augmentation des primes allouées aux grades académiques</t>
  </si>
  <si>
    <t>5111-Élaboration et validation des textes et des manuels de procédures</t>
  </si>
  <si>
    <t>5112-Formation des acteurs de mise en œuvre des textes et des manuels de procédures</t>
  </si>
  <si>
    <t>5113-Suivi de la mise en œuvre des textes et manuels de procédures</t>
  </si>
  <si>
    <t>511-Les acteurs se sont appropriés les textes règlementaires et les manuels de procédure définissant la gestion des flux</t>
  </si>
  <si>
    <t>5121-Evaluation des compétences des conseillers à l’orientation</t>
  </si>
  <si>
    <t>512-Les acteurs concernés (conseillers et enseignants, parents et communautés) contribuent au respect des normes d'orientation</t>
  </si>
  <si>
    <t>513- Le logiciel d'immatriculation et de suivi des élèves est amélioré et utilisé</t>
  </si>
  <si>
    <t>5131-Amélioration du logiciel d'immatriculation et de suivi des élèves</t>
  </si>
  <si>
    <t>5132-Sensibilisation des élèves, des parents et de la communauté sur l'importance de l’ETFP</t>
  </si>
  <si>
    <t>5211-Production de manuels de procédures pour les différents acteurs (rôles et responsabilités)</t>
  </si>
  <si>
    <t>521-Les rôles et responsabilités des acteurs sont clairement définis</t>
  </si>
  <si>
    <t>5221-Renforcement des compétences des structures aux différents niveaux sur la programmation, planification et l’exécution budgétaire (formation, outils, guide, suivi régulier…)</t>
  </si>
  <si>
    <t>5222-Renforcement des rôles des structures déconcentrées dans la préparation du budget de l’état pour l’éducation</t>
  </si>
  <si>
    <t>5223-Suivi régulier de l’application des textes et procédures d’exécution budgétaire</t>
  </si>
  <si>
    <t>522-Les acteurs ont les compétences et les ressources nécessaires pour exercer leurs missions</t>
  </si>
  <si>
    <t>531- La production des données permet d’offrir aux différents acteurs et utilisateurs à tous les niveaux l’information dont ils ont besoin</t>
  </si>
  <si>
    <t>5311-Organisation de la collecte classique</t>
  </si>
  <si>
    <t>5312-Mise à l’échelle de la numérisation de la collecte de données</t>
  </si>
  <si>
    <t>5313-Promotion de l’utilisation des données par les acteurs y compris les bénéficiaires concernés (dépliants, réunions d’échange, …)</t>
  </si>
  <si>
    <t>532- Le Système d'Informations et de Gestion de l'Education est intégré et est utilisé pour la prise de décision</t>
  </si>
  <si>
    <t>5321-Intégration des Systèmes d'Informations et de Gestion de l'Education</t>
  </si>
  <si>
    <t>5322-Mise en place et actualisation d’un site web pour chaque Département ministériel</t>
  </si>
  <si>
    <t>5323-Renforcement des capacités des structures du secteur de l’éducation aux techniques de production des données, à l’exploitation des bases de données ; et aux techniques d’élaboration d’un rapport d’analyse</t>
  </si>
  <si>
    <t>533- Le développement de la carte scolaire permet une meilleure planification et gestion du réseau des écoles, établissements/institutions  et de réduire les disparités</t>
  </si>
  <si>
    <t>5331-Géoréférencement des écoles, établissements, et institutions, et des localités sans école</t>
  </si>
  <si>
    <t>5332-Identification des sites de construction scolaire</t>
  </si>
  <si>
    <t>534- Les données sont utilisées pour un meilleur pilotage du système/ les activités sont planifiées sur la base d’indicateurs de performance</t>
  </si>
  <si>
    <t>5341-Appui aux sessions de pilotage et suivi de la mise en œuvre des recommandations</t>
  </si>
  <si>
    <t>541- Les BSD ont les compétences nécessaires à la conception, l’élaboration, le suivi et l’évaluation des projets et plans de dévéloppement</t>
  </si>
  <si>
    <t>5411-Analyse du fonctionnement et des résultats des BSD dans ce domaine</t>
  </si>
  <si>
    <t>5412-Renforcement des capacités des BSD</t>
  </si>
  <si>
    <t>542- Les BSD ont la compétence d’élaborer, de suivre et d’évaluer les plans de développement</t>
  </si>
  <si>
    <t>5421-Analyse situationnelle</t>
  </si>
  <si>
    <t>5422-Planification</t>
  </si>
  <si>
    <t>5423-Suivi et évaluation</t>
  </si>
  <si>
    <t>551- Assainissement et harmonisation des bases de données sur les personnels</t>
  </si>
  <si>
    <t>5511-Développement d'un dispositif cohérent d'assainissement et d'harmonisation des bases de données existantes (Analyse des bases de données existantes et leur harmonisation MENA)</t>
  </si>
  <si>
    <t>5512-Conception d'un système intégré d'information</t>
  </si>
  <si>
    <t>5513-Formation des gestionnaires et utilisateurs des bases à leur exploitation</t>
  </si>
  <si>
    <t xml:space="preserve">552- La politique nationale de la question enseignante est définie, validée et progressivement mise en œuvre </t>
  </si>
  <si>
    <t>5521-Elaboration d'un état des lieux de la gestion des enseigants du primaire</t>
  </si>
  <si>
    <t>5522-Développement et validation de la politique nationale des enseigants</t>
  </si>
  <si>
    <t>5523-Mettre en place les conditions nécessaires pour rendre attractive le métier d'enseignant</t>
  </si>
  <si>
    <t>553- Les procédures et critères de recrutement sont définis et respectés</t>
  </si>
  <si>
    <t>5531-Développement de procédures et critères de recrutement par poste</t>
  </si>
  <si>
    <t>5532-Sensibilisation des acteurs et partenaires sur les procédures et critères de recrutement par poste</t>
  </si>
  <si>
    <t>5533-Publication régulière d’informations sur le profil des recrutés et le respect des procédures</t>
  </si>
  <si>
    <t>554- Les critères d’affectation sont clairement définis et respectés</t>
  </si>
  <si>
    <t>5541-Développement de procédures et critères d’affectation par poste</t>
  </si>
  <si>
    <t>5542-Sensibilisation des acteurs et partenaires sur les procédures et critères d’affectation par poste</t>
  </si>
  <si>
    <t>5543-Publication régulière d’informations sur les affectations/mutations et le respect des procédures</t>
  </si>
  <si>
    <t>5544-Missions de contrôle du respect des critères et procédures d’affectation</t>
  </si>
  <si>
    <t>555- Un plan de carrière motivant est validé et utilisé dans le cadre de la gestion des carrières</t>
  </si>
  <si>
    <t>5551-Développement et validation du plan de carrière en collaboration avec le Ministère de la Fonction Publique et les partenaires sociaux</t>
  </si>
  <si>
    <t>5552-Sensibilisation et vulgarisation du plan de carrière auprès de tous les acteurs et partenaires concernés</t>
  </si>
  <si>
    <t>5553-Utilisation de la base de données pour le suivi de la mise en œuvre du plan de carrière</t>
  </si>
  <si>
    <t>5554-Poursuite de la mise en œuvre du systéme de contrôle de présence des enseignants et amélioration par l'usage du telèphone portable (en lien avec le numéro vert de la DPE)</t>
  </si>
  <si>
    <t>5611-Sessions de sensibilisation sur l’importance de l’éducation comme investissement auprès de différents publics (parlementaires, médias, communes, …)</t>
  </si>
  <si>
    <t>5612-Développement de stratégies allant dans le sens de la mobilisation des financements innovants auprès des acteurs économiques</t>
  </si>
  <si>
    <t>5613-Préparation des documents de plaidoyer auprès des hauts décideurs pour l’accroissement de la part du secteur de l’éducation dans le budget de l’état</t>
  </si>
  <si>
    <t>561-Le financement du secteur est en adéquation avec les objectifs</t>
  </si>
  <si>
    <t>562- Les structures bénéficiaires reçoivent à temps les budgets nécessaires pour la mise en œuvre de leurs activités</t>
  </si>
  <si>
    <t>5621-Publication des allocations budgétaires</t>
  </si>
  <si>
    <t>5622-Mise en œuvre de mécanismes de suivi des budgets jusqu’à l’école/établissement/institution</t>
  </si>
  <si>
    <t>5623-Publication des résultats des mécanismes de suivi</t>
  </si>
  <si>
    <t>563- Une plus grande transparence sur l’utilisation des ressources financières permet une utilisation, conforme aux objectifs de la programmation</t>
  </si>
  <si>
    <t>5631-Publication des allocations budgétaires</t>
  </si>
  <si>
    <t>5632-Publication des rapports d’exécution budgétaire</t>
  </si>
  <si>
    <t>5633-Renforcement des contrôles et audits</t>
  </si>
  <si>
    <t>5634-Renforcement de la traçabilité des dépenses d'éducation (dépenses publiques)</t>
  </si>
  <si>
    <t>571- Des organes de pilotage et de coordination interministérielles existent et fonctionnent éfficacement</t>
  </si>
  <si>
    <t>5711-Analyse du fonctionnement des structures de coordination et de pilotage existantes et recommandations pour l’amélioration de la coordination et de pilotage</t>
  </si>
  <si>
    <t>5712-Mise en œuvre des recommandations</t>
  </si>
  <si>
    <t>5713-Appui au fonctionnement des structures de coordination et de pilotage</t>
  </si>
  <si>
    <t>5714-Partage des rapports et des recommandations des structures de coordination et pilotage avec les acteurs concernés</t>
  </si>
  <si>
    <t>572- Des organes de pilotage et de coordination du ProDEG sont mis en place et sont fonctionnels</t>
  </si>
  <si>
    <t>5721-Mise en place des instances de pilotage et de coordination</t>
  </si>
  <si>
    <t>5722-Opérationnalisation des instances de pilotage et de coordination</t>
  </si>
  <si>
    <t>5723-Préparation de la mise en œuvre du ProDEG et suivi évaluation</t>
  </si>
  <si>
    <t>5724-Les unités de gestion des projets d'appui à la mise en eouvre du développemet du seteur sont fonctionnelles</t>
  </si>
  <si>
    <t xml:space="preserve">581- Les cadres organiques des différentes structures sont redéfinis pour que leur efficacité s’améliore </t>
  </si>
  <si>
    <t>5811-Évaluation des forces et faiblesses des cadres organiques à tous les niveaux</t>
  </si>
  <si>
    <t>5812-Développement des cadres organiques adaptés (mission, attributions, organisation, nombre et profil de postes…)</t>
  </si>
  <si>
    <t>5813-Dissémination des cadres organiques et sensibilisation des acteurs concernés</t>
  </si>
  <si>
    <t>5814-Collecte et analyse périodique d’informations sur le respect des cadres organiques</t>
  </si>
  <si>
    <t>582- Le plan de relève permet l’existence continue d’un corps administratif compétent</t>
  </si>
  <si>
    <t>5821-Création d’un corps d’administrateurs scolaires et d’un corps d’inspecteurs</t>
  </si>
  <si>
    <t>5822-Organisations de formations régulières pour l’entrée dans les corps des administrateurs scolaires et des inspecteurs</t>
  </si>
  <si>
    <t>5823-Renforcement des compétences des administrateurs scolaires et inspecteurs (formations continues ; manuels de procédures; guides ; appui)</t>
  </si>
  <si>
    <t>5824-Développement régulier de plans de formation pour le personnel des différentes structures administratives</t>
  </si>
  <si>
    <t>5825-Mise en œuvre des plans de formation</t>
  </si>
  <si>
    <t>583- Chaque structure dispose des moyens logistiques nécessaires à l’accomplissement de sa mission</t>
  </si>
  <si>
    <t>5831-Evaluation de l'état des lieux et dotation des services en moyens logistiques et équipements</t>
  </si>
  <si>
    <t>5841-Évaluation périodique de la performance des structures et institutions dans la mise en œuvre des activités</t>
  </si>
  <si>
    <t>5842-Exploitation des résultats des rapports de performance</t>
  </si>
  <si>
    <t>584-Les résultats des évaluations régulières des structures centrales et déconcentrées permettent d’améliorer leur performance</t>
  </si>
  <si>
    <t xml:space="preserve">585-  L’ensemble des acteurs de l’administration éducative sont conscients des vulnérabilités qui menacent la mise œuvre du ProDEG et savent comment y répondre </t>
  </si>
  <si>
    <t>5851-Elaboration d’une stratégie nationale de prévention et de gestion des risques et des catastrophes naturelles</t>
  </si>
  <si>
    <t>5852-Sensibilisation des acteurs</t>
  </si>
  <si>
    <t>5853-Mise en place de mécanismes de la stratégie de prévention et de gestion des risques</t>
  </si>
  <si>
    <t>611- les acteurs et les PTF concernés sont mobilisés en faveur de l’AEA.</t>
  </si>
  <si>
    <t>6111-Sensibilisation et plaidoyer en faveur de l'AEA</t>
  </si>
  <si>
    <t>6112-Augmentation des budgets alloués à l'AEA</t>
  </si>
  <si>
    <t>6113-Développement de partenariats en faveur des activités d'AEA</t>
  </si>
  <si>
    <t>6114-Mise en place d'un dispositif de financement de l'alphabétisation</t>
  </si>
  <si>
    <t xml:space="preserve">612- Une synergie d’actions existe entre les différents départements intervenant en AEA </t>
  </si>
  <si>
    <t>6121-Développement et mise en place d'un cadre de concertation</t>
  </si>
  <si>
    <t>6122-Renforcement des capacités de plaidoyer et de suivi des structures en charge de l'AEA</t>
  </si>
  <si>
    <t>6211-Renforcement des capacités des acteurs sur les nouvelles approches</t>
  </si>
  <si>
    <t>6212-Mise en œuvre et suivi évaluation de l'apprentissage</t>
  </si>
  <si>
    <t>621-Plusieurs approches et modèles sont identifiées, validées et développées dans l’AEA</t>
  </si>
  <si>
    <t>631- Les curricula sont adaptés et maitrisés par les opérateurs et les formateurs</t>
  </si>
  <si>
    <t>6311-Révision et d'adaptation des curricula de l'AEA</t>
  </si>
  <si>
    <t>6312-Formation sur les nouveaux curricula</t>
  </si>
  <si>
    <t>632- Les bonnes pratiques d’AENF sont identifiées, améliorées et partagées</t>
  </si>
  <si>
    <t>6321-Mise en place d'un dispositif d'identification des innovations</t>
  </si>
  <si>
    <t>633- Des modules de formation en andragogie sont intégrés dans les cursus de la formation initiale des enseignants</t>
  </si>
  <si>
    <t>6331-Développement de modules de formations</t>
  </si>
  <si>
    <t>6332-Implantation des modules de formation sur l'AENF</t>
  </si>
  <si>
    <t>634- Un dispositif d’accréditation des différents niveaux et de certification en AENF est mis en place.</t>
  </si>
  <si>
    <t>6341-Définition du dispositif de certification</t>
  </si>
  <si>
    <t>6342-Certification des apprenants</t>
  </si>
  <si>
    <t>635- Les compétences linguistiques, pédagogiques et andragogiques des moniteurs, des éducateurs, des animateurs et autres sont renforcées.</t>
  </si>
  <si>
    <t>6351-Élaboration du matériel et du dispositif de formation</t>
  </si>
  <si>
    <t>6352-Mise en place du dispositif et organisation régulière des formations</t>
  </si>
  <si>
    <t>6362-Production de livrets et de guides</t>
  </si>
  <si>
    <t>6363-Financement des activités d'AENF pour les operateurs</t>
  </si>
  <si>
    <t>636-Identification de l'ensemble des opérateurs de l'AEA</t>
  </si>
  <si>
    <t>6371-Acquisition et distribution de matériel didactique</t>
  </si>
  <si>
    <t xml:space="preserve">637-Le matériel didactique approprié est disponible en quantité suffisante </t>
  </si>
  <si>
    <t xml:space="preserve">638- Le suivi évaluation des activités d'AEA est amélioré et systématisé au niveau central et déconcentré </t>
  </si>
  <si>
    <t>6381-Renforcement des capacités en suivi, évaluation et contrôle au niveau central et local</t>
  </si>
  <si>
    <t>6382-Renforcement des capacités des cadres et agents d'encadrement</t>
  </si>
  <si>
    <t>6383-Organisation annuelle de la journée internationale de l'alphabétisation</t>
  </si>
  <si>
    <t>6411-Promouvoir la production endogène des ouvrages, journaux, etc écrits en langues nationales</t>
  </si>
  <si>
    <t>6412-Développement d'actions de plaidoyer pour la production d'enseignes et d'écriteaux en langues nationales</t>
  </si>
  <si>
    <t>6413-Redynamisation des bibliothèques villageoise</t>
  </si>
  <si>
    <t xml:space="preserve">641-Promotion du développement de la production écrite en langues nationales </t>
  </si>
  <si>
    <t>642- Les activités génératrices de revenus sont encouragées et soutenues (autour des structures d'alphabétisation)</t>
  </si>
  <si>
    <t>6421-Promotion de l'organisation des alphabétisés et des alphabétiseurs en Groupement de métier</t>
  </si>
  <si>
    <t>6422-Développement de modules de formation en matière de gestion financière, organisation paysanne et communication et formation des membres des groupements</t>
  </si>
  <si>
    <t xml:space="preserve">643- Les activités de post alphabétisation sont soutenues </t>
  </si>
  <si>
    <t>6431-Organisation systématique de formation en post alphabétisation pour les néoalphabétisés</t>
  </si>
  <si>
    <t xml:space="preserve">Programmes </t>
  </si>
  <si>
    <t>Programmes prioritaires</t>
  </si>
  <si>
    <t>Sous programmes prioritaires</t>
  </si>
  <si>
    <t>Stratégies par Ministère</t>
  </si>
  <si>
    <t>Financement Stratégie par Ministère en million de GNF</t>
  </si>
  <si>
    <t>Financement par Ministère en million de GNF</t>
  </si>
  <si>
    <t xml:space="preserve">Services </t>
  </si>
  <si>
    <t>Responsables</t>
  </si>
  <si>
    <t xml:space="preserve"> Mise en œuvre </t>
  </si>
  <si>
    <t>Source de financement</t>
  </si>
  <si>
    <t>Code1</t>
  </si>
  <si>
    <t>Nature de la dépense</t>
  </si>
  <si>
    <t>Code2</t>
  </si>
  <si>
    <t>CU en FG</t>
  </si>
  <si>
    <t>1
ETFP-ET</t>
  </si>
  <si>
    <t>2
MENA(DAF, SNIES, etc.)</t>
  </si>
  <si>
    <t>3
MESRS</t>
  </si>
  <si>
    <t>4
(autres: MSFE, FOCEB,…)</t>
  </si>
  <si>
    <t>CU Moyen en millions de FG</t>
  </si>
  <si>
    <t>CU moyen en dollars Etas Unis</t>
  </si>
  <si>
    <t>xx</t>
  </si>
  <si>
    <t>Formation, atelier, rencontre et concertation</t>
  </si>
  <si>
    <t>coût moyen d'un homme jour d'atelier de formation national</t>
  </si>
  <si>
    <t>3. Formation</t>
  </si>
  <si>
    <t>coût moyen d'un homme jour d'atelier de formation en région</t>
  </si>
  <si>
    <t>coût moyen d'une session de formation continue par enseignant</t>
  </si>
  <si>
    <t>coût moyen d'un homme jour d'atelier de formation en préfecture</t>
  </si>
  <si>
    <t>coût moyen d'un homme jour atelier de production ou de travaux commission</t>
  </si>
  <si>
    <t>coût moyen d'un homme jour atelier d'information et de partage</t>
  </si>
  <si>
    <t>coût moyen d'un homme jour de mission</t>
  </si>
  <si>
    <t>coût moyen d'un an de formation par personne à l'étranger (dans le cadre d'accord de partenariat: prise en charge des frais de transports)</t>
  </si>
  <si>
    <t>coût moyen d'un an de formation par personne à l'étranger (billet+ bourse d'études+frais d'inscription)</t>
  </si>
  <si>
    <t xml:space="preserve">coût moyen d'un homme par voyage d'études (en moyenne 5 jours/voyage) </t>
  </si>
  <si>
    <t>Acquisition d'une mallette pédagogique</t>
  </si>
  <si>
    <t>Coût moyen unitaire de l'alphabétisation d'un adulte par le mode faire faire</t>
  </si>
  <si>
    <t>CU/apprenant</t>
  </si>
  <si>
    <t>Coût unitaire d'une formation courte à l'étranger</t>
  </si>
  <si>
    <t>Coût unitaire de la formation d'un formateur à l'étranger (pendant un an)</t>
  </si>
  <si>
    <t>Coût moyen d'un homme jour de déplacement d'un agent de santé</t>
  </si>
  <si>
    <t>Coût de l'élaboration de la politique holistique de la profession enseignante</t>
  </si>
  <si>
    <t>Cout moyen de l'accréditation d'un programme par l'ANAC (sur la base des coûts constatés)</t>
  </si>
  <si>
    <t>Communication et information</t>
  </si>
  <si>
    <t>coût moyen de la diffusion d'un programme de sensibilisation à la telè et à la radio niveau national (table ronde, débat)</t>
  </si>
  <si>
    <t xml:space="preserve">coût moyen de la diffusion d'un message de sensibilisation au niveau local dans les médis locaux </t>
  </si>
  <si>
    <t>Coût moyen d'une campagne nationale de sensibilisation</t>
  </si>
  <si>
    <t>Forfait pour la mise en œuvre d'actions de communication pour l'ETFP</t>
  </si>
  <si>
    <t>Dotation annuelle pour l'acquisition et la distribution des Kits à l'intention des DSEE pour la sensibilisation des communautés sur la préscolarisation des enfants (affiches, boites à image, etc.)</t>
  </si>
  <si>
    <t>coût moyen de l'Impression de textes juridiques, administratifs ou de gestion (en moyenne 15 pages)</t>
  </si>
  <si>
    <t xml:space="preserve">coût moyen de l'Impression d'un annuaire statistique et dépliants  </t>
  </si>
  <si>
    <t>Coût moyen annuel de l'hébergement d'un site web</t>
  </si>
  <si>
    <t>Coût moyen annuel d'une connexion internet pour le MESRS</t>
  </si>
  <si>
    <t>abon/an/MESRS</t>
  </si>
  <si>
    <t>Coût moyen annuel d'une connexion internet pour le BSD</t>
  </si>
  <si>
    <t>Cout moyen abonnement annuel service internet</t>
  </si>
  <si>
    <t>Internet</t>
  </si>
  <si>
    <t>Cout moyen d'un chargeur solaire</t>
  </si>
  <si>
    <t>Cout moyen d'une clé 3G</t>
  </si>
  <si>
    <t>Cout moyen d'un teléphone et d'une puce</t>
  </si>
  <si>
    <t>Mobilier et équipement</t>
  </si>
  <si>
    <t>5. Investissement</t>
  </si>
  <si>
    <t>Coût moyen de l'alimentation d'une administration par l'energie solaire (installation complète)</t>
  </si>
  <si>
    <t>coût moyen de l'équipement d'une classe de CEC</t>
  </si>
  <si>
    <t>coût moyen de l'équipement d'une salle de classe de préscolaire public</t>
  </si>
  <si>
    <t>coût moyen de l'équipement d'une salle de classe de primaire</t>
  </si>
  <si>
    <t>coût moyen de l'équipement d'une salle de classe de collège</t>
  </si>
  <si>
    <t>coût moyen de l'équipement d'une salle de classe de  lycée</t>
  </si>
  <si>
    <t>Coût moyen de l'équipement d'une infirmerie enseignement général</t>
  </si>
  <si>
    <t>Coût moyen de l'équipement complémentaire d'une salle informatique (1 vidéo projecteur, 1 tablette, 1 tableau de projection)</t>
  </si>
  <si>
    <t>EQ/sal/inf</t>
  </si>
  <si>
    <t>dotation moyenne en mobilier par centre NAFA  (20 tables banc par classe, 1 placard de rangement, 2 chaises et un bureau par classe)</t>
  </si>
  <si>
    <t>dotation moyenne en équipement par centre NAFA</t>
  </si>
  <si>
    <t>coût moyen du réaménagement et de l'équipement en mobilier d'une bibliothéque villageoise</t>
  </si>
  <si>
    <t>Coût moyen d'un ordinateur portable</t>
  </si>
  <si>
    <t>Coût moyen d'un poste de travail (Ordinateur, souris,Onduleur, imprimante, office et antivirus)</t>
  </si>
  <si>
    <t>Coût moyen d'un Ordinateur de bureau + office et antivirus</t>
  </si>
  <si>
    <t>Coût moyen de l'acquisition d'un logiciel</t>
  </si>
  <si>
    <t>Coût moyen de l'acquisition d'un serveur</t>
  </si>
  <si>
    <t>Coût moyen de l'acquisition d'une tablette</t>
  </si>
  <si>
    <t>Coût moyen de l'acquisition d'un disque dur externe</t>
  </si>
  <si>
    <t>disque dur externe</t>
  </si>
  <si>
    <t>Coût moyen d'un photocopieur</t>
  </si>
  <si>
    <t>photocopieur</t>
  </si>
  <si>
    <t>Coût moyen d'un vidéo projecteur</t>
  </si>
  <si>
    <t>Coût moyen d'un complément d'équipements pour les centres informatique des établissements pilotes</t>
  </si>
  <si>
    <t>Coût moyen de l'équipement des CFP  (y compris l'équipement des ateliers)</t>
  </si>
  <si>
    <t xml:space="preserve">Coût moyen de l'équipement d'une ENI </t>
  </si>
  <si>
    <t>equip/ENI</t>
  </si>
  <si>
    <t>Coût moyen de l'équipement d'une ERAM  (y compris l'équipement des ateliers)</t>
  </si>
  <si>
    <t>Coût d'une dotation en équipement de l'ENPETP</t>
  </si>
  <si>
    <t>Enveloppe pour l'équipement de l'ENAM, de l'ENPET, de CEPERTAM, des CFP et ENAE de Matoto, Cepertam, Beyla, Fria, Boké, Koba, Tolo, et du CAFPPS Macenta</t>
  </si>
  <si>
    <t xml:space="preserve">Coût moyen d'une dotation en matériel informatique </t>
  </si>
  <si>
    <t xml:space="preserve">Coût moyen d'une dotation en matériel informatique d'une ENI </t>
  </si>
  <si>
    <t xml:space="preserve">Coût moyen d'une dotation en matériel informatique d'une ENAE </t>
  </si>
  <si>
    <t xml:space="preserve">Coût moyen forfaitaire de l'équipement d'une salle de formation des formateurs à l'ISSEG (matériel informatique, projection, logiciels et divers) </t>
  </si>
  <si>
    <t>Coût moyen d'équipement d'un atelier/filière d'un CFP/ERAM</t>
  </si>
  <si>
    <t>EQ/a/CFP</t>
  </si>
  <si>
    <t>Coût moyen de la rénovation et del'équipement des ateliers des CFP Donka, Ratoma, CENFOTH</t>
  </si>
  <si>
    <t>Dotation moyenne en équipement par CAFPS</t>
  </si>
  <si>
    <t>Dotation en mobilier et équipement par inspection ETFP</t>
  </si>
  <si>
    <t>Enveloppe destinée par l'UNICEF au renforcement des capacités des structures d'encadrement</t>
  </si>
  <si>
    <t>Enveloppe destinée à l'acquisition de bus pour le transport des étudiants</t>
  </si>
  <si>
    <t>Cout moyen de l'acquisition de matériel pour collecte des données biométrique</t>
  </si>
  <si>
    <t>Cout moyen de l'équipement d'une salle de réunion (tables, fauteils, chaises, vidéoprojecteur, etc.)</t>
  </si>
  <si>
    <t>Cout moyen de l'équipement d'un bureau (table+fauteil, chaises visiteurs, meuble de rangement, etc.)</t>
  </si>
  <si>
    <t>constructions bâtiments scolaires et administratifs</t>
  </si>
  <si>
    <t>coût moyen de la construction d'une salle de classe de préscolaire avec aire de jeux</t>
  </si>
  <si>
    <t>coût moyen de la construction d'une sdc d'un CEC</t>
  </si>
  <si>
    <t>coût moyen de la construction d'une SDC du primaire</t>
  </si>
  <si>
    <t>coût moyen de la construction d'une SDC du collège</t>
  </si>
  <si>
    <t>coût moyen paramétrique de la construction et de l'équipement d'une SDC du lycée (y compris administration, labo, latrines points d'eau)</t>
  </si>
  <si>
    <t>coût moyen de la construction d'une infirmerie dans un établissement scolaire</t>
  </si>
  <si>
    <t>cons/infirmerie</t>
  </si>
  <si>
    <t>coût moyen de la construction d'une bibliothéque villageoise</t>
  </si>
  <si>
    <t>coût moyen de la construction de 126 classes au primaire, de 86 latrines, de 9 latrines spéciales et l'équipement (74% de l'enveloppe)</t>
  </si>
  <si>
    <t>coût moyen de la construction de 63 classes au collége, de 36 latrines, de 3 latrines spéciales et l'équipement (74% de l'enveloppe)</t>
  </si>
  <si>
    <t>Coût moyen de la construction d'un CFP</t>
  </si>
  <si>
    <t>const/cfp</t>
  </si>
  <si>
    <t>Coût moyen de la construction d'un CFPP</t>
  </si>
  <si>
    <t>const/cfpp</t>
  </si>
  <si>
    <t>Coût moyen de la construction d'un ERAM</t>
  </si>
  <si>
    <t>const/eram</t>
  </si>
  <si>
    <t>Coût moyen de la construction d'une ENI</t>
  </si>
  <si>
    <t>Coût moyen de la constrution d'un atelier pour les filières techniques</t>
  </si>
  <si>
    <t>Cons/atelier</t>
  </si>
  <si>
    <t>coût moyen de la construction et de l'équipement d'un centre NAFA</t>
  </si>
  <si>
    <t>coût moyen de la construction d'une rampe d'accés pour un bloc de classe</t>
  </si>
  <si>
    <t>Coût moyen de la construction d'une latrine à 2 portes adaptée aux besoins des enfants vivants avec handicap</t>
  </si>
  <si>
    <t xml:space="preserve">Coût moyen de la construction d'une latrine (2 blocs à 5 cabines, 1 à 2 portes et un à 3 dont une réservé aux enseignants) </t>
  </si>
  <si>
    <t xml:space="preserve">Coût moyen des travaux de mise en place d'un point d'eau </t>
  </si>
  <si>
    <t>Coût moyen de la construction et l'équipement d'un amphithéatre</t>
  </si>
  <si>
    <t>Coût estimé de la construction de l'UJN/Kankan</t>
  </si>
  <si>
    <t>Contruction et equipement de batiments de ISFAD</t>
  </si>
  <si>
    <t>ISFAD</t>
  </si>
  <si>
    <t>Coût estimé de la construction et de la réhabilitation de centre de recherche</t>
  </si>
  <si>
    <t>CDR</t>
  </si>
  <si>
    <t>Coût estimé de la contruction de batiments administratifs (MESRS)</t>
  </si>
  <si>
    <t>Coût travaux d’extension ENSAC</t>
  </si>
  <si>
    <t>Aire de jeux pour une sdc du primaire et du préscolaire</t>
  </si>
  <si>
    <t>airdejeux</t>
  </si>
  <si>
    <t>Construction d'une inspection régionale de l'ETFP</t>
  </si>
  <si>
    <t>Construction de CAFPPS (Centre d'apprentissage et de formation post primaire)</t>
  </si>
  <si>
    <t>Construction de la clôture  de l’ENI de Mamou</t>
  </si>
  <si>
    <t>Enveloppe pour la rénovation et l'extension des infrastructures de l'ENAM, de l'ENPET, de CEPERTAM, des CFP et ENAE de Matoto, Cepertam, Beyla, Fria, Boké, Koba, Tolo, et du CAFPPS Macenta</t>
  </si>
  <si>
    <t>Coût moyen de la construction et de l'équipement d'un lycée technique</t>
  </si>
  <si>
    <t>Coût moyen de la réhabilitation d'un CEC</t>
  </si>
  <si>
    <t>réh/CEC</t>
  </si>
  <si>
    <t>coût moyen de la réhabilitation d'une SDC du primaire</t>
  </si>
  <si>
    <t>coût moyen de la réhabilitation d'une SDC du Lycée</t>
  </si>
  <si>
    <t>coût moyen de la réhabilitation d'une SDC du collége</t>
  </si>
  <si>
    <t>coût moyen de la réhabilitation d'un centre NAFA</t>
  </si>
  <si>
    <t>coût moyen de la réhabilitation d'un bloc de latrines</t>
  </si>
  <si>
    <t>Coût moyen de la réhabilitation d'un point d'eau</t>
  </si>
  <si>
    <t>Coût moyen de la réhabilitation d'une infirmerie</t>
  </si>
  <si>
    <t>Coût estimé de la réhabilitation et de l'équipement des infrastructures de l'UGAN Conakry et de l'Université de Labé</t>
  </si>
  <si>
    <t>Coût estimé de la réhabilitation et de l'extension de 4 universités</t>
  </si>
  <si>
    <t>Coût estimé de la réhabilitation des ISAV-VGE/Faranah</t>
  </si>
  <si>
    <t>Manuels, guides, matériel didactiques et reproduction de matériel pédagogique</t>
  </si>
  <si>
    <t>3. Manuels scolaires et matériels pédagogiques</t>
  </si>
  <si>
    <t>coût moyen de l'Impression d'un programme (en moyenne 45 PAGES)</t>
  </si>
  <si>
    <t>Imp/pr</t>
  </si>
  <si>
    <t>coût moyen d'une dotation par élève en matériel didactique au préscolaire</t>
  </si>
  <si>
    <t>coût moyen de l'acquisition et de la distribution d'un guide enseignant pour le primaire</t>
  </si>
  <si>
    <t>coût moyen de l'acquisition et de la distribution d'un guide enseignant pour le secondaire</t>
  </si>
  <si>
    <t>cout unitaire manuel élève primaire</t>
  </si>
  <si>
    <t>cout unitaire manuel élève collège</t>
  </si>
  <si>
    <t>cout unitaire manuel élève lycée</t>
  </si>
  <si>
    <t>manuel/lyc</t>
  </si>
  <si>
    <t>coût moyen d'une dotation d'un CEC en matériel ludique</t>
  </si>
  <si>
    <t>Dotation pour l'aménagement et l'installation d'aires de jeux et de malle à lire dans les CEC</t>
  </si>
  <si>
    <t>Dotation pour l'équipement d'une école à classe unique en matériel et équipement pédagogique (tableaux mo</t>
  </si>
  <si>
    <t>Coût moyen d'un Kit (fournitures, manuels) par élève dans les classes acceléré</t>
  </si>
  <si>
    <t>Coût moyen d'un Kit (fournitures, etc.) par élève dans les NAFA</t>
  </si>
  <si>
    <t>kit/app</t>
  </si>
  <si>
    <t xml:space="preserve">Coût moyen d'un Kit (fournitures, etc.) par élève dans le primire </t>
  </si>
  <si>
    <t>coût moyen d'un Kit par atelier (alloué une fois tous les 10 ans)</t>
  </si>
  <si>
    <t>Kit/atelier</t>
  </si>
  <si>
    <t>dotation moyenne pour l'aquisition et la distribution de matériel pédagogique aux enseignants et aux élèves pour une innovation</t>
  </si>
  <si>
    <t>dotation moyenne annuelle en matière d'œuvre par centre CFP</t>
  </si>
  <si>
    <t>dot/ETFP</t>
  </si>
  <si>
    <t>dotation moyenne annuelle en matière d'œuvre par centre NAFA</t>
  </si>
  <si>
    <t xml:space="preserve">dotation moyenne annuelle par classe en matière d'œuvre pour la fabrication de matériel ludique </t>
  </si>
  <si>
    <t>Coût moyen d'un manuel ou d'un guide d'alphabétisation</t>
  </si>
  <si>
    <t>Coût moyen d'un livret par apprenant en alpha</t>
  </si>
  <si>
    <t>Coût moyen d'un guide par opérateur d'alpha</t>
  </si>
  <si>
    <t>guide/opér</t>
  </si>
  <si>
    <t>Coût moyen de l'alphabétisation d'une personne (faire faire)</t>
  </si>
  <si>
    <t>Coût moyen de la post alphabétisation d'une personne (faire faire)</t>
  </si>
  <si>
    <t xml:space="preserve">dotation annuelle forfaitaire pour la diffusion des productions scolaires du matériel didactique </t>
  </si>
  <si>
    <t>Forfait annuel pour le renforcement de l'enseignement des sciences dans les lycées</t>
  </si>
  <si>
    <t>Forfait annuel pour la poursuite de l'expérimentation de l'utilisation des langues nationales dans les premiers apprentissage (matériel didactique, formation, suiv)</t>
  </si>
  <si>
    <t>coût moyen d'une dotation en écrits pour une biblothéque  villageoise</t>
  </si>
  <si>
    <t>Salaires et indemnités</t>
  </si>
  <si>
    <t>2. Personnel</t>
  </si>
  <si>
    <t>salaire moyen annuel d'un éducateur du préscolaire public</t>
  </si>
  <si>
    <t>coût moyen d'une subvention annuelle par éducateur du communautaire</t>
  </si>
  <si>
    <t>salaire moyen annuel d'un enseignant du primaire</t>
  </si>
  <si>
    <t>salaire moyen annuel d'un enseignant du Collége (ensemble fonctionnaires et contractuels)</t>
  </si>
  <si>
    <t>salaire moyen annuel d'un enseignant vacataire du Collége</t>
  </si>
  <si>
    <t>sal/ens/col/vac</t>
  </si>
  <si>
    <t>salaire moyen annuel d'un enseignant du Lycée  (ensemble fonctionnaires et contractuels)</t>
  </si>
  <si>
    <t>salaire moyen annuel d'un enseignant vacataire (au lycée et à l'ETFP)</t>
  </si>
  <si>
    <t>vac/an/ens</t>
  </si>
  <si>
    <t>Masse salariale moyenne annuel du personnel dans le préscolaire</t>
  </si>
  <si>
    <t>Masse salariale moyenne annuel du personnel dans le primaire</t>
  </si>
  <si>
    <t>Masse salariale moyenne annuel du personnel dans le secondaire 1</t>
  </si>
  <si>
    <t>Masse salariale moyenne annuel du personnel dans le secondaire 2</t>
  </si>
  <si>
    <t>Masse salariale moyenne annuel du personnel dans les administrations du MENA (structures centrales et déconcentrées)</t>
  </si>
  <si>
    <t>Masse salariale moyenne annuel du personnel dans les administrations du METFP (structures centrales et déconcentrées)</t>
  </si>
  <si>
    <t>Masse salariale moyenne annuel du personnel dans les établissements de l'ETFP (hors ENI)</t>
  </si>
  <si>
    <t>Masse salariale moyenne annuel du personnel dans les ENI</t>
  </si>
  <si>
    <t>Masse salariale moyenne annuel du personnel du MESRS</t>
  </si>
  <si>
    <t>Subvention et appuis divers pour stimuler la demande</t>
  </si>
  <si>
    <t>4. Transferts et subventions</t>
  </si>
  <si>
    <t>coût moyen d'une ration alimentaire par an par enfant</t>
  </si>
  <si>
    <t>dotation annuelle pour les prix en faveur des tuteurs méritants</t>
  </si>
  <si>
    <t>dot/an/DSSE</t>
  </si>
  <si>
    <t>dotation annuelle pour les prix en faveur des meilleurs écrits en alpha</t>
  </si>
  <si>
    <t>coût moyen d'une dose suffisante de déparasitant par éléve</t>
  </si>
  <si>
    <t>coût moyen d'une dose suffisante de micronutriment par éléve</t>
  </si>
  <si>
    <t>coût moyen d'un kit d'higiéne par éléve (fille mature)</t>
  </si>
  <si>
    <t>dotation annuelle moyenne par  DSEE pour la prise en charge psychosociale des filles victimes des violences</t>
  </si>
  <si>
    <t>dotation annuelle moyenne du ST Genre et équité pour la prise en charge psychosociale des filles victimes des violences</t>
  </si>
  <si>
    <t>Dotation annuelle pour l'acquisition d'équipement et matériel spécialisé en faveur des ESH</t>
  </si>
  <si>
    <t>dotation annuelle forfaitaire pour l'appui à l'organisation de compétitions sportives, artistiques et culturelles dans les établissements scolaires</t>
  </si>
  <si>
    <t>dotation annuelle forfaitaire pour l'appui à l'organisation de compétitions sportives, artistiques et culturelles universitaires</t>
  </si>
  <si>
    <t>dot/an/mesrs</t>
  </si>
  <si>
    <t xml:space="preserve">dotation annuelle forfaitaire pour l'appui à la valorisaion de la participation des filles, des handicapés physique et des jeunes issus des milieux défavorisés à l'enseignement supérieur </t>
  </si>
  <si>
    <t>Coût moyen de la mise à disposition d'un kit de lavage des mains par bloc de classe</t>
  </si>
  <si>
    <t>coût moyen d'une subvention par AGR mise en place</t>
  </si>
  <si>
    <t xml:space="preserve">Enveloppe pour les bourses à l'ENI </t>
  </si>
  <si>
    <t xml:space="preserve">Coût  annuel des bourses à l'intérieur pour le suprieur </t>
  </si>
  <si>
    <t>Coût  annuel des bourses à l'étranger pour les étudiants du supérieur</t>
  </si>
  <si>
    <t>Coût  annuel des bourses aux étudiats orientés vers le supérieur privé</t>
  </si>
  <si>
    <t>Coût moyen d'une allocation par stage et par étudiant</t>
  </si>
  <si>
    <t>Coût moyen pour la mise en place d'un incubateur</t>
  </si>
  <si>
    <t>Dotation moyenne annuelle par fille boursiére de l'ETFP</t>
  </si>
  <si>
    <t>Coût moyen de la dotation d'une infirmerie en médicaments et consommables enseignement général</t>
  </si>
  <si>
    <t xml:space="preserve">coût moyen de l'acquisition et de la distribution d'une boîte à pharmacie </t>
  </si>
  <si>
    <t>Coût moyen d'un kit d'insertion par sortant (alloué aux sortants qui s'insérent à leur compte)</t>
  </si>
  <si>
    <t>Enveloppe destinée par l'UNICEF au renforcement des capacités des associations des parents d'élèves et de leur implication dans la gestion des écoles</t>
  </si>
  <si>
    <t>Enveloppe moyenne annuelle pour la modernisation des écoles franco arabe</t>
  </si>
  <si>
    <t>subvention moyenne annuelle pour l'appui à la modernisation des foyers coraniques</t>
  </si>
  <si>
    <t>coût moyen d'un homme mois consultant international (y compris déplacement et perdiem)</t>
  </si>
  <si>
    <t>h/m/Ci</t>
  </si>
  <si>
    <t>coût moyen d'un homme mois consultant national</t>
  </si>
  <si>
    <t>h/m/Cn</t>
  </si>
  <si>
    <t>coût annuel d'une assistance technique longue durée</t>
  </si>
  <si>
    <t>coût moyen d'un homme jour consultant international (y compris déplacement et perdiem)</t>
  </si>
  <si>
    <t>h/j/Ci</t>
  </si>
  <si>
    <t>coût moyen d'un homme jour consultant national</t>
  </si>
  <si>
    <t>Etudes et supervisions des travaux d'une ERAM</t>
  </si>
  <si>
    <t xml:space="preserve">Etude sur les violences en milieu scolaire </t>
  </si>
  <si>
    <t xml:space="preserve">Forfait pour la réalisation de l'étude sur la politique et les normes pour l'éducation inclusive </t>
  </si>
  <si>
    <t>Forfait pour l'élaboration de l'étude sur la gestion des enseignants au primaire</t>
  </si>
  <si>
    <t>Forfait pour l'élaboration d'un document de politique d'introduction des TICE dans l'éducation</t>
  </si>
  <si>
    <t>Forfait pour l'évaluation d'une expérimentation</t>
  </si>
  <si>
    <t>Forfait pour l'élaboration d'un plan d'action pluriannuel budgétisé</t>
  </si>
  <si>
    <t>Coût moyen d'une évaluation des acquis des élèves au primaire sur 250 écoles pour un seul niveau  CP2)</t>
  </si>
  <si>
    <t>Coût moyen d'une évaluation des acquis des élèves au secondaire sur 180 écoles (pour un niveau)</t>
  </si>
  <si>
    <t>Evaluation des acquis scolaires de type PASEC (évaluation internationale 2019)</t>
  </si>
  <si>
    <t>Evaluation des acquis scolaires de type EGRA</t>
  </si>
  <si>
    <t>Etudes et supervisions des travaux d'un CFP</t>
  </si>
  <si>
    <t>coût moyen des études et de la supervision d'une SDC</t>
  </si>
  <si>
    <t>coût moyen des études et de la supervision de la réhabilitation d'un bloc de latrines (5 portes)</t>
  </si>
  <si>
    <t>coût moyen des études et de la supervision de la réhabilitation d'une SDC</t>
  </si>
  <si>
    <t>Coût moyen pour une revue des dépenses publiques de l'éducation</t>
  </si>
  <si>
    <t>Coût moyen de saisie d'un questionnaire de 10 pages</t>
  </si>
  <si>
    <t xml:space="preserve">dépenses de fonctionnement </t>
  </si>
  <si>
    <t>Dotation annuelle pour l'organisation des examens/concours de l'ETFP</t>
  </si>
  <si>
    <t>Dotation annuelle pour l'organisation des examens/concours du MENA</t>
  </si>
  <si>
    <t>Dotation annuelle pour celébrer la journée de l'alphabétisation (8 septembre)</t>
  </si>
  <si>
    <t>Coût moyen de la subvention annuelle de fonctionnement d'une structure d'accompagnement des étudiants (stage et insertion)</t>
  </si>
  <si>
    <t xml:space="preserve">Dotation annuelle pour la redynamisation des cadres de concertation  </t>
  </si>
  <si>
    <t>Dotation forfaitaire pour la genéralisation de l'introduction de la formation des éducateurs du préscolaire dans les ENI</t>
  </si>
  <si>
    <t>Dotation moyenne annuelle de fonctionnement des structures déconcentrées du MENA (IRE/DPE/DEC/DSEE)</t>
  </si>
  <si>
    <t xml:space="preserve">Dotation moyenne annuelle de fonctionnement des structures centrales du MENA </t>
  </si>
  <si>
    <t>Dotation moyenne annuelle de fonctionnement des structures centrales et déconcentrées du METFP</t>
  </si>
  <si>
    <t>Dotation moyenne annuelle de fonctionnement des structures centrales du MESRS</t>
  </si>
  <si>
    <t>Dotation moyenne annuelle de fonctionnement du secrétariat technique du Prodeg (indemnités personnel, consommables, loyers, organisation de rencontres, etc.)</t>
  </si>
  <si>
    <t>Dotation moyenne annuelle pour l'organisation d'une revue sectorielle</t>
  </si>
  <si>
    <t>Dotation moyenne annuelle pour le fonctionnement des établissements de l'ETFP hors ENI</t>
  </si>
  <si>
    <t>Dotation moyenne annuelle pour le fonctionnement des ENI</t>
  </si>
  <si>
    <t>Dotation moyenne annuelle pour le fonctionnement des IES</t>
  </si>
  <si>
    <t>Dotation moyenne annuelle pour le fonctionnement des IRS</t>
  </si>
  <si>
    <t>Dotation moyenne annuelle pour le fonctionnement des formations à distance</t>
  </si>
  <si>
    <t>forfait suivi d'un apprenti par an</t>
  </si>
  <si>
    <t>Rémunération d'un superviseur</t>
  </si>
  <si>
    <t>Coût moyen de la collecte des données scolaires par école</t>
  </si>
  <si>
    <t>subvention annuelle totale des écoles primaires y compris complèment école performantes</t>
  </si>
  <si>
    <t>Contributions annuelles aux institutions internationales (Confemen, ADEA, Karanta, etc.)</t>
  </si>
  <si>
    <t>contribution</t>
  </si>
  <si>
    <t>subvention annuelle des institutions de recherche</t>
  </si>
  <si>
    <t>subvention annuelle des IES</t>
  </si>
  <si>
    <t>Fonctionnement annuel de la coordination du FOCEB y compris audit annuel et communication sur le projet</t>
  </si>
  <si>
    <t>Fonctionnement annuel de la coordination de PAFISAM y compris audit annuel et communication sur le projet</t>
  </si>
  <si>
    <t>Fonctionnement annuel de la coordination du projet Bocej</t>
  </si>
  <si>
    <t>Fonctionnement annuel de la coordination du projet banque mondiale pour le préscolaire et le primaire y compris audit annuel et communication sur le projet</t>
  </si>
  <si>
    <t>Coût unitaire d'une moto</t>
  </si>
  <si>
    <t>Coût unitaire d'un véhicule</t>
  </si>
  <si>
    <t>Quantité</t>
  </si>
  <si>
    <t>Total</t>
  </si>
  <si>
    <t>Montant</t>
  </si>
  <si>
    <t xml:space="preserve">Total          </t>
  </si>
  <si>
    <t>Guinée_PAPB_version_prorogée_validée_GSE du 14-07-2022</t>
  </si>
  <si>
    <t>Qnté 2023</t>
  </si>
  <si>
    <t>Qnté 2024</t>
  </si>
  <si>
    <t>Montant 2023</t>
  </si>
  <si>
    <t>Montant 2024</t>
  </si>
  <si>
    <t xml:space="preserve"> Montant 2023</t>
  </si>
  <si>
    <t xml:space="preserve"> Montant 2024</t>
  </si>
  <si>
    <t>Montant Total 2021-2024</t>
  </si>
  <si>
    <t xml:space="preserve"> Montant Total 2021-2024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</si>
</sst>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_-* #,##0_-;\-* #,##0_-;_-* &quot;-&quot;_-;_-@_-"/>
    <numFmt numFmtId="165" formatCode="_-* #,##0\ _G_N_F_-;\-* #,##0\ _G_N_F_-;_-* &quot;-&quot;\ _G_N_F_-;_-@_-"/>
    <numFmt numFmtId="166" formatCode="_-* #,##0.00\ _G_N_F_-;\-* #,##0.00\ _G_N_F_-;_-* &quot;-&quot;??\ _G_N_F_-;_-@_-"/>
    <numFmt numFmtId="167" formatCode="#,##0.000_ ;\-#,##0.000\ "/>
    <numFmt numFmtId="168" formatCode="#,##0.000"/>
    <numFmt numFmtId="169" formatCode="_-* #,##0\ _G_N_F_-;\-* #,##0\ _G_N_F_-;_-* &quot;-&quot;??\ _G_N_F_-;_-@_-"/>
    <numFmt numFmtId="170" formatCode="#,##0.0"/>
    <numFmt numFmtId="171" formatCode="_ * #,##0.00_)\ _€_ ;_ * \(#,##0.00\)\ _€_ ;_ * &quot;-&quot;??_)\ _€_ ;_ @_ "/>
    <numFmt numFmtId="172" formatCode="0.000"/>
    <numFmt numFmtId="173" formatCode="0.0"/>
    <numFmt numFmtId="174" formatCode="_-* #,##0.0\ _G_N_F_-;\-* #,##0.0\ _G_N_F_-;_-* &quot;-&quot;??\ _G_N_F_-;_-@_-"/>
  </numFmts>
  <fonts count="30" x14ac:knownFonts="1">
    <font>
      <sz val="12"/>
      <color theme="1"/>
      <name val="Calibri"/>
      <family val="2"/>
      <scheme val="minor"/>
    </font>
    <font>
      <sz val="11"/>
      <color theme="1"/>
      <name val="Calibri"/>
      <family val="2"/>
      <scheme val="minor"/>
    </font>
    <font>
      <sz val="12"/>
      <color theme="1"/>
      <name val="Calibri"/>
      <family val="2"/>
      <scheme val="minor"/>
    </font>
    <font>
      <b/>
      <sz val="20"/>
      <color theme="1"/>
      <name val="Tahoma"/>
      <family val="2"/>
    </font>
    <font>
      <sz val="12"/>
      <color theme="1"/>
      <name val="Tahoma"/>
      <family val="2"/>
    </font>
    <font>
      <b/>
      <sz val="16"/>
      <color theme="1"/>
      <name val="Tahoma"/>
      <family val="2"/>
    </font>
    <font>
      <b/>
      <sz val="12"/>
      <color theme="1"/>
      <name val="Tahoma"/>
      <family val="2"/>
    </font>
    <font>
      <sz val="12"/>
      <color rgb="FFFF0000"/>
      <name val="Tahoma"/>
      <family val="2"/>
    </font>
    <font>
      <sz val="11"/>
      <name val="Tahoma"/>
      <family val="2"/>
    </font>
    <font>
      <b/>
      <i/>
      <sz val="12"/>
      <color theme="1"/>
      <name val="Tahoma"/>
      <family val="2"/>
    </font>
    <font>
      <sz val="12"/>
      <name val="Tahoma"/>
      <family val="2"/>
    </font>
    <font>
      <sz val="12"/>
      <name val="Calibri"/>
      <family val="2"/>
      <scheme val="minor"/>
    </font>
    <font>
      <b/>
      <sz val="20"/>
      <color theme="4" tint="-0.249977111117893"/>
      <name val="Tahoma"/>
      <family val="2"/>
    </font>
    <font>
      <sz val="11"/>
      <color theme="1"/>
      <name val="Tahoma"/>
      <family val="2"/>
    </font>
    <font>
      <sz val="10"/>
      <color theme="1"/>
      <name val="Tahoma"/>
      <family val="2"/>
    </font>
    <font>
      <sz val="10"/>
      <name val="Tahoma"/>
      <family val="2"/>
    </font>
    <font>
      <b/>
      <sz val="10"/>
      <name val="Tahoma"/>
      <family val="2"/>
    </font>
    <font>
      <b/>
      <sz val="12"/>
      <color rgb="FFFF0000"/>
      <name val="Tahoma"/>
      <family val="2"/>
    </font>
    <font>
      <b/>
      <i/>
      <sz val="10"/>
      <name val="Tahoma"/>
      <family val="2"/>
    </font>
    <font>
      <sz val="9"/>
      <name val="Tahoma"/>
      <family val="2"/>
    </font>
    <font>
      <sz val="10.5"/>
      <color theme="3" tint="0.39997558519241921"/>
      <name val="Tahoma"/>
      <family val="2"/>
    </font>
    <font>
      <sz val="10"/>
      <color rgb="FFFF0000"/>
      <name val="Tahoma"/>
      <family val="2"/>
    </font>
    <font>
      <sz val="9"/>
      <color theme="1"/>
      <name val="Tahoma"/>
      <family val="2"/>
    </font>
    <font>
      <b/>
      <sz val="12"/>
      <color rgb="FFFF0000"/>
      <name val="Calibri"/>
      <family val="2"/>
      <scheme val="minor"/>
    </font>
    <font>
      <sz val="10"/>
      <name val="Maiandra GD"/>
      <family val="2"/>
    </font>
    <font>
      <b/>
      <sz val="10"/>
      <name val="Maiandra GD"/>
      <family val="2"/>
    </font>
    <font>
      <b/>
      <sz val="12"/>
      <name val="Maiandra GD"/>
      <family val="2"/>
    </font>
    <font>
      <b/>
      <sz val="36"/>
      <color theme="1"/>
      <name val="Tahoma"/>
      <family val="2"/>
    </font>
    <font>
      <sz val="8"/>
      <name val="Calibri"/>
      <family val="2"/>
      <scheme val="minor"/>
    </font>
    <font>
      <sz val="12"/>
      <color theme="1"/>
      <name val="Tahoma"/>
      <family val="2"/>
    </font>
  </fonts>
  <fills count="14">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40FF"/>
        <bgColor indexed="64"/>
      </patternFill>
    </fill>
    <fill>
      <patternFill patternType="solid">
        <fgColor theme="0" tint="-0.149998474074526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s>
  <cellStyleXfs count="7">
    <xf numFmtId="0" fontId="0" fillId="0" borderId="0"/>
    <xf numFmtId="166" fontId="2" fillId="0" borderId="0" applyFont="0" applyFill="0" applyBorder="0" applyAlignment="0" applyProtection="0"/>
    <xf numFmtId="166" fontId="2" fillId="0" borderId="0" applyFont="0" applyFill="0" applyBorder="0" applyAlignment="0" applyProtection="0"/>
    <xf numFmtId="9" fontId="2" fillId="0" borderId="0" applyFont="0" applyFill="0" applyBorder="0" applyAlignment="0" applyProtection="0"/>
    <xf numFmtId="0" fontId="2" fillId="0" borderId="0"/>
    <xf numFmtId="171" fontId="2" fillId="0" borderId="0" applyFont="0" applyFill="0" applyBorder="0" applyAlignment="0" applyProtection="0"/>
    <xf numFmtId="164" fontId="2" fillId="0" borderId="0" applyFont="0" applyFill="0" applyBorder="0" applyAlignment="0" applyProtection="0"/>
  </cellStyleXfs>
  <cellXfs count="306">
    <xf numFmtId="0" fontId="0" fillId="0" borderId="0" xfId="0"/>
    <xf numFmtId="0" fontId="3" fillId="2" borderId="0" xfId="0" applyFont="1" applyFill="1" applyAlignment="1">
      <alignment horizontal="left" vertical="top"/>
    </xf>
    <xf numFmtId="0" fontId="4" fillId="2" borderId="0" xfId="0" applyFont="1" applyFill="1" applyAlignment="1">
      <alignment horizontal="left" vertical="top" wrapText="1"/>
    </xf>
    <xf numFmtId="0" fontId="4" fillId="2" borderId="0" xfId="0" applyFont="1" applyFill="1" applyAlignment="1">
      <alignment vertical="top" wrapText="1"/>
    </xf>
    <xf numFmtId="166" fontId="4" fillId="2" borderId="0" xfId="1" applyFont="1" applyFill="1" applyAlignment="1">
      <alignment vertical="top" wrapText="1"/>
    </xf>
    <xf numFmtId="166" fontId="5" fillId="2" borderId="0" xfId="1" applyFont="1" applyFill="1" applyAlignment="1">
      <alignment vertical="top" wrapText="1"/>
    </xf>
    <xf numFmtId="166" fontId="4" fillId="2" borderId="0" xfId="1" applyFont="1" applyFill="1" applyAlignment="1">
      <alignment horizontal="right" vertical="top" wrapText="1"/>
    </xf>
    <xf numFmtId="166" fontId="4" fillId="2" borderId="0" xfId="1" applyFont="1" applyFill="1" applyAlignment="1">
      <alignment horizontal="left" vertical="top" wrapText="1"/>
    </xf>
    <xf numFmtId="0" fontId="4" fillId="2" borderId="0" xfId="1" applyNumberFormat="1" applyFont="1" applyFill="1" applyAlignment="1">
      <alignment vertical="top" wrapText="1"/>
    </xf>
    <xf numFmtId="0" fontId="6" fillId="3" borderId="1" xfId="0" applyFont="1" applyFill="1" applyBorder="1" applyAlignment="1">
      <alignment horizontal="center" vertical="top" wrapText="1"/>
    </xf>
    <xf numFmtId="166" fontId="6" fillId="3" borderId="1" xfId="1" applyFont="1" applyFill="1" applyBorder="1" applyAlignment="1">
      <alignment horizontal="center" vertical="top" wrapText="1"/>
    </xf>
    <xf numFmtId="166" fontId="6" fillId="3" borderId="1" xfId="1" applyFont="1" applyFill="1" applyBorder="1" applyAlignment="1">
      <alignment horizontal="right" vertical="top" wrapText="1"/>
    </xf>
    <xf numFmtId="0" fontId="6" fillId="3" borderId="1" xfId="1" applyNumberFormat="1" applyFont="1" applyFill="1" applyBorder="1" applyAlignment="1">
      <alignment horizontal="center" vertical="top" wrapText="1"/>
    </xf>
    <xf numFmtId="0" fontId="6" fillId="2" borderId="0" xfId="0" applyFont="1" applyFill="1" applyAlignment="1">
      <alignment horizontal="center" vertical="top" wrapText="1"/>
    </xf>
    <xf numFmtId="0" fontId="4" fillId="2" borderId="1" xfId="0" applyFont="1" applyFill="1" applyBorder="1" applyAlignment="1">
      <alignment horizontal="center" vertical="top"/>
    </xf>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4" fillId="2" borderId="1" xfId="0" applyFont="1" applyFill="1" applyBorder="1" applyAlignment="1">
      <alignment vertical="top"/>
    </xf>
    <xf numFmtId="166" fontId="4" fillId="2" borderId="1" xfId="1" applyFont="1" applyFill="1" applyBorder="1" applyAlignment="1">
      <alignment vertical="top"/>
    </xf>
    <xf numFmtId="166" fontId="4" fillId="2" borderId="1" xfId="1" applyFont="1" applyFill="1" applyBorder="1" applyAlignment="1">
      <alignment vertical="top" wrapText="1"/>
    </xf>
    <xf numFmtId="0" fontId="4" fillId="2" borderId="1" xfId="1" applyNumberFormat="1" applyFont="1" applyFill="1" applyBorder="1" applyAlignment="1">
      <alignment vertical="top" wrapText="1"/>
    </xf>
    <xf numFmtId="0" fontId="4" fillId="2" borderId="1" xfId="0" applyFont="1" applyFill="1" applyBorder="1" applyAlignment="1">
      <alignment vertical="top" wrapText="1"/>
    </xf>
    <xf numFmtId="0" fontId="4" fillId="2" borderId="0" xfId="0" applyFont="1" applyFill="1" applyAlignment="1">
      <alignment vertical="top"/>
    </xf>
    <xf numFmtId="166" fontId="4" fillId="2" borderId="1" xfId="1" applyFont="1" applyFill="1" applyBorder="1" applyAlignment="1">
      <alignment horizontal="left" vertical="top"/>
    </xf>
    <xf numFmtId="167" fontId="4" fillId="2" borderId="1" xfId="1" applyNumberFormat="1" applyFont="1" applyFill="1" applyBorder="1" applyAlignment="1">
      <alignment horizontal="right" vertical="top"/>
    </xf>
    <xf numFmtId="0" fontId="4" fillId="2" borderId="1" xfId="0" applyFont="1" applyFill="1" applyBorder="1" applyAlignment="1">
      <alignment horizontal="center" vertical="top" wrapText="1"/>
    </xf>
    <xf numFmtId="166" fontId="4" fillId="2" borderId="1" xfId="1" applyFont="1" applyFill="1" applyBorder="1" applyAlignment="1">
      <alignment horizontal="left" vertical="top" wrapText="1"/>
    </xf>
    <xf numFmtId="166" fontId="7" fillId="2" borderId="1" xfId="1" applyFont="1" applyFill="1" applyBorder="1" applyAlignment="1">
      <alignment vertical="top"/>
    </xf>
    <xf numFmtId="166" fontId="7" fillId="2" borderId="1" xfId="1" applyFont="1" applyFill="1" applyBorder="1" applyAlignment="1">
      <alignment vertical="top" wrapText="1"/>
    </xf>
    <xf numFmtId="0" fontId="7" fillId="2" borderId="1" xfId="0" applyFont="1" applyFill="1" applyBorder="1" applyAlignment="1">
      <alignment horizontal="left" vertical="top" wrapText="1"/>
    </xf>
    <xf numFmtId="3" fontId="4" fillId="2" borderId="1" xfId="0" applyNumberFormat="1" applyFont="1" applyFill="1" applyBorder="1" applyAlignment="1">
      <alignment vertical="top"/>
    </xf>
    <xf numFmtId="167" fontId="4" fillId="2" borderId="1" xfId="1" applyNumberFormat="1" applyFont="1" applyFill="1" applyBorder="1" applyAlignment="1">
      <alignment horizontal="right" vertical="top" wrapText="1"/>
    </xf>
    <xf numFmtId="166" fontId="8" fillId="2" borderId="1" xfId="1" applyFont="1" applyFill="1" applyBorder="1" applyAlignment="1">
      <alignment vertical="top" wrapText="1"/>
    </xf>
    <xf numFmtId="168" fontId="4" fillId="2" borderId="1" xfId="1" applyNumberFormat="1" applyFont="1" applyFill="1" applyBorder="1" applyAlignment="1">
      <alignment vertical="top"/>
    </xf>
    <xf numFmtId="168" fontId="4" fillId="2" borderId="1" xfId="1" applyNumberFormat="1" applyFont="1" applyFill="1" applyBorder="1" applyAlignment="1">
      <alignment horizontal="right" vertical="top"/>
    </xf>
    <xf numFmtId="168" fontId="4" fillId="2" borderId="1" xfId="1" applyNumberFormat="1" applyFont="1" applyFill="1" applyBorder="1" applyAlignment="1">
      <alignment horizontal="left" vertical="top"/>
    </xf>
    <xf numFmtId="168" fontId="4" fillId="2" borderId="1" xfId="1" applyNumberFormat="1" applyFont="1" applyFill="1" applyBorder="1" applyAlignment="1">
      <alignment vertical="top" wrapText="1"/>
    </xf>
    <xf numFmtId="168" fontId="4" fillId="2" borderId="1" xfId="1" applyNumberFormat="1" applyFont="1" applyFill="1" applyBorder="1" applyAlignment="1">
      <alignment horizontal="right" vertical="top" wrapText="1"/>
    </xf>
    <xf numFmtId="168" fontId="4" fillId="2" borderId="1" xfId="1" applyNumberFormat="1" applyFont="1" applyFill="1" applyBorder="1" applyAlignment="1">
      <alignment horizontal="left" vertical="top" wrapText="1"/>
    </xf>
    <xf numFmtId="168" fontId="7" fillId="2" borderId="1" xfId="1" applyNumberFormat="1" applyFont="1" applyFill="1" applyBorder="1" applyAlignment="1">
      <alignment vertical="top"/>
    </xf>
    <xf numFmtId="0" fontId="9" fillId="3" borderId="1" xfId="0" applyFont="1" applyFill="1" applyBorder="1" applyAlignment="1">
      <alignment horizontal="center" vertical="top" wrapText="1"/>
    </xf>
    <xf numFmtId="0" fontId="4" fillId="2" borderId="1" xfId="0" applyFont="1" applyFill="1" applyBorder="1" applyAlignment="1">
      <alignment horizontal="center" vertical="center" wrapText="1"/>
    </xf>
    <xf numFmtId="0" fontId="4" fillId="2" borderId="1" xfId="0" applyFont="1" applyFill="1" applyBorder="1" applyAlignment="1">
      <alignment horizontal="left" vertical="center" wrapText="1"/>
    </xf>
    <xf numFmtId="0" fontId="4" fillId="2" borderId="1" xfId="0" applyFont="1" applyFill="1" applyBorder="1" applyAlignment="1">
      <alignment vertical="center" wrapText="1"/>
    </xf>
    <xf numFmtId="166" fontId="4" fillId="2" borderId="1" xfId="1" applyFont="1" applyFill="1" applyBorder="1" applyAlignment="1">
      <alignment vertical="center" wrapText="1"/>
    </xf>
    <xf numFmtId="166" fontId="4" fillId="2" borderId="1" xfId="1" applyFont="1" applyFill="1" applyBorder="1" applyAlignment="1">
      <alignment horizontal="left" vertical="center" wrapText="1"/>
    </xf>
    <xf numFmtId="168" fontId="4" fillId="2" borderId="1" xfId="1" applyNumberFormat="1" applyFont="1" applyFill="1" applyBorder="1" applyAlignment="1">
      <alignment vertical="center" wrapText="1"/>
    </xf>
    <xf numFmtId="0" fontId="4" fillId="2" borderId="1" xfId="1" applyNumberFormat="1" applyFont="1" applyFill="1" applyBorder="1" applyAlignment="1">
      <alignment horizontal="left" vertical="center" wrapText="1"/>
    </xf>
    <xf numFmtId="3" fontId="4" fillId="2" borderId="0" xfId="0" applyNumberFormat="1" applyFont="1" applyFill="1" applyAlignment="1">
      <alignment horizontal="left" vertical="center" wrapText="1"/>
    </xf>
    <xf numFmtId="0" fontId="4" fillId="2" borderId="0" xfId="0" applyFont="1" applyFill="1" applyAlignment="1">
      <alignment horizontal="center" vertical="top" wrapText="1"/>
    </xf>
    <xf numFmtId="2" fontId="4" fillId="2" borderId="0" xfId="1" applyNumberFormat="1" applyFont="1" applyFill="1" applyAlignment="1">
      <alignment horizontal="right" vertical="top" wrapText="1"/>
    </xf>
    <xf numFmtId="2" fontId="5" fillId="2" borderId="0" xfId="1" applyNumberFormat="1" applyFont="1" applyFill="1" applyAlignment="1">
      <alignment horizontal="right" vertical="top" wrapText="1"/>
    </xf>
    <xf numFmtId="2" fontId="6" fillId="3" borderId="1" xfId="1" applyNumberFormat="1" applyFont="1" applyFill="1" applyBorder="1" applyAlignment="1">
      <alignment horizontal="right" vertical="top" wrapText="1"/>
    </xf>
    <xf numFmtId="2" fontId="4" fillId="2" borderId="1" xfId="1" applyNumberFormat="1" applyFont="1" applyFill="1" applyBorder="1" applyAlignment="1">
      <alignment horizontal="right" vertical="top"/>
    </xf>
    <xf numFmtId="2" fontId="4" fillId="2" borderId="0" xfId="1" applyNumberFormat="1" applyFont="1" applyFill="1" applyAlignment="1">
      <alignment vertical="top" wrapText="1"/>
    </xf>
    <xf numFmtId="2" fontId="6" fillId="3" borderId="1" xfId="1" applyNumberFormat="1" applyFont="1" applyFill="1" applyBorder="1" applyAlignment="1">
      <alignment horizontal="center" vertical="top" wrapText="1"/>
    </xf>
    <xf numFmtId="2" fontId="4" fillId="2" borderId="1" xfId="1" applyNumberFormat="1" applyFont="1" applyFill="1" applyBorder="1" applyAlignment="1">
      <alignment vertical="top"/>
    </xf>
    <xf numFmtId="2" fontId="4" fillId="2" borderId="1" xfId="1" applyNumberFormat="1" applyFont="1" applyFill="1" applyBorder="1" applyAlignment="1">
      <alignment vertical="top" wrapText="1"/>
    </xf>
    <xf numFmtId="2" fontId="7" fillId="2" borderId="1" xfId="1" applyNumberFormat="1" applyFont="1" applyFill="1" applyBorder="1" applyAlignment="1">
      <alignment vertical="top"/>
    </xf>
    <xf numFmtId="2" fontId="7" fillId="2" borderId="1" xfId="1" applyNumberFormat="1" applyFont="1" applyFill="1" applyBorder="1" applyAlignment="1">
      <alignment vertical="top" wrapText="1"/>
    </xf>
    <xf numFmtId="2" fontId="4" fillId="2" borderId="1" xfId="1" applyNumberFormat="1" applyFont="1" applyFill="1" applyBorder="1" applyAlignment="1">
      <alignment horizontal="right" vertical="top" wrapText="1"/>
    </xf>
    <xf numFmtId="2" fontId="8" fillId="2" borderId="1" xfId="1" applyNumberFormat="1" applyFont="1" applyFill="1" applyBorder="1" applyAlignment="1">
      <alignment vertical="top" wrapText="1"/>
    </xf>
    <xf numFmtId="2" fontId="9" fillId="3" borderId="1" xfId="0" applyNumberFormat="1" applyFont="1" applyFill="1" applyBorder="1" applyAlignment="1">
      <alignment horizontal="center" vertical="top" wrapText="1"/>
    </xf>
    <xf numFmtId="0" fontId="10" fillId="2" borderId="0" xfId="0" applyFont="1" applyFill="1" applyAlignment="1">
      <alignment horizontal="center" vertical="top" wrapText="1"/>
    </xf>
    <xf numFmtId="0" fontId="10" fillId="0" borderId="1" xfId="0" applyFont="1" applyFill="1" applyBorder="1" applyAlignment="1">
      <alignment horizontal="left" vertical="top" wrapText="1"/>
    </xf>
    <xf numFmtId="0" fontId="10" fillId="0" borderId="1" xfId="0" applyFont="1" applyFill="1" applyBorder="1" applyAlignment="1">
      <alignment vertical="top" wrapText="1"/>
    </xf>
    <xf numFmtId="0" fontId="10" fillId="0" borderId="1" xfId="0" applyFont="1" applyFill="1" applyBorder="1" applyAlignment="1">
      <alignment vertical="top"/>
    </xf>
    <xf numFmtId="2" fontId="10" fillId="0" borderId="1" xfId="1" applyNumberFormat="1" applyFont="1" applyFill="1" applyBorder="1" applyAlignment="1">
      <alignment vertical="top"/>
    </xf>
    <xf numFmtId="2" fontId="10" fillId="0" borderId="1" xfId="1" applyNumberFormat="1" applyFont="1" applyFill="1" applyBorder="1" applyAlignment="1">
      <alignment horizontal="right" vertical="top"/>
    </xf>
    <xf numFmtId="166" fontId="10" fillId="0" borderId="1" xfId="1" applyFont="1" applyFill="1" applyBorder="1" applyAlignment="1">
      <alignment horizontal="left" vertical="top"/>
    </xf>
    <xf numFmtId="166" fontId="10" fillId="2" borderId="0" xfId="1" applyFont="1" applyFill="1" applyAlignment="1">
      <alignment vertical="top" wrapText="1"/>
    </xf>
    <xf numFmtId="0" fontId="10" fillId="2" borderId="0" xfId="0" applyFont="1" applyFill="1" applyAlignment="1">
      <alignment vertical="top" wrapText="1"/>
    </xf>
    <xf numFmtId="0" fontId="10" fillId="0" borderId="0" xfId="0" applyFont="1" applyFill="1" applyAlignment="1">
      <alignment vertical="top"/>
    </xf>
    <xf numFmtId="0" fontId="10" fillId="2" borderId="1" xfId="0" applyFont="1" applyFill="1" applyBorder="1" applyAlignment="1">
      <alignment horizontal="center" vertical="center" wrapText="1"/>
    </xf>
    <xf numFmtId="0" fontId="10" fillId="2" borderId="1" xfId="0" applyFont="1" applyFill="1" applyBorder="1" applyAlignment="1">
      <alignment horizontal="left" vertical="center" wrapText="1"/>
    </xf>
    <xf numFmtId="0" fontId="10" fillId="2" borderId="1" xfId="0" applyFont="1" applyFill="1" applyBorder="1" applyAlignment="1">
      <alignment horizontal="left" vertical="top" wrapText="1"/>
    </xf>
    <xf numFmtId="0" fontId="10" fillId="2" borderId="1" xfId="0" applyFont="1" applyFill="1" applyBorder="1" applyAlignment="1">
      <alignment vertical="top" wrapText="1"/>
    </xf>
    <xf numFmtId="2" fontId="10" fillId="2" borderId="1" xfId="1" applyNumberFormat="1" applyFont="1" applyFill="1" applyBorder="1" applyAlignment="1">
      <alignment vertical="top" wrapText="1"/>
    </xf>
    <xf numFmtId="2" fontId="10" fillId="2" borderId="1" xfId="1" applyNumberFormat="1" applyFont="1" applyFill="1" applyBorder="1" applyAlignment="1">
      <alignment vertical="top"/>
    </xf>
    <xf numFmtId="2" fontId="10" fillId="2" borderId="1" xfId="1" applyNumberFormat="1" applyFont="1" applyFill="1" applyBorder="1" applyAlignment="1">
      <alignment horizontal="right" vertical="top" wrapText="1"/>
    </xf>
    <xf numFmtId="166" fontId="10" fillId="2" borderId="1" xfId="1" applyFont="1" applyFill="1" applyBorder="1" applyAlignment="1">
      <alignment horizontal="left" vertical="top"/>
    </xf>
    <xf numFmtId="166" fontId="10" fillId="2" borderId="1" xfId="1" applyFont="1" applyFill="1" applyBorder="1" applyAlignment="1">
      <alignment vertical="center" wrapText="1"/>
    </xf>
    <xf numFmtId="3" fontId="10" fillId="2" borderId="0" xfId="0" applyNumberFormat="1" applyFont="1" applyFill="1" applyAlignment="1">
      <alignment horizontal="left" vertical="center" wrapText="1"/>
    </xf>
    <xf numFmtId="2" fontId="11" fillId="0" borderId="1" xfId="1" applyNumberFormat="1" applyFont="1" applyBorder="1"/>
    <xf numFmtId="0" fontId="10" fillId="2" borderId="1" xfId="0" applyFont="1" applyFill="1" applyBorder="1" applyAlignment="1">
      <alignment horizontal="center" vertical="top"/>
    </xf>
    <xf numFmtId="0" fontId="10" fillId="2" borderId="1" xfId="0" applyFont="1" applyFill="1" applyBorder="1" applyAlignment="1">
      <alignment horizontal="left" vertical="top"/>
    </xf>
    <xf numFmtId="0" fontId="10" fillId="2" borderId="1" xfId="0" applyFont="1" applyFill="1" applyBorder="1" applyAlignment="1">
      <alignment vertical="top"/>
    </xf>
    <xf numFmtId="166" fontId="10" fillId="2" borderId="1" xfId="1" applyFont="1" applyFill="1" applyBorder="1" applyAlignment="1">
      <alignment vertical="top"/>
    </xf>
    <xf numFmtId="166" fontId="10" fillId="2" borderId="1" xfId="1" applyFont="1" applyFill="1" applyBorder="1" applyAlignment="1">
      <alignment vertical="top" wrapText="1"/>
    </xf>
    <xf numFmtId="0" fontId="10" fillId="2" borderId="1" xfId="1" applyNumberFormat="1" applyFont="1" applyFill="1" applyBorder="1" applyAlignment="1">
      <alignment vertical="top" wrapText="1"/>
    </xf>
    <xf numFmtId="0" fontId="10" fillId="2" borderId="0" xfId="0" applyFont="1" applyFill="1" applyAlignment="1">
      <alignment vertical="top"/>
    </xf>
    <xf numFmtId="0" fontId="10" fillId="2" borderId="1" xfId="0" applyFont="1" applyFill="1" applyBorder="1" applyAlignment="1">
      <alignment horizontal="center" vertical="top" wrapText="1"/>
    </xf>
    <xf numFmtId="166" fontId="10" fillId="2" borderId="1" xfId="1" applyFont="1" applyFill="1" applyBorder="1" applyAlignment="1">
      <alignment horizontal="left" vertical="top" wrapText="1"/>
    </xf>
    <xf numFmtId="2" fontId="10" fillId="2" borderId="1" xfId="1" applyNumberFormat="1" applyFont="1" applyFill="1" applyBorder="1" applyAlignment="1">
      <alignment horizontal="right" vertical="top"/>
    </xf>
    <xf numFmtId="3" fontId="10" fillId="2" borderId="1" xfId="0" applyNumberFormat="1" applyFont="1" applyFill="1" applyBorder="1" applyAlignment="1">
      <alignment vertical="top"/>
    </xf>
    <xf numFmtId="166" fontId="4" fillId="0" borderId="0" xfId="1" applyFont="1"/>
    <xf numFmtId="0" fontId="4" fillId="0" borderId="0" xfId="0" applyFont="1"/>
    <xf numFmtId="0" fontId="4" fillId="0" borderId="0" xfId="0" applyFont="1" applyAlignment="1">
      <alignment horizontal="left"/>
    </xf>
    <xf numFmtId="166" fontId="12" fillId="0" borderId="0" xfId="1" applyFont="1"/>
    <xf numFmtId="0" fontId="4" fillId="0" borderId="0" xfId="0" applyFont="1" applyAlignment="1">
      <alignment horizontal="left" indent="1"/>
    </xf>
    <xf numFmtId="169" fontId="4" fillId="0" borderId="0" xfId="1" applyNumberFormat="1" applyFont="1"/>
    <xf numFmtId="0" fontId="13" fillId="0" borderId="0" xfId="0" pivotButton="1" applyFont="1"/>
    <xf numFmtId="0" fontId="13" fillId="0" borderId="0" xfId="0" applyFont="1" applyAlignment="1">
      <alignment horizontal="left"/>
    </xf>
    <xf numFmtId="166" fontId="13" fillId="0" borderId="0" xfId="1" applyFont="1"/>
    <xf numFmtId="0" fontId="13" fillId="0" borderId="0" xfId="0" applyFont="1"/>
    <xf numFmtId="0" fontId="1" fillId="0" borderId="0" xfId="0" applyFont="1"/>
    <xf numFmtId="0" fontId="13" fillId="0" borderId="0" xfId="0" applyFont="1" applyAlignment="1">
      <alignment horizontal="left" indent="1"/>
    </xf>
    <xf numFmtId="169" fontId="12" fillId="0" borderId="0" xfId="1" applyNumberFormat="1" applyFont="1"/>
    <xf numFmtId="169" fontId="0" fillId="0" borderId="0" xfId="1" applyNumberFormat="1" applyFont="1"/>
    <xf numFmtId="0" fontId="15" fillId="2" borderId="0" xfId="0" applyFont="1" applyFill="1" applyAlignment="1">
      <alignment vertical="top"/>
    </xf>
    <xf numFmtId="0" fontId="15" fillId="0" borderId="1" xfId="0" applyFont="1" applyBorder="1" applyAlignment="1">
      <alignment horizontal="center" vertical="top"/>
    </xf>
    <xf numFmtId="0" fontId="17" fillId="0" borderId="0" xfId="0" applyFont="1" applyAlignment="1">
      <alignment horizontal="center" vertical="center"/>
    </xf>
    <xf numFmtId="3" fontId="18" fillId="0" borderId="1" xfId="0" applyNumberFormat="1" applyFont="1" applyBorder="1" applyAlignment="1">
      <alignment horizontal="center" vertical="center" wrapText="1"/>
    </xf>
    <xf numFmtId="168" fontId="18" fillId="0" borderId="1" xfId="0" applyNumberFormat="1" applyFont="1" applyBorder="1" applyAlignment="1">
      <alignment horizontal="center" vertical="top" wrapText="1"/>
    </xf>
    <xf numFmtId="3" fontId="18" fillId="0" borderId="1" xfId="0" applyNumberFormat="1" applyFont="1" applyBorder="1" applyAlignment="1">
      <alignment horizontal="center" vertical="top" wrapText="1"/>
    </xf>
    <xf numFmtId="0" fontId="16" fillId="4" borderId="2" xfId="0" applyFont="1" applyFill="1" applyBorder="1" applyAlignment="1">
      <alignment horizontal="center" vertical="top"/>
    </xf>
    <xf numFmtId="0" fontId="16" fillId="4" borderId="4" xfId="0" applyFont="1" applyFill="1" applyBorder="1" applyAlignment="1">
      <alignment vertical="top" wrapText="1"/>
    </xf>
    <xf numFmtId="0" fontId="15" fillId="4" borderId="4" xfId="0" applyFont="1" applyFill="1" applyBorder="1" applyAlignment="1">
      <alignment horizontal="center" vertical="top"/>
    </xf>
    <xf numFmtId="3" fontId="15" fillId="4" borderId="4" xfId="0" applyNumberFormat="1" applyFont="1" applyFill="1" applyBorder="1" applyAlignment="1">
      <alignment horizontal="center" vertical="top"/>
    </xf>
    <xf numFmtId="168" fontId="15" fillId="4" borderId="4" xfId="0" applyNumberFormat="1" applyFont="1" applyFill="1" applyBorder="1" applyAlignment="1">
      <alignment horizontal="center" vertical="top"/>
    </xf>
    <xf numFmtId="0" fontId="15" fillId="4" borderId="4" xfId="0" applyFont="1" applyFill="1" applyBorder="1" applyAlignment="1">
      <alignment vertical="top" wrapText="1"/>
    </xf>
    <xf numFmtId="0" fontId="19" fillId="0" borderId="5" xfId="4" applyFont="1" applyBorder="1" applyAlignment="1">
      <alignment horizontal="left" indent="2"/>
    </xf>
    <xf numFmtId="0" fontId="14" fillId="4" borderId="4" xfId="0" applyFont="1" applyFill="1" applyBorder="1" applyAlignment="1">
      <alignment vertical="top" wrapText="1"/>
    </xf>
    <xf numFmtId="3" fontId="14" fillId="4" borderId="4" xfId="0" applyNumberFormat="1" applyFont="1" applyFill="1" applyBorder="1" applyAlignment="1">
      <alignment horizontal="center" vertical="top"/>
    </xf>
    <xf numFmtId="168" fontId="20" fillId="0" borderId="0" xfId="0" applyNumberFormat="1" applyFont="1" applyFill="1" applyBorder="1" applyAlignment="1">
      <alignment horizontal="center" vertical="center" wrapText="1"/>
    </xf>
    <xf numFmtId="0" fontId="15" fillId="4" borderId="4" xfId="0" applyFont="1" applyFill="1" applyBorder="1" applyAlignment="1">
      <alignment horizontal="center" vertical="top" wrapText="1"/>
    </xf>
    <xf numFmtId="168" fontId="4" fillId="0" borderId="0" xfId="0" applyNumberFormat="1" applyFont="1"/>
    <xf numFmtId="0" fontId="16" fillId="5" borderId="4" xfId="0" applyFont="1" applyFill="1" applyBorder="1" applyAlignment="1">
      <alignment horizontal="center" vertical="top"/>
    </xf>
    <xf numFmtId="0" fontId="16" fillId="5" borderId="4" xfId="0" applyFont="1" applyFill="1" applyBorder="1" applyAlignment="1">
      <alignment vertical="top" wrapText="1"/>
    </xf>
    <xf numFmtId="0" fontId="15" fillId="5" borderId="4" xfId="0" applyFont="1" applyFill="1" applyBorder="1" applyAlignment="1">
      <alignment horizontal="center" vertical="top" wrapText="1"/>
    </xf>
    <xf numFmtId="3" fontId="15" fillId="5" borderId="4" xfId="0" applyNumberFormat="1" applyFont="1" applyFill="1" applyBorder="1" applyAlignment="1">
      <alignment horizontal="center" vertical="top"/>
    </xf>
    <xf numFmtId="168" fontId="15" fillId="5" borderId="4" xfId="0" applyNumberFormat="1" applyFont="1" applyFill="1" applyBorder="1" applyAlignment="1">
      <alignment horizontal="center" vertical="top"/>
    </xf>
    <xf numFmtId="0" fontId="14" fillId="5" borderId="4" xfId="0" applyFont="1" applyFill="1" applyBorder="1" applyAlignment="1">
      <alignment horizontal="center" vertical="top"/>
    </xf>
    <xf numFmtId="0" fontId="14" fillId="5" borderId="4" xfId="0" applyFont="1" applyFill="1" applyBorder="1" applyAlignment="1">
      <alignment vertical="top" wrapText="1"/>
    </xf>
    <xf numFmtId="3" fontId="14" fillId="5" borderId="4" xfId="0" applyNumberFormat="1" applyFont="1" applyFill="1" applyBorder="1" applyAlignment="1">
      <alignment horizontal="center" vertical="top"/>
    </xf>
    <xf numFmtId="3" fontId="21" fillId="5" borderId="4" xfId="0" applyNumberFormat="1" applyFont="1" applyFill="1" applyBorder="1" applyAlignment="1">
      <alignment horizontal="center" vertical="top"/>
    </xf>
    <xf numFmtId="168" fontId="14" fillId="5" borderId="4" xfId="0" applyNumberFormat="1" applyFont="1" applyFill="1" applyBorder="1" applyAlignment="1">
      <alignment horizontal="center" vertical="top"/>
    </xf>
    <xf numFmtId="0" fontId="15" fillId="5" borderId="4" xfId="0" applyFont="1" applyFill="1" applyBorder="1" applyAlignment="1">
      <alignment horizontal="center" vertical="top"/>
    </xf>
    <xf numFmtId="0" fontId="15" fillId="5" borderId="4" xfId="0" applyFont="1" applyFill="1" applyBorder="1" applyAlignment="1">
      <alignment horizontal="left" vertical="top" wrapText="1"/>
    </xf>
    <xf numFmtId="0" fontId="14" fillId="5" borderId="4" xfId="0" applyFont="1" applyFill="1" applyBorder="1" applyAlignment="1">
      <alignment horizontal="left" vertical="top" wrapText="1"/>
    </xf>
    <xf numFmtId="0" fontId="16" fillId="6" borderId="4" xfId="0" applyFont="1" applyFill="1" applyBorder="1" applyAlignment="1">
      <alignment horizontal="center" vertical="top"/>
    </xf>
    <xf numFmtId="0" fontId="16" fillId="6" borderId="4" xfId="0" applyFont="1" applyFill="1" applyBorder="1" applyAlignment="1">
      <alignment vertical="top" wrapText="1"/>
    </xf>
    <xf numFmtId="0" fontId="15" fillId="6" borderId="4" xfId="0" applyFont="1" applyFill="1" applyBorder="1" applyAlignment="1">
      <alignment horizontal="center" vertical="top"/>
    </xf>
    <xf numFmtId="3" fontId="15" fillId="6" borderId="4" xfId="0" applyNumberFormat="1" applyFont="1" applyFill="1" applyBorder="1" applyAlignment="1">
      <alignment horizontal="center" vertical="top"/>
    </xf>
    <xf numFmtId="168" fontId="15" fillId="6" borderId="4" xfId="0" applyNumberFormat="1" applyFont="1" applyFill="1" applyBorder="1" applyAlignment="1">
      <alignment horizontal="center" vertical="top"/>
    </xf>
    <xf numFmtId="0" fontId="14" fillId="6" borderId="4" xfId="0" applyFont="1" applyFill="1" applyBorder="1" applyAlignment="1">
      <alignment vertical="top" wrapText="1"/>
    </xf>
    <xf numFmtId="0" fontId="14" fillId="6" borderId="4" xfId="0" applyFont="1" applyFill="1" applyBorder="1" applyAlignment="1">
      <alignment horizontal="center" vertical="top"/>
    </xf>
    <xf numFmtId="170" fontId="15" fillId="6" borderId="4" xfId="0" applyNumberFormat="1" applyFont="1" applyFill="1" applyBorder="1" applyAlignment="1">
      <alignment horizontal="center" vertical="top"/>
    </xf>
    <xf numFmtId="0" fontId="15" fillId="6" borderId="4" xfId="0" applyFont="1" applyFill="1" applyBorder="1" applyAlignment="1">
      <alignment vertical="top" wrapText="1"/>
    </xf>
    <xf numFmtId="3" fontId="21" fillId="6" borderId="4" xfId="0" applyNumberFormat="1" applyFont="1" applyFill="1" applyBorder="1" applyAlignment="1">
      <alignment horizontal="center" vertical="top"/>
    </xf>
    <xf numFmtId="3" fontId="14" fillId="6" borderId="4" xfId="0" applyNumberFormat="1" applyFont="1" applyFill="1" applyBorder="1" applyAlignment="1">
      <alignment horizontal="center" vertical="top"/>
    </xf>
    <xf numFmtId="0" fontId="15" fillId="6" borderId="4" xfId="0" applyFont="1" applyFill="1" applyBorder="1" applyAlignment="1">
      <alignment horizontal="center" vertical="top" wrapText="1"/>
    </xf>
    <xf numFmtId="3" fontId="19" fillId="6" borderId="4" xfId="0" applyNumberFormat="1" applyFont="1" applyFill="1" applyBorder="1" applyAlignment="1">
      <alignment horizontal="center" vertical="top"/>
    </xf>
    <xf numFmtId="171" fontId="19" fillId="6" borderId="4" xfId="5" applyFont="1" applyFill="1" applyBorder="1" applyAlignment="1">
      <alignment horizontal="center" vertical="top"/>
    </xf>
    <xf numFmtId="3" fontId="22" fillId="6" borderId="4" xfId="0" applyNumberFormat="1" applyFont="1" applyFill="1" applyBorder="1" applyAlignment="1">
      <alignment horizontal="center" vertical="top"/>
    </xf>
    <xf numFmtId="0" fontId="16" fillId="7" borderId="4" xfId="0" applyFont="1" applyFill="1" applyBorder="1" applyAlignment="1">
      <alignment horizontal="center" vertical="top"/>
    </xf>
    <xf numFmtId="0" fontId="16" fillId="7" borderId="4" xfId="0" applyFont="1" applyFill="1" applyBorder="1" applyAlignment="1">
      <alignment vertical="top" wrapText="1"/>
    </xf>
    <xf numFmtId="0" fontId="15" fillId="7" borderId="4" xfId="0" applyFont="1" applyFill="1" applyBorder="1" applyAlignment="1">
      <alignment horizontal="center" vertical="top" wrapText="1"/>
    </xf>
    <xf numFmtId="3" fontId="15" fillId="7" borderId="4" xfId="0" applyNumberFormat="1" applyFont="1" applyFill="1" applyBorder="1" applyAlignment="1">
      <alignment horizontal="center" vertical="top"/>
    </xf>
    <xf numFmtId="168" fontId="15" fillId="7" borderId="4" xfId="0" applyNumberFormat="1" applyFont="1" applyFill="1" applyBorder="1" applyAlignment="1">
      <alignment horizontal="center" vertical="top"/>
    </xf>
    <xf numFmtId="0" fontId="15" fillId="7" borderId="4" xfId="0" applyFont="1" applyFill="1" applyBorder="1" applyAlignment="1">
      <alignment horizontal="center" vertical="top"/>
    </xf>
    <xf numFmtId="0" fontId="15" fillId="7" borderId="4" xfId="0" applyFont="1" applyFill="1" applyBorder="1" applyAlignment="1">
      <alignment vertical="top" wrapText="1"/>
    </xf>
    <xf numFmtId="0" fontId="14" fillId="7" borderId="4" xfId="0" applyFont="1" applyFill="1" applyBorder="1" applyAlignment="1">
      <alignment vertical="top"/>
    </xf>
    <xf numFmtId="0" fontId="14" fillId="7" borderId="4" xfId="0" applyFont="1" applyFill="1" applyBorder="1" applyAlignment="1">
      <alignment vertical="top" wrapText="1"/>
    </xf>
    <xf numFmtId="0" fontId="14" fillId="7" borderId="4" xfId="0" applyFont="1" applyFill="1" applyBorder="1" applyAlignment="1">
      <alignment horizontal="center" vertical="top"/>
    </xf>
    <xf numFmtId="3" fontId="14" fillId="7" borderId="4" xfId="0" applyNumberFormat="1" applyFont="1" applyFill="1" applyBorder="1" applyAlignment="1">
      <alignment horizontal="center" vertical="top"/>
    </xf>
    <xf numFmtId="9" fontId="15" fillId="7" borderId="4" xfId="3" applyFont="1" applyFill="1" applyBorder="1" applyAlignment="1">
      <alignment horizontal="center" vertical="top"/>
    </xf>
    <xf numFmtId="171" fontId="4" fillId="0" borderId="0" xfId="5" applyFont="1"/>
    <xf numFmtId="171" fontId="2" fillId="0" borderId="0" xfId="5" applyFont="1"/>
    <xf numFmtId="3" fontId="21" fillId="7" borderId="4" xfId="0" applyNumberFormat="1" applyFont="1" applyFill="1" applyBorder="1" applyAlignment="1">
      <alignment horizontal="center" vertical="top"/>
    </xf>
    <xf numFmtId="0" fontId="15" fillId="7" borderId="4" xfId="0" applyFont="1" applyFill="1" applyBorder="1" applyAlignment="1">
      <alignment horizontal="left" vertical="top" wrapText="1"/>
    </xf>
    <xf numFmtId="0" fontId="21" fillId="7" borderId="4" xfId="0" applyFont="1" applyFill="1" applyBorder="1" applyAlignment="1">
      <alignment vertical="top" wrapText="1"/>
    </xf>
    <xf numFmtId="0" fontId="14" fillId="7" borderId="4" xfId="0" applyFont="1" applyFill="1" applyBorder="1" applyAlignment="1">
      <alignment horizontal="center" vertical="top" wrapText="1"/>
    </xf>
    <xf numFmtId="10" fontId="15" fillId="7" borderId="4" xfId="3" applyNumberFormat="1" applyFont="1" applyFill="1" applyBorder="1" applyAlignment="1">
      <alignment horizontal="center" vertical="top"/>
    </xf>
    <xf numFmtId="0" fontId="16" fillId="8" borderId="4" xfId="0" applyFont="1" applyFill="1" applyBorder="1" applyAlignment="1">
      <alignment horizontal="center" vertical="top"/>
    </xf>
    <xf numFmtId="0" fontId="16" fillId="8" borderId="4" xfId="0" applyFont="1" applyFill="1" applyBorder="1" applyAlignment="1">
      <alignment vertical="top" wrapText="1"/>
    </xf>
    <xf numFmtId="0" fontId="15" fillId="8" borderId="4" xfId="0" applyFont="1" applyFill="1" applyBorder="1" applyAlignment="1">
      <alignment horizontal="center" vertical="top" wrapText="1"/>
    </xf>
    <xf numFmtId="3" fontId="15" fillId="8" borderId="4" xfId="0" applyNumberFormat="1" applyFont="1" applyFill="1" applyBorder="1" applyAlignment="1">
      <alignment horizontal="center" vertical="top"/>
    </xf>
    <xf numFmtId="168" fontId="15" fillId="8" borderId="4" xfId="0" applyNumberFormat="1" applyFont="1" applyFill="1" applyBorder="1" applyAlignment="1">
      <alignment horizontal="center" vertical="top"/>
    </xf>
    <xf numFmtId="0" fontId="15" fillId="8" borderId="4" xfId="0" applyFont="1" applyFill="1" applyBorder="1" applyAlignment="1">
      <alignment horizontal="center" vertical="top"/>
    </xf>
    <xf numFmtId="0" fontId="14" fillId="8" borderId="4" xfId="0" applyFont="1" applyFill="1" applyBorder="1" applyAlignment="1">
      <alignment vertical="top" wrapText="1"/>
    </xf>
    <xf numFmtId="0" fontId="14" fillId="8" borderId="4" xfId="0" applyFont="1" applyFill="1" applyBorder="1" applyAlignment="1">
      <alignment horizontal="center" vertical="top"/>
    </xf>
    <xf numFmtId="3" fontId="14" fillId="8" borderId="4" xfId="0" applyNumberFormat="1" applyFont="1" applyFill="1" applyBorder="1" applyAlignment="1">
      <alignment horizontal="center" vertical="top"/>
    </xf>
    <xf numFmtId="3" fontId="21" fillId="8" borderId="4" xfId="0" applyNumberFormat="1" applyFont="1" applyFill="1" applyBorder="1" applyAlignment="1">
      <alignment horizontal="center" vertical="top"/>
    </xf>
    <xf numFmtId="168" fontId="14" fillId="8" borderId="4" xfId="0" applyNumberFormat="1" applyFont="1" applyFill="1" applyBorder="1" applyAlignment="1">
      <alignment horizontal="center" vertical="top"/>
    </xf>
    <xf numFmtId="0" fontId="15" fillId="8" borderId="4" xfId="0" applyFont="1" applyFill="1" applyBorder="1" applyAlignment="1">
      <alignment vertical="top" wrapText="1"/>
    </xf>
    <xf numFmtId="171" fontId="4" fillId="0" borderId="0" xfId="0" applyNumberFormat="1" applyFont="1"/>
    <xf numFmtId="171" fontId="0" fillId="0" borderId="0" xfId="0" applyNumberFormat="1"/>
    <xf numFmtId="0" fontId="14" fillId="8" borderId="4" xfId="0" applyFont="1" applyFill="1" applyBorder="1" applyAlignment="1">
      <alignment vertical="top"/>
    </xf>
    <xf numFmtId="0" fontId="16" fillId="9" borderId="4" xfId="0" applyFont="1" applyFill="1" applyBorder="1" applyAlignment="1">
      <alignment horizontal="center" vertical="top"/>
    </xf>
    <xf numFmtId="0" fontId="16" fillId="9" borderId="4" xfId="0" applyFont="1" applyFill="1" applyBorder="1" applyAlignment="1">
      <alignment vertical="top" wrapText="1"/>
    </xf>
    <xf numFmtId="0" fontId="15" fillId="9" borderId="4" xfId="0" applyFont="1" applyFill="1" applyBorder="1" applyAlignment="1">
      <alignment horizontal="center" vertical="top" wrapText="1"/>
    </xf>
    <xf numFmtId="3" fontId="15" fillId="9" borderId="4" xfId="0" applyNumberFormat="1" applyFont="1" applyFill="1" applyBorder="1" applyAlignment="1">
      <alignment horizontal="center" vertical="top"/>
    </xf>
    <xf numFmtId="168" fontId="15" fillId="9" borderId="4" xfId="0" applyNumberFormat="1" applyFont="1" applyFill="1" applyBorder="1" applyAlignment="1">
      <alignment horizontal="center" vertical="top"/>
    </xf>
    <xf numFmtId="0" fontId="15" fillId="9" borderId="4" xfId="0" applyFont="1" applyFill="1" applyBorder="1" applyAlignment="1">
      <alignment horizontal="center" vertical="top"/>
    </xf>
    <xf numFmtId="0" fontId="15" fillId="9" borderId="4" xfId="0" applyFont="1" applyFill="1" applyBorder="1" applyAlignment="1">
      <alignment vertical="top" wrapText="1"/>
    </xf>
    <xf numFmtId="0" fontId="14" fillId="9" borderId="4" xfId="0" applyFont="1" applyFill="1" applyBorder="1" applyAlignment="1">
      <alignment vertical="top" wrapText="1"/>
    </xf>
    <xf numFmtId="0" fontId="14" fillId="9" borderId="4" xfId="0" applyFont="1" applyFill="1" applyBorder="1" applyAlignment="1">
      <alignment horizontal="center" vertical="top"/>
    </xf>
    <xf numFmtId="0" fontId="16" fillId="10" borderId="4" xfId="0" applyFont="1" applyFill="1" applyBorder="1" applyAlignment="1">
      <alignment horizontal="center" vertical="top"/>
    </xf>
    <xf numFmtId="0" fontId="16" fillId="10" borderId="4" xfId="0" applyFont="1" applyFill="1" applyBorder="1" applyAlignment="1">
      <alignment vertical="top" wrapText="1"/>
    </xf>
    <xf numFmtId="0" fontId="15" fillId="10" borderId="4" xfId="0" applyFont="1" applyFill="1" applyBorder="1" applyAlignment="1">
      <alignment horizontal="center" vertical="top"/>
    </xf>
    <xf numFmtId="3" fontId="15" fillId="10" borderId="4" xfId="0" applyNumberFormat="1" applyFont="1" applyFill="1" applyBorder="1" applyAlignment="1">
      <alignment horizontal="center" vertical="top"/>
    </xf>
    <xf numFmtId="168" fontId="15" fillId="10" borderId="4" xfId="0" applyNumberFormat="1" applyFont="1" applyFill="1" applyBorder="1" applyAlignment="1">
      <alignment horizontal="center" vertical="top"/>
    </xf>
    <xf numFmtId="0" fontId="15" fillId="10" borderId="4" xfId="0" applyFont="1" applyFill="1" applyBorder="1" applyAlignment="1">
      <alignment vertical="top" wrapText="1"/>
    </xf>
    <xf numFmtId="0" fontId="14" fillId="10" borderId="4" xfId="0" applyFont="1" applyFill="1" applyBorder="1" applyAlignment="1">
      <alignment vertical="top" wrapText="1"/>
    </xf>
    <xf numFmtId="3" fontId="14" fillId="10" borderId="4" xfId="0" applyNumberFormat="1" applyFont="1" applyFill="1" applyBorder="1" applyAlignment="1">
      <alignment horizontal="center" vertical="top"/>
    </xf>
    <xf numFmtId="3" fontId="21" fillId="10" borderId="4" xfId="0" applyNumberFormat="1" applyFont="1" applyFill="1" applyBorder="1" applyAlignment="1">
      <alignment horizontal="center" vertical="top"/>
    </xf>
    <xf numFmtId="0" fontId="14" fillId="10" borderId="4" xfId="0" applyFont="1" applyFill="1" applyBorder="1" applyAlignment="1">
      <alignment horizontal="center" vertical="top"/>
    </xf>
    <xf numFmtId="0" fontId="14" fillId="10" borderId="4" xfId="0" applyFont="1" applyFill="1" applyBorder="1" applyAlignment="1">
      <alignment horizontal="center" vertical="top" wrapText="1"/>
    </xf>
    <xf numFmtId="0" fontId="15" fillId="10" borderId="4" xfId="0" applyFont="1" applyFill="1" applyBorder="1" applyAlignment="1">
      <alignment horizontal="center" vertical="top" wrapText="1"/>
    </xf>
    <xf numFmtId="3" fontId="15" fillId="10" borderId="4" xfId="0" applyNumberFormat="1" applyFont="1" applyFill="1" applyBorder="1" applyAlignment="1">
      <alignment horizontal="center" vertical="top" wrapText="1"/>
    </xf>
    <xf numFmtId="0" fontId="16" fillId="3" borderId="4" xfId="0" applyFont="1" applyFill="1" applyBorder="1" applyAlignment="1">
      <alignment horizontal="center" vertical="top"/>
    </xf>
    <xf numFmtId="0" fontId="16" fillId="3" borderId="4" xfId="0" applyFont="1" applyFill="1" applyBorder="1" applyAlignment="1">
      <alignment vertical="top" wrapText="1"/>
    </xf>
    <xf numFmtId="0" fontId="15" fillId="3" borderId="4" xfId="0" applyFont="1" applyFill="1" applyBorder="1" applyAlignment="1">
      <alignment horizontal="center" vertical="top" wrapText="1"/>
    </xf>
    <xf numFmtId="3" fontId="15" fillId="3" borderId="4" xfId="0" applyNumberFormat="1" applyFont="1" applyFill="1" applyBorder="1" applyAlignment="1">
      <alignment horizontal="center" vertical="top" wrapText="1"/>
    </xf>
    <xf numFmtId="168" fontId="15" fillId="3" borderId="4" xfId="0" applyNumberFormat="1" applyFont="1" applyFill="1" applyBorder="1" applyAlignment="1">
      <alignment horizontal="center" vertical="top" wrapText="1"/>
    </xf>
    <xf numFmtId="0" fontId="15" fillId="3" borderId="4" xfId="0" applyFont="1" applyFill="1" applyBorder="1" applyAlignment="1">
      <alignment horizontal="center" vertical="top"/>
    </xf>
    <xf numFmtId="0" fontId="15" fillId="3" borderId="4" xfId="0" applyFont="1" applyFill="1" applyBorder="1" applyAlignment="1">
      <alignment vertical="top" wrapText="1"/>
    </xf>
    <xf numFmtId="3" fontId="15" fillId="3" borderId="4" xfId="0" applyNumberFormat="1" applyFont="1" applyFill="1" applyBorder="1" applyAlignment="1">
      <alignment horizontal="center" vertical="top"/>
    </xf>
    <xf numFmtId="168" fontId="15" fillId="3" borderId="4" xfId="0" applyNumberFormat="1" applyFont="1" applyFill="1" applyBorder="1" applyAlignment="1">
      <alignment horizontal="center" vertical="top"/>
    </xf>
    <xf numFmtId="3" fontId="14" fillId="3" borderId="4" xfId="0" applyNumberFormat="1" applyFont="1" applyFill="1" applyBorder="1" applyAlignment="1">
      <alignment horizontal="center" vertical="top" wrapText="1"/>
    </xf>
    <xf numFmtId="3" fontId="14" fillId="3" borderId="4" xfId="0" applyNumberFormat="1" applyFont="1" applyFill="1" applyBorder="1" applyAlignment="1">
      <alignment horizontal="center" vertical="top"/>
    </xf>
    <xf numFmtId="0" fontId="16" fillId="11" borderId="4" xfId="0" applyFont="1" applyFill="1" applyBorder="1" applyAlignment="1">
      <alignment horizontal="center" vertical="top"/>
    </xf>
    <xf numFmtId="0" fontId="16" fillId="11" borderId="4" xfId="0" applyFont="1" applyFill="1" applyBorder="1" applyAlignment="1">
      <alignment vertical="top" wrapText="1"/>
    </xf>
    <xf numFmtId="0" fontId="15" fillId="11" borderId="4" xfId="0" applyFont="1" applyFill="1" applyBorder="1" applyAlignment="1">
      <alignment horizontal="center" vertical="top" wrapText="1"/>
    </xf>
    <xf numFmtId="3" fontId="15" fillId="11" borderId="4" xfId="0" applyNumberFormat="1" applyFont="1" applyFill="1" applyBorder="1" applyAlignment="1">
      <alignment horizontal="center" vertical="top"/>
    </xf>
    <xf numFmtId="168" fontId="15" fillId="11" borderId="4" xfId="0" applyNumberFormat="1" applyFont="1" applyFill="1" applyBorder="1" applyAlignment="1">
      <alignment horizontal="center" vertical="top"/>
    </xf>
    <xf numFmtId="0" fontId="15" fillId="11" borderId="4" xfId="0" applyFont="1" applyFill="1" applyBorder="1" applyAlignment="1">
      <alignment horizontal="center" vertical="top"/>
    </xf>
    <xf numFmtId="0" fontId="14" fillId="11" borderId="4" xfId="0" applyFont="1" applyFill="1" applyBorder="1" applyAlignment="1">
      <alignment vertical="top" wrapText="1"/>
    </xf>
    <xf numFmtId="3" fontId="21" fillId="11" borderId="4" xfId="0" applyNumberFormat="1" applyFont="1" applyFill="1" applyBorder="1" applyAlignment="1">
      <alignment horizontal="center" vertical="top"/>
    </xf>
    <xf numFmtId="3" fontId="14" fillId="11" borderId="4" xfId="0" applyNumberFormat="1" applyFont="1" applyFill="1" applyBorder="1" applyAlignment="1">
      <alignment horizontal="center" vertical="top"/>
    </xf>
    <xf numFmtId="0" fontId="15" fillId="11" borderId="4" xfId="0" applyFont="1" applyFill="1" applyBorder="1" applyAlignment="1">
      <alignment vertical="top" wrapText="1"/>
    </xf>
    <xf numFmtId="0" fontId="15" fillId="11" borderId="4" xfId="0" applyFont="1" applyFill="1" applyBorder="1" applyAlignment="1">
      <alignment horizontal="left" vertical="top" wrapText="1"/>
    </xf>
    <xf numFmtId="172" fontId="4" fillId="0" borderId="0" xfId="0" applyNumberFormat="1" applyFont="1"/>
    <xf numFmtId="0" fontId="14" fillId="11" borderId="4" xfId="0" applyFont="1" applyFill="1" applyBorder="1" applyAlignment="1">
      <alignment horizontal="left" vertical="top" wrapText="1"/>
    </xf>
    <xf numFmtId="0" fontId="16" fillId="12" borderId="4" xfId="0" applyFont="1" applyFill="1" applyBorder="1" applyAlignment="1">
      <alignment horizontal="center" vertical="top"/>
    </xf>
    <xf numFmtId="0" fontId="16" fillId="12" borderId="4" xfId="0" applyFont="1" applyFill="1" applyBorder="1" applyAlignment="1">
      <alignment vertical="top" wrapText="1"/>
    </xf>
    <xf numFmtId="0" fontId="15" fillId="12" borderId="4" xfId="0" applyFont="1" applyFill="1" applyBorder="1" applyAlignment="1">
      <alignment horizontal="center" vertical="top"/>
    </xf>
    <xf numFmtId="3" fontId="15" fillId="12" borderId="4" xfId="0" applyNumberFormat="1" applyFont="1" applyFill="1" applyBorder="1" applyAlignment="1">
      <alignment horizontal="center" vertical="top"/>
    </xf>
    <xf numFmtId="168" fontId="15" fillId="12" borderId="4" xfId="0" applyNumberFormat="1" applyFont="1" applyFill="1" applyBorder="1" applyAlignment="1">
      <alignment horizontal="center" vertical="top"/>
    </xf>
    <xf numFmtId="0" fontId="15" fillId="12" borderId="4" xfId="0" applyFont="1" applyFill="1" applyBorder="1" applyAlignment="1">
      <alignment vertical="top" wrapText="1"/>
    </xf>
    <xf numFmtId="0" fontId="15" fillId="12" borderId="4" xfId="0" applyFont="1" applyFill="1" applyBorder="1" applyAlignment="1">
      <alignment horizontal="center" vertical="top" wrapText="1"/>
    </xf>
    <xf numFmtId="168" fontId="0" fillId="0" borderId="0" xfId="0" applyNumberFormat="1" applyAlignment="1">
      <alignment vertical="top"/>
    </xf>
    <xf numFmtId="0" fontId="0" fillId="0" borderId="0" xfId="0" applyAlignment="1">
      <alignment vertical="top"/>
    </xf>
    <xf numFmtId="0" fontId="23" fillId="0" borderId="0" xfId="0" applyFont="1" applyAlignment="1">
      <alignment horizontal="center" vertical="center"/>
    </xf>
    <xf numFmtId="173" fontId="24" fillId="2" borderId="1" xfId="1" applyNumberFormat="1" applyFont="1" applyFill="1" applyBorder="1" applyAlignment="1">
      <alignment vertical="top"/>
    </xf>
    <xf numFmtId="173" fontId="24" fillId="2" borderId="1" xfId="1" applyNumberFormat="1" applyFont="1" applyFill="1" applyBorder="1" applyAlignment="1">
      <alignment vertical="top" wrapText="1"/>
    </xf>
    <xf numFmtId="173" fontId="24" fillId="2" borderId="1" xfId="0" applyNumberFormat="1" applyFont="1" applyFill="1" applyBorder="1" applyAlignment="1">
      <alignment horizontal="center" vertical="top"/>
    </xf>
    <xf numFmtId="173" fontId="24" fillId="2" borderId="1" xfId="0" applyNumberFormat="1" applyFont="1" applyFill="1" applyBorder="1" applyAlignment="1">
      <alignment horizontal="left" vertical="top" wrapText="1"/>
    </xf>
    <xf numFmtId="173" fontId="24" fillId="2" borderId="1" xfId="0" applyNumberFormat="1" applyFont="1" applyFill="1" applyBorder="1" applyAlignment="1">
      <alignment vertical="top"/>
    </xf>
    <xf numFmtId="173" fontId="25" fillId="2" borderId="1" xfId="1" applyNumberFormat="1" applyFont="1" applyFill="1" applyBorder="1" applyAlignment="1">
      <alignment horizontal="center" vertical="top" wrapText="1"/>
    </xf>
    <xf numFmtId="173" fontId="26" fillId="10" borderId="1" xfId="0" applyNumberFormat="1" applyFont="1" applyFill="1" applyBorder="1" applyAlignment="1">
      <alignment horizontal="center" vertical="top" wrapText="1"/>
    </xf>
    <xf numFmtId="173" fontId="26" fillId="10" borderId="1" xfId="0" applyNumberFormat="1" applyFont="1" applyFill="1" applyBorder="1" applyAlignment="1">
      <alignment horizontal="center" vertical="top"/>
    </xf>
    <xf numFmtId="173" fontId="26" fillId="10" borderId="1" xfId="1" applyNumberFormat="1" applyFont="1" applyFill="1" applyBorder="1" applyAlignment="1">
      <alignment horizontal="center" vertical="top"/>
    </xf>
    <xf numFmtId="173" fontId="26" fillId="10" borderId="1" xfId="1" applyNumberFormat="1" applyFont="1" applyFill="1" applyBorder="1" applyAlignment="1">
      <alignment horizontal="center" vertical="top" wrapText="1"/>
    </xf>
    <xf numFmtId="173" fontId="25" fillId="2" borderId="1" xfId="0" applyNumberFormat="1" applyFont="1" applyFill="1" applyBorder="1" applyAlignment="1">
      <alignment horizontal="center" vertical="top"/>
    </xf>
    <xf numFmtId="173" fontId="25" fillId="2" borderId="1" xfId="1" applyNumberFormat="1" applyFont="1" applyFill="1" applyBorder="1" applyAlignment="1">
      <alignment horizontal="center" vertical="top"/>
    </xf>
    <xf numFmtId="0" fontId="16" fillId="2" borderId="0" xfId="0" applyFont="1" applyFill="1" applyAlignment="1">
      <alignment horizontal="center" vertical="top"/>
    </xf>
    <xf numFmtId="173" fontId="24" fillId="13" borderId="1" xfId="0" applyNumberFormat="1" applyFont="1" applyFill="1" applyBorder="1" applyAlignment="1">
      <alignment horizontal="center" vertical="top"/>
    </xf>
    <xf numFmtId="173" fontId="24" fillId="13" borderId="1" xfId="0" applyNumberFormat="1" applyFont="1" applyFill="1" applyBorder="1" applyAlignment="1">
      <alignment horizontal="left" vertical="top" wrapText="1"/>
    </xf>
    <xf numFmtId="173" fontId="24" fillId="13" borderId="1" xfId="0" applyNumberFormat="1" applyFont="1" applyFill="1" applyBorder="1" applyAlignment="1">
      <alignment vertical="top"/>
    </xf>
    <xf numFmtId="173" fontId="24" fillId="13" borderId="1" xfId="1" applyNumberFormat="1" applyFont="1" applyFill="1" applyBorder="1" applyAlignment="1">
      <alignment vertical="top"/>
    </xf>
    <xf numFmtId="173" fontId="24" fillId="13" borderId="1" xfId="1" applyNumberFormat="1" applyFont="1" applyFill="1" applyBorder="1" applyAlignment="1">
      <alignment vertical="top" wrapText="1"/>
    </xf>
    <xf numFmtId="0" fontId="15" fillId="13" borderId="0" xfId="0" applyFont="1" applyFill="1" applyAlignment="1">
      <alignment vertical="top"/>
    </xf>
    <xf numFmtId="173" fontId="25" fillId="2" borderId="1" xfId="0" applyNumberFormat="1" applyFont="1" applyFill="1" applyBorder="1" applyAlignment="1">
      <alignment horizontal="left" vertical="top" wrapText="1"/>
    </xf>
    <xf numFmtId="173" fontId="25" fillId="2" borderId="1" xfId="0" applyNumberFormat="1" applyFont="1" applyFill="1" applyBorder="1" applyAlignment="1">
      <alignment vertical="top"/>
    </xf>
    <xf numFmtId="173" fontId="25" fillId="2" borderId="1" xfId="1" applyNumberFormat="1" applyFont="1" applyFill="1" applyBorder="1" applyAlignment="1">
      <alignment vertical="top"/>
    </xf>
    <xf numFmtId="165" fontId="25" fillId="2" borderId="1" xfId="1" applyNumberFormat="1" applyFont="1" applyFill="1" applyBorder="1" applyAlignment="1">
      <alignment horizontal="center" vertical="top"/>
    </xf>
    <xf numFmtId="173" fontId="25" fillId="2" borderId="1" xfId="1" applyNumberFormat="1" applyFont="1" applyFill="1" applyBorder="1" applyAlignment="1">
      <alignment vertical="top" wrapText="1"/>
    </xf>
    <xf numFmtId="0" fontId="16" fillId="2" borderId="0" xfId="0" applyFont="1" applyFill="1" applyAlignment="1">
      <alignment vertical="top"/>
    </xf>
    <xf numFmtId="0" fontId="27" fillId="2" borderId="0" xfId="0" applyFont="1" applyFill="1" applyAlignment="1">
      <alignment horizontal="left" vertical="top"/>
    </xf>
    <xf numFmtId="169" fontId="4" fillId="0" borderId="0" xfId="0" applyNumberFormat="1" applyFont="1"/>
    <xf numFmtId="169" fontId="4" fillId="0" borderId="0" xfId="0" applyNumberFormat="1" applyFont="1" applyAlignment="1">
      <alignment horizontal="left"/>
    </xf>
    <xf numFmtId="174" fontId="13" fillId="0" borderId="0" xfId="0" applyNumberFormat="1" applyFont="1"/>
    <xf numFmtId="169" fontId="4" fillId="0" borderId="0" xfId="0" pivotButton="1" applyNumberFormat="1" applyFont="1" applyAlignment="1">
      <alignment horizontal="center" vertical="center"/>
    </xf>
    <xf numFmtId="16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pivotButton="1" applyFont="1" applyAlignment="1">
      <alignment horizontal="center" vertical="center" wrapText="1"/>
    </xf>
    <xf numFmtId="0" fontId="4" fillId="0" borderId="0" xfId="0" applyFont="1" applyAlignment="1">
      <alignment horizontal="center" vertical="center" wrapText="1"/>
    </xf>
    <xf numFmtId="164" fontId="4" fillId="0" borderId="0" xfId="6" applyFont="1"/>
    <xf numFmtId="164" fontId="4" fillId="0" borderId="0" xfId="6" applyFont="1" applyAlignment="1">
      <alignment horizontal="center" vertical="center" wrapText="1"/>
    </xf>
    <xf numFmtId="164" fontId="0" fillId="0" borderId="0" xfId="6" applyFont="1"/>
    <xf numFmtId="164" fontId="13" fillId="0" borderId="0" xfId="6" applyFont="1"/>
    <xf numFmtId="164" fontId="1" fillId="0" borderId="0" xfId="6" applyFont="1"/>
    <xf numFmtId="0" fontId="13" fillId="0" borderId="0" xfId="0" pivotButton="1" applyFont="1" applyAlignment="1">
      <alignment horizontal="center" vertical="center" wrapText="1"/>
    </xf>
    <xf numFmtId="164" fontId="13" fillId="0" borderId="0" xfId="6" applyFont="1" applyAlignment="1">
      <alignment horizontal="center" vertical="center" wrapText="1"/>
    </xf>
    <xf numFmtId="0" fontId="13" fillId="0" borderId="0" xfId="0" applyFont="1" applyAlignment="1">
      <alignment horizontal="center" vertical="center" wrapText="1"/>
    </xf>
    <xf numFmtId="164" fontId="12" fillId="0" borderId="0" xfId="6" applyFont="1"/>
    <xf numFmtId="164" fontId="13" fillId="0" borderId="0" xfId="6" applyFont="1" applyAlignment="1">
      <alignment horizontal="left"/>
    </xf>
    <xf numFmtId="164" fontId="13" fillId="0" borderId="0" xfId="6" pivotButton="1" applyFont="1" applyAlignment="1">
      <alignment horizontal="center" vertical="center" wrapText="1"/>
    </xf>
    <xf numFmtId="0" fontId="29" fillId="0" borderId="0" xfId="0" applyFont="1"/>
    <xf numFmtId="0" fontId="29" fillId="0" borderId="0" xfId="0" applyFont="1" applyAlignment="1">
      <alignment horizontal="left"/>
    </xf>
    <xf numFmtId="0" fontId="29" fillId="0" borderId="0" xfId="0" pivotButton="1" applyFont="1" applyAlignment="1">
      <alignment horizontal="center" vertical="center" wrapText="1"/>
    </xf>
    <xf numFmtId="0" fontId="29" fillId="0" borderId="0" xfId="0" applyFont="1" applyAlignment="1">
      <alignment horizontal="center" vertical="center" wrapText="1"/>
    </xf>
    <xf numFmtId="164" fontId="29" fillId="0" borderId="0" xfId="6" applyFont="1" applyAlignment="1">
      <alignment horizontal="center" vertical="center" wrapText="1"/>
    </xf>
    <xf numFmtId="164" fontId="29" fillId="0" borderId="0" xfId="6" applyFont="1" applyAlignment="1">
      <alignment wrapText="1"/>
    </xf>
    <xf numFmtId="164" fontId="29" fillId="0" borderId="0" xfId="6" applyFont="1"/>
    <xf numFmtId="0" fontId="29" fillId="0" borderId="0" xfId="0" applyFont="1" applyAlignment="1">
      <alignment horizontal="left" indent="1"/>
    </xf>
    <xf numFmtId="169" fontId="29" fillId="0" borderId="0" xfId="0" applyNumberFormat="1" applyFont="1"/>
    <xf numFmtId="169" fontId="29" fillId="0" borderId="0" xfId="0" applyNumberFormat="1" applyFont="1" applyAlignment="1">
      <alignment horizontal="center" vertical="center" wrapText="1"/>
    </xf>
    <xf numFmtId="0" fontId="15" fillId="0" borderId="2" xfId="0" applyFont="1" applyBorder="1" applyAlignment="1">
      <alignment horizontal="center"/>
    </xf>
    <xf numFmtId="0" fontId="15" fillId="0" borderId="3" xfId="0" applyFont="1" applyBorder="1" applyAlignment="1">
      <alignment horizontal="center"/>
    </xf>
    <xf numFmtId="0" fontId="16" fillId="0" borderId="1" xfId="0" applyFont="1" applyBorder="1" applyAlignment="1">
      <alignment horizontal="center" vertical="top" wrapText="1"/>
    </xf>
    <xf numFmtId="0" fontId="16" fillId="0" borderId="2" xfId="0" applyFont="1" applyBorder="1" applyAlignment="1">
      <alignment horizontal="center" vertical="center"/>
    </xf>
    <xf numFmtId="0" fontId="16" fillId="0" borderId="3" xfId="0" applyFont="1" applyBorder="1" applyAlignment="1">
      <alignment horizontal="center" vertical="center"/>
    </xf>
    <xf numFmtId="0" fontId="16" fillId="0" borderId="1" xfId="0" applyFont="1" applyBorder="1" applyAlignment="1">
      <alignment horizontal="center" vertical="center"/>
    </xf>
  </cellXfs>
  <cellStyles count="7">
    <cellStyle name="Milliers" xfId="1" builtinId="3"/>
    <cellStyle name="Milliers [0]" xfId="6" builtinId="6"/>
    <cellStyle name="Milliers 2" xfId="2" xr:uid="{00000000-0005-0000-0000-000001000000}"/>
    <cellStyle name="Milliers 2 2" xfId="5" xr:uid="{00000000-0005-0000-0000-000002000000}"/>
    <cellStyle name="Normal" xfId="0" builtinId="0"/>
    <cellStyle name="Normal 3" xfId="4" xr:uid="{00000000-0005-0000-0000-000004000000}"/>
    <cellStyle name="Pourcentage" xfId="3" builtinId="5"/>
  </cellStyles>
  <dxfs count="162">
    <dxf>
      <numFmt numFmtId="174" formatCode="_-* #,##0.0\ _G_N_F_-;\-* #,##0.0\ _G_N_F_-;_-* &quot;-&quot;??\ _G_N_F_-;_-@_-"/>
    </dxf>
    <dxf>
      <numFmt numFmtId="174" formatCode="_-* #,##0.0\ _G_N_F_-;\-* #,##0.0\ _G_N_F_-;_-* &quot;-&quot;??\ _G_N_F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name val="Tahoma"/>
        <scheme val="none"/>
      </font>
    </dxf>
    <dxf>
      <font>
        <name val="Tahoma"/>
        <scheme val="none"/>
      </font>
    </dxf>
    <dxf>
      <font>
        <name val="Tahoma"/>
        <scheme val="none"/>
      </font>
    </dxf>
    <dxf>
      <font>
        <name val="Tahoma"/>
        <scheme val="none"/>
      </font>
    </dxf>
    <dxf>
      <font>
        <name val="Tahoma"/>
        <scheme val="none"/>
      </font>
    </dxf>
    <dxf>
      <alignment vertical="center"/>
    </dxf>
    <dxf>
      <alignment vertical="center"/>
    </dxf>
    <dxf>
      <alignment horizontal="center"/>
    </dxf>
    <dxf>
      <alignment horizontal="center"/>
    </dxf>
    <dxf>
      <alignment wrapText="1"/>
    </dxf>
    <dxf>
      <alignment wrapText="1"/>
    </dxf>
    <dxf>
      <numFmt numFmtId="169" formatCode="_-* #,##0\ _G_N_F_-;\-* #,##0\ _G_N_F_-;_-* &quot;-&quot;??\ _G_N_F_-;_-@_-"/>
    </dxf>
    <dxf>
      <numFmt numFmtId="169" formatCode="_-* #,##0\ _G_N_F_-;\-* #,##0\ _G_N_F_-;_-* &quot;-&quot;??\ _G_N_F_-;_-@_-"/>
    </dxf>
    <dxf>
      <numFmt numFmtId="174" formatCode="_-* #,##0.0\ _G_N_F_-;\-* #,##0.0\ _G_N_F_-;_-* &quot;-&quot;??\ _G_N_F_-;_-@_-"/>
    </dxf>
    <dxf>
      <numFmt numFmtId="174" formatCode="_-* #,##0.0\ _G_N_F_-;\-* #,##0.0\ _G_N_F_-;_-* &quot;-&quot;??\ _G_N_F_-;_-@_-"/>
    </dxf>
    <dxf>
      <font>
        <sz val="11"/>
      </font>
    </dxf>
    <dxf>
      <font>
        <sz val="11"/>
      </font>
    </dxf>
    <dxf>
      <font>
        <sz val="11"/>
      </font>
    </dxf>
    <dxf>
      <font>
        <sz val="12"/>
      </font>
    </dxf>
    <dxf>
      <font>
        <sz val="12"/>
      </font>
    </dxf>
    <dxf>
      <font>
        <sz val="12"/>
      </font>
    </dxf>
    <dxf>
      <font>
        <sz val="14"/>
      </font>
    </dxf>
    <dxf>
      <font>
        <sz val="14"/>
      </font>
    </dxf>
    <dxf>
      <font>
        <sz val="14"/>
      </font>
    </dxf>
    <dxf>
      <font>
        <sz val="16"/>
      </font>
    </dxf>
    <dxf>
      <font>
        <sz val="16"/>
      </font>
    </dxf>
    <dxf>
      <font>
        <sz val="16"/>
      </font>
    </dxf>
    <dxf>
      <font>
        <sz val="18"/>
      </font>
    </dxf>
    <dxf>
      <font>
        <sz val="18"/>
      </font>
    </dxf>
    <dxf>
      <font>
        <sz val="18"/>
      </font>
    </dxf>
    <dxf>
      <font>
        <name val="Tahoma"/>
        <scheme val="none"/>
      </font>
    </dxf>
    <dxf>
      <font>
        <name val="Tahoma"/>
        <scheme val="none"/>
      </font>
    </dxf>
    <dxf>
      <font>
        <name val="Tahoma"/>
        <scheme val="none"/>
      </font>
    </dxf>
    <dxf>
      <font>
        <name val="Tahoma"/>
        <scheme val="none"/>
      </font>
    </dxf>
    <dxf>
      <font>
        <name val="Tahoma"/>
        <scheme val="none"/>
      </font>
    </dxf>
    <dxf>
      <alignment horizontal="center"/>
    </dxf>
    <dxf>
      <alignment horizontal="center"/>
    </dxf>
    <dxf>
      <alignment vertical="center"/>
    </dxf>
    <dxf>
      <alignment vertical="center"/>
    </dxf>
    <dxf>
      <alignment wrapText="1"/>
    </dxf>
    <dxf>
      <alignment wrapText="1"/>
    </dxf>
    <dxf>
      <font>
        <sz val="11"/>
      </font>
    </dxf>
    <dxf>
      <font>
        <sz val="11"/>
      </font>
    </dxf>
    <dxf>
      <font>
        <sz val="11"/>
      </font>
    </dxf>
    <dxf>
      <font>
        <sz val="11"/>
      </font>
    </dxf>
    <dxf>
      <font>
        <sz val="11"/>
      </font>
    </dxf>
    <dxf>
      <font>
        <sz val="11"/>
      </font>
    </dxf>
    <dxf>
      <font>
        <sz val="12"/>
      </font>
    </dxf>
    <dxf>
      <font>
        <sz val="12"/>
      </font>
    </dxf>
    <dxf>
      <font>
        <sz val="12"/>
      </font>
    </dxf>
    <dxf>
      <font>
        <sz val="12"/>
      </font>
    </dxf>
    <dxf>
      <font>
        <sz val="12"/>
      </font>
    </dxf>
    <dxf>
      <font>
        <sz val="12"/>
      </font>
    </dxf>
    <dxf>
      <font>
        <sz val="14"/>
      </font>
    </dxf>
    <dxf>
      <font>
        <sz val="14"/>
      </font>
    </dxf>
    <dxf>
      <font>
        <sz val="14"/>
      </font>
    </dxf>
    <dxf>
      <font>
        <sz val="14"/>
      </font>
    </dxf>
    <dxf>
      <font>
        <sz val="14"/>
      </font>
    </dxf>
    <dxf>
      <font>
        <sz val="14"/>
      </font>
    </dxf>
    <dxf>
      <font>
        <sz val="16"/>
      </font>
    </dxf>
    <dxf>
      <font>
        <sz val="16"/>
      </font>
    </dxf>
    <dxf>
      <font>
        <sz val="16"/>
      </font>
    </dxf>
    <dxf>
      <font>
        <sz val="16"/>
      </font>
    </dxf>
    <dxf>
      <font>
        <sz val="16"/>
      </font>
    </dxf>
    <dxf>
      <font>
        <sz val="16"/>
      </font>
    </dxf>
    <dxf>
      <font>
        <sz val="18"/>
      </font>
    </dxf>
    <dxf>
      <font>
        <sz val="18"/>
      </font>
    </dxf>
    <dxf>
      <font>
        <sz val="18"/>
      </font>
    </dxf>
    <dxf>
      <font>
        <sz val="18"/>
      </font>
    </dxf>
    <dxf>
      <font>
        <sz val="18"/>
      </font>
    </dxf>
    <dxf>
      <font>
        <sz val="18"/>
      </font>
    </dxf>
    <dxf>
      <font>
        <name val="Tahoma"/>
        <scheme val="none"/>
      </font>
    </dxf>
    <dxf>
      <font>
        <name val="Tahoma"/>
        <scheme val="none"/>
      </font>
    </dxf>
    <dxf>
      <font>
        <name val="Tahoma"/>
        <scheme val="none"/>
      </font>
    </dxf>
    <dxf>
      <font>
        <name val="Tahoma"/>
        <scheme val="none"/>
      </font>
    </dxf>
    <dxf>
      <font>
        <name val="Tahoma"/>
        <scheme val="none"/>
      </font>
    </dxf>
    <dxf>
      <alignment vertical="center"/>
    </dxf>
    <dxf>
      <alignment vertical="center"/>
    </dxf>
    <dxf>
      <alignment horizontal="center"/>
    </dxf>
    <dxf>
      <alignment horizontal="center"/>
    </dxf>
    <dxf>
      <alignment wrapText="1"/>
    </dxf>
    <dxf>
      <alignment wrapText="1"/>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alignment horizontal="center"/>
    </dxf>
    <dxf>
      <alignment horizontal="center"/>
    </dxf>
    <dxf>
      <alignment vertical="center"/>
    </dxf>
    <dxf>
      <alignment vertical="center"/>
    </dxf>
    <dxf>
      <alignment wrapText="1"/>
    </dxf>
    <dxf>
      <alignment wrapText="1"/>
    </dxf>
    <dxf>
      <numFmt numFmtId="169" formatCode="_-* #,##0\ _G_N_F_-;\-* #,##0\ _G_N_F_-;_-* &quot;-&quot;??\ _G_N_F_-;_-@_-"/>
    </dxf>
    <dxf>
      <numFmt numFmtId="169" formatCode="_-* #,##0\ _G_N_F_-;\-* #,##0\ _G_N_F_-;_-* &quot;-&quot;??\ _G_N_F_-;_-@_-"/>
    </dxf>
    <dxf>
      <numFmt numFmtId="174" formatCode="_-* #,##0.0\ _G_N_F_-;\-* #,##0.0\ _G_N_F_-;_-* &quot;-&quot;??\ _G_N_F_-;_-@_-"/>
    </dxf>
    <dxf>
      <numFmt numFmtId="174" formatCode="_-* #,##0.0\ _G_N_F_-;\-* #,##0.0\ _G_N_F_-;_-* &quot;-&quot;??\ _G_N_F_-;_-@_-"/>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alignment wrapText="1"/>
    </dxf>
    <dxf>
      <alignment wrapText="1"/>
    </dxf>
    <dxf>
      <numFmt numFmtId="164" formatCode="_-* #,##0_-;\-* #,##0_-;_-* &quot;-&quot;_-;_-@_-"/>
    </dxf>
    <dxf>
      <alignment horizontal="center"/>
    </dxf>
    <dxf>
      <alignment horizontal="center"/>
    </dxf>
    <dxf>
      <alignment vertical="center"/>
    </dxf>
    <dxf>
      <alignment vertical="center"/>
    </dxf>
    <dxf>
      <font>
        <name val="Tahoma"/>
        <scheme val="none"/>
      </font>
    </dxf>
    <dxf>
      <font>
        <name val="Tahoma"/>
        <scheme val="none"/>
      </font>
    </dxf>
    <dxf>
      <font>
        <name val="Tahoma"/>
        <scheme val="none"/>
      </font>
    </dxf>
    <dxf>
      <font>
        <name val="Tahoma"/>
        <scheme val="none"/>
      </font>
    </dxf>
    <dxf>
      <font>
        <name val="Tahoma"/>
        <scheme val="none"/>
      </font>
    </dxf>
    <dxf>
      <font>
        <name val="Tahoma"/>
        <scheme val="none"/>
      </font>
    </dxf>
    <dxf>
      <alignment horizontal="center"/>
    </dxf>
    <dxf>
      <alignment horizontal="center"/>
    </dxf>
    <dxf>
      <alignment vertical="center"/>
    </dxf>
    <dxf>
      <alignment vertical="center"/>
    </dxf>
    <dxf>
      <numFmt numFmtId="169" formatCode="_-* #,##0\ _G_N_F_-;\-* #,##0\ _G_N_F_-;_-* &quot;-&quot;??\ _G_N_F_-;_-@_-"/>
    </dxf>
    <dxf>
      <numFmt numFmtId="169" formatCode="_-* #,##0\ _G_N_F_-;\-* #,##0\ _G_N_F_-;_-* &quot;-&quot;??\ _G_N_F_-;_-@_-"/>
    </dxf>
    <dxf>
      <numFmt numFmtId="169" formatCode="_-* #,##0\ _G_N_F_-;\-* #,##0\ _G_N_F_-;_-* &quot;-&quot;??\ _G_N_F_-;_-@_-"/>
    </dxf>
    <dxf>
      <numFmt numFmtId="169" formatCode="_-* #,##0\ _G_N_F_-;\-* #,##0\ _G_N_F_-;_-* &quot;-&quot;??\ _G_N_F_-;_-@_-"/>
    </dxf>
    <dxf>
      <numFmt numFmtId="169" formatCode="_-* #,##0\ _G_N_F_-;\-* #,##0\ _G_N_F_-;_-* &quot;-&quot;??\ _G_N_F_-;_-@_-"/>
    </dxf>
    <dxf>
      <numFmt numFmtId="169" formatCode="_-* #,##0\ _G_N_F_-;\-* #,##0\ _G_N_F_-;_-* &quot;-&quot;??\ _G_N_F_-;_-@_-"/>
    </dxf>
    <dxf>
      <numFmt numFmtId="174" formatCode="_-* #,##0.0\ _G_N_F_-;\-* #,##0.0\ _G_N_F_-;_-* &quot;-&quot;??\ _G_N_F_-;_-@_-"/>
    </dxf>
    <dxf>
      <numFmt numFmtId="174" formatCode="_-* #,##0.0\ _G_N_F_-;\-* #,##0.0\ _G_N_F_-;_-* &quot;-&quot;??\ _G_N_F_-;_-@_-"/>
    </dxf>
    <dxf>
      <numFmt numFmtId="174" formatCode="_-* #,##0.0\ _G_N_F_-;\-* #,##0.0\ _G_N_F_-;_-* &quot;-&quot;??\ _G_N_F_-;_-@_-"/>
    </dxf>
    <dxf>
      <numFmt numFmtId="174" formatCode="_-* #,##0.0\ _G_N_F_-;\-* #,##0.0\ _G_N_F_-;_-* &quot;-&quot;??\ _G_N_F_-;_-@_-"/>
    </dxf>
    <dxf>
      <numFmt numFmtId="174" formatCode="_-* #,##0.0\ _G_N_F_-;\-* #,##0.0\ _G_N_F_-;_-* &quot;-&quot;??\ _G_N_F_-;_-@_-"/>
    </dxf>
    <dxf>
      <numFmt numFmtId="174" formatCode="_-* #,##0.0\ _G_N_F_-;\-* #,##0.0\ _G_N_F_-;_-* &quot;-&quot;??\ _G_N_F_-;_-@_-"/>
    </dxf>
    <dxf>
      <font>
        <name val="Tahoma"/>
        <scheme val="none"/>
      </font>
    </dxf>
    <dxf>
      <font>
        <name val="Tahoma"/>
        <scheme val="none"/>
      </font>
    </dxf>
    <dxf>
      <font>
        <name val="Tahoma"/>
        <scheme val="none"/>
      </font>
    </dxf>
    <dxf>
      <font>
        <name val="Tahoma"/>
        <scheme val="none"/>
      </font>
    </dxf>
    <dxf>
      <font>
        <name val="Tahoma"/>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BDBE%202008%20DEC%2015_mis_a_joursv1.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Standard%20Reporting%20Tables%20and%20Charts%20FINAL(GIN-DMX)(ENG-FRE).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Traitement_2006-2014%2015071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EDUCATION/Desktop/Dossier%20ProDEG%20&#224;%20partager/Documents%20ProDEG_Circulation/Guinee_PAPB_ProDEG%202019-2022_Version%2009_Octobre%202019%20apr&#232;s%20le%20CIPC.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hp04/Desktop/ProDEG/PATAB/VERSION%20AMELIOREE/Guine&#291;e_PAPB_2019-2022%20PAR%20BAILLEUR_31_Ju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illeurs agr"/>
      <sheetName val="PAAB 09"/>
      <sheetName val="PTAB"/>
      <sheetName val="COMP"/>
      <sheetName val="CAT"/>
      <sheetName val="PROG"/>
      <sheetName val="LDF 08 &amp; 09"/>
      <sheetName val="PLF 08R &amp; 09"/>
      <sheetName val="comp 08"/>
      <sheetName val="comp 09"/>
      <sheetName val="comp 10"/>
      <sheetName val="base bailleurs"/>
      <sheetName val="sim fin"/>
      <sheetName val="cdmte"/>
      <sheetName val="récap bail"/>
      <sheetName val="PRC"/>
      <sheetName val="extraits"/>
      <sheetName val="var"/>
      <sheetName val="c coût"/>
      <sheetName val="nature"/>
      <sheetName val="c plan"/>
    </sheetNames>
    <sheetDataSet>
      <sheetData sheetId="0">
        <row r="2">
          <cell r="P2" t="str">
            <v>qté11</v>
          </cell>
        </row>
        <row r="4">
          <cell r="P4">
            <v>15</v>
          </cell>
        </row>
        <row r="5">
          <cell r="P5" t="str">
            <v>P</v>
          </cell>
        </row>
        <row r="7">
          <cell r="P7" t="str">
            <v>quantité2011</v>
          </cell>
        </row>
      </sheetData>
      <sheetData sheetId="1">
        <row r="2">
          <cell r="S2" t="str">
            <v>CAL1</v>
          </cell>
          <cell r="T2" t="str">
            <v>CAL2</v>
          </cell>
          <cell r="U2" t="str">
            <v>CAL3</v>
          </cell>
          <cell r="V2" t="str">
            <v>CAL4</v>
          </cell>
          <cell r="W2" t="str">
            <v>CAL5</v>
          </cell>
        </row>
        <row r="4">
          <cell r="S4">
            <v>18</v>
          </cell>
          <cell r="T4">
            <v>19</v>
          </cell>
          <cell r="U4">
            <v>20</v>
          </cell>
          <cell r="V4">
            <v>21</v>
          </cell>
          <cell r="W4">
            <v>22</v>
          </cell>
        </row>
        <row r="5">
          <cell r="B5" t="str">
            <v>B</v>
          </cell>
          <cell r="C5" t="str">
            <v>C</v>
          </cell>
          <cell r="D5" t="str">
            <v>D</v>
          </cell>
          <cell r="E5" t="str">
            <v>E</v>
          </cell>
          <cell r="F5" t="str">
            <v>F</v>
          </cell>
          <cell r="G5" t="str">
            <v>G</v>
          </cell>
          <cell r="H5" t="str">
            <v>H</v>
          </cell>
          <cell r="I5" t="str">
            <v>I</v>
          </cell>
          <cell r="J5" t="str">
            <v>J</v>
          </cell>
          <cell r="K5" t="str">
            <v>K</v>
          </cell>
          <cell r="L5" t="str">
            <v>L</v>
          </cell>
          <cell r="M5" t="str">
            <v>M</v>
          </cell>
          <cell r="N5" t="str">
            <v>N</v>
          </cell>
          <cell r="O5" t="str">
            <v>O</v>
          </cell>
          <cell r="P5" t="str">
            <v>P</v>
          </cell>
          <cell r="Q5" t="str">
            <v>Q</v>
          </cell>
          <cell r="R5" t="str">
            <v>R</v>
          </cell>
          <cell r="S5" t="str">
            <v>S</v>
          </cell>
          <cell r="T5" t="str">
            <v>T</v>
          </cell>
          <cell r="U5" t="str">
            <v>U</v>
          </cell>
          <cell r="V5" t="str">
            <v>V</v>
          </cell>
          <cell r="W5" t="str">
            <v>W</v>
          </cell>
          <cell r="X5" t="str">
            <v>X</v>
          </cell>
          <cell r="Y5" t="str">
            <v>Y</v>
          </cell>
          <cell r="Z5" t="str">
            <v>Z</v>
          </cell>
          <cell r="AA5" t="str">
            <v>AA</v>
          </cell>
          <cell r="AB5" t="str">
            <v>AB</v>
          </cell>
          <cell r="AC5" t="str">
            <v>AC</v>
          </cell>
          <cell r="AD5" t="str">
            <v>AD</v>
          </cell>
          <cell r="AE5" t="str">
            <v>AE</v>
          </cell>
          <cell r="AF5" t="str">
            <v>AF</v>
          </cell>
        </row>
        <row r="7">
          <cell r="B7" t="str">
            <v>originede laprogrammation</v>
          </cell>
          <cell r="C7" t="str">
            <v>comp</v>
          </cell>
          <cell r="D7" t="str">
            <v>volet</v>
          </cell>
          <cell r="E7" t="str">
            <v>centrede coût</v>
          </cell>
          <cell r="F7" t="str">
            <v>centrede gestion</v>
          </cell>
          <cell r="G7" t="str">
            <v>nature dela dépense</v>
          </cell>
          <cell r="H7" t="str">
            <v>activité / nature</v>
          </cell>
          <cell r="I7" t="str">
            <v>responsabled'exécution</v>
          </cell>
          <cell r="J7" t="str">
            <v>agenced'exécution</v>
          </cell>
          <cell r="K7" t="str">
            <v>projet oubudget</v>
          </cell>
          <cell r="L7" t="str">
            <v>procédured'acquisition</v>
          </cell>
          <cell r="M7" t="str">
            <v>quantité2009</v>
          </cell>
          <cell r="N7" t="str">
            <v>unité</v>
          </cell>
          <cell r="O7" t="str">
            <v>réf ducoûtstandard</v>
          </cell>
          <cell r="P7" t="str">
            <v>coûtunitaireen kgnf</v>
          </cell>
          <cell r="Q7" t="str">
            <v>%bailleur</v>
          </cell>
          <cell r="R7" t="str">
            <v>coûttotal 2009en kgnf</v>
          </cell>
          <cell r="S7" t="str">
            <v>%décaissement2009 T1</v>
          </cell>
          <cell r="T7" t="str">
            <v>%décaissement2009 T2</v>
          </cell>
          <cell r="U7" t="str">
            <v>%décaissement2009 T3</v>
          </cell>
          <cell r="V7" t="str">
            <v>%décaissement2009 T4</v>
          </cell>
          <cell r="W7" t="str">
            <v>%décaissement2010 T1</v>
          </cell>
          <cell r="X7" t="str">
            <v>%décaissement2010 T2</v>
          </cell>
          <cell r="Y7" t="str">
            <v>TOTAL</v>
          </cell>
          <cell r="Z7" t="str">
            <v>Décaissements2009   T1</v>
          </cell>
          <cell r="AA7" t="str">
            <v>Décaissements2009   T2</v>
          </cell>
          <cell r="AB7" t="str">
            <v>Décaissements2009   T3</v>
          </cell>
          <cell r="AC7" t="str">
            <v>Décaissements2009   T4</v>
          </cell>
          <cell r="AD7" t="str">
            <v>Décaissements2010   T1</v>
          </cell>
          <cell r="AE7" t="str">
            <v>Décaissements2010   T2</v>
          </cell>
          <cell r="AF7" t="str">
            <v>TOTAL</v>
          </cell>
        </row>
        <row r="8">
          <cell r="R8">
            <v>58674.286149976171</v>
          </cell>
        </row>
        <row r="9">
          <cell r="H9" t="str">
            <v>TOTAL  EN MILLIERS D'USD</v>
          </cell>
          <cell r="R9">
            <v>134422.52154712382</v>
          </cell>
          <cell r="Z9">
            <v>7023.3241136602628</v>
          </cell>
          <cell r="AA9">
            <v>41341.40734477908</v>
          </cell>
          <cell r="AB9">
            <v>47688.994524248825</v>
          </cell>
          <cell r="AC9">
            <v>17558.590082459585</v>
          </cell>
          <cell r="AD9">
            <v>9402.7848741366397</v>
          </cell>
          <cell r="AE9">
            <v>11407.420607839478</v>
          </cell>
          <cell r="AF9">
            <v>134422.52154712382</v>
          </cell>
        </row>
        <row r="10">
          <cell r="Z10">
            <v>5.2248120574037375E-2</v>
          </cell>
          <cell r="AA10">
            <v>0.30754822085587968</v>
          </cell>
          <cell r="AB10">
            <v>0.35476937923330604</v>
          </cell>
          <cell r="AC10">
            <v>0.13062238291895276</v>
          </cell>
          <cell r="AD10">
            <v>6.9949475474170103E-2</v>
          </cell>
          <cell r="AE10">
            <v>8.4862420943654426E-2</v>
          </cell>
          <cell r="AF10">
            <v>1</v>
          </cell>
        </row>
        <row r="11">
          <cell r="H11" t="str">
            <v>TOTAL EN MILLIER DE GNF</v>
          </cell>
          <cell r="R11">
            <v>661896496.09803772</v>
          </cell>
          <cell r="Z11">
            <v>34582847.935663134</v>
          </cell>
          <cell r="AA11">
            <v>203565089.76569217</v>
          </cell>
          <cell r="AB11">
            <v>234820609.03740123</v>
          </cell>
          <cell r="AC11">
            <v>86458497.566030994</v>
          </cell>
          <cell r="AD11">
            <v>46299312.720248811</v>
          </cell>
          <cell r="AE11">
            <v>56170139.073001593</v>
          </cell>
          <cell r="AF11">
            <v>661896496.09803772</v>
          </cell>
        </row>
        <row r="13">
          <cell r="D13" t="str">
            <v>NA</v>
          </cell>
          <cell r="G13" t="str">
            <v>NA</v>
          </cell>
          <cell r="H13" t="str">
            <v>NON ALLOUES</v>
          </cell>
          <cell r="R13">
            <v>6907194.1504486958</v>
          </cell>
          <cell r="Z13">
            <v>360887.9128009291</v>
          </cell>
          <cell r="AA13">
            <v>2124295.2720766356</v>
          </cell>
          <cell r="AB13">
            <v>2450460.9809986064</v>
          </cell>
          <cell r="AC13">
            <v>902234.15921546007</v>
          </cell>
          <cell r="AD13">
            <v>483154.60782214225</v>
          </cell>
          <cell r="AE13">
            <v>586161.21753492474</v>
          </cell>
          <cell r="AF13">
            <v>6907194.1504486976</v>
          </cell>
        </row>
        <row r="15">
          <cell r="H15" t="str">
            <v>P1 EDUCATION DE BASE</v>
          </cell>
          <cell r="R15">
            <v>529898374.77598906</v>
          </cell>
          <cell r="Z15">
            <v>24958698.047402207</v>
          </cell>
          <cell r="AA15">
            <v>164846430.09735554</v>
          </cell>
          <cell r="AB15">
            <v>211500769.47294262</v>
          </cell>
          <cell r="AC15">
            <v>60849327.319355547</v>
          </cell>
          <cell r="AD15">
            <v>31739975.319466669</v>
          </cell>
          <cell r="AE15">
            <v>36003174.519466676</v>
          </cell>
          <cell r="AF15">
            <v>529898374.77598906</v>
          </cell>
        </row>
        <row r="17">
          <cell r="H17" t="str">
            <v>PRESCOLAIRE</v>
          </cell>
          <cell r="R17">
            <v>13290662.0482</v>
          </cell>
          <cell r="Z17">
            <v>169378.32</v>
          </cell>
          <cell r="AA17">
            <v>3741198.6799999997</v>
          </cell>
          <cell r="AB17">
            <v>5651393.3282000013</v>
          </cell>
          <cell r="AC17">
            <v>3728691.72</v>
          </cell>
          <cell r="AD17">
            <v>0</v>
          </cell>
          <cell r="AE17">
            <v>0</v>
          </cell>
          <cell r="AF17">
            <v>13290662.0482</v>
          </cell>
        </row>
        <row r="18">
          <cell r="H18" t="str">
            <v>Infrastructures</v>
          </cell>
          <cell r="R18">
            <v>11669880</v>
          </cell>
          <cell r="Z18">
            <v>163378.32</v>
          </cell>
          <cell r="AA18">
            <v>3045838.6799999997</v>
          </cell>
          <cell r="AB18">
            <v>4737971.28</v>
          </cell>
          <cell r="AC18">
            <v>3722691.7199999997</v>
          </cell>
          <cell r="AD18">
            <v>0</v>
          </cell>
          <cell r="AE18">
            <v>0</v>
          </cell>
          <cell r="AF18">
            <v>11669880</v>
          </cell>
        </row>
        <row r="19">
          <cell r="B19" t="str">
            <v>DPE/MASPFE</v>
          </cell>
          <cell r="C19" t="str">
            <v>A</v>
          </cell>
          <cell r="D19" t="str">
            <v>11A</v>
          </cell>
          <cell r="E19" t="str">
            <v>PSP/</v>
          </cell>
          <cell r="F19" t="str">
            <v>FC/CN</v>
          </cell>
          <cell r="G19">
            <v>21</v>
          </cell>
          <cell r="H19" t="str">
            <v>BET pour les constructions préscolaire public</v>
          </cell>
          <cell r="I19" t="str">
            <v>SNIES</v>
          </cell>
          <cell r="K19" t="str">
            <v>FC/PSE</v>
          </cell>
          <cell r="L19" t="str">
            <v>CR</v>
          </cell>
          <cell r="N19" t="str">
            <v>forfait</v>
          </cell>
          <cell r="O19" t="str">
            <v>coût total</v>
          </cell>
          <cell r="P19">
            <v>7.0000000000000007E-2</v>
          </cell>
          <cell r="Q19">
            <v>1</v>
          </cell>
          <cell r="R19">
            <v>134425.20000000004</v>
          </cell>
          <cell r="S19">
            <v>0.2</v>
          </cell>
          <cell r="T19">
            <v>0.3</v>
          </cell>
          <cell r="U19">
            <v>0.3</v>
          </cell>
          <cell r="V19">
            <v>0.2</v>
          </cell>
          <cell r="Y19">
            <v>0</v>
          </cell>
          <cell r="Z19">
            <v>26885.040000000008</v>
          </cell>
          <cell r="AA19">
            <v>40327.560000000012</v>
          </cell>
          <cell r="AB19">
            <v>40327.560000000012</v>
          </cell>
          <cell r="AC19">
            <v>26885.040000000008</v>
          </cell>
          <cell r="AD19">
            <v>0</v>
          </cell>
          <cell r="AE19">
            <v>0</v>
          </cell>
          <cell r="AF19">
            <v>134425.20000000004</v>
          </cell>
        </row>
        <row r="20">
          <cell r="B20" t="str">
            <v>DPE/MASPFE</v>
          </cell>
          <cell r="C20" t="str">
            <v>A</v>
          </cell>
          <cell r="D20" t="str">
            <v>11A</v>
          </cell>
          <cell r="E20" t="str">
            <v>PSP/</v>
          </cell>
          <cell r="F20" t="str">
            <v>FC/CN</v>
          </cell>
          <cell r="G20">
            <v>22</v>
          </cell>
          <cell r="H20" t="str">
            <v>Travaux de construction classes préscolaire public</v>
          </cell>
          <cell r="I20" t="str">
            <v>SNIES</v>
          </cell>
          <cell r="K20" t="str">
            <v>FC/PSE</v>
          </cell>
          <cell r="L20" t="str">
            <v>AON</v>
          </cell>
          <cell r="M20">
            <v>20</v>
          </cell>
          <cell r="N20" t="str">
            <v>cl</v>
          </cell>
          <cell r="O20" t="str">
            <v>ccmp</v>
          </cell>
          <cell r="P20">
            <v>76814.400000000009</v>
          </cell>
          <cell r="Q20">
            <v>1</v>
          </cell>
          <cell r="R20">
            <v>1536288.0000000002</v>
          </cell>
          <cell r="T20">
            <v>0.3</v>
          </cell>
          <cell r="U20">
            <v>0.4</v>
          </cell>
          <cell r="V20">
            <v>0.3</v>
          </cell>
          <cell r="Y20">
            <v>0</v>
          </cell>
          <cell r="Z20">
            <v>0</v>
          </cell>
          <cell r="AA20">
            <v>460886.40000000008</v>
          </cell>
          <cell r="AB20">
            <v>614515.20000000007</v>
          </cell>
          <cell r="AC20">
            <v>460886.40000000008</v>
          </cell>
          <cell r="AD20">
            <v>0</v>
          </cell>
          <cell r="AE20">
            <v>0</v>
          </cell>
          <cell r="AF20">
            <v>1536288.0000000002</v>
          </cell>
        </row>
        <row r="21">
          <cell r="B21" t="str">
            <v>DPE/MASPFE</v>
          </cell>
          <cell r="C21" t="str">
            <v>A</v>
          </cell>
          <cell r="D21" t="str">
            <v>11A</v>
          </cell>
          <cell r="E21" t="str">
            <v>PSP/</v>
          </cell>
          <cell r="F21" t="str">
            <v>FC/CN</v>
          </cell>
          <cell r="G21">
            <v>23</v>
          </cell>
          <cell r="H21" t="str">
            <v>Mobilier classes préscolaires public</v>
          </cell>
          <cell r="I21" t="str">
            <v>DPE/MASPFE</v>
          </cell>
          <cell r="K21" t="str">
            <v>FC/PSE</v>
          </cell>
          <cell r="L21" t="str">
            <v>AON</v>
          </cell>
          <cell r="M21">
            <v>20</v>
          </cell>
          <cell r="N21" t="str">
            <v>lot</v>
          </cell>
          <cell r="O21" t="str">
            <v>mcmp</v>
          </cell>
          <cell r="P21">
            <v>12482.34</v>
          </cell>
          <cell r="Q21">
            <v>1</v>
          </cell>
          <cell r="R21">
            <v>249646.8</v>
          </cell>
          <cell r="U21">
            <v>0.5</v>
          </cell>
          <cell r="V21">
            <v>0.5</v>
          </cell>
          <cell r="Y21">
            <v>0</v>
          </cell>
          <cell r="Z21">
            <v>0</v>
          </cell>
          <cell r="AA21">
            <v>0</v>
          </cell>
          <cell r="AB21">
            <v>124823.4</v>
          </cell>
          <cell r="AC21">
            <v>124823.4</v>
          </cell>
          <cell r="AD21">
            <v>0</v>
          </cell>
          <cell r="AE21">
            <v>0</v>
          </cell>
          <cell r="AF21">
            <v>249646.8</v>
          </cell>
        </row>
        <row r="22">
          <cell r="B22" t="str">
            <v>DPE/MASPFE</v>
          </cell>
          <cell r="C22" t="str">
            <v>A</v>
          </cell>
          <cell r="D22" t="str">
            <v>11A</v>
          </cell>
          <cell r="E22" t="str">
            <v>CEC/</v>
          </cell>
          <cell r="F22" t="str">
            <v>FC/CN</v>
          </cell>
          <cell r="G22">
            <v>21</v>
          </cell>
          <cell r="H22" t="str">
            <v>BET pour les constructions de classes préscolaire communautaire (CEC)</v>
          </cell>
          <cell r="I22" t="str">
            <v>SNIES</v>
          </cell>
          <cell r="K22" t="str">
            <v>FC/PSE</v>
          </cell>
          <cell r="L22" t="str">
            <v>CR</v>
          </cell>
          <cell r="N22" t="str">
            <v>forfait</v>
          </cell>
          <cell r="O22" t="str">
            <v>coût total</v>
          </cell>
          <cell r="P22">
            <v>7.0000000000000007E-2</v>
          </cell>
          <cell r="Q22">
            <v>1</v>
          </cell>
          <cell r="R22">
            <v>682466.4</v>
          </cell>
          <cell r="S22">
            <v>0.2</v>
          </cell>
          <cell r="T22">
            <v>0.3</v>
          </cell>
          <cell r="U22">
            <v>0.3</v>
          </cell>
          <cell r="V22">
            <v>0.2</v>
          </cell>
          <cell r="Y22">
            <v>0</v>
          </cell>
          <cell r="Z22">
            <v>136493.28</v>
          </cell>
          <cell r="AA22">
            <v>204739.92</v>
          </cell>
          <cell r="AB22">
            <v>204739.92</v>
          </cell>
          <cell r="AC22">
            <v>136493.28</v>
          </cell>
          <cell r="AD22">
            <v>0</v>
          </cell>
          <cell r="AE22">
            <v>0</v>
          </cell>
          <cell r="AF22">
            <v>682466.4</v>
          </cell>
        </row>
        <row r="23">
          <cell r="B23" t="str">
            <v>DPE/MASPFE</v>
          </cell>
          <cell r="C23" t="str">
            <v>A</v>
          </cell>
          <cell r="D23" t="str">
            <v>11A</v>
          </cell>
          <cell r="E23" t="str">
            <v>CEC/</v>
          </cell>
          <cell r="F23" t="str">
            <v>FC/CN</v>
          </cell>
          <cell r="G23">
            <v>22</v>
          </cell>
          <cell r="H23" t="str">
            <v>Travaux de construction classes préscolaire communautaire (CEC)</v>
          </cell>
          <cell r="I23" t="str">
            <v>SNIES</v>
          </cell>
          <cell r="K23" t="str">
            <v>FC/PSE</v>
          </cell>
          <cell r="L23" t="str">
            <v>AON</v>
          </cell>
          <cell r="M23">
            <v>120</v>
          </cell>
          <cell r="N23" t="str">
            <v>cl</v>
          </cell>
          <cell r="O23" t="str">
            <v>ccmc</v>
          </cell>
          <cell r="P23">
            <v>64996.800000000003</v>
          </cell>
          <cell r="Q23">
            <v>1</v>
          </cell>
          <cell r="R23">
            <v>7799616</v>
          </cell>
          <cell r="T23">
            <v>0.3</v>
          </cell>
          <cell r="U23">
            <v>0.4</v>
          </cell>
          <cell r="V23">
            <v>0.3</v>
          </cell>
          <cell r="Y23">
            <v>0</v>
          </cell>
          <cell r="Z23">
            <v>0</v>
          </cell>
          <cell r="AA23">
            <v>2339884.7999999998</v>
          </cell>
          <cell r="AB23">
            <v>3119846.4000000004</v>
          </cell>
          <cell r="AC23">
            <v>2339884.7999999998</v>
          </cell>
          <cell r="AD23">
            <v>0</v>
          </cell>
          <cell r="AE23">
            <v>0</v>
          </cell>
          <cell r="AF23">
            <v>7799616</v>
          </cell>
        </row>
        <row r="24">
          <cell r="B24" t="str">
            <v>DPE/MASPFE</v>
          </cell>
          <cell r="C24" t="str">
            <v>A</v>
          </cell>
          <cell r="D24" t="str">
            <v>11A</v>
          </cell>
          <cell r="E24" t="str">
            <v>CEC/</v>
          </cell>
          <cell r="F24" t="str">
            <v>FC/CN</v>
          </cell>
          <cell r="G24">
            <v>23</v>
          </cell>
          <cell r="H24" t="str">
            <v>Mobilier classes préscolaires communautaire (CEC)</v>
          </cell>
          <cell r="I24" t="str">
            <v>DPE/MASPFE</v>
          </cell>
          <cell r="K24" t="str">
            <v>FC/PSE</v>
          </cell>
          <cell r="L24" t="str">
            <v>AON</v>
          </cell>
          <cell r="M24">
            <v>120</v>
          </cell>
          <cell r="N24" t="str">
            <v>lot</v>
          </cell>
          <cell r="O24" t="str">
            <v>mcmc</v>
          </cell>
          <cell r="P24">
            <v>10561.980000000001</v>
          </cell>
          <cell r="Q24">
            <v>1</v>
          </cell>
          <cell r="R24">
            <v>1267437.6000000001</v>
          </cell>
          <cell r="U24">
            <v>0.5</v>
          </cell>
          <cell r="V24">
            <v>0.5</v>
          </cell>
          <cell r="Y24">
            <v>0</v>
          </cell>
          <cell r="Z24">
            <v>0</v>
          </cell>
          <cell r="AA24">
            <v>0</v>
          </cell>
          <cell r="AB24">
            <v>633718.80000000005</v>
          </cell>
          <cell r="AC24">
            <v>633718.80000000005</v>
          </cell>
          <cell r="AD24">
            <v>0</v>
          </cell>
          <cell r="AE24">
            <v>0</v>
          </cell>
          <cell r="AF24">
            <v>1267437.6000000001</v>
          </cell>
        </row>
        <row r="25">
          <cell r="H25" t="str">
            <v>Matériels didactiques et ludiques</v>
          </cell>
          <cell r="R25">
            <v>218062.04820000005</v>
          </cell>
          <cell r="Z25">
            <v>0</v>
          </cell>
          <cell r="AA25">
            <v>0</v>
          </cell>
          <cell r="AB25">
            <v>218062.04820000005</v>
          </cell>
          <cell r="AC25">
            <v>0</v>
          </cell>
          <cell r="AD25">
            <v>0</v>
          </cell>
          <cell r="AE25">
            <v>0</v>
          </cell>
          <cell r="AF25">
            <v>218062.04820000005</v>
          </cell>
        </row>
        <row r="26">
          <cell r="B26" t="str">
            <v>DPE/MASPFE</v>
          </cell>
          <cell r="C26" t="str">
            <v>Q</v>
          </cell>
          <cell r="D26" t="str">
            <v>11B</v>
          </cell>
          <cell r="E26" t="str">
            <v>DPE</v>
          </cell>
          <cell r="F26" t="str">
            <v>FC/CN</v>
          </cell>
          <cell r="G26">
            <v>24</v>
          </cell>
          <cell r="H26" t="str">
            <v>Matériels didactiques et ludiques pour élèves préscolaire public et CEC</v>
          </cell>
          <cell r="I26" t="str">
            <v>DPE/MASPFE</v>
          </cell>
          <cell r="K26" t="str">
            <v>FC/PSE</v>
          </cell>
          <cell r="L26" t="str">
            <v>AOI</v>
          </cell>
          <cell r="M26">
            <v>29523.7</v>
          </cell>
          <cell r="N26" t="str">
            <v>lot</v>
          </cell>
          <cell r="P26">
            <v>7.386000000000001</v>
          </cell>
          <cell r="Q26">
            <v>1</v>
          </cell>
          <cell r="R26">
            <v>218062.04820000005</v>
          </cell>
          <cell r="U26">
            <v>1</v>
          </cell>
          <cell r="Y26">
            <v>0</v>
          </cell>
          <cell r="Z26">
            <v>0</v>
          </cell>
          <cell r="AA26">
            <v>0</v>
          </cell>
          <cell r="AB26">
            <v>218062.04820000005</v>
          </cell>
          <cell r="AC26">
            <v>0</v>
          </cell>
          <cell r="AD26">
            <v>0</v>
          </cell>
          <cell r="AE26">
            <v>0</v>
          </cell>
          <cell r="AF26">
            <v>218062.04820000005</v>
          </cell>
        </row>
        <row r="27">
          <cell r="H27" t="str">
            <v>Formation des encadreurs</v>
          </cell>
          <cell r="R27">
            <v>1378720</v>
          </cell>
          <cell r="Z27">
            <v>0</v>
          </cell>
          <cell r="AA27">
            <v>689360</v>
          </cell>
          <cell r="AB27">
            <v>689360</v>
          </cell>
          <cell r="AC27">
            <v>0</v>
          </cell>
          <cell r="AD27">
            <v>0</v>
          </cell>
          <cell r="AE27">
            <v>0</v>
          </cell>
          <cell r="AF27">
            <v>1378720</v>
          </cell>
        </row>
        <row r="28">
          <cell r="B28" t="str">
            <v>DPE/MASPFE</v>
          </cell>
          <cell r="C28" t="str">
            <v>Q</v>
          </cell>
          <cell r="D28" t="str">
            <v>11C</v>
          </cell>
          <cell r="E28" t="str">
            <v>DPE</v>
          </cell>
          <cell r="F28" t="str">
            <v>FC/CN</v>
          </cell>
          <cell r="G28">
            <v>12</v>
          </cell>
          <cell r="H28" t="str">
            <v>Formation d'encadreurs des classes préscolaire public</v>
          </cell>
          <cell r="I28" t="str">
            <v>DPE/MASPFE</v>
          </cell>
          <cell r="K28" t="str">
            <v>FC/PSE</v>
          </cell>
          <cell r="L28" t="str">
            <v>AUT</v>
          </cell>
          <cell r="M28">
            <v>20</v>
          </cell>
          <cell r="N28" t="str">
            <v>p</v>
          </cell>
          <cell r="P28">
            <v>9848</v>
          </cell>
          <cell r="Q28">
            <v>1</v>
          </cell>
          <cell r="R28">
            <v>196960</v>
          </cell>
          <cell r="T28">
            <v>0.5</v>
          </cell>
          <cell r="U28">
            <v>0.5</v>
          </cell>
          <cell r="Y28">
            <v>0</v>
          </cell>
          <cell r="Z28">
            <v>0</v>
          </cell>
          <cell r="AA28">
            <v>98480</v>
          </cell>
          <cell r="AB28">
            <v>98480</v>
          </cell>
          <cell r="AC28">
            <v>0</v>
          </cell>
          <cell r="AD28">
            <v>0</v>
          </cell>
          <cell r="AE28">
            <v>0</v>
          </cell>
          <cell r="AF28">
            <v>196960</v>
          </cell>
        </row>
        <row r="29">
          <cell r="B29" t="str">
            <v>DPE/MASPFE</v>
          </cell>
          <cell r="C29" t="str">
            <v>Q</v>
          </cell>
          <cell r="D29" t="str">
            <v>11C</v>
          </cell>
          <cell r="E29" t="str">
            <v>DPE</v>
          </cell>
          <cell r="F29" t="str">
            <v>FC/CN</v>
          </cell>
          <cell r="G29">
            <v>12</v>
          </cell>
          <cell r="H29" t="str">
            <v>Formation d'encadreurs des classes préscolaire communautaire</v>
          </cell>
          <cell r="I29" t="str">
            <v>DPE/MASPFE</v>
          </cell>
          <cell r="K29" t="str">
            <v>FC/PSE</v>
          </cell>
          <cell r="L29" t="str">
            <v>AUT</v>
          </cell>
          <cell r="M29">
            <v>120</v>
          </cell>
          <cell r="N29" t="str">
            <v>p</v>
          </cell>
          <cell r="P29">
            <v>9848</v>
          </cell>
          <cell r="Q29">
            <v>1</v>
          </cell>
          <cell r="R29">
            <v>1181760</v>
          </cell>
          <cell r="T29">
            <v>0.5</v>
          </cell>
          <cell r="U29">
            <v>0.5</v>
          </cell>
          <cell r="Y29">
            <v>0</v>
          </cell>
          <cell r="Z29">
            <v>0</v>
          </cell>
          <cell r="AA29">
            <v>590880</v>
          </cell>
          <cell r="AB29">
            <v>590880</v>
          </cell>
          <cell r="AC29">
            <v>0</v>
          </cell>
          <cell r="AD29">
            <v>0</v>
          </cell>
          <cell r="AE29">
            <v>0</v>
          </cell>
          <cell r="AF29">
            <v>1181760</v>
          </cell>
        </row>
        <row r="30">
          <cell r="H30" t="str">
            <v>Supervision suivi et évaluation</v>
          </cell>
          <cell r="R30">
            <v>24000</v>
          </cell>
          <cell r="Z30">
            <v>6000</v>
          </cell>
          <cell r="AA30">
            <v>6000</v>
          </cell>
          <cell r="AB30">
            <v>6000</v>
          </cell>
          <cell r="AC30">
            <v>6000</v>
          </cell>
          <cell r="AD30">
            <v>0</v>
          </cell>
          <cell r="AE30">
            <v>0</v>
          </cell>
          <cell r="AF30">
            <v>24000</v>
          </cell>
        </row>
        <row r="31">
          <cell r="B31" t="str">
            <v>DPE/MASPFE</v>
          </cell>
          <cell r="C31" t="str">
            <v>Q</v>
          </cell>
          <cell r="D31" t="str">
            <v>11D</v>
          </cell>
          <cell r="E31" t="str">
            <v>DPE</v>
          </cell>
          <cell r="F31" t="str">
            <v>FC/CN</v>
          </cell>
          <cell r="G31">
            <v>15</v>
          </cell>
          <cell r="H31" t="str">
            <v>Suivi et évaluation de la mise en œuvre</v>
          </cell>
          <cell r="I31" t="str">
            <v>DPE/MASPFE</v>
          </cell>
          <cell r="K31" t="str">
            <v>FC/PSE</v>
          </cell>
          <cell r="L31" t="str">
            <v>AUT</v>
          </cell>
          <cell r="M31">
            <v>12</v>
          </cell>
          <cell r="N31" t="str">
            <v>mois</v>
          </cell>
          <cell r="P31">
            <v>2000</v>
          </cell>
          <cell r="Q31">
            <v>1</v>
          </cell>
          <cell r="R31">
            <v>24000</v>
          </cell>
          <cell r="S31">
            <v>0.25</v>
          </cell>
          <cell r="T31">
            <v>0.25</v>
          </cell>
          <cell r="U31">
            <v>0.25</v>
          </cell>
          <cell r="V31">
            <v>0.25</v>
          </cell>
          <cell r="Y31">
            <v>0</v>
          </cell>
          <cell r="Z31">
            <v>6000</v>
          </cell>
          <cell r="AA31">
            <v>6000</v>
          </cell>
          <cell r="AB31">
            <v>6000</v>
          </cell>
          <cell r="AC31">
            <v>6000</v>
          </cell>
          <cell r="AD31">
            <v>0</v>
          </cell>
          <cell r="AE31">
            <v>0</v>
          </cell>
          <cell r="AF31">
            <v>24000</v>
          </cell>
        </row>
        <row r="32">
          <cell r="H32" t="str">
            <v>Evaluations des enseignements du préscolaire</v>
          </cell>
          <cell r="R32">
            <v>0</v>
          </cell>
          <cell r="Z32">
            <v>0</v>
          </cell>
          <cell r="AA32">
            <v>0</v>
          </cell>
          <cell r="AB32">
            <v>0</v>
          </cell>
          <cell r="AC32">
            <v>0</v>
          </cell>
          <cell r="AD32">
            <v>0</v>
          </cell>
          <cell r="AE32">
            <v>0</v>
          </cell>
          <cell r="AF32">
            <v>0</v>
          </cell>
        </row>
        <row r="33">
          <cell r="B33" t="str">
            <v>CNCESE</v>
          </cell>
          <cell r="C33" t="str">
            <v>Q</v>
          </cell>
          <cell r="D33" t="str">
            <v>11E</v>
          </cell>
          <cell r="E33" t="str">
            <v>DPE/MASPFE</v>
          </cell>
          <cell r="F33" t="str">
            <v>FC/CN</v>
          </cell>
          <cell r="G33">
            <v>15</v>
          </cell>
          <cell r="H33" t="str">
            <v>Evaluation des enseignements du préscolaire</v>
          </cell>
          <cell r="I33" t="str">
            <v>CNCESE</v>
          </cell>
          <cell r="K33" t="str">
            <v>FC/PSE</v>
          </cell>
          <cell r="L33" t="str">
            <v>AUT</v>
          </cell>
          <cell r="N33" t="str">
            <v>forfait</v>
          </cell>
          <cell r="P33">
            <v>192004.4</v>
          </cell>
          <cell r="Q33">
            <v>1</v>
          </cell>
          <cell r="R33">
            <v>0</v>
          </cell>
          <cell r="Y33">
            <v>-1</v>
          </cell>
          <cell r="Z33">
            <v>0</v>
          </cell>
          <cell r="AA33">
            <v>0</v>
          </cell>
          <cell r="AB33">
            <v>0</v>
          </cell>
          <cell r="AC33">
            <v>0</v>
          </cell>
          <cell r="AD33">
            <v>0</v>
          </cell>
          <cell r="AE33">
            <v>0</v>
          </cell>
          <cell r="AF33">
            <v>0</v>
          </cell>
        </row>
        <row r="34">
          <cell r="B34" t="str">
            <v>CNCESE</v>
          </cell>
          <cell r="C34" t="str">
            <v>Q</v>
          </cell>
          <cell r="D34" t="str">
            <v>11E</v>
          </cell>
          <cell r="E34" t="str">
            <v>DPE/MASPFE</v>
          </cell>
          <cell r="F34" t="str">
            <v>FC/CN</v>
          </cell>
          <cell r="G34">
            <v>25</v>
          </cell>
          <cell r="H34" t="str">
            <v>Spécialistes en évaluation 1 mission de 15jours</v>
          </cell>
          <cell r="I34" t="str">
            <v>CNCESE</v>
          </cell>
          <cell r="K34" t="str">
            <v>FC/PSE</v>
          </cell>
          <cell r="L34" t="str">
            <v>CR</v>
          </cell>
          <cell r="N34" t="str">
            <v>pxm</v>
          </cell>
          <cell r="O34" t="str">
            <v>cic</v>
          </cell>
          <cell r="P34">
            <v>88632</v>
          </cell>
          <cell r="Q34">
            <v>1</v>
          </cell>
          <cell r="R34">
            <v>0</v>
          </cell>
          <cell r="Y34">
            <v>-1</v>
          </cell>
          <cell r="Z34">
            <v>0</v>
          </cell>
          <cell r="AA34">
            <v>0</v>
          </cell>
          <cell r="AB34">
            <v>0</v>
          </cell>
          <cell r="AC34">
            <v>0</v>
          </cell>
          <cell r="AD34">
            <v>0</v>
          </cell>
          <cell r="AE34">
            <v>0</v>
          </cell>
          <cell r="AF34">
            <v>0</v>
          </cell>
        </row>
        <row r="35">
          <cell r="H35" t="str">
            <v>PRIMAIRE</v>
          </cell>
          <cell r="R35">
            <v>496071417.60978937</v>
          </cell>
          <cell r="Z35">
            <v>22509464.6394022</v>
          </cell>
          <cell r="AA35">
            <v>152398084.30735555</v>
          </cell>
          <cell r="AB35">
            <v>198441346.38474259</v>
          </cell>
          <cell r="AC35">
            <v>54979372.439355567</v>
          </cell>
          <cell r="AD35">
            <v>31739975.319466669</v>
          </cell>
          <cell r="AE35">
            <v>36003174.519466676</v>
          </cell>
          <cell r="AF35">
            <v>496071417.60978937</v>
          </cell>
        </row>
        <row r="36">
          <cell r="H36" t="str">
            <v>Infrastructures</v>
          </cell>
          <cell r="R36">
            <v>425767476.52713561</v>
          </cell>
          <cell r="Z36">
            <v>14771730.604468869</v>
          </cell>
          <cell r="AA36">
            <v>109798691.12853335</v>
          </cell>
          <cell r="AB36">
            <v>183768269.82453337</v>
          </cell>
          <cell r="AC36">
            <v>50826739.960533343</v>
          </cell>
          <cell r="AD36">
            <v>31169422.904533338</v>
          </cell>
          <cell r="AE36">
            <v>35432622.104533337</v>
          </cell>
          <cell r="AF36">
            <v>425767476.52713567</v>
          </cell>
        </row>
        <row r="37">
          <cell r="B37" t="str">
            <v>SNIES</v>
          </cell>
          <cell r="C37" t="str">
            <v>A</v>
          </cell>
          <cell r="D37" t="str">
            <v>12A</v>
          </cell>
          <cell r="E37" t="str">
            <v>EP/</v>
          </cell>
          <cell r="F37" t="str">
            <v>FC/CN</v>
          </cell>
          <cell r="G37">
            <v>21</v>
          </cell>
          <cell r="H37" t="str">
            <v>BET pour les constructions réhabilitation des infrastructures</v>
          </cell>
          <cell r="I37" t="str">
            <v>SNIES</v>
          </cell>
          <cell r="K37" t="str">
            <v>FC/PSE</v>
          </cell>
          <cell r="L37" t="str">
            <v>CR</v>
          </cell>
          <cell r="N37" t="str">
            <v>forfait</v>
          </cell>
          <cell r="O37" t="str">
            <v>coût total</v>
          </cell>
          <cell r="P37">
            <v>7.0000000000000007E-2</v>
          </cell>
          <cell r="Q37">
            <v>1</v>
          </cell>
          <cell r="R37">
            <v>23309688.147200003</v>
          </cell>
          <cell r="S37">
            <v>0.16666666666666666</v>
          </cell>
          <cell r="T37">
            <v>0.16666666666666666</v>
          </cell>
          <cell r="U37">
            <v>0.16666666666666666</v>
          </cell>
          <cell r="V37">
            <v>0.16666666666666666</v>
          </cell>
          <cell r="W37">
            <v>0.16666666666666666</v>
          </cell>
          <cell r="X37">
            <v>0.16666666666666666</v>
          </cell>
          <cell r="Y37">
            <v>0</v>
          </cell>
          <cell r="Z37">
            <v>3884948.0245333337</v>
          </cell>
          <cell r="AA37">
            <v>3884948.0245333337</v>
          </cell>
          <cell r="AB37">
            <v>3884948.0245333337</v>
          </cell>
          <cell r="AC37">
            <v>3884948.0245333337</v>
          </cell>
          <cell r="AD37">
            <v>3884948.0245333337</v>
          </cell>
          <cell r="AE37">
            <v>3884948.0245333337</v>
          </cell>
          <cell r="AF37">
            <v>23309688.147200003</v>
          </cell>
        </row>
        <row r="38">
          <cell r="B38" t="str">
            <v>SNIES</v>
          </cell>
          <cell r="C38" t="str">
            <v>A</v>
          </cell>
          <cell r="D38" t="str">
            <v>12A</v>
          </cell>
          <cell r="E38" t="str">
            <v>EP/</v>
          </cell>
          <cell r="F38" t="str">
            <v>FC/CN</v>
          </cell>
          <cell r="G38">
            <v>22</v>
          </cell>
          <cell r="H38" t="str">
            <v>Travaux de construction classes primaires PME</v>
          </cell>
          <cell r="I38" t="str">
            <v>SNIES</v>
          </cell>
          <cell r="K38" t="str">
            <v>FC/PSE</v>
          </cell>
          <cell r="L38" t="str">
            <v>AON</v>
          </cell>
          <cell r="M38">
            <v>3048</v>
          </cell>
          <cell r="N38" t="str">
            <v>cl</v>
          </cell>
          <cell r="O38" t="str">
            <v>ccp</v>
          </cell>
          <cell r="P38">
            <v>51209.600000000006</v>
          </cell>
          <cell r="Q38">
            <v>1</v>
          </cell>
          <cell r="R38">
            <v>156086860.80000001</v>
          </cell>
          <cell r="T38">
            <v>0.4</v>
          </cell>
          <cell r="U38">
            <v>0.5</v>
          </cell>
          <cell r="V38">
            <v>0.1</v>
          </cell>
          <cell r="Y38">
            <v>0</v>
          </cell>
          <cell r="Z38">
            <v>0</v>
          </cell>
          <cell r="AA38">
            <v>62434744.320000008</v>
          </cell>
          <cell r="AB38">
            <v>78043430.400000006</v>
          </cell>
          <cell r="AC38">
            <v>15608686.080000002</v>
          </cell>
          <cell r="AD38">
            <v>0</v>
          </cell>
          <cell r="AE38">
            <v>0</v>
          </cell>
          <cell r="AF38">
            <v>156086860.80000004</v>
          </cell>
        </row>
        <row r="39">
          <cell r="B39" t="str">
            <v>SNIES</v>
          </cell>
          <cell r="C39" t="str">
            <v>A</v>
          </cell>
          <cell r="D39" t="str">
            <v>12A</v>
          </cell>
          <cell r="E39" t="str">
            <v>EP/</v>
          </cell>
          <cell r="F39" t="str">
            <v>FC/CN</v>
          </cell>
          <cell r="G39">
            <v>22</v>
          </cell>
          <cell r="H39" t="str">
            <v>Travaux de construction classes primaires ONG</v>
          </cell>
          <cell r="I39" t="str">
            <v>SNIES</v>
          </cell>
          <cell r="K39" t="str">
            <v>FC/PSE</v>
          </cell>
          <cell r="L39" t="str">
            <v>AON</v>
          </cell>
          <cell r="M39">
            <v>1162</v>
          </cell>
          <cell r="N39" t="str">
            <v>cl</v>
          </cell>
          <cell r="O39" t="str">
            <v>ccp</v>
          </cell>
          <cell r="P39">
            <v>51209.600000000006</v>
          </cell>
          <cell r="Q39">
            <v>1</v>
          </cell>
          <cell r="R39">
            <v>59505555.20000001</v>
          </cell>
          <cell r="T39">
            <v>0.4</v>
          </cell>
          <cell r="U39">
            <v>0.5</v>
          </cell>
          <cell r="V39">
            <v>0.1</v>
          </cell>
          <cell r="Y39">
            <v>0</v>
          </cell>
          <cell r="Z39">
            <v>0</v>
          </cell>
          <cell r="AA39">
            <v>23802222.080000006</v>
          </cell>
          <cell r="AB39">
            <v>29752777.600000005</v>
          </cell>
          <cell r="AC39">
            <v>5950555.5200000014</v>
          </cell>
          <cell r="AD39">
            <v>0</v>
          </cell>
          <cell r="AE39">
            <v>0</v>
          </cell>
          <cell r="AF39">
            <v>59505555.20000001</v>
          </cell>
        </row>
        <row r="40">
          <cell r="B40" t="str">
            <v>SNIES</v>
          </cell>
          <cell r="C40" t="str">
            <v>A</v>
          </cell>
          <cell r="D40" t="str">
            <v>12A</v>
          </cell>
          <cell r="E40" t="str">
            <v>EP/</v>
          </cell>
          <cell r="F40" t="str">
            <v>FC/CN</v>
          </cell>
          <cell r="G40">
            <v>22</v>
          </cell>
          <cell r="H40" t="str">
            <v>Travaux de construction classes primaires PACV/CRD</v>
          </cell>
          <cell r="I40" t="str">
            <v>SNIES</v>
          </cell>
          <cell r="K40" t="str">
            <v>FC/PSE</v>
          </cell>
          <cell r="L40" t="str">
            <v>AON</v>
          </cell>
          <cell r="M40">
            <v>156</v>
          </cell>
          <cell r="N40" t="str">
            <v>cl</v>
          </cell>
          <cell r="O40" t="str">
            <v>ccp</v>
          </cell>
          <cell r="P40">
            <v>51209.600000000006</v>
          </cell>
          <cell r="Q40">
            <v>1</v>
          </cell>
          <cell r="R40">
            <v>7988697.6000000006</v>
          </cell>
          <cell r="T40">
            <v>0.4</v>
          </cell>
          <cell r="U40">
            <v>0.5</v>
          </cell>
          <cell r="V40">
            <v>0.1</v>
          </cell>
          <cell r="Y40">
            <v>0</v>
          </cell>
          <cell r="Z40">
            <v>0</v>
          </cell>
          <cell r="AA40">
            <v>3195479.0400000005</v>
          </cell>
          <cell r="AB40">
            <v>3994348.8000000003</v>
          </cell>
          <cell r="AC40">
            <v>798869.76000000013</v>
          </cell>
          <cell r="AD40">
            <v>0</v>
          </cell>
          <cell r="AE40">
            <v>0</v>
          </cell>
          <cell r="AF40">
            <v>7988697.6000000006</v>
          </cell>
        </row>
        <row r="41">
          <cell r="B41" t="str">
            <v>SNIES</v>
          </cell>
          <cell r="C41" t="str">
            <v>A</v>
          </cell>
          <cell r="D41" t="str">
            <v>12A</v>
          </cell>
          <cell r="E41" t="str">
            <v>EP/</v>
          </cell>
          <cell r="F41" t="str">
            <v>FC/CN</v>
          </cell>
          <cell r="G41">
            <v>22</v>
          </cell>
          <cell r="H41" t="str">
            <v xml:space="preserve">Travaux de construction classes primaires </v>
          </cell>
          <cell r="I41" t="str">
            <v>SNIES</v>
          </cell>
          <cell r="K41" t="str">
            <v>FC/PSE</v>
          </cell>
          <cell r="L41" t="str">
            <v>AON</v>
          </cell>
          <cell r="M41">
            <v>1332</v>
          </cell>
          <cell r="N41" t="str">
            <v>cl</v>
          </cell>
          <cell r="O41" t="str">
            <v>ccp</v>
          </cell>
          <cell r="P41">
            <v>51209.600000000006</v>
          </cell>
          <cell r="Q41">
            <v>1</v>
          </cell>
          <cell r="R41">
            <v>68211187.200000003</v>
          </cell>
          <cell r="V41">
            <v>0.3</v>
          </cell>
          <cell r="W41">
            <v>0.4</v>
          </cell>
          <cell r="X41">
            <v>0.3</v>
          </cell>
          <cell r="Y41">
            <v>0</v>
          </cell>
          <cell r="Z41">
            <v>0</v>
          </cell>
          <cell r="AA41">
            <v>0</v>
          </cell>
          <cell r="AB41">
            <v>0</v>
          </cell>
          <cell r="AC41">
            <v>20463356.16</v>
          </cell>
          <cell r="AD41">
            <v>27284474.880000003</v>
          </cell>
          <cell r="AE41">
            <v>20463356.16</v>
          </cell>
          <cell r="AF41">
            <v>68211187.200000003</v>
          </cell>
        </row>
        <row r="42">
          <cell r="B42" t="str">
            <v>SNIES</v>
          </cell>
          <cell r="C42" t="str">
            <v>A</v>
          </cell>
          <cell r="D42" t="str">
            <v>12A</v>
          </cell>
          <cell r="E42" t="str">
            <v>EP/</v>
          </cell>
          <cell r="F42" t="str">
            <v>FC/CN</v>
          </cell>
          <cell r="G42">
            <v>22</v>
          </cell>
          <cell r="H42" t="str">
            <v>Travaux de réhabilitation classes primaires</v>
          </cell>
          <cell r="I42" t="str">
            <v>SNIES</v>
          </cell>
          <cell r="K42" t="str">
            <v>FC/PSE</v>
          </cell>
          <cell r="L42" t="str">
            <v>AON</v>
          </cell>
          <cell r="M42">
            <v>1341</v>
          </cell>
          <cell r="N42" t="str">
            <v>cl</v>
          </cell>
          <cell r="O42" t="str">
            <v>rcp</v>
          </cell>
          <cell r="P42">
            <v>30725.760000000002</v>
          </cell>
          <cell r="Q42">
            <v>1</v>
          </cell>
          <cell r="R42">
            <v>41203244.160000004</v>
          </cell>
          <cell r="T42">
            <v>0.4</v>
          </cell>
          <cell r="U42">
            <v>0.5</v>
          </cell>
          <cell r="V42">
            <v>0.1</v>
          </cell>
          <cell r="Y42">
            <v>0</v>
          </cell>
          <cell r="Z42">
            <v>0</v>
          </cell>
          <cell r="AA42">
            <v>16481297.664000003</v>
          </cell>
          <cell r="AB42">
            <v>20601622.080000002</v>
          </cell>
          <cell r="AC42">
            <v>4120324.4160000007</v>
          </cell>
          <cell r="AD42">
            <v>0</v>
          </cell>
          <cell r="AE42">
            <v>0</v>
          </cell>
          <cell r="AF42">
            <v>41203244.160000004</v>
          </cell>
        </row>
        <row r="43">
          <cell r="B43" t="str">
            <v>SNIES</v>
          </cell>
          <cell r="C43" t="str">
            <v>A</v>
          </cell>
          <cell r="D43" t="str">
            <v>12A</v>
          </cell>
          <cell r="E43" t="str">
            <v>EP/</v>
          </cell>
          <cell r="F43" t="str">
            <v>FC/CN</v>
          </cell>
          <cell r="G43">
            <v>23</v>
          </cell>
          <cell r="H43" t="str">
            <v>Mobilier classes primaires</v>
          </cell>
          <cell r="I43" t="str">
            <v>SNIES</v>
          </cell>
          <cell r="K43" t="str">
            <v>FC/PSE</v>
          </cell>
          <cell r="L43" t="str">
            <v>AON</v>
          </cell>
          <cell r="M43">
            <v>7039</v>
          </cell>
          <cell r="N43" t="str">
            <v>lot</v>
          </cell>
          <cell r="O43" t="str">
            <v>mcp</v>
          </cell>
          <cell r="P43">
            <v>8321.5600000000013</v>
          </cell>
          <cell r="Q43">
            <v>1</v>
          </cell>
          <cell r="R43">
            <v>58575460.840000011</v>
          </cell>
          <cell r="U43">
            <v>0.81076857508168776</v>
          </cell>
          <cell r="X43">
            <v>0.18923142491831224</v>
          </cell>
          <cell r="Y43">
            <v>0</v>
          </cell>
          <cell r="Z43">
            <v>0</v>
          </cell>
          <cell r="AA43">
            <v>0</v>
          </cell>
          <cell r="AB43">
            <v>47491142.920000009</v>
          </cell>
          <cell r="AC43">
            <v>0</v>
          </cell>
          <cell r="AD43">
            <v>0</v>
          </cell>
          <cell r="AE43">
            <v>11084317.920000002</v>
          </cell>
          <cell r="AF43">
            <v>58575460.840000011</v>
          </cell>
        </row>
        <row r="44">
          <cell r="B44" t="str">
            <v>SNIES</v>
          </cell>
          <cell r="C44" t="str">
            <v>A</v>
          </cell>
          <cell r="D44" t="str">
            <v>12A</v>
          </cell>
          <cell r="E44" t="str">
            <v>EP/</v>
          </cell>
          <cell r="F44" t="str">
            <v>FC/CN</v>
          </cell>
          <cell r="G44">
            <v>15</v>
          </cell>
          <cell r="H44" t="str">
            <v>Entretien courant des bâtiments scolaires 1% coût construction</v>
          </cell>
          <cell r="I44" t="str">
            <v>SNIES</v>
          </cell>
          <cell r="K44" t="str">
            <v>FC/PSE</v>
          </cell>
          <cell r="L44" t="str">
            <v>AUT</v>
          </cell>
          <cell r="M44">
            <v>21259.261114977529</v>
          </cell>
          <cell r="N44" t="str">
            <v>cl</v>
          </cell>
          <cell r="O44" t="str">
            <v>ccp</v>
          </cell>
          <cell r="P44">
            <v>512.09600000000012</v>
          </cell>
          <cell r="Q44">
            <v>1</v>
          </cell>
          <cell r="R44">
            <v>10886782.579935536</v>
          </cell>
          <cell r="S44">
            <v>1</v>
          </cell>
          <cell r="Y44">
            <v>0</v>
          </cell>
          <cell r="Z44">
            <v>10886782.579935536</v>
          </cell>
          <cell r="AA44">
            <v>0</v>
          </cell>
          <cell r="AB44">
            <v>0</v>
          </cell>
          <cell r="AC44">
            <v>0</v>
          </cell>
          <cell r="AD44">
            <v>0</v>
          </cell>
          <cell r="AE44">
            <v>0</v>
          </cell>
          <cell r="AF44">
            <v>10886782.579935536</v>
          </cell>
        </row>
        <row r="45">
          <cell r="H45" t="str">
            <v>Renforcement de capacité des 8 Antennes Régionales du SNIES</v>
          </cell>
          <cell r="R45">
            <v>3814596.48</v>
          </cell>
          <cell r="Z45">
            <v>1580166.48</v>
          </cell>
          <cell r="AA45">
            <v>744810</v>
          </cell>
          <cell r="AB45">
            <v>744810</v>
          </cell>
          <cell r="AC45">
            <v>744810</v>
          </cell>
          <cell r="AD45">
            <v>0</v>
          </cell>
          <cell r="AE45">
            <v>0</v>
          </cell>
          <cell r="AF45">
            <v>3814596.48</v>
          </cell>
        </row>
        <row r="46">
          <cell r="B46" t="str">
            <v>SNIES</v>
          </cell>
          <cell r="C46" t="str">
            <v>G</v>
          </cell>
          <cell r="D46" t="str">
            <v>12B</v>
          </cell>
          <cell r="E46" t="str">
            <v>IRE/</v>
          </cell>
          <cell r="F46" t="str">
            <v>FC/CN</v>
          </cell>
          <cell r="G46">
            <v>23</v>
          </cell>
          <cell r="H46" t="str">
            <v>Postes informatiques fixes pour AR</v>
          </cell>
          <cell r="I46" t="str">
            <v>CN/PSE</v>
          </cell>
          <cell r="K46" t="str">
            <v>FC/PSE</v>
          </cell>
          <cell r="L46" t="str">
            <v>AOI</v>
          </cell>
          <cell r="M46">
            <v>8</v>
          </cell>
          <cell r="N46" t="str">
            <v>u</v>
          </cell>
          <cell r="O46" t="str">
            <v>pic</v>
          </cell>
          <cell r="P46">
            <v>14772.000000000002</v>
          </cell>
          <cell r="Q46">
            <v>1</v>
          </cell>
          <cell r="R46">
            <v>118176.00000000001</v>
          </cell>
          <cell r="S46">
            <v>1</v>
          </cell>
          <cell r="Y46">
            <v>0</v>
          </cell>
          <cell r="Z46">
            <v>118176.00000000001</v>
          </cell>
          <cell r="AA46">
            <v>0</v>
          </cell>
          <cell r="AB46">
            <v>0</v>
          </cell>
          <cell r="AC46">
            <v>0</v>
          </cell>
          <cell r="AD46">
            <v>0</v>
          </cell>
          <cell r="AE46">
            <v>0</v>
          </cell>
          <cell r="AF46">
            <v>118176.00000000001</v>
          </cell>
        </row>
        <row r="47">
          <cell r="B47" t="str">
            <v>SNIES</v>
          </cell>
          <cell r="C47" t="str">
            <v>G</v>
          </cell>
          <cell r="D47" t="str">
            <v>12B</v>
          </cell>
          <cell r="E47" t="str">
            <v>DPE/</v>
          </cell>
          <cell r="F47" t="str">
            <v>FC/CN</v>
          </cell>
          <cell r="G47">
            <v>23</v>
          </cell>
          <cell r="H47" t="str">
            <v>Motos et accessoires de sécurité pour superviseurs et chef d'AR</v>
          </cell>
          <cell r="I47" t="str">
            <v>CN/PSE</v>
          </cell>
          <cell r="K47" t="str">
            <v>FC/PSE</v>
          </cell>
          <cell r="L47" t="str">
            <v>AOI</v>
          </cell>
          <cell r="M47">
            <v>46</v>
          </cell>
          <cell r="N47" t="str">
            <v>moto</v>
          </cell>
          <cell r="O47" t="str">
            <v>cvc</v>
          </cell>
          <cell r="P47">
            <v>13500</v>
          </cell>
          <cell r="Q47">
            <v>1</v>
          </cell>
          <cell r="R47">
            <v>621000</v>
          </cell>
          <cell r="S47">
            <v>1</v>
          </cell>
          <cell r="Y47">
            <v>0</v>
          </cell>
          <cell r="Z47">
            <v>621000</v>
          </cell>
          <cell r="AA47">
            <v>0</v>
          </cell>
          <cell r="AB47">
            <v>0</v>
          </cell>
          <cell r="AC47">
            <v>0</v>
          </cell>
          <cell r="AD47">
            <v>0</v>
          </cell>
          <cell r="AE47">
            <v>0</v>
          </cell>
          <cell r="AF47">
            <v>621000</v>
          </cell>
        </row>
        <row r="48">
          <cell r="B48" t="str">
            <v>SNIES</v>
          </cell>
          <cell r="C48" t="str">
            <v>G</v>
          </cell>
          <cell r="D48" t="str">
            <v>12B</v>
          </cell>
          <cell r="E48" t="str">
            <v>DPE/</v>
          </cell>
          <cell r="F48" t="str">
            <v>FC/CN</v>
          </cell>
          <cell r="G48">
            <v>23</v>
          </cell>
          <cell r="H48" t="str">
            <v>Appareils photos numériques Chefs AR et superviseurs</v>
          </cell>
          <cell r="I48" t="str">
            <v>CN/PSE</v>
          </cell>
          <cell r="K48" t="str">
            <v>FC/PSE</v>
          </cell>
          <cell r="L48" t="str">
            <v>AOI</v>
          </cell>
          <cell r="M48">
            <v>46</v>
          </cell>
          <cell r="N48" t="str">
            <v>u</v>
          </cell>
          <cell r="P48">
            <v>590.88</v>
          </cell>
          <cell r="Q48">
            <v>1</v>
          </cell>
          <cell r="R48">
            <v>27180.48</v>
          </cell>
          <cell r="S48">
            <v>1</v>
          </cell>
          <cell r="Y48">
            <v>0</v>
          </cell>
          <cell r="Z48">
            <v>27180.48</v>
          </cell>
          <cell r="AA48">
            <v>0</v>
          </cell>
          <cell r="AB48">
            <v>0</v>
          </cell>
          <cell r="AC48">
            <v>0</v>
          </cell>
          <cell r="AD48">
            <v>0</v>
          </cell>
          <cell r="AE48">
            <v>0</v>
          </cell>
          <cell r="AF48">
            <v>27180.48</v>
          </cell>
        </row>
        <row r="49">
          <cell r="B49" t="str">
            <v>SNIES</v>
          </cell>
          <cell r="C49" t="str">
            <v>G</v>
          </cell>
          <cell r="D49" t="str">
            <v>12B</v>
          </cell>
          <cell r="E49" t="str">
            <v>DPE/</v>
          </cell>
          <cell r="F49" t="str">
            <v>FC/</v>
          </cell>
          <cell r="G49">
            <v>11</v>
          </cell>
          <cell r="H49" t="str">
            <v>Superviseurs de travaux (38p x 2 000 000 GNF/m)</v>
          </cell>
          <cell r="I49" t="str">
            <v>IRE/</v>
          </cell>
          <cell r="K49" t="str">
            <v>FC/PSE</v>
          </cell>
          <cell r="L49" t="str">
            <v>AUT</v>
          </cell>
          <cell r="M49">
            <v>456</v>
          </cell>
          <cell r="N49" t="str">
            <v>mois</v>
          </cell>
          <cell r="P49">
            <v>2000</v>
          </cell>
          <cell r="Q49">
            <v>1</v>
          </cell>
          <cell r="R49">
            <v>912000</v>
          </cell>
          <cell r="S49">
            <v>0.25</v>
          </cell>
          <cell r="T49">
            <v>0.25</v>
          </cell>
          <cell r="U49">
            <v>0.25</v>
          </cell>
          <cell r="V49">
            <v>0.25</v>
          </cell>
          <cell r="Y49">
            <v>0</v>
          </cell>
          <cell r="Z49">
            <v>228000</v>
          </cell>
          <cell r="AA49">
            <v>228000</v>
          </cell>
          <cell r="AB49">
            <v>228000</v>
          </cell>
          <cell r="AC49">
            <v>228000</v>
          </cell>
          <cell r="AD49">
            <v>0</v>
          </cell>
          <cell r="AE49">
            <v>0</v>
          </cell>
          <cell r="AF49">
            <v>912000</v>
          </cell>
        </row>
        <row r="50">
          <cell r="B50" t="str">
            <v>SNIES</v>
          </cell>
          <cell r="C50" t="str">
            <v>G</v>
          </cell>
          <cell r="D50" t="str">
            <v>12B</v>
          </cell>
          <cell r="E50" t="str">
            <v>DPE/</v>
          </cell>
          <cell r="F50" t="str">
            <v>FC/</v>
          </cell>
          <cell r="G50">
            <v>15</v>
          </cell>
          <cell r="H50" t="str">
            <v>Carburant superviseurs et chef d'AR  8l/100km x 300km x 15j/m</v>
          </cell>
          <cell r="I50" t="str">
            <v>IRE/</v>
          </cell>
          <cell r="K50" t="str">
            <v>FC/PSE</v>
          </cell>
          <cell r="L50" t="str">
            <v>AUT</v>
          </cell>
          <cell r="M50">
            <v>198720</v>
          </cell>
          <cell r="N50" t="str">
            <v>litres</v>
          </cell>
          <cell r="P50">
            <v>7</v>
          </cell>
          <cell r="Q50">
            <v>1</v>
          </cell>
          <cell r="R50">
            <v>1391040</v>
          </cell>
          <cell r="S50">
            <v>0.25</v>
          </cell>
          <cell r="T50">
            <v>0.25</v>
          </cell>
          <cell r="U50">
            <v>0.25</v>
          </cell>
          <cell r="V50">
            <v>0.25</v>
          </cell>
          <cell r="Y50">
            <v>0</v>
          </cell>
          <cell r="Z50">
            <v>347760</v>
          </cell>
          <cell r="AA50">
            <v>347760</v>
          </cell>
          <cell r="AB50">
            <v>347760</v>
          </cell>
          <cell r="AC50">
            <v>347760</v>
          </cell>
          <cell r="AD50">
            <v>0</v>
          </cell>
          <cell r="AE50">
            <v>0</v>
          </cell>
          <cell r="AF50">
            <v>1391040</v>
          </cell>
        </row>
        <row r="51">
          <cell r="B51" t="str">
            <v>SNIES</v>
          </cell>
          <cell r="C51" t="str">
            <v>G</v>
          </cell>
          <cell r="D51" t="str">
            <v>12B</v>
          </cell>
          <cell r="E51" t="str">
            <v>DPE/</v>
          </cell>
          <cell r="F51" t="str">
            <v>FC/</v>
          </cell>
          <cell r="G51">
            <v>11</v>
          </cell>
          <cell r="H51" t="str">
            <v>Perdiem Chefs AR et superviseurs 15j x 75000 GNF x 38sup</v>
          </cell>
          <cell r="I51" t="str">
            <v>IRE/</v>
          </cell>
          <cell r="K51" t="str">
            <v>FC/PSE</v>
          </cell>
          <cell r="L51" t="str">
            <v>AUT</v>
          </cell>
          <cell r="M51">
            <v>8280</v>
          </cell>
          <cell r="N51" t="str">
            <v>pxj</v>
          </cell>
          <cell r="P51">
            <v>75</v>
          </cell>
          <cell r="Q51">
            <v>1</v>
          </cell>
          <cell r="R51">
            <v>621000</v>
          </cell>
          <cell r="S51">
            <v>0.25</v>
          </cell>
          <cell r="T51">
            <v>0.25</v>
          </cell>
          <cell r="U51">
            <v>0.25</v>
          </cell>
          <cell r="V51">
            <v>0.25</v>
          </cell>
          <cell r="Y51">
            <v>0</v>
          </cell>
          <cell r="Z51">
            <v>155250</v>
          </cell>
          <cell r="AA51">
            <v>155250</v>
          </cell>
          <cell r="AB51">
            <v>155250</v>
          </cell>
          <cell r="AC51">
            <v>155250</v>
          </cell>
          <cell r="AD51">
            <v>0</v>
          </cell>
          <cell r="AE51">
            <v>0</v>
          </cell>
          <cell r="AF51">
            <v>621000</v>
          </cell>
        </row>
        <row r="52">
          <cell r="B52" t="str">
            <v>SNIES</v>
          </cell>
          <cell r="C52" t="str">
            <v>G</v>
          </cell>
          <cell r="D52" t="str">
            <v>12B</v>
          </cell>
          <cell r="E52" t="str">
            <v>DPE/</v>
          </cell>
          <cell r="F52" t="str">
            <v>FC/</v>
          </cell>
          <cell r="G52">
            <v>15</v>
          </cell>
          <cell r="H52" t="str">
            <v>Fournitures et services extérieurs Chefs d'AR et superviseurs 38 x nb mois</v>
          </cell>
          <cell r="I52" t="str">
            <v>IRE/</v>
          </cell>
          <cell r="K52" t="str">
            <v>FC/PSE</v>
          </cell>
          <cell r="L52" t="str">
            <v>AUT</v>
          </cell>
          <cell r="M52">
            <v>552</v>
          </cell>
          <cell r="N52" t="str">
            <v>mois</v>
          </cell>
          <cell r="P52">
            <v>100</v>
          </cell>
          <cell r="Q52">
            <v>1</v>
          </cell>
          <cell r="R52">
            <v>55200</v>
          </cell>
          <cell r="S52">
            <v>0.25</v>
          </cell>
          <cell r="T52">
            <v>0.25</v>
          </cell>
          <cell r="U52">
            <v>0.25</v>
          </cell>
          <cell r="V52">
            <v>0.25</v>
          </cell>
          <cell r="Y52">
            <v>0</v>
          </cell>
          <cell r="Z52">
            <v>13800</v>
          </cell>
          <cell r="AA52">
            <v>13800</v>
          </cell>
          <cell r="AB52">
            <v>13800</v>
          </cell>
          <cell r="AC52">
            <v>13800</v>
          </cell>
          <cell r="AD52">
            <v>0</v>
          </cell>
          <cell r="AE52">
            <v>0</v>
          </cell>
          <cell r="AF52">
            <v>55200</v>
          </cell>
        </row>
        <row r="53">
          <cell r="B53" t="str">
            <v>SNIES</v>
          </cell>
          <cell r="C53" t="str">
            <v>G</v>
          </cell>
          <cell r="D53" t="str">
            <v>12B</v>
          </cell>
          <cell r="E53" t="str">
            <v>IRE/</v>
          </cell>
          <cell r="F53" t="str">
            <v>FC/CN</v>
          </cell>
          <cell r="G53">
            <v>12</v>
          </cell>
          <cell r="H53" t="str">
            <v>Formation Excel pour Chef AR 8+38p x 2sem (base de données du SNIES)</v>
          </cell>
          <cell r="I53" t="str">
            <v>CN/PSE</v>
          </cell>
          <cell r="K53" t="str">
            <v>FC/PSE</v>
          </cell>
          <cell r="L53" t="str">
            <v>COT</v>
          </cell>
          <cell r="M53">
            <v>46</v>
          </cell>
          <cell r="N53" t="str">
            <v>p</v>
          </cell>
          <cell r="P53">
            <v>1500</v>
          </cell>
          <cell r="Q53">
            <v>1</v>
          </cell>
          <cell r="R53">
            <v>69000</v>
          </cell>
          <cell r="S53">
            <v>1</v>
          </cell>
          <cell r="Y53">
            <v>0</v>
          </cell>
          <cell r="Z53">
            <v>69000</v>
          </cell>
          <cell r="AA53">
            <v>0</v>
          </cell>
          <cell r="AB53">
            <v>0</v>
          </cell>
          <cell r="AC53">
            <v>0</v>
          </cell>
          <cell r="AD53">
            <v>0</v>
          </cell>
          <cell r="AE53">
            <v>0</v>
          </cell>
          <cell r="AF53">
            <v>69000</v>
          </cell>
        </row>
        <row r="54">
          <cell r="H54" t="str">
            <v>Renforcement de capacité Services centraux du SNIES</v>
          </cell>
          <cell r="R54">
            <v>3971108.8896000003</v>
          </cell>
          <cell r="Z54">
            <v>630552.41493333341</v>
          </cell>
          <cell r="AA54">
            <v>938346.81493333343</v>
          </cell>
          <cell r="AB54">
            <v>630552.41493333341</v>
          </cell>
          <cell r="AC54">
            <v>630552.41493333341</v>
          </cell>
          <cell r="AD54">
            <v>570552.41493333341</v>
          </cell>
          <cell r="AE54">
            <v>570552.41493333341</v>
          </cell>
          <cell r="AF54">
            <v>3971108.8895999999</v>
          </cell>
        </row>
        <row r="55">
          <cell r="B55" t="str">
            <v>SNIES</v>
          </cell>
          <cell r="C55" t="str">
            <v>G</v>
          </cell>
          <cell r="D55" t="str">
            <v>12C</v>
          </cell>
          <cell r="E55" t="str">
            <v>SNIES</v>
          </cell>
          <cell r="F55" t="str">
            <v>FC/CN</v>
          </cell>
          <cell r="G55">
            <v>21</v>
          </cell>
          <cell r="H55" t="str">
            <v>Assistance à Maîtrise d'ouvrage au SNIES (préscol, prim et sec)</v>
          </cell>
          <cell r="I55" t="str">
            <v>CN/PSE</v>
          </cell>
          <cell r="K55" t="str">
            <v>FC/PSE</v>
          </cell>
          <cell r="L55" t="str">
            <v>CR</v>
          </cell>
          <cell r="M55">
            <v>1</v>
          </cell>
          <cell r="N55" t="str">
            <v>forfait</v>
          </cell>
          <cell r="O55" t="str">
            <v>coût total</v>
          </cell>
          <cell r="P55">
            <v>0.01</v>
          </cell>
          <cell r="Q55">
            <v>1</v>
          </cell>
          <cell r="R55">
            <v>3423314.4896000004</v>
          </cell>
          <cell r="S55">
            <v>0.16666666666666666</v>
          </cell>
          <cell r="T55">
            <v>0.16666666666666666</v>
          </cell>
          <cell r="U55">
            <v>0.16666666666666666</v>
          </cell>
          <cell r="V55">
            <v>0.16666666666666666</v>
          </cell>
          <cell r="W55">
            <v>0.16666666666666666</v>
          </cell>
          <cell r="X55">
            <v>0.16666666666666666</v>
          </cell>
          <cell r="Y55">
            <v>0</v>
          </cell>
          <cell r="Z55">
            <v>570552.41493333341</v>
          </cell>
          <cell r="AA55">
            <v>570552.41493333341</v>
          </cell>
          <cell r="AB55">
            <v>570552.41493333341</v>
          </cell>
          <cell r="AC55">
            <v>570552.41493333341</v>
          </cell>
          <cell r="AD55">
            <v>570552.41493333341</v>
          </cell>
          <cell r="AE55">
            <v>570552.41493333341</v>
          </cell>
          <cell r="AF55">
            <v>3423314.4896</v>
          </cell>
        </row>
        <row r="56">
          <cell r="B56" t="str">
            <v>SNIES</v>
          </cell>
          <cell r="C56" t="str">
            <v>G</v>
          </cell>
          <cell r="D56" t="str">
            <v>12C</v>
          </cell>
          <cell r="E56" t="str">
            <v>SNIES</v>
          </cell>
          <cell r="F56" t="str">
            <v>FC/CN</v>
          </cell>
          <cell r="G56">
            <v>22</v>
          </cell>
          <cell r="H56" t="str">
            <v>Aménagement des locaux du SNIES</v>
          </cell>
          <cell r="I56" t="str">
            <v>SNIES</v>
          </cell>
          <cell r="K56" t="str">
            <v>FC/PSE</v>
          </cell>
          <cell r="L56" t="str">
            <v>COT</v>
          </cell>
          <cell r="M56">
            <v>1</v>
          </cell>
          <cell r="N56" t="str">
            <v>forfait</v>
          </cell>
          <cell r="P56">
            <v>45000</v>
          </cell>
          <cell r="Q56">
            <v>1</v>
          </cell>
          <cell r="R56">
            <v>45000</v>
          </cell>
          <cell r="T56">
            <v>1</v>
          </cell>
          <cell r="Y56">
            <v>0</v>
          </cell>
          <cell r="Z56">
            <v>0</v>
          </cell>
          <cell r="AA56">
            <v>45000</v>
          </cell>
          <cell r="AB56">
            <v>0</v>
          </cell>
          <cell r="AC56">
            <v>0</v>
          </cell>
          <cell r="AD56">
            <v>0</v>
          </cell>
          <cell r="AE56">
            <v>0</v>
          </cell>
          <cell r="AF56">
            <v>45000</v>
          </cell>
        </row>
        <row r="57">
          <cell r="B57" t="str">
            <v>SNIES</v>
          </cell>
          <cell r="C57" t="str">
            <v>G</v>
          </cell>
          <cell r="D57" t="str">
            <v>12C</v>
          </cell>
          <cell r="E57" t="str">
            <v>SNIES</v>
          </cell>
          <cell r="F57" t="str">
            <v>FC/CN</v>
          </cell>
          <cell r="G57">
            <v>15</v>
          </cell>
          <cell r="H57" t="str">
            <v>Fonctionnement du SNIES</v>
          </cell>
          <cell r="I57" t="str">
            <v>SNIES</v>
          </cell>
          <cell r="K57" t="str">
            <v>FC/PSE</v>
          </cell>
          <cell r="L57" t="str">
            <v>AUT</v>
          </cell>
          <cell r="M57">
            <v>12</v>
          </cell>
          <cell r="N57" t="str">
            <v>mois</v>
          </cell>
          <cell r="P57">
            <v>10000</v>
          </cell>
          <cell r="Q57">
            <v>1</v>
          </cell>
          <cell r="R57">
            <v>120000</v>
          </cell>
          <cell r="S57">
            <v>0.25</v>
          </cell>
          <cell r="T57">
            <v>0.25</v>
          </cell>
          <cell r="U57">
            <v>0.25</v>
          </cell>
          <cell r="V57">
            <v>0.25</v>
          </cell>
          <cell r="Y57">
            <v>0</v>
          </cell>
          <cell r="Z57">
            <v>30000</v>
          </cell>
          <cell r="AA57">
            <v>30000</v>
          </cell>
          <cell r="AB57">
            <v>30000</v>
          </cell>
          <cell r="AC57">
            <v>30000</v>
          </cell>
          <cell r="AD57">
            <v>0</v>
          </cell>
          <cell r="AE57">
            <v>0</v>
          </cell>
          <cell r="AF57">
            <v>120000</v>
          </cell>
        </row>
        <row r="58">
          <cell r="B58" t="str">
            <v>SNIES</v>
          </cell>
          <cell r="C58" t="str">
            <v>G</v>
          </cell>
          <cell r="D58" t="str">
            <v>12C</v>
          </cell>
          <cell r="E58" t="str">
            <v>SNIES</v>
          </cell>
          <cell r="F58" t="str">
            <v>FC/CN</v>
          </cell>
          <cell r="G58">
            <v>11</v>
          </cell>
          <cell r="H58" t="str">
            <v>Ingénieurs contractuels 2p x 12mois</v>
          </cell>
          <cell r="I58" t="str">
            <v>SNIES</v>
          </cell>
          <cell r="K58" t="str">
            <v>FC/PSE</v>
          </cell>
          <cell r="L58" t="str">
            <v>AUT</v>
          </cell>
          <cell r="M58">
            <v>24</v>
          </cell>
          <cell r="N58" t="str">
            <v>mois</v>
          </cell>
          <cell r="O58" t="str">
            <v>ing</v>
          </cell>
          <cell r="P58">
            <v>2500.0000000000005</v>
          </cell>
          <cell r="Q58">
            <v>1</v>
          </cell>
          <cell r="R58">
            <v>60000.000000000015</v>
          </cell>
          <cell r="S58">
            <v>0.25</v>
          </cell>
          <cell r="T58">
            <v>0.25</v>
          </cell>
          <cell r="U58">
            <v>0.25</v>
          </cell>
          <cell r="V58">
            <v>0.25</v>
          </cell>
          <cell r="Y58">
            <v>0</v>
          </cell>
          <cell r="Z58">
            <v>15000.000000000004</v>
          </cell>
          <cell r="AA58">
            <v>15000.000000000004</v>
          </cell>
          <cell r="AB58">
            <v>15000.000000000004</v>
          </cell>
          <cell r="AC58">
            <v>15000.000000000004</v>
          </cell>
          <cell r="AD58">
            <v>0</v>
          </cell>
          <cell r="AE58">
            <v>0</v>
          </cell>
          <cell r="AF58">
            <v>60000.000000000015</v>
          </cell>
        </row>
        <row r="59">
          <cell r="B59" t="str">
            <v>SNIES</v>
          </cell>
          <cell r="C59" t="str">
            <v>G</v>
          </cell>
          <cell r="D59" t="str">
            <v>12C</v>
          </cell>
          <cell r="E59" t="str">
            <v>SNIES</v>
          </cell>
          <cell r="F59" t="str">
            <v>FC/CN</v>
          </cell>
          <cell r="G59">
            <v>11</v>
          </cell>
          <cell r="H59" t="str">
            <v>Architectes contractuels 2p x 12mois</v>
          </cell>
          <cell r="I59" t="str">
            <v>SNIES</v>
          </cell>
          <cell r="K59" t="str">
            <v>FC/PSE</v>
          </cell>
          <cell r="L59" t="str">
            <v>AUT</v>
          </cell>
          <cell r="M59">
            <v>24</v>
          </cell>
          <cell r="N59" t="str">
            <v>mois</v>
          </cell>
          <cell r="O59" t="str">
            <v>ing</v>
          </cell>
          <cell r="P59">
            <v>2500.0000000000005</v>
          </cell>
          <cell r="Q59">
            <v>1</v>
          </cell>
          <cell r="R59">
            <v>60000.000000000015</v>
          </cell>
          <cell r="S59">
            <v>0.25</v>
          </cell>
          <cell r="T59">
            <v>0.25</v>
          </cell>
          <cell r="U59">
            <v>0.25</v>
          </cell>
          <cell r="V59">
            <v>0.25</v>
          </cell>
          <cell r="Y59">
            <v>0</v>
          </cell>
          <cell r="Z59">
            <v>15000.000000000004</v>
          </cell>
          <cell r="AA59">
            <v>15000.000000000004</v>
          </cell>
          <cell r="AB59">
            <v>15000.000000000004</v>
          </cell>
          <cell r="AC59">
            <v>15000.000000000004</v>
          </cell>
          <cell r="AD59">
            <v>0</v>
          </cell>
          <cell r="AE59">
            <v>0</v>
          </cell>
          <cell r="AF59">
            <v>60000.000000000015</v>
          </cell>
        </row>
        <row r="60">
          <cell r="B60" t="str">
            <v>SNIES</v>
          </cell>
          <cell r="C60" t="str">
            <v>G</v>
          </cell>
          <cell r="D60" t="str">
            <v>12C</v>
          </cell>
          <cell r="E60" t="str">
            <v>SNIES</v>
          </cell>
          <cell r="F60" t="str">
            <v>FC/CN</v>
          </cell>
          <cell r="G60">
            <v>23</v>
          </cell>
          <cell r="H60" t="str">
            <v xml:space="preserve">Ordinateurs portables avec mini imprimante  6 u </v>
          </cell>
          <cell r="I60" t="str">
            <v>CN/PSE</v>
          </cell>
          <cell r="K60" t="str">
            <v>FC/PSE</v>
          </cell>
          <cell r="L60" t="str">
            <v>AOI</v>
          </cell>
          <cell r="M60">
            <v>6</v>
          </cell>
          <cell r="N60" t="str">
            <v>u</v>
          </cell>
          <cell r="P60">
            <v>11250</v>
          </cell>
          <cell r="Q60">
            <v>1</v>
          </cell>
          <cell r="R60">
            <v>67500</v>
          </cell>
          <cell r="T60">
            <v>1</v>
          </cell>
          <cell r="Y60">
            <v>0</v>
          </cell>
          <cell r="Z60">
            <v>0</v>
          </cell>
          <cell r="AA60">
            <v>67500</v>
          </cell>
          <cell r="AB60">
            <v>0</v>
          </cell>
          <cell r="AC60">
            <v>0</v>
          </cell>
          <cell r="AD60">
            <v>0</v>
          </cell>
          <cell r="AE60">
            <v>0</v>
          </cell>
          <cell r="AF60">
            <v>67500</v>
          </cell>
        </row>
        <row r="61">
          <cell r="B61" t="str">
            <v>SNIES</v>
          </cell>
          <cell r="C61" t="str">
            <v>G</v>
          </cell>
          <cell r="D61" t="str">
            <v>12C</v>
          </cell>
          <cell r="E61" t="str">
            <v>SNIES</v>
          </cell>
          <cell r="F61" t="str">
            <v>FC/CN</v>
          </cell>
          <cell r="G61">
            <v>12</v>
          </cell>
          <cell r="H61" t="str">
            <v>Formation Excel Autocad Archicad pour 5p x 4sem (base données SNIES SNIEM)</v>
          </cell>
          <cell r="I61" t="str">
            <v>CN/PSE</v>
          </cell>
          <cell r="K61" t="str">
            <v>FC/PSE</v>
          </cell>
          <cell r="L61" t="str">
            <v>COT</v>
          </cell>
          <cell r="M61">
            <v>20</v>
          </cell>
          <cell r="N61" t="str">
            <v>pxs</v>
          </cell>
          <cell r="O61" t="str">
            <v>fbu</v>
          </cell>
          <cell r="P61">
            <v>1000</v>
          </cell>
          <cell r="Q61">
            <v>1</v>
          </cell>
          <cell r="R61">
            <v>20000</v>
          </cell>
          <cell r="T61">
            <v>1</v>
          </cell>
          <cell r="Y61">
            <v>0</v>
          </cell>
          <cell r="Z61">
            <v>0</v>
          </cell>
          <cell r="AA61">
            <v>20000</v>
          </cell>
          <cell r="AB61">
            <v>0</v>
          </cell>
          <cell r="AC61">
            <v>0</v>
          </cell>
          <cell r="AD61">
            <v>0</v>
          </cell>
          <cell r="AE61">
            <v>0</v>
          </cell>
          <cell r="AF61">
            <v>20000</v>
          </cell>
        </row>
        <row r="62">
          <cell r="B62" t="str">
            <v>SNIES</v>
          </cell>
          <cell r="C62" t="str">
            <v>G</v>
          </cell>
          <cell r="D62" t="str">
            <v>12C</v>
          </cell>
          <cell r="E62" t="str">
            <v>SNIES</v>
          </cell>
          <cell r="F62" t="str">
            <v>FC/CN</v>
          </cell>
          <cell r="G62">
            <v>23</v>
          </cell>
          <cell r="H62" t="str">
            <v>Appareils photo numérique</v>
          </cell>
          <cell r="I62" t="str">
            <v>CN/PSE</v>
          </cell>
          <cell r="K62" t="str">
            <v>FC/PSE</v>
          </cell>
          <cell r="L62" t="str">
            <v>AOI</v>
          </cell>
          <cell r="M62">
            <v>5</v>
          </cell>
          <cell r="N62" t="str">
            <v>u</v>
          </cell>
          <cell r="P62">
            <v>590.88</v>
          </cell>
          <cell r="Q62">
            <v>1</v>
          </cell>
          <cell r="R62">
            <v>2954.4</v>
          </cell>
          <cell r="T62">
            <v>1</v>
          </cell>
          <cell r="Y62">
            <v>0</v>
          </cell>
          <cell r="Z62">
            <v>0</v>
          </cell>
          <cell r="AA62">
            <v>2954.4</v>
          </cell>
          <cell r="AB62">
            <v>0</v>
          </cell>
          <cell r="AC62">
            <v>0</v>
          </cell>
          <cell r="AD62">
            <v>0</v>
          </cell>
          <cell r="AE62">
            <v>0</v>
          </cell>
          <cell r="AF62">
            <v>2954.4</v>
          </cell>
        </row>
        <row r="63">
          <cell r="B63" t="str">
            <v>SNIES</v>
          </cell>
          <cell r="C63" t="str">
            <v>G</v>
          </cell>
          <cell r="D63" t="str">
            <v>12C</v>
          </cell>
          <cell r="E63" t="str">
            <v>SNIES</v>
          </cell>
          <cell r="F63" t="str">
            <v>FC/CN</v>
          </cell>
          <cell r="G63">
            <v>23</v>
          </cell>
          <cell r="H63" t="str">
            <v>Véhicule 4x4 PU 2CAB</v>
          </cell>
          <cell r="I63" t="str">
            <v>CN/PSE</v>
          </cell>
          <cell r="K63" t="str">
            <v>FC/PSE</v>
          </cell>
          <cell r="L63" t="str">
            <v>AOI</v>
          </cell>
          <cell r="M63">
            <v>1</v>
          </cell>
          <cell r="N63" t="str">
            <v>u</v>
          </cell>
          <cell r="O63" t="str">
            <v>vdc</v>
          </cell>
          <cell r="P63">
            <v>172340</v>
          </cell>
          <cell r="Q63">
            <v>1</v>
          </cell>
          <cell r="R63">
            <v>172340</v>
          </cell>
          <cell r="T63">
            <v>1</v>
          </cell>
          <cell r="Y63">
            <v>0</v>
          </cell>
          <cell r="Z63">
            <v>0</v>
          </cell>
          <cell r="AA63">
            <v>172340</v>
          </cell>
          <cell r="AB63">
            <v>0</v>
          </cell>
          <cell r="AC63">
            <v>0</v>
          </cell>
          <cell r="AD63">
            <v>0</v>
          </cell>
          <cell r="AE63">
            <v>0</v>
          </cell>
          <cell r="AF63">
            <v>172340</v>
          </cell>
        </row>
        <row r="64">
          <cell r="H64" t="str">
            <v>Manuels scolaires primaire</v>
          </cell>
          <cell r="R64">
            <v>37126249.200000003</v>
          </cell>
          <cell r="Z64">
            <v>0</v>
          </cell>
          <cell r="AA64">
            <v>35504283.600000001</v>
          </cell>
          <cell r="AB64">
            <v>1621965.6</v>
          </cell>
          <cell r="AC64">
            <v>0</v>
          </cell>
          <cell r="AD64">
            <v>0</v>
          </cell>
          <cell r="AE64">
            <v>0</v>
          </cell>
          <cell r="AF64">
            <v>37126249.200000003</v>
          </cell>
        </row>
        <row r="65">
          <cell r="B65" t="str">
            <v>INRAP/DNEE</v>
          </cell>
          <cell r="C65" t="str">
            <v>Q</v>
          </cell>
          <cell r="D65" t="str">
            <v>12D</v>
          </cell>
          <cell r="E65" t="str">
            <v>EP/</v>
          </cell>
          <cell r="F65" t="str">
            <v>FC/CN</v>
          </cell>
          <cell r="G65">
            <v>24</v>
          </cell>
          <cell r="H65" t="str">
            <v>Réimpression programmes d'études 60 p x 10000 ex</v>
          </cell>
          <cell r="I65" t="str">
            <v>CN/PSE</v>
          </cell>
          <cell r="K65" t="str">
            <v>FC/PSE</v>
          </cell>
          <cell r="L65" t="str">
            <v>COT</v>
          </cell>
          <cell r="M65">
            <v>600000</v>
          </cell>
          <cell r="N65" t="str">
            <v>u</v>
          </cell>
          <cell r="O65" t="str">
            <v>rep</v>
          </cell>
          <cell r="P65">
            <v>0.30000000000000004</v>
          </cell>
          <cell r="Q65">
            <v>1</v>
          </cell>
          <cell r="R65">
            <v>180000.00000000003</v>
          </cell>
          <cell r="T65">
            <v>1</v>
          </cell>
          <cell r="Y65">
            <v>0</v>
          </cell>
          <cell r="Z65">
            <v>0</v>
          </cell>
          <cell r="AA65">
            <v>180000.00000000003</v>
          </cell>
          <cell r="AB65">
            <v>0</v>
          </cell>
          <cell r="AC65">
            <v>0</v>
          </cell>
          <cell r="AD65">
            <v>0</v>
          </cell>
          <cell r="AE65">
            <v>0</v>
          </cell>
          <cell r="AF65">
            <v>180000.00000000003</v>
          </cell>
        </row>
        <row r="66">
          <cell r="B66" t="str">
            <v>INRAP/DNEE</v>
          </cell>
          <cell r="C66" t="str">
            <v>Q</v>
          </cell>
          <cell r="D66" t="str">
            <v>12D</v>
          </cell>
          <cell r="E66" t="str">
            <v>EP/</v>
          </cell>
          <cell r="F66" t="str">
            <v>FC/CN</v>
          </cell>
          <cell r="G66">
            <v>24</v>
          </cell>
          <cell r="H66" t="str">
            <v>Réimpression manuel français An 1 à 6</v>
          </cell>
          <cell r="I66" t="str">
            <v>CN/PSE</v>
          </cell>
          <cell r="K66" t="str">
            <v>FC/PSE</v>
          </cell>
          <cell r="L66" t="str">
            <v>AOI</v>
          </cell>
          <cell r="M66">
            <v>1326700</v>
          </cell>
          <cell r="N66" t="str">
            <v>u</v>
          </cell>
          <cell r="O66" t="str">
            <v>rmp</v>
          </cell>
          <cell r="P66">
            <v>7.386000000000001</v>
          </cell>
          <cell r="Q66">
            <v>1</v>
          </cell>
          <cell r="R66">
            <v>9799006.2000000011</v>
          </cell>
          <cell r="T66">
            <v>1</v>
          </cell>
          <cell r="Y66">
            <v>0</v>
          </cell>
          <cell r="Z66">
            <v>0</v>
          </cell>
          <cell r="AA66">
            <v>9799006.2000000011</v>
          </cell>
          <cell r="AB66">
            <v>0</v>
          </cell>
          <cell r="AC66">
            <v>0</v>
          </cell>
          <cell r="AD66">
            <v>0</v>
          </cell>
          <cell r="AE66">
            <v>0</v>
          </cell>
          <cell r="AF66">
            <v>9799006.2000000011</v>
          </cell>
        </row>
        <row r="67">
          <cell r="B67" t="str">
            <v>INRAP/DNEE</v>
          </cell>
          <cell r="C67" t="str">
            <v>Q</v>
          </cell>
          <cell r="D67" t="str">
            <v>12D</v>
          </cell>
          <cell r="E67" t="str">
            <v>EP/</v>
          </cell>
          <cell r="F67" t="str">
            <v>FC/CN</v>
          </cell>
          <cell r="G67">
            <v>24</v>
          </cell>
          <cell r="H67" t="str">
            <v>Edition guide français : 3è année et 4è année</v>
          </cell>
          <cell r="I67" t="str">
            <v>CN/PSE</v>
          </cell>
          <cell r="K67" t="str">
            <v>FC/PSE</v>
          </cell>
          <cell r="L67" t="str">
            <v>AOI</v>
          </cell>
          <cell r="M67">
            <v>11000</v>
          </cell>
          <cell r="N67" t="str">
            <v>u</v>
          </cell>
          <cell r="O67" t="str">
            <v>egp</v>
          </cell>
          <cell r="P67">
            <v>14.772000000000002</v>
          </cell>
          <cell r="Q67">
            <v>1</v>
          </cell>
          <cell r="R67">
            <v>162492.00000000003</v>
          </cell>
          <cell r="U67">
            <v>1</v>
          </cell>
          <cell r="Y67">
            <v>0</v>
          </cell>
          <cell r="Z67">
            <v>0</v>
          </cell>
          <cell r="AA67">
            <v>0</v>
          </cell>
          <cell r="AB67">
            <v>162492.00000000003</v>
          </cell>
          <cell r="AC67">
            <v>0</v>
          </cell>
          <cell r="AD67">
            <v>0</v>
          </cell>
          <cell r="AE67">
            <v>0</v>
          </cell>
          <cell r="AF67">
            <v>162492.00000000003</v>
          </cell>
        </row>
        <row r="68">
          <cell r="B68" t="str">
            <v>INRAP/DNEE</v>
          </cell>
          <cell r="C68" t="str">
            <v>Q</v>
          </cell>
          <cell r="D68" t="str">
            <v>12D</v>
          </cell>
          <cell r="E68" t="str">
            <v>EP/</v>
          </cell>
          <cell r="F68" t="str">
            <v>FC/CN</v>
          </cell>
          <cell r="G68">
            <v>24</v>
          </cell>
          <cell r="H68" t="str">
            <v>Réimpression manuel calcul An 1 à 6</v>
          </cell>
          <cell r="I68" t="str">
            <v>CN/PSE</v>
          </cell>
          <cell r="K68" t="str">
            <v>FC/PSE</v>
          </cell>
          <cell r="L68" t="str">
            <v>AOI</v>
          </cell>
          <cell r="M68">
            <v>1326700</v>
          </cell>
          <cell r="N68" t="str">
            <v>u</v>
          </cell>
          <cell r="O68" t="str">
            <v>rmp</v>
          </cell>
          <cell r="P68">
            <v>7.386000000000001</v>
          </cell>
          <cell r="Q68">
            <v>1</v>
          </cell>
          <cell r="R68">
            <v>9799006.2000000011</v>
          </cell>
          <cell r="T68">
            <v>1</v>
          </cell>
          <cell r="Y68">
            <v>0</v>
          </cell>
          <cell r="Z68">
            <v>0</v>
          </cell>
          <cell r="AA68">
            <v>9799006.2000000011</v>
          </cell>
          <cell r="AB68">
            <v>0</v>
          </cell>
          <cell r="AC68">
            <v>0</v>
          </cell>
          <cell r="AD68">
            <v>0</v>
          </cell>
          <cell r="AE68">
            <v>0</v>
          </cell>
          <cell r="AF68">
            <v>9799006.2000000011</v>
          </cell>
        </row>
        <row r="69">
          <cell r="B69" t="str">
            <v>INRAP/DNEE</v>
          </cell>
          <cell r="C69" t="str">
            <v>Q</v>
          </cell>
          <cell r="D69" t="str">
            <v>12D</v>
          </cell>
          <cell r="E69" t="str">
            <v>EP/</v>
          </cell>
          <cell r="F69" t="str">
            <v>FC/CN</v>
          </cell>
          <cell r="G69">
            <v>24</v>
          </cell>
          <cell r="H69" t="str">
            <v>Edition guide calcul :  1ere à 5è années</v>
          </cell>
          <cell r="I69" t="str">
            <v>CN/PSE</v>
          </cell>
          <cell r="K69" t="str">
            <v>FC/PSE</v>
          </cell>
          <cell r="L69" t="str">
            <v>AOI</v>
          </cell>
          <cell r="M69">
            <v>27900</v>
          </cell>
          <cell r="N69" t="str">
            <v>u</v>
          </cell>
          <cell r="O69" t="str">
            <v>egp</v>
          </cell>
          <cell r="P69">
            <v>14.772000000000002</v>
          </cell>
          <cell r="Q69">
            <v>1</v>
          </cell>
          <cell r="R69">
            <v>412138.80000000005</v>
          </cell>
          <cell r="U69">
            <v>1</v>
          </cell>
          <cell r="Y69">
            <v>0</v>
          </cell>
          <cell r="Z69">
            <v>0</v>
          </cell>
          <cell r="AA69">
            <v>0</v>
          </cell>
          <cell r="AB69">
            <v>412138.80000000005</v>
          </cell>
          <cell r="AC69">
            <v>0</v>
          </cell>
          <cell r="AD69">
            <v>0</v>
          </cell>
          <cell r="AE69">
            <v>0</v>
          </cell>
          <cell r="AF69">
            <v>412138.80000000005</v>
          </cell>
        </row>
        <row r="70">
          <cell r="B70" t="str">
            <v>INRAP/DNEE</v>
          </cell>
          <cell r="C70" t="str">
            <v>Q</v>
          </cell>
          <cell r="D70" t="str">
            <v>12D</v>
          </cell>
          <cell r="E70" t="str">
            <v>EP/</v>
          </cell>
          <cell r="F70" t="str">
            <v>FC/CN</v>
          </cell>
          <cell r="G70">
            <v>24</v>
          </cell>
          <cell r="H70" t="str">
            <v>Réimpr. man. sc. de l'observation : 1ere, 2è, 3è, 4è, 5è et 6è années</v>
          </cell>
          <cell r="I70" t="str">
            <v>CN/PSE</v>
          </cell>
          <cell r="K70" t="str">
            <v>FC/PSE</v>
          </cell>
          <cell r="L70" t="str">
            <v>AOI</v>
          </cell>
          <cell r="M70">
            <v>580700</v>
          </cell>
          <cell r="N70" t="str">
            <v>u</v>
          </cell>
          <cell r="O70" t="str">
            <v>rmp</v>
          </cell>
          <cell r="P70">
            <v>7.386000000000001</v>
          </cell>
          <cell r="Q70">
            <v>1</v>
          </cell>
          <cell r="R70">
            <v>4289050.2</v>
          </cell>
          <cell r="T70">
            <v>1</v>
          </cell>
          <cell r="Y70">
            <v>0</v>
          </cell>
          <cell r="Z70">
            <v>0</v>
          </cell>
          <cell r="AA70">
            <v>4289050.2</v>
          </cell>
          <cell r="AB70">
            <v>0</v>
          </cell>
          <cell r="AC70">
            <v>0</v>
          </cell>
          <cell r="AD70">
            <v>0</v>
          </cell>
          <cell r="AE70">
            <v>0</v>
          </cell>
          <cell r="AF70">
            <v>4289050.2</v>
          </cell>
        </row>
        <row r="71">
          <cell r="B71" t="str">
            <v>INRAP/DNEE</v>
          </cell>
          <cell r="C71" t="str">
            <v>Q</v>
          </cell>
          <cell r="D71" t="str">
            <v>12D</v>
          </cell>
          <cell r="E71" t="str">
            <v>EP/</v>
          </cell>
          <cell r="F71" t="str">
            <v>FC/CN</v>
          </cell>
          <cell r="G71">
            <v>24</v>
          </cell>
          <cell r="H71" t="str">
            <v>Edition guide sc. de l'observation : 1ere à 6è années</v>
          </cell>
          <cell r="I71" t="str">
            <v>CN/PSE</v>
          </cell>
          <cell r="K71" t="str">
            <v>FC/PSE</v>
          </cell>
          <cell r="L71" t="str">
            <v>AOI</v>
          </cell>
          <cell r="M71">
            <v>31900</v>
          </cell>
          <cell r="N71" t="str">
            <v>u</v>
          </cell>
          <cell r="O71" t="str">
            <v>egp</v>
          </cell>
          <cell r="P71">
            <v>14.772000000000002</v>
          </cell>
          <cell r="Q71">
            <v>1</v>
          </cell>
          <cell r="R71">
            <v>471226.80000000005</v>
          </cell>
          <cell r="U71">
            <v>1</v>
          </cell>
          <cell r="Y71">
            <v>0</v>
          </cell>
          <cell r="Z71">
            <v>0</v>
          </cell>
          <cell r="AA71">
            <v>0</v>
          </cell>
          <cell r="AB71">
            <v>471226.80000000005</v>
          </cell>
          <cell r="AC71">
            <v>0</v>
          </cell>
          <cell r="AD71">
            <v>0</v>
          </cell>
          <cell r="AE71">
            <v>0</v>
          </cell>
          <cell r="AF71">
            <v>471226.80000000005</v>
          </cell>
        </row>
        <row r="72">
          <cell r="B72" t="str">
            <v>INRAP/DNEE</v>
          </cell>
          <cell r="C72" t="str">
            <v>Q</v>
          </cell>
          <cell r="D72" t="str">
            <v>12D</v>
          </cell>
          <cell r="E72" t="str">
            <v>EP/</v>
          </cell>
          <cell r="F72" t="str">
            <v>FC/CN</v>
          </cell>
          <cell r="G72">
            <v>24</v>
          </cell>
          <cell r="H72" t="str">
            <v>Edition manuel morale et inst civique :  3è, 4è, 5è et 6è années</v>
          </cell>
          <cell r="I72" t="str">
            <v>CN/PSE</v>
          </cell>
          <cell r="K72" t="str">
            <v>FC/PSE</v>
          </cell>
          <cell r="L72" t="str">
            <v>AOI</v>
          </cell>
          <cell r="M72">
            <v>967800</v>
          </cell>
          <cell r="N72" t="str">
            <v>u</v>
          </cell>
          <cell r="O72" t="str">
            <v>emp</v>
          </cell>
          <cell r="P72">
            <v>7.386000000000001</v>
          </cell>
          <cell r="Q72">
            <v>1</v>
          </cell>
          <cell r="R72">
            <v>7148170.8000000007</v>
          </cell>
          <cell r="T72">
            <v>1</v>
          </cell>
          <cell r="Y72">
            <v>0</v>
          </cell>
          <cell r="Z72">
            <v>0</v>
          </cell>
          <cell r="AA72">
            <v>7148170.8000000007</v>
          </cell>
          <cell r="AB72">
            <v>0</v>
          </cell>
          <cell r="AC72">
            <v>0</v>
          </cell>
          <cell r="AD72">
            <v>0</v>
          </cell>
          <cell r="AE72">
            <v>0</v>
          </cell>
          <cell r="AF72">
            <v>7148170.8000000007</v>
          </cell>
        </row>
        <row r="73">
          <cell r="B73" t="str">
            <v>INRAP/DNEE</v>
          </cell>
          <cell r="C73" t="str">
            <v>Q</v>
          </cell>
          <cell r="D73" t="str">
            <v>12D</v>
          </cell>
          <cell r="E73" t="str">
            <v>EP/</v>
          </cell>
          <cell r="F73" t="str">
            <v>FC/CN</v>
          </cell>
          <cell r="G73">
            <v>24</v>
          </cell>
          <cell r="H73" t="str">
            <v>Edition guide morale et inst civique :  3è, 4è, 5è et 6è années</v>
          </cell>
          <cell r="I73" t="str">
            <v>CN/PSE</v>
          </cell>
          <cell r="K73" t="str">
            <v>FC/PSE</v>
          </cell>
          <cell r="L73" t="str">
            <v>AOI</v>
          </cell>
          <cell r="M73">
            <v>19500</v>
          </cell>
          <cell r="N73" t="str">
            <v>u</v>
          </cell>
          <cell r="O73" t="str">
            <v>egp</v>
          </cell>
          <cell r="P73">
            <v>14.772000000000002</v>
          </cell>
          <cell r="Q73">
            <v>1</v>
          </cell>
          <cell r="R73">
            <v>288054.00000000006</v>
          </cell>
          <cell r="U73">
            <v>1</v>
          </cell>
          <cell r="Y73">
            <v>0</v>
          </cell>
          <cell r="Z73">
            <v>0</v>
          </cell>
          <cell r="AA73">
            <v>0</v>
          </cell>
          <cell r="AB73">
            <v>288054.00000000006</v>
          </cell>
          <cell r="AC73">
            <v>0</v>
          </cell>
          <cell r="AD73">
            <v>0</v>
          </cell>
          <cell r="AE73">
            <v>0</v>
          </cell>
          <cell r="AF73">
            <v>288054.00000000006</v>
          </cell>
        </row>
        <row r="74">
          <cell r="B74" t="str">
            <v>INRAP/DNEE</v>
          </cell>
          <cell r="C74" t="str">
            <v>Q</v>
          </cell>
          <cell r="D74" t="str">
            <v>12D</v>
          </cell>
          <cell r="E74" t="str">
            <v>EP/</v>
          </cell>
          <cell r="F74" t="str">
            <v>FC/CN</v>
          </cell>
          <cell r="G74">
            <v>24</v>
          </cell>
          <cell r="H74" t="str">
            <v>Réimp. manuel histo-geo :  3è, 4è, 5è et 6è années</v>
          </cell>
          <cell r="I74" t="str">
            <v>CN/PSE</v>
          </cell>
          <cell r="K74" t="str">
            <v>FC/PSE</v>
          </cell>
          <cell r="L74" t="str">
            <v>AOI</v>
          </cell>
          <cell r="M74">
            <v>580700</v>
          </cell>
          <cell r="N74" t="str">
            <v>u</v>
          </cell>
          <cell r="O74" t="str">
            <v>rmp</v>
          </cell>
          <cell r="P74">
            <v>7.386000000000001</v>
          </cell>
          <cell r="Q74">
            <v>1</v>
          </cell>
          <cell r="R74">
            <v>4289050.2</v>
          </cell>
          <cell r="T74">
            <v>1</v>
          </cell>
          <cell r="Y74">
            <v>0</v>
          </cell>
          <cell r="Z74">
            <v>0</v>
          </cell>
          <cell r="AA74">
            <v>4289050.2</v>
          </cell>
          <cell r="AB74">
            <v>0</v>
          </cell>
          <cell r="AC74">
            <v>0</v>
          </cell>
          <cell r="AD74">
            <v>0</v>
          </cell>
          <cell r="AE74">
            <v>0</v>
          </cell>
          <cell r="AF74">
            <v>4289050.2</v>
          </cell>
        </row>
        <row r="75">
          <cell r="B75" t="str">
            <v>INRAP/DNEE</v>
          </cell>
          <cell r="C75" t="str">
            <v>Q</v>
          </cell>
          <cell r="D75" t="str">
            <v>12D</v>
          </cell>
          <cell r="E75" t="str">
            <v>EP/</v>
          </cell>
          <cell r="F75" t="str">
            <v>FC/CN</v>
          </cell>
          <cell r="G75">
            <v>24</v>
          </cell>
          <cell r="H75" t="str">
            <v>Edition guide histo-geo :  3è, 4è, 5è et 6è années</v>
          </cell>
          <cell r="I75" t="str">
            <v>CN/PSE</v>
          </cell>
          <cell r="K75" t="str">
            <v>FC/PSE</v>
          </cell>
          <cell r="L75" t="str">
            <v>AOI</v>
          </cell>
          <cell r="M75">
            <v>19500</v>
          </cell>
          <cell r="N75" t="str">
            <v>u</v>
          </cell>
          <cell r="O75" t="str">
            <v>egp</v>
          </cell>
          <cell r="P75">
            <v>14.772000000000002</v>
          </cell>
          <cell r="Q75">
            <v>1</v>
          </cell>
          <cell r="R75">
            <v>288054.00000000006</v>
          </cell>
          <cell r="U75">
            <v>1</v>
          </cell>
          <cell r="Y75">
            <v>0</v>
          </cell>
          <cell r="Z75">
            <v>0</v>
          </cell>
          <cell r="AA75">
            <v>0</v>
          </cell>
          <cell r="AB75">
            <v>288054.00000000006</v>
          </cell>
          <cell r="AC75">
            <v>0</v>
          </cell>
          <cell r="AD75">
            <v>0</v>
          </cell>
          <cell r="AE75">
            <v>0</v>
          </cell>
          <cell r="AF75">
            <v>288054.00000000006</v>
          </cell>
        </row>
        <row r="76">
          <cell r="H76" t="str">
            <v>Formation continue des maîtres</v>
          </cell>
          <cell r="R76">
            <v>16621355.516666666</v>
          </cell>
          <cell r="Z76">
            <v>5363735.3</v>
          </cell>
          <cell r="AA76">
            <v>5061636.763888889</v>
          </cell>
          <cell r="AB76">
            <v>3463029.388888889</v>
          </cell>
          <cell r="AC76">
            <v>2732954.0638888893</v>
          </cell>
          <cell r="AD76">
            <v>0</v>
          </cell>
          <cell r="AE76">
            <v>0</v>
          </cell>
          <cell r="AF76">
            <v>16621355.516666666</v>
          </cell>
        </row>
        <row r="77">
          <cell r="H77" t="str">
            <v>Appuis au pilotage de la Formation continue</v>
          </cell>
        </row>
        <row r="78">
          <cell r="B78" t="str">
            <v>SNFP/APU</v>
          </cell>
          <cell r="C78" t="str">
            <v>Q</v>
          </cell>
          <cell r="D78" t="str">
            <v>12E</v>
          </cell>
          <cell r="E78" t="str">
            <v>IRE/</v>
          </cell>
          <cell r="F78" t="str">
            <v>FC/</v>
          </cell>
          <cell r="G78">
            <v>15</v>
          </cell>
          <cell r="H78" t="str">
            <v>SNFP Véhicule 4x4 PU 2CAB</v>
          </cell>
          <cell r="I78" t="str">
            <v>CN/PSE</v>
          </cell>
          <cell r="K78" t="str">
            <v>FC/PSE</v>
          </cell>
          <cell r="L78" t="str">
            <v>AOI</v>
          </cell>
          <cell r="M78">
            <v>1</v>
          </cell>
          <cell r="N78" t="str">
            <v>u</v>
          </cell>
          <cell r="O78" t="str">
            <v>vdc</v>
          </cell>
          <cell r="P78">
            <v>172340</v>
          </cell>
          <cell r="Q78">
            <v>1</v>
          </cell>
          <cell r="R78">
            <v>172340</v>
          </cell>
          <cell r="T78">
            <v>1</v>
          </cell>
          <cell r="Y78">
            <v>0</v>
          </cell>
          <cell r="Z78">
            <v>0</v>
          </cell>
          <cell r="AA78">
            <v>172340</v>
          </cell>
          <cell r="AB78">
            <v>0</v>
          </cell>
          <cell r="AC78">
            <v>0</v>
          </cell>
          <cell r="AD78">
            <v>0</v>
          </cell>
          <cell r="AE78">
            <v>0</v>
          </cell>
          <cell r="AF78">
            <v>172340</v>
          </cell>
        </row>
        <row r="79">
          <cell r="B79" t="str">
            <v>IGE/EPU</v>
          </cell>
          <cell r="C79" t="str">
            <v>G</v>
          </cell>
          <cell r="D79" t="str">
            <v>51C</v>
          </cell>
          <cell r="E79" t="str">
            <v>IGE/EPU</v>
          </cell>
          <cell r="F79" t="str">
            <v>FC/CN</v>
          </cell>
          <cell r="G79">
            <v>15</v>
          </cell>
          <cell r="H79" t="str">
            <v>Fonctionnement Commission Chargée des Enseignants Faibles</v>
          </cell>
          <cell r="I79" t="str">
            <v>CN/PSE</v>
          </cell>
          <cell r="K79" t="str">
            <v>FC/PSE</v>
          </cell>
          <cell r="L79" t="str">
            <v>AUT</v>
          </cell>
          <cell r="M79">
            <v>1</v>
          </cell>
          <cell r="N79" t="str">
            <v>forfait</v>
          </cell>
          <cell r="P79">
            <v>40000</v>
          </cell>
          <cell r="Q79">
            <v>1</v>
          </cell>
          <cell r="R79">
            <v>40000</v>
          </cell>
          <cell r="S79">
            <v>0.25</v>
          </cell>
          <cell r="T79">
            <v>0.25</v>
          </cell>
          <cell r="U79">
            <v>0.25</v>
          </cell>
          <cell r="V79">
            <v>0.25</v>
          </cell>
          <cell r="Y79">
            <v>0</v>
          </cell>
          <cell r="Z79">
            <v>10000</v>
          </cell>
          <cell r="AA79">
            <v>10000</v>
          </cell>
          <cell r="AB79">
            <v>10000</v>
          </cell>
          <cell r="AC79">
            <v>10000</v>
          </cell>
          <cell r="AD79">
            <v>0</v>
          </cell>
          <cell r="AE79">
            <v>0</v>
          </cell>
          <cell r="AF79">
            <v>40000</v>
          </cell>
        </row>
        <row r="80">
          <cell r="H80" t="str">
            <v>Préparation de la formation continue</v>
          </cell>
        </row>
        <row r="81">
          <cell r="B81" t="str">
            <v>DNEE/SNFP</v>
          </cell>
          <cell r="C81" t="str">
            <v>Q</v>
          </cell>
          <cell r="D81" t="str">
            <v>12E</v>
          </cell>
          <cell r="E81" t="str">
            <v>DNEE</v>
          </cell>
          <cell r="F81" t="str">
            <v>FC/CN</v>
          </cell>
          <cell r="G81">
            <v>12</v>
          </cell>
          <cell r="H81" t="str">
            <v>At harmonisation outils/méthodes d'évaluation suivi, sélection formateurs 40p x 5j</v>
          </cell>
          <cell r="I81" t="str">
            <v>DNEE</v>
          </cell>
          <cell r="K81" t="str">
            <v>FC/PSE</v>
          </cell>
          <cell r="L81" t="str">
            <v>AUT</v>
          </cell>
          <cell r="M81">
            <v>200</v>
          </cell>
          <cell r="N81" t="str">
            <v>pxj</v>
          </cell>
          <cell r="O81" t="str">
            <v>asn</v>
          </cell>
          <cell r="P81">
            <v>147.72</v>
          </cell>
          <cell r="Q81">
            <v>1</v>
          </cell>
          <cell r="R81">
            <v>29544</v>
          </cell>
          <cell r="S81">
            <v>1</v>
          </cell>
          <cell r="Y81">
            <v>0</v>
          </cell>
          <cell r="Z81">
            <v>29544</v>
          </cell>
          <cell r="AA81">
            <v>0</v>
          </cell>
          <cell r="AB81">
            <v>0</v>
          </cell>
          <cell r="AC81">
            <v>0</v>
          </cell>
          <cell r="AD81">
            <v>0</v>
          </cell>
          <cell r="AE81">
            <v>0</v>
          </cell>
          <cell r="AF81">
            <v>29544</v>
          </cell>
        </row>
        <row r="82">
          <cell r="B82" t="str">
            <v>DNEE/SNFP</v>
          </cell>
          <cell r="C82" t="str">
            <v>Q</v>
          </cell>
          <cell r="D82" t="str">
            <v>12E</v>
          </cell>
          <cell r="E82" t="str">
            <v>IRE/</v>
          </cell>
          <cell r="F82" t="str">
            <v>FC/</v>
          </cell>
          <cell r="G82">
            <v>12</v>
          </cell>
          <cell r="H82" t="str">
            <v>Formation cadres et agents de suivi des 46 IRE/DPE x 3p x  3j</v>
          </cell>
          <cell r="I82" t="str">
            <v>DNEE</v>
          </cell>
          <cell r="K82" t="str">
            <v>FC/PSE</v>
          </cell>
          <cell r="L82" t="str">
            <v>AUT</v>
          </cell>
          <cell r="M82">
            <v>414</v>
          </cell>
          <cell r="N82" t="str">
            <v>pxj</v>
          </cell>
          <cell r="O82" t="str">
            <v>asr</v>
          </cell>
          <cell r="P82">
            <v>123.10000000000001</v>
          </cell>
          <cell r="Q82">
            <v>1</v>
          </cell>
          <cell r="R82">
            <v>50963.4</v>
          </cell>
          <cell r="S82">
            <v>1</v>
          </cell>
          <cell r="Y82">
            <v>0</v>
          </cell>
          <cell r="Z82">
            <v>50963.4</v>
          </cell>
          <cell r="AA82">
            <v>0</v>
          </cell>
          <cell r="AB82">
            <v>0</v>
          </cell>
          <cell r="AC82">
            <v>0</v>
          </cell>
          <cell r="AD82">
            <v>0</v>
          </cell>
          <cell r="AE82">
            <v>0</v>
          </cell>
          <cell r="AF82">
            <v>50963.4</v>
          </cell>
        </row>
        <row r="83">
          <cell r="B83" t="str">
            <v>DNEE/SNFP</v>
          </cell>
          <cell r="C83" t="str">
            <v>Q</v>
          </cell>
          <cell r="D83" t="str">
            <v>12E</v>
          </cell>
          <cell r="E83" t="str">
            <v>IRE/</v>
          </cell>
          <cell r="F83" t="str">
            <v>FC/</v>
          </cell>
          <cell r="G83">
            <v>12</v>
          </cell>
          <cell r="H83" t="str">
            <v>Formation des cadres et agents de suivi des DSEE  405p x 3j</v>
          </cell>
          <cell r="I83" t="str">
            <v>DNEE</v>
          </cell>
          <cell r="K83" t="str">
            <v>FC/PSE</v>
          </cell>
          <cell r="L83" t="str">
            <v>AUT</v>
          </cell>
          <cell r="M83">
            <v>1215</v>
          </cell>
          <cell r="N83" t="str">
            <v>pxj</v>
          </cell>
          <cell r="O83" t="str">
            <v>asp</v>
          </cell>
          <cell r="P83">
            <v>98.48</v>
          </cell>
          <cell r="Q83">
            <v>1</v>
          </cell>
          <cell r="R83">
            <v>119653.20000000001</v>
          </cell>
          <cell r="S83">
            <v>1</v>
          </cell>
          <cell r="Y83">
            <v>0</v>
          </cell>
          <cell r="Z83">
            <v>119653.20000000001</v>
          </cell>
          <cell r="AA83">
            <v>0</v>
          </cell>
          <cell r="AB83">
            <v>0</v>
          </cell>
          <cell r="AC83">
            <v>0</v>
          </cell>
          <cell r="AD83">
            <v>0</v>
          </cell>
          <cell r="AE83">
            <v>0</v>
          </cell>
          <cell r="AF83">
            <v>119653.20000000001</v>
          </cell>
        </row>
        <row r="84">
          <cell r="H84" t="str">
            <v>Elaboration des Plans Préfectoraux de Formation Continue</v>
          </cell>
        </row>
        <row r="85">
          <cell r="B85" t="str">
            <v>DNEE/SNFP</v>
          </cell>
          <cell r="C85" t="str">
            <v>Q</v>
          </cell>
          <cell r="D85" t="str">
            <v>12E</v>
          </cell>
          <cell r="E85" t="str">
            <v>DNEE</v>
          </cell>
          <cell r="F85" t="str">
            <v>FC/CN</v>
          </cell>
          <cell r="G85">
            <v>12</v>
          </cell>
          <cell r="H85" t="str">
            <v>Reproduction des outils 6pages x 26 000p</v>
          </cell>
          <cell r="I85" t="str">
            <v>CN/PSE</v>
          </cell>
          <cell r="K85" t="str">
            <v>FC/PSE</v>
          </cell>
          <cell r="L85" t="str">
            <v>AON</v>
          </cell>
          <cell r="M85">
            <v>156000</v>
          </cell>
          <cell r="N85" t="str">
            <v>page</v>
          </cell>
          <cell r="O85" t="str">
            <v>rep</v>
          </cell>
          <cell r="P85">
            <v>0.30000000000000004</v>
          </cell>
          <cell r="Q85">
            <v>1</v>
          </cell>
          <cell r="R85">
            <v>46800.000000000007</v>
          </cell>
          <cell r="S85">
            <v>1</v>
          </cell>
          <cell r="Y85">
            <v>0</v>
          </cell>
          <cell r="Z85">
            <v>46800.000000000007</v>
          </cell>
          <cell r="AA85">
            <v>0</v>
          </cell>
          <cell r="AB85">
            <v>0</v>
          </cell>
          <cell r="AC85">
            <v>0</v>
          </cell>
          <cell r="AD85">
            <v>0</v>
          </cell>
          <cell r="AE85">
            <v>0</v>
          </cell>
          <cell r="AF85">
            <v>46800.000000000007</v>
          </cell>
        </row>
        <row r="86">
          <cell r="B86" t="str">
            <v>DNEE/SNFP</v>
          </cell>
          <cell r="C86" t="str">
            <v>Q</v>
          </cell>
          <cell r="D86" t="str">
            <v>12E</v>
          </cell>
          <cell r="E86" t="str">
            <v>DPE/</v>
          </cell>
          <cell r="F86" t="str">
            <v>FC/</v>
          </cell>
          <cell r="G86">
            <v>12</v>
          </cell>
          <cell r="H86" t="str">
            <v>Ateliers préfectoraux de lancement des évaluations 20p x 2j x 38préf</v>
          </cell>
          <cell r="I86" t="str">
            <v>DPE/</v>
          </cell>
          <cell r="K86" t="str">
            <v>FC/PSE</v>
          </cell>
          <cell r="L86" t="str">
            <v>AUT</v>
          </cell>
          <cell r="M86">
            <v>1520</v>
          </cell>
          <cell r="N86" t="str">
            <v>pxj</v>
          </cell>
          <cell r="O86" t="str">
            <v>asp</v>
          </cell>
          <cell r="P86">
            <v>98.48</v>
          </cell>
          <cell r="Q86">
            <v>1</v>
          </cell>
          <cell r="R86">
            <v>149689.60000000001</v>
          </cell>
          <cell r="S86">
            <v>1</v>
          </cell>
          <cell r="Y86">
            <v>0</v>
          </cell>
          <cell r="Z86">
            <v>149689.60000000001</v>
          </cell>
          <cell r="AA86">
            <v>0</v>
          </cell>
          <cell r="AB86">
            <v>0</v>
          </cell>
          <cell r="AC86">
            <v>0</v>
          </cell>
          <cell r="AD86">
            <v>0</v>
          </cell>
          <cell r="AE86">
            <v>0</v>
          </cell>
          <cell r="AF86">
            <v>149689.60000000001</v>
          </cell>
        </row>
        <row r="87">
          <cell r="B87" t="str">
            <v>DNEE/SNFP</v>
          </cell>
          <cell r="C87" t="str">
            <v>Q</v>
          </cell>
          <cell r="D87" t="str">
            <v>12E</v>
          </cell>
          <cell r="E87" t="str">
            <v>DPE/</v>
          </cell>
          <cell r="F87" t="str">
            <v>FC/</v>
          </cell>
          <cell r="G87">
            <v>12</v>
          </cell>
          <cell r="H87" t="str">
            <v>Evaluations des 26 000 maîtres et DE par les DSEE et cadres formés</v>
          </cell>
          <cell r="I87" t="str">
            <v>DPE/</v>
          </cell>
          <cell r="K87" t="str">
            <v>FC/PSE</v>
          </cell>
          <cell r="L87" t="str">
            <v>AUT</v>
          </cell>
          <cell r="M87">
            <v>26000</v>
          </cell>
          <cell r="N87" t="str">
            <v>p</v>
          </cell>
          <cell r="O87" t="str">
            <v>forfait</v>
          </cell>
          <cell r="P87">
            <v>10</v>
          </cell>
          <cell r="Q87">
            <v>1</v>
          </cell>
          <cell r="R87">
            <v>260000</v>
          </cell>
          <cell r="S87">
            <v>1</v>
          </cell>
          <cell r="Y87">
            <v>0</v>
          </cell>
          <cell r="Z87">
            <v>260000</v>
          </cell>
          <cell r="AA87">
            <v>0</v>
          </cell>
          <cell r="AB87">
            <v>0</v>
          </cell>
          <cell r="AC87">
            <v>0</v>
          </cell>
          <cell r="AD87">
            <v>0</v>
          </cell>
          <cell r="AE87">
            <v>0</v>
          </cell>
          <cell r="AF87">
            <v>260000</v>
          </cell>
        </row>
        <row r="88">
          <cell r="B88" t="str">
            <v>DNEE/SNFP</v>
          </cell>
          <cell r="C88" t="str">
            <v>Q</v>
          </cell>
          <cell r="D88" t="str">
            <v>12E</v>
          </cell>
          <cell r="E88" t="str">
            <v>DPE/</v>
          </cell>
          <cell r="F88" t="str">
            <v>FC/</v>
          </cell>
          <cell r="G88">
            <v>12</v>
          </cell>
          <cell r="H88" t="str">
            <v>Ateliers préfectoraux exploitation évaluations et élaboration PPFC 30p x 3j x 38préf</v>
          </cell>
          <cell r="I88" t="str">
            <v>DPE/</v>
          </cell>
          <cell r="K88" t="str">
            <v>FC/PSE</v>
          </cell>
          <cell r="L88" t="str">
            <v>AUT</v>
          </cell>
          <cell r="M88">
            <v>3420</v>
          </cell>
          <cell r="N88" t="str">
            <v>pxj</v>
          </cell>
          <cell r="O88" t="str">
            <v>asp</v>
          </cell>
          <cell r="P88">
            <v>98.48</v>
          </cell>
          <cell r="Q88">
            <v>1</v>
          </cell>
          <cell r="R88">
            <v>336801.60000000003</v>
          </cell>
          <cell r="S88">
            <v>1</v>
          </cell>
          <cell r="Y88">
            <v>0</v>
          </cell>
          <cell r="Z88">
            <v>336801.60000000003</v>
          </cell>
          <cell r="AA88">
            <v>0</v>
          </cell>
          <cell r="AB88">
            <v>0</v>
          </cell>
          <cell r="AC88">
            <v>0</v>
          </cell>
          <cell r="AD88">
            <v>0</v>
          </cell>
          <cell r="AE88">
            <v>0</v>
          </cell>
          <cell r="AF88">
            <v>336801.60000000003</v>
          </cell>
        </row>
        <row r="89">
          <cell r="B89" t="str">
            <v>DNEE/SNFP</v>
          </cell>
          <cell r="C89" t="str">
            <v>Q</v>
          </cell>
          <cell r="D89" t="str">
            <v>12E</v>
          </cell>
          <cell r="E89" t="str">
            <v>DNEE</v>
          </cell>
          <cell r="F89" t="str">
            <v>FC/CN</v>
          </cell>
          <cell r="G89">
            <v>12</v>
          </cell>
          <cell r="H89" t="str">
            <v>Atelier national d'approbation des PPFC par DNEE  SNFP et CN/PSE 25p x 4j</v>
          </cell>
          <cell r="I89" t="str">
            <v>DNEE</v>
          </cell>
          <cell r="K89" t="str">
            <v>FC/PSE</v>
          </cell>
          <cell r="L89" t="str">
            <v>AUT</v>
          </cell>
          <cell r="M89">
            <v>100</v>
          </cell>
          <cell r="N89" t="str">
            <v>pxj</v>
          </cell>
          <cell r="O89" t="str">
            <v>asr</v>
          </cell>
          <cell r="P89">
            <v>123.10000000000001</v>
          </cell>
          <cell r="Q89">
            <v>1</v>
          </cell>
          <cell r="R89">
            <v>12310</v>
          </cell>
          <cell r="S89">
            <v>1</v>
          </cell>
          <cell r="Y89">
            <v>0</v>
          </cell>
          <cell r="Z89">
            <v>12310</v>
          </cell>
          <cell r="AA89">
            <v>0</v>
          </cell>
          <cell r="AB89">
            <v>0</v>
          </cell>
          <cell r="AC89">
            <v>0</v>
          </cell>
          <cell r="AD89">
            <v>0</v>
          </cell>
          <cell r="AE89">
            <v>0</v>
          </cell>
          <cell r="AF89">
            <v>12310</v>
          </cell>
        </row>
        <row r="90">
          <cell r="H90" t="str">
            <v>Formation continue des maîtres et DE</v>
          </cell>
        </row>
        <row r="91">
          <cell r="B91" t="str">
            <v>DNEE/SNFP</v>
          </cell>
          <cell r="C91" t="str">
            <v>Q</v>
          </cell>
          <cell r="D91" t="str">
            <v>12E</v>
          </cell>
          <cell r="E91" t="str">
            <v>IRE/</v>
          </cell>
          <cell r="F91" t="str">
            <v>FC/</v>
          </cell>
          <cell r="G91">
            <v>12</v>
          </cell>
          <cell r="H91" t="str">
            <v>Formations des formateurs de formateurs 4p x 8 régions x 2fois 5jours</v>
          </cell>
          <cell r="I91" t="str">
            <v>DNEE</v>
          </cell>
          <cell r="K91" t="str">
            <v>FC/PSE</v>
          </cell>
          <cell r="L91" t="str">
            <v>AUT</v>
          </cell>
          <cell r="M91">
            <v>320</v>
          </cell>
          <cell r="N91" t="str">
            <v>pxj</v>
          </cell>
          <cell r="O91" t="str">
            <v>asn</v>
          </cell>
          <cell r="P91">
            <v>147.72</v>
          </cell>
          <cell r="Q91">
            <v>1</v>
          </cell>
          <cell r="R91">
            <v>47270.400000000001</v>
          </cell>
          <cell r="S91">
            <v>1</v>
          </cell>
          <cell r="Y91">
            <v>0</v>
          </cell>
          <cell r="Z91">
            <v>47270.400000000001</v>
          </cell>
          <cell r="AA91">
            <v>0</v>
          </cell>
          <cell r="AB91">
            <v>0</v>
          </cell>
          <cell r="AC91">
            <v>0</v>
          </cell>
          <cell r="AD91">
            <v>0</v>
          </cell>
          <cell r="AE91">
            <v>0</v>
          </cell>
          <cell r="AF91">
            <v>47270.400000000001</v>
          </cell>
        </row>
        <row r="92">
          <cell r="B92" t="str">
            <v>DNEE/SNFP</v>
          </cell>
          <cell r="C92" t="str">
            <v>Q</v>
          </cell>
          <cell r="D92" t="str">
            <v>12E</v>
          </cell>
          <cell r="E92" t="str">
            <v>DNEE</v>
          </cell>
          <cell r="F92" t="str">
            <v>FC/CN</v>
          </cell>
          <cell r="G92">
            <v>12</v>
          </cell>
          <cell r="H92" t="str">
            <v>Spécialiste international formation de formateurs</v>
          </cell>
          <cell r="I92" t="str">
            <v>DNEE</v>
          </cell>
          <cell r="K92" t="str">
            <v>FC/PSE</v>
          </cell>
          <cell r="L92" t="str">
            <v>CR</v>
          </cell>
          <cell r="M92">
            <v>0.5</v>
          </cell>
          <cell r="N92" t="str">
            <v>pxm</v>
          </cell>
          <cell r="O92" t="str">
            <v>cic</v>
          </cell>
          <cell r="P92">
            <v>88632</v>
          </cell>
          <cell r="Q92">
            <v>1</v>
          </cell>
          <cell r="R92">
            <v>44316</v>
          </cell>
          <cell r="S92">
            <v>1</v>
          </cell>
          <cell r="Y92">
            <v>0</v>
          </cell>
          <cell r="Z92">
            <v>44316</v>
          </cell>
          <cell r="AA92">
            <v>0</v>
          </cell>
          <cell r="AB92">
            <v>0</v>
          </cell>
          <cell r="AC92">
            <v>0</v>
          </cell>
          <cell r="AD92">
            <v>0</v>
          </cell>
          <cell r="AE92">
            <v>0</v>
          </cell>
          <cell r="AF92">
            <v>44316</v>
          </cell>
        </row>
        <row r="93">
          <cell r="B93" t="str">
            <v>DNEE/SNFP</v>
          </cell>
          <cell r="C93" t="str">
            <v>Q</v>
          </cell>
          <cell r="D93" t="str">
            <v>12E</v>
          </cell>
          <cell r="E93" t="str">
            <v>DNEE</v>
          </cell>
          <cell r="F93" t="str">
            <v>FC/CN</v>
          </cell>
          <cell r="G93">
            <v>12</v>
          </cell>
          <cell r="H93" t="str">
            <v>Reproduction matériel pédag de formation : 4 modules x 50 pages + 80 pages</v>
          </cell>
          <cell r="I93" t="str">
            <v>CN/PSE</v>
          </cell>
          <cell r="K93" t="str">
            <v>FC/PSE</v>
          </cell>
          <cell r="L93" t="str">
            <v>AOI</v>
          </cell>
          <cell r="M93">
            <v>5040000</v>
          </cell>
          <cell r="N93" t="str">
            <v>page</v>
          </cell>
          <cell r="O93" t="str">
            <v>rep</v>
          </cell>
          <cell r="P93">
            <v>0.30000000000000004</v>
          </cell>
          <cell r="Q93">
            <v>1</v>
          </cell>
          <cell r="R93">
            <v>1512000.0000000002</v>
          </cell>
          <cell r="S93">
            <v>1</v>
          </cell>
          <cell r="Y93">
            <v>0</v>
          </cell>
          <cell r="Z93">
            <v>1512000.0000000002</v>
          </cell>
          <cell r="AA93">
            <v>0</v>
          </cell>
          <cell r="AB93">
            <v>0</v>
          </cell>
          <cell r="AC93">
            <v>0</v>
          </cell>
          <cell r="AD93">
            <v>0</v>
          </cell>
          <cell r="AE93">
            <v>0</v>
          </cell>
          <cell r="AF93">
            <v>1512000.0000000002</v>
          </cell>
        </row>
        <row r="94">
          <cell r="B94" t="str">
            <v>DNEE/SNFP</v>
          </cell>
          <cell r="C94" t="str">
            <v>Q</v>
          </cell>
          <cell r="D94" t="str">
            <v>12E</v>
          </cell>
          <cell r="E94" t="str">
            <v>IRE/</v>
          </cell>
          <cell r="F94" t="str">
            <v>FC/</v>
          </cell>
          <cell r="G94">
            <v>12</v>
          </cell>
          <cell r="H94" t="str">
            <v>Formation des formateurs des maîtres et DE 6formateurs x 38préf x 2fois x 3jours</v>
          </cell>
          <cell r="I94" t="str">
            <v>DPE/</v>
          </cell>
          <cell r="K94" t="str">
            <v>FC/PSE</v>
          </cell>
          <cell r="L94" t="str">
            <v>AUT</v>
          </cell>
          <cell r="M94">
            <v>1368</v>
          </cell>
          <cell r="N94" t="str">
            <v>pxj</v>
          </cell>
          <cell r="O94" t="str">
            <v>asr</v>
          </cell>
          <cell r="P94">
            <v>123.10000000000001</v>
          </cell>
          <cell r="Q94">
            <v>1</v>
          </cell>
          <cell r="R94">
            <v>168400.80000000002</v>
          </cell>
          <cell r="S94">
            <v>1</v>
          </cell>
          <cell r="Y94">
            <v>0</v>
          </cell>
          <cell r="Z94">
            <v>168400.80000000002</v>
          </cell>
          <cell r="AA94">
            <v>0</v>
          </cell>
          <cell r="AB94">
            <v>0</v>
          </cell>
          <cell r="AC94">
            <v>0</v>
          </cell>
          <cell r="AD94">
            <v>0</v>
          </cell>
          <cell r="AE94">
            <v>0</v>
          </cell>
          <cell r="AF94">
            <v>168400.80000000002</v>
          </cell>
        </row>
        <row r="95">
          <cell r="B95" t="str">
            <v>DNEE/SNFP</v>
          </cell>
          <cell r="C95" t="str">
            <v>Q</v>
          </cell>
          <cell r="D95" t="str">
            <v>12E</v>
          </cell>
          <cell r="E95" t="str">
            <v>EP/</v>
          </cell>
          <cell r="F95" t="str">
            <v>FC/</v>
          </cell>
          <cell r="G95">
            <v>12</v>
          </cell>
          <cell r="H95" t="str">
            <v>Formation continue des DE  7125p x 2 modules de 5jours en 2009</v>
          </cell>
          <cell r="I95" t="str">
            <v>DPE/</v>
          </cell>
          <cell r="K95" t="str">
            <v>FC/PSE</v>
          </cell>
          <cell r="L95" t="str">
            <v>AUT</v>
          </cell>
          <cell r="M95">
            <v>71250</v>
          </cell>
          <cell r="N95" t="str">
            <v>pxj</v>
          </cell>
          <cell r="P95">
            <v>64.012</v>
          </cell>
          <cell r="Q95">
            <v>1</v>
          </cell>
          <cell r="R95">
            <v>4560855</v>
          </cell>
          <cell r="S95">
            <v>0.5</v>
          </cell>
          <cell r="T95">
            <v>0.5</v>
          </cell>
          <cell r="Y95">
            <v>0</v>
          </cell>
          <cell r="Z95">
            <v>2280427.5</v>
          </cell>
          <cell r="AA95">
            <v>2280427.5</v>
          </cell>
          <cell r="AB95">
            <v>0</v>
          </cell>
          <cell r="AC95">
            <v>0</v>
          </cell>
          <cell r="AD95">
            <v>0</v>
          </cell>
          <cell r="AE95">
            <v>0</v>
          </cell>
          <cell r="AF95">
            <v>4560855</v>
          </cell>
        </row>
        <row r="96">
          <cell r="B96" t="str">
            <v>DNEE/SNFP</v>
          </cell>
          <cell r="C96" t="str">
            <v>Q</v>
          </cell>
          <cell r="D96" t="str">
            <v>12E</v>
          </cell>
          <cell r="E96" t="str">
            <v>EP/</v>
          </cell>
          <cell r="F96" t="str">
            <v>FC/</v>
          </cell>
          <cell r="G96">
            <v>12</v>
          </cell>
          <cell r="H96" t="str">
            <v>Formation continue environ 9 250 maîtres x 3modules x 5j (2 en 2009 et 1 en 2010)</v>
          </cell>
          <cell r="I96" t="str">
            <v>DPE/</v>
          </cell>
          <cell r="K96" t="str">
            <v>FC/PSE</v>
          </cell>
          <cell r="L96" t="str">
            <v>AUT</v>
          </cell>
          <cell r="M96">
            <v>92500</v>
          </cell>
          <cell r="N96" t="str">
            <v>pxj</v>
          </cell>
          <cell r="P96">
            <v>64.012</v>
          </cell>
          <cell r="Q96">
            <v>1</v>
          </cell>
          <cell r="R96">
            <v>5921110</v>
          </cell>
          <cell r="T96">
            <v>0.3</v>
          </cell>
          <cell r="U96">
            <v>0.4</v>
          </cell>
          <cell r="V96">
            <v>0.3</v>
          </cell>
          <cell r="Y96">
            <v>0</v>
          </cell>
          <cell r="Z96">
            <v>0</v>
          </cell>
          <cell r="AA96">
            <v>1776333</v>
          </cell>
          <cell r="AB96">
            <v>2368444</v>
          </cell>
          <cell r="AC96">
            <v>1776333</v>
          </cell>
          <cell r="AD96">
            <v>0</v>
          </cell>
          <cell r="AE96">
            <v>0</v>
          </cell>
          <cell r="AF96">
            <v>5921110</v>
          </cell>
        </row>
        <row r="97">
          <cell r="H97" t="str">
            <v>Formation enseignants encadreurs en évaluation apprentissages</v>
          </cell>
        </row>
        <row r="98">
          <cell r="B98" t="str">
            <v>DNEE/SNFP</v>
          </cell>
          <cell r="C98" t="str">
            <v>Q</v>
          </cell>
          <cell r="D98" t="str">
            <v>12E</v>
          </cell>
          <cell r="E98" t="str">
            <v>DNEE</v>
          </cell>
          <cell r="F98" t="str">
            <v>FC/CN</v>
          </cell>
          <cell r="G98">
            <v>12</v>
          </cell>
          <cell r="H98" t="str">
            <v>Atelier finalisation du module 10p x 4jours</v>
          </cell>
          <cell r="I98" t="str">
            <v>DNEE</v>
          </cell>
          <cell r="K98" t="str">
            <v>FC/PSE</v>
          </cell>
          <cell r="L98" t="str">
            <v>AUT</v>
          </cell>
          <cell r="M98">
            <v>40</v>
          </cell>
          <cell r="N98" t="str">
            <v>pxj</v>
          </cell>
          <cell r="O98" t="str">
            <v>asn</v>
          </cell>
          <cell r="P98">
            <v>147.72</v>
          </cell>
          <cell r="Q98">
            <v>1</v>
          </cell>
          <cell r="R98">
            <v>5908.8</v>
          </cell>
          <cell r="S98">
            <v>1</v>
          </cell>
          <cell r="Y98">
            <v>0</v>
          </cell>
          <cell r="Z98">
            <v>5908.8</v>
          </cell>
          <cell r="AA98">
            <v>0</v>
          </cell>
          <cell r="AB98">
            <v>0</v>
          </cell>
          <cell r="AC98">
            <v>0</v>
          </cell>
          <cell r="AD98">
            <v>0</v>
          </cell>
          <cell r="AE98">
            <v>0</v>
          </cell>
          <cell r="AF98">
            <v>5908.8</v>
          </cell>
        </row>
        <row r="99">
          <cell r="B99" t="str">
            <v>DNEE/SNFP</v>
          </cell>
          <cell r="C99" t="str">
            <v>Q</v>
          </cell>
          <cell r="D99" t="str">
            <v>12E</v>
          </cell>
          <cell r="E99" t="str">
            <v>DNEE</v>
          </cell>
          <cell r="F99" t="str">
            <v>FC/CN</v>
          </cell>
          <cell r="G99">
            <v>12</v>
          </cell>
          <cell r="H99" t="str">
            <v>Reproduction matériel pédag de formation : 1 module x 50 pages</v>
          </cell>
          <cell r="I99" t="str">
            <v>CN/PSE</v>
          </cell>
          <cell r="K99" t="str">
            <v>FC/PSE</v>
          </cell>
          <cell r="L99" t="str">
            <v>AON</v>
          </cell>
          <cell r="M99">
            <v>900000</v>
          </cell>
          <cell r="N99" t="str">
            <v>page</v>
          </cell>
          <cell r="O99" t="str">
            <v>rep</v>
          </cell>
          <cell r="P99">
            <v>0.30000000000000004</v>
          </cell>
          <cell r="Q99">
            <v>1</v>
          </cell>
          <cell r="R99">
            <v>270000.00000000006</v>
          </cell>
          <cell r="S99">
            <v>1</v>
          </cell>
          <cell r="Y99">
            <v>0</v>
          </cell>
          <cell r="Z99">
            <v>270000.00000000006</v>
          </cell>
          <cell r="AA99">
            <v>0</v>
          </cell>
          <cell r="AB99">
            <v>0</v>
          </cell>
          <cell r="AC99">
            <v>0</v>
          </cell>
          <cell r="AD99">
            <v>0</v>
          </cell>
          <cell r="AE99">
            <v>0</v>
          </cell>
          <cell r="AF99">
            <v>270000.00000000006</v>
          </cell>
        </row>
        <row r="100">
          <cell r="B100" t="str">
            <v>DNEE/SNFP</v>
          </cell>
          <cell r="C100" t="str">
            <v>Q</v>
          </cell>
          <cell r="D100" t="str">
            <v>12E</v>
          </cell>
          <cell r="E100" t="str">
            <v>EP/</v>
          </cell>
          <cell r="F100" t="str">
            <v>FC/</v>
          </cell>
          <cell r="G100">
            <v>12</v>
          </cell>
          <cell r="H100" t="str">
            <v>Formation continue des DE  7125p x 1 modules de 5jours en 2009 et 2010</v>
          </cell>
          <cell r="I100" t="str">
            <v>DPE/</v>
          </cell>
          <cell r="K100" t="str">
            <v>FC/PSE</v>
          </cell>
          <cell r="L100" t="str">
            <v>AUT</v>
          </cell>
          <cell r="M100">
            <v>17812.5</v>
          </cell>
          <cell r="N100" t="str">
            <v>pxj</v>
          </cell>
          <cell r="P100">
            <v>64.012</v>
          </cell>
          <cell r="Q100">
            <v>1</v>
          </cell>
          <cell r="R100">
            <v>1140213.75</v>
          </cell>
          <cell r="T100">
            <v>0.3</v>
          </cell>
          <cell r="U100">
            <v>0.4</v>
          </cell>
          <cell r="V100">
            <v>0.3</v>
          </cell>
          <cell r="Y100">
            <v>0</v>
          </cell>
          <cell r="Z100">
            <v>0</v>
          </cell>
          <cell r="AA100">
            <v>342064.125</v>
          </cell>
          <cell r="AB100">
            <v>456085.5</v>
          </cell>
          <cell r="AC100">
            <v>342064.125</v>
          </cell>
          <cell r="AD100">
            <v>0</v>
          </cell>
          <cell r="AE100">
            <v>0</v>
          </cell>
          <cell r="AF100">
            <v>1140213.75</v>
          </cell>
        </row>
        <row r="101">
          <cell r="B101" t="str">
            <v>DNEE/SNFP</v>
          </cell>
          <cell r="C101" t="str">
            <v>Q</v>
          </cell>
          <cell r="D101" t="str">
            <v>12E</v>
          </cell>
          <cell r="E101" t="str">
            <v>EP/</v>
          </cell>
          <cell r="F101" t="str">
            <v>FC/</v>
          </cell>
          <cell r="G101">
            <v>12</v>
          </cell>
          <cell r="H101" t="str">
            <v>Formation continue environ 9 250 maîtres x 1modules x 5j en 2009 et 2010</v>
          </cell>
          <cell r="I101" t="str">
            <v>DPE/</v>
          </cell>
          <cell r="K101" t="str">
            <v>FC/PSE</v>
          </cell>
          <cell r="L101" t="str">
            <v>AUT</v>
          </cell>
          <cell r="M101">
            <v>23125</v>
          </cell>
          <cell r="N101" t="str">
            <v>pxj</v>
          </cell>
          <cell r="P101">
            <v>64.012</v>
          </cell>
          <cell r="Q101">
            <v>1</v>
          </cell>
          <cell r="R101">
            <v>1480277.5</v>
          </cell>
          <cell r="T101">
            <v>0.3</v>
          </cell>
          <cell r="U101">
            <v>0.4</v>
          </cell>
          <cell r="V101">
            <v>0.3</v>
          </cell>
          <cell r="Y101">
            <v>0</v>
          </cell>
          <cell r="Z101">
            <v>0</v>
          </cell>
          <cell r="AA101">
            <v>444083.25</v>
          </cell>
          <cell r="AB101">
            <v>592111</v>
          </cell>
          <cell r="AC101">
            <v>444083.25</v>
          </cell>
          <cell r="AD101">
            <v>0</v>
          </cell>
          <cell r="AE101">
            <v>0</v>
          </cell>
          <cell r="AF101">
            <v>1480277.5</v>
          </cell>
        </row>
        <row r="102">
          <cell r="H102" t="str">
            <v>Suivi encadrement des maîtres formés</v>
          </cell>
        </row>
        <row r="103">
          <cell r="B103" t="str">
            <v>DNEE/SNFP</v>
          </cell>
          <cell r="C103" t="str">
            <v>Q</v>
          </cell>
          <cell r="D103" t="str">
            <v>12E</v>
          </cell>
          <cell r="E103" t="str">
            <v>EP/</v>
          </cell>
          <cell r="F103" t="str">
            <v>FC/</v>
          </cell>
          <cell r="G103">
            <v>12</v>
          </cell>
          <cell r="H103" t="str">
            <v>Reproduction des outils : 2 pages x personne x visite</v>
          </cell>
          <cell r="I103" t="str">
            <v>CN/PSE</v>
          </cell>
          <cell r="K103" t="str">
            <v>FC/PSE</v>
          </cell>
          <cell r="L103" t="str">
            <v>AON</v>
          </cell>
          <cell r="M103">
            <v>65500</v>
          </cell>
          <cell r="N103" t="str">
            <v>page</v>
          </cell>
          <cell r="O103" t="str">
            <v>rep</v>
          </cell>
          <cell r="P103">
            <v>0.30000000000000004</v>
          </cell>
          <cell r="Q103">
            <v>1</v>
          </cell>
          <cell r="R103">
            <v>19650.000000000004</v>
          </cell>
          <cell r="S103">
            <v>1</v>
          </cell>
          <cell r="Y103">
            <v>0</v>
          </cell>
          <cell r="Z103">
            <v>19650.000000000004</v>
          </cell>
          <cell r="AA103">
            <v>0</v>
          </cell>
          <cell r="AB103">
            <v>0</v>
          </cell>
          <cell r="AC103">
            <v>0</v>
          </cell>
          <cell r="AD103">
            <v>0</v>
          </cell>
          <cell r="AE103">
            <v>0</v>
          </cell>
          <cell r="AF103">
            <v>19650.000000000004</v>
          </cell>
        </row>
        <row r="104">
          <cell r="B104" t="str">
            <v>DNEE/SNFP</v>
          </cell>
          <cell r="C104" t="str">
            <v>Q</v>
          </cell>
          <cell r="D104" t="str">
            <v>12E</v>
          </cell>
          <cell r="E104" t="str">
            <v>EP/</v>
          </cell>
          <cell r="F104" t="str">
            <v>FC/</v>
          </cell>
          <cell r="G104">
            <v>12</v>
          </cell>
          <cell r="H104" t="str">
            <v>Visites des directeurs et des maîtres formés</v>
          </cell>
          <cell r="I104" t="str">
            <v>DPE/</v>
          </cell>
          <cell r="K104" t="str">
            <v>FC/PSE</v>
          </cell>
          <cell r="L104" t="str">
            <v>AUT</v>
          </cell>
          <cell r="M104">
            <v>10916.666666666666</v>
          </cell>
          <cell r="N104" t="str">
            <v>pxj</v>
          </cell>
          <cell r="O104" t="str">
            <v>forfait</v>
          </cell>
          <cell r="P104">
            <v>10</v>
          </cell>
          <cell r="Q104">
            <v>1</v>
          </cell>
          <cell r="R104">
            <v>109166.66666666666</v>
          </cell>
          <cell r="T104">
            <v>0.33333333333333331</v>
          </cell>
          <cell r="U104">
            <v>0.33333333333333331</v>
          </cell>
          <cell r="V104">
            <v>0.33333333333333331</v>
          </cell>
          <cell r="Y104">
            <v>0</v>
          </cell>
          <cell r="Z104">
            <v>0</v>
          </cell>
          <cell r="AA104">
            <v>36388.888888888883</v>
          </cell>
          <cell r="AB104">
            <v>36388.888888888883</v>
          </cell>
          <cell r="AC104">
            <v>36388.888888888883</v>
          </cell>
          <cell r="AD104">
            <v>0</v>
          </cell>
          <cell r="AE104">
            <v>0</v>
          </cell>
          <cell r="AF104">
            <v>109166.66666666666</v>
          </cell>
        </row>
        <row r="105">
          <cell r="B105" t="str">
            <v>DNEE/SNFP</v>
          </cell>
          <cell r="C105" t="str">
            <v>Q</v>
          </cell>
          <cell r="D105" t="str">
            <v>12E</v>
          </cell>
          <cell r="E105" t="str">
            <v>DPE</v>
          </cell>
          <cell r="F105" t="str">
            <v>FC/</v>
          </cell>
          <cell r="G105">
            <v>12</v>
          </cell>
          <cell r="H105" t="str">
            <v>Atelier préfectoral annuel de suivi évaluation de la FC : 15p x 2j x 38pref</v>
          </cell>
          <cell r="I105" t="str">
            <v>DPE/</v>
          </cell>
          <cell r="K105" t="str">
            <v>FC/PSE</v>
          </cell>
          <cell r="L105" t="str">
            <v>AUT</v>
          </cell>
          <cell r="M105">
            <v>1140</v>
          </cell>
          <cell r="N105" t="str">
            <v>pxj</v>
          </cell>
          <cell r="O105" t="str">
            <v>asp</v>
          </cell>
          <cell r="P105">
            <v>98.48</v>
          </cell>
          <cell r="Q105">
            <v>1</v>
          </cell>
          <cell r="R105">
            <v>112267.20000000001</v>
          </cell>
          <cell r="V105">
            <v>1</v>
          </cell>
          <cell r="Y105">
            <v>0</v>
          </cell>
          <cell r="Z105">
            <v>0</v>
          </cell>
          <cell r="AA105">
            <v>0</v>
          </cell>
          <cell r="AB105">
            <v>0</v>
          </cell>
          <cell r="AC105">
            <v>112267.20000000001</v>
          </cell>
          <cell r="AD105">
            <v>0</v>
          </cell>
          <cell r="AE105">
            <v>0</v>
          </cell>
          <cell r="AF105">
            <v>112267.20000000001</v>
          </cell>
        </row>
        <row r="106">
          <cell r="B106" t="str">
            <v>DNEE/SNFP</v>
          </cell>
          <cell r="C106" t="str">
            <v>Q</v>
          </cell>
          <cell r="D106" t="str">
            <v>12E</v>
          </cell>
          <cell r="E106" t="str">
            <v>DNEE</v>
          </cell>
          <cell r="F106" t="str">
            <v>FC/CN</v>
          </cell>
          <cell r="G106">
            <v>12</v>
          </cell>
          <cell r="H106" t="str">
            <v>Atelier national de suivi évaluation de la FC : 40p x 2j</v>
          </cell>
          <cell r="I106" t="str">
            <v>DNEE</v>
          </cell>
          <cell r="K106" t="str">
            <v>FC/PSE</v>
          </cell>
          <cell r="L106" t="str">
            <v>AUT</v>
          </cell>
          <cell r="M106">
            <v>80</v>
          </cell>
          <cell r="N106" t="str">
            <v>pxj</v>
          </cell>
          <cell r="O106" t="str">
            <v>asn</v>
          </cell>
          <cell r="P106">
            <v>147.72</v>
          </cell>
          <cell r="Q106">
            <v>1</v>
          </cell>
          <cell r="R106">
            <v>11817.6</v>
          </cell>
          <cell r="V106">
            <v>1</v>
          </cell>
          <cell r="Y106">
            <v>0</v>
          </cell>
          <cell r="Z106">
            <v>0</v>
          </cell>
          <cell r="AA106">
            <v>0</v>
          </cell>
          <cell r="AB106">
            <v>0</v>
          </cell>
          <cell r="AC106">
            <v>11817.6</v>
          </cell>
          <cell r="AD106">
            <v>0</v>
          </cell>
          <cell r="AE106">
            <v>0</v>
          </cell>
          <cell r="AF106">
            <v>11817.6</v>
          </cell>
        </row>
        <row r="107">
          <cell r="H107" t="str">
            <v>Subventions aux écoles et aux DSEE</v>
          </cell>
          <cell r="R107">
            <v>8017353.7963869963</v>
          </cell>
          <cell r="Z107">
            <v>118963.84</v>
          </cell>
          <cell r="AA107">
            <v>306000</v>
          </cell>
          <cell r="AB107">
            <v>7592389.9563869964</v>
          </cell>
          <cell r="AC107">
            <v>0</v>
          </cell>
          <cell r="AD107">
            <v>0</v>
          </cell>
          <cell r="AE107">
            <v>0</v>
          </cell>
          <cell r="AF107">
            <v>8017353.7963869963</v>
          </cell>
        </row>
        <row r="108">
          <cell r="B108" t="str">
            <v>DNEE</v>
          </cell>
          <cell r="C108" t="str">
            <v>Q</v>
          </cell>
          <cell r="D108" t="str">
            <v>12F</v>
          </cell>
          <cell r="E108" t="str">
            <v>IRE/</v>
          </cell>
          <cell r="F108" t="str">
            <v>FC/</v>
          </cell>
          <cell r="G108">
            <v>15</v>
          </cell>
          <cell r="H108" t="str">
            <v>Ateliers régionaux de coordination et de suivi des subventions 8 IRE x 8p x2j</v>
          </cell>
          <cell r="I108" t="str">
            <v>IRE/</v>
          </cell>
          <cell r="K108" t="str">
            <v>FC/PSE</v>
          </cell>
          <cell r="L108" t="str">
            <v>AUT</v>
          </cell>
          <cell r="M108">
            <v>128</v>
          </cell>
          <cell r="N108" t="str">
            <v>pxj</v>
          </cell>
          <cell r="O108" t="str">
            <v>asr</v>
          </cell>
          <cell r="P108">
            <v>123.10000000000001</v>
          </cell>
          <cell r="Q108">
            <v>1</v>
          </cell>
          <cell r="R108">
            <v>15756.800000000001</v>
          </cell>
          <cell r="S108">
            <v>0.5</v>
          </cell>
          <cell r="U108">
            <v>0.5</v>
          </cell>
          <cell r="Y108">
            <v>0</v>
          </cell>
          <cell r="Z108">
            <v>7878.4000000000005</v>
          </cell>
          <cell r="AA108">
            <v>0</v>
          </cell>
          <cell r="AB108">
            <v>7878.4000000000005</v>
          </cell>
          <cell r="AC108">
            <v>0</v>
          </cell>
          <cell r="AD108">
            <v>0</v>
          </cell>
          <cell r="AE108">
            <v>0</v>
          </cell>
          <cell r="AF108">
            <v>15756.800000000001</v>
          </cell>
        </row>
        <row r="109">
          <cell r="B109" t="str">
            <v>DNEE</v>
          </cell>
          <cell r="C109" t="str">
            <v>Q</v>
          </cell>
          <cell r="D109" t="str">
            <v>12F</v>
          </cell>
          <cell r="E109" t="str">
            <v>DPE/</v>
          </cell>
          <cell r="F109" t="str">
            <v>FC/</v>
          </cell>
          <cell r="G109">
            <v>15</v>
          </cell>
          <cell r="H109" t="str">
            <v>Ateliers préfectoraux  de coordination et de suivi des subventions 39 DPE x 6P x 2j</v>
          </cell>
          <cell r="I109" t="str">
            <v>DPE/</v>
          </cell>
          <cell r="K109" t="str">
            <v>FC/PSE</v>
          </cell>
          <cell r="L109" t="str">
            <v>AUT</v>
          </cell>
          <cell r="M109">
            <v>456</v>
          </cell>
          <cell r="N109" t="str">
            <v>pxj</v>
          </cell>
          <cell r="O109" t="str">
            <v>asp</v>
          </cell>
          <cell r="P109">
            <v>98.48</v>
          </cell>
          <cell r="Q109">
            <v>1</v>
          </cell>
          <cell r="R109">
            <v>44906.880000000005</v>
          </cell>
          <cell r="S109">
            <v>0.5</v>
          </cell>
          <cell r="U109">
            <v>0.5</v>
          </cell>
          <cell r="Y109">
            <v>0</v>
          </cell>
          <cell r="Z109">
            <v>22453.440000000002</v>
          </cell>
          <cell r="AA109">
            <v>0</v>
          </cell>
          <cell r="AB109">
            <v>22453.440000000002</v>
          </cell>
          <cell r="AC109">
            <v>0</v>
          </cell>
          <cell r="AD109">
            <v>0</v>
          </cell>
          <cell r="AE109">
            <v>0</v>
          </cell>
          <cell r="AF109">
            <v>44906.880000000005</v>
          </cell>
        </row>
        <row r="110">
          <cell r="B110" t="str">
            <v>DNEE</v>
          </cell>
          <cell r="C110" t="str">
            <v>Q</v>
          </cell>
          <cell r="D110" t="str">
            <v>12F</v>
          </cell>
          <cell r="E110" t="str">
            <v>DNEE</v>
          </cell>
          <cell r="F110" t="str">
            <v>FC/CN</v>
          </cell>
          <cell r="G110">
            <v>25</v>
          </cell>
          <cell r="H110" t="str">
            <v>Spécialistes en projets d'écoles missions de 2p x 15jours</v>
          </cell>
          <cell r="I110" t="str">
            <v>CNCESE</v>
          </cell>
          <cell r="K110" t="str">
            <v>FC/PSE</v>
          </cell>
          <cell r="L110" t="str">
            <v>CR</v>
          </cell>
          <cell r="M110">
            <v>2</v>
          </cell>
          <cell r="N110" t="str">
            <v>pxm</v>
          </cell>
          <cell r="O110" t="str">
            <v>cic</v>
          </cell>
          <cell r="P110">
            <v>88632</v>
          </cell>
          <cell r="Q110">
            <v>1</v>
          </cell>
          <cell r="R110">
            <v>177264</v>
          </cell>
          <cell r="S110">
            <v>0.5</v>
          </cell>
          <cell r="U110">
            <v>0.5</v>
          </cell>
          <cell r="Y110">
            <v>0</v>
          </cell>
          <cell r="Z110">
            <v>88632</v>
          </cell>
          <cell r="AA110">
            <v>0</v>
          </cell>
          <cell r="AB110">
            <v>88632</v>
          </cell>
          <cell r="AC110">
            <v>0</v>
          </cell>
          <cell r="AD110">
            <v>0</v>
          </cell>
          <cell r="AE110">
            <v>0</v>
          </cell>
          <cell r="AF110">
            <v>177264</v>
          </cell>
        </row>
        <row r="111">
          <cell r="B111" t="str">
            <v>DNEE</v>
          </cell>
          <cell r="C111" t="str">
            <v>Q</v>
          </cell>
          <cell r="D111" t="str">
            <v>12F</v>
          </cell>
          <cell r="E111" t="str">
            <v>EP/</v>
          </cell>
          <cell r="F111" t="str">
            <v>FC/</v>
          </cell>
          <cell r="G111">
            <v>14</v>
          </cell>
          <cell r="H111" t="str">
            <v>Subvention aux Projets d'Amélioration de l'Ecole (par classe)</v>
          </cell>
          <cell r="I111" t="str">
            <v>DPE/</v>
          </cell>
          <cell r="K111" t="str">
            <v>FC/PSE</v>
          </cell>
          <cell r="L111" t="str">
            <v>AUT</v>
          </cell>
          <cell r="M111">
            <v>25671.779303821615</v>
          </cell>
          <cell r="N111" t="str">
            <v>cl</v>
          </cell>
          <cell r="O111" t="str">
            <v>spc</v>
          </cell>
          <cell r="P111">
            <v>73.86</v>
          </cell>
          <cell r="Q111">
            <v>1</v>
          </cell>
          <cell r="R111">
            <v>1896117.6193802645</v>
          </cell>
          <cell r="U111">
            <v>1</v>
          </cell>
          <cell r="Y111">
            <v>0</v>
          </cell>
          <cell r="Z111">
            <v>0</v>
          </cell>
          <cell r="AA111">
            <v>0</v>
          </cell>
          <cell r="AB111">
            <v>1896117.6193802645</v>
          </cell>
          <cell r="AC111">
            <v>0</v>
          </cell>
          <cell r="AD111">
            <v>0</v>
          </cell>
          <cell r="AE111">
            <v>0</v>
          </cell>
          <cell r="AF111">
            <v>1896117.6193802645</v>
          </cell>
        </row>
        <row r="112">
          <cell r="B112" t="str">
            <v>DNEE</v>
          </cell>
          <cell r="C112" t="str">
            <v>Q</v>
          </cell>
          <cell r="D112" t="str">
            <v>12F</v>
          </cell>
          <cell r="E112" t="str">
            <v>EP/</v>
          </cell>
          <cell r="F112" t="str">
            <v>FC/</v>
          </cell>
          <cell r="G112">
            <v>14</v>
          </cell>
          <cell r="H112" t="str">
            <v>Subvention aux Projets d'Amélioration de l'Ecole (par élève)</v>
          </cell>
          <cell r="I112" t="str">
            <v>DPE/</v>
          </cell>
          <cell r="K112" t="str">
            <v>FC/PSE</v>
          </cell>
          <cell r="L112" t="str">
            <v>AUT</v>
          </cell>
          <cell r="M112">
            <v>1250067.6267289731</v>
          </cell>
          <cell r="N112" t="str">
            <v>él</v>
          </cell>
          <cell r="O112" t="str">
            <v>spe</v>
          </cell>
          <cell r="P112">
            <v>2.4620000000000002</v>
          </cell>
          <cell r="Q112">
            <v>1</v>
          </cell>
          <cell r="R112">
            <v>3077666.497006732</v>
          </cell>
          <cell r="U112">
            <v>1</v>
          </cell>
          <cell r="Y112">
            <v>0</v>
          </cell>
          <cell r="Z112">
            <v>0</v>
          </cell>
          <cell r="AA112">
            <v>0</v>
          </cell>
          <cell r="AB112">
            <v>3077666.497006732</v>
          </cell>
          <cell r="AC112">
            <v>0</v>
          </cell>
          <cell r="AD112">
            <v>0</v>
          </cell>
          <cell r="AE112">
            <v>0</v>
          </cell>
          <cell r="AF112">
            <v>3077666.497006732</v>
          </cell>
        </row>
        <row r="113">
          <cell r="B113" t="str">
            <v>DNEE</v>
          </cell>
          <cell r="C113" t="str">
            <v>Q</v>
          </cell>
          <cell r="D113" t="str">
            <v>12F</v>
          </cell>
          <cell r="E113" t="str">
            <v>DSEE/</v>
          </cell>
          <cell r="F113" t="str">
            <v>FC/</v>
          </cell>
          <cell r="G113">
            <v>14</v>
          </cell>
          <cell r="H113" t="str">
            <v>Subvention de fonctionnement des DSEE</v>
          </cell>
          <cell r="I113" t="str">
            <v>DPE/</v>
          </cell>
          <cell r="K113" t="str">
            <v>FC/PSE</v>
          </cell>
          <cell r="L113" t="str">
            <v>AUT</v>
          </cell>
          <cell r="M113">
            <v>405</v>
          </cell>
          <cell r="N113" t="str">
            <v>dsee</v>
          </cell>
          <cell r="O113" t="str">
            <v>sfd</v>
          </cell>
          <cell r="P113">
            <v>2462</v>
          </cell>
          <cell r="Q113">
            <v>1</v>
          </cell>
          <cell r="R113">
            <v>997110</v>
          </cell>
          <cell r="U113">
            <v>1</v>
          </cell>
          <cell r="Y113">
            <v>0</v>
          </cell>
          <cell r="Z113">
            <v>0</v>
          </cell>
          <cell r="AA113">
            <v>0</v>
          </cell>
          <cell r="AB113">
            <v>997110</v>
          </cell>
          <cell r="AC113">
            <v>0</v>
          </cell>
          <cell r="AD113">
            <v>0</v>
          </cell>
          <cell r="AE113">
            <v>0</v>
          </cell>
          <cell r="AF113">
            <v>997110</v>
          </cell>
        </row>
        <row r="114">
          <cell r="B114" t="str">
            <v>DNEE</v>
          </cell>
          <cell r="C114" t="str">
            <v>Q</v>
          </cell>
          <cell r="D114" t="str">
            <v>12F</v>
          </cell>
          <cell r="E114" t="str">
            <v>DSEE/</v>
          </cell>
          <cell r="F114" t="str">
            <v>FC/</v>
          </cell>
          <cell r="G114">
            <v>14</v>
          </cell>
          <cell r="H114" t="str">
            <v>Subvention de Formation continue des Maîtres en DSEE</v>
          </cell>
          <cell r="I114" t="str">
            <v>DPE/</v>
          </cell>
          <cell r="K114" t="str">
            <v>FC/PSE</v>
          </cell>
          <cell r="L114" t="str">
            <v>AUT</v>
          </cell>
          <cell r="M114">
            <v>405</v>
          </cell>
          <cell r="N114" t="str">
            <v>dsee</v>
          </cell>
          <cell r="O114" t="str">
            <v>sfm</v>
          </cell>
          <cell r="P114">
            <v>2954.4</v>
          </cell>
          <cell r="Q114">
            <v>1</v>
          </cell>
          <cell r="R114">
            <v>1196532</v>
          </cell>
          <cell r="U114">
            <v>1</v>
          </cell>
          <cell r="Y114">
            <v>0</v>
          </cell>
          <cell r="Z114">
            <v>0</v>
          </cell>
          <cell r="AA114">
            <v>0</v>
          </cell>
          <cell r="AB114">
            <v>1196532</v>
          </cell>
          <cell r="AC114">
            <v>0</v>
          </cell>
          <cell r="AD114">
            <v>0</v>
          </cell>
          <cell r="AE114">
            <v>0</v>
          </cell>
          <cell r="AF114">
            <v>1196532</v>
          </cell>
        </row>
        <row r="115">
          <cell r="B115" t="str">
            <v>DNEE</v>
          </cell>
          <cell r="C115" t="str">
            <v>Q</v>
          </cell>
          <cell r="D115" t="str">
            <v>12F</v>
          </cell>
          <cell r="E115" t="str">
            <v>DNEE</v>
          </cell>
          <cell r="F115" t="str">
            <v>FC/CN</v>
          </cell>
          <cell r="G115">
            <v>15</v>
          </cell>
          <cell r="H115" t="str">
            <v>Gestion des subventions et suivi évaluation : appuis à la DNEE</v>
          </cell>
          <cell r="I115" t="str">
            <v>DNEE</v>
          </cell>
          <cell r="K115" t="str">
            <v>FC/PSE</v>
          </cell>
          <cell r="L115" t="str">
            <v>AUT</v>
          </cell>
          <cell r="M115">
            <v>12</v>
          </cell>
          <cell r="N115" t="str">
            <v>mois</v>
          </cell>
          <cell r="P115">
            <v>5000</v>
          </cell>
          <cell r="Q115">
            <v>1</v>
          </cell>
          <cell r="R115">
            <v>60000</v>
          </cell>
          <cell r="T115">
            <v>0.5</v>
          </cell>
          <cell r="U115">
            <v>0.5</v>
          </cell>
          <cell r="Y115">
            <v>0</v>
          </cell>
          <cell r="Z115">
            <v>0</v>
          </cell>
          <cell r="AA115">
            <v>30000</v>
          </cell>
          <cell r="AB115">
            <v>30000</v>
          </cell>
          <cell r="AC115">
            <v>0</v>
          </cell>
          <cell r="AD115">
            <v>0</v>
          </cell>
          <cell r="AE115">
            <v>0</v>
          </cell>
          <cell r="AF115">
            <v>60000</v>
          </cell>
        </row>
        <row r="116">
          <cell r="B116" t="str">
            <v>DNEE</v>
          </cell>
          <cell r="C116" t="str">
            <v>Q</v>
          </cell>
          <cell r="D116" t="str">
            <v>12F</v>
          </cell>
          <cell r="E116" t="str">
            <v>IRE/</v>
          </cell>
          <cell r="F116" t="str">
            <v>FC/</v>
          </cell>
          <cell r="G116">
            <v>15</v>
          </cell>
          <cell r="H116" t="str">
            <v>Gestion des subventions et suivi évaluation : appuis aux 8 IRE</v>
          </cell>
          <cell r="I116" t="str">
            <v>IRE/</v>
          </cell>
          <cell r="K116" t="str">
            <v>FC/PSE</v>
          </cell>
          <cell r="L116" t="str">
            <v>AUT</v>
          </cell>
          <cell r="M116">
            <v>96</v>
          </cell>
          <cell r="N116" t="str">
            <v>mois</v>
          </cell>
          <cell r="P116">
            <v>1000</v>
          </cell>
          <cell r="Q116">
            <v>1</v>
          </cell>
          <cell r="R116">
            <v>96000</v>
          </cell>
          <cell r="T116">
            <v>0.5</v>
          </cell>
          <cell r="U116">
            <v>0.5</v>
          </cell>
          <cell r="Y116">
            <v>0</v>
          </cell>
          <cell r="Z116">
            <v>0</v>
          </cell>
          <cell r="AA116">
            <v>48000</v>
          </cell>
          <cell r="AB116">
            <v>48000</v>
          </cell>
          <cell r="AC116">
            <v>0</v>
          </cell>
          <cell r="AD116">
            <v>0</v>
          </cell>
          <cell r="AE116">
            <v>0</v>
          </cell>
          <cell r="AF116">
            <v>96000</v>
          </cell>
        </row>
        <row r="117">
          <cell r="B117" t="str">
            <v>DNEE</v>
          </cell>
          <cell r="C117" t="str">
            <v>Q</v>
          </cell>
          <cell r="D117" t="str">
            <v>12F</v>
          </cell>
          <cell r="E117" t="str">
            <v>DPE/</v>
          </cell>
          <cell r="F117" t="str">
            <v>FC/</v>
          </cell>
          <cell r="G117">
            <v>15</v>
          </cell>
          <cell r="H117" t="str">
            <v>Gestion des subventions et suivi évaluation : appuis aux 38 DPE</v>
          </cell>
          <cell r="I117" t="str">
            <v>DPE/</v>
          </cell>
          <cell r="K117" t="str">
            <v>FC/PSE</v>
          </cell>
          <cell r="L117" t="str">
            <v>AUT</v>
          </cell>
          <cell r="M117">
            <v>456</v>
          </cell>
          <cell r="N117" t="str">
            <v>mois</v>
          </cell>
          <cell r="P117">
            <v>1000</v>
          </cell>
          <cell r="Q117">
            <v>1</v>
          </cell>
          <cell r="R117">
            <v>456000</v>
          </cell>
          <cell r="T117">
            <v>0.5</v>
          </cell>
          <cell r="U117">
            <v>0.5</v>
          </cell>
          <cell r="Y117">
            <v>0</v>
          </cell>
          <cell r="Z117">
            <v>0</v>
          </cell>
          <cell r="AA117">
            <v>228000</v>
          </cell>
          <cell r="AB117">
            <v>228000</v>
          </cell>
          <cell r="AC117">
            <v>0</v>
          </cell>
          <cell r="AD117">
            <v>0</v>
          </cell>
          <cell r="AE117">
            <v>0</v>
          </cell>
          <cell r="AF117">
            <v>456000</v>
          </cell>
        </row>
        <row r="118">
          <cell r="H118" t="str">
            <v>Evaluations apprentissages calcul lect &amp; français élèves primaire</v>
          </cell>
          <cell r="R118">
            <v>753277.2</v>
          </cell>
          <cell r="Z118">
            <v>44316</v>
          </cell>
          <cell r="AA118">
            <v>44316</v>
          </cell>
          <cell r="AB118">
            <v>620329.19999999995</v>
          </cell>
          <cell r="AC118">
            <v>44316</v>
          </cell>
          <cell r="AD118">
            <v>0</v>
          </cell>
          <cell r="AE118">
            <v>0</v>
          </cell>
          <cell r="AF118">
            <v>753277.2</v>
          </cell>
        </row>
        <row r="119">
          <cell r="B119" t="str">
            <v>CNCESE</v>
          </cell>
          <cell r="C119" t="str">
            <v>Q</v>
          </cell>
          <cell r="D119" t="str">
            <v>12G</v>
          </cell>
          <cell r="E119" t="str">
            <v>CNCESE</v>
          </cell>
          <cell r="F119" t="str">
            <v>FC/CN</v>
          </cell>
          <cell r="G119">
            <v>25</v>
          </cell>
          <cell r="H119" t="str">
            <v>Spécialistes en évaluation 4 missions de 15jours</v>
          </cell>
          <cell r="I119" t="str">
            <v>CNCESE</v>
          </cell>
          <cell r="K119" t="str">
            <v>FC/PSE</v>
          </cell>
          <cell r="L119" t="str">
            <v>CR</v>
          </cell>
          <cell r="M119">
            <v>2</v>
          </cell>
          <cell r="N119" t="str">
            <v>pxm</v>
          </cell>
          <cell r="O119" t="str">
            <v>cic</v>
          </cell>
          <cell r="P119">
            <v>88632</v>
          </cell>
          <cell r="Q119">
            <v>1</v>
          </cell>
          <cell r="R119">
            <v>177264</v>
          </cell>
          <cell r="S119">
            <v>0.25</v>
          </cell>
          <cell r="T119">
            <v>0.25</v>
          </cell>
          <cell r="U119">
            <v>0.25</v>
          </cell>
          <cell r="V119">
            <v>0.25</v>
          </cell>
          <cell r="Y119">
            <v>0</v>
          </cell>
          <cell r="Z119">
            <v>44316</v>
          </cell>
          <cell r="AA119">
            <v>44316</v>
          </cell>
          <cell r="AB119">
            <v>44316</v>
          </cell>
          <cell r="AC119">
            <v>44316</v>
          </cell>
          <cell r="AD119">
            <v>0</v>
          </cell>
          <cell r="AE119">
            <v>0</v>
          </cell>
          <cell r="AF119">
            <v>177264</v>
          </cell>
        </row>
        <row r="120">
          <cell r="H120" t="str">
            <v>Evaluation des apprentissages élèves du primaire 6ème année</v>
          </cell>
        </row>
        <row r="121">
          <cell r="B121" t="str">
            <v>CNCESE</v>
          </cell>
          <cell r="C121" t="str">
            <v>Q</v>
          </cell>
          <cell r="D121" t="str">
            <v>12G</v>
          </cell>
          <cell r="E121" t="str">
            <v>CNCESE</v>
          </cell>
          <cell r="F121" t="str">
            <v>FC/CN</v>
          </cell>
          <cell r="H121" t="str">
            <v>Echantillonnage par la CNCESE</v>
          </cell>
          <cell r="I121" t="str">
            <v>CNCESE</v>
          </cell>
          <cell r="K121" t="str">
            <v>FC/PSE</v>
          </cell>
          <cell r="O121" t="str">
            <v>SIF</v>
          </cell>
          <cell r="Q121">
            <v>1</v>
          </cell>
          <cell r="R121">
            <v>0</v>
          </cell>
          <cell r="Y121">
            <v>-1</v>
          </cell>
          <cell r="Z121">
            <v>0</v>
          </cell>
          <cell r="AA121">
            <v>0</v>
          </cell>
          <cell r="AB121">
            <v>0</v>
          </cell>
          <cell r="AC121">
            <v>0</v>
          </cell>
          <cell r="AD121">
            <v>0</v>
          </cell>
          <cell r="AE121">
            <v>0</v>
          </cell>
          <cell r="AF121">
            <v>0</v>
          </cell>
        </row>
        <row r="122">
          <cell r="B122" t="str">
            <v>CNCESE</v>
          </cell>
          <cell r="C122" t="str">
            <v>Q</v>
          </cell>
          <cell r="D122" t="str">
            <v>12G</v>
          </cell>
          <cell r="E122" t="str">
            <v>CNCESE</v>
          </cell>
          <cell r="F122" t="str">
            <v>FC/CN</v>
          </cell>
          <cell r="H122" t="str">
            <v>Adaptation tests et questionnaires maîtres et directeurs par la CNCESE</v>
          </cell>
          <cell r="I122" t="str">
            <v>CNCESE</v>
          </cell>
          <cell r="K122" t="str">
            <v>FC/PSE</v>
          </cell>
          <cell r="O122" t="str">
            <v>SIF</v>
          </cell>
          <cell r="Q122">
            <v>1</v>
          </cell>
          <cell r="R122">
            <v>0</v>
          </cell>
          <cell r="Y122">
            <v>-1</v>
          </cell>
          <cell r="Z122">
            <v>0</v>
          </cell>
          <cell r="AA122">
            <v>0</v>
          </cell>
          <cell r="AB122">
            <v>0</v>
          </cell>
          <cell r="AC122">
            <v>0</v>
          </cell>
          <cell r="AD122">
            <v>0</v>
          </cell>
          <cell r="AE122">
            <v>0</v>
          </cell>
          <cell r="AF122">
            <v>0</v>
          </cell>
        </row>
        <row r="123">
          <cell r="B123" t="str">
            <v>CNCESE</v>
          </cell>
          <cell r="C123" t="str">
            <v>Q</v>
          </cell>
          <cell r="D123" t="str">
            <v>12G</v>
          </cell>
          <cell r="E123" t="str">
            <v>CNCESE</v>
          </cell>
          <cell r="F123" t="str">
            <v>FC/CN</v>
          </cell>
          <cell r="G123">
            <v>15</v>
          </cell>
          <cell r="H123" t="str">
            <v>Impression outils évaluation Questionnaire maître : 45 pages x 500 exemplaires</v>
          </cell>
          <cell r="I123" t="str">
            <v>CNCESE</v>
          </cell>
          <cell r="K123" t="str">
            <v>FC/PSE</v>
          </cell>
          <cell r="L123" t="str">
            <v>COT</v>
          </cell>
          <cell r="M123">
            <v>22500</v>
          </cell>
          <cell r="N123" t="str">
            <v>page</v>
          </cell>
          <cell r="O123" t="str">
            <v>rep</v>
          </cell>
          <cell r="P123">
            <v>0.30000000000000004</v>
          </cell>
          <cell r="Q123">
            <v>1</v>
          </cell>
          <cell r="R123">
            <v>6750.0000000000009</v>
          </cell>
          <cell r="U123">
            <v>1</v>
          </cell>
          <cell r="Y123">
            <v>0</v>
          </cell>
          <cell r="Z123">
            <v>0</v>
          </cell>
          <cell r="AA123">
            <v>0</v>
          </cell>
          <cell r="AB123">
            <v>6750.0000000000009</v>
          </cell>
          <cell r="AC123">
            <v>0</v>
          </cell>
          <cell r="AD123">
            <v>0</v>
          </cell>
          <cell r="AE123">
            <v>0</v>
          </cell>
          <cell r="AF123">
            <v>6750.0000000000009</v>
          </cell>
        </row>
        <row r="124">
          <cell r="B124" t="str">
            <v>CNCESE</v>
          </cell>
          <cell r="C124" t="str">
            <v>Q</v>
          </cell>
          <cell r="D124" t="str">
            <v>12G</v>
          </cell>
          <cell r="E124" t="str">
            <v>CNCESE</v>
          </cell>
          <cell r="F124" t="str">
            <v>FC/CN</v>
          </cell>
          <cell r="G124">
            <v>15</v>
          </cell>
          <cell r="H124" t="str">
            <v>Impression outils évaluation Questionnaire directeur : 45 pages x 500 exemplaires</v>
          </cell>
          <cell r="I124" t="str">
            <v>CNCESE</v>
          </cell>
          <cell r="K124" t="str">
            <v>FC/PSE</v>
          </cell>
          <cell r="L124" t="str">
            <v>COT</v>
          </cell>
          <cell r="M124">
            <v>22500</v>
          </cell>
          <cell r="N124" t="str">
            <v>page</v>
          </cell>
          <cell r="O124" t="str">
            <v>rep</v>
          </cell>
          <cell r="P124">
            <v>0.30000000000000004</v>
          </cell>
          <cell r="Q124">
            <v>1</v>
          </cell>
          <cell r="R124">
            <v>6750.0000000000009</v>
          </cell>
          <cell r="U124">
            <v>1</v>
          </cell>
          <cell r="Y124">
            <v>0</v>
          </cell>
          <cell r="Z124">
            <v>0</v>
          </cell>
          <cell r="AA124">
            <v>0</v>
          </cell>
          <cell r="AB124">
            <v>6750.0000000000009</v>
          </cell>
          <cell r="AC124">
            <v>0</v>
          </cell>
          <cell r="AD124">
            <v>0</v>
          </cell>
          <cell r="AE124">
            <v>0</v>
          </cell>
          <cell r="AF124">
            <v>6750.0000000000009</v>
          </cell>
        </row>
        <row r="125">
          <cell r="B125" t="str">
            <v>CNCESE</v>
          </cell>
          <cell r="C125" t="str">
            <v>Q</v>
          </cell>
          <cell r="D125" t="str">
            <v>12G</v>
          </cell>
          <cell r="E125" t="str">
            <v>CNCESE</v>
          </cell>
          <cell r="F125" t="str">
            <v>FC/CN</v>
          </cell>
          <cell r="G125">
            <v>15</v>
          </cell>
          <cell r="H125" t="str">
            <v>Impression outils évaluation Cahier élève : 60 pages x 6000 exemplaires</v>
          </cell>
          <cell r="I125" t="str">
            <v>CNCESE</v>
          </cell>
          <cell r="K125" t="str">
            <v>FC/PSE</v>
          </cell>
          <cell r="L125" t="str">
            <v>COT</v>
          </cell>
          <cell r="M125">
            <v>360000</v>
          </cell>
          <cell r="N125" t="str">
            <v>page</v>
          </cell>
          <cell r="O125" t="str">
            <v>rep</v>
          </cell>
          <cell r="P125">
            <v>0.30000000000000004</v>
          </cell>
          <cell r="Q125">
            <v>1</v>
          </cell>
          <cell r="R125">
            <v>108000.00000000001</v>
          </cell>
          <cell r="U125">
            <v>1</v>
          </cell>
          <cell r="Y125">
            <v>0</v>
          </cell>
          <cell r="Z125">
            <v>0</v>
          </cell>
          <cell r="AA125">
            <v>0</v>
          </cell>
          <cell r="AB125">
            <v>108000.00000000001</v>
          </cell>
          <cell r="AC125">
            <v>0</v>
          </cell>
          <cell r="AD125">
            <v>0</v>
          </cell>
          <cell r="AE125">
            <v>0</v>
          </cell>
          <cell r="AF125">
            <v>108000.00000000001</v>
          </cell>
        </row>
        <row r="126">
          <cell r="B126" t="str">
            <v>CNCESE</v>
          </cell>
          <cell r="C126" t="str">
            <v>Q</v>
          </cell>
          <cell r="D126" t="str">
            <v>12G</v>
          </cell>
          <cell r="E126" t="str">
            <v>CNCESE</v>
          </cell>
          <cell r="F126" t="str">
            <v>FC/CN</v>
          </cell>
          <cell r="G126">
            <v>15</v>
          </cell>
          <cell r="H126" t="str">
            <v>Impression outils évaluation Cahier administrateur : 110 pages x 150 exemplaires</v>
          </cell>
          <cell r="I126" t="str">
            <v>CNCESE</v>
          </cell>
          <cell r="K126" t="str">
            <v>FC/PSE</v>
          </cell>
          <cell r="L126" t="str">
            <v>COT</v>
          </cell>
          <cell r="M126">
            <v>16500</v>
          </cell>
          <cell r="N126" t="str">
            <v>page</v>
          </cell>
          <cell r="O126" t="str">
            <v>rep</v>
          </cell>
          <cell r="P126">
            <v>0.30000000000000004</v>
          </cell>
          <cell r="Q126">
            <v>1</v>
          </cell>
          <cell r="R126">
            <v>4950.0000000000009</v>
          </cell>
          <cell r="U126">
            <v>1</v>
          </cell>
          <cell r="Y126">
            <v>0</v>
          </cell>
          <cell r="Z126">
            <v>0</v>
          </cell>
          <cell r="AA126">
            <v>0</v>
          </cell>
          <cell r="AB126">
            <v>4950.0000000000009</v>
          </cell>
          <cell r="AC126">
            <v>0</v>
          </cell>
          <cell r="AD126">
            <v>0</v>
          </cell>
          <cell r="AE126">
            <v>0</v>
          </cell>
          <cell r="AF126">
            <v>4950.0000000000009</v>
          </cell>
        </row>
        <row r="127">
          <cell r="B127" t="str">
            <v>CNCESE</v>
          </cell>
          <cell r="C127" t="str">
            <v>Q</v>
          </cell>
          <cell r="D127" t="str">
            <v>12G</v>
          </cell>
          <cell r="E127" t="str">
            <v>CNCESE</v>
          </cell>
          <cell r="F127" t="str">
            <v>FC/CN</v>
          </cell>
          <cell r="G127">
            <v>15</v>
          </cell>
          <cell r="H127" t="str">
            <v>Impression outils évaluation Consignes de passation : 16 pages x 150 exemplaires</v>
          </cell>
          <cell r="I127" t="str">
            <v>CNCESE</v>
          </cell>
          <cell r="K127" t="str">
            <v>FC/PSE</v>
          </cell>
          <cell r="L127" t="str">
            <v>COT</v>
          </cell>
          <cell r="M127">
            <v>2400</v>
          </cell>
          <cell r="N127" t="str">
            <v>page</v>
          </cell>
          <cell r="O127" t="str">
            <v>rep</v>
          </cell>
          <cell r="P127">
            <v>0.30000000000000004</v>
          </cell>
          <cell r="Q127">
            <v>1</v>
          </cell>
          <cell r="R127">
            <v>720.00000000000011</v>
          </cell>
          <cell r="U127">
            <v>1</v>
          </cell>
          <cell r="Y127">
            <v>0</v>
          </cell>
          <cell r="Z127">
            <v>0</v>
          </cell>
          <cell r="AA127">
            <v>0</v>
          </cell>
          <cell r="AB127">
            <v>720.00000000000011</v>
          </cell>
          <cell r="AC127">
            <v>0</v>
          </cell>
          <cell r="AD127">
            <v>0</v>
          </cell>
          <cell r="AE127">
            <v>0</v>
          </cell>
          <cell r="AF127">
            <v>720.00000000000011</v>
          </cell>
        </row>
        <row r="128">
          <cell r="B128" t="str">
            <v>CNCESE</v>
          </cell>
          <cell r="C128" t="str">
            <v>Q</v>
          </cell>
          <cell r="D128" t="str">
            <v>12G</v>
          </cell>
          <cell r="E128" t="str">
            <v>CNCESE</v>
          </cell>
          <cell r="F128" t="str">
            <v>FC/CN</v>
          </cell>
          <cell r="G128">
            <v>15</v>
          </cell>
          <cell r="H128" t="str">
            <v>Préparation de l'évaluation</v>
          </cell>
          <cell r="I128" t="str">
            <v>CNCESE</v>
          </cell>
          <cell r="K128" t="str">
            <v>FC/PSE</v>
          </cell>
          <cell r="L128" t="str">
            <v>AUT</v>
          </cell>
          <cell r="M128">
            <v>1</v>
          </cell>
          <cell r="N128" t="str">
            <v>forfait</v>
          </cell>
          <cell r="P128">
            <v>1200</v>
          </cell>
          <cell r="Q128">
            <v>1</v>
          </cell>
          <cell r="R128">
            <v>1200</v>
          </cell>
          <cell r="U128">
            <v>1</v>
          </cell>
          <cell r="Y128">
            <v>0</v>
          </cell>
          <cell r="Z128">
            <v>0</v>
          </cell>
          <cell r="AA128">
            <v>0</v>
          </cell>
          <cell r="AB128">
            <v>1200</v>
          </cell>
          <cell r="AC128">
            <v>0</v>
          </cell>
          <cell r="AD128">
            <v>0</v>
          </cell>
          <cell r="AE128">
            <v>0</v>
          </cell>
          <cell r="AF128">
            <v>1200</v>
          </cell>
        </row>
        <row r="129">
          <cell r="B129" t="str">
            <v>CNCESE</v>
          </cell>
          <cell r="C129" t="str">
            <v>Q</v>
          </cell>
          <cell r="D129" t="str">
            <v>12G</v>
          </cell>
          <cell r="E129" t="str">
            <v>CNCESE</v>
          </cell>
          <cell r="F129" t="str">
            <v>FC/CN</v>
          </cell>
          <cell r="G129">
            <v>15</v>
          </cell>
          <cell r="H129" t="str">
            <v>Fournitures : forfait</v>
          </cell>
          <cell r="I129" t="str">
            <v>CNCESE</v>
          </cell>
          <cell r="K129" t="str">
            <v>FC/PSE</v>
          </cell>
          <cell r="L129" t="str">
            <v>COT</v>
          </cell>
          <cell r="M129">
            <v>1</v>
          </cell>
          <cell r="N129" t="str">
            <v>forfait</v>
          </cell>
          <cell r="P129">
            <v>15000</v>
          </cell>
          <cell r="Q129">
            <v>1</v>
          </cell>
          <cell r="R129">
            <v>15000</v>
          </cell>
          <cell r="U129">
            <v>1</v>
          </cell>
          <cell r="Y129">
            <v>0</v>
          </cell>
          <cell r="Z129">
            <v>0</v>
          </cell>
          <cell r="AA129">
            <v>0</v>
          </cell>
          <cell r="AB129">
            <v>15000</v>
          </cell>
          <cell r="AC129">
            <v>0</v>
          </cell>
          <cell r="AD129">
            <v>0</v>
          </cell>
          <cell r="AE129">
            <v>0</v>
          </cell>
          <cell r="AF129">
            <v>15000</v>
          </cell>
        </row>
        <row r="130">
          <cell r="B130" t="str">
            <v>CNCESE</v>
          </cell>
          <cell r="C130" t="str">
            <v>Q</v>
          </cell>
          <cell r="D130" t="str">
            <v>12G</v>
          </cell>
          <cell r="E130" t="str">
            <v>CNCESE</v>
          </cell>
          <cell r="F130" t="str">
            <v>FC/CN</v>
          </cell>
          <cell r="G130">
            <v>15</v>
          </cell>
          <cell r="H130" t="str">
            <v>Formation administrateurs Perdiem formateurs Conakry : 1p x 3j</v>
          </cell>
          <cell r="I130" t="str">
            <v>CNCESE</v>
          </cell>
          <cell r="K130" t="str">
            <v>FC/PSE</v>
          </cell>
          <cell r="L130" t="str">
            <v>AUT</v>
          </cell>
          <cell r="M130">
            <v>3</v>
          </cell>
          <cell r="N130" t="str">
            <v>pxj</v>
          </cell>
          <cell r="O130" t="str">
            <v>asr</v>
          </cell>
          <cell r="P130">
            <v>123.10000000000001</v>
          </cell>
          <cell r="Q130">
            <v>1</v>
          </cell>
          <cell r="R130">
            <v>369.3</v>
          </cell>
          <cell r="U130">
            <v>1</v>
          </cell>
          <cell r="Y130">
            <v>0</v>
          </cell>
          <cell r="Z130">
            <v>0</v>
          </cell>
          <cell r="AA130">
            <v>0</v>
          </cell>
          <cell r="AB130">
            <v>369.3</v>
          </cell>
          <cell r="AC130">
            <v>0</v>
          </cell>
          <cell r="AD130">
            <v>0</v>
          </cell>
          <cell r="AE130">
            <v>0</v>
          </cell>
          <cell r="AF130">
            <v>369.3</v>
          </cell>
        </row>
        <row r="131">
          <cell r="B131" t="str">
            <v>CNCESE</v>
          </cell>
          <cell r="C131" t="str">
            <v>Q</v>
          </cell>
          <cell r="D131" t="str">
            <v>12G</v>
          </cell>
          <cell r="E131" t="str">
            <v>CNCESE</v>
          </cell>
          <cell r="F131" t="str">
            <v>FC/CN</v>
          </cell>
          <cell r="G131">
            <v>15</v>
          </cell>
          <cell r="H131" t="str">
            <v>Formation administrateurs Perdiem formateurs intérieur : 7p x 3j</v>
          </cell>
          <cell r="I131" t="str">
            <v>CNCESE</v>
          </cell>
          <cell r="K131" t="str">
            <v>FC/PSE</v>
          </cell>
          <cell r="L131" t="str">
            <v>AUT</v>
          </cell>
          <cell r="M131">
            <v>21</v>
          </cell>
          <cell r="N131" t="str">
            <v>pxj</v>
          </cell>
          <cell r="O131" t="str">
            <v>asn</v>
          </cell>
          <cell r="P131">
            <v>147.72</v>
          </cell>
          <cell r="Q131">
            <v>1</v>
          </cell>
          <cell r="R131">
            <v>3102.12</v>
          </cell>
          <cell r="U131">
            <v>1</v>
          </cell>
          <cell r="Y131">
            <v>0</v>
          </cell>
          <cell r="Z131">
            <v>0</v>
          </cell>
          <cell r="AA131">
            <v>0</v>
          </cell>
          <cell r="AB131">
            <v>3102.12</v>
          </cell>
          <cell r="AC131">
            <v>0</v>
          </cell>
          <cell r="AD131">
            <v>0</v>
          </cell>
          <cell r="AE131">
            <v>0</v>
          </cell>
          <cell r="AF131">
            <v>3102.12</v>
          </cell>
        </row>
        <row r="132">
          <cell r="B132" t="str">
            <v>CNCESE</v>
          </cell>
          <cell r="C132" t="str">
            <v>Q</v>
          </cell>
          <cell r="D132" t="str">
            <v>12G</v>
          </cell>
          <cell r="E132" t="str">
            <v>CNCESE</v>
          </cell>
          <cell r="F132" t="str">
            <v>FC/CN</v>
          </cell>
          <cell r="G132">
            <v>15</v>
          </cell>
          <cell r="H132" t="str">
            <v>Formation administrateurs Perdiem administrateurs  tests Conakry : 12p x 3j</v>
          </cell>
          <cell r="I132" t="str">
            <v>CNCESE</v>
          </cell>
          <cell r="K132" t="str">
            <v>FC/PSE</v>
          </cell>
          <cell r="L132" t="str">
            <v>AUT</v>
          </cell>
          <cell r="M132">
            <v>36</v>
          </cell>
          <cell r="N132" t="str">
            <v>pxj</v>
          </cell>
          <cell r="O132" t="str">
            <v>asp</v>
          </cell>
          <cell r="P132">
            <v>98.48</v>
          </cell>
          <cell r="Q132">
            <v>1</v>
          </cell>
          <cell r="R132">
            <v>3545.28</v>
          </cell>
          <cell r="U132">
            <v>1</v>
          </cell>
          <cell r="Y132">
            <v>0</v>
          </cell>
          <cell r="Z132">
            <v>0</v>
          </cell>
          <cell r="AA132">
            <v>0</v>
          </cell>
          <cell r="AB132">
            <v>3545.28</v>
          </cell>
          <cell r="AC132">
            <v>0</v>
          </cell>
          <cell r="AD132">
            <v>0</v>
          </cell>
          <cell r="AE132">
            <v>0</v>
          </cell>
          <cell r="AF132">
            <v>3545.28</v>
          </cell>
        </row>
        <row r="133">
          <cell r="B133" t="str">
            <v>CNCESE</v>
          </cell>
          <cell r="C133" t="str">
            <v>Q</v>
          </cell>
          <cell r="D133" t="str">
            <v>12G</v>
          </cell>
          <cell r="E133" t="str">
            <v>CNCESE</v>
          </cell>
          <cell r="F133" t="str">
            <v>FC/CN</v>
          </cell>
          <cell r="G133">
            <v>15</v>
          </cell>
          <cell r="H133" t="str">
            <v>Formation administrateurs Perdiem administrateurs  tests intérieur : 80p x 3j</v>
          </cell>
          <cell r="I133" t="str">
            <v>CNCESE</v>
          </cell>
          <cell r="K133" t="str">
            <v>FC/PSE</v>
          </cell>
          <cell r="L133" t="str">
            <v>AUT</v>
          </cell>
          <cell r="M133">
            <v>240</v>
          </cell>
          <cell r="N133" t="str">
            <v>pxj</v>
          </cell>
          <cell r="O133" t="str">
            <v>asp</v>
          </cell>
          <cell r="P133">
            <v>98.48</v>
          </cell>
          <cell r="Q133">
            <v>1</v>
          </cell>
          <cell r="R133">
            <v>23635.200000000001</v>
          </cell>
          <cell r="U133">
            <v>1</v>
          </cell>
          <cell r="Y133">
            <v>0</v>
          </cell>
          <cell r="Z133">
            <v>0</v>
          </cell>
          <cell r="AA133">
            <v>0</v>
          </cell>
          <cell r="AB133">
            <v>23635.200000000001</v>
          </cell>
          <cell r="AC133">
            <v>0</v>
          </cell>
          <cell r="AD133">
            <v>0</v>
          </cell>
          <cell r="AE133">
            <v>0</v>
          </cell>
          <cell r="AF133">
            <v>23635.200000000001</v>
          </cell>
        </row>
        <row r="134">
          <cell r="B134" t="str">
            <v>CNCESE</v>
          </cell>
          <cell r="C134" t="str">
            <v>Q</v>
          </cell>
          <cell r="D134" t="str">
            <v>12G</v>
          </cell>
          <cell r="E134" t="str">
            <v>CNCESE</v>
          </cell>
          <cell r="F134" t="str">
            <v>FC/CN</v>
          </cell>
          <cell r="G134">
            <v>15</v>
          </cell>
          <cell r="H134" t="str">
            <v>Administration tests Perdiems superviseurs Conakry : 5p x 8j</v>
          </cell>
          <cell r="I134" t="str">
            <v>CNCESE</v>
          </cell>
          <cell r="K134" t="str">
            <v>FC/PSE</v>
          </cell>
          <cell r="L134" t="str">
            <v>AUT</v>
          </cell>
          <cell r="M134">
            <v>40</v>
          </cell>
          <cell r="N134" t="str">
            <v>pxj</v>
          </cell>
          <cell r="O134" t="str">
            <v>asr</v>
          </cell>
          <cell r="P134">
            <v>123.10000000000001</v>
          </cell>
          <cell r="Q134">
            <v>1</v>
          </cell>
          <cell r="R134">
            <v>4924</v>
          </cell>
          <cell r="U134">
            <v>1</v>
          </cell>
          <cell r="Y134">
            <v>0</v>
          </cell>
          <cell r="Z134">
            <v>0</v>
          </cell>
          <cell r="AA134">
            <v>0</v>
          </cell>
          <cell r="AB134">
            <v>4924</v>
          </cell>
          <cell r="AC134">
            <v>0</v>
          </cell>
          <cell r="AD134">
            <v>0</v>
          </cell>
          <cell r="AE134">
            <v>0</v>
          </cell>
          <cell r="AF134">
            <v>4924</v>
          </cell>
        </row>
        <row r="135">
          <cell r="B135" t="str">
            <v>CNCESE</v>
          </cell>
          <cell r="C135" t="str">
            <v>Q</v>
          </cell>
          <cell r="D135" t="str">
            <v>12G</v>
          </cell>
          <cell r="E135" t="str">
            <v>CNCESE</v>
          </cell>
          <cell r="F135" t="str">
            <v>FC/CN</v>
          </cell>
          <cell r="G135">
            <v>15</v>
          </cell>
          <cell r="H135" t="str">
            <v>Administration tests Perdiems administrateurs Conakry 15p x 5j</v>
          </cell>
          <cell r="I135" t="str">
            <v>CNCESE</v>
          </cell>
          <cell r="K135" t="str">
            <v>FC/PSE</v>
          </cell>
          <cell r="L135" t="str">
            <v>AUT</v>
          </cell>
          <cell r="M135">
            <v>75</v>
          </cell>
          <cell r="N135" t="str">
            <v>forfait</v>
          </cell>
          <cell r="O135" t="str">
            <v>asr</v>
          </cell>
          <cell r="P135">
            <v>123.10000000000001</v>
          </cell>
          <cell r="Q135">
            <v>1</v>
          </cell>
          <cell r="R135">
            <v>9232.5</v>
          </cell>
          <cell r="U135">
            <v>1</v>
          </cell>
          <cell r="Y135">
            <v>0</v>
          </cell>
          <cell r="Z135">
            <v>0</v>
          </cell>
          <cell r="AA135">
            <v>0</v>
          </cell>
          <cell r="AB135">
            <v>9232.5</v>
          </cell>
          <cell r="AC135">
            <v>0</v>
          </cell>
          <cell r="AD135">
            <v>0</v>
          </cell>
          <cell r="AE135">
            <v>0</v>
          </cell>
          <cell r="AF135">
            <v>9232.5</v>
          </cell>
        </row>
        <row r="136">
          <cell r="B136" t="str">
            <v>CNCESE</v>
          </cell>
          <cell r="C136" t="str">
            <v>Q</v>
          </cell>
          <cell r="D136" t="str">
            <v>12G</v>
          </cell>
          <cell r="E136" t="str">
            <v>CNCESE</v>
          </cell>
          <cell r="F136" t="str">
            <v>FC/CN</v>
          </cell>
          <cell r="G136">
            <v>15</v>
          </cell>
          <cell r="H136" t="str">
            <v>Administration tests Perdiems superviseurs intérieur : 7p x 10j</v>
          </cell>
          <cell r="I136" t="str">
            <v>CNCESE</v>
          </cell>
          <cell r="K136" t="str">
            <v>FC/PSE</v>
          </cell>
          <cell r="L136" t="str">
            <v>AUT</v>
          </cell>
          <cell r="M136">
            <v>70</v>
          </cell>
          <cell r="N136" t="str">
            <v>forfait</v>
          </cell>
          <cell r="O136" t="str">
            <v>asn</v>
          </cell>
          <cell r="P136">
            <v>147.72</v>
          </cell>
          <cell r="Q136">
            <v>1</v>
          </cell>
          <cell r="R136">
            <v>10340.4</v>
          </cell>
          <cell r="U136">
            <v>1</v>
          </cell>
          <cell r="Y136">
            <v>0</v>
          </cell>
          <cell r="Z136">
            <v>0</v>
          </cell>
          <cell r="AA136">
            <v>0</v>
          </cell>
          <cell r="AB136">
            <v>10340.4</v>
          </cell>
          <cell r="AC136">
            <v>0</v>
          </cell>
          <cell r="AD136">
            <v>0</v>
          </cell>
          <cell r="AE136">
            <v>0</v>
          </cell>
          <cell r="AF136">
            <v>10340.4</v>
          </cell>
        </row>
        <row r="137">
          <cell r="B137" t="str">
            <v>CNCESE</v>
          </cell>
          <cell r="C137" t="str">
            <v>Q</v>
          </cell>
          <cell r="D137" t="str">
            <v>12G</v>
          </cell>
          <cell r="E137" t="str">
            <v>CNCESE</v>
          </cell>
          <cell r="F137" t="str">
            <v>FC/CN</v>
          </cell>
          <cell r="G137">
            <v>15</v>
          </cell>
          <cell r="H137" t="str">
            <v>Administration tests Perdiems administrateurs intérieur : 90p x 7j</v>
          </cell>
          <cell r="I137" t="str">
            <v>CNCESE</v>
          </cell>
          <cell r="K137" t="str">
            <v>FC/PSE</v>
          </cell>
          <cell r="L137" t="str">
            <v>AUT</v>
          </cell>
          <cell r="M137">
            <v>630</v>
          </cell>
          <cell r="N137" t="str">
            <v>forfait</v>
          </cell>
          <cell r="O137" t="str">
            <v>asn</v>
          </cell>
          <cell r="P137">
            <v>147.72</v>
          </cell>
          <cell r="Q137">
            <v>1</v>
          </cell>
          <cell r="R137">
            <v>93063.6</v>
          </cell>
          <cell r="U137">
            <v>1</v>
          </cell>
          <cell r="Y137">
            <v>0</v>
          </cell>
          <cell r="Z137">
            <v>0</v>
          </cell>
          <cell r="AA137">
            <v>0</v>
          </cell>
          <cell r="AB137">
            <v>93063.6</v>
          </cell>
          <cell r="AC137">
            <v>0</v>
          </cell>
          <cell r="AD137">
            <v>0</v>
          </cell>
          <cell r="AE137">
            <v>0</v>
          </cell>
          <cell r="AF137">
            <v>93063.6</v>
          </cell>
        </row>
        <row r="138">
          <cell r="B138" t="str">
            <v>CNCESE</v>
          </cell>
          <cell r="C138" t="str">
            <v>Q</v>
          </cell>
          <cell r="D138" t="str">
            <v>12G</v>
          </cell>
          <cell r="E138" t="str">
            <v>CNCESE</v>
          </cell>
          <cell r="F138" t="str">
            <v>FC/CN</v>
          </cell>
          <cell r="G138">
            <v>15</v>
          </cell>
          <cell r="H138" t="str">
            <v>Administration tests Perdiems chauffeurs 7p x 10j</v>
          </cell>
          <cell r="I138" t="str">
            <v>CNCESE</v>
          </cell>
          <cell r="K138" t="str">
            <v>FC/PSE</v>
          </cell>
          <cell r="L138" t="str">
            <v>AUT</v>
          </cell>
          <cell r="M138">
            <v>70</v>
          </cell>
          <cell r="N138" t="str">
            <v>forfait</v>
          </cell>
          <cell r="O138" t="str">
            <v>asp</v>
          </cell>
          <cell r="P138">
            <v>98.48</v>
          </cell>
          <cell r="Q138">
            <v>1</v>
          </cell>
          <cell r="R138">
            <v>6893.6</v>
          </cell>
          <cell r="U138">
            <v>1</v>
          </cell>
          <cell r="Y138">
            <v>0</v>
          </cell>
          <cell r="Z138">
            <v>0</v>
          </cell>
          <cell r="AA138">
            <v>0</v>
          </cell>
          <cell r="AB138">
            <v>6893.6</v>
          </cell>
          <cell r="AC138">
            <v>0</v>
          </cell>
          <cell r="AD138">
            <v>0</v>
          </cell>
          <cell r="AE138">
            <v>0</v>
          </cell>
          <cell r="AF138">
            <v>6893.6</v>
          </cell>
        </row>
        <row r="139">
          <cell r="B139" t="str">
            <v>CNCESE</v>
          </cell>
          <cell r="C139" t="str">
            <v>Q</v>
          </cell>
          <cell r="D139" t="str">
            <v>12G</v>
          </cell>
          <cell r="E139" t="str">
            <v>CNCESE</v>
          </cell>
          <cell r="F139" t="str">
            <v>FC/CN</v>
          </cell>
          <cell r="G139">
            <v>15</v>
          </cell>
          <cell r="H139" t="str">
            <v>Location véhicule 4x4 : 7 véhicules pendant 10 jours</v>
          </cell>
          <cell r="I139" t="str">
            <v>CNCESE</v>
          </cell>
          <cell r="K139" t="str">
            <v>FC/PSE</v>
          </cell>
          <cell r="L139" t="str">
            <v>COT</v>
          </cell>
          <cell r="M139">
            <v>70</v>
          </cell>
          <cell r="O139" t="str">
            <v>ldv</v>
          </cell>
          <cell r="P139">
            <v>600</v>
          </cell>
          <cell r="Q139">
            <v>1</v>
          </cell>
          <cell r="R139">
            <v>42000</v>
          </cell>
          <cell r="U139">
            <v>1</v>
          </cell>
          <cell r="Y139">
            <v>0</v>
          </cell>
          <cell r="Z139">
            <v>0</v>
          </cell>
          <cell r="AA139">
            <v>0</v>
          </cell>
          <cell r="AB139">
            <v>42000</v>
          </cell>
          <cell r="AC139">
            <v>0</v>
          </cell>
          <cell r="AD139">
            <v>0</v>
          </cell>
          <cell r="AE139">
            <v>0</v>
          </cell>
          <cell r="AF139">
            <v>42000</v>
          </cell>
        </row>
        <row r="140">
          <cell r="B140" t="str">
            <v>CNCESE</v>
          </cell>
          <cell r="C140" t="str">
            <v>Q</v>
          </cell>
          <cell r="D140" t="str">
            <v>12G</v>
          </cell>
          <cell r="E140" t="str">
            <v>CNCESE</v>
          </cell>
          <cell r="F140" t="str">
            <v>FC/CN</v>
          </cell>
          <cell r="G140">
            <v>15</v>
          </cell>
          <cell r="H140" t="str">
            <v>Carburant aller/retour pour formateurs et superviseurs (litres)</v>
          </cell>
          <cell r="I140" t="str">
            <v>CNCESE</v>
          </cell>
          <cell r="K140" t="str">
            <v>FC/PSE</v>
          </cell>
          <cell r="L140" t="str">
            <v>COT</v>
          </cell>
          <cell r="M140">
            <v>974</v>
          </cell>
          <cell r="N140" t="str">
            <v>litre</v>
          </cell>
          <cell r="O140" t="str">
            <v>gaz</v>
          </cell>
          <cell r="P140">
            <v>7</v>
          </cell>
          <cell r="Q140">
            <v>1</v>
          </cell>
          <cell r="R140">
            <v>6818</v>
          </cell>
          <cell r="U140">
            <v>1</v>
          </cell>
          <cell r="Y140">
            <v>0</v>
          </cell>
          <cell r="Z140">
            <v>0</v>
          </cell>
          <cell r="AA140">
            <v>0</v>
          </cell>
          <cell r="AB140">
            <v>6818</v>
          </cell>
          <cell r="AC140">
            <v>0</v>
          </cell>
          <cell r="AD140">
            <v>0</v>
          </cell>
          <cell r="AE140">
            <v>0</v>
          </cell>
          <cell r="AF140">
            <v>6818</v>
          </cell>
        </row>
        <row r="141">
          <cell r="B141" t="str">
            <v>CNCESE</v>
          </cell>
          <cell r="C141" t="str">
            <v>Q</v>
          </cell>
          <cell r="D141" t="str">
            <v>12G</v>
          </cell>
          <cell r="E141" t="str">
            <v>CNCESE</v>
          </cell>
          <cell r="F141" t="str">
            <v>FC/CN</v>
          </cell>
          <cell r="G141">
            <v>15</v>
          </cell>
          <cell r="H141" t="str">
            <v>Carburant supervision pour superviseurs : 195 litres x 8p</v>
          </cell>
          <cell r="I141" t="str">
            <v>CNCESE</v>
          </cell>
          <cell r="K141" t="str">
            <v>FC/PSE</v>
          </cell>
          <cell r="L141" t="str">
            <v>COT</v>
          </cell>
          <cell r="M141">
            <v>1560</v>
          </cell>
          <cell r="N141" t="str">
            <v>litre</v>
          </cell>
          <cell r="O141" t="str">
            <v>gaz</v>
          </cell>
          <cell r="P141">
            <v>7</v>
          </cell>
          <cell r="Q141">
            <v>1</v>
          </cell>
          <cell r="R141">
            <v>10920</v>
          </cell>
          <cell r="U141">
            <v>1</v>
          </cell>
          <cell r="Y141">
            <v>0</v>
          </cell>
          <cell r="Z141">
            <v>0</v>
          </cell>
          <cell r="AA141">
            <v>0</v>
          </cell>
          <cell r="AB141">
            <v>10920</v>
          </cell>
          <cell r="AC141">
            <v>0</v>
          </cell>
          <cell r="AD141">
            <v>0</v>
          </cell>
          <cell r="AE141">
            <v>0</v>
          </cell>
          <cell r="AF141">
            <v>10920</v>
          </cell>
        </row>
        <row r="142">
          <cell r="B142" t="str">
            <v>CNCESE</v>
          </cell>
          <cell r="C142" t="str">
            <v>Q</v>
          </cell>
          <cell r="D142" t="str">
            <v>12G</v>
          </cell>
          <cell r="E142" t="str">
            <v>CNCESE</v>
          </cell>
          <cell r="F142" t="str">
            <v>FC/CN</v>
          </cell>
          <cell r="G142">
            <v>15</v>
          </cell>
          <cell r="H142" t="str">
            <v>Carburant motos adm de tests écoles rurales : 10 litres x 117 écoles rurales</v>
          </cell>
          <cell r="I142" t="str">
            <v>CNCESE</v>
          </cell>
          <cell r="K142" t="str">
            <v>FC/PSE</v>
          </cell>
          <cell r="L142" t="str">
            <v>COT</v>
          </cell>
          <cell r="M142">
            <v>1170</v>
          </cell>
          <cell r="N142" t="str">
            <v>litre</v>
          </cell>
          <cell r="O142" t="str">
            <v>gaz</v>
          </cell>
          <cell r="P142">
            <v>7</v>
          </cell>
          <cell r="Q142">
            <v>1</v>
          </cell>
          <cell r="R142">
            <v>8190</v>
          </cell>
          <cell r="U142">
            <v>1</v>
          </cell>
          <cell r="Y142">
            <v>0</v>
          </cell>
          <cell r="Z142">
            <v>0</v>
          </cell>
          <cell r="AA142">
            <v>0</v>
          </cell>
          <cell r="AB142">
            <v>8190</v>
          </cell>
          <cell r="AC142">
            <v>0</v>
          </cell>
          <cell r="AD142">
            <v>0</v>
          </cell>
          <cell r="AE142">
            <v>0</v>
          </cell>
          <cell r="AF142">
            <v>8190</v>
          </cell>
        </row>
        <row r="143">
          <cell r="B143" t="str">
            <v>CNCESE</v>
          </cell>
          <cell r="C143" t="str">
            <v>Q</v>
          </cell>
          <cell r="D143" t="str">
            <v>12G</v>
          </cell>
          <cell r="E143" t="str">
            <v>CNCESE</v>
          </cell>
          <cell r="F143" t="str">
            <v>FC/CN</v>
          </cell>
          <cell r="G143">
            <v>15</v>
          </cell>
          <cell r="H143" t="str">
            <v>Transport urbain des administrateurs : 105p x 7j</v>
          </cell>
          <cell r="I143" t="str">
            <v>CNCESE</v>
          </cell>
          <cell r="K143" t="str">
            <v>FC/PSE</v>
          </cell>
          <cell r="L143" t="str">
            <v>AUT</v>
          </cell>
          <cell r="M143">
            <v>735</v>
          </cell>
          <cell r="N143" t="str">
            <v>j</v>
          </cell>
          <cell r="P143">
            <v>20</v>
          </cell>
          <cell r="Q143">
            <v>1</v>
          </cell>
          <cell r="R143">
            <v>14700</v>
          </cell>
          <cell r="U143">
            <v>1</v>
          </cell>
          <cell r="Y143">
            <v>0</v>
          </cell>
          <cell r="Z143">
            <v>0</v>
          </cell>
          <cell r="AA143">
            <v>0</v>
          </cell>
          <cell r="AB143">
            <v>14700</v>
          </cell>
          <cell r="AC143">
            <v>0</v>
          </cell>
          <cell r="AD143">
            <v>0</v>
          </cell>
          <cell r="AE143">
            <v>0</v>
          </cell>
          <cell r="AF143">
            <v>14700</v>
          </cell>
        </row>
        <row r="144">
          <cell r="B144" t="str">
            <v>CNCESE</v>
          </cell>
          <cell r="C144" t="str">
            <v>Q</v>
          </cell>
          <cell r="D144" t="str">
            <v>12G</v>
          </cell>
          <cell r="E144" t="str">
            <v>CNCESE</v>
          </cell>
          <cell r="F144" t="str">
            <v>FC/CN</v>
          </cell>
          <cell r="G144">
            <v>15</v>
          </cell>
          <cell r="H144" t="str">
            <v>Collation pour élèves : 5040 élèves</v>
          </cell>
          <cell r="I144" t="str">
            <v>CNCESE</v>
          </cell>
          <cell r="K144" t="str">
            <v>FC/PSE</v>
          </cell>
          <cell r="L144" t="str">
            <v>AUT</v>
          </cell>
          <cell r="M144">
            <v>5040</v>
          </cell>
          <cell r="N144" t="str">
            <v>forfait</v>
          </cell>
          <cell r="P144">
            <v>1</v>
          </cell>
          <cell r="Q144">
            <v>1</v>
          </cell>
          <cell r="R144">
            <v>5040</v>
          </cell>
          <cell r="U144">
            <v>1</v>
          </cell>
          <cell r="Y144">
            <v>0</v>
          </cell>
          <cell r="Z144">
            <v>0</v>
          </cell>
          <cell r="AA144">
            <v>0</v>
          </cell>
          <cell r="AB144">
            <v>5040</v>
          </cell>
          <cell r="AC144">
            <v>0</v>
          </cell>
          <cell r="AD144">
            <v>0</v>
          </cell>
          <cell r="AE144">
            <v>0</v>
          </cell>
          <cell r="AF144">
            <v>5040</v>
          </cell>
        </row>
        <row r="145">
          <cell r="B145" t="str">
            <v>CNCESE</v>
          </cell>
          <cell r="C145" t="str">
            <v>Q</v>
          </cell>
          <cell r="D145" t="str">
            <v>12G</v>
          </cell>
          <cell r="E145" t="str">
            <v>CNCESE</v>
          </cell>
          <cell r="F145" t="str">
            <v>FC/CN</v>
          </cell>
          <cell r="G145">
            <v>15</v>
          </cell>
          <cell r="H145" t="str">
            <v>Collation pour enseignants et directeurs : 480</v>
          </cell>
          <cell r="I145" t="str">
            <v>CNCESE</v>
          </cell>
          <cell r="K145" t="str">
            <v>FC/PSE</v>
          </cell>
          <cell r="L145" t="str">
            <v>AUT</v>
          </cell>
          <cell r="M145">
            <v>480</v>
          </cell>
          <cell r="N145" t="str">
            <v>forfait</v>
          </cell>
          <cell r="P145">
            <v>10</v>
          </cell>
          <cell r="Q145">
            <v>1</v>
          </cell>
          <cell r="R145">
            <v>4800</v>
          </cell>
          <cell r="U145">
            <v>1</v>
          </cell>
          <cell r="Y145">
            <v>0</v>
          </cell>
          <cell r="Z145">
            <v>0</v>
          </cell>
          <cell r="AA145">
            <v>0</v>
          </cell>
          <cell r="AB145">
            <v>4800</v>
          </cell>
          <cell r="AC145">
            <v>0</v>
          </cell>
          <cell r="AD145">
            <v>0</v>
          </cell>
          <cell r="AE145">
            <v>0</v>
          </cell>
          <cell r="AF145">
            <v>4800</v>
          </cell>
        </row>
        <row r="146">
          <cell r="B146" t="str">
            <v>CNCESE</v>
          </cell>
          <cell r="C146" t="str">
            <v>Q</v>
          </cell>
          <cell r="D146" t="str">
            <v>12G</v>
          </cell>
          <cell r="E146" t="str">
            <v>CNCESE</v>
          </cell>
          <cell r="F146" t="str">
            <v>FC/CN</v>
          </cell>
          <cell r="G146">
            <v>15</v>
          </cell>
          <cell r="H146" t="str">
            <v>Codage des fiches : 5040 fiches élèves et 480 fiches enseignants</v>
          </cell>
          <cell r="I146" t="str">
            <v>CNCESE</v>
          </cell>
          <cell r="K146" t="str">
            <v>FC/PSE</v>
          </cell>
          <cell r="L146" t="str">
            <v>AUT</v>
          </cell>
          <cell r="M146">
            <v>5520</v>
          </cell>
          <cell r="N146" t="str">
            <v>forfait</v>
          </cell>
          <cell r="P146">
            <v>2.5</v>
          </cell>
          <cell r="Q146">
            <v>1</v>
          </cell>
          <cell r="R146">
            <v>13800</v>
          </cell>
          <cell r="U146">
            <v>1</v>
          </cell>
          <cell r="Y146">
            <v>0</v>
          </cell>
          <cell r="Z146">
            <v>0</v>
          </cell>
          <cell r="AA146">
            <v>0</v>
          </cell>
          <cell r="AB146">
            <v>13800</v>
          </cell>
          <cell r="AC146">
            <v>0</v>
          </cell>
          <cell r="AD146">
            <v>0</v>
          </cell>
          <cell r="AE146">
            <v>0</v>
          </cell>
          <cell r="AF146">
            <v>13800</v>
          </cell>
        </row>
        <row r="147">
          <cell r="B147" t="str">
            <v>CNCESE</v>
          </cell>
          <cell r="C147" t="str">
            <v>Q</v>
          </cell>
          <cell r="D147" t="str">
            <v>12G</v>
          </cell>
          <cell r="E147" t="str">
            <v>CNCESE</v>
          </cell>
          <cell r="F147" t="str">
            <v>FC/CN</v>
          </cell>
          <cell r="G147">
            <v>15</v>
          </cell>
          <cell r="H147" t="str">
            <v>Supervision du codage des fiches : 2p x 10j</v>
          </cell>
          <cell r="I147" t="str">
            <v>CNCESE</v>
          </cell>
          <cell r="K147" t="str">
            <v>FC/PSE</v>
          </cell>
          <cell r="L147" t="str">
            <v>AUT</v>
          </cell>
          <cell r="M147">
            <v>20</v>
          </cell>
          <cell r="N147" t="str">
            <v>pxj</v>
          </cell>
          <cell r="O147" t="str">
            <v>asp</v>
          </cell>
          <cell r="P147">
            <v>98.48</v>
          </cell>
          <cell r="Q147">
            <v>1</v>
          </cell>
          <cell r="R147">
            <v>1969.6000000000001</v>
          </cell>
          <cell r="U147">
            <v>1</v>
          </cell>
          <cell r="Y147">
            <v>0</v>
          </cell>
          <cell r="Z147">
            <v>0</v>
          </cell>
          <cell r="AA147">
            <v>0</v>
          </cell>
          <cell r="AB147">
            <v>1969.6000000000001</v>
          </cell>
          <cell r="AC147">
            <v>0</v>
          </cell>
          <cell r="AD147">
            <v>0</v>
          </cell>
          <cell r="AE147">
            <v>0</v>
          </cell>
          <cell r="AF147">
            <v>1969.6000000000001</v>
          </cell>
        </row>
        <row r="148">
          <cell r="B148" t="str">
            <v>CNCESE</v>
          </cell>
          <cell r="C148" t="str">
            <v>Q</v>
          </cell>
          <cell r="D148" t="str">
            <v>12G</v>
          </cell>
          <cell r="E148" t="str">
            <v>CNCESE</v>
          </cell>
          <cell r="F148" t="str">
            <v>FC/CN</v>
          </cell>
          <cell r="G148">
            <v>15</v>
          </cell>
          <cell r="H148" t="str">
            <v>Saisie des fiches : 5040 fiches élèves et 480 fiches enseignants</v>
          </cell>
          <cell r="I148" t="str">
            <v>CNCESE</v>
          </cell>
          <cell r="K148" t="str">
            <v>FC/PSE</v>
          </cell>
          <cell r="L148" t="str">
            <v>AUT</v>
          </cell>
          <cell r="M148">
            <v>5520</v>
          </cell>
          <cell r="N148" t="str">
            <v>forfait</v>
          </cell>
          <cell r="P148">
            <v>5</v>
          </cell>
          <cell r="Q148">
            <v>1</v>
          </cell>
          <cell r="R148">
            <v>27600</v>
          </cell>
          <cell r="U148">
            <v>1</v>
          </cell>
          <cell r="Y148">
            <v>0</v>
          </cell>
          <cell r="Z148">
            <v>0</v>
          </cell>
          <cell r="AA148">
            <v>0</v>
          </cell>
          <cell r="AB148">
            <v>27600</v>
          </cell>
          <cell r="AC148">
            <v>0</v>
          </cell>
          <cell r="AD148">
            <v>0</v>
          </cell>
          <cell r="AE148">
            <v>0</v>
          </cell>
          <cell r="AF148">
            <v>27600</v>
          </cell>
        </row>
        <row r="149">
          <cell r="B149" t="str">
            <v>CNCESE</v>
          </cell>
          <cell r="C149" t="str">
            <v>Q</v>
          </cell>
          <cell r="D149" t="str">
            <v>12G</v>
          </cell>
          <cell r="E149" t="str">
            <v>CNCESE</v>
          </cell>
          <cell r="F149" t="str">
            <v>FC/CN</v>
          </cell>
          <cell r="G149">
            <v>15</v>
          </cell>
          <cell r="H149" t="str">
            <v>Supervision de la saisie des fiches : 2p x 10j</v>
          </cell>
          <cell r="I149" t="str">
            <v>CNCESE</v>
          </cell>
          <cell r="K149" t="str">
            <v>FC/PSE</v>
          </cell>
          <cell r="L149" t="str">
            <v>AUT</v>
          </cell>
          <cell r="M149">
            <v>20</v>
          </cell>
          <cell r="N149" t="str">
            <v>pxj</v>
          </cell>
          <cell r="O149" t="str">
            <v>asp</v>
          </cell>
          <cell r="P149">
            <v>98.48</v>
          </cell>
          <cell r="Q149">
            <v>1</v>
          </cell>
          <cell r="R149">
            <v>1969.6000000000001</v>
          </cell>
          <cell r="U149">
            <v>1</v>
          </cell>
          <cell r="Y149">
            <v>0</v>
          </cell>
          <cell r="Z149">
            <v>0</v>
          </cell>
          <cell r="AA149">
            <v>0</v>
          </cell>
          <cell r="AB149">
            <v>1969.6000000000001</v>
          </cell>
          <cell r="AC149">
            <v>0</v>
          </cell>
          <cell r="AD149">
            <v>0</v>
          </cell>
          <cell r="AE149">
            <v>0</v>
          </cell>
          <cell r="AF149">
            <v>1969.6000000000001</v>
          </cell>
        </row>
        <row r="150">
          <cell r="B150" t="str">
            <v>CNCESE</v>
          </cell>
          <cell r="C150" t="str">
            <v>Q</v>
          </cell>
          <cell r="D150" t="str">
            <v>12G</v>
          </cell>
          <cell r="E150" t="str">
            <v>CNCESE</v>
          </cell>
          <cell r="F150" t="str">
            <v>FC/CN</v>
          </cell>
          <cell r="G150">
            <v>15</v>
          </cell>
          <cell r="H150" t="str">
            <v>Traitement et analyse des données d'enqête 12p x 15jours</v>
          </cell>
          <cell r="I150" t="str">
            <v>CNCESE</v>
          </cell>
          <cell r="K150" t="str">
            <v>FC/PSE</v>
          </cell>
          <cell r="L150" t="str">
            <v>AUT</v>
          </cell>
          <cell r="M150">
            <v>180</v>
          </cell>
          <cell r="N150" t="str">
            <v>pxj</v>
          </cell>
          <cell r="O150" t="str">
            <v>asn</v>
          </cell>
          <cell r="P150">
            <v>147.72</v>
          </cell>
          <cell r="Q150">
            <v>1</v>
          </cell>
          <cell r="R150">
            <v>26589.599999999999</v>
          </cell>
          <cell r="U150">
            <v>1</v>
          </cell>
          <cell r="Y150">
            <v>0</v>
          </cell>
          <cell r="Z150">
            <v>0</v>
          </cell>
          <cell r="AA150">
            <v>0</v>
          </cell>
          <cell r="AB150">
            <v>26589.599999999999</v>
          </cell>
          <cell r="AC150">
            <v>0</v>
          </cell>
          <cell r="AD150">
            <v>0</v>
          </cell>
          <cell r="AE150">
            <v>0</v>
          </cell>
          <cell r="AF150">
            <v>26589.599999999999</v>
          </cell>
        </row>
        <row r="151">
          <cell r="B151" t="str">
            <v>CNCESE</v>
          </cell>
          <cell r="C151" t="str">
            <v>Q</v>
          </cell>
          <cell r="D151" t="str">
            <v>12G</v>
          </cell>
          <cell r="E151" t="str">
            <v>CNCESE</v>
          </cell>
          <cell r="F151" t="str">
            <v>FC/CN</v>
          </cell>
          <cell r="G151">
            <v>15</v>
          </cell>
          <cell r="H151" t="str">
            <v>Elaboration du rapport d'évaluation et des recommandations 15p x 18jours</v>
          </cell>
          <cell r="I151" t="str">
            <v>CNCESE</v>
          </cell>
          <cell r="K151" t="str">
            <v>FC/PSE</v>
          </cell>
          <cell r="L151" t="str">
            <v>AUT</v>
          </cell>
          <cell r="M151">
            <v>270</v>
          </cell>
          <cell r="N151" t="str">
            <v>pxj</v>
          </cell>
          <cell r="O151" t="str">
            <v>asn</v>
          </cell>
          <cell r="P151">
            <v>147.72</v>
          </cell>
          <cell r="Q151">
            <v>1</v>
          </cell>
          <cell r="R151">
            <v>39884.400000000001</v>
          </cell>
          <cell r="U151">
            <v>1</v>
          </cell>
          <cell r="Y151">
            <v>0</v>
          </cell>
          <cell r="Z151">
            <v>0</v>
          </cell>
          <cell r="AA151">
            <v>0</v>
          </cell>
          <cell r="AB151">
            <v>39884.400000000001</v>
          </cell>
          <cell r="AC151">
            <v>0</v>
          </cell>
          <cell r="AD151">
            <v>0</v>
          </cell>
          <cell r="AE151">
            <v>0</v>
          </cell>
          <cell r="AF151">
            <v>39884.400000000001</v>
          </cell>
        </row>
        <row r="152">
          <cell r="B152" t="str">
            <v>CNCESE</v>
          </cell>
          <cell r="C152" t="str">
            <v>Q</v>
          </cell>
          <cell r="D152" t="str">
            <v>12G</v>
          </cell>
          <cell r="E152" t="str">
            <v>CNCESE</v>
          </cell>
          <cell r="F152" t="str">
            <v>FC/CN</v>
          </cell>
          <cell r="G152">
            <v>15</v>
          </cell>
          <cell r="H152" t="str">
            <v>Impression du rapport d'évaluation 200 pages x 500 exemplaires</v>
          </cell>
          <cell r="I152" t="str">
            <v>CNCESE</v>
          </cell>
          <cell r="K152" t="str">
            <v>FC/PSE</v>
          </cell>
          <cell r="L152" t="str">
            <v>COT</v>
          </cell>
          <cell r="M152">
            <v>100000</v>
          </cell>
          <cell r="N152" t="str">
            <v>page</v>
          </cell>
          <cell r="O152" t="str">
            <v>rep</v>
          </cell>
          <cell r="P152">
            <v>0.30000000000000004</v>
          </cell>
          <cell r="Q152">
            <v>1</v>
          </cell>
          <cell r="R152">
            <v>30000.000000000004</v>
          </cell>
          <cell r="U152">
            <v>1</v>
          </cell>
          <cell r="Y152">
            <v>0</v>
          </cell>
          <cell r="Z152">
            <v>0</v>
          </cell>
          <cell r="AA152">
            <v>0</v>
          </cell>
          <cell r="AB152">
            <v>30000.000000000004</v>
          </cell>
          <cell r="AC152">
            <v>0</v>
          </cell>
          <cell r="AD152">
            <v>0</v>
          </cell>
          <cell r="AE152">
            <v>0</v>
          </cell>
          <cell r="AF152">
            <v>30000.000000000004</v>
          </cell>
        </row>
        <row r="153">
          <cell r="B153" t="str">
            <v>CNCESE</v>
          </cell>
          <cell r="C153" t="str">
            <v>Q</v>
          </cell>
          <cell r="D153" t="str">
            <v>12G</v>
          </cell>
          <cell r="E153" t="str">
            <v>CNCESE</v>
          </cell>
          <cell r="F153" t="str">
            <v>FC/CN</v>
          </cell>
          <cell r="G153">
            <v>15</v>
          </cell>
          <cell r="H153" t="str">
            <v>Impression de la synthèse du rapport d'évaluation 15 pages x 2500 exemplaires</v>
          </cell>
          <cell r="I153" t="str">
            <v>CNCESE</v>
          </cell>
          <cell r="K153" t="str">
            <v>FC/PSE</v>
          </cell>
          <cell r="L153" t="str">
            <v>COT</v>
          </cell>
          <cell r="M153">
            <v>37500</v>
          </cell>
          <cell r="N153" t="str">
            <v>page</v>
          </cell>
          <cell r="O153" t="str">
            <v>rep</v>
          </cell>
          <cell r="P153">
            <v>0.30000000000000004</v>
          </cell>
          <cell r="Q153">
            <v>1</v>
          </cell>
          <cell r="R153">
            <v>11250.000000000002</v>
          </cell>
          <cell r="U153">
            <v>1</v>
          </cell>
          <cell r="Y153">
            <v>0</v>
          </cell>
          <cell r="Z153">
            <v>0</v>
          </cell>
          <cell r="AA153">
            <v>0</v>
          </cell>
          <cell r="AB153">
            <v>11250.000000000002</v>
          </cell>
          <cell r="AC153">
            <v>0</v>
          </cell>
          <cell r="AD153">
            <v>0</v>
          </cell>
          <cell r="AE153">
            <v>0</v>
          </cell>
          <cell r="AF153">
            <v>11250.000000000002</v>
          </cell>
        </row>
        <row r="154">
          <cell r="B154" t="str">
            <v>CNCESE</v>
          </cell>
          <cell r="C154" t="str">
            <v>Q</v>
          </cell>
          <cell r="D154" t="str">
            <v>12G</v>
          </cell>
          <cell r="E154" t="str">
            <v>CNCESE</v>
          </cell>
          <cell r="F154" t="str">
            <v>FC/CN</v>
          </cell>
          <cell r="G154">
            <v>15</v>
          </cell>
          <cell r="H154" t="str">
            <v>Ateliers d'appropriation résultats évaluation (central et Conakry) :  50p x 1j</v>
          </cell>
          <cell r="I154" t="str">
            <v>CNCESE</v>
          </cell>
          <cell r="K154" t="str">
            <v>FC/PSE</v>
          </cell>
          <cell r="L154" t="str">
            <v>AUT</v>
          </cell>
          <cell r="M154">
            <v>50</v>
          </cell>
          <cell r="N154" t="str">
            <v>pxj</v>
          </cell>
          <cell r="O154" t="str">
            <v>asn</v>
          </cell>
          <cell r="P154">
            <v>147.72</v>
          </cell>
          <cell r="Q154">
            <v>1</v>
          </cell>
          <cell r="R154">
            <v>7386</v>
          </cell>
          <cell r="U154">
            <v>1</v>
          </cell>
          <cell r="Y154">
            <v>0</v>
          </cell>
          <cell r="Z154">
            <v>0</v>
          </cell>
          <cell r="AA154">
            <v>0</v>
          </cell>
          <cell r="AB154">
            <v>7386</v>
          </cell>
          <cell r="AC154">
            <v>0</v>
          </cell>
          <cell r="AD154">
            <v>0</v>
          </cell>
          <cell r="AE154">
            <v>0</v>
          </cell>
          <cell r="AF154">
            <v>7386</v>
          </cell>
        </row>
        <row r="155">
          <cell r="B155" t="str">
            <v>CNCESE</v>
          </cell>
          <cell r="C155" t="str">
            <v>Q</v>
          </cell>
          <cell r="D155" t="str">
            <v>12G</v>
          </cell>
          <cell r="E155" t="str">
            <v>CNCESE</v>
          </cell>
          <cell r="F155" t="str">
            <v>FC/CN</v>
          </cell>
          <cell r="G155">
            <v>15</v>
          </cell>
          <cell r="H155" t="str">
            <v>Ateliers d'appropriation résultats évaluation (central et rég.) :  150p x 1j</v>
          </cell>
          <cell r="I155" t="str">
            <v>CNCESE</v>
          </cell>
          <cell r="K155" t="str">
            <v>FC/PSE</v>
          </cell>
          <cell r="L155" t="str">
            <v>AUT</v>
          </cell>
          <cell r="M155">
            <v>200</v>
          </cell>
          <cell r="N155" t="str">
            <v>pxj</v>
          </cell>
          <cell r="O155" t="str">
            <v>asr</v>
          </cell>
          <cell r="P155">
            <v>123.10000000000001</v>
          </cell>
          <cell r="Q155">
            <v>1</v>
          </cell>
          <cell r="R155">
            <v>24620</v>
          </cell>
          <cell r="U155">
            <v>1</v>
          </cell>
          <cell r="Y155">
            <v>0</v>
          </cell>
          <cell r="Z155">
            <v>0</v>
          </cell>
          <cell r="AA155">
            <v>0</v>
          </cell>
          <cell r="AB155">
            <v>24620</v>
          </cell>
          <cell r="AC155">
            <v>0</v>
          </cell>
          <cell r="AD155">
            <v>0</v>
          </cell>
          <cell r="AE155">
            <v>0</v>
          </cell>
          <cell r="AF155">
            <v>24620</v>
          </cell>
        </row>
        <row r="156">
          <cell r="B156" t="str">
            <v>CNCESE</v>
          </cell>
          <cell r="C156" t="str">
            <v>Q</v>
          </cell>
          <cell r="D156" t="str">
            <v>12G</v>
          </cell>
          <cell r="E156" t="str">
            <v>CNCESE</v>
          </cell>
          <cell r="F156" t="str">
            <v>FC/CN</v>
          </cell>
          <cell r="G156">
            <v>15</v>
          </cell>
          <cell r="H156" t="str">
            <v>Evaluation apprentissages des élèves du primaire 2ème année</v>
          </cell>
          <cell r="I156" t="str">
            <v>CNCESE</v>
          </cell>
          <cell r="K156" t="str">
            <v>FC/PSE</v>
          </cell>
          <cell r="L156" t="str">
            <v>AUT</v>
          </cell>
          <cell r="N156" t="str">
            <v>forfait</v>
          </cell>
          <cell r="P156">
            <v>576013.19999999995</v>
          </cell>
          <cell r="Q156">
            <v>1</v>
          </cell>
          <cell r="R156">
            <v>0</v>
          </cell>
          <cell r="Y156">
            <v>-1</v>
          </cell>
          <cell r="Z156">
            <v>0</v>
          </cell>
          <cell r="AA156">
            <v>0</v>
          </cell>
          <cell r="AB156">
            <v>0</v>
          </cell>
          <cell r="AC156">
            <v>0</v>
          </cell>
          <cell r="AD156">
            <v>0</v>
          </cell>
          <cell r="AE156">
            <v>0</v>
          </cell>
          <cell r="AF156">
            <v>0</v>
          </cell>
        </row>
        <row r="157">
          <cell r="H157" t="str">
            <v>ECOLES NORMALES D'INSTITUTEURS</v>
          </cell>
          <cell r="R157">
            <v>13692462.240000002</v>
          </cell>
          <cell r="Z157">
            <v>775589.08799999999</v>
          </cell>
          <cell r="AA157">
            <v>5964283.6319999993</v>
          </cell>
          <cell r="AB157">
            <v>5825042.7599999988</v>
          </cell>
          <cell r="AC157">
            <v>1127546.76</v>
          </cell>
          <cell r="AD157">
            <v>0</v>
          </cell>
          <cell r="AE157">
            <v>0</v>
          </cell>
          <cell r="AF157">
            <v>13692462.239999996</v>
          </cell>
        </row>
        <row r="158">
          <cell r="H158" t="str">
            <v>Travaux de VRD et complémentaires des ENI</v>
          </cell>
          <cell r="R158">
            <v>10052641.440000001</v>
          </cell>
          <cell r="Z158">
            <v>131529.88800000001</v>
          </cell>
          <cell r="AA158">
            <v>4894790.8320000004</v>
          </cell>
          <cell r="AB158">
            <v>4861908.3600000003</v>
          </cell>
          <cell r="AC158">
            <v>164412.36000000002</v>
          </cell>
          <cell r="AD158">
            <v>0</v>
          </cell>
          <cell r="AE158">
            <v>0</v>
          </cell>
          <cell r="AF158">
            <v>10052641.440000001</v>
          </cell>
        </row>
        <row r="159">
          <cell r="B159" t="str">
            <v>SNIEM</v>
          </cell>
          <cell r="C159" t="str">
            <v>Q</v>
          </cell>
          <cell r="D159" t="str">
            <v>13A</v>
          </cell>
          <cell r="E159" t="str">
            <v>ENI/</v>
          </cell>
          <cell r="F159" t="str">
            <v>FC/</v>
          </cell>
          <cell r="G159">
            <v>21</v>
          </cell>
          <cell r="H159" t="str">
            <v>BET pour les constructions réhabilitation des infrastructures</v>
          </cell>
          <cell r="I159" t="str">
            <v>SNIEM</v>
          </cell>
          <cell r="K159" t="str">
            <v>FC/PSE</v>
          </cell>
          <cell r="L159" t="str">
            <v>CR</v>
          </cell>
          <cell r="M159">
            <v>1</v>
          </cell>
          <cell r="N159" t="str">
            <v>forfait</v>
          </cell>
          <cell r="O159" t="str">
            <v>coût total</v>
          </cell>
          <cell r="P159">
            <v>7.0000000000000007E-2</v>
          </cell>
          <cell r="Q159">
            <v>1</v>
          </cell>
          <cell r="R159">
            <v>657649.44000000006</v>
          </cell>
          <cell r="S159">
            <v>0.2</v>
          </cell>
          <cell r="T159">
            <v>0.3</v>
          </cell>
          <cell r="U159">
            <v>0.25</v>
          </cell>
          <cell r="V159">
            <v>0.25</v>
          </cell>
          <cell r="Y159">
            <v>0</v>
          </cell>
          <cell r="Z159">
            <v>131529.88800000001</v>
          </cell>
          <cell r="AA159">
            <v>197294.83200000002</v>
          </cell>
          <cell r="AB159">
            <v>164412.36000000002</v>
          </cell>
          <cell r="AC159">
            <v>164412.36000000002</v>
          </cell>
          <cell r="AD159">
            <v>0</v>
          </cell>
          <cell r="AE159">
            <v>0</v>
          </cell>
          <cell r="AF159">
            <v>657649.44000000006</v>
          </cell>
        </row>
        <row r="160">
          <cell r="B160" t="str">
            <v>SNIEM</v>
          </cell>
          <cell r="C160" t="str">
            <v>Q</v>
          </cell>
          <cell r="D160" t="str">
            <v>13A</v>
          </cell>
          <cell r="E160" t="str">
            <v>ENI/</v>
          </cell>
          <cell r="F160" t="str">
            <v>FC/</v>
          </cell>
          <cell r="G160">
            <v>22</v>
          </cell>
          <cell r="H160" t="str">
            <v>Travaux VRD 8 ENI</v>
          </cell>
          <cell r="I160" t="str">
            <v>SNIEM</v>
          </cell>
          <cell r="K160" t="str">
            <v>FC/PSE</v>
          </cell>
          <cell r="L160" t="str">
            <v>AON</v>
          </cell>
          <cell r="M160">
            <v>1</v>
          </cell>
          <cell r="N160" t="str">
            <v>forfait</v>
          </cell>
          <cell r="P160">
            <v>4185400.0000000005</v>
          </cell>
          <cell r="Q160">
            <v>1</v>
          </cell>
          <cell r="R160">
            <v>4185400.0000000005</v>
          </cell>
          <cell r="T160">
            <v>0.5</v>
          </cell>
          <cell r="U160">
            <v>0.5</v>
          </cell>
          <cell r="Y160">
            <v>0</v>
          </cell>
          <cell r="Z160">
            <v>0</v>
          </cell>
          <cell r="AA160">
            <v>2092700.0000000002</v>
          </cell>
          <cell r="AB160">
            <v>2092700.0000000002</v>
          </cell>
          <cell r="AC160">
            <v>0</v>
          </cell>
          <cell r="AD160">
            <v>0</v>
          </cell>
          <cell r="AE160">
            <v>0</v>
          </cell>
          <cell r="AF160">
            <v>4185400.0000000005</v>
          </cell>
        </row>
        <row r="161">
          <cell r="B161" t="str">
            <v>SNIEM</v>
          </cell>
          <cell r="C161" t="str">
            <v>Q</v>
          </cell>
          <cell r="D161" t="str">
            <v>13A</v>
          </cell>
          <cell r="E161" t="str">
            <v>ENI/</v>
          </cell>
          <cell r="F161" t="str">
            <v>FC/</v>
          </cell>
          <cell r="G161">
            <v>22</v>
          </cell>
          <cell r="H161" t="str">
            <v>Travaux complémentaires 8 ENI yc 10 classes</v>
          </cell>
          <cell r="I161" t="str">
            <v>SNIEM</v>
          </cell>
          <cell r="K161" t="str">
            <v>FC/PSE</v>
          </cell>
          <cell r="L161" t="str">
            <v>AON</v>
          </cell>
          <cell r="M161">
            <v>1</v>
          </cell>
          <cell r="N161" t="str">
            <v>forfait</v>
          </cell>
          <cell r="P161">
            <v>5209592</v>
          </cell>
          <cell r="Q161">
            <v>1</v>
          </cell>
          <cell r="R161">
            <v>5209592</v>
          </cell>
          <cell r="T161">
            <v>0.5</v>
          </cell>
          <cell r="U161">
            <v>0.5</v>
          </cell>
          <cell r="Y161">
            <v>0</v>
          </cell>
          <cell r="Z161">
            <v>0</v>
          </cell>
          <cell r="AA161">
            <v>2604796</v>
          </cell>
          <cell r="AB161">
            <v>2604796</v>
          </cell>
          <cell r="AC161">
            <v>0</v>
          </cell>
          <cell r="AD161">
            <v>0</v>
          </cell>
          <cell r="AE161">
            <v>0</v>
          </cell>
          <cell r="AF161">
            <v>5209592</v>
          </cell>
        </row>
        <row r="162">
          <cell r="H162" t="str">
            <v>Contrat de partenariat avec institution spécialisée en Form maîtres</v>
          </cell>
          <cell r="R162">
            <v>1063584</v>
          </cell>
          <cell r="Z162">
            <v>0</v>
          </cell>
          <cell r="AA162">
            <v>425433.60000000003</v>
          </cell>
          <cell r="AB162">
            <v>319075.20000000001</v>
          </cell>
          <cell r="AC162">
            <v>319075.20000000001</v>
          </cell>
          <cell r="AD162">
            <v>0</v>
          </cell>
          <cell r="AE162">
            <v>0</v>
          </cell>
          <cell r="AF162">
            <v>1063584</v>
          </cell>
        </row>
        <row r="163">
          <cell r="B163" t="str">
            <v>DNFPPP</v>
          </cell>
          <cell r="C163" t="str">
            <v>Q</v>
          </cell>
          <cell r="D163" t="str">
            <v>13B</v>
          </cell>
          <cell r="E163" t="str">
            <v>DNFPPP</v>
          </cell>
          <cell r="F163" t="str">
            <v>FC/CN</v>
          </cell>
          <cell r="G163">
            <v>25</v>
          </cell>
          <cell r="H163" t="str">
            <v>Partenariat avec une institution spécialisée en Formation de maîtres</v>
          </cell>
          <cell r="I163" t="str">
            <v>CN/PSE</v>
          </cell>
          <cell r="K163" t="str">
            <v>FC/PSE</v>
          </cell>
          <cell r="L163" t="str">
            <v>CR</v>
          </cell>
          <cell r="M163">
            <v>12</v>
          </cell>
          <cell r="N163" t="str">
            <v>pxm</v>
          </cell>
          <cell r="O163" t="str">
            <v>cic</v>
          </cell>
          <cell r="P163">
            <v>88632</v>
          </cell>
          <cell r="Q163">
            <v>1</v>
          </cell>
          <cell r="R163">
            <v>1063584</v>
          </cell>
          <cell r="T163">
            <v>0.4</v>
          </cell>
          <cell r="U163">
            <v>0.3</v>
          </cell>
          <cell r="V163">
            <v>0.3</v>
          </cell>
          <cell r="Y163">
            <v>0</v>
          </cell>
          <cell r="Z163">
            <v>0</v>
          </cell>
          <cell r="AA163">
            <v>425433.60000000003</v>
          </cell>
          <cell r="AB163">
            <v>319075.20000000001</v>
          </cell>
          <cell r="AC163">
            <v>319075.20000000001</v>
          </cell>
          <cell r="AD163">
            <v>0</v>
          </cell>
          <cell r="AE163">
            <v>0</v>
          </cell>
          <cell r="AF163">
            <v>1063584</v>
          </cell>
        </row>
        <row r="164">
          <cell r="H164" t="str">
            <v>Contrats de performance avec les ENI</v>
          </cell>
          <cell r="R164">
            <v>1512652.8</v>
          </cell>
          <cell r="Z164">
            <v>378163.20000000001</v>
          </cell>
          <cell r="AA164">
            <v>378163.20000000001</v>
          </cell>
          <cell r="AB164">
            <v>378163.20000000001</v>
          </cell>
          <cell r="AC164">
            <v>378163.20000000001</v>
          </cell>
          <cell r="AD164">
            <v>0</v>
          </cell>
          <cell r="AE164">
            <v>0</v>
          </cell>
          <cell r="AF164">
            <v>1512652.8</v>
          </cell>
        </row>
        <row r="165">
          <cell r="B165" t="str">
            <v>DNFPPP</v>
          </cell>
          <cell r="C165" t="str">
            <v>Q</v>
          </cell>
          <cell r="D165" t="str">
            <v>13C</v>
          </cell>
          <cell r="E165" t="str">
            <v>ENI/</v>
          </cell>
          <cell r="F165" t="str">
            <v>FC/CN</v>
          </cell>
          <cell r="G165">
            <v>15</v>
          </cell>
          <cell r="H165" t="str">
            <v>Contrats de performance avec les ENI</v>
          </cell>
          <cell r="I165" t="str">
            <v>ENI/</v>
          </cell>
          <cell r="K165" t="str">
            <v>FC/PSE</v>
          </cell>
          <cell r="L165" t="str">
            <v>AUT</v>
          </cell>
          <cell r="M165">
            <v>3072</v>
          </cell>
          <cell r="N165" t="str">
            <v>élèv/m</v>
          </cell>
          <cell r="P165">
            <v>492.40000000000003</v>
          </cell>
          <cell r="Q165">
            <v>1</v>
          </cell>
          <cell r="R165">
            <v>1512652.8</v>
          </cell>
          <cell r="S165">
            <v>0.25</v>
          </cell>
          <cell r="T165">
            <v>0.25</v>
          </cell>
          <cell r="U165">
            <v>0.25</v>
          </cell>
          <cell r="V165">
            <v>0.25</v>
          </cell>
          <cell r="Y165">
            <v>0</v>
          </cell>
          <cell r="Z165">
            <v>378163.20000000001</v>
          </cell>
          <cell r="AA165">
            <v>378163.20000000001</v>
          </cell>
          <cell r="AB165">
            <v>378163.20000000001</v>
          </cell>
          <cell r="AC165">
            <v>378163.20000000001</v>
          </cell>
          <cell r="AD165">
            <v>0</v>
          </cell>
          <cell r="AE165">
            <v>0</v>
          </cell>
          <cell r="AF165">
            <v>1512652.8</v>
          </cell>
        </row>
        <row r="166">
          <cell r="H166" t="str">
            <v>Aide à l'installation des stagiaires</v>
          </cell>
          <cell r="R166">
            <v>1063584</v>
          </cell>
          <cell r="Z166">
            <v>265896</v>
          </cell>
          <cell r="AA166">
            <v>265896</v>
          </cell>
          <cell r="AB166">
            <v>265896</v>
          </cell>
          <cell r="AC166">
            <v>265896</v>
          </cell>
          <cell r="AD166">
            <v>0</v>
          </cell>
          <cell r="AE166">
            <v>0</v>
          </cell>
          <cell r="AF166">
            <v>1063584</v>
          </cell>
        </row>
        <row r="167">
          <cell r="B167" t="str">
            <v>DNFPPP</v>
          </cell>
          <cell r="C167" t="str">
            <v>Q</v>
          </cell>
          <cell r="D167" t="str">
            <v>13D</v>
          </cell>
          <cell r="E167" t="str">
            <v>ENI/</v>
          </cell>
          <cell r="F167" t="str">
            <v>FC/CN</v>
          </cell>
          <cell r="G167">
            <v>12</v>
          </cell>
          <cell r="H167" t="str">
            <v>Appui installation stagiaires - attente première solde (80USD/stagiaire)</v>
          </cell>
          <cell r="I167" t="str">
            <v>ENI/</v>
          </cell>
          <cell r="K167" t="str">
            <v>FC/PSE</v>
          </cell>
          <cell r="L167" t="str">
            <v>AUT</v>
          </cell>
          <cell r="M167">
            <v>2700</v>
          </cell>
          <cell r="N167" t="str">
            <v>élèv/m</v>
          </cell>
          <cell r="P167">
            <v>393.92</v>
          </cell>
          <cell r="Q167">
            <v>1</v>
          </cell>
          <cell r="R167">
            <v>1063584</v>
          </cell>
          <cell r="S167">
            <v>0.25</v>
          </cell>
          <cell r="T167">
            <v>0.25</v>
          </cell>
          <cell r="U167">
            <v>0.25</v>
          </cell>
          <cell r="V167">
            <v>0.25</v>
          </cell>
          <cell r="Y167">
            <v>0</v>
          </cell>
          <cell r="Z167">
            <v>265896</v>
          </cell>
          <cell r="AA167">
            <v>265896</v>
          </cell>
          <cell r="AB167">
            <v>265896</v>
          </cell>
          <cell r="AC167">
            <v>265896</v>
          </cell>
          <cell r="AD167">
            <v>0</v>
          </cell>
          <cell r="AF167">
            <v>1063584</v>
          </cell>
        </row>
        <row r="168">
          <cell r="H168" t="str">
            <v>EDUCATION NON FORMELLE</v>
          </cell>
          <cell r="R168">
            <v>5057040.2</v>
          </cell>
          <cell r="Z168">
            <v>1332076.4000000001</v>
          </cell>
          <cell r="AA168">
            <v>1250260.4000000001</v>
          </cell>
          <cell r="AB168">
            <v>1469987.0000000002</v>
          </cell>
          <cell r="AC168">
            <v>1004716.4000000001</v>
          </cell>
          <cell r="AD168">
            <v>0</v>
          </cell>
          <cell r="AE168">
            <v>0</v>
          </cell>
          <cell r="AF168">
            <v>5057040.2</v>
          </cell>
        </row>
        <row r="169">
          <cell r="H169" t="str">
            <v>Alphabétisation</v>
          </cell>
          <cell r="R169">
            <v>4591769.6000000006</v>
          </cell>
          <cell r="Z169">
            <v>1332076.4000000001</v>
          </cell>
          <cell r="AA169">
            <v>1250260.4000000001</v>
          </cell>
          <cell r="AB169">
            <v>1004716.4000000003</v>
          </cell>
          <cell r="AC169">
            <v>1004716.4000000003</v>
          </cell>
          <cell r="AD169">
            <v>0</v>
          </cell>
          <cell r="AE169">
            <v>0</v>
          </cell>
          <cell r="AF169">
            <v>4591769.6000000006</v>
          </cell>
        </row>
        <row r="170">
          <cell r="B170" t="str">
            <v>SNA</v>
          </cell>
          <cell r="C170" t="str">
            <v>A</v>
          </cell>
          <cell r="D170" t="str">
            <v>14A</v>
          </cell>
          <cell r="E170" t="str">
            <v>AL/</v>
          </cell>
          <cell r="F170" t="str">
            <v>FC/</v>
          </cell>
          <cell r="G170">
            <v>12</v>
          </cell>
          <cell r="H170" t="str">
            <v>Formation 640 alphabétiseurs animation, suivi évaluation apprentissages 7j</v>
          </cell>
          <cell r="I170" t="str">
            <v>SNA</v>
          </cell>
          <cell r="K170" t="str">
            <v>FC/PSE</v>
          </cell>
          <cell r="L170" t="str">
            <v>AUT</v>
          </cell>
          <cell r="M170">
            <v>640</v>
          </cell>
          <cell r="N170" t="str">
            <v>p</v>
          </cell>
          <cell r="P170">
            <v>480</v>
          </cell>
          <cell r="Q170">
            <v>1</v>
          </cell>
          <cell r="R170">
            <v>307200</v>
          </cell>
          <cell r="S170">
            <v>1</v>
          </cell>
          <cell r="Y170">
            <v>0</v>
          </cell>
          <cell r="Z170">
            <v>307200</v>
          </cell>
          <cell r="AA170">
            <v>0</v>
          </cell>
          <cell r="AB170">
            <v>0</v>
          </cell>
          <cell r="AC170">
            <v>0</v>
          </cell>
          <cell r="AD170">
            <v>0</v>
          </cell>
          <cell r="AE170">
            <v>0</v>
          </cell>
          <cell r="AF170">
            <v>307200</v>
          </cell>
        </row>
        <row r="171">
          <cell r="B171" t="str">
            <v>SNA</v>
          </cell>
          <cell r="C171" t="str">
            <v>A</v>
          </cell>
          <cell r="D171" t="str">
            <v>14A</v>
          </cell>
          <cell r="E171" t="str">
            <v>AL/</v>
          </cell>
          <cell r="F171" t="str">
            <v>FC/</v>
          </cell>
          <cell r="G171">
            <v>12</v>
          </cell>
          <cell r="H171" t="str">
            <v>Formation 42 superviseurs de centres suivi compétences et progrès 7jours</v>
          </cell>
          <cell r="I171" t="str">
            <v>SNA</v>
          </cell>
          <cell r="K171" t="str">
            <v>FC/PSE</v>
          </cell>
          <cell r="L171" t="str">
            <v>AUT</v>
          </cell>
          <cell r="M171">
            <v>42</v>
          </cell>
          <cell r="N171" t="str">
            <v>p</v>
          </cell>
          <cell r="P171">
            <v>480</v>
          </cell>
          <cell r="Q171">
            <v>1</v>
          </cell>
          <cell r="R171">
            <v>20160</v>
          </cell>
          <cell r="S171">
            <v>1</v>
          </cell>
          <cell r="Y171">
            <v>0</v>
          </cell>
          <cell r="Z171">
            <v>20160</v>
          </cell>
          <cell r="AA171">
            <v>0</v>
          </cell>
          <cell r="AB171">
            <v>0</v>
          </cell>
          <cell r="AC171">
            <v>0</v>
          </cell>
          <cell r="AD171">
            <v>0</v>
          </cell>
          <cell r="AE171">
            <v>0</v>
          </cell>
          <cell r="AF171">
            <v>20160</v>
          </cell>
        </row>
        <row r="172">
          <cell r="B172" t="str">
            <v>SNA</v>
          </cell>
          <cell r="C172" t="str">
            <v>A</v>
          </cell>
          <cell r="D172" t="str">
            <v>14A</v>
          </cell>
          <cell r="E172" t="str">
            <v>AL/</v>
          </cell>
          <cell r="F172" t="str">
            <v>FC/</v>
          </cell>
          <cell r="G172">
            <v>12</v>
          </cell>
          <cell r="H172" t="str">
            <v>Alphabétisation en 9 mois par des ONG (Tous groupes cibles)</v>
          </cell>
          <cell r="I172" t="str">
            <v>SNA</v>
          </cell>
          <cell r="K172" t="str">
            <v>FC/PSE</v>
          </cell>
          <cell r="L172" t="str">
            <v>CR</v>
          </cell>
          <cell r="M172">
            <v>66666.666666666672</v>
          </cell>
          <cell r="N172" t="str">
            <v>p</v>
          </cell>
          <cell r="O172" t="str">
            <v>afa</v>
          </cell>
          <cell r="P172">
            <v>59.088000000000008</v>
          </cell>
          <cell r="Q172">
            <v>1</v>
          </cell>
          <cell r="R172">
            <v>3939200.0000000009</v>
          </cell>
          <cell r="S172">
            <v>0.25</v>
          </cell>
          <cell r="T172">
            <v>0.25</v>
          </cell>
          <cell r="U172">
            <v>0.25</v>
          </cell>
          <cell r="V172">
            <v>0.25</v>
          </cell>
          <cell r="Y172">
            <v>0</v>
          </cell>
          <cell r="Z172">
            <v>984800.00000000023</v>
          </cell>
          <cell r="AA172">
            <v>984800.00000000023</v>
          </cell>
          <cell r="AB172">
            <v>984800.00000000023</v>
          </cell>
          <cell r="AC172">
            <v>984800.00000000023</v>
          </cell>
          <cell r="AD172">
            <v>0</v>
          </cell>
          <cell r="AE172">
            <v>0</v>
          </cell>
          <cell r="AF172">
            <v>3939200.0000000009</v>
          </cell>
        </row>
        <row r="173">
          <cell r="B173" t="str">
            <v>SNA</v>
          </cell>
          <cell r="C173" t="str">
            <v>A</v>
          </cell>
          <cell r="D173" t="str">
            <v>14A</v>
          </cell>
          <cell r="E173" t="str">
            <v>AL/</v>
          </cell>
          <cell r="F173" t="str">
            <v>FC/CN</v>
          </cell>
          <cell r="G173">
            <v>23</v>
          </cell>
          <cell r="H173" t="str">
            <v>Motos pour superviseurs des centres pour le suivi rapproché</v>
          </cell>
          <cell r="I173" t="str">
            <v>SNA</v>
          </cell>
          <cell r="K173" t="str">
            <v>FC/PSE</v>
          </cell>
          <cell r="L173" t="str">
            <v>AOI</v>
          </cell>
          <cell r="M173">
            <v>16</v>
          </cell>
          <cell r="N173" t="str">
            <v>u</v>
          </cell>
          <cell r="O173" t="str">
            <v>cvc</v>
          </cell>
          <cell r="P173">
            <v>13500</v>
          </cell>
          <cell r="Q173">
            <v>1</v>
          </cell>
          <cell r="R173">
            <v>216000</v>
          </cell>
          <cell r="T173">
            <v>1</v>
          </cell>
          <cell r="Y173">
            <v>0</v>
          </cell>
          <cell r="Z173">
            <v>0</v>
          </cell>
          <cell r="AA173">
            <v>216000</v>
          </cell>
          <cell r="AB173">
            <v>0</v>
          </cell>
          <cell r="AC173">
            <v>0</v>
          </cell>
          <cell r="AD173">
            <v>0</v>
          </cell>
          <cell r="AE173">
            <v>0</v>
          </cell>
          <cell r="AF173">
            <v>216000</v>
          </cell>
        </row>
        <row r="174">
          <cell r="B174" t="str">
            <v>SNA</v>
          </cell>
          <cell r="C174" t="str">
            <v>A</v>
          </cell>
          <cell r="D174" t="str">
            <v>14A</v>
          </cell>
          <cell r="E174" t="str">
            <v>AL/</v>
          </cell>
          <cell r="F174" t="str">
            <v>FC/</v>
          </cell>
          <cell r="G174">
            <v>15</v>
          </cell>
          <cell r="H174" t="str">
            <v>Carburant motos 15l x 42 superviseurs x 9 mois x 2ans</v>
          </cell>
          <cell r="I174" t="str">
            <v>SNA</v>
          </cell>
          <cell r="K174" t="str">
            <v>FC/PSE</v>
          </cell>
          <cell r="L174" t="str">
            <v>COT</v>
          </cell>
          <cell r="M174">
            <v>5670</v>
          </cell>
          <cell r="N174" t="str">
            <v>l</v>
          </cell>
          <cell r="O174" t="str">
            <v>gaz</v>
          </cell>
          <cell r="P174">
            <v>7</v>
          </cell>
          <cell r="Q174">
            <v>1</v>
          </cell>
          <cell r="R174">
            <v>39690</v>
          </cell>
          <cell r="S174">
            <v>0.25</v>
          </cell>
          <cell r="T174">
            <v>0.25</v>
          </cell>
          <cell r="U174">
            <v>0.25</v>
          </cell>
          <cell r="V174">
            <v>0.25</v>
          </cell>
          <cell r="Y174">
            <v>0</v>
          </cell>
          <cell r="Z174">
            <v>9922.5</v>
          </cell>
          <cell r="AA174">
            <v>9922.5</v>
          </cell>
          <cell r="AB174">
            <v>9922.5</v>
          </cell>
          <cell r="AC174">
            <v>9922.5</v>
          </cell>
          <cell r="AD174">
            <v>0</v>
          </cell>
          <cell r="AE174">
            <v>0</v>
          </cell>
          <cell r="AF174">
            <v>39690</v>
          </cell>
        </row>
        <row r="175">
          <cell r="B175" t="str">
            <v>SNA</v>
          </cell>
          <cell r="C175" t="str">
            <v>A</v>
          </cell>
          <cell r="D175" t="str">
            <v>14A</v>
          </cell>
          <cell r="E175" t="str">
            <v>SNA</v>
          </cell>
          <cell r="F175" t="str">
            <v>FC/CN</v>
          </cell>
          <cell r="G175">
            <v>15</v>
          </cell>
          <cell r="H175" t="str">
            <v xml:space="preserve">Supervision et contrôle central du programme </v>
          </cell>
          <cell r="I175" t="str">
            <v>SNA</v>
          </cell>
          <cell r="K175" t="str">
            <v>FC/PSE</v>
          </cell>
          <cell r="L175" t="str">
            <v>AUT</v>
          </cell>
          <cell r="M175">
            <v>230</v>
          </cell>
          <cell r="N175" t="str">
            <v>pxj</v>
          </cell>
          <cell r="O175" t="str">
            <v>asn</v>
          </cell>
          <cell r="P175">
            <v>147.72</v>
          </cell>
          <cell r="Q175">
            <v>1</v>
          </cell>
          <cell r="R175">
            <v>33975.599999999999</v>
          </cell>
          <cell r="S175">
            <v>0.25</v>
          </cell>
          <cell r="T175">
            <v>0.25</v>
          </cell>
          <cell r="U175">
            <v>0.25</v>
          </cell>
          <cell r="V175">
            <v>0.25</v>
          </cell>
          <cell r="Y175">
            <v>0</v>
          </cell>
          <cell r="Z175">
            <v>8493.9</v>
          </cell>
          <cell r="AA175">
            <v>8493.9</v>
          </cell>
          <cell r="AB175">
            <v>8493.9</v>
          </cell>
          <cell r="AC175">
            <v>8493.9</v>
          </cell>
          <cell r="AD175">
            <v>0</v>
          </cell>
          <cell r="AE175">
            <v>0</v>
          </cell>
          <cell r="AF175">
            <v>33975.599999999999</v>
          </cell>
        </row>
        <row r="176">
          <cell r="B176" t="str">
            <v>SNA</v>
          </cell>
          <cell r="C176" t="str">
            <v>A</v>
          </cell>
          <cell r="D176" t="str">
            <v>14A</v>
          </cell>
          <cell r="E176" t="str">
            <v>SNA</v>
          </cell>
          <cell r="F176" t="str">
            <v>FC/CN</v>
          </cell>
          <cell r="G176">
            <v>15</v>
          </cell>
          <cell r="H176" t="str">
            <v>Appui au fonctionnement du SNA</v>
          </cell>
          <cell r="I176" t="str">
            <v>SNA</v>
          </cell>
          <cell r="K176" t="str">
            <v>FC/PSE</v>
          </cell>
          <cell r="L176" t="str">
            <v>AUT</v>
          </cell>
          <cell r="M176">
            <v>12</v>
          </cell>
          <cell r="N176" t="str">
            <v>mois</v>
          </cell>
          <cell r="P176">
            <v>500</v>
          </cell>
          <cell r="Q176">
            <v>1</v>
          </cell>
          <cell r="R176">
            <v>6000</v>
          </cell>
          <cell r="S176">
            <v>0.25</v>
          </cell>
          <cell r="T176">
            <v>0.25</v>
          </cell>
          <cell r="U176">
            <v>0.25</v>
          </cell>
          <cell r="V176">
            <v>0.25</v>
          </cell>
          <cell r="Y176">
            <v>0</v>
          </cell>
          <cell r="Z176">
            <v>1500</v>
          </cell>
          <cell r="AA176">
            <v>1500</v>
          </cell>
          <cell r="AB176">
            <v>1500</v>
          </cell>
          <cell r="AC176">
            <v>1500</v>
          </cell>
          <cell r="AD176">
            <v>0</v>
          </cell>
          <cell r="AE176">
            <v>0</v>
          </cell>
          <cell r="AF176">
            <v>6000</v>
          </cell>
        </row>
        <row r="177">
          <cell r="B177" t="str">
            <v>SNA</v>
          </cell>
          <cell r="C177" t="str">
            <v>A</v>
          </cell>
          <cell r="D177" t="str">
            <v>14A</v>
          </cell>
          <cell r="E177" t="str">
            <v>SNA</v>
          </cell>
          <cell r="F177" t="str">
            <v>FC/CN</v>
          </cell>
          <cell r="G177">
            <v>23</v>
          </cell>
          <cell r="H177" t="str">
            <v>Poste informatique complet fixe pour le SNA (onduleur et imprimante inclus)</v>
          </cell>
          <cell r="I177" t="str">
            <v>CN/PSE</v>
          </cell>
          <cell r="K177" t="str">
            <v>FC/PSE</v>
          </cell>
          <cell r="L177" t="str">
            <v>AOI</v>
          </cell>
          <cell r="M177">
            <v>2</v>
          </cell>
          <cell r="N177" t="str">
            <v>u</v>
          </cell>
          <cell r="O177" t="str">
            <v>pic</v>
          </cell>
          <cell r="P177">
            <v>14772.000000000002</v>
          </cell>
          <cell r="Q177">
            <v>1</v>
          </cell>
          <cell r="R177">
            <v>29544.000000000004</v>
          </cell>
          <cell r="T177">
            <v>1</v>
          </cell>
          <cell r="Y177">
            <v>0</v>
          </cell>
          <cell r="Z177">
            <v>0</v>
          </cell>
          <cell r="AA177">
            <v>29544.000000000004</v>
          </cell>
          <cell r="AB177">
            <v>0</v>
          </cell>
          <cell r="AC177">
            <v>0</v>
          </cell>
          <cell r="AD177">
            <v>0</v>
          </cell>
          <cell r="AE177">
            <v>0</v>
          </cell>
          <cell r="AF177">
            <v>29544.000000000004</v>
          </cell>
        </row>
        <row r="178">
          <cell r="H178" t="str">
            <v>Evaluations de l'alphabétisation des adultes</v>
          </cell>
          <cell r="R178">
            <v>465270.6</v>
          </cell>
          <cell r="Z178">
            <v>0</v>
          </cell>
          <cell r="AA178">
            <v>0</v>
          </cell>
          <cell r="AB178">
            <v>465270.6</v>
          </cell>
          <cell r="AC178">
            <v>0</v>
          </cell>
          <cell r="AD178">
            <v>0</v>
          </cell>
          <cell r="AE178">
            <v>0</v>
          </cell>
          <cell r="AF178">
            <v>465270.6</v>
          </cell>
        </row>
        <row r="179">
          <cell r="B179" t="str">
            <v>CNCESE</v>
          </cell>
          <cell r="C179" t="str">
            <v>Q</v>
          </cell>
          <cell r="D179" t="str">
            <v>14B</v>
          </cell>
          <cell r="E179" t="str">
            <v>CNCESE</v>
          </cell>
          <cell r="F179" t="str">
            <v>FC/CN</v>
          </cell>
          <cell r="G179">
            <v>15</v>
          </cell>
          <cell r="H179" t="str">
            <v>Evaluation apprentissages en math et français des élèves du collège</v>
          </cell>
          <cell r="I179" t="str">
            <v>CNCESE</v>
          </cell>
          <cell r="K179" t="str">
            <v>FC/PSE</v>
          </cell>
          <cell r="L179" t="str">
            <v>AUT</v>
          </cell>
          <cell r="M179">
            <v>1</v>
          </cell>
          <cell r="N179" t="str">
            <v>forfait</v>
          </cell>
          <cell r="P179">
            <v>288006.59999999998</v>
          </cell>
          <cell r="Q179">
            <v>1</v>
          </cell>
          <cell r="R179">
            <v>288006.59999999998</v>
          </cell>
          <cell r="U179">
            <v>1</v>
          </cell>
          <cell r="Y179">
            <v>0</v>
          </cell>
          <cell r="Z179">
            <v>0</v>
          </cell>
          <cell r="AA179">
            <v>0</v>
          </cell>
          <cell r="AB179">
            <v>288006.59999999998</v>
          </cell>
          <cell r="AC179">
            <v>0</v>
          </cell>
          <cell r="AD179">
            <v>0</v>
          </cell>
          <cell r="AE179">
            <v>0</v>
          </cell>
          <cell r="AF179">
            <v>288006.59999999998</v>
          </cell>
        </row>
        <row r="180">
          <cell r="B180" t="str">
            <v>CNCESE</v>
          </cell>
          <cell r="C180" t="str">
            <v>Q</v>
          </cell>
          <cell r="D180" t="str">
            <v>14B</v>
          </cell>
          <cell r="E180" t="str">
            <v>CNCESE</v>
          </cell>
          <cell r="F180" t="str">
            <v>FC/CN</v>
          </cell>
          <cell r="G180">
            <v>25</v>
          </cell>
          <cell r="H180" t="str">
            <v>Spécialistes en évaluation 4 missions de 15jours</v>
          </cell>
          <cell r="I180" t="str">
            <v>CNCESE</v>
          </cell>
          <cell r="K180" t="str">
            <v>FC/PSE</v>
          </cell>
          <cell r="L180" t="str">
            <v>CR</v>
          </cell>
          <cell r="M180">
            <v>2</v>
          </cell>
          <cell r="N180" t="str">
            <v>pxm</v>
          </cell>
          <cell r="O180" t="str">
            <v>cic</v>
          </cell>
          <cell r="P180">
            <v>88632</v>
          </cell>
          <cell r="Q180">
            <v>1</v>
          </cell>
          <cell r="R180">
            <v>177264</v>
          </cell>
          <cell r="U180">
            <v>1</v>
          </cell>
          <cell r="Y180">
            <v>0</v>
          </cell>
          <cell r="Z180">
            <v>0</v>
          </cell>
          <cell r="AA180">
            <v>0</v>
          </cell>
          <cell r="AB180">
            <v>177264</v>
          </cell>
          <cell r="AC180">
            <v>0</v>
          </cell>
          <cell r="AD180">
            <v>0</v>
          </cell>
          <cell r="AE180">
            <v>0</v>
          </cell>
          <cell r="AF180">
            <v>177264</v>
          </cell>
        </row>
        <row r="181">
          <cell r="H181" t="str">
            <v>EDUCATION SPECIALISEE</v>
          </cell>
          <cell r="R181">
            <v>1786792.6780000001</v>
          </cell>
          <cell r="Z181">
            <v>172189.6</v>
          </cell>
          <cell r="AA181">
            <v>1492603.078</v>
          </cell>
          <cell r="AB181">
            <v>113000</v>
          </cell>
          <cell r="AC181">
            <v>9000</v>
          </cell>
          <cell r="AD181">
            <v>0</v>
          </cell>
          <cell r="AE181">
            <v>0</v>
          </cell>
          <cell r="AF181">
            <v>1786792.6780000001</v>
          </cell>
        </row>
        <row r="182">
          <cell r="H182" t="str">
            <v>Perfectionnement de formateurs</v>
          </cell>
        </row>
        <row r="183">
          <cell r="B183" t="str">
            <v>DNPPS/MASPFE</v>
          </cell>
          <cell r="C183" t="str">
            <v>A</v>
          </cell>
          <cell r="D183" t="str">
            <v>15A</v>
          </cell>
          <cell r="E183" t="str">
            <v>ASPFE/DNPPS</v>
          </cell>
          <cell r="F183" t="str">
            <v>FC/CN</v>
          </cell>
          <cell r="G183">
            <v>12</v>
          </cell>
          <cell r="H183" t="str">
            <v>Voyage d'études en Afrique : 2 formateurs de maîtres x 10j</v>
          </cell>
          <cell r="I183" t="str">
            <v>DNPPS</v>
          </cell>
          <cell r="K183" t="str">
            <v>FC/PSE</v>
          </cell>
          <cell r="L183" t="str">
            <v>AUT</v>
          </cell>
          <cell r="M183">
            <v>2</v>
          </cell>
          <cell r="N183" t="str">
            <v>voy</v>
          </cell>
          <cell r="O183" t="str">
            <v>vaf</v>
          </cell>
          <cell r="P183">
            <v>13294.800000000001</v>
          </cell>
          <cell r="Q183">
            <v>1</v>
          </cell>
          <cell r="R183">
            <v>26589.600000000002</v>
          </cell>
          <cell r="S183">
            <v>1</v>
          </cell>
          <cell r="Y183">
            <v>0</v>
          </cell>
          <cell r="Z183">
            <v>26589.600000000002</v>
          </cell>
          <cell r="AA183">
            <v>0</v>
          </cell>
          <cell r="AB183">
            <v>0</v>
          </cell>
          <cell r="AC183">
            <v>0</v>
          </cell>
          <cell r="AD183">
            <v>0</v>
          </cell>
          <cell r="AE183">
            <v>0</v>
          </cell>
          <cell r="AF183">
            <v>26589.600000000002</v>
          </cell>
        </row>
        <row r="184">
          <cell r="B184" t="str">
            <v>DNPPS/MASPFE</v>
          </cell>
          <cell r="C184" t="str">
            <v>A</v>
          </cell>
          <cell r="D184" t="str">
            <v>15A</v>
          </cell>
          <cell r="E184" t="str">
            <v>ASPFE/DNPPS</v>
          </cell>
          <cell r="F184" t="str">
            <v>FC/CN</v>
          </cell>
          <cell r="G184">
            <v>12</v>
          </cell>
          <cell r="H184" t="str">
            <v>Formation de formateurs d'enseignants en signes scientifiques au Canada : 2p x 30j</v>
          </cell>
          <cell r="I184" t="str">
            <v>DNPPS</v>
          </cell>
          <cell r="K184" t="str">
            <v>FC/PSE</v>
          </cell>
          <cell r="L184" t="str">
            <v>AUT</v>
          </cell>
          <cell r="M184">
            <v>2</v>
          </cell>
          <cell r="N184" t="str">
            <v>voy</v>
          </cell>
          <cell r="O184" t="str">
            <v>vam</v>
          </cell>
          <cell r="P184">
            <v>30000</v>
          </cell>
          <cell r="Q184">
            <v>1</v>
          </cell>
          <cell r="R184">
            <v>60000</v>
          </cell>
          <cell r="S184">
            <v>0.5</v>
          </cell>
          <cell r="T184">
            <v>0.5</v>
          </cell>
          <cell r="Y184">
            <v>0</v>
          </cell>
          <cell r="Z184">
            <v>30000</v>
          </cell>
          <cell r="AA184">
            <v>30000</v>
          </cell>
          <cell r="AB184">
            <v>0</v>
          </cell>
          <cell r="AC184">
            <v>0</v>
          </cell>
          <cell r="AD184">
            <v>0</v>
          </cell>
          <cell r="AE184">
            <v>0</v>
          </cell>
          <cell r="AF184">
            <v>60000</v>
          </cell>
        </row>
        <row r="185">
          <cell r="H185" t="str">
            <v>Formation maîtres cl intégratrices en langue de signes et braille</v>
          </cell>
        </row>
        <row r="186">
          <cell r="B186" t="str">
            <v>DNPPS/MASPFE</v>
          </cell>
          <cell r="C186" t="str">
            <v>A</v>
          </cell>
          <cell r="D186" t="str">
            <v>15A</v>
          </cell>
          <cell r="E186" t="str">
            <v>ASPFE/DNPPS</v>
          </cell>
          <cell r="F186" t="str">
            <v>FC/CN</v>
          </cell>
          <cell r="G186">
            <v>12</v>
          </cell>
          <cell r="H186" t="str">
            <v>Prise en charge des formateurs : 4 formateurs x 2 mois/ an</v>
          </cell>
          <cell r="I186" t="str">
            <v>DNPPS</v>
          </cell>
          <cell r="K186" t="str">
            <v>FC/PSE</v>
          </cell>
          <cell r="L186" t="str">
            <v>AUT</v>
          </cell>
          <cell r="M186">
            <v>8</v>
          </cell>
          <cell r="N186" t="str">
            <v>pxm</v>
          </cell>
          <cell r="O186" t="str">
            <v>forfait</v>
          </cell>
          <cell r="P186">
            <v>500</v>
          </cell>
          <cell r="Q186">
            <v>1</v>
          </cell>
          <cell r="R186">
            <v>4000</v>
          </cell>
          <cell r="S186">
            <v>0.5</v>
          </cell>
          <cell r="U186">
            <v>0.5</v>
          </cell>
          <cell r="Y186">
            <v>0</v>
          </cell>
          <cell r="Z186">
            <v>2000</v>
          </cell>
          <cell r="AA186">
            <v>0</v>
          </cell>
          <cell r="AB186">
            <v>2000</v>
          </cell>
          <cell r="AC186">
            <v>0</v>
          </cell>
          <cell r="AD186">
            <v>0</v>
          </cell>
          <cell r="AE186">
            <v>0</v>
          </cell>
          <cell r="AF186">
            <v>4000</v>
          </cell>
        </row>
        <row r="187">
          <cell r="B187" t="str">
            <v>DNPPS/MASPFE</v>
          </cell>
          <cell r="C187" t="str">
            <v>A</v>
          </cell>
          <cell r="D187" t="str">
            <v>15A</v>
          </cell>
          <cell r="E187" t="str">
            <v>ASPFE/DNPPS</v>
          </cell>
          <cell r="F187" t="str">
            <v>FC/CN</v>
          </cell>
          <cell r="G187">
            <v>12</v>
          </cell>
          <cell r="H187" t="str">
            <v>Prise en charge des maîtres : [(38 x 4p) + 8p] x 2 mois / an</v>
          </cell>
          <cell r="I187" t="str">
            <v>DNPPS</v>
          </cell>
          <cell r="K187" t="str">
            <v>FC/PSE</v>
          </cell>
          <cell r="L187" t="str">
            <v>AUT</v>
          </cell>
          <cell r="M187">
            <v>320</v>
          </cell>
          <cell r="N187" t="str">
            <v>pxm</v>
          </cell>
          <cell r="O187" t="str">
            <v>forfait</v>
          </cell>
          <cell r="P187">
            <v>350</v>
          </cell>
          <cell r="Q187">
            <v>1</v>
          </cell>
          <cell r="R187">
            <v>112000</v>
          </cell>
          <cell r="S187">
            <v>0.5</v>
          </cell>
          <cell r="U187">
            <v>0.5</v>
          </cell>
          <cell r="Y187">
            <v>0</v>
          </cell>
          <cell r="Z187">
            <v>56000</v>
          </cell>
          <cell r="AA187">
            <v>0</v>
          </cell>
          <cell r="AB187">
            <v>56000</v>
          </cell>
          <cell r="AC187">
            <v>0</v>
          </cell>
          <cell r="AD187">
            <v>0</v>
          </cell>
          <cell r="AE187">
            <v>0</v>
          </cell>
          <cell r="AF187">
            <v>112000</v>
          </cell>
        </row>
        <row r="188">
          <cell r="B188" t="str">
            <v>DNPPS/MASPFE</v>
          </cell>
          <cell r="C188" t="str">
            <v>A</v>
          </cell>
          <cell r="D188" t="str">
            <v>15A</v>
          </cell>
          <cell r="E188" t="str">
            <v>ASPFE/DNPPS</v>
          </cell>
          <cell r="F188" t="str">
            <v>FC/CN</v>
          </cell>
          <cell r="G188">
            <v>24</v>
          </cell>
          <cell r="H188" t="str">
            <v>Fournitures pour formateurs</v>
          </cell>
          <cell r="I188" t="str">
            <v>CN/PSE</v>
          </cell>
          <cell r="K188" t="str">
            <v>FC/PSE</v>
          </cell>
          <cell r="L188" t="str">
            <v>AUT</v>
          </cell>
          <cell r="M188">
            <v>2</v>
          </cell>
          <cell r="N188" t="str">
            <v>lot</v>
          </cell>
          <cell r="O188" t="str">
            <v>forfait</v>
          </cell>
          <cell r="P188">
            <v>1000</v>
          </cell>
          <cell r="Q188">
            <v>1</v>
          </cell>
          <cell r="R188">
            <v>2000</v>
          </cell>
          <cell r="S188">
            <v>0.5</v>
          </cell>
          <cell r="U188">
            <v>0.5</v>
          </cell>
          <cell r="Y188">
            <v>0</v>
          </cell>
          <cell r="Z188">
            <v>1000</v>
          </cell>
          <cell r="AA188">
            <v>0</v>
          </cell>
          <cell r="AB188">
            <v>1000</v>
          </cell>
          <cell r="AC188">
            <v>0</v>
          </cell>
          <cell r="AD188">
            <v>0</v>
          </cell>
          <cell r="AE188">
            <v>0</v>
          </cell>
          <cell r="AF188">
            <v>2000</v>
          </cell>
        </row>
        <row r="189">
          <cell r="B189" t="str">
            <v>DNPPS/MASPFE</v>
          </cell>
          <cell r="C189" t="str">
            <v>A</v>
          </cell>
          <cell r="D189" t="str">
            <v>15A</v>
          </cell>
          <cell r="E189" t="str">
            <v>ASPFE/DNPPS</v>
          </cell>
          <cell r="F189" t="str">
            <v>FC/CN</v>
          </cell>
          <cell r="G189">
            <v>24</v>
          </cell>
          <cell r="H189" t="str">
            <v>Machines Perkins pour formations</v>
          </cell>
          <cell r="I189" t="str">
            <v>CN/PSE</v>
          </cell>
          <cell r="K189" t="str">
            <v>FC/PSE</v>
          </cell>
          <cell r="L189" t="str">
            <v>COT</v>
          </cell>
          <cell r="M189">
            <v>24</v>
          </cell>
          <cell r="N189" t="str">
            <v>u</v>
          </cell>
          <cell r="O189" t="str">
            <v>forfait</v>
          </cell>
          <cell r="P189">
            <v>5893.5625</v>
          </cell>
          <cell r="Q189">
            <v>1</v>
          </cell>
          <cell r="R189">
            <v>141445.5</v>
          </cell>
          <cell r="T189">
            <v>1</v>
          </cell>
          <cell r="Y189">
            <v>0</v>
          </cell>
          <cell r="Z189">
            <v>0</v>
          </cell>
          <cell r="AA189">
            <v>141445.5</v>
          </cell>
          <cell r="AB189">
            <v>0</v>
          </cell>
          <cell r="AC189">
            <v>0</v>
          </cell>
          <cell r="AD189">
            <v>0</v>
          </cell>
          <cell r="AE189">
            <v>0</v>
          </cell>
          <cell r="AF189">
            <v>141445.5</v>
          </cell>
        </row>
        <row r="190">
          <cell r="B190" t="str">
            <v>DNPPS/MASPFE</v>
          </cell>
          <cell r="C190" t="str">
            <v>A</v>
          </cell>
          <cell r="D190" t="str">
            <v>15A</v>
          </cell>
          <cell r="E190" t="str">
            <v>ASPFE/DNPPS</v>
          </cell>
          <cell r="F190" t="str">
            <v>FC/CN</v>
          </cell>
          <cell r="G190">
            <v>24</v>
          </cell>
          <cell r="H190" t="str">
            <v>Fournitures pour les maîtres en formation yc tablettes, dictionnaires…</v>
          </cell>
          <cell r="I190" t="str">
            <v>CN/PSE</v>
          </cell>
          <cell r="K190" t="str">
            <v>FC/PSE</v>
          </cell>
          <cell r="L190" t="str">
            <v>AON</v>
          </cell>
          <cell r="M190">
            <v>160</v>
          </cell>
          <cell r="N190" t="str">
            <v>lot</v>
          </cell>
          <cell r="O190" t="str">
            <v>forfait</v>
          </cell>
          <cell r="P190">
            <v>500</v>
          </cell>
          <cell r="Q190">
            <v>1</v>
          </cell>
          <cell r="R190">
            <v>80000</v>
          </cell>
          <cell r="S190">
            <v>0.5</v>
          </cell>
          <cell r="U190">
            <v>0.5</v>
          </cell>
          <cell r="Y190">
            <v>0</v>
          </cell>
          <cell r="Z190">
            <v>40000</v>
          </cell>
          <cell r="AA190">
            <v>0</v>
          </cell>
          <cell r="AB190">
            <v>40000</v>
          </cell>
          <cell r="AC190">
            <v>0</v>
          </cell>
          <cell r="AD190">
            <v>0</v>
          </cell>
          <cell r="AE190">
            <v>0</v>
          </cell>
          <cell r="AF190">
            <v>80000</v>
          </cell>
        </row>
        <row r="191">
          <cell r="H191" t="str">
            <v>Matériels pédagogiques pour les écoles intégratrices</v>
          </cell>
        </row>
        <row r="192">
          <cell r="B192" t="str">
            <v>DNPPS/MASPFE</v>
          </cell>
          <cell r="C192" t="str">
            <v>A</v>
          </cell>
          <cell r="D192" t="str">
            <v>15A</v>
          </cell>
          <cell r="E192" t="str">
            <v>ASPFE/DNPPS</v>
          </cell>
          <cell r="F192" t="str">
            <v>FC/CN</v>
          </cell>
          <cell r="G192">
            <v>24</v>
          </cell>
          <cell r="H192" t="str">
            <v>Dictionnaire en langue de signes / braille pour classes intégratrices</v>
          </cell>
          <cell r="I192" t="str">
            <v>CN/PSE</v>
          </cell>
          <cell r="K192" t="str">
            <v>FC/PSE</v>
          </cell>
          <cell r="L192" t="str">
            <v>AON</v>
          </cell>
          <cell r="M192">
            <v>76</v>
          </cell>
          <cell r="N192" t="str">
            <v>u</v>
          </cell>
          <cell r="O192" t="str">
            <v>forfait</v>
          </cell>
          <cell r="P192">
            <v>33</v>
          </cell>
          <cell r="Q192">
            <v>1</v>
          </cell>
          <cell r="R192">
            <v>2508</v>
          </cell>
          <cell r="T192">
            <v>1</v>
          </cell>
          <cell r="Y192">
            <v>0</v>
          </cell>
          <cell r="Z192">
            <v>0</v>
          </cell>
          <cell r="AA192">
            <v>2508</v>
          </cell>
          <cell r="AB192">
            <v>0</v>
          </cell>
          <cell r="AC192">
            <v>0</v>
          </cell>
          <cell r="AD192">
            <v>0</v>
          </cell>
          <cell r="AE192">
            <v>0</v>
          </cell>
          <cell r="AF192">
            <v>2508</v>
          </cell>
        </row>
        <row r="193">
          <cell r="B193" t="str">
            <v>DNPPS/MASPFE</v>
          </cell>
          <cell r="C193" t="str">
            <v>A</v>
          </cell>
          <cell r="D193" t="str">
            <v>15A</v>
          </cell>
          <cell r="E193" t="str">
            <v>ASPFE/DNPPS</v>
          </cell>
          <cell r="F193" t="str">
            <v>FC/CN</v>
          </cell>
          <cell r="G193">
            <v>24</v>
          </cell>
          <cell r="H193" t="str">
            <v>Machines Perkins : 1 machine / école avec mal voyants</v>
          </cell>
          <cell r="I193" t="str">
            <v>CN/PSE</v>
          </cell>
          <cell r="K193" t="str">
            <v>FC/PSE</v>
          </cell>
          <cell r="L193" t="str">
            <v>AOI</v>
          </cell>
          <cell r="M193">
            <v>76</v>
          </cell>
          <cell r="N193" t="str">
            <v>u</v>
          </cell>
          <cell r="O193" t="str">
            <v>forfait</v>
          </cell>
          <cell r="P193">
            <v>5893.5625</v>
          </cell>
          <cell r="Q193">
            <v>1</v>
          </cell>
          <cell r="R193">
            <v>447910.75</v>
          </cell>
          <cell r="T193">
            <v>1</v>
          </cell>
          <cell r="Y193">
            <v>0</v>
          </cell>
          <cell r="Z193">
            <v>0</v>
          </cell>
          <cell r="AA193">
            <v>447910.75</v>
          </cell>
          <cell r="AB193">
            <v>0</v>
          </cell>
          <cell r="AC193">
            <v>0</v>
          </cell>
          <cell r="AD193">
            <v>0</v>
          </cell>
          <cell r="AE193">
            <v>0</v>
          </cell>
          <cell r="AF193">
            <v>447910.75</v>
          </cell>
        </row>
        <row r="194">
          <cell r="B194" t="str">
            <v>DNPPS/MASPFE</v>
          </cell>
          <cell r="C194" t="str">
            <v>A</v>
          </cell>
          <cell r="D194" t="str">
            <v>15A</v>
          </cell>
          <cell r="E194" t="str">
            <v>ASPFE/DNPPS</v>
          </cell>
          <cell r="F194" t="str">
            <v>FC/CN</v>
          </cell>
          <cell r="G194">
            <v>24</v>
          </cell>
          <cell r="H194" t="str">
            <v>Poinceau + tablette pour élèves mal voyants</v>
          </cell>
          <cell r="I194" t="str">
            <v>CN/PSE</v>
          </cell>
          <cell r="K194" t="str">
            <v>FC/PSE</v>
          </cell>
          <cell r="L194" t="str">
            <v>AON</v>
          </cell>
          <cell r="M194">
            <v>760</v>
          </cell>
          <cell r="N194" t="str">
            <v>lot</v>
          </cell>
          <cell r="O194" t="str">
            <v>forfait</v>
          </cell>
          <cell r="P194">
            <v>390</v>
          </cell>
          <cell r="Q194">
            <v>1</v>
          </cell>
          <cell r="R194">
            <v>296400</v>
          </cell>
          <cell r="T194">
            <v>1</v>
          </cell>
          <cell r="Y194">
            <v>0</v>
          </cell>
          <cell r="Z194">
            <v>0</v>
          </cell>
          <cell r="AA194">
            <v>296400</v>
          </cell>
          <cell r="AB194">
            <v>0</v>
          </cell>
          <cell r="AC194">
            <v>0</v>
          </cell>
          <cell r="AD194">
            <v>0</v>
          </cell>
          <cell r="AE194">
            <v>0</v>
          </cell>
          <cell r="AF194">
            <v>296400</v>
          </cell>
        </row>
        <row r="195">
          <cell r="B195" t="str">
            <v>DNPPS/MASPFE</v>
          </cell>
          <cell r="C195" t="str">
            <v>A</v>
          </cell>
          <cell r="D195" t="str">
            <v>15A</v>
          </cell>
          <cell r="E195" t="str">
            <v>ASPFE/DNPPS</v>
          </cell>
          <cell r="F195" t="str">
            <v>FC/CN</v>
          </cell>
          <cell r="G195">
            <v>24</v>
          </cell>
          <cell r="H195" t="str">
            <v>Dictionnaire langue de signes pour élèves sourds</v>
          </cell>
          <cell r="I195" t="str">
            <v>CN/PSE</v>
          </cell>
          <cell r="K195" t="str">
            <v>FC/PSE</v>
          </cell>
          <cell r="L195" t="str">
            <v>AON</v>
          </cell>
          <cell r="M195">
            <v>760</v>
          </cell>
          <cell r="N195" t="str">
            <v>lot</v>
          </cell>
          <cell r="O195" t="str">
            <v>forfait</v>
          </cell>
          <cell r="P195">
            <v>33</v>
          </cell>
          <cell r="Q195">
            <v>1</v>
          </cell>
          <cell r="R195">
            <v>25080</v>
          </cell>
          <cell r="T195">
            <v>1</v>
          </cell>
          <cell r="Y195">
            <v>0</v>
          </cell>
          <cell r="Z195">
            <v>0</v>
          </cell>
          <cell r="AA195">
            <v>25080</v>
          </cell>
          <cell r="AB195">
            <v>0</v>
          </cell>
          <cell r="AC195">
            <v>0</v>
          </cell>
          <cell r="AD195">
            <v>0</v>
          </cell>
          <cell r="AE195">
            <v>0</v>
          </cell>
          <cell r="AF195">
            <v>25080</v>
          </cell>
        </row>
        <row r="196">
          <cell r="H196" t="str">
            <v>Aides auditive et technique de marche pour les élèves</v>
          </cell>
          <cell r="R196">
            <v>0</v>
          </cell>
        </row>
        <row r="197">
          <cell r="B197" t="str">
            <v>DNPPS/MASPFE</v>
          </cell>
          <cell r="C197" t="str">
            <v>A</v>
          </cell>
          <cell r="D197" t="str">
            <v>15A</v>
          </cell>
          <cell r="E197" t="str">
            <v>ASPFE/DNPPS</v>
          </cell>
          <cell r="F197" t="str">
            <v>FC/CN</v>
          </cell>
          <cell r="G197">
            <v>24</v>
          </cell>
          <cell r="H197" t="str">
            <v>Appareils auditifs (réhabilitation auditive)</v>
          </cell>
          <cell r="I197" t="str">
            <v>CN/PSE</v>
          </cell>
          <cell r="K197" t="str">
            <v>FC/PSE</v>
          </cell>
          <cell r="L197" t="str">
            <v>COT</v>
          </cell>
          <cell r="M197">
            <v>100</v>
          </cell>
          <cell r="N197" t="str">
            <v>u</v>
          </cell>
          <cell r="O197" t="str">
            <v>forfait</v>
          </cell>
          <cell r="P197">
            <v>620.375</v>
          </cell>
          <cell r="Q197">
            <v>1</v>
          </cell>
          <cell r="R197">
            <v>62037.5</v>
          </cell>
          <cell r="T197">
            <v>1</v>
          </cell>
          <cell r="Y197">
            <v>0</v>
          </cell>
          <cell r="Z197">
            <v>0</v>
          </cell>
          <cell r="AA197">
            <v>62037.5</v>
          </cell>
          <cell r="AB197">
            <v>0</v>
          </cell>
          <cell r="AC197">
            <v>0</v>
          </cell>
          <cell r="AD197">
            <v>0</v>
          </cell>
          <cell r="AE197">
            <v>0</v>
          </cell>
          <cell r="AF197">
            <v>62037.5</v>
          </cell>
        </row>
        <row r="198">
          <cell r="B198" t="str">
            <v>DNPPS/MASPFE</v>
          </cell>
          <cell r="C198" t="str">
            <v>A</v>
          </cell>
          <cell r="D198" t="str">
            <v>15A</v>
          </cell>
          <cell r="E198" t="str">
            <v>ASPFE/DNPPS</v>
          </cell>
          <cell r="F198" t="str">
            <v>FC/CN</v>
          </cell>
          <cell r="G198">
            <v>24</v>
          </cell>
          <cell r="H198" t="str">
            <v>Béquilles</v>
          </cell>
          <cell r="I198" t="str">
            <v>CN/PSE</v>
          </cell>
          <cell r="K198" t="str">
            <v>FC/PSE</v>
          </cell>
          <cell r="L198" t="str">
            <v>AON</v>
          </cell>
          <cell r="M198">
            <v>100</v>
          </cell>
          <cell r="N198" t="str">
            <v>u</v>
          </cell>
          <cell r="O198" t="str">
            <v>forfait</v>
          </cell>
          <cell r="P198">
            <v>300</v>
          </cell>
          <cell r="Q198">
            <v>1</v>
          </cell>
          <cell r="R198">
            <v>30000</v>
          </cell>
          <cell r="T198">
            <v>1</v>
          </cell>
          <cell r="Y198">
            <v>0</v>
          </cell>
          <cell r="Z198">
            <v>0</v>
          </cell>
          <cell r="AA198">
            <v>30000</v>
          </cell>
          <cell r="AB198">
            <v>0</v>
          </cell>
          <cell r="AC198">
            <v>0</v>
          </cell>
          <cell r="AD198">
            <v>0</v>
          </cell>
          <cell r="AE198">
            <v>0</v>
          </cell>
          <cell r="AF198">
            <v>30000</v>
          </cell>
        </row>
        <row r="199">
          <cell r="B199" t="str">
            <v>DNPPS/MASPFE</v>
          </cell>
          <cell r="C199" t="str">
            <v>A</v>
          </cell>
          <cell r="D199" t="str">
            <v>15A</v>
          </cell>
          <cell r="E199" t="str">
            <v>ASPFE/DNPPS</v>
          </cell>
          <cell r="F199" t="str">
            <v>FC/CN</v>
          </cell>
          <cell r="G199">
            <v>24</v>
          </cell>
          <cell r="H199" t="str">
            <v>Fauteuils roulants</v>
          </cell>
          <cell r="I199" t="str">
            <v>CN/PSE</v>
          </cell>
          <cell r="K199" t="str">
            <v>FC/PSE</v>
          </cell>
          <cell r="L199" t="str">
            <v>AON</v>
          </cell>
          <cell r="M199">
            <v>100</v>
          </cell>
          <cell r="N199" t="str">
            <v>u</v>
          </cell>
          <cell r="O199" t="str">
            <v>forfait</v>
          </cell>
          <cell r="P199">
            <v>500</v>
          </cell>
          <cell r="Q199">
            <v>1</v>
          </cell>
          <cell r="R199">
            <v>50000</v>
          </cell>
          <cell r="T199">
            <v>1</v>
          </cell>
          <cell r="Y199">
            <v>0</v>
          </cell>
          <cell r="Z199">
            <v>0</v>
          </cell>
          <cell r="AA199">
            <v>50000</v>
          </cell>
          <cell r="AB199">
            <v>0</v>
          </cell>
          <cell r="AC199">
            <v>0</v>
          </cell>
          <cell r="AD199">
            <v>0</v>
          </cell>
          <cell r="AE199">
            <v>0</v>
          </cell>
          <cell r="AF199">
            <v>50000</v>
          </cell>
        </row>
        <row r="200">
          <cell r="B200" t="str">
            <v>DNPPS/MASPFE</v>
          </cell>
          <cell r="C200" t="str">
            <v>A</v>
          </cell>
          <cell r="D200" t="str">
            <v>15A</v>
          </cell>
          <cell r="E200" t="str">
            <v>ASPFE/DNPPS</v>
          </cell>
          <cell r="F200" t="str">
            <v>FC/CN</v>
          </cell>
          <cell r="G200">
            <v>24</v>
          </cell>
          <cell r="H200" t="str">
            <v>Cannes</v>
          </cell>
          <cell r="I200" t="str">
            <v>CN/PSE</v>
          </cell>
          <cell r="K200" t="str">
            <v>FC/PSE</v>
          </cell>
          <cell r="L200" t="str">
            <v>AON</v>
          </cell>
          <cell r="M200">
            <v>100</v>
          </cell>
          <cell r="N200" t="str">
            <v>u</v>
          </cell>
          <cell r="O200" t="str">
            <v>forfait</v>
          </cell>
          <cell r="P200">
            <v>300</v>
          </cell>
          <cell r="Q200">
            <v>1</v>
          </cell>
          <cell r="R200">
            <v>30000</v>
          </cell>
          <cell r="T200">
            <v>1</v>
          </cell>
          <cell r="Y200">
            <v>0</v>
          </cell>
          <cell r="Z200">
            <v>0</v>
          </cell>
          <cell r="AA200">
            <v>30000</v>
          </cell>
          <cell r="AB200">
            <v>0</v>
          </cell>
          <cell r="AC200">
            <v>0</v>
          </cell>
          <cell r="AD200">
            <v>0</v>
          </cell>
          <cell r="AE200">
            <v>0</v>
          </cell>
          <cell r="AF200">
            <v>30000</v>
          </cell>
        </row>
        <row r="201">
          <cell r="B201" t="str">
            <v>DNPPS/MASPFE</v>
          </cell>
          <cell r="C201" t="str">
            <v>A</v>
          </cell>
          <cell r="D201" t="str">
            <v>15A</v>
          </cell>
          <cell r="E201" t="str">
            <v>ASPFE/DNPPS</v>
          </cell>
          <cell r="F201" t="str">
            <v>FC/CN</v>
          </cell>
          <cell r="G201">
            <v>24</v>
          </cell>
          <cell r="H201" t="str">
            <v>Tricycles</v>
          </cell>
          <cell r="I201" t="str">
            <v>CN/PSE</v>
          </cell>
          <cell r="K201" t="str">
            <v>FC/PSE</v>
          </cell>
          <cell r="L201" t="str">
            <v>AON</v>
          </cell>
          <cell r="M201">
            <v>100</v>
          </cell>
          <cell r="N201" t="str">
            <v>u</v>
          </cell>
          <cell r="O201" t="str">
            <v>forfait</v>
          </cell>
          <cell r="P201">
            <v>800</v>
          </cell>
          <cell r="Q201">
            <v>1</v>
          </cell>
          <cell r="R201">
            <v>80000</v>
          </cell>
          <cell r="T201">
            <v>1</v>
          </cell>
          <cell r="Y201">
            <v>0</v>
          </cell>
          <cell r="Z201">
            <v>0</v>
          </cell>
          <cell r="AA201">
            <v>80000</v>
          </cell>
          <cell r="AB201">
            <v>0</v>
          </cell>
          <cell r="AC201">
            <v>0</v>
          </cell>
          <cell r="AD201">
            <v>0</v>
          </cell>
          <cell r="AE201">
            <v>0</v>
          </cell>
          <cell r="AF201">
            <v>80000</v>
          </cell>
        </row>
        <row r="202">
          <cell r="H202" t="str">
            <v>Formation des handicapés mentaux légers</v>
          </cell>
        </row>
        <row r="203">
          <cell r="B203" t="str">
            <v>DNPPS/MASPFE</v>
          </cell>
          <cell r="C203" t="str">
            <v>A</v>
          </cell>
          <cell r="D203" t="str">
            <v>15A</v>
          </cell>
          <cell r="E203" t="str">
            <v>ASPFE/DNPPS</v>
          </cell>
          <cell r="F203" t="str">
            <v>FC/CN</v>
          </cell>
          <cell r="G203">
            <v>12</v>
          </cell>
          <cell r="H203" t="str">
            <v>Prise en charge des formateurs : 2 formateurs x 4 mois/ an</v>
          </cell>
          <cell r="I203" t="str">
            <v>DNPPS</v>
          </cell>
          <cell r="K203" t="str">
            <v>FC/PSE</v>
          </cell>
          <cell r="L203" t="str">
            <v>AUT</v>
          </cell>
          <cell r="M203">
            <v>8</v>
          </cell>
          <cell r="N203" t="str">
            <v>pxm</v>
          </cell>
          <cell r="O203" t="str">
            <v>forfait</v>
          </cell>
          <cell r="P203">
            <v>500</v>
          </cell>
          <cell r="Q203">
            <v>1</v>
          </cell>
          <cell r="R203">
            <v>4000</v>
          </cell>
          <cell r="S203">
            <v>0.5</v>
          </cell>
          <cell r="T203">
            <v>0.5</v>
          </cell>
          <cell r="Y203">
            <v>0</v>
          </cell>
          <cell r="Z203">
            <v>2000</v>
          </cell>
          <cell r="AA203">
            <v>2000</v>
          </cell>
          <cell r="AB203">
            <v>0</v>
          </cell>
          <cell r="AC203">
            <v>0</v>
          </cell>
          <cell r="AD203">
            <v>0</v>
          </cell>
          <cell r="AE203">
            <v>0</v>
          </cell>
          <cell r="AF203">
            <v>4000</v>
          </cell>
        </row>
        <row r="204">
          <cell r="B204" t="str">
            <v>DNPPS/MASPFE</v>
          </cell>
          <cell r="C204" t="str">
            <v>A</v>
          </cell>
          <cell r="D204" t="str">
            <v>15A</v>
          </cell>
          <cell r="E204" t="str">
            <v>ASPFE/DNPPS</v>
          </cell>
          <cell r="F204" t="str">
            <v>FC/CN</v>
          </cell>
          <cell r="G204">
            <v>12</v>
          </cell>
          <cell r="H204" t="str">
            <v>Formation de 1 maître x 8 reg x 4 mois tous les ans</v>
          </cell>
          <cell r="I204" t="str">
            <v>CN/PSE</v>
          </cell>
          <cell r="K204" t="str">
            <v>FC/PSE</v>
          </cell>
          <cell r="L204" t="str">
            <v>AUT</v>
          </cell>
          <cell r="M204">
            <v>32</v>
          </cell>
          <cell r="N204" t="str">
            <v>pxm</v>
          </cell>
          <cell r="O204" t="str">
            <v>forfait</v>
          </cell>
          <cell r="P204">
            <v>350</v>
          </cell>
          <cell r="Q204">
            <v>1</v>
          </cell>
          <cell r="R204">
            <v>11200</v>
          </cell>
          <cell r="S204">
            <v>0.5</v>
          </cell>
          <cell r="T204">
            <v>0.5</v>
          </cell>
          <cell r="Y204">
            <v>0</v>
          </cell>
          <cell r="Z204">
            <v>5600</v>
          </cell>
          <cell r="AA204">
            <v>5600</v>
          </cell>
          <cell r="AB204">
            <v>0</v>
          </cell>
          <cell r="AC204">
            <v>0</v>
          </cell>
          <cell r="AD204">
            <v>0</v>
          </cell>
          <cell r="AE204">
            <v>0</v>
          </cell>
          <cell r="AF204">
            <v>11200</v>
          </cell>
        </row>
        <row r="205">
          <cell r="B205" t="str">
            <v>DNPPS/MASPFE</v>
          </cell>
          <cell r="C205" t="str">
            <v>A</v>
          </cell>
          <cell r="D205" t="str">
            <v>15A</v>
          </cell>
          <cell r="E205" t="str">
            <v>ASPFE/DNPPS</v>
          </cell>
          <cell r="F205" t="str">
            <v>FC/CN</v>
          </cell>
          <cell r="G205">
            <v>24</v>
          </cell>
          <cell r="H205" t="str">
            <v>Fournitures et supports pédagogiques : 1 lot par an</v>
          </cell>
          <cell r="I205" t="str">
            <v>CN/PSE</v>
          </cell>
          <cell r="K205" t="str">
            <v>FC/PSE</v>
          </cell>
          <cell r="L205" t="str">
            <v>AUT</v>
          </cell>
          <cell r="M205">
            <v>1</v>
          </cell>
          <cell r="N205" t="str">
            <v>lot</v>
          </cell>
          <cell r="O205" t="str">
            <v>forfait</v>
          </cell>
          <cell r="P205">
            <v>5000</v>
          </cell>
          <cell r="Q205">
            <v>1</v>
          </cell>
          <cell r="R205">
            <v>5000</v>
          </cell>
          <cell r="U205">
            <v>1</v>
          </cell>
          <cell r="Y205">
            <v>0</v>
          </cell>
          <cell r="Z205">
            <v>0</v>
          </cell>
          <cell r="AA205">
            <v>0</v>
          </cell>
          <cell r="AB205">
            <v>5000</v>
          </cell>
          <cell r="AC205">
            <v>0</v>
          </cell>
          <cell r="AD205">
            <v>0</v>
          </cell>
          <cell r="AE205">
            <v>0</v>
          </cell>
          <cell r="AF205">
            <v>5000</v>
          </cell>
        </row>
        <row r="206">
          <cell r="H206" t="str">
            <v>Campagne de sensibilisation : communiqués radio</v>
          </cell>
        </row>
        <row r="207">
          <cell r="B207" t="str">
            <v>DNPPS/MASPFE</v>
          </cell>
          <cell r="C207" t="str">
            <v>A</v>
          </cell>
          <cell r="D207" t="str">
            <v>15A</v>
          </cell>
          <cell r="E207" t="str">
            <v>ASPFE/DNPPS</v>
          </cell>
          <cell r="F207" t="str">
            <v>FC/CN</v>
          </cell>
          <cell r="G207">
            <v>15</v>
          </cell>
          <cell r="H207" t="str">
            <v>Radio nationale : 20com/mois x 1 mois avant la rentrée</v>
          </cell>
          <cell r="I207" t="str">
            <v>DNPPS</v>
          </cell>
          <cell r="K207" t="str">
            <v>FC/PSE</v>
          </cell>
          <cell r="L207" t="str">
            <v>AUT</v>
          </cell>
          <cell r="M207">
            <v>20</v>
          </cell>
          <cell r="O207" t="str">
            <v>forfait</v>
          </cell>
          <cell r="P207">
            <v>50</v>
          </cell>
          <cell r="Q207">
            <v>1</v>
          </cell>
          <cell r="R207">
            <v>1000</v>
          </cell>
          <cell r="T207">
            <v>1</v>
          </cell>
          <cell r="Y207">
            <v>0</v>
          </cell>
          <cell r="Z207">
            <v>0</v>
          </cell>
          <cell r="AA207">
            <v>1000</v>
          </cell>
          <cell r="AB207">
            <v>0</v>
          </cell>
          <cell r="AC207">
            <v>0</v>
          </cell>
          <cell r="AD207">
            <v>0</v>
          </cell>
          <cell r="AE207">
            <v>0</v>
          </cell>
          <cell r="AF207">
            <v>1000</v>
          </cell>
        </row>
        <row r="208">
          <cell r="B208" t="str">
            <v>DNPPS/MASPFE</v>
          </cell>
          <cell r="C208" t="str">
            <v>A</v>
          </cell>
          <cell r="D208" t="str">
            <v>15A</v>
          </cell>
          <cell r="E208" t="str">
            <v>ASPFE/DNPPS</v>
          </cell>
          <cell r="F208" t="str">
            <v>FC/CN</v>
          </cell>
          <cell r="G208">
            <v>15</v>
          </cell>
          <cell r="H208" t="str">
            <v xml:space="preserve">Radios régionales : 8 radios x 10 com/mois x 1 mois avant la rentrée </v>
          </cell>
          <cell r="I208" t="str">
            <v>DNPPS</v>
          </cell>
          <cell r="K208" t="str">
            <v>FC/PSE</v>
          </cell>
          <cell r="L208" t="str">
            <v>AUT</v>
          </cell>
          <cell r="M208">
            <v>80</v>
          </cell>
          <cell r="O208" t="str">
            <v>forfait</v>
          </cell>
          <cell r="P208">
            <v>50</v>
          </cell>
          <cell r="Q208">
            <v>1</v>
          </cell>
          <cell r="R208">
            <v>4000</v>
          </cell>
          <cell r="T208">
            <v>1</v>
          </cell>
          <cell r="Y208">
            <v>0</v>
          </cell>
          <cell r="Z208">
            <v>0</v>
          </cell>
          <cell r="AA208">
            <v>4000</v>
          </cell>
          <cell r="AB208">
            <v>0</v>
          </cell>
          <cell r="AC208">
            <v>0</v>
          </cell>
          <cell r="AD208">
            <v>0</v>
          </cell>
          <cell r="AE208">
            <v>0</v>
          </cell>
          <cell r="AF208">
            <v>4000</v>
          </cell>
        </row>
        <row r="209">
          <cell r="B209" t="str">
            <v>DNPPS/MASPFE</v>
          </cell>
          <cell r="C209" t="str">
            <v>A</v>
          </cell>
          <cell r="D209" t="str">
            <v>15A</v>
          </cell>
          <cell r="E209" t="str">
            <v>ASPFE/DNPPS</v>
          </cell>
          <cell r="F209" t="str">
            <v>FC/CN</v>
          </cell>
          <cell r="G209">
            <v>15</v>
          </cell>
          <cell r="H209" t="str">
            <v>Débat sur la Télévision nationale (1 par an)</v>
          </cell>
          <cell r="I209" t="str">
            <v>DNPPS</v>
          </cell>
          <cell r="K209" t="str">
            <v>FC/PSE</v>
          </cell>
          <cell r="L209" t="str">
            <v>AUT</v>
          </cell>
          <cell r="M209">
            <v>1</v>
          </cell>
          <cell r="O209" t="str">
            <v>forfait</v>
          </cell>
          <cell r="P209">
            <v>1000</v>
          </cell>
          <cell r="Q209">
            <v>1</v>
          </cell>
          <cell r="R209">
            <v>1000</v>
          </cell>
          <cell r="T209">
            <v>1</v>
          </cell>
          <cell r="Y209">
            <v>0</v>
          </cell>
          <cell r="Z209">
            <v>0</v>
          </cell>
          <cell r="AA209">
            <v>1000</v>
          </cell>
          <cell r="AB209">
            <v>0</v>
          </cell>
          <cell r="AC209">
            <v>0</v>
          </cell>
          <cell r="AD209">
            <v>0</v>
          </cell>
          <cell r="AE209">
            <v>0</v>
          </cell>
          <cell r="AF209">
            <v>1000</v>
          </cell>
        </row>
        <row r="210">
          <cell r="H210" t="str">
            <v>Appui service enseignement spécial (DNPPS)</v>
          </cell>
        </row>
        <row r="211">
          <cell r="B211" t="str">
            <v>DNPPS/MASPFE</v>
          </cell>
          <cell r="C211" t="str">
            <v>A</v>
          </cell>
          <cell r="D211" t="str">
            <v>15A</v>
          </cell>
          <cell r="E211" t="str">
            <v>ASPFE/DNPPS</v>
          </cell>
          <cell r="F211" t="str">
            <v>FC/CN</v>
          </cell>
          <cell r="G211">
            <v>23</v>
          </cell>
          <cell r="H211" t="str">
            <v>Poste informatique complet</v>
          </cell>
          <cell r="I211" t="str">
            <v>CN/PSE</v>
          </cell>
          <cell r="K211" t="str">
            <v>FC/PSE</v>
          </cell>
          <cell r="L211" t="str">
            <v>AOI</v>
          </cell>
          <cell r="M211">
            <v>2</v>
          </cell>
          <cell r="N211" t="str">
            <v>u</v>
          </cell>
          <cell r="O211" t="str">
            <v>pic</v>
          </cell>
          <cell r="P211">
            <v>14772.000000000002</v>
          </cell>
          <cell r="Q211">
            <v>1</v>
          </cell>
          <cell r="R211">
            <v>29544.000000000004</v>
          </cell>
          <cell r="T211">
            <v>1</v>
          </cell>
          <cell r="Y211">
            <v>0</v>
          </cell>
          <cell r="Z211">
            <v>0</v>
          </cell>
          <cell r="AA211">
            <v>29544.000000000004</v>
          </cell>
          <cell r="AB211">
            <v>0</v>
          </cell>
          <cell r="AC211">
            <v>0</v>
          </cell>
          <cell r="AD211">
            <v>0</v>
          </cell>
          <cell r="AE211">
            <v>0</v>
          </cell>
          <cell r="AF211">
            <v>29544.000000000004</v>
          </cell>
        </row>
        <row r="212">
          <cell r="B212" t="str">
            <v>DNPPS/MASPFE</v>
          </cell>
          <cell r="C212" t="str">
            <v>A</v>
          </cell>
          <cell r="D212" t="str">
            <v>15A</v>
          </cell>
          <cell r="E212" t="str">
            <v>ASPFE/DNPPS</v>
          </cell>
          <cell r="F212" t="str">
            <v>FC/CN</v>
          </cell>
          <cell r="G212">
            <v>23</v>
          </cell>
          <cell r="H212" t="str">
            <v>Vehicule PU Double cab</v>
          </cell>
          <cell r="I212" t="str">
            <v>CN/PSE</v>
          </cell>
          <cell r="K212" t="str">
            <v>FC/PSE</v>
          </cell>
          <cell r="L212" t="str">
            <v>AOI</v>
          </cell>
          <cell r="M212">
            <v>1</v>
          </cell>
          <cell r="N212" t="str">
            <v>u</v>
          </cell>
          <cell r="O212" t="str">
            <v>vdc</v>
          </cell>
          <cell r="P212">
            <v>172340</v>
          </cell>
          <cell r="Q212">
            <v>1</v>
          </cell>
          <cell r="R212">
            <v>172340</v>
          </cell>
          <cell r="T212">
            <v>1</v>
          </cell>
          <cell r="Y212">
            <v>0</v>
          </cell>
          <cell r="Z212">
            <v>0</v>
          </cell>
          <cell r="AA212">
            <v>172340</v>
          </cell>
          <cell r="AB212">
            <v>0</v>
          </cell>
          <cell r="AC212">
            <v>0</v>
          </cell>
          <cell r="AD212">
            <v>0</v>
          </cell>
          <cell r="AE212">
            <v>0</v>
          </cell>
          <cell r="AF212">
            <v>172340</v>
          </cell>
        </row>
        <row r="213">
          <cell r="B213" t="str">
            <v>DNPPS/MASPFE</v>
          </cell>
          <cell r="C213" t="str">
            <v>A</v>
          </cell>
          <cell r="D213" t="str">
            <v>15A</v>
          </cell>
          <cell r="E213" t="str">
            <v>ASPFE/DNPPS</v>
          </cell>
          <cell r="F213" t="str">
            <v>FC/CN</v>
          </cell>
          <cell r="G213">
            <v>23</v>
          </cell>
          <cell r="H213" t="str">
            <v>Photocopieur moyenne capacité</v>
          </cell>
          <cell r="I213" t="str">
            <v>CN/PSE</v>
          </cell>
          <cell r="K213" t="str">
            <v>FC/PSE</v>
          </cell>
          <cell r="L213" t="str">
            <v>AON</v>
          </cell>
          <cell r="M213">
            <v>1</v>
          </cell>
          <cell r="N213" t="str">
            <v>u</v>
          </cell>
          <cell r="O213" t="str">
            <v>pmc</v>
          </cell>
          <cell r="P213">
            <v>72737.328000000009</v>
          </cell>
          <cell r="Q213">
            <v>1</v>
          </cell>
          <cell r="R213">
            <v>72737.328000000009</v>
          </cell>
          <cell r="T213">
            <v>1</v>
          </cell>
          <cell r="Y213">
            <v>0</v>
          </cell>
          <cell r="Z213">
            <v>0</v>
          </cell>
          <cell r="AA213">
            <v>72737.328000000009</v>
          </cell>
          <cell r="AB213">
            <v>0</v>
          </cell>
          <cell r="AC213">
            <v>0</v>
          </cell>
          <cell r="AD213">
            <v>0</v>
          </cell>
          <cell r="AE213">
            <v>0</v>
          </cell>
          <cell r="AF213">
            <v>72737.328000000009</v>
          </cell>
        </row>
        <row r="214">
          <cell r="B214" t="str">
            <v>DNPPS/MASPFE</v>
          </cell>
          <cell r="C214" t="str">
            <v>A</v>
          </cell>
          <cell r="D214" t="str">
            <v>15A</v>
          </cell>
          <cell r="E214" t="str">
            <v>ASPFE/DNPPS</v>
          </cell>
          <cell r="F214" t="str">
            <v>FC/CN</v>
          </cell>
          <cell r="G214">
            <v>15</v>
          </cell>
          <cell r="H214" t="str">
            <v>Fonctionnement (fournitures, consommables et missions de supervision)</v>
          </cell>
          <cell r="I214" t="str">
            <v>CN/PSE</v>
          </cell>
          <cell r="K214" t="str">
            <v>FC/PSE</v>
          </cell>
          <cell r="L214" t="str">
            <v>AON</v>
          </cell>
          <cell r="M214">
            <v>12</v>
          </cell>
          <cell r="N214" t="str">
            <v>mois</v>
          </cell>
          <cell r="O214" t="str">
            <v>forfait</v>
          </cell>
          <cell r="P214">
            <v>3000</v>
          </cell>
          <cell r="Q214">
            <v>1</v>
          </cell>
          <cell r="R214">
            <v>36000</v>
          </cell>
          <cell r="S214">
            <v>0.25</v>
          </cell>
          <cell r="T214">
            <v>0.25</v>
          </cell>
          <cell r="U214">
            <v>0.25</v>
          </cell>
          <cell r="V214">
            <v>0.25</v>
          </cell>
          <cell r="Y214">
            <v>0</v>
          </cell>
          <cell r="Z214">
            <v>9000</v>
          </cell>
          <cell r="AA214">
            <v>9000</v>
          </cell>
          <cell r="AB214">
            <v>9000</v>
          </cell>
          <cell r="AC214">
            <v>9000</v>
          </cell>
          <cell r="AD214">
            <v>0</v>
          </cell>
          <cell r="AE214">
            <v>0</v>
          </cell>
          <cell r="AF214">
            <v>36000</v>
          </cell>
        </row>
        <row r="215">
          <cell r="H215" t="str">
            <v>P2 SECONDAIRE GENERAL</v>
          </cell>
          <cell r="R215">
            <v>66900787.174800001</v>
          </cell>
          <cell r="Z215">
            <v>2139585.3954600003</v>
          </cell>
          <cell r="AA215">
            <v>20057976.67546</v>
          </cell>
          <cell r="AB215">
            <v>12686627.64346</v>
          </cell>
          <cell r="AC215">
            <v>14431228.547459999</v>
          </cell>
          <cell r="AD215">
            <v>7463486.1849600002</v>
          </cell>
          <cell r="AE215">
            <v>10121882.728</v>
          </cell>
          <cell r="AF215">
            <v>66900787.174800001</v>
          </cell>
        </row>
        <row r="216">
          <cell r="H216" t="str">
            <v>SECONDAIRE 1</v>
          </cell>
          <cell r="R216">
            <v>37719432.494800001</v>
          </cell>
          <cell r="Z216">
            <v>1675419.3254600002</v>
          </cell>
          <cell r="AA216">
            <v>5196514.405460001</v>
          </cell>
          <cell r="AB216">
            <v>7008844.9734600009</v>
          </cell>
          <cell r="AC216">
            <v>8904120.2774600014</v>
          </cell>
          <cell r="AD216">
            <v>6665798.1849600011</v>
          </cell>
          <cell r="AE216">
            <v>8268735.3280000016</v>
          </cell>
          <cell r="AF216">
            <v>37719432.494800001</v>
          </cell>
        </row>
        <row r="217">
          <cell r="H217" t="str">
            <v>Infrastructures</v>
          </cell>
          <cell r="R217">
            <v>34190656.684800006</v>
          </cell>
          <cell r="Z217">
            <v>349599.27296000015</v>
          </cell>
          <cell r="AA217">
            <v>4298253.3529600007</v>
          </cell>
          <cell r="AB217">
            <v>6138017.3209600011</v>
          </cell>
          <cell r="AC217">
            <v>8486253.2249600012</v>
          </cell>
          <cell r="AD217">
            <v>6649798.1849600002</v>
          </cell>
          <cell r="AE217">
            <v>8268735.3280000016</v>
          </cell>
          <cell r="AF217">
            <v>34190656.684800006</v>
          </cell>
        </row>
        <row r="218">
          <cell r="B218" t="str">
            <v>SNIES</v>
          </cell>
          <cell r="C218" t="str">
            <v>A</v>
          </cell>
          <cell r="D218" t="str">
            <v>21A</v>
          </cell>
          <cell r="E218" t="str">
            <v>ES/</v>
          </cell>
          <cell r="F218" t="str">
            <v>FC/CN</v>
          </cell>
          <cell r="G218">
            <v>21</v>
          </cell>
          <cell r="H218" t="str">
            <v>BET pour les constructions réhabilitation des infrastructures</v>
          </cell>
          <cell r="I218" t="str">
            <v>SNIES</v>
          </cell>
          <cell r="K218" t="str">
            <v>FC/PSE</v>
          </cell>
          <cell r="L218" t="str">
            <v>CR</v>
          </cell>
          <cell r="N218" t="str">
            <v>forfait</v>
          </cell>
          <cell r="O218" t="str">
            <v>coût total</v>
          </cell>
          <cell r="P218">
            <v>7.0000000000000007E-2</v>
          </cell>
          <cell r="Q218">
            <v>1</v>
          </cell>
          <cell r="R218">
            <v>1747996.3648000006</v>
          </cell>
          <cell r="S218">
            <v>0.2</v>
          </cell>
          <cell r="T218">
            <v>0.2</v>
          </cell>
          <cell r="U218">
            <v>0.2</v>
          </cell>
          <cell r="V218">
            <v>0.2</v>
          </cell>
          <cell r="W218">
            <v>0.2</v>
          </cell>
          <cell r="Y218">
            <v>0</v>
          </cell>
          <cell r="Z218">
            <v>349599.27296000015</v>
          </cell>
          <cell r="AA218">
            <v>349599.27296000015</v>
          </cell>
          <cell r="AB218">
            <v>349599.27296000015</v>
          </cell>
          <cell r="AC218">
            <v>349599.27296000015</v>
          </cell>
          <cell r="AD218">
            <v>349599.27296000015</v>
          </cell>
          <cell r="AE218">
            <v>0</v>
          </cell>
          <cell r="AF218">
            <v>1747996.3648000008</v>
          </cell>
        </row>
        <row r="219">
          <cell r="B219" t="str">
            <v>SNIES</v>
          </cell>
          <cell r="C219" t="str">
            <v>A</v>
          </cell>
          <cell r="D219" t="str">
            <v>21A</v>
          </cell>
          <cell r="E219" t="str">
            <v>ES/</v>
          </cell>
          <cell r="F219" t="str">
            <v>FC/CN</v>
          </cell>
          <cell r="G219">
            <v>22</v>
          </cell>
          <cell r="H219" t="str">
            <v>Travaux de construction classes collèges PME</v>
          </cell>
          <cell r="I219" t="str">
            <v>SNIES</v>
          </cell>
          <cell r="K219" t="str">
            <v>FC/PSE</v>
          </cell>
          <cell r="L219" t="str">
            <v>AON</v>
          </cell>
          <cell r="M219">
            <v>72</v>
          </cell>
          <cell r="N219" t="str">
            <v>cl</v>
          </cell>
          <cell r="O219" t="str">
            <v>ccc</v>
          </cell>
          <cell r="P219">
            <v>55148.800000000003</v>
          </cell>
          <cell r="Q219">
            <v>1</v>
          </cell>
          <cell r="R219">
            <v>3970713.6000000001</v>
          </cell>
          <cell r="T219">
            <v>0.3</v>
          </cell>
          <cell r="U219">
            <v>0.4</v>
          </cell>
          <cell r="V219">
            <v>0.3</v>
          </cell>
          <cell r="Y219">
            <v>0</v>
          </cell>
          <cell r="Z219">
            <v>0</v>
          </cell>
          <cell r="AA219">
            <v>1191214.0800000001</v>
          </cell>
          <cell r="AB219">
            <v>1588285.4400000002</v>
          </cell>
          <cell r="AC219">
            <v>1191214.0800000001</v>
          </cell>
          <cell r="AD219">
            <v>0</v>
          </cell>
          <cell r="AE219">
            <v>0</v>
          </cell>
          <cell r="AF219">
            <v>3970713.6000000006</v>
          </cell>
        </row>
        <row r="220">
          <cell r="B220" t="str">
            <v>SNIES</v>
          </cell>
          <cell r="C220" t="str">
            <v>A</v>
          </cell>
          <cell r="D220" t="str">
            <v>21A</v>
          </cell>
          <cell r="E220" t="str">
            <v>ES/</v>
          </cell>
          <cell r="F220" t="str">
            <v>FC/CN</v>
          </cell>
          <cell r="G220">
            <v>22</v>
          </cell>
          <cell r="H220" t="str">
            <v>Travaux de construction classes collèges PME</v>
          </cell>
          <cell r="I220" t="str">
            <v>SNIES</v>
          </cell>
          <cell r="K220" t="str">
            <v>FC/PSE</v>
          </cell>
          <cell r="L220" t="str">
            <v>AON</v>
          </cell>
          <cell r="M220">
            <v>271</v>
          </cell>
          <cell r="N220" t="str">
            <v>cl</v>
          </cell>
          <cell r="O220" t="str">
            <v>ccc</v>
          </cell>
          <cell r="P220">
            <v>55148.800000000003</v>
          </cell>
          <cell r="Q220">
            <v>1</v>
          </cell>
          <cell r="R220">
            <v>14945324.800000001</v>
          </cell>
          <cell r="U220">
            <v>0.2</v>
          </cell>
          <cell r="V220">
            <v>0.3</v>
          </cell>
          <cell r="W220">
            <v>0.3</v>
          </cell>
          <cell r="X220">
            <v>0.2</v>
          </cell>
          <cell r="Y220">
            <v>0</v>
          </cell>
          <cell r="Z220">
            <v>0</v>
          </cell>
          <cell r="AA220">
            <v>0</v>
          </cell>
          <cell r="AB220">
            <v>2989064.9600000004</v>
          </cell>
          <cell r="AC220">
            <v>4483597.4400000004</v>
          </cell>
          <cell r="AD220">
            <v>4483597.4400000004</v>
          </cell>
          <cell r="AE220">
            <v>2989064.9600000004</v>
          </cell>
          <cell r="AF220">
            <v>14945324.800000001</v>
          </cell>
        </row>
        <row r="221">
          <cell r="B221" t="str">
            <v>SNIES</v>
          </cell>
          <cell r="C221" t="str">
            <v>A</v>
          </cell>
          <cell r="D221" t="str">
            <v>21A</v>
          </cell>
          <cell r="E221" t="str">
            <v>ES/</v>
          </cell>
          <cell r="F221" t="str">
            <v>FC/CN</v>
          </cell>
          <cell r="G221">
            <v>22</v>
          </cell>
          <cell r="H221" t="str">
            <v>Travaux de réhabilitation classes collèges</v>
          </cell>
          <cell r="I221" t="str">
            <v>SNIES</v>
          </cell>
          <cell r="K221" t="str">
            <v>FC/PSE</v>
          </cell>
          <cell r="L221" t="str">
            <v>AON</v>
          </cell>
          <cell r="M221">
            <v>183</v>
          </cell>
          <cell r="N221" t="str">
            <v>cl</v>
          </cell>
          <cell r="O221" t="str">
            <v>rcc</v>
          </cell>
          <cell r="P221">
            <v>33089.280000000006</v>
          </cell>
          <cell r="Q221">
            <v>1</v>
          </cell>
          <cell r="R221">
            <v>6055338.2400000012</v>
          </cell>
          <cell r="U221">
            <v>0.2</v>
          </cell>
          <cell r="V221">
            <v>0.3</v>
          </cell>
          <cell r="W221">
            <v>0.3</v>
          </cell>
          <cell r="X221">
            <v>0.2</v>
          </cell>
          <cell r="Y221">
            <v>0</v>
          </cell>
          <cell r="Z221">
            <v>0</v>
          </cell>
          <cell r="AA221">
            <v>0</v>
          </cell>
          <cell r="AB221">
            <v>1211067.6480000003</v>
          </cell>
          <cell r="AC221">
            <v>1816601.4720000003</v>
          </cell>
          <cell r="AD221">
            <v>1816601.4720000003</v>
          </cell>
          <cell r="AE221">
            <v>1211067.6480000003</v>
          </cell>
          <cell r="AF221">
            <v>6055338.2400000012</v>
          </cell>
        </row>
        <row r="222">
          <cell r="B222" t="str">
            <v>SNIES</v>
          </cell>
          <cell r="C222" t="str">
            <v>A</v>
          </cell>
          <cell r="D222" t="str">
            <v>21A</v>
          </cell>
          <cell r="E222" t="str">
            <v>ES/</v>
          </cell>
          <cell r="F222" t="str">
            <v>FC/CN</v>
          </cell>
          <cell r="G222">
            <v>23</v>
          </cell>
          <cell r="H222" t="str">
            <v>Mobilier équipement classes collèges</v>
          </cell>
          <cell r="I222" t="str">
            <v>SNIES</v>
          </cell>
          <cell r="K222" t="str">
            <v>FC/PSE</v>
          </cell>
          <cell r="L222" t="str">
            <v>AOI</v>
          </cell>
          <cell r="M222">
            <v>72</v>
          </cell>
          <cell r="N222" t="str">
            <v>lot</v>
          </cell>
          <cell r="O222" t="str">
            <v>mcc</v>
          </cell>
          <cell r="P222">
            <v>8961.68</v>
          </cell>
          <cell r="Q222">
            <v>1</v>
          </cell>
          <cell r="R222">
            <v>645240.96</v>
          </cell>
          <cell r="V222">
            <v>1</v>
          </cell>
          <cell r="Y222">
            <v>0</v>
          </cell>
          <cell r="Z222">
            <v>0</v>
          </cell>
          <cell r="AA222">
            <v>0</v>
          </cell>
          <cell r="AB222">
            <v>0</v>
          </cell>
          <cell r="AC222">
            <v>645240.96</v>
          </cell>
          <cell r="AD222">
            <v>0</v>
          </cell>
          <cell r="AE222">
            <v>0</v>
          </cell>
          <cell r="AF222">
            <v>645240.96</v>
          </cell>
        </row>
        <row r="223">
          <cell r="B223" t="str">
            <v>SNIES</v>
          </cell>
          <cell r="C223" t="str">
            <v>A</v>
          </cell>
          <cell r="D223" t="str">
            <v>21A</v>
          </cell>
          <cell r="E223" t="str">
            <v>ES/</v>
          </cell>
          <cell r="F223" t="str">
            <v>FC/CN</v>
          </cell>
          <cell r="G223">
            <v>23</v>
          </cell>
          <cell r="H223" t="str">
            <v>Mobilier équipement classes collèges</v>
          </cell>
          <cell r="I223" t="str">
            <v>SNIES</v>
          </cell>
          <cell r="K223" t="str">
            <v>FC/PSE</v>
          </cell>
          <cell r="L223" t="str">
            <v>AOI</v>
          </cell>
          <cell r="M223">
            <v>454</v>
          </cell>
          <cell r="N223" t="str">
            <v>lot</v>
          </cell>
          <cell r="O223" t="str">
            <v>mcc</v>
          </cell>
          <cell r="P223">
            <v>8961.68</v>
          </cell>
          <cell r="Q223">
            <v>1</v>
          </cell>
          <cell r="R223">
            <v>4068602.72</v>
          </cell>
          <cell r="X223">
            <v>1</v>
          </cell>
          <cell r="Y223">
            <v>0</v>
          </cell>
          <cell r="Z223">
            <v>0</v>
          </cell>
          <cell r="AA223">
            <v>0</v>
          </cell>
          <cell r="AB223">
            <v>0</v>
          </cell>
          <cell r="AC223">
            <v>0</v>
          </cell>
          <cell r="AD223">
            <v>0</v>
          </cell>
          <cell r="AE223">
            <v>4068602.72</v>
          </cell>
          <cell r="AF223">
            <v>4068602.72</v>
          </cell>
        </row>
        <row r="224">
          <cell r="B224" t="str">
            <v>SNIES</v>
          </cell>
          <cell r="C224" t="str">
            <v>A</v>
          </cell>
          <cell r="D224" t="str">
            <v>21A</v>
          </cell>
          <cell r="E224" t="str">
            <v>ES/</v>
          </cell>
          <cell r="F224" t="str">
            <v>FC/CN</v>
          </cell>
          <cell r="G224">
            <v>23</v>
          </cell>
          <cell r="H224" t="str">
            <v>Mobilier équipement classes 7 collèges urbains Conakry</v>
          </cell>
          <cell r="I224" t="str">
            <v>SNIES</v>
          </cell>
          <cell r="K224" t="str">
            <v>FC/PSE</v>
          </cell>
          <cell r="L224" t="str">
            <v>AOI</v>
          </cell>
          <cell r="M224">
            <v>7</v>
          </cell>
          <cell r="N224" t="str">
            <v>lot</v>
          </cell>
          <cell r="O224" t="str">
            <v>forfait</v>
          </cell>
          <cell r="P224">
            <v>393920.00000000006</v>
          </cell>
          <cell r="Q224">
            <v>1</v>
          </cell>
          <cell r="R224">
            <v>2757440.0000000005</v>
          </cell>
          <cell r="T224">
            <v>1</v>
          </cell>
          <cell r="Y224">
            <v>0</v>
          </cell>
          <cell r="Z224">
            <v>0</v>
          </cell>
          <cell r="AA224">
            <v>2757440.0000000005</v>
          </cell>
          <cell r="AB224">
            <v>0</v>
          </cell>
          <cell r="AC224">
            <v>0</v>
          </cell>
          <cell r="AD224">
            <v>0</v>
          </cell>
          <cell r="AE224">
            <v>0</v>
          </cell>
          <cell r="AF224">
            <v>2757440.0000000005</v>
          </cell>
        </row>
        <row r="225">
          <cell r="H225" t="str">
            <v xml:space="preserve">Formation au certificat en enseignement  secondaire maîtrise +9m </v>
          </cell>
          <cell r="R225">
            <v>1292092</v>
          </cell>
          <cell r="Z225">
            <v>545802</v>
          </cell>
          <cell r="AA225">
            <v>524710</v>
          </cell>
          <cell r="AB225">
            <v>110790.00000000001</v>
          </cell>
          <cell r="AC225">
            <v>110790.00000000001</v>
          </cell>
          <cell r="AD225">
            <v>0</v>
          </cell>
          <cell r="AE225">
            <v>0</v>
          </cell>
          <cell r="AF225">
            <v>1292092</v>
          </cell>
        </row>
        <row r="226">
          <cell r="B226" t="str">
            <v>ISSEG</v>
          </cell>
          <cell r="C226" t="str">
            <v>Q</v>
          </cell>
          <cell r="D226" t="str">
            <v>21B</v>
          </cell>
          <cell r="E226" t="str">
            <v>ISSEG</v>
          </cell>
          <cell r="F226" t="str">
            <v>FC/CN</v>
          </cell>
          <cell r="G226">
            <v>12</v>
          </cell>
          <cell r="H226" t="str">
            <v>Campagne d'information à destination des maîtrisards</v>
          </cell>
          <cell r="I226" t="str">
            <v>ISSEG</v>
          </cell>
          <cell r="K226" t="str">
            <v>FC/PSE</v>
          </cell>
          <cell r="L226" t="str">
            <v>AUT</v>
          </cell>
          <cell r="M226">
            <v>1</v>
          </cell>
          <cell r="N226" t="str">
            <v>forfait</v>
          </cell>
          <cell r="P226">
            <v>20000</v>
          </cell>
          <cell r="Q226">
            <v>1</v>
          </cell>
          <cell r="R226">
            <v>20000</v>
          </cell>
          <cell r="T226">
            <v>1</v>
          </cell>
          <cell r="Y226">
            <v>0</v>
          </cell>
          <cell r="Z226">
            <v>0</v>
          </cell>
          <cell r="AA226">
            <v>20000</v>
          </cell>
          <cell r="AB226">
            <v>0</v>
          </cell>
          <cell r="AC226">
            <v>0</v>
          </cell>
          <cell r="AD226">
            <v>0</v>
          </cell>
          <cell r="AE226">
            <v>0</v>
          </cell>
          <cell r="AF226">
            <v>20000</v>
          </cell>
        </row>
        <row r="227">
          <cell r="B227" t="str">
            <v>ISSEG</v>
          </cell>
          <cell r="C227" t="str">
            <v>Q</v>
          </cell>
          <cell r="D227" t="str">
            <v>21B</v>
          </cell>
          <cell r="E227" t="str">
            <v>ISSEG</v>
          </cell>
          <cell r="F227" t="str">
            <v>FC/CN</v>
          </cell>
          <cell r="G227">
            <v>12</v>
          </cell>
          <cell r="H227" t="str">
            <v>Elaboration modules (extraction de l'existant) de formation 30 mod x 2p x 15j</v>
          </cell>
          <cell r="I227" t="str">
            <v>ISSEG</v>
          </cell>
          <cell r="K227" t="str">
            <v>FC/PSE</v>
          </cell>
          <cell r="L227" t="str">
            <v>AUT</v>
          </cell>
          <cell r="M227">
            <v>900</v>
          </cell>
          <cell r="N227" t="str">
            <v>pxj</v>
          </cell>
          <cell r="O227" t="str">
            <v>asr</v>
          </cell>
          <cell r="P227">
            <v>123.10000000000001</v>
          </cell>
          <cell r="Q227">
            <v>1</v>
          </cell>
          <cell r="R227">
            <v>110790.00000000001</v>
          </cell>
          <cell r="S227">
            <v>1</v>
          </cell>
          <cell r="Y227">
            <v>0</v>
          </cell>
          <cell r="Z227">
            <v>110790.00000000001</v>
          </cell>
          <cell r="AA227">
            <v>0</v>
          </cell>
          <cell r="AB227">
            <v>0</v>
          </cell>
          <cell r="AC227">
            <v>0</v>
          </cell>
          <cell r="AD227">
            <v>0</v>
          </cell>
          <cell r="AE227">
            <v>0</v>
          </cell>
          <cell r="AF227">
            <v>110790.00000000001</v>
          </cell>
        </row>
        <row r="228">
          <cell r="B228" t="str">
            <v>ISSEG</v>
          </cell>
          <cell r="C228" t="str">
            <v>Q</v>
          </cell>
          <cell r="D228" t="str">
            <v>21B</v>
          </cell>
          <cell r="E228" t="str">
            <v>ISSEG</v>
          </cell>
          <cell r="F228" t="str">
            <v>FC/CN</v>
          </cell>
          <cell r="G228">
            <v>12</v>
          </cell>
          <cell r="H228" t="str">
            <v>Mise en cohérence et validation interne des modules 60p x3 jours</v>
          </cell>
          <cell r="I228" t="str">
            <v>ISSEG</v>
          </cell>
          <cell r="K228" t="str">
            <v>FC/PSE</v>
          </cell>
          <cell r="L228" t="str">
            <v>AUT</v>
          </cell>
          <cell r="M228">
            <v>180</v>
          </cell>
          <cell r="N228" t="str">
            <v>pxj</v>
          </cell>
          <cell r="O228" t="str">
            <v>asr</v>
          </cell>
          <cell r="P228">
            <v>123.10000000000001</v>
          </cell>
          <cell r="Q228">
            <v>1</v>
          </cell>
          <cell r="R228">
            <v>22158</v>
          </cell>
          <cell r="S228">
            <v>1</v>
          </cell>
          <cell r="Y228">
            <v>0</v>
          </cell>
          <cell r="Z228">
            <v>22158</v>
          </cell>
          <cell r="AA228">
            <v>0</v>
          </cell>
          <cell r="AB228">
            <v>0</v>
          </cell>
          <cell r="AC228">
            <v>0</v>
          </cell>
          <cell r="AD228">
            <v>0</v>
          </cell>
          <cell r="AE228">
            <v>0</v>
          </cell>
          <cell r="AF228">
            <v>22158</v>
          </cell>
        </row>
        <row r="229">
          <cell r="B229" t="str">
            <v>ISSEG</v>
          </cell>
          <cell r="C229" t="str">
            <v>Q</v>
          </cell>
          <cell r="D229" t="str">
            <v>21B</v>
          </cell>
          <cell r="E229" t="str">
            <v>ISSEG</v>
          </cell>
          <cell r="F229" t="str">
            <v>FC/CN</v>
          </cell>
          <cell r="G229">
            <v>12</v>
          </cell>
          <cell r="H229" t="str">
            <v>Reproduction des modules 13 mod x 40 pages x nbre stagiaire</v>
          </cell>
          <cell r="I229" t="str">
            <v>ISSEG</v>
          </cell>
          <cell r="K229" t="str">
            <v>FC/PSE</v>
          </cell>
          <cell r="L229" t="str">
            <v>COT</v>
          </cell>
          <cell r="M229">
            <v>416000</v>
          </cell>
          <cell r="N229" t="str">
            <v>page</v>
          </cell>
          <cell r="O229" t="str">
            <v>rep</v>
          </cell>
          <cell r="P229">
            <v>0.30000000000000004</v>
          </cell>
          <cell r="Q229">
            <v>1</v>
          </cell>
          <cell r="R229">
            <v>124800.00000000001</v>
          </cell>
          <cell r="S229">
            <v>1</v>
          </cell>
          <cell r="Y229">
            <v>0</v>
          </cell>
          <cell r="Z229">
            <v>124800.00000000001</v>
          </cell>
          <cell r="AA229">
            <v>0</v>
          </cell>
          <cell r="AB229">
            <v>0</v>
          </cell>
          <cell r="AC229">
            <v>0</v>
          </cell>
          <cell r="AD229">
            <v>0</v>
          </cell>
          <cell r="AE229">
            <v>0</v>
          </cell>
          <cell r="AF229">
            <v>124800.00000000001</v>
          </cell>
        </row>
        <row r="230">
          <cell r="B230" t="str">
            <v>ISSEG</v>
          </cell>
          <cell r="C230" t="str">
            <v>Q</v>
          </cell>
          <cell r="D230" t="str">
            <v>21B</v>
          </cell>
          <cell r="E230" t="str">
            <v>ISSEG</v>
          </cell>
          <cell r="F230" t="str">
            <v>FC/CN</v>
          </cell>
          <cell r="G230">
            <v>12</v>
          </cell>
          <cell r="H230" t="str">
            <v>Mallettes d'ouvrages pédagogiques pour les stagiaires (env 10 titres)</v>
          </cell>
          <cell r="I230" t="str">
            <v>ISSEG</v>
          </cell>
          <cell r="K230" t="str">
            <v>FC/PSE</v>
          </cell>
          <cell r="L230" t="str">
            <v>AOI</v>
          </cell>
          <cell r="M230">
            <v>800</v>
          </cell>
          <cell r="N230" t="str">
            <v>mallette</v>
          </cell>
          <cell r="O230" t="str">
            <v>forfait</v>
          </cell>
          <cell r="P230">
            <v>492.40000000000003</v>
          </cell>
          <cell r="Q230">
            <v>1</v>
          </cell>
          <cell r="R230">
            <v>393920</v>
          </cell>
          <cell r="T230">
            <v>1</v>
          </cell>
          <cell r="Y230">
            <v>0</v>
          </cell>
          <cell r="Z230">
            <v>0</v>
          </cell>
          <cell r="AA230">
            <v>393920</v>
          </cell>
          <cell r="AB230">
            <v>0</v>
          </cell>
          <cell r="AC230">
            <v>0</v>
          </cell>
          <cell r="AD230">
            <v>0</v>
          </cell>
          <cell r="AE230">
            <v>0</v>
          </cell>
          <cell r="AF230">
            <v>393920</v>
          </cell>
        </row>
        <row r="231">
          <cell r="B231" t="str">
            <v>ISSEG</v>
          </cell>
          <cell r="C231" t="str">
            <v>Q</v>
          </cell>
          <cell r="D231" t="str">
            <v>21B</v>
          </cell>
          <cell r="E231" t="str">
            <v>ISSEG</v>
          </cell>
          <cell r="F231" t="str">
            <v>FC/CN</v>
          </cell>
          <cell r="G231">
            <v>12</v>
          </cell>
          <cell r="H231" t="str">
            <v>Formation principaux et prof collèges associés (100princ + 500 prof) x 2 j (8stag/coll)</v>
          </cell>
          <cell r="I231" t="str">
            <v>ISSEG</v>
          </cell>
          <cell r="K231" t="str">
            <v>FC/PSE</v>
          </cell>
          <cell r="L231" t="str">
            <v>AUT</v>
          </cell>
          <cell r="M231">
            <v>1200</v>
          </cell>
          <cell r="N231" t="str">
            <v>pxj</v>
          </cell>
          <cell r="O231" t="str">
            <v>asn</v>
          </cell>
          <cell r="P231">
            <v>147.72</v>
          </cell>
          <cell r="Q231">
            <v>1</v>
          </cell>
          <cell r="R231">
            <v>177264</v>
          </cell>
          <cell r="S231">
            <v>1</v>
          </cell>
          <cell r="Y231">
            <v>0</v>
          </cell>
          <cell r="Z231">
            <v>177264</v>
          </cell>
          <cell r="AA231">
            <v>0</v>
          </cell>
          <cell r="AB231">
            <v>0</v>
          </cell>
          <cell r="AC231">
            <v>0</v>
          </cell>
          <cell r="AD231">
            <v>0</v>
          </cell>
          <cell r="AE231">
            <v>0</v>
          </cell>
          <cell r="AF231">
            <v>177264</v>
          </cell>
        </row>
        <row r="232">
          <cell r="B232" t="str">
            <v>ISSEG</v>
          </cell>
          <cell r="C232" t="str">
            <v>Q</v>
          </cell>
          <cell r="D232" t="str">
            <v>21B</v>
          </cell>
          <cell r="E232" t="str">
            <v>ISSEG</v>
          </cell>
          <cell r="F232" t="str">
            <v>FC/CN</v>
          </cell>
          <cell r="G232">
            <v>12</v>
          </cell>
          <cell r="H232" t="str">
            <v>Suivi stagiaires par APES 1visite x 1/2 j par mois x stagiaire</v>
          </cell>
          <cell r="I232" t="str">
            <v>ISSEG</v>
          </cell>
          <cell r="K232" t="str">
            <v>FC/PSE</v>
          </cell>
          <cell r="L232" t="str">
            <v>AUT</v>
          </cell>
          <cell r="M232">
            <v>3600</v>
          </cell>
          <cell r="N232" t="str">
            <v>pxj</v>
          </cell>
          <cell r="O232" t="str">
            <v>asr</v>
          </cell>
          <cell r="P232">
            <v>123.10000000000001</v>
          </cell>
          <cell r="Q232">
            <v>1</v>
          </cell>
          <cell r="R232">
            <v>443160.00000000006</v>
          </cell>
          <cell r="S232">
            <v>0.25</v>
          </cell>
          <cell r="T232">
            <v>0.25</v>
          </cell>
          <cell r="U232">
            <v>0.25</v>
          </cell>
          <cell r="V232">
            <v>0.25</v>
          </cell>
          <cell r="Y232">
            <v>0</v>
          </cell>
          <cell r="Z232">
            <v>110790.00000000001</v>
          </cell>
          <cell r="AA232">
            <v>110790.00000000001</v>
          </cell>
          <cell r="AB232">
            <v>110790.00000000001</v>
          </cell>
          <cell r="AC232">
            <v>110790.00000000001</v>
          </cell>
          <cell r="AD232">
            <v>0</v>
          </cell>
          <cell r="AE232">
            <v>0</v>
          </cell>
          <cell r="AF232">
            <v>443160.00000000006</v>
          </cell>
        </row>
        <row r="233">
          <cell r="H233" t="str">
            <v>Formation à l'ISSEG de formateurs professeurs de collège</v>
          </cell>
          <cell r="R233">
            <v>247416</v>
          </cell>
          <cell r="Z233">
            <v>104632</v>
          </cell>
          <cell r="AA233">
            <v>94784</v>
          </cell>
          <cell r="AB233">
            <v>16000</v>
          </cell>
          <cell r="AC233">
            <v>16000</v>
          </cell>
          <cell r="AD233">
            <v>16000</v>
          </cell>
          <cell r="AE233">
            <v>0</v>
          </cell>
          <cell r="AF233">
            <v>247416</v>
          </cell>
        </row>
        <row r="234">
          <cell r="B234" t="str">
            <v>ISSEG</v>
          </cell>
          <cell r="C234" t="str">
            <v>Q</v>
          </cell>
          <cell r="D234" t="str">
            <v>21C</v>
          </cell>
          <cell r="E234" t="str">
            <v>ISSEG</v>
          </cell>
          <cell r="F234" t="str">
            <v>FC/CN</v>
          </cell>
          <cell r="G234">
            <v>12</v>
          </cell>
          <cell r="H234" t="str">
            <v>Spécialiste en formation des formateurs de professeurs de collège</v>
          </cell>
          <cell r="I234" t="str">
            <v>ISSEG</v>
          </cell>
          <cell r="K234" t="str">
            <v>FC/PSE</v>
          </cell>
          <cell r="L234" t="str">
            <v>CR</v>
          </cell>
          <cell r="M234">
            <v>1</v>
          </cell>
          <cell r="N234" t="str">
            <v>pxm</v>
          </cell>
          <cell r="O234" t="str">
            <v>cic</v>
          </cell>
          <cell r="P234">
            <v>88632</v>
          </cell>
          <cell r="Q234">
            <v>1</v>
          </cell>
          <cell r="R234">
            <v>88632</v>
          </cell>
          <cell r="S234">
            <v>1</v>
          </cell>
          <cell r="Y234">
            <v>0</v>
          </cell>
          <cell r="Z234">
            <v>88632</v>
          </cell>
          <cell r="AA234">
            <v>0</v>
          </cell>
          <cell r="AB234">
            <v>0</v>
          </cell>
          <cell r="AC234">
            <v>0</v>
          </cell>
          <cell r="AD234">
            <v>0</v>
          </cell>
          <cell r="AE234">
            <v>0</v>
          </cell>
          <cell r="AF234">
            <v>88632</v>
          </cell>
        </row>
        <row r="235">
          <cell r="B235" t="str">
            <v>ISSEG</v>
          </cell>
          <cell r="C235" t="str">
            <v>Q</v>
          </cell>
          <cell r="D235" t="str">
            <v>21C</v>
          </cell>
          <cell r="E235" t="str">
            <v>ISSEG</v>
          </cell>
          <cell r="F235" t="str">
            <v>FC/CN</v>
          </cell>
          <cell r="G235">
            <v>12</v>
          </cell>
          <cell r="H235" t="str">
            <v>Formation initiale en 90 crédits (15cours) 45 semaines = 5trim</v>
          </cell>
          <cell r="I235" t="str">
            <v>ISSEG</v>
          </cell>
          <cell r="K235" t="str">
            <v>FC/PSE</v>
          </cell>
          <cell r="L235" t="str">
            <v>AUT</v>
          </cell>
          <cell r="M235">
            <v>80</v>
          </cell>
          <cell r="N235" t="str">
            <v>p</v>
          </cell>
          <cell r="O235" t="str">
            <v>forfait</v>
          </cell>
          <cell r="P235">
            <v>1000</v>
          </cell>
          <cell r="Q235">
            <v>1</v>
          </cell>
          <cell r="R235">
            <v>80000</v>
          </cell>
          <cell r="S235">
            <v>0.2</v>
          </cell>
          <cell r="T235">
            <v>0.2</v>
          </cell>
          <cell r="U235">
            <v>0.2</v>
          </cell>
          <cell r="V235">
            <v>0.2</v>
          </cell>
          <cell r="W235">
            <v>0.2</v>
          </cell>
          <cell r="Y235">
            <v>0</v>
          </cell>
          <cell r="Z235">
            <v>16000</v>
          </cell>
          <cell r="AA235">
            <v>16000</v>
          </cell>
          <cell r="AB235">
            <v>16000</v>
          </cell>
          <cell r="AC235">
            <v>16000</v>
          </cell>
          <cell r="AD235">
            <v>16000</v>
          </cell>
          <cell r="AE235">
            <v>0</v>
          </cell>
          <cell r="AF235">
            <v>80000</v>
          </cell>
        </row>
        <row r="236">
          <cell r="B236" t="str">
            <v>ISSEG</v>
          </cell>
          <cell r="C236" t="str">
            <v>Q</v>
          </cell>
          <cell r="D236" t="str">
            <v>21C</v>
          </cell>
          <cell r="E236" t="str">
            <v>ISSEG</v>
          </cell>
          <cell r="F236" t="str">
            <v>FC/CN</v>
          </cell>
          <cell r="G236">
            <v>24</v>
          </cell>
          <cell r="H236" t="str">
            <v>Mallettes d'ouvrages pédagogiques pour les APES (env 20 titres)</v>
          </cell>
          <cell r="I236" t="str">
            <v>ISSEG</v>
          </cell>
          <cell r="K236" t="str">
            <v>FC/PSE</v>
          </cell>
          <cell r="L236" t="str">
            <v>AOI</v>
          </cell>
          <cell r="M236">
            <v>80</v>
          </cell>
          <cell r="N236" t="str">
            <v>mallette</v>
          </cell>
          <cell r="O236" t="str">
            <v>forfait</v>
          </cell>
          <cell r="P236">
            <v>984.80000000000007</v>
          </cell>
          <cell r="Q236">
            <v>1</v>
          </cell>
          <cell r="R236">
            <v>78784</v>
          </cell>
          <cell r="T236">
            <v>1</v>
          </cell>
          <cell r="Y236">
            <v>0</v>
          </cell>
          <cell r="Z236">
            <v>0</v>
          </cell>
          <cell r="AA236">
            <v>78784</v>
          </cell>
          <cell r="AB236">
            <v>0</v>
          </cell>
          <cell r="AC236">
            <v>0</v>
          </cell>
          <cell r="AD236">
            <v>0</v>
          </cell>
          <cell r="AE236">
            <v>0</v>
          </cell>
          <cell r="AF236">
            <v>78784</v>
          </cell>
        </row>
        <row r="237">
          <cell r="H237" t="str">
            <v>Formation continue des enseignants</v>
          </cell>
          <cell r="R237">
            <v>1523997.21</v>
          </cell>
          <cell r="Z237">
            <v>675386.05249999999</v>
          </cell>
          <cell r="AA237">
            <v>278767.05249999999</v>
          </cell>
          <cell r="AB237">
            <v>278767.05249999999</v>
          </cell>
          <cell r="AC237">
            <v>291077.05249999999</v>
          </cell>
          <cell r="AD237">
            <v>0</v>
          </cell>
          <cell r="AE237">
            <v>0</v>
          </cell>
          <cell r="AF237">
            <v>1523997.21</v>
          </cell>
        </row>
        <row r="238">
          <cell r="H238" t="str">
            <v>Identification des besoins de formation</v>
          </cell>
        </row>
        <row r="239">
          <cell r="B239" t="str">
            <v>DNES</v>
          </cell>
          <cell r="C239" t="str">
            <v>Q</v>
          </cell>
          <cell r="D239" t="str">
            <v>21D</v>
          </cell>
          <cell r="E239" t="str">
            <v>IRE/</v>
          </cell>
          <cell r="F239" t="str">
            <v>FC/</v>
          </cell>
          <cell r="G239">
            <v>12</v>
          </cell>
          <cell r="H239" t="str">
            <v>Ateliers régionaux préparatoires des plans triennaux de formation continue 1j</v>
          </cell>
          <cell r="I239" t="str">
            <v>DNES</v>
          </cell>
          <cell r="K239" t="str">
            <v>FC/PSE</v>
          </cell>
          <cell r="L239" t="str">
            <v>AUT</v>
          </cell>
          <cell r="M239">
            <v>200</v>
          </cell>
          <cell r="N239" t="str">
            <v>pxj</v>
          </cell>
          <cell r="O239" t="str">
            <v>asr</v>
          </cell>
          <cell r="P239">
            <v>123.10000000000001</v>
          </cell>
          <cell r="Q239">
            <v>1</v>
          </cell>
          <cell r="R239">
            <v>24620</v>
          </cell>
          <cell r="S239">
            <v>1</v>
          </cell>
          <cell r="Y239">
            <v>0</v>
          </cell>
          <cell r="Z239">
            <v>24620</v>
          </cell>
          <cell r="AA239">
            <v>0</v>
          </cell>
          <cell r="AB239">
            <v>0</v>
          </cell>
          <cell r="AC239">
            <v>0</v>
          </cell>
          <cell r="AD239">
            <v>0</v>
          </cell>
          <cell r="AE239">
            <v>0</v>
          </cell>
          <cell r="AF239">
            <v>24620</v>
          </cell>
        </row>
        <row r="240">
          <cell r="B240" t="str">
            <v>DNES</v>
          </cell>
          <cell r="C240" t="str">
            <v>Q</v>
          </cell>
          <cell r="D240" t="str">
            <v>21D</v>
          </cell>
          <cell r="E240" t="str">
            <v>IRE/</v>
          </cell>
          <cell r="F240" t="str">
            <v>FC/</v>
          </cell>
          <cell r="G240">
            <v>12</v>
          </cell>
          <cell r="H240" t="str">
            <v>Reproduction des fiches d'observation des enseignants</v>
          </cell>
          <cell r="I240" t="str">
            <v>DNES</v>
          </cell>
          <cell r="K240" t="str">
            <v>FC/PSE</v>
          </cell>
          <cell r="L240" t="str">
            <v>COT</v>
          </cell>
          <cell r="M240">
            <v>11000</v>
          </cell>
          <cell r="N240" t="str">
            <v>fiches</v>
          </cell>
          <cell r="O240" t="str">
            <v>rep</v>
          </cell>
          <cell r="P240">
            <v>0.30000000000000004</v>
          </cell>
          <cell r="Q240">
            <v>1</v>
          </cell>
          <cell r="R240">
            <v>3300.0000000000005</v>
          </cell>
          <cell r="S240">
            <v>1</v>
          </cell>
          <cell r="Y240">
            <v>0</v>
          </cell>
          <cell r="Z240">
            <v>3300.0000000000005</v>
          </cell>
          <cell r="AA240">
            <v>0</v>
          </cell>
          <cell r="AB240">
            <v>0</v>
          </cell>
          <cell r="AC240">
            <v>0</v>
          </cell>
          <cell r="AD240">
            <v>0</v>
          </cell>
          <cell r="AE240">
            <v>0</v>
          </cell>
          <cell r="AF240">
            <v>3300.0000000000005</v>
          </cell>
        </row>
        <row r="241">
          <cell r="B241" t="str">
            <v>DNES</v>
          </cell>
          <cell r="C241" t="str">
            <v>Q</v>
          </cell>
          <cell r="D241" t="str">
            <v>21D</v>
          </cell>
          <cell r="E241" t="str">
            <v>IRE/</v>
          </cell>
          <cell r="F241" t="str">
            <v>FC/</v>
          </cell>
          <cell r="G241">
            <v>12</v>
          </cell>
          <cell r="H241" t="str">
            <v>Evaluation des enseignants par les APES (forfait par évaluation par enseignant)</v>
          </cell>
          <cell r="I241" t="str">
            <v>DNES</v>
          </cell>
          <cell r="K241" t="str">
            <v>FC/PSE</v>
          </cell>
          <cell r="L241" t="str">
            <v>AUT</v>
          </cell>
          <cell r="M241">
            <v>10000</v>
          </cell>
          <cell r="N241" t="str">
            <v>forfait</v>
          </cell>
          <cell r="P241">
            <v>20</v>
          </cell>
          <cell r="Q241">
            <v>1</v>
          </cell>
          <cell r="R241">
            <v>200000</v>
          </cell>
          <cell r="S241">
            <v>1</v>
          </cell>
          <cell r="Y241">
            <v>0</v>
          </cell>
          <cell r="Z241">
            <v>200000</v>
          </cell>
          <cell r="AA241">
            <v>0</v>
          </cell>
          <cell r="AB241">
            <v>0</v>
          </cell>
          <cell r="AC241">
            <v>0</v>
          </cell>
          <cell r="AD241">
            <v>0</v>
          </cell>
          <cell r="AE241">
            <v>0</v>
          </cell>
          <cell r="AF241">
            <v>200000</v>
          </cell>
        </row>
        <row r="242">
          <cell r="B242" t="str">
            <v>DNES</v>
          </cell>
          <cell r="C242" t="str">
            <v>Q</v>
          </cell>
          <cell r="D242" t="str">
            <v>21D</v>
          </cell>
          <cell r="E242" t="str">
            <v>IRE/</v>
          </cell>
          <cell r="F242" t="str">
            <v>FC/</v>
          </cell>
          <cell r="G242">
            <v>12</v>
          </cell>
          <cell r="H242" t="str">
            <v>Elaboration plans régionaux triennaux form. continue (APES et CRFC 1j)</v>
          </cell>
          <cell r="I242" t="str">
            <v>DNES</v>
          </cell>
          <cell r="K242" t="str">
            <v>FC/PSE</v>
          </cell>
          <cell r="L242" t="str">
            <v>AUT</v>
          </cell>
          <cell r="M242">
            <v>200</v>
          </cell>
          <cell r="N242" t="str">
            <v>pxj</v>
          </cell>
          <cell r="O242" t="str">
            <v>asr</v>
          </cell>
          <cell r="P242">
            <v>123.10000000000001</v>
          </cell>
          <cell r="Q242">
            <v>1</v>
          </cell>
          <cell r="R242">
            <v>24620</v>
          </cell>
          <cell r="S242">
            <v>1</v>
          </cell>
          <cell r="Y242">
            <v>0</v>
          </cell>
          <cell r="Z242">
            <v>24620</v>
          </cell>
          <cell r="AA242">
            <v>0</v>
          </cell>
          <cell r="AB242">
            <v>0</v>
          </cell>
          <cell r="AC242">
            <v>0</v>
          </cell>
          <cell r="AD242">
            <v>0</v>
          </cell>
          <cell r="AE242">
            <v>0</v>
          </cell>
          <cell r="AF242">
            <v>24620</v>
          </cell>
        </row>
        <row r="243">
          <cell r="H243" t="str">
            <v>Formation enseignants : 35040 pxj, 30 apprenants et 2 formateurs/session</v>
          </cell>
        </row>
        <row r="244">
          <cell r="B244" t="str">
            <v>DNES</v>
          </cell>
          <cell r="C244" t="str">
            <v>Q</v>
          </cell>
          <cell r="D244" t="str">
            <v>21D</v>
          </cell>
          <cell r="E244" t="str">
            <v>IRE/</v>
          </cell>
          <cell r="F244" t="str">
            <v>FC/CN</v>
          </cell>
          <cell r="G244">
            <v>12</v>
          </cell>
          <cell r="H244" t="str">
            <v>Reproduction des modules de formation (35 040 pxj / 4j par module x 60 pages)</v>
          </cell>
          <cell r="I244" t="str">
            <v>DNES</v>
          </cell>
          <cell r="K244" t="str">
            <v>FC/PSE</v>
          </cell>
          <cell r="L244" t="str">
            <v>AUT</v>
          </cell>
          <cell r="M244">
            <v>239580.00000000003</v>
          </cell>
          <cell r="N244" t="str">
            <v>page</v>
          </cell>
          <cell r="O244" t="str">
            <v>rep</v>
          </cell>
          <cell r="P244">
            <v>0.30000000000000004</v>
          </cell>
          <cell r="Q244">
            <v>1</v>
          </cell>
          <cell r="R244">
            <v>71874.000000000015</v>
          </cell>
          <cell r="S244">
            <v>1</v>
          </cell>
          <cell r="Y244">
            <v>0</v>
          </cell>
          <cell r="Z244">
            <v>71874.000000000015</v>
          </cell>
          <cell r="AA244">
            <v>0</v>
          </cell>
          <cell r="AB244">
            <v>0</v>
          </cell>
          <cell r="AC244">
            <v>0</v>
          </cell>
          <cell r="AD244">
            <v>0</v>
          </cell>
          <cell r="AE244">
            <v>0</v>
          </cell>
          <cell r="AF244">
            <v>71874.000000000015</v>
          </cell>
        </row>
        <row r="245">
          <cell r="B245" t="str">
            <v>DNES</v>
          </cell>
          <cell r="C245" t="str">
            <v>Q</v>
          </cell>
          <cell r="D245" t="str">
            <v>21D</v>
          </cell>
          <cell r="E245" t="str">
            <v>IRE/</v>
          </cell>
          <cell r="F245" t="str">
            <v>FC/</v>
          </cell>
          <cell r="G245">
            <v>12</v>
          </cell>
          <cell r="H245" t="str">
            <v>Fournitures pour les sessions de formation (apprenants et formateurs)</v>
          </cell>
          <cell r="I245" t="str">
            <v>DNES</v>
          </cell>
          <cell r="K245" t="str">
            <v>FC/PSE</v>
          </cell>
          <cell r="L245" t="str">
            <v>AUT</v>
          </cell>
          <cell r="M245">
            <v>3993.0000000000005</v>
          </cell>
          <cell r="N245" t="str">
            <v>lot</v>
          </cell>
          <cell r="P245">
            <v>15</v>
          </cell>
          <cell r="Q245">
            <v>1</v>
          </cell>
          <cell r="R245">
            <v>59895.000000000007</v>
          </cell>
          <cell r="S245">
            <v>1</v>
          </cell>
          <cell r="Y245">
            <v>0</v>
          </cell>
          <cell r="Z245">
            <v>59895.000000000007</v>
          </cell>
          <cell r="AA245">
            <v>0</v>
          </cell>
          <cell r="AB245">
            <v>0</v>
          </cell>
          <cell r="AC245">
            <v>0</v>
          </cell>
          <cell r="AD245">
            <v>0</v>
          </cell>
          <cell r="AE245">
            <v>0</v>
          </cell>
          <cell r="AF245">
            <v>59895.000000000007</v>
          </cell>
        </row>
        <row r="246">
          <cell r="B246" t="str">
            <v>DNES</v>
          </cell>
          <cell r="C246" t="str">
            <v>Q</v>
          </cell>
          <cell r="D246" t="str">
            <v>21D</v>
          </cell>
          <cell r="E246" t="str">
            <v>IRE/</v>
          </cell>
          <cell r="F246" t="str">
            <v>FC/</v>
          </cell>
          <cell r="G246">
            <v>12</v>
          </cell>
          <cell r="H246" t="str">
            <v>Perdiems apprenants non résidents (25%)</v>
          </cell>
          <cell r="I246" t="str">
            <v>DNES</v>
          </cell>
          <cell r="K246" t="str">
            <v>FC/PSE</v>
          </cell>
          <cell r="L246" t="str">
            <v>AUT</v>
          </cell>
          <cell r="M246">
            <v>3630</v>
          </cell>
          <cell r="N246" t="str">
            <v>pxj</v>
          </cell>
          <cell r="O246" t="str">
            <v>asp</v>
          </cell>
          <cell r="P246">
            <v>98.48</v>
          </cell>
          <cell r="Q246">
            <v>1</v>
          </cell>
          <cell r="R246">
            <v>357482.4</v>
          </cell>
          <cell r="S246">
            <v>0.25</v>
          </cell>
          <cell r="T246">
            <v>0.25</v>
          </cell>
          <cell r="U246">
            <v>0.25</v>
          </cell>
          <cell r="V246">
            <v>0.25</v>
          </cell>
          <cell r="Y246">
            <v>0</v>
          </cell>
          <cell r="Z246">
            <v>89370.6</v>
          </cell>
          <cell r="AA246">
            <v>89370.6</v>
          </cell>
          <cell r="AB246">
            <v>89370.6</v>
          </cell>
          <cell r="AC246">
            <v>89370.6</v>
          </cell>
          <cell r="AD246">
            <v>0</v>
          </cell>
          <cell r="AE246">
            <v>0</v>
          </cell>
          <cell r="AF246">
            <v>357482.4</v>
          </cell>
        </row>
        <row r="247">
          <cell r="B247" t="str">
            <v>DNES</v>
          </cell>
          <cell r="C247" t="str">
            <v>Q</v>
          </cell>
          <cell r="D247" t="str">
            <v>21D</v>
          </cell>
          <cell r="E247" t="str">
            <v>IRE/</v>
          </cell>
          <cell r="F247" t="str">
            <v>FC/</v>
          </cell>
          <cell r="G247">
            <v>12</v>
          </cell>
          <cell r="H247" t="str">
            <v>Transport interurbain apprenants non résidents (25%) (aller-retour)</v>
          </cell>
          <cell r="I247" t="str">
            <v>DNES</v>
          </cell>
          <cell r="K247" t="str">
            <v>FC/PSE</v>
          </cell>
          <cell r="L247" t="str">
            <v>AUT</v>
          </cell>
          <cell r="M247">
            <v>907.5</v>
          </cell>
          <cell r="N247" t="str">
            <v>a/r</v>
          </cell>
          <cell r="P247">
            <v>30</v>
          </cell>
          <cell r="Q247">
            <v>1</v>
          </cell>
          <cell r="R247">
            <v>27225</v>
          </cell>
          <cell r="S247">
            <v>0.25</v>
          </cell>
          <cell r="T247">
            <v>0.25</v>
          </cell>
          <cell r="U247">
            <v>0.25</v>
          </cell>
          <cell r="V247">
            <v>0.25</v>
          </cell>
          <cell r="Y247">
            <v>0</v>
          </cell>
          <cell r="Z247">
            <v>6806.25</v>
          </cell>
          <cell r="AA247">
            <v>6806.25</v>
          </cell>
          <cell r="AB247">
            <v>6806.25</v>
          </cell>
          <cell r="AC247">
            <v>6806.25</v>
          </cell>
          <cell r="AD247">
            <v>0</v>
          </cell>
          <cell r="AE247">
            <v>0</v>
          </cell>
          <cell r="AF247">
            <v>27225</v>
          </cell>
        </row>
        <row r="248">
          <cell r="B248" t="str">
            <v>DNES</v>
          </cell>
          <cell r="C248" t="str">
            <v>Q</v>
          </cell>
          <cell r="D248" t="str">
            <v>21D</v>
          </cell>
          <cell r="E248" t="str">
            <v>IRE/</v>
          </cell>
          <cell r="F248" t="str">
            <v>FC/</v>
          </cell>
          <cell r="G248">
            <v>12</v>
          </cell>
          <cell r="H248" t="str">
            <v>Perdiems apprenants résidents (75%)</v>
          </cell>
          <cell r="I248" t="str">
            <v>DNES</v>
          </cell>
          <cell r="K248" t="str">
            <v>FC/PSE</v>
          </cell>
          <cell r="L248" t="str">
            <v>AUT</v>
          </cell>
          <cell r="M248">
            <v>2722.5</v>
          </cell>
          <cell r="N248" t="str">
            <v>pxj</v>
          </cell>
          <cell r="O248" t="str">
            <v>asp</v>
          </cell>
          <cell r="P248">
            <v>24.62</v>
          </cell>
          <cell r="Q248">
            <v>1</v>
          </cell>
          <cell r="R248">
            <v>67027.95</v>
          </cell>
          <cell r="S248">
            <v>0.25</v>
          </cell>
          <cell r="T248">
            <v>0.25</v>
          </cell>
          <cell r="U248">
            <v>0.25</v>
          </cell>
          <cell r="V248">
            <v>0.25</v>
          </cell>
          <cell r="Y248">
            <v>0</v>
          </cell>
          <cell r="Z248">
            <v>16756.987499999999</v>
          </cell>
          <cell r="AA248">
            <v>16756.987499999999</v>
          </cell>
          <cell r="AB248">
            <v>16756.987499999999</v>
          </cell>
          <cell r="AC248">
            <v>16756.987499999999</v>
          </cell>
          <cell r="AD248">
            <v>0</v>
          </cell>
          <cell r="AE248">
            <v>0</v>
          </cell>
          <cell r="AF248">
            <v>67027.95</v>
          </cell>
        </row>
        <row r="249">
          <cell r="B249" t="str">
            <v>DNES</v>
          </cell>
          <cell r="C249" t="str">
            <v>Q</v>
          </cell>
          <cell r="D249" t="str">
            <v>21D</v>
          </cell>
          <cell r="E249" t="str">
            <v>IRE/</v>
          </cell>
          <cell r="F249" t="str">
            <v>FC/</v>
          </cell>
          <cell r="G249">
            <v>12</v>
          </cell>
          <cell r="H249" t="str">
            <v>Transport urbain apprenants</v>
          </cell>
          <cell r="I249" t="str">
            <v>DNES</v>
          </cell>
          <cell r="K249" t="str">
            <v>FC/PSE</v>
          </cell>
          <cell r="L249" t="str">
            <v>AUT</v>
          </cell>
          <cell r="M249">
            <v>14520</v>
          </cell>
          <cell r="N249" t="str">
            <v>j</v>
          </cell>
          <cell r="P249">
            <v>20</v>
          </cell>
          <cell r="Q249">
            <v>1</v>
          </cell>
          <cell r="R249">
            <v>290400</v>
          </cell>
          <cell r="S249">
            <v>0.25</v>
          </cell>
          <cell r="T249">
            <v>0.25</v>
          </cell>
          <cell r="U249">
            <v>0.25</v>
          </cell>
          <cell r="V249">
            <v>0.25</v>
          </cell>
          <cell r="Y249">
            <v>0</v>
          </cell>
          <cell r="Z249">
            <v>72600</v>
          </cell>
          <cell r="AA249">
            <v>72600</v>
          </cell>
          <cell r="AB249">
            <v>72600</v>
          </cell>
          <cell r="AC249">
            <v>72600</v>
          </cell>
          <cell r="AD249">
            <v>0</v>
          </cell>
          <cell r="AE249">
            <v>0</v>
          </cell>
          <cell r="AF249">
            <v>290400</v>
          </cell>
        </row>
        <row r="250">
          <cell r="B250" t="str">
            <v>DNES</v>
          </cell>
          <cell r="C250" t="str">
            <v>Q</v>
          </cell>
          <cell r="D250" t="str">
            <v>21D</v>
          </cell>
          <cell r="E250" t="str">
            <v>IRE/</v>
          </cell>
          <cell r="F250" t="str">
            <v>FC/</v>
          </cell>
          <cell r="G250">
            <v>12</v>
          </cell>
          <cell r="H250" t="str">
            <v>Perdiem formateurs non résidents (50%)</v>
          </cell>
          <cell r="I250" t="str">
            <v>DNES</v>
          </cell>
          <cell r="K250" t="str">
            <v>FC/PSE</v>
          </cell>
          <cell r="L250" t="str">
            <v>AUT</v>
          </cell>
          <cell r="M250">
            <v>484</v>
          </cell>
          <cell r="N250" t="str">
            <v>pxj</v>
          </cell>
          <cell r="O250" t="str">
            <v>asr</v>
          </cell>
          <cell r="P250">
            <v>123.10000000000001</v>
          </cell>
          <cell r="Q250">
            <v>1</v>
          </cell>
          <cell r="R250">
            <v>59580.4</v>
          </cell>
          <cell r="S250">
            <v>0.25</v>
          </cell>
          <cell r="T250">
            <v>0.25</v>
          </cell>
          <cell r="U250">
            <v>0.25</v>
          </cell>
          <cell r="V250">
            <v>0.25</v>
          </cell>
          <cell r="Y250">
            <v>0</v>
          </cell>
          <cell r="Z250">
            <v>14895.1</v>
          </cell>
          <cell r="AA250">
            <v>14895.1</v>
          </cell>
          <cell r="AB250">
            <v>14895.1</v>
          </cell>
          <cell r="AC250">
            <v>14895.1</v>
          </cell>
          <cell r="AD250">
            <v>0</v>
          </cell>
          <cell r="AE250">
            <v>0</v>
          </cell>
          <cell r="AF250">
            <v>59580.4</v>
          </cell>
        </row>
        <row r="251">
          <cell r="B251" t="str">
            <v>DNES</v>
          </cell>
          <cell r="C251" t="str">
            <v>Q</v>
          </cell>
          <cell r="D251" t="str">
            <v>21D</v>
          </cell>
          <cell r="E251" t="str">
            <v>IRE/</v>
          </cell>
          <cell r="F251" t="str">
            <v>FC/</v>
          </cell>
          <cell r="G251">
            <v>12</v>
          </cell>
          <cell r="H251" t="str">
            <v>Transport interurbain formateurs non résidents (50%) (aller-retour)</v>
          </cell>
          <cell r="I251" t="str">
            <v>DNES</v>
          </cell>
          <cell r="K251" t="str">
            <v>FC/PSE</v>
          </cell>
          <cell r="L251" t="str">
            <v>AUT</v>
          </cell>
          <cell r="M251">
            <v>121</v>
          </cell>
          <cell r="N251" t="str">
            <v>a/r</v>
          </cell>
          <cell r="P251">
            <v>30</v>
          </cell>
          <cell r="Q251">
            <v>1</v>
          </cell>
          <cell r="R251">
            <v>3630</v>
          </cell>
          <cell r="S251">
            <v>0.25</v>
          </cell>
          <cell r="T251">
            <v>0.25</v>
          </cell>
          <cell r="U251">
            <v>0.25</v>
          </cell>
          <cell r="V251">
            <v>0.25</v>
          </cell>
          <cell r="Y251">
            <v>0</v>
          </cell>
          <cell r="Z251">
            <v>907.5</v>
          </cell>
          <cell r="AA251">
            <v>907.5</v>
          </cell>
          <cell r="AB251">
            <v>907.5</v>
          </cell>
          <cell r="AC251">
            <v>907.5</v>
          </cell>
          <cell r="AD251">
            <v>0</v>
          </cell>
          <cell r="AE251">
            <v>0</v>
          </cell>
          <cell r="AF251">
            <v>3630</v>
          </cell>
        </row>
        <row r="252">
          <cell r="B252" t="str">
            <v>DNES</v>
          </cell>
          <cell r="C252" t="str">
            <v>Q</v>
          </cell>
          <cell r="D252" t="str">
            <v>21D</v>
          </cell>
          <cell r="E252" t="str">
            <v>IRE/</v>
          </cell>
          <cell r="F252" t="str">
            <v>FC/</v>
          </cell>
          <cell r="G252">
            <v>12</v>
          </cell>
          <cell r="H252" t="str">
            <v>Perdiem formateurs résidents (50%)</v>
          </cell>
          <cell r="I252" t="str">
            <v>DNES</v>
          </cell>
          <cell r="K252" t="str">
            <v>FC/PSE</v>
          </cell>
          <cell r="L252" t="str">
            <v>AUT</v>
          </cell>
          <cell r="M252">
            <v>484</v>
          </cell>
          <cell r="N252" t="str">
            <v>pxj</v>
          </cell>
          <cell r="O252" t="str">
            <v>asr</v>
          </cell>
          <cell r="P252">
            <v>30.775000000000002</v>
          </cell>
          <cell r="Q252">
            <v>1</v>
          </cell>
          <cell r="R252">
            <v>14895.1</v>
          </cell>
          <cell r="S252">
            <v>0.25</v>
          </cell>
          <cell r="T252">
            <v>0.25</v>
          </cell>
          <cell r="U252">
            <v>0.25</v>
          </cell>
          <cell r="V252">
            <v>0.25</v>
          </cell>
          <cell r="Y252">
            <v>0</v>
          </cell>
          <cell r="Z252">
            <v>3723.7750000000001</v>
          </cell>
          <cell r="AA252">
            <v>3723.7750000000001</v>
          </cell>
          <cell r="AB252">
            <v>3723.7750000000001</v>
          </cell>
          <cell r="AC252">
            <v>3723.7750000000001</v>
          </cell>
          <cell r="AD252">
            <v>0</v>
          </cell>
          <cell r="AE252">
            <v>0</v>
          </cell>
          <cell r="AF252">
            <v>14895.1</v>
          </cell>
        </row>
        <row r="253">
          <cell r="B253" t="str">
            <v>DNES</v>
          </cell>
          <cell r="C253" t="str">
            <v>Q</v>
          </cell>
          <cell r="D253" t="str">
            <v>21D</v>
          </cell>
          <cell r="E253" t="str">
            <v>IRE/</v>
          </cell>
          <cell r="F253" t="str">
            <v>FC/</v>
          </cell>
          <cell r="G253">
            <v>12</v>
          </cell>
          <cell r="H253" t="str">
            <v>Transport urbain formateurs (100%)</v>
          </cell>
          <cell r="I253" t="str">
            <v>DNES</v>
          </cell>
          <cell r="K253" t="str">
            <v>FC/PSE</v>
          </cell>
          <cell r="L253" t="str">
            <v>AUT</v>
          </cell>
          <cell r="M253">
            <v>968</v>
          </cell>
          <cell r="N253" t="str">
            <v>j</v>
          </cell>
          <cell r="P253">
            <v>20</v>
          </cell>
          <cell r="Q253">
            <v>1</v>
          </cell>
          <cell r="R253">
            <v>19360</v>
          </cell>
          <cell r="S253">
            <v>0.25</v>
          </cell>
          <cell r="T253">
            <v>0.25</v>
          </cell>
          <cell r="U253">
            <v>0.25</v>
          </cell>
          <cell r="V253">
            <v>0.25</v>
          </cell>
          <cell r="Y253">
            <v>0</v>
          </cell>
          <cell r="Z253">
            <v>4840</v>
          </cell>
          <cell r="AA253">
            <v>4840</v>
          </cell>
          <cell r="AB253">
            <v>4840</v>
          </cell>
          <cell r="AC253">
            <v>4840</v>
          </cell>
          <cell r="AD253">
            <v>0</v>
          </cell>
          <cell r="AE253">
            <v>0</v>
          </cell>
          <cell r="AF253">
            <v>19360</v>
          </cell>
        </row>
        <row r="254">
          <cell r="H254" t="str">
            <v>Suivi/supervision de la formation</v>
          </cell>
        </row>
        <row r="255">
          <cell r="B255" t="str">
            <v>DNES</v>
          </cell>
          <cell r="C255" t="str">
            <v>Q</v>
          </cell>
          <cell r="D255" t="str">
            <v>21D</v>
          </cell>
          <cell r="E255" t="str">
            <v>IRE/</v>
          </cell>
          <cell r="F255" t="str">
            <v>FC/</v>
          </cell>
          <cell r="G255">
            <v>12</v>
          </cell>
          <cell r="H255" t="str">
            <v>Ateliers annuels régionaux coordination suivi sessions FC (3at x 200pxj)</v>
          </cell>
          <cell r="I255" t="str">
            <v>DNES</v>
          </cell>
          <cell r="K255" t="str">
            <v>FC/PSE</v>
          </cell>
          <cell r="L255" t="str">
            <v>AUT</v>
          </cell>
          <cell r="M255">
            <v>200</v>
          </cell>
          <cell r="N255" t="str">
            <v>pxj</v>
          </cell>
          <cell r="O255" t="str">
            <v>asr</v>
          </cell>
          <cell r="P255">
            <v>123.10000000000001</v>
          </cell>
          <cell r="Q255">
            <v>1</v>
          </cell>
          <cell r="R255">
            <v>24620</v>
          </cell>
          <cell r="S255">
            <v>0.5</v>
          </cell>
          <cell r="V255">
            <v>0.5</v>
          </cell>
          <cell r="Y255">
            <v>0</v>
          </cell>
          <cell r="Z255">
            <v>12310</v>
          </cell>
          <cell r="AA255">
            <v>0</v>
          </cell>
          <cell r="AB255">
            <v>0</v>
          </cell>
          <cell r="AC255">
            <v>12310</v>
          </cell>
          <cell r="AD255">
            <v>0</v>
          </cell>
          <cell r="AE255">
            <v>0</v>
          </cell>
          <cell r="AF255">
            <v>24620</v>
          </cell>
        </row>
        <row r="256">
          <cell r="B256" t="str">
            <v>DNES</v>
          </cell>
          <cell r="C256" t="str">
            <v>Q</v>
          </cell>
          <cell r="D256" t="str">
            <v>21D</v>
          </cell>
          <cell r="E256" t="str">
            <v>IRE/</v>
          </cell>
          <cell r="F256" t="str">
            <v>FC/</v>
          </cell>
          <cell r="G256">
            <v>12</v>
          </cell>
          <cell r="H256" t="str">
            <v>Supervision régionale (IRE + CRFC) des sessions de FC (1j par session)</v>
          </cell>
          <cell r="I256" t="str">
            <v>DNES</v>
          </cell>
          <cell r="K256" t="str">
            <v>FC/PSE</v>
          </cell>
          <cell r="L256" t="str">
            <v>AUT</v>
          </cell>
          <cell r="M256">
            <v>121</v>
          </cell>
          <cell r="N256" t="str">
            <v>pxj</v>
          </cell>
          <cell r="O256" t="str">
            <v>mir</v>
          </cell>
          <cell r="P256">
            <v>196.96</v>
          </cell>
          <cell r="Q256">
            <v>1</v>
          </cell>
          <cell r="R256">
            <v>23832.16</v>
          </cell>
          <cell r="S256">
            <v>0.25</v>
          </cell>
          <cell r="T256">
            <v>0.25</v>
          </cell>
          <cell r="U256">
            <v>0.25</v>
          </cell>
          <cell r="V256">
            <v>0.25</v>
          </cell>
          <cell r="Y256">
            <v>0</v>
          </cell>
          <cell r="Z256">
            <v>5958.04</v>
          </cell>
          <cell r="AA256">
            <v>5958.04</v>
          </cell>
          <cell r="AB256">
            <v>5958.04</v>
          </cell>
          <cell r="AC256">
            <v>5958.04</v>
          </cell>
          <cell r="AD256">
            <v>0</v>
          </cell>
          <cell r="AE256">
            <v>0</v>
          </cell>
          <cell r="AF256">
            <v>23832.16</v>
          </cell>
        </row>
        <row r="257">
          <cell r="B257" t="str">
            <v>DNES</v>
          </cell>
          <cell r="C257" t="str">
            <v>Q</v>
          </cell>
          <cell r="D257" t="str">
            <v>21D</v>
          </cell>
          <cell r="E257" t="str">
            <v>DNES</v>
          </cell>
          <cell r="F257" t="str">
            <v>FC/CN</v>
          </cell>
          <cell r="G257">
            <v>12</v>
          </cell>
          <cell r="H257" t="str">
            <v>Supervision centrale (10 trim x 8 reg x 3j)</v>
          </cell>
          <cell r="I257" t="str">
            <v>DNES</v>
          </cell>
          <cell r="K257" t="str">
            <v>FC/PSE</v>
          </cell>
          <cell r="L257" t="str">
            <v>AUT</v>
          </cell>
          <cell r="M257">
            <v>96</v>
          </cell>
          <cell r="N257" t="str">
            <v>pxj</v>
          </cell>
          <cell r="O257" t="str">
            <v>min</v>
          </cell>
          <cell r="P257">
            <v>246.20000000000002</v>
          </cell>
          <cell r="Q257">
            <v>1</v>
          </cell>
          <cell r="R257">
            <v>23635.200000000001</v>
          </cell>
          <cell r="S257">
            <v>0.25</v>
          </cell>
          <cell r="T257">
            <v>0.25</v>
          </cell>
          <cell r="U257">
            <v>0.25</v>
          </cell>
          <cell r="V257">
            <v>0.25</v>
          </cell>
          <cell r="Y257">
            <v>0</v>
          </cell>
          <cell r="Z257">
            <v>5908.8</v>
          </cell>
          <cell r="AA257">
            <v>5908.8</v>
          </cell>
          <cell r="AB257">
            <v>5908.8</v>
          </cell>
          <cell r="AC257">
            <v>5908.8</v>
          </cell>
          <cell r="AD257">
            <v>0</v>
          </cell>
          <cell r="AE257">
            <v>0</v>
          </cell>
          <cell r="AF257">
            <v>23635.200000000001</v>
          </cell>
        </row>
        <row r="258">
          <cell r="B258" t="str">
            <v>DNES</v>
          </cell>
          <cell r="C258" t="str">
            <v>Q</v>
          </cell>
          <cell r="D258" t="str">
            <v>21D</v>
          </cell>
          <cell r="E258" t="str">
            <v>DNES</v>
          </cell>
          <cell r="F258" t="str">
            <v>FC/CN</v>
          </cell>
          <cell r="G258">
            <v>12</v>
          </cell>
          <cell r="H258" t="str">
            <v>Appui au fonct. du Service animation pédagogique (DNES)</v>
          </cell>
          <cell r="I258" t="str">
            <v>DNES</v>
          </cell>
          <cell r="K258" t="str">
            <v>FC/PSE</v>
          </cell>
          <cell r="L258" t="str">
            <v>AUT</v>
          </cell>
          <cell r="M258">
            <v>12</v>
          </cell>
          <cell r="N258" t="str">
            <v>mois</v>
          </cell>
          <cell r="P258">
            <v>3000</v>
          </cell>
          <cell r="Q258">
            <v>1</v>
          </cell>
          <cell r="R258">
            <v>36000</v>
          </cell>
          <cell r="S258">
            <v>0.25</v>
          </cell>
          <cell r="T258">
            <v>0.25</v>
          </cell>
          <cell r="U258">
            <v>0.25</v>
          </cell>
          <cell r="V258">
            <v>0.25</v>
          </cell>
          <cell r="Y258">
            <v>0</v>
          </cell>
          <cell r="Z258">
            <v>9000</v>
          </cell>
          <cell r="AA258">
            <v>9000</v>
          </cell>
          <cell r="AB258">
            <v>9000</v>
          </cell>
          <cell r="AC258">
            <v>9000</v>
          </cell>
          <cell r="AD258">
            <v>0</v>
          </cell>
          <cell r="AE258">
            <v>0</v>
          </cell>
          <cell r="AF258">
            <v>36000</v>
          </cell>
        </row>
        <row r="259">
          <cell r="B259" t="str">
            <v>DNES</v>
          </cell>
          <cell r="C259" t="str">
            <v>Q</v>
          </cell>
          <cell r="D259" t="str">
            <v>21D</v>
          </cell>
          <cell r="E259" t="str">
            <v>IRE/</v>
          </cell>
          <cell r="F259" t="str">
            <v>FC/</v>
          </cell>
          <cell r="G259">
            <v>12</v>
          </cell>
          <cell r="H259" t="str">
            <v>Appui au fonct. des IRE et CFRC</v>
          </cell>
          <cell r="I259" t="str">
            <v>DNES</v>
          </cell>
          <cell r="K259" t="str">
            <v>FC/PSE</v>
          </cell>
          <cell r="L259" t="str">
            <v>AUT</v>
          </cell>
          <cell r="M259">
            <v>96</v>
          </cell>
          <cell r="N259" t="str">
            <v>mois</v>
          </cell>
          <cell r="P259">
            <v>2000</v>
          </cell>
          <cell r="Q259">
            <v>1</v>
          </cell>
          <cell r="R259">
            <v>192000</v>
          </cell>
          <cell r="S259">
            <v>0.25</v>
          </cell>
          <cell r="T259">
            <v>0.25</v>
          </cell>
          <cell r="U259">
            <v>0.25</v>
          </cell>
          <cell r="V259">
            <v>0.25</v>
          </cell>
          <cell r="Y259">
            <v>0</v>
          </cell>
          <cell r="Z259">
            <v>48000</v>
          </cell>
          <cell r="AA259">
            <v>48000</v>
          </cell>
          <cell r="AB259">
            <v>48000</v>
          </cell>
          <cell r="AC259">
            <v>48000</v>
          </cell>
          <cell r="AD259">
            <v>0</v>
          </cell>
          <cell r="AE259">
            <v>0</v>
          </cell>
          <cell r="AF259">
            <v>192000</v>
          </cell>
        </row>
        <row r="260">
          <cell r="H260" t="str">
            <v>Evaluations des apprentissages des élèves du collège</v>
          </cell>
          <cell r="R260">
            <v>465270.6</v>
          </cell>
          <cell r="Z260">
            <v>0</v>
          </cell>
          <cell r="AA260">
            <v>0</v>
          </cell>
          <cell r="AB260">
            <v>465270.6</v>
          </cell>
          <cell r="AC260">
            <v>0</v>
          </cell>
          <cell r="AD260">
            <v>0</v>
          </cell>
          <cell r="AE260">
            <v>0</v>
          </cell>
          <cell r="AF260">
            <v>465270.6</v>
          </cell>
        </row>
        <row r="261">
          <cell r="B261" t="str">
            <v>CNCESE</v>
          </cell>
          <cell r="C261" t="str">
            <v>Q</v>
          </cell>
          <cell r="D261" t="str">
            <v>21E</v>
          </cell>
          <cell r="E261" t="str">
            <v>CNCESE</v>
          </cell>
          <cell r="F261" t="str">
            <v>FC/CN</v>
          </cell>
          <cell r="G261">
            <v>15</v>
          </cell>
          <cell r="H261" t="str">
            <v>Evaluation apprentissages en math et français des élèves du collège</v>
          </cell>
          <cell r="I261" t="str">
            <v>CNCESE</v>
          </cell>
          <cell r="K261" t="str">
            <v>FC/PSE</v>
          </cell>
          <cell r="L261" t="str">
            <v>AUT</v>
          </cell>
          <cell r="M261">
            <v>1</v>
          </cell>
          <cell r="N261" t="str">
            <v>forfait</v>
          </cell>
          <cell r="P261">
            <v>288006.59999999998</v>
          </cell>
          <cell r="Q261">
            <v>1</v>
          </cell>
          <cell r="R261">
            <v>288006.59999999998</v>
          </cell>
          <cell r="U261">
            <v>1</v>
          </cell>
          <cell r="Y261">
            <v>0</v>
          </cell>
          <cell r="Z261">
            <v>0</v>
          </cell>
          <cell r="AA261">
            <v>0</v>
          </cell>
          <cell r="AB261">
            <v>288006.59999999998</v>
          </cell>
          <cell r="AC261">
            <v>0</v>
          </cell>
          <cell r="AD261">
            <v>0</v>
          </cell>
          <cell r="AE261">
            <v>0</v>
          </cell>
          <cell r="AF261">
            <v>288006.59999999998</v>
          </cell>
        </row>
        <row r="262">
          <cell r="B262" t="str">
            <v>CNCESE</v>
          </cell>
          <cell r="C262" t="str">
            <v>Q</v>
          </cell>
          <cell r="D262" t="str">
            <v>21E</v>
          </cell>
          <cell r="E262" t="str">
            <v>CNCESE</v>
          </cell>
          <cell r="F262" t="str">
            <v>FC/CN</v>
          </cell>
          <cell r="G262">
            <v>25</v>
          </cell>
          <cell r="H262" t="str">
            <v>Spécialistes en évaluation 4 missions de 15jours</v>
          </cell>
          <cell r="I262" t="str">
            <v>CNCESE</v>
          </cell>
          <cell r="K262" t="str">
            <v>FC/PSE</v>
          </cell>
          <cell r="L262" t="str">
            <v>CR</v>
          </cell>
          <cell r="M262">
            <v>2</v>
          </cell>
          <cell r="N262" t="str">
            <v>pxm</v>
          </cell>
          <cell r="O262" t="str">
            <v>cic</v>
          </cell>
          <cell r="P262">
            <v>88632</v>
          </cell>
          <cell r="Q262">
            <v>1</v>
          </cell>
          <cell r="R262">
            <v>177264</v>
          </cell>
          <cell r="U262">
            <v>1</v>
          </cell>
          <cell r="Y262">
            <v>0</v>
          </cell>
          <cell r="Z262">
            <v>0</v>
          </cell>
          <cell r="AA262">
            <v>0</v>
          </cell>
          <cell r="AB262">
            <v>177264</v>
          </cell>
          <cell r="AC262">
            <v>0</v>
          </cell>
          <cell r="AD262">
            <v>0</v>
          </cell>
          <cell r="AE262">
            <v>0</v>
          </cell>
          <cell r="AF262">
            <v>177264</v>
          </cell>
        </row>
        <row r="263">
          <cell r="H263" t="str">
            <v>SECONDAIRE 2</v>
          </cell>
          <cell r="R263">
            <v>29181354.680000007</v>
          </cell>
          <cell r="Z263">
            <v>464166.07000000007</v>
          </cell>
          <cell r="AA263">
            <v>14861462.270000003</v>
          </cell>
          <cell r="AB263">
            <v>5677782.6700000018</v>
          </cell>
          <cell r="AC263">
            <v>5527108.2700000014</v>
          </cell>
          <cell r="AD263">
            <v>797688</v>
          </cell>
          <cell r="AE263">
            <v>1853147.4000000004</v>
          </cell>
          <cell r="AF263">
            <v>29181354.680000007</v>
          </cell>
        </row>
        <row r="264">
          <cell r="H264" t="str">
            <v>Infrastructures</v>
          </cell>
          <cell r="R264">
            <v>17620632.480000004</v>
          </cell>
          <cell r="Z264">
            <v>246101.52000000005</v>
          </cell>
          <cell r="AA264">
            <v>3667296.7200000007</v>
          </cell>
          <cell r="AB264">
            <v>5605383.120000001</v>
          </cell>
          <cell r="AC264">
            <v>5451015.7200000007</v>
          </cell>
          <cell r="AD264">
            <v>797688</v>
          </cell>
          <cell r="AE264">
            <v>1853147.4000000004</v>
          </cell>
          <cell r="AF264">
            <v>17620632.480000004</v>
          </cell>
        </row>
        <row r="265">
          <cell r="B265" t="str">
            <v>SNIES</v>
          </cell>
          <cell r="C265" t="str">
            <v>A</v>
          </cell>
          <cell r="D265" t="str">
            <v>22A</v>
          </cell>
          <cell r="E265" t="str">
            <v>ES/</v>
          </cell>
          <cell r="F265" t="str">
            <v>FC/CN</v>
          </cell>
          <cell r="G265">
            <v>21</v>
          </cell>
          <cell r="H265" t="str">
            <v>BET pour les constructions réhabilitation des infrastructures</v>
          </cell>
          <cell r="I265" t="str">
            <v>SNIES</v>
          </cell>
          <cell r="K265" t="str">
            <v>FC/PSE</v>
          </cell>
          <cell r="L265" t="str">
            <v>CR</v>
          </cell>
          <cell r="N265" t="str">
            <v>forfait</v>
          </cell>
          <cell r="O265" t="str">
            <v>coût total</v>
          </cell>
          <cell r="P265">
            <v>7.0000000000000007E-2</v>
          </cell>
          <cell r="Q265">
            <v>1</v>
          </cell>
          <cell r="R265">
            <v>984406.08000000019</v>
          </cell>
          <cell r="S265">
            <v>0.25</v>
          </cell>
          <cell r="T265">
            <v>0.25</v>
          </cell>
          <cell r="U265">
            <v>0.25</v>
          </cell>
          <cell r="V265">
            <v>0.25</v>
          </cell>
          <cell r="Y265">
            <v>0</v>
          </cell>
          <cell r="Z265">
            <v>246101.52000000005</v>
          </cell>
          <cell r="AA265">
            <v>246101.52000000005</v>
          </cell>
          <cell r="AB265">
            <v>246101.52000000005</v>
          </cell>
          <cell r="AC265">
            <v>246101.52000000005</v>
          </cell>
          <cell r="AD265">
            <v>0</v>
          </cell>
          <cell r="AE265">
            <v>0</v>
          </cell>
          <cell r="AF265">
            <v>984406.08000000019</v>
          </cell>
        </row>
        <row r="266">
          <cell r="B266" t="str">
            <v>SNIES</v>
          </cell>
          <cell r="C266" t="str">
            <v>A</v>
          </cell>
          <cell r="D266" t="str">
            <v>22A</v>
          </cell>
          <cell r="E266" t="str">
            <v>ES/</v>
          </cell>
          <cell r="F266" t="str">
            <v>FC/CN</v>
          </cell>
          <cell r="G266">
            <v>22</v>
          </cell>
          <cell r="H266" t="str">
            <v>Travaux de construction classes Lycées</v>
          </cell>
          <cell r="I266" t="str">
            <v>SNIES</v>
          </cell>
          <cell r="K266" t="str">
            <v>FC/PSE</v>
          </cell>
          <cell r="L266" t="str">
            <v>AON</v>
          </cell>
          <cell r="M266">
            <v>193</v>
          </cell>
          <cell r="N266" t="str">
            <v>cl</v>
          </cell>
          <cell r="O266" t="str">
            <v>ccl</v>
          </cell>
          <cell r="P266">
            <v>59088.000000000007</v>
          </cell>
          <cell r="Q266">
            <v>1</v>
          </cell>
          <cell r="R266">
            <v>11403984.000000002</v>
          </cell>
          <cell r="T266">
            <v>0.3</v>
          </cell>
          <cell r="U266">
            <v>0.4</v>
          </cell>
          <cell r="V266">
            <v>0.3</v>
          </cell>
          <cell r="Y266">
            <v>0</v>
          </cell>
          <cell r="Z266">
            <v>0</v>
          </cell>
          <cell r="AA266">
            <v>3421195.2000000007</v>
          </cell>
          <cell r="AB266">
            <v>4561593.6000000006</v>
          </cell>
          <cell r="AC266">
            <v>3421195.2000000007</v>
          </cell>
          <cell r="AD266">
            <v>0</v>
          </cell>
          <cell r="AE266">
            <v>0</v>
          </cell>
          <cell r="AF266">
            <v>11403984.000000002</v>
          </cell>
        </row>
        <row r="267">
          <cell r="B267" t="str">
            <v>SNIES</v>
          </cell>
          <cell r="C267" t="str">
            <v>A</v>
          </cell>
          <cell r="D267" t="str">
            <v>22A</v>
          </cell>
          <cell r="E267" t="str">
            <v>ES/</v>
          </cell>
          <cell r="F267" t="str">
            <v>FC/CN</v>
          </cell>
          <cell r="G267">
            <v>22</v>
          </cell>
          <cell r="H267" t="str">
            <v>Travaux de réhabilitation classes Lycées</v>
          </cell>
          <cell r="I267" t="str">
            <v>SNIES</v>
          </cell>
          <cell r="K267" t="str">
            <v>FC/PSE</v>
          </cell>
          <cell r="L267" t="str">
            <v>AON</v>
          </cell>
          <cell r="M267">
            <v>75</v>
          </cell>
          <cell r="N267" t="str">
            <v>cl</v>
          </cell>
          <cell r="O267" t="str">
            <v>rcl</v>
          </cell>
          <cell r="P267">
            <v>35452.800000000003</v>
          </cell>
          <cell r="Q267">
            <v>1</v>
          </cell>
          <cell r="R267">
            <v>2658960</v>
          </cell>
          <cell r="U267">
            <v>0.3</v>
          </cell>
          <cell r="V267">
            <v>0.4</v>
          </cell>
          <cell r="W267">
            <v>0.3</v>
          </cell>
          <cell r="Y267">
            <v>0</v>
          </cell>
          <cell r="Z267">
            <v>0</v>
          </cell>
          <cell r="AA267">
            <v>0</v>
          </cell>
          <cell r="AB267">
            <v>797688</v>
          </cell>
          <cell r="AC267">
            <v>1063584</v>
          </cell>
          <cell r="AD267">
            <v>797688</v>
          </cell>
          <cell r="AE267">
            <v>0</v>
          </cell>
          <cell r="AF267">
            <v>2658960</v>
          </cell>
        </row>
        <row r="268">
          <cell r="B268" t="str">
            <v>SNIES</v>
          </cell>
          <cell r="C268" t="str">
            <v>A</v>
          </cell>
          <cell r="D268" t="str">
            <v>22A</v>
          </cell>
          <cell r="E268" t="str">
            <v>ES/</v>
          </cell>
          <cell r="F268" t="str">
            <v>FC/CN</v>
          </cell>
          <cell r="G268">
            <v>23</v>
          </cell>
          <cell r="H268" t="str">
            <v>Mobilier équipement classes Lycées</v>
          </cell>
          <cell r="I268" t="str">
            <v>SNIES</v>
          </cell>
          <cell r="K268" t="str">
            <v>FC/PSE</v>
          </cell>
          <cell r="L268" t="str">
            <v>AON</v>
          </cell>
          <cell r="M268">
            <v>268</v>
          </cell>
          <cell r="N268" t="str">
            <v>lot</v>
          </cell>
          <cell r="O268" t="str">
            <v>mcl</v>
          </cell>
          <cell r="P268">
            <v>9601.8000000000011</v>
          </cell>
          <cell r="Q268">
            <v>1</v>
          </cell>
          <cell r="R268">
            <v>2573282.4000000004</v>
          </cell>
          <cell r="V268">
            <v>0.27985074626865669</v>
          </cell>
          <cell r="X268">
            <v>0.72014925373134331</v>
          </cell>
          <cell r="Y268">
            <v>0</v>
          </cell>
          <cell r="Z268">
            <v>0</v>
          </cell>
          <cell r="AA268">
            <v>0</v>
          </cell>
          <cell r="AB268">
            <v>0</v>
          </cell>
          <cell r="AC268">
            <v>720135</v>
          </cell>
          <cell r="AD268">
            <v>0</v>
          </cell>
          <cell r="AE268">
            <v>1853147.4000000004</v>
          </cell>
          <cell r="AF268">
            <v>2573282.4000000004</v>
          </cell>
        </row>
        <row r="269">
          <cell r="H269" t="str">
            <v>Formation initiale des enseignants</v>
          </cell>
          <cell r="R269">
            <v>970940.00000000012</v>
          </cell>
          <cell r="Z269">
            <v>0</v>
          </cell>
          <cell r="AA269">
            <v>970940.00000000012</v>
          </cell>
          <cell r="AB269">
            <v>0</v>
          </cell>
          <cell r="AC269">
            <v>0</v>
          </cell>
          <cell r="AD269">
            <v>0</v>
          </cell>
          <cell r="AE269">
            <v>0</v>
          </cell>
          <cell r="AF269">
            <v>970940.00000000012</v>
          </cell>
        </row>
        <row r="270">
          <cell r="B270" t="str">
            <v>ISSEG</v>
          </cell>
          <cell r="C270" t="str">
            <v>Q</v>
          </cell>
          <cell r="D270" t="str">
            <v>22B</v>
          </cell>
          <cell r="E270" t="str">
            <v>ISSEG</v>
          </cell>
          <cell r="F270" t="str">
            <v>FC/CN</v>
          </cell>
          <cell r="G270">
            <v>24</v>
          </cell>
          <cell r="H270" t="str">
            <v>Consommables pour les laboratoires phys, chim, sc nat par an</v>
          </cell>
          <cell r="I270" t="str">
            <v>ISSEG</v>
          </cell>
          <cell r="K270" t="str">
            <v>FC/PSE</v>
          </cell>
          <cell r="L270" t="str">
            <v>AOI</v>
          </cell>
          <cell r="M270">
            <v>1</v>
          </cell>
          <cell r="O270" t="str">
            <v>forfait</v>
          </cell>
          <cell r="P270">
            <v>60000</v>
          </cell>
          <cell r="Q270">
            <v>1</v>
          </cell>
          <cell r="R270">
            <v>60000</v>
          </cell>
          <cell r="T270">
            <v>1</v>
          </cell>
          <cell r="Y270">
            <v>0</v>
          </cell>
          <cell r="Z270">
            <v>0</v>
          </cell>
          <cell r="AA270">
            <v>60000</v>
          </cell>
          <cell r="AB270">
            <v>0</v>
          </cell>
          <cell r="AC270">
            <v>0</v>
          </cell>
          <cell r="AD270">
            <v>0</v>
          </cell>
          <cell r="AE270">
            <v>0</v>
          </cell>
          <cell r="AF270">
            <v>60000</v>
          </cell>
        </row>
        <row r="271">
          <cell r="B271" t="str">
            <v>ISSEG</v>
          </cell>
          <cell r="C271" t="str">
            <v>Q</v>
          </cell>
          <cell r="D271" t="str">
            <v>22B</v>
          </cell>
          <cell r="E271" t="str">
            <v>ISSEG</v>
          </cell>
          <cell r="F271" t="str">
            <v>FC/CN</v>
          </cell>
          <cell r="G271">
            <v>24</v>
          </cell>
          <cell r="H271" t="str">
            <v>Mallettes d'ouvrages pédagogiques pour les stagiaires (env 10 titres)</v>
          </cell>
          <cell r="I271" t="str">
            <v>CN/PSE</v>
          </cell>
          <cell r="K271" t="str">
            <v>FC/PSE</v>
          </cell>
          <cell r="L271" t="str">
            <v>AOI</v>
          </cell>
          <cell r="M271">
            <v>1850</v>
          </cell>
          <cell r="N271" t="str">
            <v>mallette</v>
          </cell>
          <cell r="O271" t="str">
            <v>forfait</v>
          </cell>
          <cell r="P271">
            <v>492.40000000000003</v>
          </cell>
          <cell r="Q271">
            <v>1</v>
          </cell>
          <cell r="R271">
            <v>910940.00000000012</v>
          </cell>
          <cell r="T271">
            <v>1</v>
          </cell>
          <cell r="Y271">
            <v>0</v>
          </cell>
          <cell r="Z271">
            <v>0</v>
          </cell>
          <cell r="AA271">
            <v>910940.00000000012</v>
          </cell>
          <cell r="AB271">
            <v>0</v>
          </cell>
          <cell r="AC271">
            <v>0</v>
          </cell>
          <cell r="AD271">
            <v>0</v>
          </cell>
          <cell r="AE271">
            <v>0</v>
          </cell>
          <cell r="AF271">
            <v>910940.00000000012</v>
          </cell>
        </row>
        <row r="272">
          <cell r="H272" t="str">
            <v>Formation continue des enseignants</v>
          </cell>
          <cell r="R272">
            <v>408956.2</v>
          </cell>
          <cell r="Z272">
            <v>188064.55</v>
          </cell>
          <cell r="AA272">
            <v>72399.55</v>
          </cell>
          <cell r="AB272">
            <v>72399.55</v>
          </cell>
          <cell r="AC272">
            <v>76092.55</v>
          </cell>
          <cell r="AD272">
            <v>0</v>
          </cell>
          <cell r="AE272">
            <v>0</v>
          </cell>
          <cell r="AF272">
            <v>408956.19999999995</v>
          </cell>
        </row>
        <row r="273">
          <cell r="H273" t="str">
            <v>Identification des besoins de formation</v>
          </cell>
        </row>
        <row r="274">
          <cell r="B274" t="str">
            <v>DNES</v>
          </cell>
          <cell r="C274" t="str">
            <v>Q</v>
          </cell>
          <cell r="D274" t="str">
            <v>22C</v>
          </cell>
          <cell r="E274" t="str">
            <v>IRE/</v>
          </cell>
          <cell r="F274" t="str">
            <v>FC/</v>
          </cell>
          <cell r="G274">
            <v>12</v>
          </cell>
          <cell r="H274" t="str">
            <v>Ateliers régionaux préparatoires des plans triennaux formation continue 1j</v>
          </cell>
          <cell r="I274" t="str">
            <v>DNES</v>
          </cell>
          <cell r="K274" t="str">
            <v>FC/PSE</v>
          </cell>
          <cell r="L274" t="str">
            <v>AUT</v>
          </cell>
          <cell r="M274">
            <v>60</v>
          </cell>
          <cell r="N274" t="str">
            <v>pxj</v>
          </cell>
          <cell r="O274" t="str">
            <v>asr</v>
          </cell>
          <cell r="P274">
            <v>123.10000000000001</v>
          </cell>
          <cell r="Q274">
            <v>1</v>
          </cell>
          <cell r="R274">
            <v>7386.0000000000009</v>
          </cell>
          <cell r="S274">
            <v>1</v>
          </cell>
          <cell r="Y274">
            <v>0</v>
          </cell>
          <cell r="Z274">
            <v>7386.0000000000009</v>
          </cell>
          <cell r="AA274">
            <v>0</v>
          </cell>
          <cell r="AB274">
            <v>0</v>
          </cell>
          <cell r="AC274">
            <v>0</v>
          </cell>
          <cell r="AD274">
            <v>0</v>
          </cell>
          <cell r="AE274">
            <v>0</v>
          </cell>
          <cell r="AF274">
            <v>7386.0000000000009</v>
          </cell>
        </row>
        <row r="275">
          <cell r="B275" t="str">
            <v>DNES</v>
          </cell>
          <cell r="C275" t="str">
            <v>Q</v>
          </cell>
          <cell r="D275" t="str">
            <v>22C</v>
          </cell>
          <cell r="E275" t="str">
            <v>IRE/</v>
          </cell>
          <cell r="F275" t="str">
            <v>FC/CN</v>
          </cell>
          <cell r="G275">
            <v>12</v>
          </cell>
          <cell r="H275" t="str">
            <v>Reproduction des fiches d'observation des enseignants</v>
          </cell>
          <cell r="I275" t="str">
            <v>DNES</v>
          </cell>
          <cell r="K275" t="str">
            <v>FC/PSE</v>
          </cell>
          <cell r="L275" t="str">
            <v>AON</v>
          </cell>
          <cell r="M275">
            <v>3000</v>
          </cell>
          <cell r="N275" t="str">
            <v>fiches</v>
          </cell>
          <cell r="O275" t="str">
            <v>rep</v>
          </cell>
          <cell r="P275">
            <v>0.30000000000000004</v>
          </cell>
          <cell r="Q275">
            <v>1</v>
          </cell>
          <cell r="R275">
            <v>900.00000000000011</v>
          </cell>
          <cell r="S275">
            <v>1</v>
          </cell>
          <cell r="Y275">
            <v>0</v>
          </cell>
          <cell r="Z275">
            <v>900.00000000000011</v>
          </cell>
          <cell r="AA275">
            <v>0</v>
          </cell>
          <cell r="AB275">
            <v>0</v>
          </cell>
          <cell r="AC275">
            <v>0</v>
          </cell>
          <cell r="AD275">
            <v>0</v>
          </cell>
          <cell r="AE275">
            <v>0</v>
          </cell>
          <cell r="AF275">
            <v>900.00000000000011</v>
          </cell>
        </row>
        <row r="276">
          <cell r="B276" t="str">
            <v>DNES</v>
          </cell>
          <cell r="C276" t="str">
            <v>Q</v>
          </cell>
          <cell r="D276" t="str">
            <v>22C</v>
          </cell>
          <cell r="E276" t="str">
            <v>IRE/</v>
          </cell>
          <cell r="F276" t="str">
            <v>FC/</v>
          </cell>
          <cell r="G276">
            <v>12</v>
          </cell>
          <cell r="H276" t="str">
            <v>Evaluation des enseignants par les APES (forfait par évaluation par enseignant)</v>
          </cell>
          <cell r="I276" t="str">
            <v>DNES</v>
          </cell>
          <cell r="K276" t="str">
            <v>FC/PSE</v>
          </cell>
          <cell r="L276" t="str">
            <v>AUT</v>
          </cell>
          <cell r="M276">
            <v>3000</v>
          </cell>
          <cell r="N276" t="str">
            <v>forfait</v>
          </cell>
          <cell r="P276">
            <v>20</v>
          </cell>
          <cell r="Q276">
            <v>1</v>
          </cell>
          <cell r="R276">
            <v>60000</v>
          </cell>
          <cell r="S276">
            <v>1</v>
          </cell>
          <cell r="Y276">
            <v>0</v>
          </cell>
          <cell r="Z276">
            <v>60000</v>
          </cell>
          <cell r="AA276">
            <v>0</v>
          </cell>
          <cell r="AB276">
            <v>0</v>
          </cell>
          <cell r="AC276">
            <v>0</v>
          </cell>
          <cell r="AD276">
            <v>0</v>
          </cell>
          <cell r="AE276">
            <v>0</v>
          </cell>
          <cell r="AF276">
            <v>60000</v>
          </cell>
        </row>
        <row r="277">
          <cell r="B277" t="str">
            <v>DNES</v>
          </cell>
          <cell r="C277" t="str">
            <v>Q</v>
          </cell>
          <cell r="D277" t="str">
            <v>22C</v>
          </cell>
          <cell r="E277" t="str">
            <v>IRE/</v>
          </cell>
          <cell r="F277" t="str">
            <v>FC/</v>
          </cell>
          <cell r="G277">
            <v>12</v>
          </cell>
          <cell r="H277" t="str">
            <v>Elaboration plans régionaux triennaux form. continue (APES et CRFC 1j)</v>
          </cell>
          <cell r="I277" t="str">
            <v>DNES</v>
          </cell>
          <cell r="K277" t="str">
            <v>FC/PSE</v>
          </cell>
          <cell r="L277" t="str">
            <v>AUT</v>
          </cell>
          <cell r="M277">
            <v>60</v>
          </cell>
          <cell r="N277" t="str">
            <v>pxj</v>
          </cell>
          <cell r="O277" t="str">
            <v>asr</v>
          </cell>
          <cell r="P277">
            <v>123.10000000000001</v>
          </cell>
          <cell r="Q277">
            <v>1</v>
          </cell>
          <cell r="R277">
            <v>7386.0000000000009</v>
          </cell>
          <cell r="S277">
            <v>1</v>
          </cell>
          <cell r="Y277">
            <v>0</v>
          </cell>
          <cell r="Z277">
            <v>7386.0000000000009</v>
          </cell>
          <cell r="AA277">
            <v>0</v>
          </cell>
          <cell r="AB277">
            <v>0</v>
          </cell>
          <cell r="AC277">
            <v>0</v>
          </cell>
          <cell r="AD277">
            <v>0</v>
          </cell>
          <cell r="AE277">
            <v>0</v>
          </cell>
          <cell r="AF277">
            <v>7386.0000000000009</v>
          </cell>
        </row>
        <row r="278">
          <cell r="H278" t="str">
            <v>Formation enseignants : 10240 pxj, 20 apprenants et 2 formateurs/session</v>
          </cell>
        </row>
        <row r="279">
          <cell r="B279" t="str">
            <v>DNES</v>
          </cell>
          <cell r="C279" t="str">
            <v>Q</v>
          </cell>
          <cell r="D279" t="str">
            <v>22C</v>
          </cell>
          <cell r="E279" t="str">
            <v>IRE/</v>
          </cell>
          <cell r="F279" t="str">
            <v>FC/CN</v>
          </cell>
          <cell r="G279">
            <v>12</v>
          </cell>
          <cell r="H279" t="str">
            <v>Reproduction des modules de formation 10 200 pxj / 4j par module x 60 pages)</v>
          </cell>
          <cell r="I279" t="str">
            <v>DNES</v>
          </cell>
          <cell r="K279" t="str">
            <v>FC/PSE</v>
          </cell>
          <cell r="L279" t="str">
            <v>AUT</v>
          </cell>
          <cell r="M279">
            <v>66000</v>
          </cell>
          <cell r="N279" t="str">
            <v>page</v>
          </cell>
          <cell r="O279" t="str">
            <v>rep</v>
          </cell>
          <cell r="P279">
            <v>0.30000000000000004</v>
          </cell>
          <cell r="Q279">
            <v>1</v>
          </cell>
          <cell r="R279">
            <v>19800.000000000004</v>
          </cell>
          <cell r="S279">
            <v>1</v>
          </cell>
          <cell r="Y279">
            <v>0</v>
          </cell>
          <cell r="Z279">
            <v>19800.000000000004</v>
          </cell>
          <cell r="AA279">
            <v>0</v>
          </cell>
          <cell r="AB279">
            <v>0</v>
          </cell>
          <cell r="AC279">
            <v>0</v>
          </cell>
          <cell r="AD279">
            <v>0</v>
          </cell>
          <cell r="AE279">
            <v>0</v>
          </cell>
          <cell r="AF279">
            <v>19800.000000000004</v>
          </cell>
        </row>
        <row r="280">
          <cell r="B280" t="str">
            <v>DNES</v>
          </cell>
          <cell r="C280" t="str">
            <v>Q</v>
          </cell>
          <cell r="D280" t="str">
            <v>22C</v>
          </cell>
          <cell r="E280" t="str">
            <v>IRE/</v>
          </cell>
          <cell r="F280" t="str">
            <v>FC/CN</v>
          </cell>
          <cell r="G280">
            <v>12</v>
          </cell>
          <cell r="H280" t="str">
            <v>Fournitures pour les sessions de formation (apprenants et formateurs)</v>
          </cell>
          <cell r="I280" t="str">
            <v>DNES</v>
          </cell>
          <cell r="K280" t="str">
            <v>FC/PSE</v>
          </cell>
          <cell r="L280" t="str">
            <v>AUT</v>
          </cell>
          <cell r="M280">
            <v>1100</v>
          </cell>
          <cell r="N280" t="str">
            <v>lot</v>
          </cell>
          <cell r="P280">
            <v>15</v>
          </cell>
          <cell r="Q280">
            <v>1</v>
          </cell>
          <cell r="R280">
            <v>16500</v>
          </cell>
          <cell r="S280">
            <v>1</v>
          </cell>
          <cell r="Y280">
            <v>0</v>
          </cell>
          <cell r="Z280">
            <v>16500</v>
          </cell>
          <cell r="AA280">
            <v>0</v>
          </cell>
          <cell r="AB280">
            <v>0</v>
          </cell>
          <cell r="AC280">
            <v>0</v>
          </cell>
          <cell r="AD280">
            <v>0</v>
          </cell>
          <cell r="AE280">
            <v>0</v>
          </cell>
          <cell r="AF280">
            <v>16500</v>
          </cell>
        </row>
        <row r="281">
          <cell r="B281" t="str">
            <v>DNES</v>
          </cell>
          <cell r="C281" t="str">
            <v>Q</v>
          </cell>
          <cell r="D281" t="str">
            <v>22C</v>
          </cell>
          <cell r="E281" t="str">
            <v>IRE/</v>
          </cell>
          <cell r="F281" t="str">
            <v>FC/</v>
          </cell>
          <cell r="G281">
            <v>12</v>
          </cell>
          <cell r="H281" t="str">
            <v>Perdiems apprenants non résidents (25%)</v>
          </cell>
          <cell r="I281" t="str">
            <v>DNES</v>
          </cell>
          <cell r="K281" t="str">
            <v>FC/PSE</v>
          </cell>
          <cell r="L281" t="str">
            <v>AUT</v>
          </cell>
          <cell r="M281">
            <v>1000</v>
          </cell>
          <cell r="N281" t="str">
            <v>pxj</v>
          </cell>
          <cell r="O281" t="str">
            <v>asp</v>
          </cell>
          <cell r="P281">
            <v>98.48</v>
          </cell>
          <cell r="Q281">
            <v>1</v>
          </cell>
          <cell r="R281">
            <v>98480</v>
          </cell>
          <cell r="S281">
            <v>0.25</v>
          </cell>
          <cell r="T281">
            <v>0.25</v>
          </cell>
          <cell r="U281">
            <v>0.25</v>
          </cell>
          <cell r="V281">
            <v>0.25</v>
          </cell>
          <cell r="Y281">
            <v>0</v>
          </cell>
          <cell r="Z281">
            <v>24620</v>
          </cell>
          <cell r="AA281">
            <v>24620</v>
          </cell>
          <cell r="AB281">
            <v>24620</v>
          </cell>
          <cell r="AC281">
            <v>24620</v>
          </cell>
          <cell r="AD281">
            <v>0</v>
          </cell>
          <cell r="AE281">
            <v>0</v>
          </cell>
          <cell r="AF281">
            <v>98480</v>
          </cell>
        </row>
        <row r="282">
          <cell r="B282" t="str">
            <v>DNES</v>
          </cell>
          <cell r="C282" t="str">
            <v>Q</v>
          </cell>
          <cell r="D282" t="str">
            <v>22C</v>
          </cell>
          <cell r="E282" t="str">
            <v>IRE/</v>
          </cell>
          <cell r="F282" t="str">
            <v>FC/</v>
          </cell>
          <cell r="G282">
            <v>12</v>
          </cell>
          <cell r="H282" t="str">
            <v>Transport interurbain apprenants non résidents (25%) (aller-retour)</v>
          </cell>
          <cell r="I282" t="str">
            <v>DNES</v>
          </cell>
          <cell r="K282" t="str">
            <v>FC/PSE</v>
          </cell>
          <cell r="L282" t="str">
            <v>AUT</v>
          </cell>
          <cell r="M282">
            <v>250</v>
          </cell>
          <cell r="N282" t="str">
            <v>a/r</v>
          </cell>
          <cell r="P282">
            <v>30</v>
          </cell>
          <cell r="Q282">
            <v>1</v>
          </cell>
          <cell r="R282">
            <v>7500</v>
          </cell>
          <cell r="S282">
            <v>0.25</v>
          </cell>
          <cell r="T282">
            <v>0.25</v>
          </cell>
          <cell r="U282">
            <v>0.25</v>
          </cell>
          <cell r="V282">
            <v>0.25</v>
          </cell>
          <cell r="Y282">
            <v>0</v>
          </cell>
          <cell r="Z282">
            <v>1875</v>
          </cell>
          <cell r="AA282">
            <v>1875</v>
          </cell>
          <cell r="AB282">
            <v>1875</v>
          </cell>
          <cell r="AC282">
            <v>1875</v>
          </cell>
          <cell r="AD282">
            <v>0</v>
          </cell>
          <cell r="AE282">
            <v>0</v>
          </cell>
          <cell r="AF282">
            <v>7500</v>
          </cell>
        </row>
        <row r="283">
          <cell r="B283" t="str">
            <v>DNES</v>
          </cell>
          <cell r="C283" t="str">
            <v>Q</v>
          </cell>
          <cell r="D283" t="str">
            <v>22C</v>
          </cell>
          <cell r="E283" t="str">
            <v>IRE/</v>
          </cell>
          <cell r="F283" t="str">
            <v>FC/</v>
          </cell>
          <cell r="G283">
            <v>12</v>
          </cell>
          <cell r="H283" t="str">
            <v>Perdiems apprenants résidents (75%)</v>
          </cell>
          <cell r="I283" t="str">
            <v>DNES</v>
          </cell>
          <cell r="K283" t="str">
            <v>FC/PSE</v>
          </cell>
          <cell r="L283" t="str">
            <v>AUT</v>
          </cell>
          <cell r="M283">
            <v>3000</v>
          </cell>
          <cell r="N283" t="str">
            <v>pxj</v>
          </cell>
          <cell r="O283" t="str">
            <v>asp</v>
          </cell>
          <cell r="P283">
            <v>24.62</v>
          </cell>
          <cell r="Q283">
            <v>1</v>
          </cell>
          <cell r="R283">
            <v>73860</v>
          </cell>
          <cell r="S283">
            <v>0.25</v>
          </cell>
          <cell r="T283">
            <v>0.25</v>
          </cell>
          <cell r="U283">
            <v>0.25</v>
          </cell>
          <cell r="V283">
            <v>0.25</v>
          </cell>
          <cell r="Y283">
            <v>0</v>
          </cell>
          <cell r="Z283">
            <v>18465</v>
          </cell>
          <cell r="AA283">
            <v>18465</v>
          </cell>
          <cell r="AB283">
            <v>18465</v>
          </cell>
          <cell r="AC283">
            <v>18465</v>
          </cell>
          <cell r="AD283">
            <v>0</v>
          </cell>
          <cell r="AE283">
            <v>0</v>
          </cell>
          <cell r="AF283">
            <v>73860</v>
          </cell>
        </row>
        <row r="284">
          <cell r="B284" t="str">
            <v>DNES</v>
          </cell>
          <cell r="C284" t="str">
            <v>Q</v>
          </cell>
          <cell r="D284" t="str">
            <v>22C</v>
          </cell>
          <cell r="E284" t="str">
            <v>IRE/</v>
          </cell>
          <cell r="F284" t="str">
            <v>FC/</v>
          </cell>
          <cell r="G284">
            <v>12</v>
          </cell>
          <cell r="H284" t="str">
            <v>Transport urbain apprenants (aller-retour)</v>
          </cell>
          <cell r="I284" t="str">
            <v>DNES</v>
          </cell>
          <cell r="K284" t="str">
            <v>FC/PSE</v>
          </cell>
          <cell r="L284" t="str">
            <v>AUT</v>
          </cell>
          <cell r="M284">
            <v>4000</v>
          </cell>
          <cell r="N284" t="str">
            <v>j</v>
          </cell>
          <cell r="P284">
            <v>10</v>
          </cell>
          <cell r="Q284">
            <v>1</v>
          </cell>
          <cell r="R284">
            <v>40000</v>
          </cell>
          <cell r="S284">
            <v>0.25</v>
          </cell>
          <cell r="T284">
            <v>0.25</v>
          </cell>
          <cell r="U284">
            <v>0.25</v>
          </cell>
          <cell r="V284">
            <v>0.25</v>
          </cell>
          <cell r="Y284">
            <v>0</v>
          </cell>
          <cell r="Z284">
            <v>10000</v>
          </cell>
          <cell r="AA284">
            <v>10000</v>
          </cell>
          <cell r="AB284">
            <v>10000</v>
          </cell>
          <cell r="AC284">
            <v>10000</v>
          </cell>
          <cell r="AD284">
            <v>0</v>
          </cell>
          <cell r="AE284">
            <v>0</v>
          </cell>
          <cell r="AF284">
            <v>40000</v>
          </cell>
        </row>
        <row r="285">
          <cell r="B285" t="str">
            <v>DNES</v>
          </cell>
          <cell r="C285" t="str">
            <v>Q</v>
          </cell>
          <cell r="D285" t="str">
            <v>22C</v>
          </cell>
          <cell r="E285" t="str">
            <v>IRE/</v>
          </cell>
          <cell r="F285" t="str">
            <v>FC/</v>
          </cell>
          <cell r="G285">
            <v>12</v>
          </cell>
          <cell r="H285" t="str">
            <v>Perdiem formateurs non résidents (50%)</v>
          </cell>
          <cell r="I285" t="str">
            <v>DNES</v>
          </cell>
          <cell r="K285" t="str">
            <v>FC/PSE</v>
          </cell>
          <cell r="L285" t="str">
            <v>AUT</v>
          </cell>
          <cell r="M285">
            <v>200</v>
          </cell>
          <cell r="N285" t="str">
            <v>pxj</v>
          </cell>
          <cell r="O285" t="str">
            <v>asr</v>
          </cell>
          <cell r="P285">
            <v>123.10000000000001</v>
          </cell>
          <cell r="Q285">
            <v>1</v>
          </cell>
          <cell r="R285">
            <v>24620</v>
          </cell>
          <cell r="S285">
            <v>0.25</v>
          </cell>
          <cell r="T285">
            <v>0.25</v>
          </cell>
          <cell r="U285">
            <v>0.25</v>
          </cell>
          <cell r="V285">
            <v>0.25</v>
          </cell>
          <cell r="Y285">
            <v>0</v>
          </cell>
          <cell r="Z285">
            <v>6155</v>
          </cell>
          <cell r="AA285">
            <v>6155</v>
          </cell>
          <cell r="AB285">
            <v>6155</v>
          </cell>
          <cell r="AC285">
            <v>6155</v>
          </cell>
          <cell r="AD285">
            <v>0</v>
          </cell>
          <cell r="AE285">
            <v>0</v>
          </cell>
          <cell r="AF285">
            <v>24620</v>
          </cell>
        </row>
        <row r="286">
          <cell r="B286" t="str">
            <v>DNES</v>
          </cell>
          <cell r="C286" t="str">
            <v>Q</v>
          </cell>
          <cell r="D286" t="str">
            <v>22C</v>
          </cell>
          <cell r="E286" t="str">
            <v>IRE/</v>
          </cell>
          <cell r="F286" t="str">
            <v>FC/</v>
          </cell>
          <cell r="G286">
            <v>12</v>
          </cell>
          <cell r="H286" t="str">
            <v>Transport interurbain formateurs non résidents (50%) (aller-retour)</v>
          </cell>
          <cell r="I286" t="str">
            <v>DNES</v>
          </cell>
          <cell r="K286" t="str">
            <v>FC/PSE</v>
          </cell>
          <cell r="L286" t="str">
            <v>AUT</v>
          </cell>
          <cell r="M286">
            <v>50</v>
          </cell>
          <cell r="N286" t="str">
            <v>a/r</v>
          </cell>
          <cell r="P286">
            <v>30</v>
          </cell>
          <cell r="Q286">
            <v>1</v>
          </cell>
          <cell r="R286">
            <v>1500</v>
          </cell>
          <cell r="S286">
            <v>0.25</v>
          </cell>
          <cell r="T286">
            <v>0.25</v>
          </cell>
          <cell r="U286">
            <v>0.25</v>
          </cell>
          <cell r="V286">
            <v>0.25</v>
          </cell>
          <cell r="Y286">
            <v>0</v>
          </cell>
          <cell r="Z286">
            <v>375</v>
          </cell>
          <cell r="AA286">
            <v>375</v>
          </cell>
          <cell r="AB286">
            <v>375</v>
          </cell>
          <cell r="AC286">
            <v>375</v>
          </cell>
          <cell r="AD286">
            <v>0</v>
          </cell>
          <cell r="AE286">
            <v>0</v>
          </cell>
          <cell r="AF286">
            <v>1500</v>
          </cell>
        </row>
        <row r="287">
          <cell r="B287" t="str">
            <v>DNES</v>
          </cell>
          <cell r="C287" t="str">
            <v>Q</v>
          </cell>
          <cell r="D287" t="str">
            <v>22C</v>
          </cell>
          <cell r="E287" t="str">
            <v>IRE/</v>
          </cell>
          <cell r="F287" t="str">
            <v>FC/</v>
          </cell>
          <cell r="G287">
            <v>12</v>
          </cell>
          <cell r="H287" t="str">
            <v>Perdiem formateurs résidents (50%)</v>
          </cell>
          <cell r="I287" t="str">
            <v>DNES</v>
          </cell>
          <cell r="K287" t="str">
            <v>FC/PSE</v>
          </cell>
          <cell r="L287" t="str">
            <v>AUT</v>
          </cell>
          <cell r="M287">
            <v>200</v>
          </cell>
          <cell r="N287" t="str">
            <v>pxj</v>
          </cell>
          <cell r="O287" t="str">
            <v>asr</v>
          </cell>
          <cell r="P287">
            <v>30.775000000000002</v>
          </cell>
          <cell r="Q287">
            <v>1</v>
          </cell>
          <cell r="R287">
            <v>6155</v>
          </cell>
          <cell r="S287">
            <v>0.25</v>
          </cell>
          <cell r="T287">
            <v>0.25</v>
          </cell>
          <cell r="U287">
            <v>0.25</v>
          </cell>
          <cell r="V287">
            <v>0.25</v>
          </cell>
          <cell r="Y287">
            <v>0</v>
          </cell>
          <cell r="Z287">
            <v>1538.75</v>
          </cell>
          <cell r="AA287">
            <v>1538.75</v>
          </cell>
          <cell r="AB287">
            <v>1538.75</v>
          </cell>
          <cell r="AC287">
            <v>1538.75</v>
          </cell>
          <cell r="AD287">
            <v>0</v>
          </cell>
          <cell r="AE287">
            <v>0</v>
          </cell>
          <cell r="AF287">
            <v>6155</v>
          </cell>
        </row>
        <row r="288">
          <cell r="B288" t="str">
            <v>DNES</v>
          </cell>
          <cell r="C288" t="str">
            <v>Q</v>
          </cell>
          <cell r="D288" t="str">
            <v>22C</v>
          </cell>
          <cell r="E288" t="str">
            <v>IRE/</v>
          </cell>
          <cell r="F288" t="str">
            <v>FC/</v>
          </cell>
          <cell r="G288">
            <v>12</v>
          </cell>
          <cell r="H288" t="str">
            <v>Transport urbain formateurs (100%)</v>
          </cell>
          <cell r="I288" t="str">
            <v>DNES</v>
          </cell>
          <cell r="K288" t="str">
            <v>FC/PSE</v>
          </cell>
          <cell r="L288" t="str">
            <v>AUT</v>
          </cell>
          <cell r="M288">
            <v>400</v>
          </cell>
          <cell r="N288" t="str">
            <v>j</v>
          </cell>
          <cell r="P288">
            <v>10</v>
          </cell>
          <cell r="Q288">
            <v>1</v>
          </cell>
          <cell r="R288">
            <v>4000</v>
          </cell>
          <cell r="S288">
            <v>0.25</v>
          </cell>
          <cell r="T288">
            <v>0.25</v>
          </cell>
          <cell r="U288">
            <v>0.25</v>
          </cell>
          <cell r="V288">
            <v>0.25</v>
          </cell>
          <cell r="Y288">
            <v>0</v>
          </cell>
          <cell r="Z288">
            <v>1000</v>
          </cell>
          <cell r="AA288">
            <v>1000</v>
          </cell>
          <cell r="AB288">
            <v>1000</v>
          </cell>
          <cell r="AC288">
            <v>1000</v>
          </cell>
          <cell r="AD288">
            <v>0</v>
          </cell>
          <cell r="AE288">
            <v>0</v>
          </cell>
          <cell r="AF288">
            <v>4000</v>
          </cell>
        </row>
        <row r="289">
          <cell r="H289" t="str">
            <v>Suivi/supervision de la formation</v>
          </cell>
        </row>
        <row r="290">
          <cell r="B290" t="str">
            <v>DNES</v>
          </cell>
          <cell r="C290" t="str">
            <v>Q</v>
          </cell>
          <cell r="D290" t="str">
            <v>22C</v>
          </cell>
          <cell r="E290" t="str">
            <v>IRE/</v>
          </cell>
          <cell r="F290" t="str">
            <v>FC/</v>
          </cell>
          <cell r="G290">
            <v>12</v>
          </cell>
          <cell r="H290" t="str">
            <v>Ateliers annuels régionaux coordination suivi sessions FC (3at x 60pxj)</v>
          </cell>
          <cell r="I290" t="str">
            <v>DNES</v>
          </cell>
          <cell r="K290" t="str">
            <v>FC/PSE</v>
          </cell>
          <cell r="L290" t="str">
            <v>AUT</v>
          </cell>
          <cell r="M290">
            <v>60</v>
          </cell>
          <cell r="N290" t="str">
            <v>pxj</v>
          </cell>
          <cell r="O290" t="str">
            <v>asr</v>
          </cell>
          <cell r="P290">
            <v>123.10000000000001</v>
          </cell>
          <cell r="Q290">
            <v>1</v>
          </cell>
          <cell r="R290">
            <v>7386.0000000000009</v>
          </cell>
          <cell r="S290">
            <v>0.5</v>
          </cell>
          <cell r="V290">
            <v>0.5</v>
          </cell>
          <cell r="Y290">
            <v>0</v>
          </cell>
          <cell r="Z290">
            <v>3693.0000000000005</v>
          </cell>
          <cell r="AA290">
            <v>0</v>
          </cell>
          <cell r="AB290">
            <v>0</v>
          </cell>
          <cell r="AC290">
            <v>3693.0000000000005</v>
          </cell>
          <cell r="AD290">
            <v>0</v>
          </cell>
          <cell r="AE290">
            <v>0</v>
          </cell>
          <cell r="AF290">
            <v>7386.0000000000009</v>
          </cell>
        </row>
        <row r="291">
          <cell r="B291" t="str">
            <v>DNES</v>
          </cell>
          <cell r="C291" t="str">
            <v>Q</v>
          </cell>
          <cell r="D291" t="str">
            <v>22C</v>
          </cell>
          <cell r="E291" t="str">
            <v>IRE/</v>
          </cell>
          <cell r="F291" t="str">
            <v>FC/</v>
          </cell>
          <cell r="G291">
            <v>12</v>
          </cell>
          <cell r="H291" t="str">
            <v>Supervision régionale (IRE + CRFC) des sessions de FC (1j par session)</v>
          </cell>
          <cell r="I291" t="str">
            <v>DNES</v>
          </cell>
          <cell r="K291" t="str">
            <v>FC/PSE</v>
          </cell>
          <cell r="L291" t="str">
            <v>AUT</v>
          </cell>
          <cell r="M291">
            <v>50</v>
          </cell>
          <cell r="N291" t="str">
            <v>pxj</v>
          </cell>
          <cell r="O291" t="str">
            <v>mir</v>
          </cell>
          <cell r="P291">
            <v>196.96</v>
          </cell>
          <cell r="Q291">
            <v>1</v>
          </cell>
          <cell r="R291">
            <v>9848</v>
          </cell>
          <cell r="S291">
            <v>0.25</v>
          </cell>
          <cell r="T291">
            <v>0.25</v>
          </cell>
          <cell r="U291">
            <v>0.25</v>
          </cell>
          <cell r="V291">
            <v>0.25</v>
          </cell>
          <cell r="Y291">
            <v>0</v>
          </cell>
          <cell r="Z291">
            <v>2462</v>
          </cell>
          <cell r="AA291">
            <v>2462</v>
          </cell>
          <cell r="AB291">
            <v>2462</v>
          </cell>
          <cell r="AC291">
            <v>2462</v>
          </cell>
          <cell r="AD291">
            <v>0</v>
          </cell>
          <cell r="AE291">
            <v>0</v>
          </cell>
          <cell r="AF291">
            <v>9848</v>
          </cell>
        </row>
        <row r="292">
          <cell r="B292" t="str">
            <v>DNES</v>
          </cell>
          <cell r="C292" t="str">
            <v>Q</v>
          </cell>
          <cell r="D292" t="str">
            <v>22C</v>
          </cell>
          <cell r="E292" t="str">
            <v>DNES</v>
          </cell>
          <cell r="F292" t="str">
            <v>FC/CN</v>
          </cell>
          <cell r="G292">
            <v>12</v>
          </cell>
          <cell r="H292" t="str">
            <v>Supervision centrale (10 trim x 8 reg x 3j)</v>
          </cell>
          <cell r="I292" t="str">
            <v>DNES</v>
          </cell>
          <cell r="K292" t="str">
            <v>FC/PSE</v>
          </cell>
          <cell r="L292" t="str">
            <v>AUT</v>
          </cell>
          <cell r="M292">
            <v>96</v>
          </cell>
          <cell r="N292" t="str">
            <v>pxj</v>
          </cell>
          <cell r="O292" t="str">
            <v>min</v>
          </cell>
          <cell r="P292">
            <v>246.20000000000002</v>
          </cell>
          <cell r="Q292">
            <v>1</v>
          </cell>
          <cell r="R292">
            <v>23635.200000000001</v>
          </cell>
          <cell r="S292">
            <v>0.25</v>
          </cell>
          <cell r="T292">
            <v>0.25</v>
          </cell>
          <cell r="U292">
            <v>0.25</v>
          </cell>
          <cell r="V292">
            <v>0.25</v>
          </cell>
          <cell r="Y292">
            <v>0</v>
          </cell>
          <cell r="Z292">
            <v>5908.8</v>
          </cell>
          <cell r="AA292">
            <v>5908.8</v>
          </cell>
          <cell r="AB292">
            <v>5908.8</v>
          </cell>
          <cell r="AC292">
            <v>5908.8</v>
          </cell>
          <cell r="AD292">
            <v>0</v>
          </cell>
          <cell r="AE292">
            <v>0</v>
          </cell>
          <cell r="AF292">
            <v>23635.200000000001</v>
          </cell>
        </row>
        <row r="293">
          <cell r="H293" t="str">
            <v>Manuels élèves des lycées</v>
          </cell>
          <cell r="R293">
            <v>10180826.000000002</v>
          </cell>
          <cell r="Z293">
            <v>30000</v>
          </cell>
          <cell r="AA293">
            <v>10150826.000000002</v>
          </cell>
          <cell r="AB293">
            <v>0</v>
          </cell>
          <cell r="AC293">
            <v>0</v>
          </cell>
          <cell r="AD293">
            <v>0</v>
          </cell>
          <cell r="AE293">
            <v>0</v>
          </cell>
          <cell r="AF293">
            <v>10180826.000000002</v>
          </cell>
        </row>
        <row r="294">
          <cell r="B294" t="str">
            <v>INRAP/DNEE</v>
          </cell>
          <cell r="C294" t="str">
            <v>Q</v>
          </cell>
          <cell r="D294" t="str">
            <v>22D</v>
          </cell>
          <cell r="E294" t="str">
            <v>INRAP</v>
          </cell>
          <cell r="F294" t="str">
            <v>FC/CN</v>
          </cell>
          <cell r="G294">
            <v>24</v>
          </cell>
          <cell r="H294" t="str">
            <v>Elaboration manuscrits de 3 manuels d'anglais 11è, 12è, et Tle</v>
          </cell>
          <cell r="I294" t="str">
            <v>CN/PSE</v>
          </cell>
          <cell r="K294" t="str">
            <v>FC/PSE</v>
          </cell>
          <cell r="L294" t="str">
            <v>AUT</v>
          </cell>
          <cell r="M294">
            <v>3</v>
          </cell>
          <cell r="N294" t="str">
            <v>forfait</v>
          </cell>
          <cell r="P294">
            <v>10000</v>
          </cell>
          <cell r="Q294">
            <v>1</v>
          </cell>
          <cell r="R294">
            <v>30000</v>
          </cell>
          <cell r="S294">
            <v>1</v>
          </cell>
          <cell r="Y294">
            <v>0</v>
          </cell>
          <cell r="Z294">
            <v>30000</v>
          </cell>
          <cell r="AA294">
            <v>0</v>
          </cell>
          <cell r="AB294">
            <v>0</v>
          </cell>
          <cell r="AC294">
            <v>0</v>
          </cell>
          <cell r="AD294">
            <v>0</v>
          </cell>
          <cell r="AE294">
            <v>0</v>
          </cell>
          <cell r="AF294">
            <v>30000</v>
          </cell>
        </row>
        <row r="295">
          <cell r="B295" t="str">
            <v>INRAP/DNES</v>
          </cell>
          <cell r="C295" t="str">
            <v>Q</v>
          </cell>
          <cell r="D295" t="str">
            <v>22D</v>
          </cell>
          <cell r="E295" t="str">
            <v>EP/</v>
          </cell>
          <cell r="F295" t="str">
            <v>FC/CN</v>
          </cell>
          <cell r="G295">
            <v>24</v>
          </cell>
          <cell r="H295" t="str">
            <v>Acquisition manuels français : 11è, 12è, Tle</v>
          </cell>
          <cell r="I295" t="str">
            <v>CN/PSE</v>
          </cell>
          <cell r="K295" t="str">
            <v>FC/PSE</v>
          </cell>
          <cell r="L295" t="str">
            <v>AOI</v>
          </cell>
          <cell r="M295">
            <v>136000</v>
          </cell>
          <cell r="N295" t="str">
            <v>u</v>
          </cell>
          <cell r="O295" t="str">
            <v>rml</v>
          </cell>
          <cell r="P295">
            <v>17.234000000000002</v>
          </cell>
          <cell r="Q295">
            <v>1</v>
          </cell>
          <cell r="R295">
            <v>2343824.0000000005</v>
          </cell>
          <cell r="T295">
            <v>1</v>
          </cell>
          <cell r="Y295">
            <v>0</v>
          </cell>
          <cell r="Z295">
            <v>0</v>
          </cell>
          <cell r="AA295">
            <v>2343824.0000000005</v>
          </cell>
          <cell r="AB295">
            <v>0</v>
          </cell>
          <cell r="AC295">
            <v>0</v>
          </cell>
          <cell r="AD295">
            <v>0</v>
          </cell>
          <cell r="AE295">
            <v>0</v>
          </cell>
          <cell r="AF295">
            <v>2343824.0000000005</v>
          </cell>
        </row>
        <row r="296">
          <cell r="B296" t="str">
            <v>INRAP/DNES</v>
          </cell>
          <cell r="C296" t="str">
            <v>Q</v>
          </cell>
          <cell r="D296" t="str">
            <v>22D</v>
          </cell>
          <cell r="E296" t="str">
            <v>EP/</v>
          </cell>
          <cell r="F296" t="str">
            <v>FC/CN</v>
          </cell>
          <cell r="G296">
            <v>24</v>
          </cell>
          <cell r="H296" t="str">
            <v>Acquisition manuels mathématiques : 11è, 12è, Tle</v>
          </cell>
          <cell r="I296" t="str">
            <v>CN/PSE</v>
          </cell>
          <cell r="K296" t="str">
            <v>FC/PSE</v>
          </cell>
          <cell r="L296" t="str">
            <v>AOI</v>
          </cell>
          <cell r="M296">
            <v>85000</v>
          </cell>
          <cell r="N296" t="str">
            <v>u</v>
          </cell>
          <cell r="O296" t="str">
            <v>rml</v>
          </cell>
          <cell r="P296">
            <v>17.234000000000002</v>
          </cell>
          <cell r="Q296">
            <v>1</v>
          </cell>
          <cell r="R296">
            <v>1464890.0000000002</v>
          </cell>
          <cell r="T296">
            <v>1</v>
          </cell>
          <cell r="Y296">
            <v>0</v>
          </cell>
          <cell r="Z296">
            <v>0</v>
          </cell>
          <cell r="AA296">
            <v>1464890.0000000002</v>
          </cell>
          <cell r="AB296">
            <v>0</v>
          </cell>
          <cell r="AC296">
            <v>0</v>
          </cell>
          <cell r="AD296">
            <v>0</v>
          </cell>
          <cell r="AE296">
            <v>0</v>
          </cell>
          <cell r="AF296">
            <v>1464890.0000000002</v>
          </cell>
        </row>
        <row r="297">
          <cell r="B297" t="str">
            <v>INRAP/DNES</v>
          </cell>
          <cell r="C297" t="str">
            <v>Q</v>
          </cell>
          <cell r="D297" t="str">
            <v>22D</v>
          </cell>
          <cell r="E297" t="str">
            <v>EP/</v>
          </cell>
          <cell r="F297" t="str">
            <v>FC/CN</v>
          </cell>
          <cell r="G297">
            <v>24</v>
          </cell>
          <cell r="H297" t="str">
            <v>Acquisition manuels biologie/géologie : 11è, 12è, Tle</v>
          </cell>
          <cell r="I297" t="str">
            <v>CN/PSE</v>
          </cell>
          <cell r="K297" t="str">
            <v>FC/PSE</v>
          </cell>
          <cell r="L297" t="str">
            <v>AOI</v>
          </cell>
          <cell r="M297">
            <v>45000</v>
          </cell>
          <cell r="N297" t="str">
            <v>u</v>
          </cell>
          <cell r="O297" t="str">
            <v>rml</v>
          </cell>
          <cell r="P297">
            <v>17.234000000000002</v>
          </cell>
          <cell r="Q297">
            <v>1</v>
          </cell>
          <cell r="R297">
            <v>775530.00000000012</v>
          </cell>
          <cell r="T297">
            <v>1</v>
          </cell>
          <cell r="Y297">
            <v>0</v>
          </cell>
          <cell r="Z297">
            <v>0</v>
          </cell>
          <cell r="AA297">
            <v>775530.00000000012</v>
          </cell>
          <cell r="AB297">
            <v>0</v>
          </cell>
          <cell r="AC297">
            <v>0</v>
          </cell>
          <cell r="AD297">
            <v>0</v>
          </cell>
          <cell r="AE297">
            <v>0</v>
          </cell>
          <cell r="AF297">
            <v>775530.00000000012</v>
          </cell>
        </row>
        <row r="298">
          <cell r="B298" t="str">
            <v>INRAP/DNES</v>
          </cell>
          <cell r="C298" t="str">
            <v>Q</v>
          </cell>
          <cell r="D298" t="str">
            <v>22D</v>
          </cell>
          <cell r="E298" t="str">
            <v>EP/</v>
          </cell>
          <cell r="F298" t="str">
            <v>FC/CN</v>
          </cell>
          <cell r="G298">
            <v>24</v>
          </cell>
          <cell r="H298" t="str">
            <v>Acquisition manuels physique : 11è, 12è, Tle</v>
          </cell>
          <cell r="I298" t="str">
            <v>CN/PSE</v>
          </cell>
          <cell r="K298" t="str">
            <v>FC/PSE</v>
          </cell>
          <cell r="L298" t="str">
            <v>AOI</v>
          </cell>
          <cell r="M298">
            <v>85000</v>
          </cell>
          <cell r="N298" t="str">
            <v>u</v>
          </cell>
          <cell r="O298" t="str">
            <v>rml</v>
          </cell>
          <cell r="P298">
            <v>17.234000000000002</v>
          </cell>
          <cell r="Q298">
            <v>1</v>
          </cell>
          <cell r="R298">
            <v>1464890.0000000002</v>
          </cell>
          <cell r="T298">
            <v>1</v>
          </cell>
          <cell r="Y298">
            <v>0</v>
          </cell>
          <cell r="Z298">
            <v>0</v>
          </cell>
          <cell r="AA298">
            <v>1464890.0000000002</v>
          </cell>
          <cell r="AB298">
            <v>0</v>
          </cell>
          <cell r="AC298">
            <v>0</v>
          </cell>
          <cell r="AD298">
            <v>0</v>
          </cell>
          <cell r="AE298">
            <v>0</v>
          </cell>
          <cell r="AF298">
            <v>1464890.0000000002</v>
          </cell>
        </row>
        <row r="299">
          <cell r="B299" t="str">
            <v>INRAP/DNES</v>
          </cell>
          <cell r="C299" t="str">
            <v>Q</v>
          </cell>
          <cell r="D299" t="str">
            <v>22D</v>
          </cell>
          <cell r="E299" t="str">
            <v>EP/</v>
          </cell>
          <cell r="F299" t="str">
            <v>FC/CN</v>
          </cell>
          <cell r="G299">
            <v>24</v>
          </cell>
          <cell r="H299" t="str">
            <v>Acquisition manuels chimie : 11è, 12è, Tle</v>
          </cell>
          <cell r="I299" t="str">
            <v>CN/PSE</v>
          </cell>
          <cell r="K299" t="str">
            <v>FC/PSE</v>
          </cell>
          <cell r="L299" t="str">
            <v>AOI</v>
          </cell>
          <cell r="M299">
            <v>85000</v>
          </cell>
          <cell r="N299" t="str">
            <v>u</v>
          </cell>
          <cell r="O299" t="str">
            <v>rml</v>
          </cell>
          <cell r="P299">
            <v>17.234000000000002</v>
          </cell>
          <cell r="Q299">
            <v>1</v>
          </cell>
          <cell r="R299">
            <v>1464890.0000000002</v>
          </cell>
          <cell r="T299">
            <v>1</v>
          </cell>
          <cell r="Y299">
            <v>0</v>
          </cell>
          <cell r="Z299">
            <v>0</v>
          </cell>
          <cell r="AA299">
            <v>1464890.0000000002</v>
          </cell>
          <cell r="AB299">
            <v>0</v>
          </cell>
          <cell r="AC299">
            <v>0</v>
          </cell>
          <cell r="AD299">
            <v>0</v>
          </cell>
          <cell r="AE299">
            <v>0</v>
          </cell>
          <cell r="AF299">
            <v>1464890.0000000002</v>
          </cell>
        </row>
        <row r="300">
          <cell r="B300" t="str">
            <v>INRAP/DNES</v>
          </cell>
          <cell r="C300" t="str">
            <v>Q</v>
          </cell>
          <cell r="D300" t="str">
            <v>22D</v>
          </cell>
          <cell r="E300" t="str">
            <v>EP/</v>
          </cell>
          <cell r="F300" t="str">
            <v>FC/CN</v>
          </cell>
          <cell r="G300">
            <v>24</v>
          </cell>
          <cell r="H300" t="str">
            <v>Acquisition manuels philosophie : 11è, 12è, Tle</v>
          </cell>
          <cell r="I300" t="str">
            <v>CN/PSE</v>
          </cell>
          <cell r="K300" t="str">
            <v>FC/PSE</v>
          </cell>
          <cell r="L300" t="str">
            <v>AOI</v>
          </cell>
          <cell r="M300">
            <v>51000</v>
          </cell>
          <cell r="N300" t="str">
            <v>u</v>
          </cell>
          <cell r="O300" t="str">
            <v>rml</v>
          </cell>
          <cell r="P300">
            <v>17.234000000000002</v>
          </cell>
          <cell r="Q300">
            <v>1</v>
          </cell>
          <cell r="R300">
            <v>878934.00000000012</v>
          </cell>
          <cell r="T300">
            <v>1</v>
          </cell>
          <cell r="Y300">
            <v>0</v>
          </cell>
          <cell r="Z300">
            <v>0</v>
          </cell>
          <cell r="AA300">
            <v>878934.00000000012</v>
          </cell>
          <cell r="AB300">
            <v>0</v>
          </cell>
          <cell r="AC300">
            <v>0</v>
          </cell>
          <cell r="AD300">
            <v>0</v>
          </cell>
          <cell r="AE300">
            <v>0</v>
          </cell>
          <cell r="AF300">
            <v>878934.00000000012</v>
          </cell>
        </row>
        <row r="301">
          <cell r="B301" t="str">
            <v>INRAP/DNES</v>
          </cell>
          <cell r="C301" t="str">
            <v>Q</v>
          </cell>
          <cell r="D301" t="str">
            <v>22D</v>
          </cell>
          <cell r="E301" t="str">
            <v>EP/</v>
          </cell>
          <cell r="F301" t="str">
            <v>FC/CN</v>
          </cell>
          <cell r="G301">
            <v>24</v>
          </cell>
          <cell r="H301" t="str">
            <v>Acquisition manuels économie : 11è, 12è, Tle</v>
          </cell>
          <cell r="I301" t="str">
            <v>CN/PSE</v>
          </cell>
          <cell r="K301" t="str">
            <v>FC/PSE</v>
          </cell>
          <cell r="L301" t="str">
            <v>AOI</v>
          </cell>
          <cell r="M301">
            <v>51000</v>
          </cell>
          <cell r="N301" t="str">
            <v>u</v>
          </cell>
          <cell r="O301" t="str">
            <v>rml</v>
          </cell>
          <cell r="P301">
            <v>17.234000000000002</v>
          </cell>
          <cell r="Q301">
            <v>1</v>
          </cell>
          <cell r="R301">
            <v>878934.00000000012</v>
          </cell>
          <cell r="T301">
            <v>1</v>
          </cell>
          <cell r="Y301">
            <v>0</v>
          </cell>
          <cell r="Z301">
            <v>0</v>
          </cell>
          <cell r="AA301">
            <v>878934.00000000012</v>
          </cell>
          <cell r="AB301">
            <v>0</v>
          </cell>
          <cell r="AC301">
            <v>0</v>
          </cell>
          <cell r="AD301">
            <v>0</v>
          </cell>
          <cell r="AE301">
            <v>0</v>
          </cell>
          <cell r="AF301">
            <v>878934.00000000012</v>
          </cell>
        </row>
        <row r="302">
          <cell r="B302" t="str">
            <v>INRAP/DNES</v>
          </cell>
          <cell r="C302" t="str">
            <v>Q</v>
          </cell>
          <cell r="D302" t="str">
            <v>22D</v>
          </cell>
          <cell r="E302" t="str">
            <v>EP/</v>
          </cell>
          <cell r="F302" t="str">
            <v>FC/CN</v>
          </cell>
          <cell r="G302">
            <v>24</v>
          </cell>
          <cell r="H302" t="str">
            <v>Edition manuels anglais : 11è, 12è, Tle</v>
          </cell>
          <cell r="I302" t="str">
            <v>CN/PSE</v>
          </cell>
          <cell r="K302" t="str">
            <v>FC/PSE</v>
          </cell>
          <cell r="L302" t="str">
            <v>AOI</v>
          </cell>
          <cell r="M302">
            <v>51000</v>
          </cell>
          <cell r="N302" t="str">
            <v>u</v>
          </cell>
          <cell r="O302" t="str">
            <v>eml</v>
          </cell>
          <cell r="P302">
            <v>17.234000000000002</v>
          </cell>
          <cell r="Q302">
            <v>1</v>
          </cell>
          <cell r="R302">
            <v>878934.00000000012</v>
          </cell>
          <cell r="T302">
            <v>1</v>
          </cell>
          <cell r="Y302">
            <v>0</v>
          </cell>
          <cell r="Z302">
            <v>0</v>
          </cell>
          <cell r="AA302">
            <v>878934.00000000012</v>
          </cell>
          <cell r="AB302">
            <v>0</v>
          </cell>
          <cell r="AC302">
            <v>0</v>
          </cell>
          <cell r="AD302">
            <v>0</v>
          </cell>
          <cell r="AE302">
            <v>0</v>
          </cell>
          <cell r="AF302">
            <v>878934.00000000012</v>
          </cell>
        </row>
        <row r="303">
          <cell r="H303" t="str">
            <v>P3 ENSEIGNEMENT TECHNIQUE ET PROFESSIONNEL</v>
          </cell>
          <cell r="R303">
            <v>30803388.175999999</v>
          </cell>
          <cell r="Z303">
            <v>1584942.8</v>
          </cell>
          <cell r="AA303">
            <v>3686821.28</v>
          </cell>
          <cell r="AB303">
            <v>3158262.64</v>
          </cell>
          <cell r="AC303">
            <v>6301744.2399999993</v>
          </cell>
          <cell r="AD303">
            <v>6612696.608</v>
          </cell>
          <cell r="AE303">
            <v>9458920.6079999991</v>
          </cell>
          <cell r="AF303">
            <v>30803388.175999999</v>
          </cell>
        </row>
        <row r="304">
          <cell r="H304" t="str">
            <v>FORMATION PROFESSIONNELLE COURTE DUREE</v>
          </cell>
          <cell r="R304">
            <v>18395888.175999995</v>
          </cell>
          <cell r="Z304">
            <v>1584942.8</v>
          </cell>
          <cell r="AA304">
            <v>1205321.2800000003</v>
          </cell>
          <cell r="AB304">
            <v>676762.64</v>
          </cell>
          <cell r="AC304">
            <v>3820244.24</v>
          </cell>
          <cell r="AD304">
            <v>4131196.608</v>
          </cell>
          <cell r="AE304">
            <v>6977420.608</v>
          </cell>
          <cell r="AF304">
            <v>18395888.175999995</v>
          </cell>
        </row>
        <row r="305">
          <cell r="H305" t="str">
            <v>Pilotage et partenariat</v>
          </cell>
          <cell r="R305">
            <v>2535596.88</v>
          </cell>
          <cell r="Z305">
            <v>1286550.8</v>
          </cell>
          <cell r="AA305">
            <v>803112.4800000001</v>
          </cell>
          <cell r="AB305">
            <v>435683.60000000003</v>
          </cell>
          <cell r="AC305">
            <v>10250</v>
          </cell>
          <cell r="AD305">
            <v>0</v>
          </cell>
          <cell r="AE305">
            <v>0</v>
          </cell>
          <cell r="AF305">
            <v>2535596.88</v>
          </cell>
        </row>
        <row r="306">
          <cell r="B306" t="str">
            <v>DNDPPE</v>
          </cell>
          <cell r="C306" t="str">
            <v>A</v>
          </cell>
          <cell r="D306" t="str">
            <v>31A</v>
          </cell>
          <cell r="E306" t="str">
            <v>DNDPPE</v>
          </cell>
          <cell r="F306" t="str">
            <v>FC/CN</v>
          </cell>
          <cell r="G306">
            <v>25</v>
          </cell>
          <cell r="H306" t="str">
            <v>Contrat de partenariat avec institution spécialisée en ETFP</v>
          </cell>
          <cell r="I306" t="str">
            <v>DNDPPE</v>
          </cell>
          <cell r="K306" t="str">
            <v>FC/PSE</v>
          </cell>
          <cell r="L306" t="str">
            <v>CR</v>
          </cell>
          <cell r="M306">
            <v>24</v>
          </cell>
          <cell r="N306" t="str">
            <v>pxm</v>
          </cell>
          <cell r="O306" t="str">
            <v>cic</v>
          </cell>
          <cell r="P306">
            <v>88632</v>
          </cell>
          <cell r="Q306">
            <v>1</v>
          </cell>
          <cell r="R306">
            <v>2127168</v>
          </cell>
          <cell r="S306">
            <v>0.6</v>
          </cell>
          <cell r="T306">
            <v>0.2</v>
          </cell>
          <cell r="U306">
            <v>0.2</v>
          </cell>
          <cell r="Y306">
            <v>0</v>
          </cell>
          <cell r="Z306">
            <v>1276300.8</v>
          </cell>
          <cell r="AA306">
            <v>425433.60000000003</v>
          </cell>
          <cell r="AB306">
            <v>425433.60000000003</v>
          </cell>
          <cell r="AC306">
            <v>0</v>
          </cell>
          <cell r="AD306">
            <v>0</v>
          </cell>
          <cell r="AE306">
            <v>0</v>
          </cell>
          <cell r="AF306">
            <v>2127168</v>
          </cell>
        </row>
        <row r="307">
          <cell r="B307" t="str">
            <v>DNDPPE</v>
          </cell>
          <cell r="C307" t="str">
            <v>A</v>
          </cell>
          <cell r="D307" t="str">
            <v>31A</v>
          </cell>
          <cell r="E307" t="str">
            <v>DNDPPE</v>
          </cell>
          <cell r="F307" t="str">
            <v>FC/CN</v>
          </cell>
          <cell r="G307">
            <v>15</v>
          </cell>
          <cell r="H307" t="str">
            <v>Création et fonctionnement d'un Comité de concertation de l'ETFP</v>
          </cell>
          <cell r="I307" t="str">
            <v>DNDPPE</v>
          </cell>
          <cell r="K307" t="str">
            <v>FC/PSE</v>
          </cell>
          <cell r="L307" t="str">
            <v>AUT</v>
          </cell>
          <cell r="M307">
            <v>1</v>
          </cell>
          <cell r="N307" t="str">
            <v>forfait</v>
          </cell>
          <cell r="P307">
            <v>5000</v>
          </cell>
          <cell r="Q307">
            <v>1</v>
          </cell>
          <cell r="R307">
            <v>5000</v>
          </cell>
          <cell r="S307">
            <v>0.25</v>
          </cell>
          <cell r="T307">
            <v>0.25</v>
          </cell>
          <cell r="U307">
            <v>0.25</v>
          </cell>
          <cell r="V307">
            <v>0.25</v>
          </cell>
          <cell r="Y307">
            <v>0</v>
          </cell>
          <cell r="Z307">
            <v>1250</v>
          </cell>
          <cell r="AA307">
            <v>1250</v>
          </cell>
          <cell r="AB307">
            <v>1250</v>
          </cell>
          <cell r="AC307">
            <v>1250</v>
          </cell>
          <cell r="AD307">
            <v>0</v>
          </cell>
          <cell r="AE307">
            <v>0</v>
          </cell>
          <cell r="AF307">
            <v>5000</v>
          </cell>
        </row>
        <row r="308">
          <cell r="B308" t="str">
            <v>DNDPPE</v>
          </cell>
          <cell r="C308" t="str">
            <v>A</v>
          </cell>
          <cell r="D308" t="str">
            <v>31A</v>
          </cell>
          <cell r="E308" t="str">
            <v>DNDPPE</v>
          </cell>
          <cell r="F308" t="str">
            <v>FC/CN</v>
          </cell>
          <cell r="G308">
            <v>15</v>
          </cell>
          <cell r="H308" t="str">
            <v>Appui au fonctionnement de la DNDPPE</v>
          </cell>
          <cell r="I308" t="str">
            <v>DNDPPE</v>
          </cell>
          <cell r="K308" t="str">
            <v>FC/PSE</v>
          </cell>
          <cell r="L308" t="str">
            <v>AUT</v>
          </cell>
          <cell r="M308">
            <v>12</v>
          </cell>
          <cell r="N308" t="str">
            <v>mois</v>
          </cell>
          <cell r="P308">
            <v>3000</v>
          </cell>
          <cell r="Q308">
            <v>1</v>
          </cell>
          <cell r="R308">
            <v>36000</v>
          </cell>
          <cell r="S308">
            <v>0.25</v>
          </cell>
          <cell r="T308">
            <v>0.25</v>
          </cell>
          <cell r="U308">
            <v>0.25</v>
          </cell>
          <cell r="V308">
            <v>0.25</v>
          </cell>
          <cell r="Y308">
            <v>0</v>
          </cell>
          <cell r="Z308">
            <v>9000</v>
          </cell>
          <cell r="AA308">
            <v>9000</v>
          </cell>
          <cell r="AB308">
            <v>9000</v>
          </cell>
          <cell r="AC308">
            <v>9000</v>
          </cell>
          <cell r="AD308">
            <v>0</v>
          </cell>
          <cell r="AE308">
            <v>0</v>
          </cell>
          <cell r="AF308">
            <v>36000</v>
          </cell>
        </row>
        <row r="309">
          <cell r="B309" t="str">
            <v>DNDPPE</v>
          </cell>
          <cell r="C309" t="str">
            <v>A</v>
          </cell>
          <cell r="D309" t="str">
            <v>31A</v>
          </cell>
          <cell r="E309" t="str">
            <v>DNDPPE</v>
          </cell>
          <cell r="F309" t="str">
            <v>FC/CN</v>
          </cell>
          <cell r="G309">
            <v>23</v>
          </cell>
          <cell r="H309" t="str">
            <v>Véhicule 4x4 PU double cabine</v>
          </cell>
          <cell r="I309" t="str">
            <v>DNDPPE</v>
          </cell>
          <cell r="K309" t="str">
            <v>FC/PSE</v>
          </cell>
          <cell r="L309" t="str">
            <v>AOI</v>
          </cell>
          <cell r="M309">
            <v>1</v>
          </cell>
          <cell r="N309" t="str">
            <v>véh</v>
          </cell>
          <cell r="O309" t="str">
            <v>vdc</v>
          </cell>
          <cell r="P309">
            <v>172340</v>
          </cell>
          <cell r="Q309">
            <v>1</v>
          </cell>
          <cell r="R309">
            <v>172340</v>
          </cell>
          <cell r="T309">
            <v>1</v>
          </cell>
          <cell r="Y309">
            <v>0</v>
          </cell>
          <cell r="Z309">
            <v>0</v>
          </cell>
          <cell r="AA309">
            <v>172340</v>
          </cell>
          <cell r="AB309">
            <v>0</v>
          </cell>
          <cell r="AC309">
            <v>0</v>
          </cell>
          <cell r="AD309">
            <v>0</v>
          </cell>
          <cell r="AE309">
            <v>0</v>
          </cell>
          <cell r="AF309">
            <v>172340</v>
          </cell>
        </row>
        <row r="310">
          <cell r="B310" t="str">
            <v>DNDPPE</v>
          </cell>
          <cell r="C310" t="str">
            <v>A</v>
          </cell>
          <cell r="D310" t="str">
            <v>31A</v>
          </cell>
          <cell r="E310" t="str">
            <v>DNDPPE</v>
          </cell>
          <cell r="F310" t="str">
            <v>FC/CN</v>
          </cell>
          <cell r="G310">
            <v>23</v>
          </cell>
          <cell r="H310" t="str">
            <v>Poste informatique complet (avec onduleur et imprimante)</v>
          </cell>
          <cell r="I310" t="str">
            <v>DNDPPE</v>
          </cell>
          <cell r="K310" t="str">
            <v>FC/PSE</v>
          </cell>
          <cell r="L310" t="str">
            <v>AOI</v>
          </cell>
          <cell r="M310">
            <v>5</v>
          </cell>
          <cell r="N310" t="str">
            <v>u</v>
          </cell>
          <cell r="O310" t="str">
            <v>pic</v>
          </cell>
          <cell r="P310">
            <v>14772.000000000002</v>
          </cell>
          <cell r="Q310">
            <v>1</v>
          </cell>
          <cell r="R310">
            <v>73860.000000000015</v>
          </cell>
          <cell r="T310">
            <v>1</v>
          </cell>
          <cell r="Y310">
            <v>0</v>
          </cell>
          <cell r="Z310">
            <v>0</v>
          </cell>
          <cell r="AA310">
            <v>73860.000000000015</v>
          </cell>
          <cell r="AB310">
            <v>0</v>
          </cell>
          <cell r="AC310">
            <v>0</v>
          </cell>
          <cell r="AD310">
            <v>0</v>
          </cell>
          <cell r="AE310">
            <v>0</v>
          </cell>
          <cell r="AF310">
            <v>73860.000000000015</v>
          </cell>
        </row>
        <row r="311">
          <cell r="B311" t="str">
            <v>DNDPPE</v>
          </cell>
          <cell r="C311" t="str">
            <v>A</v>
          </cell>
          <cell r="D311" t="str">
            <v>31A</v>
          </cell>
          <cell r="E311" t="str">
            <v>DNDPPE</v>
          </cell>
          <cell r="F311" t="str">
            <v>FC/CN</v>
          </cell>
          <cell r="G311">
            <v>23</v>
          </cell>
          <cell r="H311" t="str">
            <v>Photocopieur grande capacité</v>
          </cell>
          <cell r="I311" t="str">
            <v>DNDPPE</v>
          </cell>
          <cell r="K311" t="str">
            <v>FC/PSE</v>
          </cell>
          <cell r="L311" t="str">
            <v>AOI</v>
          </cell>
          <cell r="M311">
            <v>1</v>
          </cell>
          <cell r="N311" t="str">
            <v>u</v>
          </cell>
          <cell r="O311" t="str">
            <v>pgc</v>
          </cell>
          <cell r="P311">
            <v>121228.88000000003</v>
          </cell>
          <cell r="Q311">
            <v>1</v>
          </cell>
          <cell r="R311">
            <v>121228.88000000003</v>
          </cell>
          <cell r="T311">
            <v>1</v>
          </cell>
          <cell r="Y311">
            <v>0</v>
          </cell>
          <cell r="Z311">
            <v>0</v>
          </cell>
          <cell r="AA311">
            <v>121228.88000000003</v>
          </cell>
          <cell r="AB311">
            <v>0</v>
          </cell>
          <cell r="AC311">
            <v>0</v>
          </cell>
          <cell r="AD311">
            <v>0</v>
          </cell>
          <cell r="AE311">
            <v>0</v>
          </cell>
          <cell r="AF311">
            <v>121228.88000000003</v>
          </cell>
        </row>
        <row r="312">
          <cell r="H312" t="str">
            <v>Validation filières porteuses</v>
          </cell>
          <cell r="R312">
            <v>340439</v>
          </cell>
          <cell r="Z312">
            <v>290392</v>
          </cell>
          <cell r="AA312">
            <v>50047</v>
          </cell>
          <cell r="AB312">
            <v>0</v>
          </cell>
          <cell r="AC312">
            <v>0</v>
          </cell>
          <cell r="AD312">
            <v>0</v>
          </cell>
          <cell r="AE312">
            <v>0</v>
          </cell>
          <cell r="AF312">
            <v>340439</v>
          </cell>
        </row>
        <row r="313">
          <cell r="B313" t="str">
            <v>DNDPPE</v>
          </cell>
          <cell r="C313" t="str">
            <v>A</v>
          </cell>
          <cell r="D313" t="str">
            <v>31B</v>
          </cell>
          <cell r="E313" t="str">
            <v>DNDPPE</v>
          </cell>
          <cell r="F313" t="str">
            <v>FC/CN</v>
          </cell>
          <cell r="G313">
            <v>12</v>
          </cell>
          <cell r="H313" t="str">
            <v>Voyages d'études Afrique 3 p x 1 voy x10j</v>
          </cell>
          <cell r="I313" t="str">
            <v>DNDPPE</v>
          </cell>
          <cell r="K313" t="str">
            <v>FC/PSE</v>
          </cell>
          <cell r="L313" t="str">
            <v>AUT</v>
          </cell>
          <cell r="M313">
            <v>6</v>
          </cell>
          <cell r="N313" t="str">
            <v>voy</v>
          </cell>
          <cell r="O313" t="str">
            <v>vaf</v>
          </cell>
          <cell r="P313">
            <v>13294.800000000001</v>
          </cell>
          <cell r="Q313">
            <v>1</v>
          </cell>
          <cell r="R313">
            <v>79768.800000000003</v>
          </cell>
          <cell r="S313">
            <v>1</v>
          </cell>
          <cell r="Y313">
            <v>0</v>
          </cell>
          <cell r="Z313">
            <v>79768.800000000003</v>
          </cell>
          <cell r="AA313">
            <v>0</v>
          </cell>
          <cell r="AB313">
            <v>0</v>
          </cell>
          <cell r="AC313">
            <v>0</v>
          </cell>
          <cell r="AD313">
            <v>0</v>
          </cell>
          <cell r="AE313">
            <v>0</v>
          </cell>
          <cell r="AF313">
            <v>79768.800000000003</v>
          </cell>
        </row>
        <row r="314">
          <cell r="B314" t="str">
            <v>DNDPPE</v>
          </cell>
          <cell r="C314" t="str">
            <v>A</v>
          </cell>
          <cell r="D314" t="str">
            <v>31B</v>
          </cell>
          <cell r="E314" t="str">
            <v>DNDPPE</v>
          </cell>
          <cell r="F314" t="str">
            <v>FC/CN</v>
          </cell>
          <cell r="G314">
            <v>12</v>
          </cell>
          <cell r="H314" t="str">
            <v>Voyages d'études Amérique latine 3 p x 1 voy x10j</v>
          </cell>
          <cell r="I314" t="str">
            <v>DNDPPE</v>
          </cell>
          <cell r="K314" t="str">
            <v>FC/PSE</v>
          </cell>
          <cell r="L314" t="str">
            <v>AUT</v>
          </cell>
          <cell r="M314">
            <v>6</v>
          </cell>
          <cell r="N314" t="str">
            <v>voy</v>
          </cell>
          <cell r="O314" t="str">
            <v>vam</v>
          </cell>
          <cell r="P314">
            <v>21173.200000000001</v>
          </cell>
          <cell r="Q314">
            <v>1</v>
          </cell>
          <cell r="R314">
            <v>127039.20000000001</v>
          </cell>
          <cell r="S314">
            <v>1</v>
          </cell>
          <cell r="Y314">
            <v>0</v>
          </cell>
          <cell r="Z314">
            <v>127039.20000000001</v>
          </cell>
          <cell r="AA314">
            <v>0</v>
          </cell>
          <cell r="AB314">
            <v>0</v>
          </cell>
          <cell r="AC314">
            <v>0</v>
          </cell>
          <cell r="AD314">
            <v>0</v>
          </cell>
          <cell r="AE314">
            <v>0</v>
          </cell>
          <cell r="AF314">
            <v>127039.20000000001</v>
          </cell>
        </row>
        <row r="315">
          <cell r="B315" t="str">
            <v>DNDPPE</v>
          </cell>
          <cell r="C315" t="str">
            <v>A</v>
          </cell>
          <cell r="D315" t="str">
            <v>31B</v>
          </cell>
          <cell r="E315" t="str">
            <v>DNDPPE</v>
          </cell>
          <cell r="F315" t="str">
            <v>FC/CN</v>
          </cell>
          <cell r="G315">
            <v>15</v>
          </cell>
          <cell r="H315" t="str">
            <v>Enquêteurs auprès des agents eco/socio 8 régions x 2p x 20j</v>
          </cell>
          <cell r="I315" t="str">
            <v>DNDPPE</v>
          </cell>
          <cell r="K315" t="str">
            <v>FC/PSE</v>
          </cell>
          <cell r="L315" t="str">
            <v>AUT</v>
          </cell>
          <cell r="M315">
            <v>320</v>
          </cell>
          <cell r="N315" t="str">
            <v>pxj</v>
          </cell>
          <cell r="O315" t="str">
            <v>min</v>
          </cell>
          <cell r="P315">
            <v>246.20000000000002</v>
          </cell>
          <cell r="Q315">
            <v>1</v>
          </cell>
          <cell r="R315">
            <v>78784</v>
          </cell>
          <cell r="S315">
            <v>1</v>
          </cell>
          <cell r="Y315">
            <v>0</v>
          </cell>
          <cell r="Z315">
            <v>78784</v>
          </cell>
          <cell r="AA315">
            <v>0</v>
          </cell>
          <cell r="AB315">
            <v>0</v>
          </cell>
          <cell r="AC315">
            <v>0</v>
          </cell>
          <cell r="AD315">
            <v>0</v>
          </cell>
          <cell r="AE315">
            <v>0</v>
          </cell>
          <cell r="AF315">
            <v>78784</v>
          </cell>
        </row>
        <row r="316">
          <cell r="B316" t="str">
            <v>DNDPPE</v>
          </cell>
          <cell r="C316" t="str">
            <v>A</v>
          </cell>
          <cell r="D316" t="str">
            <v>31B</v>
          </cell>
          <cell r="E316" t="str">
            <v>DNDPPE</v>
          </cell>
          <cell r="F316" t="str">
            <v>FC/CN</v>
          </cell>
          <cell r="G316">
            <v>15</v>
          </cell>
          <cell r="H316" t="str">
            <v xml:space="preserve">Transport A/R vers 8 régions 2 p pour enquête </v>
          </cell>
          <cell r="I316" t="str">
            <v>DNDPPE</v>
          </cell>
          <cell r="K316" t="str">
            <v>FC/PSE</v>
          </cell>
          <cell r="L316" t="str">
            <v>AUT</v>
          </cell>
          <cell r="M316">
            <v>16</v>
          </cell>
          <cell r="N316" t="str">
            <v>a/r</v>
          </cell>
          <cell r="P316">
            <v>300</v>
          </cell>
          <cell r="Q316">
            <v>1</v>
          </cell>
          <cell r="R316">
            <v>4800</v>
          </cell>
          <cell r="S316">
            <v>1</v>
          </cell>
          <cell r="Y316">
            <v>0</v>
          </cell>
          <cell r="Z316">
            <v>4800</v>
          </cell>
          <cell r="AA316">
            <v>0</v>
          </cell>
          <cell r="AB316">
            <v>0</v>
          </cell>
          <cell r="AC316">
            <v>0</v>
          </cell>
          <cell r="AD316">
            <v>0</v>
          </cell>
          <cell r="AE316">
            <v>0</v>
          </cell>
          <cell r="AF316">
            <v>4800</v>
          </cell>
        </row>
        <row r="317">
          <cell r="B317" t="str">
            <v>DNDPPE</v>
          </cell>
          <cell r="C317" t="str">
            <v>A</v>
          </cell>
          <cell r="D317" t="str">
            <v>31B</v>
          </cell>
          <cell r="E317" t="str">
            <v>DNDPPE</v>
          </cell>
          <cell r="F317" t="str">
            <v>FC/CN</v>
          </cell>
          <cell r="G317">
            <v>15</v>
          </cell>
          <cell r="H317" t="str">
            <v>Atelier interne d'identification des filières programmes et infrastructures 50p x 5j</v>
          </cell>
          <cell r="I317" t="str">
            <v>DNDPPE</v>
          </cell>
          <cell r="K317" t="str">
            <v>FC/PSE</v>
          </cell>
          <cell r="L317" t="str">
            <v>AUT</v>
          </cell>
          <cell r="M317">
            <v>250</v>
          </cell>
          <cell r="N317" t="str">
            <v>pxj</v>
          </cell>
          <cell r="O317" t="str">
            <v>asr</v>
          </cell>
          <cell r="P317">
            <v>123.10000000000001</v>
          </cell>
          <cell r="Q317">
            <v>1</v>
          </cell>
          <cell r="R317">
            <v>30775.000000000004</v>
          </cell>
          <cell r="T317">
            <v>1</v>
          </cell>
          <cell r="Y317">
            <v>0</v>
          </cell>
          <cell r="Z317">
            <v>0</v>
          </cell>
          <cell r="AA317">
            <v>30775.000000000004</v>
          </cell>
          <cell r="AB317">
            <v>0</v>
          </cell>
          <cell r="AC317">
            <v>0</v>
          </cell>
          <cell r="AD317">
            <v>0</v>
          </cell>
          <cell r="AE317">
            <v>0</v>
          </cell>
          <cell r="AF317">
            <v>30775.000000000004</v>
          </cell>
        </row>
        <row r="318">
          <cell r="B318" t="str">
            <v>DNDPPE</v>
          </cell>
          <cell r="C318" t="str">
            <v>A</v>
          </cell>
          <cell r="D318" t="str">
            <v>31B</v>
          </cell>
          <cell r="E318" t="str">
            <v>DNDPPE</v>
          </cell>
          <cell r="F318" t="str">
            <v>FC/CN</v>
          </cell>
          <cell r="G318">
            <v>15</v>
          </cell>
          <cell r="H318" t="str">
            <v>Atelier de restitution décision 50p x 2j</v>
          </cell>
          <cell r="I318" t="str">
            <v>DNDPPE</v>
          </cell>
          <cell r="K318" t="str">
            <v>FC/PSE</v>
          </cell>
          <cell r="L318" t="str">
            <v>AUT</v>
          </cell>
          <cell r="M318">
            <v>100</v>
          </cell>
          <cell r="N318" t="str">
            <v>pxj</v>
          </cell>
          <cell r="O318" t="str">
            <v>asn</v>
          </cell>
          <cell r="P318">
            <v>147.72</v>
          </cell>
          <cell r="Q318">
            <v>1</v>
          </cell>
          <cell r="R318">
            <v>14772</v>
          </cell>
          <cell r="T318">
            <v>1</v>
          </cell>
          <cell r="Y318">
            <v>0</v>
          </cell>
          <cell r="Z318">
            <v>0</v>
          </cell>
          <cell r="AA318">
            <v>14772</v>
          </cell>
          <cell r="AB318">
            <v>0</v>
          </cell>
          <cell r="AC318">
            <v>0</v>
          </cell>
          <cell r="AD318">
            <v>0</v>
          </cell>
          <cell r="AE318">
            <v>0</v>
          </cell>
          <cell r="AF318">
            <v>14772</v>
          </cell>
        </row>
        <row r="319">
          <cell r="B319" t="str">
            <v>DNDPPE</v>
          </cell>
          <cell r="C319" t="str">
            <v>A</v>
          </cell>
          <cell r="D319" t="str">
            <v>31B</v>
          </cell>
          <cell r="E319" t="str">
            <v>DNDPPE</v>
          </cell>
          <cell r="F319" t="str">
            <v>FC/CN</v>
          </cell>
          <cell r="G319">
            <v>15</v>
          </cell>
          <cell r="H319" t="str">
            <v>Reproduction rapport final 50p x 300 exemplaires</v>
          </cell>
          <cell r="I319" t="str">
            <v>DNDPPE</v>
          </cell>
          <cell r="K319" t="str">
            <v>FC/PSE</v>
          </cell>
          <cell r="L319" t="str">
            <v>COT</v>
          </cell>
          <cell r="M319">
            <v>15000</v>
          </cell>
          <cell r="N319" t="str">
            <v>page</v>
          </cell>
          <cell r="O319" t="str">
            <v>rep</v>
          </cell>
          <cell r="P319">
            <v>0.30000000000000004</v>
          </cell>
          <cell r="Q319">
            <v>1</v>
          </cell>
          <cell r="R319">
            <v>4500.0000000000009</v>
          </cell>
          <cell r="T319">
            <v>1</v>
          </cell>
          <cell r="Y319">
            <v>0</v>
          </cell>
          <cell r="Z319">
            <v>0</v>
          </cell>
          <cell r="AA319">
            <v>4500.0000000000009</v>
          </cell>
          <cell r="AB319">
            <v>0</v>
          </cell>
          <cell r="AC319">
            <v>0</v>
          </cell>
          <cell r="AD319">
            <v>0</v>
          </cell>
          <cell r="AE319">
            <v>0</v>
          </cell>
          <cell r="AF319">
            <v>4500.0000000000009</v>
          </cell>
        </row>
        <row r="320">
          <cell r="H320" t="str">
            <v>Identification des programmes et des infrastructures</v>
          </cell>
          <cell r="R320">
            <v>87401</v>
          </cell>
          <cell r="Z320">
            <v>0</v>
          </cell>
          <cell r="AA320">
            <v>87401</v>
          </cell>
          <cell r="AB320">
            <v>0</v>
          </cell>
          <cell r="AC320">
            <v>0</v>
          </cell>
          <cell r="AD320">
            <v>0</v>
          </cell>
          <cell r="AE320">
            <v>0</v>
          </cell>
          <cell r="AF320">
            <v>87401</v>
          </cell>
        </row>
        <row r="321">
          <cell r="B321" t="str">
            <v>DNDPPE</v>
          </cell>
          <cell r="C321" t="str">
            <v>A</v>
          </cell>
          <cell r="D321" t="str">
            <v>31C</v>
          </cell>
          <cell r="E321" t="str">
            <v>DNDPPE</v>
          </cell>
          <cell r="F321" t="str">
            <v>FC/CN</v>
          </cell>
          <cell r="G321">
            <v>12</v>
          </cell>
          <cell r="H321" t="str">
            <v>Base documentaire sur les référentiels de formation</v>
          </cell>
          <cell r="I321" t="str">
            <v>DNDPPE</v>
          </cell>
          <cell r="K321" t="str">
            <v>FC/PSE</v>
          </cell>
          <cell r="L321" t="str">
            <v>CR</v>
          </cell>
          <cell r="M321">
            <v>200</v>
          </cell>
          <cell r="N321" t="str">
            <v>u</v>
          </cell>
          <cell r="P321">
            <v>196.96</v>
          </cell>
          <cell r="Q321">
            <v>1</v>
          </cell>
          <cell r="R321">
            <v>39392</v>
          </cell>
          <cell r="T321">
            <v>1</v>
          </cell>
          <cell r="Y321">
            <v>0</v>
          </cell>
          <cell r="Z321">
            <v>0</v>
          </cell>
          <cell r="AA321">
            <v>39392</v>
          </cell>
          <cell r="AB321">
            <v>0</v>
          </cell>
          <cell r="AC321">
            <v>0</v>
          </cell>
          <cell r="AD321">
            <v>0</v>
          </cell>
          <cell r="AE321">
            <v>0</v>
          </cell>
          <cell r="AF321">
            <v>39392</v>
          </cell>
        </row>
        <row r="322">
          <cell r="B322" t="str">
            <v>DNDPPE</v>
          </cell>
          <cell r="C322" t="str">
            <v>A</v>
          </cell>
          <cell r="D322" t="str">
            <v>31C</v>
          </cell>
          <cell r="E322" t="str">
            <v>DNDPPE</v>
          </cell>
          <cell r="F322" t="str">
            <v>FC/CN</v>
          </cell>
          <cell r="G322">
            <v>12</v>
          </cell>
          <cell r="H322" t="str">
            <v>Sélection des référentiels de formation formateurs et apprenants 13p x10j</v>
          </cell>
          <cell r="I322" t="str">
            <v>DNDPPE</v>
          </cell>
          <cell r="K322" t="str">
            <v>FC/PSE</v>
          </cell>
          <cell r="L322" t="str">
            <v>AUT</v>
          </cell>
          <cell r="M322">
            <v>130</v>
          </cell>
          <cell r="N322" t="str">
            <v>pxj</v>
          </cell>
          <cell r="O322" t="str">
            <v>asr</v>
          </cell>
          <cell r="P322">
            <v>123.10000000000001</v>
          </cell>
          <cell r="Q322">
            <v>1</v>
          </cell>
          <cell r="R322">
            <v>16003.000000000002</v>
          </cell>
          <cell r="T322">
            <v>1</v>
          </cell>
          <cell r="Y322">
            <v>0</v>
          </cell>
          <cell r="Z322">
            <v>0</v>
          </cell>
          <cell r="AA322">
            <v>16003.000000000002</v>
          </cell>
          <cell r="AB322">
            <v>0</v>
          </cell>
          <cell r="AC322">
            <v>0</v>
          </cell>
          <cell r="AD322">
            <v>0</v>
          </cell>
          <cell r="AE322">
            <v>0</v>
          </cell>
          <cell r="AF322">
            <v>16003.000000000002</v>
          </cell>
        </row>
        <row r="323">
          <cell r="B323" t="str">
            <v>DNDPPE</v>
          </cell>
          <cell r="C323" t="str">
            <v>A</v>
          </cell>
          <cell r="D323" t="str">
            <v>31C</v>
          </cell>
          <cell r="E323" t="str">
            <v>DNDPPE</v>
          </cell>
          <cell r="F323" t="str">
            <v>FC/CN</v>
          </cell>
          <cell r="G323">
            <v>12</v>
          </cell>
          <cell r="H323" t="str">
            <v>Identification des travaux et des équipements 13p x 20j</v>
          </cell>
          <cell r="I323" t="str">
            <v>DNDPPE</v>
          </cell>
          <cell r="K323" t="str">
            <v>FC/PSE</v>
          </cell>
          <cell r="L323" t="str">
            <v>AUT</v>
          </cell>
          <cell r="M323">
            <v>260</v>
          </cell>
          <cell r="N323" t="str">
            <v>pxj</v>
          </cell>
          <cell r="O323" t="str">
            <v>asr</v>
          </cell>
          <cell r="P323">
            <v>123.10000000000001</v>
          </cell>
          <cell r="Q323">
            <v>1</v>
          </cell>
          <cell r="R323">
            <v>32006.000000000004</v>
          </cell>
          <cell r="T323">
            <v>1</v>
          </cell>
          <cell r="Y323">
            <v>0</v>
          </cell>
          <cell r="Z323">
            <v>0</v>
          </cell>
          <cell r="AA323">
            <v>32006.000000000004</v>
          </cell>
          <cell r="AB323">
            <v>0</v>
          </cell>
          <cell r="AC323">
            <v>0</v>
          </cell>
          <cell r="AD323">
            <v>0</v>
          </cell>
          <cell r="AE323">
            <v>0</v>
          </cell>
          <cell r="AF323">
            <v>32006.000000000004</v>
          </cell>
        </row>
        <row r="324">
          <cell r="H324" t="str">
            <v>Implantation opérations 2008 et 2009</v>
          </cell>
          <cell r="R324">
            <v>14616553.600000001</v>
          </cell>
          <cell r="Z324">
            <v>0</v>
          </cell>
          <cell r="AA324">
            <v>212716.80000000002</v>
          </cell>
          <cell r="AB324">
            <v>212716.80000000002</v>
          </cell>
          <cell r="AC324">
            <v>3781632</v>
          </cell>
          <cell r="AD324">
            <v>3781632</v>
          </cell>
          <cell r="AE324">
            <v>6627856</v>
          </cell>
          <cell r="AF324">
            <v>14616553.600000001</v>
          </cell>
        </row>
        <row r="325">
          <cell r="B325" t="str">
            <v>DNDPPE</v>
          </cell>
          <cell r="C325" t="str">
            <v>A</v>
          </cell>
          <cell r="D325" t="str">
            <v>31D</v>
          </cell>
          <cell r="E325" t="str">
            <v>ENPETP</v>
          </cell>
          <cell r="F325" t="str">
            <v>FC/CN</v>
          </cell>
          <cell r="G325">
            <v>12</v>
          </cell>
          <cell r="H325" t="str">
            <v>Perfectionnement professionnel de 144 formateurs en CFP…. 4mois</v>
          </cell>
          <cell r="I325" t="str">
            <v>DNDPPE</v>
          </cell>
          <cell r="K325" t="str">
            <v>FC/PSE</v>
          </cell>
          <cell r="L325" t="str">
            <v>AUT</v>
          </cell>
          <cell r="M325">
            <v>576</v>
          </cell>
          <cell r="N325" t="str">
            <v>pxm</v>
          </cell>
          <cell r="P325">
            <v>492.40000000000003</v>
          </cell>
          <cell r="Q325">
            <v>1</v>
          </cell>
          <cell r="R325">
            <v>283622.40000000002</v>
          </cell>
          <cell r="T325">
            <v>0.5</v>
          </cell>
          <cell r="U325">
            <v>0.5</v>
          </cell>
          <cell r="Y325">
            <v>0</v>
          </cell>
          <cell r="Z325">
            <v>0</v>
          </cell>
          <cell r="AA325">
            <v>141811.20000000001</v>
          </cell>
          <cell r="AB325">
            <v>141811.20000000001</v>
          </cell>
          <cell r="AC325">
            <v>0</v>
          </cell>
          <cell r="AD325">
            <v>0</v>
          </cell>
          <cell r="AE325">
            <v>0</v>
          </cell>
          <cell r="AF325">
            <v>283622.40000000002</v>
          </cell>
        </row>
        <row r="326">
          <cell r="B326" t="str">
            <v>DNDPPE</v>
          </cell>
          <cell r="C326" t="str">
            <v>A</v>
          </cell>
          <cell r="D326" t="str">
            <v>31D</v>
          </cell>
          <cell r="E326" t="str">
            <v>ENPETP</v>
          </cell>
          <cell r="F326" t="str">
            <v>FC/CN</v>
          </cell>
          <cell r="G326">
            <v>12</v>
          </cell>
          <cell r="H326" t="str">
            <v>Formation pédagogique à l'ENPETP de 144 formateurs PP et PC 5 mois</v>
          </cell>
          <cell r="I326" t="str">
            <v>DNDPPE</v>
          </cell>
          <cell r="K326" t="str">
            <v>FC/PSE</v>
          </cell>
          <cell r="L326" t="str">
            <v>AUT</v>
          </cell>
          <cell r="M326">
            <v>720</v>
          </cell>
          <cell r="N326" t="str">
            <v>pxm</v>
          </cell>
          <cell r="P326">
            <v>196.96</v>
          </cell>
          <cell r="Q326">
            <v>1</v>
          </cell>
          <cell r="R326">
            <v>141811.20000000001</v>
          </cell>
          <cell r="T326">
            <v>0.5</v>
          </cell>
          <cell r="U326">
            <v>0.5</v>
          </cell>
          <cell r="Y326">
            <v>0</v>
          </cell>
          <cell r="Z326">
            <v>0</v>
          </cell>
          <cell r="AA326">
            <v>70905.600000000006</v>
          </cell>
          <cell r="AB326">
            <v>70905.600000000006</v>
          </cell>
          <cell r="AC326">
            <v>0</v>
          </cell>
          <cell r="AD326">
            <v>0</v>
          </cell>
          <cell r="AE326">
            <v>0</v>
          </cell>
          <cell r="AF326">
            <v>141811.20000000001</v>
          </cell>
        </row>
        <row r="327">
          <cell r="B327" t="str">
            <v>DNDPPE</v>
          </cell>
          <cell r="C327" t="str">
            <v>A</v>
          </cell>
          <cell r="D327" t="str">
            <v>31D</v>
          </cell>
          <cell r="E327" t="str">
            <v>DNDPPE</v>
          </cell>
          <cell r="F327" t="str">
            <v>FC/CN</v>
          </cell>
          <cell r="G327">
            <v>21</v>
          </cell>
          <cell r="H327" t="str">
            <v>BET étude et suivi des travaux des CIP (2 à Cky et 1 par région)</v>
          </cell>
          <cell r="I327" t="str">
            <v>CN/PSE</v>
          </cell>
          <cell r="K327" t="str">
            <v>FC/PSE</v>
          </cell>
          <cell r="L327" t="str">
            <v>CR</v>
          </cell>
          <cell r="M327">
            <v>144</v>
          </cell>
          <cell r="N327" t="str">
            <v>cl/at</v>
          </cell>
          <cell r="O327" t="str">
            <v>bat</v>
          </cell>
          <cell r="P327">
            <v>5908.8</v>
          </cell>
          <cell r="Q327">
            <v>1</v>
          </cell>
          <cell r="R327">
            <v>850867.20000000007</v>
          </cell>
          <cell r="V327">
            <v>0.33333333333333331</v>
          </cell>
          <cell r="W327">
            <v>0.33333333333333331</v>
          </cell>
          <cell r="X327">
            <v>0.33333333333333331</v>
          </cell>
          <cell r="Y327">
            <v>0</v>
          </cell>
          <cell r="Z327">
            <v>0</v>
          </cell>
          <cell r="AA327">
            <v>0</v>
          </cell>
          <cell r="AB327">
            <v>0</v>
          </cell>
          <cell r="AC327">
            <v>283622.40000000002</v>
          </cell>
          <cell r="AD327">
            <v>283622.40000000002</v>
          </cell>
          <cell r="AE327">
            <v>283622.40000000002</v>
          </cell>
          <cell r="AF327">
            <v>850867.20000000007</v>
          </cell>
        </row>
        <row r="328">
          <cell r="B328" t="str">
            <v>DNDPPE</v>
          </cell>
          <cell r="C328" t="str">
            <v>A</v>
          </cell>
          <cell r="D328" t="str">
            <v>31D</v>
          </cell>
          <cell r="E328" t="str">
            <v>IRE/</v>
          </cell>
          <cell r="F328" t="str">
            <v>FC/CN</v>
          </cell>
          <cell r="G328">
            <v>22</v>
          </cell>
          <cell r="H328" t="str">
            <v>Construction Centres d'Insertion Professionnelle (9 de 16 cl/atelier post prim et collège)</v>
          </cell>
          <cell r="I328" t="str">
            <v>CN/PSE</v>
          </cell>
          <cell r="K328" t="str">
            <v>FC/PSE</v>
          </cell>
          <cell r="L328" t="str">
            <v>AON</v>
          </cell>
          <cell r="M328">
            <v>144</v>
          </cell>
          <cell r="N328" t="str">
            <v>cl/at</v>
          </cell>
          <cell r="O328" t="str">
            <v>cat</v>
          </cell>
          <cell r="P328">
            <v>72875.200000000012</v>
          </cell>
          <cell r="Q328">
            <v>1</v>
          </cell>
          <cell r="R328">
            <v>10494028.800000001</v>
          </cell>
          <cell r="V328">
            <v>0.33333333333333331</v>
          </cell>
          <cell r="W328">
            <v>0.33333333333333331</v>
          </cell>
          <cell r="X328">
            <v>0.33333333333333331</v>
          </cell>
          <cell r="Y328">
            <v>0</v>
          </cell>
          <cell r="Z328">
            <v>0</v>
          </cell>
          <cell r="AA328">
            <v>0</v>
          </cell>
          <cell r="AB328">
            <v>0</v>
          </cell>
          <cell r="AC328">
            <v>3498009.6</v>
          </cell>
          <cell r="AD328">
            <v>3498009.6</v>
          </cell>
          <cell r="AE328">
            <v>3498009.6</v>
          </cell>
          <cell r="AF328">
            <v>10494028.800000001</v>
          </cell>
        </row>
        <row r="329">
          <cell r="B329" t="str">
            <v>DNDPPE</v>
          </cell>
          <cell r="C329" t="str">
            <v>A</v>
          </cell>
          <cell r="D329" t="str">
            <v>31D</v>
          </cell>
          <cell r="E329" t="str">
            <v>IRE/</v>
          </cell>
          <cell r="F329" t="str">
            <v>FC/CN</v>
          </cell>
          <cell r="G329">
            <v>23</v>
          </cell>
          <cell r="H329" t="str">
            <v>Equipements et mobilier des 9 CIP</v>
          </cell>
          <cell r="I329" t="str">
            <v>CN/PSE</v>
          </cell>
          <cell r="K329" t="str">
            <v>FC/PSE</v>
          </cell>
          <cell r="L329" t="str">
            <v>AOI</v>
          </cell>
          <cell r="M329">
            <v>144</v>
          </cell>
          <cell r="N329" t="str">
            <v>cl/at</v>
          </cell>
          <cell r="O329" t="str">
            <v>mat</v>
          </cell>
          <cell r="P329">
            <v>19696</v>
          </cell>
          <cell r="Q329">
            <v>1</v>
          </cell>
          <cell r="R329">
            <v>2836224</v>
          </cell>
          <cell r="X329">
            <v>1</v>
          </cell>
          <cell r="Y329">
            <v>0</v>
          </cell>
          <cell r="Z329">
            <v>0</v>
          </cell>
          <cell r="AA329">
            <v>0</v>
          </cell>
          <cell r="AB329">
            <v>0</v>
          </cell>
          <cell r="AC329">
            <v>0</v>
          </cell>
          <cell r="AD329">
            <v>0</v>
          </cell>
          <cell r="AE329">
            <v>2836224</v>
          </cell>
          <cell r="AF329">
            <v>2836224</v>
          </cell>
        </row>
        <row r="330">
          <cell r="B330" t="str">
            <v>DNDPPE</v>
          </cell>
          <cell r="C330" t="str">
            <v>A</v>
          </cell>
          <cell r="D330" t="str">
            <v>31D</v>
          </cell>
          <cell r="E330" t="str">
            <v>DNDPPE</v>
          </cell>
          <cell r="F330" t="str">
            <v>FC/CN</v>
          </cell>
          <cell r="G330">
            <v>15</v>
          </cell>
          <cell r="H330" t="str">
            <v>Information sur les nouvelles filières (radio TV)</v>
          </cell>
          <cell r="I330" t="str">
            <v>DNDPPE</v>
          </cell>
          <cell r="K330" t="str">
            <v>FC/PSE</v>
          </cell>
          <cell r="L330" t="str">
            <v>AUT</v>
          </cell>
          <cell r="M330">
            <v>1</v>
          </cell>
          <cell r="N330" t="str">
            <v>forfait</v>
          </cell>
          <cell r="P330">
            <v>10000</v>
          </cell>
          <cell r="Q330">
            <v>1</v>
          </cell>
          <cell r="R330">
            <v>10000</v>
          </cell>
          <cell r="X330">
            <v>1</v>
          </cell>
          <cell r="Y330">
            <v>0</v>
          </cell>
          <cell r="Z330">
            <v>0</v>
          </cell>
          <cell r="AA330">
            <v>0</v>
          </cell>
          <cell r="AB330">
            <v>0</v>
          </cell>
          <cell r="AC330">
            <v>0</v>
          </cell>
          <cell r="AD330">
            <v>0</v>
          </cell>
          <cell r="AE330">
            <v>10000</v>
          </cell>
          <cell r="AF330">
            <v>10000</v>
          </cell>
        </row>
        <row r="331">
          <cell r="H331" t="str">
            <v>Implantation opérations 2010</v>
          </cell>
          <cell r="R331">
            <v>638150.40000000002</v>
          </cell>
          <cell r="Z331">
            <v>0</v>
          </cell>
          <cell r="AA331">
            <v>0</v>
          </cell>
          <cell r="AB331">
            <v>0</v>
          </cell>
          <cell r="AC331">
            <v>0</v>
          </cell>
          <cell r="AD331">
            <v>319075.20000000001</v>
          </cell>
          <cell r="AE331">
            <v>319075.20000000001</v>
          </cell>
          <cell r="AF331">
            <v>638150.40000000002</v>
          </cell>
        </row>
        <row r="332">
          <cell r="B332" t="str">
            <v>DNDPPE</v>
          </cell>
          <cell r="C332" t="str">
            <v>A</v>
          </cell>
          <cell r="D332" t="str">
            <v>31E</v>
          </cell>
          <cell r="E332" t="str">
            <v>ENPETP</v>
          </cell>
          <cell r="F332" t="str">
            <v>FC/CN</v>
          </cell>
          <cell r="G332">
            <v>12</v>
          </cell>
          <cell r="H332" t="str">
            <v>Perfectionnement professionnel de 144 formateurs en CFP…. 4mois</v>
          </cell>
          <cell r="I332" t="str">
            <v>DNDPPE</v>
          </cell>
          <cell r="K332" t="str">
            <v>FC/PSE</v>
          </cell>
          <cell r="L332" t="str">
            <v>AUT</v>
          </cell>
          <cell r="M332">
            <v>432</v>
          </cell>
          <cell r="N332" t="str">
            <v>pxm</v>
          </cell>
          <cell r="P332">
            <v>492.40000000000003</v>
          </cell>
          <cell r="Q332">
            <v>1</v>
          </cell>
          <cell r="R332">
            <v>212716.80000000002</v>
          </cell>
          <cell r="W332">
            <v>0.5</v>
          </cell>
          <cell r="X332">
            <v>0.5</v>
          </cell>
          <cell r="Y332">
            <v>0</v>
          </cell>
          <cell r="Z332">
            <v>0</v>
          </cell>
          <cell r="AA332">
            <v>0</v>
          </cell>
          <cell r="AB332">
            <v>0</v>
          </cell>
          <cell r="AC332">
            <v>0</v>
          </cell>
          <cell r="AD332">
            <v>106358.40000000001</v>
          </cell>
          <cell r="AE332">
            <v>106358.40000000001</v>
          </cell>
          <cell r="AF332">
            <v>212716.80000000002</v>
          </cell>
        </row>
        <row r="333">
          <cell r="B333" t="str">
            <v>DNDPPE</v>
          </cell>
          <cell r="C333" t="str">
            <v>A</v>
          </cell>
          <cell r="D333" t="str">
            <v>31E</v>
          </cell>
          <cell r="E333" t="str">
            <v>ENPETP</v>
          </cell>
          <cell r="F333" t="str">
            <v>FC/CN</v>
          </cell>
          <cell r="G333">
            <v>12</v>
          </cell>
          <cell r="H333" t="str">
            <v>Formation pédagogique à l'ENPETP de 144 formateurs PP et PC 5 mois</v>
          </cell>
          <cell r="I333" t="str">
            <v>DNDPPE</v>
          </cell>
          <cell r="K333" t="str">
            <v>FC/PSE</v>
          </cell>
          <cell r="L333" t="str">
            <v>AUT</v>
          </cell>
          <cell r="N333" t="str">
            <v>pxm</v>
          </cell>
          <cell r="P333">
            <v>196.96</v>
          </cell>
          <cell r="Q333">
            <v>1</v>
          </cell>
          <cell r="R333">
            <v>0</v>
          </cell>
          <cell r="Y333">
            <v>-1</v>
          </cell>
          <cell r="Z333">
            <v>0</v>
          </cell>
          <cell r="AA333">
            <v>0</v>
          </cell>
          <cell r="AB333">
            <v>0</v>
          </cell>
          <cell r="AC333">
            <v>0</v>
          </cell>
          <cell r="AD333">
            <v>0</v>
          </cell>
          <cell r="AE333">
            <v>0</v>
          </cell>
          <cell r="AF333">
            <v>0</v>
          </cell>
        </row>
        <row r="334">
          <cell r="B334" t="str">
            <v>DNDPPE</v>
          </cell>
          <cell r="C334" t="str">
            <v>A</v>
          </cell>
          <cell r="D334" t="str">
            <v>31E</v>
          </cell>
          <cell r="E334" t="str">
            <v>DNDPPE</v>
          </cell>
          <cell r="F334" t="str">
            <v>FC/CN</v>
          </cell>
          <cell r="G334">
            <v>21</v>
          </cell>
          <cell r="H334" t="str">
            <v>BET étude et suivi des travaux des CIP (2 à Cky et 1 par région)</v>
          </cell>
          <cell r="I334" t="str">
            <v>CN/PSE</v>
          </cell>
          <cell r="K334" t="str">
            <v>FC/PSE</v>
          </cell>
          <cell r="L334" t="str">
            <v>CR</v>
          </cell>
          <cell r="M334">
            <v>72</v>
          </cell>
          <cell r="N334" t="str">
            <v>cl/at</v>
          </cell>
          <cell r="O334" t="str">
            <v>bat</v>
          </cell>
          <cell r="P334">
            <v>5908.8</v>
          </cell>
          <cell r="Q334">
            <v>1</v>
          </cell>
          <cell r="R334">
            <v>425433.60000000003</v>
          </cell>
          <cell r="W334">
            <v>0.5</v>
          </cell>
          <cell r="X334">
            <v>0.5</v>
          </cell>
          <cell r="Y334">
            <v>0</v>
          </cell>
          <cell r="Z334">
            <v>0</v>
          </cell>
          <cell r="AA334">
            <v>0</v>
          </cell>
          <cell r="AB334">
            <v>0</v>
          </cell>
          <cell r="AC334">
            <v>0</v>
          </cell>
          <cell r="AD334">
            <v>212716.80000000002</v>
          </cell>
          <cell r="AE334">
            <v>212716.80000000002</v>
          </cell>
          <cell r="AF334">
            <v>425433.60000000003</v>
          </cell>
        </row>
        <row r="335">
          <cell r="B335" t="str">
            <v>DNDPPE</v>
          </cell>
          <cell r="C335" t="str">
            <v>A</v>
          </cell>
          <cell r="D335" t="str">
            <v>31E</v>
          </cell>
          <cell r="E335" t="str">
            <v>IRE/</v>
          </cell>
          <cell r="F335" t="str">
            <v>FC/CN</v>
          </cell>
          <cell r="G335">
            <v>22</v>
          </cell>
          <cell r="H335" t="str">
            <v>Construction Centres d'Insertion Professionnelle (9 de 16 cl/atelier post prim et collège)</v>
          </cell>
          <cell r="I335" t="str">
            <v>CN/PSE</v>
          </cell>
          <cell r="K335" t="str">
            <v>FC/PSE</v>
          </cell>
          <cell r="L335" t="str">
            <v>AON</v>
          </cell>
          <cell r="N335" t="str">
            <v>cl/at</v>
          </cell>
          <cell r="O335" t="str">
            <v>cat</v>
          </cell>
          <cell r="P335">
            <v>72875.200000000012</v>
          </cell>
          <cell r="Q335">
            <v>1</v>
          </cell>
          <cell r="R335">
            <v>0</v>
          </cell>
          <cell r="Y335">
            <v>-1</v>
          </cell>
          <cell r="Z335">
            <v>0</v>
          </cell>
          <cell r="AA335">
            <v>0</v>
          </cell>
          <cell r="AB335">
            <v>0</v>
          </cell>
          <cell r="AC335">
            <v>0</v>
          </cell>
          <cell r="AD335">
            <v>0</v>
          </cell>
          <cell r="AE335">
            <v>0</v>
          </cell>
          <cell r="AF335">
            <v>0</v>
          </cell>
        </row>
        <row r="336">
          <cell r="B336" t="str">
            <v>DNDPPE</v>
          </cell>
          <cell r="C336" t="str">
            <v>A</v>
          </cell>
          <cell r="D336" t="str">
            <v>31E</v>
          </cell>
          <cell r="E336" t="str">
            <v>IRE/</v>
          </cell>
          <cell r="F336" t="str">
            <v>FC/CN</v>
          </cell>
          <cell r="G336">
            <v>23</v>
          </cell>
          <cell r="H336" t="str">
            <v>Equipements et mobilier des 9 CIP</v>
          </cell>
          <cell r="I336" t="str">
            <v>CN/PSE</v>
          </cell>
          <cell r="K336" t="str">
            <v>FC/PSE</v>
          </cell>
          <cell r="L336" t="str">
            <v>AOI</v>
          </cell>
          <cell r="N336" t="str">
            <v>cl/at</v>
          </cell>
          <cell r="O336" t="str">
            <v>mat</v>
          </cell>
          <cell r="P336">
            <v>19696</v>
          </cell>
          <cell r="Q336">
            <v>1</v>
          </cell>
          <cell r="R336">
            <v>0</v>
          </cell>
          <cell r="Y336">
            <v>-1</v>
          </cell>
          <cell r="Z336">
            <v>0</v>
          </cell>
          <cell r="AA336">
            <v>0</v>
          </cell>
          <cell r="AB336">
            <v>0</v>
          </cell>
          <cell r="AC336">
            <v>0</v>
          </cell>
          <cell r="AD336">
            <v>0</v>
          </cell>
          <cell r="AE336">
            <v>0</v>
          </cell>
          <cell r="AF336">
            <v>0</v>
          </cell>
        </row>
        <row r="337">
          <cell r="H337" t="str">
            <v>Renforcement de capacité Services centraux du SNIEM</v>
          </cell>
          <cell r="R337">
            <v>177747.29600000003</v>
          </cell>
          <cell r="Z337">
            <v>8000</v>
          </cell>
          <cell r="AA337">
            <v>52044</v>
          </cell>
          <cell r="AB337">
            <v>28362.240000000005</v>
          </cell>
          <cell r="AC337">
            <v>28362.240000000005</v>
          </cell>
          <cell r="AD337">
            <v>30489.408000000007</v>
          </cell>
          <cell r="AE337">
            <v>30489.408000000007</v>
          </cell>
          <cell r="AF337">
            <v>177747.29600000003</v>
          </cell>
        </row>
        <row r="338">
          <cell r="B338" t="str">
            <v>DNDPPE</v>
          </cell>
          <cell r="C338" t="str">
            <v>A</v>
          </cell>
          <cell r="D338" t="str">
            <v>31F</v>
          </cell>
          <cell r="E338" t="str">
            <v>DNDPPE</v>
          </cell>
          <cell r="F338" t="str">
            <v>FC/CN</v>
          </cell>
          <cell r="G338">
            <v>21</v>
          </cell>
          <cell r="H338" t="str">
            <v>Assistance à la Maîtrise d'ouvrage prog 2008</v>
          </cell>
          <cell r="I338" t="str">
            <v>CN/PSE</v>
          </cell>
          <cell r="K338" t="str">
            <v>FC/PSE</v>
          </cell>
          <cell r="L338" t="str">
            <v>CR</v>
          </cell>
          <cell r="N338" t="str">
            <v>forfait</v>
          </cell>
          <cell r="O338" t="str">
            <v>coût total</v>
          </cell>
          <cell r="P338">
            <v>0.01</v>
          </cell>
          <cell r="Q338">
            <v>1</v>
          </cell>
          <cell r="R338">
            <v>141811.20000000001</v>
          </cell>
          <cell r="T338">
            <v>0.2</v>
          </cell>
          <cell r="U338">
            <v>0.2</v>
          </cell>
          <cell r="V338">
            <v>0.2</v>
          </cell>
          <cell r="W338">
            <v>0.2</v>
          </cell>
          <cell r="X338">
            <v>0.2</v>
          </cell>
          <cell r="Y338">
            <v>0</v>
          </cell>
          <cell r="Z338">
            <v>0</v>
          </cell>
          <cell r="AA338">
            <v>28362.240000000005</v>
          </cell>
          <cell r="AB338">
            <v>28362.240000000005</v>
          </cell>
          <cell r="AC338">
            <v>28362.240000000005</v>
          </cell>
          <cell r="AD338">
            <v>28362.240000000005</v>
          </cell>
          <cell r="AE338">
            <v>28362.240000000005</v>
          </cell>
          <cell r="AF338">
            <v>141811.20000000001</v>
          </cell>
        </row>
        <row r="339">
          <cell r="B339" t="str">
            <v>DNDPPE</v>
          </cell>
          <cell r="C339" t="str">
            <v>A</v>
          </cell>
          <cell r="D339" t="str">
            <v>31F</v>
          </cell>
          <cell r="E339" t="str">
            <v>DNDPPE</v>
          </cell>
          <cell r="F339" t="str">
            <v>FC/CN</v>
          </cell>
          <cell r="G339">
            <v>21</v>
          </cell>
          <cell r="H339" t="str">
            <v>Assistance à la Maîtrise d'ouvrage prog 2009</v>
          </cell>
          <cell r="I339" t="str">
            <v>CN/PSE</v>
          </cell>
          <cell r="K339" t="str">
            <v>FC/PSE</v>
          </cell>
          <cell r="L339" t="str">
            <v>CR</v>
          </cell>
          <cell r="N339" t="str">
            <v>forfait</v>
          </cell>
          <cell r="O339" t="str">
            <v>coût total</v>
          </cell>
          <cell r="P339">
            <v>0.01</v>
          </cell>
          <cell r="Q339">
            <v>1</v>
          </cell>
          <cell r="R339">
            <v>4254.3360000000002</v>
          </cell>
          <cell r="W339">
            <v>0.5</v>
          </cell>
          <cell r="X339">
            <v>0.5</v>
          </cell>
          <cell r="Y339">
            <v>0</v>
          </cell>
          <cell r="Z339">
            <v>0</v>
          </cell>
          <cell r="AA339">
            <v>0</v>
          </cell>
          <cell r="AB339">
            <v>0</v>
          </cell>
          <cell r="AC339">
            <v>0</v>
          </cell>
          <cell r="AD339">
            <v>2127.1680000000001</v>
          </cell>
          <cell r="AE339">
            <v>2127.1680000000001</v>
          </cell>
          <cell r="AF339">
            <v>4254.3360000000002</v>
          </cell>
        </row>
        <row r="340">
          <cell r="B340" t="str">
            <v>SNIES</v>
          </cell>
          <cell r="C340" t="str">
            <v>G</v>
          </cell>
          <cell r="D340" t="str">
            <v>31F</v>
          </cell>
          <cell r="E340" t="str">
            <v>SNIES</v>
          </cell>
          <cell r="F340" t="str">
            <v>FC/CN</v>
          </cell>
          <cell r="G340">
            <v>23</v>
          </cell>
          <cell r="H340" t="str">
            <v>Appareils photo numérique</v>
          </cell>
          <cell r="I340" t="str">
            <v>CN/PSE</v>
          </cell>
          <cell r="K340" t="str">
            <v>FC/PSE</v>
          </cell>
          <cell r="L340" t="str">
            <v>AOI</v>
          </cell>
          <cell r="M340">
            <v>2</v>
          </cell>
          <cell r="N340" t="str">
            <v>u</v>
          </cell>
          <cell r="P340">
            <v>590.88</v>
          </cell>
          <cell r="Q340">
            <v>1</v>
          </cell>
          <cell r="R340">
            <v>1181.76</v>
          </cell>
          <cell r="T340">
            <v>1</v>
          </cell>
          <cell r="Y340">
            <v>0</v>
          </cell>
          <cell r="Z340">
            <v>0</v>
          </cell>
          <cell r="AA340">
            <v>1181.76</v>
          </cell>
          <cell r="AB340">
            <v>0</v>
          </cell>
          <cell r="AC340">
            <v>0</v>
          </cell>
          <cell r="AD340">
            <v>0</v>
          </cell>
          <cell r="AE340">
            <v>0</v>
          </cell>
          <cell r="AF340">
            <v>1181.76</v>
          </cell>
        </row>
        <row r="341">
          <cell r="B341" t="str">
            <v>SNIES</v>
          </cell>
          <cell r="C341" t="str">
            <v>G</v>
          </cell>
          <cell r="D341" t="str">
            <v>31F</v>
          </cell>
          <cell r="E341" t="str">
            <v>SNIES</v>
          </cell>
          <cell r="F341" t="str">
            <v>FC/CN</v>
          </cell>
          <cell r="G341">
            <v>23</v>
          </cell>
          <cell r="H341" t="str">
            <v xml:space="preserve">Ordinateurs portables avec mini imprimante  2 u </v>
          </cell>
          <cell r="I341" t="str">
            <v>CN/PSE</v>
          </cell>
          <cell r="K341" t="str">
            <v>FC/PSE</v>
          </cell>
          <cell r="L341" t="str">
            <v>AOI</v>
          </cell>
          <cell r="M341">
            <v>2</v>
          </cell>
          <cell r="N341" t="str">
            <v>u</v>
          </cell>
          <cell r="P341">
            <v>11250</v>
          </cell>
          <cell r="Q341">
            <v>1</v>
          </cell>
          <cell r="R341">
            <v>22500</v>
          </cell>
          <cell r="T341">
            <v>1</v>
          </cell>
          <cell r="Y341">
            <v>0</v>
          </cell>
          <cell r="Z341">
            <v>0</v>
          </cell>
          <cell r="AA341">
            <v>22500</v>
          </cell>
          <cell r="AB341">
            <v>0</v>
          </cell>
          <cell r="AC341">
            <v>0</v>
          </cell>
          <cell r="AD341">
            <v>0</v>
          </cell>
          <cell r="AE341">
            <v>0</v>
          </cell>
          <cell r="AF341">
            <v>22500</v>
          </cell>
        </row>
        <row r="342">
          <cell r="B342" t="str">
            <v>SNIES</v>
          </cell>
          <cell r="C342" t="str">
            <v>G</v>
          </cell>
          <cell r="D342" t="str">
            <v>31F</v>
          </cell>
          <cell r="E342" t="str">
            <v>SNIES</v>
          </cell>
          <cell r="F342" t="str">
            <v>FC/CN</v>
          </cell>
          <cell r="G342">
            <v>12</v>
          </cell>
          <cell r="H342" t="str">
            <v>Formation Excel Autocad Archicad pour 2p x 4sem (base données SNIES SNIEM)</v>
          </cell>
          <cell r="I342" t="str">
            <v>CN/PSE</v>
          </cell>
          <cell r="K342" t="str">
            <v>FC/PSE</v>
          </cell>
          <cell r="L342" t="str">
            <v>COT</v>
          </cell>
          <cell r="M342">
            <v>8</v>
          </cell>
          <cell r="N342" t="str">
            <v>pxs</v>
          </cell>
          <cell r="O342" t="str">
            <v>fbu</v>
          </cell>
          <cell r="P342">
            <v>1000</v>
          </cell>
          <cell r="Q342">
            <v>1</v>
          </cell>
          <cell r="R342">
            <v>8000</v>
          </cell>
          <cell r="S342">
            <v>1</v>
          </cell>
          <cell r="Y342">
            <v>0</v>
          </cell>
          <cell r="Z342">
            <v>8000</v>
          </cell>
          <cell r="AA342">
            <v>0</v>
          </cell>
          <cell r="AB342">
            <v>0</v>
          </cell>
          <cell r="AC342">
            <v>0</v>
          </cell>
          <cell r="AD342">
            <v>0</v>
          </cell>
          <cell r="AE342">
            <v>0</v>
          </cell>
          <cell r="AF342">
            <v>8000</v>
          </cell>
        </row>
        <row r="343">
          <cell r="H343" t="str">
            <v>FORMATION PROFESSIONNELLE SECTEUR MINIER</v>
          </cell>
          <cell r="R343">
            <v>12407500</v>
          </cell>
          <cell r="Z343">
            <v>0</v>
          </cell>
          <cell r="AA343">
            <v>2481500</v>
          </cell>
          <cell r="AB343">
            <v>2481500</v>
          </cell>
          <cell r="AC343">
            <v>2481500</v>
          </cell>
          <cell r="AD343">
            <v>2481500</v>
          </cell>
          <cell r="AE343">
            <v>2481500</v>
          </cell>
          <cell r="AF343">
            <v>12407500</v>
          </cell>
        </row>
        <row r="344">
          <cell r="H344" t="str">
            <v>Formations pour le développement du secteur minier</v>
          </cell>
          <cell r="R344">
            <v>12407500</v>
          </cell>
          <cell r="Z344">
            <v>0</v>
          </cell>
          <cell r="AA344">
            <v>2481500</v>
          </cell>
          <cell r="AB344">
            <v>2481500</v>
          </cell>
          <cell r="AC344">
            <v>2481500</v>
          </cell>
          <cell r="AD344">
            <v>2481500</v>
          </cell>
          <cell r="AE344">
            <v>2481500</v>
          </cell>
          <cell r="AF344">
            <v>12407500</v>
          </cell>
        </row>
        <row r="345">
          <cell r="B345" t="str">
            <v>DNDPPE</v>
          </cell>
          <cell r="C345" t="str">
            <v>A</v>
          </cell>
          <cell r="D345" t="str">
            <v>32A</v>
          </cell>
          <cell r="E345" t="str">
            <v>DNDPPE</v>
          </cell>
          <cell r="F345" t="str">
            <v>FC/CN</v>
          </cell>
          <cell r="G345">
            <v>12</v>
          </cell>
          <cell r="H345" t="str">
            <v>Formation des formateurs</v>
          </cell>
          <cell r="I345" t="str">
            <v>CN/PSE</v>
          </cell>
          <cell r="K345" t="str">
            <v>FC/PSE</v>
          </cell>
          <cell r="L345" t="str">
            <v>CR</v>
          </cell>
          <cell r="M345">
            <v>1</v>
          </cell>
          <cell r="N345" t="str">
            <v>forfait</v>
          </cell>
          <cell r="P345">
            <v>1861125</v>
          </cell>
          <cell r="Q345">
            <v>1</v>
          </cell>
          <cell r="R345">
            <v>1861125</v>
          </cell>
          <cell r="T345">
            <v>0.2</v>
          </cell>
          <cell r="U345">
            <v>0.2</v>
          </cell>
          <cell r="V345">
            <v>0.2</v>
          </cell>
          <cell r="W345">
            <v>0.2</v>
          </cell>
          <cell r="X345">
            <v>0.2</v>
          </cell>
          <cell r="Y345">
            <v>0</v>
          </cell>
          <cell r="Z345">
            <v>0</v>
          </cell>
          <cell r="AA345">
            <v>372225</v>
          </cell>
          <cell r="AB345">
            <v>372225</v>
          </cell>
          <cell r="AC345">
            <v>372225</v>
          </cell>
          <cell r="AD345">
            <v>372225</v>
          </cell>
          <cell r="AE345">
            <v>372225</v>
          </cell>
          <cell r="AF345">
            <v>1861125</v>
          </cell>
        </row>
        <row r="346">
          <cell r="B346" t="str">
            <v>DNDPPE</v>
          </cell>
          <cell r="C346" t="str">
            <v>A</v>
          </cell>
          <cell r="D346" t="str">
            <v>32A</v>
          </cell>
          <cell r="E346" t="str">
            <v>DNDPPE</v>
          </cell>
          <cell r="F346" t="str">
            <v>FC/CN</v>
          </cell>
          <cell r="G346">
            <v>12</v>
          </cell>
          <cell r="H346" t="str">
            <v>Unités mobiles</v>
          </cell>
          <cell r="I346" t="str">
            <v>CN/PSE</v>
          </cell>
          <cell r="K346" t="str">
            <v>FC/PSE</v>
          </cell>
          <cell r="L346" t="str">
            <v>AOI</v>
          </cell>
          <cell r="M346">
            <v>1</v>
          </cell>
          <cell r="N346" t="str">
            <v>forfait</v>
          </cell>
          <cell r="P346">
            <v>10546375</v>
          </cell>
          <cell r="Q346">
            <v>1</v>
          </cell>
          <cell r="R346">
            <v>10546375</v>
          </cell>
          <cell r="T346">
            <v>0.2</v>
          </cell>
          <cell r="U346">
            <v>0.2</v>
          </cell>
          <cell r="V346">
            <v>0.2</v>
          </cell>
          <cell r="W346">
            <v>0.2</v>
          </cell>
          <cell r="X346">
            <v>0.2</v>
          </cell>
          <cell r="Y346">
            <v>0</v>
          </cell>
          <cell r="Z346">
            <v>0</v>
          </cell>
          <cell r="AA346">
            <v>2109275</v>
          </cell>
          <cell r="AB346">
            <v>2109275</v>
          </cell>
          <cell r="AC346">
            <v>2109275</v>
          </cell>
          <cell r="AD346">
            <v>2109275</v>
          </cell>
          <cell r="AE346">
            <v>2109275</v>
          </cell>
          <cell r="AF346">
            <v>10546375</v>
          </cell>
        </row>
        <row r="347">
          <cell r="H347" t="str">
            <v>P4 ENSEIGNEMENT SUPERIEUR ET RECHERCHE SCIENTIFIQUE</v>
          </cell>
          <cell r="R347">
            <v>895984.88</v>
          </cell>
          <cell r="Z347">
            <v>111018</v>
          </cell>
          <cell r="AA347">
            <v>379966.88000000006</v>
          </cell>
          <cell r="AB347">
            <v>390000.00000000006</v>
          </cell>
          <cell r="AC347">
            <v>15000</v>
          </cell>
          <cell r="AD347">
            <v>0</v>
          </cell>
          <cell r="AE347">
            <v>0</v>
          </cell>
          <cell r="AF347">
            <v>895984.88</v>
          </cell>
        </row>
        <row r="348">
          <cell r="H348" t="str">
            <v>INSTITUTS D'ENSEIGNEMENT SUPERIEUR</v>
          </cell>
          <cell r="R348">
            <v>895984.88</v>
          </cell>
          <cell r="Z348">
            <v>111018</v>
          </cell>
          <cell r="AA348">
            <v>379966.88000000006</v>
          </cell>
          <cell r="AB348">
            <v>390000.00000000006</v>
          </cell>
          <cell r="AC348">
            <v>15000</v>
          </cell>
          <cell r="AD348">
            <v>0</v>
          </cell>
          <cell r="AE348">
            <v>0</v>
          </cell>
          <cell r="AF348">
            <v>895984.88</v>
          </cell>
        </row>
        <row r="349">
          <cell r="H349" t="str">
            <v>Poursuite de l'implantation du programme LMD à l'ISSEG</v>
          </cell>
          <cell r="R349">
            <v>895984.88</v>
          </cell>
          <cell r="Z349">
            <v>111018</v>
          </cell>
          <cell r="AA349">
            <v>379966.88000000006</v>
          </cell>
          <cell r="AB349">
            <v>390000.00000000006</v>
          </cell>
          <cell r="AC349">
            <v>15000</v>
          </cell>
          <cell r="AD349">
            <v>0</v>
          </cell>
          <cell r="AE349">
            <v>0</v>
          </cell>
          <cell r="AF349">
            <v>895984.88</v>
          </cell>
        </row>
        <row r="350">
          <cell r="B350" t="str">
            <v>ISSEG</v>
          </cell>
          <cell r="C350" t="str">
            <v>Q</v>
          </cell>
          <cell r="D350" t="str">
            <v>41A</v>
          </cell>
          <cell r="E350" t="str">
            <v>ISSEG</v>
          </cell>
          <cell r="F350" t="str">
            <v>FC/CN</v>
          </cell>
          <cell r="G350">
            <v>12</v>
          </cell>
          <cell r="H350" t="str">
            <v>Elaboration plans de cours pour PCL années 2, 3 et 4  :  2p x 5j  x 60</v>
          </cell>
          <cell r="I350" t="str">
            <v>ISSEG</v>
          </cell>
          <cell r="K350" t="str">
            <v>FC/PSE</v>
          </cell>
          <cell r="L350" t="str">
            <v>AUT</v>
          </cell>
          <cell r="M350">
            <v>160</v>
          </cell>
          <cell r="N350" t="str">
            <v>pxj</v>
          </cell>
          <cell r="O350" t="str">
            <v>asr</v>
          </cell>
          <cell r="P350">
            <v>123.10000000000001</v>
          </cell>
          <cell r="Q350">
            <v>1</v>
          </cell>
          <cell r="R350">
            <v>19696</v>
          </cell>
          <cell r="S350">
            <v>0.5</v>
          </cell>
          <cell r="T350">
            <v>0.5</v>
          </cell>
          <cell r="Y350">
            <v>0</v>
          </cell>
          <cell r="Z350">
            <v>9848</v>
          </cell>
          <cell r="AA350">
            <v>9848</v>
          </cell>
          <cell r="AB350">
            <v>0</v>
          </cell>
          <cell r="AC350">
            <v>0</v>
          </cell>
          <cell r="AD350">
            <v>0</v>
          </cell>
          <cell r="AE350">
            <v>0</v>
          </cell>
          <cell r="AF350">
            <v>19696</v>
          </cell>
        </row>
        <row r="351">
          <cell r="B351" t="str">
            <v>ISSEG</v>
          </cell>
          <cell r="C351" t="str">
            <v>Q</v>
          </cell>
          <cell r="D351" t="str">
            <v>41A</v>
          </cell>
          <cell r="E351" t="str">
            <v>ISSEG</v>
          </cell>
          <cell r="F351" t="str">
            <v>FC/CN</v>
          </cell>
          <cell r="G351">
            <v>12</v>
          </cell>
          <cell r="H351" t="str">
            <v>Elaboration des plans de cours pour PEN et CPMF année 2 : 2p x 5j x 20</v>
          </cell>
          <cell r="I351" t="str">
            <v>ISSEG</v>
          </cell>
          <cell r="K351" t="str">
            <v>FC/PSE</v>
          </cell>
          <cell r="L351" t="str">
            <v>AUT</v>
          </cell>
          <cell r="M351">
            <v>80</v>
          </cell>
          <cell r="N351" t="str">
            <v>pxj</v>
          </cell>
          <cell r="O351" t="str">
            <v>asr</v>
          </cell>
          <cell r="P351">
            <v>123.10000000000001</v>
          </cell>
          <cell r="Q351">
            <v>1</v>
          </cell>
          <cell r="R351">
            <v>9848</v>
          </cell>
          <cell r="S351">
            <v>0.5</v>
          </cell>
          <cell r="T351">
            <v>0.5</v>
          </cell>
          <cell r="Y351">
            <v>0</v>
          </cell>
          <cell r="Z351">
            <v>4924</v>
          </cell>
          <cell r="AA351">
            <v>4924</v>
          </cell>
          <cell r="AB351">
            <v>0</v>
          </cell>
          <cell r="AC351">
            <v>0</v>
          </cell>
          <cell r="AD351">
            <v>0</v>
          </cell>
          <cell r="AE351">
            <v>0</v>
          </cell>
          <cell r="AF351">
            <v>9848</v>
          </cell>
        </row>
        <row r="352">
          <cell r="B352" t="str">
            <v>ISSEG</v>
          </cell>
          <cell r="C352" t="str">
            <v>Q</v>
          </cell>
          <cell r="D352" t="str">
            <v>41A</v>
          </cell>
          <cell r="E352" t="str">
            <v>ISSEG</v>
          </cell>
          <cell r="F352" t="str">
            <v>FC/CN</v>
          </cell>
          <cell r="G352">
            <v>12</v>
          </cell>
          <cell r="H352" t="str">
            <v>Rédaction de 60 modules pour PCL années 2, 3 et 4 : 2p x 15j par module</v>
          </cell>
          <cell r="I352" t="str">
            <v>ISSEG</v>
          </cell>
          <cell r="K352" t="str">
            <v>FC/PSE</v>
          </cell>
          <cell r="L352" t="str">
            <v>AUT</v>
          </cell>
          <cell r="M352">
            <v>900</v>
          </cell>
          <cell r="N352" t="str">
            <v>pxj</v>
          </cell>
          <cell r="O352" t="str">
            <v>asr</v>
          </cell>
          <cell r="P352">
            <v>123.10000000000001</v>
          </cell>
          <cell r="Q352">
            <v>1</v>
          </cell>
          <cell r="R352">
            <v>110790.00000000001</v>
          </cell>
          <cell r="S352">
            <v>0.5</v>
          </cell>
          <cell r="T352">
            <v>0.5</v>
          </cell>
          <cell r="Y352">
            <v>0</v>
          </cell>
          <cell r="Z352">
            <v>55395.000000000007</v>
          </cell>
          <cell r="AA352">
            <v>55395.000000000007</v>
          </cell>
          <cell r="AB352">
            <v>0</v>
          </cell>
          <cell r="AC352">
            <v>0</v>
          </cell>
          <cell r="AD352">
            <v>0</v>
          </cell>
          <cell r="AE352">
            <v>0</v>
          </cell>
          <cell r="AF352">
            <v>110790.00000000001</v>
          </cell>
        </row>
        <row r="353">
          <cell r="B353" t="str">
            <v>ISSEG</v>
          </cell>
          <cell r="C353" t="str">
            <v>Q</v>
          </cell>
          <cell r="D353" t="str">
            <v>41A</v>
          </cell>
          <cell r="E353" t="str">
            <v>ISSEG</v>
          </cell>
          <cell r="F353" t="str">
            <v>FC/CN</v>
          </cell>
          <cell r="G353">
            <v>12</v>
          </cell>
          <cell r="H353" t="str">
            <v>Rédaction de 20 modules pour CPMF et  PEN année 2 : 2p x 15j par module</v>
          </cell>
          <cell r="I353" t="str">
            <v>ISSEG</v>
          </cell>
          <cell r="K353" t="str">
            <v>FC/PSE</v>
          </cell>
          <cell r="L353" t="str">
            <v>AUT</v>
          </cell>
          <cell r="M353">
            <v>300</v>
          </cell>
          <cell r="N353" t="str">
            <v>pxj</v>
          </cell>
          <cell r="O353" t="str">
            <v>asr</v>
          </cell>
          <cell r="P353">
            <v>123.10000000000001</v>
          </cell>
          <cell r="Q353">
            <v>1</v>
          </cell>
          <cell r="R353">
            <v>36930</v>
          </cell>
          <cell r="S353">
            <v>0.5</v>
          </cell>
          <cell r="T353">
            <v>0.5</v>
          </cell>
          <cell r="Y353">
            <v>0</v>
          </cell>
          <cell r="Z353">
            <v>18465</v>
          </cell>
          <cell r="AA353">
            <v>18465</v>
          </cell>
          <cell r="AB353">
            <v>0</v>
          </cell>
          <cell r="AC353">
            <v>0</v>
          </cell>
          <cell r="AD353">
            <v>0</v>
          </cell>
          <cell r="AE353">
            <v>0</v>
          </cell>
          <cell r="AF353">
            <v>36930</v>
          </cell>
        </row>
        <row r="354">
          <cell r="B354" t="str">
            <v>ISSEG</v>
          </cell>
          <cell r="C354" t="str">
            <v>Q</v>
          </cell>
          <cell r="D354" t="str">
            <v>41A</v>
          </cell>
          <cell r="E354" t="str">
            <v>ISSEG</v>
          </cell>
          <cell r="F354" t="str">
            <v>FC/CN</v>
          </cell>
          <cell r="G354">
            <v>12</v>
          </cell>
          <cell r="H354" t="str">
            <v>Mise en cohérence et validation interne des modules 60p x 2j par an</v>
          </cell>
          <cell r="I354" t="str">
            <v>ISSEG</v>
          </cell>
          <cell r="K354" t="str">
            <v>FC/PSE</v>
          </cell>
          <cell r="L354" t="str">
            <v>AUT</v>
          </cell>
          <cell r="M354">
            <v>120</v>
          </cell>
          <cell r="N354" t="str">
            <v>pxj</v>
          </cell>
          <cell r="O354" t="str">
            <v>asr</v>
          </cell>
          <cell r="P354">
            <v>123.10000000000001</v>
          </cell>
          <cell r="Q354">
            <v>1</v>
          </cell>
          <cell r="R354">
            <v>14772.000000000002</v>
          </cell>
          <cell r="S354">
            <v>0.5</v>
          </cell>
          <cell r="T354">
            <v>0.5</v>
          </cell>
          <cell r="Y354">
            <v>0</v>
          </cell>
          <cell r="Z354">
            <v>7386.0000000000009</v>
          </cell>
          <cell r="AA354">
            <v>7386.0000000000009</v>
          </cell>
          <cell r="AB354">
            <v>0</v>
          </cell>
          <cell r="AC354">
            <v>0</v>
          </cell>
          <cell r="AD354">
            <v>0</v>
          </cell>
          <cell r="AE354">
            <v>0</v>
          </cell>
          <cell r="AF354">
            <v>14772.000000000002</v>
          </cell>
        </row>
        <row r="355">
          <cell r="B355" t="str">
            <v>ISSEG</v>
          </cell>
          <cell r="C355" t="str">
            <v>Q</v>
          </cell>
          <cell r="D355" t="str">
            <v>41A</v>
          </cell>
          <cell r="E355" t="str">
            <v>ISSEG</v>
          </cell>
          <cell r="F355" t="str">
            <v>FC/CN</v>
          </cell>
          <cell r="G355">
            <v>12</v>
          </cell>
          <cell r="H355" t="str">
            <v>Reproduction des modules CPL : 30 mod x 50 pages x 800 par an</v>
          </cell>
          <cell r="I355" t="str">
            <v>CN/PSE</v>
          </cell>
          <cell r="K355" t="str">
            <v>FC/PSE</v>
          </cell>
          <cell r="L355" t="str">
            <v>COT</v>
          </cell>
          <cell r="M355">
            <v>1200000</v>
          </cell>
          <cell r="N355" t="str">
            <v>page</v>
          </cell>
          <cell r="O355" t="str">
            <v>rep</v>
          </cell>
          <cell r="P355">
            <v>0.30000000000000004</v>
          </cell>
          <cell r="Q355">
            <v>1</v>
          </cell>
          <cell r="R355">
            <v>360000.00000000006</v>
          </cell>
          <cell r="U355">
            <v>1</v>
          </cell>
          <cell r="Y355">
            <v>0</v>
          </cell>
          <cell r="Z355">
            <v>0</v>
          </cell>
          <cell r="AA355">
            <v>0</v>
          </cell>
          <cell r="AB355">
            <v>360000.00000000006</v>
          </cell>
          <cell r="AC355">
            <v>0</v>
          </cell>
          <cell r="AD355">
            <v>0</v>
          </cell>
          <cell r="AE355">
            <v>0</v>
          </cell>
          <cell r="AF355">
            <v>360000.00000000006</v>
          </cell>
        </row>
        <row r="356">
          <cell r="B356" t="str">
            <v>ISSEG</v>
          </cell>
          <cell r="C356" t="str">
            <v>Q</v>
          </cell>
          <cell r="D356" t="str">
            <v>41A</v>
          </cell>
          <cell r="E356" t="str">
            <v>ISSEG</v>
          </cell>
          <cell r="F356" t="str">
            <v>FC/CN</v>
          </cell>
          <cell r="G356">
            <v>12</v>
          </cell>
          <cell r="H356" t="str">
            <v>Reproduction des modules CPMF et PEN : 10 mod x 50 pages x 100 par an</v>
          </cell>
          <cell r="I356" t="str">
            <v>CN/PSE</v>
          </cell>
          <cell r="K356" t="str">
            <v>FC/PSE</v>
          </cell>
          <cell r="L356" t="str">
            <v>COT</v>
          </cell>
          <cell r="M356">
            <v>50000</v>
          </cell>
          <cell r="N356" t="str">
            <v>page</v>
          </cell>
          <cell r="O356" t="str">
            <v>rep</v>
          </cell>
          <cell r="P356">
            <v>0.30000000000000004</v>
          </cell>
          <cell r="Q356">
            <v>1</v>
          </cell>
          <cell r="R356">
            <v>15000.000000000002</v>
          </cell>
          <cell r="U356">
            <v>1</v>
          </cell>
          <cell r="Y356">
            <v>0</v>
          </cell>
          <cell r="Z356">
            <v>0</v>
          </cell>
          <cell r="AA356">
            <v>0</v>
          </cell>
          <cell r="AB356">
            <v>15000.000000000002</v>
          </cell>
          <cell r="AC356">
            <v>0</v>
          </cell>
          <cell r="AD356">
            <v>0</v>
          </cell>
          <cell r="AE356">
            <v>0</v>
          </cell>
          <cell r="AF356">
            <v>15000.000000000002</v>
          </cell>
        </row>
        <row r="357">
          <cell r="B357" t="str">
            <v>ISSEG</v>
          </cell>
          <cell r="C357" t="str">
            <v>Q</v>
          </cell>
          <cell r="D357" t="str">
            <v>41A</v>
          </cell>
          <cell r="E357" t="str">
            <v>ISSEG</v>
          </cell>
          <cell r="F357" t="str">
            <v>FC/CN</v>
          </cell>
          <cell r="G357">
            <v>23</v>
          </cell>
          <cell r="H357" t="str">
            <v>Poste informatique complet</v>
          </cell>
          <cell r="I357" t="str">
            <v>CN/PSE</v>
          </cell>
          <cell r="K357" t="str">
            <v>FC/PSE</v>
          </cell>
          <cell r="L357" t="str">
            <v>AOI</v>
          </cell>
          <cell r="M357">
            <v>10</v>
          </cell>
          <cell r="N357" t="str">
            <v>u</v>
          </cell>
          <cell r="O357" t="str">
            <v>pic</v>
          </cell>
          <cell r="P357">
            <v>14772.000000000002</v>
          </cell>
          <cell r="Q357">
            <v>1</v>
          </cell>
          <cell r="R357">
            <v>147720.00000000003</v>
          </cell>
          <cell r="T357">
            <v>1</v>
          </cell>
          <cell r="Y357">
            <v>0</v>
          </cell>
          <cell r="Z357">
            <v>0</v>
          </cell>
          <cell r="AA357">
            <v>147720.00000000003</v>
          </cell>
          <cell r="AB357">
            <v>0</v>
          </cell>
          <cell r="AC357">
            <v>0</v>
          </cell>
          <cell r="AD357">
            <v>0</v>
          </cell>
          <cell r="AE357">
            <v>0</v>
          </cell>
          <cell r="AF357">
            <v>147720.00000000003</v>
          </cell>
        </row>
        <row r="358">
          <cell r="B358" t="str">
            <v>ISSEG</v>
          </cell>
          <cell r="C358" t="str">
            <v>Q</v>
          </cell>
          <cell r="D358" t="str">
            <v>41A</v>
          </cell>
          <cell r="E358" t="str">
            <v>ISSEG</v>
          </cell>
          <cell r="F358" t="str">
            <v>FC/CN</v>
          </cell>
          <cell r="G358">
            <v>23</v>
          </cell>
          <cell r="H358" t="str">
            <v>Photocopieur grande capacité</v>
          </cell>
          <cell r="I358" t="str">
            <v>CN/PSE</v>
          </cell>
          <cell r="K358" t="str">
            <v>FC/PSE</v>
          </cell>
          <cell r="L358" t="str">
            <v>AOI</v>
          </cell>
          <cell r="M358">
            <v>1</v>
          </cell>
          <cell r="N358" t="str">
            <v>u</v>
          </cell>
          <cell r="O358" t="str">
            <v>pgc</v>
          </cell>
          <cell r="P358">
            <v>121228.88000000003</v>
          </cell>
          <cell r="Q358">
            <v>1</v>
          </cell>
          <cell r="R358">
            <v>121228.88000000003</v>
          </cell>
          <cell r="T358">
            <v>1</v>
          </cell>
          <cell r="Y358">
            <v>0</v>
          </cell>
          <cell r="Z358">
            <v>0</v>
          </cell>
          <cell r="AA358">
            <v>121228.88000000003</v>
          </cell>
          <cell r="AB358">
            <v>0</v>
          </cell>
          <cell r="AC358">
            <v>0</v>
          </cell>
          <cell r="AD358">
            <v>0</v>
          </cell>
          <cell r="AE358">
            <v>0</v>
          </cell>
          <cell r="AF358">
            <v>121228.88000000003</v>
          </cell>
        </row>
        <row r="359">
          <cell r="B359" t="str">
            <v>ISSEG</v>
          </cell>
          <cell r="C359" t="str">
            <v>Q</v>
          </cell>
          <cell r="D359" t="str">
            <v>41A</v>
          </cell>
          <cell r="E359" t="str">
            <v>ISSEG</v>
          </cell>
          <cell r="F359" t="str">
            <v>FC/CN</v>
          </cell>
          <cell r="G359">
            <v>15</v>
          </cell>
          <cell r="H359" t="str">
            <v>Fournitures et consommables</v>
          </cell>
          <cell r="I359" t="str">
            <v>ISSEG</v>
          </cell>
          <cell r="K359" t="str">
            <v>FC/PSE</v>
          </cell>
          <cell r="L359" t="str">
            <v>AUT</v>
          </cell>
          <cell r="M359">
            <v>12</v>
          </cell>
          <cell r="N359" t="str">
            <v>mois</v>
          </cell>
          <cell r="O359" t="str">
            <v>forfait</v>
          </cell>
          <cell r="P359">
            <v>5000</v>
          </cell>
          <cell r="Q359">
            <v>1</v>
          </cell>
          <cell r="R359">
            <v>60000</v>
          </cell>
          <cell r="S359">
            <v>0.25</v>
          </cell>
          <cell r="T359">
            <v>0.25</v>
          </cell>
          <cell r="U359">
            <v>0.25</v>
          </cell>
          <cell r="V359">
            <v>0.25</v>
          </cell>
          <cell r="Y359">
            <v>0</v>
          </cell>
          <cell r="Z359">
            <v>15000</v>
          </cell>
          <cell r="AA359">
            <v>15000</v>
          </cell>
          <cell r="AB359">
            <v>15000</v>
          </cell>
          <cell r="AC359">
            <v>15000</v>
          </cell>
          <cell r="AD359">
            <v>0</v>
          </cell>
          <cell r="AE359">
            <v>0</v>
          </cell>
          <cell r="AF359">
            <v>60000</v>
          </cell>
        </row>
        <row r="360">
          <cell r="H360" t="str">
            <v>INSTITUTS DE RECHERCHE SCIENTIFIQUE</v>
          </cell>
          <cell r="R360">
            <v>0</v>
          </cell>
          <cell r="Z360">
            <v>0</v>
          </cell>
          <cell r="AA360">
            <v>0</v>
          </cell>
          <cell r="AB360">
            <v>0</v>
          </cell>
          <cell r="AC360">
            <v>0</v>
          </cell>
          <cell r="AD360">
            <v>0</v>
          </cell>
          <cell r="AE360">
            <v>0</v>
          </cell>
          <cell r="AF360">
            <v>0</v>
          </cell>
        </row>
        <row r="361">
          <cell r="H361" t="str">
            <v>P5 GESTION SECTORIELLE</v>
          </cell>
          <cell r="R361">
            <v>26490766.940799996</v>
          </cell>
          <cell r="Z361">
            <v>5427715.7799999993</v>
          </cell>
          <cell r="AA361">
            <v>12469599.560800001</v>
          </cell>
          <cell r="AB361">
            <v>4634488.3</v>
          </cell>
          <cell r="AC361">
            <v>3958963.2999999993</v>
          </cell>
          <cell r="AD361">
            <v>0</v>
          </cell>
          <cell r="AE361">
            <v>0</v>
          </cell>
          <cell r="AF361">
            <v>26490766.940799996</v>
          </cell>
        </row>
        <row r="362">
          <cell r="H362" t="str">
            <v>GESTION CENTRALE</v>
          </cell>
          <cell r="R362">
            <v>11328438.620800002</v>
          </cell>
          <cell r="Z362">
            <v>3336954.26</v>
          </cell>
          <cell r="AA362">
            <v>3760205.1607999997</v>
          </cell>
          <cell r="AB362">
            <v>2239127.1</v>
          </cell>
          <cell r="AC362">
            <v>1992152.1</v>
          </cell>
          <cell r="AD362">
            <v>0</v>
          </cell>
          <cell r="AE362">
            <v>0</v>
          </cell>
          <cell r="AF362">
            <v>11328438.620800002</v>
          </cell>
        </row>
        <row r="363">
          <cell r="H363" t="str">
            <v>Appuis à la Cellule d'Audit Interne</v>
          </cell>
          <cell r="R363">
            <v>214062.96</v>
          </cell>
          <cell r="Z363">
            <v>93360.959999999992</v>
          </cell>
          <cell r="AA363">
            <v>90702</v>
          </cell>
          <cell r="AB363">
            <v>15000</v>
          </cell>
          <cell r="AC363">
            <v>15000</v>
          </cell>
          <cell r="AD363">
            <v>0</v>
          </cell>
          <cell r="AE363">
            <v>0</v>
          </cell>
          <cell r="AF363">
            <v>214062.96</v>
          </cell>
        </row>
        <row r="364">
          <cell r="B364" t="str">
            <v>CAI</v>
          </cell>
          <cell r="C364" t="str">
            <v>G</v>
          </cell>
          <cell r="D364" t="str">
            <v>51A</v>
          </cell>
          <cell r="E364" t="str">
            <v>IRE/</v>
          </cell>
          <cell r="F364" t="str">
            <v>FC/</v>
          </cell>
          <cell r="G364">
            <v>12</v>
          </cell>
          <cell r="H364" t="str">
            <v>Formation cadres CAI en compta publique et audit 7p en 192 heures CNPG</v>
          </cell>
          <cell r="I364" t="str">
            <v>CAI</v>
          </cell>
          <cell r="K364" t="str">
            <v>FC/PSE</v>
          </cell>
          <cell r="L364" t="str">
            <v>AUT</v>
          </cell>
          <cell r="M364">
            <v>192</v>
          </cell>
          <cell r="N364" t="str">
            <v>heure</v>
          </cell>
          <cell r="P364">
            <v>250</v>
          </cell>
          <cell r="Q364">
            <v>1</v>
          </cell>
          <cell r="R364">
            <v>48000</v>
          </cell>
          <cell r="S364">
            <v>0.5</v>
          </cell>
          <cell r="T364">
            <v>0.5</v>
          </cell>
          <cell r="Y364">
            <v>0</v>
          </cell>
          <cell r="Z364">
            <v>24000</v>
          </cell>
          <cell r="AA364">
            <v>24000</v>
          </cell>
          <cell r="AB364">
            <v>0</v>
          </cell>
          <cell r="AC364">
            <v>0</v>
          </cell>
          <cell r="AD364">
            <v>0</v>
          </cell>
          <cell r="AE364">
            <v>0</v>
          </cell>
          <cell r="AF364">
            <v>48000</v>
          </cell>
        </row>
        <row r="365">
          <cell r="B365" t="str">
            <v>CAI</v>
          </cell>
          <cell r="C365" t="str">
            <v>G</v>
          </cell>
          <cell r="D365" t="str">
            <v>51A</v>
          </cell>
          <cell r="E365" t="str">
            <v>IRE/</v>
          </cell>
          <cell r="F365" t="str">
            <v>FC/</v>
          </cell>
          <cell r="G365">
            <v>12</v>
          </cell>
          <cell r="H365" t="str">
            <v>Formation SAF/SGR IRE/DPE 46 x 2p x 4j</v>
          </cell>
          <cell r="I365" t="str">
            <v>CAI</v>
          </cell>
          <cell r="K365" t="str">
            <v>FC/PSE</v>
          </cell>
          <cell r="L365" t="str">
            <v>AUT</v>
          </cell>
          <cell r="M365">
            <v>368</v>
          </cell>
          <cell r="N365" t="str">
            <v>pxj</v>
          </cell>
          <cell r="O365" t="str">
            <v>asn</v>
          </cell>
          <cell r="P365">
            <v>147.72</v>
          </cell>
          <cell r="Q365">
            <v>1</v>
          </cell>
          <cell r="R365">
            <v>54360.959999999999</v>
          </cell>
          <cell r="S365">
            <v>1</v>
          </cell>
          <cell r="Y365">
            <v>0</v>
          </cell>
          <cell r="Z365">
            <v>54360.959999999999</v>
          </cell>
          <cell r="AA365">
            <v>0</v>
          </cell>
          <cell r="AB365">
            <v>0</v>
          </cell>
          <cell r="AC365">
            <v>0</v>
          </cell>
          <cell r="AD365">
            <v>0</v>
          </cell>
          <cell r="AE365">
            <v>0</v>
          </cell>
          <cell r="AF365">
            <v>54360.959999999999</v>
          </cell>
        </row>
        <row r="366">
          <cell r="B366" t="str">
            <v>CAI</v>
          </cell>
          <cell r="C366" t="str">
            <v>G</v>
          </cell>
          <cell r="D366" t="str">
            <v>51A</v>
          </cell>
          <cell r="E366" t="str">
            <v>DRH/EPU</v>
          </cell>
          <cell r="F366" t="str">
            <v>FC/CN</v>
          </cell>
          <cell r="G366">
            <v>23</v>
          </cell>
          <cell r="H366" t="str">
            <v>Postes informatiques fixes complets</v>
          </cell>
          <cell r="I366" t="str">
            <v>CAI</v>
          </cell>
          <cell r="K366" t="str">
            <v>FC/PSE</v>
          </cell>
          <cell r="L366" t="str">
            <v>AOI</v>
          </cell>
          <cell r="M366">
            <v>3</v>
          </cell>
          <cell r="N366" t="str">
            <v>u</v>
          </cell>
          <cell r="O366" t="str">
            <v>pic</v>
          </cell>
          <cell r="P366">
            <v>14772.000000000002</v>
          </cell>
          <cell r="Q366">
            <v>1</v>
          </cell>
          <cell r="R366">
            <v>44316.000000000007</v>
          </cell>
          <cell r="T366">
            <v>1</v>
          </cell>
          <cell r="Y366">
            <v>0</v>
          </cell>
          <cell r="Z366">
            <v>0</v>
          </cell>
          <cell r="AA366">
            <v>44316.000000000007</v>
          </cell>
          <cell r="AB366">
            <v>0</v>
          </cell>
          <cell r="AC366">
            <v>0</v>
          </cell>
          <cell r="AD366">
            <v>0</v>
          </cell>
          <cell r="AE366">
            <v>0</v>
          </cell>
          <cell r="AF366">
            <v>44316.000000000007</v>
          </cell>
        </row>
        <row r="367">
          <cell r="B367" t="str">
            <v>CAI</v>
          </cell>
          <cell r="C367" t="str">
            <v>G</v>
          </cell>
          <cell r="D367" t="str">
            <v>51A</v>
          </cell>
          <cell r="E367" t="str">
            <v>DRH/EPU</v>
          </cell>
          <cell r="F367" t="str">
            <v>FC/CN</v>
          </cell>
          <cell r="G367">
            <v>23</v>
          </cell>
          <cell r="H367" t="str">
            <v>Vidéoprojecteur</v>
          </cell>
          <cell r="I367" t="str">
            <v>CAI</v>
          </cell>
          <cell r="K367" t="str">
            <v>FC/PSE</v>
          </cell>
          <cell r="L367" t="str">
            <v>AOI</v>
          </cell>
          <cell r="M367">
            <v>1</v>
          </cell>
          <cell r="N367" t="str">
            <v>u</v>
          </cell>
          <cell r="P367">
            <v>7386.0000000000009</v>
          </cell>
          <cell r="Q367">
            <v>1</v>
          </cell>
          <cell r="R367">
            <v>7386.0000000000009</v>
          </cell>
          <cell r="T367">
            <v>1</v>
          </cell>
          <cell r="Y367">
            <v>0</v>
          </cell>
          <cell r="Z367">
            <v>0</v>
          </cell>
          <cell r="AA367">
            <v>7386.0000000000009</v>
          </cell>
          <cell r="AB367">
            <v>0</v>
          </cell>
          <cell r="AC367">
            <v>0</v>
          </cell>
          <cell r="AD367">
            <v>0</v>
          </cell>
          <cell r="AE367">
            <v>0</v>
          </cell>
          <cell r="AF367">
            <v>7386.0000000000009</v>
          </cell>
        </row>
        <row r="368">
          <cell r="B368" t="str">
            <v>CAI</v>
          </cell>
          <cell r="C368" t="str">
            <v>G</v>
          </cell>
          <cell r="D368" t="str">
            <v>51A</v>
          </cell>
          <cell r="E368" t="str">
            <v>IRE/</v>
          </cell>
          <cell r="F368" t="str">
            <v>FC/</v>
          </cell>
          <cell r="G368">
            <v>15</v>
          </cell>
          <cell r="H368" t="str">
            <v>Missions d'audit interne auprès des 40 SAF/SGR des IRE/DPE 2/an</v>
          </cell>
          <cell r="I368" t="str">
            <v>CAI</v>
          </cell>
          <cell r="K368" t="str">
            <v>FC/PSE</v>
          </cell>
          <cell r="L368" t="str">
            <v>AUT</v>
          </cell>
          <cell r="M368">
            <v>2</v>
          </cell>
          <cell r="N368" t="str">
            <v>audit</v>
          </cell>
          <cell r="P368">
            <v>30000</v>
          </cell>
          <cell r="Q368">
            <v>1</v>
          </cell>
          <cell r="R368">
            <v>60000</v>
          </cell>
          <cell r="S368">
            <v>0.25</v>
          </cell>
          <cell r="T368">
            <v>0.25</v>
          </cell>
          <cell r="U368">
            <v>0.25</v>
          </cell>
          <cell r="V368">
            <v>0.25</v>
          </cell>
          <cell r="Y368">
            <v>0</v>
          </cell>
          <cell r="Z368">
            <v>15000</v>
          </cell>
          <cell r="AA368">
            <v>15000</v>
          </cell>
          <cell r="AB368">
            <v>15000</v>
          </cell>
          <cell r="AC368">
            <v>15000</v>
          </cell>
          <cell r="AD368">
            <v>0</v>
          </cell>
          <cell r="AE368">
            <v>0</v>
          </cell>
          <cell r="AF368">
            <v>60000</v>
          </cell>
        </row>
        <row r="369">
          <cell r="H369" t="str">
            <v>Etudes et formations</v>
          </cell>
          <cell r="R369">
            <v>478784</v>
          </cell>
          <cell r="Z369">
            <v>100000</v>
          </cell>
          <cell r="AA369">
            <v>178784</v>
          </cell>
          <cell r="AB369">
            <v>100000</v>
          </cell>
          <cell r="AC369">
            <v>100000</v>
          </cell>
          <cell r="AD369">
            <v>0</v>
          </cell>
          <cell r="AE369">
            <v>0</v>
          </cell>
          <cell r="AF369">
            <v>478784</v>
          </cell>
        </row>
        <row r="370">
          <cell r="B370" t="str">
            <v>CN/PSE</v>
          </cell>
          <cell r="C370" t="str">
            <v>G</v>
          </cell>
          <cell r="D370" t="str">
            <v>51B</v>
          </cell>
          <cell r="E370" t="str">
            <v>SSU</v>
          </cell>
          <cell r="F370" t="str">
            <v>FC/CN</v>
          </cell>
          <cell r="G370">
            <v>25</v>
          </cell>
          <cell r="H370" t="str">
            <v>Etude impact VIH/SIDA Spécialiste international : 20j</v>
          </cell>
          <cell r="I370" t="str">
            <v>CN/PSE</v>
          </cell>
          <cell r="K370" t="str">
            <v>FC/PSE</v>
          </cell>
          <cell r="L370" t="str">
            <v>CR</v>
          </cell>
          <cell r="M370">
            <v>0.66666666666666663</v>
          </cell>
          <cell r="N370" t="str">
            <v>pxm</v>
          </cell>
          <cell r="O370" t="str">
            <v>cic</v>
          </cell>
          <cell r="P370">
            <v>88632</v>
          </cell>
          <cell r="Q370">
            <v>1</v>
          </cell>
          <cell r="R370">
            <v>59088</v>
          </cell>
          <cell r="T370">
            <v>1</v>
          </cell>
          <cell r="Y370">
            <v>0</v>
          </cell>
          <cell r="Z370">
            <v>0</v>
          </cell>
          <cell r="AA370">
            <v>59088</v>
          </cell>
          <cell r="AB370">
            <v>0</v>
          </cell>
          <cell r="AC370">
            <v>0</v>
          </cell>
          <cell r="AD370">
            <v>0</v>
          </cell>
          <cell r="AE370">
            <v>0</v>
          </cell>
          <cell r="AF370">
            <v>59088</v>
          </cell>
        </row>
        <row r="371">
          <cell r="B371" t="str">
            <v>CN/PSE</v>
          </cell>
          <cell r="C371" t="str">
            <v>G</v>
          </cell>
          <cell r="D371" t="str">
            <v>51B</v>
          </cell>
          <cell r="E371" t="str">
            <v>SSU</v>
          </cell>
          <cell r="F371" t="str">
            <v>FC/CN</v>
          </cell>
          <cell r="G371">
            <v>25</v>
          </cell>
          <cell r="H371" t="str">
            <v>Etude impact VIH/SIDA Spécialiste national : 20j</v>
          </cell>
          <cell r="I371" t="str">
            <v>CN/PSE</v>
          </cell>
          <cell r="K371" t="str">
            <v>FC/PSE</v>
          </cell>
          <cell r="L371" t="str">
            <v>CR</v>
          </cell>
          <cell r="M371">
            <v>0.66666666666666663</v>
          </cell>
          <cell r="N371" t="str">
            <v>pxm</v>
          </cell>
          <cell r="O371" t="str">
            <v>cnc</v>
          </cell>
          <cell r="P371">
            <v>29544.000000000004</v>
          </cell>
          <cell r="Q371">
            <v>1</v>
          </cell>
          <cell r="R371">
            <v>19696</v>
          </cell>
          <cell r="T371">
            <v>1</v>
          </cell>
          <cell r="Y371">
            <v>0</v>
          </cell>
          <cell r="Z371">
            <v>0</v>
          </cell>
          <cell r="AA371">
            <v>19696</v>
          </cell>
          <cell r="AB371">
            <v>0</v>
          </cell>
          <cell r="AC371">
            <v>0</v>
          </cell>
          <cell r="AD371">
            <v>0</v>
          </cell>
          <cell r="AE371">
            <v>0</v>
          </cell>
          <cell r="AF371">
            <v>19696</v>
          </cell>
        </row>
        <row r="372">
          <cell r="B372" t="str">
            <v>CN/PSE</v>
          </cell>
          <cell r="C372" t="str">
            <v>G</v>
          </cell>
          <cell r="D372" t="str">
            <v>51B</v>
          </cell>
          <cell r="E372" t="str">
            <v>SNFP</v>
          </cell>
          <cell r="F372" t="str">
            <v>FC/CN</v>
          </cell>
          <cell r="G372">
            <v>12</v>
          </cell>
          <cell r="H372" t="str">
            <v>Formation approfondie à temps partiel en bureautique : 50p niveau central x 8sem</v>
          </cell>
          <cell r="I372" t="str">
            <v>CN/PSE</v>
          </cell>
          <cell r="K372" t="str">
            <v>FC/PSE</v>
          </cell>
          <cell r="L372" t="str">
            <v>CR</v>
          </cell>
          <cell r="M372">
            <v>400</v>
          </cell>
          <cell r="N372" t="str">
            <v>pxsem</v>
          </cell>
          <cell r="O372" t="str">
            <v>fbu</v>
          </cell>
          <cell r="P372">
            <v>1000</v>
          </cell>
          <cell r="Q372">
            <v>1</v>
          </cell>
          <cell r="R372">
            <v>400000</v>
          </cell>
          <cell r="S372">
            <v>0.25</v>
          </cell>
          <cell r="T372">
            <v>0.25</v>
          </cell>
          <cell r="U372">
            <v>0.25</v>
          </cell>
          <cell r="V372">
            <v>0.25</v>
          </cell>
          <cell r="Y372">
            <v>0</v>
          </cell>
          <cell r="Z372">
            <v>100000</v>
          </cell>
          <cell r="AA372">
            <v>100000</v>
          </cell>
          <cell r="AB372">
            <v>100000</v>
          </cell>
          <cell r="AC372">
            <v>100000</v>
          </cell>
          <cell r="AD372">
            <v>0</v>
          </cell>
          <cell r="AE372">
            <v>0</v>
          </cell>
          <cell r="AF372">
            <v>400000</v>
          </cell>
        </row>
        <row r="373">
          <cell r="H373" t="str">
            <v>Gestion des ressources humaines</v>
          </cell>
          <cell r="R373">
            <v>339732.00000000006</v>
          </cell>
          <cell r="Z373">
            <v>124816</v>
          </cell>
          <cell r="AA373">
            <v>199916.00000000003</v>
          </cell>
          <cell r="AB373">
            <v>7500.0000000000018</v>
          </cell>
          <cell r="AC373">
            <v>7500.0000000000018</v>
          </cell>
          <cell r="AD373">
            <v>0</v>
          </cell>
          <cell r="AE373">
            <v>0</v>
          </cell>
          <cell r="AF373">
            <v>339732</v>
          </cell>
        </row>
        <row r="374">
          <cell r="B374" t="str">
            <v>DRH/EPU</v>
          </cell>
          <cell r="C374" t="str">
            <v>G</v>
          </cell>
          <cell r="D374" t="str">
            <v>51C</v>
          </cell>
          <cell r="E374" t="str">
            <v>DRH/EPU</v>
          </cell>
          <cell r="F374" t="str">
            <v>FC/CN</v>
          </cell>
          <cell r="G374">
            <v>25</v>
          </cell>
          <cell r="H374" t="str">
            <v>Manuel des procédures de màj  base des données du personnel</v>
          </cell>
          <cell r="I374" t="str">
            <v>CN/PSE</v>
          </cell>
          <cell r="K374" t="str">
            <v>FC/PSE</v>
          </cell>
          <cell r="L374" t="str">
            <v>CR</v>
          </cell>
          <cell r="M374">
            <v>0.5</v>
          </cell>
          <cell r="N374" t="str">
            <v>pxm</v>
          </cell>
          <cell r="O374" t="str">
            <v>cic</v>
          </cell>
          <cell r="P374">
            <v>88632</v>
          </cell>
          <cell r="Q374">
            <v>1</v>
          </cell>
          <cell r="R374">
            <v>44316</v>
          </cell>
          <cell r="S374">
            <v>1</v>
          </cell>
          <cell r="Y374">
            <v>0</v>
          </cell>
          <cell r="Z374">
            <v>44316</v>
          </cell>
          <cell r="AA374">
            <v>0</v>
          </cell>
          <cell r="AB374">
            <v>0</v>
          </cell>
          <cell r="AC374">
            <v>0</v>
          </cell>
          <cell r="AD374">
            <v>0</v>
          </cell>
          <cell r="AE374">
            <v>0</v>
          </cell>
          <cell r="AF374">
            <v>44316</v>
          </cell>
        </row>
        <row r="375">
          <cell r="B375" t="str">
            <v>DRH/EPU</v>
          </cell>
          <cell r="C375" t="str">
            <v>G</v>
          </cell>
          <cell r="D375" t="str">
            <v>51C</v>
          </cell>
          <cell r="E375" t="str">
            <v>DRH/EPU</v>
          </cell>
          <cell r="F375" t="str">
            <v>FC/CN</v>
          </cell>
          <cell r="G375">
            <v>23</v>
          </cell>
          <cell r="H375" t="str">
            <v>Postes informatiques fixes complets dédiés à la base personnel</v>
          </cell>
          <cell r="I375" t="str">
            <v>CN/PSE</v>
          </cell>
          <cell r="K375" t="str">
            <v>FC/PSE</v>
          </cell>
          <cell r="L375" t="str">
            <v>AOI</v>
          </cell>
          <cell r="M375">
            <v>5</v>
          </cell>
          <cell r="N375" t="str">
            <v>u</v>
          </cell>
          <cell r="O375" t="str">
            <v>pic</v>
          </cell>
          <cell r="P375">
            <v>14772.000000000002</v>
          </cell>
          <cell r="Q375">
            <v>1</v>
          </cell>
          <cell r="R375">
            <v>73860.000000000015</v>
          </cell>
          <cell r="T375">
            <v>1</v>
          </cell>
          <cell r="Y375">
            <v>0</v>
          </cell>
          <cell r="Z375">
            <v>0</v>
          </cell>
          <cell r="AA375">
            <v>73860.000000000015</v>
          </cell>
          <cell r="AB375">
            <v>0</v>
          </cell>
          <cell r="AC375">
            <v>0</v>
          </cell>
          <cell r="AD375">
            <v>0</v>
          </cell>
          <cell r="AE375">
            <v>0</v>
          </cell>
          <cell r="AF375">
            <v>73860.000000000015</v>
          </cell>
        </row>
        <row r="376">
          <cell r="B376" t="str">
            <v>DRH/EPU</v>
          </cell>
          <cell r="C376" t="str">
            <v>G</v>
          </cell>
          <cell r="D376" t="str">
            <v>51C</v>
          </cell>
          <cell r="E376" t="str">
            <v>DRH/EPU</v>
          </cell>
          <cell r="F376" t="str">
            <v>FC/CN</v>
          </cell>
          <cell r="G376">
            <v>23</v>
          </cell>
          <cell r="H376" t="str">
            <v>Postes informatiques fixes complets</v>
          </cell>
          <cell r="I376" t="str">
            <v>CN/PSE</v>
          </cell>
          <cell r="K376" t="str">
            <v>FC/PSE</v>
          </cell>
          <cell r="L376" t="str">
            <v>AOI</v>
          </cell>
          <cell r="M376">
            <v>3</v>
          </cell>
          <cell r="N376" t="str">
            <v>u</v>
          </cell>
          <cell r="O376" t="str">
            <v>pic</v>
          </cell>
          <cell r="P376">
            <v>14772.000000000002</v>
          </cell>
          <cell r="Q376">
            <v>1</v>
          </cell>
          <cell r="R376">
            <v>44316.000000000007</v>
          </cell>
          <cell r="T376">
            <v>1</v>
          </cell>
          <cell r="Y376">
            <v>0</v>
          </cell>
          <cell r="Z376">
            <v>0</v>
          </cell>
          <cell r="AA376">
            <v>44316.000000000007</v>
          </cell>
          <cell r="AB376">
            <v>0</v>
          </cell>
          <cell r="AC376">
            <v>0</v>
          </cell>
          <cell r="AD376">
            <v>0</v>
          </cell>
          <cell r="AE376">
            <v>0</v>
          </cell>
          <cell r="AF376">
            <v>44316.000000000007</v>
          </cell>
        </row>
        <row r="377">
          <cell r="B377" t="str">
            <v>DRH/EPU</v>
          </cell>
          <cell r="C377" t="str">
            <v>G</v>
          </cell>
          <cell r="D377" t="str">
            <v>51C</v>
          </cell>
          <cell r="E377" t="str">
            <v>DRH/EPU</v>
          </cell>
          <cell r="F377" t="str">
            <v>FC/CN</v>
          </cell>
          <cell r="G377">
            <v>23</v>
          </cell>
          <cell r="H377" t="str">
            <v>Serveur réseau pour base personnel</v>
          </cell>
          <cell r="I377" t="str">
            <v>CN/PSE</v>
          </cell>
          <cell r="K377" t="str">
            <v>FC/PSE</v>
          </cell>
          <cell r="L377" t="str">
            <v>AOI</v>
          </cell>
          <cell r="M377">
            <v>1</v>
          </cell>
          <cell r="N377" t="str">
            <v>u</v>
          </cell>
          <cell r="P377">
            <v>24620.000000000004</v>
          </cell>
          <cell r="Q377">
            <v>1</v>
          </cell>
          <cell r="R377">
            <v>24620.000000000004</v>
          </cell>
          <cell r="T377">
            <v>1</v>
          </cell>
          <cell r="Y377">
            <v>0</v>
          </cell>
          <cell r="Z377">
            <v>0</v>
          </cell>
          <cell r="AA377">
            <v>24620.000000000004</v>
          </cell>
          <cell r="AB377">
            <v>0</v>
          </cell>
          <cell r="AC377">
            <v>0</v>
          </cell>
          <cell r="AD377">
            <v>0</v>
          </cell>
          <cell r="AE377">
            <v>0</v>
          </cell>
          <cell r="AF377">
            <v>24620.000000000004</v>
          </cell>
        </row>
        <row r="378">
          <cell r="B378" t="str">
            <v>DRH/EPU</v>
          </cell>
          <cell r="C378" t="str">
            <v>G</v>
          </cell>
          <cell r="D378" t="str">
            <v>51C</v>
          </cell>
          <cell r="E378" t="str">
            <v>DRH/EPU</v>
          </cell>
          <cell r="F378" t="str">
            <v>FC/CN</v>
          </cell>
          <cell r="G378">
            <v>23</v>
          </cell>
          <cell r="H378" t="str">
            <v>Equipement pour réseau postes dédiés et serveur cartes et connectique</v>
          </cell>
          <cell r="I378" t="str">
            <v>CN/PSE</v>
          </cell>
          <cell r="K378" t="str">
            <v>FC/PSE</v>
          </cell>
          <cell r="L378" t="str">
            <v>AOI</v>
          </cell>
          <cell r="M378">
            <v>1</v>
          </cell>
          <cell r="N378" t="str">
            <v>lot</v>
          </cell>
          <cell r="P378">
            <v>24620.000000000004</v>
          </cell>
          <cell r="Q378">
            <v>1</v>
          </cell>
          <cell r="R378">
            <v>24620.000000000004</v>
          </cell>
          <cell r="T378">
            <v>1</v>
          </cell>
          <cell r="Y378">
            <v>0</v>
          </cell>
          <cell r="Z378">
            <v>0</v>
          </cell>
          <cell r="AA378">
            <v>24620.000000000004</v>
          </cell>
          <cell r="AB378">
            <v>0</v>
          </cell>
          <cell r="AC378">
            <v>0</v>
          </cell>
          <cell r="AD378">
            <v>0</v>
          </cell>
          <cell r="AE378">
            <v>0</v>
          </cell>
          <cell r="AF378">
            <v>24620.000000000004</v>
          </cell>
        </row>
        <row r="379">
          <cell r="B379" t="str">
            <v>DRH/EPU</v>
          </cell>
          <cell r="C379" t="str">
            <v>G</v>
          </cell>
          <cell r="D379" t="str">
            <v>51C</v>
          </cell>
          <cell r="E379" t="str">
            <v>DRH/EPU</v>
          </cell>
          <cell r="F379" t="str">
            <v>FC/CN</v>
          </cell>
          <cell r="G379">
            <v>12</v>
          </cell>
          <cell r="H379" t="str">
            <v>Formation utilisation base in situ 10p DRH x 2 semaines</v>
          </cell>
          <cell r="I379" t="str">
            <v>CN/PSE</v>
          </cell>
          <cell r="K379" t="str">
            <v>FC/PSE</v>
          </cell>
          <cell r="L379" t="str">
            <v>CR</v>
          </cell>
          <cell r="M379">
            <v>20</v>
          </cell>
          <cell r="N379" t="str">
            <v>pxs</v>
          </cell>
          <cell r="O379" t="str">
            <v>fbu</v>
          </cell>
          <cell r="P379">
            <v>1000</v>
          </cell>
          <cell r="Q379">
            <v>1</v>
          </cell>
          <cell r="R379">
            <v>20000</v>
          </cell>
          <cell r="S379">
            <v>0.5</v>
          </cell>
          <cell r="T379">
            <v>0.5</v>
          </cell>
          <cell r="Y379">
            <v>0</v>
          </cell>
          <cell r="Z379">
            <v>10000</v>
          </cell>
          <cell r="AA379">
            <v>10000</v>
          </cell>
          <cell r="AB379">
            <v>0</v>
          </cell>
          <cell r="AC379">
            <v>0</v>
          </cell>
          <cell r="AD379">
            <v>0</v>
          </cell>
          <cell r="AE379">
            <v>0</v>
          </cell>
          <cell r="AF379">
            <v>20000</v>
          </cell>
        </row>
        <row r="380">
          <cell r="B380" t="str">
            <v>DRH/EPU</v>
          </cell>
          <cell r="C380" t="str">
            <v>G</v>
          </cell>
          <cell r="D380" t="str">
            <v>51C</v>
          </cell>
          <cell r="E380" t="str">
            <v>DRH/EPU</v>
          </cell>
          <cell r="F380" t="str">
            <v>FC/CN</v>
          </cell>
          <cell r="G380">
            <v>12</v>
          </cell>
          <cell r="H380" t="str">
            <v>Formation bureautique 10p DRH x 3 semaines</v>
          </cell>
          <cell r="I380" t="str">
            <v>CN/PSE</v>
          </cell>
          <cell r="K380" t="str">
            <v>FC/PSE</v>
          </cell>
          <cell r="L380" t="str">
            <v>CR</v>
          </cell>
          <cell r="M380">
            <v>30</v>
          </cell>
          <cell r="N380" t="str">
            <v>pxs</v>
          </cell>
          <cell r="O380" t="str">
            <v>fbu</v>
          </cell>
          <cell r="P380">
            <v>1000</v>
          </cell>
          <cell r="Q380">
            <v>1</v>
          </cell>
          <cell r="R380">
            <v>30000</v>
          </cell>
          <cell r="S380">
            <v>0.5</v>
          </cell>
          <cell r="T380">
            <v>0.5</v>
          </cell>
          <cell r="Y380">
            <v>0</v>
          </cell>
          <cell r="Z380">
            <v>15000</v>
          </cell>
          <cell r="AA380">
            <v>15000</v>
          </cell>
          <cell r="AB380">
            <v>0</v>
          </cell>
          <cell r="AC380">
            <v>0</v>
          </cell>
          <cell r="AD380">
            <v>0</v>
          </cell>
          <cell r="AE380">
            <v>0</v>
          </cell>
          <cell r="AF380">
            <v>30000</v>
          </cell>
        </row>
        <row r="381">
          <cell r="B381" t="str">
            <v>DRH/EPU</v>
          </cell>
          <cell r="C381" t="str">
            <v>G</v>
          </cell>
          <cell r="D381" t="str">
            <v>51C</v>
          </cell>
          <cell r="E381" t="str">
            <v>DRH/EPU</v>
          </cell>
          <cell r="F381" t="str">
            <v>FC/CN</v>
          </cell>
          <cell r="G381">
            <v>15</v>
          </cell>
          <cell r="H381" t="str">
            <v>Fiches d'enquête par DSEE, établissements ETFP et IES</v>
          </cell>
          <cell r="I381" t="str">
            <v>CN/PSE</v>
          </cell>
          <cell r="K381" t="str">
            <v>FC/PSE</v>
          </cell>
          <cell r="L381" t="str">
            <v>COT</v>
          </cell>
          <cell r="M381">
            <v>160000</v>
          </cell>
          <cell r="N381" t="str">
            <v>fiche</v>
          </cell>
          <cell r="O381" t="str">
            <v>rep</v>
          </cell>
          <cell r="P381">
            <v>0.30000000000000004</v>
          </cell>
          <cell r="Q381">
            <v>1</v>
          </cell>
          <cell r="R381">
            <v>48000.000000000007</v>
          </cell>
          <cell r="S381">
            <v>1</v>
          </cell>
          <cell r="Y381">
            <v>0</v>
          </cell>
          <cell r="Z381">
            <v>48000.000000000007</v>
          </cell>
          <cell r="AA381">
            <v>0</v>
          </cell>
          <cell r="AB381">
            <v>0</v>
          </cell>
          <cell r="AC381">
            <v>0</v>
          </cell>
          <cell r="AD381">
            <v>0</v>
          </cell>
          <cell r="AE381">
            <v>0</v>
          </cell>
          <cell r="AF381">
            <v>48000.000000000007</v>
          </cell>
        </row>
        <row r="382">
          <cell r="B382" t="str">
            <v>DRH/EPU</v>
          </cell>
          <cell r="C382" t="str">
            <v>G</v>
          </cell>
          <cell r="D382" t="str">
            <v>51C</v>
          </cell>
          <cell r="E382" t="str">
            <v>DRH/EPU</v>
          </cell>
          <cell r="F382" t="str">
            <v>FC/CN</v>
          </cell>
          <cell r="G382">
            <v>11</v>
          </cell>
          <cell r="H382" t="str">
            <v>Informaticien contractuel</v>
          </cell>
          <cell r="I382" t="str">
            <v>CN/PSE</v>
          </cell>
          <cell r="K382" t="str">
            <v>FC/PSE</v>
          </cell>
          <cell r="L382" t="str">
            <v>CR</v>
          </cell>
          <cell r="M382">
            <v>12</v>
          </cell>
          <cell r="N382" t="str">
            <v>mois</v>
          </cell>
          <cell r="O382" t="str">
            <v>inf</v>
          </cell>
          <cell r="P382">
            <v>2500.0000000000005</v>
          </cell>
          <cell r="Q382">
            <v>1</v>
          </cell>
          <cell r="R382">
            <v>30000.000000000007</v>
          </cell>
          <cell r="S382">
            <v>0.25</v>
          </cell>
          <cell r="T382">
            <v>0.25</v>
          </cell>
          <cell r="U382">
            <v>0.25</v>
          </cell>
          <cell r="V382">
            <v>0.25</v>
          </cell>
          <cell r="Y382">
            <v>0</v>
          </cell>
          <cell r="Z382">
            <v>7500.0000000000018</v>
          </cell>
          <cell r="AA382">
            <v>7500.0000000000018</v>
          </cell>
          <cell r="AB382">
            <v>7500.0000000000018</v>
          </cell>
          <cell r="AC382">
            <v>7500.0000000000018</v>
          </cell>
          <cell r="AD382">
            <v>0</v>
          </cell>
          <cell r="AE382">
            <v>0</v>
          </cell>
          <cell r="AF382">
            <v>30000.000000000007</v>
          </cell>
        </row>
        <row r="383">
          <cell r="H383" t="str">
            <v>Cellule Cadre des Dépenses à Moyen Terme</v>
          </cell>
          <cell r="R383">
            <v>619025.06079999998</v>
          </cell>
          <cell r="Z383">
            <v>38886</v>
          </cell>
          <cell r="AA383">
            <v>550367.06079999998</v>
          </cell>
          <cell r="AB383">
            <v>14886</v>
          </cell>
          <cell r="AC383">
            <v>14886</v>
          </cell>
          <cell r="AD383">
            <v>0</v>
          </cell>
          <cell r="AE383">
            <v>0</v>
          </cell>
          <cell r="AF383">
            <v>619025.06079999998</v>
          </cell>
        </row>
        <row r="384">
          <cell r="B384" t="str">
            <v>C/CDMT</v>
          </cell>
          <cell r="C384" t="str">
            <v>G</v>
          </cell>
          <cell r="D384" t="str">
            <v>51D</v>
          </cell>
          <cell r="E384" t="str">
            <v>C/CDMT</v>
          </cell>
          <cell r="F384" t="str">
            <v>FC/CN</v>
          </cell>
          <cell r="G384">
            <v>15</v>
          </cell>
          <cell r="H384" t="str">
            <v>Missions d'information et d'encadrement des structures centrales et déconcentrées</v>
          </cell>
          <cell r="I384" t="str">
            <v>C/CDMT</v>
          </cell>
          <cell r="K384" t="str">
            <v>FC/PSE</v>
          </cell>
          <cell r="L384" t="str">
            <v>AUT</v>
          </cell>
          <cell r="M384">
            <v>120</v>
          </cell>
          <cell r="N384" t="str">
            <v>pxj</v>
          </cell>
          <cell r="O384" t="str">
            <v>min</v>
          </cell>
          <cell r="P384">
            <v>246.20000000000002</v>
          </cell>
          <cell r="Q384">
            <v>1</v>
          </cell>
          <cell r="R384">
            <v>29544.000000000004</v>
          </cell>
          <cell r="S384">
            <v>0.25</v>
          </cell>
          <cell r="T384">
            <v>0.25</v>
          </cell>
          <cell r="U384">
            <v>0.25</v>
          </cell>
          <cell r="V384">
            <v>0.25</v>
          </cell>
          <cell r="Y384">
            <v>0</v>
          </cell>
          <cell r="Z384">
            <v>7386.0000000000009</v>
          </cell>
          <cell r="AA384">
            <v>7386.0000000000009</v>
          </cell>
          <cell r="AB384">
            <v>7386.0000000000009</v>
          </cell>
          <cell r="AC384">
            <v>7386.0000000000009</v>
          </cell>
          <cell r="AD384">
            <v>0</v>
          </cell>
          <cell r="AE384">
            <v>0</v>
          </cell>
          <cell r="AF384">
            <v>29544.000000000004</v>
          </cell>
        </row>
        <row r="385">
          <cell r="B385" t="str">
            <v>C/CDMT</v>
          </cell>
          <cell r="C385" t="str">
            <v>G</v>
          </cell>
          <cell r="D385" t="str">
            <v>51D</v>
          </cell>
          <cell r="E385" t="str">
            <v>C/CDMT</v>
          </cell>
          <cell r="F385" t="str">
            <v>FC/CN</v>
          </cell>
          <cell r="G385">
            <v>12</v>
          </cell>
          <cell r="H385" t="str">
            <v>Formation approfondie Excel et Access 8sem x 3p</v>
          </cell>
          <cell r="I385" t="str">
            <v>CN/PSE</v>
          </cell>
          <cell r="K385" t="str">
            <v>FC/PSE</v>
          </cell>
          <cell r="L385" t="str">
            <v>CR</v>
          </cell>
          <cell r="M385">
            <v>24</v>
          </cell>
          <cell r="N385" t="str">
            <v>sem</v>
          </cell>
          <cell r="O385" t="str">
            <v>fbu</v>
          </cell>
          <cell r="P385">
            <v>1000</v>
          </cell>
          <cell r="Q385">
            <v>1</v>
          </cell>
          <cell r="R385">
            <v>24000</v>
          </cell>
          <cell r="S385">
            <v>1</v>
          </cell>
          <cell r="Y385">
            <v>0</v>
          </cell>
          <cell r="Z385">
            <v>24000</v>
          </cell>
          <cell r="AA385">
            <v>0</v>
          </cell>
          <cell r="AB385">
            <v>0</v>
          </cell>
          <cell r="AC385">
            <v>0</v>
          </cell>
          <cell r="AD385">
            <v>0</v>
          </cell>
          <cell r="AE385">
            <v>0</v>
          </cell>
          <cell r="AF385">
            <v>24000</v>
          </cell>
        </row>
        <row r="386">
          <cell r="B386" t="str">
            <v>C/CDMT</v>
          </cell>
          <cell r="C386" t="str">
            <v>G</v>
          </cell>
          <cell r="D386" t="str">
            <v>51D</v>
          </cell>
          <cell r="E386" t="str">
            <v>C/CDMT</v>
          </cell>
          <cell r="F386" t="str">
            <v>FC/CN</v>
          </cell>
          <cell r="G386">
            <v>12</v>
          </cell>
          <cell r="H386" t="str">
            <v>Formation aux outils de dépenses publique (TOFE,CDMT,GAR) La Rochelle 3p x 20j</v>
          </cell>
          <cell r="I386" t="str">
            <v>C/CDMT</v>
          </cell>
          <cell r="K386" t="str">
            <v>FC/PSE</v>
          </cell>
          <cell r="L386" t="str">
            <v>AUT</v>
          </cell>
          <cell r="M386">
            <v>3</v>
          </cell>
          <cell r="N386" t="str">
            <v>p</v>
          </cell>
          <cell r="P386">
            <v>66474</v>
          </cell>
          <cell r="Q386">
            <v>1</v>
          </cell>
          <cell r="R386">
            <v>199422</v>
          </cell>
          <cell r="T386">
            <v>1</v>
          </cell>
          <cell r="Y386">
            <v>0</v>
          </cell>
          <cell r="Z386">
            <v>0</v>
          </cell>
          <cell r="AA386">
            <v>199422</v>
          </cell>
          <cell r="AB386">
            <v>0</v>
          </cell>
          <cell r="AC386">
            <v>0</v>
          </cell>
          <cell r="AD386">
            <v>0</v>
          </cell>
          <cell r="AE386">
            <v>0</v>
          </cell>
          <cell r="AF386">
            <v>199422</v>
          </cell>
        </row>
        <row r="387">
          <cell r="B387" t="str">
            <v>C/CDMT</v>
          </cell>
          <cell r="C387" t="str">
            <v>G</v>
          </cell>
          <cell r="D387" t="str">
            <v>51D</v>
          </cell>
          <cell r="E387" t="str">
            <v>C/CDMT</v>
          </cell>
          <cell r="F387" t="str">
            <v>FC/CN</v>
          </cell>
          <cell r="G387">
            <v>15</v>
          </cell>
          <cell r="H387" t="str">
            <v>Appui au fonctionnement courant de la Cellule CDMT</v>
          </cell>
          <cell r="I387" t="str">
            <v>C/CDMT</v>
          </cell>
          <cell r="K387" t="str">
            <v>FC/PSE</v>
          </cell>
          <cell r="L387" t="str">
            <v>AUT</v>
          </cell>
          <cell r="M387">
            <v>12</v>
          </cell>
          <cell r="N387" t="str">
            <v>mois</v>
          </cell>
          <cell r="P387">
            <v>2500</v>
          </cell>
          <cell r="Q387">
            <v>1</v>
          </cell>
          <cell r="R387">
            <v>30000</v>
          </cell>
          <cell r="S387">
            <v>0.25</v>
          </cell>
          <cell r="T387">
            <v>0.25</v>
          </cell>
          <cell r="U387">
            <v>0.25</v>
          </cell>
          <cell r="V387">
            <v>0.25</v>
          </cell>
          <cell r="Y387">
            <v>0</v>
          </cell>
          <cell r="Z387">
            <v>7500</v>
          </cell>
          <cell r="AA387">
            <v>7500</v>
          </cell>
          <cell r="AB387">
            <v>7500</v>
          </cell>
          <cell r="AC387">
            <v>7500</v>
          </cell>
          <cell r="AD387">
            <v>0</v>
          </cell>
          <cell r="AE387">
            <v>0</v>
          </cell>
          <cell r="AF387">
            <v>30000</v>
          </cell>
        </row>
        <row r="388">
          <cell r="B388" t="str">
            <v>C/CDMT</v>
          </cell>
          <cell r="C388" t="str">
            <v>G</v>
          </cell>
          <cell r="D388" t="str">
            <v>51D</v>
          </cell>
          <cell r="E388" t="str">
            <v>C/CDMT</v>
          </cell>
          <cell r="F388" t="str">
            <v>FC/CN</v>
          </cell>
          <cell r="G388">
            <v>23</v>
          </cell>
          <cell r="H388" t="str">
            <v>Véhicule de mission 4X4 SW</v>
          </cell>
          <cell r="I388" t="str">
            <v>CN/PSE</v>
          </cell>
          <cell r="K388" t="str">
            <v>FC/PSE</v>
          </cell>
          <cell r="L388" t="str">
            <v>AOI</v>
          </cell>
          <cell r="M388">
            <v>1</v>
          </cell>
          <cell r="N388" t="str">
            <v>u</v>
          </cell>
          <cell r="O388" t="str">
            <v>vsw</v>
          </cell>
          <cell r="P388">
            <v>196960.00000000003</v>
          </cell>
          <cell r="Q388">
            <v>1</v>
          </cell>
          <cell r="R388">
            <v>196960.00000000003</v>
          </cell>
          <cell r="T388">
            <v>1</v>
          </cell>
          <cell r="Y388">
            <v>0</v>
          </cell>
          <cell r="Z388">
            <v>0</v>
          </cell>
          <cell r="AA388">
            <v>196960.00000000003</v>
          </cell>
          <cell r="AB388">
            <v>0</v>
          </cell>
          <cell r="AC388">
            <v>0</v>
          </cell>
          <cell r="AD388">
            <v>0</v>
          </cell>
          <cell r="AE388">
            <v>0</v>
          </cell>
          <cell r="AF388">
            <v>196960.00000000003</v>
          </cell>
        </row>
        <row r="389">
          <cell r="B389" t="str">
            <v>C/CDMT</v>
          </cell>
          <cell r="C389" t="str">
            <v>G</v>
          </cell>
          <cell r="D389" t="str">
            <v>51D</v>
          </cell>
          <cell r="E389" t="str">
            <v>C/CDMT</v>
          </cell>
          <cell r="F389" t="str">
            <v>FC/CN</v>
          </cell>
          <cell r="G389">
            <v>23</v>
          </cell>
          <cell r="H389" t="str">
            <v>Photocopieur moyenne capacité</v>
          </cell>
          <cell r="I389" t="str">
            <v>CN/PSE</v>
          </cell>
          <cell r="K389" t="str">
            <v>FC/PSE</v>
          </cell>
          <cell r="L389" t="str">
            <v>AOI</v>
          </cell>
          <cell r="M389">
            <v>1</v>
          </cell>
          <cell r="N389" t="str">
            <v>u</v>
          </cell>
          <cell r="O389" t="str">
            <v>pmc</v>
          </cell>
          <cell r="P389">
            <v>72737.328000000009</v>
          </cell>
          <cell r="Q389">
            <v>1</v>
          </cell>
          <cell r="R389">
            <v>72737.328000000009</v>
          </cell>
          <cell r="T389">
            <v>1</v>
          </cell>
          <cell r="Y389">
            <v>0</v>
          </cell>
          <cell r="Z389">
            <v>0</v>
          </cell>
          <cell r="AA389">
            <v>72737.328000000009</v>
          </cell>
          <cell r="AB389">
            <v>0</v>
          </cell>
          <cell r="AC389">
            <v>0</v>
          </cell>
          <cell r="AD389">
            <v>0</v>
          </cell>
          <cell r="AE389">
            <v>0</v>
          </cell>
          <cell r="AF389">
            <v>72737.328000000009</v>
          </cell>
        </row>
        <row r="390">
          <cell r="B390" t="str">
            <v>C/CDMT</v>
          </cell>
          <cell r="C390" t="str">
            <v>G</v>
          </cell>
          <cell r="D390" t="str">
            <v>51D</v>
          </cell>
          <cell r="E390" t="str">
            <v>C/CDMT</v>
          </cell>
          <cell r="F390" t="str">
            <v>FC/CN</v>
          </cell>
          <cell r="G390">
            <v>23</v>
          </cell>
          <cell r="H390" t="str">
            <v>Imprimante multifonction</v>
          </cell>
          <cell r="I390" t="str">
            <v>CN/PSE</v>
          </cell>
          <cell r="K390" t="str">
            <v>FC/PSE</v>
          </cell>
          <cell r="L390" t="str">
            <v>AOI</v>
          </cell>
          <cell r="M390">
            <v>1</v>
          </cell>
          <cell r="N390" t="str">
            <v>u</v>
          </cell>
          <cell r="O390" t="str">
            <v>imf</v>
          </cell>
          <cell r="P390">
            <v>7273.7328000000007</v>
          </cell>
          <cell r="Q390">
            <v>1</v>
          </cell>
          <cell r="R390">
            <v>7273.7328000000007</v>
          </cell>
          <cell r="T390">
            <v>1</v>
          </cell>
          <cell r="Y390">
            <v>0</v>
          </cell>
          <cell r="Z390">
            <v>0</v>
          </cell>
          <cell r="AA390">
            <v>7273.7328000000007</v>
          </cell>
          <cell r="AB390">
            <v>0</v>
          </cell>
          <cell r="AC390">
            <v>0</v>
          </cell>
          <cell r="AD390">
            <v>0</v>
          </cell>
          <cell r="AE390">
            <v>0</v>
          </cell>
          <cell r="AF390">
            <v>7273.7328000000007</v>
          </cell>
        </row>
        <row r="391">
          <cell r="B391" t="str">
            <v>C/CDMT</v>
          </cell>
          <cell r="C391" t="str">
            <v>G</v>
          </cell>
          <cell r="D391" t="str">
            <v>51D</v>
          </cell>
          <cell r="E391" t="str">
            <v>C/CDMT</v>
          </cell>
          <cell r="F391" t="str">
            <v>FC/CN</v>
          </cell>
          <cell r="G391">
            <v>23</v>
          </cell>
          <cell r="H391" t="str">
            <v>Poste informatique complet fixe</v>
          </cell>
          <cell r="I391" t="str">
            <v>CN/PSE</v>
          </cell>
          <cell r="K391" t="str">
            <v>FC/PSE</v>
          </cell>
          <cell r="L391" t="str">
            <v>AOI</v>
          </cell>
          <cell r="M391">
            <v>3</v>
          </cell>
          <cell r="N391" t="str">
            <v>u</v>
          </cell>
          <cell r="O391" t="str">
            <v>pic</v>
          </cell>
          <cell r="P391">
            <v>14772.000000000002</v>
          </cell>
          <cell r="Q391">
            <v>1</v>
          </cell>
          <cell r="R391">
            <v>44316.000000000007</v>
          </cell>
          <cell r="T391">
            <v>1</v>
          </cell>
          <cell r="Y391">
            <v>0</v>
          </cell>
          <cell r="Z391">
            <v>0</v>
          </cell>
          <cell r="AA391">
            <v>44316.000000000007</v>
          </cell>
          <cell r="AB391">
            <v>0</v>
          </cell>
          <cell r="AC391">
            <v>0</v>
          </cell>
          <cell r="AD391">
            <v>0</v>
          </cell>
          <cell r="AE391">
            <v>0</v>
          </cell>
          <cell r="AF391">
            <v>44316.000000000007</v>
          </cell>
        </row>
        <row r="392">
          <cell r="B392" t="str">
            <v>C/CDMT</v>
          </cell>
          <cell r="C392" t="str">
            <v>G</v>
          </cell>
          <cell r="D392" t="str">
            <v>51D</v>
          </cell>
          <cell r="E392" t="str">
            <v>C/CDMT</v>
          </cell>
          <cell r="F392" t="str">
            <v>FC/CN</v>
          </cell>
          <cell r="G392">
            <v>23</v>
          </cell>
          <cell r="H392" t="str">
            <v>Projecteur vidéo</v>
          </cell>
          <cell r="I392" t="str">
            <v>CN/PSE</v>
          </cell>
          <cell r="K392" t="str">
            <v>FC/PSE</v>
          </cell>
          <cell r="L392" t="str">
            <v>AOI</v>
          </cell>
          <cell r="M392">
            <v>2</v>
          </cell>
          <cell r="N392" t="str">
            <v>u</v>
          </cell>
          <cell r="O392" t="str">
            <v>pvi</v>
          </cell>
          <cell r="P392">
            <v>7386.0000000000009</v>
          </cell>
          <cell r="Q392">
            <v>1</v>
          </cell>
          <cell r="R392">
            <v>14772.000000000002</v>
          </cell>
          <cell r="T392">
            <v>1</v>
          </cell>
          <cell r="Y392">
            <v>0</v>
          </cell>
          <cell r="Z392">
            <v>0</v>
          </cell>
          <cell r="AA392">
            <v>14772.000000000002</v>
          </cell>
          <cell r="AB392">
            <v>0</v>
          </cell>
          <cell r="AC392">
            <v>0</v>
          </cell>
          <cell r="AD392">
            <v>0</v>
          </cell>
          <cell r="AE392">
            <v>0</v>
          </cell>
          <cell r="AF392">
            <v>14772.000000000002</v>
          </cell>
        </row>
        <row r="393">
          <cell r="H393" t="str">
            <v>Mise en place du système de suivi évaluation</v>
          </cell>
          <cell r="R393">
            <v>731403.20000000007</v>
          </cell>
          <cell r="Z393">
            <v>318008.7</v>
          </cell>
          <cell r="AA393">
            <v>345315.5</v>
          </cell>
          <cell r="AB393">
            <v>34039.5</v>
          </cell>
          <cell r="AC393">
            <v>34039.5</v>
          </cell>
          <cell r="AD393">
            <v>0</v>
          </cell>
          <cell r="AE393">
            <v>0</v>
          </cell>
          <cell r="AF393">
            <v>731403.2</v>
          </cell>
        </row>
        <row r="394">
          <cell r="H394" t="str">
            <v>Commission Nationale de Suivi Evaluation du PSE</v>
          </cell>
          <cell r="Z394">
            <v>0</v>
          </cell>
          <cell r="AA394">
            <v>0</v>
          </cell>
          <cell r="AB394">
            <v>0</v>
          </cell>
          <cell r="AC394">
            <v>0</v>
          </cell>
          <cell r="AD394">
            <v>0</v>
          </cell>
          <cell r="AE394">
            <v>0</v>
          </cell>
          <cell r="AF394">
            <v>0</v>
          </cell>
        </row>
        <row r="395">
          <cell r="B395" t="str">
            <v>SSP</v>
          </cell>
          <cell r="C395" t="str">
            <v>G</v>
          </cell>
          <cell r="D395" t="str">
            <v>51E</v>
          </cell>
          <cell r="E395" t="str">
            <v>CNSE</v>
          </cell>
          <cell r="F395" t="str">
            <v>FC/CN</v>
          </cell>
          <cell r="G395">
            <v>15</v>
          </cell>
          <cell r="H395" t="str">
            <v>Ateliers trimestriels de la Commission 15p x 3jours</v>
          </cell>
          <cell r="I395" t="str">
            <v>CNSE</v>
          </cell>
          <cell r="K395" t="str">
            <v>FC/PSE</v>
          </cell>
          <cell r="L395" t="str">
            <v>AUT</v>
          </cell>
          <cell r="M395">
            <v>180</v>
          </cell>
          <cell r="N395" t="str">
            <v>pxj</v>
          </cell>
          <cell r="O395" t="str">
            <v>asr</v>
          </cell>
          <cell r="P395">
            <v>123.10000000000001</v>
          </cell>
          <cell r="Q395">
            <v>1</v>
          </cell>
          <cell r="R395">
            <v>22158</v>
          </cell>
          <cell r="S395">
            <v>0.25</v>
          </cell>
          <cell r="T395">
            <v>0.25</v>
          </cell>
          <cell r="U395">
            <v>0.25</v>
          </cell>
          <cell r="V395">
            <v>0.25</v>
          </cell>
          <cell r="Y395">
            <v>0</v>
          </cell>
          <cell r="Z395">
            <v>5539.5</v>
          </cell>
          <cell r="AA395">
            <v>5539.5</v>
          </cell>
          <cell r="AB395">
            <v>5539.5</v>
          </cell>
          <cell r="AC395">
            <v>5539.5</v>
          </cell>
          <cell r="AD395">
            <v>0</v>
          </cell>
          <cell r="AE395">
            <v>0</v>
          </cell>
          <cell r="AF395">
            <v>22158</v>
          </cell>
        </row>
        <row r="396">
          <cell r="B396" t="str">
            <v>SSP</v>
          </cell>
          <cell r="C396" t="str">
            <v>G</v>
          </cell>
          <cell r="D396" t="str">
            <v>51E</v>
          </cell>
          <cell r="E396" t="str">
            <v>CNSE</v>
          </cell>
          <cell r="F396" t="str">
            <v>FC/CN</v>
          </cell>
          <cell r="G396">
            <v>15</v>
          </cell>
          <cell r="H396" t="str">
            <v>Appui au fonctionnement (fournitures consommables et missions) de la CNSE</v>
          </cell>
          <cell r="I396" t="str">
            <v>CNSE</v>
          </cell>
          <cell r="K396" t="str">
            <v>FC/PSE</v>
          </cell>
          <cell r="L396" t="str">
            <v>AUT</v>
          </cell>
          <cell r="M396">
            <v>12</v>
          </cell>
          <cell r="N396" t="str">
            <v>mois</v>
          </cell>
          <cell r="P396">
            <v>3000</v>
          </cell>
          <cell r="Q396">
            <v>1</v>
          </cell>
          <cell r="R396">
            <v>36000</v>
          </cell>
          <cell r="S396">
            <v>0.25</v>
          </cell>
          <cell r="T396">
            <v>0.25</v>
          </cell>
          <cell r="U396">
            <v>0.25</v>
          </cell>
          <cell r="V396">
            <v>0.25</v>
          </cell>
          <cell r="Y396">
            <v>0</v>
          </cell>
          <cell r="Z396">
            <v>9000</v>
          </cell>
          <cell r="AA396">
            <v>9000</v>
          </cell>
          <cell r="AB396">
            <v>9000</v>
          </cell>
          <cell r="AC396">
            <v>9000</v>
          </cell>
          <cell r="AD396">
            <v>0</v>
          </cell>
          <cell r="AE396">
            <v>0</v>
          </cell>
          <cell r="AF396">
            <v>36000</v>
          </cell>
        </row>
        <row r="397">
          <cell r="H397" t="str">
            <v>Systèmes d'information statistique</v>
          </cell>
          <cell r="Z397">
            <v>0</v>
          </cell>
          <cell r="AA397">
            <v>0</v>
          </cell>
          <cell r="AB397">
            <v>0</v>
          </cell>
          <cell r="AC397">
            <v>0</v>
          </cell>
          <cell r="AD397">
            <v>0</v>
          </cell>
          <cell r="AE397">
            <v>0</v>
          </cell>
          <cell r="AF397">
            <v>0</v>
          </cell>
        </row>
        <row r="398">
          <cell r="B398" t="str">
            <v>SSP</v>
          </cell>
          <cell r="C398" t="str">
            <v>G</v>
          </cell>
          <cell r="D398" t="str">
            <v>51E</v>
          </cell>
          <cell r="E398" t="str">
            <v>SSP</v>
          </cell>
          <cell r="F398" t="str">
            <v>FC/CN</v>
          </cell>
          <cell r="G398">
            <v>25</v>
          </cell>
          <cell r="H398" t="str">
            <v>Spécialiste Intl harmonisation des SIS existants 10 jrs</v>
          </cell>
          <cell r="I398" t="str">
            <v>SSP</v>
          </cell>
          <cell r="K398" t="str">
            <v>FC/PSE</v>
          </cell>
          <cell r="L398" t="str">
            <v>CR</v>
          </cell>
          <cell r="M398">
            <v>0.33333333333333331</v>
          </cell>
          <cell r="N398" t="str">
            <v>pxm</v>
          </cell>
          <cell r="O398" t="str">
            <v>cic</v>
          </cell>
          <cell r="P398">
            <v>88632</v>
          </cell>
          <cell r="Q398">
            <v>1</v>
          </cell>
          <cell r="R398">
            <v>29544</v>
          </cell>
          <cell r="S398">
            <v>1</v>
          </cell>
          <cell r="Y398">
            <v>0</v>
          </cell>
          <cell r="Z398">
            <v>29544</v>
          </cell>
          <cell r="AA398">
            <v>0</v>
          </cell>
          <cell r="AB398">
            <v>0</v>
          </cell>
          <cell r="AC398">
            <v>0</v>
          </cell>
          <cell r="AD398">
            <v>0</v>
          </cell>
          <cell r="AE398">
            <v>0</v>
          </cell>
          <cell r="AF398">
            <v>29544</v>
          </cell>
        </row>
        <row r="399">
          <cell r="B399" t="str">
            <v>SSP</v>
          </cell>
          <cell r="C399" t="str">
            <v>G</v>
          </cell>
          <cell r="D399" t="str">
            <v>51E</v>
          </cell>
          <cell r="E399" t="str">
            <v>SSP</v>
          </cell>
          <cell r="F399" t="str">
            <v>FC/CN</v>
          </cell>
          <cell r="G399">
            <v>15</v>
          </cell>
          <cell r="H399" t="str">
            <v>Atelier national validation manuel S&amp;E et ses nouveaux outils</v>
          </cell>
          <cell r="I399" t="str">
            <v>SSP</v>
          </cell>
          <cell r="K399" t="str">
            <v>FC/PSE</v>
          </cell>
          <cell r="L399" t="str">
            <v>AUT</v>
          </cell>
          <cell r="M399">
            <v>50</v>
          </cell>
          <cell r="N399" t="str">
            <v>pxj</v>
          </cell>
          <cell r="O399" t="str">
            <v>asn</v>
          </cell>
          <cell r="P399">
            <v>147.72</v>
          </cell>
          <cell r="Q399">
            <v>1</v>
          </cell>
          <cell r="R399">
            <v>7386</v>
          </cell>
          <cell r="S399">
            <v>1</v>
          </cell>
          <cell r="Y399">
            <v>0</v>
          </cell>
          <cell r="Z399">
            <v>7386</v>
          </cell>
          <cell r="AA399">
            <v>0</v>
          </cell>
          <cell r="AB399">
            <v>0</v>
          </cell>
          <cell r="AC399">
            <v>0</v>
          </cell>
          <cell r="AD399">
            <v>0</v>
          </cell>
          <cell r="AE399">
            <v>0</v>
          </cell>
          <cell r="AF399">
            <v>7386</v>
          </cell>
        </row>
        <row r="400">
          <cell r="B400" t="str">
            <v>SSP</v>
          </cell>
          <cell r="C400" t="str">
            <v>G</v>
          </cell>
          <cell r="D400" t="str">
            <v>51E</v>
          </cell>
          <cell r="E400" t="str">
            <v>SSP</v>
          </cell>
          <cell r="F400" t="str">
            <v>FC/CN</v>
          </cell>
          <cell r="G400">
            <v>15</v>
          </cell>
          <cell r="H400" t="str">
            <v>Ateliers nationaux lancement campagne statistique et SE 2at x 100p x 1j</v>
          </cell>
          <cell r="I400" t="str">
            <v>SSP</v>
          </cell>
          <cell r="K400" t="str">
            <v>FC/PSE</v>
          </cell>
          <cell r="L400" t="str">
            <v>AUT</v>
          </cell>
          <cell r="M400">
            <v>200</v>
          </cell>
          <cell r="N400" t="str">
            <v>pxj</v>
          </cell>
          <cell r="O400" t="str">
            <v>asn</v>
          </cell>
          <cell r="P400">
            <v>147.72</v>
          </cell>
          <cell r="Q400">
            <v>1</v>
          </cell>
          <cell r="R400">
            <v>29544</v>
          </cell>
          <cell r="T400">
            <v>1</v>
          </cell>
          <cell r="Y400">
            <v>0</v>
          </cell>
          <cell r="Z400">
            <v>0</v>
          </cell>
          <cell r="AA400">
            <v>29544</v>
          </cell>
          <cell r="AB400">
            <v>0</v>
          </cell>
          <cell r="AC400">
            <v>0</v>
          </cell>
          <cell r="AD400">
            <v>0</v>
          </cell>
          <cell r="AE400">
            <v>0</v>
          </cell>
          <cell r="AF400">
            <v>29544</v>
          </cell>
        </row>
        <row r="401">
          <cell r="B401" t="str">
            <v>SSP</v>
          </cell>
          <cell r="C401" t="str">
            <v>G</v>
          </cell>
          <cell r="D401" t="str">
            <v>51E</v>
          </cell>
          <cell r="E401" t="str">
            <v>SSP</v>
          </cell>
          <cell r="F401" t="str">
            <v>FC/CN</v>
          </cell>
          <cell r="G401">
            <v>15</v>
          </cell>
          <cell r="H401" t="str">
            <v>Ateliers nationaux de restitution 2 at x 50p x 1j</v>
          </cell>
          <cell r="I401" t="str">
            <v>SSP</v>
          </cell>
          <cell r="K401" t="str">
            <v>FC/PSE</v>
          </cell>
          <cell r="L401" t="str">
            <v>AUT</v>
          </cell>
          <cell r="M401">
            <v>100</v>
          </cell>
          <cell r="N401" t="str">
            <v>pxj</v>
          </cell>
          <cell r="O401" t="str">
            <v>asn</v>
          </cell>
          <cell r="P401">
            <v>147.72</v>
          </cell>
          <cell r="Q401">
            <v>1</v>
          </cell>
          <cell r="R401">
            <v>14772</v>
          </cell>
          <cell r="T401">
            <v>1</v>
          </cell>
          <cell r="Y401">
            <v>0</v>
          </cell>
          <cell r="Z401">
            <v>0</v>
          </cell>
          <cell r="AA401">
            <v>14772</v>
          </cell>
          <cell r="AB401">
            <v>0</v>
          </cell>
          <cell r="AC401">
            <v>0</v>
          </cell>
          <cell r="AD401">
            <v>0</v>
          </cell>
          <cell r="AE401">
            <v>0</v>
          </cell>
          <cell r="AF401">
            <v>14772</v>
          </cell>
        </row>
        <row r="402">
          <cell r="B402" t="str">
            <v>SSP</v>
          </cell>
          <cell r="C402" t="str">
            <v>G</v>
          </cell>
          <cell r="D402" t="str">
            <v>51E</v>
          </cell>
          <cell r="E402" t="str">
            <v>SSP</v>
          </cell>
          <cell r="F402" t="str">
            <v>FC/CN</v>
          </cell>
          <cell r="G402">
            <v>25</v>
          </cell>
          <cell r="H402" t="str">
            <v>Spécialiste migration bdd primaire sur plateforme analyse multidim 10 j</v>
          </cell>
          <cell r="I402" t="str">
            <v>SSP</v>
          </cell>
          <cell r="K402" t="str">
            <v>FC/PSE</v>
          </cell>
          <cell r="L402" t="str">
            <v>CR</v>
          </cell>
          <cell r="M402">
            <v>0.33333333333333331</v>
          </cell>
          <cell r="N402" t="str">
            <v>pxj</v>
          </cell>
          <cell r="O402" t="str">
            <v>cic</v>
          </cell>
          <cell r="P402">
            <v>88632</v>
          </cell>
          <cell r="Q402">
            <v>1</v>
          </cell>
          <cell r="R402">
            <v>29544</v>
          </cell>
          <cell r="S402">
            <v>1</v>
          </cell>
          <cell r="Y402">
            <v>0</v>
          </cell>
          <cell r="Z402">
            <v>29544</v>
          </cell>
          <cell r="AA402">
            <v>0</v>
          </cell>
          <cell r="AB402">
            <v>0</v>
          </cell>
          <cell r="AC402">
            <v>0</v>
          </cell>
          <cell r="AD402">
            <v>0</v>
          </cell>
          <cell r="AE402">
            <v>0</v>
          </cell>
          <cell r="AF402">
            <v>29544</v>
          </cell>
        </row>
        <row r="403">
          <cell r="B403" t="str">
            <v>SSP</v>
          </cell>
          <cell r="C403" t="str">
            <v>G</v>
          </cell>
          <cell r="D403" t="str">
            <v>51E</v>
          </cell>
          <cell r="E403" t="str">
            <v>SSP</v>
          </cell>
          <cell r="F403" t="str">
            <v>FC/CN</v>
          </cell>
          <cell r="G403">
            <v>25</v>
          </cell>
          <cell r="H403" t="str">
            <v>Spécialiste Intl outils d'analyse multidimentionnelle 10jrs/an</v>
          </cell>
          <cell r="I403" t="str">
            <v>SSP</v>
          </cell>
          <cell r="K403" t="str">
            <v>FC/PSE</v>
          </cell>
          <cell r="L403" t="str">
            <v>CR</v>
          </cell>
          <cell r="M403">
            <v>0.33333333333333331</v>
          </cell>
          <cell r="N403" t="str">
            <v>pxj</v>
          </cell>
          <cell r="O403" t="str">
            <v>cic</v>
          </cell>
          <cell r="P403">
            <v>88632</v>
          </cell>
          <cell r="Q403">
            <v>1</v>
          </cell>
          <cell r="R403">
            <v>29544</v>
          </cell>
          <cell r="S403">
            <v>1</v>
          </cell>
          <cell r="Y403">
            <v>0</v>
          </cell>
          <cell r="Z403">
            <v>29544</v>
          </cell>
          <cell r="AA403">
            <v>0</v>
          </cell>
          <cell r="AB403">
            <v>0</v>
          </cell>
          <cell r="AC403">
            <v>0</v>
          </cell>
          <cell r="AD403">
            <v>0</v>
          </cell>
          <cell r="AE403">
            <v>0</v>
          </cell>
          <cell r="AF403">
            <v>29544</v>
          </cell>
        </row>
        <row r="404">
          <cell r="B404" t="str">
            <v>SSP</v>
          </cell>
          <cell r="C404" t="str">
            <v>G</v>
          </cell>
          <cell r="D404" t="str">
            <v>51E</v>
          </cell>
          <cell r="E404" t="str">
            <v>SSP</v>
          </cell>
          <cell r="F404" t="str">
            <v>FC/CN</v>
          </cell>
          <cell r="G404">
            <v>12</v>
          </cell>
          <cell r="H404" t="str">
            <v>Atelier de formation Système SE et Exploram 46 DPEet IRE x 2p x 5jours</v>
          </cell>
          <cell r="I404" t="str">
            <v>SSP</v>
          </cell>
          <cell r="K404" t="str">
            <v>FC/PSE</v>
          </cell>
          <cell r="L404" t="str">
            <v>AUT</v>
          </cell>
          <cell r="M404">
            <v>460</v>
          </cell>
          <cell r="N404" t="str">
            <v>pxj</v>
          </cell>
          <cell r="O404" t="str">
            <v>asn</v>
          </cell>
          <cell r="P404">
            <v>147.72</v>
          </cell>
          <cell r="Q404">
            <v>1</v>
          </cell>
          <cell r="R404">
            <v>67951.199999999997</v>
          </cell>
          <cell r="S404">
            <v>1</v>
          </cell>
          <cell r="Y404">
            <v>0</v>
          </cell>
          <cell r="Z404">
            <v>67951.199999999997</v>
          </cell>
          <cell r="AA404">
            <v>0</v>
          </cell>
          <cell r="AB404">
            <v>0</v>
          </cell>
          <cell r="AC404">
            <v>0</v>
          </cell>
          <cell r="AD404">
            <v>0</v>
          </cell>
          <cell r="AE404">
            <v>0</v>
          </cell>
          <cell r="AF404">
            <v>67951.199999999997</v>
          </cell>
        </row>
        <row r="405">
          <cell r="H405" t="str">
            <v>Appuis aux  SSP EPU, ETFP et ESRS</v>
          </cell>
        </row>
        <row r="406">
          <cell r="B406" t="str">
            <v>SSP</v>
          </cell>
          <cell r="C406" t="str">
            <v>G</v>
          </cell>
          <cell r="D406" t="str">
            <v>51E</v>
          </cell>
          <cell r="E406" t="str">
            <v>SSP</v>
          </cell>
          <cell r="F406" t="str">
            <v>FC/CN</v>
          </cell>
          <cell r="G406">
            <v>11</v>
          </cell>
          <cell r="H406" t="str">
            <v>Informaticien contractuel SSP EPU</v>
          </cell>
          <cell r="I406" t="str">
            <v>SSP</v>
          </cell>
          <cell r="K406" t="str">
            <v>FC/PSE</v>
          </cell>
          <cell r="L406" t="str">
            <v>CR</v>
          </cell>
          <cell r="M406">
            <v>12</v>
          </cell>
          <cell r="N406" t="str">
            <v>mois</v>
          </cell>
          <cell r="O406" t="str">
            <v>inf</v>
          </cell>
          <cell r="P406">
            <v>2500.0000000000005</v>
          </cell>
          <cell r="Q406">
            <v>1</v>
          </cell>
          <cell r="R406">
            <v>30000.000000000007</v>
          </cell>
          <cell r="S406">
            <v>0.25</v>
          </cell>
          <cell r="T406">
            <v>0.25</v>
          </cell>
          <cell r="U406">
            <v>0.25</v>
          </cell>
          <cell r="V406">
            <v>0.25</v>
          </cell>
          <cell r="Y406">
            <v>0</v>
          </cell>
          <cell r="Z406">
            <v>7500.0000000000018</v>
          </cell>
          <cell r="AA406">
            <v>7500.0000000000018</v>
          </cell>
          <cell r="AB406">
            <v>7500.0000000000018</v>
          </cell>
          <cell r="AC406">
            <v>7500.0000000000018</v>
          </cell>
          <cell r="AD406">
            <v>0</v>
          </cell>
          <cell r="AE406">
            <v>0</v>
          </cell>
          <cell r="AF406">
            <v>30000.000000000007</v>
          </cell>
        </row>
        <row r="407">
          <cell r="B407" t="str">
            <v>SSP</v>
          </cell>
          <cell r="C407" t="str">
            <v>G</v>
          </cell>
          <cell r="D407" t="str">
            <v>51E</v>
          </cell>
          <cell r="E407" t="str">
            <v>SSP</v>
          </cell>
          <cell r="F407" t="str">
            <v>FC/CN</v>
          </cell>
          <cell r="G407">
            <v>15</v>
          </cell>
          <cell r="H407" t="str">
            <v>Reproduction des fiches d'enquête 10 000 etbs x 10p x 4ex</v>
          </cell>
          <cell r="I407" t="str">
            <v>SSP</v>
          </cell>
          <cell r="K407" t="str">
            <v>FC/PSE</v>
          </cell>
          <cell r="L407" t="str">
            <v>COT</v>
          </cell>
          <cell r="M407">
            <v>400000</v>
          </cell>
          <cell r="N407" t="str">
            <v>page</v>
          </cell>
          <cell r="O407" t="str">
            <v>rep</v>
          </cell>
          <cell r="P407">
            <v>0.30000000000000004</v>
          </cell>
          <cell r="Q407">
            <v>1</v>
          </cell>
          <cell r="R407">
            <v>120000.00000000001</v>
          </cell>
          <cell r="S407">
            <v>1</v>
          </cell>
          <cell r="Y407">
            <v>0</v>
          </cell>
          <cell r="Z407">
            <v>120000.00000000001</v>
          </cell>
          <cell r="AA407">
            <v>0</v>
          </cell>
          <cell r="AB407">
            <v>0</v>
          </cell>
          <cell r="AC407">
            <v>0</v>
          </cell>
          <cell r="AD407">
            <v>0</v>
          </cell>
          <cell r="AE407">
            <v>0</v>
          </cell>
          <cell r="AF407">
            <v>120000.00000000001</v>
          </cell>
        </row>
        <row r="408">
          <cell r="B408" t="str">
            <v>SSP</v>
          </cell>
          <cell r="C408" t="str">
            <v>G</v>
          </cell>
          <cell r="D408" t="str">
            <v>51E</v>
          </cell>
          <cell r="E408" t="str">
            <v>SSP</v>
          </cell>
          <cell r="F408" t="str">
            <v>FC/CN</v>
          </cell>
          <cell r="G408">
            <v>15</v>
          </cell>
          <cell r="H408" t="str">
            <v>Récupération des fiches d'enquête  1 litre gas oil / fiche</v>
          </cell>
          <cell r="I408" t="str">
            <v>SSP</v>
          </cell>
          <cell r="K408" t="str">
            <v>FC/PSE</v>
          </cell>
          <cell r="L408" t="str">
            <v>AUT</v>
          </cell>
          <cell r="M408">
            <v>10000</v>
          </cell>
          <cell r="N408" t="str">
            <v>l</v>
          </cell>
          <cell r="O408" t="str">
            <v>gaz</v>
          </cell>
          <cell r="P408">
            <v>7</v>
          </cell>
          <cell r="Q408">
            <v>1</v>
          </cell>
          <cell r="R408">
            <v>70000</v>
          </cell>
          <cell r="T408">
            <v>1</v>
          </cell>
          <cell r="Y408">
            <v>0</v>
          </cell>
          <cell r="Z408">
            <v>0</v>
          </cell>
          <cell r="AA408">
            <v>70000</v>
          </cell>
          <cell r="AB408">
            <v>0</v>
          </cell>
          <cell r="AC408">
            <v>0</v>
          </cell>
          <cell r="AD408">
            <v>0</v>
          </cell>
          <cell r="AE408">
            <v>0</v>
          </cell>
          <cell r="AF408">
            <v>70000</v>
          </cell>
        </row>
        <row r="409">
          <cell r="B409" t="str">
            <v>SSP</v>
          </cell>
          <cell r="C409" t="str">
            <v>G</v>
          </cell>
          <cell r="D409" t="str">
            <v>51E</v>
          </cell>
          <cell r="E409" t="str">
            <v>SSP</v>
          </cell>
          <cell r="F409" t="str">
            <v>FC/CN</v>
          </cell>
          <cell r="G409">
            <v>23</v>
          </cell>
          <cell r="H409" t="str">
            <v>Véhicule de mission 4X4 SW section statistiques</v>
          </cell>
          <cell r="I409" t="str">
            <v>CN/PSE</v>
          </cell>
          <cell r="K409" t="str">
            <v>FC/PSE</v>
          </cell>
          <cell r="L409" t="str">
            <v>AOI</v>
          </cell>
          <cell r="M409">
            <v>1</v>
          </cell>
          <cell r="N409" t="str">
            <v>u</v>
          </cell>
          <cell r="O409" t="str">
            <v>vsw</v>
          </cell>
          <cell r="P409">
            <v>196960.00000000003</v>
          </cell>
          <cell r="Q409">
            <v>1</v>
          </cell>
          <cell r="R409">
            <v>196960.00000000003</v>
          </cell>
          <cell r="T409">
            <v>1</v>
          </cell>
          <cell r="Y409">
            <v>0</v>
          </cell>
          <cell r="Z409">
            <v>0</v>
          </cell>
          <cell r="AA409">
            <v>196960.00000000003</v>
          </cell>
          <cell r="AB409">
            <v>0</v>
          </cell>
          <cell r="AC409">
            <v>0</v>
          </cell>
          <cell r="AD409">
            <v>0</v>
          </cell>
          <cell r="AE409">
            <v>0</v>
          </cell>
          <cell r="AF409">
            <v>196960.00000000003</v>
          </cell>
        </row>
        <row r="410">
          <cell r="B410" t="str">
            <v>SSP</v>
          </cell>
          <cell r="C410" t="str">
            <v>G</v>
          </cell>
          <cell r="D410" t="str">
            <v>51E</v>
          </cell>
          <cell r="E410" t="str">
            <v>SSP</v>
          </cell>
          <cell r="F410" t="str">
            <v>FC/CN</v>
          </cell>
          <cell r="G410">
            <v>15</v>
          </cell>
          <cell r="H410" t="str">
            <v>Appui au fonctionnement SSP EPU</v>
          </cell>
          <cell r="I410" t="str">
            <v>SSP</v>
          </cell>
          <cell r="K410" t="str">
            <v>FC/PSE</v>
          </cell>
          <cell r="L410" t="str">
            <v>AUT</v>
          </cell>
          <cell r="M410">
            <v>12</v>
          </cell>
          <cell r="N410" t="str">
            <v>mois</v>
          </cell>
          <cell r="P410">
            <v>2000</v>
          </cell>
          <cell r="Q410">
            <v>1</v>
          </cell>
          <cell r="R410">
            <v>24000</v>
          </cell>
          <cell r="S410">
            <v>0.25</v>
          </cell>
          <cell r="T410">
            <v>0.25</v>
          </cell>
          <cell r="U410">
            <v>0.25</v>
          </cell>
          <cell r="V410">
            <v>0.25</v>
          </cell>
          <cell r="Y410">
            <v>0</v>
          </cell>
          <cell r="Z410">
            <v>6000</v>
          </cell>
          <cell r="AA410">
            <v>6000</v>
          </cell>
          <cell r="AB410">
            <v>6000</v>
          </cell>
          <cell r="AC410">
            <v>6000</v>
          </cell>
          <cell r="AD410">
            <v>0</v>
          </cell>
          <cell r="AE410">
            <v>0</v>
          </cell>
          <cell r="AF410">
            <v>24000</v>
          </cell>
        </row>
        <row r="411">
          <cell r="B411" t="str">
            <v>SSP</v>
          </cell>
          <cell r="C411" t="str">
            <v>G</v>
          </cell>
          <cell r="D411" t="str">
            <v>51E</v>
          </cell>
          <cell r="E411" t="str">
            <v>SSP</v>
          </cell>
          <cell r="F411" t="str">
            <v>FC/CN</v>
          </cell>
          <cell r="G411">
            <v>15</v>
          </cell>
          <cell r="H411" t="str">
            <v>Appui au fonctionnement SSP ETFP</v>
          </cell>
          <cell r="I411" t="str">
            <v>SSP</v>
          </cell>
          <cell r="K411" t="str">
            <v>FC/PSE</v>
          </cell>
          <cell r="L411" t="str">
            <v>AUT</v>
          </cell>
          <cell r="M411">
            <v>12</v>
          </cell>
          <cell r="N411" t="str">
            <v>mois</v>
          </cell>
          <cell r="P411">
            <v>1000</v>
          </cell>
          <cell r="Q411">
            <v>1</v>
          </cell>
          <cell r="R411">
            <v>12000</v>
          </cell>
          <cell r="S411">
            <v>0.25</v>
          </cell>
          <cell r="T411">
            <v>0.25</v>
          </cell>
          <cell r="U411">
            <v>0.25</v>
          </cell>
          <cell r="V411">
            <v>0.25</v>
          </cell>
          <cell r="Y411">
            <v>0</v>
          </cell>
          <cell r="Z411">
            <v>3000</v>
          </cell>
          <cell r="AA411">
            <v>3000</v>
          </cell>
          <cell r="AB411">
            <v>3000</v>
          </cell>
          <cell r="AC411">
            <v>3000</v>
          </cell>
          <cell r="AD411">
            <v>0</v>
          </cell>
          <cell r="AE411">
            <v>0</v>
          </cell>
          <cell r="AF411">
            <v>12000</v>
          </cell>
        </row>
        <row r="412">
          <cell r="B412" t="str">
            <v>SSP</v>
          </cell>
          <cell r="C412" t="str">
            <v>G</v>
          </cell>
          <cell r="D412" t="str">
            <v>51E</v>
          </cell>
          <cell r="E412" t="str">
            <v>SSP</v>
          </cell>
          <cell r="F412" t="str">
            <v>FC/CN</v>
          </cell>
          <cell r="G412">
            <v>15</v>
          </cell>
          <cell r="H412" t="str">
            <v>Appui au fonctionnement SSP ESRS</v>
          </cell>
          <cell r="I412" t="str">
            <v>SSP</v>
          </cell>
          <cell r="K412" t="str">
            <v>FC/PSE</v>
          </cell>
          <cell r="L412" t="str">
            <v>AUT</v>
          </cell>
          <cell r="M412">
            <v>12</v>
          </cell>
          <cell r="N412" t="str">
            <v>mois</v>
          </cell>
          <cell r="P412">
            <v>1000</v>
          </cell>
          <cell r="Q412">
            <v>1</v>
          </cell>
          <cell r="R412">
            <v>12000</v>
          </cell>
          <cell r="S412">
            <v>0.25</v>
          </cell>
          <cell r="T412">
            <v>0.25</v>
          </cell>
          <cell r="U412">
            <v>0.25</v>
          </cell>
          <cell r="V412">
            <v>0.25</v>
          </cell>
          <cell r="Y412">
            <v>0</v>
          </cell>
          <cell r="Z412">
            <v>3000</v>
          </cell>
          <cell r="AA412">
            <v>3000</v>
          </cell>
          <cell r="AB412">
            <v>3000</v>
          </cell>
          <cell r="AC412">
            <v>3000</v>
          </cell>
          <cell r="AD412">
            <v>0</v>
          </cell>
          <cell r="AE412">
            <v>0</v>
          </cell>
          <cell r="AF412">
            <v>12000</v>
          </cell>
        </row>
        <row r="413">
          <cell r="H413" t="str">
            <v>Plan de communication et intranet</v>
          </cell>
          <cell r="R413">
            <v>723865</v>
          </cell>
          <cell r="Z413">
            <v>527365</v>
          </cell>
          <cell r="AA413">
            <v>151500</v>
          </cell>
          <cell r="AB413">
            <v>7500</v>
          </cell>
          <cell r="AC413">
            <v>37500</v>
          </cell>
          <cell r="AD413">
            <v>0</v>
          </cell>
          <cell r="AE413">
            <v>0</v>
          </cell>
          <cell r="AF413">
            <v>723865</v>
          </cell>
        </row>
        <row r="414">
          <cell r="B414" t="str">
            <v>SINDA</v>
          </cell>
          <cell r="C414" t="str">
            <v>G</v>
          </cell>
          <cell r="D414" t="str">
            <v>51F</v>
          </cell>
          <cell r="E414" t="str">
            <v>SINDA</v>
          </cell>
          <cell r="F414" t="str">
            <v>FC/CN</v>
          </cell>
          <cell r="G414">
            <v>15</v>
          </cell>
          <cell r="H414" t="str">
            <v>Appui à la production d'émissions Radio TV</v>
          </cell>
          <cell r="I414" t="str">
            <v>SINDA</v>
          </cell>
          <cell r="K414" t="str">
            <v>FC/PSE</v>
          </cell>
          <cell r="L414" t="str">
            <v>AUT</v>
          </cell>
          <cell r="M414">
            <v>1</v>
          </cell>
          <cell r="N414" t="str">
            <v>forfait</v>
          </cell>
          <cell r="P414">
            <v>30000</v>
          </cell>
          <cell r="Q414">
            <v>1</v>
          </cell>
          <cell r="R414">
            <v>30000</v>
          </cell>
          <cell r="S414">
            <v>0.25</v>
          </cell>
          <cell r="T414">
            <v>0.25</v>
          </cell>
          <cell r="U414">
            <v>0.25</v>
          </cell>
          <cell r="V414">
            <v>0.25</v>
          </cell>
          <cell r="Y414">
            <v>0</v>
          </cell>
          <cell r="Z414">
            <v>7500</v>
          </cell>
          <cell r="AA414">
            <v>7500</v>
          </cell>
          <cell r="AB414">
            <v>7500</v>
          </cell>
          <cell r="AC414">
            <v>7500</v>
          </cell>
          <cell r="AD414">
            <v>0</v>
          </cell>
          <cell r="AE414">
            <v>0</v>
          </cell>
          <cell r="AF414">
            <v>30000</v>
          </cell>
        </row>
        <row r="415">
          <cell r="B415" t="str">
            <v>SINDA</v>
          </cell>
          <cell r="C415" t="str">
            <v>G</v>
          </cell>
          <cell r="D415" t="str">
            <v>51F</v>
          </cell>
          <cell r="E415" t="str">
            <v>SINDA</v>
          </cell>
          <cell r="F415" t="str">
            <v>FC/CN</v>
          </cell>
          <cell r="G415">
            <v>12</v>
          </cell>
          <cell r="H415" t="str">
            <v>Atelier d'appropriation du PSE par les médias (50 participants x 1j)</v>
          </cell>
          <cell r="I415" t="str">
            <v>SINDA</v>
          </cell>
          <cell r="K415" t="str">
            <v>FC/PSE</v>
          </cell>
          <cell r="L415" t="str">
            <v>AUT</v>
          </cell>
          <cell r="M415">
            <v>50</v>
          </cell>
          <cell r="N415" t="str">
            <v>pxj</v>
          </cell>
          <cell r="O415" t="str">
            <v>asn</v>
          </cell>
          <cell r="P415">
            <v>147.72</v>
          </cell>
          <cell r="Q415">
            <v>1</v>
          </cell>
          <cell r="R415">
            <v>7386</v>
          </cell>
          <cell r="S415">
            <v>1</v>
          </cell>
          <cell r="Y415">
            <v>0</v>
          </cell>
          <cell r="Z415">
            <v>7386</v>
          </cell>
          <cell r="AA415">
            <v>0</v>
          </cell>
          <cell r="AB415">
            <v>0</v>
          </cell>
          <cell r="AC415">
            <v>0</v>
          </cell>
          <cell r="AD415">
            <v>0</v>
          </cell>
          <cell r="AE415">
            <v>0</v>
          </cell>
          <cell r="AF415">
            <v>7386</v>
          </cell>
        </row>
        <row r="416">
          <cell r="B416" t="str">
            <v>SINDA</v>
          </cell>
          <cell r="C416" t="str">
            <v>G</v>
          </cell>
          <cell r="D416" t="str">
            <v>51F</v>
          </cell>
          <cell r="E416" t="str">
            <v>SINDA</v>
          </cell>
          <cell r="F416" t="str">
            <v>FC/CN</v>
          </cell>
          <cell r="G416">
            <v>12</v>
          </cell>
          <cell r="H416" t="str">
            <v>Formation du personnel des services centraux à Internet 80p x 3sem</v>
          </cell>
          <cell r="I416" t="str">
            <v>SINDA</v>
          </cell>
          <cell r="K416" t="str">
            <v>FC/PSE</v>
          </cell>
          <cell r="L416" t="str">
            <v>CR</v>
          </cell>
          <cell r="M416">
            <v>240</v>
          </cell>
          <cell r="N416" t="str">
            <v>pxsem</v>
          </cell>
          <cell r="O416" t="str">
            <v>fbu</v>
          </cell>
          <cell r="P416">
            <v>1000</v>
          </cell>
          <cell r="Q416">
            <v>1</v>
          </cell>
          <cell r="R416">
            <v>240000</v>
          </cell>
          <cell r="S416">
            <v>1</v>
          </cell>
          <cell r="Y416">
            <v>0</v>
          </cell>
          <cell r="Z416">
            <v>240000</v>
          </cell>
          <cell r="AA416">
            <v>0</v>
          </cell>
          <cell r="AB416">
            <v>0</v>
          </cell>
          <cell r="AC416">
            <v>0</v>
          </cell>
          <cell r="AD416">
            <v>0</v>
          </cell>
          <cell r="AE416">
            <v>0</v>
          </cell>
          <cell r="AF416">
            <v>240000</v>
          </cell>
        </row>
        <row r="417">
          <cell r="B417" t="str">
            <v>SINDA</v>
          </cell>
          <cell r="C417" t="str">
            <v>G</v>
          </cell>
          <cell r="D417" t="str">
            <v>51F</v>
          </cell>
          <cell r="E417" t="str">
            <v>SINDA</v>
          </cell>
          <cell r="F417" t="str">
            <v>FC/CN</v>
          </cell>
          <cell r="G417">
            <v>15</v>
          </cell>
          <cell r="H417" t="str">
            <v>Connexion du SINDA à Internet</v>
          </cell>
          <cell r="I417" t="str">
            <v>SINDA</v>
          </cell>
          <cell r="K417" t="str">
            <v>FC/PSE</v>
          </cell>
          <cell r="L417" t="str">
            <v>AUT</v>
          </cell>
          <cell r="M417">
            <v>2</v>
          </cell>
          <cell r="N417" t="str">
            <v>forfait</v>
          </cell>
          <cell r="P417">
            <v>50000</v>
          </cell>
          <cell r="Q417">
            <v>1</v>
          </cell>
          <cell r="R417">
            <v>100000</v>
          </cell>
          <cell r="S417">
            <v>1</v>
          </cell>
          <cell r="Y417">
            <v>0</v>
          </cell>
          <cell r="Z417">
            <v>100000</v>
          </cell>
          <cell r="AA417">
            <v>0</v>
          </cell>
          <cell r="AB417">
            <v>0</v>
          </cell>
          <cell r="AC417">
            <v>0</v>
          </cell>
          <cell r="AD417">
            <v>0</v>
          </cell>
          <cell r="AE417">
            <v>0</v>
          </cell>
          <cell r="AF417">
            <v>100000</v>
          </cell>
        </row>
        <row r="418">
          <cell r="B418" t="str">
            <v>SINDA</v>
          </cell>
          <cell r="C418" t="str">
            <v>G</v>
          </cell>
          <cell r="D418" t="str">
            <v>51F</v>
          </cell>
          <cell r="E418" t="str">
            <v>SINDA</v>
          </cell>
          <cell r="F418" t="str">
            <v>FC/CN</v>
          </cell>
          <cell r="G418">
            <v>15</v>
          </cell>
          <cell r="H418" t="str">
            <v>Publication Lettre d'information de l'Education 20p x 5000 x 3/an</v>
          </cell>
          <cell r="I418" t="str">
            <v>SINDA</v>
          </cell>
          <cell r="K418" t="str">
            <v>FC/PSE</v>
          </cell>
          <cell r="L418" t="str">
            <v>COT</v>
          </cell>
          <cell r="M418">
            <v>300000</v>
          </cell>
          <cell r="N418" t="str">
            <v>page</v>
          </cell>
          <cell r="O418" t="str">
            <v>rep</v>
          </cell>
          <cell r="P418">
            <v>0.30000000000000004</v>
          </cell>
          <cell r="Q418">
            <v>1</v>
          </cell>
          <cell r="R418">
            <v>90000.000000000015</v>
          </cell>
          <cell r="S418">
            <v>0.33333333333333331</v>
          </cell>
          <cell r="T418">
            <v>0.33333333333333331</v>
          </cell>
          <cell r="V418">
            <v>0.33333333333333331</v>
          </cell>
          <cell r="Y418">
            <v>0</v>
          </cell>
          <cell r="Z418">
            <v>30000.000000000004</v>
          </cell>
          <cell r="AA418">
            <v>30000.000000000004</v>
          </cell>
          <cell r="AB418">
            <v>0</v>
          </cell>
          <cell r="AC418">
            <v>30000.000000000004</v>
          </cell>
          <cell r="AD418">
            <v>0</v>
          </cell>
          <cell r="AE418">
            <v>0</v>
          </cell>
          <cell r="AF418">
            <v>90000.000000000015</v>
          </cell>
        </row>
        <row r="419">
          <cell r="B419" t="str">
            <v>SINDA</v>
          </cell>
          <cell r="C419" t="str">
            <v>G</v>
          </cell>
          <cell r="D419" t="str">
            <v>51F</v>
          </cell>
          <cell r="E419" t="str">
            <v>SINDA</v>
          </cell>
          <cell r="F419" t="str">
            <v>FC/CN</v>
          </cell>
          <cell r="G419">
            <v>12</v>
          </cell>
          <cell r="H419" t="str">
            <v>Formation NTIC cadres structures doc &amp; correspond informat région 31px3sem</v>
          </cell>
          <cell r="I419" t="str">
            <v>SINDA</v>
          </cell>
          <cell r="K419" t="str">
            <v>FC/PSE</v>
          </cell>
          <cell r="L419" t="str">
            <v>CR</v>
          </cell>
          <cell r="M419">
            <v>93</v>
          </cell>
          <cell r="N419" t="str">
            <v>pxsem</v>
          </cell>
          <cell r="O419" t="str">
            <v>fbu</v>
          </cell>
          <cell r="P419">
            <v>1000</v>
          </cell>
          <cell r="Q419">
            <v>1</v>
          </cell>
          <cell r="R419">
            <v>93000</v>
          </cell>
          <cell r="S419">
            <v>1</v>
          </cell>
          <cell r="Y419">
            <v>0</v>
          </cell>
          <cell r="Z419">
            <v>93000</v>
          </cell>
          <cell r="AA419">
            <v>0</v>
          </cell>
          <cell r="AB419">
            <v>0</v>
          </cell>
          <cell r="AC419">
            <v>0</v>
          </cell>
          <cell r="AD419">
            <v>0</v>
          </cell>
          <cell r="AE419">
            <v>0</v>
          </cell>
          <cell r="AF419">
            <v>93000</v>
          </cell>
        </row>
        <row r="420">
          <cell r="B420" t="str">
            <v>SINDA</v>
          </cell>
          <cell r="C420" t="str">
            <v>G</v>
          </cell>
          <cell r="D420" t="str">
            <v>51F</v>
          </cell>
          <cell r="E420" t="str">
            <v>SINDA</v>
          </cell>
          <cell r="F420" t="str">
            <v>FC/CN</v>
          </cell>
          <cell r="G420">
            <v>12</v>
          </cell>
          <cell r="H420" t="str">
            <v>Formation à la conduite d'opérations IEC  15p x 5j</v>
          </cell>
          <cell r="I420" t="str">
            <v>SINDA</v>
          </cell>
          <cell r="K420" t="str">
            <v>FC/PSE</v>
          </cell>
          <cell r="L420" t="str">
            <v>AUT</v>
          </cell>
          <cell r="M420">
            <v>75</v>
          </cell>
          <cell r="N420" t="str">
            <v>pxj</v>
          </cell>
          <cell r="O420" t="str">
            <v>asn</v>
          </cell>
          <cell r="P420">
            <v>147.72</v>
          </cell>
          <cell r="Q420">
            <v>1</v>
          </cell>
          <cell r="R420">
            <v>11079</v>
          </cell>
          <cell r="S420">
            <v>1</v>
          </cell>
          <cell r="Y420">
            <v>0</v>
          </cell>
          <cell r="Z420">
            <v>11079</v>
          </cell>
          <cell r="AA420">
            <v>0</v>
          </cell>
          <cell r="AB420">
            <v>0</v>
          </cell>
          <cell r="AC420">
            <v>0</v>
          </cell>
          <cell r="AD420">
            <v>0</v>
          </cell>
          <cell r="AE420">
            <v>0</v>
          </cell>
          <cell r="AF420">
            <v>11079</v>
          </cell>
        </row>
        <row r="421">
          <cell r="B421" t="str">
            <v>SINDA</v>
          </cell>
          <cell r="C421" t="str">
            <v>G</v>
          </cell>
          <cell r="D421" t="str">
            <v>51F</v>
          </cell>
          <cell r="E421" t="str">
            <v>SINDA</v>
          </cell>
          <cell r="F421" t="str">
            <v>FC/CN</v>
          </cell>
          <cell r="G421">
            <v>15</v>
          </cell>
          <cell r="H421" t="str">
            <v xml:space="preserve">Opérationalisation du réseau de communicateurs en éducation </v>
          </cell>
          <cell r="I421" t="str">
            <v>SINDA</v>
          </cell>
          <cell r="K421" t="str">
            <v>FC/PSE</v>
          </cell>
          <cell r="L421" t="str">
            <v>AUT</v>
          </cell>
          <cell r="M421">
            <v>2</v>
          </cell>
          <cell r="N421" t="str">
            <v>forfait</v>
          </cell>
          <cell r="P421">
            <v>7200</v>
          </cell>
          <cell r="Q421">
            <v>1</v>
          </cell>
          <cell r="R421">
            <v>14400</v>
          </cell>
          <cell r="S421">
            <v>1</v>
          </cell>
          <cell r="Y421">
            <v>0</v>
          </cell>
          <cell r="Z421">
            <v>14400</v>
          </cell>
          <cell r="AA421">
            <v>0</v>
          </cell>
          <cell r="AB421">
            <v>0</v>
          </cell>
          <cell r="AC421">
            <v>0</v>
          </cell>
          <cell r="AD421">
            <v>0</v>
          </cell>
          <cell r="AE421">
            <v>0</v>
          </cell>
          <cell r="AF421">
            <v>14400</v>
          </cell>
        </row>
        <row r="422">
          <cell r="B422" t="str">
            <v>SINDA</v>
          </cell>
          <cell r="C422" t="str">
            <v>G</v>
          </cell>
          <cell r="D422" t="str">
            <v>51F</v>
          </cell>
          <cell r="E422" t="str">
            <v>SINDA</v>
          </cell>
          <cell r="F422" t="str">
            <v>FC/CN</v>
          </cell>
          <cell r="G422">
            <v>12</v>
          </cell>
          <cell r="H422" t="str">
            <v>Formation en maintenance de base de site WEB 6p x 4sem</v>
          </cell>
          <cell r="I422" t="str">
            <v>SINDA</v>
          </cell>
          <cell r="K422" t="str">
            <v>FC/PSE</v>
          </cell>
          <cell r="L422" t="str">
            <v>CR</v>
          </cell>
          <cell r="M422">
            <v>24</v>
          </cell>
          <cell r="N422" t="str">
            <v>pxsem</v>
          </cell>
          <cell r="O422" t="str">
            <v>fbu</v>
          </cell>
          <cell r="P422">
            <v>1000</v>
          </cell>
          <cell r="Q422">
            <v>1</v>
          </cell>
          <cell r="R422">
            <v>24000</v>
          </cell>
          <cell r="S422">
            <v>1</v>
          </cell>
          <cell r="Y422">
            <v>0</v>
          </cell>
          <cell r="Z422">
            <v>24000</v>
          </cell>
          <cell r="AA422">
            <v>0</v>
          </cell>
          <cell r="AB422">
            <v>0</v>
          </cell>
          <cell r="AC422">
            <v>0</v>
          </cell>
          <cell r="AD422">
            <v>0</v>
          </cell>
          <cell r="AE422">
            <v>0</v>
          </cell>
          <cell r="AF422">
            <v>24000</v>
          </cell>
        </row>
        <row r="423">
          <cell r="B423" t="str">
            <v>SINDA</v>
          </cell>
          <cell r="C423" t="str">
            <v>G</v>
          </cell>
          <cell r="D423" t="str">
            <v>51F</v>
          </cell>
          <cell r="E423" t="str">
            <v>SINDA</v>
          </cell>
          <cell r="F423" t="str">
            <v>FC/CN</v>
          </cell>
          <cell r="G423">
            <v>12</v>
          </cell>
          <cell r="H423" t="str">
            <v>Formation utilisation NTIC correspondants informat préfect 38p x 3sem x2ans</v>
          </cell>
          <cell r="I423" t="str">
            <v>SINDA</v>
          </cell>
          <cell r="K423" t="str">
            <v>FC/PSE</v>
          </cell>
          <cell r="L423" t="str">
            <v>AUT</v>
          </cell>
          <cell r="M423">
            <v>114</v>
          </cell>
          <cell r="N423" t="str">
            <v>pxsem</v>
          </cell>
          <cell r="O423" t="str">
            <v>fbu</v>
          </cell>
          <cell r="P423">
            <v>1000</v>
          </cell>
          <cell r="Q423">
            <v>1</v>
          </cell>
          <cell r="R423">
            <v>114000</v>
          </cell>
          <cell r="T423">
            <v>1</v>
          </cell>
          <cell r="Y423">
            <v>0</v>
          </cell>
          <cell r="Z423">
            <v>0</v>
          </cell>
          <cell r="AA423">
            <v>114000</v>
          </cell>
          <cell r="AB423">
            <v>0</v>
          </cell>
          <cell r="AC423">
            <v>0</v>
          </cell>
          <cell r="AD423">
            <v>0</v>
          </cell>
          <cell r="AE423">
            <v>0</v>
          </cell>
          <cell r="AF423">
            <v>114000</v>
          </cell>
        </row>
        <row r="424">
          <cell r="B424" t="str">
            <v>SINDA</v>
          </cell>
          <cell r="C424" t="str">
            <v>G</v>
          </cell>
          <cell r="D424" t="str">
            <v>51F</v>
          </cell>
          <cell r="E424" t="str">
            <v>SINDA</v>
          </cell>
          <cell r="F424" t="str">
            <v>FC/CN</v>
          </cell>
          <cell r="G424">
            <v>15</v>
          </cell>
          <cell r="H424" t="str">
            <v>Production film vidéo sur le PSE</v>
          </cell>
          <cell r="I424" t="str">
            <v>SINDA</v>
          </cell>
          <cell r="K424" t="str">
            <v>FC/PSE</v>
          </cell>
          <cell r="L424" t="str">
            <v>CR</v>
          </cell>
          <cell r="N424" t="str">
            <v>forfait</v>
          </cell>
          <cell r="P424">
            <v>40000</v>
          </cell>
          <cell r="Q424">
            <v>1</v>
          </cell>
          <cell r="R424">
            <v>0</v>
          </cell>
          <cell r="Y424">
            <v>-1</v>
          </cell>
          <cell r="Z424">
            <v>0</v>
          </cell>
          <cell r="AA424">
            <v>0</v>
          </cell>
          <cell r="AB424">
            <v>0</v>
          </cell>
          <cell r="AC424">
            <v>0</v>
          </cell>
          <cell r="AD424">
            <v>0</v>
          </cell>
          <cell r="AE424">
            <v>0</v>
          </cell>
          <cell r="AF424">
            <v>0</v>
          </cell>
        </row>
        <row r="425">
          <cell r="H425" t="str">
            <v>Pilotage et Coordination du PSE</v>
          </cell>
          <cell r="R425">
            <v>8221566.4000000004</v>
          </cell>
          <cell r="Z425">
            <v>2134517.6</v>
          </cell>
          <cell r="AA425">
            <v>2243620.6</v>
          </cell>
          <cell r="AB425">
            <v>2060201.6</v>
          </cell>
          <cell r="AC425">
            <v>1783226.6</v>
          </cell>
          <cell r="AD425">
            <v>0</v>
          </cell>
          <cell r="AE425">
            <v>0</v>
          </cell>
          <cell r="AF425">
            <v>8221566.4000000004</v>
          </cell>
        </row>
        <row r="426">
          <cell r="B426" t="str">
            <v>CN/PSE</v>
          </cell>
          <cell r="C426" t="str">
            <v>G</v>
          </cell>
          <cell r="D426" t="str">
            <v>51G</v>
          </cell>
          <cell r="E426" t="str">
            <v>CN/PSE</v>
          </cell>
          <cell r="F426" t="str">
            <v>FC/CN</v>
          </cell>
          <cell r="G426">
            <v>15</v>
          </cell>
          <cell r="H426" t="str">
            <v>Cadre de concertation MENRS - MF - MFP : 25p x 2j x 2 fois/an</v>
          </cell>
          <cell r="I426" t="str">
            <v>CN/PSE</v>
          </cell>
          <cell r="K426" t="str">
            <v>FC/PSE</v>
          </cell>
          <cell r="L426" t="str">
            <v>AUT</v>
          </cell>
          <cell r="M426">
            <v>100</v>
          </cell>
          <cell r="N426" t="str">
            <v>pxj</v>
          </cell>
          <cell r="O426" t="str">
            <v>asn</v>
          </cell>
          <cell r="P426">
            <v>147.72</v>
          </cell>
          <cell r="Q426">
            <v>1</v>
          </cell>
          <cell r="R426">
            <v>14772</v>
          </cell>
          <cell r="T426">
            <v>0.5</v>
          </cell>
          <cell r="V426">
            <v>0.5</v>
          </cell>
          <cell r="Y426">
            <v>0</v>
          </cell>
          <cell r="Z426">
            <v>0</v>
          </cell>
          <cell r="AA426">
            <v>7386</v>
          </cell>
          <cell r="AB426">
            <v>0</v>
          </cell>
          <cell r="AC426">
            <v>7386</v>
          </cell>
          <cell r="AD426">
            <v>0</v>
          </cell>
          <cell r="AE426">
            <v>0</v>
          </cell>
          <cell r="AF426">
            <v>14772</v>
          </cell>
        </row>
        <row r="427">
          <cell r="B427" t="str">
            <v>CN/PSE</v>
          </cell>
          <cell r="C427" t="str">
            <v>G</v>
          </cell>
          <cell r="D427" t="str">
            <v>51G</v>
          </cell>
          <cell r="E427" t="str">
            <v>CN/PSE</v>
          </cell>
          <cell r="F427" t="str">
            <v>FC/CN</v>
          </cell>
          <cell r="G427">
            <v>11</v>
          </cell>
          <cell r="H427" t="str">
            <v>Cadre de concertation PSE -Comité de Pilotage 25p x 1j x 2 fois/an</v>
          </cell>
          <cell r="I427" t="str">
            <v>CN/PSE</v>
          </cell>
          <cell r="K427" t="str">
            <v>FC/PSE</v>
          </cell>
          <cell r="L427" t="str">
            <v>AUT</v>
          </cell>
          <cell r="M427">
            <v>50</v>
          </cell>
          <cell r="N427" t="str">
            <v>pxj</v>
          </cell>
          <cell r="O427" t="str">
            <v>asn</v>
          </cell>
          <cell r="P427">
            <v>147.72</v>
          </cell>
          <cell r="Q427">
            <v>1</v>
          </cell>
          <cell r="R427">
            <v>7386</v>
          </cell>
          <cell r="T427">
            <v>0.5</v>
          </cell>
          <cell r="V427">
            <v>0.5</v>
          </cell>
          <cell r="Y427">
            <v>0</v>
          </cell>
          <cell r="Z427">
            <v>0</v>
          </cell>
          <cell r="AA427">
            <v>3693</v>
          </cell>
          <cell r="AB427">
            <v>0</v>
          </cell>
          <cell r="AC427">
            <v>3693</v>
          </cell>
          <cell r="AD427">
            <v>0</v>
          </cell>
          <cell r="AE427">
            <v>0</v>
          </cell>
          <cell r="AF427">
            <v>7386</v>
          </cell>
        </row>
        <row r="428">
          <cell r="B428" t="str">
            <v>CN/PSE</v>
          </cell>
          <cell r="C428" t="str">
            <v>G</v>
          </cell>
          <cell r="D428" t="str">
            <v>51G</v>
          </cell>
          <cell r="E428" t="str">
            <v>CN/PSE</v>
          </cell>
          <cell r="F428" t="str">
            <v>FC/CN</v>
          </cell>
          <cell r="G428">
            <v>11</v>
          </cell>
          <cell r="H428" t="str">
            <v>Cadre de concertation PSE -Comité stratégique 30p x 1j x 4 fois/an</v>
          </cell>
          <cell r="I428" t="str">
            <v>CN/PSE</v>
          </cell>
          <cell r="K428" t="str">
            <v>FC/PSE</v>
          </cell>
          <cell r="L428" t="str">
            <v>AUT</v>
          </cell>
          <cell r="M428">
            <v>120</v>
          </cell>
          <cell r="N428" t="str">
            <v>pxj</v>
          </cell>
          <cell r="O428" t="str">
            <v>asn</v>
          </cell>
          <cell r="P428">
            <v>147.72</v>
          </cell>
          <cell r="Q428">
            <v>1</v>
          </cell>
          <cell r="R428">
            <v>17726.400000000001</v>
          </cell>
          <cell r="S428">
            <v>0.25</v>
          </cell>
          <cell r="T428">
            <v>0.25</v>
          </cell>
          <cell r="U428">
            <v>0.25</v>
          </cell>
          <cell r="V428">
            <v>0.25</v>
          </cell>
          <cell r="Y428">
            <v>0</v>
          </cell>
          <cell r="Z428">
            <v>4431.6000000000004</v>
          </cell>
          <cell r="AA428">
            <v>4431.6000000000004</v>
          </cell>
          <cell r="AB428">
            <v>4431.6000000000004</v>
          </cell>
          <cell r="AC428">
            <v>4431.6000000000004</v>
          </cell>
          <cell r="AD428">
            <v>0</v>
          </cell>
          <cell r="AE428">
            <v>0</v>
          </cell>
          <cell r="AF428">
            <v>17726.400000000001</v>
          </cell>
        </row>
        <row r="429">
          <cell r="B429" t="str">
            <v>CN/PSE</v>
          </cell>
          <cell r="C429" t="str">
            <v>G</v>
          </cell>
          <cell r="D429" t="str">
            <v>51G</v>
          </cell>
          <cell r="E429" t="str">
            <v>CN/PSE</v>
          </cell>
          <cell r="F429" t="str">
            <v>FC/CN</v>
          </cell>
          <cell r="G429">
            <v>11</v>
          </cell>
          <cell r="H429" t="str">
            <v>Revues conjointes  50p x 5j x 2 fois/an</v>
          </cell>
          <cell r="I429" t="str">
            <v>CN/PSE</v>
          </cell>
          <cell r="K429" t="str">
            <v>FC/PSE</v>
          </cell>
          <cell r="L429" t="str">
            <v>AUT</v>
          </cell>
          <cell r="M429">
            <v>500</v>
          </cell>
          <cell r="N429" t="str">
            <v>pxj</v>
          </cell>
          <cell r="O429" t="str">
            <v>asn</v>
          </cell>
          <cell r="P429">
            <v>147.72</v>
          </cell>
          <cell r="Q429">
            <v>1</v>
          </cell>
          <cell r="R429">
            <v>73860</v>
          </cell>
          <cell r="T429">
            <v>0.5</v>
          </cell>
          <cell r="V429">
            <v>0.5</v>
          </cell>
          <cell r="Y429">
            <v>0</v>
          </cell>
          <cell r="Z429">
            <v>0</v>
          </cell>
          <cell r="AA429">
            <v>36930</v>
          </cell>
          <cell r="AB429">
            <v>0</v>
          </cell>
          <cell r="AC429">
            <v>36930</v>
          </cell>
          <cell r="AD429">
            <v>0</v>
          </cell>
          <cell r="AE429">
            <v>0</v>
          </cell>
          <cell r="AF429">
            <v>73860</v>
          </cell>
        </row>
        <row r="430">
          <cell r="B430" t="str">
            <v>CN/PSE</v>
          </cell>
          <cell r="C430" t="str">
            <v>G</v>
          </cell>
          <cell r="D430" t="str">
            <v>51G</v>
          </cell>
          <cell r="E430" t="str">
            <v>CN/PSE</v>
          </cell>
          <cell r="F430" t="str">
            <v>FC/CN</v>
          </cell>
          <cell r="G430">
            <v>11</v>
          </cell>
          <cell r="H430" t="str">
            <v>Salaire 31 contractuels</v>
          </cell>
          <cell r="I430" t="str">
            <v>CN/PSE</v>
          </cell>
          <cell r="K430" t="str">
            <v>FC/PSE</v>
          </cell>
          <cell r="L430" t="str">
            <v>AUT</v>
          </cell>
          <cell r="M430">
            <v>12</v>
          </cell>
          <cell r="N430" t="str">
            <v>mois</v>
          </cell>
          <cell r="P430">
            <v>221580.00000000003</v>
          </cell>
          <cell r="Q430">
            <v>1</v>
          </cell>
          <cell r="R430">
            <v>2658960.0000000005</v>
          </cell>
          <cell r="S430">
            <v>0.25</v>
          </cell>
          <cell r="T430">
            <v>0.25</v>
          </cell>
          <cell r="U430">
            <v>0.25</v>
          </cell>
          <cell r="V430">
            <v>0.25</v>
          </cell>
          <cell r="Y430">
            <v>0</v>
          </cell>
          <cell r="Z430">
            <v>664740.00000000012</v>
          </cell>
          <cell r="AA430">
            <v>664740.00000000012</v>
          </cell>
          <cell r="AB430">
            <v>664740.00000000012</v>
          </cell>
          <cell r="AC430">
            <v>664740.00000000012</v>
          </cell>
          <cell r="AD430">
            <v>0</v>
          </cell>
          <cell r="AE430">
            <v>0</v>
          </cell>
          <cell r="AF430">
            <v>2658960.0000000005</v>
          </cell>
        </row>
        <row r="431">
          <cell r="B431" t="str">
            <v>CN/PSE</v>
          </cell>
          <cell r="C431" t="str">
            <v>G</v>
          </cell>
          <cell r="D431" t="str">
            <v>51G</v>
          </cell>
          <cell r="E431" t="str">
            <v>CN/PSE</v>
          </cell>
          <cell r="F431" t="str">
            <v>FC/CN</v>
          </cell>
          <cell r="G431">
            <v>15</v>
          </cell>
          <cell r="H431" t="str">
            <v>Loyer bureau Coordination Nationale</v>
          </cell>
          <cell r="I431" t="str">
            <v>CN/PSE</v>
          </cell>
          <cell r="K431" t="str">
            <v>FC/PSE</v>
          </cell>
          <cell r="L431" t="str">
            <v>AUT</v>
          </cell>
          <cell r="M431">
            <v>12</v>
          </cell>
          <cell r="N431" t="str">
            <v>mois</v>
          </cell>
          <cell r="P431">
            <v>36930</v>
          </cell>
          <cell r="Q431">
            <v>1</v>
          </cell>
          <cell r="R431">
            <v>443160</v>
          </cell>
          <cell r="S431">
            <v>0.25</v>
          </cell>
          <cell r="T431">
            <v>0.25</v>
          </cell>
          <cell r="U431">
            <v>0.25</v>
          </cell>
          <cell r="V431">
            <v>0.25</v>
          </cell>
          <cell r="Y431">
            <v>0</v>
          </cell>
          <cell r="Z431">
            <v>110790</v>
          </cell>
          <cell r="AA431">
            <v>110790</v>
          </cell>
          <cell r="AB431">
            <v>110790</v>
          </cell>
          <cell r="AC431">
            <v>110790</v>
          </cell>
          <cell r="AD431">
            <v>0</v>
          </cell>
          <cell r="AE431">
            <v>0</v>
          </cell>
          <cell r="AF431">
            <v>443160</v>
          </cell>
        </row>
        <row r="432">
          <cell r="B432" t="str">
            <v>CN/PSE</v>
          </cell>
          <cell r="C432" t="str">
            <v>G</v>
          </cell>
          <cell r="D432" t="str">
            <v>51G</v>
          </cell>
          <cell r="E432" t="str">
            <v>CN/PSE</v>
          </cell>
          <cell r="F432" t="str">
            <v>FC/CN</v>
          </cell>
          <cell r="G432">
            <v>15</v>
          </cell>
          <cell r="H432" t="str">
            <v>Consommables</v>
          </cell>
          <cell r="I432" t="str">
            <v>CN/PSE</v>
          </cell>
          <cell r="K432" t="str">
            <v>FC/PSE</v>
          </cell>
          <cell r="L432" t="str">
            <v>AUT</v>
          </cell>
          <cell r="M432">
            <v>12</v>
          </cell>
          <cell r="N432" t="str">
            <v>mois</v>
          </cell>
          <cell r="P432">
            <v>29544.000000000004</v>
          </cell>
          <cell r="Q432">
            <v>1</v>
          </cell>
          <cell r="R432">
            <v>354528.00000000006</v>
          </cell>
          <cell r="S432">
            <v>0.25</v>
          </cell>
          <cell r="T432">
            <v>0.25</v>
          </cell>
          <cell r="U432">
            <v>0.25</v>
          </cell>
          <cell r="V432">
            <v>0.25</v>
          </cell>
          <cell r="Y432">
            <v>0</v>
          </cell>
          <cell r="Z432">
            <v>88632.000000000015</v>
          </cell>
          <cell r="AA432">
            <v>88632.000000000015</v>
          </cell>
          <cell r="AB432">
            <v>88632.000000000015</v>
          </cell>
          <cell r="AC432">
            <v>88632.000000000015</v>
          </cell>
          <cell r="AD432">
            <v>0</v>
          </cell>
          <cell r="AE432">
            <v>0</v>
          </cell>
          <cell r="AF432">
            <v>354528.00000000006</v>
          </cell>
        </row>
        <row r="433">
          <cell r="B433" t="str">
            <v>CN/PSE</v>
          </cell>
          <cell r="C433" t="str">
            <v>G</v>
          </cell>
          <cell r="D433" t="str">
            <v>51G</v>
          </cell>
          <cell r="E433" t="str">
            <v>CN/PSE</v>
          </cell>
          <cell r="F433" t="str">
            <v>FC/CN</v>
          </cell>
          <cell r="G433">
            <v>23</v>
          </cell>
          <cell r="H433" t="str">
            <v>Véhicule de mission 4X4 SW Cellule S&amp;E PSE</v>
          </cell>
          <cell r="I433" t="str">
            <v>CN/PSE</v>
          </cell>
          <cell r="K433" t="str">
            <v>FC/PSE</v>
          </cell>
          <cell r="L433" t="str">
            <v>AUT</v>
          </cell>
          <cell r="M433">
            <v>2</v>
          </cell>
          <cell r="N433" t="str">
            <v>u</v>
          </cell>
          <cell r="O433" t="str">
            <v>vsw</v>
          </cell>
          <cell r="P433">
            <v>196960.00000000003</v>
          </cell>
          <cell r="Q433">
            <v>1</v>
          </cell>
          <cell r="R433">
            <v>393920.00000000006</v>
          </cell>
          <cell r="T433">
            <v>1</v>
          </cell>
          <cell r="Y433">
            <v>0</v>
          </cell>
          <cell r="Z433">
            <v>0</v>
          </cell>
          <cell r="AA433">
            <v>393920.00000000006</v>
          </cell>
          <cell r="AB433">
            <v>0</v>
          </cell>
          <cell r="AC433">
            <v>0</v>
          </cell>
          <cell r="AD433">
            <v>0</v>
          </cell>
          <cell r="AE433">
            <v>0</v>
          </cell>
          <cell r="AF433">
            <v>393920.00000000006</v>
          </cell>
        </row>
        <row r="434">
          <cell r="B434" t="str">
            <v>CN/PSE</v>
          </cell>
          <cell r="C434" t="str">
            <v>G</v>
          </cell>
          <cell r="D434" t="str">
            <v>51G</v>
          </cell>
          <cell r="E434" t="str">
            <v>CN/PSE</v>
          </cell>
          <cell r="F434" t="str">
            <v>FC/CN</v>
          </cell>
          <cell r="G434">
            <v>15</v>
          </cell>
          <cell r="H434" t="str">
            <v>Carburant-Lubrifiant</v>
          </cell>
          <cell r="I434" t="str">
            <v>CN/PSE</v>
          </cell>
          <cell r="K434" t="str">
            <v>FC/PSE</v>
          </cell>
          <cell r="L434" t="str">
            <v>AUT</v>
          </cell>
          <cell r="M434">
            <v>12</v>
          </cell>
          <cell r="N434" t="str">
            <v>mois</v>
          </cell>
          <cell r="P434">
            <v>32006.000000000004</v>
          </cell>
          <cell r="Q434">
            <v>1</v>
          </cell>
          <cell r="R434">
            <v>384072.00000000006</v>
          </cell>
          <cell r="S434">
            <v>0.25</v>
          </cell>
          <cell r="T434">
            <v>0.25</v>
          </cell>
          <cell r="U434">
            <v>0.25</v>
          </cell>
          <cell r="V434">
            <v>0.25</v>
          </cell>
          <cell r="Y434">
            <v>0</v>
          </cell>
          <cell r="Z434">
            <v>96018.000000000015</v>
          </cell>
          <cell r="AA434">
            <v>96018.000000000015</v>
          </cell>
          <cell r="AB434">
            <v>96018.000000000015</v>
          </cell>
          <cell r="AC434">
            <v>96018.000000000015</v>
          </cell>
          <cell r="AD434">
            <v>0</v>
          </cell>
          <cell r="AE434">
            <v>0</v>
          </cell>
          <cell r="AF434">
            <v>384072.00000000006</v>
          </cell>
        </row>
        <row r="435">
          <cell r="B435" t="str">
            <v>CN/PSE</v>
          </cell>
          <cell r="C435" t="str">
            <v>G</v>
          </cell>
          <cell r="D435" t="str">
            <v>51G</v>
          </cell>
          <cell r="E435" t="str">
            <v>CN/PSE</v>
          </cell>
          <cell r="F435" t="str">
            <v>FC/CN</v>
          </cell>
          <cell r="G435">
            <v>15</v>
          </cell>
          <cell r="H435" t="str">
            <v>Maintenance équipements</v>
          </cell>
          <cell r="I435" t="str">
            <v>CN/PSE</v>
          </cell>
          <cell r="K435" t="str">
            <v>FC/PSE</v>
          </cell>
          <cell r="L435" t="str">
            <v>AUT</v>
          </cell>
          <cell r="M435">
            <v>12</v>
          </cell>
          <cell r="N435" t="str">
            <v>mois</v>
          </cell>
          <cell r="P435">
            <v>22158</v>
          </cell>
          <cell r="Q435">
            <v>1</v>
          </cell>
          <cell r="R435">
            <v>265896</v>
          </cell>
          <cell r="S435">
            <v>0.25</v>
          </cell>
          <cell r="T435">
            <v>0.25</v>
          </cell>
          <cell r="U435">
            <v>0.25</v>
          </cell>
          <cell r="V435">
            <v>0.25</v>
          </cell>
          <cell r="Y435">
            <v>0</v>
          </cell>
          <cell r="Z435">
            <v>66474</v>
          </cell>
          <cell r="AA435">
            <v>66474</v>
          </cell>
          <cell r="AB435">
            <v>66474</v>
          </cell>
          <cell r="AC435">
            <v>66474</v>
          </cell>
          <cell r="AD435">
            <v>0</v>
          </cell>
          <cell r="AE435">
            <v>0</v>
          </cell>
          <cell r="AF435">
            <v>265896</v>
          </cell>
        </row>
        <row r="436">
          <cell r="B436" t="str">
            <v>CN/PSE</v>
          </cell>
          <cell r="C436" t="str">
            <v>G</v>
          </cell>
          <cell r="D436" t="str">
            <v>51G</v>
          </cell>
          <cell r="E436" t="str">
            <v>CN/PSE</v>
          </cell>
          <cell r="F436" t="str">
            <v>FC/CN</v>
          </cell>
          <cell r="G436">
            <v>15</v>
          </cell>
          <cell r="H436" t="str">
            <v>Assurances équipements</v>
          </cell>
          <cell r="I436" t="str">
            <v>CN/PSE</v>
          </cell>
          <cell r="K436" t="str">
            <v>FC/PSE</v>
          </cell>
          <cell r="L436" t="str">
            <v>AUT</v>
          </cell>
          <cell r="M436">
            <v>12</v>
          </cell>
          <cell r="N436" t="str">
            <v>mois</v>
          </cell>
          <cell r="P436">
            <v>49240.000000000007</v>
          </cell>
          <cell r="Q436">
            <v>1</v>
          </cell>
          <cell r="R436">
            <v>590880.00000000012</v>
          </cell>
          <cell r="S436">
            <v>0.25</v>
          </cell>
          <cell r="T436">
            <v>0.25</v>
          </cell>
          <cell r="U436">
            <v>0.25</v>
          </cell>
          <cell r="V436">
            <v>0.25</v>
          </cell>
          <cell r="Y436">
            <v>0</v>
          </cell>
          <cell r="Z436">
            <v>147720.00000000003</v>
          </cell>
          <cell r="AA436">
            <v>147720.00000000003</v>
          </cell>
          <cell r="AB436">
            <v>147720.00000000003</v>
          </cell>
          <cell r="AC436">
            <v>147720.00000000003</v>
          </cell>
          <cell r="AD436">
            <v>0</v>
          </cell>
          <cell r="AE436">
            <v>0</v>
          </cell>
          <cell r="AF436">
            <v>590880.00000000012</v>
          </cell>
        </row>
        <row r="437">
          <cell r="B437" t="str">
            <v>CN/PSE</v>
          </cell>
          <cell r="C437" t="str">
            <v>G</v>
          </cell>
          <cell r="D437" t="str">
            <v>51G</v>
          </cell>
          <cell r="E437" t="str">
            <v>CN/PSE</v>
          </cell>
          <cell r="F437" t="str">
            <v>FC/CN</v>
          </cell>
          <cell r="G437">
            <v>15</v>
          </cell>
          <cell r="H437" t="str">
            <v>Déplacements en Guinée</v>
          </cell>
          <cell r="I437" t="str">
            <v>CN/PSE</v>
          </cell>
          <cell r="K437" t="str">
            <v>FC/PSE</v>
          </cell>
          <cell r="L437" t="str">
            <v>AUT</v>
          </cell>
          <cell r="M437">
            <v>12</v>
          </cell>
          <cell r="N437" t="str">
            <v>mois</v>
          </cell>
          <cell r="P437">
            <v>4924</v>
          </cell>
          <cell r="Q437">
            <v>1</v>
          </cell>
          <cell r="R437">
            <v>59088</v>
          </cell>
          <cell r="S437">
            <v>0.25</v>
          </cell>
          <cell r="T437">
            <v>0.25</v>
          </cell>
          <cell r="U437">
            <v>0.25</v>
          </cell>
          <cell r="V437">
            <v>0.25</v>
          </cell>
          <cell r="Y437">
            <v>0</v>
          </cell>
          <cell r="Z437">
            <v>14772</v>
          </cell>
          <cell r="AA437">
            <v>14772</v>
          </cell>
          <cell r="AB437">
            <v>14772</v>
          </cell>
          <cell r="AC437">
            <v>14772</v>
          </cell>
          <cell r="AD437">
            <v>0</v>
          </cell>
          <cell r="AE437">
            <v>0</v>
          </cell>
          <cell r="AF437">
            <v>59088</v>
          </cell>
        </row>
        <row r="438">
          <cell r="B438" t="str">
            <v>CN/PSE</v>
          </cell>
          <cell r="C438" t="str">
            <v>G</v>
          </cell>
          <cell r="D438" t="str">
            <v>51G</v>
          </cell>
          <cell r="E438" t="str">
            <v>CN/PSE</v>
          </cell>
          <cell r="F438" t="str">
            <v>FC/CN</v>
          </cell>
          <cell r="G438">
            <v>15</v>
          </cell>
          <cell r="H438" t="str">
            <v>Missions à l'étranger</v>
          </cell>
          <cell r="I438" t="str">
            <v>CN/PSE</v>
          </cell>
          <cell r="K438" t="str">
            <v>FC/PSE</v>
          </cell>
          <cell r="L438" t="str">
            <v>AUT</v>
          </cell>
          <cell r="M438">
            <v>1</v>
          </cell>
          <cell r="N438" t="str">
            <v>forfait</v>
          </cell>
          <cell r="P438">
            <v>393920.00000000006</v>
          </cell>
          <cell r="Q438">
            <v>1</v>
          </cell>
          <cell r="R438">
            <v>393920.00000000006</v>
          </cell>
          <cell r="S438">
            <v>0.25</v>
          </cell>
          <cell r="T438">
            <v>0.25</v>
          </cell>
          <cell r="U438">
            <v>0.25</v>
          </cell>
          <cell r="V438">
            <v>0.25</v>
          </cell>
          <cell r="Y438">
            <v>0</v>
          </cell>
          <cell r="Z438">
            <v>98480.000000000015</v>
          </cell>
          <cell r="AA438">
            <v>98480.000000000015</v>
          </cell>
          <cell r="AB438">
            <v>98480.000000000015</v>
          </cell>
          <cell r="AC438">
            <v>98480.000000000015</v>
          </cell>
          <cell r="AD438">
            <v>0</v>
          </cell>
          <cell r="AE438">
            <v>0</v>
          </cell>
          <cell r="AF438">
            <v>393920.00000000006</v>
          </cell>
        </row>
        <row r="439">
          <cell r="B439" t="str">
            <v>CN/PSE</v>
          </cell>
          <cell r="C439" t="str">
            <v>G</v>
          </cell>
          <cell r="D439" t="str">
            <v>51G</v>
          </cell>
          <cell r="E439" t="str">
            <v>CN/PSE</v>
          </cell>
          <cell r="F439" t="str">
            <v>FC/CN</v>
          </cell>
          <cell r="G439">
            <v>15</v>
          </cell>
          <cell r="H439" t="str">
            <v>Audit des comptes du FC-PSE</v>
          </cell>
          <cell r="I439" t="str">
            <v>CN/PSE</v>
          </cell>
          <cell r="K439" t="str">
            <v>FC/PSE</v>
          </cell>
          <cell r="L439" t="str">
            <v>CR</v>
          </cell>
          <cell r="M439">
            <v>4</v>
          </cell>
          <cell r="N439" t="str">
            <v>pxm</v>
          </cell>
          <cell r="O439" t="str">
            <v>cic</v>
          </cell>
          <cell r="P439">
            <v>88632</v>
          </cell>
          <cell r="Q439">
            <v>1</v>
          </cell>
          <cell r="R439">
            <v>354528</v>
          </cell>
          <cell r="T439">
            <v>0.5</v>
          </cell>
          <cell r="V439">
            <v>0.5</v>
          </cell>
          <cell r="Y439">
            <v>0</v>
          </cell>
          <cell r="Z439">
            <v>0</v>
          </cell>
          <cell r="AA439">
            <v>177264</v>
          </cell>
          <cell r="AB439">
            <v>0</v>
          </cell>
          <cell r="AC439">
            <v>177264</v>
          </cell>
          <cell r="AD439">
            <v>0</v>
          </cell>
          <cell r="AE439">
            <v>0</v>
          </cell>
          <cell r="AF439">
            <v>354528</v>
          </cell>
        </row>
        <row r="440">
          <cell r="B440" t="str">
            <v>CN/PSE</v>
          </cell>
          <cell r="C440" t="str">
            <v>G</v>
          </cell>
          <cell r="D440" t="str">
            <v>51G</v>
          </cell>
          <cell r="E440" t="str">
            <v>CN/PSE</v>
          </cell>
          <cell r="F440" t="str">
            <v>FC/CN</v>
          </cell>
          <cell r="G440">
            <v>15</v>
          </cell>
          <cell r="H440" t="str">
            <v>Audit technique de la passation des marchés</v>
          </cell>
          <cell r="I440" t="str">
            <v>CN/PSE</v>
          </cell>
          <cell r="K440" t="str">
            <v>FC/PSE</v>
          </cell>
          <cell r="L440" t="str">
            <v>CR</v>
          </cell>
          <cell r="M440">
            <v>2</v>
          </cell>
          <cell r="N440" t="str">
            <v>pxm</v>
          </cell>
          <cell r="O440" t="str">
            <v>cic</v>
          </cell>
          <cell r="P440">
            <v>88632</v>
          </cell>
          <cell r="Q440">
            <v>1</v>
          </cell>
          <cell r="R440">
            <v>177264</v>
          </cell>
          <cell r="T440">
            <v>0.5</v>
          </cell>
          <cell r="V440">
            <v>0.5</v>
          </cell>
          <cell r="Y440">
            <v>0</v>
          </cell>
          <cell r="Z440">
            <v>0</v>
          </cell>
          <cell r="AA440">
            <v>88632</v>
          </cell>
          <cell r="AB440">
            <v>0</v>
          </cell>
          <cell r="AC440">
            <v>88632</v>
          </cell>
          <cell r="AD440">
            <v>0</v>
          </cell>
          <cell r="AE440">
            <v>0</v>
          </cell>
          <cell r="AF440">
            <v>177264</v>
          </cell>
        </row>
        <row r="441">
          <cell r="B441" t="str">
            <v>CN/PSE</v>
          </cell>
          <cell r="C441" t="str">
            <v>G</v>
          </cell>
          <cell r="D441" t="str">
            <v>51G</v>
          </cell>
          <cell r="E441" t="str">
            <v>CN/PSE</v>
          </cell>
          <cell r="F441" t="str">
            <v>FC/CN</v>
          </cell>
          <cell r="G441">
            <v>25</v>
          </cell>
          <cell r="H441" t="str">
            <v>Spécialistes en programmation et gestion budgétaire</v>
          </cell>
          <cell r="I441" t="str">
            <v>CN/PSE</v>
          </cell>
          <cell r="K441" t="str">
            <v>FC/PSE</v>
          </cell>
          <cell r="L441" t="str">
            <v>CR</v>
          </cell>
          <cell r="M441">
            <v>6</v>
          </cell>
          <cell r="N441" t="str">
            <v>pxm</v>
          </cell>
          <cell r="O441" t="str">
            <v>cic</v>
          </cell>
          <cell r="P441">
            <v>88632</v>
          </cell>
          <cell r="Q441">
            <v>1</v>
          </cell>
          <cell r="R441">
            <v>531792</v>
          </cell>
          <cell r="S441">
            <v>0.25</v>
          </cell>
          <cell r="T441">
            <v>0.25</v>
          </cell>
          <cell r="U441">
            <v>0.25</v>
          </cell>
          <cell r="V441">
            <v>0.25</v>
          </cell>
          <cell r="Y441">
            <v>0</v>
          </cell>
          <cell r="Z441">
            <v>132948</v>
          </cell>
          <cell r="AA441">
            <v>132948</v>
          </cell>
          <cell r="AB441">
            <v>132948</v>
          </cell>
          <cell r="AC441">
            <v>132948</v>
          </cell>
          <cell r="AD441">
            <v>0</v>
          </cell>
          <cell r="AE441">
            <v>0</v>
          </cell>
          <cell r="AF441">
            <v>531792</v>
          </cell>
        </row>
        <row r="442">
          <cell r="B442" t="str">
            <v>CN/PSE</v>
          </cell>
          <cell r="C442" t="str">
            <v>G</v>
          </cell>
          <cell r="D442" t="str">
            <v>51G</v>
          </cell>
          <cell r="E442" t="str">
            <v>CN/PSE</v>
          </cell>
          <cell r="F442" t="str">
            <v>FC/CN</v>
          </cell>
          <cell r="G442">
            <v>25</v>
          </cell>
          <cell r="H442" t="str">
            <v>Spécialistes et études en suivi-évaluation</v>
          </cell>
          <cell r="I442" t="str">
            <v>CN/PSE</v>
          </cell>
          <cell r="K442" t="str">
            <v>FC/PSE</v>
          </cell>
          <cell r="L442" t="str">
            <v>CR</v>
          </cell>
          <cell r="M442">
            <v>2</v>
          </cell>
          <cell r="N442" t="str">
            <v>pxm</v>
          </cell>
          <cell r="O442" t="str">
            <v>cic</v>
          </cell>
          <cell r="P442">
            <v>88632</v>
          </cell>
          <cell r="Q442">
            <v>1</v>
          </cell>
          <cell r="R442">
            <v>177264</v>
          </cell>
          <cell r="S442">
            <v>0.25</v>
          </cell>
          <cell r="T442">
            <v>0.25</v>
          </cell>
          <cell r="U442">
            <v>0.25</v>
          </cell>
          <cell r="V442">
            <v>0.25</v>
          </cell>
          <cell r="Y442">
            <v>0</v>
          </cell>
          <cell r="Z442">
            <v>44316</v>
          </cell>
          <cell r="AA442">
            <v>44316</v>
          </cell>
          <cell r="AB442">
            <v>44316</v>
          </cell>
          <cell r="AC442">
            <v>44316</v>
          </cell>
          <cell r="AD442">
            <v>0</v>
          </cell>
          <cell r="AE442">
            <v>0</v>
          </cell>
          <cell r="AF442">
            <v>177264</v>
          </cell>
        </row>
        <row r="443">
          <cell r="B443" t="str">
            <v>CN/PSE</v>
          </cell>
          <cell r="C443" t="str">
            <v>G</v>
          </cell>
          <cell r="D443" t="str">
            <v>51G</v>
          </cell>
          <cell r="E443" t="str">
            <v>CN/PSE</v>
          </cell>
          <cell r="F443" t="str">
            <v>FC/CN</v>
          </cell>
          <cell r="G443">
            <v>12</v>
          </cell>
          <cell r="H443" t="str">
            <v>Formation personnel CN/PSE</v>
          </cell>
          <cell r="I443" t="str">
            <v>CN/PSE</v>
          </cell>
          <cell r="K443" t="str">
            <v>FC/PSE</v>
          </cell>
          <cell r="L443" t="str">
            <v>CR</v>
          </cell>
          <cell r="M443">
            <v>2</v>
          </cell>
          <cell r="N443" t="str">
            <v>forfait</v>
          </cell>
          <cell r="P443">
            <v>590880</v>
          </cell>
          <cell r="Q443">
            <v>1</v>
          </cell>
          <cell r="R443">
            <v>1181760</v>
          </cell>
          <cell r="S443">
            <v>0.5</v>
          </cell>
          <cell r="U443">
            <v>0.5</v>
          </cell>
          <cell r="Y443">
            <v>0</v>
          </cell>
          <cell r="Z443">
            <v>590880</v>
          </cell>
          <cell r="AA443">
            <v>0</v>
          </cell>
          <cell r="AB443">
            <v>590880</v>
          </cell>
          <cell r="AC443">
            <v>0</v>
          </cell>
          <cell r="AD443">
            <v>0</v>
          </cell>
          <cell r="AE443">
            <v>0</v>
          </cell>
          <cell r="AF443">
            <v>1181760</v>
          </cell>
        </row>
        <row r="444">
          <cell r="B444" t="str">
            <v>CN/PSE</v>
          </cell>
          <cell r="C444" t="str">
            <v>G</v>
          </cell>
          <cell r="D444" t="str">
            <v>51G</v>
          </cell>
          <cell r="E444" t="str">
            <v>CN/PSE</v>
          </cell>
          <cell r="F444" t="str">
            <v>FC/CN</v>
          </cell>
          <cell r="G444">
            <v>12</v>
          </cell>
          <cell r="H444" t="str">
            <v>Formation sur place en gestion de programme : 15p x 10j</v>
          </cell>
          <cell r="I444" t="str">
            <v>CN/PSE</v>
          </cell>
          <cell r="K444" t="str">
            <v>FC/PSE</v>
          </cell>
          <cell r="L444" t="str">
            <v>AUT</v>
          </cell>
          <cell r="M444">
            <v>30</v>
          </cell>
          <cell r="N444" t="str">
            <v>pxsem</v>
          </cell>
          <cell r="O444" t="str">
            <v>fbu</v>
          </cell>
          <cell r="P444">
            <v>1000</v>
          </cell>
          <cell r="Q444">
            <v>1</v>
          </cell>
          <cell r="R444">
            <v>30000</v>
          </cell>
          <cell r="S444">
            <v>1</v>
          </cell>
          <cell r="Y444">
            <v>0</v>
          </cell>
          <cell r="Z444">
            <v>30000</v>
          </cell>
          <cell r="AA444">
            <v>0</v>
          </cell>
          <cell r="AB444">
            <v>0</v>
          </cell>
          <cell r="AC444">
            <v>0</v>
          </cell>
          <cell r="AD444">
            <v>0</v>
          </cell>
          <cell r="AE444">
            <v>0</v>
          </cell>
          <cell r="AF444">
            <v>30000</v>
          </cell>
        </row>
        <row r="445">
          <cell r="B445" t="str">
            <v>CN/PSE</v>
          </cell>
          <cell r="C445" t="str">
            <v>G</v>
          </cell>
          <cell r="D445" t="str">
            <v>51G</v>
          </cell>
          <cell r="E445" t="str">
            <v>CN/PSE</v>
          </cell>
          <cell r="F445" t="str">
            <v>FC/CN</v>
          </cell>
          <cell r="G445">
            <v>25</v>
          </cell>
          <cell r="H445" t="str">
            <v>Spécialiste formation en gestion de programme</v>
          </cell>
          <cell r="I445" t="str">
            <v>CN/PSE</v>
          </cell>
          <cell r="K445" t="str">
            <v>FC/PSE</v>
          </cell>
          <cell r="L445" t="str">
            <v>CR</v>
          </cell>
          <cell r="M445">
            <v>0.5</v>
          </cell>
          <cell r="N445" t="str">
            <v>pxm</v>
          </cell>
          <cell r="O445" t="str">
            <v>cic</v>
          </cell>
          <cell r="P445">
            <v>88632</v>
          </cell>
          <cell r="Q445">
            <v>1</v>
          </cell>
          <cell r="R445">
            <v>44316</v>
          </cell>
          <cell r="S445">
            <v>1</v>
          </cell>
          <cell r="Y445">
            <v>0</v>
          </cell>
          <cell r="Z445">
            <v>44316</v>
          </cell>
          <cell r="AA445">
            <v>0</v>
          </cell>
          <cell r="AB445">
            <v>0</v>
          </cell>
          <cell r="AC445">
            <v>0</v>
          </cell>
          <cell r="AD445">
            <v>0</v>
          </cell>
          <cell r="AE445">
            <v>0</v>
          </cell>
          <cell r="AF445">
            <v>44316</v>
          </cell>
        </row>
        <row r="446">
          <cell r="B446" t="str">
            <v>CN/PSE</v>
          </cell>
          <cell r="C446" t="str">
            <v>G</v>
          </cell>
          <cell r="D446" t="str">
            <v>51G</v>
          </cell>
          <cell r="E446" t="str">
            <v>CN/PSE</v>
          </cell>
          <cell r="F446" t="str">
            <v>FC/CN</v>
          </cell>
          <cell r="G446">
            <v>12</v>
          </cell>
          <cell r="H446" t="str">
            <v>Formation à l'extérieur en gestion de programme : 5p x 10j</v>
          </cell>
          <cell r="I446" t="str">
            <v>CN/PSE</v>
          </cell>
          <cell r="K446" t="str">
            <v>FC/PSE</v>
          </cell>
          <cell r="L446" t="str">
            <v>CR</v>
          </cell>
          <cell r="M446">
            <v>5</v>
          </cell>
          <cell r="N446" t="str">
            <v>voy</v>
          </cell>
          <cell r="O446" t="str">
            <v>vaf</v>
          </cell>
          <cell r="P446">
            <v>13294.800000000001</v>
          </cell>
          <cell r="Q446">
            <v>1</v>
          </cell>
          <cell r="R446">
            <v>66474</v>
          </cell>
          <cell r="T446">
            <v>1</v>
          </cell>
          <cell r="Y446">
            <v>0</v>
          </cell>
          <cell r="Z446">
            <v>0</v>
          </cell>
          <cell r="AA446">
            <v>66474</v>
          </cell>
          <cell r="AB446">
            <v>0</v>
          </cell>
          <cell r="AC446">
            <v>0</v>
          </cell>
          <cell r="AD446">
            <v>0</v>
          </cell>
          <cell r="AE446">
            <v>0</v>
          </cell>
          <cell r="AF446">
            <v>66474</v>
          </cell>
        </row>
        <row r="447">
          <cell r="H447" t="str">
            <v>GESTION DECONCENTREE</v>
          </cell>
          <cell r="R447">
            <v>15162328.32</v>
          </cell>
          <cell r="Z447">
            <v>2090761.52</v>
          </cell>
          <cell r="AA447">
            <v>8709394.4000000004</v>
          </cell>
          <cell r="AB447">
            <v>2395361.2000000002</v>
          </cell>
          <cell r="AC447">
            <v>1966811.2000000002</v>
          </cell>
          <cell r="AD447">
            <v>0</v>
          </cell>
          <cell r="AE447">
            <v>0</v>
          </cell>
          <cell r="AF447">
            <v>15162328.32</v>
          </cell>
        </row>
        <row r="448">
          <cell r="H448" t="str">
            <v>Etudes travaux et équipements structures d'administration</v>
          </cell>
          <cell r="R448">
            <v>374500</v>
          </cell>
          <cell r="Z448">
            <v>7350.0000000000009</v>
          </cell>
          <cell r="AA448">
            <v>184800</v>
          </cell>
          <cell r="AB448">
            <v>182350</v>
          </cell>
          <cell r="AC448">
            <v>0</v>
          </cell>
          <cell r="AD448">
            <v>0</v>
          </cell>
          <cell r="AE448">
            <v>0</v>
          </cell>
          <cell r="AF448">
            <v>374500</v>
          </cell>
        </row>
        <row r="449">
          <cell r="B449" t="str">
            <v>CN/PSE</v>
          </cell>
          <cell r="C449" t="str">
            <v>G</v>
          </cell>
          <cell r="D449" t="str">
            <v>52A</v>
          </cell>
          <cell r="E449" t="str">
            <v>IRE/</v>
          </cell>
          <cell r="F449" t="str">
            <v>FC/CN</v>
          </cell>
          <cell r="G449">
            <v>21</v>
          </cell>
          <cell r="H449" t="str">
            <v>BET pour les réhabilitation IRE</v>
          </cell>
          <cell r="I449" t="str">
            <v>SNIES</v>
          </cell>
          <cell r="K449" t="str">
            <v>FC/PSE</v>
          </cell>
          <cell r="L449" t="str">
            <v>CR</v>
          </cell>
          <cell r="M449">
            <v>1</v>
          </cell>
          <cell r="N449" t="str">
            <v>forfait</v>
          </cell>
          <cell r="O449" t="str">
            <v>travaux</v>
          </cell>
          <cell r="P449">
            <v>7.0000000000000007E-2</v>
          </cell>
          <cell r="Q449">
            <v>1</v>
          </cell>
          <cell r="R449">
            <v>3500.0000000000005</v>
          </cell>
          <cell r="S449">
            <v>0.3</v>
          </cell>
          <cell r="T449">
            <v>0.4</v>
          </cell>
          <cell r="U449">
            <v>0.3</v>
          </cell>
          <cell r="Y449">
            <v>0</v>
          </cell>
          <cell r="Z449">
            <v>1050</v>
          </cell>
          <cell r="AA449">
            <v>1400.0000000000002</v>
          </cell>
          <cell r="AB449">
            <v>1050</v>
          </cell>
          <cell r="AC449">
            <v>0</v>
          </cell>
          <cell r="AD449">
            <v>0</v>
          </cell>
          <cell r="AE449">
            <v>0</v>
          </cell>
          <cell r="AF449">
            <v>3500</v>
          </cell>
        </row>
        <row r="450">
          <cell r="B450" t="str">
            <v>CN/PSE</v>
          </cell>
          <cell r="C450" t="str">
            <v>G</v>
          </cell>
          <cell r="D450" t="str">
            <v>52A</v>
          </cell>
          <cell r="E450" t="str">
            <v>IRE/</v>
          </cell>
          <cell r="F450" t="str">
            <v>FC/CN</v>
          </cell>
          <cell r="G450">
            <v>22</v>
          </cell>
          <cell r="H450" t="str">
            <v>Travaux de génie civil d'urgence IRE</v>
          </cell>
          <cell r="I450" t="str">
            <v>SNIES</v>
          </cell>
          <cell r="K450" t="str">
            <v>FC/PSE</v>
          </cell>
          <cell r="L450" t="str">
            <v>COT</v>
          </cell>
          <cell r="M450">
            <v>1</v>
          </cell>
          <cell r="N450" t="str">
            <v>forfait</v>
          </cell>
          <cell r="P450">
            <v>50000</v>
          </cell>
          <cell r="Q450">
            <v>1</v>
          </cell>
          <cell r="R450">
            <v>50000</v>
          </cell>
          <cell r="T450">
            <v>0.5</v>
          </cell>
          <cell r="U450">
            <v>0.5</v>
          </cell>
          <cell r="Y450">
            <v>0</v>
          </cell>
          <cell r="Z450">
            <v>0</v>
          </cell>
          <cell r="AA450">
            <v>25000</v>
          </cell>
          <cell r="AB450">
            <v>25000</v>
          </cell>
          <cell r="AC450">
            <v>0</v>
          </cell>
          <cell r="AD450">
            <v>0</v>
          </cell>
          <cell r="AE450">
            <v>0</v>
          </cell>
          <cell r="AF450">
            <v>50000</v>
          </cell>
        </row>
        <row r="451">
          <cell r="B451" t="str">
            <v>CN/PSE</v>
          </cell>
          <cell r="C451" t="str">
            <v>G</v>
          </cell>
          <cell r="D451" t="str">
            <v>52A</v>
          </cell>
          <cell r="E451" t="str">
            <v>DPE/</v>
          </cell>
          <cell r="F451" t="str">
            <v>FC/CN</v>
          </cell>
          <cell r="G451">
            <v>21</v>
          </cell>
          <cell r="H451" t="str">
            <v>BET pour les réhabilitation DPE</v>
          </cell>
          <cell r="I451" t="str">
            <v>SNIES</v>
          </cell>
          <cell r="K451" t="str">
            <v>FC/PSE</v>
          </cell>
          <cell r="L451" t="str">
            <v>CR</v>
          </cell>
          <cell r="M451">
            <v>1</v>
          </cell>
          <cell r="N451" t="str">
            <v>forfait</v>
          </cell>
          <cell r="O451" t="str">
            <v>travaux</v>
          </cell>
          <cell r="P451">
            <v>7.0000000000000007E-2</v>
          </cell>
          <cell r="Q451">
            <v>1</v>
          </cell>
          <cell r="R451">
            <v>21000.000000000004</v>
          </cell>
          <cell r="S451">
            <v>0.3</v>
          </cell>
          <cell r="T451">
            <v>0.4</v>
          </cell>
          <cell r="U451">
            <v>0.3</v>
          </cell>
          <cell r="Y451">
            <v>0</v>
          </cell>
          <cell r="Z451">
            <v>6300.0000000000009</v>
          </cell>
          <cell r="AA451">
            <v>8400.0000000000018</v>
          </cell>
          <cell r="AB451">
            <v>6300.0000000000009</v>
          </cell>
          <cell r="AC451">
            <v>0</v>
          </cell>
          <cell r="AD451">
            <v>0</v>
          </cell>
          <cell r="AE451">
            <v>0</v>
          </cell>
          <cell r="AF451">
            <v>21000.000000000004</v>
          </cell>
        </row>
        <row r="452">
          <cell r="B452" t="str">
            <v>CN/PSE</v>
          </cell>
          <cell r="C452" t="str">
            <v>G</v>
          </cell>
          <cell r="D452" t="str">
            <v>52A</v>
          </cell>
          <cell r="E452" t="str">
            <v>DPE/</v>
          </cell>
          <cell r="F452" t="str">
            <v>FC/CN</v>
          </cell>
          <cell r="G452">
            <v>22</v>
          </cell>
          <cell r="H452" t="str">
            <v>Travaux de génie civil d'urgence DPE</v>
          </cell>
          <cell r="I452" t="str">
            <v>SNIES</v>
          </cell>
          <cell r="K452" t="str">
            <v>FC/PSE</v>
          </cell>
          <cell r="L452" t="str">
            <v>COT</v>
          </cell>
          <cell r="M452">
            <v>6</v>
          </cell>
          <cell r="N452" t="str">
            <v>forfait</v>
          </cell>
          <cell r="P452">
            <v>50000</v>
          </cell>
          <cell r="Q452">
            <v>1</v>
          </cell>
          <cell r="R452">
            <v>300000</v>
          </cell>
          <cell r="T452">
            <v>0.5</v>
          </cell>
          <cell r="U452">
            <v>0.5</v>
          </cell>
          <cell r="Y452">
            <v>0</v>
          </cell>
          <cell r="Z452">
            <v>0</v>
          </cell>
          <cell r="AA452">
            <v>150000</v>
          </cell>
          <cell r="AB452">
            <v>150000</v>
          </cell>
          <cell r="AC452">
            <v>0</v>
          </cell>
          <cell r="AD452">
            <v>0</v>
          </cell>
          <cell r="AE452">
            <v>0</v>
          </cell>
          <cell r="AF452">
            <v>300000</v>
          </cell>
        </row>
        <row r="453">
          <cell r="H453" t="str">
            <v>Appuis aux IRE</v>
          </cell>
          <cell r="R453">
            <v>1804838.4</v>
          </cell>
          <cell r="Z453">
            <v>516206.4</v>
          </cell>
          <cell r="AA453">
            <v>429544</v>
          </cell>
          <cell r="AB453">
            <v>429544</v>
          </cell>
          <cell r="AC453">
            <v>429544</v>
          </cell>
          <cell r="AD453">
            <v>0</v>
          </cell>
          <cell r="AE453">
            <v>0</v>
          </cell>
          <cell r="AF453">
            <v>1804838.4</v>
          </cell>
        </row>
        <row r="454">
          <cell r="B454" t="str">
            <v>CN/PSE</v>
          </cell>
          <cell r="C454" t="str">
            <v>G</v>
          </cell>
          <cell r="D454" t="str">
            <v>52B</v>
          </cell>
          <cell r="E454" t="str">
            <v>IRE/</v>
          </cell>
          <cell r="F454" t="str">
            <v>FC/</v>
          </cell>
          <cell r="G454">
            <v>12</v>
          </cell>
          <cell r="H454" t="str">
            <v>Provision pour PTAB  8 IRE</v>
          </cell>
          <cell r="I454" t="str">
            <v>IRE/</v>
          </cell>
          <cell r="K454" t="str">
            <v>FC/PSE</v>
          </cell>
          <cell r="L454" t="str">
            <v>AUT</v>
          </cell>
          <cell r="M454">
            <v>8</v>
          </cell>
          <cell r="N454" t="str">
            <v>forfait</v>
          </cell>
          <cell r="P454">
            <v>200000</v>
          </cell>
          <cell r="Q454">
            <v>1</v>
          </cell>
          <cell r="R454">
            <v>1600000</v>
          </cell>
          <cell r="S454">
            <v>0.25</v>
          </cell>
          <cell r="T454">
            <v>0.25</v>
          </cell>
          <cell r="U454">
            <v>0.25</v>
          </cell>
          <cell r="V454">
            <v>0.25</v>
          </cell>
          <cell r="Y454">
            <v>0</v>
          </cell>
          <cell r="Z454">
            <v>400000</v>
          </cell>
          <cell r="AA454">
            <v>400000</v>
          </cell>
          <cell r="AB454">
            <v>400000</v>
          </cell>
          <cell r="AC454">
            <v>400000</v>
          </cell>
          <cell r="AD454">
            <v>0</v>
          </cell>
          <cell r="AE454">
            <v>0</v>
          </cell>
          <cell r="AF454">
            <v>1600000</v>
          </cell>
        </row>
        <row r="455">
          <cell r="B455" t="str">
            <v>CN/PSE</v>
          </cell>
          <cell r="C455" t="str">
            <v>G</v>
          </cell>
          <cell r="D455" t="str">
            <v>52B</v>
          </cell>
          <cell r="E455" t="str">
            <v>IRE/</v>
          </cell>
          <cell r="F455" t="str">
            <v>FC/</v>
          </cell>
          <cell r="G455">
            <v>12</v>
          </cell>
          <cell r="H455" t="str">
            <v>Formation cadres régionaux aux procédures du PSE et PAAB (PPDE) : 4p x 8 IRE x 2j</v>
          </cell>
          <cell r="I455" t="str">
            <v>IRE/</v>
          </cell>
          <cell r="K455" t="str">
            <v>FC/PSE</v>
          </cell>
          <cell r="L455" t="str">
            <v>AUT</v>
          </cell>
          <cell r="M455">
            <v>64</v>
          </cell>
          <cell r="N455" t="str">
            <v>pxj</v>
          </cell>
          <cell r="O455" t="str">
            <v>asr</v>
          </cell>
          <cell r="P455">
            <v>123.10000000000001</v>
          </cell>
          <cell r="Q455">
            <v>1</v>
          </cell>
          <cell r="R455">
            <v>7878.4000000000005</v>
          </cell>
          <cell r="S455">
            <v>1</v>
          </cell>
          <cell r="Y455">
            <v>0</v>
          </cell>
          <cell r="Z455">
            <v>7878.4000000000005</v>
          </cell>
          <cell r="AA455">
            <v>0</v>
          </cell>
          <cell r="AB455">
            <v>0</v>
          </cell>
          <cell r="AC455">
            <v>0</v>
          </cell>
          <cell r="AD455">
            <v>0</v>
          </cell>
          <cell r="AE455">
            <v>0</v>
          </cell>
          <cell r="AF455">
            <v>7878.4000000000005</v>
          </cell>
        </row>
        <row r="456">
          <cell r="B456" t="str">
            <v>CN/PSE</v>
          </cell>
          <cell r="C456" t="str">
            <v>G</v>
          </cell>
          <cell r="D456" t="str">
            <v>52B</v>
          </cell>
          <cell r="E456" t="str">
            <v>IRE/</v>
          </cell>
          <cell r="F456" t="str">
            <v>FC/</v>
          </cell>
          <cell r="G456">
            <v>15</v>
          </cell>
          <cell r="H456" t="str">
            <v>At rég coord stratég/opérat y compr élab et suivi des PAAB  : 15p x 8reg x2j x 1at/trim</v>
          </cell>
          <cell r="I456" t="str">
            <v>IRE/</v>
          </cell>
          <cell r="K456" t="str">
            <v>FC/PSE</v>
          </cell>
          <cell r="L456" t="str">
            <v>AUT</v>
          </cell>
          <cell r="M456">
            <v>960</v>
          </cell>
          <cell r="N456" t="str">
            <v>pxj</v>
          </cell>
          <cell r="O456" t="str">
            <v>asr</v>
          </cell>
          <cell r="P456">
            <v>123.10000000000001</v>
          </cell>
          <cell r="Q456">
            <v>1</v>
          </cell>
          <cell r="R456">
            <v>118176.00000000001</v>
          </cell>
          <cell r="S456">
            <v>0.25</v>
          </cell>
          <cell r="T456">
            <v>0.25</v>
          </cell>
          <cell r="U456">
            <v>0.25</v>
          </cell>
          <cell r="V456">
            <v>0.25</v>
          </cell>
          <cell r="Y456">
            <v>0</v>
          </cell>
          <cell r="Z456">
            <v>29544.000000000004</v>
          </cell>
          <cell r="AA456">
            <v>29544.000000000004</v>
          </cell>
          <cell r="AB456">
            <v>29544.000000000004</v>
          </cell>
          <cell r="AC456">
            <v>29544.000000000004</v>
          </cell>
          <cell r="AD456">
            <v>0</v>
          </cell>
          <cell r="AE456">
            <v>0</v>
          </cell>
          <cell r="AF456">
            <v>118176.00000000001</v>
          </cell>
        </row>
        <row r="457">
          <cell r="B457" t="str">
            <v>CN/PSE</v>
          </cell>
          <cell r="C457" t="str">
            <v>G</v>
          </cell>
          <cell r="D457" t="str">
            <v>52B</v>
          </cell>
          <cell r="E457" t="str">
            <v>IRE/</v>
          </cell>
          <cell r="F457" t="str">
            <v>FC/</v>
          </cell>
          <cell r="G457">
            <v>15</v>
          </cell>
          <cell r="H457" t="str">
            <v>At régionaux d'inform et sensib sur PSE et analyse capacités : 40p x 8 reg x 2j</v>
          </cell>
          <cell r="I457" t="str">
            <v>IRE/</v>
          </cell>
          <cell r="K457" t="str">
            <v>FC/PSE</v>
          </cell>
          <cell r="L457" t="str">
            <v>AUT</v>
          </cell>
          <cell r="M457">
            <v>640</v>
          </cell>
          <cell r="N457" t="str">
            <v>pxj</v>
          </cell>
          <cell r="O457" t="str">
            <v>asr</v>
          </cell>
          <cell r="P457">
            <v>123.10000000000001</v>
          </cell>
          <cell r="Q457">
            <v>1</v>
          </cell>
          <cell r="R457">
            <v>78784</v>
          </cell>
          <cell r="S457">
            <v>1</v>
          </cell>
          <cell r="Y457">
            <v>0</v>
          </cell>
          <cell r="Z457">
            <v>78784</v>
          </cell>
          <cell r="AA457">
            <v>0</v>
          </cell>
          <cell r="AB457">
            <v>0</v>
          </cell>
          <cell r="AC457">
            <v>0</v>
          </cell>
          <cell r="AD457">
            <v>0</v>
          </cell>
          <cell r="AE457">
            <v>0</v>
          </cell>
          <cell r="AF457">
            <v>78784</v>
          </cell>
        </row>
        <row r="458">
          <cell r="H458" t="str">
            <v>Appuis aux DPE</v>
          </cell>
          <cell r="R458">
            <v>12982989.919999998</v>
          </cell>
          <cell r="Z458">
            <v>1567205.1199999999</v>
          </cell>
          <cell r="AA458">
            <v>8095050.4000000004</v>
          </cell>
          <cell r="AB458">
            <v>1783467.2</v>
          </cell>
          <cell r="AC458">
            <v>1537267.2</v>
          </cell>
          <cell r="AD458">
            <v>0</v>
          </cell>
          <cell r="AE458">
            <v>0</v>
          </cell>
          <cell r="AF458">
            <v>12982989.919999998</v>
          </cell>
        </row>
        <row r="459">
          <cell r="B459" t="str">
            <v>CN/PSE</v>
          </cell>
          <cell r="C459" t="str">
            <v>G</v>
          </cell>
          <cell r="D459" t="str">
            <v>52C</v>
          </cell>
          <cell r="E459" t="str">
            <v>DPE/</v>
          </cell>
          <cell r="F459" t="str">
            <v>FC/</v>
          </cell>
          <cell r="G459">
            <v>12</v>
          </cell>
          <cell r="H459" t="str">
            <v>Provision PTAB 38 DPE</v>
          </cell>
          <cell r="I459" t="str">
            <v>DPE/</v>
          </cell>
          <cell r="K459" t="str">
            <v>FC/PSE</v>
          </cell>
          <cell r="L459" t="str">
            <v>AUT</v>
          </cell>
          <cell r="M459">
            <v>38</v>
          </cell>
          <cell r="N459" t="str">
            <v>forfait</v>
          </cell>
          <cell r="P459">
            <v>150000</v>
          </cell>
          <cell r="Q459">
            <v>1</v>
          </cell>
          <cell r="R459">
            <v>5700000</v>
          </cell>
          <cell r="S459">
            <v>0.25</v>
          </cell>
          <cell r="T459">
            <v>0.25</v>
          </cell>
          <cell r="U459">
            <v>0.25</v>
          </cell>
          <cell r="V459">
            <v>0.25</v>
          </cell>
          <cell r="Y459">
            <v>0</v>
          </cell>
          <cell r="Z459">
            <v>1425000</v>
          </cell>
          <cell r="AA459">
            <v>1425000</v>
          </cell>
          <cell r="AB459">
            <v>1425000</v>
          </cell>
          <cell r="AC459">
            <v>1425000</v>
          </cell>
          <cell r="AD459">
            <v>0</v>
          </cell>
          <cell r="AE459">
            <v>0</v>
          </cell>
          <cell r="AF459">
            <v>5700000</v>
          </cell>
        </row>
        <row r="460">
          <cell r="B460" t="str">
            <v>CN/PSE</v>
          </cell>
          <cell r="C460" t="str">
            <v>G</v>
          </cell>
          <cell r="D460" t="str">
            <v>52C</v>
          </cell>
          <cell r="E460" t="str">
            <v>DPE/</v>
          </cell>
          <cell r="F460" t="str">
            <v>FC/</v>
          </cell>
          <cell r="G460">
            <v>12</v>
          </cell>
          <cell r="H460" t="str">
            <v>Formation cadres préfectoraux aux procédures du PSE et PAAB : 4p x 38 DPE x 2j</v>
          </cell>
          <cell r="I460" t="str">
            <v>DPE/</v>
          </cell>
          <cell r="K460" t="str">
            <v>FC/PSE</v>
          </cell>
          <cell r="L460" t="str">
            <v>AUT</v>
          </cell>
          <cell r="M460">
            <v>304</v>
          </cell>
          <cell r="N460" t="str">
            <v>pxj</v>
          </cell>
          <cell r="O460" t="str">
            <v>asp</v>
          </cell>
          <cell r="P460">
            <v>98.48</v>
          </cell>
          <cell r="Q460">
            <v>1</v>
          </cell>
          <cell r="R460">
            <v>29937.920000000002</v>
          </cell>
          <cell r="S460">
            <v>1</v>
          </cell>
          <cell r="Y460">
            <v>0</v>
          </cell>
          <cell r="Z460">
            <v>29937.920000000002</v>
          </cell>
          <cell r="AA460">
            <v>0</v>
          </cell>
          <cell r="AB460">
            <v>0</v>
          </cell>
          <cell r="AC460">
            <v>0</v>
          </cell>
          <cell r="AD460">
            <v>0</v>
          </cell>
          <cell r="AE460">
            <v>0</v>
          </cell>
          <cell r="AF460">
            <v>29937.920000000002</v>
          </cell>
        </row>
        <row r="461">
          <cell r="B461" t="str">
            <v>CN/PSE</v>
          </cell>
          <cell r="C461" t="str">
            <v>G</v>
          </cell>
          <cell r="D461" t="str">
            <v>52C</v>
          </cell>
          <cell r="E461" t="str">
            <v>DPE/</v>
          </cell>
          <cell r="F461" t="str">
            <v>FC/</v>
          </cell>
          <cell r="G461">
            <v>15</v>
          </cell>
          <cell r="H461" t="str">
            <v>At pref coord stratég/opérat y compr élab et suivi PAAB  : 15p x 38pref x2j x 1at/trim</v>
          </cell>
          <cell r="I461" t="str">
            <v>DPE/</v>
          </cell>
          <cell r="K461" t="str">
            <v>FC/PSE</v>
          </cell>
          <cell r="L461" t="str">
            <v>AUT</v>
          </cell>
          <cell r="M461">
            <v>4560</v>
          </cell>
          <cell r="N461" t="str">
            <v>pxj</v>
          </cell>
          <cell r="O461" t="str">
            <v>asp</v>
          </cell>
          <cell r="P461">
            <v>98.48</v>
          </cell>
          <cell r="Q461">
            <v>1</v>
          </cell>
          <cell r="R461">
            <v>449068.80000000005</v>
          </cell>
          <cell r="S461">
            <v>0.25</v>
          </cell>
          <cell r="T461">
            <v>0.25</v>
          </cell>
          <cell r="U461">
            <v>0.25</v>
          </cell>
          <cell r="V461">
            <v>0.25</v>
          </cell>
          <cell r="Y461">
            <v>0</v>
          </cell>
          <cell r="Z461">
            <v>112267.20000000001</v>
          </cell>
          <cell r="AA461">
            <v>112267.20000000001</v>
          </cell>
          <cell r="AB461">
            <v>112267.20000000001</v>
          </cell>
          <cell r="AC461">
            <v>112267.20000000001</v>
          </cell>
          <cell r="AD461">
            <v>0</v>
          </cell>
          <cell r="AE461">
            <v>0</v>
          </cell>
          <cell r="AF461">
            <v>449068.80000000005</v>
          </cell>
        </row>
        <row r="462">
          <cell r="B462" t="str">
            <v>CN/PSE</v>
          </cell>
          <cell r="C462" t="str">
            <v>G</v>
          </cell>
          <cell r="D462" t="str">
            <v>52C</v>
          </cell>
          <cell r="E462" t="str">
            <v>DPE/</v>
          </cell>
          <cell r="F462" t="str">
            <v>FC/</v>
          </cell>
          <cell r="G462">
            <v>23</v>
          </cell>
          <cell r="H462" t="str">
            <v>Vehicule PU Double cab</v>
          </cell>
          <cell r="I462" t="str">
            <v>CN/PSE</v>
          </cell>
          <cell r="K462" t="str">
            <v>FC/PSE</v>
          </cell>
          <cell r="L462" t="str">
            <v>AOI</v>
          </cell>
          <cell r="M462">
            <v>38</v>
          </cell>
          <cell r="N462" t="str">
            <v>u</v>
          </cell>
          <cell r="O462" t="str">
            <v>vdc</v>
          </cell>
          <cell r="P462">
            <v>172340</v>
          </cell>
          <cell r="Q462">
            <v>1</v>
          </cell>
          <cell r="R462">
            <v>6548920</v>
          </cell>
          <cell r="T462">
            <v>1</v>
          </cell>
          <cell r="Y462">
            <v>0</v>
          </cell>
          <cell r="Z462">
            <v>0</v>
          </cell>
          <cell r="AA462">
            <v>6548920</v>
          </cell>
          <cell r="AB462">
            <v>0</v>
          </cell>
          <cell r="AC462">
            <v>0</v>
          </cell>
          <cell r="AD462">
            <v>0</v>
          </cell>
          <cell r="AE462">
            <v>0</v>
          </cell>
          <cell r="AF462">
            <v>6548920</v>
          </cell>
        </row>
        <row r="463">
          <cell r="B463" t="str">
            <v>CN/PSE</v>
          </cell>
          <cell r="C463" t="str">
            <v>G</v>
          </cell>
          <cell r="D463" t="str">
            <v>52C</v>
          </cell>
          <cell r="E463" t="str">
            <v>DPE/</v>
          </cell>
          <cell r="F463" t="str">
            <v>FC/</v>
          </cell>
          <cell r="G463">
            <v>15</v>
          </cell>
          <cell r="H463" t="str">
            <v>Elaboration stratégie accroissement demande scol  zone difficile : 30p x 2j</v>
          </cell>
          <cell r="I463" t="str">
            <v>DPE/</v>
          </cell>
          <cell r="K463" t="str">
            <v>FC/PSE</v>
          </cell>
          <cell r="L463" t="str">
            <v>AUT</v>
          </cell>
          <cell r="M463">
            <v>60</v>
          </cell>
          <cell r="N463" t="str">
            <v>pxj</v>
          </cell>
          <cell r="O463" t="str">
            <v>asn</v>
          </cell>
          <cell r="P463">
            <v>147.72</v>
          </cell>
          <cell r="Q463">
            <v>1</v>
          </cell>
          <cell r="R463">
            <v>8863.2000000000007</v>
          </cell>
          <cell r="T463">
            <v>1</v>
          </cell>
          <cell r="Y463">
            <v>0</v>
          </cell>
          <cell r="Z463">
            <v>0</v>
          </cell>
          <cell r="AA463">
            <v>8863.2000000000007</v>
          </cell>
          <cell r="AB463">
            <v>0</v>
          </cell>
          <cell r="AC463">
            <v>0</v>
          </cell>
          <cell r="AD463">
            <v>0</v>
          </cell>
          <cell r="AE463">
            <v>0</v>
          </cell>
          <cell r="AF463">
            <v>8863.2000000000007</v>
          </cell>
        </row>
        <row r="464">
          <cell r="B464" t="str">
            <v>CN/PSE</v>
          </cell>
          <cell r="C464" t="str">
            <v>G</v>
          </cell>
          <cell r="D464" t="str">
            <v>52C</v>
          </cell>
          <cell r="E464" t="str">
            <v>DPE/</v>
          </cell>
          <cell r="F464" t="str">
            <v>FC/</v>
          </cell>
          <cell r="G464">
            <v>12</v>
          </cell>
          <cell r="H464" t="str">
            <v>Campagnes sensibilisation demande scol : 25 sous-pref à faible taux scolarisation</v>
          </cell>
          <cell r="I464" t="str">
            <v>DPE/</v>
          </cell>
          <cell r="K464" t="str">
            <v>FC/PSE</v>
          </cell>
          <cell r="L464" t="str">
            <v>AUT</v>
          </cell>
          <cell r="M464">
            <v>25</v>
          </cell>
          <cell r="N464" t="str">
            <v>forfait</v>
          </cell>
          <cell r="P464">
            <v>9848</v>
          </cell>
          <cell r="Q464">
            <v>1</v>
          </cell>
          <cell r="R464">
            <v>246200</v>
          </cell>
          <cell r="U464">
            <v>1</v>
          </cell>
          <cell r="Y464">
            <v>0</v>
          </cell>
          <cell r="Z464">
            <v>0</v>
          </cell>
          <cell r="AA464">
            <v>0</v>
          </cell>
          <cell r="AB464">
            <v>246200</v>
          </cell>
          <cell r="AC464">
            <v>0</v>
          </cell>
          <cell r="AD464">
            <v>0</v>
          </cell>
          <cell r="AE464">
            <v>0</v>
          </cell>
          <cell r="AF464">
            <v>246200</v>
          </cell>
        </row>
      </sheetData>
      <sheetData sheetId="2">
        <row r="5">
          <cell r="B5" t="str">
            <v>B</v>
          </cell>
          <cell r="C5" t="str">
            <v>C</v>
          </cell>
          <cell r="D5" t="str">
            <v>D</v>
          </cell>
          <cell r="E5" t="str">
            <v>E</v>
          </cell>
          <cell r="F5" t="str">
            <v>F</v>
          </cell>
          <cell r="G5" t="str">
            <v>G</v>
          </cell>
          <cell r="H5" t="str">
            <v>H</v>
          </cell>
          <cell r="I5" t="str">
            <v>I</v>
          </cell>
          <cell r="J5" t="str">
            <v>J</v>
          </cell>
          <cell r="K5" t="str">
            <v>K</v>
          </cell>
          <cell r="L5" t="str">
            <v>L</v>
          </cell>
          <cell r="M5" t="str">
            <v>M</v>
          </cell>
          <cell r="N5" t="str">
            <v>N</v>
          </cell>
          <cell r="O5" t="str">
            <v>O</v>
          </cell>
          <cell r="P5" t="str">
            <v>P</v>
          </cell>
          <cell r="Q5" t="str">
            <v>Q</v>
          </cell>
          <cell r="R5" t="str">
            <v>R</v>
          </cell>
          <cell r="S5" t="str">
            <v>S</v>
          </cell>
          <cell r="T5" t="str">
            <v>T</v>
          </cell>
          <cell r="U5" t="str">
            <v>U</v>
          </cell>
          <cell r="V5" t="str">
            <v>V</v>
          </cell>
          <cell r="W5" t="str">
            <v>W</v>
          </cell>
          <cell r="X5" t="str">
            <v>X</v>
          </cell>
          <cell r="Y5" t="str">
            <v>Y</v>
          </cell>
          <cell r="Z5" t="str">
            <v>Z</v>
          </cell>
          <cell r="AA5" t="str">
            <v>AA</v>
          </cell>
          <cell r="AB5" t="str">
            <v>AB</v>
          </cell>
          <cell r="AC5" t="str">
            <v>AC</v>
          </cell>
          <cell r="AD5" t="str">
            <v>AD</v>
          </cell>
          <cell r="AE5" t="str">
            <v>AE</v>
          </cell>
          <cell r="AF5" t="str">
            <v>AF</v>
          </cell>
          <cell r="AG5" t="str">
            <v>AG</v>
          </cell>
          <cell r="AH5" t="str">
            <v>AH</v>
          </cell>
        </row>
        <row r="7">
          <cell r="B7" t="str">
            <v>originede laprogrammation</v>
          </cell>
          <cell r="C7" t="str">
            <v>comp</v>
          </cell>
          <cell r="D7" t="str">
            <v>volet</v>
          </cell>
          <cell r="E7" t="str">
            <v>centrede coût</v>
          </cell>
          <cell r="F7" t="str">
            <v>centrede gestion</v>
          </cell>
          <cell r="G7" t="str">
            <v>nature dela dépense</v>
          </cell>
          <cell r="H7" t="str">
            <v>activité / nature</v>
          </cell>
          <cell r="I7" t="str">
            <v>responsabled'exécution</v>
          </cell>
          <cell r="J7" t="str">
            <v>agenced'exécution</v>
          </cell>
          <cell r="K7" t="str">
            <v>projet oubudget</v>
          </cell>
          <cell r="L7" t="str">
            <v>procédured'acquisition</v>
          </cell>
          <cell r="M7" t="str">
            <v>quantité2008</v>
          </cell>
          <cell r="N7" t="str">
            <v>quantité2009</v>
          </cell>
          <cell r="O7" t="str">
            <v>quantité2010</v>
          </cell>
          <cell r="P7" t="str">
            <v>quantitétotale</v>
          </cell>
          <cell r="Q7" t="str">
            <v>unité</v>
          </cell>
          <cell r="R7" t="str">
            <v>réf ducoûtstandard</v>
          </cell>
          <cell r="S7" t="str">
            <v>coûtunitaireen kgnf</v>
          </cell>
          <cell r="T7" t="str">
            <v>%bailleur</v>
          </cell>
          <cell r="U7" t="str">
            <v>coût2008</v>
          </cell>
          <cell r="V7" t="str">
            <v>coût2009</v>
          </cell>
          <cell r="W7" t="str">
            <v>coût2010</v>
          </cell>
          <cell r="X7" t="str">
            <v>coûttotalen kgnf</v>
          </cell>
          <cell r="Y7" t="str">
            <v>montantbailleur2008</v>
          </cell>
          <cell r="Z7" t="str">
            <v>montantbailleur2009</v>
          </cell>
          <cell r="AA7" t="str">
            <v>montantbailleur2010</v>
          </cell>
          <cell r="AB7" t="str">
            <v>montantbailleurtotal</v>
          </cell>
          <cell r="AC7" t="str">
            <v>montantCPN2008</v>
          </cell>
          <cell r="AD7" t="str">
            <v>montantCPN2009</v>
          </cell>
          <cell r="AE7" t="str">
            <v>montantCPN2010</v>
          </cell>
          <cell r="AF7" t="str">
            <v>montantCPNtotal</v>
          </cell>
          <cell r="AG7" t="str">
            <v>%communauté</v>
          </cell>
          <cell r="AH7" t="str">
            <v>montantcommunauté</v>
          </cell>
        </row>
        <row r="9">
          <cell r="H9" t="str">
            <v>TOTAL  EN MILLIERS D'USD</v>
          </cell>
          <cell r="U9">
            <v>75314.764283974961</v>
          </cell>
          <cell r="V9">
            <v>58674.286149976171</v>
          </cell>
          <cell r="W9">
            <v>21958.649566048873</v>
          </cell>
          <cell r="X9">
            <v>155947.70000000001</v>
          </cell>
        </row>
        <row r="10">
          <cell r="U10">
            <v>0.48294886224019307</v>
          </cell>
          <cell r="V10">
            <v>0.37624335690732319</v>
          </cell>
          <cell r="W10">
            <v>0.14080778085248369</v>
          </cell>
          <cell r="X10">
            <v>1</v>
          </cell>
        </row>
        <row r="11">
          <cell r="H11" t="str">
            <v>TOTAL EN MILLIER DE GNF</v>
          </cell>
          <cell r="U11">
            <v>370849899.33429271</v>
          </cell>
          <cell r="V11">
            <v>288912185.00248265</v>
          </cell>
          <cell r="W11">
            <v>108124390.46322465</v>
          </cell>
          <cell r="X11">
            <v>767886474.80000007</v>
          </cell>
          <cell r="Y11">
            <v>370849899.33429271</v>
          </cell>
          <cell r="Z11">
            <v>288912185.00248265</v>
          </cell>
          <cell r="AA11">
            <v>108124390.46322465</v>
          </cell>
          <cell r="AB11">
            <v>767886474.80000007</v>
          </cell>
          <cell r="AC11">
            <v>0</v>
          </cell>
          <cell r="AD11">
            <v>0</v>
          </cell>
          <cell r="AE11">
            <v>0</v>
          </cell>
          <cell r="AF11">
            <v>0</v>
          </cell>
          <cell r="AH11">
            <v>0</v>
          </cell>
        </row>
        <row r="12">
          <cell r="X12">
            <v>2.9983573427950223E-2</v>
          </cell>
        </row>
        <row r="13">
          <cell r="D13" t="str">
            <v>NA</v>
          </cell>
          <cell r="G13" t="str">
            <v>NA</v>
          </cell>
          <cell r="H13" t="str">
            <v>NON ALLOUES</v>
          </cell>
          <cell r="U13">
            <v>4604796.1002991302</v>
          </cell>
          <cell r="V13">
            <v>6907194.1504486958</v>
          </cell>
          <cell r="W13">
            <v>11511990.250747826</v>
          </cell>
          <cell r="X13">
            <v>23023980.501495652</v>
          </cell>
          <cell r="Y13">
            <v>4604796.1002991302</v>
          </cell>
          <cell r="Z13">
            <v>6907194.1504486958</v>
          </cell>
          <cell r="AA13">
            <v>11511990.250747826</v>
          </cell>
          <cell r="AB13">
            <v>23023980.501495652</v>
          </cell>
        </row>
        <row r="15">
          <cell r="H15" t="str">
            <v>P1 EDUCATION DE BASE</v>
          </cell>
          <cell r="U15">
            <v>325700076.58519363</v>
          </cell>
          <cell r="V15">
            <v>196613731.78123394</v>
          </cell>
          <cell r="W15">
            <v>60075377.618476845</v>
          </cell>
          <cell r="X15">
            <v>582389185.98490441</v>
          </cell>
          <cell r="Y15">
            <v>325700076.58519363</v>
          </cell>
          <cell r="Z15">
            <v>196613731.78123394</v>
          </cell>
          <cell r="AA15">
            <v>60075377.618476845</v>
          </cell>
          <cell r="AB15">
            <v>582389185.98490441</v>
          </cell>
          <cell r="AC15">
            <v>0</v>
          </cell>
          <cell r="AD15">
            <v>0</v>
          </cell>
          <cell r="AE15">
            <v>0</v>
          </cell>
          <cell r="AF15">
            <v>0</v>
          </cell>
          <cell r="AH15">
            <v>0</v>
          </cell>
        </row>
        <row r="17">
          <cell r="H17" t="str">
            <v>PRESCOLAIRE</v>
          </cell>
          <cell r="U17">
            <v>8712144.4482000005</v>
          </cell>
          <cell r="V17">
            <v>4854453.3556000004</v>
          </cell>
          <cell r="W17">
            <v>570129.86300000001</v>
          </cell>
          <cell r="X17">
            <v>14136727.6668</v>
          </cell>
          <cell r="Y17">
            <v>8712144.4482000005</v>
          </cell>
          <cell r="Z17">
            <v>4854453.3556000004</v>
          </cell>
          <cell r="AA17">
            <v>570129.86300000001</v>
          </cell>
          <cell r="AB17">
            <v>14136727.6668</v>
          </cell>
          <cell r="AC17">
            <v>0</v>
          </cell>
          <cell r="AD17">
            <v>0</v>
          </cell>
          <cell r="AE17">
            <v>0</v>
          </cell>
          <cell r="AF17">
            <v>0</v>
          </cell>
          <cell r="AH17">
            <v>0</v>
          </cell>
        </row>
        <row r="18">
          <cell r="H18" t="str">
            <v>Préscolaire Infrastructures</v>
          </cell>
          <cell r="U18">
            <v>8482082.4000000004</v>
          </cell>
          <cell r="V18">
            <v>3187797.6000000006</v>
          </cell>
          <cell r="W18">
            <v>0</v>
          </cell>
          <cell r="X18">
            <v>11669880</v>
          </cell>
          <cell r="Y18">
            <v>8482082.4000000004</v>
          </cell>
          <cell r="Z18">
            <v>3187797.6000000006</v>
          </cell>
          <cell r="AA18">
            <v>0</v>
          </cell>
          <cell r="AB18">
            <v>11669880</v>
          </cell>
          <cell r="AC18">
            <v>0</v>
          </cell>
          <cell r="AD18">
            <v>0</v>
          </cell>
          <cell r="AE18">
            <v>0</v>
          </cell>
          <cell r="AF18">
            <v>0</v>
          </cell>
          <cell r="AH18">
            <v>0</v>
          </cell>
        </row>
        <row r="19">
          <cell r="B19" t="str">
            <v>DPE/MASPFE</v>
          </cell>
          <cell r="C19" t="str">
            <v>A</v>
          </cell>
          <cell r="D19" t="str">
            <v>11A</v>
          </cell>
          <cell r="E19" t="str">
            <v>DPE</v>
          </cell>
          <cell r="F19" t="str">
            <v>FC/CN</v>
          </cell>
          <cell r="G19">
            <v>21</v>
          </cell>
          <cell r="H19" t="str">
            <v>BET pour les constructions préscolaire public</v>
          </cell>
          <cell r="I19" t="str">
            <v>SNIES</v>
          </cell>
          <cell r="K19" t="str">
            <v>FC/PSE</v>
          </cell>
          <cell r="L19" t="str">
            <v>CR</v>
          </cell>
          <cell r="P19">
            <v>0</v>
          </cell>
          <cell r="Q19" t="str">
            <v>forfait</v>
          </cell>
          <cell r="R19" t="str">
            <v>coût total</v>
          </cell>
          <cell r="S19">
            <v>7.0000000000000007E-2</v>
          </cell>
          <cell r="T19">
            <v>1</v>
          </cell>
          <cell r="U19">
            <v>0</v>
          </cell>
          <cell r="V19">
            <v>134425.20000000004</v>
          </cell>
          <cell r="W19">
            <v>0</v>
          </cell>
          <cell r="X19">
            <v>134425.20000000004</v>
          </cell>
          <cell r="Y19">
            <v>0</v>
          </cell>
          <cell r="Z19">
            <v>134425.20000000004</v>
          </cell>
          <cell r="AA19">
            <v>0</v>
          </cell>
          <cell r="AB19">
            <v>134425.20000000004</v>
          </cell>
          <cell r="AC19">
            <v>0</v>
          </cell>
          <cell r="AD19">
            <v>0</v>
          </cell>
          <cell r="AE19">
            <v>0</v>
          </cell>
          <cell r="AF19">
            <v>0</v>
          </cell>
          <cell r="AG19">
            <v>0</v>
          </cell>
          <cell r="AH19">
            <v>0</v>
          </cell>
        </row>
        <row r="20">
          <cell r="B20" t="str">
            <v>DPE/MASPFE</v>
          </cell>
          <cell r="C20" t="str">
            <v>A</v>
          </cell>
          <cell r="D20" t="str">
            <v>11A</v>
          </cell>
          <cell r="E20" t="str">
            <v>DPE</v>
          </cell>
          <cell r="F20" t="str">
            <v>FC/CN</v>
          </cell>
          <cell r="G20">
            <v>22</v>
          </cell>
          <cell r="H20" t="str">
            <v>Travaux de construction classes préscolaire public</v>
          </cell>
          <cell r="I20" t="str">
            <v>SNIES</v>
          </cell>
          <cell r="K20" t="str">
            <v>FC/PSE</v>
          </cell>
          <cell r="L20" t="str">
            <v>AON</v>
          </cell>
          <cell r="N20">
            <v>20</v>
          </cell>
          <cell r="P20">
            <v>20</v>
          </cell>
          <cell r="Q20" t="str">
            <v>cl</v>
          </cell>
          <cell r="R20" t="str">
            <v>ccmp</v>
          </cell>
          <cell r="S20">
            <v>76814.400000000009</v>
          </cell>
          <cell r="T20">
            <v>1</v>
          </cell>
          <cell r="U20">
            <v>0</v>
          </cell>
          <cell r="V20">
            <v>1536288.0000000002</v>
          </cell>
          <cell r="W20">
            <v>0</v>
          </cell>
          <cell r="X20">
            <v>1536288.0000000002</v>
          </cell>
          <cell r="Y20">
            <v>0</v>
          </cell>
          <cell r="Z20">
            <v>1536288.0000000002</v>
          </cell>
          <cell r="AA20">
            <v>0</v>
          </cell>
          <cell r="AB20">
            <v>1536288.0000000002</v>
          </cell>
          <cell r="AC20">
            <v>0</v>
          </cell>
          <cell r="AD20">
            <v>0</v>
          </cell>
          <cell r="AE20">
            <v>0</v>
          </cell>
          <cell r="AF20">
            <v>0</v>
          </cell>
          <cell r="AG20">
            <v>0</v>
          </cell>
          <cell r="AH20">
            <v>0</v>
          </cell>
        </row>
        <row r="21">
          <cell r="B21" t="str">
            <v>DPE/MASPFE</v>
          </cell>
          <cell r="C21" t="str">
            <v>A</v>
          </cell>
          <cell r="D21" t="str">
            <v>11A</v>
          </cell>
          <cell r="E21" t="str">
            <v>DPE</v>
          </cell>
          <cell r="F21" t="str">
            <v>FC/CN</v>
          </cell>
          <cell r="G21">
            <v>23</v>
          </cell>
          <cell r="H21" t="str">
            <v>Mobilier classes préscolaires public</v>
          </cell>
          <cell r="I21" t="str">
            <v>DPE/MASPFE</v>
          </cell>
          <cell r="K21" t="str">
            <v>FC/PSE</v>
          </cell>
          <cell r="L21" t="str">
            <v>AON</v>
          </cell>
          <cell r="N21">
            <v>20</v>
          </cell>
          <cell r="P21">
            <v>20</v>
          </cell>
          <cell r="Q21" t="str">
            <v>lot</v>
          </cell>
          <cell r="R21" t="str">
            <v>mcmp</v>
          </cell>
          <cell r="S21">
            <v>12482.34</v>
          </cell>
          <cell r="T21">
            <v>1</v>
          </cell>
          <cell r="U21">
            <v>0</v>
          </cell>
          <cell r="V21">
            <v>249646.8</v>
          </cell>
          <cell r="W21">
            <v>0</v>
          </cell>
          <cell r="X21">
            <v>249646.8</v>
          </cell>
          <cell r="Y21">
            <v>0</v>
          </cell>
          <cell r="Z21">
            <v>249646.8</v>
          </cell>
          <cell r="AA21">
            <v>0</v>
          </cell>
          <cell r="AB21">
            <v>249646.8</v>
          </cell>
          <cell r="AC21">
            <v>0</v>
          </cell>
          <cell r="AD21">
            <v>0</v>
          </cell>
          <cell r="AE21">
            <v>0</v>
          </cell>
          <cell r="AF21">
            <v>0</v>
          </cell>
          <cell r="AG21">
            <v>0</v>
          </cell>
          <cell r="AH21">
            <v>0</v>
          </cell>
        </row>
        <row r="22">
          <cell r="B22" t="str">
            <v>DPE/MASPFE</v>
          </cell>
          <cell r="C22" t="str">
            <v>A</v>
          </cell>
          <cell r="D22" t="str">
            <v>11A</v>
          </cell>
          <cell r="E22" t="str">
            <v>DPE</v>
          </cell>
          <cell r="F22" t="str">
            <v>FC/CN</v>
          </cell>
          <cell r="G22">
            <v>21</v>
          </cell>
          <cell r="H22" t="str">
            <v>BET pour les constructions de classes préscolaire communautaire (CEC)</v>
          </cell>
          <cell r="I22" t="str">
            <v>SNIES</v>
          </cell>
          <cell r="K22" t="str">
            <v>FC/PSE</v>
          </cell>
          <cell r="L22" t="str">
            <v>CR</v>
          </cell>
          <cell r="P22">
            <v>0</v>
          </cell>
          <cell r="Q22" t="str">
            <v>forfait</v>
          </cell>
          <cell r="R22" t="str">
            <v>coût total</v>
          </cell>
          <cell r="S22">
            <v>7.0000000000000007E-2</v>
          </cell>
          <cell r="T22">
            <v>1</v>
          </cell>
          <cell r="U22">
            <v>682466.4</v>
          </cell>
          <cell r="V22">
            <v>0</v>
          </cell>
          <cell r="W22">
            <v>0</v>
          </cell>
          <cell r="X22">
            <v>682466.4</v>
          </cell>
          <cell r="Y22">
            <v>682466.4</v>
          </cell>
          <cell r="Z22">
            <v>0</v>
          </cell>
          <cell r="AA22">
            <v>0</v>
          </cell>
          <cell r="AB22">
            <v>682466.4</v>
          </cell>
          <cell r="AC22">
            <v>0</v>
          </cell>
          <cell r="AD22">
            <v>0</v>
          </cell>
          <cell r="AE22">
            <v>0</v>
          </cell>
          <cell r="AF22">
            <v>0</v>
          </cell>
          <cell r="AG22">
            <v>0</v>
          </cell>
          <cell r="AH22">
            <v>0</v>
          </cell>
        </row>
        <row r="23">
          <cell r="B23" t="str">
            <v>DPE/MASPFE</v>
          </cell>
          <cell r="C23" t="str">
            <v>A</v>
          </cell>
          <cell r="D23" t="str">
            <v>11A</v>
          </cell>
          <cell r="E23" t="str">
            <v>DPE</v>
          </cell>
          <cell r="F23" t="str">
            <v>FC/CN</v>
          </cell>
          <cell r="G23">
            <v>22</v>
          </cell>
          <cell r="H23" t="str">
            <v>Travaux de construction classes préscolaire communautaire (CEC)</v>
          </cell>
          <cell r="I23" t="str">
            <v>SNIES</v>
          </cell>
          <cell r="K23" t="str">
            <v>FC/PSE</v>
          </cell>
          <cell r="L23" t="str">
            <v>AON</v>
          </cell>
          <cell r="M23">
            <v>120</v>
          </cell>
          <cell r="P23">
            <v>120</v>
          </cell>
          <cell r="Q23" t="str">
            <v>cl</v>
          </cell>
          <cell r="R23" t="str">
            <v>ccmc</v>
          </cell>
          <cell r="S23">
            <v>64996.800000000003</v>
          </cell>
          <cell r="T23">
            <v>1</v>
          </cell>
          <cell r="U23">
            <v>7799616</v>
          </cell>
          <cell r="V23">
            <v>0</v>
          </cell>
          <cell r="W23">
            <v>0</v>
          </cell>
          <cell r="X23">
            <v>7799616</v>
          </cell>
          <cell r="Y23">
            <v>7799616</v>
          </cell>
          <cell r="Z23">
            <v>0</v>
          </cell>
          <cell r="AA23">
            <v>0</v>
          </cell>
          <cell r="AB23">
            <v>7799616</v>
          </cell>
          <cell r="AC23">
            <v>0</v>
          </cell>
          <cell r="AD23">
            <v>0</v>
          </cell>
          <cell r="AE23">
            <v>0</v>
          </cell>
          <cell r="AF23">
            <v>0</v>
          </cell>
          <cell r="AG23">
            <v>0</v>
          </cell>
          <cell r="AH23">
            <v>0</v>
          </cell>
        </row>
        <row r="24">
          <cell r="B24" t="str">
            <v>DPE/MASPFE</v>
          </cell>
          <cell r="C24" t="str">
            <v>A</v>
          </cell>
          <cell r="D24" t="str">
            <v>11A</v>
          </cell>
          <cell r="E24" t="str">
            <v>DPE</v>
          </cell>
          <cell r="F24" t="str">
            <v>FC/CN</v>
          </cell>
          <cell r="G24">
            <v>23</v>
          </cell>
          <cell r="H24" t="str">
            <v>Mobilier classes préscolaires communautaire (CEC)</v>
          </cell>
          <cell r="I24" t="str">
            <v>DPE/MASPFE</v>
          </cell>
          <cell r="K24" t="str">
            <v>FC/PSE</v>
          </cell>
          <cell r="L24" t="str">
            <v>AON</v>
          </cell>
          <cell r="N24">
            <v>120</v>
          </cell>
          <cell r="P24">
            <v>120</v>
          </cell>
          <cell r="Q24" t="str">
            <v>lot</v>
          </cell>
          <cell r="R24" t="str">
            <v>mcmc</v>
          </cell>
          <cell r="S24">
            <v>10561.980000000001</v>
          </cell>
          <cell r="T24">
            <v>1</v>
          </cell>
          <cell r="U24">
            <v>0</v>
          </cell>
          <cell r="V24">
            <v>1267437.6000000001</v>
          </cell>
          <cell r="W24">
            <v>0</v>
          </cell>
          <cell r="X24">
            <v>1267437.6000000001</v>
          </cell>
          <cell r="Y24">
            <v>0</v>
          </cell>
          <cell r="Z24">
            <v>1267437.6000000001</v>
          </cell>
          <cell r="AA24">
            <v>0</v>
          </cell>
          <cell r="AB24">
            <v>1267437.6000000001</v>
          </cell>
          <cell r="AC24">
            <v>0</v>
          </cell>
          <cell r="AD24">
            <v>0</v>
          </cell>
          <cell r="AE24">
            <v>0</v>
          </cell>
          <cell r="AF24">
            <v>0</v>
          </cell>
          <cell r="AG24">
            <v>0</v>
          </cell>
          <cell r="AH24">
            <v>0</v>
          </cell>
        </row>
        <row r="25">
          <cell r="H25" t="str">
            <v>Matériels didactiques et ludiques</v>
          </cell>
          <cell r="U25">
            <v>218062.04820000005</v>
          </cell>
          <cell r="V25">
            <v>263935.75560000003</v>
          </cell>
          <cell r="W25">
            <v>309809.46300000005</v>
          </cell>
          <cell r="X25">
            <v>791807.2668000001</v>
          </cell>
          <cell r="Y25">
            <v>218062.04820000005</v>
          </cell>
          <cell r="Z25">
            <v>263935.75560000003</v>
          </cell>
          <cell r="AA25">
            <v>309809.46300000005</v>
          </cell>
          <cell r="AB25">
            <v>791807.2668000001</v>
          </cell>
          <cell r="AC25">
            <v>0</v>
          </cell>
          <cell r="AD25">
            <v>0</v>
          </cell>
          <cell r="AE25">
            <v>0</v>
          </cell>
          <cell r="AF25">
            <v>0</v>
          </cell>
          <cell r="AH25">
            <v>0</v>
          </cell>
        </row>
        <row r="26">
          <cell r="B26" t="str">
            <v>DPE/MASPFE</v>
          </cell>
          <cell r="C26" t="str">
            <v>Q</v>
          </cell>
          <cell r="D26" t="str">
            <v>11B</v>
          </cell>
          <cell r="E26" t="str">
            <v>DPE</v>
          </cell>
          <cell r="F26" t="str">
            <v>FC/CN</v>
          </cell>
          <cell r="G26">
            <v>24</v>
          </cell>
          <cell r="H26" t="str">
            <v>Matériels didactiques et ludiques pour élèves préscolaire public et CEC</v>
          </cell>
          <cell r="I26" t="str">
            <v>DPE/MASPFE</v>
          </cell>
          <cell r="K26" t="str">
            <v>FC/PSE</v>
          </cell>
          <cell r="L26" t="str">
            <v>AOI</v>
          </cell>
          <cell r="M26">
            <v>29523.7</v>
          </cell>
          <cell r="N26">
            <v>35734.6</v>
          </cell>
          <cell r="O26">
            <v>41945.5</v>
          </cell>
          <cell r="P26">
            <v>107203.8</v>
          </cell>
          <cell r="Q26" t="str">
            <v>lot</v>
          </cell>
          <cell r="S26">
            <v>7.386000000000001</v>
          </cell>
          <cell r="T26">
            <v>1</v>
          </cell>
          <cell r="U26">
            <v>218062.04820000005</v>
          </cell>
          <cell r="V26">
            <v>263935.75560000003</v>
          </cell>
          <cell r="W26">
            <v>309809.46300000005</v>
          </cell>
          <cell r="X26">
            <v>791807.2668000001</v>
          </cell>
          <cell r="Y26">
            <v>218062.04820000005</v>
          </cell>
          <cell r="Z26">
            <v>263935.75560000003</v>
          </cell>
          <cell r="AA26">
            <v>309809.46300000005</v>
          </cell>
          <cell r="AB26">
            <v>791807.2668000001</v>
          </cell>
          <cell r="AC26">
            <v>0</v>
          </cell>
          <cell r="AD26">
            <v>0</v>
          </cell>
          <cell r="AE26">
            <v>0</v>
          </cell>
          <cell r="AF26">
            <v>0</v>
          </cell>
          <cell r="AG26">
            <v>0</v>
          </cell>
          <cell r="AH26">
            <v>0</v>
          </cell>
        </row>
        <row r="27">
          <cell r="H27" t="str">
            <v>Formation des encadreurs</v>
          </cell>
          <cell r="U27">
            <v>0</v>
          </cell>
          <cell r="V27">
            <v>1378720</v>
          </cell>
          <cell r="W27">
            <v>0</v>
          </cell>
          <cell r="X27">
            <v>1378720</v>
          </cell>
          <cell r="Y27">
            <v>0</v>
          </cell>
          <cell r="Z27">
            <v>1378720</v>
          </cell>
          <cell r="AA27">
            <v>0</v>
          </cell>
          <cell r="AB27">
            <v>1378720</v>
          </cell>
          <cell r="AC27">
            <v>0</v>
          </cell>
          <cell r="AD27">
            <v>0</v>
          </cell>
          <cell r="AE27">
            <v>0</v>
          </cell>
          <cell r="AF27">
            <v>0</v>
          </cell>
          <cell r="AH27">
            <v>0</v>
          </cell>
        </row>
        <row r="28">
          <cell r="B28" t="str">
            <v>DPE/MASPFE</v>
          </cell>
          <cell r="C28" t="str">
            <v>Q</v>
          </cell>
          <cell r="D28" t="str">
            <v>11C</v>
          </cell>
          <cell r="E28" t="str">
            <v>DPE</v>
          </cell>
          <cell r="F28" t="str">
            <v>FC/CN</v>
          </cell>
          <cell r="G28">
            <v>12</v>
          </cell>
          <cell r="H28" t="str">
            <v>Formation d'encadreurs des classes préscolaire public</v>
          </cell>
          <cell r="I28" t="str">
            <v>DPE/MASPFE</v>
          </cell>
          <cell r="K28" t="str">
            <v>FC/PSE</v>
          </cell>
          <cell r="L28" t="str">
            <v>AUT</v>
          </cell>
          <cell r="N28">
            <v>20</v>
          </cell>
          <cell r="P28">
            <v>20</v>
          </cell>
          <cell r="Q28" t="str">
            <v>p</v>
          </cell>
          <cell r="S28">
            <v>9848</v>
          </cell>
          <cell r="T28">
            <v>1</v>
          </cell>
          <cell r="U28">
            <v>0</v>
          </cell>
          <cell r="V28">
            <v>196960</v>
          </cell>
          <cell r="W28">
            <v>0</v>
          </cell>
          <cell r="X28">
            <v>196960</v>
          </cell>
          <cell r="Y28">
            <v>0</v>
          </cell>
          <cell r="Z28">
            <v>196960</v>
          </cell>
          <cell r="AA28">
            <v>0</v>
          </cell>
          <cell r="AB28">
            <v>196960</v>
          </cell>
          <cell r="AC28">
            <v>0</v>
          </cell>
          <cell r="AD28">
            <v>0</v>
          </cell>
          <cell r="AE28">
            <v>0</v>
          </cell>
          <cell r="AF28">
            <v>0</v>
          </cell>
          <cell r="AG28">
            <v>0</v>
          </cell>
          <cell r="AH28">
            <v>0</v>
          </cell>
        </row>
        <row r="29">
          <cell r="B29" t="str">
            <v>DPE/MASPFE</v>
          </cell>
          <cell r="C29" t="str">
            <v>Q</v>
          </cell>
          <cell r="D29" t="str">
            <v>11C</v>
          </cell>
          <cell r="E29" t="str">
            <v>DPE</v>
          </cell>
          <cell r="F29" t="str">
            <v>FC/CN</v>
          </cell>
          <cell r="G29">
            <v>12</v>
          </cell>
          <cell r="H29" t="str">
            <v>Formation d'encadreurs des classes préscolaire communautaire</v>
          </cell>
          <cell r="I29" t="str">
            <v>DPE/MASPFE</v>
          </cell>
          <cell r="K29" t="str">
            <v>FC/PSE</v>
          </cell>
          <cell r="L29" t="str">
            <v>AUT</v>
          </cell>
          <cell r="N29">
            <v>120</v>
          </cell>
          <cell r="P29">
            <v>120</v>
          </cell>
          <cell r="Q29" t="str">
            <v>p</v>
          </cell>
          <cell r="S29">
            <v>9848</v>
          </cell>
          <cell r="T29">
            <v>1</v>
          </cell>
          <cell r="U29">
            <v>0</v>
          </cell>
          <cell r="V29">
            <v>1181760</v>
          </cell>
          <cell r="W29">
            <v>0</v>
          </cell>
          <cell r="X29">
            <v>1181760</v>
          </cell>
          <cell r="Y29">
            <v>0</v>
          </cell>
          <cell r="Z29">
            <v>1181760</v>
          </cell>
          <cell r="AA29">
            <v>0</v>
          </cell>
          <cell r="AB29">
            <v>1181760</v>
          </cell>
          <cell r="AC29">
            <v>0</v>
          </cell>
          <cell r="AD29">
            <v>0</v>
          </cell>
          <cell r="AE29">
            <v>0</v>
          </cell>
          <cell r="AF29">
            <v>0</v>
          </cell>
          <cell r="AG29">
            <v>0</v>
          </cell>
          <cell r="AH29">
            <v>0</v>
          </cell>
        </row>
        <row r="30">
          <cell r="H30" t="str">
            <v>Supervision suivi et évaluation</v>
          </cell>
          <cell r="U30">
            <v>12000</v>
          </cell>
          <cell r="V30">
            <v>24000</v>
          </cell>
          <cell r="W30">
            <v>24000</v>
          </cell>
          <cell r="X30">
            <v>60000</v>
          </cell>
          <cell r="Y30">
            <v>12000</v>
          </cell>
          <cell r="Z30">
            <v>24000</v>
          </cell>
          <cell r="AA30">
            <v>24000</v>
          </cell>
          <cell r="AB30">
            <v>60000</v>
          </cell>
          <cell r="AC30">
            <v>0</v>
          </cell>
          <cell r="AD30">
            <v>0</v>
          </cell>
          <cell r="AE30">
            <v>0</v>
          </cell>
          <cell r="AF30">
            <v>0</v>
          </cell>
          <cell r="AH30">
            <v>0</v>
          </cell>
        </row>
        <row r="31">
          <cell r="B31" t="str">
            <v>DPE/MASPFE</v>
          </cell>
          <cell r="C31" t="str">
            <v>Q</v>
          </cell>
          <cell r="D31" t="str">
            <v>11D</v>
          </cell>
          <cell r="E31" t="str">
            <v>DPE</v>
          </cell>
          <cell r="F31" t="str">
            <v>FC/CN</v>
          </cell>
          <cell r="G31">
            <v>15</v>
          </cell>
          <cell r="H31" t="str">
            <v>Suivi et évaluation de la mise en œuvre</v>
          </cell>
          <cell r="I31" t="str">
            <v>DPE/MASPFE</v>
          </cell>
          <cell r="K31" t="str">
            <v>FC/PSE</v>
          </cell>
          <cell r="L31" t="str">
            <v>AUT</v>
          </cell>
          <cell r="M31">
            <v>6</v>
          </cell>
          <cell r="N31">
            <v>12</v>
          </cell>
          <cell r="O31">
            <v>12</v>
          </cell>
          <cell r="P31">
            <v>30</v>
          </cell>
          <cell r="Q31" t="str">
            <v>mois</v>
          </cell>
          <cell r="S31">
            <v>2000</v>
          </cell>
          <cell r="T31">
            <v>1</v>
          </cell>
          <cell r="U31">
            <v>12000</v>
          </cell>
          <cell r="V31">
            <v>24000</v>
          </cell>
          <cell r="W31">
            <v>24000</v>
          </cell>
          <cell r="X31">
            <v>60000</v>
          </cell>
          <cell r="Y31">
            <v>12000</v>
          </cell>
          <cell r="Z31">
            <v>24000</v>
          </cell>
          <cell r="AA31">
            <v>24000</v>
          </cell>
          <cell r="AB31">
            <v>60000</v>
          </cell>
          <cell r="AC31">
            <v>0</v>
          </cell>
          <cell r="AD31">
            <v>0</v>
          </cell>
          <cell r="AE31">
            <v>0</v>
          </cell>
          <cell r="AF31">
            <v>0</v>
          </cell>
          <cell r="AG31">
            <v>0</v>
          </cell>
          <cell r="AH31">
            <v>0</v>
          </cell>
        </row>
        <row r="32">
          <cell r="H32" t="str">
            <v>Evaluations des enseignements du préscolaire</v>
          </cell>
          <cell r="U32">
            <v>0</v>
          </cell>
          <cell r="V32">
            <v>0</v>
          </cell>
          <cell r="W32">
            <v>236320.4</v>
          </cell>
          <cell r="X32">
            <v>236320.4</v>
          </cell>
          <cell r="Y32">
            <v>0</v>
          </cell>
          <cell r="Z32">
            <v>0</v>
          </cell>
          <cell r="AA32">
            <v>236320.4</v>
          </cell>
          <cell r="AB32">
            <v>236320.4</v>
          </cell>
          <cell r="AC32">
            <v>0</v>
          </cell>
          <cell r="AD32">
            <v>0</v>
          </cell>
          <cell r="AE32">
            <v>0</v>
          </cell>
          <cell r="AF32">
            <v>0</v>
          </cell>
          <cell r="AH32">
            <v>0</v>
          </cell>
        </row>
        <row r="33">
          <cell r="B33" t="str">
            <v>CNCESE</v>
          </cell>
          <cell r="C33" t="str">
            <v>Q</v>
          </cell>
          <cell r="D33" t="str">
            <v>11E</v>
          </cell>
          <cell r="E33" t="str">
            <v>DPE/MASPFE</v>
          </cell>
          <cell r="F33" t="str">
            <v>FC/CN</v>
          </cell>
          <cell r="G33">
            <v>15</v>
          </cell>
          <cell r="H33" t="str">
            <v>Evaluation des enseignements du préscolaire</v>
          </cell>
          <cell r="I33" t="str">
            <v>CNCESE</v>
          </cell>
          <cell r="K33" t="str">
            <v>FC/PSE</v>
          </cell>
          <cell r="L33" t="str">
            <v>AUT</v>
          </cell>
          <cell r="O33">
            <v>1</v>
          </cell>
          <cell r="P33">
            <v>1</v>
          </cell>
          <cell r="Q33" t="str">
            <v>forfait</v>
          </cell>
          <cell r="S33">
            <v>192004.4</v>
          </cell>
          <cell r="T33">
            <v>1</v>
          </cell>
          <cell r="U33">
            <v>0</v>
          </cell>
          <cell r="V33">
            <v>0</v>
          </cell>
          <cell r="W33">
            <v>192004.4</v>
          </cell>
          <cell r="X33">
            <v>192004.4</v>
          </cell>
          <cell r="Y33">
            <v>0</v>
          </cell>
          <cell r="Z33">
            <v>0</v>
          </cell>
          <cell r="AA33">
            <v>192004.4</v>
          </cell>
          <cell r="AB33">
            <v>192004.4</v>
          </cell>
          <cell r="AC33">
            <v>0</v>
          </cell>
          <cell r="AD33">
            <v>0</v>
          </cell>
          <cell r="AE33">
            <v>0</v>
          </cell>
          <cell r="AF33">
            <v>0</v>
          </cell>
          <cell r="AG33">
            <v>0</v>
          </cell>
          <cell r="AH33">
            <v>0</v>
          </cell>
        </row>
        <row r="34">
          <cell r="B34" t="str">
            <v>CNCESE</v>
          </cell>
          <cell r="C34" t="str">
            <v>Q</v>
          </cell>
          <cell r="D34" t="str">
            <v>11E</v>
          </cell>
          <cell r="E34" t="str">
            <v>DPE/MASPFE</v>
          </cell>
          <cell r="F34" t="str">
            <v>FC/CN</v>
          </cell>
          <cell r="G34">
            <v>25</v>
          </cell>
          <cell r="H34" t="str">
            <v>Spécialistes en évaluation 1 mission de 15jours</v>
          </cell>
          <cell r="I34" t="str">
            <v>CNCESE</v>
          </cell>
          <cell r="K34" t="str">
            <v>FC/PSE</v>
          </cell>
          <cell r="L34" t="str">
            <v>CR</v>
          </cell>
          <cell r="O34">
            <v>0.5</v>
          </cell>
          <cell r="P34">
            <v>0.5</v>
          </cell>
          <cell r="Q34" t="str">
            <v>pxm</v>
          </cell>
          <cell r="R34" t="str">
            <v>cic</v>
          </cell>
          <cell r="S34">
            <v>88632</v>
          </cell>
          <cell r="T34">
            <v>1</v>
          </cell>
          <cell r="U34">
            <v>0</v>
          </cell>
          <cell r="V34">
            <v>0</v>
          </cell>
          <cell r="W34">
            <v>44316</v>
          </cell>
          <cell r="X34">
            <v>44316</v>
          </cell>
          <cell r="Y34">
            <v>0</v>
          </cell>
          <cell r="Z34">
            <v>0</v>
          </cell>
          <cell r="AA34">
            <v>44316</v>
          </cell>
          <cell r="AB34">
            <v>44316</v>
          </cell>
          <cell r="AC34">
            <v>0</v>
          </cell>
          <cell r="AD34">
            <v>0</v>
          </cell>
          <cell r="AE34">
            <v>0</v>
          </cell>
          <cell r="AF34">
            <v>0</v>
          </cell>
          <cell r="AG34">
            <v>0</v>
          </cell>
          <cell r="AH34">
            <v>0</v>
          </cell>
        </row>
        <row r="35">
          <cell r="H35" t="str">
            <v>PRIMAIRE</v>
          </cell>
          <cell r="U35">
            <v>301425962.0189935</v>
          </cell>
          <cell r="V35">
            <v>184147287.12563398</v>
          </cell>
          <cell r="W35">
            <v>53656493.455476858</v>
          </cell>
          <cell r="X35">
            <v>539229742.60010433</v>
          </cell>
          <cell r="Y35">
            <v>301425962.0189935</v>
          </cell>
          <cell r="Z35">
            <v>184147287.12563398</v>
          </cell>
          <cell r="AA35">
            <v>53656493.455476858</v>
          </cell>
          <cell r="AB35">
            <v>539229742.60010433</v>
          </cell>
          <cell r="AC35">
            <v>0</v>
          </cell>
          <cell r="AD35">
            <v>0</v>
          </cell>
          <cell r="AE35">
            <v>0</v>
          </cell>
          <cell r="AF35">
            <v>0</v>
          </cell>
          <cell r="AH35">
            <v>0</v>
          </cell>
        </row>
        <row r="36">
          <cell r="H36" t="str">
            <v>Infrastructures primaire</v>
          </cell>
          <cell r="U36">
            <v>249559365.29993558</v>
          </cell>
          <cell r="V36">
            <v>157713947.59018034</v>
          </cell>
          <cell r="W36">
            <v>35389945.374369837</v>
          </cell>
          <cell r="X36">
            <v>442663258.26448578</v>
          </cell>
          <cell r="Y36">
            <v>249559365.29993558</v>
          </cell>
          <cell r="Z36">
            <v>157713947.59018034</v>
          </cell>
          <cell r="AA36">
            <v>35389945.374369837</v>
          </cell>
          <cell r="AB36">
            <v>442663258.26448578</v>
          </cell>
          <cell r="AC36">
            <v>0</v>
          </cell>
          <cell r="AD36">
            <v>0</v>
          </cell>
          <cell r="AE36">
            <v>0</v>
          </cell>
          <cell r="AF36">
            <v>0</v>
          </cell>
          <cell r="AH36">
            <v>0</v>
          </cell>
        </row>
        <row r="37">
          <cell r="B37" t="str">
            <v>SNIES</v>
          </cell>
          <cell r="C37" t="str">
            <v>A</v>
          </cell>
          <cell r="D37" t="str">
            <v>12A</v>
          </cell>
          <cell r="E37" t="str">
            <v>EP/</v>
          </cell>
          <cell r="F37" t="str">
            <v>FC/CN</v>
          </cell>
          <cell r="G37">
            <v>21</v>
          </cell>
          <cell r="H37" t="str">
            <v>BET pour les constructions réhabilitation des infrastructures</v>
          </cell>
          <cell r="I37" t="str">
            <v>SNIES</v>
          </cell>
          <cell r="K37" t="str">
            <v>FC/PSE</v>
          </cell>
          <cell r="L37" t="str">
            <v>CR</v>
          </cell>
          <cell r="P37">
            <v>0</v>
          </cell>
          <cell r="Q37" t="str">
            <v>forfait</v>
          </cell>
          <cell r="R37" t="str">
            <v>coût total</v>
          </cell>
          <cell r="S37">
            <v>7.0000000000000007E-2</v>
          </cell>
          <cell r="T37">
            <v>1</v>
          </cell>
          <cell r="U37">
            <v>15091469.120000003</v>
          </cell>
          <cell r="V37">
            <v>0</v>
          </cell>
          <cell r="W37">
            <v>0</v>
          </cell>
          <cell r="X37">
            <v>15091469.120000003</v>
          </cell>
          <cell r="Y37">
            <v>15091469.120000003</v>
          </cell>
          <cell r="Z37">
            <v>0</v>
          </cell>
          <cell r="AA37">
            <v>0</v>
          </cell>
          <cell r="AB37">
            <v>15091469.120000003</v>
          </cell>
          <cell r="AC37">
            <v>0</v>
          </cell>
          <cell r="AD37">
            <v>0</v>
          </cell>
          <cell r="AE37">
            <v>0</v>
          </cell>
          <cell r="AF37">
            <v>0</v>
          </cell>
          <cell r="AG37">
            <v>0</v>
          </cell>
          <cell r="AH37">
            <v>0</v>
          </cell>
        </row>
        <row r="38">
          <cell r="B38" t="str">
            <v>SNIES</v>
          </cell>
          <cell r="C38" t="str">
            <v>A</v>
          </cell>
          <cell r="D38" t="str">
            <v>12A</v>
          </cell>
          <cell r="E38" t="str">
            <v>EP/</v>
          </cell>
          <cell r="F38" t="str">
            <v>FC/CN</v>
          </cell>
          <cell r="G38">
            <v>22</v>
          </cell>
          <cell r="H38" t="str">
            <v>Travaux de construction classes primaires PME</v>
          </cell>
          <cell r="I38" t="str">
            <v>SNIES</v>
          </cell>
          <cell r="K38" t="str">
            <v>FC/PSE</v>
          </cell>
          <cell r="L38" t="str">
            <v>AON</v>
          </cell>
          <cell r="M38">
            <v>3048</v>
          </cell>
          <cell r="P38">
            <v>3048</v>
          </cell>
          <cell r="Q38" t="str">
            <v>cl</v>
          </cell>
          <cell r="R38" t="str">
            <v>ccp</v>
          </cell>
          <cell r="S38">
            <v>51209.600000000006</v>
          </cell>
          <cell r="T38">
            <v>1</v>
          </cell>
          <cell r="U38">
            <v>156086860.80000001</v>
          </cell>
          <cell r="V38">
            <v>0</v>
          </cell>
          <cell r="W38">
            <v>0</v>
          </cell>
          <cell r="X38">
            <v>156086860.80000001</v>
          </cell>
          <cell r="Y38">
            <v>156086860.80000001</v>
          </cell>
          <cell r="Z38">
            <v>0</v>
          </cell>
          <cell r="AA38">
            <v>0</v>
          </cell>
          <cell r="AB38">
            <v>156086860.80000001</v>
          </cell>
          <cell r="AC38">
            <v>0</v>
          </cell>
          <cell r="AD38">
            <v>0</v>
          </cell>
          <cell r="AE38">
            <v>0</v>
          </cell>
          <cell r="AF38">
            <v>0</v>
          </cell>
          <cell r="AG38">
            <v>0</v>
          </cell>
          <cell r="AH38">
            <v>0</v>
          </cell>
        </row>
        <row r="39">
          <cell r="B39" t="str">
            <v>SNIES</v>
          </cell>
          <cell r="C39" t="str">
            <v>A</v>
          </cell>
          <cell r="D39" t="str">
            <v>12A</v>
          </cell>
          <cell r="E39" t="str">
            <v>EP/</v>
          </cell>
          <cell r="F39" t="str">
            <v>FC/CN</v>
          </cell>
          <cell r="G39">
            <v>22</v>
          </cell>
          <cell r="H39" t="str">
            <v>Travaux de construction classes primaires ONG</v>
          </cell>
          <cell r="I39" t="str">
            <v>SNIES</v>
          </cell>
          <cell r="K39" t="str">
            <v>FC/PSE</v>
          </cell>
          <cell r="L39" t="str">
            <v>AON</v>
          </cell>
          <cell r="M39">
            <v>1162</v>
          </cell>
          <cell r="P39">
            <v>1162</v>
          </cell>
          <cell r="Q39" t="str">
            <v>cl</v>
          </cell>
          <cell r="R39" t="str">
            <v>ccp</v>
          </cell>
          <cell r="S39">
            <v>51209.600000000006</v>
          </cell>
          <cell r="T39">
            <v>1</v>
          </cell>
          <cell r="U39">
            <v>59505555.20000001</v>
          </cell>
          <cell r="V39">
            <v>0</v>
          </cell>
          <cell r="W39">
            <v>0</v>
          </cell>
          <cell r="X39">
            <v>59505555.20000001</v>
          </cell>
          <cell r="Y39">
            <v>59505555.20000001</v>
          </cell>
          <cell r="Z39">
            <v>0</v>
          </cell>
          <cell r="AA39">
            <v>0</v>
          </cell>
          <cell r="AB39">
            <v>59505555.20000001</v>
          </cell>
          <cell r="AC39">
            <v>0</v>
          </cell>
          <cell r="AD39">
            <v>0</v>
          </cell>
          <cell r="AE39">
            <v>0</v>
          </cell>
          <cell r="AF39">
            <v>0</v>
          </cell>
          <cell r="AG39">
            <v>0</v>
          </cell>
          <cell r="AH39">
            <v>0</v>
          </cell>
        </row>
        <row r="40">
          <cell r="B40" t="str">
            <v>SNIES</v>
          </cell>
          <cell r="C40" t="str">
            <v>A</v>
          </cell>
          <cell r="D40" t="str">
            <v>12A</v>
          </cell>
          <cell r="E40" t="str">
            <v>EP/</v>
          </cell>
          <cell r="F40" t="str">
            <v>FC/CN</v>
          </cell>
          <cell r="G40">
            <v>22</v>
          </cell>
          <cell r="H40" t="str">
            <v>Travaux de construction classes primaires PACV/CRD</v>
          </cell>
          <cell r="I40" t="str">
            <v>SNIES</v>
          </cell>
          <cell r="K40" t="str">
            <v>FC/PSE</v>
          </cell>
          <cell r="L40" t="str">
            <v>AON</v>
          </cell>
          <cell r="M40">
            <v>156</v>
          </cell>
          <cell r="P40">
            <v>156</v>
          </cell>
          <cell r="Q40" t="str">
            <v>cl</v>
          </cell>
          <cell r="R40" t="str">
            <v>ccp</v>
          </cell>
          <cell r="S40">
            <v>51209.600000000006</v>
          </cell>
          <cell r="T40">
            <v>1</v>
          </cell>
          <cell r="U40">
            <v>7988697.6000000006</v>
          </cell>
          <cell r="V40">
            <v>0</v>
          </cell>
          <cell r="W40">
            <v>0</v>
          </cell>
          <cell r="X40">
            <v>7988697.6000000006</v>
          </cell>
          <cell r="Y40">
            <v>7988697.6000000006</v>
          </cell>
          <cell r="Z40">
            <v>0</v>
          </cell>
          <cell r="AA40">
            <v>0</v>
          </cell>
          <cell r="AB40">
            <v>7988697.6000000006</v>
          </cell>
          <cell r="AC40">
            <v>0</v>
          </cell>
          <cell r="AD40">
            <v>0</v>
          </cell>
          <cell r="AE40">
            <v>0</v>
          </cell>
          <cell r="AF40">
            <v>0</v>
          </cell>
          <cell r="AG40">
            <v>0</v>
          </cell>
          <cell r="AH40">
            <v>0</v>
          </cell>
        </row>
        <row r="41">
          <cell r="B41" t="str">
            <v>SNIES</v>
          </cell>
          <cell r="C41" t="str">
            <v>A</v>
          </cell>
          <cell r="D41" t="str">
            <v>12A</v>
          </cell>
          <cell r="E41" t="str">
            <v>EP/</v>
          </cell>
          <cell r="F41" t="str">
            <v>FC/CN</v>
          </cell>
          <cell r="G41">
            <v>22</v>
          </cell>
          <cell r="H41" t="str">
            <v xml:space="preserve">Travaux de construction classes primaires </v>
          </cell>
          <cell r="I41" t="str">
            <v>SNIES</v>
          </cell>
          <cell r="K41" t="str">
            <v>FC/PSE</v>
          </cell>
          <cell r="L41" t="str">
            <v>AON</v>
          </cell>
          <cell r="N41">
            <v>1332</v>
          </cell>
          <cell r="P41">
            <v>1332</v>
          </cell>
          <cell r="Q41" t="str">
            <v>cl</v>
          </cell>
          <cell r="R41" t="str">
            <v>ccp</v>
          </cell>
          <cell r="S41">
            <v>51209.600000000006</v>
          </cell>
          <cell r="T41">
            <v>1</v>
          </cell>
          <cell r="U41">
            <v>0</v>
          </cell>
          <cell r="V41">
            <v>68211187.200000003</v>
          </cell>
          <cell r="W41">
            <v>0</v>
          </cell>
          <cell r="X41">
            <v>68211187.200000003</v>
          </cell>
          <cell r="Y41">
            <v>0</v>
          </cell>
          <cell r="Z41">
            <v>68211187.200000003</v>
          </cell>
          <cell r="AA41">
            <v>0</v>
          </cell>
          <cell r="AB41">
            <v>68211187.200000003</v>
          </cell>
          <cell r="AC41">
            <v>0</v>
          </cell>
          <cell r="AD41">
            <v>0</v>
          </cell>
          <cell r="AE41">
            <v>0</v>
          </cell>
          <cell r="AF41">
            <v>0</v>
          </cell>
          <cell r="AG41">
            <v>0</v>
          </cell>
          <cell r="AH41">
            <v>0</v>
          </cell>
        </row>
        <row r="42">
          <cell r="B42" t="str">
            <v>SNIES</v>
          </cell>
          <cell r="C42" t="str">
            <v>A</v>
          </cell>
          <cell r="D42" t="str">
            <v>12A</v>
          </cell>
          <cell r="E42" t="str">
            <v>EP/</v>
          </cell>
          <cell r="F42" t="str">
            <v>FC/CN</v>
          </cell>
          <cell r="G42">
            <v>22</v>
          </cell>
          <cell r="H42" t="str">
            <v>Travaux de réhabilitation classes primaires</v>
          </cell>
          <cell r="I42" t="str">
            <v>SNIES</v>
          </cell>
          <cell r="K42" t="str">
            <v>FC/PSE</v>
          </cell>
          <cell r="L42" t="str">
            <v>AON</v>
          </cell>
          <cell r="N42">
            <v>1341</v>
          </cell>
          <cell r="P42">
            <v>1341</v>
          </cell>
          <cell r="Q42" t="str">
            <v>cl</v>
          </cell>
          <cell r="R42" t="str">
            <v>rcp</v>
          </cell>
          <cell r="S42">
            <v>30725.760000000002</v>
          </cell>
          <cell r="T42">
            <v>1</v>
          </cell>
          <cell r="U42">
            <v>0</v>
          </cell>
          <cell r="V42">
            <v>41203244.160000004</v>
          </cell>
          <cell r="W42">
            <v>0</v>
          </cell>
          <cell r="X42">
            <v>41203244.160000004</v>
          </cell>
          <cell r="Y42">
            <v>0</v>
          </cell>
          <cell r="Z42">
            <v>41203244.160000004</v>
          </cell>
          <cell r="AA42">
            <v>0</v>
          </cell>
          <cell r="AB42">
            <v>41203244.160000004</v>
          </cell>
          <cell r="AC42">
            <v>0</v>
          </cell>
          <cell r="AD42">
            <v>0</v>
          </cell>
          <cell r="AE42">
            <v>0</v>
          </cell>
          <cell r="AF42">
            <v>0</v>
          </cell>
          <cell r="AG42">
            <v>0</v>
          </cell>
          <cell r="AH42">
            <v>0</v>
          </cell>
        </row>
        <row r="43">
          <cell r="B43" t="str">
            <v>SNIES</v>
          </cell>
          <cell r="C43" t="str">
            <v>A</v>
          </cell>
          <cell r="D43" t="str">
            <v>12A</v>
          </cell>
          <cell r="E43" t="str">
            <v>EP/</v>
          </cell>
          <cell r="F43" t="str">
            <v>FC/CN</v>
          </cell>
          <cell r="G43">
            <v>23</v>
          </cell>
          <cell r="H43" t="str">
            <v>Mobilier classes primaires</v>
          </cell>
          <cell r="I43" t="str">
            <v>SNIES</v>
          </cell>
          <cell r="K43" t="str">
            <v>FC/PSE</v>
          </cell>
          <cell r="L43" t="str">
            <v>AON</v>
          </cell>
          <cell r="N43">
            <v>4366</v>
          </cell>
          <cell r="O43">
            <v>2673</v>
          </cell>
          <cell r="P43">
            <v>7039</v>
          </cell>
          <cell r="Q43" t="str">
            <v>lot</v>
          </cell>
          <cell r="R43" t="str">
            <v>mcp</v>
          </cell>
          <cell r="S43">
            <v>8321.5600000000013</v>
          </cell>
          <cell r="T43">
            <v>1</v>
          </cell>
          <cell r="U43">
            <v>0</v>
          </cell>
          <cell r="V43">
            <v>36331930.960000008</v>
          </cell>
          <cell r="W43">
            <v>22243529.880000003</v>
          </cell>
          <cell r="X43">
            <v>58575460.840000011</v>
          </cell>
          <cell r="Y43">
            <v>0</v>
          </cell>
          <cell r="Z43">
            <v>36331930.960000008</v>
          </cell>
          <cell r="AA43">
            <v>22243529.880000003</v>
          </cell>
          <cell r="AB43">
            <v>58575460.840000011</v>
          </cell>
          <cell r="AC43">
            <v>0</v>
          </cell>
          <cell r="AD43">
            <v>0</v>
          </cell>
          <cell r="AE43">
            <v>0</v>
          </cell>
          <cell r="AF43">
            <v>0</v>
          </cell>
          <cell r="AG43">
            <v>0</v>
          </cell>
          <cell r="AH43">
            <v>0</v>
          </cell>
        </row>
        <row r="44">
          <cell r="B44" t="str">
            <v>SNIES</v>
          </cell>
          <cell r="C44" t="str">
            <v>A</v>
          </cell>
          <cell r="D44" t="str">
            <v>12A</v>
          </cell>
          <cell r="E44" t="str">
            <v>EP/</v>
          </cell>
          <cell r="F44" t="str">
            <v>FC/CN</v>
          </cell>
          <cell r="G44">
            <v>15</v>
          </cell>
          <cell r="H44" t="str">
            <v>Entretien courant des bâtiments scolaires 1% coût construction</v>
          </cell>
          <cell r="I44" t="str">
            <v>SNIES</v>
          </cell>
          <cell r="K44" t="str">
            <v>FC/PSE</v>
          </cell>
          <cell r="L44" t="str">
            <v>AUT</v>
          </cell>
          <cell r="M44">
            <v>21259.261114977529</v>
          </cell>
          <cell r="N44">
            <v>23369.808141794354</v>
          </cell>
          <cell r="O44">
            <v>25671.779303821615</v>
          </cell>
          <cell r="P44">
            <v>70300.848560593498</v>
          </cell>
          <cell r="Q44" t="str">
            <v>cl</v>
          </cell>
          <cell r="R44" t="str">
            <v>ccp</v>
          </cell>
          <cell r="S44">
            <v>512.09600000000012</v>
          </cell>
          <cell r="T44">
            <v>1</v>
          </cell>
          <cell r="U44">
            <v>10886782.579935536</v>
          </cell>
          <cell r="V44">
            <v>11967585.270180324</v>
          </cell>
          <cell r="W44">
            <v>13146415.494369837</v>
          </cell>
          <cell r="X44">
            <v>36000783.344485693</v>
          </cell>
          <cell r="Y44">
            <v>10886782.579935536</v>
          </cell>
          <cell r="Z44">
            <v>11967585.270180324</v>
          </cell>
          <cell r="AA44">
            <v>13146415.494369837</v>
          </cell>
          <cell r="AB44">
            <v>36000783.344485693</v>
          </cell>
          <cell r="AC44">
            <v>0</v>
          </cell>
          <cell r="AD44">
            <v>0</v>
          </cell>
          <cell r="AE44">
            <v>0</v>
          </cell>
          <cell r="AF44">
            <v>0</v>
          </cell>
          <cell r="AG44">
            <v>0</v>
          </cell>
          <cell r="AH44">
            <v>0</v>
          </cell>
        </row>
        <row r="45">
          <cell r="H45" t="str">
            <v>Renforcement de capacité des 8 Antennes Régionales du SNIES</v>
          </cell>
          <cell r="U45">
            <v>1580166.48</v>
          </cell>
          <cell r="V45">
            <v>2979240</v>
          </cell>
          <cell r="W45">
            <v>2979240</v>
          </cell>
          <cell r="X45">
            <v>7538646.4800000004</v>
          </cell>
          <cell r="Y45">
            <v>1580166.48</v>
          </cell>
          <cell r="Z45">
            <v>2979240</v>
          </cell>
          <cell r="AA45">
            <v>2979240</v>
          </cell>
          <cell r="AB45">
            <v>7538646.4800000004</v>
          </cell>
          <cell r="AC45">
            <v>0</v>
          </cell>
          <cell r="AD45">
            <v>0</v>
          </cell>
          <cell r="AE45">
            <v>0</v>
          </cell>
          <cell r="AF45">
            <v>0</v>
          </cell>
          <cell r="AH45">
            <v>0</v>
          </cell>
        </row>
        <row r="46">
          <cell r="B46" t="str">
            <v>SNIES</v>
          </cell>
          <cell r="C46" t="str">
            <v>G</v>
          </cell>
          <cell r="D46" t="str">
            <v>12B</v>
          </cell>
          <cell r="E46" t="str">
            <v>IRE/</v>
          </cell>
          <cell r="F46" t="str">
            <v>FC/CN</v>
          </cell>
          <cell r="G46">
            <v>23</v>
          </cell>
          <cell r="H46" t="str">
            <v>Postes informatiques fixes pour AR</v>
          </cell>
          <cell r="I46" t="str">
            <v>CN/PSE</v>
          </cell>
          <cell r="K46" t="str">
            <v>FC/PSE</v>
          </cell>
          <cell r="L46" t="str">
            <v>AOI</v>
          </cell>
          <cell r="M46">
            <v>8</v>
          </cell>
          <cell r="P46">
            <v>8</v>
          </cell>
          <cell r="Q46" t="str">
            <v>u</v>
          </cell>
          <cell r="R46" t="str">
            <v>pic</v>
          </cell>
          <cell r="S46">
            <v>14772.000000000002</v>
          </cell>
          <cell r="T46">
            <v>1</v>
          </cell>
          <cell r="U46">
            <v>118176.00000000001</v>
          </cell>
          <cell r="V46">
            <v>0</v>
          </cell>
          <cell r="W46">
            <v>0</v>
          </cell>
          <cell r="X46">
            <v>118176.00000000001</v>
          </cell>
          <cell r="Y46">
            <v>118176.00000000001</v>
          </cell>
          <cell r="Z46">
            <v>0</v>
          </cell>
          <cell r="AA46">
            <v>0</v>
          </cell>
          <cell r="AB46">
            <v>118176.00000000001</v>
          </cell>
          <cell r="AC46">
            <v>0</v>
          </cell>
          <cell r="AD46">
            <v>0</v>
          </cell>
          <cell r="AE46">
            <v>0</v>
          </cell>
          <cell r="AF46">
            <v>0</v>
          </cell>
          <cell r="AG46">
            <v>0</v>
          </cell>
          <cell r="AH46">
            <v>0</v>
          </cell>
        </row>
        <row r="47">
          <cell r="B47" t="str">
            <v>SNIES</v>
          </cell>
          <cell r="C47" t="str">
            <v>G</v>
          </cell>
          <cell r="D47" t="str">
            <v>12B</v>
          </cell>
          <cell r="E47" t="str">
            <v>DPE/</v>
          </cell>
          <cell r="F47" t="str">
            <v>FC/CN</v>
          </cell>
          <cell r="G47">
            <v>23</v>
          </cell>
          <cell r="H47" t="str">
            <v>Motos et accessoires de sécurité pour superviseurs et chef d'AR</v>
          </cell>
          <cell r="I47" t="str">
            <v>CN/PSE</v>
          </cell>
          <cell r="K47" t="str">
            <v>FC/PSE</v>
          </cell>
          <cell r="L47" t="str">
            <v>AOI</v>
          </cell>
          <cell r="M47">
            <v>46</v>
          </cell>
          <cell r="P47">
            <v>46</v>
          </cell>
          <cell r="Q47" t="str">
            <v>moto</v>
          </cell>
          <cell r="R47" t="str">
            <v>cvc</v>
          </cell>
          <cell r="S47">
            <v>13500</v>
          </cell>
          <cell r="T47">
            <v>1</v>
          </cell>
          <cell r="U47">
            <v>621000</v>
          </cell>
          <cell r="V47">
            <v>0</v>
          </cell>
          <cell r="W47">
            <v>0</v>
          </cell>
          <cell r="X47">
            <v>621000</v>
          </cell>
          <cell r="Y47">
            <v>621000</v>
          </cell>
          <cell r="Z47">
            <v>0</v>
          </cell>
          <cell r="AA47">
            <v>0</v>
          </cell>
          <cell r="AB47">
            <v>621000</v>
          </cell>
          <cell r="AC47">
            <v>0</v>
          </cell>
          <cell r="AD47">
            <v>0</v>
          </cell>
          <cell r="AE47">
            <v>0</v>
          </cell>
          <cell r="AF47">
            <v>0</v>
          </cell>
          <cell r="AG47">
            <v>0</v>
          </cell>
          <cell r="AH47">
            <v>0</v>
          </cell>
        </row>
        <row r="48">
          <cell r="B48" t="str">
            <v>SNIES</v>
          </cell>
          <cell r="C48" t="str">
            <v>G</v>
          </cell>
          <cell r="D48" t="str">
            <v>12B</v>
          </cell>
          <cell r="E48" t="str">
            <v>DPE/</v>
          </cell>
          <cell r="F48" t="str">
            <v>FC/CN</v>
          </cell>
          <cell r="G48">
            <v>23</v>
          </cell>
          <cell r="H48" t="str">
            <v>Appareils photos numériques Chefs AR et superviseurs</v>
          </cell>
          <cell r="I48" t="str">
            <v>CN/PSE</v>
          </cell>
          <cell r="K48" t="str">
            <v>FC/PSE</v>
          </cell>
          <cell r="L48" t="str">
            <v>AOI</v>
          </cell>
          <cell r="M48">
            <v>46</v>
          </cell>
          <cell r="P48">
            <v>46</v>
          </cell>
          <cell r="Q48" t="str">
            <v>u</v>
          </cell>
          <cell r="S48">
            <v>590.88</v>
          </cell>
          <cell r="T48">
            <v>1</v>
          </cell>
          <cell r="U48">
            <v>27180.48</v>
          </cell>
          <cell r="V48">
            <v>0</v>
          </cell>
          <cell r="W48">
            <v>0</v>
          </cell>
          <cell r="X48">
            <v>27180.48</v>
          </cell>
          <cell r="Y48">
            <v>27180.48</v>
          </cell>
          <cell r="Z48">
            <v>0</v>
          </cell>
          <cell r="AA48">
            <v>0</v>
          </cell>
          <cell r="AB48">
            <v>27180.48</v>
          </cell>
          <cell r="AC48">
            <v>0</v>
          </cell>
          <cell r="AD48">
            <v>0</v>
          </cell>
          <cell r="AE48">
            <v>0</v>
          </cell>
          <cell r="AF48">
            <v>0</v>
          </cell>
          <cell r="AG48">
            <v>0</v>
          </cell>
          <cell r="AH48">
            <v>0</v>
          </cell>
        </row>
        <row r="49">
          <cell r="B49" t="str">
            <v>SNIES</v>
          </cell>
          <cell r="C49" t="str">
            <v>G</v>
          </cell>
          <cell r="D49" t="str">
            <v>12B</v>
          </cell>
          <cell r="E49" t="str">
            <v>DPE/</v>
          </cell>
          <cell r="F49" t="str">
            <v>FC/</v>
          </cell>
          <cell r="G49">
            <v>11</v>
          </cell>
          <cell r="H49" t="str">
            <v>Superviseurs de travaux (38p x 2 000 000 GNF/m)</v>
          </cell>
          <cell r="I49" t="str">
            <v>IRE/</v>
          </cell>
          <cell r="K49" t="str">
            <v>FC/PSE</v>
          </cell>
          <cell r="L49" t="str">
            <v>AUT</v>
          </cell>
          <cell r="M49">
            <v>114</v>
          </cell>
          <cell r="N49">
            <v>456</v>
          </cell>
          <cell r="O49">
            <v>456</v>
          </cell>
          <cell r="P49">
            <v>1026</v>
          </cell>
          <cell r="Q49" t="str">
            <v>mois</v>
          </cell>
          <cell r="S49">
            <v>2000</v>
          </cell>
          <cell r="T49">
            <v>1</v>
          </cell>
          <cell r="U49">
            <v>228000</v>
          </cell>
          <cell r="V49">
            <v>912000</v>
          </cell>
          <cell r="W49">
            <v>912000</v>
          </cell>
          <cell r="X49">
            <v>2052000</v>
          </cell>
          <cell r="Y49">
            <v>228000</v>
          </cell>
          <cell r="Z49">
            <v>912000</v>
          </cell>
          <cell r="AA49">
            <v>912000</v>
          </cell>
          <cell r="AB49">
            <v>2052000</v>
          </cell>
          <cell r="AC49">
            <v>0</v>
          </cell>
          <cell r="AD49">
            <v>0</v>
          </cell>
          <cell r="AE49">
            <v>0</v>
          </cell>
          <cell r="AF49">
            <v>0</v>
          </cell>
          <cell r="AG49">
            <v>0</v>
          </cell>
          <cell r="AH49">
            <v>0</v>
          </cell>
        </row>
        <row r="50">
          <cell r="B50" t="str">
            <v>SNIES</v>
          </cell>
          <cell r="C50" t="str">
            <v>G</v>
          </cell>
          <cell r="D50" t="str">
            <v>12B</v>
          </cell>
          <cell r="E50" t="str">
            <v>DPE/</v>
          </cell>
          <cell r="F50" t="str">
            <v>FC/</v>
          </cell>
          <cell r="G50">
            <v>15</v>
          </cell>
          <cell r="H50" t="str">
            <v>Carburant superviseurs et chef d'AR  8l/100km x 300km x 15j/m</v>
          </cell>
          <cell r="I50" t="str">
            <v>IRE/</v>
          </cell>
          <cell r="K50" t="str">
            <v>FC/PSE</v>
          </cell>
          <cell r="L50" t="str">
            <v>AUT</v>
          </cell>
          <cell r="M50">
            <v>49680</v>
          </cell>
          <cell r="N50">
            <v>198720</v>
          </cell>
          <cell r="O50">
            <v>198720</v>
          </cell>
          <cell r="P50">
            <v>447120</v>
          </cell>
          <cell r="Q50" t="str">
            <v>litres</v>
          </cell>
          <cell r="S50">
            <v>7</v>
          </cell>
          <cell r="T50">
            <v>1</v>
          </cell>
          <cell r="U50">
            <v>347760</v>
          </cell>
          <cell r="V50">
            <v>1391040</v>
          </cell>
          <cell r="W50">
            <v>1391040</v>
          </cell>
          <cell r="X50">
            <v>3129840</v>
          </cell>
          <cell r="Y50">
            <v>347760</v>
          </cell>
          <cell r="Z50">
            <v>1391040</v>
          </cell>
          <cell r="AA50">
            <v>1391040</v>
          </cell>
          <cell r="AB50">
            <v>3129840</v>
          </cell>
          <cell r="AC50">
            <v>0</v>
          </cell>
          <cell r="AD50">
            <v>0</v>
          </cell>
          <cell r="AE50">
            <v>0</v>
          </cell>
          <cell r="AF50">
            <v>0</v>
          </cell>
          <cell r="AG50">
            <v>0</v>
          </cell>
          <cell r="AH50">
            <v>0</v>
          </cell>
        </row>
        <row r="51">
          <cell r="B51" t="str">
            <v>SNIES</v>
          </cell>
          <cell r="C51" t="str">
            <v>G</v>
          </cell>
          <cell r="D51" t="str">
            <v>12B</v>
          </cell>
          <cell r="E51" t="str">
            <v>DPE/</v>
          </cell>
          <cell r="F51" t="str">
            <v>FC/</v>
          </cell>
          <cell r="G51">
            <v>11</v>
          </cell>
          <cell r="H51" t="str">
            <v>Perdiem Chefs AR et superviseurs 15j x 75000 GNF x 38sup</v>
          </cell>
          <cell r="I51" t="str">
            <v>IRE/</v>
          </cell>
          <cell r="K51" t="str">
            <v>FC/PSE</v>
          </cell>
          <cell r="L51" t="str">
            <v>AUT</v>
          </cell>
          <cell r="M51">
            <v>2070</v>
          </cell>
          <cell r="N51">
            <v>8280</v>
          </cell>
          <cell r="O51">
            <v>8280</v>
          </cell>
          <cell r="P51">
            <v>18630</v>
          </cell>
          <cell r="Q51" t="str">
            <v>pxj</v>
          </cell>
          <cell r="S51">
            <v>75</v>
          </cell>
          <cell r="T51">
            <v>1</v>
          </cell>
          <cell r="U51">
            <v>155250</v>
          </cell>
          <cell r="V51">
            <v>621000</v>
          </cell>
          <cell r="W51">
            <v>621000</v>
          </cell>
          <cell r="X51">
            <v>1397250</v>
          </cell>
          <cell r="Y51">
            <v>155250</v>
          </cell>
          <cell r="Z51">
            <v>621000</v>
          </cell>
          <cell r="AA51">
            <v>621000</v>
          </cell>
          <cell r="AB51">
            <v>1397250</v>
          </cell>
          <cell r="AC51">
            <v>0</v>
          </cell>
          <cell r="AD51">
            <v>0</v>
          </cell>
          <cell r="AE51">
            <v>0</v>
          </cell>
          <cell r="AF51">
            <v>0</v>
          </cell>
          <cell r="AG51">
            <v>0</v>
          </cell>
          <cell r="AH51">
            <v>0</v>
          </cell>
        </row>
        <row r="52">
          <cell r="B52" t="str">
            <v>SNIES</v>
          </cell>
          <cell r="C52" t="str">
            <v>G</v>
          </cell>
          <cell r="D52" t="str">
            <v>12B</v>
          </cell>
          <cell r="E52" t="str">
            <v>DPE/</v>
          </cell>
          <cell r="F52" t="str">
            <v>FC/</v>
          </cell>
          <cell r="G52">
            <v>15</v>
          </cell>
          <cell r="H52" t="str">
            <v>Fournitures et services extérieurs Chefs d'AR et superviseurs 38 x nb mois</v>
          </cell>
          <cell r="I52" t="str">
            <v>IRE/</v>
          </cell>
          <cell r="K52" t="str">
            <v>FC/PSE</v>
          </cell>
          <cell r="L52" t="str">
            <v>AUT</v>
          </cell>
          <cell r="M52">
            <v>138</v>
          </cell>
          <cell r="N52">
            <v>552</v>
          </cell>
          <cell r="O52">
            <v>552</v>
          </cell>
          <cell r="P52">
            <v>1242</v>
          </cell>
          <cell r="Q52" t="str">
            <v>mois</v>
          </cell>
          <cell r="S52">
            <v>100</v>
          </cell>
          <cell r="T52">
            <v>1</v>
          </cell>
          <cell r="U52">
            <v>13800</v>
          </cell>
          <cell r="V52">
            <v>55200</v>
          </cell>
          <cell r="W52">
            <v>55200</v>
          </cell>
          <cell r="X52">
            <v>124200</v>
          </cell>
          <cell r="Y52">
            <v>13800</v>
          </cell>
          <cell r="Z52">
            <v>55200</v>
          </cell>
          <cell r="AA52">
            <v>55200</v>
          </cell>
          <cell r="AB52">
            <v>124200</v>
          </cell>
          <cell r="AC52">
            <v>0</v>
          </cell>
          <cell r="AD52">
            <v>0</v>
          </cell>
          <cell r="AE52">
            <v>0</v>
          </cell>
          <cell r="AF52">
            <v>0</v>
          </cell>
          <cell r="AG52">
            <v>0</v>
          </cell>
          <cell r="AH52">
            <v>0</v>
          </cell>
        </row>
        <row r="53">
          <cell r="B53" t="str">
            <v>SNIES</v>
          </cell>
          <cell r="C53" t="str">
            <v>G</v>
          </cell>
          <cell r="D53" t="str">
            <v>12B</v>
          </cell>
          <cell r="E53" t="str">
            <v>IRE/</v>
          </cell>
          <cell r="F53" t="str">
            <v>FC/CN</v>
          </cell>
          <cell r="G53">
            <v>12</v>
          </cell>
          <cell r="H53" t="str">
            <v>Formation Excel pour Chef AR 8+38p x 2sem (base de données du SNIES)</v>
          </cell>
          <cell r="I53" t="str">
            <v>CN/PSE</v>
          </cell>
          <cell r="K53" t="str">
            <v>FC/PSE</v>
          </cell>
          <cell r="L53" t="str">
            <v>COT</v>
          </cell>
          <cell r="M53">
            <v>46</v>
          </cell>
          <cell r="P53">
            <v>46</v>
          </cell>
          <cell r="Q53" t="str">
            <v>p</v>
          </cell>
          <cell r="S53">
            <v>1500</v>
          </cell>
          <cell r="T53">
            <v>1</v>
          </cell>
          <cell r="U53">
            <v>69000</v>
          </cell>
          <cell r="V53">
            <v>0</v>
          </cell>
          <cell r="W53">
            <v>0</v>
          </cell>
          <cell r="X53">
            <v>69000</v>
          </cell>
          <cell r="Y53">
            <v>69000</v>
          </cell>
          <cell r="Z53">
            <v>0</v>
          </cell>
          <cell r="AA53">
            <v>0</v>
          </cell>
          <cell r="AB53">
            <v>69000</v>
          </cell>
          <cell r="AC53">
            <v>0</v>
          </cell>
          <cell r="AD53">
            <v>0</v>
          </cell>
          <cell r="AE53">
            <v>0</v>
          </cell>
          <cell r="AF53">
            <v>0</v>
          </cell>
          <cell r="AG53">
            <v>0</v>
          </cell>
          <cell r="AH53">
            <v>0</v>
          </cell>
        </row>
        <row r="54">
          <cell r="H54" t="str">
            <v>Renforcement de capacité Services centraux du SNIES</v>
          </cell>
          <cell r="U54">
            <v>2721308.8319999999</v>
          </cell>
          <cell r="V54">
            <v>1288110.8223999999</v>
          </cell>
          <cell r="W54">
            <v>240000</v>
          </cell>
          <cell r="X54">
            <v>4249419.6544000003</v>
          </cell>
          <cell r="Y54">
            <v>2721308.8319999999</v>
          </cell>
          <cell r="Z54">
            <v>1288110.8223999999</v>
          </cell>
          <cell r="AA54">
            <v>240000</v>
          </cell>
          <cell r="AB54">
            <v>4249419.6544000003</v>
          </cell>
          <cell r="AC54">
            <v>0</v>
          </cell>
          <cell r="AD54">
            <v>0</v>
          </cell>
          <cell r="AE54">
            <v>0</v>
          </cell>
          <cell r="AF54">
            <v>0</v>
          </cell>
          <cell r="AH54">
            <v>0</v>
          </cell>
        </row>
        <row r="55">
          <cell r="B55" t="str">
            <v>SNIES</v>
          </cell>
          <cell r="C55" t="str">
            <v>G</v>
          </cell>
          <cell r="D55" t="str">
            <v>12C</v>
          </cell>
          <cell r="E55" t="str">
            <v>SNIES</v>
          </cell>
          <cell r="F55" t="str">
            <v>FC/CN</v>
          </cell>
          <cell r="G55">
            <v>21</v>
          </cell>
          <cell r="H55" t="str">
            <v>Assistance à Maîtrise d'ouvrage au SNIES (préscol, prim et sec)</v>
          </cell>
          <cell r="I55" t="str">
            <v>CN/PSE</v>
          </cell>
          <cell r="K55" t="str">
            <v>FC/PSE</v>
          </cell>
          <cell r="L55" t="str">
            <v>CR</v>
          </cell>
          <cell r="M55">
            <v>1</v>
          </cell>
          <cell r="N55">
            <v>1</v>
          </cell>
          <cell r="O55">
            <v>1</v>
          </cell>
          <cell r="P55">
            <v>3</v>
          </cell>
          <cell r="Q55" t="str">
            <v>forfait</v>
          </cell>
          <cell r="R55" t="str">
            <v>coût total</v>
          </cell>
          <cell r="S55">
            <v>0.01</v>
          </cell>
          <cell r="T55">
            <v>1</v>
          </cell>
          <cell r="U55">
            <v>2353514.432</v>
          </cell>
          <cell r="V55">
            <v>1048110.8224000001</v>
          </cell>
          <cell r="W55">
            <v>0</v>
          </cell>
          <cell r="X55">
            <v>3401625.2544</v>
          </cell>
          <cell r="Y55">
            <v>2353514.432</v>
          </cell>
          <cell r="Z55">
            <v>1048110.8224000001</v>
          </cell>
          <cell r="AA55">
            <v>0</v>
          </cell>
          <cell r="AB55">
            <v>3401625.2544</v>
          </cell>
          <cell r="AC55">
            <v>0</v>
          </cell>
          <cell r="AD55">
            <v>0</v>
          </cell>
          <cell r="AE55">
            <v>0</v>
          </cell>
          <cell r="AF55">
            <v>0</v>
          </cell>
          <cell r="AG55">
            <v>0</v>
          </cell>
          <cell r="AH55">
            <v>0</v>
          </cell>
        </row>
        <row r="56">
          <cell r="B56" t="str">
            <v>SNIES</v>
          </cell>
          <cell r="C56" t="str">
            <v>G</v>
          </cell>
          <cell r="D56" t="str">
            <v>12C</v>
          </cell>
          <cell r="E56" t="str">
            <v>SNIES</v>
          </cell>
          <cell r="F56" t="str">
            <v>FC/CN</v>
          </cell>
          <cell r="G56">
            <v>22</v>
          </cell>
          <cell r="H56" t="str">
            <v>Aménagement des locaux du SNIES</v>
          </cell>
          <cell r="I56" t="str">
            <v>SNIES</v>
          </cell>
          <cell r="K56" t="str">
            <v>FC/PSE</v>
          </cell>
          <cell r="L56" t="str">
            <v>COT</v>
          </cell>
          <cell r="M56">
            <v>1</v>
          </cell>
          <cell r="P56">
            <v>1</v>
          </cell>
          <cell r="Q56" t="str">
            <v>forfait</v>
          </cell>
          <cell r="S56">
            <v>45000</v>
          </cell>
          <cell r="T56">
            <v>1</v>
          </cell>
          <cell r="U56">
            <v>45000</v>
          </cell>
          <cell r="V56">
            <v>0</v>
          </cell>
          <cell r="W56">
            <v>0</v>
          </cell>
          <cell r="X56">
            <v>45000</v>
          </cell>
          <cell r="Y56">
            <v>45000</v>
          </cell>
          <cell r="Z56">
            <v>0</v>
          </cell>
          <cell r="AA56">
            <v>0</v>
          </cell>
          <cell r="AB56">
            <v>45000</v>
          </cell>
          <cell r="AC56">
            <v>0</v>
          </cell>
          <cell r="AD56">
            <v>0</v>
          </cell>
          <cell r="AE56">
            <v>0</v>
          </cell>
          <cell r="AF56">
            <v>0</v>
          </cell>
          <cell r="AG56">
            <v>0</v>
          </cell>
          <cell r="AH56">
            <v>0</v>
          </cell>
        </row>
        <row r="57">
          <cell r="B57" t="str">
            <v>SNIES</v>
          </cell>
          <cell r="C57" t="str">
            <v>G</v>
          </cell>
          <cell r="D57" t="str">
            <v>12C</v>
          </cell>
          <cell r="E57" t="str">
            <v>SNIES</v>
          </cell>
          <cell r="F57" t="str">
            <v>FC/CN</v>
          </cell>
          <cell r="G57">
            <v>15</v>
          </cell>
          <cell r="H57" t="str">
            <v>Fonctionnement du SNIES</v>
          </cell>
          <cell r="I57" t="str">
            <v>SNIES</v>
          </cell>
          <cell r="K57" t="str">
            <v>FC/PSE</v>
          </cell>
          <cell r="L57" t="str">
            <v>AUT</v>
          </cell>
          <cell r="M57">
            <v>3</v>
          </cell>
          <cell r="N57">
            <v>12</v>
          </cell>
          <cell r="O57">
            <v>12</v>
          </cell>
          <cell r="P57">
            <v>27</v>
          </cell>
          <cell r="Q57" t="str">
            <v>mois</v>
          </cell>
          <cell r="S57">
            <v>10000</v>
          </cell>
          <cell r="T57">
            <v>1</v>
          </cell>
          <cell r="U57">
            <v>30000</v>
          </cell>
          <cell r="V57">
            <v>120000</v>
          </cell>
          <cell r="W57">
            <v>120000</v>
          </cell>
          <cell r="X57">
            <v>270000</v>
          </cell>
          <cell r="Y57">
            <v>30000</v>
          </cell>
          <cell r="Z57">
            <v>120000</v>
          </cell>
          <cell r="AA57">
            <v>120000</v>
          </cell>
          <cell r="AB57">
            <v>270000</v>
          </cell>
          <cell r="AC57">
            <v>0</v>
          </cell>
          <cell r="AD57">
            <v>0</v>
          </cell>
          <cell r="AE57">
            <v>0</v>
          </cell>
          <cell r="AF57">
            <v>0</v>
          </cell>
          <cell r="AG57">
            <v>0</v>
          </cell>
          <cell r="AH57">
            <v>0</v>
          </cell>
        </row>
        <row r="58">
          <cell r="B58" t="str">
            <v>SNIES</v>
          </cell>
          <cell r="C58" t="str">
            <v>G</v>
          </cell>
          <cell r="D58" t="str">
            <v>12C</v>
          </cell>
          <cell r="E58" t="str">
            <v>SNIES</v>
          </cell>
          <cell r="F58" t="str">
            <v>FC/CN</v>
          </cell>
          <cell r="G58">
            <v>11</v>
          </cell>
          <cell r="H58" t="str">
            <v>Ingénieurs contractuels 2p x 3mois</v>
          </cell>
          <cell r="I58" t="str">
            <v>SNIES</v>
          </cell>
          <cell r="K58" t="str">
            <v>FC/PSE</v>
          </cell>
          <cell r="L58" t="str">
            <v>AUT</v>
          </cell>
          <cell r="M58">
            <v>6</v>
          </cell>
          <cell r="N58">
            <v>24</v>
          </cell>
          <cell r="O58">
            <v>24</v>
          </cell>
          <cell r="P58">
            <v>54</v>
          </cell>
          <cell r="Q58" t="str">
            <v>mois</v>
          </cell>
          <cell r="R58" t="str">
            <v>ing</v>
          </cell>
          <cell r="S58">
            <v>2500.0000000000005</v>
          </cell>
          <cell r="T58">
            <v>1</v>
          </cell>
          <cell r="U58">
            <v>15000.000000000004</v>
          </cell>
          <cell r="V58">
            <v>60000.000000000015</v>
          </cell>
          <cell r="W58">
            <v>60000.000000000015</v>
          </cell>
          <cell r="X58">
            <v>135000.00000000003</v>
          </cell>
          <cell r="Y58">
            <v>15000.000000000004</v>
          </cell>
          <cell r="Z58">
            <v>60000.000000000015</v>
          </cell>
          <cell r="AA58">
            <v>60000.000000000015</v>
          </cell>
          <cell r="AB58">
            <v>135000.00000000003</v>
          </cell>
          <cell r="AC58">
            <v>0</v>
          </cell>
          <cell r="AD58">
            <v>0</v>
          </cell>
          <cell r="AE58">
            <v>0</v>
          </cell>
          <cell r="AF58">
            <v>0</v>
          </cell>
          <cell r="AG58">
            <v>0</v>
          </cell>
          <cell r="AH58">
            <v>0</v>
          </cell>
        </row>
        <row r="59">
          <cell r="B59" t="str">
            <v>SNIES</v>
          </cell>
          <cell r="C59" t="str">
            <v>G</v>
          </cell>
          <cell r="D59" t="str">
            <v>12C</v>
          </cell>
          <cell r="E59" t="str">
            <v>SNIES</v>
          </cell>
          <cell r="F59" t="str">
            <v>FC/CN</v>
          </cell>
          <cell r="G59">
            <v>11</v>
          </cell>
          <cell r="H59" t="str">
            <v>Architectes contractuels 2p x 3mois</v>
          </cell>
          <cell r="I59" t="str">
            <v>SNIES</v>
          </cell>
          <cell r="K59" t="str">
            <v>FC/PSE</v>
          </cell>
          <cell r="L59" t="str">
            <v>AUT</v>
          </cell>
          <cell r="M59">
            <v>6</v>
          </cell>
          <cell r="N59">
            <v>24</v>
          </cell>
          <cell r="O59">
            <v>24</v>
          </cell>
          <cell r="P59">
            <v>54</v>
          </cell>
          <cell r="Q59" t="str">
            <v>mois</v>
          </cell>
          <cell r="R59" t="str">
            <v>ing</v>
          </cell>
          <cell r="S59">
            <v>2500.0000000000005</v>
          </cell>
          <cell r="T59">
            <v>1</v>
          </cell>
          <cell r="U59">
            <v>15000.000000000004</v>
          </cell>
          <cell r="V59">
            <v>60000.000000000015</v>
          </cell>
          <cell r="W59">
            <v>60000.000000000015</v>
          </cell>
          <cell r="X59">
            <v>135000.00000000003</v>
          </cell>
          <cell r="Y59">
            <v>15000.000000000004</v>
          </cell>
          <cell r="Z59">
            <v>60000.000000000015</v>
          </cell>
          <cell r="AA59">
            <v>60000.000000000015</v>
          </cell>
          <cell r="AB59">
            <v>135000.00000000003</v>
          </cell>
          <cell r="AC59">
            <v>0</v>
          </cell>
          <cell r="AD59">
            <v>0</v>
          </cell>
          <cell r="AE59">
            <v>0</v>
          </cell>
          <cell r="AF59">
            <v>0</v>
          </cell>
          <cell r="AG59">
            <v>0</v>
          </cell>
          <cell r="AH59">
            <v>0</v>
          </cell>
        </row>
        <row r="60">
          <cell r="B60" t="str">
            <v>SNIES</v>
          </cell>
          <cell r="C60" t="str">
            <v>G</v>
          </cell>
          <cell r="D60" t="str">
            <v>12C</v>
          </cell>
          <cell r="E60" t="str">
            <v>SNIES</v>
          </cell>
          <cell r="F60" t="str">
            <v>FC/CN</v>
          </cell>
          <cell r="G60">
            <v>23</v>
          </cell>
          <cell r="H60" t="str">
            <v xml:space="preserve">Ordinateurs portables avec mini imprimante  6 u </v>
          </cell>
          <cell r="I60" t="str">
            <v>CN/PSE</v>
          </cell>
          <cell r="K60" t="str">
            <v>FC/PSE</v>
          </cell>
          <cell r="L60" t="str">
            <v>AOI</v>
          </cell>
          <cell r="M60">
            <v>6</v>
          </cell>
          <cell r="P60">
            <v>6</v>
          </cell>
          <cell r="Q60" t="str">
            <v>u</v>
          </cell>
          <cell r="S60">
            <v>11250</v>
          </cell>
          <cell r="T60">
            <v>1</v>
          </cell>
          <cell r="U60">
            <v>67500</v>
          </cell>
          <cell r="V60">
            <v>0</v>
          </cell>
          <cell r="W60">
            <v>0</v>
          </cell>
          <cell r="X60">
            <v>67500</v>
          </cell>
          <cell r="Y60">
            <v>67500</v>
          </cell>
          <cell r="Z60">
            <v>0</v>
          </cell>
          <cell r="AA60">
            <v>0</v>
          </cell>
          <cell r="AB60">
            <v>67500</v>
          </cell>
          <cell r="AC60">
            <v>0</v>
          </cell>
          <cell r="AD60">
            <v>0</v>
          </cell>
          <cell r="AE60">
            <v>0</v>
          </cell>
          <cell r="AF60">
            <v>0</v>
          </cell>
          <cell r="AG60">
            <v>0</v>
          </cell>
          <cell r="AH60">
            <v>0</v>
          </cell>
        </row>
        <row r="61">
          <cell r="B61" t="str">
            <v>SNIES</v>
          </cell>
          <cell r="C61" t="str">
            <v>G</v>
          </cell>
          <cell r="D61" t="str">
            <v>12C</v>
          </cell>
          <cell r="E61" t="str">
            <v>SNIES</v>
          </cell>
          <cell r="F61" t="str">
            <v>FC/CN</v>
          </cell>
          <cell r="G61">
            <v>12</v>
          </cell>
          <cell r="H61" t="str">
            <v>Formation Excel Autocad Archicad pour 5p x 4sem (base données SNIES SNIEM)</v>
          </cell>
          <cell r="I61" t="str">
            <v>CN/PSE</v>
          </cell>
          <cell r="K61" t="str">
            <v>FC/PSE</v>
          </cell>
          <cell r="L61" t="str">
            <v>COT</v>
          </cell>
          <cell r="M61">
            <v>20</v>
          </cell>
          <cell r="P61">
            <v>20</v>
          </cell>
          <cell r="Q61" t="str">
            <v>pxs</v>
          </cell>
          <cell r="R61" t="str">
            <v>fbu</v>
          </cell>
          <cell r="S61">
            <v>1000</v>
          </cell>
          <cell r="T61">
            <v>1</v>
          </cell>
          <cell r="U61">
            <v>20000</v>
          </cell>
          <cell r="V61">
            <v>0</v>
          </cell>
          <cell r="W61">
            <v>0</v>
          </cell>
          <cell r="X61">
            <v>20000</v>
          </cell>
          <cell r="Y61">
            <v>20000</v>
          </cell>
          <cell r="Z61">
            <v>0</v>
          </cell>
          <cell r="AA61">
            <v>0</v>
          </cell>
          <cell r="AB61">
            <v>20000</v>
          </cell>
          <cell r="AC61">
            <v>0</v>
          </cell>
          <cell r="AD61">
            <v>0</v>
          </cell>
          <cell r="AE61">
            <v>0</v>
          </cell>
          <cell r="AF61">
            <v>0</v>
          </cell>
          <cell r="AG61">
            <v>0</v>
          </cell>
          <cell r="AH61">
            <v>0</v>
          </cell>
        </row>
        <row r="62">
          <cell r="B62" t="str">
            <v>SNIES</v>
          </cell>
          <cell r="C62" t="str">
            <v>G</v>
          </cell>
          <cell r="D62" t="str">
            <v>12C</v>
          </cell>
          <cell r="E62" t="str">
            <v>SNIES</v>
          </cell>
          <cell r="F62" t="str">
            <v>FC/CN</v>
          </cell>
          <cell r="G62">
            <v>23</v>
          </cell>
          <cell r="H62" t="str">
            <v>Appareils photo numérique</v>
          </cell>
          <cell r="I62" t="str">
            <v>CN/PSE</v>
          </cell>
          <cell r="K62" t="str">
            <v>FC/PSE</v>
          </cell>
          <cell r="L62" t="str">
            <v>AOI</v>
          </cell>
          <cell r="M62">
            <v>5</v>
          </cell>
          <cell r="P62">
            <v>5</v>
          </cell>
          <cell r="Q62" t="str">
            <v>u</v>
          </cell>
          <cell r="S62">
            <v>590.88</v>
          </cell>
          <cell r="T62">
            <v>1</v>
          </cell>
          <cell r="U62">
            <v>2954.4</v>
          </cell>
          <cell r="V62">
            <v>0</v>
          </cell>
          <cell r="W62">
            <v>0</v>
          </cell>
          <cell r="X62">
            <v>2954.4</v>
          </cell>
          <cell r="Y62">
            <v>2954.4</v>
          </cell>
          <cell r="Z62">
            <v>0</v>
          </cell>
          <cell r="AA62">
            <v>0</v>
          </cell>
          <cell r="AB62">
            <v>2954.4</v>
          </cell>
          <cell r="AC62">
            <v>0</v>
          </cell>
          <cell r="AD62">
            <v>0</v>
          </cell>
          <cell r="AE62">
            <v>0</v>
          </cell>
          <cell r="AF62">
            <v>0</v>
          </cell>
          <cell r="AG62">
            <v>0</v>
          </cell>
          <cell r="AH62">
            <v>0</v>
          </cell>
        </row>
        <row r="63">
          <cell r="B63" t="str">
            <v>SNIES</v>
          </cell>
          <cell r="C63" t="str">
            <v>G</v>
          </cell>
          <cell r="D63" t="str">
            <v>12C</v>
          </cell>
          <cell r="E63" t="str">
            <v>SNIES</v>
          </cell>
          <cell r="F63" t="str">
            <v>FC/CN</v>
          </cell>
          <cell r="G63">
            <v>23</v>
          </cell>
          <cell r="H63" t="str">
            <v>Véhicule 4x4 PU 2CAB</v>
          </cell>
          <cell r="I63" t="str">
            <v>CN/PSE</v>
          </cell>
          <cell r="K63" t="str">
            <v>FC/PSE</v>
          </cell>
          <cell r="L63" t="str">
            <v>AOI</v>
          </cell>
          <cell r="M63">
            <v>1</v>
          </cell>
          <cell r="P63">
            <v>1</v>
          </cell>
          <cell r="Q63" t="str">
            <v>u</v>
          </cell>
          <cell r="R63" t="str">
            <v>vdc</v>
          </cell>
          <cell r="S63">
            <v>172340</v>
          </cell>
          <cell r="T63">
            <v>1</v>
          </cell>
          <cell r="U63">
            <v>172340</v>
          </cell>
          <cell r="V63">
            <v>0</v>
          </cell>
          <cell r="W63">
            <v>0</v>
          </cell>
          <cell r="X63">
            <v>172340</v>
          </cell>
          <cell r="Y63">
            <v>172340</v>
          </cell>
          <cell r="Z63">
            <v>0</v>
          </cell>
          <cell r="AA63">
            <v>0</v>
          </cell>
          <cell r="AB63">
            <v>172340</v>
          </cell>
          <cell r="AC63">
            <v>0</v>
          </cell>
          <cell r="AD63">
            <v>0</v>
          </cell>
          <cell r="AE63">
            <v>0</v>
          </cell>
          <cell r="AF63">
            <v>0</v>
          </cell>
          <cell r="AG63">
            <v>0</v>
          </cell>
          <cell r="AH63">
            <v>0</v>
          </cell>
        </row>
        <row r="64">
          <cell r="H64" t="str">
            <v>Manuels scolaires primaire</v>
          </cell>
          <cell r="U64">
            <v>37126249.200000003</v>
          </cell>
          <cell r="V64">
            <v>0</v>
          </cell>
          <cell r="W64">
            <v>0</v>
          </cell>
          <cell r="X64">
            <v>37126249.200000003</v>
          </cell>
          <cell r="Y64">
            <v>37126249.200000003</v>
          </cell>
          <cell r="Z64">
            <v>0</v>
          </cell>
          <cell r="AA64">
            <v>0</v>
          </cell>
          <cell r="AB64">
            <v>37126249.200000003</v>
          </cell>
          <cell r="AC64">
            <v>0</v>
          </cell>
          <cell r="AD64">
            <v>0</v>
          </cell>
          <cell r="AE64">
            <v>0</v>
          </cell>
          <cell r="AF64">
            <v>0</v>
          </cell>
          <cell r="AG64">
            <v>0</v>
          </cell>
          <cell r="AH64">
            <v>0</v>
          </cell>
        </row>
        <row r="65">
          <cell r="B65" t="str">
            <v>INRAP/DNEE</v>
          </cell>
          <cell r="C65" t="str">
            <v>Q</v>
          </cell>
          <cell r="D65" t="str">
            <v>12D</v>
          </cell>
          <cell r="E65" t="str">
            <v>EP/</v>
          </cell>
          <cell r="F65" t="str">
            <v>FC/CN</v>
          </cell>
          <cell r="G65">
            <v>24</v>
          </cell>
          <cell r="H65" t="str">
            <v>Réimpression programmes d'études 60 p x 10000 ex</v>
          </cell>
          <cell r="I65" t="str">
            <v>CN/PSE</v>
          </cell>
          <cell r="K65" t="str">
            <v>FC/PSE</v>
          </cell>
          <cell r="L65" t="str">
            <v>COT</v>
          </cell>
          <cell r="M65">
            <v>600000</v>
          </cell>
          <cell r="P65">
            <v>600000</v>
          </cell>
          <cell r="Q65" t="str">
            <v>u</v>
          </cell>
          <cell r="R65" t="str">
            <v>rep</v>
          </cell>
          <cell r="S65">
            <v>0.30000000000000004</v>
          </cell>
          <cell r="T65">
            <v>1</v>
          </cell>
          <cell r="U65">
            <v>180000.00000000003</v>
          </cell>
          <cell r="V65">
            <v>0</v>
          </cell>
          <cell r="W65">
            <v>0</v>
          </cell>
          <cell r="X65">
            <v>180000.00000000003</v>
          </cell>
          <cell r="Y65">
            <v>180000.00000000003</v>
          </cell>
          <cell r="Z65">
            <v>0</v>
          </cell>
          <cell r="AA65">
            <v>0</v>
          </cell>
          <cell r="AB65">
            <v>180000.00000000003</v>
          </cell>
          <cell r="AC65">
            <v>0</v>
          </cell>
          <cell r="AD65">
            <v>0</v>
          </cell>
          <cell r="AE65">
            <v>0</v>
          </cell>
          <cell r="AF65">
            <v>0</v>
          </cell>
          <cell r="AG65">
            <v>0</v>
          </cell>
          <cell r="AH65">
            <v>0</v>
          </cell>
        </row>
        <row r="66">
          <cell r="B66" t="str">
            <v>INRAP/DNEE</v>
          </cell>
          <cell r="C66" t="str">
            <v>Q</v>
          </cell>
          <cell r="D66" t="str">
            <v>12D</v>
          </cell>
          <cell r="E66" t="str">
            <v>EP/</v>
          </cell>
          <cell r="F66" t="str">
            <v>FC/CN</v>
          </cell>
          <cell r="G66">
            <v>24</v>
          </cell>
          <cell r="H66" t="str">
            <v>Réimpression manuel français An 1 à 6</v>
          </cell>
          <cell r="I66" t="str">
            <v>CN/PSE</v>
          </cell>
          <cell r="K66" t="str">
            <v>FC/PSE</v>
          </cell>
          <cell r="L66" t="str">
            <v>AOI</v>
          </cell>
          <cell r="M66">
            <v>1326700</v>
          </cell>
          <cell r="P66">
            <v>1326700</v>
          </cell>
          <cell r="Q66" t="str">
            <v>u</v>
          </cell>
          <cell r="R66" t="str">
            <v>rmp</v>
          </cell>
          <cell r="S66">
            <v>7.386000000000001</v>
          </cell>
          <cell r="T66">
            <v>1</v>
          </cell>
          <cell r="U66">
            <v>9799006.2000000011</v>
          </cell>
          <cell r="V66">
            <v>0</v>
          </cell>
          <cell r="W66">
            <v>0</v>
          </cell>
          <cell r="X66">
            <v>9799006.2000000011</v>
          </cell>
          <cell r="Y66">
            <v>9799006.2000000011</v>
          </cell>
          <cell r="Z66">
            <v>0</v>
          </cell>
          <cell r="AA66">
            <v>0</v>
          </cell>
          <cell r="AB66">
            <v>9799006.2000000011</v>
          </cell>
          <cell r="AC66">
            <v>0</v>
          </cell>
          <cell r="AD66">
            <v>0</v>
          </cell>
          <cell r="AE66">
            <v>0</v>
          </cell>
          <cell r="AF66">
            <v>0</v>
          </cell>
          <cell r="AG66">
            <v>0</v>
          </cell>
          <cell r="AH66">
            <v>0</v>
          </cell>
        </row>
        <row r="67">
          <cell r="B67" t="str">
            <v>INRAP/DNEE</v>
          </cell>
          <cell r="C67" t="str">
            <v>Q</v>
          </cell>
          <cell r="D67" t="str">
            <v>12D</v>
          </cell>
          <cell r="E67" t="str">
            <v>EP/</v>
          </cell>
          <cell r="F67" t="str">
            <v>FC/CN</v>
          </cell>
          <cell r="G67">
            <v>24</v>
          </cell>
          <cell r="H67" t="str">
            <v>Edition guide français : 3è année et 4è année</v>
          </cell>
          <cell r="I67" t="str">
            <v>CN/PSE</v>
          </cell>
          <cell r="K67" t="str">
            <v>FC/PSE</v>
          </cell>
          <cell r="L67" t="str">
            <v>AOI</v>
          </cell>
          <cell r="M67">
            <v>11000</v>
          </cell>
          <cell r="P67">
            <v>11000</v>
          </cell>
          <cell r="Q67" t="str">
            <v>u</v>
          </cell>
          <cell r="R67" t="str">
            <v>egp</v>
          </cell>
          <cell r="S67">
            <v>14.772000000000002</v>
          </cell>
          <cell r="T67">
            <v>1</v>
          </cell>
          <cell r="U67">
            <v>162492.00000000003</v>
          </cell>
          <cell r="V67">
            <v>0</v>
          </cell>
          <cell r="W67">
            <v>0</v>
          </cell>
          <cell r="X67">
            <v>162492.00000000003</v>
          </cell>
          <cell r="Y67">
            <v>162492.00000000003</v>
          </cell>
          <cell r="Z67">
            <v>0</v>
          </cell>
          <cell r="AA67">
            <v>0</v>
          </cell>
          <cell r="AB67">
            <v>162492.00000000003</v>
          </cell>
          <cell r="AC67">
            <v>0</v>
          </cell>
          <cell r="AD67">
            <v>0</v>
          </cell>
          <cell r="AE67">
            <v>0</v>
          </cell>
          <cell r="AF67">
            <v>0</v>
          </cell>
          <cell r="AG67">
            <v>0</v>
          </cell>
          <cell r="AH67">
            <v>0</v>
          </cell>
        </row>
        <row r="68">
          <cell r="B68" t="str">
            <v>INRAP/DNEE</v>
          </cell>
          <cell r="C68" t="str">
            <v>Q</v>
          </cell>
          <cell r="D68" t="str">
            <v>12D</v>
          </cell>
          <cell r="E68" t="str">
            <v>EP/</v>
          </cell>
          <cell r="F68" t="str">
            <v>FC/CN</v>
          </cell>
          <cell r="G68">
            <v>24</v>
          </cell>
          <cell r="H68" t="str">
            <v>Réimpression manuel calcul An 1 à 6</v>
          </cell>
          <cell r="I68" t="str">
            <v>CN/PSE</v>
          </cell>
          <cell r="K68" t="str">
            <v>FC/PSE</v>
          </cell>
          <cell r="L68" t="str">
            <v>AOI</v>
          </cell>
          <cell r="M68">
            <v>1326700</v>
          </cell>
          <cell r="P68">
            <v>1326700</v>
          </cell>
          <cell r="Q68" t="str">
            <v>u</v>
          </cell>
          <cell r="R68" t="str">
            <v>rmp</v>
          </cell>
          <cell r="S68">
            <v>7.386000000000001</v>
          </cell>
          <cell r="T68">
            <v>1</v>
          </cell>
          <cell r="U68">
            <v>9799006.2000000011</v>
          </cell>
          <cell r="V68">
            <v>0</v>
          </cell>
          <cell r="W68">
            <v>0</v>
          </cell>
          <cell r="X68">
            <v>9799006.2000000011</v>
          </cell>
          <cell r="Y68">
            <v>9799006.2000000011</v>
          </cell>
          <cell r="Z68">
            <v>0</v>
          </cell>
          <cell r="AA68">
            <v>0</v>
          </cell>
          <cell r="AB68">
            <v>9799006.2000000011</v>
          </cell>
          <cell r="AC68">
            <v>0</v>
          </cell>
          <cell r="AD68">
            <v>0</v>
          </cell>
          <cell r="AE68">
            <v>0</v>
          </cell>
          <cell r="AF68">
            <v>0</v>
          </cell>
          <cell r="AG68">
            <v>0</v>
          </cell>
          <cell r="AH68">
            <v>0</v>
          </cell>
        </row>
        <row r="69">
          <cell r="B69" t="str">
            <v>INRAP/DNEE</v>
          </cell>
          <cell r="C69" t="str">
            <v>Q</v>
          </cell>
          <cell r="D69" t="str">
            <v>12D</v>
          </cell>
          <cell r="E69" t="str">
            <v>EP/</v>
          </cell>
          <cell r="F69" t="str">
            <v>FC/CN</v>
          </cell>
          <cell r="G69">
            <v>24</v>
          </cell>
          <cell r="H69" t="str">
            <v>Edition guide calcul :  1ere à 5è années</v>
          </cell>
          <cell r="I69" t="str">
            <v>CN/PSE</v>
          </cell>
          <cell r="K69" t="str">
            <v>FC/PSE</v>
          </cell>
          <cell r="L69" t="str">
            <v>AOI</v>
          </cell>
          <cell r="M69">
            <v>27900</v>
          </cell>
          <cell r="P69">
            <v>27900</v>
          </cell>
          <cell r="Q69" t="str">
            <v>u</v>
          </cell>
          <cell r="R69" t="str">
            <v>egp</v>
          </cell>
          <cell r="S69">
            <v>14.772000000000002</v>
          </cell>
          <cell r="T69">
            <v>1</v>
          </cell>
          <cell r="U69">
            <v>412138.80000000005</v>
          </cell>
          <cell r="V69">
            <v>0</v>
          </cell>
          <cell r="W69">
            <v>0</v>
          </cell>
          <cell r="X69">
            <v>412138.80000000005</v>
          </cell>
          <cell r="Y69">
            <v>412138.80000000005</v>
          </cell>
          <cell r="Z69">
            <v>0</v>
          </cell>
          <cell r="AA69">
            <v>0</v>
          </cell>
          <cell r="AB69">
            <v>412138.80000000005</v>
          </cell>
          <cell r="AC69">
            <v>0</v>
          </cell>
          <cell r="AD69">
            <v>0</v>
          </cell>
          <cell r="AE69">
            <v>0</v>
          </cell>
          <cell r="AF69">
            <v>0</v>
          </cell>
          <cell r="AG69">
            <v>0</v>
          </cell>
          <cell r="AH69">
            <v>0</v>
          </cell>
        </row>
        <row r="70">
          <cell r="B70" t="str">
            <v>INRAP/DNEE</v>
          </cell>
          <cell r="C70" t="str">
            <v>Q</v>
          </cell>
          <cell r="D70" t="str">
            <v>12D</v>
          </cell>
          <cell r="E70" t="str">
            <v>EP/</v>
          </cell>
          <cell r="F70" t="str">
            <v>FC/CN</v>
          </cell>
          <cell r="G70">
            <v>24</v>
          </cell>
          <cell r="H70" t="str">
            <v>Réimpr. man. sc. de l'observation : 1ere, 2è, 3è, 4è, 5è et 6è années</v>
          </cell>
          <cell r="I70" t="str">
            <v>CN/PSE</v>
          </cell>
          <cell r="K70" t="str">
            <v>FC/PSE</v>
          </cell>
          <cell r="L70" t="str">
            <v>AOI</v>
          </cell>
          <cell r="M70">
            <v>580700</v>
          </cell>
          <cell r="P70">
            <v>580700</v>
          </cell>
          <cell r="Q70" t="str">
            <v>u</v>
          </cell>
          <cell r="R70" t="str">
            <v>rmp</v>
          </cell>
          <cell r="S70">
            <v>7.386000000000001</v>
          </cell>
          <cell r="T70">
            <v>1</v>
          </cell>
          <cell r="U70">
            <v>4289050.2</v>
          </cell>
          <cell r="V70">
            <v>0</v>
          </cell>
          <cell r="W70">
            <v>0</v>
          </cell>
          <cell r="X70">
            <v>4289050.2</v>
          </cell>
          <cell r="Y70">
            <v>4289050.2</v>
          </cell>
          <cell r="Z70">
            <v>0</v>
          </cell>
          <cell r="AA70">
            <v>0</v>
          </cell>
          <cell r="AB70">
            <v>4289050.2</v>
          </cell>
          <cell r="AC70">
            <v>0</v>
          </cell>
          <cell r="AD70">
            <v>0</v>
          </cell>
          <cell r="AE70">
            <v>0</v>
          </cell>
          <cell r="AF70">
            <v>0</v>
          </cell>
          <cell r="AG70">
            <v>0</v>
          </cell>
          <cell r="AH70">
            <v>0</v>
          </cell>
        </row>
        <row r="71">
          <cell r="B71" t="str">
            <v>INRAP/DNEE</v>
          </cell>
          <cell r="C71" t="str">
            <v>Q</v>
          </cell>
          <cell r="D71" t="str">
            <v>12D</v>
          </cell>
          <cell r="E71" t="str">
            <v>EP/</v>
          </cell>
          <cell r="F71" t="str">
            <v>FC/CN</v>
          </cell>
          <cell r="G71">
            <v>24</v>
          </cell>
          <cell r="H71" t="str">
            <v>Edition guide sc. de l'observation : 1ere à 6è années</v>
          </cell>
          <cell r="I71" t="str">
            <v>CN/PSE</v>
          </cell>
          <cell r="K71" t="str">
            <v>FC/PSE</v>
          </cell>
          <cell r="L71" t="str">
            <v>AOI</v>
          </cell>
          <cell r="M71">
            <v>31900</v>
          </cell>
          <cell r="P71">
            <v>31900</v>
          </cell>
          <cell r="Q71" t="str">
            <v>u</v>
          </cell>
          <cell r="R71" t="str">
            <v>egp</v>
          </cell>
          <cell r="S71">
            <v>14.772000000000002</v>
          </cell>
          <cell r="T71">
            <v>1</v>
          </cell>
          <cell r="U71">
            <v>471226.80000000005</v>
          </cell>
          <cell r="V71">
            <v>0</v>
          </cell>
          <cell r="W71">
            <v>0</v>
          </cell>
          <cell r="X71">
            <v>471226.80000000005</v>
          </cell>
          <cell r="Y71">
            <v>471226.80000000005</v>
          </cell>
          <cell r="Z71">
            <v>0</v>
          </cell>
          <cell r="AA71">
            <v>0</v>
          </cell>
          <cell r="AB71">
            <v>471226.80000000005</v>
          </cell>
          <cell r="AC71">
            <v>0</v>
          </cell>
          <cell r="AD71">
            <v>0</v>
          </cell>
          <cell r="AE71">
            <v>0</v>
          </cell>
          <cell r="AF71">
            <v>0</v>
          </cell>
          <cell r="AG71">
            <v>0</v>
          </cell>
          <cell r="AH71">
            <v>0</v>
          </cell>
        </row>
        <row r="72">
          <cell r="B72" t="str">
            <v>INRAP/DNEE</v>
          </cell>
          <cell r="C72" t="str">
            <v>Q</v>
          </cell>
          <cell r="D72" t="str">
            <v>12D</v>
          </cell>
          <cell r="E72" t="str">
            <v>EP/</v>
          </cell>
          <cell r="F72" t="str">
            <v>FC/CN</v>
          </cell>
          <cell r="G72">
            <v>24</v>
          </cell>
          <cell r="H72" t="str">
            <v>Edition manuel morale et inst civique :  3è, 4è, 5è et 6è années</v>
          </cell>
          <cell r="I72" t="str">
            <v>CN/PSE</v>
          </cell>
          <cell r="K72" t="str">
            <v>FC/PSE</v>
          </cell>
          <cell r="L72" t="str">
            <v>AOI</v>
          </cell>
          <cell r="M72">
            <v>967800</v>
          </cell>
          <cell r="P72">
            <v>967800</v>
          </cell>
          <cell r="Q72" t="str">
            <v>u</v>
          </cell>
          <cell r="R72" t="str">
            <v>emp</v>
          </cell>
          <cell r="S72">
            <v>7.386000000000001</v>
          </cell>
          <cell r="T72">
            <v>1</v>
          </cell>
          <cell r="U72">
            <v>7148170.8000000007</v>
          </cell>
          <cell r="V72">
            <v>0</v>
          </cell>
          <cell r="W72">
            <v>0</v>
          </cell>
          <cell r="X72">
            <v>7148170.8000000007</v>
          </cell>
          <cell r="Y72">
            <v>7148170.8000000007</v>
          </cell>
          <cell r="Z72">
            <v>0</v>
          </cell>
          <cell r="AA72">
            <v>0</v>
          </cell>
          <cell r="AB72">
            <v>7148170.8000000007</v>
          </cell>
          <cell r="AC72">
            <v>0</v>
          </cell>
          <cell r="AD72">
            <v>0</v>
          </cell>
          <cell r="AE72">
            <v>0</v>
          </cell>
          <cell r="AF72">
            <v>0</v>
          </cell>
          <cell r="AG72">
            <v>0</v>
          </cell>
          <cell r="AH72">
            <v>0</v>
          </cell>
        </row>
        <row r="73">
          <cell r="B73" t="str">
            <v>INRAP/DNEE</v>
          </cell>
          <cell r="C73" t="str">
            <v>Q</v>
          </cell>
          <cell r="D73" t="str">
            <v>12D</v>
          </cell>
          <cell r="E73" t="str">
            <v>EP/</v>
          </cell>
          <cell r="F73" t="str">
            <v>FC/CN</v>
          </cell>
          <cell r="G73">
            <v>24</v>
          </cell>
          <cell r="H73" t="str">
            <v>Edition guide morale et inst civique :  3è, 4è, 5è et 6è années</v>
          </cell>
          <cell r="I73" t="str">
            <v>CN/PSE</v>
          </cell>
          <cell r="K73" t="str">
            <v>FC/PSE</v>
          </cell>
          <cell r="L73" t="str">
            <v>AOI</v>
          </cell>
          <cell r="M73">
            <v>19500</v>
          </cell>
          <cell r="P73">
            <v>19500</v>
          </cell>
          <cell r="Q73" t="str">
            <v>u</v>
          </cell>
          <cell r="R73" t="str">
            <v>egp</v>
          </cell>
          <cell r="S73">
            <v>14.772000000000002</v>
          </cell>
          <cell r="T73">
            <v>1</v>
          </cell>
          <cell r="U73">
            <v>288054.00000000006</v>
          </cell>
          <cell r="V73">
            <v>0</v>
          </cell>
          <cell r="W73">
            <v>0</v>
          </cell>
          <cell r="X73">
            <v>288054.00000000006</v>
          </cell>
          <cell r="Y73">
            <v>288054.00000000006</v>
          </cell>
          <cell r="Z73">
            <v>0</v>
          </cell>
          <cell r="AA73">
            <v>0</v>
          </cell>
          <cell r="AB73">
            <v>288054.00000000006</v>
          </cell>
          <cell r="AC73">
            <v>0</v>
          </cell>
          <cell r="AD73">
            <v>0</v>
          </cell>
          <cell r="AE73">
            <v>0</v>
          </cell>
          <cell r="AF73">
            <v>0</v>
          </cell>
          <cell r="AG73">
            <v>0</v>
          </cell>
          <cell r="AH73">
            <v>0</v>
          </cell>
        </row>
        <row r="74">
          <cell r="B74" t="str">
            <v>INRAP/DNEE</v>
          </cell>
          <cell r="C74" t="str">
            <v>Q</v>
          </cell>
          <cell r="D74" t="str">
            <v>12D</v>
          </cell>
          <cell r="E74" t="str">
            <v>EP/</v>
          </cell>
          <cell r="F74" t="str">
            <v>FC/CN</v>
          </cell>
          <cell r="G74">
            <v>24</v>
          </cell>
          <cell r="H74" t="str">
            <v>Réimp. manuel histo-geo :  3è, 4è, 5è et 6è années</v>
          </cell>
          <cell r="I74" t="str">
            <v>CN/PSE</v>
          </cell>
          <cell r="K74" t="str">
            <v>FC/PSE</v>
          </cell>
          <cell r="L74" t="str">
            <v>AOI</v>
          </cell>
          <cell r="M74">
            <v>580700</v>
          </cell>
          <cell r="P74">
            <v>580700</v>
          </cell>
          <cell r="Q74" t="str">
            <v>u</v>
          </cell>
          <cell r="R74" t="str">
            <v>rmp</v>
          </cell>
          <cell r="S74">
            <v>7.386000000000001</v>
          </cell>
          <cell r="T74">
            <v>1</v>
          </cell>
          <cell r="U74">
            <v>4289050.2</v>
          </cell>
          <cell r="V74">
            <v>0</v>
          </cell>
          <cell r="W74">
            <v>0</v>
          </cell>
          <cell r="X74">
            <v>4289050.2</v>
          </cell>
          <cell r="Y74">
            <v>4289050.2</v>
          </cell>
          <cell r="Z74">
            <v>0</v>
          </cell>
          <cell r="AA74">
            <v>0</v>
          </cell>
          <cell r="AB74">
            <v>4289050.2</v>
          </cell>
          <cell r="AC74">
            <v>0</v>
          </cell>
          <cell r="AD74">
            <v>0</v>
          </cell>
          <cell r="AE74">
            <v>0</v>
          </cell>
          <cell r="AF74">
            <v>0</v>
          </cell>
          <cell r="AG74">
            <v>0</v>
          </cell>
          <cell r="AH74">
            <v>0</v>
          </cell>
        </row>
        <row r="75">
          <cell r="B75" t="str">
            <v>INRAP/DNEE</v>
          </cell>
          <cell r="C75" t="str">
            <v>Q</v>
          </cell>
          <cell r="D75" t="str">
            <v>12D</v>
          </cell>
          <cell r="E75" t="str">
            <v>EP/</v>
          </cell>
          <cell r="F75" t="str">
            <v>FC/CN</v>
          </cell>
          <cell r="G75">
            <v>24</v>
          </cell>
          <cell r="H75" t="str">
            <v>Edition guide histo-geo :  3è, 4è, 5è et 6è années</v>
          </cell>
          <cell r="I75" t="str">
            <v>CN/PSE</v>
          </cell>
          <cell r="K75" t="str">
            <v>FC/PSE</v>
          </cell>
          <cell r="L75" t="str">
            <v>AOI</v>
          </cell>
          <cell r="M75">
            <v>19500</v>
          </cell>
          <cell r="P75">
            <v>19500</v>
          </cell>
          <cell r="Q75" t="str">
            <v>u</v>
          </cell>
          <cell r="R75" t="str">
            <v>egp</v>
          </cell>
          <cell r="S75">
            <v>14.772000000000002</v>
          </cell>
          <cell r="T75">
            <v>1</v>
          </cell>
          <cell r="U75">
            <v>288054.00000000006</v>
          </cell>
          <cell r="V75">
            <v>0</v>
          </cell>
          <cell r="W75">
            <v>0</v>
          </cell>
          <cell r="X75">
            <v>288054.00000000006</v>
          </cell>
          <cell r="Y75">
            <v>288054.00000000006</v>
          </cell>
          <cell r="Z75">
            <v>0</v>
          </cell>
          <cell r="AA75">
            <v>0</v>
          </cell>
          <cell r="AB75">
            <v>288054.00000000006</v>
          </cell>
          <cell r="AC75">
            <v>0</v>
          </cell>
          <cell r="AD75">
            <v>0</v>
          </cell>
          <cell r="AE75">
            <v>0</v>
          </cell>
          <cell r="AF75">
            <v>0</v>
          </cell>
          <cell r="AG75">
            <v>0</v>
          </cell>
          <cell r="AH75">
            <v>0</v>
          </cell>
        </row>
        <row r="76">
          <cell r="H76" t="str">
            <v>Formation continue des maîtres</v>
          </cell>
          <cell r="U76">
            <v>3225997.8</v>
          </cell>
          <cell r="V76">
            <v>13395357.716666665</v>
          </cell>
          <cell r="W76">
            <v>5833947.7166666668</v>
          </cell>
          <cell r="X76">
            <v>22455303.233333331</v>
          </cell>
          <cell r="Y76">
            <v>3225997.8</v>
          </cell>
          <cell r="Z76">
            <v>13395357.716666665</v>
          </cell>
          <cell r="AA76">
            <v>5833947.7166666668</v>
          </cell>
          <cell r="AB76">
            <v>22455303.233333331</v>
          </cell>
          <cell r="AC76">
            <v>0</v>
          </cell>
          <cell r="AD76">
            <v>0</v>
          </cell>
          <cell r="AE76">
            <v>0</v>
          </cell>
          <cell r="AF76">
            <v>0</v>
          </cell>
          <cell r="AG76">
            <v>0</v>
          </cell>
          <cell r="AH76">
            <v>0</v>
          </cell>
        </row>
        <row r="77">
          <cell r="H77" t="str">
            <v>Appuis au pilotage de la Formation continue</v>
          </cell>
        </row>
        <row r="78">
          <cell r="B78" t="str">
            <v>SNFP/APU</v>
          </cell>
          <cell r="C78" t="str">
            <v>Q</v>
          </cell>
          <cell r="D78" t="str">
            <v>12E</v>
          </cell>
          <cell r="E78" t="str">
            <v>IRE/</v>
          </cell>
          <cell r="F78" t="str">
            <v>FC/</v>
          </cell>
          <cell r="G78">
            <v>15</v>
          </cell>
          <cell r="H78" t="str">
            <v>SNFP Véhicule 4x4 PU 2CAB</v>
          </cell>
          <cell r="I78" t="str">
            <v>CN/PSE</v>
          </cell>
          <cell r="K78" t="str">
            <v>FC/PSE</v>
          </cell>
          <cell r="L78" t="str">
            <v>AOI</v>
          </cell>
          <cell r="M78">
            <v>1</v>
          </cell>
          <cell r="P78">
            <v>1</v>
          </cell>
          <cell r="Q78" t="str">
            <v>u</v>
          </cell>
          <cell r="R78" t="str">
            <v>vdc</v>
          </cell>
          <cell r="S78">
            <v>172340</v>
          </cell>
          <cell r="T78">
            <v>1</v>
          </cell>
          <cell r="U78">
            <v>172340</v>
          </cell>
          <cell r="V78">
            <v>0</v>
          </cell>
          <cell r="W78">
            <v>0</v>
          </cell>
          <cell r="X78">
            <v>172340</v>
          </cell>
          <cell r="Y78">
            <v>172340</v>
          </cell>
          <cell r="Z78">
            <v>0</v>
          </cell>
          <cell r="AA78">
            <v>0</v>
          </cell>
          <cell r="AB78">
            <v>172340</v>
          </cell>
          <cell r="AC78">
            <v>0</v>
          </cell>
          <cell r="AD78">
            <v>0</v>
          </cell>
          <cell r="AE78">
            <v>0</v>
          </cell>
          <cell r="AF78">
            <v>0</v>
          </cell>
          <cell r="AG78">
            <v>0</v>
          </cell>
          <cell r="AH78">
            <v>0</v>
          </cell>
        </row>
        <row r="79">
          <cell r="B79" t="str">
            <v>IGE/EPU</v>
          </cell>
          <cell r="C79" t="str">
            <v>G</v>
          </cell>
          <cell r="D79" t="str">
            <v>51C</v>
          </cell>
          <cell r="E79" t="str">
            <v>IGE/EPU</v>
          </cell>
          <cell r="F79" t="str">
            <v>FC/CN</v>
          </cell>
          <cell r="G79">
            <v>15</v>
          </cell>
          <cell r="H79" t="str">
            <v>Fonctionnement Commission Chargée des Enseignants Faibles</v>
          </cell>
          <cell r="I79" t="str">
            <v>CN/PSE</v>
          </cell>
          <cell r="K79" t="str">
            <v>FC/PSE</v>
          </cell>
          <cell r="L79" t="str">
            <v>AUT</v>
          </cell>
          <cell r="N79">
            <v>1</v>
          </cell>
          <cell r="P79">
            <v>1</v>
          </cell>
          <cell r="Q79" t="str">
            <v>forfait</v>
          </cell>
          <cell r="S79">
            <v>40000</v>
          </cell>
          <cell r="T79">
            <v>1</v>
          </cell>
          <cell r="U79">
            <v>0</v>
          </cell>
          <cell r="V79">
            <v>40000</v>
          </cell>
          <cell r="W79">
            <v>0</v>
          </cell>
          <cell r="X79">
            <v>40000</v>
          </cell>
          <cell r="Y79">
            <v>0</v>
          </cell>
          <cell r="Z79">
            <v>40000</v>
          </cell>
          <cell r="AA79">
            <v>0</v>
          </cell>
          <cell r="AB79">
            <v>40000</v>
          </cell>
          <cell r="AC79">
            <v>0</v>
          </cell>
          <cell r="AD79">
            <v>0</v>
          </cell>
          <cell r="AE79">
            <v>0</v>
          </cell>
          <cell r="AF79">
            <v>0</v>
          </cell>
          <cell r="AG79">
            <v>0</v>
          </cell>
          <cell r="AH79">
            <v>0</v>
          </cell>
        </row>
        <row r="80">
          <cell r="H80" t="str">
            <v>Préparation de la formation continue</v>
          </cell>
        </row>
        <row r="81">
          <cell r="B81" t="str">
            <v>DNEE/SNFP</v>
          </cell>
          <cell r="C81" t="str">
            <v>Q</v>
          </cell>
          <cell r="D81" t="str">
            <v>12E</v>
          </cell>
          <cell r="E81" t="str">
            <v>IRE/</v>
          </cell>
          <cell r="F81" t="str">
            <v>FC/</v>
          </cell>
          <cell r="G81">
            <v>12</v>
          </cell>
          <cell r="H81" t="str">
            <v>At harmonisation outils/méthodes d'évaluation suivi, sélection formateurs 40p x 5j</v>
          </cell>
          <cell r="I81" t="str">
            <v>DNEE</v>
          </cell>
          <cell r="K81" t="str">
            <v>FC/PSE</v>
          </cell>
          <cell r="L81" t="str">
            <v>AUT</v>
          </cell>
          <cell r="M81">
            <v>200</v>
          </cell>
          <cell r="P81">
            <v>200</v>
          </cell>
          <cell r="Q81" t="str">
            <v>pxj</v>
          </cell>
          <cell r="R81" t="str">
            <v>asn</v>
          </cell>
          <cell r="S81">
            <v>147.72</v>
          </cell>
          <cell r="T81">
            <v>1</v>
          </cell>
          <cell r="U81">
            <v>29544</v>
          </cell>
          <cell r="V81">
            <v>0</v>
          </cell>
          <cell r="W81">
            <v>0</v>
          </cell>
          <cell r="X81">
            <v>29544</v>
          </cell>
          <cell r="Y81">
            <v>29544</v>
          </cell>
          <cell r="Z81">
            <v>0</v>
          </cell>
          <cell r="AA81">
            <v>0</v>
          </cell>
          <cell r="AB81">
            <v>29544</v>
          </cell>
          <cell r="AC81">
            <v>0</v>
          </cell>
          <cell r="AD81">
            <v>0</v>
          </cell>
          <cell r="AE81">
            <v>0</v>
          </cell>
          <cell r="AF81">
            <v>0</v>
          </cell>
          <cell r="AG81">
            <v>0</v>
          </cell>
          <cell r="AH81">
            <v>0</v>
          </cell>
        </row>
        <row r="82">
          <cell r="B82" t="str">
            <v>DNEE/SNFP</v>
          </cell>
          <cell r="C82" t="str">
            <v>Q</v>
          </cell>
          <cell r="D82" t="str">
            <v>12E</v>
          </cell>
          <cell r="E82" t="str">
            <v>IRE/</v>
          </cell>
          <cell r="F82" t="str">
            <v>FC/</v>
          </cell>
          <cell r="G82">
            <v>12</v>
          </cell>
          <cell r="H82" t="str">
            <v>Formation cadres et agents de suivi des 46 IRE/DPE x 3p x  3j</v>
          </cell>
          <cell r="I82" t="str">
            <v>DNEE</v>
          </cell>
          <cell r="K82" t="str">
            <v>FC/PSE</v>
          </cell>
          <cell r="L82" t="str">
            <v>AUT</v>
          </cell>
          <cell r="M82">
            <v>414</v>
          </cell>
          <cell r="P82">
            <v>414</v>
          </cell>
          <cell r="Q82" t="str">
            <v>pxj</v>
          </cell>
          <cell r="R82" t="str">
            <v>asr</v>
          </cell>
          <cell r="S82">
            <v>123.10000000000001</v>
          </cell>
          <cell r="T82">
            <v>1</v>
          </cell>
          <cell r="U82">
            <v>50963.4</v>
          </cell>
          <cell r="V82">
            <v>0</v>
          </cell>
          <cell r="W82">
            <v>0</v>
          </cell>
          <cell r="X82">
            <v>50963.4</v>
          </cell>
          <cell r="Y82">
            <v>50963.4</v>
          </cell>
          <cell r="Z82">
            <v>0</v>
          </cell>
          <cell r="AA82">
            <v>0</v>
          </cell>
          <cell r="AB82">
            <v>50963.4</v>
          </cell>
          <cell r="AC82">
            <v>0</v>
          </cell>
          <cell r="AD82">
            <v>0</v>
          </cell>
          <cell r="AE82">
            <v>0</v>
          </cell>
          <cell r="AF82">
            <v>0</v>
          </cell>
          <cell r="AG82">
            <v>0</v>
          </cell>
          <cell r="AH82">
            <v>0</v>
          </cell>
        </row>
        <row r="83">
          <cell r="B83" t="str">
            <v>DNEE/SNFP</v>
          </cell>
          <cell r="C83" t="str">
            <v>Q</v>
          </cell>
          <cell r="D83" t="str">
            <v>12E</v>
          </cell>
          <cell r="E83" t="str">
            <v>IRE/</v>
          </cell>
          <cell r="F83" t="str">
            <v>FC/</v>
          </cell>
          <cell r="G83">
            <v>12</v>
          </cell>
          <cell r="H83" t="str">
            <v>Formation des cadres et agents de suivi des DSEE  405p x 3j</v>
          </cell>
          <cell r="I83" t="str">
            <v>DNEE</v>
          </cell>
          <cell r="K83" t="str">
            <v>FC/PSE</v>
          </cell>
          <cell r="L83" t="str">
            <v>AUT</v>
          </cell>
          <cell r="M83">
            <v>1215</v>
          </cell>
          <cell r="P83">
            <v>1215</v>
          </cell>
          <cell r="Q83" t="str">
            <v>pxj</v>
          </cell>
          <cell r="R83" t="str">
            <v>asp</v>
          </cell>
          <cell r="S83">
            <v>98.48</v>
          </cell>
          <cell r="T83">
            <v>1</v>
          </cell>
          <cell r="U83">
            <v>119653.20000000001</v>
          </cell>
          <cell r="V83">
            <v>0</v>
          </cell>
          <cell r="W83">
            <v>0</v>
          </cell>
          <cell r="X83">
            <v>119653.20000000001</v>
          </cell>
          <cell r="Y83">
            <v>119653.20000000001</v>
          </cell>
          <cell r="Z83">
            <v>0</v>
          </cell>
          <cell r="AA83">
            <v>0</v>
          </cell>
          <cell r="AB83">
            <v>119653.20000000001</v>
          </cell>
          <cell r="AC83">
            <v>0</v>
          </cell>
          <cell r="AD83">
            <v>0</v>
          </cell>
          <cell r="AE83">
            <v>0</v>
          </cell>
          <cell r="AF83">
            <v>0</v>
          </cell>
          <cell r="AG83">
            <v>0</v>
          </cell>
          <cell r="AH83">
            <v>0</v>
          </cell>
        </row>
        <row r="84">
          <cell r="H84" t="str">
            <v>Elaboration des Plans Préfectoraux de Formation Continue</v>
          </cell>
        </row>
        <row r="85">
          <cell r="B85" t="str">
            <v>DNEE/SNFP</v>
          </cell>
          <cell r="C85" t="str">
            <v>Q</v>
          </cell>
          <cell r="D85" t="str">
            <v>12E</v>
          </cell>
          <cell r="E85" t="str">
            <v>IRE/</v>
          </cell>
          <cell r="F85" t="str">
            <v>FC/</v>
          </cell>
          <cell r="G85">
            <v>12</v>
          </cell>
          <cell r="H85" t="str">
            <v>Reproduction des outils 6pages x 26 000p</v>
          </cell>
          <cell r="I85" t="str">
            <v>CN/PSE</v>
          </cell>
          <cell r="K85" t="str">
            <v>FC/PSE</v>
          </cell>
          <cell r="L85" t="str">
            <v>AON</v>
          </cell>
          <cell r="M85">
            <v>156000</v>
          </cell>
          <cell r="P85">
            <v>156000</v>
          </cell>
          <cell r="Q85" t="str">
            <v>page</v>
          </cell>
          <cell r="R85" t="str">
            <v>rep</v>
          </cell>
          <cell r="S85">
            <v>0.30000000000000004</v>
          </cell>
          <cell r="T85">
            <v>1</v>
          </cell>
          <cell r="U85">
            <v>46800.000000000007</v>
          </cell>
          <cell r="V85">
            <v>0</v>
          </cell>
          <cell r="W85">
            <v>0</v>
          </cell>
          <cell r="X85">
            <v>46800.000000000007</v>
          </cell>
          <cell r="Y85">
            <v>46800.000000000007</v>
          </cell>
          <cell r="Z85">
            <v>0</v>
          </cell>
          <cell r="AA85">
            <v>0</v>
          </cell>
          <cell r="AB85">
            <v>46800.000000000007</v>
          </cell>
          <cell r="AC85">
            <v>0</v>
          </cell>
          <cell r="AD85">
            <v>0</v>
          </cell>
          <cell r="AE85">
            <v>0</v>
          </cell>
          <cell r="AF85">
            <v>0</v>
          </cell>
          <cell r="AG85">
            <v>0</v>
          </cell>
          <cell r="AH85">
            <v>0</v>
          </cell>
        </row>
        <row r="86">
          <cell r="B86" t="str">
            <v>DNEE/SNFP</v>
          </cell>
          <cell r="C86" t="str">
            <v>Q</v>
          </cell>
          <cell r="D86" t="str">
            <v>12E</v>
          </cell>
          <cell r="E86" t="str">
            <v>IRE/</v>
          </cell>
          <cell r="F86" t="str">
            <v>FC/</v>
          </cell>
          <cell r="G86">
            <v>12</v>
          </cell>
          <cell r="H86" t="str">
            <v>Ateliers préfectoraux de lancement des évaluations 20p x 2j x 38préf</v>
          </cell>
          <cell r="I86" t="str">
            <v>DPE/</v>
          </cell>
          <cell r="K86" t="str">
            <v>FC/PSE</v>
          </cell>
          <cell r="L86" t="str">
            <v>AUT</v>
          </cell>
          <cell r="M86">
            <v>1520</v>
          </cell>
          <cell r="P86">
            <v>1520</v>
          </cell>
          <cell r="Q86" t="str">
            <v>pxj</v>
          </cell>
          <cell r="R86" t="str">
            <v>asp</v>
          </cell>
          <cell r="S86">
            <v>98.48</v>
          </cell>
          <cell r="T86">
            <v>1</v>
          </cell>
          <cell r="U86">
            <v>149689.60000000001</v>
          </cell>
          <cell r="V86">
            <v>0</v>
          </cell>
          <cell r="W86">
            <v>0</v>
          </cell>
          <cell r="X86">
            <v>149689.60000000001</v>
          </cell>
          <cell r="Y86">
            <v>149689.60000000001</v>
          </cell>
          <cell r="Z86">
            <v>0</v>
          </cell>
          <cell r="AA86">
            <v>0</v>
          </cell>
          <cell r="AB86">
            <v>149689.60000000001</v>
          </cell>
          <cell r="AC86">
            <v>0</v>
          </cell>
          <cell r="AD86">
            <v>0</v>
          </cell>
          <cell r="AE86">
            <v>0</v>
          </cell>
          <cell r="AF86">
            <v>0</v>
          </cell>
          <cell r="AG86">
            <v>0</v>
          </cell>
          <cell r="AH86">
            <v>0</v>
          </cell>
        </row>
        <row r="87">
          <cell r="B87" t="str">
            <v>DNEE/SNFP</v>
          </cell>
          <cell r="C87" t="str">
            <v>Q</v>
          </cell>
          <cell r="D87" t="str">
            <v>12E</v>
          </cell>
          <cell r="E87" t="str">
            <v>IRE/</v>
          </cell>
          <cell r="F87" t="str">
            <v>FC/</v>
          </cell>
          <cell r="G87">
            <v>12</v>
          </cell>
          <cell r="H87" t="str">
            <v>Evaluations des 26 000 maîtres et DE par les DSEE et cadres formés</v>
          </cell>
          <cell r="I87" t="str">
            <v>DPE/</v>
          </cell>
          <cell r="K87" t="str">
            <v>FC/PSE</v>
          </cell>
          <cell r="L87" t="str">
            <v>AUT</v>
          </cell>
          <cell r="M87">
            <v>26000</v>
          </cell>
          <cell r="P87">
            <v>26000</v>
          </cell>
          <cell r="Q87" t="str">
            <v>p</v>
          </cell>
          <cell r="R87" t="str">
            <v>forfait</v>
          </cell>
          <cell r="S87">
            <v>10</v>
          </cell>
          <cell r="T87">
            <v>1</v>
          </cell>
          <cell r="U87">
            <v>260000</v>
          </cell>
          <cell r="V87">
            <v>0</v>
          </cell>
          <cell r="W87">
            <v>0</v>
          </cell>
          <cell r="X87">
            <v>260000</v>
          </cell>
          <cell r="Y87">
            <v>260000</v>
          </cell>
          <cell r="Z87">
            <v>0</v>
          </cell>
          <cell r="AA87">
            <v>0</v>
          </cell>
          <cell r="AB87">
            <v>260000</v>
          </cell>
          <cell r="AC87">
            <v>0</v>
          </cell>
          <cell r="AD87">
            <v>0</v>
          </cell>
          <cell r="AE87">
            <v>0</v>
          </cell>
          <cell r="AF87">
            <v>0</v>
          </cell>
          <cell r="AG87">
            <v>0</v>
          </cell>
          <cell r="AH87">
            <v>0</v>
          </cell>
        </row>
        <row r="88">
          <cell r="B88" t="str">
            <v>DNEE/SNFP</v>
          </cell>
          <cell r="C88" t="str">
            <v>Q</v>
          </cell>
          <cell r="D88" t="str">
            <v>12E</v>
          </cell>
          <cell r="E88" t="str">
            <v>IRE/</v>
          </cell>
          <cell r="F88" t="str">
            <v>FC/</v>
          </cell>
          <cell r="G88">
            <v>12</v>
          </cell>
          <cell r="H88" t="str">
            <v>Ateliers préfectoraux exploitation évaluations et élaboration PPFC 30p x 3j x 38préf</v>
          </cell>
          <cell r="I88" t="str">
            <v>DPE/</v>
          </cell>
          <cell r="K88" t="str">
            <v>FC/PSE</v>
          </cell>
          <cell r="L88" t="str">
            <v>AUT</v>
          </cell>
          <cell r="M88">
            <v>3420</v>
          </cell>
          <cell r="P88">
            <v>3420</v>
          </cell>
          <cell r="Q88" t="str">
            <v>pxj</v>
          </cell>
          <cell r="R88" t="str">
            <v>asp</v>
          </cell>
          <cell r="S88">
            <v>98.48</v>
          </cell>
          <cell r="T88">
            <v>1</v>
          </cell>
          <cell r="U88">
            <v>336801.60000000003</v>
          </cell>
          <cell r="V88">
            <v>0</v>
          </cell>
          <cell r="W88">
            <v>0</v>
          </cell>
          <cell r="X88">
            <v>336801.60000000003</v>
          </cell>
          <cell r="Y88">
            <v>336801.60000000003</v>
          </cell>
          <cell r="Z88">
            <v>0</v>
          </cell>
          <cell r="AA88">
            <v>0</v>
          </cell>
          <cell r="AB88">
            <v>336801.60000000003</v>
          </cell>
          <cell r="AC88">
            <v>0</v>
          </cell>
          <cell r="AD88">
            <v>0</v>
          </cell>
          <cell r="AE88">
            <v>0</v>
          </cell>
          <cell r="AF88">
            <v>0</v>
          </cell>
          <cell r="AG88">
            <v>0</v>
          </cell>
          <cell r="AH88">
            <v>0</v>
          </cell>
        </row>
        <row r="89">
          <cell r="B89" t="str">
            <v>DNEE/SNFP</v>
          </cell>
          <cell r="C89" t="str">
            <v>Q</v>
          </cell>
          <cell r="D89" t="str">
            <v>12E</v>
          </cell>
          <cell r="E89" t="str">
            <v>IRE/</v>
          </cell>
          <cell r="F89" t="str">
            <v>FC/</v>
          </cell>
          <cell r="G89">
            <v>12</v>
          </cell>
          <cell r="H89" t="str">
            <v>Atelier national d'approbation des PPFC par DNEE  SNFP et CN/PSE 25p x 4j</v>
          </cell>
          <cell r="I89" t="str">
            <v>DNEE</v>
          </cell>
          <cell r="K89" t="str">
            <v>FC/PSE</v>
          </cell>
          <cell r="L89" t="str">
            <v>AUT</v>
          </cell>
          <cell r="M89">
            <v>100</v>
          </cell>
          <cell r="P89">
            <v>100</v>
          </cell>
          <cell r="Q89" t="str">
            <v>pxj</v>
          </cell>
          <cell r="R89" t="str">
            <v>asr</v>
          </cell>
          <cell r="S89">
            <v>123.10000000000001</v>
          </cell>
          <cell r="T89">
            <v>1</v>
          </cell>
          <cell r="U89">
            <v>12310</v>
          </cell>
          <cell r="V89">
            <v>0</v>
          </cell>
          <cell r="W89">
            <v>0</v>
          </cell>
          <cell r="X89">
            <v>12310</v>
          </cell>
          <cell r="Y89">
            <v>12310</v>
          </cell>
          <cell r="Z89">
            <v>0</v>
          </cell>
          <cell r="AA89">
            <v>0</v>
          </cell>
          <cell r="AB89">
            <v>12310</v>
          </cell>
          <cell r="AC89">
            <v>0</v>
          </cell>
          <cell r="AD89">
            <v>0</v>
          </cell>
          <cell r="AE89">
            <v>0</v>
          </cell>
          <cell r="AF89">
            <v>0</v>
          </cell>
          <cell r="AG89">
            <v>0</v>
          </cell>
          <cell r="AH89">
            <v>0</v>
          </cell>
        </row>
        <row r="90">
          <cell r="H90" t="str">
            <v>Formation continue des maîtres et DE</v>
          </cell>
        </row>
        <row r="91">
          <cell r="B91" t="str">
            <v>DNEE/SNFP</v>
          </cell>
          <cell r="C91" t="str">
            <v>Q</v>
          </cell>
          <cell r="D91" t="str">
            <v>12E</v>
          </cell>
          <cell r="E91" t="str">
            <v>IRE/</v>
          </cell>
          <cell r="F91" t="str">
            <v>FC/</v>
          </cell>
          <cell r="G91">
            <v>12</v>
          </cell>
          <cell r="H91" t="str">
            <v>Formations des formateurs de formateurs 4p x 8 régions x 2fois 5jours</v>
          </cell>
          <cell r="I91" t="str">
            <v>DNEE</v>
          </cell>
          <cell r="K91" t="str">
            <v>FC/PSE</v>
          </cell>
          <cell r="L91" t="str">
            <v>AUT</v>
          </cell>
          <cell r="M91">
            <v>320</v>
          </cell>
          <cell r="P91">
            <v>320</v>
          </cell>
          <cell r="Q91" t="str">
            <v>pxj</v>
          </cell>
          <cell r="R91" t="str">
            <v>asn</v>
          </cell>
          <cell r="S91">
            <v>147.72</v>
          </cell>
          <cell r="T91">
            <v>1</v>
          </cell>
          <cell r="U91">
            <v>47270.400000000001</v>
          </cell>
          <cell r="V91">
            <v>0</v>
          </cell>
          <cell r="W91">
            <v>0</v>
          </cell>
          <cell r="X91">
            <v>47270.400000000001</v>
          </cell>
          <cell r="Y91">
            <v>47270.400000000001</v>
          </cell>
          <cell r="Z91">
            <v>0</v>
          </cell>
          <cell r="AA91">
            <v>0</v>
          </cell>
          <cell r="AB91">
            <v>47270.400000000001</v>
          </cell>
          <cell r="AC91">
            <v>0</v>
          </cell>
          <cell r="AD91">
            <v>0</v>
          </cell>
          <cell r="AE91">
            <v>0</v>
          </cell>
          <cell r="AF91">
            <v>0</v>
          </cell>
          <cell r="AG91">
            <v>0</v>
          </cell>
          <cell r="AH91">
            <v>0</v>
          </cell>
        </row>
        <row r="92">
          <cell r="B92" t="str">
            <v>DNEE/SNFP</v>
          </cell>
          <cell r="C92" t="str">
            <v>Q</v>
          </cell>
          <cell r="D92" t="str">
            <v>12E</v>
          </cell>
          <cell r="E92" t="str">
            <v>IRE/</v>
          </cell>
          <cell r="F92" t="str">
            <v>FC/</v>
          </cell>
          <cell r="G92">
            <v>12</v>
          </cell>
          <cell r="H92" t="str">
            <v>Spécialiste international formation de formateurs</v>
          </cell>
          <cell r="I92" t="str">
            <v>DNEE</v>
          </cell>
          <cell r="K92" t="str">
            <v>FC/PSE</v>
          </cell>
          <cell r="L92" t="str">
            <v>CR</v>
          </cell>
          <cell r="M92">
            <v>0.5</v>
          </cell>
          <cell r="P92">
            <v>0.5</v>
          </cell>
          <cell r="Q92" t="str">
            <v>pxm</v>
          </cell>
          <cell r="R92" t="str">
            <v>cic</v>
          </cell>
          <cell r="S92">
            <v>88632</v>
          </cell>
          <cell r="T92">
            <v>1</v>
          </cell>
          <cell r="U92">
            <v>44316</v>
          </cell>
          <cell r="V92">
            <v>0</v>
          </cell>
          <cell r="W92">
            <v>0</v>
          </cell>
          <cell r="X92">
            <v>44316</v>
          </cell>
          <cell r="Y92">
            <v>44316</v>
          </cell>
          <cell r="Z92">
            <v>0</v>
          </cell>
          <cell r="AA92">
            <v>0</v>
          </cell>
          <cell r="AB92">
            <v>44316</v>
          </cell>
          <cell r="AC92">
            <v>0</v>
          </cell>
          <cell r="AD92">
            <v>0</v>
          </cell>
          <cell r="AE92">
            <v>0</v>
          </cell>
          <cell r="AF92">
            <v>0</v>
          </cell>
          <cell r="AG92">
            <v>0</v>
          </cell>
          <cell r="AH92">
            <v>0</v>
          </cell>
        </row>
        <row r="93">
          <cell r="B93" t="str">
            <v>DNEE/SNFP</v>
          </cell>
          <cell r="C93" t="str">
            <v>Q</v>
          </cell>
          <cell r="D93" t="str">
            <v>12E</v>
          </cell>
          <cell r="E93" t="str">
            <v>IRE/</v>
          </cell>
          <cell r="F93" t="str">
            <v>FC/</v>
          </cell>
          <cell r="G93">
            <v>12</v>
          </cell>
          <cell r="H93" t="str">
            <v>Reproduction matériel pédag de formation : 4 modules x 50 pages + 80 pages</v>
          </cell>
          <cell r="I93" t="str">
            <v>CN/PSE</v>
          </cell>
          <cell r="K93" t="str">
            <v>FC/PSE</v>
          </cell>
          <cell r="L93" t="str">
            <v>AOI</v>
          </cell>
          <cell r="M93">
            <v>5040000</v>
          </cell>
          <cell r="P93">
            <v>5040000</v>
          </cell>
          <cell r="Q93" t="str">
            <v>page</v>
          </cell>
          <cell r="R93" t="str">
            <v>rep</v>
          </cell>
          <cell r="S93">
            <v>0.30000000000000004</v>
          </cell>
          <cell r="T93">
            <v>1</v>
          </cell>
          <cell r="U93">
            <v>1512000.0000000002</v>
          </cell>
          <cell r="V93">
            <v>0</v>
          </cell>
          <cell r="W93">
            <v>0</v>
          </cell>
          <cell r="X93">
            <v>1512000.0000000002</v>
          </cell>
          <cell r="Y93">
            <v>1512000.0000000002</v>
          </cell>
          <cell r="Z93">
            <v>0</v>
          </cell>
          <cell r="AA93">
            <v>0</v>
          </cell>
          <cell r="AB93">
            <v>1512000.0000000002</v>
          </cell>
          <cell r="AC93">
            <v>0</v>
          </cell>
          <cell r="AD93">
            <v>0</v>
          </cell>
          <cell r="AE93">
            <v>0</v>
          </cell>
          <cell r="AF93">
            <v>0</v>
          </cell>
          <cell r="AG93">
            <v>0</v>
          </cell>
          <cell r="AH93">
            <v>0</v>
          </cell>
        </row>
        <row r="94">
          <cell r="B94" t="str">
            <v>DNEE/SNFP</v>
          </cell>
          <cell r="C94" t="str">
            <v>Q</v>
          </cell>
          <cell r="D94" t="str">
            <v>12E</v>
          </cell>
          <cell r="E94" t="str">
            <v>IRE/</v>
          </cell>
          <cell r="F94" t="str">
            <v>FC/</v>
          </cell>
          <cell r="G94">
            <v>12</v>
          </cell>
          <cell r="H94" t="str">
            <v>Formation des formateurs des maîtres et DE 6formateurs x 38préf x 2fois x 3jours</v>
          </cell>
          <cell r="I94" t="str">
            <v>DPE/</v>
          </cell>
          <cell r="K94" t="str">
            <v>FC/PSE</v>
          </cell>
          <cell r="L94" t="str">
            <v>AUT</v>
          </cell>
          <cell r="M94">
            <v>1368</v>
          </cell>
          <cell r="P94">
            <v>1368</v>
          </cell>
          <cell r="Q94" t="str">
            <v>pxj</v>
          </cell>
          <cell r="R94" t="str">
            <v>asr</v>
          </cell>
          <cell r="S94">
            <v>123.10000000000001</v>
          </cell>
          <cell r="T94">
            <v>1</v>
          </cell>
          <cell r="U94">
            <v>168400.80000000002</v>
          </cell>
          <cell r="V94">
            <v>0</v>
          </cell>
          <cell r="W94">
            <v>0</v>
          </cell>
          <cell r="X94">
            <v>168400.80000000002</v>
          </cell>
          <cell r="Y94">
            <v>168400.80000000002</v>
          </cell>
          <cell r="Z94">
            <v>0</v>
          </cell>
          <cell r="AA94">
            <v>0</v>
          </cell>
          <cell r="AB94">
            <v>168400.80000000002</v>
          </cell>
          <cell r="AC94">
            <v>0</v>
          </cell>
          <cell r="AD94">
            <v>0</v>
          </cell>
          <cell r="AE94">
            <v>0</v>
          </cell>
          <cell r="AF94">
            <v>0</v>
          </cell>
          <cell r="AG94">
            <v>0</v>
          </cell>
          <cell r="AH94">
            <v>0</v>
          </cell>
        </row>
        <row r="95">
          <cell r="B95" t="str">
            <v>DNEE/SNFP</v>
          </cell>
          <cell r="C95" t="str">
            <v>Q</v>
          </cell>
          <cell r="D95" t="str">
            <v>12E</v>
          </cell>
          <cell r="E95" t="str">
            <v>IRE/</v>
          </cell>
          <cell r="F95" t="str">
            <v>FC/</v>
          </cell>
          <cell r="G95">
            <v>12</v>
          </cell>
          <cell r="H95" t="str">
            <v>Formation continue des DE  7125p x 2 modules de 5jours en 2009</v>
          </cell>
          <cell r="I95" t="str">
            <v>DPE/</v>
          </cell>
          <cell r="K95" t="str">
            <v>FC/PSE</v>
          </cell>
          <cell r="L95" t="str">
            <v>AUT</v>
          </cell>
          <cell r="N95">
            <v>71250</v>
          </cell>
          <cell r="P95">
            <v>71250</v>
          </cell>
          <cell r="Q95" t="str">
            <v>pxj</v>
          </cell>
          <cell r="S95">
            <v>64.012</v>
          </cell>
          <cell r="T95">
            <v>1</v>
          </cell>
          <cell r="U95">
            <v>0</v>
          </cell>
          <cell r="V95">
            <v>4560855</v>
          </cell>
          <cell r="W95">
            <v>0</v>
          </cell>
          <cell r="X95">
            <v>4560855</v>
          </cell>
          <cell r="Y95">
            <v>0</v>
          </cell>
          <cell r="Z95">
            <v>4560855</v>
          </cell>
          <cell r="AA95">
            <v>0</v>
          </cell>
          <cell r="AB95">
            <v>4560855</v>
          </cell>
          <cell r="AC95">
            <v>0</v>
          </cell>
          <cell r="AD95">
            <v>0</v>
          </cell>
          <cell r="AE95">
            <v>0</v>
          </cell>
          <cell r="AF95">
            <v>0</v>
          </cell>
          <cell r="AG95">
            <v>0</v>
          </cell>
          <cell r="AH95">
            <v>0</v>
          </cell>
        </row>
        <row r="96">
          <cell r="B96" t="str">
            <v>DNEE/SNFP</v>
          </cell>
          <cell r="C96" t="str">
            <v>Q</v>
          </cell>
          <cell r="D96" t="str">
            <v>12E</v>
          </cell>
          <cell r="E96" t="str">
            <v>IRE/</v>
          </cell>
          <cell r="F96" t="str">
            <v>FC/</v>
          </cell>
          <cell r="G96">
            <v>12</v>
          </cell>
          <cell r="H96" t="str">
            <v>Formation continue environ 9 250 maîtres x 3modules x 5j (2 en 2009 et 1 en 2010)</v>
          </cell>
          <cell r="I96" t="str">
            <v>DPE/</v>
          </cell>
          <cell r="K96" t="str">
            <v>FC/PSE</v>
          </cell>
          <cell r="L96" t="str">
            <v>AUT</v>
          </cell>
          <cell r="N96">
            <v>92500</v>
          </cell>
          <cell r="O96">
            <v>46250</v>
          </cell>
          <cell r="P96">
            <v>138750</v>
          </cell>
          <cell r="Q96" t="str">
            <v>pxj</v>
          </cell>
          <cell r="S96">
            <v>64.012</v>
          </cell>
          <cell r="T96">
            <v>1</v>
          </cell>
          <cell r="U96">
            <v>0</v>
          </cell>
          <cell r="V96">
            <v>5921110</v>
          </cell>
          <cell r="W96">
            <v>2960555</v>
          </cell>
          <cell r="X96">
            <v>8881665</v>
          </cell>
          <cell r="Y96">
            <v>0</v>
          </cell>
          <cell r="Z96">
            <v>5921110</v>
          </cell>
          <cell r="AA96">
            <v>2960555</v>
          </cell>
          <cell r="AB96">
            <v>8881665</v>
          </cell>
          <cell r="AC96">
            <v>0</v>
          </cell>
          <cell r="AD96">
            <v>0</v>
          </cell>
          <cell r="AE96">
            <v>0</v>
          </cell>
          <cell r="AF96">
            <v>0</v>
          </cell>
          <cell r="AG96">
            <v>0</v>
          </cell>
          <cell r="AH96">
            <v>0</v>
          </cell>
        </row>
        <row r="97">
          <cell r="H97" t="str">
            <v>Formation enseignants encadreurs en évaluation apprentissages</v>
          </cell>
        </row>
        <row r="98">
          <cell r="B98" t="str">
            <v>DNEE/SNFP</v>
          </cell>
          <cell r="C98" t="str">
            <v>Q</v>
          </cell>
          <cell r="D98" t="str">
            <v>12E</v>
          </cell>
          <cell r="E98" t="str">
            <v>IRE/</v>
          </cell>
          <cell r="F98" t="str">
            <v>FC/</v>
          </cell>
          <cell r="G98">
            <v>12</v>
          </cell>
          <cell r="H98" t="str">
            <v>Atelier finalisation du module 10p x 4jours</v>
          </cell>
          <cell r="I98" t="str">
            <v>DNEE</v>
          </cell>
          <cell r="K98" t="str">
            <v>FC/PSE</v>
          </cell>
          <cell r="L98" t="str">
            <v>AUT</v>
          </cell>
          <cell r="M98">
            <v>40</v>
          </cell>
          <cell r="P98">
            <v>40</v>
          </cell>
          <cell r="Q98" t="str">
            <v>pxj</v>
          </cell>
          <cell r="R98" t="str">
            <v>asn</v>
          </cell>
          <cell r="S98">
            <v>147.72</v>
          </cell>
          <cell r="T98">
            <v>1</v>
          </cell>
          <cell r="U98">
            <v>5908.8</v>
          </cell>
          <cell r="V98">
            <v>0</v>
          </cell>
          <cell r="W98">
            <v>0</v>
          </cell>
          <cell r="X98">
            <v>5908.8</v>
          </cell>
          <cell r="Y98">
            <v>5908.8</v>
          </cell>
          <cell r="Z98">
            <v>0</v>
          </cell>
          <cell r="AA98">
            <v>0</v>
          </cell>
          <cell r="AB98">
            <v>5908.8</v>
          </cell>
          <cell r="AC98">
            <v>0</v>
          </cell>
          <cell r="AD98">
            <v>0</v>
          </cell>
          <cell r="AE98">
            <v>0</v>
          </cell>
          <cell r="AF98">
            <v>0</v>
          </cell>
          <cell r="AG98">
            <v>0</v>
          </cell>
          <cell r="AH98">
            <v>0</v>
          </cell>
        </row>
        <row r="99">
          <cell r="B99" t="str">
            <v>DNEE/SNFP</v>
          </cell>
          <cell r="C99" t="str">
            <v>Q</v>
          </cell>
          <cell r="D99" t="str">
            <v>12E</v>
          </cell>
          <cell r="E99" t="str">
            <v>IRE/</v>
          </cell>
          <cell r="F99" t="str">
            <v>FC/</v>
          </cell>
          <cell r="G99">
            <v>12</v>
          </cell>
          <cell r="H99" t="str">
            <v>Reproduction matériel pédag de formation : 1 module x 50 pages</v>
          </cell>
          <cell r="I99" t="str">
            <v>CN/PSE</v>
          </cell>
          <cell r="K99" t="str">
            <v>FC/PSE</v>
          </cell>
          <cell r="L99" t="str">
            <v>AON</v>
          </cell>
          <cell r="M99">
            <v>900000</v>
          </cell>
          <cell r="P99">
            <v>900000</v>
          </cell>
          <cell r="Q99" t="str">
            <v>page</v>
          </cell>
          <cell r="R99" t="str">
            <v>rep</v>
          </cell>
          <cell r="S99">
            <v>0.30000000000000004</v>
          </cell>
          <cell r="T99">
            <v>1</v>
          </cell>
          <cell r="U99">
            <v>270000.00000000006</v>
          </cell>
          <cell r="V99">
            <v>0</v>
          </cell>
          <cell r="W99">
            <v>0</v>
          </cell>
          <cell r="X99">
            <v>270000.00000000006</v>
          </cell>
          <cell r="Y99">
            <v>270000.00000000006</v>
          </cell>
          <cell r="Z99">
            <v>0</v>
          </cell>
          <cell r="AA99">
            <v>0</v>
          </cell>
          <cell r="AB99">
            <v>270000.00000000006</v>
          </cell>
          <cell r="AC99">
            <v>0</v>
          </cell>
          <cell r="AD99">
            <v>0</v>
          </cell>
          <cell r="AE99">
            <v>0</v>
          </cell>
          <cell r="AF99">
            <v>0</v>
          </cell>
          <cell r="AG99">
            <v>0</v>
          </cell>
          <cell r="AH99">
            <v>0</v>
          </cell>
        </row>
        <row r="100">
          <cell r="B100" t="str">
            <v>DNEE/SNFP</v>
          </cell>
          <cell r="C100" t="str">
            <v>Q</v>
          </cell>
          <cell r="D100" t="str">
            <v>12E</v>
          </cell>
          <cell r="E100" t="str">
            <v>IRE/</v>
          </cell>
          <cell r="F100" t="str">
            <v>FC/</v>
          </cell>
          <cell r="G100">
            <v>12</v>
          </cell>
          <cell r="H100" t="str">
            <v>Formation continue des DE  7125p x 1 modules de 5jours en 2009 et 2010</v>
          </cell>
          <cell r="I100" t="str">
            <v>DPE/</v>
          </cell>
          <cell r="K100" t="str">
            <v>FC/PSE</v>
          </cell>
          <cell r="L100" t="str">
            <v>AUT</v>
          </cell>
          <cell r="N100">
            <v>17812.5</v>
          </cell>
          <cell r="O100">
            <v>17812.5</v>
          </cell>
          <cell r="P100">
            <v>35625</v>
          </cell>
          <cell r="Q100" t="str">
            <v>pxj</v>
          </cell>
          <cell r="S100">
            <v>64.012</v>
          </cell>
          <cell r="T100">
            <v>1</v>
          </cell>
          <cell r="U100">
            <v>0</v>
          </cell>
          <cell r="V100">
            <v>1140213.75</v>
          </cell>
          <cell r="W100">
            <v>1140213.75</v>
          </cell>
          <cell r="X100">
            <v>2280427.5</v>
          </cell>
          <cell r="Y100">
            <v>0</v>
          </cell>
          <cell r="Z100">
            <v>1140213.75</v>
          </cell>
          <cell r="AA100">
            <v>1140213.75</v>
          </cell>
          <cell r="AB100">
            <v>2280427.5</v>
          </cell>
          <cell r="AC100">
            <v>0</v>
          </cell>
          <cell r="AD100">
            <v>0</v>
          </cell>
          <cell r="AE100">
            <v>0</v>
          </cell>
          <cell r="AF100">
            <v>0</v>
          </cell>
          <cell r="AG100">
            <v>0</v>
          </cell>
          <cell r="AH100">
            <v>0</v>
          </cell>
        </row>
        <row r="101">
          <cell r="B101" t="str">
            <v>DNEE/SNFP</v>
          </cell>
          <cell r="C101" t="str">
            <v>Q</v>
          </cell>
          <cell r="D101" t="str">
            <v>12E</v>
          </cell>
          <cell r="E101" t="str">
            <v>IRE/</v>
          </cell>
          <cell r="F101" t="str">
            <v>FC/</v>
          </cell>
          <cell r="G101">
            <v>12</v>
          </cell>
          <cell r="H101" t="str">
            <v>Formation continue environ 9 250 maîtres x 1modules x 5j en 2009 et 2010</v>
          </cell>
          <cell r="I101" t="str">
            <v>DPE/</v>
          </cell>
          <cell r="K101" t="str">
            <v>FC/PSE</v>
          </cell>
          <cell r="L101" t="str">
            <v>AUT</v>
          </cell>
          <cell r="N101">
            <v>23125</v>
          </cell>
          <cell r="O101">
            <v>23125</v>
          </cell>
          <cell r="P101">
            <v>46250</v>
          </cell>
          <cell r="Q101" t="str">
            <v>pxj</v>
          </cell>
          <cell r="S101">
            <v>64.012</v>
          </cell>
          <cell r="T101">
            <v>1</v>
          </cell>
          <cell r="U101">
            <v>0</v>
          </cell>
          <cell r="V101">
            <v>1480277.5</v>
          </cell>
          <cell r="W101">
            <v>1480277.5</v>
          </cell>
          <cell r="X101">
            <v>2960555</v>
          </cell>
          <cell r="Y101">
            <v>0</v>
          </cell>
          <cell r="Z101">
            <v>1480277.5</v>
          </cell>
          <cell r="AA101">
            <v>1480277.5</v>
          </cell>
          <cell r="AB101">
            <v>2960555</v>
          </cell>
          <cell r="AC101">
            <v>0</v>
          </cell>
          <cell r="AD101">
            <v>0</v>
          </cell>
          <cell r="AE101">
            <v>0</v>
          </cell>
          <cell r="AF101">
            <v>0</v>
          </cell>
          <cell r="AG101">
            <v>0</v>
          </cell>
          <cell r="AH101">
            <v>0</v>
          </cell>
        </row>
        <row r="102">
          <cell r="H102" t="str">
            <v>Suivi encadrement des maîtres formés</v>
          </cell>
        </row>
        <row r="103">
          <cell r="B103" t="str">
            <v>DNEE/SNFP</v>
          </cell>
          <cell r="C103" t="str">
            <v>Q</v>
          </cell>
          <cell r="D103" t="str">
            <v>12E</v>
          </cell>
          <cell r="E103" t="str">
            <v>IRE/</v>
          </cell>
          <cell r="F103" t="str">
            <v>FC/</v>
          </cell>
          <cell r="G103">
            <v>12</v>
          </cell>
          <cell r="H103" t="str">
            <v>Reproduction des outils : 2 pages x personne x visite</v>
          </cell>
          <cell r="I103" t="str">
            <v>CN/PSE</v>
          </cell>
          <cell r="K103" t="str">
            <v>FC/PSE</v>
          </cell>
          <cell r="L103" t="str">
            <v>AON</v>
          </cell>
          <cell r="N103">
            <v>65500</v>
          </cell>
          <cell r="O103">
            <v>65500</v>
          </cell>
          <cell r="P103">
            <v>131000</v>
          </cell>
          <cell r="Q103" t="str">
            <v>page</v>
          </cell>
          <cell r="R103" t="str">
            <v>rep</v>
          </cell>
          <cell r="S103">
            <v>0.30000000000000004</v>
          </cell>
          <cell r="T103">
            <v>1</v>
          </cell>
          <cell r="U103">
            <v>0</v>
          </cell>
          <cell r="V103">
            <v>19650.000000000004</v>
          </cell>
          <cell r="W103">
            <v>19650.000000000004</v>
          </cell>
          <cell r="X103">
            <v>39300.000000000007</v>
          </cell>
          <cell r="Y103">
            <v>0</v>
          </cell>
          <cell r="Z103">
            <v>19650.000000000004</v>
          </cell>
          <cell r="AA103">
            <v>19650.000000000004</v>
          </cell>
          <cell r="AB103">
            <v>39300.000000000007</v>
          </cell>
          <cell r="AC103">
            <v>0</v>
          </cell>
          <cell r="AD103">
            <v>0</v>
          </cell>
          <cell r="AE103">
            <v>0</v>
          </cell>
          <cell r="AF103">
            <v>0</v>
          </cell>
          <cell r="AG103">
            <v>0</v>
          </cell>
          <cell r="AH103">
            <v>0</v>
          </cell>
        </row>
        <row r="104">
          <cell r="B104" t="str">
            <v>DNEE/SNFP</v>
          </cell>
          <cell r="C104" t="str">
            <v>Q</v>
          </cell>
          <cell r="D104" t="str">
            <v>12E</v>
          </cell>
          <cell r="E104" t="str">
            <v>IRE/</v>
          </cell>
          <cell r="F104" t="str">
            <v>FC/</v>
          </cell>
          <cell r="G104">
            <v>12</v>
          </cell>
          <cell r="H104" t="str">
            <v>Visites des directeurs et des maîtres formés</v>
          </cell>
          <cell r="I104" t="str">
            <v>DPE/</v>
          </cell>
          <cell r="K104" t="str">
            <v>FC/PSE</v>
          </cell>
          <cell r="L104" t="str">
            <v>AUT</v>
          </cell>
          <cell r="N104">
            <v>10916.666666666666</v>
          </cell>
          <cell r="O104">
            <v>10916.666666666666</v>
          </cell>
          <cell r="P104">
            <v>21833.333333333332</v>
          </cell>
          <cell r="Q104" t="str">
            <v>pxj</v>
          </cell>
          <cell r="R104" t="str">
            <v>forfait</v>
          </cell>
          <cell r="S104">
            <v>10</v>
          </cell>
          <cell r="T104">
            <v>1</v>
          </cell>
          <cell r="U104">
            <v>0</v>
          </cell>
          <cell r="V104">
            <v>109166.66666666666</v>
          </cell>
          <cell r="W104">
            <v>109166.66666666666</v>
          </cell>
          <cell r="X104">
            <v>218333.33333333331</v>
          </cell>
          <cell r="Y104">
            <v>0</v>
          </cell>
          <cell r="Z104">
            <v>109166.66666666666</v>
          </cell>
          <cell r="AA104">
            <v>109166.66666666666</v>
          </cell>
          <cell r="AB104">
            <v>218333.33333333331</v>
          </cell>
          <cell r="AC104">
            <v>0</v>
          </cell>
          <cell r="AD104">
            <v>0</v>
          </cell>
          <cell r="AE104">
            <v>0</v>
          </cell>
          <cell r="AF104">
            <v>0</v>
          </cell>
          <cell r="AG104">
            <v>0</v>
          </cell>
          <cell r="AH104">
            <v>0</v>
          </cell>
        </row>
        <row r="105">
          <cell r="B105" t="str">
            <v>DNEE/SNFP</v>
          </cell>
          <cell r="C105" t="str">
            <v>Q</v>
          </cell>
          <cell r="D105" t="str">
            <v>12E</v>
          </cell>
          <cell r="E105" t="str">
            <v>IRE/</v>
          </cell>
          <cell r="F105" t="str">
            <v>FC/</v>
          </cell>
          <cell r="G105">
            <v>12</v>
          </cell>
          <cell r="H105" t="str">
            <v>Atelier préfectoral annuel de suivi évaluation de la FC : 15p x 2j x 38pref</v>
          </cell>
          <cell r="I105" t="str">
            <v>DPE/</v>
          </cell>
          <cell r="K105" t="str">
            <v>FC/PSE</v>
          </cell>
          <cell r="L105" t="str">
            <v>AUT</v>
          </cell>
          <cell r="N105">
            <v>1140</v>
          </cell>
          <cell r="O105">
            <v>1140</v>
          </cell>
          <cell r="P105">
            <v>2280</v>
          </cell>
          <cell r="Q105" t="str">
            <v>pxj</v>
          </cell>
          <cell r="R105" t="str">
            <v>asp</v>
          </cell>
          <cell r="S105">
            <v>98.48</v>
          </cell>
          <cell r="T105">
            <v>1</v>
          </cell>
          <cell r="U105">
            <v>0</v>
          </cell>
          <cell r="V105">
            <v>112267.20000000001</v>
          </cell>
          <cell r="W105">
            <v>112267.20000000001</v>
          </cell>
          <cell r="X105">
            <v>224534.40000000002</v>
          </cell>
          <cell r="Y105">
            <v>0</v>
          </cell>
          <cell r="Z105">
            <v>112267.20000000001</v>
          </cell>
          <cell r="AA105">
            <v>112267.20000000001</v>
          </cell>
          <cell r="AB105">
            <v>224534.40000000002</v>
          </cell>
          <cell r="AC105">
            <v>0</v>
          </cell>
          <cell r="AD105">
            <v>0</v>
          </cell>
          <cell r="AE105">
            <v>0</v>
          </cell>
          <cell r="AF105">
            <v>0</v>
          </cell>
          <cell r="AG105">
            <v>0</v>
          </cell>
          <cell r="AH105">
            <v>0</v>
          </cell>
        </row>
        <row r="106">
          <cell r="B106" t="str">
            <v>DNEE/SNFP</v>
          </cell>
          <cell r="C106" t="str">
            <v>Q</v>
          </cell>
          <cell r="D106" t="str">
            <v>12E</v>
          </cell>
          <cell r="E106" t="str">
            <v>IRE/</v>
          </cell>
          <cell r="F106" t="str">
            <v>FC/</v>
          </cell>
          <cell r="G106">
            <v>12</v>
          </cell>
          <cell r="H106" t="str">
            <v>Atelier national de suivi évaluation de la FC : 40p x 2j</v>
          </cell>
          <cell r="I106" t="str">
            <v>DNEE</v>
          </cell>
          <cell r="K106" t="str">
            <v>FC/PSE</v>
          </cell>
          <cell r="L106" t="str">
            <v>AUT</v>
          </cell>
          <cell r="N106">
            <v>80</v>
          </cell>
          <cell r="O106">
            <v>80</v>
          </cell>
          <cell r="P106">
            <v>160</v>
          </cell>
          <cell r="Q106" t="str">
            <v>pxj</v>
          </cell>
          <cell r="R106" t="str">
            <v>asn</v>
          </cell>
          <cell r="S106">
            <v>147.72</v>
          </cell>
          <cell r="T106">
            <v>1</v>
          </cell>
          <cell r="U106">
            <v>0</v>
          </cell>
          <cell r="V106">
            <v>11817.6</v>
          </cell>
          <cell r="W106">
            <v>11817.6</v>
          </cell>
          <cell r="X106">
            <v>23635.200000000001</v>
          </cell>
          <cell r="Y106">
            <v>0</v>
          </cell>
          <cell r="Z106">
            <v>11817.6</v>
          </cell>
          <cell r="AA106">
            <v>11817.6</v>
          </cell>
          <cell r="AB106">
            <v>23635.200000000001</v>
          </cell>
          <cell r="AC106">
            <v>0</v>
          </cell>
          <cell r="AD106">
            <v>0</v>
          </cell>
          <cell r="AE106">
            <v>0</v>
          </cell>
          <cell r="AF106">
            <v>0</v>
          </cell>
          <cell r="AG106">
            <v>0</v>
          </cell>
          <cell r="AH106">
            <v>0</v>
          </cell>
        </row>
        <row r="107">
          <cell r="H107" t="str">
            <v>Subventions aux écoles et aux DSEE</v>
          </cell>
          <cell r="U107">
            <v>7212874.4070579745</v>
          </cell>
          <cell r="V107">
            <v>8017353.7963869963</v>
          </cell>
          <cell r="W107">
            <v>8460083.1644403469</v>
          </cell>
          <cell r="X107">
            <v>23690311.367885318</v>
          </cell>
          <cell r="Y107">
            <v>7212874.4070579745</v>
          </cell>
          <cell r="Z107">
            <v>8017353.7963869963</v>
          </cell>
          <cell r="AA107">
            <v>8460083.1644403469</v>
          </cell>
          <cell r="AB107">
            <v>23690311.367885318</v>
          </cell>
          <cell r="AC107">
            <v>0</v>
          </cell>
          <cell r="AD107">
            <v>0</v>
          </cell>
          <cell r="AE107">
            <v>0</v>
          </cell>
          <cell r="AF107">
            <v>0</v>
          </cell>
          <cell r="AH107">
            <v>0</v>
          </cell>
        </row>
        <row r="108">
          <cell r="B108" t="str">
            <v>DNEE</v>
          </cell>
          <cell r="C108" t="str">
            <v>Q</v>
          </cell>
          <cell r="D108" t="str">
            <v>12F</v>
          </cell>
          <cell r="E108" t="str">
            <v>IRE/</v>
          </cell>
          <cell r="F108" t="str">
            <v>FC/CN</v>
          </cell>
          <cell r="G108">
            <v>15</v>
          </cell>
          <cell r="H108" t="str">
            <v>Ateliers régionaux de coordination et de suivi des subventions 8 IRE x 8p x2j</v>
          </cell>
          <cell r="I108" t="str">
            <v>IRE/</v>
          </cell>
          <cell r="K108" t="str">
            <v>FC/PSE</v>
          </cell>
          <cell r="L108" t="str">
            <v>AUT</v>
          </cell>
          <cell r="M108">
            <v>128</v>
          </cell>
          <cell r="N108">
            <v>128</v>
          </cell>
          <cell r="O108">
            <v>128</v>
          </cell>
          <cell r="P108">
            <v>384</v>
          </cell>
          <cell r="Q108" t="str">
            <v>pxj</v>
          </cell>
          <cell r="R108" t="str">
            <v>asr</v>
          </cell>
          <cell r="S108">
            <v>123.10000000000001</v>
          </cell>
          <cell r="T108">
            <v>1</v>
          </cell>
          <cell r="U108">
            <v>15756.800000000001</v>
          </cell>
          <cell r="V108">
            <v>15756.800000000001</v>
          </cell>
          <cell r="W108">
            <v>15756.800000000001</v>
          </cell>
          <cell r="X108">
            <v>47270.400000000001</v>
          </cell>
          <cell r="Y108">
            <v>15756.800000000001</v>
          </cell>
          <cell r="Z108">
            <v>15756.800000000001</v>
          </cell>
          <cell r="AA108">
            <v>15756.800000000001</v>
          </cell>
          <cell r="AB108">
            <v>47270.400000000001</v>
          </cell>
          <cell r="AC108">
            <v>0</v>
          </cell>
          <cell r="AD108">
            <v>0</v>
          </cell>
          <cell r="AE108">
            <v>0</v>
          </cell>
          <cell r="AF108">
            <v>0</v>
          </cell>
          <cell r="AG108">
            <v>0</v>
          </cell>
          <cell r="AH108">
            <v>0</v>
          </cell>
        </row>
        <row r="109">
          <cell r="B109" t="str">
            <v>DNEE</v>
          </cell>
          <cell r="C109" t="str">
            <v>Q</v>
          </cell>
          <cell r="D109" t="str">
            <v>12F</v>
          </cell>
          <cell r="E109" t="str">
            <v>DPE/</v>
          </cell>
          <cell r="F109" t="str">
            <v>FC/CN</v>
          </cell>
          <cell r="G109">
            <v>15</v>
          </cell>
          <cell r="H109" t="str">
            <v>Ateliers préfectoraux  de coordination et de suivi des subventions 39 DPE x 6P x 2j</v>
          </cell>
          <cell r="I109" t="str">
            <v>DPE/</v>
          </cell>
          <cell r="K109" t="str">
            <v>FC/PSE</v>
          </cell>
          <cell r="L109" t="str">
            <v>AUT</v>
          </cell>
          <cell r="M109">
            <v>456</v>
          </cell>
          <cell r="N109">
            <v>456</v>
          </cell>
          <cell r="O109">
            <v>456</v>
          </cell>
          <cell r="P109">
            <v>1368</v>
          </cell>
          <cell r="Q109" t="str">
            <v>pxj</v>
          </cell>
          <cell r="R109" t="str">
            <v>asp</v>
          </cell>
          <cell r="S109">
            <v>98.48</v>
          </cell>
          <cell r="T109">
            <v>1</v>
          </cell>
          <cell r="U109">
            <v>44906.880000000005</v>
          </cell>
          <cell r="V109">
            <v>44906.880000000005</v>
          </cell>
          <cell r="W109">
            <v>44906.880000000005</v>
          </cell>
          <cell r="X109">
            <v>134720.64000000001</v>
          </cell>
          <cell r="Y109">
            <v>44906.880000000005</v>
          </cell>
          <cell r="Z109">
            <v>44906.880000000005</v>
          </cell>
          <cell r="AA109">
            <v>44906.880000000005</v>
          </cell>
          <cell r="AB109">
            <v>134720.64000000001</v>
          </cell>
          <cell r="AC109">
            <v>0</v>
          </cell>
          <cell r="AD109">
            <v>0</v>
          </cell>
          <cell r="AE109">
            <v>0</v>
          </cell>
          <cell r="AF109">
            <v>0</v>
          </cell>
          <cell r="AG109">
            <v>0</v>
          </cell>
          <cell r="AH109">
            <v>0</v>
          </cell>
        </row>
        <row r="110">
          <cell r="B110" t="str">
            <v>DNEE</v>
          </cell>
          <cell r="C110" t="str">
            <v>Q</v>
          </cell>
          <cell r="D110" t="str">
            <v>12F</v>
          </cell>
          <cell r="E110" t="str">
            <v>DNEE</v>
          </cell>
          <cell r="F110" t="str">
            <v>FC/CN</v>
          </cell>
          <cell r="G110">
            <v>25</v>
          </cell>
          <cell r="H110" t="str">
            <v>Spécialistes en projets d'écoles missions de 2p x 15jours</v>
          </cell>
          <cell r="I110" t="str">
            <v>CNCESE</v>
          </cell>
          <cell r="K110" t="str">
            <v>FC/PSE</v>
          </cell>
          <cell r="L110" t="str">
            <v>CR</v>
          </cell>
          <cell r="M110">
            <v>1</v>
          </cell>
          <cell r="N110">
            <v>2</v>
          </cell>
          <cell r="O110">
            <v>2</v>
          </cell>
          <cell r="P110">
            <v>5</v>
          </cell>
          <cell r="Q110" t="str">
            <v>pxm</v>
          </cell>
          <cell r="R110" t="str">
            <v>cic</v>
          </cell>
          <cell r="S110">
            <v>88632</v>
          </cell>
          <cell r="T110">
            <v>1</v>
          </cell>
          <cell r="U110">
            <v>88632</v>
          </cell>
          <cell r="V110">
            <v>177264</v>
          </cell>
          <cell r="W110">
            <v>177264</v>
          </cell>
          <cell r="X110">
            <v>443160</v>
          </cell>
          <cell r="Y110">
            <v>88632</v>
          </cell>
          <cell r="Z110">
            <v>177264</v>
          </cell>
          <cell r="AA110">
            <v>177264</v>
          </cell>
          <cell r="AB110">
            <v>443160</v>
          </cell>
          <cell r="AC110">
            <v>0</v>
          </cell>
          <cell r="AD110">
            <v>0</v>
          </cell>
          <cell r="AE110">
            <v>0</v>
          </cell>
          <cell r="AF110">
            <v>0</v>
          </cell>
          <cell r="AG110">
            <v>0</v>
          </cell>
          <cell r="AH110">
            <v>0</v>
          </cell>
        </row>
        <row r="111">
          <cell r="B111" t="str">
            <v>DNEE</v>
          </cell>
          <cell r="C111" t="str">
            <v>Q</v>
          </cell>
          <cell r="D111" t="str">
            <v>12F</v>
          </cell>
          <cell r="E111" t="str">
            <v>EP/</v>
          </cell>
          <cell r="F111" t="str">
            <v>FC/</v>
          </cell>
          <cell r="G111">
            <v>14</v>
          </cell>
          <cell r="H111" t="str">
            <v>Subvention aux Projets d'Amélioration de l'Ecole (par classe)</v>
          </cell>
          <cell r="I111" t="str">
            <v>DPE/</v>
          </cell>
          <cell r="K111" t="str">
            <v>FC/PSE</v>
          </cell>
          <cell r="L111" t="str">
            <v>AUT</v>
          </cell>
          <cell r="M111">
            <v>23369.808141794354</v>
          </cell>
          <cell r="N111">
            <v>25671.779303821615</v>
          </cell>
          <cell r="O111">
            <v>28181.905940696288</v>
          </cell>
          <cell r="P111">
            <v>77223.493386312257</v>
          </cell>
          <cell r="Q111" t="str">
            <v>cl</v>
          </cell>
          <cell r="R111" t="str">
            <v>spc</v>
          </cell>
          <cell r="S111">
            <v>73.86</v>
          </cell>
          <cell r="T111">
            <v>1</v>
          </cell>
          <cell r="U111">
            <v>1726094.0293529311</v>
          </cell>
          <cell r="V111">
            <v>1896117.6193802645</v>
          </cell>
          <cell r="W111">
            <v>2081515.5727798278</v>
          </cell>
          <cell r="X111">
            <v>5703727.2215130236</v>
          </cell>
          <cell r="Y111">
            <v>1726094.0293529311</v>
          </cell>
          <cell r="Z111">
            <v>1896117.6193802645</v>
          </cell>
          <cell r="AA111">
            <v>2081515.5727798278</v>
          </cell>
          <cell r="AB111">
            <v>5703727.2215130236</v>
          </cell>
          <cell r="AC111">
            <v>0</v>
          </cell>
          <cell r="AD111">
            <v>0</v>
          </cell>
          <cell r="AE111">
            <v>0</v>
          </cell>
          <cell r="AF111">
            <v>0</v>
          </cell>
          <cell r="AG111">
            <v>0</v>
          </cell>
          <cell r="AH111">
            <v>0</v>
          </cell>
        </row>
        <row r="112">
          <cell r="B112" t="str">
            <v>DNEE</v>
          </cell>
          <cell r="C112" t="str">
            <v>Q</v>
          </cell>
          <cell r="D112" t="str">
            <v>12F</v>
          </cell>
          <cell r="E112" t="str">
            <v>EP/</v>
          </cell>
          <cell r="F112" t="str">
            <v>FC/</v>
          </cell>
          <cell r="G112">
            <v>14</v>
          </cell>
          <cell r="H112" t="str">
            <v>Subvention aux Projets d'Amélioration de l'Ecole (par élève)</v>
          </cell>
          <cell r="I112" t="str">
            <v>DPE/</v>
          </cell>
          <cell r="K112" t="str">
            <v>FC/PSE</v>
          </cell>
          <cell r="L112" t="str">
            <v>AUT</v>
          </cell>
          <cell r="M112">
            <v>1152657.4726665486</v>
          </cell>
          <cell r="N112">
            <v>1250067.6267289731</v>
          </cell>
          <cell r="O112">
            <v>1354588.9161903001</v>
          </cell>
          <cell r="P112">
            <v>3757314.0155858221</v>
          </cell>
          <cell r="Q112" t="str">
            <v>él</v>
          </cell>
          <cell r="R112" t="str">
            <v>spe</v>
          </cell>
          <cell r="S112">
            <v>2.4620000000000002</v>
          </cell>
          <cell r="T112">
            <v>1</v>
          </cell>
          <cell r="U112">
            <v>2837842.697705043</v>
          </cell>
          <cell r="V112">
            <v>3077666.497006732</v>
          </cell>
          <cell r="W112">
            <v>3334997.911660519</v>
          </cell>
          <cell r="X112">
            <v>9250507.1063722931</v>
          </cell>
          <cell r="Y112">
            <v>2837842.697705043</v>
          </cell>
          <cell r="Z112">
            <v>3077666.497006732</v>
          </cell>
          <cell r="AA112">
            <v>3334997.911660519</v>
          </cell>
          <cell r="AB112">
            <v>9250507.1063722931</v>
          </cell>
          <cell r="AC112">
            <v>0</v>
          </cell>
          <cell r="AD112">
            <v>0</v>
          </cell>
          <cell r="AE112">
            <v>0</v>
          </cell>
          <cell r="AF112">
            <v>0</v>
          </cell>
          <cell r="AG112">
            <v>0</v>
          </cell>
          <cell r="AH112">
            <v>0</v>
          </cell>
        </row>
        <row r="113">
          <cell r="B113" t="str">
            <v>DNEE</v>
          </cell>
          <cell r="C113" t="str">
            <v>Q</v>
          </cell>
          <cell r="D113" t="str">
            <v>12F</v>
          </cell>
          <cell r="E113" t="str">
            <v>EP/</v>
          </cell>
          <cell r="F113" t="str">
            <v>FC/</v>
          </cell>
          <cell r="G113">
            <v>14</v>
          </cell>
          <cell r="H113" t="str">
            <v>Subvention de fonctionnement des DSEE</v>
          </cell>
          <cell r="I113" t="str">
            <v>DPE/</v>
          </cell>
          <cell r="K113" t="str">
            <v>FC/PSE</v>
          </cell>
          <cell r="L113" t="str">
            <v>AUT</v>
          </cell>
          <cell r="M113">
            <v>405</v>
          </cell>
          <cell r="N113">
            <v>405</v>
          </cell>
          <cell r="O113">
            <v>405</v>
          </cell>
          <cell r="P113">
            <v>1215</v>
          </cell>
          <cell r="Q113" t="str">
            <v>dsee</v>
          </cell>
          <cell r="R113" t="str">
            <v>sfd</v>
          </cell>
          <cell r="S113">
            <v>2462</v>
          </cell>
          <cell r="T113">
            <v>1</v>
          </cell>
          <cell r="U113">
            <v>997110</v>
          </cell>
          <cell r="V113">
            <v>997110</v>
          </cell>
          <cell r="W113">
            <v>997110</v>
          </cell>
          <cell r="X113">
            <v>2991330</v>
          </cell>
          <cell r="Y113">
            <v>997110</v>
          </cell>
          <cell r="Z113">
            <v>997110</v>
          </cell>
          <cell r="AA113">
            <v>997110</v>
          </cell>
          <cell r="AB113">
            <v>2991330</v>
          </cell>
          <cell r="AC113">
            <v>0</v>
          </cell>
          <cell r="AD113">
            <v>0</v>
          </cell>
          <cell r="AE113">
            <v>0</v>
          </cell>
          <cell r="AF113">
            <v>0</v>
          </cell>
          <cell r="AG113">
            <v>0</v>
          </cell>
          <cell r="AH113">
            <v>0</v>
          </cell>
        </row>
        <row r="114">
          <cell r="B114" t="str">
            <v>DNEE</v>
          </cell>
          <cell r="C114" t="str">
            <v>Q</v>
          </cell>
          <cell r="D114" t="str">
            <v>12F</v>
          </cell>
          <cell r="E114" t="str">
            <v>EP/</v>
          </cell>
          <cell r="F114" t="str">
            <v>FC/</v>
          </cell>
          <cell r="G114">
            <v>14</v>
          </cell>
          <cell r="H114" t="str">
            <v>Subvention de Formation continue des Maîtres en DSEE</v>
          </cell>
          <cell r="I114" t="str">
            <v>DPE/</v>
          </cell>
          <cell r="K114" t="str">
            <v>FC/PSE</v>
          </cell>
          <cell r="L114" t="str">
            <v>AUT</v>
          </cell>
          <cell r="M114">
            <v>405</v>
          </cell>
          <cell r="N114">
            <v>405</v>
          </cell>
          <cell r="O114">
            <v>405</v>
          </cell>
          <cell r="P114">
            <v>1215</v>
          </cell>
          <cell r="Q114" t="str">
            <v>dsee</v>
          </cell>
          <cell r="R114" t="str">
            <v>sfm</v>
          </cell>
          <cell r="S114">
            <v>2954.4</v>
          </cell>
          <cell r="T114">
            <v>1</v>
          </cell>
          <cell r="U114">
            <v>1196532</v>
          </cell>
          <cell r="V114">
            <v>1196532</v>
          </cell>
          <cell r="W114">
            <v>1196532</v>
          </cell>
          <cell r="X114">
            <v>3589596</v>
          </cell>
          <cell r="Y114">
            <v>1196532</v>
          </cell>
          <cell r="Z114">
            <v>1196532</v>
          </cell>
          <cell r="AA114">
            <v>1196532</v>
          </cell>
          <cell r="AB114">
            <v>3589596</v>
          </cell>
          <cell r="AC114">
            <v>0</v>
          </cell>
          <cell r="AD114">
            <v>0</v>
          </cell>
          <cell r="AE114">
            <v>0</v>
          </cell>
          <cell r="AF114">
            <v>0</v>
          </cell>
          <cell r="AG114">
            <v>0</v>
          </cell>
          <cell r="AH114">
            <v>0</v>
          </cell>
        </row>
        <row r="115">
          <cell r="B115" t="str">
            <v>DNEE</v>
          </cell>
          <cell r="C115" t="str">
            <v>Q</v>
          </cell>
          <cell r="D115" t="str">
            <v>12F</v>
          </cell>
          <cell r="E115" t="str">
            <v>DNEE</v>
          </cell>
          <cell r="F115" t="str">
            <v>FC/CN</v>
          </cell>
          <cell r="G115">
            <v>15</v>
          </cell>
          <cell r="H115" t="str">
            <v>Gestion des subventions et suivi évaluation : appuis à la DNEE</v>
          </cell>
          <cell r="I115" t="str">
            <v>DNEE</v>
          </cell>
          <cell r="K115" t="str">
            <v>FC/PSE</v>
          </cell>
          <cell r="L115" t="str">
            <v>AUT</v>
          </cell>
          <cell r="M115">
            <v>6</v>
          </cell>
          <cell r="N115">
            <v>12</v>
          </cell>
          <cell r="O115">
            <v>12</v>
          </cell>
          <cell r="P115">
            <v>30</v>
          </cell>
          <cell r="Q115" t="str">
            <v>mois</v>
          </cell>
          <cell r="S115">
            <v>5000</v>
          </cell>
          <cell r="T115">
            <v>1</v>
          </cell>
          <cell r="U115">
            <v>30000</v>
          </cell>
          <cell r="V115">
            <v>60000</v>
          </cell>
          <cell r="W115">
            <v>60000</v>
          </cell>
          <cell r="X115">
            <v>150000</v>
          </cell>
          <cell r="Y115">
            <v>30000</v>
          </cell>
          <cell r="Z115">
            <v>60000</v>
          </cell>
          <cell r="AA115">
            <v>60000</v>
          </cell>
          <cell r="AB115">
            <v>150000</v>
          </cell>
          <cell r="AC115">
            <v>0</v>
          </cell>
          <cell r="AD115">
            <v>0</v>
          </cell>
          <cell r="AE115">
            <v>0</v>
          </cell>
          <cell r="AF115">
            <v>0</v>
          </cell>
          <cell r="AG115">
            <v>0</v>
          </cell>
          <cell r="AH115">
            <v>0</v>
          </cell>
        </row>
        <row r="116">
          <cell r="B116" t="str">
            <v>DNEE</v>
          </cell>
          <cell r="C116" t="str">
            <v>Q</v>
          </cell>
          <cell r="D116" t="str">
            <v>12F</v>
          </cell>
          <cell r="E116" t="str">
            <v>IRE/</v>
          </cell>
          <cell r="F116" t="str">
            <v>FC/</v>
          </cell>
          <cell r="G116">
            <v>15</v>
          </cell>
          <cell r="H116" t="str">
            <v>Gestion des subventions et suivi évaluation : appuis aux 8 IRE</v>
          </cell>
          <cell r="I116" t="str">
            <v>IRE/</v>
          </cell>
          <cell r="K116" t="str">
            <v>FC/PSE</v>
          </cell>
          <cell r="L116" t="str">
            <v>AUT</v>
          </cell>
          <cell r="M116">
            <v>48</v>
          </cell>
          <cell r="N116">
            <v>96</v>
          </cell>
          <cell r="O116">
            <v>96</v>
          </cell>
          <cell r="P116">
            <v>240</v>
          </cell>
          <cell r="Q116" t="str">
            <v>mois</v>
          </cell>
          <cell r="S116">
            <v>1000</v>
          </cell>
          <cell r="T116">
            <v>1</v>
          </cell>
          <cell r="U116">
            <v>48000</v>
          </cell>
          <cell r="V116">
            <v>96000</v>
          </cell>
          <cell r="W116">
            <v>96000</v>
          </cell>
          <cell r="X116">
            <v>240000</v>
          </cell>
          <cell r="Y116">
            <v>48000</v>
          </cell>
          <cell r="Z116">
            <v>96000</v>
          </cell>
          <cell r="AA116">
            <v>96000</v>
          </cell>
          <cell r="AB116">
            <v>240000</v>
          </cell>
          <cell r="AC116">
            <v>0</v>
          </cell>
          <cell r="AD116">
            <v>0</v>
          </cell>
          <cell r="AE116">
            <v>0</v>
          </cell>
          <cell r="AF116">
            <v>0</v>
          </cell>
          <cell r="AG116">
            <v>0</v>
          </cell>
          <cell r="AH116">
            <v>0</v>
          </cell>
        </row>
        <row r="117">
          <cell r="B117" t="str">
            <v>DNEE</v>
          </cell>
          <cell r="C117" t="str">
            <v>Q</v>
          </cell>
          <cell r="D117" t="str">
            <v>12F</v>
          </cell>
          <cell r="E117" t="str">
            <v>DPE/</v>
          </cell>
          <cell r="F117" t="str">
            <v>FC/</v>
          </cell>
          <cell r="G117">
            <v>15</v>
          </cell>
          <cell r="H117" t="str">
            <v>Gestion des subventions et suivi évaluation : appuis aux 38 DPE</v>
          </cell>
          <cell r="I117" t="str">
            <v>DPE/</v>
          </cell>
          <cell r="K117" t="str">
            <v>FC/PSE</v>
          </cell>
          <cell r="L117" t="str">
            <v>AUT</v>
          </cell>
          <cell r="M117">
            <v>228</v>
          </cell>
          <cell r="N117">
            <v>456</v>
          </cell>
          <cell r="O117">
            <v>456</v>
          </cell>
          <cell r="P117">
            <v>1140</v>
          </cell>
          <cell r="Q117" t="str">
            <v>mois</v>
          </cell>
          <cell r="S117">
            <v>1000</v>
          </cell>
          <cell r="T117">
            <v>1</v>
          </cell>
          <cell r="U117">
            <v>228000</v>
          </cell>
          <cell r="V117">
            <v>456000</v>
          </cell>
          <cell r="W117">
            <v>456000</v>
          </cell>
          <cell r="X117">
            <v>1140000</v>
          </cell>
          <cell r="Y117">
            <v>228000</v>
          </cell>
          <cell r="Z117">
            <v>456000</v>
          </cell>
          <cell r="AA117">
            <v>456000</v>
          </cell>
          <cell r="AB117">
            <v>1140000</v>
          </cell>
          <cell r="AC117">
            <v>0</v>
          </cell>
          <cell r="AD117">
            <v>0</v>
          </cell>
          <cell r="AE117">
            <v>0</v>
          </cell>
          <cell r="AF117">
            <v>0</v>
          </cell>
          <cell r="AG117">
            <v>0</v>
          </cell>
          <cell r="AH117">
            <v>0</v>
          </cell>
        </row>
        <row r="118">
          <cell r="H118" t="str">
            <v>Evaluations apprentissages calcul lect &amp; français élèves primaire</v>
          </cell>
          <cell r="U118">
            <v>0</v>
          </cell>
          <cell r="V118">
            <v>753277.2</v>
          </cell>
          <cell r="W118">
            <v>753277.2</v>
          </cell>
          <cell r="X118">
            <v>1506554.4</v>
          </cell>
          <cell r="Y118">
            <v>0</v>
          </cell>
          <cell r="Z118">
            <v>753277.2</v>
          </cell>
          <cell r="AA118">
            <v>753277.2</v>
          </cell>
          <cell r="AB118">
            <v>1506554.4</v>
          </cell>
          <cell r="AC118">
            <v>0</v>
          </cell>
          <cell r="AD118">
            <v>0</v>
          </cell>
          <cell r="AE118">
            <v>0</v>
          </cell>
          <cell r="AF118">
            <v>0</v>
          </cell>
          <cell r="AH118">
            <v>0</v>
          </cell>
        </row>
        <row r="119">
          <cell r="B119" t="str">
            <v>CNCESE</v>
          </cell>
          <cell r="C119" t="str">
            <v>Q</v>
          </cell>
          <cell r="D119" t="str">
            <v>12G</v>
          </cell>
          <cell r="E119" t="str">
            <v>CNCESE</v>
          </cell>
          <cell r="F119" t="str">
            <v>FC/CN</v>
          </cell>
          <cell r="G119">
            <v>25</v>
          </cell>
          <cell r="H119" t="str">
            <v>Spécialistes en évaluation 4 missions de 15jours</v>
          </cell>
          <cell r="I119" t="str">
            <v>CNCESE</v>
          </cell>
          <cell r="K119" t="str">
            <v>FC/PSE</v>
          </cell>
          <cell r="L119" t="str">
            <v>CR</v>
          </cell>
          <cell r="N119">
            <v>2</v>
          </cell>
          <cell r="O119">
            <v>2</v>
          </cell>
          <cell r="P119">
            <v>4</v>
          </cell>
          <cell r="Q119" t="str">
            <v>pxm</v>
          </cell>
          <cell r="R119" t="str">
            <v>cic</v>
          </cell>
          <cell r="S119">
            <v>88632</v>
          </cell>
          <cell r="T119">
            <v>1</v>
          </cell>
          <cell r="U119">
            <v>0</v>
          </cell>
          <cell r="V119">
            <v>177264</v>
          </cell>
          <cell r="W119">
            <v>177264</v>
          </cell>
          <cell r="X119">
            <v>354528</v>
          </cell>
          <cell r="Y119">
            <v>0</v>
          </cell>
          <cell r="Z119">
            <v>177264</v>
          </cell>
          <cell r="AA119">
            <v>177264</v>
          </cell>
          <cell r="AB119">
            <v>354528</v>
          </cell>
          <cell r="AC119">
            <v>0</v>
          </cell>
          <cell r="AD119">
            <v>0</v>
          </cell>
          <cell r="AE119">
            <v>0</v>
          </cell>
          <cell r="AF119">
            <v>0</v>
          </cell>
          <cell r="AG119">
            <v>0</v>
          </cell>
          <cell r="AH119">
            <v>0</v>
          </cell>
        </row>
        <row r="120">
          <cell r="H120" t="str">
            <v>Evaluation des apprentissages élèves du primaire 6ème année</v>
          </cell>
        </row>
        <row r="121">
          <cell r="B121" t="str">
            <v>CNCESE</v>
          </cell>
          <cell r="C121" t="str">
            <v>Q</v>
          </cell>
          <cell r="D121" t="str">
            <v>12G</v>
          </cell>
          <cell r="E121" t="str">
            <v>CNCESE</v>
          </cell>
          <cell r="F121" t="str">
            <v>FC/CN</v>
          </cell>
          <cell r="H121" t="str">
            <v>Echantillonnage par la CNCESE</v>
          </cell>
          <cell r="I121" t="str">
            <v>CNCESE</v>
          </cell>
          <cell r="K121" t="str">
            <v>FC/PSE</v>
          </cell>
          <cell r="P121">
            <v>0</v>
          </cell>
          <cell r="R121" t="str">
            <v>SIF</v>
          </cell>
          <cell r="T121">
            <v>1</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B122" t="str">
            <v>CNCESE</v>
          </cell>
          <cell r="C122" t="str">
            <v>Q</v>
          </cell>
          <cell r="D122" t="str">
            <v>12G</v>
          </cell>
          <cell r="E122" t="str">
            <v>CNCESE</v>
          </cell>
          <cell r="F122" t="str">
            <v>FC/CN</v>
          </cell>
          <cell r="H122" t="str">
            <v>Adaptation tests et questionnaires maîtres et directeurs par la CNCESE</v>
          </cell>
          <cell r="I122" t="str">
            <v>CNCESE</v>
          </cell>
          <cell r="K122" t="str">
            <v>FC/PSE</v>
          </cell>
          <cell r="P122">
            <v>0</v>
          </cell>
          <cell r="R122" t="str">
            <v>SIF</v>
          </cell>
          <cell r="T122">
            <v>1</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row>
        <row r="123">
          <cell r="B123" t="str">
            <v>CNCESE</v>
          </cell>
          <cell r="C123" t="str">
            <v>Q</v>
          </cell>
          <cell r="D123" t="str">
            <v>12G</v>
          </cell>
          <cell r="E123" t="str">
            <v>CNCESE</v>
          </cell>
          <cell r="F123" t="str">
            <v>FC/CN</v>
          </cell>
          <cell r="G123">
            <v>15</v>
          </cell>
          <cell r="H123" t="str">
            <v>Impression outils évaluation Questionnaire maître : 45 pages x 500 exemplaires</v>
          </cell>
          <cell r="I123" t="str">
            <v>CNCESE</v>
          </cell>
          <cell r="K123" t="str">
            <v>FC/PSE</v>
          </cell>
          <cell r="L123" t="str">
            <v>COT</v>
          </cell>
          <cell r="N123">
            <v>22500</v>
          </cell>
          <cell r="P123">
            <v>22500</v>
          </cell>
          <cell r="Q123" t="str">
            <v>page</v>
          </cell>
          <cell r="R123" t="str">
            <v>rep</v>
          </cell>
          <cell r="S123">
            <v>0.30000000000000004</v>
          </cell>
          <cell r="T123">
            <v>1</v>
          </cell>
          <cell r="U123">
            <v>0</v>
          </cell>
          <cell r="V123">
            <v>6750.0000000000009</v>
          </cell>
          <cell r="W123">
            <v>0</v>
          </cell>
          <cell r="X123">
            <v>6750.0000000000009</v>
          </cell>
          <cell r="Y123">
            <v>0</v>
          </cell>
          <cell r="Z123">
            <v>6750.0000000000009</v>
          </cell>
          <cell r="AA123">
            <v>0</v>
          </cell>
          <cell r="AB123">
            <v>6750.0000000000009</v>
          </cell>
          <cell r="AC123">
            <v>0</v>
          </cell>
          <cell r="AD123">
            <v>0</v>
          </cell>
          <cell r="AE123">
            <v>0</v>
          </cell>
          <cell r="AF123">
            <v>0</v>
          </cell>
          <cell r="AG123">
            <v>0</v>
          </cell>
          <cell r="AH123">
            <v>0</v>
          </cell>
        </row>
        <row r="124">
          <cell r="B124" t="str">
            <v>CNCESE</v>
          </cell>
          <cell r="C124" t="str">
            <v>Q</v>
          </cell>
          <cell r="D124" t="str">
            <v>12G</v>
          </cell>
          <cell r="E124" t="str">
            <v>CNCESE</v>
          </cell>
          <cell r="F124" t="str">
            <v>FC/CN</v>
          </cell>
          <cell r="G124">
            <v>15</v>
          </cell>
          <cell r="H124" t="str">
            <v>Impression outils évaluation Questionnaire directeur : 45 pages x 500 exemplaires</v>
          </cell>
          <cell r="I124" t="str">
            <v>CNCESE</v>
          </cell>
          <cell r="K124" t="str">
            <v>FC/PSE</v>
          </cell>
          <cell r="L124" t="str">
            <v>COT</v>
          </cell>
          <cell r="N124">
            <v>22500</v>
          </cell>
          <cell r="P124">
            <v>22500</v>
          </cell>
          <cell r="Q124" t="str">
            <v>page</v>
          </cell>
          <cell r="R124" t="str">
            <v>rep</v>
          </cell>
          <cell r="S124">
            <v>0.30000000000000004</v>
          </cell>
          <cell r="T124">
            <v>1</v>
          </cell>
          <cell r="U124">
            <v>0</v>
          </cell>
          <cell r="V124">
            <v>6750.0000000000009</v>
          </cell>
          <cell r="W124">
            <v>0</v>
          </cell>
          <cell r="X124">
            <v>6750.0000000000009</v>
          </cell>
          <cell r="Y124">
            <v>0</v>
          </cell>
          <cell r="Z124">
            <v>6750.0000000000009</v>
          </cell>
          <cell r="AA124">
            <v>0</v>
          </cell>
          <cell r="AB124">
            <v>6750.0000000000009</v>
          </cell>
          <cell r="AC124">
            <v>0</v>
          </cell>
          <cell r="AD124">
            <v>0</v>
          </cell>
          <cell r="AE124">
            <v>0</v>
          </cell>
          <cell r="AF124">
            <v>0</v>
          </cell>
          <cell r="AG124">
            <v>0</v>
          </cell>
          <cell r="AH124">
            <v>0</v>
          </cell>
        </row>
        <row r="125">
          <cell r="B125" t="str">
            <v>CNCESE</v>
          </cell>
          <cell r="C125" t="str">
            <v>Q</v>
          </cell>
          <cell r="D125" t="str">
            <v>12G</v>
          </cell>
          <cell r="E125" t="str">
            <v>CNCESE</v>
          </cell>
          <cell r="F125" t="str">
            <v>FC/CN</v>
          </cell>
          <cell r="G125">
            <v>15</v>
          </cell>
          <cell r="H125" t="str">
            <v>Impression outils évaluation Cahier élève : 60 pages x 6000 exemplaires</v>
          </cell>
          <cell r="I125" t="str">
            <v>CNCESE</v>
          </cell>
          <cell r="K125" t="str">
            <v>FC/PSE</v>
          </cell>
          <cell r="L125" t="str">
            <v>COT</v>
          </cell>
          <cell r="N125">
            <v>360000</v>
          </cell>
          <cell r="P125">
            <v>360000</v>
          </cell>
          <cell r="Q125" t="str">
            <v>page</v>
          </cell>
          <cell r="R125" t="str">
            <v>rep</v>
          </cell>
          <cell r="S125">
            <v>0.30000000000000004</v>
          </cell>
          <cell r="T125">
            <v>1</v>
          </cell>
          <cell r="U125">
            <v>0</v>
          </cell>
          <cell r="V125">
            <v>108000.00000000001</v>
          </cell>
          <cell r="W125">
            <v>0</v>
          </cell>
          <cell r="X125">
            <v>108000.00000000001</v>
          </cell>
          <cell r="Y125">
            <v>0</v>
          </cell>
          <cell r="Z125">
            <v>108000.00000000001</v>
          </cell>
          <cell r="AA125">
            <v>0</v>
          </cell>
          <cell r="AB125">
            <v>108000.00000000001</v>
          </cell>
          <cell r="AC125">
            <v>0</v>
          </cell>
          <cell r="AD125">
            <v>0</v>
          </cell>
          <cell r="AE125">
            <v>0</v>
          </cell>
          <cell r="AF125">
            <v>0</v>
          </cell>
          <cell r="AG125">
            <v>0</v>
          </cell>
          <cell r="AH125">
            <v>0</v>
          </cell>
        </row>
        <row r="126">
          <cell r="B126" t="str">
            <v>CNCESE</v>
          </cell>
          <cell r="C126" t="str">
            <v>Q</v>
          </cell>
          <cell r="D126" t="str">
            <v>12G</v>
          </cell>
          <cell r="E126" t="str">
            <v>CNCESE</v>
          </cell>
          <cell r="F126" t="str">
            <v>FC/CN</v>
          </cell>
          <cell r="G126">
            <v>15</v>
          </cell>
          <cell r="H126" t="str">
            <v>Impression outils évaluation Cahier administrateur : 110 pages x 150 exemplaires</v>
          </cell>
          <cell r="I126" t="str">
            <v>CNCESE</v>
          </cell>
          <cell r="K126" t="str">
            <v>FC/PSE</v>
          </cell>
          <cell r="L126" t="str">
            <v>COT</v>
          </cell>
          <cell r="N126">
            <v>16500</v>
          </cell>
          <cell r="P126">
            <v>16500</v>
          </cell>
          <cell r="Q126" t="str">
            <v>page</v>
          </cell>
          <cell r="R126" t="str">
            <v>rep</v>
          </cell>
          <cell r="S126">
            <v>0.30000000000000004</v>
          </cell>
          <cell r="T126">
            <v>1</v>
          </cell>
          <cell r="U126">
            <v>0</v>
          </cell>
          <cell r="V126">
            <v>4950.0000000000009</v>
          </cell>
          <cell r="W126">
            <v>0</v>
          </cell>
          <cell r="X126">
            <v>4950.0000000000009</v>
          </cell>
          <cell r="Y126">
            <v>0</v>
          </cell>
          <cell r="Z126">
            <v>4950.0000000000009</v>
          </cell>
          <cell r="AA126">
            <v>0</v>
          </cell>
          <cell r="AB126">
            <v>4950.0000000000009</v>
          </cell>
          <cell r="AC126">
            <v>0</v>
          </cell>
          <cell r="AD126">
            <v>0</v>
          </cell>
          <cell r="AE126">
            <v>0</v>
          </cell>
          <cell r="AF126">
            <v>0</v>
          </cell>
          <cell r="AG126">
            <v>0</v>
          </cell>
          <cell r="AH126">
            <v>0</v>
          </cell>
        </row>
        <row r="127">
          <cell r="B127" t="str">
            <v>CNCESE</v>
          </cell>
          <cell r="C127" t="str">
            <v>Q</v>
          </cell>
          <cell r="D127" t="str">
            <v>12G</v>
          </cell>
          <cell r="E127" t="str">
            <v>CNCESE</v>
          </cell>
          <cell r="F127" t="str">
            <v>FC/CN</v>
          </cell>
          <cell r="G127">
            <v>15</v>
          </cell>
          <cell r="H127" t="str">
            <v>Impression outils évaluation Consignes de passation : 16 pages x 150 exemplaires</v>
          </cell>
          <cell r="I127" t="str">
            <v>CNCESE</v>
          </cell>
          <cell r="K127" t="str">
            <v>FC/PSE</v>
          </cell>
          <cell r="L127" t="str">
            <v>COT</v>
          </cell>
          <cell r="N127">
            <v>2400</v>
          </cell>
          <cell r="P127">
            <v>2400</v>
          </cell>
          <cell r="Q127" t="str">
            <v>page</v>
          </cell>
          <cell r="R127" t="str">
            <v>rep</v>
          </cell>
          <cell r="S127">
            <v>0.30000000000000004</v>
          </cell>
          <cell r="T127">
            <v>1</v>
          </cell>
          <cell r="U127">
            <v>0</v>
          </cell>
          <cell r="V127">
            <v>720.00000000000011</v>
          </cell>
          <cell r="W127">
            <v>0</v>
          </cell>
          <cell r="X127">
            <v>720.00000000000011</v>
          </cell>
          <cell r="Y127">
            <v>0</v>
          </cell>
          <cell r="Z127">
            <v>720.00000000000011</v>
          </cell>
          <cell r="AA127">
            <v>0</v>
          </cell>
          <cell r="AB127">
            <v>720.00000000000011</v>
          </cell>
          <cell r="AC127">
            <v>0</v>
          </cell>
          <cell r="AD127">
            <v>0</v>
          </cell>
          <cell r="AE127">
            <v>0</v>
          </cell>
          <cell r="AF127">
            <v>0</v>
          </cell>
          <cell r="AG127">
            <v>0</v>
          </cell>
          <cell r="AH127">
            <v>0</v>
          </cell>
        </row>
        <row r="128">
          <cell r="B128" t="str">
            <v>CNCESE</v>
          </cell>
          <cell r="C128" t="str">
            <v>Q</v>
          </cell>
          <cell r="D128" t="str">
            <v>12G</v>
          </cell>
          <cell r="E128" t="str">
            <v>CNCESE</v>
          </cell>
          <cell r="F128" t="str">
            <v>FC/CN</v>
          </cell>
          <cell r="G128">
            <v>15</v>
          </cell>
          <cell r="H128" t="str">
            <v>Préparation de l'évaluation</v>
          </cell>
          <cell r="I128" t="str">
            <v>CNCESE</v>
          </cell>
          <cell r="K128" t="str">
            <v>FC/PSE</v>
          </cell>
          <cell r="L128" t="str">
            <v>AUT</v>
          </cell>
          <cell r="N128">
            <v>1</v>
          </cell>
          <cell r="P128">
            <v>1</v>
          </cell>
          <cell r="Q128" t="str">
            <v>forfait</v>
          </cell>
          <cell r="S128">
            <v>1200</v>
          </cell>
          <cell r="T128">
            <v>1</v>
          </cell>
          <cell r="U128">
            <v>0</v>
          </cell>
          <cell r="V128">
            <v>1200</v>
          </cell>
          <cell r="W128">
            <v>0</v>
          </cell>
          <cell r="X128">
            <v>1200</v>
          </cell>
          <cell r="Y128">
            <v>0</v>
          </cell>
          <cell r="Z128">
            <v>1200</v>
          </cell>
          <cell r="AA128">
            <v>0</v>
          </cell>
          <cell r="AB128">
            <v>1200</v>
          </cell>
          <cell r="AC128">
            <v>0</v>
          </cell>
          <cell r="AD128">
            <v>0</v>
          </cell>
          <cell r="AE128">
            <v>0</v>
          </cell>
          <cell r="AF128">
            <v>0</v>
          </cell>
          <cell r="AG128">
            <v>0</v>
          </cell>
          <cell r="AH128">
            <v>0</v>
          </cell>
        </row>
        <row r="129">
          <cell r="B129" t="str">
            <v>CNCESE</v>
          </cell>
          <cell r="C129" t="str">
            <v>Q</v>
          </cell>
          <cell r="D129" t="str">
            <v>12G</v>
          </cell>
          <cell r="E129" t="str">
            <v>CNCESE</v>
          </cell>
          <cell r="F129" t="str">
            <v>FC/CN</v>
          </cell>
          <cell r="G129">
            <v>15</v>
          </cell>
          <cell r="H129" t="str">
            <v>Fournitures : forfait</v>
          </cell>
          <cell r="I129" t="str">
            <v>CNCESE</v>
          </cell>
          <cell r="K129" t="str">
            <v>FC/PSE</v>
          </cell>
          <cell r="L129" t="str">
            <v>COT</v>
          </cell>
          <cell r="N129">
            <v>1</v>
          </cell>
          <cell r="P129">
            <v>1</v>
          </cell>
          <cell r="Q129" t="str">
            <v>forfait</v>
          </cell>
          <cell r="S129">
            <v>15000</v>
          </cell>
          <cell r="T129">
            <v>1</v>
          </cell>
          <cell r="U129">
            <v>0</v>
          </cell>
          <cell r="V129">
            <v>15000</v>
          </cell>
          <cell r="W129">
            <v>0</v>
          </cell>
          <cell r="X129">
            <v>15000</v>
          </cell>
          <cell r="Y129">
            <v>0</v>
          </cell>
          <cell r="Z129">
            <v>15000</v>
          </cell>
          <cell r="AA129">
            <v>0</v>
          </cell>
          <cell r="AB129">
            <v>15000</v>
          </cell>
          <cell r="AC129">
            <v>0</v>
          </cell>
          <cell r="AD129">
            <v>0</v>
          </cell>
          <cell r="AE129">
            <v>0</v>
          </cell>
          <cell r="AF129">
            <v>0</v>
          </cell>
          <cell r="AG129">
            <v>0</v>
          </cell>
          <cell r="AH129">
            <v>0</v>
          </cell>
        </row>
        <row r="130">
          <cell r="B130" t="str">
            <v>CNCESE</v>
          </cell>
          <cell r="C130" t="str">
            <v>Q</v>
          </cell>
          <cell r="D130" t="str">
            <v>12G</v>
          </cell>
          <cell r="E130" t="str">
            <v>CNCESE</v>
          </cell>
          <cell r="F130" t="str">
            <v>FC/CN</v>
          </cell>
          <cell r="G130">
            <v>15</v>
          </cell>
          <cell r="H130" t="str">
            <v>Formation administrateurs Perdiem formateurs Conakry : 1p x 3j</v>
          </cell>
          <cell r="I130" t="str">
            <v>CNCESE</v>
          </cell>
          <cell r="K130" t="str">
            <v>FC/PSE</v>
          </cell>
          <cell r="L130" t="str">
            <v>AUT</v>
          </cell>
          <cell r="N130">
            <v>3</v>
          </cell>
          <cell r="P130">
            <v>3</v>
          </cell>
          <cell r="Q130" t="str">
            <v>pxj</v>
          </cell>
          <cell r="R130" t="str">
            <v>asr</v>
          </cell>
          <cell r="S130">
            <v>123.10000000000001</v>
          </cell>
          <cell r="T130">
            <v>1</v>
          </cell>
          <cell r="U130">
            <v>0</v>
          </cell>
          <cell r="V130">
            <v>369.3</v>
          </cell>
          <cell r="W130">
            <v>0</v>
          </cell>
          <cell r="X130">
            <v>369.3</v>
          </cell>
          <cell r="Y130">
            <v>0</v>
          </cell>
          <cell r="Z130">
            <v>369.3</v>
          </cell>
          <cell r="AA130">
            <v>0</v>
          </cell>
          <cell r="AB130">
            <v>369.3</v>
          </cell>
          <cell r="AC130">
            <v>0</v>
          </cell>
          <cell r="AD130">
            <v>0</v>
          </cell>
          <cell r="AE130">
            <v>0</v>
          </cell>
          <cell r="AF130">
            <v>0</v>
          </cell>
          <cell r="AG130">
            <v>0</v>
          </cell>
          <cell r="AH130">
            <v>0</v>
          </cell>
        </row>
        <row r="131">
          <cell r="B131" t="str">
            <v>CNCESE</v>
          </cell>
          <cell r="C131" t="str">
            <v>Q</v>
          </cell>
          <cell r="D131" t="str">
            <v>12G</v>
          </cell>
          <cell r="E131" t="str">
            <v>CNCESE</v>
          </cell>
          <cell r="F131" t="str">
            <v>FC/CN</v>
          </cell>
          <cell r="G131">
            <v>15</v>
          </cell>
          <cell r="H131" t="str">
            <v>Formation administrateurs Perdiem formateurs intérieur : 7p x 3j</v>
          </cell>
          <cell r="I131" t="str">
            <v>CNCESE</v>
          </cell>
          <cell r="K131" t="str">
            <v>FC/PSE</v>
          </cell>
          <cell r="L131" t="str">
            <v>AUT</v>
          </cell>
          <cell r="N131">
            <v>21</v>
          </cell>
          <cell r="P131">
            <v>21</v>
          </cell>
          <cell r="Q131" t="str">
            <v>pxj</v>
          </cell>
          <cell r="R131" t="str">
            <v>asn</v>
          </cell>
          <cell r="S131">
            <v>147.72</v>
          </cell>
          <cell r="T131">
            <v>1</v>
          </cell>
          <cell r="U131">
            <v>0</v>
          </cell>
          <cell r="V131">
            <v>3102.12</v>
          </cell>
          <cell r="W131">
            <v>0</v>
          </cell>
          <cell r="X131">
            <v>3102.12</v>
          </cell>
          <cell r="Y131">
            <v>0</v>
          </cell>
          <cell r="Z131">
            <v>3102.12</v>
          </cell>
          <cell r="AA131">
            <v>0</v>
          </cell>
          <cell r="AB131">
            <v>3102.12</v>
          </cell>
          <cell r="AC131">
            <v>0</v>
          </cell>
          <cell r="AD131">
            <v>0</v>
          </cell>
          <cell r="AE131">
            <v>0</v>
          </cell>
          <cell r="AF131">
            <v>0</v>
          </cell>
          <cell r="AG131">
            <v>0</v>
          </cell>
          <cell r="AH131">
            <v>0</v>
          </cell>
        </row>
        <row r="132">
          <cell r="B132" t="str">
            <v>CNCESE</v>
          </cell>
          <cell r="C132" t="str">
            <v>Q</v>
          </cell>
          <cell r="D132" t="str">
            <v>12G</v>
          </cell>
          <cell r="E132" t="str">
            <v>CNCESE</v>
          </cell>
          <cell r="F132" t="str">
            <v>FC/CN</v>
          </cell>
          <cell r="G132">
            <v>15</v>
          </cell>
          <cell r="H132" t="str">
            <v>Formation administrateurs Perdiem administrateurs  tests Conakry : 12p x 3j</v>
          </cell>
          <cell r="I132" t="str">
            <v>CNCESE</v>
          </cell>
          <cell r="K132" t="str">
            <v>FC/PSE</v>
          </cell>
          <cell r="L132" t="str">
            <v>AUT</v>
          </cell>
          <cell r="N132">
            <v>36</v>
          </cell>
          <cell r="P132">
            <v>36</v>
          </cell>
          <cell r="Q132" t="str">
            <v>pxj</v>
          </cell>
          <cell r="R132" t="str">
            <v>asp</v>
          </cell>
          <cell r="S132">
            <v>98.48</v>
          </cell>
          <cell r="T132">
            <v>1</v>
          </cell>
          <cell r="U132">
            <v>0</v>
          </cell>
          <cell r="V132">
            <v>3545.28</v>
          </cell>
          <cell r="W132">
            <v>0</v>
          </cell>
          <cell r="X132">
            <v>3545.28</v>
          </cell>
          <cell r="Y132">
            <v>0</v>
          </cell>
          <cell r="Z132">
            <v>3545.28</v>
          </cell>
          <cell r="AA132">
            <v>0</v>
          </cell>
          <cell r="AB132">
            <v>3545.28</v>
          </cell>
          <cell r="AC132">
            <v>0</v>
          </cell>
          <cell r="AD132">
            <v>0</v>
          </cell>
          <cell r="AE132">
            <v>0</v>
          </cell>
          <cell r="AF132">
            <v>0</v>
          </cell>
          <cell r="AG132">
            <v>0</v>
          </cell>
          <cell r="AH132">
            <v>0</v>
          </cell>
        </row>
        <row r="133">
          <cell r="B133" t="str">
            <v>CNCESE</v>
          </cell>
          <cell r="C133" t="str">
            <v>Q</v>
          </cell>
          <cell r="D133" t="str">
            <v>12G</v>
          </cell>
          <cell r="E133" t="str">
            <v>CNCESE</v>
          </cell>
          <cell r="F133" t="str">
            <v>FC/CN</v>
          </cell>
          <cell r="G133">
            <v>15</v>
          </cell>
          <cell r="H133" t="str">
            <v>Formation administrateurs Perdiem administrateurs  tests intérieur : 80p x 3j</v>
          </cell>
          <cell r="I133" t="str">
            <v>CNCESE</v>
          </cell>
          <cell r="K133" t="str">
            <v>FC/PSE</v>
          </cell>
          <cell r="L133" t="str">
            <v>AUT</v>
          </cell>
          <cell r="N133">
            <v>240</v>
          </cell>
          <cell r="P133">
            <v>240</v>
          </cell>
          <cell r="Q133" t="str">
            <v>pxj</v>
          </cell>
          <cell r="R133" t="str">
            <v>asp</v>
          </cell>
          <cell r="S133">
            <v>98.48</v>
          </cell>
          <cell r="T133">
            <v>1</v>
          </cell>
          <cell r="U133">
            <v>0</v>
          </cell>
          <cell r="V133">
            <v>23635.200000000001</v>
          </cell>
          <cell r="W133">
            <v>0</v>
          </cell>
          <cell r="X133">
            <v>23635.200000000001</v>
          </cell>
          <cell r="Y133">
            <v>0</v>
          </cell>
          <cell r="Z133">
            <v>23635.200000000001</v>
          </cell>
          <cell r="AA133">
            <v>0</v>
          </cell>
          <cell r="AB133">
            <v>23635.200000000001</v>
          </cell>
          <cell r="AC133">
            <v>0</v>
          </cell>
          <cell r="AD133">
            <v>0</v>
          </cell>
          <cell r="AE133">
            <v>0</v>
          </cell>
          <cell r="AF133">
            <v>0</v>
          </cell>
          <cell r="AG133">
            <v>0</v>
          </cell>
          <cell r="AH133">
            <v>0</v>
          </cell>
        </row>
        <row r="134">
          <cell r="B134" t="str">
            <v>CNCESE</v>
          </cell>
          <cell r="C134" t="str">
            <v>Q</v>
          </cell>
          <cell r="D134" t="str">
            <v>12G</v>
          </cell>
          <cell r="E134" t="str">
            <v>CNCESE</v>
          </cell>
          <cell r="F134" t="str">
            <v>FC/CN</v>
          </cell>
          <cell r="G134">
            <v>15</v>
          </cell>
          <cell r="H134" t="str">
            <v>Administration tests Perdiems superviseurs Conakry : 5p x 8j</v>
          </cell>
          <cell r="I134" t="str">
            <v>CNCESE</v>
          </cell>
          <cell r="K134" t="str">
            <v>FC/PSE</v>
          </cell>
          <cell r="L134" t="str">
            <v>AUT</v>
          </cell>
          <cell r="N134">
            <v>40</v>
          </cell>
          <cell r="P134">
            <v>40</v>
          </cell>
          <cell r="Q134" t="str">
            <v>pxj</v>
          </cell>
          <cell r="R134" t="str">
            <v>asr</v>
          </cell>
          <cell r="S134">
            <v>123.10000000000001</v>
          </cell>
          <cell r="T134">
            <v>1</v>
          </cell>
          <cell r="U134">
            <v>0</v>
          </cell>
          <cell r="V134">
            <v>4924</v>
          </cell>
          <cell r="W134">
            <v>0</v>
          </cell>
          <cell r="X134">
            <v>4924</v>
          </cell>
          <cell r="Y134">
            <v>0</v>
          </cell>
          <cell r="Z134">
            <v>4924</v>
          </cell>
          <cell r="AA134">
            <v>0</v>
          </cell>
          <cell r="AB134">
            <v>4924</v>
          </cell>
          <cell r="AC134">
            <v>0</v>
          </cell>
          <cell r="AD134">
            <v>0</v>
          </cell>
          <cell r="AE134">
            <v>0</v>
          </cell>
          <cell r="AF134">
            <v>0</v>
          </cell>
          <cell r="AG134">
            <v>0</v>
          </cell>
          <cell r="AH134">
            <v>0</v>
          </cell>
        </row>
        <row r="135">
          <cell r="B135" t="str">
            <v>CNCESE</v>
          </cell>
          <cell r="C135" t="str">
            <v>Q</v>
          </cell>
          <cell r="D135" t="str">
            <v>12G</v>
          </cell>
          <cell r="E135" t="str">
            <v>CNCESE</v>
          </cell>
          <cell r="F135" t="str">
            <v>FC/CN</v>
          </cell>
          <cell r="G135">
            <v>15</v>
          </cell>
          <cell r="H135" t="str">
            <v>Administration tests Perdiems administrateurs Conakry 15p x 5j</v>
          </cell>
          <cell r="I135" t="str">
            <v>CNCESE</v>
          </cell>
          <cell r="K135" t="str">
            <v>FC/PSE</v>
          </cell>
          <cell r="L135" t="str">
            <v>AUT</v>
          </cell>
          <cell r="N135">
            <v>75</v>
          </cell>
          <cell r="P135">
            <v>75</v>
          </cell>
          <cell r="Q135" t="str">
            <v>forfait</v>
          </cell>
          <cell r="R135" t="str">
            <v>asr</v>
          </cell>
          <cell r="S135">
            <v>123.10000000000001</v>
          </cell>
          <cell r="T135">
            <v>1</v>
          </cell>
          <cell r="U135">
            <v>0</v>
          </cell>
          <cell r="V135">
            <v>9232.5</v>
          </cell>
          <cell r="W135">
            <v>0</v>
          </cell>
          <cell r="X135">
            <v>9232.5</v>
          </cell>
          <cell r="Y135">
            <v>0</v>
          </cell>
          <cell r="Z135">
            <v>9232.5</v>
          </cell>
          <cell r="AA135">
            <v>0</v>
          </cell>
          <cell r="AB135">
            <v>9232.5</v>
          </cell>
          <cell r="AC135">
            <v>0</v>
          </cell>
          <cell r="AD135">
            <v>0</v>
          </cell>
          <cell r="AE135">
            <v>0</v>
          </cell>
          <cell r="AF135">
            <v>0</v>
          </cell>
          <cell r="AG135">
            <v>0</v>
          </cell>
          <cell r="AH135">
            <v>0</v>
          </cell>
        </row>
        <row r="136">
          <cell r="B136" t="str">
            <v>CNCESE</v>
          </cell>
          <cell r="C136" t="str">
            <v>Q</v>
          </cell>
          <cell r="D136" t="str">
            <v>12G</v>
          </cell>
          <cell r="E136" t="str">
            <v>CNCESE</v>
          </cell>
          <cell r="F136" t="str">
            <v>FC/CN</v>
          </cell>
          <cell r="G136">
            <v>15</v>
          </cell>
          <cell r="H136" t="str">
            <v>Administration tests Perdiems superviseurs intérieur : 7p x 10j</v>
          </cell>
          <cell r="I136" t="str">
            <v>CNCESE</v>
          </cell>
          <cell r="K136" t="str">
            <v>FC/PSE</v>
          </cell>
          <cell r="L136" t="str">
            <v>AUT</v>
          </cell>
          <cell r="N136">
            <v>70</v>
          </cell>
          <cell r="P136">
            <v>70</v>
          </cell>
          <cell r="Q136" t="str">
            <v>forfait</v>
          </cell>
          <cell r="R136" t="str">
            <v>asn</v>
          </cell>
          <cell r="S136">
            <v>147.72</v>
          </cell>
          <cell r="T136">
            <v>1</v>
          </cell>
          <cell r="U136">
            <v>0</v>
          </cell>
          <cell r="V136">
            <v>10340.4</v>
          </cell>
          <cell r="W136">
            <v>0</v>
          </cell>
          <cell r="X136">
            <v>10340.4</v>
          </cell>
          <cell r="Y136">
            <v>0</v>
          </cell>
          <cell r="Z136">
            <v>10340.4</v>
          </cell>
          <cell r="AA136">
            <v>0</v>
          </cell>
          <cell r="AB136">
            <v>10340.4</v>
          </cell>
          <cell r="AC136">
            <v>0</v>
          </cell>
          <cell r="AD136">
            <v>0</v>
          </cell>
          <cell r="AE136">
            <v>0</v>
          </cell>
          <cell r="AF136">
            <v>0</v>
          </cell>
          <cell r="AG136">
            <v>0</v>
          </cell>
          <cell r="AH136">
            <v>0</v>
          </cell>
        </row>
        <row r="137">
          <cell r="B137" t="str">
            <v>CNCESE</v>
          </cell>
          <cell r="C137" t="str">
            <v>Q</v>
          </cell>
          <cell r="D137" t="str">
            <v>12G</v>
          </cell>
          <cell r="E137" t="str">
            <v>CNCESE</v>
          </cell>
          <cell r="F137" t="str">
            <v>FC/CN</v>
          </cell>
          <cell r="G137">
            <v>15</v>
          </cell>
          <cell r="H137" t="str">
            <v>Administration tests Perdiems administrateurs intérieur : 90p x 7j</v>
          </cell>
          <cell r="I137" t="str">
            <v>CNCESE</v>
          </cell>
          <cell r="K137" t="str">
            <v>FC/PSE</v>
          </cell>
          <cell r="L137" t="str">
            <v>AUT</v>
          </cell>
          <cell r="N137">
            <v>630</v>
          </cell>
          <cell r="P137">
            <v>630</v>
          </cell>
          <cell r="Q137" t="str">
            <v>forfait</v>
          </cell>
          <cell r="R137" t="str">
            <v>asn</v>
          </cell>
          <cell r="S137">
            <v>147.72</v>
          </cell>
          <cell r="T137">
            <v>1</v>
          </cell>
          <cell r="U137">
            <v>0</v>
          </cell>
          <cell r="V137">
            <v>93063.6</v>
          </cell>
          <cell r="W137">
            <v>0</v>
          </cell>
          <cell r="X137">
            <v>93063.6</v>
          </cell>
          <cell r="Y137">
            <v>0</v>
          </cell>
          <cell r="Z137">
            <v>93063.6</v>
          </cell>
          <cell r="AA137">
            <v>0</v>
          </cell>
          <cell r="AB137">
            <v>93063.6</v>
          </cell>
          <cell r="AC137">
            <v>0</v>
          </cell>
          <cell r="AD137">
            <v>0</v>
          </cell>
          <cell r="AE137">
            <v>0</v>
          </cell>
          <cell r="AF137">
            <v>0</v>
          </cell>
          <cell r="AG137">
            <v>0</v>
          </cell>
          <cell r="AH137">
            <v>0</v>
          </cell>
        </row>
        <row r="138">
          <cell r="B138" t="str">
            <v>CNCESE</v>
          </cell>
          <cell r="C138" t="str">
            <v>Q</v>
          </cell>
          <cell r="D138" t="str">
            <v>12G</v>
          </cell>
          <cell r="E138" t="str">
            <v>CNCESE</v>
          </cell>
          <cell r="F138" t="str">
            <v>FC/CN</v>
          </cell>
          <cell r="G138">
            <v>15</v>
          </cell>
          <cell r="H138" t="str">
            <v>Administration tests Perdiems chauffeurs 7p x 10j</v>
          </cell>
          <cell r="I138" t="str">
            <v>CNCESE</v>
          </cell>
          <cell r="K138" t="str">
            <v>FC/PSE</v>
          </cell>
          <cell r="L138" t="str">
            <v>AUT</v>
          </cell>
          <cell r="N138">
            <v>70</v>
          </cell>
          <cell r="P138">
            <v>70</v>
          </cell>
          <cell r="Q138" t="str">
            <v>forfait</v>
          </cell>
          <cell r="R138" t="str">
            <v>asp</v>
          </cell>
          <cell r="S138">
            <v>98.48</v>
          </cell>
          <cell r="T138">
            <v>1</v>
          </cell>
          <cell r="U138">
            <v>0</v>
          </cell>
          <cell r="V138">
            <v>6893.6</v>
          </cell>
          <cell r="W138">
            <v>0</v>
          </cell>
          <cell r="X138">
            <v>6893.6</v>
          </cell>
          <cell r="Y138">
            <v>0</v>
          </cell>
          <cell r="Z138">
            <v>6893.6</v>
          </cell>
          <cell r="AA138">
            <v>0</v>
          </cell>
          <cell r="AB138">
            <v>6893.6</v>
          </cell>
          <cell r="AC138">
            <v>0</v>
          </cell>
          <cell r="AD138">
            <v>0</v>
          </cell>
          <cell r="AE138">
            <v>0</v>
          </cell>
          <cell r="AF138">
            <v>0</v>
          </cell>
          <cell r="AG138">
            <v>0</v>
          </cell>
          <cell r="AH138">
            <v>0</v>
          </cell>
        </row>
        <row r="139">
          <cell r="B139" t="str">
            <v>CNCESE</v>
          </cell>
          <cell r="C139" t="str">
            <v>Q</v>
          </cell>
          <cell r="D139" t="str">
            <v>12G</v>
          </cell>
          <cell r="E139" t="str">
            <v>CNCESE</v>
          </cell>
          <cell r="F139" t="str">
            <v>FC/CN</v>
          </cell>
          <cell r="G139">
            <v>15</v>
          </cell>
          <cell r="H139" t="str">
            <v>Location véhicule 4x4 : 7 véhicules pendant 10 jours</v>
          </cell>
          <cell r="I139" t="str">
            <v>CNCESE</v>
          </cell>
          <cell r="K139" t="str">
            <v>FC/PSE</v>
          </cell>
          <cell r="L139" t="str">
            <v>COT</v>
          </cell>
          <cell r="N139">
            <v>70</v>
          </cell>
          <cell r="P139">
            <v>70</v>
          </cell>
          <cell r="R139" t="str">
            <v>ldv</v>
          </cell>
          <cell r="S139">
            <v>600</v>
          </cell>
          <cell r="T139">
            <v>1</v>
          </cell>
          <cell r="U139">
            <v>0</v>
          </cell>
          <cell r="V139">
            <v>42000</v>
          </cell>
          <cell r="W139">
            <v>0</v>
          </cell>
          <cell r="X139">
            <v>42000</v>
          </cell>
          <cell r="Y139">
            <v>0</v>
          </cell>
          <cell r="Z139">
            <v>42000</v>
          </cell>
          <cell r="AA139">
            <v>0</v>
          </cell>
          <cell r="AB139">
            <v>42000</v>
          </cell>
          <cell r="AC139">
            <v>0</v>
          </cell>
          <cell r="AD139">
            <v>0</v>
          </cell>
          <cell r="AE139">
            <v>0</v>
          </cell>
          <cell r="AF139">
            <v>0</v>
          </cell>
          <cell r="AG139">
            <v>0</v>
          </cell>
          <cell r="AH139">
            <v>0</v>
          </cell>
        </row>
        <row r="140">
          <cell r="B140" t="str">
            <v>CNCESE</v>
          </cell>
          <cell r="C140" t="str">
            <v>Q</v>
          </cell>
          <cell r="D140" t="str">
            <v>12G</v>
          </cell>
          <cell r="E140" t="str">
            <v>CNCESE</v>
          </cell>
          <cell r="F140" t="str">
            <v>FC/CN</v>
          </cell>
          <cell r="G140">
            <v>15</v>
          </cell>
          <cell r="H140" t="str">
            <v>Carburant aller/retour pour formateurs et superviseurs (litres)</v>
          </cell>
          <cell r="I140" t="str">
            <v>CNCESE</v>
          </cell>
          <cell r="K140" t="str">
            <v>FC/PSE</v>
          </cell>
          <cell r="L140" t="str">
            <v>COT</v>
          </cell>
          <cell r="N140">
            <v>974</v>
          </cell>
          <cell r="P140">
            <v>974</v>
          </cell>
          <cell r="Q140" t="str">
            <v>litre</v>
          </cell>
          <cell r="R140" t="str">
            <v>gaz</v>
          </cell>
          <cell r="S140">
            <v>7</v>
          </cell>
          <cell r="T140">
            <v>1</v>
          </cell>
          <cell r="U140">
            <v>0</v>
          </cell>
          <cell r="V140">
            <v>6818</v>
          </cell>
          <cell r="W140">
            <v>0</v>
          </cell>
          <cell r="X140">
            <v>6818</v>
          </cell>
          <cell r="Y140">
            <v>0</v>
          </cell>
          <cell r="Z140">
            <v>6818</v>
          </cell>
          <cell r="AA140">
            <v>0</v>
          </cell>
          <cell r="AB140">
            <v>6818</v>
          </cell>
          <cell r="AC140">
            <v>0</v>
          </cell>
          <cell r="AD140">
            <v>0</v>
          </cell>
          <cell r="AE140">
            <v>0</v>
          </cell>
          <cell r="AF140">
            <v>0</v>
          </cell>
          <cell r="AG140">
            <v>0</v>
          </cell>
          <cell r="AH140">
            <v>0</v>
          </cell>
        </row>
        <row r="141">
          <cell r="B141" t="str">
            <v>CNCESE</v>
          </cell>
          <cell r="C141" t="str">
            <v>Q</v>
          </cell>
          <cell r="D141" t="str">
            <v>12G</v>
          </cell>
          <cell r="E141" t="str">
            <v>CNCESE</v>
          </cell>
          <cell r="F141" t="str">
            <v>FC/CN</v>
          </cell>
          <cell r="G141">
            <v>15</v>
          </cell>
          <cell r="H141" t="str">
            <v>Carburant supervision pour superviseurs : 195 litres x 8p</v>
          </cell>
          <cell r="I141" t="str">
            <v>CNCESE</v>
          </cell>
          <cell r="K141" t="str">
            <v>FC/PSE</v>
          </cell>
          <cell r="L141" t="str">
            <v>COT</v>
          </cell>
          <cell r="N141">
            <v>1560</v>
          </cell>
          <cell r="P141">
            <v>1560</v>
          </cell>
          <cell r="Q141" t="str">
            <v>litre</v>
          </cell>
          <cell r="R141" t="str">
            <v>gaz</v>
          </cell>
          <cell r="S141">
            <v>7</v>
          </cell>
          <cell r="T141">
            <v>1</v>
          </cell>
          <cell r="U141">
            <v>0</v>
          </cell>
          <cell r="V141">
            <v>10920</v>
          </cell>
          <cell r="W141">
            <v>0</v>
          </cell>
          <cell r="X141">
            <v>10920</v>
          </cell>
          <cell r="Y141">
            <v>0</v>
          </cell>
          <cell r="Z141">
            <v>10920</v>
          </cell>
          <cell r="AA141">
            <v>0</v>
          </cell>
          <cell r="AB141">
            <v>10920</v>
          </cell>
          <cell r="AC141">
            <v>0</v>
          </cell>
          <cell r="AD141">
            <v>0</v>
          </cell>
          <cell r="AE141">
            <v>0</v>
          </cell>
          <cell r="AF141">
            <v>0</v>
          </cell>
          <cell r="AG141">
            <v>0</v>
          </cell>
          <cell r="AH141">
            <v>0</v>
          </cell>
        </row>
        <row r="142">
          <cell r="B142" t="str">
            <v>CNCESE</v>
          </cell>
          <cell r="C142" t="str">
            <v>Q</v>
          </cell>
          <cell r="D142" t="str">
            <v>12G</v>
          </cell>
          <cell r="E142" t="str">
            <v>CNCESE</v>
          </cell>
          <cell r="F142" t="str">
            <v>FC/CN</v>
          </cell>
          <cell r="G142">
            <v>15</v>
          </cell>
          <cell r="H142" t="str">
            <v>Carburant motos adm de tests écoles rurales : 10 litres x 117 écoles rurales</v>
          </cell>
          <cell r="I142" t="str">
            <v>CNCESE</v>
          </cell>
          <cell r="K142" t="str">
            <v>FC/PSE</v>
          </cell>
          <cell r="L142" t="str">
            <v>COT</v>
          </cell>
          <cell r="N142">
            <v>1170</v>
          </cell>
          <cell r="P142">
            <v>1170</v>
          </cell>
          <cell r="Q142" t="str">
            <v>litre</v>
          </cell>
          <cell r="R142" t="str">
            <v>gaz</v>
          </cell>
          <cell r="S142">
            <v>7</v>
          </cell>
          <cell r="T142">
            <v>1</v>
          </cell>
          <cell r="U142">
            <v>0</v>
          </cell>
          <cell r="V142">
            <v>8190</v>
          </cell>
          <cell r="W142">
            <v>0</v>
          </cell>
          <cell r="X142">
            <v>8190</v>
          </cell>
          <cell r="Y142">
            <v>0</v>
          </cell>
          <cell r="Z142">
            <v>8190</v>
          </cell>
          <cell r="AA142">
            <v>0</v>
          </cell>
          <cell r="AB142">
            <v>8190</v>
          </cell>
          <cell r="AC142">
            <v>0</v>
          </cell>
          <cell r="AD142">
            <v>0</v>
          </cell>
          <cell r="AE142">
            <v>0</v>
          </cell>
          <cell r="AF142">
            <v>0</v>
          </cell>
          <cell r="AG142">
            <v>0</v>
          </cell>
          <cell r="AH142">
            <v>0</v>
          </cell>
        </row>
        <row r="143">
          <cell r="B143" t="str">
            <v>CNCESE</v>
          </cell>
          <cell r="C143" t="str">
            <v>Q</v>
          </cell>
          <cell r="D143" t="str">
            <v>12G</v>
          </cell>
          <cell r="E143" t="str">
            <v>CNCESE</v>
          </cell>
          <cell r="F143" t="str">
            <v>FC/CN</v>
          </cell>
          <cell r="G143">
            <v>15</v>
          </cell>
          <cell r="H143" t="str">
            <v>Transport urbain des administrateurs : 105p x 7j</v>
          </cell>
          <cell r="I143" t="str">
            <v>CNCESE</v>
          </cell>
          <cell r="K143" t="str">
            <v>FC/PSE</v>
          </cell>
          <cell r="L143" t="str">
            <v>AUT</v>
          </cell>
          <cell r="N143">
            <v>735</v>
          </cell>
          <cell r="P143">
            <v>735</v>
          </cell>
          <cell r="Q143" t="str">
            <v>j</v>
          </cell>
          <cell r="S143">
            <v>20</v>
          </cell>
          <cell r="T143">
            <v>1</v>
          </cell>
          <cell r="U143">
            <v>0</v>
          </cell>
          <cell r="V143">
            <v>14700</v>
          </cell>
          <cell r="W143">
            <v>0</v>
          </cell>
          <cell r="X143">
            <v>14700</v>
          </cell>
          <cell r="Y143">
            <v>0</v>
          </cell>
          <cell r="Z143">
            <v>14700</v>
          </cell>
          <cell r="AA143">
            <v>0</v>
          </cell>
          <cell r="AB143">
            <v>14700</v>
          </cell>
          <cell r="AC143">
            <v>0</v>
          </cell>
          <cell r="AD143">
            <v>0</v>
          </cell>
          <cell r="AE143">
            <v>0</v>
          </cell>
          <cell r="AF143">
            <v>0</v>
          </cell>
          <cell r="AG143">
            <v>0</v>
          </cell>
          <cell r="AH143">
            <v>0</v>
          </cell>
        </row>
        <row r="144">
          <cell r="B144" t="str">
            <v>CNCESE</v>
          </cell>
          <cell r="C144" t="str">
            <v>Q</v>
          </cell>
          <cell r="D144" t="str">
            <v>12G</v>
          </cell>
          <cell r="E144" t="str">
            <v>CNCESE</v>
          </cell>
          <cell r="F144" t="str">
            <v>FC/CN</v>
          </cell>
          <cell r="G144">
            <v>15</v>
          </cell>
          <cell r="H144" t="str">
            <v>Collation pour élèves : 5040 élèves</v>
          </cell>
          <cell r="I144" t="str">
            <v>CNCESE</v>
          </cell>
          <cell r="K144" t="str">
            <v>FC/PSE</v>
          </cell>
          <cell r="L144" t="str">
            <v>AUT</v>
          </cell>
          <cell r="N144">
            <v>5040</v>
          </cell>
          <cell r="P144">
            <v>5040</v>
          </cell>
          <cell r="Q144" t="str">
            <v>forfait</v>
          </cell>
          <cell r="S144">
            <v>1</v>
          </cell>
          <cell r="T144">
            <v>1</v>
          </cell>
          <cell r="U144">
            <v>0</v>
          </cell>
          <cell r="V144">
            <v>5040</v>
          </cell>
          <cell r="W144">
            <v>0</v>
          </cell>
          <cell r="X144">
            <v>5040</v>
          </cell>
          <cell r="Y144">
            <v>0</v>
          </cell>
          <cell r="Z144">
            <v>5040</v>
          </cell>
          <cell r="AA144">
            <v>0</v>
          </cell>
          <cell r="AB144">
            <v>5040</v>
          </cell>
          <cell r="AC144">
            <v>0</v>
          </cell>
          <cell r="AD144">
            <v>0</v>
          </cell>
          <cell r="AE144">
            <v>0</v>
          </cell>
          <cell r="AF144">
            <v>0</v>
          </cell>
          <cell r="AG144">
            <v>0</v>
          </cell>
          <cell r="AH144">
            <v>0</v>
          </cell>
        </row>
        <row r="145">
          <cell r="B145" t="str">
            <v>CNCESE</v>
          </cell>
          <cell r="C145" t="str">
            <v>Q</v>
          </cell>
          <cell r="D145" t="str">
            <v>12G</v>
          </cell>
          <cell r="E145" t="str">
            <v>CNCESE</v>
          </cell>
          <cell r="F145" t="str">
            <v>FC/CN</v>
          </cell>
          <cell r="G145">
            <v>15</v>
          </cell>
          <cell r="H145" t="str">
            <v>Collation pour enseignants et directeurs : 480</v>
          </cell>
          <cell r="I145" t="str">
            <v>CNCESE</v>
          </cell>
          <cell r="K145" t="str">
            <v>FC/PSE</v>
          </cell>
          <cell r="L145" t="str">
            <v>AUT</v>
          </cell>
          <cell r="N145">
            <v>480</v>
          </cell>
          <cell r="P145">
            <v>480</v>
          </cell>
          <cell r="Q145" t="str">
            <v>forfait</v>
          </cell>
          <cell r="S145">
            <v>10</v>
          </cell>
          <cell r="T145">
            <v>1</v>
          </cell>
          <cell r="U145">
            <v>0</v>
          </cell>
          <cell r="V145">
            <v>4800</v>
          </cell>
          <cell r="W145">
            <v>0</v>
          </cell>
          <cell r="X145">
            <v>4800</v>
          </cell>
          <cell r="Y145">
            <v>0</v>
          </cell>
          <cell r="Z145">
            <v>4800</v>
          </cell>
          <cell r="AA145">
            <v>0</v>
          </cell>
          <cell r="AB145">
            <v>4800</v>
          </cell>
          <cell r="AC145">
            <v>0</v>
          </cell>
          <cell r="AD145">
            <v>0</v>
          </cell>
          <cell r="AE145">
            <v>0</v>
          </cell>
          <cell r="AF145">
            <v>0</v>
          </cell>
          <cell r="AG145">
            <v>0</v>
          </cell>
          <cell r="AH145">
            <v>0</v>
          </cell>
        </row>
        <row r="146">
          <cell r="B146" t="str">
            <v>CNCESE</v>
          </cell>
          <cell r="C146" t="str">
            <v>Q</v>
          </cell>
          <cell r="D146" t="str">
            <v>12G</v>
          </cell>
          <cell r="E146" t="str">
            <v>CNCESE</v>
          </cell>
          <cell r="F146" t="str">
            <v>FC/CN</v>
          </cell>
          <cell r="G146">
            <v>15</v>
          </cell>
          <cell r="H146" t="str">
            <v>Codage des fiches : 5040 fiches élèves et 480 fiches enseignants</v>
          </cell>
          <cell r="I146" t="str">
            <v>CNCESE</v>
          </cell>
          <cell r="K146" t="str">
            <v>FC/PSE</v>
          </cell>
          <cell r="L146" t="str">
            <v>AUT</v>
          </cell>
          <cell r="N146">
            <v>5520</v>
          </cell>
          <cell r="P146">
            <v>5520</v>
          </cell>
          <cell r="Q146" t="str">
            <v>forfait</v>
          </cell>
          <cell r="S146">
            <v>2.5</v>
          </cell>
          <cell r="T146">
            <v>1</v>
          </cell>
          <cell r="U146">
            <v>0</v>
          </cell>
          <cell r="V146">
            <v>13800</v>
          </cell>
          <cell r="W146">
            <v>0</v>
          </cell>
          <cell r="X146">
            <v>13800</v>
          </cell>
          <cell r="Y146">
            <v>0</v>
          </cell>
          <cell r="Z146">
            <v>13800</v>
          </cell>
          <cell r="AA146">
            <v>0</v>
          </cell>
          <cell r="AB146">
            <v>13800</v>
          </cell>
          <cell r="AC146">
            <v>0</v>
          </cell>
          <cell r="AD146">
            <v>0</v>
          </cell>
          <cell r="AE146">
            <v>0</v>
          </cell>
          <cell r="AF146">
            <v>0</v>
          </cell>
          <cell r="AG146">
            <v>0</v>
          </cell>
          <cell r="AH146">
            <v>0</v>
          </cell>
        </row>
        <row r="147">
          <cell r="B147" t="str">
            <v>CNCESE</v>
          </cell>
          <cell r="C147" t="str">
            <v>Q</v>
          </cell>
          <cell r="D147" t="str">
            <v>12G</v>
          </cell>
          <cell r="E147" t="str">
            <v>CNCESE</v>
          </cell>
          <cell r="F147" t="str">
            <v>FC/CN</v>
          </cell>
          <cell r="G147">
            <v>15</v>
          </cell>
          <cell r="H147" t="str">
            <v>Supervision du codage des fiches : 2p x 10j</v>
          </cell>
          <cell r="I147" t="str">
            <v>CNCESE</v>
          </cell>
          <cell r="K147" t="str">
            <v>FC/PSE</v>
          </cell>
          <cell r="L147" t="str">
            <v>AUT</v>
          </cell>
          <cell r="N147">
            <v>20</v>
          </cell>
          <cell r="P147">
            <v>20</v>
          </cell>
          <cell r="Q147" t="str">
            <v>pxj</v>
          </cell>
          <cell r="R147" t="str">
            <v>asp</v>
          </cell>
          <cell r="S147">
            <v>98.48</v>
          </cell>
          <cell r="T147">
            <v>1</v>
          </cell>
          <cell r="U147">
            <v>0</v>
          </cell>
          <cell r="V147">
            <v>1969.6000000000001</v>
          </cell>
          <cell r="W147">
            <v>0</v>
          </cell>
          <cell r="X147">
            <v>1969.6000000000001</v>
          </cell>
          <cell r="Y147">
            <v>0</v>
          </cell>
          <cell r="Z147">
            <v>1969.6000000000001</v>
          </cell>
          <cell r="AA147">
            <v>0</v>
          </cell>
          <cell r="AB147">
            <v>1969.6000000000001</v>
          </cell>
          <cell r="AC147">
            <v>0</v>
          </cell>
          <cell r="AD147">
            <v>0</v>
          </cell>
          <cell r="AE147">
            <v>0</v>
          </cell>
          <cell r="AF147">
            <v>0</v>
          </cell>
          <cell r="AG147">
            <v>0</v>
          </cell>
          <cell r="AH147">
            <v>0</v>
          </cell>
        </row>
        <row r="148">
          <cell r="B148" t="str">
            <v>CNCESE</v>
          </cell>
          <cell r="C148" t="str">
            <v>Q</v>
          </cell>
          <cell r="D148" t="str">
            <v>12G</v>
          </cell>
          <cell r="E148" t="str">
            <v>CNCESE</v>
          </cell>
          <cell r="F148" t="str">
            <v>FC/CN</v>
          </cell>
          <cell r="G148">
            <v>15</v>
          </cell>
          <cell r="H148" t="str">
            <v>Saisie des fiches : 5040 fiches élèves et 480 fiches enseignants</v>
          </cell>
          <cell r="I148" t="str">
            <v>CNCESE</v>
          </cell>
          <cell r="K148" t="str">
            <v>FC/PSE</v>
          </cell>
          <cell r="L148" t="str">
            <v>AUT</v>
          </cell>
          <cell r="N148">
            <v>5520</v>
          </cell>
          <cell r="P148">
            <v>5520</v>
          </cell>
          <cell r="Q148" t="str">
            <v>forfait</v>
          </cell>
          <cell r="S148">
            <v>5</v>
          </cell>
          <cell r="T148">
            <v>1</v>
          </cell>
          <cell r="U148">
            <v>0</v>
          </cell>
          <cell r="V148">
            <v>27600</v>
          </cell>
          <cell r="W148">
            <v>0</v>
          </cell>
          <cell r="X148">
            <v>27600</v>
          </cell>
          <cell r="Y148">
            <v>0</v>
          </cell>
          <cell r="Z148">
            <v>27600</v>
          </cell>
          <cell r="AA148">
            <v>0</v>
          </cell>
          <cell r="AB148">
            <v>27600</v>
          </cell>
          <cell r="AC148">
            <v>0</v>
          </cell>
          <cell r="AD148">
            <v>0</v>
          </cell>
          <cell r="AE148">
            <v>0</v>
          </cell>
          <cell r="AF148">
            <v>0</v>
          </cell>
          <cell r="AG148">
            <v>0</v>
          </cell>
          <cell r="AH148">
            <v>0</v>
          </cell>
        </row>
        <row r="149">
          <cell r="B149" t="str">
            <v>CNCESE</v>
          </cell>
          <cell r="C149" t="str">
            <v>Q</v>
          </cell>
          <cell r="D149" t="str">
            <v>12G</v>
          </cell>
          <cell r="E149" t="str">
            <v>CNCESE</v>
          </cell>
          <cell r="F149" t="str">
            <v>FC/CN</v>
          </cell>
          <cell r="G149">
            <v>15</v>
          </cell>
          <cell r="H149" t="str">
            <v>Supervision de la saisie des fiches : 2p x 10j</v>
          </cell>
          <cell r="I149" t="str">
            <v>CNCESE</v>
          </cell>
          <cell r="K149" t="str">
            <v>FC/PSE</v>
          </cell>
          <cell r="L149" t="str">
            <v>AUT</v>
          </cell>
          <cell r="N149">
            <v>20</v>
          </cell>
          <cell r="P149">
            <v>20</v>
          </cell>
          <cell r="Q149" t="str">
            <v>pxj</v>
          </cell>
          <cell r="R149" t="str">
            <v>asp</v>
          </cell>
          <cell r="S149">
            <v>98.48</v>
          </cell>
          <cell r="T149">
            <v>1</v>
          </cell>
          <cell r="U149">
            <v>0</v>
          </cell>
          <cell r="V149">
            <v>1969.6000000000001</v>
          </cell>
          <cell r="W149">
            <v>0</v>
          </cell>
          <cell r="X149">
            <v>1969.6000000000001</v>
          </cell>
          <cell r="Y149">
            <v>0</v>
          </cell>
          <cell r="Z149">
            <v>1969.6000000000001</v>
          </cell>
          <cell r="AA149">
            <v>0</v>
          </cell>
          <cell r="AB149">
            <v>1969.6000000000001</v>
          </cell>
          <cell r="AC149">
            <v>0</v>
          </cell>
          <cell r="AD149">
            <v>0</v>
          </cell>
          <cell r="AE149">
            <v>0</v>
          </cell>
          <cell r="AF149">
            <v>0</v>
          </cell>
          <cell r="AG149">
            <v>0</v>
          </cell>
          <cell r="AH149">
            <v>0</v>
          </cell>
        </row>
        <row r="150">
          <cell r="B150" t="str">
            <v>CNCESE</v>
          </cell>
          <cell r="C150" t="str">
            <v>Q</v>
          </cell>
          <cell r="D150" t="str">
            <v>12G</v>
          </cell>
          <cell r="E150" t="str">
            <v>CNCESE</v>
          </cell>
          <cell r="F150" t="str">
            <v>FC/CN</v>
          </cell>
          <cell r="G150">
            <v>15</v>
          </cell>
          <cell r="H150" t="str">
            <v>Traitement et analyse des données d'enqête 12p x 15jours</v>
          </cell>
          <cell r="I150" t="str">
            <v>CNCESE</v>
          </cell>
          <cell r="K150" t="str">
            <v>FC/PSE</v>
          </cell>
          <cell r="L150" t="str">
            <v>AUT</v>
          </cell>
          <cell r="N150">
            <v>180</v>
          </cell>
          <cell r="P150">
            <v>180</v>
          </cell>
          <cell r="Q150" t="str">
            <v>pxj</v>
          </cell>
          <cell r="R150" t="str">
            <v>asn</v>
          </cell>
          <cell r="S150">
            <v>147.72</v>
          </cell>
          <cell r="T150">
            <v>1</v>
          </cell>
          <cell r="U150">
            <v>0</v>
          </cell>
          <cell r="V150">
            <v>26589.599999999999</v>
          </cell>
          <cell r="W150">
            <v>0</v>
          </cell>
          <cell r="X150">
            <v>26589.599999999999</v>
          </cell>
          <cell r="Y150">
            <v>0</v>
          </cell>
          <cell r="Z150">
            <v>26589.599999999999</v>
          </cell>
          <cell r="AA150">
            <v>0</v>
          </cell>
          <cell r="AB150">
            <v>26589.599999999999</v>
          </cell>
          <cell r="AC150">
            <v>0</v>
          </cell>
          <cell r="AD150">
            <v>0</v>
          </cell>
          <cell r="AE150">
            <v>0</v>
          </cell>
          <cell r="AF150">
            <v>0</v>
          </cell>
          <cell r="AG150">
            <v>0</v>
          </cell>
          <cell r="AH150">
            <v>0</v>
          </cell>
        </row>
        <row r="151">
          <cell r="B151" t="str">
            <v>CNCESE</v>
          </cell>
          <cell r="C151" t="str">
            <v>Q</v>
          </cell>
          <cell r="D151" t="str">
            <v>12G</v>
          </cell>
          <cell r="E151" t="str">
            <v>CNCESE</v>
          </cell>
          <cell r="F151" t="str">
            <v>FC/CN</v>
          </cell>
          <cell r="G151">
            <v>15</v>
          </cell>
          <cell r="H151" t="str">
            <v>Elaboration du rapport d'évaluation et des recommandations 15p x 18jours</v>
          </cell>
          <cell r="I151" t="str">
            <v>CNCESE</v>
          </cell>
          <cell r="K151" t="str">
            <v>FC/PSE</v>
          </cell>
          <cell r="L151" t="str">
            <v>AUT</v>
          </cell>
          <cell r="N151">
            <v>270</v>
          </cell>
          <cell r="P151">
            <v>270</v>
          </cell>
          <cell r="Q151" t="str">
            <v>pxj</v>
          </cell>
          <cell r="R151" t="str">
            <v>asn</v>
          </cell>
          <cell r="S151">
            <v>147.72</v>
          </cell>
          <cell r="T151">
            <v>1</v>
          </cell>
          <cell r="U151">
            <v>0</v>
          </cell>
          <cell r="V151">
            <v>39884.400000000001</v>
          </cell>
          <cell r="W151">
            <v>0</v>
          </cell>
          <cell r="X151">
            <v>39884.400000000001</v>
          </cell>
          <cell r="Y151">
            <v>0</v>
          </cell>
          <cell r="Z151">
            <v>39884.400000000001</v>
          </cell>
          <cell r="AA151">
            <v>0</v>
          </cell>
          <cell r="AB151">
            <v>39884.400000000001</v>
          </cell>
          <cell r="AC151">
            <v>0</v>
          </cell>
          <cell r="AD151">
            <v>0</v>
          </cell>
          <cell r="AE151">
            <v>0</v>
          </cell>
          <cell r="AF151">
            <v>0</v>
          </cell>
          <cell r="AG151">
            <v>0</v>
          </cell>
          <cell r="AH151">
            <v>0</v>
          </cell>
        </row>
        <row r="152">
          <cell r="B152" t="str">
            <v>CNCESE</v>
          </cell>
          <cell r="C152" t="str">
            <v>Q</v>
          </cell>
          <cell r="D152" t="str">
            <v>12G</v>
          </cell>
          <cell r="E152" t="str">
            <v>CNCESE</v>
          </cell>
          <cell r="F152" t="str">
            <v>FC/CN</v>
          </cell>
          <cell r="G152">
            <v>15</v>
          </cell>
          <cell r="H152" t="str">
            <v>Impression du rapport d'évaluation 200 pages x 500 exemplaires</v>
          </cell>
          <cell r="I152" t="str">
            <v>CNCESE</v>
          </cell>
          <cell r="K152" t="str">
            <v>FC/PSE</v>
          </cell>
          <cell r="L152" t="str">
            <v>COT</v>
          </cell>
          <cell r="N152">
            <v>100000</v>
          </cell>
          <cell r="P152">
            <v>100000</v>
          </cell>
          <cell r="Q152" t="str">
            <v>page</v>
          </cell>
          <cell r="R152" t="str">
            <v>rep</v>
          </cell>
          <cell r="S152">
            <v>0.30000000000000004</v>
          </cell>
          <cell r="T152">
            <v>1</v>
          </cell>
          <cell r="U152">
            <v>0</v>
          </cell>
          <cell r="V152">
            <v>30000.000000000004</v>
          </cell>
          <cell r="W152">
            <v>0</v>
          </cell>
          <cell r="X152">
            <v>30000.000000000004</v>
          </cell>
          <cell r="Y152">
            <v>0</v>
          </cell>
          <cell r="Z152">
            <v>30000.000000000004</v>
          </cell>
          <cell r="AA152">
            <v>0</v>
          </cell>
          <cell r="AB152">
            <v>30000.000000000004</v>
          </cell>
          <cell r="AC152">
            <v>0</v>
          </cell>
          <cell r="AD152">
            <v>0</v>
          </cell>
          <cell r="AE152">
            <v>0</v>
          </cell>
          <cell r="AF152">
            <v>0</v>
          </cell>
          <cell r="AG152">
            <v>0</v>
          </cell>
          <cell r="AH152">
            <v>0</v>
          </cell>
        </row>
        <row r="153">
          <cell r="B153" t="str">
            <v>CNCESE</v>
          </cell>
          <cell r="C153" t="str">
            <v>Q</v>
          </cell>
          <cell r="D153" t="str">
            <v>12G</v>
          </cell>
          <cell r="E153" t="str">
            <v>CNCESE</v>
          </cell>
          <cell r="F153" t="str">
            <v>FC/CN</v>
          </cell>
          <cell r="G153">
            <v>15</v>
          </cell>
          <cell r="H153" t="str">
            <v>Impression de la synthèse du rapport d'évaluation 15 pages x 2500 exemplaires</v>
          </cell>
          <cell r="I153" t="str">
            <v>CNCESE</v>
          </cell>
          <cell r="K153" t="str">
            <v>FC/PSE</v>
          </cell>
          <cell r="L153" t="str">
            <v>COT</v>
          </cell>
          <cell r="N153">
            <v>37500</v>
          </cell>
          <cell r="P153">
            <v>37500</v>
          </cell>
          <cell r="Q153" t="str">
            <v>page</v>
          </cell>
          <cell r="R153" t="str">
            <v>rep</v>
          </cell>
          <cell r="S153">
            <v>0.30000000000000004</v>
          </cell>
          <cell r="T153">
            <v>1</v>
          </cell>
          <cell r="U153">
            <v>0</v>
          </cell>
          <cell r="V153">
            <v>11250.000000000002</v>
          </cell>
          <cell r="W153">
            <v>0</v>
          </cell>
          <cell r="X153">
            <v>11250.000000000002</v>
          </cell>
          <cell r="Y153">
            <v>0</v>
          </cell>
          <cell r="Z153">
            <v>11250.000000000002</v>
          </cell>
          <cell r="AA153">
            <v>0</v>
          </cell>
          <cell r="AB153">
            <v>11250.000000000002</v>
          </cell>
          <cell r="AC153">
            <v>0</v>
          </cell>
          <cell r="AD153">
            <v>0</v>
          </cell>
          <cell r="AE153">
            <v>0</v>
          </cell>
          <cell r="AF153">
            <v>0</v>
          </cell>
          <cell r="AG153">
            <v>0</v>
          </cell>
          <cell r="AH153">
            <v>0</v>
          </cell>
        </row>
        <row r="154">
          <cell r="B154" t="str">
            <v>CNCESE</v>
          </cell>
          <cell r="C154" t="str">
            <v>Q</v>
          </cell>
          <cell r="D154" t="str">
            <v>12G</v>
          </cell>
          <cell r="E154" t="str">
            <v>CNCESE</v>
          </cell>
          <cell r="F154" t="str">
            <v>FC/CN</v>
          </cell>
          <cell r="G154">
            <v>15</v>
          </cell>
          <cell r="H154" t="str">
            <v>Ateliers d'appropriation résultats évaluation (central et Conakry) :  50p x 1j</v>
          </cell>
          <cell r="I154" t="str">
            <v>CNCESE</v>
          </cell>
          <cell r="K154" t="str">
            <v>FC/PSE</v>
          </cell>
          <cell r="L154" t="str">
            <v>AUT</v>
          </cell>
          <cell r="N154">
            <v>50</v>
          </cell>
          <cell r="P154">
            <v>50</v>
          </cell>
          <cell r="Q154" t="str">
            <v>pxj</v>
          </cell>
          <cell r="R154" t="str">
            <v>asn</v>
          </cell>
          <cell r="S154">
            <v>147.72</v>
          </cell>
          <cell r="T154">
            <v>1</v>
          </cell>
          <cell r="U154">
            <v>0</v>
          </cell>
          <cell r="V154">
            <v>7386</v>
          </cell>
          <cell r="W154">
            <v>0</v>
          </cell>
          <cell r="X154">
            <v>7386</v>
          </cell>
          <cell r="Y154">
            <v>0</v>
          </cell>
          <cell r="Z154">
            <v>7386</v>
          </cell>
          <cell r="AA154">
            <v>0</v>
          </cell>
          <cell r="AB154">
            <v>7386</v>
          </cell>
          <cell r="AC154">
            <v>0</v>
          </cell>
          <cell r="AD154">
            <v>0</v>
          </cell>
          <cell r="AE154">
            <v>0</v>
          </cell>
          <cell r="AF154">
            <v>0</v>
          </cell>
          <cell r="AG154">
            <v>0</v>
          </cell>
          <cell r="AH154">
            <v>0</v>
          </cell>
        </row>
        <row r="155">
          <cell r="B155" t="str">
            <v>CNCESE</v>
          </cell>
          <cell r="C155" t="str">
            <v>Q</v>
          </cell>
          <cell r="D155" t="str">
            <v>12G</v>
          </cell>
          <cell r="E155" t="str">
            <v>CNCESE</v>
          </cell>
          <cell r="F155" t="str">
            <v>FC/CN</v>
          </cell>
          <cell r="G155">
            <v>15</v>
          </cell>
          <cell r="H155" t="str">
            <v>Ateliers d'appropriation résultats évaluation (central et rég.) :  150p x 1j</v>
          </cell>
          <cell r="I155" t="str">
            <v>CNCESE</v>
          </cell>
          <cell r="K155" t="str">
            <v>FC/PSE</v>
          </cell>
          <cell r="L155" t="str">
            <v>AUT</v>
          </cell>
          <cell r="N155">
            <v>200</v>
          </cell>
          <cell r="P155">
            <v>200</v>
          </cell>
          <cell r="Q155" t="str">
            <v>pxj</v>
          </cell>
          <cell r="R155" t="str">
            <v>asr</v>
          </cell>
          <cell r="S155">
            <v>123.10000000000001</v>
          </cell>
          <cell r="T155">
            <v>1</v>
          </cell>
          <cell r="U155">
            <v>0</v>
          </cell>
          <cell r="V155">
            <v>24620</v>
          </cell>
          <cell r="W155">
            <v>0</v>
          </cell>
          <cell r="X155">
            <v>24620</v>
          </cell>
          <cell r="Y155">
            <v>0</v>
          </cell>
          <cell r="Z155">
            <v>24620</v>
          </cell>
          <cell r="AA155">
            <v>0</v>
          </cell>
          <cell r="AB155">
            <v>24620</v>
          </cell>
          <cell r="AC155">
            <v>0</v>
          </cell>
          <cell r="AD155">
            <v>0</v>
          </cell>
          <cell r="AE155">
            <v>0</v>
          </cell>
          <cell r="AF155">
            <v>0</v>
          </cell>
          <cell r="AG155">
            <v>0</v>
          </cell>
          <cell r="AH155">
            <v>0</v>
          </cell>
        </row>
        <row r="156">
          <cell r="B156" t="str">
            <v>CNCESE</v>
          </cell>
          <cell r="C156" t="str">
            <v>Q</v>
          </cell>
          <cell r="D156" t="str">
            <v>12G</v>
          </cell>
          <cell r="E156" t="str">
            <v>CNCESE</v>
          </cell>
          <cell r="F156" t="str">
            <v>FC/CN</v>
          </cell>
          <cell r="G156">
            <v>15</v>
          </cell>
          <cell r="H156" t="str">
            <v>Evaluation apprentissages des élèves du primaire 2ème année</v>
          </cell>
          <cell r="I156" t="str">
            <v>CNCESE</v>
          </cell>
          <cell r="K156" t="str">
            <v>FC/PSE</v>
          </cell>
          <cell r="L156" t="str">
            <v>AUT</v>
          </cell>
          <cell r="O156">
            <v>1</v>
          </cell>
          <cell r="P156">
            <v>1</v>
          </cell>
          <cell r="Q156" t="str">
            <v>forfait</v>
          </cell>
          <cell r="S156">
            <v>576013.19999999995</v>
          </cell>
          <cell r="T156">
            <v>1</v>
          </cell>
          <cell r="U156">
            <v>0</v>
          </cell>
          <cell r="V156">
            <v>0</v>
          </cell>
          <cell r="W156">
            <v>576013.19999999995</v>
          </cell>
          <cell r="X156">
            <v>576013.19999999995</v>
          </cell>
          <cell r="Y156">
            <v>0</v>
          </cell>
          <cell r="Z156">
            <v>0</v>
          </cell>
          <cell r="AA156">
            <v>576013.19999999995</v>
          </cell>
          <cell r="AB156">
            <v>576013.19999999995</v>
          </cell>
          <cell r="AC156">
            <v>0</v>
          </cell>
          <cell r="AD156">
            <v>0</v>
          </cell>
          <cell r="AE156">
            <v>0</v>
          </cell>
          <cell r="AF156">
            <v>0</v>
          </cell>
          <cell r="AG156">
            <v>0</v>
          </cell>
          <cell r="AH156">
            <v>0</v>
          </cell>
        </row>
        <row r="157">
          <cell r="H157" t="str">
            <v>ECOLES NORMALES D'INSTITUTEURS</v>
          </cell>
          <cell r="U157">
            <v>12225110.240000002</v>
          </cell>
          <cell r="V157">
            <v>3285292.8</v>
          </cell>
          <cell r="W157">
            <v>2972126.4000000004</v>
          </cell>
          <cell r="X157">
            <v>18482529.440000001</v>
          </cell>
          <cell r="Y157">
            <v>12225110.240000002</v>
          </cell>
          <cell r="Z157">
            <v>3285292.8</v>
          </cell>
          <cell r="AA157">
            <v>2972126.4000000004</v>
          </cell>
          <cell r="AB157">
            <v>18482529.440000001</v>
          </cell>
          <cell r="AC157">
            <v>0</v>
          </cell>
          <cell r="AD157">
            <v>0</v>
          </cell>
          <cell r="AE157">
            <v>0</v>
          </cell>
          <cell r="AF157">
            <v>0</v>
          </cell>
          <cell r="AH157">
            <v>0</v>
          </cell>
        </row>
        <row r="158">
          <cell r="H158" t="str">
            <v>Travaux de VRD et complémentaires des ENI</v>
          </cell>
          <cell r="U158">
            <v>10052641.440000001</v>
          </cell>
          <cell r="V158">
            <v>0</v>
          </cell>
          <cell r="W158">
            <v>0</v>
          </cell>
          <cell r="X158">
            <v>10052641.440000001</v>
          </cell>
          <cell r="Y158">
            <v>10052641.440000001</v>
          </cell>
          <cell r="Z158">
            <v>0</v>
          </cell>
          <cell r="AA158">
            <v>0</v>
          </cell>
          <cell r="AB158">
            <v>10052641.440000001</v>
          </cell>
          <cell r="AC158">
            <v>0</v>
          </cell>
          <cell r="AD158">
            <v>0</v>
          </cell>
          <cell r="AE158">
            <v>0</v>
          </cell>
          <cell r="AF158">
            <v>0</v>
          </cell>
          <cell r="AH158">
            <v>0</v>
          </cell>
        </row>
        <row r="159">
          <cell r="B159" t="str">
            <v>SNIEM</v>
          </cell>
          <cell r="C159" t="str">
            <v>Q</v>
          </cell>
          <cell r="D159" t="str">
            <v>13A</v>
          </cell>
          <cell r="E159" t="str">
            <v>ENI/</v>
          </cell>
          <cell r="F159" t="str">
            <v>FC/</v>
          </cell>
          <cell r="G159">
            <v>21</v>
          </cell>
          <cell r="H159" t="str">
            <v>BET pour les constructions réhabilitation des infrastructures</v>
          </cell>
          <cell r="I159" t="str">
            <v>SNIEM</v>
          </cell>
          <cell r="K159" t="str">
            <v>FC/PSE</v>
          </cell>
          <cell r="L159" t="str">
            <v>CR</v>
          </cell>
          <cell r="M159">
            <v>1</v>
          </cell>
          <cell r="P159">
            <v>1</v>
          </cell>
          <cell r="Q159" t="str">
            <v>forfait</v>
          </cell>
          <cell r="R159" t="str">
            <v>coût total</v>
          </cell>
          <cell r="S159">
            <v>7.0000000000000007E-2</v>
          </cell>
          <cell r="T159">
            <v>1</v>
          </cell>
          <cell r="U159">
            <v>657649.44000000006</v>
          </cell>
          <cell r="V159">
            <v>0</v>
          </cell>
          <cell r="W159">
            <v>0</v>
          </cell>
          <cell r="X159">
            <v>657649.44000000006</v>
          </cell>
          <cell r="Y159">
            <v>657649.44000000006</v>
          </cell>
          <cell r="Z159">
            <v>0</v>
          </cell>
          <cell r="AA159">
            <v>0</v>
          </cell>
          <cell r="AB159">
            <v>657649.44000000006</v>
          </cell>
          <cell r="AC159">
            <v>0</v>
          </cell>
          <cell r="AD159">
            <v>0</v>
          </cell>
          <cell r="AE159">
            <v>0</v>
          </cell>
          <cell r="AF159">
            <v>0</v>
          </cell>
          <cell r="AG159">
            <v>0</v>
          </cell>
          <cell r="AH159">
            <v>0</v>
          </cell>
        </row>
        <row r="160">
          <cell r="B160" t="str">
            <v>SNIEM</v>
          </cell>
          <cell r="C160" t="str">
            <v>Q</v>
          </cell>
          <cell r="D160" t="str">
            <v>13A</v>
          </cell>
          <cell r="E160" t="str">
            <v>ENI/BOKE</v>
          </cell>
          <cell r="F160" t="str">
            <v>FC/BOKE</v>
          </cell>
          <cell r="G160">
            <v>22</v>
          </cell>
          <cell r="H160" t="str">
            <v>Travaux VRD 8 ENI</v>
          </cell>
          <cell r="I160" t="str">
            <v>SNIEM</v>
          </cell>
          <cell r="K160" t="str">
            <v>FC/PSE</v>
          </cell>
          <cell r="L160" t="str">
            <v>AON</v>
          </cell>
          <cell r="M160">
            <v>1</v>
          </cell>
          <cell r="P160">
            <v>1</v>
          </cell>
          <cell r="Q160" t="str">
            <v>forfait</v>
          </cell>
          <cell r="S160">
            <v>4185400.0000000005</v>
          </cell>
          <cell r="T160">
            <v>1</v>
          </cell>
          <cell r="U160">
            <v>4185400.0000000005</v>
          </cell>
          <cell r="V160">
            <v>0</v>
          </cell>
          <cell r="W160">
            <v>0</v>
          </cell>
          <cell r="X160">
            <v>4185400.0000000005</v>
          </cell>
          <cell r="Y160">
            <v>4185400.0000000005</v>
          </cell>
          <cell r="Z160">
            <v>0</v>
          </cell>
          <cell r="AA160">
            <v>0</v>
          </cell>
          <cell r="AB160">
            <v>4185400.0000000005</v>
          </cell>
          <cell r="AC160">
            <v>0</v>
          </cell>
          <cell r="AD160">
            <v>0</v>
          </cell>
          <cell r="AE160">
            <v>0</v>
          </cell>
          <cell r="AF160">
            <v>0</v>
          </cell>
          <cell r="AG160">
            <v>0</v>
          </cell>
          <cell r="AH160">
            <v>0</v>
          </cell>
        </row>
        <row r="161">
          <cell r="B161" t="str">
            <v>SNIEM</v>
          </cell>
          <cell r="C161" t="str">
            <v>Q</v>
          </cell>
          <cell r="D161" t="str">
            <v>13A</v>
          </cell>
          <cell r="E161" t="str">
            <v>ENI/CONA</v>
          </cell>
          <cell r="F161" t="str">
            <v>FC/CONA</v>
          </cell>
          <cell r="G161">
            <v>22</v>
          </cell>
          <cell r="H161" t="str">
            <v>Travaux complémentaires 8 ENI yc 10 classes</v>
          </cell>
          <cell r="I161" t="str">
            <v>SNIEM</v>
          </cell>
          <cell r="K161" t="str">
            <v>FC/PSE</v>
          </cell>
          <cell r="L161" t="str">
            <v>AON</v>
          </cell>
          <cell r="M161">
            <v>1</v>
          </cell>
          <cell r="P161">
            <v>1</v>
          </cell>
          <cell r="Q161" t="str">
            <v>forfait</v>
          </cell>
          <cell r="S161">
            <v>5209592</v>
          </cell>
          <cell r="T161">
            <v>1</v>
          </cell>
          <cell r="U161">
            <v>5209592</v>
          </cell>
          <cell r="V161">
            <v>0</v>
          </cell>
          <cell r="W161">
            <v>0</v>
          </cell>
          <cell r="X161">
            <v>5209592</v>
          </cell>
          <cell r="Y161">
            <v>5209592</v>
          </cell>
          <cell r="Z161">
            <v>0</v>
          </cell>
          <cell r="AA161">
            <v>0</v>
          </cell>
          <cell r="AB161">
            <v>5209592</v>
          </cell>
          <cell r="AC161">
            <v>0</v>
          </cell>
          <cell r="AD161">
            <v>0</v>
          </cell>
          <cell r="AE161">
            <v>0</v>
          </cell>
          <cell r="AF161">
            <v>0</v>
          </cell>
          <cell r="AG161">
            <v>0</v>
          </cell>
          <cell r="AH161">
            <v>0</v>
          </cell>
        </row>
        <row r="162">
          <cell r="H162" t="str">
            <v>Contrat de partenariat avec institution spécialisée en Form maîtres</v>
          </cell>
          <cell r="U162">
            <v>354528</v>
          </cell>
          <cell r="V162">
            <v>709056</v>
          </cell>
          <cell r="W162">
            <v>177264</v>
          </cell>
          <cell r="X162">
            <v>1240848</v>
          </cell>
          <cell r="Y162">
            <v>354528</v>
          </cell>
          <cell r="Z162">
            <v>709056</v>
          </cell>
          <cell r="AA162">
            <v>177264</v>
          </cell>
          <cell r="AB162">
            <v>1240848</v>
          </cell>
          <cell r="AC162">
            <v>0</v>
          </cell>
          <cell r="AD162">
            <v>0</v>
          </cell>
          <cell r="AE162">
            <v>0</v>
          </cell>
          <cell r="AF162">
            <v>0</v>
          </cell>
          <cell r="AH162">
            <v>0</v>
          </cell>
        </row>
        <row r="163">
          <cell r="B163" t="str">
            <v>DNFPPP</v>
          </cell>
          <cell r="C163" t="str">
            <v>Q</v>
          </cell>
          <cell r="D163" t="str">
            <v>13B</v>
          </cell>
          <cell r="E163" t="str">
            <v>DNFPPP</v>
          </cell>
          <cell r="F163" t="str">
            <v>FC/CN</v>
          </cell>
          <cell r="G163">
            <v>25</v>
          </cell>
          <cell r="H163" t="str">
            <v>Partenariat avec une institution spécialisée en Formation de maîtres</v>
          </cell>
          <cell r="I163" t="str">
            <v>CN/PSE</v>
          </cell>
          <cell r="K163" t="str">
            <v>FC/PSE</v>
          </cell>
          <cell r="L163" t="str">
            <v>CR</v>
          </cell>
          <cell r="M163">
            <v>4</v>
          </cell>
          <cell r="N163">
            <v>8</v>
          </cell>
          <cell r="O163">
            <v>2</v>
          </cell>
          <cell r="P163">
            <v>14</v>
          </cell>
          <cell r="Q163" t="str">
            <v>pxm</v>
          </cell>
          <cell r="R163" t="str">
            <v>cic</v>
          </cell>
          <cell r="S163">
            <v>88632</v>
          </cell>
          <cell r="T163">
            <v>1</v>
          </cell>
          <cell r="U163">
            <v>354528</v>
          </cell>
          <cell r="V163">
            <v>709056</v>
          </cell>
          <cell r="W163">
            <v>177264</v>
          </cell>
          <cell r="X163">
            <v>1240848</v>
          </cell>
          <cell r="Y163">
            <v>354528</v>
          </cell>
          <cell r="Z163">
            <v>709056</v>
          </cell>
          <cell r="AA163">
            <v>177264</v>
          </cell>
          <cell r="AB163">
            <v>1240848</v>
          </cell>
          <cell r="AC163">
            <v>0</v>
          </cell>
          <cell r="AD163">
            <v>0</v>
          </cell>
          <cell r="AE163">
            <v>0</v>
          </cell>
          <cell r="AF163">
            <v>0</v>
          </cell>
          <cell r="AG163">
            <v>0</v>
          </cell>
          <cell r="AH163">
            <v>0</v>
          </cell>
        </row>
        <row r="164">
          <cell r="H164" t="str">
            <v>Contrats de performance avec les ENI</v>
          </cell>
          <cell r="U164">
            <v>1384628.8</v>
          </cell>
          <cell r="V164">
            <v>1512652.8</v>
          </cell>
          <cell r="W164">
            <v>1652494.4000000001</v>
          </cell>
          <cell r="X164">
            <v>4549776</v>
          </cell>
          <cell r="Y164">
            <v>1384628.8</v>
          </cell>
          <cell r="Z164">
            <v>1512652.8</v>
          </cell>
          <cell r="AA164">
            <v>1652494.4000000001</v>
          </cell>
          <cell r="AB164">
            <v>4549776</v>
          </cell>
          <cell r="AC164">
            <v>0</v>
          </cell>
          <cell r="AD164">
            <v>0</v>
          </cell>
          <cell r="AE164">
            <v>0</v>
          </cell>
          <cell r="AF164">
            <v>0</v>
          </cell>
          <cell r="AH164">
            <v>0</v>
          </cell>
        </row>
        <row r="165">
          <cell r="B165" t="str">
            <v>DNFPPP</v>
          </cell>
          <cell r="C165" t="str">
            <v>Q</v>
          </cell>
          <cell r="D165" t="str">
            <v>13C</v>
          </cell>
          <cell r="E165" t="str">
            <v>ENI/</v>
          </cell>
          <cell r="F165" t="str">
            <v>FC/CN</v>
          </cell>
          <cell r="G165">
            <v>15</v>
          </cell>
          <cell r="H165" t="str">
            <v>Contrats de performance avec les ENI</v>
          </cell>
          <cell r="I165" t="str">
            <v>ENI/</v>
          </cell>
          <cell r="K165" t="str">
            <v>FC/PSE</v>
          </cell>
          <cell r="L165" t="str">
            <v>AUT</v>
          </cell>
          <cell r="M165">
            <v>2812</v>
          </cell>
          <cell r="N165">
            <v>3072</v>
          </cell>
          <cell r="O165">
            <v>3356</v>
          </cell>
          <cell r="P165">
            <v>9240</v>
          </cell>
          <cell r="Q165" t="str">
            <v>élèv/m</v>
          </cell>
          <cell r="S165">
            <v>492.40000000000003</v>
          </cell>
          <cell r="T165">
            <v>1</v>
          </cell>
          <cell r="U165">
            <v>1384628.8</v>
          </cell>
          <cell r="V165">
            <v>1512652.8</v>
          </cell>
          <cell r="W165">
            <v>1652494.4000000001</v>
          </cell>
          <cell r="X165">
            <v>4549776</v>
          </cell>
          <cell r="Y165">
            <v>1384628.8</v>
          </cell>
          <cell r="Z165">
            <v>1512652.8</v>
          </cell>
          <cell r="AA165">
            <v>1652494.4000000001</v>
          </cell>
          <cell r="AB165">
            <v>4549776</v>
          </cell>
          <cell r="AC165">
            <v>0</v>
          </cell>
          <cell r="AD165">
            <v>0</v>
          </cell>
          <cell r="AE165">
            <v>0</v>
          </cell>
          <cell r="AF165">
            <v>0</v>
          </cell>
          <cell r="AG165">
            <v>0</v>
          </cell>
          <cell r="AH165">
            <v>0</v>
          </cell>
        </row>
        <row r="166">
          <cell r="H166" t="str">
            <v>Aide à l'installation des stagiaires</v>
          </cell>
          <cell r="U166">
            <v>433312</v>
          </cell>
          <cell r="V166">
            <v>1063584</v>
          </cell>
          <cell r="W166">
            <v>1142368</v>
          </cell>
          <cell r="X166">
            <v>2639264</v>
          </cell>
          <cell r="Y166">
            <v>433312</v>
          </cell>
          <cell r="Z166">
            <v>1063584</v>
          </cell>
          <cell r="AA166">
            <v>1142368</v>
          </cell>
          <cell r="AB166">
            <v>2639264</v>
          </cell>
          <cell r="AC166">
            <v>0</v>
          </cell>
          <cell r="AD166">
            <v>0</v>
          </cell>
          <cell r="AE166">
            <v>0</v>
          </cell>
          <cell r="AF166">
            <v>0</v>
          </cell>
          <cell r="AH166">
            <v>0</v>
          </cell>
        </row>
        <row r="167">
          <cell r="B167" t="str">
            <v>DNFPPP</v>
          </cell>
          <cell r="C167" t="str">
            <v>Q</v>
          </cell>
          <cell r="D167" t="str">
            <v>13D</v>
          </cell>
          <cell r="E167" t="str">
            <v>ENI/</v>
          </cell>
          <cell r="F167" t="str">
            <v>FC/CN</v>
          </cell>
          <cell r="G167">
            <v>12</v>
          </cell>
          <cell r="H167" t="str">
            <v>Appui installation stagiaires - attente première solde (80USD/stagiaire)</v>
          </cell>
          <cell r="I167" t="str">
            <v>ENI/</v>
          </cell>
          <cell r="K167" t="str">
            <v>FC/PSE</v>
          </cell>
          <cell r="L167" t="str">
            <v>AUT</v>
          </cell>
          <cell r="M167">
            <v>1100</v>
          </cell>
          <cell r="N167">
            <v>2700</v>
          </cell>
          <cell r="O167">
            <v>2900</v>
          </cell>
          <cell r="P167">
            <v>6700</v>
          </cell>
          <cell r="Q167" t="str">
            <v>élèv/m</v>
          </cell>
          <cell r="S167">
            <v>393.92</v>
          </cell>
          <cell r="T167">
            <v>1</v>
          </cell>
          <cell r="U167">
            <v>433312</v>
          </cell>
          <cell r="V167">
            <v>1063584</v>
          </cell>
          <cell r="W167">
            <v>1142368</v>
          </cell>
          <cell r="X167">
            <v>2639264</v>
          </cell>
          <cell r="Y167">
            <v>433312</v>
          </cell>
          <cell r="Z167">
            <v>1063584</v>
          </cell>
          <cell r="AA167">
            <v>1142368</v>
          </cell>
          <cell r="AB167">
            <v>2639264</v>
          </cell>
          <cell r="AC167">
            <v>0</v>
          </cell>
          <cell r="AD167">
            <v>0</v>
          </cell>
          <cell r="AE167">
            <v>0</v>
          </cell>
          <cell r="AF167">
            <v>0</v>
          </cell>
          <cell r="AG167">
            <v>0</v>
          </cell>
          <cell r="AH167">
            <v>0</v>
          </cell>
        </row>
        <row r="168">
          <cell r="H168" t="str">
            <v>EDUCATION NON FORMELLE</v>
          </cell>
          <cell r="U168">
            <v>1568067.2000000002</v>
          </cell>
          <cell r="V168">
            <v>3490473</v>
          </cell>
          <cell r="W168">
            <v>2040402.4000000004</v>
          </cell>
          <cell r="X168">
            <v>7098942.6000000015</v>
          </cell>
          <cell r="Y168">
            <v>1568067.2000000002</v>
          </cell>
          <cell r="Z168">
            <v>3490473</v>
          </cell>
          <cell r="AA168">
            <v>2040402.4000000004</v>
          </cell>
          <cell r="AB168">
            <v>7098942.6000000015</v>
          </cell>
          <cell r="AC168">
            <v>0</v>
          </cell>
          <cell r="AD168">
            <v>0</v>
          </cell>
          <cell r="AE168">
            <v>0</v>
          </cell>
          <cell r="AF168">
            <v>0</v>
          </cell>
          <cell r="AH168">
            <v>0</v>
          </cell>
        </row>
        <row r="169">
          <cell r="H169" t="str">
            <v>Alphabétisation</v>
          </cell>
          <cell r="U169">
            <v>1568067.2000000002</v>
          </cell>
          <cell r="V169">
            <v>3025202.4000000004</v>
          </cell>
          <cell r="W169">
            <v>2040402.4000000004</v>
          </cell>
          <cell r="X169">
            <v>6633672.0000000019</v>
          </cell>
          <cell r="Y169">
            <v>1568067.2000000002</v>
          </cell>
          <cell r="Z169">
            <v>3025202.4000000004</v>
          </cell>
          <cell r="AA169">
            <v>2040402.4000000004</v>
          </cell>
          <cell r="AB169">
            <v>6633672.0000000019</v>
          </cell>
          <cell r="AC169">
            <v>0</v>
          </cell>
          <cell r="AD169">
            <v>0</v>
          </cell>
          <cell r="AE169">
            <v>0</v>
          </cell>
          <cell r="AF169">
            <v>0</v>
          </cell>
          <cell r="AH169">
            <v>0</v>
          </cell>
        </row>
        <row r="170">
          <cell r="B170" t="str">
            <v>SNA</v>
          </cell>
          <cell r="C170" t="str">
            <v>A</v>
          </cell>
          <cell r="D170" t="str">
            <v>14A</v>
          </cell>
          <cell r="E170" t="str">
            <v>AL/</v>
          </cell>
          <cell r="F170" t="str">
            <v>FC/</v>
          </cell>
          <cell r="G170">
            <v>12</v>
          </cell>
          <cell r="H170" t="str">
            <v>Formation 640 alphabétiseurs animation, suivi évaluation apprentissages 7j</v>
          </cell>
          <cell r="I170" t="str">
            <v>SNA</v>
          </cell>
          <cell r="K170" t="str">
            <v>FC/PSE</v>
          </cell>
          <cell r="L170" t="str">
            <v>AUT</v>
          </cell>
          <cell r="M170">
            <v>640</v>
          </cell>
          <cell r="P170">
            <v>640</v>
          </cell>
          <cell r="Q170" t="str">
            <v>p</v>
          </cell>
          <cell r="S170">
            <v>480</v>
          </cell>
          <cell r="T170">
            <v>1</v>
          </cell>
          <cell r="U170">
            <v>307200</v>
          </cell>
          <cell r="V170">
            <v>0</v>
          </cell>
          <cell r="W170">
            <v>0</v>
          </cell>
          <cell r="X170">
            <v>307200</v>
          </cell>
          <cell r="Y170">
            <v>307200</v>
          </cell>
          <cell r="Z170">
            <v>0</v>
          </cell>
          <cell r="AA170">
            <v>0</v>
          </cell>
          <cell r="AB170">
            <v>307200</v>
          </cell>
          <cell r="AC170">
            <v>0</v>
          </cell>
          <cell r="AD170">
            <v>0</v>
          </cell>
          <cell r="AE170">
            <v>0</v>
          </cell>
          <cell r="AF170">
            <v>0</v>
          </cell>
          <cell r="AG170">
            <v>0</v>
          </cell>
          <cell r="AH170">
            <v>0</v>
          </cell>
        </row>
        <row r="171">
          <cell r="B171" t="str">
            <v>SNA</v>
          </cell>
          <cell r="C171" t="str">
            <v>A</v>
          </cell>
          <cell r="D171" t="str">
            <v>14A</v>
          </cell>
          <cell r="E171" t="str">
            <v>AL/</v>
          </cell>
          <cell r="F171" t="str">
            <v>FC/</v>
          </cell>
          <cell r="G171">
            <v>12</v>
          </cell>
          <cell r="H171" t="str">
            <v>Formation 42 superviseurs de centres suivi compétences et progrès 7jours</v>
          </cell>
          <cell r="I171" t="str">
            <v>SNA</v>
          </cell>
          <cell r="K171" t="str">
            <v>FC/PSE</v>
          </cell>
          <cell r="L171" t="str">
            <v>AUT</v>
          </cell>
          <cell r="M171">
            <v>42</v>
          </cell>
          <cell r="P171">
            <v>42</v>
          </cell>
          <cell r="Q171" t="str">
            <v>p</v>
          </cell>
          <cell r="S171">
            <v>480</v>
          </cell>
          <cell r="T171">
            <v>1</v>
          </cell>
          <cell r="U171">
            <v>20160</v>
          </cell>
          <cell r="V171">
            <v>0</v>
          </cell>
          <cell r="W171">
            <v>0</v>
          </cell>
          <cell r="X171">
            <v>20160</v>
          </cell>
          <cell r="Y171">
            <v>20160</v>
          </cell>
          <cell r="Z171">
            <v>0</v>
          </cell>
          <cell r="AA171">
            <v>0</v>
          </cell>
          <cell r="AB171">
            <v>20160</v>
          </cell>
          <cell r="AC171">
            <v>0</v>
          </cell>
          <cell r="AD171">
            <v>0</v>
          </cell>
          <cell r="AE171">
            <v>0</v>
          </cell>
          <cell r="AF171">
            <v>0</v>
          </cell>
          <cell r="AG171">
            <v>0</v>
          </cell>
          <cell r="AH171">
            <v>0</v>
          </cell>
        </row>
        <row r="172">
          <cell r="B172" t="str">
            <v>SNA</v>
          </cell>
          <cell r="C172" t="str">
            <v>A</v>
          </cell>
          <cell r="D172" t="str">
            <v>14A</v>
          </cell>
          <cell r="E172" t="str">
            <v>AL/</v>
          </cell>
          <cell r="F172" t="str">
            <v>FC/</v>
          </cell>
          <cell r="G172">
            <v>12</v>
          </cell>
          <cell r="H172" t="str">
            <v>Alphabétisation en 9 mois par des ONG (Tous groupes cibles)</v>
          </cell>
          <cell r="I172" t="str">
            <v>SNA</v>
          </cell>
          <cell r="K172" t="str">
            <v>FC/PSE</v>
          </cell>
          <cell r="L172" t="str">
            <v>CR</v>
          </cell>
          <cell r="M172">
            <v>16666.666666666668</v>
          </cell>
          <cell r="N172">
            <v>50000</v>
          </cell>
          <cell r="O172">
            <v>33333.333333333336</v>
          </cell>
          <cell r="P172">
            <v>100000</v>
          </cell>
          <cell r="Q172" t="str">
            <v>p</v>
          </cell>
          <cell r="R172" t="str">
            <v>afa</v>
          </cell>
          <cell r="S172">
            <v>59.088000000000008</v>
          </cell>
          <cell r="T172">
            <v>1</v>
          </cell>
          <cell r="U172">
            <v>984800.00000000023</v>
          </cell>
          <cell r="V172">
            <v>2954400.0000000005</v>
          </cell>
          <cell r="W172">
            <v>1969600.0000000005</v>
          </cell>
          <cell r="X172">
            <v>5908800.0000000019</v>
          </cell>
          <cell r="Y172">
            <v>984800.00000000023</v>
          </cell>
          <cell r="Z172">
            <v>2954400.0000000005</v>
          </cell>
          <cell r="AA172">
            <v>1969600.0000000005</v>
          </cell>
          <cell r="AB172">
            <v>5908800.0000000019</v>
          </cell>
          <cell r="AC172">
            <v>0</v>
          </cell>
          <cell r="AD172">
            <v>0</v>
          </cell>
          <cell r="AE172">
            <v>0</v>
          </cell>
          <cell r="AF172">
            <v>0</v>
          </cell>
          <cell r="AG172">
            <v>0</v>
          </cell>
          <cell r="AH172">
            <v>0</v>
          </cell>
        </row>
        <row r="173">
          <cell r="B173" t="str">
            <v>SNA</v>
          </cell>
          <cell r="C173" t="str">
            <v>A</v>
          </cell>
          <cell r="D173" t="str">
            <v>14A</v>
          </cell>
          <cell r="E173" t="str">
            <v>AL/</v>
          </cell>
          <cell r="F173" t="str">
            <v>FC/CN</v>
          </cell>
          <cell r="G173">
            <v>23</v>
          </cell>
          <cell r="H173" t="str">
            <v>Motos pour superviseurs des centres pour le suivi rapproché</v>
          </cell>
          <cell r="I173" t="str">
            <v>SNA</v>
          </cell>
          <cell r="K173" t="str">
            <v>FC/PSE</v>
          </cell>
          <cell r="L173" t="str">
            <v>AOI</v>
          </cell>
          <cell r="M173">
            <v>16</v>
          </cell>
          <cell r="P173">
            <v>16</v>
          </cell>
          <cell r="Q173" t="str">
            <v>u</v>
          </cell>
          <cell r="R173" t="str">
            <v>cvc</v>
          </cell>
          <cell r="S173">
            <v>13500</v>
          </cell>
          <cell r="T173">
            <v>1</v>
          </cell>
          <cell r="U173">
            <v>216000</v>
          </cell>
          <cell r="V173">
            <v>0</v>
          </cell>
          <cell r="W173">
            <v>0</v>
          </cell>
          <cell r="X173">
            <v>216000</v>
          </cell>
          <cell r="Y173">
            <v>216000</v>
          </cell>
          <cell r="Z173">
            <v>0</v>
          </cell>
          <cell r="AA173">
            <v>0</v>
          </cell>
          <cell r="AB173">
            <v>216000</v>
          </cell>
          <cell r="AC173">
            <v>0</v>
          </cell>
          <cell r="AD173">
            <v>0</v>
          </cell>
          <cell r="AE173">
            <v>0</v>
          </cell>
          <cell r="AF173">
            <v>0</v>
          </cell>
          <cell r="AG173">
            <v>0</v>
          </cell>
          <cell r="AH173">
            <v>0</v>
          </cell>
        </row>
        <row r="174">
          <cell r="B174" t="str">
            <v>SNA</v>
          </cell>
          <cell r="C174" t="str">
            <v>A</v>
          </cell>
          <cell r="D174" t="str">
            <v>14A</v>
          </cell>
          <cell r="E174" t="str">
            <v>AL/</v>
          </cell>
          <cell r="F174" t="str">
            <v>FC/</v>
          </cell>
          <cell r="G174">
            <v>15</v>
          </cell>
          <cell r="H174" t="str">
            <v>Carburant motos 15l x 42 superviseurs x 9 mois x 2ans</v>
          </cell>
          <cell r="I174" t="str">
            <v>SNA</v>
          </cell>
          <cell r="K174" t="str">
            <v>FC/PSE</v>
          </cell>
          <cell r="L174" t="str">
            <v>COT</v>
          </cell>
          <cell r="N174">
            <v>5670</v>
          </cell>
          <cell r="O174">
            <v>5670</v>
          </cell>
          <cell r="P174">
            <v>11340</v>
          </cell>
          <cell r="Q174" t="str">
            <v>l</v>
          </cell>
          <cell r="R174" t="str">
            <v>gaz</v>
          </cell>
          <cell r="S174">
            <v>7</v>
          </cell>
          <cell r="T174">
            <v>1</v>
          </cell>
          <cell r="U174">
            <v>0</v>
          </cell>
          <cell r="V174">
            <v>39690</v>
          </cell>
          <cell r="W174">
            <v>39690</v>
          </cell>
          <cell r="X174">
            <v>79380</v>
          </cell>
          <cell r="Y174">
            <v>0</v>
          </cell>
          <cell r="Z174">
            <v>39690</v>
          </cell>
          <cell r="AA174">
            <v>39690</v>
          </cell>
          <cell r="AB174">
            <v>79380</v>
          </cell>
          <cell r="AC174">
            <v>0</v>
          </cell>
          <cell r="AD174">
            <v>0</v>
          </cell>
          <cell r="AE174">
            <v>0</v>
          </cell>
          <cell r="AF174">
            <v>0</v>
          </cell>
          <cell r="AG174">
            <v>0</v>
          </cell>
          <cell r="AH174">
            <v>0</v>
          </cell>
        </row>
        <row r="175">
          <cell r="B175" t="str">
            <v>SNA</v>
          </cell>
          <cell r="C175" t="str">
            <v>A</v>
          </cell>
          <cell r="D175" t="str">
            <v>14A</v>
          </cell>
          <cell r="E175" t="str">
            <v>SNA</v>
          </cell>
          <cell r="F175" t="str">
            <v>FC/CN</v>
          </cell>
          <cell r="G175">
            <v>15</v>
          </cell>
          <cell r="H175" t="str">
            <v xml:space="preserve">Supervision et contrôle central du programme </v>
          </cell>
          <cell r="I175" t="str">
            <v>SNA</v>
          </cell>
          <cell r="K175" t="str">
            <v>FC/PSE</v>
          </cell>
          <cell r="L175" t="str">
            <v>AUT</v>
          </cell>
          <cell r="M175">
            <v>60</v>
          </cell>
          <cell r="N175">
            <v>170</v>
          </cell>
          <cell r="O175">
            <v>170</v>
          </cell>
          <cell r="P175">
            <v>400</v>
          </cell>
          <cell r="Q175" t="str">
            <v>pxj</v>
          </cell>
          <cell r="R175" t="str">
            <v>asn</v>
          </cell>
          <cell r="S175">
            <v>147.72</v>
          </cell>
          <cell r="T175">
            <v>1</v>
          </cell>
          <cell r="U175">
            <v>8863.2000000000007</v>
          </cell>
          <cell r="V175">
            <v>25112.400000000001</v>
          </cell>
          <cell r="W175">
            <v>25112.400000000001</v>
          </cell>
          <cell r="X175">
            <v>59088.000000000007</v>
          </cell>
          <cell r="Y175">
            <v>8863.2000000000007</v>
          </cell>
          <cell r="Z175">
            <v>25112.400000000001</v>
          </cell>
          <cell r="AA175">
            <v>25112.400000000001</v>
          </cell>
          <cell r="AB175">
            <v>59088.000000000007</v>
          </cell>
          <cell r="AC175">
            <v>0</v>
          </cell>
          <cell r="AD175">
            <v>0</v>
          </cell>
          <cell r="AE175">
            <v>0</v>
          </cell>
          <cell r="AF175">
            <v>0</v>
          </cell>
          <cell r="AG175">
            <v>0</v>
          </cell>
          <cell r="AH175">
            <v>0</v>
          </cell>
        </row>
        <row r="176">
          <cell r="B176" t="str">
            <v>SNA</v>
          </cell>
          <cell r="C176" t="str">
            <v>A</v>
          </cell>
          <cell r="D176" t="str">
            <v>14A</v>
          </cell>
          <cell r="E176" t="str">
            <v>SNA</v>
          </cell>
          <cell r="F176" t="str">
            <v>FC/CN</v>
          </cell>
          <cell r="G176">
            <v>15</v>
          </cell>
          <cell r="H176" t="str">
            <v>Appui au fonctionnement du SNA</v>
          </cell>
          <cell r="I176" t="str">
            <v>SNA</v>
          </cell>
          <cell r="K176" t="str">
            <v>FC/PSE</v>
          </cell>
          <cell r="L176" t="str">
            <v>AUT</v>
          </cell>
          <cell r="M176">
            <v>3</v>
          </cell>
          <cell r="N176">
            <v>12</v>
          </cell>
          <cell r="O176">
            <v>12</v>
          </cell>
          <cell r="P176">
            <v>27</v>
          </cell>
          <cell r="Q176" t="str">
            <v>mois</v>
          </cell>
          <cell r="S176">
            <v>500</v>
          </cell>
          <cell r="T176">
            <v>1</v>
          </cell>
          <cell r="U176">
            <v>1500</v>
          </cell>
          <cell r="V176">
            <v>6000</v>
          </cell>
          <cell r="W176">
            <v>6000</v>
          </cell>
          <cell r="X176">
            <v>13500</v>
          </cell>
          <cell r="Y176">
            <v>1500</v>
          </cell>
          <cell r="Z176">
            <v>6000</v>
          </cell>
          <cell r="AA176">
            <v>6000</v>
          </cell>
          <cell r="AB176">
            <v>13500</v>
          </cell>
          <cell r="AC176">
            <v>0</v>
          </cell>
          <cell r="AD176">
            <v>0</v>
          </cell>
          <cell r="AE176">
            <v>0</v>
          </cell>
          <cell r="AF176">
            <v>0</v>
          </cell>
          <cell r="AG176">
            <v>0</v>
          </cell>
          <cell r="AH176">
            <v>0</v>
          </cell>
        </row>
        <row r="177">
          <cell r="B177" t="str">
            <v>SNA</v>
          </cell>
          <cell r="C177" t="str">
            <v>A</v>
          </cell>
          <cell r="D177" t="str">
            <v>14A</v>
          </cell>
          <cell r="E177" t="str">
            <v>SNA</v>
          </cell>
          <cell r="F177" t="str">
            <v>FC/CN</v>
          </cell>
          <cell r="G177">
            <v>23</v>
          </cell>
          <cell r="H177" t="str">
            <v>Poste informatique complet fixe pour le SNA (onduleur et imprimante inclus)</v>
          </cell>
          <cell r="I177" t="str">
            <v>CN/PSE</v>
          </cell>
          <cell r="K177" t="str">
            <v>FC/PSE</v>
          </cell>
          <cell r="L177" t="str">
            <v>AOI</v>
          </cell>
          <cell r="M177">
            <v>2</v>
          </cell>
          <cell r="P177">
            <v>2</v>
          </cell>
          <cell r="Q177" t="str">
            <v>u</v>
          </cell>
          <cell r="R177" t="str">
            <v>pic</v>
          </cell>
          <cell r="S177">
            <v>14772.000000000002</v>
          </cell>
          <cell r="T177">
            <v>1</v>
          </cell>
          <cell r="U177">
            <v>29544.000000000004</v>
          </cell>
          <cell r="V177">
            <v>0</v>
          </cell>
          <cell r="W177">
            <v>0</v>
          </cell>
          <cell r="X177">
            <v>29544.000000000004</v>
          </cell>
          <cell r="Y177">
            <v>29544.000000000004</v>
          </cell>
          <cell r="Z177">
            <v>0</v>
          </cell>
          <cell r="AA177">
            <v>0</v>
          </cell>
          <cell r="AB177">
            <v>29544.000000000004</v>
          </cell>
          <cell r="AC177">
            <v>0</v>
          </cell>
          <cell r="AD177">
            <v>0</v>
          </cell>
          <cell r="AE177">
            <v>0</v>
          </cell>
          <cell r="AF177">
            <v>0</v>
          </cell>
          <cell r="AG177">
            <v>0</v>
          </cell>
          <cell r="AH177">
            <v>0</v>
          </cell>
        </row>
        <row r="178">
          <cell r="H178" t="str">
            <v>Evaluations de l'alphabétisation des adultes</v>
          </cell>
          <cell r="U178">
            <v>0</v>
          </cell>
          <cell r="V178">
            <v>465270.6</v>
          </cell>
          <cell r="W178">
            <v>0</v>
          </cell>
          <cell r="X178">
            <v>465270.6</v>
          </cell>
          <cell r="Y178">
            <v>0</v>
          </cell>
          <cell r="Z178">
            <v>465270.6</v>
          </cell>
          <cell r="AA178">
            <v>0</v>
          </cell>
          <cell r="AB178">
            <v>465270.6</v>
          </cell>
          <cell r="AC178">
            <v>0</v>
          </cell>
          <cell r="AD178">
            <v>0</v>
          </cell>
          <cell r="AE178">
            <v>0</v>
          </cell>
          <cell r="AF178">
            <v>0</v>
          </cell>
          <cell r="AH178">
            <v>0</v>
          </cell>
        </row>
        <row r="179">
          <cell r="B179" t="str">
            <v>CNCESE</v>
          </cell>
          <cell r="C179" t="str">
            <v>Q</v>
          </cell>
          <cell r="D179" t="str">
            <v>14B</v>
          </cell>
          <cell r="E179" t="str">
            <v>CNCESE</v>
          </cell>
          <cell r="F179" t="str">
            <v>FC/CN</v>
          </cell>
          <cell r="G179">
            <v>15</v>
          </cell>
          <cell r="H179" t="str">
            <v>Evaluation apprentissages en math et français des élèves du collège</v>
          </cell>
          <cell r="I179" t="str">
            <v>CNCESE</v>
          </cell>
          <cell r="K179" t="str">
            <v>FC/PSE</v>
          </cell>
          <cell r="L179" t="str">
            <v>AUT</v>
          </cell>
          <cell r="N179">
            <v>1</v>
          </cell>
          <cell r="P179">
            <v>1</v>
          </cell>
          <cell r="Q179" t="str">
            <v>forfait</v>
          </cell>
          <cell r="S179">
            <v>288006.59999999998</v>
          </cell>
          <cell r="T179">
            <v>1</v>
          </cell>
          <cell r="U179">
            <v>0</v>
          </cell>
          <cell r="V179">
            <v>288006.59999999998</v>
          </cell>
          <cell r="W179">
            <v>0</v>
          </cell>
          <cell r="X179">
            <v>288006.59999999998</v>
          </cell>
          <cell r="Y179">
            <v>0</v>
          </cell>
          <cell r="Z179">
            <v>288006.59999999998</v>
          </cell>
          <cell r="AA179">
            <v>0</v>
          </cell>
          <cell r="AB179">
            <v>288006.59999999998</v>
          </cell>
          <cell r="AC179">
            <v>0</v>
          </cell>
          <cell r="AD179">
            <v>0</v>
          </cell>
          <cell r="AE179">
            <v>0</v>
          </cell>
          <cell r="AF179">
            <v>0</v>
          </cell>
          <cell r="AG179">
            <v>0</v>
          </cell>
          <cell r="AH179">
            <v>0</v>
          </cell>
        </row>
        <row r="180">
          <cell r="B180" t="str">
            <v>CNCESE</v>
          </cell>
          <cell r="C180" t="str">
            <v>Q</v>
          </cell>
          <cell r="D180" t="str">
            <v>14B</v>
          </cell>
          <cell r="E180" t="str">
            <v>CNCESE</v>
          </cell>
          <cell r="F180" t="str">
            <v>FC/CN</v>
          </cell>
          <cell r="G180">
            <v>25</v>
          </cell>
          <cell r="H180" t="str">
            <v>Spécialistes en évaluation 4 missions de 15jours</v>
          </cell>
          <cell r="I180" t="str">
            <v>CNCESE</v>
          </cell>
          <cell r="K180" t="str">
            <v>FC/PSE</v>
          </cell>
          <cell r="L180" t="str">
            <v>CR</v>
          </cell>
          <cell r="N180">
            <v>2</v>
          </cell>
          <cell r="P180">
            <v>2</v>
          </cell>
          <cell r="Q180" t="str">
            <v>pxm</v>
          </cell>
          <cell r="R180" t="str">
            <v>cic</v>
          </cell>
          <cell r="S180">
            <v>88632</v>
          </cell>
          <cell r="T180">
            <v>1</v>
          </cell>
          <cell r="U180">
            <v>0</v>
          </cell>
          <cell r="V180">
            <v>177264</v>
          </cell>
          <cell r="W180">
            <v>0</v>
          </cell>
          <cell r="X180">
            <v>177264</v>
          </cell>
          <cell r="Y180">
            <v>0</v>
          </cell>
          <cell r="Z180">
            <v>177264</v>
          </cell>
          <cell r="AA180">
            <v>0</v>
          </cell>
          <cell r="AB180">
            <v>177264</v>
          </cell>
          <cell r="AC180">
            <v>0</v>
          </cell>
          <cell r="AD180">
            <v>0</v>
          </cell>
          <cell r="AE180">
            <v>0</v>
          </cell>
          <cell r="AF180">
            <v>0</v>
          </cell>
          <cell r="AG180">
            <v>0</v>
          </cell>
          <cell r="AH180">
            <v>0</v>
          </cell>
        </row>
        <row r="181">
          <cell r="H181" t="str">
            <v>EDUCATION SPECIALISEE</v>
          </cell>
          <cell r="U181">
            <v>1768792.6780000001</v>
          </cell>
          <cell r="V181">
            <v>836225.5</v>
          </cell>
          <cell r="W181">
            <v>836225.5</v>
          </cell>
          <cell r="X181">
            <v>3441243.6780000003</v>
          </cell>
          <cell r="Y181">
            <v>1768792.6780000001</v>
          </cell>
          <cell r="Z181">
            <v>836225.5</v>
          </cell>
          <cell r="AA181">
            <v>836225.5</v>
          </cell>
          <cell r="AB181">
            <v>3441243.6780000003</v>
          </cell>
          <cell r="AC181">
            <v>0</v>
          </cell>
          <cell r="AD181">
            <v>0</v>
          </cell>
          <cell r="AE181">
            <v>0</v>
          </cell>
          <cell r="AF181">
            <v>0</v>
          </cell>
          <cell r="AH181">
            <v>0</v>
          </cell>
        </row>
        <row r="182">
          <cell r="H182" t="str">
            <v>Perfectionnement de formateurs</v>
          </cell>
        </row>
        <row r="183">
          <cell r="B183" t="str">
            <v>DNPPS/MASPFE</v>
          </cell>
          <cell r="C183" t="str">
            <v>A</v>
          </cell>
          <cell r="D183" t="str">
            <v>15A</v>
          </cell>
          <cell r="E183" t="str">
            <v>DNPPS/MASPFE</v>
          </cell>
          <cell r="F183" t="str">
            <v>FC/CN</v>
          </cell>
          <cell r="G183">
            <v>12</v>
          </cell>
          <cell r="H183" t="str">
            <v>Voyage d'études en Afrique : 2 formateurs de maîtres x 10j</v>
          </cell>
          <cell r="I183" t="str">
            <v>DNPPS</v>
          </cell>
          <cell r="K183" t="str">
            <v>FC/PSE</v>
          </cell>
          <cell r="L183" t="str">
            <v>AUT</v>
          </cell>
          <cell r="M183">
            <v>2</v>
          </cell>
          <cell r="P183">
            <v>2</v>
          </cell>
          <cell r="Q183" t="str">
            <v>voy</v>
          </cell>
          <cell r="R183" t="str">
            <v>vaf</v>
          </cell>
          <cell r="S183">
            <v>13294.800000000001</v>
          </cell>
          <cell r="T183">
            <v>1</v>
          </cell>
          <cell r="U183">
            <v>26589.600000000002</v>
          </cell>
          <cell r="V183">
            <v>0</v>
          </cell>
          <cell r="W183">
            <v>0</v>
          </cell>
          <cell r="X183">
            <v>26589.600000000002</v>
          </cell>
          <cell r="Y183">
            <v>26589.600000000002</v>
          </cell>
          <cell r="Z183">
            <v>0</v>
          </cell>
          <cell r="AA183">
            <v>0</v>
          </cell>
          <cell r="AB183">
            <v>26589.600000000002</v>
          </cell>
          <cell r="AC183">
            <v>0</v>
          </cell>
          <cell r="AD183">
            <v>0</v>
          </cell>
          <cell r="AE183">
            <v>0</v>
          </cell>
          <cell r="AF183">
            <v>0</v>
          </cell>
          <cell r="AG183">
            <v>0</v>
          </cell>
          <cell r="AH183">
            <v>0</v>
          </cell>
        </row>
        <row r="184">
          <cell r="B184" t="str">
            <v>DNPPS/MASPFE</v>
          </cell>
          <cell r="C184" t="str">
            <v>A</v>
          </cell>
          <cell r="D184" t="str">
            <v>15A</v>
          </cell>
          <cell r="E184" t="str">
            <v>DNPPS/MASPFE</v>
          </cell>
          <cell r="F184" t="str">
            <v>FC/CN</v>
          </cell>
          <cell r="G184">
            <v>12</v>
          </cell>
          <cell r="H184" t="str">
            <v>Formation de formateurs d'enseignants en signes scientifiques au Canada : 2p x 30j</v>
          </cell>
          <cell r="I184" t="str">
            <v>DNPPS</v>
          </cell>
          <cell r="K184" t="str">
            <v>FC/PSE</v>
          </cell>
          <cell r="L184" t="str">
            <v>AUT</v>
          </cell>
          <cell r="M184">
            <v>2</v>
          </cell>
          <cell r="P184">
            <v>2</v>
          </cell>
          <cell r="Q184" t="str">
            <v>voy</v>
          </cell>
          <cell r="R184" t="str">
            <v>vam</v>
          </cell>
          <cell r="S184">
            <v>30000</v>
          </cell>
          <cell r="T184">
            <v>1</v>
          </cell>
          <cell r="U184">
            <v>60000</v>
          </cell>
          <cell r="V184">
            <v>0</v>
          </cell>
          <cell r="W184">
            <v>0</v>
          </cell>
          <cell r="X184">
            <v>60000</v>
          </cell>
          <cell r="Y184">
            <v>60000</v>
          </cell>
          <cell r="Z184">
            <v>0</v>
          </cell>
          <cell r="AA184">
            <v>0</v>
          </cell>
          <cell r="AB184">
            <v>60000</v>
          </cell>
          <cell r="AC184">
            <v>0</v>
          </cell>
          <cell r="AD184">
            <v>0</v>
          </cell>
          <cell r="AE184">
            <v>0</v>
          </cell>
          <cell r="AF184">
            <v>0</v>
          </cell>
          <cell r="AG184">
            <v>0</v>
          </cell>
          <cell r="AH184">
            <v>0</v>
          </cell>
        </row>
        <row r="185">
          <cell r="H185" t="str">
            <v>Formation maîtres cl intégratrices en langue de signes et braille</v>
          </cell>
        </row>
        <row r="186">
          <cell r="B186" t="str">
            <v>DNPPS/MASPFE</v>
          </cell>
          <cell r="C186" t="str">
            <v>A</v>
          </cell>
          <cell r="D186" t="str">
            <v>15A</v>
          </cell>
          <cell r="E186" t="str">
            <v>DNPPS/MASPFE</v>
          </cell>
          <cell r="F186" t="str">
            <v>FC/CN</v>
          </cell>
          <cell r="G186">
            <v>12</v>
          </cell>
          <cell r="H186" t="str">
            <v>Prise en charge des formateurs : 4 formateurs x 2 mois/ an</v>
          </cell>
          <cell r="I186" t="str">
            <v>DNPPS</v>
          </cell>
          <cell r="K186" t="str">
            <v>FC/PSE</v>
          </cell>
          <cell r="L186" t="str">
            <v>AUT</v>
          </cell>
          <cell r="M186">
            <v>8</v>
          </cell>
          <cell r="N186">
            <v>8</v>
          </cell>
          <cell r="O186">
            <v>8</v>
          </cell>
          <cell r="P186">
            <v>24</v>
          </cell>
          <cell r="Q186" t="str">
            <v>pxm</v>
          </cell>
          <cell r="R186" t="str">
            <v>forfait</v>
          </cell>
          <cell r="S186">
            <v>500</v>
          </cell>
          <cell r="T186">
            <v>1</v>
          </cell>
          <cell r="U186">
            <v>4000</v>
          </cell>
          <cell r="V186">
            <v>4000</v>
          </cell>
          <cell r="W186">
            <v>4000</v>
          </cell>
          <cell r="X186">
            <v>12000</v>
          </cell>
          <cell r="Y186">
            <v>4000</v>
          </cell>
          <cell r="Z186">
            <v>4000</v>
          </cell>
          <cell r="AA186">
            <v>4000</v>
          </cell>
          <cell r="AB186">
            <v>12000</v>
          </cell>
          <cell r="AC186">
            <v>0</v>
          </cell>
          <cell r="AD186">
            <v>0</v>
          </cell>
          <cell r="AE186">
            <v>0</v>
          </cell>
          <cell r="AF186">
            <v>0</v>
          </cell>
          <cell r="AG186">
            <v>0</v>
          </cell>
          <cell r="AH186">
            <v>0</v>
          </cell>
        </row>
        <row r="187">
          <cell r="B187" t="str">
            <v>DNPPS/MASPFE</v>
          </cell>
          <cell r="C187" t="str">
            <v>A</v>
          </cell>
          <cell r="D187" t="str">
            <v>15A</v>
          </cell>
          <cell r="E187" t="str">
            <v>DNPPS/MASPFE</v>
          </cell>
          <cell r="F187" t="str">
            <v>FC/CN</v>
          </cell>
          <cell r="G187">
            <v>12</v>
          </cell>
          <cell r="H187" t="str">
            <v>Prise en charge des maîtres : [(38 x 4p) + 8p] x 2 mois / an</v>
          </cell>
          <cell r="I187" t="str">
            <v>DNPPS</v>
          </cell>
          <cell r="K187" t="str">
            <v>FC/PSE</v>
          </cell>
          <cell r="L187" t="str">
            <v>AUT</v>
          </cell>
          <cell r="M187">
            <v>320</v>
          </cell>
          <cell r="N187">
            <v>320</v>
          </cell>
          <cell r="O187">
            <v>320</v>
          </cell>
          <cell r="P187">
            <v>960</v>
          </cell>
          <cell r="Q187" t="str">
            <v>pxm</v>
          </cell>
          <cell r="R187" t="str">
            <v>forfait</v>
          </cell>
          <cell r="S187">
            <v>350</v>
          </cell>
          <cell r="T187">
            <v>1</v>
          </cell>
          <cell r="U187">
            <v>112000</v>
          </cell>
          <cell r="V187">
            <v>112000</v>
          </cell>
          <cell r="W187">
            <v>112000</v>
          </cell>
          <cell r="X187">
            <v>336000</v>
          </cell>
          <cell r="Y187">
            <v>112000</v>
          </cell>
          <cell r="Z187">
            <v>112000</v>
          </cell>
          <cell r="AA187">
            <v>112000</v>
          </cell>
          <cell r="AB187">
            <v>336000</v>
          </cell>
          <cell r="AC187">
            <v>0</v>
          </cell>
          <cell r="AD187">
            <v>0</v>
          </cell>
          <cell r="AE187">
            <v>0</v>
          </cell>
          <cell r="AF187">
            <v>0</v>
          </cell>
          <cell r="AG187">
            <v>0</v>
          </cell>
          <cell r="AH187">
            <v>0</v>
          </cell>
        </row>
        <row r="188">
          <cell r="B188" t="str">
            <v>DNPPS/MASPFE</v>
          </cell>
          <cell r="C188" t="str">
            <v>A</v>
          </cell>
          <cell r="D188" t="str">
            <v>15A</v>
          </cell>
          <cell r="E188" t="str">
            <v>DNPPS/MASPFE</v>
          </cell>
          <cell r="F188" t="str">
            <v>FC/CN</v>
          </cell>
          <cell r="G188">
            <v>24</v>
          </cell>
          <cell r="H188" t="str">
            <v>Fournitures pour formateurs</v>
          </cell>
          <cell r="I188" t="str">
            <v>CN/PSE</v>
          </cell>
          <cell r="K188" t="str">
            <v>FC/PSE</v>
          </cell>
          <cell r="L188" t="str">
            <v>AUT</v>
          </cell>
          <cell r="M188">
            <v>2</v>
          </cell>
          <cell r="N188">
            <v>2</v>
          </cell>
          <cell r="O188">
            <v>2</v>
          </cell>
          <cell r="P188">
            <v>6</v>
          </cell>
          <cell r="Q188" t="str">
            <v>lot</v>
          </cell>
          <cell r="R188" t="str">
            <v>forfait</v>
          </cell>
          <cell r="S188">
            <v>1000</v>
          </cell>
          <cell r="T188">
            <v>1</v>
          </cell>
          <cell r="U188">
            <v>2000</v>
          </cell>
          <cell r="V188">
            <v>2000</v>
          </cell>
          <cell r="W188">
            <v>2000</v>
          </cell>
          <cell r="X188">
            <v>6000</v>
          </cell>
          <cell r="Y188">
            <v>2000</v>
          </cell>
          <cell r="Z188">
            <v>2000</v>
          </cell>
          <cell r="AA188">
            <v>2000</v>
          </cell>
          <cell r="AB188">
            <v>6000</v>
          </cell>
          <cell r="AC188">
            <v>0</v>
          </cell>
          <cell r="AD188">
            <v>0</v>
          </cell>
          <cell r="AE188">
            <v>0</v>
          </cell>
          <cell r="AF188">
            <v>0</v>
          </cell>
          <cell r="AG188">
            <v>0</v>
          </cell>
          <cell r="AH188">
            <v>0</v>
          </cell>
        </row>
        <row r="189">
          <cell r="B189" t="str">
            <v>DNPPS/MASPFE</v>
          </cell>
          <cell r="C189" t="str">
            <v>A</v>
          </cell>
          <cell r="D189" t="str">
            <v>15A</v>
          </cell>
          <cell r="E189" t="str">
            <v>DNPPS/MASPFE</v>
          </cell>
          <cell r="F189" t="str">
            <v>FC/CN</v>
          </cell>
          <cell r="G189">
            <v>24</v>
          </cell>
          <cell r="H189" t="str">
            <v>Machines Perkins pour formations</v>
          </cell>
          <cell r="I189" t="str">
            <v>CN/PSE</v>
          </cell>
          <cell r="K189" t="str">
            <v>FC/PSE</v>
          </cell>
          <cell r="L189" t="str">
            <v>AOI</v>
          </cell>
          <cell r="M189">
            <v>24</v>
          </cell>
          <cell r="P189">
            <v>24</v>
          </cell>
          <cell r="Q189" t="str">
            <v>u</v>
          </cell>
          <cell r="R189" t="str">
            <v>forfait</v>
          </cell>
          <cell r="S189">
            <v>5893.5625</v>
          </cell>
          <cell r="T189">
            <v>1</v>
          </cell>
          <cell r="U189">
            <v>141445.5</v>
          </cell>
          <cell r="V189">
            <v>0</v>
          </cell>
          <cell r="W189">
            <v>0</v>
          </cell>
          <cell r="X189">
            <v>141445.5</v>
          </cell>
          <cell r="Y189">
            <v>141445.5</v>
          </cell>
          <cell r="Z189">
            <v>0</v>
          </cell>
          <cell r="AA189">
            <v>0</v>
          </cell>
          <cell r="AB189">
            <v>141445.5</v>
          </cell>
          <cell r="AC189">
            <v>0</v>
          </cell>
          <cell r="AD189">
            <v>0</v>
          </cell>
          <cell r="AE189">
            <v>0</v>
          </cell>
          <cell r="AF189">
            <v>0</v>
          </cell>
          <cell r="AG189">
            <v>0</v>
          </cell>
          <cell r="AH189">
            <v>0</v>
          </cell>
        </row>
        <row r="190">
          <cell r="B190" t="str">
            <v>DNPPS/MASPFE</v>
          </cell>
          <cell r="C190" t="str">
            <v>A</v>
          </cell>
          <cell r="D190" t="str">
            <v>15A</v>
          </cell>
          <cell r="E190" t="str">
            <v>DNPPS/MASPFE</v>
          </cell>
          <cell r="F190" t="str">
            <v>FC/CN</v>
          </cell>
          <cell r="G190">
            <v>24</v>
          </cell>
          <cell r="H190" t="str">
            <v>Fournitures pour les maîtres en formation yc tablettes, dictionnaires…</v>
          </cell>
          <cell r="I190" t="str">
            <v>CN/PSE</v>
          </cell>
          <cell r="K190" t="str">
            <v>FC/PSE</v>
          </cell>
          <cell r="L190" t="str">
            <v>AOI</v>
          </cell>
          <cell r="M190">
            <v>160</v>
          </cell>
          <cell r="N190">
            <v>160</v>
          </cell>
          <cell r="O190">
            <v>160</v>
          </cell>
          <cell r="P190">
            <v>480</v>
          </cell>
          <cell r="Q190" t="str">
            <v>lot</v>
          </cell>
          <cell r="R190" t="str">
            <v>forfait</v>
          </cell>
          <cell r="S190">
            <v>500</v>
          </cell>
          <cell r="T190">
            <v>1</v>
          </cell>
          <cell r="U190">
            <v>80000</v>
          </cell>
          <cell r="V190">
            <v>80000</v>
          </cell>
          <cell r="W190">
            <v>80000</v>
          </cell>
          <cell r="X190">
            <v>240000</v>
          </cell>
          <cell r="Y190">
            <v>80000</v>
          </cell>
          <cell r="Z190">
            <v>80000</v>
          </cell>
          <cell r="AA190">
            <v>80000</v>
          </cell>
          <cell r="AB190">
            <v>240000</v>
          </cell>
          <cell r="AC190">
            <v>0</v>
          </cell>
          <cell r="AD190">
            <v>0</v>
          </cell>
          <cell r="AE190">
            <v>0</v>
          </cell>
          <cell r="AF190">
            <v>0</v>
          </cell>
          <cell r="AG190">
            <v>0</v>
          </cell>
          <cell r="AH190">
            <v>0</v>
          </cell>
        </row>
        <row r="191">
          <cell r="H191" t="str">
            <v>Matériels pédagogiques pour les écoles intégratrices</v>
          </cell>
        </row>
        <row r="192">
          <cell r="B192" t="str">
            <v>DNPPS/MASPFE</v>
          </cell>
          <cell r="C192" t="str">
            <v>A</v>
          </cell>
          <cell r="D192" t="str">
            <v>15A</v>
          </cell>
          <cell r="E192" t="str">
            <v>DNPPS/MASPFE</v>
          </cell>
          <cell r="F192" t="str">
            <v>FC/CN</v>
          </cell>
          <cell r="G192">
            <v>24</v>
          </cell>
          <cell r="H192" t="str">
            <v>Dictionnaire en langue de signes / braille pour classes intégratrices</v>
          </cell>
          <cell r="I192" t="str">
            <v>CN/PSE</v>
          </cell>
          <cell r="K192" t="str">
            <v>FC/PSE</v>
          </cell>
          <cell r="L192" t="str">
            <v>AOI</v>
          </cell>
          <cell r="M192">
            <v>76</v>
          </cell>
          <cell r="N192">
            <v>76</v>
          </cell>
          <cell r="O192">
            <v>76</v>
          </cell>
          <cell r="P192">
            <v>228</v>
          </cell>
          <cell r="Q192" t="str">
            <v>u</v>
          </cell>
          <cell r="R192" t="str">
            <v>forfait</v>
          </cell>
          <cell r="S192">
            <v>33</v>
          </cell>
          <cell r="T192">
            <v>1</v>
          </cell>
          <cell r="U192">
            <v>2508</v>
          </cell>
          <cell r="V192">
            <v>2508</v>
          </cell>
          <cell r="W192">
            <v>2508</v>
          </cell>
          <cell r="X192">
            <v>7524</v>
          </cell>
          <cell r="Y192">
            <v>2508</v>
          </cell>
          <cell r="Z192">
            <v>2508</v>
          </cell>
          <cell r="AA192">
            <v>2508</v>
          </cell>
          <cell r="AB192">
            <v>7524</v>
          </cell>
          <cell r="AC192">
            <v>0</v>
          </cell>
          <cell r="AD192">
            <v>0</v>
          </cell>
          <cell r="AE192">
            <v>0</v>
          </cell>
          <cell r="AF192">
            <v>0</v>
          </cell>
          <cell r="AG192">
            <v>0</v>
          </cell>
          <cell r="AH192">
            <v>0</v>
          </cell>
        </row>
        <row r="193">
          <cell r="B193" t="str">
            <v>DNPPS/MASPFE</v>
          </cell>
          <cell r="C193" t="str">
            <v>A</v>
          </cell>
          <cell r="D193" t="str">
            <v>15A</v>
          </cell>
          <cell r="E193" t="str">
            <v>DNPPS/MASPFE</v>
          </cell>
          <cell r="F193" t="str">
            <v>FC/CN</v>
          </cell>
          <cell r="G193">
            <v>24</v>
          </cell>
          <cell r="H193" t="str">
            <v>Machines Perkins : 1 machine / école avec mal voyants</v>
          </cell>
          <cell r="I193" t="str">
            <v>CN/PSE</v>
          </cell>
          <cell r="K193" t="str">
            <v>FC/PSE</v>
          </cell>
          <cell r="L193" t="str">
            <v>AOI</v>
          </cell>
          <cell r="M193">
            <v>76</v>
          </cell>
          <cell r="P193">
            <v>76</v>
          </cell>
          <cell r="Q193" t="str">
            <v>u</v>
          </cell>
          <cell r="R193" t="str">
            <v>forfait</v>
          </cell>
          <cell r="S193">
            <v>5893.5625</v>
          </cell>
          <cell r="T193">
            <v>1</v>
          </cell>
          <cell r="U193">
            <v>447910.75</v>
          </cell>
          <cell r="V193">
            <v>0</v>
          </cell>
          <cell r="W193">
            <v>0</v>
          </cell>
          <cell r="X193">
            <v>447910.75</v>
          </cell>
          <cell r="Y193">
            <v>447910.75</v>
          </cell>
          <cell r="Z193">
            <v>0</v>
          </cell>
          <cell r="AA193">
            <v>0</v>
          </cell>
          <cell r="AB193">
            <v>447910.75</v>
          </cell>
          <cell r="AC193">
            <v>0</v>
          </cell>
          <cell r="AD193">
            <v>0</v>
          </cell>
          <cell r="AE193">
            <v>0</v>
          </cell>
          <cell r="AF193">
            <v>0</v>
          </cell>
          <cell r="AG193">
            <v>0</v>
          </cell>
          <cell r="AH193">
            <v>0</v>
          </cell>
        </row>
        <row r="194">
          <cell r="B194" t="str">
            <v>DNPPS/MASPFE</v>
          </cell>
          <cell r="C194" t="str">
            <v>A</v>
          </cell>
          <cell r="D194" t="str">
            <v>15A</v>
          </cell>
          <cell r="E194" t="str">
            <v>DNPPS/MASPFE</v>
          </cell>
          <cell r="F194" t="str">
            <v>FC/CN</v>
          </cell>
          <cell r="G194">
            <v>24</v>
          </cell>
          <cell r="H194" t="str">
            <v>Poinceau + tablette pour élèves mal voyants</v>
          </cell>
          <cell r="I194" t="str">
            <v>CN/PSE</v>
          </cell>
          <cell r="K194" t="str">
            <v>FC/PSE</v>
          </cell>
          <cell r="L194" t="str">
            <v>AOI</v>
          </cell>
          <cell r="M194">
            <v>760</v>
          </cell>
          <cell r="N194">
            <v>760</v>
          </cell>
          <cell r="O194">
            <v>760</v>
          </cell>
          <cell r="P194">
            <v>2280</v>
          </cell>
          <cell r="Q194" t="str">
            <v>lot</v>
          </cell>
          <cell r="R194" t="str">
            <v>forfait</v>
          </cell>
          <cell r="S194">
            <v>390</v>
          </cell>
          <cell r="T194">
            <v>1</v>
          </cell>
          <cell r="U194">
            <v>296400</v>
          </cell>
          <cell r="V194">
            <v>296400</v>
          </cell>
          <cell r="W194">
            <v>296400</v>
          </cell>
          <cell r="X194">
            <v>889200</v>
          </cell>
          <cell r="Y194">
            <v>296400</v>
          </cell>
          <cell r="Z194">
            <v>296400</v>
          </cell>
          <cell r="AA194">
            <v>296400</v>
          </cell>
          <cell r="AB194">
            <v>889200</v>
          </cell>
          <cell r="AC194">
            <v>0</v>
          </cell>
          <cell r="AD194">
            <v>0</v>
          </cell>
          <cell r="AE194">
            <v>0</v>
          </cell>
          <cell r="AF194">
            <v>0</v>
          </cell>
          <cell r="AG194">
            <v>0</v>
          </cell>
          <cell r="AH194">
            <v>0</v>
          </cell>
        </row>
        <row r="195">
          <cell r="B195" t="str">
            <v>DNPPS/MASPFE</v>
          </cell>
          <cell r="C195" t="str">
            <v>A</v>
          </cell>
          <cell r="D195" t="str">
            <v>15A</v>
          </cell>
          <cell r="E195" t="str">
            <v>DNPPS/MASPFE</v>
          </cell>
          <cell r="F195" t="str">
            <v>FC/CN</v>
          </cell>
          <cell r="G195">
            <v>24</v>
          </cell>
          <cell r="H195" t="str">
            <v>Dictionnaire langue de signes pour élèves sourds</v>
          </cell>
          <cell r="I195" t="str">
            <v>CN/PSE</v>
          </cell>
          <cell r="K195" t="str">
            <v>FC/PSE</v>
          </cell>
          <cell r="L195" t="str">
            <v>AOI</v>
          </cell>
          <cell r="M195">
            <v>760</v>
          </cell>
          <cell r="N195">
            <v>760</v>
          </cell>
          <cell r="O195">
            <v>760</v>
          </cell>
          <cell r="P195">
            <v>2280</v>
          </cell>
          <cell r="Q195" t="str">
            <v>lot</v>
          </cell>
          <cell r="R195" t="str">
            <v>forfait</v>
          </cell>
          <cell r="S195">
            <v>33</v>
          </cell>
          <cell r="T195">
            <v>1</v>
          </cell>
          <cell r="U195">
            <v>25080</v>
          </cell>
          <cell r="V195">
            <v>25080</v>
          </cell>
          <cell r="W195">
            <v>25080</v>
          </cell>
          <cell r="X195">
            <v>75240</v>
          </cell>
          <cell r="Y195">
            <v>25080</v>
          </cell>
          <cell r="Z195">
            <v>25080</v>
          </cell>
          <cell r="AA195">
            <v>25080</v>
          </cell>
          <cell r="AB195">
            <v>75240</v>
          </cell>
          <cell r="AC195">
            <v>0</v>
          </cell>
          <cell r="AD195">
            <v>0</v>
          </cell>
          <cell r="AE195">
            <v>0</v>
          </cell>
          <cell r="AF195">
            <v>0</v>
          </cell>
          <cell r="AG195">
            <v>0</v>
          </cell>
          <cell r="AH195">
            <v>0</v>
          </cell>
        </row>
        <row r="196">
          <cell r="H196" t="str">
            <v>Aides auditive et technique de marche pour les élèves</v>
          </cell>
          <cell r="V196">
            <v>0</v>
          </cell>
          <cell r="W196">
            <v>0</v>
          </cell>
        </row>
        <row r="197">
          <cell r="B197" t="str">
            <v>DNPPS/MASPFE</v>
          </cell>
          <cell r="C197" t="str">
            <v>A</v>
          </cell>
          <cell r="D197" t="str">
            <v>15A</v>
          </cell>
          <cell r="E197" t="str">
            <v>DNPPS/MASPFE</v>
          </cell>
          <cell r="F197" t="str">
            <v>FC/CN</v>
          </cell>
          <cell r="G197">
            <v>24</v>
          </cell>
          <cell r="H197" t="str">
            <v>Appareils auditifs (réhabilitation auditive)</v>
          </cell>
          <cell r="I197" t="str">
            <v>CN/PSE</v>
          </cell>
          <cell r="K197" t="str">
            <v>FC/PSE</v>
          </cell>
          <cell r="L197" t="str">
            <v>COT</v>
          </cell>
          <cell r="M197">
            <v>100</v>
          </cell>
          <cell r="N197">
            <v>100</v>
          </cell>
          <cell r="O197">
            <v>100</v>
          </cell>
          <cell r="P197">
            <v>300</v>
          </cell>
          <cell r="Q197" t="str">
            <v>u</v>
          </cell>
          <cell r="R197" t="str">
            <v>forfait</v>
          </cell>
          <cell r="S197">
            <v>620.375</v>
          </cell>
          <cell r="T197">
            <v>1</v>
          </cell>
          <cell r="U197">
            <v>62037.5</v>
          </cell>
          <cell r="V197">
            <v>62037.5</v>
          </cell>
          <cell r="W197">
            <v>62037.5</v>
          </cell>
          <cell r="X197">
            <v>186112.5</v>
          </cell>
          <cell r="Y197">
            <v>62037.5</v>
          </cell>
          <cell r="Z197">
            <v>62037.5</v>
          </cell>
          <cell r="AA197">
            <v>62037.5</v>
          </cell>
          <cell r="AB197">
            <v>186112.5</v>
          </cell>
          <cell r="AC197">
            <v>0</v>
          </cell>
          <cell r="AD197">
            <v>0</v>
          </cell>
          <cell r="AE197">
            <v>0</v>
          </cell>
          <cell r="AF197">
            <v>0</v>
          </cell>
          <cell r="AG197">
            <v>0</v>
          </cell>
          <cell r="AH197">
            <v>0</v>
          </cell>
        </row>
        <row r="198">
          <cell r="B198" t="str">
            <v>DNPPS/MASPFE</v>
          </cell>
          <cell r="C198" t="str">
            <v>A</v>
          </cell>
          <cell r="D198" t="str">
            <v>15A</v>
          </cell>
          <cell r="E198" t="str">
            <v>DNPPS/MASPFE</v>
          </cell>
          <cell r="F198" t="str">
            <v>FC/CN</v>
          </cell>
          <cell r="G198">
            <v>24</v>
          </cell>
          <cell r="H198" t="str">
            <v>Béquilles</v>
          </cell>
          <cell r="I198" t="str">
            <v>CN/PSE</v>
          </cell>
          <cell r="K198" t="str">
            <v>FC/PSE</v>
          </cell>
          <cell r="L198" t="str">
            <v>AOI</v>
          </cell>
          <cell r="M198">
            <v>100</v>
          </cell>
          <cell r="N198">
            <v>100</v>
          </cell>
          <cell r="O198">
            <v>100</v>
          </cell>
          <cell r="P198">
            <v>300</v>
          </cell>
          <cell r="Q198" t="str">
            <v>u</v>
          </cell>
          <cell r="R198" t="str">
            <v>forfait</v>
          </cell>
          <cell r="S198">
            <v>300</v>
          </cell>
          <cell r="T198">
            <v>1</v>
          </cell>
          <cell r="U198">
            <v>30000</v>
          </cell>
          <cell r="V198">
            <v>30000</v>
          </cell>
          <cell r="W198">
            <v>30000</v>
          </cell>
          <cell r="X198">
            <v>90000</v>
          </cell>
          <cell r="Y198">
            <v>30000</v>
          </cell>
          <cell r="Z198">
            <v>30000</v>
          </cell>
          <cell r="AA198">
            <v>30000</v>
          </cell>
          <cell r="AB198">
            <v>90000</v>
          </cell>
          <cell r="AC198">
            <v>0</v>
          </cell>
          <cell r="AD198">
            <v>0</v>
          </cell>
          <cell r="AE198">
            <v>0</v>
          </cell>
          <cell r="AF198">
            <v>0</v>
          </cell>
          <cell r="AG198">
            <v>0</v>
          </cell>
          <cell r="AH198">
            <v>0</v>
          </cell>
        </row>
        <row r="199">
          <cell r="B199" t="str">
            <v>DNPPS/MASPFE</v>
          </cell>
          <cell r="C199" t="str">
            <v>A</v>
          </cell>
          <cell r="D199" t="str">
            <v>15A</v>
          </cell>
          <cell r="E199" t="str">
            <v>DNPPS/MASPFE</v>
          </cell>
          <cell r="F199" t="str">
            <v>FC/CN</v>
          </cell>
          <cell r="G199">
            <v>24</v>
          </cell>
          <cell r="H199" t="str">
            <v>Fauteuils roulants</v>
          </cell>
          <cell r="I199" t="str">
            <v>CN/PSE</v>
          </cell>
          <cell r="K199" t="str">
            <v>FC/PSE</v>
          </cell>
          <cell r="L199" t="str">
            <v>AOI</v>
          </cell>
          <cell r="M199">
            <v>100</v>
          </cell>
          <cell r="N199">
            <v>100</v>
          </cell>
          <cell r="O199">
            <v>100</v>
          </cell>
          <cell r="P199">
            <v>300</v>
          </cell>
          <cell r="Q199" t="str">
            <v>u</v>
          </cell>
          <cell r="R199" t="str">
            <v>forfait</v>
          </cell>
          <cell r="S199">
            <v>500</v>
          </cell>
          <cell r="T199">
            <v>1</v>
          </cell>
          <cell r="U199">
            <v>50000</v>
          </cell>
          <cell r="V199">
            <v>50000</v>
          </cell>
          <cell r="W199">
            <v>50000</v>
          </cell>
          <cell r="X199">
            <v>150000</v>
          </cell>
          <cell r="Y199">
            <v>50000</v>
          </cell>
          <cell r="Z199">
            <v>50000</v>
          </cell>
          <cell r="AA199">
            <v>50000</v>
          </cell>
          <cell r="AB199">
            <v>150000</v>
          </cell>
          <cell r="AC199">
            <v>0</v>
          </cell>
          <cell r="AD199">
            <v>0</v>
          </cell>
          <cell r="AE199">
            <v>0</v>
          </cell>
          <cell r="AF199">
            <v>0</v>
          </cell>
          <cell r="AG199">
            <v>0</v>
          </cell>
          <cell r="AH199">
            <v>0</v>
          </cell>
        </row>
        <row r="200">
          <cell r="B200" t="str">
            <v>DNPPS/MASPFE</v>
          </cell>
          <cell r="C200" t="str">
            <v>A</v>
          </cell>
          <cell r="D200" t="str">
            <v>15A</v>
          </cell>
          <cell r="E200" t="str">
            <v>DNPPS/MASPFE</v>
          </cell>
          <cell r="F200" t="str">
            <v>FC/CN</v>
          </cell>
          <cell r="G200">
            <v>24</v>
          </cell>
          <cell r="H200" t="str">
            <v>Cannes</v>
          </cell>
          <cell r="I200" t="str">
            <v>CN/PSE</v>
          </cell>
          <cell r="K200" t="str">
            <v>FC/PSE</v>
          </cell>
          <cell r="L200" t="str">
            <v>AOI</v>
          </cell>
          <cell r="M200">
            <v>100</v>
          </cell>
          <cell r="N200">
            <v>100</v>
          </cell>
          <cell r="O200">
            <v>100</v>
          </cell>
          <cell r="P200">
            <v>300</v>
          </cell>
          <cell r="Q200" t="str">
            <v>u</v>
          </cell>
          <cell r="R200" t="str">
            <v>forfait</v>
          </cell>
          <cell r="S200">
            <v>300</v>
          </cell>
          <cell r="T200">
            <v>1</v>
          </cell>
          <cell r="U200">
            <v>30000</v>
          </cell>
          <cell r="V200">
            <v>30000</v>
          </cell>
          <cell r="W200">
            <v>30000</v>
          </cell>
          <cell r="X200">
            <v>90000</v>
          </cell>
          <cell r="Y200">
            <v>30000</v>
          </cell>
          <cell r="Z200">
            <v>30000</v>
          </cell>
          <cell r="AA200">
            <v>30000</v>
          </cell>
          <cell r="AB200">
            <v>90000</v>
          </cell>
          <cell r="AC200">
            <v>0</v>
          </cell>
          <cell r="AD200">
            <v>0</v>
          </cell>
          <cell r="AE200">
            <v>0</v>
          </cell>
          <cell r="AF200">
            <v>0</v>
          </cell>
          <cell r="AG200">
            <v>0</v>
          </cell>
          <cell r="AH200">
            <v>0</v>
          </cell>
        </row>
        <row r="201">
          <cell r="B201" t="str">
            <v>DNPPS/MASPFE</v>
          </cell>
          <cell r="C201" t="str">
            <v>A</v>
          </cell>
          <cell r="D201" t="str">
            <v>15A</v>
          </cell>
          <cell r="E201" t="str">
            <v>DNPPS/MASPFE</v>
          </cell>
          <cell r="F201" t="str">
            <v>FC/CN</v>
          </cell>
          <cell r="G201">
            <v>24</v>
          </cell>
          <cell r="H201" t="str">
            <v>Tricycles</v>
          </cell>
          <cell r="I201" t="str">
            <v>CN/PSE</v>
          </cell>
          <cell r="K201" t="str">
            <v>FC/PSE</v>
          </cell>
          <cell r="L201" t="str">
            <v>AON</v>
          </cell>
          <cell r="M201">
            <v>100</v>
          </cell>
          <cell r="N201">
            <v>100</v>
          </cell>
          <cell r="O201">
            <v>100</v>
          </cell>
          <cell r="P201">
            <v>300</v>
          </cell>
          <cell r="Q201" t="str">
            <v>u</v>
          </cell>
          <cell r="R201" t="str">
            <v>forfait</v>
          </cell>
          <cell r="S201">
            <v>800</v>
          </cell>
          <cell r="T201">
            <v>1</v>
          </cell>
          <cell r="U201">
            <v>80000</v>
          </cell>
          <cell r="V201">
            <v>80000</v>
          </cell>
          <cell r="W201">
            <v>80000</v>
          </cell>
          <cell r="X201">
            <v>240000</v>
          </cell>
          <cell r="Y201">
            <v>80000</v>
          </cell>
          <cell r="Z201">
            <v>80000</v>
          </cell>
          <cell r="AA201">
            <v>80000</v>
          </cell>
          <cell r="AB201">
            <v>240000</v>
          </cell>
          <cell r="AC201">
            <v>0</v>
          </cell>
          <cell r="AD201">
            <v>0</v>
          </cell>
          <cell r="AE201">
            <v>0</v>
          </cell>
          <cell r="AF201">
            <v>0</v>
          </cell>
          <cell r="AG201">
            <v>0</v>
          </cell>
          <cell r="AH201">
            <v>0</v>
          </cell>
        </row>
        <row r="202">
          <cell r="H202" t="str">
            <v>Formation des handicapés mentaux légers</v>
          </cell>
        </row>
        <row r="203">
          <cell r="B203" t="str">
            <v>DNPPS/MASPFE</v>
          </cell>
          <cell r="C203" t="str">
            <v>A</v>
          </cell>
          <cell r="D203" t="str">
            <v>15A</v>
          </cell>
          <cell r="E203" t="str">
            <v>DNPPS/MASPFE</v>
          </cell>
          <cell r="F203" t="str">
            <v>FC/CN</v>
          </cell>
          <cell r="G203">
            <v>12</v>
          </cell>
          <cell r="H203" t="str">
            <v>Prise en charge des formateurs : 2 formateurs x 4 mois/ an</v>
          </cell>
          <cell r="I203" t="str">
            <v>DNPPS</v>
          </cell>
          <cell r="K203" t="str">
            <v>FC/PSE</v>
          </cell>
          <cell r="L203" t="str">
            <v>AUT</v>
          </cell>
          <cell r="M203">
            <v>8</v>
          </cell>
          <cell r="N203">
            <v>8</v>
          </cell>
          <cell r="O203">
            <v>8</v>
          </cell>
          <cell r="P203">
            <v>24</v>
          </cell>
          <cell r="Q203" t="str">
            <v>pxm</v>
          </cell>
          <cell r="R203" t="str">
            <v>forfait</v>
          </cell>
          <cell r="S203">
            <v>500</v>
          </cell>
          <cell r="T203">
            <v>1</v>
          </cell>
          <cell r="U203">
            <v>4000</v>
          </cell>
          <cell r="V203">
            <v>4000</v>
          </cell>
          <cell r="W203">
            <v>4000</v>
          </cell>
          <cell r="X203">
            <v>12000</v>
          </cell>
          <cell r="Y203">
            <v>4000</v>
          </cell>
          <cell r="Z203">
            <v>4000</v>
          </cell>
          <cell r="AA203">
            <v>4000</v>
          </cell>
          <cell r="AB203">
            <v>12000</v>
          </cell>
          <cell r="AC203">
            <v>0</v>
          </cell>
          <cell r="AD203">
            <v>0</v>
          </cell>
          <cell r="AE203">
            <v>0</v>
          </cell>
          <cell r="AF203">
            <v>0</v>
          </cell>
          <cell r="AG203">
            <v>0</v>
          </cell>
          <cell r="AH203">
            <v>0</v>
          </cell>
        </row>
        <row r="204">
          <cell r="B204" t="str">
            <v>DNPPS/MASPFE</v>
          </cell>
          <cell r="C204" t="str">
            <v>A</v>
          </cell>
          <cell r="D204" t="str">
            <v>15A</v>
          </cell>
          <cell r="E204" t="str">
            <v>DNPPS/MASPFE</v>
          </cell>
          <cell r="F204" t="str">
            <v>FC/CN</v>
          </cell>
          <cell r="G204">
            <v>12</v>
          </cell>
          <cell r="H204" t="str">
            <v>Formation de 1 maître x 8 reg x 4 mois tous les ans</v>
          </cell>
          <cell r="I204" t="str">
            <v>CN/PSE</v>
          </cell>
          <cell r="K204" t="str">
            <v>FC/PSE</v>
          </cell>
          <cell r="L204" t="str">
            <v>AUT</v>
          </cell>
          <cell r="M204">
            <v>32</v>
          </cell>
          <cell r="N204">
            <v>32</v>
          </cell>
          <cell r="O204">
            <v>32</v>
          </cell>
          <cell r="P204">
            <v>96</v>
          </cell>
          <cell r="Q204" t="str">
            <v>pxm</v>
          </cell>
          <cell r="R204" t="str">
            <v>forfait</v>
          </cell>
          <cell r="S204">
            <v>350</v>
          </cell>
          <cell r="T204">
            <v>1</v>
          </cell>
          <cell r="U204">
            <v>11200</v>
          </cell>
          <cell r="V204">
            <v>11200</v>
          </cell>
          <cell r="W204">
            <v>11200</v>
          </cell>
          <cell r="X204">
            <v>33600</v>
          </cell>
          <cell r="Y204">
            <v>11200</v>
          </cell>
          <cell r="Z204">
            <v>11200</v>
          </cell>
          <cell r="AA204">
            <v>11200</v>
          </cell>
          <cell r="AB204">
            <v>33600</v>
          </cell>
          <cell r="AC204">
            <v>0</v>
          </cell>
          <cell r="AD204">
            <v>0</v>
          </cell>
          <cell r="AE204">
            <v>0</v>
          </cell>
          <cell r="AF204">
            <v>0</v>
          </cell>
          <cell r="AG204">
            <v>0</v>
          </cell>
          <cell r="AH204">
            <v>0</v>
          </cell>
        </row>
        <row r="205">
          <cell r="B205" t="str">
            <v>DNPPS/MASPFE</v>
          </cell>
          <cell r="C205" t="str">
            <v>A</v>
          </cell>
          <cell r="D205" t="str">
            <v>15A</v>
          </cell>
          <cell r="E205" t="str">
            <v>DNPPS/MASPFE</v>
          </cell>
          <cell r="F205" t="str">
            <v>FC/CN</v>
          </cell>
          <cell r="G205">
            <v>24</v>
          </cell>
          <cell r="H205" t="str">
            <v>Fournitures et supports pédagogiques : 1 lot par an</v>
          </cell>
          <cell r="I205" t="str">
            <v>CN/PSE</v>
          </cell>
          <cell r="K205" t="str">
            <v>FC/PSE</v>
          </cell>
          <cell r="L205" t="str">
            <v>AUT</v>
          </cell>
          <cell r="M205">
            <v>1</v>
          </cell>
          <cell r="N205">
            <v>1</v>
          </cell>
          <cell r="O205">
            <v>1</v>
          </cell>
          <cell r="P205">
            <v>3</v>
          </cell>
          <cell r="Q205" t="str">
            <v>lot</v>
          </cell>
          <cell r="R205" t="str">
            <v>forfait</v>
          </cell>
          <cell r="S205">
            <v>5000</v>
          </cell>
          <cell r="T205">
            <v>1</v>
          </cell>
          <cell r="U205">
            <v>5000</v>
          </cell>
          <cell r="V205">
            <v>5000</v>
          </cell>
          <cell r="W205">
            <v>5000</v>
          </cell>
          <cell r="X205">
            <v>15000</v>
          </cell>
          <cell r="Y205">
            <v>5000</v>
          </cell>
          <cell r="Z205">
            <v>5000</v>
          </cell>
          <cell r="AA205">
            <v>5000</v>
          </cell>
          <cell r="AB205">
            <v>15000</v>
          </cell>
          <cell r="AC205">
            <v>0</v>
          </cell>
          <cell r="AD205">
            <v>0</v>
          </cell>
          <cell r="AE205">
            <v>0</v>
          </cell>
          <cell r="AF205">
            <v>0</v>
          </cell>
          <cell r="AG205">
            <v>0</v>
          </cell>
          <cell r="AH205">
            <v>0</v>
          </cell>
        </row>
        <row r="206">
          <cell r="H206" t="str">
            <v>Campagne de sensibilisation : communiqués radio</v>
          </cell>
        </row>
        <row r="207">
          <cell r="B207" t="str">
            <v>DNPPS/MASPFE</v>
          </cell>
          <cell r="C207" t="str">
            <v>A</v>
          </cell>
          <cell r="D207" t="str">
            <v>15A</v>
          </cell>
          <cell r="E207" t="str">
            <v>DNPPS/MASPFE</v>
          </cell>
          <cell r="F207" t="str">
            <v>FC/CN</v>
          </cell>
          <cell r="G207">
            <v>15</v>
          </cell>
          <cell r="H207" t="str">
            <v>Radio nationale : 20com/mois x 1 mois avant la rentrée</v>
          </cell>
          <cell r="I207" t="str">
            <v>DNPPS</v>
          </cell>
          <cell r="K207" t="str">
            <v>FC/PSE</v>
          </cell>
          <cell r="L207" t="str">
            <v>AUT</v>
          </cell>
          <cell r="M207">
            <v>20</v>
          </cell>
          <cell r="N207">
            <v>20</v>
          </cell>
          <cell r="O207">
            <v>20</v>
          </cell>
          <cell r="P207">
            <v>60</v>
          </cell>
          <cell r="R207" t="str">
            <v>forfait</v>
          </cell>
          <cell r="S207">
            <v>50</v>
          </cell>
          <cell r="T207">
            <v>1</v>
          </cell>
          <cell r="U207">
            <v>1000</v>
          </cell>
          <cell r="V207">
            <v>1000</v>
          </cell>
          <cell r="W207">
            <v>1000</v>
          </cell>
          <cell r="X207">
            <v>3000</v>
          </cell>
          <cell r="Y207">
            <v>1000</v>
          </cell>
          <cell r="Z207">
            <v>1000</v>
          </cell>
          <cell r="AA207">
            <v>1000</v>
          </cell>
          <cell r="AB207">
            <v>3000</v>
          </cell>
          <cell r="AC207">
            <v>0</v>
          </cell>
          <cell r="AD207">
            <v>0</v>
          </cell>
          <cell r="AE207">
            <v>0</v>
          </cell>
          <cell r="AF207">
            <v>0</v>
          </cell>
          <cell r="AG207">
            <v>0</v>
          </cell>
          <cell r="AH207">
            <v>0</v>
          </cell>
        </row>
        <row r="208">
          <cell r="B208" t="str">
            <v>DNPPS/MASPFE</v>
          </cell>
          <cell r="C208" t="str">
            <v>A</v>
          </cell>
          <cell r="D208" t="str">
            <v>15A</v>
          </cell>
          <cell r="E208" t="str">
            <v>DNPPS/MASPFE</v>
          </cell>
          <cell r="F208" t="str">
            <v>FC/CN</v>
          </cell>
          <cell r="G208">
            <v>15</v>
          </cell>
          <cell r="H208" t="str">
            <v xml:space="preserve">Radios régionales : 8 radios x 10 com/mois x 1 mois avant la rentrée </v>
          </cell>
          <cell r="I208" t="str">
            <v>DNPPS</v>
          </cell>
          <cell r="K208" t="str">
            <v>FC/PSE</v>
          </cell>
          <cell r="L208" t="str">
            <v>AUT</v>
          </cell>
          <cell r="M208">
            <v>80</v>
          </cell>
          <cell r="N208">
            <v>80</v>
          </cell>
          <cell r="O208">
            <v>80</v>
          </cell>
          <cell r="P208">
            <v>240</v>
          </cell>
          <cell r="R208" t="str">
            <v>forfait</v>
          </cell>
          <cell r="S208">
            <v>50</v>
          </cell>
          <cell r="T208">
            <v>1</v>
          </cell>
          <cell r="U208">
            <v>4000</v>
          </cell>
          <cell r="V208">
            <v>4000</v>
          </cell>
          <cell r="W208">
            <v>4000</v>
          </cell>
          <cell r="X208">
            <v>12000</v>
          </cell>
          <cell r="Y208">
            <v>4000</v>
          </cell>
          <cell r="Z208">
            <v>4000</v>
          </cell>
          <cell r="AA208">
            <v>4000</v>
          </cell>
          <cell r="AB208">
            <v>12000</v>
          </cell>
          <cell r="AC208">
            <v>0</v>
          </cell>
          <cell r="AD208">
            <v>0</v>
          </cell>
          <cell r="AE208">
            <v>0</v>
          </cell>
          <cell r="AF208">
            <v>0</v>
          </cell>
          <cell r="AG208">
            <v>0</v>
          </cell>
          <cell r="AH208">
            <v>0</v>
          </cell>
        </row>
        <row r="209">
          <cell r="B209" t="str">
            <v>DNPPS/MASPFE</v>
          </cell>
          <cell r="C209" t="str">
            <v>A</v>
          </cell>
          <cell r="D209" t="str">
            <v>15A</v>
          </cell>
          <cell r="E209" t="str">
            <v>DNPPS/MASPFE</v>
          </cell>
          <cell r="F209" t="str">
            <v>FC/CN</v>
          </cell>
          <cell r="G209">
            <v>15</v>
          </cell>
          <cell r="H209" t="str">
            <v>Débat sur la Télévision nationale (1 par an)</v>
          </cell>
          <cell r="I209" t="str">
            <v>DNPPS</v>
          </cell>
          <cell r="K209" t="str">
            <v>FC/PSE</v>
          </cell>
          <cell r="L209" t="str">
            <v>AUT</v>
          </cell>
          <cell r="M209">
            <v>1</v>
          </cell>
          <cell r="N209">
            <v>1</v>
          </cell>
          <cell r="O209">
            <v>1</v>
          </cell>
          <cell r="P209">
            <v>3</v>
          </cell>
          <cell r="R209" t="str">
            <v>forfait</v>
          </cell>
          <cell r="S209">
            <v>1000</v>
          </cell>
          <cell r="T209">
            <v>1</v>
          </cell>
          <cell r="U209">
            <v>1000</v>
          </cell>
          <cell r="V209">
            <v>1000</v>
          </cell>
          <cell r="W209">
            <v>1000</v>
          </cell>
          <cell r="X209">
            <v>3000</v>
          </cell>
          <cell r="Y209">
            <v>1000</v>
          </cell>
          <cell r="Z209">
            <v>1000</v>
          </cell>
          <cell r="AA209">
            <v>1000</v>
          </cell>
          <cell r="AB209">
            <v>3000</v>
          </cell>
          <cell r="AC209">
            <v>0</v>
          </cell>
          <cell r="AD209">
            <v>0</v>
          </cell>
          <cell r="AE209">
            <v>0</v>
          </cell>
          <cell r="AF209">
            <v>0</v>
          </cell>
          <cell r="AG209">
            <v>0</v>
          </cell>
          <cell r="AH209">
            <v>0</v>
          </cell>
        </row>
        <row r="210">
          <cell r="H210" t="str">
            <v>Appui service enseignement spécial (DNPPS)</v>
          </cell>
        </row>
        <row r="211">
          <cell r="B211" t="str">
            <v>DNPPS/MASPFE</v>
          </cell>
          <cell r="C211" t="str">
            <v>A</v>
          </cell>
          <cell r="D211" t="str">
            <v>15A</v>
          </cell>
          <cell r="E211" t="str">
            <v>DNPPS/MASPFE</v>
          </cell>
          <cell r="F211" t="str">
            <v>FC/CN</v>
          </cell>
          <cell r="G211">
            <v>23</v>
          </cell>
          <cell r="H211" t="str">
            <v>Poste informatique complet</v>
          </cell>
          <cell r="I211" t="str">
            <v>CN/PSE</v>
          </cell>
          <cell r="K211" t="str">
            <v>FC/PSE</v>
          </cell>
          <cell r="L211" t="str">
            <v>AOI</v>
          </cell>
          <cell r="M211">
            <v>2</v>
          </cell>
          <cell r="P211">
            <v>2</v>
          </cell>
          <cell r="Q211" t="str">
            <v>u</v>
          </cell>
          <cell r="R211" t="str">
            <v>pic</v>
          </cell>
          <cell r="S211">
            <v>14772.000000000002</v>
          </cell>
          <cell r="T211">
            <v>1</v>
          </cell>
          <cell r="U211">
            <v>29544.000000000004</v>
          </cell>
          <cell r="V211">
            <v>0</v>
          </cell>
          <cell r="W211">
            <v>0</v>
          </cell>
          <cell r="X211">
            <v>29544.000000000004</v>
          </cell>
          <cell r="Y211">
            <v>29544.000000000004</v>
          </cell>
          <cell r="Z211">
            <v>0</v>
          </cell>
          <cell r="AA211">
            <v>0</v>
          </cell>
          <cell r="AB211">
            <v>29544.000000000004</v>
          </cell>
          <cell r="AC211">
            <v>0</v>
          </cell>
          <cell r="AD211">
            <v>0</v>
          </cell>
          <cell r="AE211">
            <v>0</v>
          </cell>
          <cell r="AF211">
            <v>0</v>
          </cell>
          <cell r="AG211">
            <v>0</v>
          </cell>
          <cell r="AH211">
            <v>0</v>
          </cell>
        </row>
        <row r="212">
          <cell r="B212" t="str">
            <v>DNPPS/MASPFE</v>
          </cell>
          <cell r="C212" t="str">
            <v>A</v>
          </cell>
          <cell r="D212" t="str">
            <v>15A</v>
          </cell>
          <cell r="E212" t="str">
            <v>DNPPS/MASPFE</v>
          </cell>
          <cell r="F212" t="str">
            <v>FC/CN</v>
          </cell>
          <cell r="G212">
            <v>23</v>
          </cell>
          <cell r="H212" t="str">
            <v>Vehicule PU Double cab</v>
          </cell>
          <cell r="I212" t="str">
            <v>CN/PSE</v>
          </cell>
          <cell r="K212" t="str">
            <v>FC/PSE</v>
          </cell>
          <cell r="L212" t="str">
            <v>AOI</v>
          </cell>
          <cell r="M212">
            <v>1</v>
          </cell>
          <cell r="P212">
            <v>1</v>
          </cell>
          <cell r="Q212" t="str">
            <v>u</v>
          </cell>
          <cell r="R212" t="str">
            <v>vdc</v>
          </cell>
          <cell r="S212">
            <v>172340</v>
          </cell>
          <cell r="T212">
            <v>1</v>
          </cell>
          <cell r="U212">
            <v>172340</v>
          </cell>
          <cell r="V212">
            <v>0</v>
          </cell>
          <cell r="W212">
            <v>0</v>
          </cell>
          <cell r="X212">
            <v>172340</v>
          </cell>
          <cell r="Y212">
            <v>172340</v>
          </cell>
          <cell r="Z212">
            <v>0</v>
          </cell>
          <cell r="AA212">
            <v>0</v>
          </cell>
          <cell r="AB212">
            <v>172340</v>
          </cell>
          <cell r="AC212">
            <v>0</v>
          </cell>
          <cell r="AD212">
            <v>0</v>
          </cell>
          <cell r="AE212">
            <v>0</v>
          </cell>
          <cell r="AF212">
            <v>0</v>
          </cell>
          <cell r="AG212">
            <v>0</v>
          </cell>
          <cell r="AH212">
            <v>0</v>
          </cell>
        </row>
        <row r="213">
          <cell r="B213" t="str">
            <v>DNPPS/MASPFE</v>
          </cell>
          <cell r="C213" t="str">
            <v>A</v>
          </cell>
          <cell r="D213" t="str">
            <v>15A</v>
          </cell>
          <cell r="E213" t="str">
            <v>DNPPS/MASPFE</v>
          </cell>
          <cell r="F213" t="str">
            <v>FC/CN</v>
          </cell>
          <cell r="G213">
            <v>23</v>
          </cell>
          <cell r="H213" t="str">
            <v>Photocopieur moyenne capacité</v>
          </cell>
          <cell r="I213" t="str">
            <v>CN/PSE</v>
          </cell>
          <cell r="K213" t="str">
            <v>FC/PSE</v>
          </cell>
          <cell r="L213" t="str">
            <v>AOI</v>
          </cell>
          <cell r="M213">
            <v>1</v>
          </cell>
          <cell r="P213">
            <v>1</v>
          </cell>
          <cell r="Q213" t="str">
            <v>u</v>
          </cell>
          <cell r="R213" t="str">
            <v>pmc</v>
          </cell>
          <cell r="S213">
            <v>72737.328000000009</v>
          </cell>
          <cell r="T213">
            <v>1</v>
          </cell>
          <cell r="U213">
            <v>72737.328000000009</v>
          </cell>
          <cell r="V213">
            <v>0</v>
          </cell>
          <cell r="W213">
            <v>0</v>
          </cell>
          <cell r="X213">
            <v>72737.328000000009</v>
          </cell>
          <cell r="Y213">
            <v>72737.328000000009</v>
          </cell>
          <cell r="Z213">
            <v>0</v>
          </cell>
          <cell r="AA213">
            <v>0</v>
          </cell>
          <cell r="AB213">
            <v>72737.328000000009</v>
          </cell>
          <cell r="AC213">
            <v>0</v>
          </cell>
          <cell r="AD213">
            <v>0</v>
          </cell>
          <cell r="AE213">
            <v>0</v>
          </cell>
          <cell r="AF213">
            <v>0</v>
          </cell>
          <cell r="AG213">
            <v>0</v>
          </cell>
          <cell r="AH213">
            <v>0</v>
          </cell>
        </row>
        <row r="214">
          <cell r="B214" t="str">
            <v>DNPPS/MASPFE</v>
          </cell>
          <cell r="C214" t="str">
            <v>A</v>
          </cell>
          <cell r="D214" t="str">
            <v>15A</v>
          </cell>
          <cell r="E214" t="str">
            <v>DNPPS/MASPFE</v>
          </cell>
          <cell r="F214" t="str">
            <v>FC/CN</v>
          </cell>
          <cell r="G214">
            <v>15</v>
          </cell>
          <cell r="H214" t="str">
            <v>Fonctionnement (fournitures, consommables et missions de supervision)</v>
          </cell>
          <cell r="I214" t="str">
            <v>CN/PSE</v>
          </cell>
          <cell r="K214" t="str">
            <v>FC/PSE</v>
          </cell>
          <cell r="L214" t="str">
            <v>AUT</v>
          </cell>
          <cell r="M214">
            <v>6</v>
          </cell>
          <cell r="N214">
            <v>12</v>
          </cell>
          <cell r="O214">
            <v>12</v>
          </cell>
          <cell r="P214">
            <v>30</v>
          </cell>
          <cell r="Q214" t="str">
            <v>mois</v>
          </cell>
          <cell r="R214" t="str">
            <v>forfait</v>
          </cell>
          <cell r="S214">
            <v>3000</v>
          </cell>
          <cell r="T214">
            <v>1</v>
          </cell>
          <cell r="U214">
            <v>18000</v>
          </cell>
          <cell r="V214">
            <v>36000</v>
          </cell>
          <cell r="W214">
            <v>36000</v>
          </cell>
          <cell r="X214">
            <v>90000</v>
          </cell>
          <cell r="Y214">
            <v>18000</v>
          </cell>
          <cell r="Z214">
            <v>36000</v>
          </cell>
          <cell r="AA214">
            <v>36000</v>
          </cell>
          <cell r="AB214">
            <v>90000</v>
          </cell>
          <cell r="AC214">
            <v>0</v>
          </cell>
          <cell r="AD214">
            <v>0</v>
          </cell>
          <cell r="AE214">
            <v>0</v>
          </cell>
          <cell r="AF214">
            <v>0</v>
          </cell>
          <cell r="AG214">
            <v>0</v>
          </cell>
          <cell r="AH214">
            <v>0</v>
          </cell>
        </row>
        <row r="215">
          <cell r="H215" t="str">
            <v>P2 SECONDAIRE GENERAL</v>
          </cell>
          <cell r="U215">
            <v>10117654.052000001</v>
          </cell>
          <cell r="V215">
            <v>54227430.6708</v>
          </cell>
          <cell r="W215">
            <v>6731224.129999999</v>
          </cell>
          <cell r="X215">
            <v>71076308.852799997</v>
          </cell>
          <cell r="Y215">
            <v>10117654.052000001</v>
          </cell>
          <cell r="Z215">
            <v>54227430.6708</v>
          </cell>
          <cell r="AA215">
            <v>6731224.129999999</v>
          </cell>
          <cell r="AB215">
            <v>71076308.852799997</v>
          </cell>
          <cell r="AC215">
            <v>0</v>
          </cell>
          <cell r="AD215">
            <v>0</v>
          </cell>
          <cell r="AE215">
            <v>0</v>
          </cell>
          <cell r="AF215">
            <v>0</v>
          </cell>
          <cell r="AH215">
            <v>0</v>
          </cell>
        </row>
        <row r="216">
          <cell r="H216" t="str">
            <v>SECONDAIRE 1</v>
          </cell>
          <cell r="U216">
            <v>8852669.6520000007</v>
          </cell>
          <cell r="V216">
            <v>25882558.222800005</v>
          </cell>
          <cell r="W216">
            <v>6337939.9300000006</v>
          </cell>
          <cell r="X216">
            <v>41073167.804799996</v>
          </cell>
          <cell r="Y216">
            <v>8852669.6520000007</v>
          </cell>
          <cell r="Z216">
            <v>25882558.222800005</v>
          </cell>
          <cell r="AA216">
            <v>6337939.9300000006</v>
          </cell>
          <cell r="AB216">
            <v>41073167.804799996</v>
          </cell>
          <cell r="AC216">
            <v>0</v>
          </cell>
          <cell r="AD216">
            <v>0</v>
          </cell>
          <cell r="AE216">
            <v>0</v>
          </cell>
          <cell r="AF216">
            <v>0</v>
          </cell>
          <cell r="AH216">
            <v>0</v>
          </cell>
        </row>
        <row r="217">
          <cell r="H217" t="str">
            <v>Infrastructures</v>
          </cell>
          <cell r="U217">
            <v>7006103.5520000011</v>
          </cell>
          <cell r="V217">
            <v>23115950.412800003</v>
          </cell>
          <cell r="W217">
            <v>4068602.72</v>
          </cell>
          <cell r="X217">
            <v>34190656.684800006</v>
          </cell>
          <cell r="Y217">
            <v>7006103.5520000011</v>
          </cell>
          <cell r="Z217">
            <v>23115950.412800003</v>
          </cell>
          <cell r="AA217">
            <v>4068602.72</v>
          </cell>
          <cell r="AB217">
            <v>34190656.684800006</v>
          </cell>
          <cell r="AC217">
            <v>0</v>
          </cell>
          <cell r="AD217">
            <v>0</v>
          </cell>
          <cell r="AE217">
            <v>0</v>
          </cell>
          <cell r="AF217">
            <v>0</v>
          </cell>
          <cell r="AH217">
            <v>0</v>
          </cell>
        </row>
        <row r="218">
          <cell r="B218" t="str">
            <v>SNIES</v>
          </cell>
          <cell r="C218" t="str">
            <v>A</v>
          </cell>
          <cell r="D218" t="str">
            <v>21A</v>
          </cell>
          <cell r="E218" t="str">
            <v>ES/</v>
          </cell>
          <cell r="F218" t="str">
            <v>FC/CN</v>
          </cell>
          <cell r="G218">
            <v>21</v>
          </cell>
          <cell r="H218" t="str">
            <v>BET pour les constructions réhabilitation des infrastructures</v>
          </cell>
          <cell r="I218" t="str">
            <v>SNIES</v>
          </cell>
          <cell r="K218" t="str">
            <v>FC/PSE</v>
          </cell>
          <cell r="L218" t="str">
            <v>CR</v>
          </cell>
          <cell r="P218">
            <v>0</v>
          </cell>
          <cell r="Q218" t="str">
            <v>forfait</v>
          </cell>
          <cell r="R218" t="str">
            <v>coût total</v>
          </cell>
          <cell r="S218">
            <v>7.0000000000000007E-2</v>
          </cell>
          <cell r="T218">
            <v>1</v>
          </cell>
          <cell r="U218">
            <v>277949.95200000005</v>
          </cell>
          <cell r="V218">
            <v>1470046.4128000003</v>
          </cell>
          <cell r="W218">
            <v>0</v>
          </cell>
          <cell r="X218">
            <v>1747996.3648000003</v>
          </cell>
          <cell r="Y218">
            <v>277949.95200000005</v>
          </cell>
          <cell r="Z218">
            <v>1470046.4128000003</v>
          </cell>
          <cell r="AA218">
            <v>0</v>
          </cell>
          <cell r="AB218">
            <v>1747996.3648000003</v>
          </cell>
          <cell r="AC218">
            <v>0</v>
          </cell>
          <cell r="AD218">
            <v>0</v>
          </cell>
          <cell r="AE218">
            <v>0</v>
          </cell>
          <cell r="AF218">
            <v>0</v>
          </cell>
          <cell r="AG218">
            <v>0</v>
          </cell>
          <cell r="AH218">
            <v>0</v>
          </cell>
        </row>
        <row r="219">
          <cell r="B219" t="str">
            <v>SNIES</v>
          </cell>
          <cell r="C219" t="str">
            <v>A</v>
          </cell>
          <cell r="D219" t="str">
            <v>21A</v>
          </cell>
          <cell r="E219" t="str">
            <v>ES/</v>
          </cell>
          <cell r="F219" t="str">
            <v>FC/CN</v>
          </cell>
          <cell r="G219">
            <v>22</v>
          </cell>
          <cell r="H219" t="str">
            <v>Travaux de construction classes collèges PME</v>
          </cell>
          <cell r="I219" t="str">
            <v>SNIES</v>
          </cell>
          <cell r="K219" t="str">
            <v>FC/PSE</v>
          </cell>
          <cell r="L219" t="str">
            <v>AON</v>
          </cell>
          <cell r="M219">
            <v>72</v>
          </cell>
          <cell r="N219">
            <v>271</v>
          </cell>
          <cell r="P219">
            <v>343</v>
          </cell>
          <cell r="Q219" t="str">
            <v>cl</v>
          </cell>
          <cell r="R219" t="str">
            <v>ccc</v>
          </cell>
          <cell r="S219">
            <v>55148.800000000003</v>
          </cell>
          <cell r="T219">
            <v>1</v>
          </cell>
          <cell r="U219">
            <v>3970713.6000000001</v>
          </cell>
          <cell r="V219">
            <v>14945324.800000001</v>
          </cell>
          <cell r="W219">
            <v>0</v>
          </cell>
          <cell r="X219">
            <v>18916038.400000002</v>
          </cell>
          <cell r="Y219">
            <v>3970713.6000000001</v>
          </cell>
          <cell r="Z219">
            <v>14945324.800000001</v>
          </cell>
          <cell r="AA219">
            <v>0</v>
          </cell>
          <cell r="AB219">
            <v>18916038.400000002</v>
          </cell>
          <cell r="AC219">
            <v>0</v>
          </cell>
          <cell r="AD219">
            <v>0</v>
          </cell>
          <cell r="AE219">
            <v>0</v>
          </cell>
          <cell r="AF219">
            <v>0</v>
          </cell>
          <cell r="AG219">
            <v>0</v>
          </cell>
          <cell r="AH219">
            <v>0</v>
          </cell>
        </row>
        <row r="220">
          <cell r="B220" t="str">
            <v>SNIES</v>
          </cell>
          <cell r="C220" t="str">
            <v>A</v>
          </cell>
          <cell r="D220" t="str">
            <v>21A</v>
          </cell>
          <cell r="E220" t="str">
            <v>ES/</v>
          </cell>
          <cell r="F220" t="str">
            <v>FC/CN</v>
          </cell>
          <cell r="G220">
            <v>22</v>
          </cell>
          <cell r="H220" t="str">
            <v>Travaux de réhabilitation classes collèges</v>
          </cell>
          <cell r="I220" t="str">
            <v>SNIES</v>
          </cell>
          <cell r="K220" t="str">
            <v>FC/PSE</v>
          </cell>
          <cell r="L220" t="str">
            <v>AON</v>
          </cell>
          <cell r="N220">
            <v>183</v>
          </cell>
          <cell r="P220">
            <v>183</v>
          </cell>
          <cell r="Q220" t="str">
            <v>cl</v>
          </cell>
          <cell r="R220" t="str">
            <v>rcc</v>
          </cell>
          <cell r="S220">
            <v>33089.280000000006</v>
          </cell>
          <cell r="T220">
            <v>1</v>
          </cell>
          <cell r="U220">
            <v>0</v>
          </cell>
          <cell r="V220">
            <v>6055338.2400000012</v>
          </cell>
          <cell r="W220">
            <v>0</v>
          </cell>
          <cell r="X220">
            <v>6055338.2400000012</v>
          </cell>
          <cell r="Y220">
            <v>0</v>
          </cell>
          <cell r="Z220">
            <v>6055338.2400000012</v>
          </cell>
          <cell r="AA220">
            <v>0</v>
          </cell>
          <cell r="AB220">
            <v>6055338.2400000012</v>
          </cell>
          <cell r="AC220">
            <v>0</v>
          </cell>
          <cell r="AD220">
            <v>0</v>
          </cell>
          <cell r="AE220">
            <v>0</v>
          </cell>
          <cell r="AF220">
            <v>0</v>
          </cell>
          <cell r="AG220">
            <v>0</v>
          </cell>
          <cell r="AH220">
            <v>0</v>
          </cell>
        </row>
        <row r="221">
          <cell r="B221" t="str">
            <v>SNIES</v>
          </cell>
          <cell r="C221" t="str">
            <v>A</v>
          </cell>
          <cell r="D221" t="str">
            <v>21A</v>
          </cell>
          <cell r="E221" t="str">
            <v>ES/</v>
          </cell>
          <cell r="F221" t="str">
            <v>FC/CN</v>
          </cell>
          <cell r="G221">
            <v>23</v>
          </cell>
          <cell r="H221" t="str">
            <v>Mobilier équipement classes collèges</v>
          </cell>
          <cell r="I221" t="str">
            <v>SNIES</v>
          </cell>
          <cell r="K221" t="str">
            <v>FC/PSE</v>
          </cell>
          <cell r="L221" t="str">
            <v>AOI</v>
          </cell>
          <cell r="N221">
            <v>72</v>
          </cell>
          <cell r="O221">
            <v>454</v>
          </cell>
          <cell r="P221">
            <v>526</v>
          </cell>
          <cell r="Q221" t="str">
            <v>lot</v>
          </cell>
          <cell r="R221" t="str">
            <v>mcc</v>
          </cell>
          <cell r="S221">
            <v>8961.68</v>
          </cell>
          <cell r="T221">
            <v>1</v>
          </cell>
          <cell r="U221">
            <v>0</v>
          </cell>
          <cell r="V221">
            <v>645240.96</v>
          </cell>
          <cell r="W221">
            <v>4068602.72</v>
          </cell>
          <cell r="X221">
            <v>4713843.68</v>
          </cell>
          <cell r="Y221">
            <v>0</v>
          </cell>
          <cell r="Z221">
            <v>645240.96</v>
          </cell>
          <cell r="AA221">
            <v>4068602.72</v>
          </cell>
          <cell r="AB221">
            <v>4713843.68</v>
          </cell>
          <cell r="AC221">
            <v>0</v>
          </cell>
          <cell r="AD221">
            <v>0</v>
          </cell>
          <cell r="AE221">
            <v>0</v>
          </cell>
          <cell r="AF221">
            <v>0</v>
          </cell>
          <cell r="AG221">
            <v>0</v>
          </cell>
          <cell r="AH221">
            <v>0</v>
          </cell>
        </row>
        <row r="222">
          <cell r="B222" t="str">
            <v>SNIES</v>
          </cell>
          <cell r="C222" t="str">
            <v>A</v>
          </cell>
          <cell r="D222" t="str">
            <v>21A</v>
          </cell>
          <cell r="E222" t="str">
            <v>ES/</v>
          </cell>
          <cell r="F222" t="str">
            <v>FC/CN</v>
          </cell>
          <cell r="G222">
            <v>23</v>
          </cell>
          <cell r="H222" t="str">
            <v>Mobilier équipement classes 7 collèges urbains Conakry</v>
          </cell>
          <cell r="I222" t="str">
            <v>SNIES</v>
          </cell>
          <cell r="K222" t="str">
            <v>FC/PSE</v>
          </cell>
          <cell r="L222" t="str">
            <v>AOI</v>
          </cell>
          <cell r="M222">
            <v>7</v>
          </cell>
          <cell r="P222">
            <v>7</v>
          </cell>
          <cell r="Q222" t="str">
            <v>lot</v>
          </cell>
          <cell r="R222" t="str">
            <v>forfait</v>
          </cell>
          <cell r="S222">
            <v>393920.00000000006</v>
          </cell>
          <cell r="T222">
            <v>1</v>
          </cell>
          <cell r="U222">
            <v>2757440.0000000005</v>
          </cell>
          <cell r="V222">
            <v>0</v>
          </cell>
          <cell r="W222">
            <v>0</v>
          </cell>
          <cell r="X222">
            <v>2757440.0000000005</v>
          </cell>
          <cell r="Y222">
            <v>2757440.0000000005</v>
          </cell>
          <cell r="Z222">
            <v>0</v>
          </cell>
          <cell r="AA222">
            <v>0</v>
          </cell>
          <cell r="AB222">
            <v>2757440.0000000005</v>
          </cell>
          <cell r="AC222">
            <v>0</v>
          </cell>
          <cell r="AD222">
            <v>0</v>
          </cell>
          <cell r="AE222">
            <v>0</v>
          </cell>
          <cell r="AF222">
            <v>0</v>
          </cell>
          <cell r="AG222">
            <v>0</v>
          </cell>
          <cell r="AH222">
            <v>0</v>
          </cell>
        </row>
        <row r="223">
          <cell r="H223" t="str">
            <v xml:space="preserve">Formation au certificat en enseignement  secondaire maîtrise +9m </v>
          </cell>
          <cell r="U223">
            <v>848932</v>
          </cell>
          <cell r="V223">
            <v>981880</v>
          </cell>
          <cell r="W223">
            <v>981880</v>
          </cell>
          <cell r="X223">
            <v>2812692</v>
          </cell>
          <cell r="Y223">
            <v>848932</v>
          </cell>
          <cell r="Z223">
            <v>981880</v>
          </cell>
          <cell r="AA223">
            <v>981880</v>
          </cell>
          <cell r="AB223">
            <v>2812692</v>
          </cell>
          <cell r="AC223">
            <v>0</v>
          </cell>
          <cell r="AD223">
            <v>0</v>
          </cell>
          <cell r="AE223">
            <v>0</v>
          </cell>
          <cell r="AF223">
            <v>0</v>
          </cell>
          <cell r="AH223">
            <v>0</v>
          </cell>
        </row>
        <row r="224">
          <cell r="B224" t="str">
            <v>ISSEG</v>
          </cell>
          <cell r="C224" t="str">
            <v>Q</v>
          </cell>
          <cell r="D224" t="str">
            <v>21B</v>
          </cell>
          <cell r="E224" t="str">
            <v>ISSEG</v>
          </cell>
          <cell r="F224" t="str">
            <v>FC/CN</v>
          </cell>
          <cell r="G224">
            <v>12</v>
          </cell>
          <cell r="H224" t="str">
            <v>Campagne d'information à destination des maîtrisards</v>
          </cell>
          <cell r="I224" t="str">
            <v>ISSEG</v>
          </cell>
          <cell r="K224" t="str">
            <v>FC/PSE</v>
          </cell>
          <cell r="L224" t="str">
            <v>AUT</v>
          </cell>
          <cell r="M224">
            <v>1</v>
          </cell>
          <cell r="N224">
            <v>1</v>
          </cell>
          <cell r="O224">
            <v>1</v>
          </cell>
          <cell r="P224">
            <v>3</v>
          </cell>
          <cell r="Q224" t="str">
            <v>forfait</v>
          </cell>
          <cell r="S224">
            <v>20000</v>
          </cell>
          <cell r="T224">
            <v>1</v>
          </cell>
          <cell r="U224">
            <v>20000</v>
          </cell>
          <cell r="V224">
            <v>20000</v>
          </cell>
          <cell r="W224">
            <v>20000</v>
          </cell>
          <cell r="X224">
            <v>60000</v>
          </cell>
          <cell r="Y224">
            <v>20000</v>
          </cell>
          <cell r="Z224">
            <v>20000</v>
          </cell>
          <cell r="AA224">
            <v>20000</v>
          </cell>
          <cell r="AB224">
            <v>60000</v>
          </cell>
          <cell r="AC224">
            <v>0</v>
          </cell>
          <cell r="AD224">
            <v>0</v>
          </cell>
          <cell r="AE224">
            <v>0</v>
          </cell>
          <cell r="AF224">
            <v>0</v>
          </cell>
          <cell r="AG224">
            <v>0</v>
          </cell>
          <cell r="AH224">
            <v>0</v>
          </cell>
        </row>
        <row r="225">
          <cell r="B225" t="str">
            <v>ISSEG</v>
          </cell>
          <cell r="C225" t="str">
            <v>Q</v>
          </cell>
          <cell r="D225" t="str">
            <v>21B</v>
          </cell>
          <cell r="E225" t="str">
            <v>ISSEG</v>
          </cell>
          <cell r="F225" t="str">
            <v>FC/CN</v>
          </cell>
          <cell r="G225">
            <v>12</v>
          </cell>
          <cell r="H225" t="str">
            <v>Elaboration modules (extraction de l'existant) de formation 30 mod x 2p x 15j</v>
          </cell>
          <cell r="I225" t="str">
            <v>ISSEG</v>
          </cell>
          <cell r="K225" t="str">
            <v>FC/PSE</v>
          </cell>
          <cell r="L225" t="str">
            <v>AUT</v>
          </cell>
          <cell r="M225">
            <v>900</v>
          </cell>
          <cell r="P225">
            <v>900</v>
          </cell>
          <cell r="Q225" t="str">
            <v>pxj</v>
          </cell>
          <cell r="R225" t="str">
            <v>asr</v>
          </cell>
          <cell r="S225">
            <v>123.10000000000001</v>
          </cell>
          <cell r="T225">
            <v>1</v>
          </cell>
          <cell r="U225">
            <v>110790.00000000001</v>
          </cell>
          <cell r="V225">
            <v>0</v>
          </cell>
          <cell r="W225">
            <v>0</v>
          </cell>
          <cell r="X225">
            <v>110790.00000000001</v>
          </cell>
          <cell r="Y225">
            <v>110790.00000000001</v>
          </cell>
          <cell r="Z225">
            <v>0</v>
          </cell>
          <cell r="AA225">
            <v>0</v>
          </cell>
          <cell r="AB225">
            <v>110790.00000000001</v>
          </cell>
          <cell r="AC225">
            <v>0</v>
          </cell>
          <cell r="AD225">
            <v>0</v>
          </cell>
          <cell r="AE225">
            <v>0</v>
          </cell>
          <cell r="AF225">
            <v>0</v>
          </cell>
          <cell r="AG225">
            <v>0</v>
          </cell>
          <cell r="AH225">
            <v>0</v>
          </cell>
        </row>
        <row r="226">
          <cell r="B226" t="str">
            <v>ISSEG</v>
          </cell>
          <cell r="C226" t="str">
            <v>Q</v>
          </cell>
          <cell r="D226" t="str">
            <v>21B</v>
          </cell>
          <cell r="E226" t="str">
            <v>ISSEG</v>
          </cell>
          <cell r="F226" t="str">
            <v>FC/CN</v>
          </cell>
          <cell r="G226">
            <v>12</v>
          </cell>
          <cell r="H226" t="str">
            <v>Mise en cohérence et validation interne des modules 60p x3 jours</v>
          </cell>
          <cell r="I226" t="str">
            <v>ISSEG</v>
          </cell>
          <cell r="K226" t="str">
            <v>FC/PSE</v>
          </cell>
          <cell r="L226" t="str">
            <v>AUT</v>
          </cell>
          <cell r="M226">
            <v>180</v>
          </cell>
          <cell r="P226">
            <v>180</v>
          </cell>
          <cell r="Q226" t="str">
            <v>pxj</v>
          </cell>
          <cell r="R226" t="str">
            <v>asr</v>
          </cell>
          <cell r="S226">
            <v>123.10000000000001</v>
          </cell>
          <cell r="T226">
            <v>1</v>
          </cell>
          <cell r="U226">
            <v>22158</v>
          </cell>
          <cell r="V226">
            <v>0</v>
          </cell>
          <cell r="W226">
            <v>0</v>
          </cell>
          <cell r="X226">
            <v>22158</v>
          </cell>
          <cell r="Y226">
            <v>22158</v>
          </cell>
          <cell r="Z226">
            <v>0</v>
          </cell>
          <cell r="AA226">
            <v>0</v>
          </cell>
          <cell r="AB226">
            <v>22158</v>
          </cell>
          <cell r="AC226">
            <v>0</v>
          </cell>
          <cell r="AD226">
            <v>0</v>
          </cell>
          <cell r="AE226">
            <v>0</v>
          </cell>
          <cell r="AF226">
            <v>0</v>
          </cell>
          <cell r="AG226">
            <v>0</v>
          </cell>
          <cell r="AH226">
            <v>0</v>
          </cell>
        </row>
        <row r="227">
          <cell r="B227" t="str">
            <v>ISSEG</v>
          </cell>
          <cell r="C227" t="str">
            <v>Q</v>
          </cell>
          <cell r="D227" t="str">
            <v>21B</v>
          </cell>
          <cell r="E227" t="str">
            <v>ISSEG</v>
          </cell>
          <cell r="F227" t="str">
            <v>FC/CN</v>
          </cell>
          <cell r="G227">
            <v>12</v>
          </cell>
          <cell r="H227" t="str">
            <v>Reproduction des modules 13 mod x 40 pages x nbre stagiaire</v>
          </cell>
          <cell r="I227" t="str">
            <v>ISSEG</v>
          </cell>
          <cell r="K227" t="str">
            <v>FC/PSE</v>
          </cell>
          <cell r="L227" t="str">
            <v>COT</v>
          </cell>
          <cell r="M227">
            <v>416000</v>
          </cell>
          <cell r="N227">
            <v>416000</v>
          </cell>
          <cell r="O227">
            <v>416000</v>
          </cell>
          <cell r="P227">
            <v>1248000</v>
          </cell>
          <cell r="Q227" t="str">
            <v>page</v>
          </cell>
          <cell r="R227" t="str">
            <v>rep</v>
          </cell>
          <cell r="S227">
            <v>0.30000000000000004</v>
          </cell>
          <cell r="T227">
            <v>1</v>
          </cell>
          <cell r="U227">
            <v>124800.00000000001</v>
          </cell>
          <cell r="V227">
            <v>124800.00000000001</v>
          </cell>
          <cell r="W227">
            <v>124800.00000000001</v>
          </cell>
          <cell r="X227">
            <v>374400.00000000006</v>
          </cell>
          <cell r="Y227">
            <v>124800.00000000001</v>
          </cell>
          <cell r="Z227">
            <v>124800.00000000001</v>
          </cell>
          <cell r="AA227">
            <v>124800.00000000001</v>
          </cell>
          <cell r="AB227">
            <v>374400.00000000006</v>
          </cell>
          <cell r="AC227">
            <v>0</v>
          </cell>
          <cell r="AD227">
            <v>0</v>
          </cell>
          <cell r="AE227">
            <v>0</v>
          </cell>
          <cell r="AF227">
            <v>0</v>
          </cell>
          <cell r="AG227">
            <v>0</v>
          </cell>
          <cell r="AH227">
            <v>0</v>
          </cell>
        </row>
        <row r="228">
          <cell r="B228" t="str">
            <v>ISSEG</v>
          </cell>
          <cell r="C228" t="str">
            <v>Q</v>
          </cell>
          <cell r="D228" t="str">
            <v>21B</v>
          </cell>
          <cell r="E228" t="str">
            <v>ISSEG</v>
          </cell>
          <cell r="F228" t="str">
            <v>FC/CN</v>
          </cell>
          <cell r="G228">
            <v>12</v>
          </cell>
          <cell r="H228" t="str">
            <v>Mallettes d'ouvrages pédagogiques pour les stagiaires (env 10 titres)</v>
          </cell>
          <cell r="I228" t="str">
            <v>ISSEG</v>
          </cell>
          <cell r="K228" t="str">
            <v>FC/PSE</v>
          </cell>
          <cell r="L228" t="str">
            <v>AOI</v>
          </cell>
          <cell r="M228">
            <v>800</v>
          </cell>
          <cell r="N228">
            <v>800</v>
          </cell>
          <cell r="O228">
            <v>800</v>
          </cell>
          <cell r="P228">
            <v>2400</v>
          </cell>
          <cell r="Q228" t="str">
            <v>mallette</v>
          </cell>
          <cell r="R228" t="str">
            <v>forfait</v>
          </cell>
          <cell r="S228">
            <v>492.40000000000003</v>
          </cell>
          <cell r="T228">
            <v>1</v>
          </cell>
          <cell r="U228">
            <v>393920</v>
          </cell>
          <cell r="V228">
            <v>393920</v>
          </cell>
          <cell r="W228">
            <v>393920</v>
          </cell>
          <cell r="X228">
            <v>1181760</v>
          </cell>
          <cell r="Y228">
            <v>393920</v>
          </cell>
          <cell r="Z228">
            <v>393920</v>
          </cell>
          <cell r="AA228">
            <v>393920</v>
          </cell>
          <cell r="AB228">
            <v>1181760</v>
          </cell>
          <cell r="AC228">
            <v>0</v>
          </cell>
          <cell r="AD228">
            <v>0</v>
          </cell>
          <cell r="AE228">
            <v>0</v>
          </cell>
          <cell r="AF228">
            <v>0</v>
          </cell>
          <cell r="AG228">
            <v>0</v>
          </cell>
          <cell r="AH228">
            <v>0</v>
          </cell>
        </row>
        <row r="229">
          <cell r="B229" t="str">
            <v>ISSEG</v>
          </cell>
          <cell r="C229" t="str">
            <v>Q</v>
          </cell>
          <cell r="D229" t="str">
            <v>21B</v>
          </cell>
          <cell r="E229" t="str">
            <v>ISSEG</v>
          </cell>
          <cell r="F229" t="str">
            <v>FC/CN</v>
          </cell>
          <cell r="G229">
            <v>12</v>
          </cell>
          <cell r="H229" t="str">
            <v>Formation principaux et prof collèges associés (100princ + 500 prof) x 2 j (8stag/coll)</v>
          </cell>
          <cell r="I229" t="str">
            <v>ISSEG</v>
          </cell>
          <cell r="K229" t="str">
            <v>FC/PSE</v>
          </cell>
          <cell r="L229" t="str">
            <v>AUT</v>
          </cell>
          <cell r="M229">
            <v>1200</v>
          </cell>
          <cell r="P229">
            <v>1200</v>
          </cell>
          <cell r="Q229" t="str">
            <v>pxj</v>
          </cell>
          <cell r="R229" t="str">
            <v>asn</v>
          </cell>
          <cell r="S229">
            <v>147.72</v>
          </cell>
          <cell r="T229">
            <v>1</v>
          </cell>
          <cell r="U229">
            <v>177264</v>
          </cell>
          <cell r="V229">
            <v>0</v>
          </cell>
          <cell r="W229">
            <v>0</v>
          </cell>
          <cell r="X229">
            <v>177264</v>
          </cell>
          <cell r="Y229">
            <v>177264</v>
          </cell>
          <cell r="Z229">
            <v>0</v>
          </cell>
          <cell r="AA229">
            <v>0</v>
          </cell>
          <cell r="AB229">
            <v>177264</v>
          </cell>
          <cell r="AC229">
            <v>0</v>
          </cell>
          <cell r="AD229">
            <v>0</v>
          </cell>
          <cell r="AE229">
            <v>0</v>
          </cell>
          <cell r="AF229">
            <v>0</v>
          </cell>
          <cell r="AG229">
            <v>0</v>
          </cell>
          <cell r="AH229">
            <v>0</v>
          </cell>
        </row>
        <row r="230">
          <cell r="B230" t="str">
            <v>ISSEG</v>
          </cell>
          <cell r="C230" t="str">
            <v>Q</v>
          </cell>
          <cell r="D230" t="str">
            <v>21B</v>
          </cell>
          <cell r="E230" t="str">
            <v>ISSEG</v>
          </cell>
          <cell r="F230" t="str">
            <v>FC/CN</v>
          </cell>
          <cell r="G230">
            <v>12</v>
          </cell>
          <cell r="H230" t="str">
            <v>Suivi stagiaires par APES 1visite x 1/2 j par mois x stagiaire</v>
          </cell>
          <cell r="I230" t="str">
            <v>ISSEG</v>
          </cell>
          <cell r="K230" t="str">
            <v>FC/PSE</v>
          </cell>
          <cell r="L230" t="str">
            <v>AUT</v>
          </cell>
          <cell r="N230">
            <v>3600</v>
          </cell>
          <cell r="O230">
            <v>3600</v>
          </cell>
          <cell r="P230">
            <v>7200</v>
          </cell>
          <cell r="Q230" t="str">
            <v>pxj</v>
          </cell>
          <cell r="R230" t="str">
            <v>asr</v>
          </cell>
          <cell r="S230">
            <v>123.10000000000001</v>
          </cell>
          <cell r="T230">
            <v>1</v>
          </cell>
          <cell r="U230">
            <v>0</v>
          </cell>
          <cell r="V230">
            <v>443160.00000000006</v>
          </cell>
          <cell r="W230">
            <v>443160.00000000006</v>
          </cell>
          <cell r="X230">
            <v>886320.00000000012</v>
          </cell>
          <cell r="Y230">
            <v>0</v>
          </cell>
          <cell r="Z230">
            <v>443160.00000000006</v>
          </cell>
          <cell r="AA230">
            <v>443160.00000000006</v>
          </cell>
          <cell r="AB230">
            <v>886320.00000000012</v>
          </cell>
          <cell r="AC230">
            <v>0</v>
          </cell>
          <cell r="AD230">
            <v>0</v>
          </cell>
          <cell r="AE230">
            <v>0</v>
          </cell>
          <cell r="AF230">
            <v>0</v>
          </cell>
          <cell r="AG230">
            <v>0</v>
          </cell>
          <cell r="AH230">
            <v>0</v>
          </cell>
        </row>
        <row r="231">
          <cell r="H231" t="str">
            <v>Formation à l'ISSEG de formateurs professeurs de collège</v>
          </cell>
          <cell r="U231">
            <v>183416</v>
          </cell>
          <cell r="V231">
            <v>48000</v>
          </cell>
          <cell r="W231">
            <v>16000</v>
          </cell>
          <cell r="X231">
            <v>247416</v>
          </cell>
          <cell r="Y231">
            <v>183416</v>
          </cell>
          <cell r="Z231">
            <v>48000</v>
          </cell>
          <cell r="AA231">
            <v>16000</v>
          </cell>
          <cell r="AB231">
            <v>247416</v>
          </cell>
          <cell r="AC231">
            <v>0</v>
          </cell>
          <cell r="AD231">
            <v>0</v>
          </cell>
          <cell r="AE231">
            <v>0</v>
          </cell>
          <cell r="AF231">
            <v>0</v>
          </cell>
          <cell r="AH231">
            <v>0</v>
          </cell>
        </row>
        <row r="232">
          <cell r="B232" t="str">
            <v>ISSEG</v>
          </cell>
          <cell r="C232" t="str">
            <v>Q</v>
          </cell>
          <cell r="D232" t="str">
            <v>21C</v>
          </cell>
          <cell r="E232" t="str">
            <v>ISSEG</v>
          </cell>
          <cell r="F232" t="str">
            <v>FC/CN</v>
          </cell>
          <cell r="G232">
            <v>12</v>
          </cell>
          <cell r="H232" t="str">
            <v>Spécialiste en formation des formateurs de professeurs de collège</v>
          </cell>
          <cell r="I232" t="str">
            <v>ISSEG</v>
          </cell>
          <cell r="K232" t="str">
            <v>FC/PSE</v>
          </cell>
          <cell r="L232" t="str">
            <v>CR</v>
          </cell>
          <cell r="M232">
            <v>1</v>
          </cell>
          <cell r="P232">
            <v>1</v>
          </cell>
          <cell r="Q232" t="str">
            <v>pxm</v>
          </cell>
          <cell r="R232" t="str">
            <v>cic</v>
          </cell>
          <cell r="S232">
            <v>88632</v>
          </cell>
          <cell r="T232">
            <v>1</v>
          </cell>
          <cell r="U232">
            <v>88632</v>
          </cell>
          <cell r="V232">
            <v>0</v>
          </cell>
          <cell r="W232">
            <v>0</v>
          </cell>
          <cell r="X232">
            <v>88632</v>
          </cell>
          <cell r="Y232">
            <v>88632</v>
          </cell>
          <cell r="Z232">
            <v>0</v>
          </cell>
          <cell r="AA232">
            <v>0</v>
          </cell>
          <cell r="AB232">
            <v>88632</v>
          </cell>
          <cell r="AC232">
            <v>0</v>
          </cell>
          <cell r="AD232">
            <v>0</v>
          </cell>
          <cell r="AE232">
            <v>0</v>
          </cell>
          <cell r="AF232">
            <v>0</v>
          </cell>
          <cell r="AG232">
            <v>0</v>
          </cell>
          <cell r="AH232">
            <v>0</v>
          </cell>
        </row>
        <row r="233">
          <cell r="B233" t="str">
            <v>ISSEG</v>
          </cell>
          <cell r="C233" t="str">
            <v>Q</v>
          </cell>
          <cell r="D233" t="str">
            <v>21C</v>
          </cell>
          <cell r="E233" t="str">
            <v>ISSEG</v>
          </cell>
          <cell r="F233" t="str">
            <v>FC/CN</v>
          </cell>
          <cell r="G233">
            <v>12</v>
          </cell>
          <cell r="H233" t="str">
            <v>Formation initiale en 90 crédits (15cours) 45 semaines = 5trim</v>
          </cell>
          <cell r="I233" t="str">
            <v>ISSEG</v>
          </cell>
          <cell r="K233" t="str">
            <v>FC/PSE</v>
          </cell>
          <cell r="L233" t="str">
            <v>AUT</v>
          </cell>
          <cell r="M233">
            <v>16</v>
          </cell>
          <cell r="N233">
            <v>48</v>
          </cell>
          <cell r="O233">
            <v>16</v>
          </cell>
          <cell r="P233">
            <v>80</v>
          </cell>
          <cell r="Q233" t="str">
            <v>p</v>
          </cell>
          <cell r="R233" t="str">
            <v>forfait</v>
          </cell>
          <cell r="S233">
            <v>1000</v>
          </cell>
          <cell r="T233">
            <v>1</v>
          </cell>
          <cell r="U233">
            <v>16000</v>
          </cell>
          <cell r="V233">
            <v>48000</v>
          </cell>
          <cell r="W233">
            <v>16000</v>
          </cell>
          <cell r="X233">
            <v>80000</v>
          </cell>
          <cell r="Y233">
            <v>16000</v>
          </cell>
          <cell r="Z233">
            <v>48000</v>
          </cell>
          <cell r="AA233">
            <v>16000</v>
          </cell>
          <cell r="AB233">
            <v>80000</v>
          </cell>
          <cell r="AC233">
            <v>0</v>
          </cell>
          <cell r="AD233">
            <v>0</v>
          </cell>
          <cell r="AE233">
            <v>0</v>
          </cell>
          <cell r="AF233">
            <v>0</v>
          </cell>
          <cell r="AG233">
            <v>0</v>
          </cell>
          <cell r="AH233">
            <v>0</v>
          </cell>
        </row>
        <row r="234">
          <cell r="B234" t="str">
            <v>ISSEG</v>
          </cell>
          <cell r="C234" t="str">
            <v>Q</v>
          </cell>
          <cell r="D234" t="str">
            <v>21C</v>
          </cell>
          <cell r="E234" t="str">
            <v>ISSEG</v>
          </cell>
          <cell r="F234" t="str">
            <v>FC/CN</v>
          </cell>
          <cell r="G234">
            <v>24</v>
          </cell>
          <cell r="H234" t="str">
            <v>Mallettes d'ouvrages pédagogiques pour les APES (env 20 titres)</v>
          </cell>
          <cell r="I234" t="str">
            <v>ISSEG</v>
          </cell>
          <cell r="K234" t="str">
            <v>FC/PSE</v>
          </cell>
          <cell r="L234" t="str">
            <v>AOI</v>
          </cell>
          <cell r="M234">
            <v>80</v>
          </cell>
          <cell r="P234">
            <v>80</v>
          </cell>
          <cell r="Q234" t="str">
            <v>mallette</v>
          </cell>
          <cell r="R234" t="str">
            <v>forfait</v>
          </cell>
          <cell r="S234">
            <v>984.80000000000007</v>
          </cell>
          <cell r="T234">
            <v>1</v>
          </cell>
          <cell r="U234">
            <v>78784</v>
          </cell>
          <cell r="V234">
            <v>0</v>
          </cell>
          <cell r="W234">
            <v>0</v>
          </cell>
          <cell r="X234">
            <v>78784</v>
          </cell>
          <cell r="Y234">
            <v>78784</v>
          </cell>
          <cell r="Z234">
            <v>0</v>
          </cell>
          <cell r="AA234">
            <v>0</v>
          </cell>
          <cell r="AB234">
            <v>78784</v>
          </cell>
          <cell r="AC234">
            <v>0</v>
          </cell>
          <cell r="AD234">
            <v>0</v>
          </cell>
          <cell r="AE234">
            <v>0</v>
          </cell>
          <cell r="AF234">
            <v>0</v>
          </cell>
          <cell r="AG234">
            <v>0</v>
          </cell>
          <cell r="AH234">
            <v>0</v>
          </cell>
        </row>
        <row r="235">
          <cell r="H235" t="str">
            <v>Formation continue des enseignants</v>
          </cell>
          <cell r="U235">
            <v>814218.1</v>
          </cell>
          <cell r="V235">
            <v>1271457.21</v>
          </cell>
          <cell r="W235">
            <v>1271457.21</v>
          </cell>
          <cell r="X235">
            <v>3357132.52</v>
          </cell>
          <cell r="Y235">
            <v>814218.1</v>
          </cell>
          <cell r="Z235">
            <v>1271457.21</v>
          </cell>
          <cell r="AA235">
            <v>1271457.21</v>
          </cell>
          <cell r="AB235">
            <v>3357132.52</v>
          </cell>
          <cell r="AC235">
            <v>0</v>
          </cell>
          <cell r="AD235">
            <v>0</v>
          </cell>
          <cell r="AE235">
            <v>0</v>
          </cell>
          <cell r="AF235">
            <v>0</v>
          </cell>
          <cell r="AH235">
            <v>0</v>
          </cell>
        </row>
        <row r="236">
          <cell r="H236" t="str">
            <v>Identification des besoins de formation</v>
          </cell>
        </row>
        <row r="237">
          <cell r="B237" t="str">
            <v>DNES</v>
          </cell>
          <cell r="C237" t="str">
            <v>Q</v>
          </cell>
          <cell r="D237" t="str">
            <v>21D</v>
          </cell>
          <cell r="E237" t="str">
            <v>IRE/</v>
          </cell>
          <cell r="F237" t="str">
            <v>FC/</v>
          </cell>
          <cell r="G237">
            <v>12</v>
          </cell>
          <cell r="H237" t="str">
            <v>Ateliers régionaux préparatoires des plans triennaux de formation continue 1j</v>
          </cell>
          <cell r="I237" t="str">
            <v>DNES</v>
          </cell>
          <cell r="K237" t="str">
            <v>FC/PSE</v>
          </cell>
          <cell r="L237" t="str">
            <v>AUT</v>
          </cell>
          <cell r="M237">
            <v>200</v>
          </cell>
          <cell r="P237">
            <v>200</v>
          </cell>
          <cell r="Q237" t="str">
            <v>pxj</v>
          </cell>
          <cell r="R237" t="str">
            <v>asr</v>
          </cell>
          <cell r="S237">
            <v>123.10000000000001</v>
          </cell>
          <cell r="T237">
            <v>1</v>
          </cell>
          <cell r="U237">
            <v>24620</v>
          </cell>
          <cell r="V237">
            <v>0</v>
          </cell>
          <cell r="W237">
            <v>0</v>
          </cell>
          <cell r="X237">
            <v>24620</v>
          </cell>
          <cell r="Y237">
            <v>24620</v>
          </cell>
          <cell r="Z237">
            <v>0</v>
          </cell>
          <cell r="AA237">
            <v>0</v>
          </cell>
          <cell r="AB237">
            <v>24620</v>
          </cell>
          <cell r="AC237">
            <v>0</v>
          </cell>
          <cell r="AD237">
            <v>0</v>
          </cell>
          <cell r="AE237">
            <v>0</v>
          </cell>
          <cell r="AF237">
            <v>0</v>
          </cell>
          <cell r="AG237">
            <v>0</v>
          </cell>
          <cell r="AH237">
            <v>0</v>
          </cell>
        </row>
        <row r="238">
          <cell r="B238" t="str">
            <v>DNES</v>
          </cell>
          <cell r="C238" t="str">
            <v>Q</v>
          </cell>
          <cell r="D238" t="str">
            <v>21D</v>
          </cell>
          <cell r="E238" t="str">
            <v>IRE/</v>
          </cell>
          <cell r="F238" t="str">
            <v>FC/</v>
          </cell>
          <cell r="G238">
            <v>12</v>
          </cell>
          <cell r="H238" t="str">
            <v>Reproduction des fiches d'observation des enseignants</v>
          </cell>
          <cell r="I238" t="str">
            <v>DNES</v>
          </cell>
          <cell r="K238" t="str">
            <v>FC/PSE</v>
          </cell>
          <cell r="L238" t="str">
            <v>COT</v>
          </cell>
          <cell r="M238">
            <v>11000</v>
          </cell>
          <cell r="P238">
            <v>11000</v>
          </cell>
          <cell r="Q238" t="str">
            <v>fiches</v>
          </cell>
          <cell r="R238" t="str">
            <v>rep</v>
          </cell>
          <cell r="S238">
            <v>0.30000000000000004</v>
          </cell>
          <cell r="T238">
            <v>1</v>
          </cell>
          <cell r="U238">
            <v>3300.0000000000005</v>
          </cell>
          <cell r="V238">
            <v>0</v>
          </cell>
          <cell r="W238">
            <v>0</v>
          </cell>
          <cell r="X238">
            <v>3300.0000000000005</v>
          </cell>
          <cell r="Y238">
            <v>3300.0000000000005</v>
          </cell>
          <cell r="Z238">
            <v>0</v>
          </cell>
          <cell r="AA238">
            <v>0</v>
          </cell>
          <cell r="AB238">
            <v>3300.0000000000005</v>
          </cell>
          <cell r="AC238">
            <v>0</v>
          </cell>
          <cell r="AD238">
            <v>0</v>
          </cell>
          <cell r="AE238">
            <v>0</v>
          </cell>
          <cell r="AF238">
            <v>0</v>
          </cell>
          <cell r="AG238">
            <v>0</v>
          </cell>
          <cell r="AH238">
            <v>0</v>
          </cell>
        </row>
        <row r="239">
          <cell r="B239" t="str">
            <v>DNES</v>
          </cell>
          <cell r="C239" t="str">
            <v>Q</v>
          </cell>
          <cell r="D239" t="str">
            <v>21D</v>
          </cell>
          <cell r="E239" t="str">
            <v>IRE/</v>
          </cell>
          <cell r="F239" t="str">
            <v>FC/</v>
          </cell>
          <cell r="G239">
            <v>12</v>
          </cell>
          <cell r="H239" t="str">
            <v>Evaluation des enseignants par les APES (forfait par évaluation par enseignant)</v>
          </cell>
          <cell r="I239" t="str">
            <v>DNES</v>
          </cell>
          <cell r="K239" t="str">
            <v>FC/PSE</v>
          </cell>
          <cell r="L239" t="str">
            <v>AUT</v>
          </cell>
          <cell r="M239">
            <v>10000</v>
          </cell>
          <cell r="P239">
            <v>10000</v>
          </cell>
          <cell r="Q239" t="str">
            <v>forfait</v>
          </cell>
          <cell r="S239">
            <v>20</v>
          </cell>
          <cell r="T239">
            <v>1</v>
          </cell>
          <cell r="U239">
            <v>200000</v>
          </cell>
          <cell r="V239">
            <v>0</v>
          </cell>
          <cell r="W239">
            <v>0</v>
          </cell>
          <cell r="X239">
            <v>200000</v>
          </cell>
          <cell r="Y239">
            <v>200000</v>
          </cell>
          <cell r="Z239">
            <v>0</v>
          </cell>
          <cell r="AA239">
            <v>0</v>
          </cell>
          <cell r="AB239">
            <v>200000</v>
          </cell>
          <cell r="AC239">
            <v>0</v>
          </cell>
          <cell r="AD239">
            <v>0</v>
          </cell>
          <cell r="AE239">
            <v>0</v>
          </cell>
          <cell r="AF239">
            <v>0</v>
          </cell>
          <cell r="AG239">
            <v>0</v>
          </cell>
          <cell r="AH239">
            <v>0</v>
          </cell>
        </row>
        <row r="240">
          <cell r="B240" t="str">
            <v>DNES</v>
          </cell>
          <cell r="C240" t="str">
            <v>Q</v>
          </cell>
          <cell r="D240" t="str">
            <v>21D</v>
          </cell>
          <cell r="E240" t="str">
            <v>IRE/</v>
          </cell>
          <cell r="F240" t="str">
            <v>FC/</v>
          </cell>
          <cell r="G240">
            <v>12</v>
          </cell>
          <cell r="H240" t="str">
            <v>Elaboration plans régionaux triennaux form. continue (APES et CRFC 1j)</v>
          </cell>
          <cell r="I240" t="str">
            <v>DNES</v>
          </cell>
          <cell r="K240" t="str">
            <v>FC/PSE</v>
          </cell>
          <cell r="L240" t="str">
            <v>AUT</v>
          </cell>
          <cell r="M240">
            <v>200</v>
          </cell>
          <cell r="P240">
            <v>200</v>
          </cell>
          <cell r="Q240" t="str">
            <v>pxj</v>
          </cell>
          <cell r="R240" t="str">
            <v>asr</v>
          </cell>
          <cell r="S240">
            <v>123.10000000000001</v>
          </cell>
          <cell r="T240">
            <v>1</v>
          </cell>
          <cell r="U240">
            <v>24620</v>
          </cell>
          <cell r="V240">
            <v>0</v>
          </cell>
          <cell r="W240">
            <v>0</v>
          </cell>
          <cell r="X240">
            <v>24620</v>
          </cell>
          <cell r="Y240">
            <v>24620</v>
          </cell>
          <cell r="Z240">
            <v>0</v>
          </cell>
          <cell r="AA240">
            <v>0</v>
          </cell>
          <cell r="AB240">
            <v>24620</v>
          </cell>
          <cell r="AC240">
            <v>0</v>
          </cell>
          <cell r="AD240">
            <v>0</v>
          </cell>
          <cell r="AE240">
            <v>0</v>
          </cell>
          <cell r="AF240">
            <v>0</v>
          </cell>
          <cell r="AG240">
            <v>0</v>
          </cell>
          <cell r="AH240">
            <v>0</v>
          </cell>
        </row>
        <row r="241">
          <cell r="H241" t="str">
            <v>Formation enseignants : 35040 pxj, 30 apprenants et 2 formateurs/session</v>
          </cell>
        </row>
        <row r="242">
          <cell r="B242" t="str">
            <v>DNES</v>
          </cell>
          <cell r="C242" t="str">
            <v>Q</v>
          </cell>
          <cell r="D242" t="str">
            <v>21D</v>
          </cell>
          <cell r="E242" t="str">
            <v>IRE/</v>
          </cell>
          <cell r="F242" t="str">
            <v>FC/CN</v>
          </cell>
          <cell r="G242">
            <v>12</v>
          </cell>
          <cell r="H242" t="str">
            <v>Reproduction des modules de formation (35 040 pxj / 4j par module x 60 pages)</v>
          </cell>
          <cell r="I242" t="str">
            <v>DNES</v>
          </cell>
          <cell r="K242" t="str">
            <v>FC/PSE</v>
          </cell>
          <cell r="L242" t="str">
            <v>AUT</v>
          </cell>
          <cell r="M242">
            <v>99000.000000000015</v>
          </cell>
          <cell r="N242">
            <v>239580.00000000003</v>
          </cell>
          <cell r="O242">
            <v>239580.00000000003</v>
          </cell>
          <cell r="P242">
            <v>578160.00000000012</v>
          </cell>
          <cell r="Q242" t="str">
            <v>page</v>
          </cell>
          <cell r="R242" t="str">
            <v>rep</v>
          </cell>
          <cell r="S242">
            <v>0.30000000000000004</v>
          </cell>
          <cell r="T242">
            <v>1</v>
          </cell>
          <cell r="U242">
            <v>29700.000000000007</v>
          </cell>
          <cell r="V242">
            <v>71874.000000000015</v>
          </cell>
          <cell r="W242">
            <v>71874.000000000015</v>
          </cell>
          <cell r="X242">
            <v>173448.00000000006</v>
          </cell>
          <cell r="Y242">
            <v>29700.000000000007</v>
          </cell>
          <cell r="Z242">
            <v>71874.000000000015</v>
          </cell>
          <cell r="AA242">
            <v>71874.000000000015</v>
          </cell>
          <cell r="AB242">
            <v>173448.00000000006</v>
          </cell>
          <cell r="AC242">
            <v>0</v>
          </cell>
          <cell r="AD242">
            <v>0</v>
          </cell>
          <cell r="AE242">
            <v>0</v>
          </cell>
          <cell r="AF242">
            <v>0</v>
          </cell>
          <cell r="AG242">
            <v>0</v>
          </cell>
          <cell r="AH242">
            <v>0</v>
          </cell>
        </row>
        <row r="243">
          <cell r="B243" t="str">
            <v>DNES</v>
          </cell>
          <cell r="C243" t="str">
            <v>Q</v>
          </cell>
          <cell r="D243" t="str">
            <v>21D</v>
          </cell>
          <cell r="E243" t="str">
            <v>IRE/</v>
          </cell>
          <cell r="F243" t="str">
            <v>FC/</v>
          </cell>
          <cell r="G243">
            <v>12</v>
          </cell>
          <cell r="H243" t="str">
            <v>Fournitures pour les sessions de formation (apprenants et formateurs)</v>
          </cell>
          <cell r="I243" t="str">
            <v>DNES</v>
          </cell>
          <cell r="K243" t="str">
            <v>FC/PSE</v>
          </cell>
          <cell r="L243" t="str">
            <v>AUT</v>
          </cell>
          <cell r="M243">
            <v>1650.0000000000002</v>
          </cell>
          <cell r="N243">
            <v>3993.0000000000005</v>
          </cell>
          <cell r="O243">
            <v>3993.0000000000005</v>
          </cell>
          <cell r="P243">
            <v>9636.0000000000018</v>
          </cell>
          <cell r="Q243" t="str">
            <v>lot</v>
          </cell>
          <cell r="S243">
            <v>15</v>
          </cell>
          <cell r="T243">
            <v>1</v>
          </cell>
          <cell r="U243">
            <v>24750.000000000004</v>
          </cell>
          <cell r="V243">
            <v>59895.000000000007</v>
          </cell>
          <cell r="W243">
            <v>59895.000000000007</v>
          </cell>
          <cell r="X243">
            <v>144540.00000000003</v>
          </cell>
          <cell r="Y243">
            <v>24750.000000000004</v>
          </cell>
          <cell r="Z243">
            <v>59895.000000000007</v>
          </cell>
          <cell r="AA243">
            <v>59895.000000000007</v>
          </cell>
          <cell r="AB243">
            <v>144540.00000000003</v>
          </cell>
          <cell r="AC243">
            <v>0</v>
          </cell>
          <cell r="AD243">
            <v>0</v>
          </cell>
          <cell r="AE243">
            <v>0</v>
          </cell>
          <cell r="AF243">
            <v>0</v>
          </cell>
          <cell r="AG243">
            <v>0</v>
          </cell>
          <cell r="AH243">
            <v>0</v>
          </cell>
        </row>
        <row r="244">
          <cell r="B244" t="str">
            <v>DNES</v>
          </cell>
          <cell r="C244" t="str">
            <v>Q</v>
          </cell>
          <cell r="D244" t="str">
            <v>21D</v>
          </cell>
          <cell r="E244" t="str">
            <v>IRE/</v>
          </cell>
          <cell r="F244" t="str">
            <v>FC/</v>
          </cell>
          <cell r="G244">
            <v>12</v>
          </cell>
          <cell r="H244" t="str">
            <v>Perdiems apprenants non résidents (25%)</v>
          </cell>
          <cell r="I244" t="str">
            <v>DNES</v>
          </cell>
          <cell r="K244" t="str">
            <v>FC/PSE</v>
          </cell>
          <cell r="L244" t="str">
            <v>AUT</v>
          </cell>
          <cell r="M244">
            <v>1500</v>
          </cell>
          <cell r="N244">
            <v>3630</v>
          </cell>
          <cell r="O244">
            <v>3630</v>
          </cell>
          <cell r="P244">
            <v>8760</v>
          </cell>
          <cell r="Q244" t="str">
            <v>pxj</v>
          </cell>
          <cell r="R244" t="str">
            <v>asp</v>
          </cell>
          <cell r="S244">
            <v>98.48</v>
          </cell>
          <cell r="T244">
            <v>1</v>
          </cell>
          <cell r="U244">
            <v>147720</v>
          </cell>
          <cell r="V244">
            <v>357482.4</v>
          </cell>
          <cell r="W244">
            <v>357482.4</v>
          </cell>
          <cell r="X244">
            <v>862684.8</v>
          </cell>
          <cell r="Y244">
            <v>147720</v>
          </cell>
          <cell r="Z244">
            <v>357482.4</v>
          </cell>
          <cell r="AA244">
            <v>357482.4</v>
          </cell>
          <cell r="AB244">
            <v>862684.8</v>
          </cell>
          <cell r="AC244">
            <v>0</v>
          </cell>
          <cell r="AD244">
            <v>0</v>
          </cell>
          <cell r="AE244">
            <v>0</v>
          </cell>
          <cell r="AF244">
            <v>0</v>
          </cell>
          <cell r="AG244">
            <v>0</v>
          </cell>
          <cell r="AH244">
            <v>0</v>
          </cell>
        </row>
        <row r="245">
          <cell r="B245" t="str">
            <v>DNES</v>
          </cell>
          <cell r="C245" t="str">
            <v>Q</v>
          </cell>
          <cell r="D245" t="str">
            <v>21D</v>
          </cell>
          <cell r="E245" t="str">
            <v>IRE/</v>
          </cell>
          <cell r="F245" t="str">
            <v>FC/</v>
          </cell>
          <cell r="G245">
            <v>12</v>
          </cell>
          <cell r="H245" t="str">
            <v>Transport interurbain apprenants non résidents (25%) (aller-retour)</v>
          </cell>
          <cell r="I245" t="str">
            <v>DNES</v>
          </cell>
          <cell r="K245" t="str">
            <v>FC/PSE</v>
          </cell>
          <cell r="L245" t="str">
            <v>AUT</v>
          </cell>
          <cell r="M245">
            <v>375</v>
          </cell>
          <cell r="N245">
            <v>907.5</v>
          </cell>
          <cell r="O245">
            <v>907.5</v>
          </cell>
          <cell r="P245">
            <v>2190</v>
          </cell>
          <cell r="Q245" t="str">
            <v>a/r</v>
          </cell>
          <cell r="S245">
            <v>30</v>
          </cell>
          <cell r="T245">
            <v>1</v>
          </cell>
          <cell r="U245">
            <v>11250</v>
          </cell>
          <cell r="V245">
            <v>27225</v>
          </cell>
          <cell r="W245">
            <v>27225</v>
          </cell>
          <cell r="X245">
            <v>65700</v>
          </cell>
          <cell r="Y245">
            <v>11250</v>
          </cell>
          <cell r="Z245">
            <v>27225</v>
          </cell>
          <cell r="AA245">
            <v>27225</v>
          </cell>
          <cell r="AB245">
            <v>65700</v>
          </cell>
          <cell r="AC245">
            <v>0</v>
          </cell>
          <cell r="AD245">
            <v>0</v>
          </cell>
          <cell r="AE245">
            <v>0</v>
          </cell>
          <cell r="AF245">
            <v>0</v>
          </cell>
          <cell r="AG245">
            <v>0</v>
          </cell>
          <cell r="AH245">
            <v>0</v>
          </cell>
        </row>
        <row r="246">
          <cell r="B246" t="str">
            <v>DNES</v>
          </cell>
          <cell r="C246" t="str">
            <v>Q</v>
          </cell>
          <cell r="D246" t="str">
            <v>21D</v>
          </cell>
          <cell r="E246" t="str">
            <v>IRE/</v>
          </cell>
          <cell r="F246" t="str">
            <v>FC/</v>
          </cell>
          <cell r="G246">
            <v>12</v>
          </cell>
          <cell r="H246" t="str">
            <v>Perdiems apprenants résidents (75%)</v>
          </cell>
          <cell r="I246" t="str">
            <v>DNES</v>
          </cell>
          <cell r="K246" t="str">
            <v>FC/PSE</v>
          </cell>
          <cell r="L246" t="str">
            <v>AUT</v>
          </cell>
          <cell r="M246">
            <v>1125</v>
          </cell>
          <cell r="N246">
            <v>2722.5</v>
          </cell>
          <cell r="O246">
            <v>2722.5</v>
          </cell>
          <cell r="P246">
            <v>6570</v>
          </cell>
          <cell r="Q246" t="str">
            <v>pxj</v>
          </cell>
          <cell r="R246" t="str">
            <v>asp</v>
          </cell>
          <cell r="S246">
            <v>24.62</v>
          </cell>
          <cell r="T246">
            <v>1</v>
          </cell>
          <cell r="U246">
            <v>27697.5</v>
          </cell>
          <cell r="V246">
            <v>67027.95</v>
          </cell>
          <cell r="W246">
            <v>67027.95</v>
          </cell>
          <cell r="X246">
            <v>161753.4</v>
          </cell>
          <cell r="Y246">
            <v>27697.5</v>
          </cell>
          <cell r="Z246">
            <v>67027.95</v>
          </cell>
          <cell r="AA246">
            <v>67027.95</v>
          </cell>
          <cell r="AB246">
            <v>161753.4</v>
          </cell>
          <cell r="AC246">
            <v>0</v>
          </cell>
          <cell r="AD246">
            <v>0</v>
          </cell>
          <cell r="AE246">
            <v>0</v>
          </cell>
          <cell r="AF246">
            <v>0</v>
          </cell>
          <cell r="AG246">
            <v>0</v>
          </cell>
          <cell r="AH246">
            <v>0</v>
          </cell>
        </row>
        <row r="247">
          <cell r="B247" t="str">
            <v>DNES</v>
          </cell>
          <cell r="C247" t="str">
            <v>Q</v>
          </cell>
          <cell r="D247" t="str">
            <v>21D</v>
          </cell>
          <cell r="E247" t="str">
            <v>IRE/</v>
          </cell>
          <cell r="F247" t="str">
            <v>FC/</v>
          </cell>
          <cell r="G247">
            <v>12</v>
          </cell>
          <cell r="H247" t="str">
            <v>Transport urbain apprenants</v>
          </cell>
          <cell r="I247" t="str">
            <v>DNES</v>
          </cell>
          <cell r="K247" t="str">
            <v>FC/PSE</v>
          </cell>
          <cell r="L247" t="str">
            <v>AUT</v>
          </cell>
          <cell r="M247">
            <v>6000</v>
          </cell>
          <cell r="N247">
            <v>14520</v>
          </cell>
          <cell r="O247">
            <v>14520</v>
          </cell>
          <cell r="P247">
            <v>35040</v>
          </cell>
          <cell r="Q247" t="str">
            <v>j</v>
          </cell>
          <cell r="S247">
            <v>20</v>
          </cell>
          <cell r="T247">
            <v>1</v>
          </cell>
          <cell r="U247">
            <v>120000</v>
          </cell>
          <cell r="V247">
            <v>290400</v>
          </cell>
          <cell r="W247">
            <v>290400</v>
          </cell>
          <cell r="X247">
            <v>700800</v>
          </cell>
          <cell r="Y247">
            <v>120000</v>
          </cell>
          <cell r="Z247">
            <v>290400</v>
          </cell>
          <cell r="AA247">
            <v>290400</v>
          </cell>
          <cell r="AB247">
            <v>700800</v>
          </cell>
          <cell r="AC247">
            <v>0</v>
          </cell>
          <cell r="AD247">
            <v>0</v>
          </cell>
          <cell r="AE247">
            <v>0</v>
          </cell>
          <cell r="AF247">
            <v>0</v>
          </cell>
          <cell r="AG247">
            <v>0</v>
          </cell>
          <cell r="AH247">
            <v>0</v>
          </cell>
        </row>
        <row r="248">
          <cell r="B248" t="str">
            <v>DNES</v>
          </cell>
          <cell r="C248" t="str">
            <v>Q</v>
          </cell>
          <cell r="D248" t="str">
            <v>21D</v>
          </cell>
          <cell r="E248" t="str">
            <v>IRE/</v>
          </cell>
          <cell r="F248" t="str">
            <v>FC/</v>
          </cell>
          <cell r="G248">
            <v>12</v>
          </cell>
          <cell r="H248" t="str">
            <v>Perdiem formateurs non résidents (50%)</v>
          </cell>
          <cell r="I248" t="str">
            <v>DNES</v>
          </cell>
          <cell r="K248" t="str">
            <v>FC/PSE</v>
          </cell>
          <cell r="L248" t="str">
            <v>AUT</v>
          </cell>
          <cell r="M248">
            <v>200</v>
          </cell>
          <cell r="N248">
            <v>484</v>
          </cell>
          <cell r="O248">
            <v>484</v>
          </cell>
          <cell r="P248">
            <v>1168</v>
          </cell>
          <cell r="Q248" t="str">
            <v>pxj</v>
          </cell>
          <cell r="R248" t="str">
            <v>asr</v>
          </cell>
          <cell r="S248">
            <v>123.10000000000001</v>
          </cell>
          <cell r="T248">
            <v>1</v>
          </cell>
          <cell r="U248">
            <v>24620</v>
          </cell>
          <cell r="V248">
            <v>59580.4</v>
          </cell>
          <cell r="W248">
            <v>59580.4</v>
          </cell>
          <cell r="X248">
            <v>143780.79999999999</v>
          </cell>
          <cell r="Y248">
            <v>24620</v>
          </cell>
          <cell r="Z248">
            <v>59580.4</v>
          </cell>
          <cell r="AA248">
            <v>59580.4</v>
          </cell>
          <cell r="AB248">
            <v>143780.79999999999</v>
          </cell>
          <cell r="AC248">
            <v>0</v>
          </cell>
          <cell r="AD248">
            <v>0</v>
          </cell>
          <cell r="AE248">
            <v>0</v>
          </cell>
          <cell r="AF248">
            <v>0</v>
          </cell>
          <cell r="AG248">
            <v>0</v>
          </cell>
          <cell r="AH248">
            <v>0</v>
          </cell>
        </row>
        <row r="249">
          <cell r="B249" t="str">
            <v>DNES</v>
          </cell>
          <cell r="C249" t="str">
            <v>Q</v>
          </cell>
          <cell r="D249" t="str">
            <v>21D</v>
          </cell>
          <cell r="E249" t="str">
            <v>IRE/</v>
          </cell>
          <cell r="F249" t="str">
            <v>FC/</v>
          </cell>
          <cell r="G249">
            <v>12</v>
          </cell>
          <cell r="H249" t="str">
            <v>Transport interurbain formateurs non résidents (50%) (aller-retour)</v>
          </cell>
          <cell r="I249" t="str">
            <v>DNES</v>
          </cell>
          <cell r="K249" t="str">
            <v>FC/PSE</v>
          </cell>
          <cell r="L249" t="str">
            <v>AUT</v>
          </cell>
          <cell r="M249">
            <v>50</v>
          </cell>
          <cell r="N249">
            <v>121</v>
          </cell>
          <cell r="O249">
            <v>121</v>
          </cell>
          <cell r="P249">
            <v>292</v>
          </cell>
          <cell r="Q249" t="str">
            <v>a/r</v>
          </cell>
          <cell r="S249">
            <v>30</v>
          </cell>
          <cell r="T249">
            <v>1</v>
          </cell>
          <cell r="U249">
            <v>1500</v>
          </cell>
          <cell r="V249">
            <v>3630</v>
          </cell>
          <cell r="W249">
            <v>3630</v>
          </cell>
          <cell r="X249">
            <v>8760</v>
          </cell>
          <cell r="Y249">
            <v>1500</v>
          </cell>
          <cell r="Z249">
            <v>3630</v>
          </cell>
          <cell r="AA249">
            <v>3630</v>
          </cell>
          <cell r="AB249">
            <v>8760</v>
          </cell>
          <cell r="AC249">
            <v>0</v>
          </cell>
          <cell r="AD249">
            <v>0</v>
          </cell>
          <cell r="AE249">
            <v>0</v>
          </cell>
          <cell r="AF249">
            <v>0</v>
          </cell>
          <cell r="AG249">
            <v>0</v>
          </cell>
          <cell r="AH249">
            <v>0</v>
          </cell>
        </row>
        <row r="250">
          <cell r="B250" t="str">
            <v>DNES</v>
          </cell>
          <cell r="C250" t="str">
            <v>Q</v>
          </cell>
          <cell r="D250" t="str">
            <v>21D</v>
          </cell>
          <cell r="E250" t="str">
            <v>IRE/</v>
          </cell>
          <cell r="F250" t="str">
            <v>FC/</v>
          </cell>
          <cell r="G250">
            <v>12</v>
          </cell>
          <cell r="H250" t="str">
            <v>Perdiem formateurs résidents (50%)</v>
          </cell>
          <cell r="I250" t="str">
            <v>DNES</v>
          </cell>
          <cell r="K250" t="str">
            <v>FC/PSE</v>
          </cell>
          <cell r="L250" t="str">
            <v>AUT</v>
          </cell>
          <cell r="M250">
            <v>200</v>
          </cell>
          <cell r="N250">
            <v>484</v>
          </cell>
          <cell r="O250">
            <v>484</v>
          </cell>
          <cell r="P250">
            <v>1168</v>
          </cell>
          <cell r="Q250" t="str">
            <v>pxj</v>
          </cell>
          <cell r="R250" t="str">
            <v>asr</v>
          </cell>
          <cell r="S250">
            <v>30.775000000000002</v>
          </cell>
          <cell r="T250">
            <v>1</v>
          </cell>
          <cell r="U250">
            <v>6155</v>
          </cell>
          <cell r="V250">
            <v>14895.1</v>
          </cell>
          <cell r="W250">
            <v>14895.1</v>
          </cell>
          <cell r="X250">
            <v>35945.199999999997</v>
          </cell>
          <cell r="Y250">
            <v>6155</v>
          </cell>
          <cell r="Z250">
            <v>14895.1</v>
          </cell>
          <cell r="AA250">
            <v>14895.1</v>
          </cell>
          <cell r="AB250">
            <v>35945.199999999997</v>
          </cell>
          <cell r="AC250">
            <v>0</v>
          </cell>
          <cell r="AD250">
            <v>0</v>
          </cell>
          <cell r="AE250">
            <v>0</v>
          </cell>
          <cell r="AF250">
            <v>0</v>
          </cell>
          <cell r="AG250">
            <v>0</v>
          </cell>
          <cell r="AH250">
            <v>0</v>
          </cell>
        </row>
        <row r="251">
          <cell r="B251" t="str">
            <v>DNES</v>
          </cell>
          <cell r="C251" t="str">
            <v>Q</v>
          </cell>
          <cell r="D251" t="str">
            <v>21D</v>
          </cell>
          <cell r="E251" t="str">
            <v>IRE/</v>
          </cell>
          <cell r="F251" t="str">
            <v>FC/</v>
          </cell>
          <cell r="G251">
            <v>12</v>
          </cell>
          <cell r="H251" t="str">
            <v>Transport urbain formateurs (100%)</v>
          </cell>
          <cell r="I251" t="str">
            <v>DNES</v>
          </cell>
          <cell r="K251" t="str">
            <v>FC/PSE</v>
          </cell>
          <cell r="L251" t="str">
            <v>AUT</v>
          </cell>
          <cell r="M251">
            <v>400</v>
          </cell>
          <cell r="N251">
            <v>968</v>
          </cell>
          <cell r="O251">
            <v>968</v>
          </cell>
          <cell r="P251">
            <v>2336</v>
          </cell>
          <cell r="Q251" t="str">
            <v>j</v>
          </cell>
          <cell r="S251">
            <v>20</v>
          </cell>
          <cell r="T251">
            <v>1</v>
          </cell>
          <cell r="U251">
            <v>8000</v>
          </cell>
          <cell r="V251">
            <v>19360</v>
          </cell>
          <cell r="W251">
            <v>19360</v>
          </cell>
          <cell r="X251">
            <v>46720</v>
          </cell>
          <cell r="Y251">
            <v>8000</v>
          </cell>
          <cell r="Z251">
            <v>19360</v>
          </cell>
          <cell r="AA251">
            <v>19360</v>
          </cell>
          <cell r="AB251">
            <v>46720</v>
          </cell>
          <cell r="AC251">
            <v>0</v>
          </cell>
          <cell r="AD251">
            <v>0</v>
          </cell>
          <cell r="AE251">
            <v>0</v>
          </cell>
          <cell r="AF251">
            <v>0</v>
          </cell>
          <cell r="AG251">
            <v>0</v>
          </cell>
          <cell r="AH251">
            <v>0</v>
          </cell>
        </row>
        <row r="252">
          <cell r="H252" t="str">
            <v>Suivi/supervision de la formation</v>
          </cell>
        </row>
        <row r="253">
          <cell r="B253" t="str">
            <v>DNES</v>
          </cell>
          <cell r="C253" t="str">
            <v>Q</v>
          </cell>
          <cell r="D253" t="str">
            <v>21D</v>
          </cell>
          <cell r="E253" t="str">
            <v>IRE/</v>
          </cell>
          <cell r="F253" t="str">
            <v>FC/</v>
          </cell>
          <cell r="G253">
            <v>12</v>
          </cell>
          <cell r="H253" t="str">
            <v>Ateliers annuels régionaux coordination suivi sessions FC (3at x 200pxj)</v>
          </cell>
          <cell r="I253" t="str">
            <v>DNES</v>
          </cell>
          <cell r="K253" t="str">
            <v>FC/PSE</v>
          </cell>
          <cell r="L253" t="str">
            <v>AUT</v>
          </cell>
          <cell r="M253">
            <v>200</v>
          </cell>
          <cell r="N253">
            <v>200</v>
          </cell>
          <cell r="O253">
            <v>200</v>
          </cell>
          <cell r="P253">
            <v>600</v>
          </cell>
          <cell r="Q253" t="str">
            <v>pxj</v>
          </cell>
          <cell r="R253" t="str">
            <v>asr</v>
          </cell>
          <cell r="S253">
            <v>123.10000000000001</v>
          </cell>
          <cell r="T253">
            <v>1</v>
          </cell>
          <cell r="U253">
            <v>24620</v>
          </cell>
          <cell r="V253">
            <v>24620</v>
          </cell>
          <cell r="W253">
            <v>24620</v>
          </cell>
          <cell r="X253">
            <v>73860</v>
          </cell>
          <cell r="Y253">
            <v>24620</v>
          </cell>
          <cell r="Z253">
            <v>24620</v>
          </cell>
          <cell r="AA253">
            <v>24620</v>
          </cell>
          <cell r="AB253">
            <v>73860</v>
          </cell>
          <cell r="AC253">
            <v>0</v>
          </cell>
          <cell r="AD253">
            <v>0</v>
          </cell>
          <cell r="AE253">
            <v>0</v>
          </cell>
          <cell r="AF253">
            <v>0</v>
          </cell>
          <cell r="AG253">
            <v>0</v>
          </cell>
          <cell r="AH253">
            <v>0</v>
          </cell>
        </row>
        <row r="254">
          <cell r="B254" t="str">
            <v>DNES</v>
          </cell>
          <cell r="C254" t="str">
            <v>Q</v>
          </cell>
          <cell r="D254" t="str">
            <v>21D</v>
          </cell>
          <cell r="E254" t="str">
            <v>IRE/</v>
          </cell>
          <cell r="F254" t="str">
            <v>FC/</v>
          </cell>
          <cell r="G254">
            <v>12</v>
          </cell>
          <cell r="H254" t="str">
            <v>Supervision régionale (IRE + CRFC) des sessions de FC (1j par session)</v>
          </cell>
          <cell r="I254" t="str">
            <v>DNES</v>
          </cell>
          <cell r="K254" t="str">
            <v>FC/PSE</v>
          </cell>
          <cell r="L254" t="str">
            <v>AUT</v>
          </cell>
          <cell r="M254">
            <v>50</v>
          </cell>
          <cell r="N254">
            <v>121</v>
          </cell>
          <cell r="O254">
            <v>121</v>
          </cell>
          <cell r="P254">
            <v>292</v>
          </cell>
          <cell r="Q254" t="str">
            <v>pxj</v>
          </cell>
          <cell r="R254" t="str">
            <v>mir</v>
          </cell>
          <cell r="S254">
            <v>196.96</v>
          </cell>
          <cell r="T254">
            <v>1</v>
          </cell>
          <cell r="U254">
            <v>9848</v>
          </cell>
          <cell r="V254">
            <v>23832.16</v>
          </cell>
          <cell r="W254">
            <v>23832.16</v>
          </cell>
          <cell r="X254">
            <v>57512.320000000007</v>
          </cell>
          <cell r="Y254">
            <v>9848</v>
          </cell>
          <cell r="Z254">
            <v>23832.16</v>
          </cell>
          <cell r="AA254">
            <v>23832.16</v>
          </cell>
          <cell r="AB254">
            <v>57512.320000000007</v>
          </cell>
          <cell r="AC254">
            <v>0</v>
          </cell>
          <cell r="AD254">
            <v>0</v>
          </cell>
          <cell r="AE254">
            <v>0</v>
          </cell>
          <cell r="AF254">
            <v>0</v>
          </cell>
          <cell r="AG254">
            <v>0</v>
          </cell>
          <cell r="AH254">
            <v>0</v>
          </cell>
        </row>
        <row r="255">
          <cell r="B255" t="str">
            <v>DNES</v>
          </cell>
          <cell r="C255" t="str">
            <v>Q</v>
          </cell>
          <cell r="D255" t="str">
            <v>21D</v>
          </cell>
          <cell r="E255" t="str">
            <v>DNES</v>
          </cell>
          <cell r="F255" t="str">
            <v>FC/CN</v>
          </cell>
          <cell r="G255">
            <v>12</v>
          </cell>
          <cell r="H255" t="str">
            <v>Supervision centrale (10 trim x 8 reg x 3j)</v>
          </cell>
          <cell r="I255" t="str">
            <v>DNES</v>
          </cell>
          <cell r="K255" t="str">
            <v>FC/PSE</v>
          </cell>
          <cell r="L255" t="str">
            <v>AUT</v>
          </cell>
          <cell r="M255">
            <v>48</v>
          </cell>
          <cell r="N255">
            <v>96</v>
          </cell>
          <cell r="O255">
            <v>96</v>
          </cell>
          <cell r="P255">
            <v>240</v>
          </cell>
          <cell r="Q255" t="str">
            <v>pxj</v>
          </cell>
          <cell r="R255" t="str">
            <v>min</v>
          </cell>
          <cell r="S255">
            <v>246.20000000000002</v>
          </cell>
          <cell r="T255">
            <v>1</v>
          </cell>
          <cell r="U255">
            <v>11817.6</v>
          </cell>
          <cell r="V255">
            <v>23635.200000000001</v>
          </cell>
          <cell r="W255">
            <v>23635.200000000001</v>
          </cell>
          <cell r="X255">
            <v>59088</v>
          </cell>
          <cell r="Y255">
            <v>11817.6</v>
          </cell>
          <cell r="Z255">
            <v>23635.200000000001</v>
          </cell>
          <cell r="AA255">
            <v>23635.200000000001</v>
          </cell>
          <cell r="AB255">
            <v>59088</v>
          </cell>
          <cell r="AC255">
            <v>0</v>
          </cell>
          <cell r="AD255">
            <v>0</v>
          </cell>
          <cell r="AE255">
            <v>0</v>
          </cell>
          <cell r="AF255">
            <v>0</v>
          </cell>
          <cell r="AG255">
            <v>0</v>
          </cell>
          <cell r="AH255">
            <v>0</v>
          </cell>
        </row>
        <row r="256">
          <cell r="B256" t="str">
            <v>DNES</v>
          </cell>
          <cell r="C256" t="str">
            <v>Q</v>
          </cell>
          <cell r="D256" t="str">
            <v>21D</v>
          </cell>
          <cell r="E256" t="str">
            <v>DNES</v>
          </cell>
          <cell r="F256" t="str">
            <v>FC/CN</v>
          </cell>
          <cell r="G256">
            <v>12</v>
          </cell>
          <cell r="H256" t="str">
            <v>Appui au fonct. du Service animation pédagogique (DNES)</v>
          </cell>
          <cell r="I256" t="str">
            <v>DNES</v>
          </cell>
          <cell r="K256" t="str">
            <v>FC/PSE</v>
          </cell>
          <cell r="L256" t="str">
            <v>AUT</v>
          </cell>
          <cell r="M256">
            <v>6</v>
          </cell>
          <cell r="N256">
            <v>12</v>
          </cell>
          <cell r="O256">
            <v>12</v>
          </cell>
          <cell r="P256">
            <v>30</v>
          </cell>
          <cell r="Q256" t="str">
            <v>mois</v>
          </cell>
          <cell r="S256">
            <v>3000</v>
          </cell>
          <cell r="T256">
            <v>1</v>
          </cell>
          <cell r="U256">
            <v>18000</v>
          </cell>
          <cell r="V256">
            <v>36000</v>
          </cell>
          <cell r="W256">
            <v>36000</v>
          </cell>
          <cell r="X256">
            <v>90000</v>
          </cell>
          <cell r="Y256">
            <v>18000</v>
          </cell>
          <cell r="Z256">
            <v>36000</v>
          </cell>
          <cell r="AA256">
            <v>36000</v>
          </cell>
          <cell r="AB256">
            <v>90000</v>
          </cell>
          <cell r="AC256">
            <v>0</v>
          </cell>
          <cell r="AD256">
            <v>0</v>
          </cell>
          <cell r="AE256">
            <v>0</v>
          </cell>
          <cell r="AF256">
            <v>0</v>
          </cell>
          <cell r="AG256">
            <v>0</v>
          </cell>
          <cell r="AH256">
            <v>0</v>
          </cell>
        </row>
        <row r="257">
          <cell r="B257" t="str">
            <v>DNES</v>
          </cell>
          <cell r="C257" t="str">
            <v>Q</v>
          </cell>
          <cell r="D257" t="str">
            <v>21D</v>
          </cell>
          <cell r="E257" t="str">
            <v>IRE/</v>
          </cell>
          <cell r="F257" t="str">
            <v>FC/</v>
          </cell>
          <cell r="G257">
            <v>12</v>
          </cell>
          <cell r="H257" t="str">
            <v>Appui au fonct. des IRE et CFRC</v>
          </cell>
          <cell r="I257" t="str">
            <v>DNES</v>
          </cell>
          <cell r="K257" t="str">
            <v>FC/PSE</v>
          </cell>
          <cell r="L257" t="str">
            <v>AUT</v>
          </cell>
          <cell r="M257">
            <v>48</v>
          </cell>
          <cell r="N257">
            <v>96</v>
          </cell>
          <cell r="O257">
            <v>96</v>
          </cell>
          <cell r="P257">
            <v>240</v>
          </cell>
          <cell r="Q257" t="str">
            <v>mois</v>
          </cell>
          <cell r="S257">
            <v>2000</v>
          </cell>
          <cell r="T257">
            <v>1</v>
          </cell>
          <cell r="U257">
            <v>96000</v>
          </cell>
          <cell r="V257">
            <v>192000</v>
          </cell>
          <cell r="W257">
            <v>192000</v>
          </cell>
          <cell r="X257">
            <v>480000</v>
          </cell>
          <cell r="Y257">
            <v>96000</v>
          </cell>
          <cell r="Z257">
            <v>192000</v>
          </cell>
          <cell r="AA257">
            <v>192000</v>
          </cell>
          <cell r="AB257">
            <v>480000</v>
          </cell>
          <cell r="AC257">
            <v>0</v>
          </cell>
          <cell r="AD257">
            <v>0</v>
          </cell>
          <cell r="AE257">
            <v>0</v>
          </cell>
          <cell r="AF257">
            <v>0</v>
          </cell>
          <cell r="AG257">
            <v>0</v>
          </cell>
          <cell r="AH257">
            <v>0</v>
          </cell>
        </row>
        <row r="258">
          <cell r="H258" t="str">
            <v>Evaluations des apprentissages des élèves du collège</v>
          </cell>
          <cell r="U258">
            <v>0</v>
          </cell>
          <cell r="V258">
            <v>465270.6</v>
          </cell>
          <cell r="W258">
            <v>0</v>
          </cell>
          <cell r="X258">
            <v>465270.6</v>
          </cell>
          <cell r="Y258">
            <v>0</v>
          </cell>
          <cell r="Z258">
            <v>465270.6</v>
          </cell>
          <cell r="AA258">
            <v>0</v>
          </cell>
          <cell r="AB258">
            <v>465270.6</v>
          </cell>
          <cell r="AC258">
            <v>0</v>
          </cell>
          <cell r="AD258">
            <v>0</v>
          </cell>
          <cell r="AE258">
            <v>0</v>
          </cell>
          <cell r="AF258">
            <v>0</v>
          </cell>
          <cell r="AH258">
            <v>0</v>
          </cell>
        </row>
        <row r="259">
          <cell r="B259" t="str">
            <v>CNCESE</v>
          </cell>
          <cell r="C259" t="str">
            <v>Q</v>
          </cell>
          <cell r="D259" t="str">
            <v>21E</v>
          </cell>
          <cell r="E259" t="str">
            <v>CNCESE</v>
          </cell>
          <cell r="F259" t="str">
            <v>FC/CN</v>
          </cell>
          <cell r="G259">
            <v>15</v>
          </cell>
          <cell r="H259" t="str">
            <v>Evaluation apprentissages en math et français des élèves du collège</v>
          </cell>
          <cell r="I259" t="str">
            <v>CNCESE</v>
          </cell>
          <cell r="K259" t="str">
            <v>FC/PSE</v>
          </cell>
          <cell r="L259" t="str">
            <v>AUT</v>
          </cell>
          <cell r="N259">
            <v>1</v>
          </cell>
          <cell r="P259">
            <v>1</v>
          </cell>
          <cell r="Q259" t="str">
            <v>forfait</v>
          </cell>
          <cell r="S259">
            <v>288006.59999999998</v>
          </cell>
          <cell r="T259">
            <v>1</v>
          </cell>
          <cell r="U259">
            <v>0</v>
          </cell>
          <cell r="V259">
            <v>288006.59999999998</v>
          </cell>
          <cell r="W259">
            <v>0</v>
          </cell>
          <cell r="X259">
            <v>288006.59999999998</v>
          </cell>
          <cell r="Y259">
            <v>0</v>
          </cell>
          <cell r="Z259">
            <v>288006.59999999998</v>
          </cell>
          <cell r="AA259">
            <v>0</v>
          </cell>
          <cell r="AB259">
            <v>288006.59999999998</v>
          </cell>
          <cell r="AC259">
            <v>0</v>
          </cell>
          <cell r="AD259">
            <v>0</v>
          </cell>
          <cell r="AE259">
            <v>0</v>
          </cell>
          <cell r="AF259">
            <v>0</v>
          </cell>
          <cell r="AG259">
            <v>0</v>
          </cell>
          <cell r="AH259">
            <v>0</v>
          </cell>
        </row>
        <row r="260">
          <cell r="B260" t="str">
            <v>CNCESE</v>
          </cell>
          <cell r="C260" t="str">
            <v>Q</v>
          </cell>
          <cell r="D260" t="str">
            <v>21E</v>
          </cell>
          <cell r="E260" t="str">
            <v>CNCESE</v>
          </cell>
          <cell r="F260" t="str">
            <v>FC/CN</v>
          </cell>
          <cell r="G260">
            <v>25</v>
          </cell>
          <cell r="H260" t="str">
            <v>Spécialistes en évaluation 4 missions de 15jours</v>
          </cell>
          <cell r="I260" t="str">
            <v>CNCESE</v>
          </cell>
          <cell r="K260" t="str">
            <v>FC/PSE</v>
          </cell>
          <cell r="L260" t="str">
            <v>CR</v>
          </cell>
          <cell r="N260">
            <v>2</v>
          </cell>
          <cell r="P260">
            <v>2</v>
          </cell>
          <cell r="Q260" t="str">
            <v>pxm</v>
          </cell>
          <cell r="R260" t="str">
            <v>cic</v>
          </cell>
          <cell r="S260">
            <v>88632</v>
          </cell>
          <cell r="T260">
            <v>1</v>
          </cell>
          <cell r="U260">
            <v>0</v>
          </cell>
          <cell r="V260">
            <v>177264</v>
          </cell>
          <cell r="W260">
            <v>0</v>
          </cell>
          <cell r="X260">
            <v>177264</v>
          </cell>
          <cell r="Y260">
            <v>0</v>
          </cell>
          <cell r="Z260">
            <v>177264</v>
          </cell>
          <cell r="AA260">
            <v>0</v>
          </cell>
          <cell r="AB260">
            <v>177264</v>
          </cell>
          <cell r="AC260">
            <v>0</v>
          </cell>
          <cell r="AD260">
            <v>0</v>
          </cell>
          <cell r="AE260">
            <v>0</v>
          </cell>
          <cell r="AF260">
            <v>0</v>
          </cell>
          <cell r="AG260">
            <v>0</v>
          </cell>
          <cell r="AH260">
            <v>0</v>
          </cell>
        </row>
        <row r="261">
          <cell r="H261" t="str">
            <v>SECONDAIRE 2</v>
          </cell>
          <cell r="U261">
            <v>1264984.4000000001</v>
          </cell>
          <cell r="V261">
            <v>28344872.448000006</v>
          </cell>
          <cell r="W261">
            <v>393284.19999999995</v>
          </cell>
          <cell r="X261">
            <v>30003141.048</v>
          </cell>
          <cell r="Y261">
            <v>1264984.4000000001</v>
          </cell>
          <cell r="Z261">
            <v>28344872.448000006</v>
          </cell>
          <cell r="AA261">
            <v>393284.19999999995</v>
          </cell>
          <cell r="AB261">
            <v>30003141.048</v>
          </cell>
          <cell r="AC261">
            <v>0</v>
          </cell>
          <cell r="AD261">
            <v>0</v>
          </cell>
          <cell r="AE261">
            <v>0</v>
          </cell>
          <cell r="AF261">
            <v>0</v>
          </cell>
          <cell r="AH261">
            <v>0</v>
          </cell>
        </row>
        <row r="262">
          <cell r="H262" t="str">
            <v>Infrastructures</v>
          </cell>
          <cell r="U262">
            <v>0</v>
          </cell>
          <cell r="V262">
            <v>17800762.248000003</v>
          </cell>
          <cell r="W262">
            <v>0</v>
          </cell>
          <cell r="X262">
            <v>17800762.248000003</v>
          </cell>
          <cell r="Y262">
            <v>0</v>
          </cell>
          <cell r="Z262">
            <v>17800762.248000003</v>
          </cell>
          <cell r="AA262">
            <v>0</v>
          </cell>
          <cell r="AB262">
            <v>17800762.248000003</v>
          </cell>
          <cell r="AC262">
            <v>0</v>
          </cell>
          <cell r="AD262">
            <v>0</v>
          </cell>
          <cell r="AE262">
            <v>0</v>
          </cell>
          <cell r="AF262">
            <v>0</v>
          </cell>
          <cell r="AH262">
            <v>0</v>
          </cell>
        </row>
        <row r="263">
          <cell r="B263" t="str">
            <v>SNIES</v>
          </cell>
          <cell r="C263" t="str">
            <v>A</v>
          </cell>
          <cell r="D263" t="str">
            <v>22A</v>
          </cell>
          <cell r="E263" t="str">
            <v>ES/</v>
          </cell>
          <cell r="F263" t="str">
            <v>FC/CN</v>
          </cell>
          <cell r="G263">
            <v>21</v>
          </cell>
          <cell r="H263" t="str">
            <v>BET pour les constructions réhabilitation des infrastructures</v>
          </cell>
          <cell r="I263" t="str">
            <v>SNIES</v>
          </cell>
          <cell r="K263" t="str">
            <v>FC/PSE</v>
          </cell>
          <cell r="L263" t="str">
            <v>CR</v>
          </cell>
          <cell r="P263">
            <v>0</v>
          </cell>
          <cell r="Q263" t="str">
            <v>forfait</v>
          </cell>
          <cell r="R263" t="str">
            <v>coût total</v>
          </cell>
          <cell r="S263">
            <v>7.0000000000000007E-2</v>
          </cell>
          <cell r="T263">
            <v>1</v>
          </cell>
          <cell r="U263">
            <v>0</v>
          </cell>
          <cell r="V263">
            <v>1164535.8480000002</v>
          </cell>
          <cell r="W263">
            <v>0</v>
          </cell>
          <cell r="X263">
            <v>1164535.8480000002</v>
          </cell>
          <cell r="Y263">
            <v>0</v>
          </cell>
          <cell r="Z263">
            <v>1164535.8480000002</v>
          </cell>
          <cell r="AA263">
            <v>0</v>
          </cell>
          <cell r="AB263">
            <v>1164535.8480000002</v>
          </cell>
          <cell r="AC263">
            <v>0</v>
          </cell>
          <cell r="AD263">
            <v>0</v>
          </cell>
          <cell r="AE263">
            <v>0</v>
          </cell>
          <cell r="AF263">
            <v>0</v>
          </cell>
          <cell r="AG263">
            <v>0</v>
          </cell>
          <cell r="AH263">
            <v>0</v>
          </cell>
        </row>
        <row r="264">
          <cell r="B264" t="str">
            <v>SNIES</v>
          </cell>
          <cell r="C264" t="str">
            <v>A</v>
          </cell>
          <cell r="D264" t="str">
            <v>22A</v>
          </cell>
          <cell r="E264" t="str">
            <v>ES/</v>
          </cell>
          <cell r="F264" t="str">
            <v>FC/CN</v>
          </cell>
          <cell r="G264">
            <v>22</v>
          </cell>
          <cell r="H264" t="str">
            <v>Travaux de construction classes Lycées</v>
          </cell>
          <cell r="I264" t="str">
            <v>SNIES</v>
          </cell>
          <cell r="K264" t="str">
            <v>FC/PSE</v>
          </cell>
          <cell r="L264" t="str">
            <v>AON</v>
          </cell>
          <cell r="N264">
            <v>193</v>
          </cell>
          <cell r="P264">
            <v>193</v>
          </cell>
          <cell r="Q264" t="str">
            <v>cl</v>
          </cell>
          <cell r="R264" t="str">
            <v>ccl</v>
          </cell>
          <cell r="S264">
            <v>59088.000000000007</v>
          </cell>
          <cell r="T264">
            <v>1</v>
          </cell>
          <cell r="U264">
            <v>0</v>
          </cell>
          <cell r="V264">
            <v>11403984.000000002</v>
          </cell>
          <cell r="W264">
            <v>0</v>
          </cell>
          <cell r="X264">
            <v>11403984.000000002</v>
          </cell>
          <cell r="Y264">
            <v>0</v>
          </cell>
          <cell r="Z264">
            <v>11403984.000000002</v>
          </cell>
          <cell r="AA264">
            <v>0</v>
          </cell>
          <cell r="AB264">
            <v>11403984.000000002</v>
          </cell>
          <cell r="AC264">
            <v>0</v>
          </cell>
          <cell r="AD264">
            <v>0</v>
          </cell>
          <cell r="AE264">
            <v>0</v>
          </cell>
          <cell r="AF264">
            <v>0</v>
          </cell>
          <cell r="AG264">
            <v>0</v>
          </cell>
          <cell r="AH264">
            <v>0</v>
          </cell>
        </row>
        <row r="265">
          <cell r="B265" t="str">
            <v>SNIES</v>
          </cell>
          <cell r="C265" t="str">
            <v>A</v>
          </cell>
          <cell r="D265" t="str">
            <v>22A</v>
          </cell>
          <cell r="E265" t="str">
            <v>ES/</v>
          </cell>
          <cell r="F265" t="str">
            <v>FC/CN</v>
          </cell>
          <cell r="G265">
            <v>22</v>
          </cell>
          <cell r="H265" t="str">
            <v>Travaux de réhabilitation classes Lycées</v>
          </cell>
          <cell r="I265" t="str">
            <v>SNIES</v>
          </cell>
          <cell r="K265" t="str">
            <v>FC/PSE</v>
          </cell>
          <cell r="L265" t="str">
            <v>AON</v>
          </cell>
          <cell r="N265">
            <v>75</v>
          </cell>
          <cell r="P265">
            <v>75</v>
          </cell>
          <cell r="Q265" t="str">
            <v>cl</v>
          </cell>
          <cell r="R265" t="str">
            <v>rcl</v>
          </cell>
          <cell r="S265">
            <v>35452.800000000003</v>
          </cell>
          <cell r="T265">
            <v>1</v>
          </cell>
          <cell r="U265">
            <v>0</v>
          </cell>
          <cell r="V265">
            <v>2658960</v>
          </cell>
          <cell r="W265">
            <v>0</v>
          </cell>
          <cell r="X265">
            <v>2658960</v>
          </cell>
          <cell r="Y265">
            <v>0</v>
          </cell>
          <cell r="Z265">
            <v>2658960</v>
          </cell>
          <cell r="AA265">
            <v>0</v>
          </cell>
          <cell r="AB265">
            <v>2658960</v>
          </cell>
          <cell r="AC265">
            <v>0</v>
          </cell>
          <cell r="AD265">
            <v>0</v>
          </cell>
          <cell r="AE265">
            <v>0</v>
          </cell>
          <cell r="AF265">
            <v>0</v>
          </cell>
          <cell r="AG265">
            <v>0</v>
          </cell>
          <cell r="AH265">
            <v>0</v>
          </cell>
        </row>
        <row r="266">
          <cell r="B266" t="str">
            <v>SNIES</v>
          </cell>
          <cell r="C266" t="str">
            <v>A</v>
          </cell>
          <cell r="D266" t="str">
            <v>22A</v>
          </cell>
          <cell r="E266" t="str">
            <v>ES/</v>
          </cell>
          <cell r="F266" t="str">
            <v>FC/CN</v>
          </cell>
          <cell r="G266">
            <v>23</v>
          </cell>
          <cell r="H266" t="str">
            <v>Mobilier équipement classes Lycées</v>
          </cell>
          <cell r="I266" t="str">
            <v>SNIES</v>
          </cell>
          <cell r="K266" t="str">
            <v>FC/PSE</v>
          </cell>
          <cell r="L266" t="str">
            <v>AON</v>
          </cell>
          <cell r="N266">
            <v>268</v>
          </cell>
          <cell r="P266">
            <v>268</v>
          </cell>
          <cell r="Q266" t="str">
            <v>lot</v>
          </cell>
          <cell r="R266" t="str">
            <v>mcl</v>
          </cell>
          <cell r="S266">
            <v>9601.8000000000011</v>
          </cell>
          <cell r="T266">
            <v>1</v>
          </cell>
          <cell r="U266">
            <v>0</v>
          </cell>
          <cell r="V266">
            <v>2573282.4000000004</v>
          </cell>
          <cell r="W266">
            <v>0</v>
          </cell>
          <cell r="X266">
            <v>2573282.4000000004</v>
          </cell>
          <cell r="Y266">
            <v>0</v>
          </cell>
          <cell r="Z266">
            <v>2573282.4000000004</v>
          </cell>
          <cell r="AA266">
            <v>0</v>
          </cell>
          <cell r="AB266">
            <v>2573282.4000000004</v>
          </cell>
          <cell r="AC266">
            <v>0</v>
          </cell>
          <cell r="AD266">
            <v>0</v>
          </cell>
          <cell r="AE266">
            <v>0</v>
          </cell>
          <cell r="AF266">
            <v>0</v>
          </cell>
          <cell r="AG266">
            <v>0</v>
          </cell>
          <cell r="AH266">
            <v>0</v>
          </cell>
        </row>
        <row r="267">
          <cell r="H267" t="str">
            <v>Formation initiale des enseignants</v>
          </cell>
          <cell r="U267">
            <v>970940.00000000012</v>
          </cell>
          <cell r="V267">
            <v>60000</v>
          </cell>
          <cell r="W267">
            <v>60000</v>
          </cell>
          <cell r="X267">
            <v>1090940</v>
          </cell>
          <cell r="Y267">
            <v>970940.00000000012</v>
          </cell>
          <cell r="Z267">
            <v>60000</v>
          </cell>
          <cell r="AA267">
            <v>60000</v>
          </cell>
          <cell r="AB267">
            <v>1090940</v>
          </cell>
          <cell r="AC267">
            <v>0</v>
          </cell>
          <cell r="AD267">
            <v>0</v>
          </cell>
          <cell r="AE267">
            <v>0</v>
          </cell>
          <cell r="AF267">
            <v>0</v>
          </cell>
          <cell r="AH267">
            <v>0</v>
          </cell>
        </row>
        <row r="268">
          <cell r="B268" t="str">
            <v>ISSEG</v>
          </cell>
          <cell r="C268" t="str">
            <v>Q</v>
          </cell>
          <cell r="D268" t="str">
            <v>22B</v>
          </cell>
          <cell r="E268" t="str">
            <v>ISSEG</v>
          </cell>
          <cell r="F268" t="str">
            <v>FC/CN</v>
          </cell>
          <cell r="G268">
            <v>24</v>
          </cell>
          <cell r="H268" t="str">
            <v>Consommables pour les laboratoires phys, chim, sc nat par an</v>
          </cell>
          <cell r="I268" t="str">
            <v>ISSEG</v>
          </cell>
          <cell r="K268" t="str">
            <v>FC/PSE</v>
          </cell>
          <cell r="L268" t="str">
            <v>AOI</v>
          </cell>
          <cell r="M268">
            <v>1</v>
          </cell>
          <cell r="N268">
            <v>1</v>
          </cell>
          <cell r="O268">
            <v>1</v>
          </cell>
          <cell r="P268">
            <v>3</v>
          </cell>
          <cell r="R268" t="str">
            <v>forfait</v>
          </cell>
          <cell r="S268">
            <v>60000</v>
          </cell>
          <cell r="T268">
            <v>1</v>
          </cell>
          <cell r="U268">
            <v>60000</v>
          </cell>
          <cell r="V268">
            <v>60000</v>
          </cell>
          <cell r="W268">
            <v>60000</v>
          </cell>
          <cell r="X268">
            <v>180000</v>
          </cell>
          <cell r="Y268">
            <v>60000</v>
          </cell>
          <cell r="Z268">
            <v>60000</v>
          </cell>
          <cell r="AA268">
            <v>60000</v>
          </cell>
          <cell r="AB268">
            <v>180000</v>
          </cell>
          <cell r="AC268">
            <v>0</v>
          </cell>
          <cell r="AD268">
            <v>0</v>
          </cell>
          <cell r="AE268">
            <v>0</v>
          </cell>
          <cell r="AF268">
            <v>0</v>
          </cell>
          <cell r="AG268">
            <v>0</v>
          </cell>
          <cell r="AH268">
            <v>0</v>
          </cell>
        </row>
        <row r="269">
          <cell r="B269" t="str">
            <v>ISSEG</v>
          </cell>
          <cell r="C269" t="str">
            <v>Q</v>
          </cell>
          <cell r="D269" t="str">
            <v>22B</v>
          </cell>
          <cell r="E269" t="str">
            <v>ISSEG</v>
          </cell>
          <cell r="F269" t="str">
            <v>FC/CN</v>
          </cell>
          <cell r="G269">
            <v>24</v>
          </cell>
          <cell r="H269" t="str">
            <v>Mallettes d'ouvrages pédagogiques pour les stagiaires (env 10 titres)</v>
          </cell>
          <cell r="I269" t="str">
            <v>CN/PSE</v>
          </cell>
          <cell r="K269" t="str">
            <v>FC/PSE</v>
          </cell>
          <cell r="L269" t="str">
            <v>AOI</v>
          </cell>
          <cell r="M269">
            <v>1850</v>
          </cell>
          <cell r="P269">
            <v>1850</v>
          </cell>
          <cell r="Q269" t="str">
            <v>mallette</v>
          </cell>
          <cell r="R269" t="str">
            <v>forfait</v>
          </cell>
          <cell r="S269">
            <v>492.40000000000003</v>
          </cell>
          <cell r="T269">
            <v>1</v>
          </cell>
          <cell r="U269">
            <v>910940.00000000012</v>
          </cell>
          <cell r="V269">
            <v>0</v>
          </cell>
          <cell r="W269">
            <v>0</v>
          </cell>
          <cell r="X269">
            <v>910940.00000000012</v>
          </cell>
          <cell r="Y269">
            <v>910940.00000000012</v>
          </cell>
          <cell r="Z269">
            <v>0</v>
          </cell>
          <cell r="AA269">
            <v>0</v>
          </cell>
          <cell r="AB269">
            <v>910940.00000000012</v>
          </cell>
          <cell r="AC269">
            <v>0</v>
          </cell>
          <cell r="AD269">
            <v>0</v>
          </cell>
          <cell r="AE269">
            <v>0</v>
          </cell>
          <cell r="AF269">
            <v>0</v>
          </cell>
          <cell r="AG269">
            <v>0</v>
          </cell>
          <cell r="AH269">
            <v>0</v>
          </cell>
        </row>
        <row r="270">
          <cell r="H270" t="str">
            <v>Formation continue des enseignants</v>
          </cell>
          <cell r="U270">
            <v>264044.39999999997</v>
          </cell>
          <cell r="V270">
            <v>333284.2</v>
          </cell>
          <cell r="W270">
            <v>333284.2</v>
          </cell>
          <cell r="X270">
            <v>930612.8</v>
          </cell>
          <cell r="Y270">
            <v>264044.39999999997</v>
          </cell>
          <cell r="Z270">
            <v>333284.2</v>
          </cell>
          <cell r="AA270">
            <v>333284.2</v>
          </cell>
          <cell r="AB270">
            <v>930612.8</v>
          </cell>
          <cell r="AC270">
            <v>0</v>
          </cell>
          <cell r="AD270">
            <v>0</v>
          </cell>
          <cell r="AE270">
            <v>0</v>
          </cell>
          <cell r="AF270">
            <v>0</v>
          </cell>
          <cell r="AH270">
            <v>0</v>
          </cell>
        </row>
        <row r="271">
          <cell r="H271" t="str">
            <v>Identification des besoins de formation</v>
          </cell>
        </row>
        <row r="272">
          <cell r="B272" t="str">
            <v>DNES</v>
          </cell>
          <cell r="C272" t="str">
            <v>Q</v>
          </cell>
          <cell r="D272" t="str">
            <v>22C</v>
          </cell>
          <cell r="E272" t="str">
            <v>IRE/</v>
          </cell>
          <cell r="F272" t="str">
            <v>FC/</v>
          </cell>
          <cell r="G272">
            <v>12</v>
          </cell>
          <cell r="H272" t="str">
            <v>Ateliers régionaux préparatoires des plans triennaux formation continue 1j</v>
          </cell>
          <cell r="I272" t="str">
            <v>DNES</v>
          </cell>
          <cell r="K272" t="str">
            <v>FC/PSE</v>
          </cell>
          <cell r="L272" t="str">
            <v>AUT</v>
          </cell>
          <cell r="M272">
            <v>60</v>
          </cell>
          <cell r="P272">
            <v>60</v>
          </cell>
          <cell r="Q272" t="str">
            <v>pxj</v>
          </cell>
          <cell r="R272" t="str">
            <v>asr</v>
          </cell>
          <cell r="S272">
            <v>123.10000000000001</v>
          </cell>
          <cell r="T272">
            <v>1</v>
          </cell>
          <cell r="U272">
            <v>7386.0000000000009</v>
          </cell>
          <cell r="V272">
            <v>0</v>
          </cell>
          <cell r="W272">
            <v>0</v>
          </cell>
          <cell r="X272">
            <v>7386.0000000000009</v>
          </cell>
          <cell r="Y272">
            <v>7386.0000000000009</v>
          </cell>
          <cell r="Z272">
            <v>0</v>
          </cell>
          <cell r="AA272">
            <v>0</v>
          </cell>
          <cell r="AB272">
            <v>7386.0000000000009</v>
          </cell>
          <cell r="AC272">
            <v>0</v>
          </cell>
          <cell r="AD272">
            <v>0</v>
          </cell>
          <cell r="AE272">
            <v>0</v>
          </cell>
          <cell r="AF272">
            <v>0</v>
          </cell>
          <cell r="AG272">
            <v>0</v>
          </cell>
          <cell r="AH272">
            <v>0</v>
          </cell>
        </row>
        <row r="273">
          <cell r="B273" t="str">
            <v>DNES</v>
          </cell>
          <cell r="C273" t="str">
            <v>Q</v>
          </cell>
          <cell r="D273" t="str">
            <v>22C</v>
          </cell>
          <cell r="E273" t="str">
            <v>IRE/</v>
          </cell>
          <cell r="F273" t="str">
            <v>FC/CN</v>
          </cell>
          <cell r="G273">
            <v>12</v>
          </cell>
          <cell r="H273" t="str">
            <v>Reproduction des fiches d'observation des enseignants</v>
          </cell>
          <cell r="I273" t="str">
            <v>DNES</v>
          </cell>
          <cell r="K273" t="str">
            <v>FC/PSE</v>
          </cell>
          <cell r="L273" t="str">
            <v>AON</v>
          </cell>
          <cell r="M273">
            <v>3000</v>
          </cell>
          <cell r="P273">
            <v>3000</v>
          </cell>
          <cell r="Q273" t="str">
            <v>fiches</v>
          </cell>
          <cell r="R273" t="str">
            <v>rep</v>
          </cell>
          <cell r="S273">
            <v>0.30000000000000004</v>
          </cell>
          <cell r="T273">
            <v>1</v>
          </cell>
          <cell r="U273">
            <v>900.00000000000011</v>
          </cell>
          <cell r="V273">
            <v>0</v>
          </cell>
          <cell r="W273">
            <v>0</v>
          </cell>
          <cell r="X273">
            <v>900.00000000000011</v>
          </cell>
          <cell r="Y273">
            <v>900.00000000000011</v>
          </cell>
          <cell r="Z273">
            <v>0</v>
          </cell>
          <cell r="AA273">
            <v>0</v>
          </cell>
          <cell r="AB273">
            <v>900.00000000000011</v>
          </cell>
          <cell r="AC273">
            <v>0</v>
          </cell>
          <cell r="AD273">
            <v>0</v>
          </cell>
          <cell r="AE273">
            <v>0</v>
          </cell>
          <cell r="AF273">
            <v>0</v>
          </cell>
          <cell r="AG273">
            <v>0</v>
          </cell>
          <cell r="AH273">
            <v>0</v>
          </cell>
        </row>
        <row r="274">
          <cell r="B274" t="str">
            <v>DNES</v>
          </cell>
          <cell r="C274" t="str">
            <v>Q</v>
          </cell>
          <cell r="D274" t="str">
            <v>22C</v>
          </cell>
          <cell r="E274" t="str">
            <v>IRE/</v>
          </cell>
          <cell r="F274" t="str">
            <v>FC/</v>
          </cell>
          <cell r="G274">
            <v>12</v>
          </cell>
          <cell r="H274" t="str">
            <v>Evaluation des enseignants par les APES (forfait par évaluation par enseignant)</v>
          </cell>
          <cell r="I274" t="str">
            <v>DNES</v>
          </cell>
          <cell r="K274" t="str">
            <v>FC/PSE</v>
          </cell>
          <cell r="L274" t="str">
            <v>AUT</v>
          </cell>
          <cell r="M274">
            <v>3000</v>
          </cell>
          <cell r="P274">
            <v>3000</v>
          </cell>
          <cell r="Q274" t="str">
            <v>forfait</v>
          </cell>
          <cell r="S274">
            <v>20</v>
          </cell>
          <cell r="T274">
            <v>1</v>
          </cell>
          <cell r="U274">
            <v>60000</v>
          </cell>
          <cell r="V274">
            <v>0</v>
          </cell>
          <cell r="W274">
            <v>0</v>
          </cell>
          <cell r="X274">
            <v>60000</v>
          </cell>
          <cell r="Y274">
            <v>60000</v>
          </cell>
          <cell r="Z274">
            <v>0</v>
          </cell>
          <cell r="AA274">
            <v>0</v>
          </cell>
          <cell r="AB274">
            <v>60000</v>
          </cell>
          <cell r="AC274">
            <v>0</v>
          </cell>
          <cell r="AD274">
            <v>0</v>
          </cell>
          <cell r="AE274">
            <v>0</v>
          </cell>
          <cell r="AF274">
            <v>0</v>
          </cell>
          <cell r="AG274">
            <v>0</v>
          </cell>
          <cell r="AH274">
            <v>0</v>
          </cell>
        </row>
        <row r="275">
          <cell r="B275" t="str">
            <v>DNES</v>
          </cell>
          <cell r="C275" t="str">
            <v>Q</v>
          </cell>
          <cell r="D275" t="str">
            <v>22C</v>
          </cell>
          <cell r="E275" t="str">
            <v>IRE/</v>
          </cell>
          <cell r="F275" t="str">
            <v>FC/</v>
          </cell>
          <cell r="G275">
            <v>12</v>
          </cell>
          <cell r="H275" t="str">
            <v>Elaboration plans régionaux triennaux form. continue (APES et CRFC 1j)</v>
          </cell>
          <cell r="I275" t="str">
            <v>DNES</v>
          </cell>
          <cell r="K275" t="str">
            <v>FC/PSE</v>
          </cell>
          <cell r="L275" t="str">
            <v>AUT</v>
          </cell>
          <cell r="M275">
            <v>60</v>
          </cell>
          <cell r="P275">
            <v>60</v>
          </cell>
          <cell r="Q275" t="str">
            <v>pxj</v>
          </cell>
          <cell r="R275" t="str">
            <v>asr</v>
          </cell>
          <cell r="S275">
            <v>123.10000000000001</v>
          </cell>
          <cell r="T275">
            <v>1</v>
          </cell>
          <cell r="U275">
            <v>7386.0000000000009</v>
          </cell>
          <cell r="V275">
            <v>0</v>
          </cell>
          <cell r="W275">
            <v>0</v>
          </cell>
          <cell r="X275">
            <v>7386.0000000000009</v>
          </cell>
          <cell r="Y275">
            <v>7386.0000000000009</v>
          </cell>
          <cell r="Z275">
            <v>0</v>
          </cell>
          <cell r="AA275">
            <v>0</v>
          </cell>
          <cell r="AB275">
            <v>7386.0000000000009</v>
          </cell>
          <cell r="AC275">
            <v>0</v>
          </cell>
          <cell r="AD275">
            <v>0</v>
          </cell>
          <cell r="AE275">
            <v>0</v>
          </cell>
          <cell r="AF275">
            <v>0</v>
          </cell>
          <cell r="AG275">
            <v>0</v>
          </cell>
          <cell r="AH275">
            <v>0</v>
          </cell>
        </row>
        <row r="276">
          <cell r="H276" t="str">
            <v>Formation enseignants : 10240 pxj, 20 apprenants et 2 formateurs/session</v>
          </cell>
        </row>
        <row r="277">
          <cell r="B277" t="str">
            <v>DNES</v>
          </cell>
          <cell r="C277" t="str">
            <v>Q</v>
          </cell>
          <cell r="D277" t="str">
            <v>22C</v>
          </cell>
          <cell r="E277" t="str">
            <v>IRE/</v>
          </cell>
          <cell r="F277" t="str">
            <v>FC/CN</v>
          </cell>
          <cell r="G277">
            <v>12</v>
          </cell>
          <cell r="H277" t="str">
            <v>Reproduction des modules de formation 10 200 pxj / 4j par module x 60 pages)</v>
          </cell>
          <cell r="I277" t="str">
            <v>DNES</v>
          </cell>
          <cell r="K277" t="str">
            <v>FC/PSE</v>
          </cell>
          <cell r="L277" t="str">
            <v>AUT</v>
          </cell>
          <cell r="M277">
            <v>36960</v>
          </cell>
          <cell r="N277">
            <v>66000</v>
          </cell>
          <cell r="O277">
            <v>66000</v>
          </cell>
          <cell r="P277">
            <v>168960</v>
          </cell>
          <cell r="Q277" t="str">
            <v>page</v>
          </cell>
          <cell r="R277" t="str">
            <v>rep</v>
          </cell>
          <cell r="S277">
            <v>0.30000000000000004</v>
          </cell>
          <cell r="T277">
            <v>1</v>
          </cell>
          <cell r="U277">
            <v>11088.000000000002</v>
          </cell>
          <cell r="V277">
            <v>19800.000000000004</v>
          </cell>
          <cell r="W277">
            <v>19800.000000000004</v>
          </cell>
          <cell r="X277">
            <v>50688.000000000015</v>
          </cell>
          <cell r="Y277">
            <v>11088.000000000002</v>
          </cell>
          <cell r="Z277">
            <v>19800.000000000004</v>
          </cell>
          <cell r="AA277">
            <v>19800.000000000004</v>
          </cell>
          <cell r="AB277">
            <v>50688.000000000015</v>
          </cell>
          <cell r="AC277">
            <v>0</v>
          </cell>
          <cell r="AD277">
            <v>0</v>
          </cell>
          <cell r="AE277">
            <v>0</v>
          </cell>
          <cell r="AF277">
            <v>0</v>
          </cell>
          <cell r="AG277">
            <v>0</v>
          </cell>
          <cell r="AH277">
            <v>0</v>
          </cell>
        </row>
        <row r="278">
          <cell r="B278" t="str">
            <v>DNES</v>
          </cell>
          <cell r="C278" t="str">
            <v>Q</v>
          </cell>
          <cell r="D278" t="str">
            <v>22C</v>
          </cell>
          <cell r="E278" t="str">
            <v>IRE/</v>
          </cell>
          <cell r="F278" t="str">
            <v>FC/CN</v>
          </cell>
          <cell r="G278">
            <v>12</v>
          </cell>
          <cell r="H278" t="str">
            <v>Fournitures pour les sessions de formation (apprenants et formateurs)</v>
          </cell>
          <cell r="I278" t="str">
            <v>DNES</v>
          </cell>
          <cell r="K278" t="str">
            <v>FC/PSE</v>
          </cell>
          <cell r="L278" t="str">
            <v>AUT</v>
          </cell>
          <cell r="M278">
            <v>616</v>
          </cell>
          <cell r="N278">
            <v>1100</v>
          </cell>
          <cell r="O278">
            <v>1100</v>
          </cell>
          <cell r="P278">
            <v>2816</v>
          </cell>
          <cell r="Q278" t="str">
            <v>lot</v>
          </cell>
          <cell r="S278">
            <v>15</v>
          </cell>
          <cell r="T278">
            <v>1</v>
          </cell>
          <cell r="U278">
            <v>9240</v>
          </cell>
          <cell r="V278">
            <v>16500</v>
          </cell>
          <cell r="W278">
            <v>16500</v>
          </cell>
          <cell r="X278">
            <v>42240</v>
          </cell>
          <cell r="Y278">
            <v>9240</v>
          </cell>
          <cell r="Z278">
            <v>16500</v>
          </cell>
          <cell r="AA278">
            <v>16500</v>
          </cell>
          <cell r="AB278">
            <v>42240</v>
          </cell>
          <cell r="AC278">
            <v>0</v>
          </cell>
          <cell r="AD278">
            <v>0</v>
          </cell>
          <cell r="AE278">
            <v>0</v>
          </cell>
          <cell r="AF278">
            <v>0</v>
          </cell>
          <cell r="AG278">
            <v>0</v>
          </cell>
          <cell r="AH278">
            <v>0</v>
          </cell>
        </row>
        <row r="279">
          <cell r="B279" t="str">
            <v>DNES</v>
          </cell>
          <cell r="C279" t="str">
            <v>Q</v>
          </cell>
          <cell r="D279" t="str">
            <v>22C</v>
          </cell>
          <cell r="E279" t="str">
            <v>IRE/</v>
          </cell>
          <cell r="F279" t="str">
            <v>FC/</v>
          </cell>
          <cell r="G279">
            <v>12</v>
          </cell>
          <cell r="H279" t="str">
            <v>Perdiems apprenants non résidents (25%)</v>
          </cell>
          <cell r="I279" t="str">
            <v>DNES</v>
          </cell>
          <cell r="K279" t="str">
            <v>FC/PSE</v>
          </cell>
          <cell r="L279" t="str">
            <v>AUT</v>
          </cell>
          <cell r="M279">
            <v>560</v>
          </cell>
          <cell r="N279">
            <v>1000</v>
          </cell>
          <cell r="O279">
            <v>1000</v>
          </cell>
          <cell r="P279">
            <v>2560</v>
          </cell>
          <cell r="Q279" t="str">
            <v>pxj</v>
          </cell>
          <cell r="R279" t="str">
            <v>asp</v>
          </cell>
          <cell r="S279">
            <v>98.48</v>
          </cell>
          <cell r="T279">
            <v>1</v>
          </cell>
          <cell r="U279">
            <v>55148.800000000003</v>
          </cell>
          <cell r="V279">
            <v>98480</v>
          </cell>
          <cell r="W279">
            <v>98480</v>
          </cell>
          <cell r="X279">
            <v>252108.79999999999</v>
          </cell>
          <cell r="Y279">
            <v>55148.800000000003</v>
          </cell>
          <cell r="Z279">
            <v>98480</v>
          </cell>
          <cell r="AA279">
            <v>98480</v>
          </cell>
          <cell r="AB279">
            <v>252108.79999999999</v>
          </cell>
          <cell r="AC279">
            <v>0</v>
          </cell>
          <cell r="AD279">
            <v>0</v>
          </cell>
          <cell r="AE279">
            <v>0</v>
          </cell>
          <cell r="AF279">
            <v>0</v>
          </cell>
          <cell r="AG279">
            <v>0</v>
          </cell>
          <cell r="AH279">
            <v>0</v>
          </cell>
        </row>
        <row r="280">
          <cell r="B280" t="str">
            <v>DNES</v>
          </cell>
          <cell r="C280" t="str">
            <v>Q</v>
          </cell>
          <cell r="D280" t="str">
            <v>22C</v>
          </cell>
          <cell r="E280" t="str">
            <v>IRE/</v>
          </cell>
          <cell r="F280" t="str">
            <v>FC/</v>
          </cell>
          <cell r="G280">
            <v>12</v>
          </cell>
          <cell r="H280" t="str">
            <v>Transport interurbain apprenants non résidents (25%) (aller-retour)</v>
          </cell>
          <cell r="I280" t="str">
            <v>DNES</v>
          </cell>
          <cell r="K280" t="str">
            <v>FC/PSE</v>
          </cell>
          <cell r="L280" t="str">
            <v>AUT</v>
          </cell>
          <cell r="M280">
            <v>140</v>
          </cell>
          <cell r="N280">
            <v>250</v>
          </cell>
          <cell r="O280">
            <v>250</v>
          </cell>
          <cell r="P280">
            <v>640</v>
          </cell>
          <cell r="Q280" t="str">
            <v>a/r</v>
          </cell>
          <cell r="S280">
            <v>30</v>
          </cell>
          <cell r="T280">
            <v>1</v>
          </cell>
          <cell r="U280">
            <v>4200</v>
          </cell>
          <cell r="V280">
            <v>7500</v>
          </cell>
          <cell r="W280">
            <v>7500</v>
          </cell>
          <cell r="X280">
            <v>19200</v>
          </cell>
          <cell r="Y280">
            <v>4200</v>
          </cell>
          <cell r="Z280">
            <v>7500</v>
          </cell>
          <cell r="AA280">
            <v>7500</v>
          </cell>
          <cell r="AB280">
            <v>19200</v>
          </cell>
          <cell r="AC280">
            <v>0</v>
          </cell>
          <cell r="AD280">
            <v>0</v>
          </cell>
          <cell r="AE280">
            <v>0</v>
          </cell>
          <cell r="AF280">
            <v>0</v>
          </cell>
          <cell r="AG280">
            <v>0</v>
          </cell>
          <cell r="AH280">
            <v>0</v>
          </cell>
        </row>
        <row r="281">
          <cell r="B281" t="str">
            <v>DNES</v>
          </cell>
          <cell r="C281" t="str">
            <v>Q</v>
          </cell>
          <cell r="D281" t="str">
            <v>22C</v>
          </cell>
          <cell r="E281" t="str">
            <v>IRE/</v>
          </cell>
          <cell r="F281" t="str">
            <v>FC/</v>
          </cell>
          <cell r="G281">
            <v>12</v>
          </cell>
          <cell r="H281" t="str">
            <v>Perdiems apprenants résidents (75%)</v>
          </cell>
          <cell r="I281" t="str">
            <v>DNES</v>
          </cell>
          <cell r="K281" t="str">
            <v>FC/PSE</v>
          </cell>
          <cell r="L281" t="str">
            <v>AUT</v>
          </cell>
          <cell r="M281">
            <v>1680</v>
          </cell>
          <cell r="N281">
            <v>3000</v>
          </cell>
          <cell r="O281">
            <v>3000</v>
          </cell>
          <cell r="P281">
            <v>7680</v>
          </cell>
          <cell r="Q281" t="str">
            <v>pxj</v>
          </cell>
          <cell r="R281" t="str">
            <v>asp</v>
          </cell>
          <cell r="S281">
            <v>24.62</v>
          </cell>
          <cell r="T281">
            <v>1</v>
          </cell>
          <cell r="U281">
            <v>41361.599999999999</v>
          </cell>
          <cell r="V281">
            <v>73860</v>
          </cell>
          <cell r="W281">
            <v>73860</v>
          </cell>
          <cell r="X281">
            <v>189081.60000000001</v>
          </cell>
          <cell r="Y281">
            <v>41361.599999999999</v>
          </cell>
          <cell r="Z281">
            <v>73860</v>
          </cell>
          <cell r="AA281">
            <v>73860</v>
          </cell>
          <cell r="AB281">
            <v>189081.60000000001</v>
          </cell>
          <cell r="AC281">
            <v>0</v>
          </cell>
          <cell r="AD281">
            <v>0</v>
          </cell>
          <cell r="AE281">
            <v>0</v>
          </cell>
          <cell r="AF281">
            <v>0</v>
          </cell>
          <cell r="AG281">
            <v>0</v>
          </cell>
          <cell r="AH281">
            <v>0</v>
          </cell>
        </row>
        <row r="282">
          <cell r="B282" t="str">
            <v>DNES</v>
          </cell>
          <cell r="C282" t="str">
            <v>Q</v>
          </cell>
          <cell r="D282" t="str">
            <v>22C</v>
          </cell>
          <cell r="E282" t="str">
            <v>IRE/</v>
          </cell>
          <cell r="F282" t="str">
            <v>FC/</v>
          </cell>
          <cell r="G282">
            <v>12</v>
          </cell>
          <cell r="H282" t="str">
            <v>Transport urbain apprenants (aller-retour)</v>
          </cell>
          <cell r="I282" t="str">
            <v>DNES</v>
          </cell>
          <cell r="K282" t="str">
            <v>FC/PSE</v>
          </cell>
          <cell r="L282" t="str">
            <v>AUT</v>
          </cell>
          <cell r="M282">
            <v>2240</v>
          </cell>
          <cell r="N282">
            <v>4000</v>
          </cell>
          <cell r="O282">
            <v>4000</v>
          </cell>
          <cell r="P282">
            <v>10240</v>
          </cell>
          <cell r="Q282" t="str">
            <v>j</v>
          </cell>
          <cell r="S282">
            <v>10</v>
          </cell>
          <cell r="T282">
            <v>1</v>
          </cell>
          <cell r="U282">
            <v>22400</v>
          </cell>
          <cell r="V282">
            <v>40000</v>
          </cell>
          <cell r="W282">
            <v>40000</v>
          </cell>
          <cell r="X282">
            <v>102400</v>
          </cell>
          <cell r="Y282">
            <v>22400</v>
          </cell>
          <cell r="Z282">
            <v>40000</v>
          </cell>
          <cell r="AA282">
            <v>40000</v>
          </cell>
          <cell r="AB282">
            <v>102400</v>
          </cell>
          <cell r="AC282">
            <v>0</v>
          </cell>
          <cell r="AD282">
            <v>0</v>
          </cell>
          <cell r="AE282">
            <v>0</v>
          </cell>
          <cell r="AF282">
            <v>0</v>
          </cell>
          <cell r="AG282">
            <v>0</v>
          </cell>
          <cell r="AH282">
            <v>0</v>
          </cell>
        </row>
        <row r="283">
          <cell r="B283" t="str">
            <v>DNES</v>
          </cell>
          <cell r="C283" t="str">
            <v>Q</v>
          </cell>
          <cell r="D283" t="str">
            <v>22C</v>
          </cell>
          <cell r="E283" t="str">
            <v>IRE/</v>
          </cell>
          <cell r="F283" t="str">
            <v>FC/</v>
          </cell>
          <cell r="G283">
            <v>12</v>
          </cell>
          <cell r="H283" t="str">
            <v>Perdiem formateurs non résidents (50%)</v>
          </cell>
          <cell r="I283" t="str">
            <v>DNES</v>
          </cell>
          <cell r="K283" t="str">
            <v>FC/PSE</v>
          </cell>
          <cell r="L283" t="str">
            <v>AUT</v>
          </cell>
          <cell r="M283">
            <v>112</v>
          </cell>
          <cell r="N283">
            <v>200</v>
          </cell>
          <cell r="O283">
            <v>200</v>
          </cell>
          <cell r="P283">
            <v>512</v>
          </cell>
          <cell r="Q283" t="str">
            <v>pxj</v>
          </cell>
          <cell r="R283" t="str">
            <v>asr</v>
          </cell>
          <cell r="S283">
            <v>123.10000000000001</v>
          </cell>
          <cell r="T283">
            <v>1</v>
          </cell>
          <cell r="U283">
            <v>13787.2</v>
          </cell>
          <cell r="V283">
            <v>24620</v>
          </cell>
          <cell r="W283">
            <v>24620</v>
          </cell>
          <cell r="X283">
            <v>63027.199999999997</v>
          </cell>
          <cell r="Y283">
            <v>13787.2</v>
          </cell>
          <cell r="Z283">
            <v>24620</v>
          </cell>
          <cell r="AA283">
            <v>24620</v>
          </cell>
          <cell r="AB283">
            <v>63027.199999999997</v>
          </cell>
          <cell r="AC283">
            <v>0</v>
          </cell>
          <cell r="AD283">
            <v>0</v>
          </cell>
          <cell r="AE283">
            <v>0</v>
          </cell>
          <cell r="AF283">
            <v>0</v>
          </cell>
          <cell r="AG283">
            <v>0</v>
          </cell>
          <cell r="AH283">
            <v>0</v>
          </cell>
        </row>
        <row r="284">
          <cell r="B284" t="str">
            <v>DNES</v>
          </cell>
          <cell r="C284" t="str">
            <v>Q</v>
          </cell>
          <cell r="D284" t="str">
            <v>22C</v>
          </cell>
          <cell r="E284" t="str">
            <v>IRE/</v>
          </cell>
          <cell r="F284" t="str">
            <v>FC/</v>
          </cell>
          <cell r="G284">
            <v>12</v>
          </cell>
          <cell r="H284" t="str">
            <v>Transport interurbain formateurs non résidents (50%) (aller-retour)</v>
          </cell>
          <cell r="I284" t="str">
            <v>DNES</v>
          </cell>
          <cell r="K284" t="str">
            <v>FC/PSE</v>
          </cell>
          <cell r="L284" t="str">
            <v>AUT</v>
          </cell>
          <cell r="M284">
            <v>28</v>
          </cell>
          <cell r="N284">
            <v>50</v>
          </cell>
          <cell r="O284">
            <v>50</v>
          </cell>
          <cell r="P284">
            <v>128</v>
          </cell>
          <cell r="Q284" t="str">
            <v>a/r</v>
          </cell>
          <cell r="S284">
            <v>30</v>
          </cell>
          <cell r="T284">
            <v>1</v>
          </cell>
          <cell r="U284">
            <v>840</v>
          </cell>
          <cell r="V284">
            <v>1500</v>
          </cell>
          <cell r="W284">
            <v>1500</v>
          </cell>
          <cell r="X284">
            <v>3840</v>
          </cell>
          <cell r="Y284">
            <v>840</v>
          </cell>
          <cell r="Z284">
            <v>1500</v>
          </cell>
          <cell r="AA284">
            <v>1500</v>
          </cell>
          <cell r="AB284">
            <v>3840</v>
          </cell>
          <cell r="AC284">
            <v>0</v>
          </cell>
          <cell r="AD284">
            <v>0</v>
          </cell>
          <cell r="AE284">
            <v>0</v>
          </cell>
          <cell r="AF284">
            <v>0</v>
          </cell>
          <cell r="AG284">
            <v>0</v>
          </cell>
          <cell r="AH284">
            <v>0</v>
          </cell>
        </row>
        <row r="285">
          <cell r="B285" t="str">
            <v>DNES</v>
          </cell>
          <cell r="C285" t="str">
            <v>Q</v>
          </cell>
          <cell r="D285" t="str">
            <v>22C</v>
          </cell>
          <cell r="E285" t="str">
            <v>IRE/</v>
          </cell>
          <cell r="F285" t="str">
            <v>FC/</v>
          </cell>
          <cell r="G285">
            <v>12</v>
          </cell>
          <cell r="H285" t="str">
            <v>Perdiem formateurs résidents (50%)</v>
          </cell>
          <cell r="I285" t="str">
            <v>DNES</v>
          </cell>
          <cell r="K285" t="str">
            <v>FC/PSE</v>
          </cell>
          <cell r="L285" t="str">
            <v>AUT</v>
          </cell>
          <cell r="M285">
            <v>112</v>
          </cell>
          <cell r="N285">
            <v>200</v>
          </cell>
          <cell r="O285">
            <v>200</v>
          </cell>
          <cell r="P285">
            <v>512</v>
          </cell>
          <cell r="Q285" t="str">
            <v>pxj</v>
          </cell>
          <cell r="R285" t="str">
            <v>asr</v>
          </cell>
          <cell r="S285">
            <v>30.775000000000002</v>
          </cell>
          <cell r="T285">
            <v>1</v>
          </cell>
          <cell r="U285">
            <v>3446.8</v>
          </cell>
          <cell r="V285">
            <v>6155</v>
          </cell>
          <cell r="W285">
            <v>6155</v>
          </cell>
          <cell r="X285">
            <v>15756.8</v>
          </cell>
          <cell r="Y285">
            <v>3446.8</v>
          </cell>
          <cell r="Z285">
            <v>6155</v>
          </cell>
          <cell r="AA285">
            <v>6155</v>
          </cell>
          <cell r="AB285">
            <v>15756.8</v>
          </cell>
          <cell r="AC285">
            <v>0</v>
          </cell>
          <cell r="AD285">
            <v>0</v>
          </cell>
          <cell r="AE285">
            <v>0</v>
          </cell>
          <cell r="AF285">
            <v>0</v>
          </cell>
          <cell r="AG285">
            <v>0</v>
          </cell>
          <cell r="AH285">
            <v>0</v>
          </cell>
        </row>
        <row r="286">
          <cell r="B286" t="str">
            <v>DNES</v>
          </cell>
          <cell r="C286" t="str">
            <v>Q</v>
          </cell>
          <cell r="D286" t="str">
            <v>22C</v>
          </cell>
          <cell r="E286" t="str">
            <v>IRE/</v>
          </cell>
          <cell r="F286" t="str">
            <v>FC/</v>
          </cell>
          <cell r="G286">
            <v>12</v>
          </cell>
          <cell r="H286" t="str">
            <v>Transport urbain formateurs (100%)</v>
          </cell>
          <cell r="I286" t="str">
            <v>DNES</v>
          </cell>
          <cell r="K286" t="str">
            <v>FC/PSE</v>
          </cell>
          <cell r="L286" t="str">
            <v>AUT</v>
          </cell>
          <cell r="M286">
            <v>224</v>
          </cell>
          <cell r="N286">
            <v>400</v>
          </cell>
          <cell r="O286">
            <v>400</v>
          </cell>
          <cell r="P286">
            <v>1024</v>
          </cell>
          <cell r="Q286" t="str">
            <v>j</v>
          </cell>
          <cell r="S286">
            <v>10</v>
          </cell>
          <cell r="T286">
            <v>1</v>
          </cell>
          <cell r="U286">
            <v>2240</v>
          </cell>
          <cell r="V286">
            <v>4000</v>
          </cell>
          <cell r="W286">
            <v>4000</v>
          </cell>
          <cell r="X286">
            <v>10240</v>
          </cell>
          <cell r="Y286">
            <v>2240</v>
          </cell>
          <cell r="Z286">
            <v>4000</v>
          </cell>
          <cell r="AA286">
            <v>4000</v>
          </cell>
          <cell r="AB286">
            <v>10240</v>
          </cell>
          <cell r="AC286">
            <v>0</v>
          </cell>
          <cell r="AD286">
            <v>0</v>
          </cell>
          <cell r="AE286">
            <v>0</v>
          </cell>
          <cell r="AF286">
            <v>0</v>
          </cell>
          <cell r="AG286">
            <v>0</v>
          </cell>
          <cell r="AH286">
            <v>0</v>
          </cell>
        </row>
        <row r="287">
          <cell r="H287" t="str">
            <v>Suivi/supervision de la formation</v>
          </cell>
        </row>
        <row r="288">
          <cell r="B288" t="str">
            <v>DNES</v>
          </cell>
          <cell r="C288" t="str">
            <v>Q</v>
          </cell>
          <cell r="D288" t="str">
            <v>22C</v>
          </cell>
          <cell r="E288" t="str">
            <v>IRE/</v>
          </cell>
          <cell r="F288" t="str">
            <v>FC/</v>
          </cell>
          <cell r="G288">
            <v>12</v>
          </cell>
          <cell r="H288" t="str">
            <v>Ateliers annuels régionaux coordination suivi sessions FC (3at x 60pxj)</v>
          </cell>
          <cell r="I288" t="str">
            <v>DNES</v>
          </cell>
          <cell r="K288" t="str">
            <v>FC/PSE</v>
          </cell>
          <cell r="L288" t="str">
            <v>AUT</v>
          </cell>
          <cell r="M288">
            <v>60</v>
          </cell>
          <cell r="N288">
            <v>60</v>
          </cell>
          <cell r="O288">
            <v>60</v>
          </cell>
          <cell r="P288">
            <v>180</v>
          </cell>
          <cell r="Q288" t="str">
            <v>pxj</v>
          </cell>
          <cell r="R288" t="str">
            <v>asr</v>
          </cell>
          <cell r="S288">
            <v>123.10000000000001</v>
          </cell>
          <cell r="T288">
            <v>1</v>
          </cell>
          <cell r="U288">
            <v>7386.0000000000009</v>
          </cell>
          <cell r="V288">
            <v>7386.0000000000009</v>
          </cell>
          <cell r="W288">
            <v>7386.0000000000009</v>
          </cell>
          <cell r="X288">
            <v>22158.000000000004</v>
          </cell>
          <cell r="Y288">
            <v>7386.0000000000009</v>
          </cell>
          <cell r="Z288">
            <v>7386.0000000000009</v>
          </cell>
          <cell r="AA288">
            <v>7386.0000000000009</v>
          </cell>
          <cell r="AB288">
            <v>22158.000000000004</v>
          </cell>
          <cell r="AC288">
            <v>0</v>
          </cell>
          <cell r="AD288">
            <v>0</v>
          </cell>
          <cell r="AE288">
            <v>0</v>
          </cell>
          <cell r="AF288">
            <v>0</v>
          </cell>
          <cell r="AG288">
            <v>0</v>
          </cell>
          <cell r="AH288">
            <v>0</v>
          </cell>
        </row>
        <row r="289">
          <cell r="B289" t="str">
            <v>DNES</v>
          </cell>
          <cell r="C289" t="str">
            <v>Q</v>
          </cell>
          <cell r="D289" t="str">
            <v>22C</v>
          </cell>
          <cell r="E289" t="str">
            <v>IRE/</v>
          </cell>
          <cell r="F289" t="str">
            <v>FC/</v>
          </cell>
          <cell r="G289">
            <v>12</v>
          </cell>
          <cell r="H289" t="str">
            <v>Supervision régionale (IRE + CRFC) des sessions de FC (1j par session)</v>
          </cell>
          <cell r="I289" t="str">
            <v>DNES</v>
          </cell>
          <cell r="K289" t="str">
            <v>FC/PSE</v>
          </cell>
          <cell r="L289" t="str">
            <v>AUT</v>
          </cell>
          <cell r="M289">
            <v>27.5</v>
          </cell>
          <cell r="N289">
            <v>50</v>
          </cell>
          <cell r="O289">
            <v>50</v>
          </cell>
          <cell r="P289">
            <v>127.5</v>
          </cell>
          <cell r="Q289" t="str">
            <v>pxj</v>
          </cell>
          <cell r="R289" t="str">
            <v>mir</v>
          </cell>
          <cell r="S289">
            <v>196.96</v>
          </cell>
          <cell r="T289">
            <v>1</v>
          </cell>
          <cell r="U289">
            <v>5416.4000000000005</v>
          </cell>
          <cell r="V289">
            <v>9848</v>
          </cell>
          <cell r="W289">
            <v>9848</v>
          </cell>
          <cell r="X289">
            <v>25112.400000000001</v>
          </cell>
          <cell r="Y289">
            <v>5416.4000000000005</v>
          </cell>
          <cell r="Z289">
            <v>9848</v>
          </cell>
          <cell r="AA289">
            <v>9848</v>
          </cell>
          <cell r="AB289">
            <v>25112.400000000001</v>
          </cell>
          <cell r="AC289">
            <v>0</v>
          </cell>
          <cell r="AD289">
            <v>0</v>
          </cell>
          <cell r="AE289">
            <v>0</v>
          </cell>
          <cell r="AF289">
            <v>0</v>
          </cell>
          <cell r="AG289">
            <v>0</v>
          </cell>
          <cell r="AH289">
            <v>0</v>
          </cell>
        </row>
        <row r="290">
          <cell r="B290" t="str">
            <v>DNES</v>
          </cell>
          <cell r="C290" t="str">
            <v>Q</v>
          </cell>
          <cell r="D290" t="str">
            <v>22C</v>
          </cell>
          <cell r="E290" t="str">
            <v>DNES</v>
          </cell>
          <cell r="F290" t="str">
            <v>FC/CN</v>
          </cell>
          <cell r="G290">
            <v>12</v>
          </cell>
          <cell r="H290" t="str">
            <v>Supervision centrale (10 trim x 8 reg x 3j)</v>
          </cell>
          <cell r="I290" t="str">
            <v>DNES</v>
          </cell>
          <cell r="K290" t="str">
            <v>FC/PSE</v>
          </cell>
          <cell r="L290" t="str">
            <v>AUT</v>
          </cell>
          <cell r="M290">
            <v>48</v>
          </cell>
          <cell r="N290">
            <v>96</v>
          </cell>
          <cell r="O290">
            <v>96</v>
          </cell>
          <cell r="P290">
            <v>240</v>
          </cell>
          <cell r="Q290" t="str">
            <v>pxj</v>
          </cell>
          <cell r="R290" t="str">
            <v>min</v>
          </cell>
          <cell r="S290">
            <v>246.20000000000002</v>
          </cell>
          <cell r="T290">
            <v>1</v>
          </cell>
          <cell r="U290">
            <v>11817.6</v>
          </cell>
          <cell r="V290">
            <v>23635.200000000001</v>
          </cell>
          <cell r="W290">
            <v>23635.200000000001</v>
          </cell>
          <cell r="X290">
            <v>59088</v>
          </cell>
          <cell r="Y290">
            <v>11817.6</v>
          </cell>
          <cell r="Z290">
            <v>23635.200000000001</v>
          </cell>
          <cell r="AA290">
            <v>23635.200000000001</v>
          </cell>
          <cell r="AB290">
            <v>59088</v>
          </cell>
          <cell r="AC290">
            <v>0</v>
          </cell>
          <cell r="AD290">
            <v>0</v>
          </cell>
          <cell r="AE290">
            <v>0</v>
          </cell>
          <cell r="AF290">
            <v>0</v>
          </cell>
          <cell r="AG290">
            <v>0</v>
          </cell>
          <cell r="AH290">
            <v>0</v>
          </cell>
        </row>
        <row r="291">
          <cell r="H291" t="str">
            <v>Manuels élèves des lycées</v>
          </cell>
          <cell r="U291">
            <v>30000</v>
          </cell>
          <cell r="V291">
            <v>10150826.000000002</v>
          </cell>
          <cell r="W291">
            <v>0</v>
          </cell>
          <cell r="X291">
            <v>10180826.000000002</v>
          </cell>
          <cell r="Y291">
            <v>30000</v>
          </cell>
          <cell r="Z291">
            <v>10150826.000000002</v>
          </cell>
          <cell r="AA291">
            <v>0</v>
          </cell>
          <cell r="AB291">
            <v>10180826.000000002</v>
          </cell>
          <cell r="AC291">
            <v>0</v>
          </cell>
          <cell r="AD291">
            <v>0</v>
          </cell>
          <cell r="AE291">
            <v>0</v>
          </cell>
          <cell r="AF291">
            <v>0</v>
          </cell>
          <cell r="AH291">
            <v>0</v>
          </cell>
        </row>
        <row r="292">
          <cell r="B292" t="str">
            <v>INRAP/DNEE</v>
          </cell>
          <cell r="C292" t="str">
            <v>Q</v>
          </cell>
          <cell r="D292" t="str">
            <v>22D</v>
          </cell>
          <cell r="E292" t="str">
            <v>INRAP</v>
          </cell>
          <cell r="F292" t="str">
            <v>FC/CN</v>
          </cell>
          <cell r="G292">
            <v>24</v>
          </cell>
          <cell r="H292" t="str">
            <v>Elaboration manuscrits de 3 manuels d'anglais 11è, 12è, et Tle</v>
          </cell>
          <cell r="I292" t="str">
            <v>CN/PSE</v>
          </cell>
          <cell r="K292" t="str">
            <v>FC/PSE</v>
          </cell>
          <cell r="L292" t="str">
            <v>AUT</v>
          </cell>
          <cell r="M292">
            <v>3</v>
          </cell>
          <cell r="P292">
            <v>3</v>
          </cell>
          <cell r="Q292" t="str">
            <v>forfait</v>
          </cell>
          <cell r="S292">
            <v>10000</v>
          </cell>
          <cell r="T292">
            <v>1</v>
          </cell>
          <cell r="U292">
            <v>30000</v>
          </cell>
          <cell r="V292">
            <v>0</v>
          </cell>
          <cell r="W292">
            <v>0</v>
          </cell>
          <cell r="X292">
            <v>30000</v>
          </cell>
          <cell r="Y292">
            <v>30000</v>
          </cell>
          <cell r="Z292">
            <v>0</v>
          </cell>
          <cell r="AA292">
            <v>0</v>
          </cell>
          <cell r="AB292">
            <v>30000</v>
          </cell>
          <cell r="AC292">
            <v>0</v>
          </cell>
          <cell r="AD292">
            <v>0</v>
          </cell>
          <cell r="AE292">
            <v>0</v>
          </cell>
          <cell r="AF292">
            <v>0</v>
          </cell>
          <cell r="AG292">
            <v>0</v>
          </cell>
          <cell r="AH292">
            <v>0</v>
          </cell>
        </row>
        <row r="293">
          <cell r="B293" t="str">
            <v>INRAP/DNES</v>
          </cell>
          <cell r="C293" t="str">
            <v>Q</v>
          </cell>
          <cell r="D293" t="str">
            <v>22D</v>
          </cell>
          <cell r="E293" t="str">
            <v>EP/</v>
          </cell>
          <cell r="F293" t="str">
            <v>FC/CN</v>
          </cell>
          <cell r="G293">
            <v>24</v>
          </cell>
          <cell r="H293" t="str">
            <v>Acquisition manuels français : 11è, 12è, Tle</v>
          </cell>
          <cell r="I293" t="str">
            <v>CN/PSE</v>
          </cell>
          <cell r="K293" t="str">
            <v>FC/PSE</v>
          </cell>
          <cell r="L293" t="str">
            <v>AOI</v>
          </cell>
          <cell r="N293">
            <v>136000</v>
          </cell>
          <cell r="P293">
            <v>136000</v>
          </cell>
          <cell r="Q293" t="str">
            <v>u</v>
          </cell>
          <cell r="R293" t="str">
            <v>rml</v>
          </cell>
          <cell r="S293">
            <v>17.234000000000002</v>
          </cell>
          <cell r="T293">
            <v>1</v>
          </cell>
          <cell r="U293">
            <v>0</v>
          </cell>
          <cell r="V293">
            <v>2343824.0000000005</v>
          </cell>
          <cell r="W293">
            <v>0</v>
          </cell>
          <cell r="X293">
            <v>2343824.0000000005</v>
          </cell>
          <cell r="Y293">
            <v>0</v>
          </cell>
          <cell r="Z293">
            <v>2343824.0000000005</v>
          </cell>
          <cell r="AA293">
            <v>0</v>
          </cell>
          <cell r="AB293">
            <v>2343824.0000000005</v>
          </cell>
          <cell r="AC293">
            <v>0</v>
          </cell>
          <cell r="AD293">
            <v>0</v>
          </cell>
          <cell r="AE293">
            <v>0</v>
          </cell>
          <cell r="AF293">
            <v>0</v>
          </cell>
          <cell r="AG293">
            <v>0</v>
          </cell>
          <cell r="AH293">
            <v>0</v>
          </cell>
        </row>
        <row r="294">
          <cell r="B294" t="str">
            <v>INRAP/DNES</v>
          </cell>
          <cell r="C294" t="str">
            <v>Q</v>
          </cell>
          <cell r="D294" t="str">
            <v>22D</v>
          </cell>
          <cell r="E294" t="str">
            <v>EP/</v>
          </cell>
          <cell r="F294" t="str">
            <v>FC/CN</v>
          </cell>
          <cell r="G294">
            <v>24</v>
          </cell>
          <cell r="H294" t="str">
            <v>Acquisition manuels mathématiques : 11è, 12è, Tle</v>
          </cell>
          <cell r="I294" t="str">
            <v>CN/PSE</v>
          </cell>
          <cell r="K294" t="str">
            <v>FC/PSE</v>
          </cell>
          <cell r="L294" t="str">
            <v>AOI</v>
          </cell>
          <cell r="N294">
            <v>85000</v>
          </cell>
          <cell r="P294">
            <v>85000</v>
          </cell>
          <cell r="Q294" t="str">
            <v>u</v>
          </cell>
          <cell r="R294" t="str">
            <v>rml</v>
          </cell>
          <cell r="S294">
            <v>17.234000000000002</v>
          </cell>
          <cell r="T294">
            <v>1</v>
          </cell>
          <cell r="U294">
            <v>0</v>
          </cell>
          <cell r="V294">
            <v>1464890.0000000002</v>
          </cell>
          <cell r="W294">
            <v>0</v>
          </cell>
          <cell r="X294">
            <v>1464890.0000000002</v>
          </cell>
          <cell r="Y294">
            <v>0</v>
          </cell>
          <cell r="Z294">
            <v>1464890.0000000002</v>
          </cell>
          <cell r="AA294">
            <v>0</v>
          </cell>
          <cell r="AB294">
            <v>1464890.0000000002</v>
          </cell>
          <cell r="AC294">
            <v>0</v>
          </cell>
          <cell r="AD294">
            <v>0</v>
          </cell>
          <cell r="AE294">
            <v>0</v>
          </cell>
          <cell r="AF294">
            <v>0</v>
          </cell>
          <cell r="AG294">
            <v>0</v>
          </cell>
          <cell r="AH294">
            <v>0</v>
          </cell>
        </row>
        <row r="295">
          <cell r="B295" t="str">
            <v>INRAP/DNES</v>
          </cell>
          <cell r="C295" t="str">
            <v>Q</v>
          </cell>
          <cell r="D295" t="str">
            <v>22D</v>
          </cell>
          <cell r="E295" t="str">
            <v>EP/</v>
          </cell>
          <cell r="F295" t="str">
            <v>FC/CN</v>
          </cell>
          <cell r="G295">
            <v>24</v>
          </cell>
          <cell r="H295" t="str">
            <v>Acquisition manuels biologie/géologie : 11è, 12è, Tle</v>
          </cell>
          <cell r="I295" t="str">
            <v>CN/PSE</v>
          </cell>
          <cell r="K295" t="str">
            <v>FC/PSE</v>
          </cell>
          <cell r="L295" t="str">
            <v>AOI</v>
          </cell>
          <cell r="N295">
            <v>45000</v>
          </cell>
          <cell r="P295">
            <v>45000</v>
          </cell>
          <cell r="Q295" t="str">
            <v>u</v>
          </cell>
          <cell r="R295" t="str">
            <v>rml</v>
          </cell>
          <cell r="S295">
            <v>17.234000000000002</v>
          </cell>
          <cell r="T295">
            <v>1</v>
          </cell>
          <cell r="U295">
            <v>0</v>
          </cell>
          <cell r="V295">
            <v>775530.00000000012</v>
          </cell>
          <cell r="W295">
            <v>0</v>
          </cell>
          <cell r="X295">
            <v>775530.00000000012</v>
          </cell>
          <cell r="Y295">
            <v>0</v>
          </cell>
          <cell r="Z295">
            <v>775530.00000000012</v>
          </cell>
          <cell r="AA295">
            <v>0</v>
          </cell>
          <cell r="AB295">
            <v>775530.00000000012</v>
          </cell>
          <cell r="AC295">
            <v>0</v>
          </cell>
          <cell r="AD295">
            <v>0</v>
          </cell>
          <cell r="AE295">
            <v>0</v>
          </cell>
          <cell r="AF295">
            <v>0</v>
          </cell>
          <cell r="AG295">
            <v>0</v>
          </cell>
          <cell r="AH295">
            <v>0</v>
          </cell>
        </row>
        <row r="296">
          <cell r="B296" t="str">
            <v>INRAP/DNES</v>
          </cell>
          <cell r="C296" t="str">
            <v>Q</v>
          </cell>
          <cell r="D296" t="str">
            <v>22D</v>
          </cell>
          <cell r="E296" t="str">
            <v>EP/</v>
          </cell>
          <cell r="F296" t="str">
            <v>FC/CN</v>
          </cell>
          <cell r="G296">
            <v>24</v>
          </cell>
          <cell r="H296" t="str">
            <v>Acquisition manuels physique : 11è, 12è, Tle</v>
          </cell>
          <cell r="I296" t="str">
            <v>CN/PSE</v>
          </cell>
          <cell r="K296" t="str">
            <v>FC/PSE</v>
          </cell>
          <cell r="L296" t="str">
            <v>AOI</v>
          </cell>
          <cell r="N296">
            <v>85000</v>
          </cell>
          <cell r="P296">
            <v>85000</v>
          </cell>
          <cell r="Q296" t="str">
            <v>u</v>
          </cell>
          <cell r="R296" t="str">
            <v>rml</v>
          </cell>
          <cell r="S296">
            <v>17.234000000000002</v>
          </cell>
          <cell r="T296">
            <v>1</v>
          </cell>
          <cell r="U296">
            <v>0</v>
          </cell>
          <cell r="V296">
            <v>1464890.0000000002</v>
          </cell>
          <cell r="W296">
            <v>0</v>
          </cell>
          <cell r="X296">
            <v>1464890.0000000002</v>
          </cell>
          <cell r="Y296">
            <v>0</v>
          </cell>
          <cell r="Z296">
            <v>1464890.0000000002</v>
          </cell>
          <cell r="AA296">
            <v>0</v>
          </cell>
          <cell r="AB296">
            <v>1464890.0000000002</v>
          </cell>
          <cell r="AC296">
            <v>0</v>
          </cell>
          <cell r="AD296">
            <v>0</v>
          </cell>
          <cell r="AE296">
            <v>0</v>
          </cell>
          <cell r="AF296">
            <v>0</v>
          </cell>
          <cell r="AG296">
            <v>0</v>
          </cell>
          <cell r="AH296">
            <v>0</v>
          </cell>
        </row>
        <row r="297">
          <cell r="B297" t="str">
            <v>INRAP/DNES</v>
          </cell>
          <cell r="C297" t="str">
            <v>Q</v>
          </cell>
          <cell r="D297" t="str">
            <v>22D</v>
          </cell>
          <cell r="E297" t="str">
            <v>EP/</v>
          </cell>
          <cell r="F297" t="str">
            <v>FC/CN</v>
          </cell>
          <cell r="G297">
            <v>24</v>
          </cell>
          <cell r="H297" t="str">
            <v>Acquisition manuels chimie : 11è, 12è, Tle</v>
          </cell>
          <cell r="I297" t="str">
            <v>CN/PSE</v>
          </cell>
          <cell r="K297" t="str">
            <v>FC/PSE</v>
          </cell>
          <cell r="L297" t="str">
            <v>AOI</v>
          </cell>
          <cell r="N297">
            <v>85000</v>
          </cell>
          <cell r="P297">
            <v>85000</v>
          </cell>
          <cell r="Q297" t="str">
            <v>u</v>
          </cell>
          <cell r="R297" t="str">
            <v>rml</v>
          </cell>
          <cell r="S297">
            <v>17.234000000000002</v>
          </cell>
          <cell r="T297">
            <v>1</v>
          </cell>
          <cell r="U297">
            <v>0</v>
          </cell>
          <cell r="V297">
            <v>1464890.0000000002</v>
          </cell>
          <cell r="W297">
            <v>0</v>
          </cell>
          <cell r="X297">
            <v>1464890.0000000002</v>
          </cell>
          <cell r="Y297">
            <v>0</v>
          </cell>
          <cell r="Z297">
            <v>1464890.0000000002</v>
          </cell>
          <cell r="AA297">
            <v>0</v>
          </cell>
          <cell r="AB297">
            <v>1464890.0000000002</v>
          </cell>
          <cell r="AC297">
            <v>0</v>
          </cell>
          <cell r="AD297">
            <v>0</v>
          </cell>
          <cell r="AE297">
            <v>0</v>
          </cell>
          <cell r="AF297">
            <v>0</v>
          </cell>
          <cell r="AG297">
            <v>0</v>
          </cell>
          <cell r="AH297">
            <v>0</v>
          </cell>
        </row>
        <row r="298">
          <cell r="B298" t="str">
            <v>INRAP/DNES</v>
          </cell>
          <cell r="C298" t="str">
            <v>Q</v>
          </cell>
          <cell r="D298" t="str">
            <v>22D</v>
          </cell>
          <cell r="E298" t="str">
            <v>EP/</v>
          </cell>
          <cell r="F298" t="str">
            <v>FC/CN</v>
          </cell>
          <cell r="G298">
            <v>24</v>
          </cell>
          <cell r="H298" t="str">
            <v>Acquisition manuels philosophie : 11è, 12è, Tle</v>
          </cell>
          <cell r="I298" t="str">
            <v>CN/PSE</v>
          </cell>
          <cell r="K298" t="str">
            <v>FC/PSE</v>
          </cell>
          <cell r="L298" t="str">
            <v>AOI</v>
          </cell>
          <cell r="N298">
            <v>51000</v>
          </cell>
          <cell r="P298">
            <v>51000</v>
          </cell>
          <cell r="Q298" t="str">
            <v>u</v>
          </cell>
          <cell r="R298" t="str">
            <v>rml</v>
          </cell>
          <cell r="S298">
            <v>17.234000000000002</v>
          </cell>
          <cell r="T298">
            <v>1</v>
          </cell>
          <cell r="U298">
            <v>0</v>
          </cell>
          <cell r="V298">
            <v>878934.00000000012</v>
          </cell>
          <cell r="W298">
            <v>0</v>
          </cell>
          <cell r="X298">
            <v>878934.00000000012</v>
          </cell>
          <cell r="Y298">
            <v>0</v>
          </cell>
          <cell r="Z298">
            <v>878934.00000000012</v>
          </cell>
          <cell r="AA298">
            <v>0</v>
          </cell>
          <cell r="AB298">
            <v>878934.00000000012</v>
          </cell>
          <cell r="AC298">
            <v>0</v>
          </cell>
          <cell r="AD298">
            <v>0</v>
          </cell>
          <cell r="AE298">
            <v>0</v>
          </cell>
          <cell r="AF298">
            <v>0</v>
          </cell>
          <cell r="AG298">
            <v>0</v>
          </cell>
          <cell r="AH298">
            <v>0</v>
          </cell>
        </row>
        <row r="299">
          <cell r="B299" t="str">
            <v>INRAP/DNES</v>
          </cell>
          <cell r="C299" t="str">
            <v>Q</v>
          </cell>
          <cell r="D299" t="str">
            <v>22D</v>
          </cell>
          <cell r="E299" t="str">
            <v>EP/</v>
          </cell>
          <cell r="F299" t="str">
            <v>FC/CN</v>
          </cell>
          <cell r="G299">
            <v>24</v>
          </cell>
          <cell r="H299" t="str">
            <v>Acquisition manuels économie : 11è, 12è, Tle</v>
          </cell>
          <cell r="I299" t="str">
            <v>CN/PSE</v>
          </cell>
          <cell r="K299" t="str">
            <v>FC/PSE</v>
          </cell>
          <cell r="L299" t="str">
            <v>AOI</v>
          </cell>
          <cell r="N299">
            <v>51000</v>
          </cell>
          <cell r="P299">
            <v>51000</v>
          </cell>
          <cell r="Q299" t="str">
            <v>u</v>
          </cell>
          <cell r="R299" t="str">
            <v>rml</v>
          </cell>
          <cell r="S299">
            <v>17.234000000000002</v>
          </cell>
          <cell r="T299">
            <v>1</v>
          </cell>
          <cell r="U299">
            <v>0</v>
          </cell>
          <cell r="V299">
            <v>878934.00000000012</v>
          </cell>
          <cell r="W299">
            <v>0</v>
          </cell>
          <cell r="X299">
            <v>878934.00000000012</v>
          </cell>
          <cell r="Y299">
            <v>0</v>
          </cell>
          <cell r="Z299">
            <v>878934.00000000012</v>
          </cell>
          <cell r="AA299">
            <v>0</v>
          </cell>
          <cell r="AB299">
            <v>878934.00000000012</v>
          </cell>
          <cell r="AC299">
            <v>0</v>
          </cell>
          <cell r="AD299">
            <v>0</v>
          </cell>
          <cell r="AE299">
            <v>0</v>
          </cell>
          <cell r="AF299">
            <v>0</v>
          </cell>
          <cell r="AG299">
            <v>0</v>
          </cell>
          <cell r="AH299">
            <v>0</v>
          </cell>
        </row>
        <row r="300">
          <cell r="B300" t="str">
            <v>INRAP/DNES</v>
          </cell>
          <cell r="C300" t="str">
            <v>Q</v>
          </cell>
          <cell r="D300" t="str">
            <v>22D</v>
          </cell>
          <cell r="E300" t="str">
            <v>EP/</v>
          </cell>
          <cell r="F300" t="str">
            <v>FC/CN</v>
          </cell>
          <cell r="G300">
            <v>24</v>
          </cell>
          <cell r="H300" t="str">
            <v>Edition manuels anglais : 11è, 12è, Tle</v>
          </cell>
          <cell r="I300" t="str">
            <v>CN/PSE</v>
          </cell>
          <cell r="K300" t="str">
            <v>FC/PSE</v>
          </cell>
          <cell r="L300" t="str">
            <v>AOI</v>
          </cell>
          <cell r="N300">
            <v>51000</v>
          </cell>
          <cell r="P300">
            <v>51000</v>
          </cell>
          <cell r="Q300" t="str">
            <v>u</v>
          </cell>
          <cell r="R300" t="str">
            <v>eml</v>
          </cell>
          <cell r="S300">
            <v>17.234000000000002</v>
          </cell>
          <cell r="T300">
            <v>1</v>
          </cell>
          <cell r="U300">
            <v>0</v>
          </cell>
          <cell r="V300">
            <v>878934.00000000012</v>
          </cell>
          <cell r="W300">
            <v>0</v>
          </cell>
          <cell r="X300">
            <v>878934.00000000012</v>
          </cell>
          <cell r="Y300">
            <v>0</v>
          </cell>
          <cell r="Z300">
            <v>878934.00000000012</v>
          </cell>
          <cell r="AA300">
            <v>0</v>
          </cell>
          <cell r="AB300">
            <v>878934.00000000012</v>
          </cell>
          <cell r="AC300">
            <v>0</v>
          </cell>
          <cell r="AD300">
            <v>0</v>
          </cell>
          <cell r="AE300">
            <v>0</v>
          </cell>
          <cell r="AF300">
            <v>0</v>
          </cell>
          <cell r="AG300">
            <v>0</v>
          </cell>
          <cell r="AH300">
            <v>0</v>
          </cell>
        </row>
        <row r="301">
          <cell r="H301" t="str">
            <v>P3 ENSEIGNEMENT TECHNIQUE ET PROFESSIONNEL</v>
          </cell>
          <cell r="U301">
            <v>16037023.376</v>
          </cell>
          <cell r="V301">
            <v>14799364.800000003</v>
          </cell>
          <cell r="W301">
            <v>14156960.064000001</v>
          </cell>
          <cell r="X301">
            <v>44993348.24000001</v>
          </cell>
          <cell r="Y301">
            <v>16037023.376</v>
          </cell>
          <cell r="Z301">
            <v>14799364.800000003</v>
          </cell>
          <cell r="AA301">
            <v>14156960.064000001</v>
          </cell>
          <cell r="AB301">
            <v>44993348.24000001</v>
          </cell>
          <cell r="AC301">
            <v>0</v>
          </cell>
          <cell r="AD301">
            <v>0</v>
          </cell>
          <cell r="AE301">
            <v>0</v>
          </cell>
          <cell r="AF301">
            <v>0</v>
          </cell>
          <cell r="AH301">
            <v>0</v>
          </cell>
        </row>
        <row r="302">
          <cell r="H302" t="str">
            <v>FORMATION PROFESSIONNELLE COURTE DUREE</v>
          </cell>
          <cell r="U302">
            <v>3629523.3759999997</v>
          </cell>
          <cell r="V302">
            <v>14799364.799999999</v>
          </cell>
          <cell r="W302">
            <v>14156960.063999999</v>
          </cell>
          <cell r="X302">
            <v>32585848.239999998</v>
          </cell>
          <cell r="Y302">
            <v>3629523.3759999997</v>
          </cell>
          <cell r="Z302">
            <v>14799364.799999999</v>
          </cell>
          <cell r="AA302">
            <v>14156960.063999999</v>
          </cell>
          <cell r="AB302">
            <v>32585848.239999998</v>
          </cell>
          <cell r="AC302">
            <v>0</v>
          </cell>
          <cell r="AD302">
            <v>0</v>
          </cell>
          <cell r="AE302">
            <v>0</v>
          </cell>
          <cell r="AF302">
            <v>0</v>
          </cell>
          <cell r="AH302">
            <v>0</v>
          </cell>
        </row>
        <row r="303">
          <cell r="H303" t="str">
            <v>Pilotage et partenariat</v>
          </cell>
          <cell r="U303">
            <v>2517596.88</v>
          </cell>
          <cell r="V303">
            <v>41000</v>
          </cell>
          <cell r="W303">
            <v>41000</v>
          </cell>
          <cell r="X303">
            <v>2599596.88</v>
          </cell>
          <cell r="Y303">
            <v>2517596.88</v>
          </cell>
          <cell r="Z303">
            <v>41000</v>
          </cell>
          <cell r="AA303">
            <v>41000</v>
          </cell>
          <cell r="AB303">
            <v>2599596.88</v>
          </cell>
          <cell r="AC303">
            <v>0</v>
          </cell>
          <cell r="AD303">
            <v>0</v>
          </cell>
          <cell r="AE303">
            <v>0</v>
          </cell>
          <cell r="AF303">
            <v>0</v>
          </cell>
          <cell r="AH303">
            <v>0</v>
          </cell>
        </row>
        <row r="304">
          <cell r="B304" t="str">
            <v>DNDPPE</v>
          </cell>
          <cell r="C304" t="str">
            <v>A</v>
          </cell>
          <cell r="D304" t="str">
            <v>31A</v>
          </cell>
          <cell r="E304" t="str">
            <v>DNDPPE</v>
          </cell>
          <cell r="F304" t="str">
            <v>FC/CN</v>
          </cell>
          <cell r="G304">
            <v>25</v>
          </cell>
          <cell r="H304" t="str">
            <v>Contrat de partenariat avec institution spécialisée en ETFP</v>
          </cell>
          <cell r="I304" t="str">
            <v>DNDPPE</v>
          </cell>
          <cell r="K304" t="str">
            <v>FC/PSE</v>
          </cell>
          <cell r="L304" t="str">
            <v>CR</v>
          </cell>
          <cell r="M304">
            <v>24</v>
          </cell>
          <cell r="P304">
            <v>24</v>
          </cell>
          <cell r="Q304" t="str">
            <v>pxm</v>
          </cell>
          <cell r="R304" t="str">
            <v>cic</v>
          </cell>
          <cell r="S304">
            <v>88632</v>
          </cell>
          <cell r="T304">
            <v>1</v>
          </cell>
          <cell r="U304">
            <v>2127168</v>
          </cell>
          <cell r="V304">
            <v>0</v>
          </cell>
          <cell r="W304">
            <v>0</v>
          </cell>
          <cell r="X304">
            <v>2127168</v>
          </cell>
          <cell r="Y304">
            <v>2127168</v>
          </cell>
          <cell r="Z304">
            <v>0</v>
          </cell>
          <cell r="AA304">
            <v>0</v>
          </cell>
          <cell r="AB304">
            <v>2127168</v>
          </cell>
          <cell r="AC304">
            <v>0</v>
          </cell>
          <cell r="AD304">
            <v>0</v>
          </cell>
          <cell r="AE304">
            <v>0</v>
          </cell>
          <cell r="AF304">
            <v>0</v>
          </cell>
          <cell r="AG304">
            <v>0</v>
          </cell>
          <cell r="AH304">
            <v>0</v>
          </cell>
        </row>
        <row r="305">
          <cell r="B305" t="str">
            <v>DNDPPE</v>
          </cell>
          <cell r="C305" t="str">
            <v>A</v>
          </cell>
          <cell r="D305" t="str">
            <v>31A</v>
          </cell>
          <cell r="E305" t="str">
            <v>DNDPPE</v>
          </cell>
          <cell r="F305" t="str">
            <v>FC/CN</v>
          </cell>
          <cell r="G305">
            <v>15</v>
          </cell>
          <cell r="H305" t="str">
            <v>Création et fonctionnement d'un Comité de concertation de l'ETFP</v>
          </cell>
          <cell r="I305" t="str">
            <v>DNDPPE</v>
          </cell>
          <cell r="K305" t="str">
            <v>FC/PSE</v>
          </cell>
          <cell r="L305" t="str">
            <v>AUT</v>
          </cell>
          <cell r="M305">
            <v>1</v>
          </cell>
          <cell r="N305">
            <v>1</v>
          </cell>
          <cell r="O305">
            <v>1</v>
          </cell>
          <cell r="P305">
            <v>3</v>
          </cell>
          <cell r="Q305" t="str">
            <v>forfait</v>
          </cell>
          <cell r="S305">
            <v>5000</v>
          </cell>
          <cell r="T305">
            <v>1</v>
          </cell>
          <cell r="U305">
            <v>5000</v>
          </cell>
          <cell r="V305">
            <v>5000</v>
          </cell>
          <cell r="W305">
            <v>5000</v>
          </cell>
          <cell r="X305">
            <v>15000</v>
          </cell>
          <cell r="Y305">
            <v>5000</v>
          </cell>
          <cell r="Z305">
            <v>5000</v>
          </cell>
          <cell r="AA305">
            <v>5000</v>
          </cell>
          <cell r="AB305">
            <v>15000</v>
          </cell>
          <cell r="AC305">
            <v>0</v>
          </cell>
          <cell r="AD305">
            <v>0</v>
          </cell>
          <cell r="AE305">
            <v>0</v>
          </cell>
          <cell r="AF305">
            <v>0</v>
          </cell>
          <cell r="AG305">
            <v>0</v>
          </cell>
          <cell r="AH305">
            <v>0</v>
          </cell>
        </row>
        <row r="306">
          <cell r="B306" t="str">
            <v>DNDPPE</v>
          </cell>
          <cell r="C306" t="str">
            <v>A</v>
          </cell>
          <cell r="D306" t="str">
            <v>31A</v>
          </cell>
          <cell r="E306" t="str">
            <v>DNDPPE</v>
          </cell>
          <cell r="F306" t="str">
            <v>FC/CN</v>
          </cell>
          <cell r="G306">
            <v>15</v>
          </cell>
          <cell r="H306" t="str">
            <v>Appui au fonctionnement de la DNDPPE</v>
          </cell>
          <cell r="I306" t="str">
            <v>DNDPPE</v>
          </cell>
          <cell r="K306" t="str">
            <v>FC/PSE</v>
          </cell>
          <cell r="L306" t="str">
            <v>AUT</v>
          </cell>
          <cell r="M306">
            <v>6</v>
          </cell>
          <cell r="N306">
            <v>12</v>
          </cell>
          <cell r="O306">
            <v>12</v>
          </cell>
          <cell r="P306">
            <v>30</v>
          </cell>
          <cell r="Q306" t="str">
            <v>mois</v>
          </cell>
          <cell r="S306">
            <v>3000</v>
          </cell>
          <cell r="T306">
            <v>1</v>
          </cell>
          <cell r="U306">
            <v>18000</v>
          </cell>
          <cell r="V306">
            <v>36000</v>
          </cell>
          <cell r="W306">
            <v>36000</v>
          </cell>
          <cell r="X306">
            <v>90000</v>
          </cell>
          <cell r="Y306">
            <v>18000</v>
          </cell>
          <cell r="Z306">
            <v>36000</v>
          </cell>
          <cell r="AA306">
            <v>36000</v>
          </cell>
          <cell r="AB306">
            <v>90000</v>
          </cell>
          <cell r="AC306">
            <v>0</v>
          </cell>
          <cell r="AD306">
            <v>0</v>
          </cell>
          <cell r="AE306">
            <v>0</v>
          </cell>
          <cell r="AF306">
            <v>0</v>
          </cell>
          <cell r="AG306">
            <v>0</v>
          </cell>
          <cell r="AH306">
            <v>0</v>
          </cell>
        </row>
        <row r="307">
          <cell r="B307" t="str">
            <v>DNDPPE</v>
          </cell>
          <cell r="C307" t="str">
            <v>A</v>
          </cell>
          <cell r="D307" t="str">
            <v>31A</v>
          </cell>
          <cell r="E307" t="str">
            <v>DNDPPE</v>
          </cell>
          <cell r="F307" t="str">
            <v>FC/CN</v>
          </cell>
          <cell r="G307">
            <v>23</v>
          </cell>
          <cell r="H307" t="str">
            <v>Véhicule 4x4 PU double cabine</v>
          </cell>
          <cell r="I307" t="str">
            <v>DNDPPE</v>
          </cell>
          <cell r="K307" t="str">
            <v>FC/PSE</v>
          </cell>
          <cell r="L307" t="str">
            <v>AOI</v>
          </cell>
          <cell r="M307">
            <v>1</v>
          </cell>
          <cell r="P307">
            <v>1</v>
          </cell>
          <cell r="Q307" t="str">
            <v>véh</v>
          </cell>
          <cell r="R307" t="str">
            <v>vdc</v>
          </cell>
          <cell r="S307">
            <v>172340</v>
          </cell>
          <cell r="T307">
            <v>1</v>
          </cell>
          <cell r="U307">
            <v>172340</v>
          </cell>
          <cell r="V307">
            <v>0</v>
          </cell>
          <cell r="W307">
            <v>0</v>
          </cell>
          <cell r="X307">
            <v>172340</v>
          </cell>
          <cell r="Y307">
            <v>172340</v>
          </cell>
          <cell r="Z307">
            <v>0</v>
          </cell>
          <cell r="AA307">
            <v>0</v>
          </cell>
          <cell r="AB307">
            <v>172340</v>
          </cell>
          <cell r="AC307">
            <v>0</v>
          </cell>
          <cell r="AD307">
            <v>0</v>
          </cell>
          <cell r="AE307">
            <v>0</v>
          </cell>
          <cell r="AF307">
            <v>0</v>
          </cell>
          <cell r="AG307">
            <v>0</v>
          </cell>
          <cell r="AH307">
            <v>0</v>
          </cell>
        </row>
        <row r="308">
          <cell r="B308" t="str">
            <v>DNDPPE</v>
          </cell>
          <cell r="C308" t="str">
            <v>A</v>
          </cell>
          <cell r="D308" t="str">
            <v>31A</v>
          </cell>
          <cell r="E308" t="str">
            <v>DNDPPE</v>
          </cell>
          <cell r="F308" t="str">
            <v>FC/CN</v>
          </cell>
          <cell r="G308">
            <v>23</v>
          </cell>
          <cell r="H308" t="str">
            <v>Poste informatique complet (avec onduleur et imprimante)</v>
          </cell>
          <cell r="I308" t="str">
            <v>DNDPPE</v>
          </cell>
          <cell r="K308" t="str">
            <v>FC/PSE</v>
          </cell>
          <cell r="L308" t="str">
            <v>AOI</v>
          </cell>
          <cell r="M308">
            <v>5</v>
          </cell>
          <cell r="P308">
            <v>5</v>
          </cell>
          <cell r="Q308" t="str">
            <v>u</v>
          </cell>
          <cell r="R308" t="str">
            <v>pic</v>
          </cell>
          <cell r="S308">
            <v>14772.000000000002</v>
          </cell>
          <cell r="T308">
            <v>1</v>
          </cell>
          <cell r="U308">
            <v>73860.000000000015</v>
          </cell>
          <cell r="V308">
            <v>0</v>
          </cell>
          <cell r="W308">
            <v>0</v>
          </cell>
          <cell r="X308">
            <v>73860.000000000015</v>
          </cell>
          <cell r="Y308">
            <v>73860.000000000015</v>
          </cell>
          <cell r="Z308">
            <v>0</v>
          </cell>
          <cell r="AA308">
            <v>0</v>
          </cell>
          <cell r="AB308">
            <v>73860.000000000015</v>
          </cell>
          <cell r="AC308">
            <v>0</v>
          </cell>
          <cell r="AD308">
            <v>0</v>
          </cell>
          <cell r="AE308">
            <v>0</v>
          </cell>
          <cell r="AF308">
            <v>0</v>
          </cell>
          <cell r="AG308">
            <v>0</v>
          </cell>
          <cell r="AH308">
            <v>0</v>
          </cell>
        </row>
        <row r="309">
          <cell r="B309" t="str">
            <v>DNDPPE</v>
          </cell>
          <cell r="C309" t="str">
            <v>A</v>
          </cell>
          <cell r="D309" t="str">
            <v>31A</v>
          </cell>
          <cell r="E309" t="str">
            <v>DNDPPE</v>
          </cell>
          <cell r="F309" t="str">
            <v>FC/CN</v>
          </cell>
          <cell r="G309">
            <v>23</v>
          </cell>
          <cell r="H309" t="str">
            <v>Photocopieur grande capacité</v>
          </cell>
          <cell r="I309" t="str">
            <v>DNDPPE</v>
          </cell>
          <cell r="K309" t="str">
            <v>FC/PSE</v>
          </cell>
          <cell r="L309" t="str">
            <v>AOI</v>
          </cell>
          <cell r="M309">
            <v>1</v>
          </cell>
          <cell r="P309">
            <v>1</v>
          </cell>
          <cell r="Q309" t="str">
            <v>u</v>
          </cell>
          <cell r="R309" t="str">
            <v>pgc</v>
          </cell>
          <cell r="S309">
            <v>121228.88000000003</v>
          </cell>
          <cell r="T309">
            <v>1</v>
          </cell>
          <cell r="U309">
            <v>121228.88000000003</v>
          </cell>
          <cell r="V309">
            <v>0</v>
          </cell>
          <cell r="W309">
            <v>0</v>
          </cell>
          <cell r="X309">
            <v>121228.88000000003</v>
          </cell>
          <cell r="Y309">
            <v>121228.88000000003</v>
          </cell>
          <cell r="Z309">
            <v>0</v>
          </cell>
          <cell r="AA309">
            <v>0</v>
          </cell>
          <cell r="AB309">
            <v>121228.88000000003</v>
          </cell>
          <cell r="AC309">
            <v>0</v>
          </cell>
          <cell r="AD309">
            <v>0</v>
          </cell>
          <cell r="AE309">
            <v>0</v>
          </cell>
          <cell r="AF309">
            <v>0</v>
          </cell>
          <cell r="AG309">
            <v>0</v>
          </cell>
          <cell r="AH309">
            <v>0</v>
          </cell>
        </row>
        <row r="310">
          <cell r="H310" t="str">
            <v>Validation filières porteuses</v>
          </cell>
          <cell r="U310">
            <v>340439</v>
          </cell>
          <cell r="V310">
            <v>0</v>
          </cell>
          <cell r="W310">
            <v>0</v>
          </cell>
          <cell r="X310">
            <v>340439</v>
          </cell>
          <cell r="Y310">
            <v>340439</v>
          </cell>
          <cell r="Z310">
            <v>0</v>
          </cell>
          <cell r="AA310">
            <v>0</v>
          </cell>
          <cell r="AB310">
            <v>340439</v>
          </cell>
          <cell r="AC310">
            <v>0</v>
          </cell>
          <cell r="AD310">
            <v>0</v>
          </cell>
          <cell r="AE310">
            <v>0</v>
          </cell>
          <cell r="AF310">
            <v>0</v>
          </cell>
          <cell r="AH310">
            <v>0</v>
          </cell>
        </row>
        <row r="311">
          <cell r="B311" t="str">
            <v>DNDPPE</v>
          </cell>
          <cell r="C311" t="str">
            <v>A</v>
          </cell>
          <cell r="D311" t="str">
            <v>31B</v>
          </cell>
          <cell r="E311" t="str">
            <v>DNDPPE</v>
          </cell>
          <cell r="F311" t="str">
            <v>FC/CN</v>
          </cell>
          <cell r="G311">
            <v>12</v>
          </cell>
          <cell r="H311" t="str">
            <v>Voyages d'études Afrique 3 p x 1 voy x10j</v>
          </cell>
          <cell r="I311" t="str">
            <v>DNDPPE</v>
          </cell>
          <cell r="K311" t="str">
            <v>FC/PSE</v>
          </cell>
          <cell r="L311" t="str">
            <v>AUT</v>
          </cell>
          <cell r="M311">
            <v>6</v>
          </cell>
          <cell r="P311">
            <v>6</v>
          </cell>
          <cell r="Q311" t="str">
            <v>voy</v>
          </cell>
          <cell r="R311" t="str">
            <v>vaf</v>
          </cell>
          <cell r="S311">
            <v>13294.800000000001</v>
          </cell>
          <cell r="T311">
            <v>1</v>
          </cell>
          <cell r="U311">
            <v>79768.800000000003</v>
          </cell>
          <cell r="V311">
            <v>0</v>
          </cell>
          <cell r="W311">
            <v>0</v>
          </cell>
          <cell r="X311">
            <v>79768.800000000003</v>
          </cell>
          <cell r="Y311">
            <v>79768.800000000003</v>
          </cell>
          <cell r="Z311">
            <v>0</v>
          </cell>
          <cell r="AA311">
            <v>0</v>
          </cell>
          <cell r="AB311">
            <v>79768.800000000003</v>
          </cell>
          <cell r="AC311">
            <v>0</v>
          </cell>
          <cell r="AD311">
            <v>0</v>
          </cell>
          <cell r="AE311">
            <v>0</v>
          </cell>
          <cell r="AF311">
            <v>0</v>
          </cell>
          <cell r="AG311">
            <v>0</v>
          </cell>
          <cell r="AH311">
            <v>0</v>
          </cell>
        </row>
        <row r="312">
          <cell r="B312" t="str">
            <v>DNDPPE</v>
          </cell>
          <cell r="C312" t="str">
            <v>A</v>
          </cell>
          <cell r="D312" t="str">
            <v>31B</v>
          </cell>
          <cell r="E312" t="str">
            <v>DNDPPE</v>
          </cell>
          <cell r="F312" t="str">
            <v>FC/CN</v>
          </cell>
          <cell r="G312">
            <v>12</v>
          </cell>
          <cell r="H312" t="str">
            <v>Voyages d'études Amérique latine 3 p x 1 voy x10j</v>
          </cell>
          <cell r="I312" t="str">
            <v>DNDPPE</v>
          </cell>
          <cell r="K312" t="str">
            <v>FC/PSE</v>
          </cell>
          <cell r="L312" t="str">
            <v>AUT</v>
          </cell>
          <cell r="M312">
            <v>6</v>
          </cell>
          <cell r="P312">
            <v>6</v>
          </cell>
          <cell r="Q312" t="str">
            <v>voy</v>
          </cell>
          <cell r="R312" t="str">
            <v>vam</v>
          </cell>
          <cell r="S312">
            <v>21173.200000000001</v>
          </cell>
          <cell r="T312">
            <v>1</v>
          </cell>
          <cell r="U312">
            <v>127039.20000000001</v>
          </cell>
          <cell r="V312">
            <v>0</v>
          </cell>
          <cell r="W312">
            <v>0</v>
          </cell>
          <cell r="X312">
            <v>127039.20000000001</v>
          </cell>
          <cell r="Y312">
            <v>127039.20000000001</v>
          </cell>
          <cell r="Z312">
            <v>0</v>
          </cell>
          <cell r="AA312">
            <v>0</v>
          </cell>
          <cell r="AB312">
            <v>127039.20000000001</v>
          </cell>
          <cell r="AC312">
            <v>0</v>
          </cell>
          <cell r="AD312">
            <v>0</v>
          </cell>
          <cell r="AE312">
            <v>0</v>
          </cell>
          <cell r="AF312">
            <v>0</v>
          </cell>
          <cell r="AG312">
            <v>0</v>
          </cell>
          <cell r="AH312">
            <v>0</v>
          </cell>
        </row>
        <row r="313">
          <cell r="B313" t="str">
            <v>DNDPPE</v>
          </cell>
          <cell r="C313" t="str">
            <v>A</v>
          </cell>
          <cell r="D313" t="str">
            <v>31B</v>
          </cell>
          <cell r="E313" t="str">
            <v>DNDPPE</v>
          </cell>
          <cell r="F313" t="str">
            <v>FC/CN</v>
          </cell>
          <cell r="G313">
            <v>15</v>
          </cell>
          <cell r="H313" t="str">
            <v>Enquêteurs auprès des agents eco/socio 8 régions x 2p x 20j</v>
          </cell>
          <cell r="I313" t="str">
            <v>DNDPPE</v>
          </cell>
          <cell r="K313" t="str">
            <v>FC/PSE</v>
          </cell>
          <cell r="L313" t="str">
            <v>AUT</v>
          </cell>
          <cell r="M313">
            <v>320</v>
          </cell>
          <cell r="P313">
            <v>320</v>
          </cell>
          <cell r="Q313" t="str">
            <v>pxj</v>
          </cell>
          <cell r="R313" t="str">
            <v>min</v>
          </cell>
          <cell r="S313">
            <v>246.20000000000002</v>
          </cell>
          <cell r="T313">
            <v>1</v>
          </cell>
          <cell r="U313">
            <v>78784</v>
          </cell>
          <cell r="V313">
            <v>0</v>
          </cell>
          <cell r="W313">
            <v>0</v>
          </cell>
          <cell r="X313">
            <v>78784</v>
          </cell>
          <cell r="Y313">
            <v>78784</v>
          </cell>
          <cell r="Z313">
            <v>0</v>
          </cell>
          <cell r="AA313">
            <v>0</v>
          </cell>
          <cell r="AB313">
            <v>78784</v>
          </cell>
          <cell r="AC313">
            <v>0</v>
          </cell>
          <cell r="AD313">
            <v>0</v>
          </cell>
          <cell r="AE313">
            <v>0</v>
          </cell>
          <cell r="AF313">
            <v>0</v>
          </cell>
          <cell r="AG313">
            <v>0</v>
          </cell>
          <cell r="AH313">
            <v>0</v>
          </cell>
        </row>
        <row r="314">
          <cell r="B314" t="str">
            <v>DNDPPE</v>
          </cell>
          <cell r="C314" t="str">
            <v>A</v>
          </cell>
          <cell r="D314" t="str">
            <v>31B</v>
          </cell>
          <cell r="E314" t="str">
            <v>DNDPPE</v>
          </cell>
          <cell r="F314" t="str">
            <v>FC/CN</v>
          </cell>
          <cell r="G314">
            <v>15</v>
          </cell>
          <cell r="H314" t="str">
            <v xml:space="preserve">Transport A/R vers 8 régions 2 p pour enquête </v>
          </cell>
          <cell r="I314" t="str">
            <v>DNDPPE</v>
          </cell>
          <cell r="K314" t="str">
            <v>FC/PSE</v>
          </cell>
          <cell r="L314" t="str">
            <v>AUT</v>
          </cell>
          <cell r="M314">
            <v>16</v>
          </cell>
          <cell r="P314">
            <v>16</v>
          </cell>
          <cell r="Q314" t="str">
            <v>a/r</v>
          </cell>
          <cell r="S314">
            <v>300</v>
          </cell>
          <cell r="T314">
            <v>1</v>
          </cell>
          <cell r="U314">
            <v>4800</v>
          </cell>
          <cell r="V314">
            <v>0</v>
          </cell>
          <cell r="W314">
            <v>0</v>
          </cell>
          <cell r="X314">
            <v>4800</v>
          </cell>
          <cell r="Y314">
            <v>4800</v>
          </cell>
          <cell r="Z314">
            <v>0</v>
          </cell>
          <cell r="AA314">
            <v>0</v>
          </cell>
          <cell r="AB314">
            <v>4800</v>
          </cell>
          <cell r="AC314">
            <v>0</v>
          </cell>
          <cell r="AD314">
            <v>0</v>
          </cell>
          <cell r="AE314">
            <v>0</v>
          </cell>
          <cell r="AF314">
            <v>0</v>
          </cell>
          <cell r="AG314">
            <v>0</v>
          </cell>
          <cell r="AH314">
            <v>0</v>
          </cell>
        </row>
        <row r="315">
          <cell r="B315" t="str">
            <v>DNDPPE</v>
          </cell>
          <cell r="C315" t="str">
            <v>A</v>
          </cell>
          <cell r="D315" t="str">
            <v>31B</v>
          </cell>
          <cell r="E315" t="str">
            <v>DNDPPE</v>
          </cell>
          <cell r="F315" t="str">
            <v>FC/CN</v>
          </cell>
          <cell r="G315">
            <v>15</v>
          </cell>
          <cell r="H315" t="str">
            <v>Atelier interne d'identification des filières programmes et infrastructures 50p x 5j</v>
          </cell>
          <cell r="I315" t="str">
            <v>DNDPPE</v>
          </cell>
          <cell r="K315" t="str">
            <v>FC/PSE</v>
          </cell>
          <cell r="L315" t="str">
            <v>AUT</v>
          </cell>
          <cell r="M315">
            <v>250</v>
          </cell>
          <cell r="P315">
            <v>250</v>
          </cell>
          <cell r="Q315" t="str">
            <v>pxj</v>
          </cell>
          <cell r="R315" t="str">
            <v>asr</v>
          </cell>
          <cell r="S315">
            <v>123.10000000000001</v>
          </cell>
          <cell r="T315">
            <v>1</v>
          </cell>
          <cell r="U315">
            <v>30775.000000000004</v>
          </cell>
          <cell r="V315">
            <v>0</v>
          </cell>
          <cell r="W315">
            <v>0</v>
          </cell>
          <cell r="X315">
            <v>30775.000000000004</v>
          </cell>
          <cell r="Y315">
            <v>30775.000000000004</v>
          </cell>
          <cell r="Z315">
            <v>0</v>
          </cell>
          <cell r="AA315">
            <v>0</v>
          </cell>
          <cell r="AB315">
            <v>30775.000000000004</v>
          </cell>
          <cell r="AC315">
            <v>0</v>
          </cell>
          <cell r="AD315">
            <v>0</v>
          </cell>
          <cell r="AE315">
            <v>0</v>
          </cell>
          <cell r="AF315">
            <v>0</v>
          </cell>
          <cell r="AG315">
            <v>0</v>
          </cell>
          <cell r="AH315">
            <v>0</v>
          </cell>
        </row>
        <row r="316">
          <cell r="B316" t="str">
            <v>DNDPPE</v>
          </cell>
          <cell r="C316" t="str">
            <v>A</v>
          </cell>
          <cell r="D316" t="str">
            <v>31B</v>
          </cell>
          <cell r="E316" t="str">
            <v>DNDPPE</v>
          </cell>
          <cell r="F316" t="str">
            <v>FC/CN</v>
          </cell>
          <cell r="G316">
            <v>15</v>
          </cell>
          <cell r="H316" t="str">
            <v>Atelier de restitution décision 50p x 2j</v>
          </cell>
          <cell r="I316" t="str">
            <v>DNDPPE</v>
          </cell>
          <cell r="K316" t="str">
            <v>FC/PSE</v>
          </cell>
          <cell r="L316" t="str">
            <v>AUT</v>
          </cell>
          <cell r="M316">
            <v>100</v>
          </cell>
          <cell r="P316">
            <v>100</v>
          </cell>
          <cell r="Q316" t="str">
            <v>pxj</v>
          </cell>
          <cell r="R316" t="str">
            <v>asn</v>
          </cell>
          <cell r="S316">
            <v>147.72</v>
          </cell>
          <cell r="T316">
            <v>1</v>
          </cell>
          <cell r="U316">
            <v>14772</v>
          </cell>
          <cell r="V316">
            <v>0</v>
          </cell>
          <cell r="W316">
            <v>0</v>
          </cell>
          <cell r="X316">
            <v>14772</v>
          </cell>
          <cell r="Y316">
            <v>14772</v>
          </cell>
          <cell r="Z316">
            <v>0</v>
          </cell>
          <cell r="AA316">
            <v>0</v>
          </cell>
          <cell r="AB316">
            <v>14772</v>
          </cell>
          <cell r="AC316">
            <v>0</v>
          </cell>
          <cell r="AD316">
            <v>0</v>
          </cell>
          <cell r="AE316">
            <v>0</v>
          </cell>
          <cell r="AF316">
            <v>0</v>
          </cell>
          <cell r="AG316">
            <v>0</v>
          </cell>
          <cell r="AH316">
            <v>0</v>
          </cell>
        </row>
        <row r="317">
          <cell r="B317" t="str">
            <v>DNDPPE</v>
          </cell>
          <cell r="C317" t="str">
            <v>A</v>
          </cell>
          <cell r="D317" t="str">
            <v>31B</v>
          </cell>
          <cell r="E317" t="str">
            <v>DNDPPE</v>
          </cell>
          <cell r="F317" t="str">
            <v>FC/CN</v>
          </cell>
          <cell r="G317">
            <v>15</v>
          </cell>
          <cell r="H317" t="str">
            <v>Reproduction rapport final 50p x 300 exemplaires</v>
          </cell>
          <cell r="I317" t="str">
            <v>DNDPPE</v>
          </cell>
          <cell r="K317" t="str">
            <v>FC/PSE</v>
          </cell>
          <cell r="L317" t="str">
            <v>COT</v>
          </cell>
          <cell r="M317">
            <v>15000</v>
          </cell>
          <cell r="P317">
            <v>15000</v>
          </cell>
          <cell r="Q317" t="str">
            <v>page</v>
          </cell>
          <cell r="R317" t="str">
            <v>rep</v>
          </cell>
          <cell r="S317">
            <v>0.30000000000000004</v>
          </cell>
          <cell r="T317">
            <v>1</v>
          </cell>
          <cell r="U317">
            <v>4500.0000000000009</v>
          </cell>
          <cell r="V317">
            <v>0</v>
          </cell>
          <cell r="W317">
            <v>0</v>
          </cell>
          <cell r="X317">
            <v>4500.0000000000009</v>
          </cell>
          <cell r="Y317">
            <v>4500.0000000000009</v>
          </cell>
          <cell r="Z317">
            <v>0</v>
          </cell>
          <cell r="AA317">
            <v>0</v>
          </cell>
          <cell r="AB317">
            <v>4500.0000000000009</v>
          </cell>
          <cell r="AC317">
            <v>0</v>
          </cell>
          <cell r="AD317">
            <v>0</v>
          </cell>
          <cell r="AE317">
            <v>0</v>
          </cell>
          <cell r="AF317">
            <v>0</v>
          </cell>
          <cell r="AG317">
            <v>0</v>
          </cell>
          <cell r="AH317">
            <v>0</v>
          </cell>
        </row>
        <row r="318">
          <cell r="H318" t="str">
            <v>Identification des programmes et des infrastructures</v>
          </cell>
          <cell r="U318">
            <v>87401</v>
          </cell>
          <cell r="V318">
            <v>0</v>
          </cell>
          <cell r="W318">
            <v>0</v>
          </cell>
          <cell r="X318">
            <v>87401</v>
          </cell>
          <cell r="Y318">
            <v>87401</v>
          </cell>
          <cell r="Z318">
            <v>0</v>
          </cell>
          <cell r="AA318">
            <v>0</v>
          </cell>
          <cell r="AB318">
            <v>87401</v>
          </cell>
          <cell r="AC318">
            <v>0</v>
          </cell>
          <cell r="AD318">
            <v>0</v>
          </cell>
          <cell r="AE318">
            <v>0</v>
          </cell>
          <cell r="AF318">
            <v>0</v>
          </cell>
          <cell r="AH318">
            <v>0</v>
          </cell>
        </row>
        <row r="319">
          <cell r="B319" t="str">
            <v>DNDPPE</v>
          </cell>
          <cell r="C319" t="str">
            <v>A</v>
          </cell>
          <cell r="D319" t="str">
            <v>31C</v>
          </cell>
          <cell r="E319" t="str">
            <v>DNDPPE</v>
          </cell>
          <cell r="F319" t="str">
            <v>FC/CN</v>
          </cell>
          <cell r="G319">
            <v>12</v>
          </cell>
          <cell r="H319" t="str">
            <v>Base documentaire sur les référentiels de formation</v>
          </cell>
          <cell r="I319" t="str">
            <v>DNDPPE</v>
          </cell>
          <cell r="K319" t="str">
            <v>FC/PSE</v>
          </cell>
          <cell r="L319" t="str">
            <v>CR</v>
          </cell>
          <cell r="M319">
            <v>200</v>
          </cell>
          <cell r="P319">
            <v>200</v>
          </cell>
          <cell r="Q319" t="str">
            <v>u</v>
          </cell>
          <cell r="S319">
            <v>196.96</v>
          </cell>
          <cell r="T319">
            <v>1</v>
          </cell>
          <cell r="U319">
            <v>39392</v>
          </cell>
          <cell r="V319">
            <v>0</v>
          </cell>
          <cell r="W319">
            <v>0</v>
          </cell>
          <cell r="X319">
            <v>39392</v>
          </cell>
          <cell r="Y319">
            <v>39392</v>
          </cell>
          <cell r="Z319">
            <v>0</v>
          </cell>
          <cell r="AA319">
            <v>0</v>
          </cell>
          <cell r="AB319">
            <v>39392</v>
          </cell>
          <cell r="AC319">
            <v>0</v>
          </cell>
          <cell r="AD319">
            <v>0</v>
          </cell>
          <cell r="AE319">
            <v>0</v>
          </cell>
          <cell r="AF319">
            <v>0</v>
          </cell>
          <cell r="AG319">
            <v>0</v>
          </cell>
          <cell r="AH319">
            <v>0</v>
          </cell>
        </row>
        <row r="320">
          <cell r="B320" t="str">
            <v>DNDPPE</v>
          </cell>
          <cell r="C320" t="str">
            <v>A</v>
          </cell>
          <cell r="D320" t="str">
            <v>31C</v>
          </cell>
          <cell r="E320" t="str">
            <v>DNDPPE</v>
          </cell>
          <cell r="F320" t="str">
            <v>FC/CN</v>
          </cell>
          <cell r="G320">
            <v>12</v>
          </cell>
          <cell r="H320" t="str">
            <v>Sélection des référentiels de formation formateurs et apprenants 13p x10j</v>
          </cell>
          <cell r="I320" t="str">
            <v>DNDPPE</v>
          </cell>
          <cell r="K320" t="str">
            <v>FC/PSE</v>
          </cell>
          <cell r="L320" t="str">
            <v>AUT</v>
          </cell>
          <cell r="M320">
            <v>130</v>
          </cell>
          <cell r="P320">
            <v>130</v>
          </cell>
          <cell r="Q320" t="str">
            <v>pxj</v>
          </cell>
          <cell r="R320" t="str">
            <v>asr</v>
          </cell>
          <cell r="S320">
            <v>123.10000000000001</v>
          </cell>
          <cell r="T320">
            <v>1</v>
          </cell>
          <cell r="U320">
            <v>16003.000000000002</v>
          </cell>
          <cell r="V320">
            <v>0</v>
          </cell>
          <cell r="W320">
            <v>0</v>
          </cell>
          <cell r="X320">
            <v>16003.000000000002</v>
          </cell>
          <cell r="Y320">
            <v>16003.000000000002</v>
          </cell>
          <cell r="Z320">
            <v>0</v>
          </cell>
          <cell r="AA320">
            <v>0</v>
          </cell>
          <cell r="AB320">
            <v>16003.000000000002</v>
          </cell>
          <cell r="AC320">
            <v>0</v>
          </cell>
          <cell r="AD320">
            <v>0</v>
          </cell>
          <cell r="AE320">
            <v>0</v>
          </cell>
          <cell r="AF320">
            <v>0</v>
          </cell>
          <cell r="AG320">
            <v>0</v>
          </cell>
          <cell r="AH320">
            <v>0</v>
          </cell>
        </row>
        <row r="321">
          <cell r="B321" t="str">
            <v>DNDPPE</v>
          </cell>
          <cell r="C321" t="str">
            <v>A</v>
          </cell>
          <cell r="D321" t="str">
            <v>31C</v>
          </cell>
          <cell r="E321" t="str">
            <v>DNDPPE</v>
          </cell>
          <cell r="F321" t="str">
            <v>FC/CN</v>
          </cell>
          <cell r="G321">
            <v>12</v>
          </cell>
          <cell r="H321" t="str">
            <v>Identification des travaux et des équipements 13p x 20j</v>
          </cell>
          <cell r="I321" t="str">
            <v>DNDPPE</v>
          </cell>
          <cell r="K321" t="str">
            <v>FC/PSE</v>
          </cell>
          <cell r="L321" t="str">
            <v>AUT</v>
          </cell>
          <cell r="M321">
            <v>260</v>
          </cell>
          <cell r="P321">
            <v>260</v>
          </cell>
          <cell r="Q321" t="str">
            <v>pxj</v>
          </cell>
          <cell r="R321" t="str">
            <v>asr</v>
          </cell>
          <cell r="S321">
            <v>123.10000000000001</v>
          </cell>
          <cell r="T321">
            <v>1</v>
          </cell>
          <cell r="U321">
            <v>32006.000000000004</v>
          </cell>
          <cell r="V321">
            <v>0</v>
          </cell>
          <cell r="W321">
            <v>0</v>
          </cell>
          <cell r="X321">
            <v>32006.000000000004</v>
          </cell>
          <cell r="Y321">
            <v>32006.000000000004</v>
          </cell>
          <cell r="Z321">
            <v>0</v>
          </cell>
          <cell r="AA321">
            <v>0</v>
          </cell>
          <cell r="AB321">
            <v>32006.000000000004</v>
          </cell>
          <cell r="AC321">
            <v>0</v>
          </cell>
          <cell r="AD321">
            <v>0</v>
          </cell>
          <cell r="AE321">
            <v>0</v>
          </cell>
          <cell r="AF321">
            <v>0</v>
          </cell>
          <cell r="AG321">
            <v>0</v>
          </cell>
          <cell r="AH321">
            <v>0</v>
          </cell>
        </row>
        <row r="322">
          <cell r="H322" t="str">
            <v>Implantation opérations 2008 et 2009</v>
          </cell>
          <cell r="U322">
            <v>648150.4</v>
          </cell>
          <cell r="V322">
            <v>13978403.200000001</v>
          </cell>
          <cell r="W322">
            <v>10000</v>
          </cell>
          <cell r="X322">
            <v>14636553.600000001</v>
          </cell>
          <cell r="Y322">
            <v>648150.4</v>
          </cell>
          <cell r="Z322">
            <v>13978403.200000001</v>
          </cell>
          <cell r="AA322">
            <v>10000</v>
          </cell>
          <cell r="AB322">
            <v>14636553.600000001</v>
          </cell>
          <cell r="AC322">
            <v>0</v>
          </cell>
          <cell r="AD322">
            <v>0</v>
          </cell>
          <cell r="AE322">
            <v>0</v>
          </cell>
          <cell r="AF322">
            <v>0</v>
          </cell>
          <cell r="AH322">
            <v>0</v>
          </cell>
        </row>
        <row r="323">
          <cell r="B323" t="str">
            <v>DNDPPE</v>
          </cell>
          <cell r="C323" t="str">
            <v>A</v>
          </cell>
          <cell r="D323" t="str">
            <v>31D</v>
          </cell>
          <cell r="E323" t="str">
            <v>ENPETP</v>
          </cell>
          <cell r="F323" t="str">
            <v>FC/CN</v>
          </cell>
          <cell r="G323">
            <v>12</v>
          </cell>
          <cell r="H323" t="str">
            <v>Perfectionnement professionnel de 144 formateurs en CFP…. 4mois</v>
          </cell>
          <cell r="I323" t="str">
            <v>DNDPPE</v>
          </cell>
          <cell r="K323" t="str">
            <v>FC/PSE</v>
          </cell>
          <cell r="L323" t="str">
            <v>AUT</v>
          </cell>
          <cell r="M323">
            <v>432</v>
          </cell>
          <cell r="N323">
            <v>144</v>
          </cell>
          <cell r="P323">
            <v>576</v>
          </cell>
          <cell r="Q323" t="str">
            <v>pxm</v>
          </cell>
          <cell r="S323">
            <v>492.40000000000003</v>
          </cell>
          <cell r="T323">
            <v>1</v>
          </cell>
          <cell r="U323">
            <v>212716.80000000002</v>
          </cell>
          <cell r="V323">
            <v>70905.600000000006</v>
          </cell>
          <cell r="W323">
            <v>0</v>
          </cell>
          <cell r="X323">
            <v>283622.40000000002</v>
          </cell>
          <cell r="Y323">
            <v>212716.80000000002</v>
          </cell>
          <cell r="Z323">
            <v>70905.600000000006</v>
          </cell>
          <cell r="AA323">
            <v>0</v>
          </cell>
          <cell r="AB323">
            <v>283622.40000000002</v>
          </cell>
          <cell r="AC323">
            <v>0</v>
          </cell>
          <cell r="AD323">
            <v>0</v>
          </cell>
          <cell r="AE323">
            <v>0</v>
          </cell>
          <cell r="AF323">
            <v>0</v>
          </cell>
          <cell r="AG323">
            <v>0</v>
          </cell>
          <cell r="AH323">
            <v>0</v>
          </cell>
        </row>
        <row r="324">
          <cell r="B324" t="str">
            <v>DNDPPE</v>
          </cell>
          <cell r="C324" t="str">
            <v>A</v>
          </cell>
          <cell r="D324" t="str">
            <v>31D</v>
          </cell>
          <cell r="E324" t="str">
            <v>ENPETP</v>
          </cell>
          <cell r="F324" t="str">
            <v>FC/CN</v>
          </cell>
          <cell r="G324">
            <v>12</v>
          </cell>
          <cell r="H324" t="str">
            <v>Formation pédagogique à l'ENPETP de 144 formateurs PP et PC 5 mois</v>
          </cell>
          <cell r="I324" t="str">
            <v>DNDPPE</v>
          </cell>
          <cell r="K324" t="str">
            <v>FC/PSE</v>
          </cell>
          <cell r="L324" t="str">
            <v>AUT</v>
          </cell>
          <cell r="N324">
            <v>720</v>
          </cell>
          <cell r="P324">
            <v>720</v>
          </cell>
          <cell r="Q324" t="str">
            <v>pxm</v>
          </cell>
          <cell r="S324">
            <v>196.96</v>
          </cell>
          <cell r="T324">
            <v>1</v>
          </cell>
          <cell r="U324">
            <v>0</v>
          </cell>
          <cell r="V324">
            <v>141811.20000000001</v>
          </cell>
          <cell r="W324">
            <v>0</v>
          </cell>
          <cell r="X324">
            <v>141811.20000000001</v>
          </cell>
          <cell r="Y324">
            <v>0</v>
          </cell>
          <cell r="Z324">
            <v>141811.20000000001</v>
          </cell>
          <cell r="AA324">
            <v>0</v>
          </cell>
          <cell r="AB324">
            <v>141811.20000000001</v>
          </cell>
          <cell r="AC324">
            <v>0</v>
          </cell>
          <cell r="AD324">
            <v>0</v>
          </cell>
          <cell r="AE324">
            <v>0</v>
          </cell>
          <cell r="AF324">
            <v>0</v>
          </cell>
          <cell r="AG324">
            <v>0</v>
          </cell>
          <cell r="AH324">
            <v>0</v>
          </cell>
        </row>
        <row r="325">
          <cell r="B325" t="str">
            <v>DNDPPE</v>
          </cell>
          <cell r="C325" t="str">
            <v>A</v>
          </cell>
          <cell r="D325" t="str">
            <v>31D</v>
          </cell>
          <cell r="E325" t="str">
            <v>DNDPPE</v>
          </cell>
          <cell r="F325" t="str">
            <v>FC/CN</v>
          </cell>
          <cell r="G325">
            <v>21</v>
          </cell>
          <cell r="H325" t="str">
            <v>BET étude et suivi des travaux des CIP (2 à Cky et 1 par région)</v>
          </cell>
          <cell r="I325" t="str">
            <v>CN/PSE</v>
          </cell>
          <cell r="K325" t="str">
            <v>FC/PSE</v>
          </cell>
          <cell r="L325" t="str">
            <v>CR</v>
          </cell>
          <cell r="M325">
            <v>72</v>
          </cell>
          <cell r="N325">
            <v>72</v>
          </cell>
          <cell r="P325">
            <v>144</v>
          </cell>
          <cell r="Q325" t="str">
            <v>cl/at</v>
          </cell>
          <cell r="R325" t="str">
            <v>bat</v>
          </cell>
          <cell r="S325">
            <v>5908.8</v>
          </cell>
          <cell r="T325">
            <v>1</v>
          </cell>
          <cell r="U325">
            <v>425433.60000000003</v>
          </cell>
          <cell r="V325">
            <v>425433.60000000003</v>
          </cell>
          <cell r="W325">
            <v>0</v>
          </cell>
          <cell r="X325">
            <v>850867.20000000007</v>
          </cell>
          <cell r="Y325">
            <v>425433.60000000003</v>
          </cell>
          <cell r="Z325">
            <v>425433.60000000003</v>
          </cell>
          <cell r="AA325">
            <v>0</v>
          </cell>
          <cell r="AB325">
            <v>850867.20000000007</v>
          </cell>
          <cell r="AC325">
            <v>0</v>
          </cell>
          <cell r="AD325">
            <v>0</v>
          </cell>
          <cell r="AE325">
            <v>0</v>
          </cell>
          <cell r="AF325">
            <v>0</v>
          </cell>
          <cell r="AG325">
            <v>0</v>
          </cell>
          <cell r="AH325">
            <v>0</v>
          </cell>
        </row>
        <row r="326">
          <cell r="B326" t="str">
            <v>DNDPPE</v>
          </cell>
          <cell r="C326" t="str">
            <v>A</v>
          </cell>
          <cell r="D326" t="str">
            <v>31D</v>
          </cell>
          <cell r="E326" t="str">
            <v>IRE/</v>
          </cell>
          <cell r="F326" t="str">
            <v>FC/CN</v>
          </cell>
          <cell r="G326">
            <v>22</v>
          </cell>
          <cell r="H326" t="str">
            <v>Construction Centres d'Insertion Professionnelle (9 de 16 cl/atelier post prim et collège)</v>
          </cell>
          <cell r="I326" t="str">
            <v>CN/PSE</v>
          </cell>
          <cell r="K326" t="str">
            <v>FC/PSE</v>
          </cell>
          <cell r="L326" t="str">
            <v>AON</v>
          </cell>
          <cell r="N326">
            <v>144</v>
          </cell>
          <cell r="P326">
            <v>144</v>
          </cell>
          <cell r="Q326" t="str">
            <v>cl/at</v>
          </cell>
          <cell r="R326" t="str">
            <v>cat</v>
          </cell>
          <cell r="S326">
            <v>72875.200000000012</v>
          </cell>
          <cell r="T326">
            <v>1</v>
          </cell>
          <cell r="U326">
            <v>0</v>
          </cell>
          <cell r="V326">
            <v>10494028.800000001</v>
          </cell>
          <cell r="W326">
            <v>0</v>
          </cell>
          <cell r="X326">
            <v>10494028.800000001</v>
          </cell>
          <cell r="Y326">
            <v>0</v>
          </cell>
          <cell r="Z326">
            <v>10494028.800000001</v>
          </cell>
          <cell r="AA326">
            <v>0</v>
          </cell>
          <cell r="AB326">
            <v>10494028.800000001</v>
          </cell>
          <cell r="AC326">
            <v>0</v>
          </cell>
          <cell r="AD326">
            <v>0</v>
          </cell>
          <cell r="AE326">
            <v>0</v>
          </cell>
          <cell r="AF326">
            <v>0</v>
          </cell>
          <cell r="AG326">
            <v>0</v>
          </cell>
          <cell r="AH326">
            <v>0</v>
          </cell>
        </row>
        <row r="327">
          <cell r="B327" t="str">
            <v>DNDPPE</v>
          </cell>
          <cell r="C327" t="str">
            <v>A</v>
          </cell>
          <cell r="D327" t="str">
            <v>31D</v>
          </cell>
          <cell r="E327" t="str">
            <v>IRE/</v>
          </cell>
          <cell r="F327" t="str">
            <v>FC/CN</v>
          </cell>
          <cell r="G327">
            <v>23</v>
          </cell>
          <cell r="H327" t="str">
            <v>Equipements et mobilier des 9 CIP</v>
          </cell>
          <cell r="I327" t="str">
            <v>CN/PSE</v>
          </cell>
          <cell r="K327" t="str">
            <v>FC/PSE</v>
          </cell>
          <cell r="L327" t="str">
            <v>AOI</v>
          </cell>
          <cell r="N327">
            <v>144</v>
          </cell>
          <cell r="P327">
            <v>144</v>
          </cell>
          <cell r="Q327" t="str">
            <v>cl/at</v>
          </cell>
          <cell r="R327" t="str">
            <v>mat</v>
          </cell>
          <cell r="S327">
            <v>19696</v>
          </cell>
          <cell r="T327">
            <v>1</v>
          </cell>
          <cell r="U327">
            <v>0</v>
          </cell>
          <cell r="V327">
            <v>2836224</v>
          </cell>
          <cell r="W327">
            <v>0</v>
          </cell>
          <cell r="X327">
            <v>2836224</v>
          </cell>
          <cell r="Y327">
            <v>0</v>
          </cell>
          <cell r="Z327">
            <v>2836224</v>
          </cell>
          <cell r="AA327">
            <v>0</v>
          </cell>
          <cell r="AB327">
            <v>2836224</v>
          </cell>
          <cell r="AC327">
            <v>0</v>
          </cell>
          <cell r="AD327">
            <v>0</v>
          </cell>
          <cell r="AE327">
            <v>0</v>
          </cell>
          <cell r="AF327">
            <v>0</v>
          </cell>
          <cell r="AG327">
            <v>0</v>
          </cell>
          <cell r="AH327">
            <v>0</v>
          </cell>
        </row>
        <row r="328">
          <cell r="B328" t="str">
            <v>DNDPPE</v>
          </cell>
          <cell r="C328" t="str">
            <v>A</v>
          </cell>
          <cell r="D328" t="str">
            <v>31D</v>
          </cell>
          <cell r="E328" t="str">
            <v>DNDPPE</v>
          </cell>
          <cell r="F328" t="str">
            <v>FC/CN</v>
          </cell>
          <cell r="G328">
            <v>15</v>
          </cell>
          <cell r="H328" t="str">
            <v>Information sur les nouvelles filières (radio TV)</v>
          </cell>
          <cell r="I328" t="str">
            <v>DNDPPE</v>
          </cell>
          <cell r="K328" t="str">
            <v>FC/PSE</v>
          </cell>
          <cell r="L328" t="str">
            <v>AUT</v>
          </cell>
          <cell r="M328">
            <v>1</v>
          </cell>
          <cell r="N328">
            <v>1</v>
          </cell>
          <cell r="O328">
            <v>1</v>
          </cell>
          <cell r="P328">
            <v>3</v>
          </cell>
          <cell r="Q328" t="str">
            <v>forfait</v>
          </cell>
          <cell r="S328">
            <v>10000</v>
          </cell>
          <cell r="T328">
            <v>1</v>
          </cell>
          <cell r="U328">
            <v>10000</v>
          </cell>
          <cell r="V328">
            <v>10000</v>
          </cell>
          <cell r="W328">
            <v>10000</v>
          </cell>
          <cell r="X328">
            <v>30000</v>
          </cell>
          <cell r="Y328">
            <v>10000</v>
          </cell>
          <cell r="Z328">
            <v>10000</v>
          </cell>
          <cell r="AA328">
            <v>10000</v>
          </cell>
          <cell r="AB328">
            <v>30000</v>
          </cell>
          <cell r="AC328">
            <v>0</v>
          </cell>
          <cell r="AD328">
            <v>0</v>
          </cell>
          <cell r="AE328">
            <v>0</v>
          </cell>
          <cell r="AF328">
            <v>0</v>
          </cell>
          <cell r="AG328">
            <v>0</v>
          </cell>
          <cell r="AH328">
            <v>0</v>
          </cell>
        </row>
        <row r="329">
          <cell r="H329" t="str">
            <v>Implantation opérations 2010</v>
          </cell>
          <cell r="U329">
            <v>0</v>
          </cell>
          <cell r="V329">
            <v>638150.40000000002</v>
          </cell>
          <cell r="W329">
            <v>13968403.200000001</v>
          </cell>
          <cell r="X329">
            <v>14606553.600000001</v>
          </cell>
          <cell r="Y329">
            <v>0</v>
          </cell>
          <cell r="Z329">
            <v>638150.40000000002</v>
          </cell>
          <cell r="AA329">
            <v>13968403.200000001</v>
          </cell>
          <cell r="AB329">
            <v>14606553.600000001</v>
          </cell>
          <cell r="AC329">
            <v>0</v>
          </cell>
          <cell r="AD329">
            <v>0</v>
          </cell>
          <cell r="AE329">
            <v>0</v>
          </cell>
          <cell r="AF329">
            <v>0</v>
          </cell>
          <cell r="AG329">
            <v>0</v>
          </cell>
        </row>
        <row r="330">
          <cell r="B330" t="str">
            <v>DNDPPE</v>
          </cell>
          <cell r="C330" t="str">
            <v>A</v>
          </cell>
          <cell r="D330" t="str">
            <v>31E</v>
          </cell>
          <cell r="E330" t="str">
            <v>ENPETP</v>
          </cell>
          <cell r="F330" t="str">
            <v>FC/CN</v>
          </cell>
          <cell r="G330">
            <v>12</v>
          </cell>
          <cell r="H330" t="str">
            <v>Perfectionnement professionnel de 144 formateurs en CFP…. 4mois</v>
          </cell>
          <cell r="I330" t="str">
            <v>DNDPPE</v>
          </cell>
          <cell r="K330" t="str">
            <v>FC/PSE</v>
          </cell>
          <cell r="L330" t="str">
            <v>AUT</v>
          </cell>
          <cell r="N330">
            <v>432</v>
          </cell>
          <cell r="O330">
            <v>144</v>
          </cell>
          <cell r="P330">
            <v>576</v>
          </cell>
          <cell r="Q330" t="str">
            <v>pxm</v>
          </cell>
          <cell r="S330">
            <v>492.40000000000003</v>
          </cell>
          <cell r="T330">
            <v>1</v>
          </cell>
          <cell r="U330">
            <v>0</v>
          </cell>
          <cell r="V330">
            <v>212716.80000000002</v>
          </cell>
          <cell r="W330">
            <v>70905.600000000006</v>
          </cell>
          <cell r="X330">
            <v>283622.40000000002</v>
          </cell>
          <cell r="Y330">
            <v>0</v>
          </cell>
          <cell r="Z330">
            <v>212716.80000000002</v>
          </cell>
          <cell r="AA330">
            <v>70905.600000000006</v>
          </cell>
          <cell r="AB330">
            <v>283622.40000000002</v>
          </cell>
          <cell r="AC330">
            <v>0</v>
          </cell>
          <cell r="AD330">
            <v>0</v>
          </cell>
          <cell r="AE330">
            <v>0</v>
          </cell>
          <cell r="AF330">
            <v>0</v>
          </cell>
          <cell r="AG330">
            <v>0</v>
          </cell>
          <cell r="AH330">
            <v>0</v>
          </cell>
        </row>
        <row r="331">
          <cell r="B331" t="str">
            <v>DNDPPE</v>
          </cell>
          <cell r="C331" t="str">
            <v>A</v>
          </cell>
          <cell r="D331" t="str">
            <v>31E</v>
          </cell>
          <cell r="E331" t="str">
            <v>ENPETP</v>
          </cell>
          <cell r="F331" t="str">
            <v>FC/CN</v>
          </cell>
          <cell r="G331">
            <v>12</v>
          </cell>
          <cell r="H331" t="str">
            <v>Formation pédagogique à l'ENPETP de 144 formateurs PP et PC 5 mois</v>
          </cell>
          <cell r="I331" t="str">
            <v>DNDPPE</v>
          </cell>
          <cell r="K331" t="str">
            <v>FC/PSE</v>
          </cell>
          <cell r="L331" t="str">
            <v>AUT</v>
          </cell>
          <cell r="O331">
            <v>720</v>
          </cell>
          <cell r="P331">
            <v>720</v>
          </cell>
          <cell r="Q331" t="str">
            <v>pxm</v>
          </cell>
          <cell r="S331">
            <v>196.96</v>
          </cell>
          <cell r="T331">
            <v>1</v>
          </cell>
          <cell r="U331">
            <v>0</v>
          </cell>
          <cell r="V331">
            <v>0</v>
          </cell>
          <cell r="W331">
            <v>141811.20000000001</v>
          </cell>
          <cell r="X331">
            <v>141811.20000000001</v>
          </cell>
          <cell r="Y331">
            <v>0</v>
          </cell>
          <cell r="Z331">
            <v>0</v>
          </cell>
          <cell r="AA331">
            <v>141811.20000000001</v>
          </cell>
          <cell r="AB331">
            <v>141811.20000000001</v>
          </cell>
          <cell r="AC331">
            <v>0</v>
          </cell>
          <cell r="AD331">
            <v>0</v>
          </cell>
          <cell r="AE331">
            <v>0</v>
          </cell>
          <cell r="AF331">
            <v>0</v>
          </cell>
          <cell r="AG331">
            <v>0</v>
          </cell>
          <cell r="AH331">
            <v>0</v>
          </cell>
        </row>
        <row r="332">
          <cell r="B332" t="str">
            <v>DNDPPE</v>
          </cell>
          <cell r="C332" t="str">
            <v>A</v>
          </cell>
          <cell r="D332" t="str">
            <v>31E</v>
          </cell>
          <cell r="E332" t="str">
            <v>DNDPPE</v>
          </cell>
          <cell r="F332" t="str">
            <v>FC/CN</v>
          </cell>
          <cell r="G332">
            <v>21</v>
          </cell>
          <cell r="H332" t="str">
            <v>BET étude et suivi des travaux des CIP (2 à Cky et 1 par région)</v>
          </cell>
          <cell r="I332" t="str">
            <v>CN/PSE</v>
          </cell>
          <cell r="K332" t="str">
            <v>FC/PSE</v>
          </cell>
          <cell r="L332" t="str">
            <v>CR</v>
          </cell>
          <cell r="N332">
            <v>72</v>
          </cell>
          <cell r="O332">
            <v>72</v>
          </cell>
          <cell r="P332">
            <v>144</v>
          </cell>
          <cell r="Q332" t="str">
            <v>cl/at</v>
          </cell>
          <cell r="R332" t="str">
            <v>bat</v>
          </cell>
          <cell r="S332">
            <v>5908.8</v>
          </cell>
          <cell r="T332">
            <v>1</v>
          </cell>
          <cell r="U332">
            <v>0</v>
          </cell>
          <cell r="V332">
            <v>425433.60000000003</v>
          </cell>
          <cell r="W332">
            <v>425433.60000000003</v>
          </cell>
          <cell r="X332">
            <v>850867.20000000007</v>
          </cell>
          <cell r="Y332">
            <v>0</v>
          </cell>
          <cell r="Z332">
            <v>425433.60000000003</v>
          </cell>
          <cell r="AA332">
            <v>425433.60000000003</v>
          </cell>
          <cell r="AB332">
            <v>850867.20000000007</v>
          </cell>
          <cell r="AC332">
            <v>0</v>
          </cell>
          <cell r="AD332">
            <v>0</v>
          </cell>
          <cell r="AE332">
            <v>0</v>
          </cell>
          <cell r="AF332">
            <v>0</v>
          </cell>
          <cell r="AG332">
            <v>0</v>
          </cell>
          <cell r="AH332">
            <v>0</v>
          </cell>
        </row>
        <row r="333">
          <cell r="B333" t="str">
            <v>DNDPPE</v>
          </cell>
          <cell r="C333" t="str">
            <v>A</v>
          </cell>
          <cell r="D333" t="str">
            <v>31E</v>
          </cell>
          <cell r="E333" t="str">
            <v>IRE/</v>
          </cell>
          <cell r="F333" t="str">
            <v>FC/CN</v>
          </cell>
          <cell r="G333">
            <v>22</v>
          </cell>
          <cell r="H333" t="str">
            <v>Construction Centres d'Insertion Professionnelle (9 de 16 cl/atelier post prim et collège)</v>
          </cell>
          <cell r="I333" t="str">
            <v>CN/PSE</v>
          </cell>
          <cell r="K333" t="str">
            <v>FC/PSE</v>
          </cell>
          <cell r="L333" t="str">
            <v>AON</v>
          </cell>
          <cell r="O333">
            <v>144</v>
          </cell>
          <cell r="P333">
            <v>144</v>
          </cell>
          <cell r="Q333" t="str">
            <v>cl/at</v>
          </cell>
          <cell r="R333" t="str">
            <v>cat</v>
          </cell>
          <cell r="S333">
            <v>72875.200000000012</v>
          </cell>
          <cell r="T333">
            <v>1</v>
          </cell>
          <cell r="U333">
            <v>0</v>
          </cell>
          <cell r="V333">
            <v>0</v>
          </cell>
          <cell r="W333">
            <v>10494028.800000001</v>
          </cell>
          <cell r="X333">
            <v>10494028.800000001</v>
          </cell>
          <cell r="Y333">
            <v>0</v>
          </cell>
          <cell r="Z333">
            <v>0</v>
          </cell>
          <cell r="AA333">
            <v>10494028.800000001</v>
          </cell>
          <cell r="AB333">
            <v>10494028.800000001</v>
          </cell>
          <cell r="AC333">
            <v>0</v>
          </cell>
          <cell r="AD333">
            <v>0</v>
          </cell>
          <cell r="AE333">
            <v>0</v>
          </cell>
          <cell r="AF333">
            <v>0</v>
          </cell>
          <cell r="AG333">
            <v>0</v>
          </cell>
          <cell r="AH333">
            <v>0</v>
          </cell>
        </row>
        <row r="334">
          <cell r="B334" t="str">
            <v>DNDPPE</v>
          </cell>
          <cell r="C334" t="str">
            <v>A</v>
          </cell>
          <cell r="D334" t="str">
            <v>31E</v>
          </cell>
          <cell r="E334" t="str">
            <v>IRE/</v>
          </cell>
          <cell r="F334" t="str">
            <v>FC/CN</v>
          </cell>
          <cell r="G334">
            <v>23</v>
          </cell>
          <cell r="H334" t="str">
            <v>Equipements et mobilier des 9 CIP</v>
          </cell>
          <cell r="I334" t="str">
            <v>CN/PSE</v>
          </cell>
          <cell r="K334" t="str">
            <v>FC/PSE</v>
          </cell>
          <cell r="L334" t="str">
            <v>AOI</v>
          </cell>
          <cell r="O334">
            <v>144</v>
          </cell>
          <cell r="P334">
            <v>144</v>
          </cell>
          <cell r="Q334" t="str">
            <v>cl/at</v>
          </cell>
          <cell r="R334" t="str">
            <v>mat</v>
          </cell>
          <cell r="S334">
            <v>19696</v>
          </cell>
          <cell r="T334">
            <v>1</v>
          </cell>
          <cell r="U334">
            <v>0</v>
          </cell>
          <cell r="V334">
            <v>0</v>
          </cell>
          <cell r="W334">
            <v>2836224</v>
          </cell>
          <cell r="X334">
            <v>2836224</v>
          </cell>
          <cell r="Y334">
            <v>0</v>
          </cell>
          <cell r="Z334">
            <v>0</v>
          </cell>
          <cell r="AA334">
            <v>2836224</v>
          </cell>
          <cell r="AB334">
            <v>2836224</v>
          </cell>
          <cell r="AC334">
            <v>0</v>
          </cell>
          <cell r="AD334">
            <v>0</v>
          </cell>
          <cell r="AE334">
            <v>0</v>
          </cell>
          <cell r="AF334">
            <v>0</v>
          </cell>
          <cell r="AG334">
            <v>0</v>
          </cell>
          <cell r="AH334">
            <v>0</v>
          </cell>
        </row>
        <row r="335">
          <cell r="H335" t="str">
            <v>Renforcement de capacité Services centraux du SNIEM</v>
          </cell>
          <cell r="U335">
            <v>35936.096000000005</v>
          </cell>
          <cell r="V335">
            <v>141811.20000000001</v>
          </cell>
          <cell r="W335">
            <v>137556.864</v>
          </cell>
          <cell r="X335">
            <v>315304.16000000003</v>
          </cell>
          <cell r="Y335">
            <v>35936.096000000005</v>
          </cell>
          <cell r="Z335">
            <v>141811.20000000001</v>
          </cell>
          <cell r="AA335">
            <v>137556.864</v>
          </cell>
          <cell r="AB335">
            <v>315304.16000000003</v>
          </cell>
          <cell r="AC335">
            <v>0</v>
          </cell>
          <cell r="AD335">
            <v>0</v>
          </cell>
          <cell r="AE335">
            <v>0</v>
          </cell>
          <cell r="AF335">
            <v>0</v>
          </cell>
          <cell r="AG335">
            <v>0</v>
          </cell>
        </row>
        <row r="336">
          <cell r="B336" t="str">
            <v>DNDPPE</v>
          </cell>
          <cell r="C336" t="str">
            <v>A</v>
          </cell>
          <cell r="D336" t="str">
            <v>31F</v>
          </cell>
          <cell r="E336" t="str">
            <v>DNDPPE</v>
          </cell>
          <cell r="F336" t="str">
            <v>FC/CN</v>
          </cell>
          <cell r="G336">
            <v>21</v>
          </cell>
          <cell r="H336" t="str">
            <v>Assistance à la Maîtrise d'ouvrage prog 2008</v>
          </cell>
          <cell r="I336" t="str">
            <v>CN/PSE</v>
          </cell>
          <cell r="K336" t="str">
            <v>FC/PSE</v>
          </cell>
          <cell r="L336" t="str">
            <v>CR</v>
          </cell>
          <cell r="P336">
            <v>0</v>
          </cell>
          <cell r="Q336" t="str">
            <v>forfait</v>
          </cell>
          <cell r="R336" t="str">
            <v>coût total</v>
          </cell>
          <cell r="S336">
            <v>0.01</v>
          </cell>
          <cell r="T336">
            <v>1</v>
          </cell>
          <cell r="U336">
            <v>4254.3360000000002</v>
          </cell>
          <cell r="V336">
            <v>137556.864</v>
          </cell>
          <cell r="W336">
            <v>0</v>
          </cell>
          <cell r="X336">
            <v>141811.20000000001</v>
          </cell>
          <cell r="Y336">
            <v>4254.3360000000002</v>
          </cell>
          <cell r="Z336">
            <v>137556.864</v>
          </cell>
          <cell r="AA336">
            <v>0</v>
          </cell>
          <cell r="AB336">
            <v>141811.20000000001</v>
          </cell>
          <cell r="AC336">
            <v>0</v>
          </cell>
          <cell r="AD336">
            <v>0</v>
          </cell>
          <cell r="AE336">
            <v>0</v>
          </cell>
          <cell r="AF336">
            <v>0</v>
          </cell>
          <cell r="AG336">
            <v>0</v>
          </cell>
          <cell r="AH336">
            <v>0</v>
          </cell>
        </row>
        <row r="337">
          <cell r="B337" t="str">
            <v>DNDPPE</v>
          </cell>
          <cell r="C337" t="str">
            <v>A</v>
          </cell>
          <cell r="D337" t="str">
            <v>31F</v>
          </cell>
          <cell r="E337" t="str">
            <v>DNDPPE</v>
          </cell>
          <cell r="F337" t="str">
            <v>FC/CN</v>
          </cell>
          <cell r="G337">
            <v>21</v>
          </cell>
          <cell r="H337" t="str">
            <v>Assistance à la Maîtrise d'ouvrage prog 2009</v>
          </cell>
          <cell r="I337" t="str">
            <v>CN/PSE</v>
          </cell>
          <cell r="K337" t="str">
            <v>FC/PSE</v>
          </cell>
          <cell r="L337" t="str">
            <v>CR</v>
          </cell>
          <cell r="P337">
            <v>0</v>
          </cell>
          <cell r="Q337" t="str">
            <v>forfait</v>
          </cell>
          <cell r="R337" t="str">
            <v>coût total</v>
          </cell>
          <cell r="S337">
            <v>0.01</v>
          </cell>
          <cell r="T337">
            <v>1</v>
          </cell>
          <cell r="U337">
            <v>0</v>
          </cell>
          <cell r="V337">
            <v>4254.3360000000002</v>
          </cell>
          <cell r="W337">
            <v>137556.864</v>
          </cell>
          <cell r="X337">
            <v>141811.20000000001</v>
          </cell>
          <cell r="Y337">
            <v>0</v>
          </cell>
          <cell r="Z337">
            <v>4254.3360000000002</v>
          </cell>
          <cell r="AA337">
            <v>137556.864</v>
          </cell>
          <cell r="AB337">
            <v>141811.20000000001</v>
          </cell>
          <cell r="AC337">
            <v>0</v>
          </cell>
          <cell r="AD337">
            <v>0</v>
          </cell>
          <cell r="AE337">
            <v>0</v>
          </cell>
          <cell r="AF337">
            <v>0</v>
          </cell>
          <cell r="AG337">
            <v>0</v>
          </cell>
          <cell r="AH337">
            <v>0</v>
          </cell>
        </row>
        <row r="338">
          <cell r="B338" t="str">
            <v>SNIES</v>
          </cell>
          <cell r="C338" t="str">
            <v>G</v>
          </cell>
          <cell r="D338" t="str">
            <v>31F</v>
          </cell>
          <cell r="E338" t="str">
            <v>SNIES</v>
          </cell>
          <cell r="F338" t="str">
            <v>FC/CN</v>
          </cell>
          <cell r="G338">
            <v>23</v>
          </cell>
          <cell r="H338" t="str">
            <v>Appareils photo numérique</v>
          </cell>
          <cell r="I338" t="str">
            <v>CN/PSE</v>
          </cell>
          <cell r="K338" t="str">
            <v>FC/PSE</v>
          </cell>
          <cell r="L338" t="str">
            <v>AOI</v>
          </cell>
          <cell r="M338">
            <v>2</v>
          </cell>
          <cell r="P338">
            <v>2</v>
          </cell>
          <cell r="Q338" t="str">
            <v>u</v>
          </cell>
          <cell r="S338">
            <v>590.88</v>
          </cell>
          <cell r="T338">
            <v>1</v>
          </cell>
          <cell r="U338">
            <v>1181.76</v>
          </cell>
          <cell r="V338">
            <v>0</v>
          </cell>
          <cell r="W338">
            <v>0</v>
          </cell>
          <cell r="X338">
            <v>1181.76</v>
          </cell>
          <cell r="Y338">
            <v>1181.76</v>
          </cell>
          <cell r="Z338">
            <v>0</v>
          </cell>
          <cell r="AA338">
            <v>0</v>
          </cell>
          <cell r="AB338">
            <v>1181.76</v>
          </cell>
          <cell r="AC338">
            <v>0</v>
          </cell>
          <cell r="AD338">
            <v>0</v>
          </cell>
          <cell r="AE338">
            <v>0</v>
          </cell>
          <cell r="AF338">
            <v>0</v>
          </cell>
          <cell r="AG338">
            <v>0</v>
          </cell>
          <cell r="AH338">
            <v>0</v>
          </cell>
        </row>
        <row r="339">
          <cell r="B339" t="str">
            <v>SNIES</v>
          </cell>
          <cell r="C339" t="str">
            <v>G</v>
          </cell>
          <cell r="D339" t="str">
            <v>31F</v>
          </cell>
          <cell r="E339" t="str">
            <v>SNIES</v>
          </cell>
          <cell r="F339" t="str">
            <v>FC/CN</v>
          </cell>
          <cell r="G339">
            <v>23</v>
          </cell>
          <cell r="H339" t="str">
            <v xml:space="preserve">Ordinateurs portables avec mini imprimante  2 u </v>
          </cell>
          <cell r="I339" t="str">
            <v>CN/PSE</v>
          </cell>
          <cell r="K339" t="str">
            <v>FC/PSE</v>
          </cell>
          <cell r="L339" t="str">
            <v>AOI</v>
          </cell>
          <cell r="M339">
            <v>2</v>
          </cell>
          <cell r="P339">
            <v>2</v>
          </cell>
          <cell r="Q339" t="str">
            <v>u</v>
          </cell>
          <cell r="S339">
            <v>11250</v>
          </cell>
          <cell r="T339">
            <v>1</v>
          </cell>
          <cell r="U339">
            <v>22500</v>
          </cell>
          <cell r="V339">
            <v>0</v>
          </cell>
          <cell r="W339">
            <v>0</v>
          </cell>
          <cell r="X339">
            <v>22500</v>
          </cell>
          <cell r="Y339">
            <v>22500</v>
          </cell>
          <cell r="Z339">
            <v>0</v>
          </cell>
          <cell r="AA339">
            <v>0</v>
          </cell>
          <cell r="AB339">
            <v>22500</v>
          </cell>
          <cell r="AC339">
            <v>0</v>
          </cell>
          <cell r="AD339">
            <v>0</v>
          </cell>
          <cell r="AE339">
            <v>0</v>
          </cell>
          <cell r="AF339">
            <v>0</v>
          </cell>
          <cell r="AG339">
            <v>0</v>
          </cell>
          <cell r="AH339">
            <v>0</v>
          </cell>
        </row>
        <row r="340">
          <cell r="B340" t="str">
            <v>SNIES</v>
          </cell>
          <cell r="C340" t="str">
            <v>G</v>
          </cell>
          <cell r="D340" t="str">
            <v>31F</v>
          </cell>
          <cell r="E340" t="str">
            <v>SNIES</v>
          </cell>
          <cell r="F340" t="str">
            <v>FC/CN</v>
          </cell>
          <cell r="G340">
            <v>12</v>
          </cell>
          <cell r="H340" t="str">
            <v>Formation Excel Autocad Archicad pour 2p x 4sem (base données SNIES SNIEM)</v>
          </cell>
          <cell r="I340" t="str">
            <v>CN/PSE</v>
          </cell>
          <cell r="K340" t="str">
            <v>FC/PSE</v>
          </cell>
          <cell r="L340" t="str">
            <v>COT</v>
          </cell>
          <cell r="M340">
            <v>8</v>
          </cell>
          <cell r="P340">
            <v>8</v>
          </cell>
          <cell r="Q340" t="str">
            <v>pxs</v>
          </cell>
          <cell r="R340" t="str">
            <v>fbu</v>
          </cell>
          <cell r="S340">
            <v>1000</v>
          </cell>
          <cell r="T340">
            <v>1</v>
          </cell>
          <cell r="U340">
            <v>8000</v>
          </cell>
          <cell r="V340">
            <v>0</v>
          </cell>
          <cell r="W340">
            <v>0</v>
          </cell>
          <cell r="X340">
            <v>8000</v>
          </cell>
          <cell r="Y340">
            <v>8000</v>
          </cell>
          <cell r="Z340">
            <v>0</v>
          </cell>
          <cell r="AA340">
            <v>0</v>
          </cell>
          <cell r="AB340">
            <v>8000</v>
          </cell>
          <cell r="AC340">
            <v>0</v>
          </cell>
          <cell r="AD340">
            <v>0</v>
          </cell>
          <cell r="AE340">
            <v>0</v>
          </cell>
          <cell r="AF340">
            <v>0</v>
          </cell>
          <cell r="AG340">
            <v>0</v>
          </cell>
          <cell r="AH340">
            <v>0</v>
          </cell>
        </row>
        <row r="341">
          <cell r="H341" t="str">
            <v>FORMATION PROFESSIONNELLE SECTEUR MINIER</v>
          </cell>
          <cell r="U341">
            <v>12407500</v>
          </cell>
          <cell r="V341">
            <v>0</v>
          </cell>
          <cell r="W341">
            <v>0</v>
          </cell>
          <cell r="X341">
            <v>12407500</v>
          </cell>
          <cell r="Y341">
            <v>12407500</v>
          </cell>
          <cell r="Z341">
            <v>0</v>
          </cell>
          <cell r="AA341">
            <v>0</v>
          </cell>
          <cell r="AB341">
            <v>12407500</v>
          </cell>
          <cell r="AC341">
            <v>0</v>
          </cell>
          <cell r="AD341">
            <v>0</v>
          </cell>
          <cell r="AE341">
            <v>0</v>
          </cell>
          <cell r="AF341">
            <v>0</v>
          </cell>
          <cell r="AH341">
            <v>0</v>
          </cell>
        </row>
        <row r="342">
          <cell r="H342" t="str">
            <v>Formations pour le développement du secteur minier</v>
          </cell>
          <cell r="U342">
            <v>12407500</v>
          </cell>
          <cell r="V342">
            <v>0</v>
          </cell>
          <cell r="W342">
            <v>0</v>
          </cell>
          <cell r="X342">
            <v>12407500</v>
          </cell>
          <cell r="Y342">
            <v>12407500</v>
          </cell>
          <cell r="Z342">
            <v>0</v>
          </cell>
          <cell r="AA342">
            <v>0</v>
          </cell>
          <cell r="AB342">
            <v>12407500</v>
          </cell>
          <cell r="AC342">
            <v>0</v>
          </cell>
          <cell r="AD342">
            <v>0</v>
          </cell>
          <cell r="AE342">
            <v>0</v>
          </cell>
          <cell r="AF342">
            <v>0</v>
          </cell>
          <cell r="AH342">
            <v>0</v>
          </cell>
        </row>
        <row r="343">
          <cell r="B343" t="str">
            <v>DNDPPE</v>
          </cell>
          <cell r="C343" t="str">
            <v>A</v>
          </cell>
          <cell r="D343" t="str">
            <v>32A</v>
          </cell>
          <cell r="E343" t="str">
            <v>DNDPPE</v>
          </cell>
          <cell r="F343" t="str">
            <v>FC/CN</v>
          </cell>
          <cell r="G343">
            <v>12</v>
          </cell>
          <cell r="H343" t="str">
            <v>Formation des formateurs</v>
          </cell>
          <cell r="I343" t="str">
            <v>CN/PSE</v>
          </cell>
          <cell r="K343" t="str">
            <v>FC/PSE</v>
          </cell>
          <cell r="L343" t="str">
            <v>CR</v>
          </cell>
          <cell r="M343">
            <v>1</v>
          </cell>
          <cell r="P343">
            <v>1</v>
          </cell>
          <cell r="Q343" t="str">
            <v>forfait</v>
          </cell>
          <cell r="S343">
            <v>1861125</v>
          </cell>
          <cell r="T343">
            <v>1</v>
          </cell>
          <cell r="U343">
            <v>1861125</v>
          </cell>
          <cell r="V343">
            <v>0</v>
          </cell>
          <cell r="W343">
            <v>0</v>
          </cell>
          <cell r="X343">
            <v>1861125</v>
          </cell>
          <cell r="Y343">
            <v>1861125</v>
          </cell>
          <cell r="Z343">
            <v>0</v>
          </cell>
          <cell r="AA343">
            <v>0</v>
          </cell>
          <cell r="AB343">
            <v>1861125</v>
          </cell>
          <cell r="AC343">
            <v>0</v>
          </cell>
          <cell r="AD343">
            <v>0</v>
          </cell>
          <cell r="AE343">
            <v>0</v>
          </cell>
          <cell r="AF343">
            <v>0</v>
          </cell>
          <cell r="AG343">
            <v>0</v>
          </cell>
          <cell r="AH343">
            <v>0</v>
          </cell>
        </row>
        <row r="344">
          <cell r="B344" t="str">
            <v>DNDPPE</v>
          </cell>
          <cell r="C344" t="str">
            <v>A</v>
          </cell>
          <cell r="D344" t="str">
            <v>32A</v>
          </cell>
          <cell r="E344" t="str">
            <v>DNDPPE</v>
          </cell>
          <cell r="F344" t="str">
            <v>FC/CN</v>
          </cell>
          <cell r="G344">
            <v>12</v>
          </cell>
          <cell r="H344" t="str">
            <v>Unités mobiles</v>
          </cell>
          <cell r="I344" t="str">
            <v>CN/PSE</v>
          </cell>
          <cell r="K344" t="str">
            <v>FC/PSE</v>
          </cell>
          <cell r="L344" t="str">
            <v>AOI</v>
          </cell>
          <cell r="M344">
            <v>1</v>
          </cell>
          <cell r="P344">
            <v>1</v>
          </cell>
          <cell r="Q344" t="str">
            <v>forfait</v>
          </cell>
          <cell r="S344">
            <v>10546375</v>
          </cell>
          <cell r="T344">
            <v>1</v>
          </cell>
          <cell r="U344">
            <v>10546375</v>
          </cell>
          <cell r="V344">
            <v>0</v>
          </cell>
          <cell r="W344">
            <v>0</v>
          </cell>
          <cell r="X344">
            <v>10546375</v>
          </cell>
          <cell r="Y344">
            <v>10546375</v>
          </cell>
          <cell r="Z344">
            <v>0</v>
          </cell>
          <cell r="AA344">
            <v>0</v>
          </cell>
          <cell r="AB344">
            <v>10546375</v>
          </cell>
          <cell r="AC344">
            <v>0</v>
          </cell>
          <cell r="AD344">
            <v>0</v>
          </cell>
          <cell r="AE344">
            <v>0</v>
          </cell>
          <cell r="AF344">
            <v>0</v>
          </cell>
          <cell r="AG344">
            <v>0</v>
          </cell>
          <cell r="AH344">
            <v>0</v>
          </cell>
        </row>
        <row r="345">
          <cell r="H345" t="str">
            <v>P4 ENSEIGNEMENT SUPERIEUR ET RECHERCHE SCIENTIFIQUE</v>
          </cell>
          <cell r="U345">
            <v>865984.88</v>
          </cell>
          <cell r="V345">
            <v>627036</v>
          </cell>
          <cell r="W345">
            <v>79696</v>
          </cell>
          <cell r="X345">
            <v>1572716.8800000001</v>
          </cell>
          <cell r="Y345">
            <v>865984.88</v>
          </cell>
          <cell r="Z345">
            <v>627036</v>
          </cell>
          <cell r="AA345">
            <v>79696</v>
          </cell>
          <cell r="AB345">
            <v>1572716.8800000001</v>
          </cell>
          <cell r="AC345">
            <v>0</v>
          </cell>
          <cell r="AD345">
            <v>0</v>
          </cell>
          <cell r="AE345">
            <v>0</v>
          </cell>
          <cell r="AF345">
            <v>0</v>
          </cell>
          <cell r="AH345">
            <v>0</v>
          </cell>
        </row>
        <row r="346">
          <cell r="H346" t="str">
            <v>INSTITUTS D'ENSEIGNEMENT SUPERIEUR</v>
          </cell>
          <cell r="U346">
            <v>865984.88000000012</v>
          </cell>
          <cell r="V346">
            <v>627036</v>
          </cell>
          <cell r="W346">
            <v>79696</v>
          </cell>
          <cell r="X346">
            <v>1572716.8800000001</v>
          </cell>
          <cell r="Y346">
            <v>865984.88000000012</v>
          </cell>
          <cell r="Z346">
            <v>627036</v>
          </cell>
          <cell r="AA346">
            <v>79696</v>
          </cell>
          <cell r="AB346">
            <v>1572716.8800000001</v>
          </cell>
          <cell r="AC346">
            <v>0</v>
          </cell>
          <cell r="AD346">
            <v>0</v>
          </cell>
          <cell r="AE346">
            <v>0</v>
          </cell>
          <cell r="AF346">
            <v>0</v>
          </cell>
          <cell r="AH346">
            <v>0</v>
          </cell>
        </row>
        <row r="347">
          <cell r="H347" t="str">
            <v>Poursuite de l'implantation du programme LMD à l'ISSEG</v>
          </cell>
          <cell r="U347">
            <v>865984.88</v>
          </cell>
          <cell r="V347">
            <v>627036</v>
          </cell>
          <cell r="W347">
            <v>79696</v>
          </cell>
          <cell r="X347">
            <v>1572716.8800000001</v>
          </cell>
          <cell r="Y347">
            <v>865984.88</v>
          </cell>
          <cell r="Z347">
            <v>627036</v>
          </cell>
          <cell r="AA347">
            <v>79696</v>
          </cell>
          <cell r="AB347">
            <v>1572716.8800000001</v>
          </cell>
          <cell r="AC347">
            <v>0</v>
          </cell>
          <cell r="AD347">
            <v>0</v>
          </cell>
          <cell r="AE347">
            <v>0</v>
          </cell>
          <cell r="AF347">
            <v>0</v>
          </cell>
          <cell r="AH347">
            <v>0</v>
          </cell>
        </row>
        <row r="348">
          <cell r="B348" t="str">
            <v>ISSEG</v>
          </cell>
          <cell r="C348" t="str">
            <v>Q</v>
          </cell>
          <cell r="D348" t="str">
            <v>41A</v>
          </cell>
          <cell r="E348" t="str">
            <v>ISSEG</v>
          </cell>
          <cell r="F348" t="str">
            <v>FC/CN</v>
          </cell>
          <cell r="G348">
            <v>12</v>
          </cell>
          <cell r="H348" t="str">
            <v>Elaboration plans de cours pour PCL années 2, 3 et 4  :  2p x 5j  x 60</v>
          </cell>
          <cell r="I348" t="str">
            <v>ISSEG</v>
          </cell>
          <cell r="K348" t="str">
            <v>FC/PSE</v>
          </cell>
          <cell r="L348" t="str">
            <v>AUT</v>
          </cell>
          <cell r="M348">
            <v>160</v>
          </cell>
          <cell r="N348">
            <v>160</v>
          </cell>
          <cell r="O348">
            <v>160</v>
          </cell>
          <cell r="P348">
            <v>480</v>
          </cell>
          <cell r="Q348" t="str">
            <v>pxj</v>
          </cell>
          <cell r="R348" t="str">
            <v>asr</v>
          </cell>
          <cell r="S348">
            <v>123.10000000000001</v>
          </cell>
          <cell r="T348">
            <v>1</v>
          </cell>
          <cell r="U348">
            <v>19696</v>
          </cell>
          <cell r="V348">
            <v>19696</v>
          </cell>
          <cell r="W348">
            <v>19696</v>
          </cell>
          <cell r="X348">
            <v>59088</v>
          </cell>
          <cell r="Y348">
            <v>19696</v>
          </cell>
          <cell r="Z348">
            <v>19696</v>
          </cell>
          <cell r="AA348">
            <v>19696</v>
          </cell>
          <cell r="AB348">
            <v>59088</v>
          </cell>
          <cell r="AC348">
            <v>0</v>
          </cell>
          <cell r="AD348">
            <v>0</v>
          </cell>
          <cell r="AE348">
            <v>0</v>
          </cell>
          <cell r="AF348">
            <v>0</v>
          </cell>
          <cell r="AG348">
            <v>0</v>
          </cell>
          <cell r="AH348">
            <v>0</v>
          </cell>
        </row>
        <row r="349">
          <cell r="B349" t="str">
            <v>ISSEG</v>
          </cell>
          <cell r="C349" t="str">
            <v>Q</v>
          </cell>
          <cell r="D349" t="str">
            <v>41A</v>
          </cell>
          <cell r="E349" t="str">
            <v>ISSEG</v>
          </cell>
          <cell r="F349" t="str">
            <v>FC/CN</v>
          </cell>
          <cell r="G349">
            <v>12</v>
          </cell>
          <cell r="H349" t="str">
            <v>Elaboration des plans de cours pour PEN et CPMF année 2 : 2p x 5j x 20</v>
          </cell>
          <cell r="I349" t="str">
            <v>ISSEG</v>
          </cell>
          <cell r="K349" t="str">
            <v>FC/PSE</v>
          </cell>
          <cell r="L349" t="str">
            <v>AUT</v>
          </cell>
          <cell r="M349">
            <v>80</v>
          </cell>
          <cell r="N349">
            <v>80</v>
          </cell>
          <cell r="P349">
            <v>160</v>
          </cell>
          <cell r="Q349" t="str">
            <v>pxj</v>
          </cell>
          <cell r="R349" t="str">
            <v>asr</v>
          </cell>
          <cell r="S349">
            <v>123.10000000000001</v>
          </cell>
          <cell r="T349">
            <v>1</v>
          </cell>
          <cell r="U349">
            <v>9848</v>
          </cell>
          <cell r="V349">
            <v>9848</v>
          </cell>
          <cell r="W349">
            <v>0</v>
          </cell>
          <cell r="X349">
            <v>19696</v>
          </cell>
          <cell r="Y349">
            <v>9848</v>
          </cell>
          <cell r="Z349">
            <v>9848</v>
          </cell>
          <cell r="AA349">
            <v>0</v>
          </cell>
          <cell r="AB349">
            <v>19696</v>
          </cell>
          <cell r="AC349">
            <v>0</v>
          </cell>
          <cell r="AD349">
            <v>0</v>
          </cell>
          <cell r="AE349">
            <v>0</v>
          </cell>
          <cell r="AF349">
            <v>0</v>
          </cell>
          <cell r="AG349">
            <v>0</v>
          </cell>
          <cell r="AH349">
            <v>0</v>
          </cell>
        </row>
        <row r="350">
          <cell r="B350" t="str">
            <v>ISSEG</v>
          </cell>
          <cell r="C350" t="str">
            <v>Q</v>
          </cell>
          <cell r="D350" t="str">
            <v>41A</v>
          </cell>
          <cell r="E350" t="str">
            <v>ISSEG</v>
          </cell>
          <cell r="F350" t="str">
            <v>FC/CN</v>
          </cell>
          <cell r="G350">
            <v>12</v>
          </cell>
          <cell r="H350" t="str">
            <v>Rédaction de 60 modules pour PCL années 2, 3 et 4 : 2p x 15j par module</v>
          </cell>
          <cell r="I350" t="str">
            <v>ISSEG</v>
          </cell>
          <cell r="K350" t="str">
            <v>FC/PSE</v>
          </cell>
          <cell r="L350" t="str">
            <v>AUT</v>
          </cell>
          <cell r="M350">
            <v>900</v>
          </cell>
          <cell r="N350">
            <v>900</v>
          </cell>
          <cell r="P350">
            <v>1800</v>
          </cell>
          <cell r="Q350" t="str">
            <v>pxj</v>
          </cell>
          <cell r="R350" t="str">
            <v>asr</v>
          </cell>
          <cell r="S350">
            <v>123.10000000000001</v>
          </cell>
          <cell r="T350">
            <v>1</v>
          </cell>
          <cell r="U350">
            <v>110790.00000000001</v>
          </cell>
          <cell r="V350">
            <v>110790.00000000001</v>
          </cell>
          <cell r="W350">
            <v>0</v>
          </cell>
          <cell r="X350">
            <v>221580.00000000003</v>
          </cell>
          <cell r="Y350">
            <v>110790.00000000001</v>
          </cell>
          <cell r="Z350">
            <v>110790.00000000001</v>
          </cell>
          <cell r="AA350">
            <v>0</v>
          </cell>
          <cell r="AB350">
            <v>221580.00000000003</v>
          </cell>
          <cell r="AC350">
            <v>0</v>
          </cell>
          <cell r="AD350">
            <v>0</v>
          </cell>
          <cell r="AE350">
            <v>0</v>
          </cell>
          <cell r="AF350">
            <v>0</v>
          </cell>
          <cell r="AG350">
            <v>0</v>
          </cell>
          <cell r="AH350">
            <v>0</v>
          </cell>
        </row>
        <row r="351">
          <cell r="B351" t="str">
            <v>ISSEG</v>
          </cell>
          <cell r="C351" t="str">
            <v>Q</v>
          </cell>
          <cell r="D351" t="str">
            <v>41A</v>
          </cell>
          <cell r="E351" t="str">
            <v>ISSEG</v>
          </cell>
          <cell r="F351" t="str">
            <v>FC/CN</v>
          </cell>
          <cell r="G351">
            <v>12</v>
          </cell>
          <cell r="H351" t="str">
            <v>Rédaction de 20 modules pour CPMF et  PEN année 2 : 2p x 15j par module</v>
          </cell>
          <cell r="I351" t="str">
            <v>ISSEG</v>
          </cell>
          <cell r="K351" t="str">
            <v>FC/PSE</v>
          </cell>
          <cell r="L351" t="str">
            <v>AUT</v>
          </cell>
          <cell r="M351">
            <v>300</v>
          </cell>
          <cell r="N351">
            <v>300</v>
          </cell>
          <cell r="P351">
            <v>600</v>
          </cell>
          <cell r="Q351" t="str">
            <v>pxj</v>
          </cell>
          <cell r="R351" t="str">
            <v>asr</v>
          </cell>
          <cell r="S351">
            <v>123.10000000000001</v>
          </cell>
          <cell r="T351">
            <v>1</v>
          </cell>
          <cell r="U351">
            <v>36930</v>
          </cell>
          <cell r="V351">
            <v>36930</v>
          </cell>
          <cell r="W351">
            <v>0</v>
          </cell>
          <cell r="X351">
            <v>73860</v>
          </cell>
          <cell r="Y351">
            <v>36930</v>
          </cell>
          <cell r="Z351">
            <v>36930</v>
          </cell>
          <cell r="AA351">
            <v>0</v>
          </cell>
          <cell r="AB351">
            <v>73860</v>
          </cell>
          <cell r="AC351">
            <v>0</v>
          </cell>
          <cell r="AD351">
            <v>0</v>
          </cell>
          <cell r="AE351">
            <v>0</v>
          </cell>
          <cell r="AF351">
            <v>0</v>
          </cell>
          <cell r="AG351">
            <v>0</v>
          </cell>
          <cell r="AH351">
            <v>0</v>
          </cell>
        </row>
        <row r="352">
          <cell r="B352" t="str">
            <v>ISSEG</v>
          </cell>
          <cell r="C352" t="str">
            <v>Q</v>
          </cell>
          <cell r="D352" t="str">
            <v>41A</v>
          </cell>
          <cell r="E352" t="str">
            <v>ISSEG</v>
          </cell>
          <cell r="F352" t="str">
            <v>FC/CN</v>
          </cell>
          <cell r="G352">
            <v>12</v>
          </cell>
          <cell r="H352" t="str">
            <v>Mise en cohérence et validation interne des modules 60p x 2j par an</v>
          </cell>
          <cell r="I352" t="str">
            <v>ISSEG</v>
          </cell>
          <cell r="K352" t="str">
            <v>FC/PSE</v>
          </cell>
          <cell r="L352" t="str">
            <v>AUT</v>
          </cell>
          <cell r="M352">
            <v>120</v>
          </cell>
          <cell r="N352">
            <v>120</v>
          </cell>
          <cell r="P352">
            <v>240</v>
          </cell>
          <cell r="Q352" t="str">
            <v>pxj</v>
          </cell>
          <cell r="R352" t="str">
            <v>asr</v>
          </cell>
          <cell r="S352">
            <v>123.10000000000001</v>
          </cell>
          <cell r="T352">
            <v>1</v>
          </cell>
          <cell r="U352">
            <v>14772.000000000002</v>
          </cell>
          <cell r="V352">
            <v>14772.000000000002</v>
          </cell>
          <cell r="W352">
            <v>0</v>
          </cell>
          <cell r="X352">
            <v>29544.000000000004</v>
          </cell>
          <cell r="Y352">
            <v>14772.000000000002</v>
          </cell>
          <cell r="Z352">
            <v>14772.000000000002</v>
          </cell>
          <cell r="AA352">
            <v>0</v>
          </cell>
          <cell r="AB352">
            <v>29544.000000000004</v>
          </cell>
          <cell r="AC352">
            <v>0</v>
          </cell>
          <cell r="AD352">
            <v>0</v>
          </cell>
          <cell r="AE352">
            <v>0</v>
          </cell>
          <cell r="AF352">
            <v>0</v>
          </cell>
          <cell r="AG352">
            <v>0</v>
          </cell>
          <cell r="AH352">
            <v>0</v>
          </cell>
        </row>
        <row r="353">
          <cell r="B353" t="str">
            <v>ISSEG</v>
          </cell>
          <cell r="C353" t="str">
            <v>Q</v>
          </cell>
          <cell r="D353" t="str">
            <v>41A</v>
          </cell>
          <cell r="E353" t="str">
            <v>ISSEG</v>
          </cell>
          <cell r="F353" t="str">
            <v>FC/CN</v>
          </cell>
          <cell r="G353">
            <v>12</v>
          </cell>
          <cell r="H353" t="str">
            <v>Reproduction des modules CPL : 30 mod x 50 pages x 800 par an</v>
          </cell>
          <cell r="I353" t="str">
            <v>CN/PSE</v>
          </cell>
          <cell r="K353" t="str">
            <v>FC/PSE</v>
          </cell>
          <cell r="L353" t="str">
            <v>COT</v>
          </cell>
          <cell r="M353">
            <v>1200000</v>
          </cell>
          <cell r="N353">
            <v>1200000</v>
          </cell>
          <cell r="P353">
            <v>2400000</v>
          </cell>
          <cell r="Q353" t="str">
            <v>page</v>
          </cell>
          <cell r="R353" t="str">
            <v>rep</v>
          </cell>
          <cell r="S353">
            <v>0.30000000000000004</v>
          </cell>
          <cell r="T353">
            <v>1</v>
          </cell>
          <cell r="U353">
            <v>360000.00000000006</v>
          </cell>
          <cell r="V353">
            <v>360000.00000000006</v>
          </cell>
          <cell r="W353">
            <v>0</v>
          </cell>
          <cell r="X353">
            <v>720000.00000000012</v>
          </cell>
          <cell r="Y353">
            <v>360000.00000000006</v>
          </cell>
          <cell r="Z353">
            <v>360000.00000000006</v>
          </cell>
          <cell r="AA353">
            <v>0</v>
          </cell>
          <cell r="AB353">
            <v>720000.00000000012</v>
          </cell>
          <cell r="AC353">
            <v>0</v>
          </cell>
          <cell r="AD353">
            <v>0</v>
          </cell>
          <cell r="AE353">
            <v>0</v>
          </cell>
          <cell r="AF353">
            <v>0</v>
          </cell>
          <cell r="AG353">
            <v>0</v>
          </cell>
          <cell r="AH353">
            <v>0</v>
          </cell>
        </row>
        <row r="354">
          <cell r="B354" t="str">
            <v>ISSEG</v>
          </cell>
          <cell r="C354" t="str">
            <v>Q</v>
          </cell>
          <cell r="D354" t="str">
            <v>41A</v>
          </cell>
          <cell r="E354" t="str">
            <v>ISSEG</v>
          </cell>
          <cell r="F354" t="str">
            <v>FC/CN</v>
          </cell>
          <cell r="G354">
            <v>12</v>
          </cell>
          <cell r="H354" t="str">
            <v>Reproduction des modules CPMF et PEN : 10 mod x 50 pages x 100 par an</v>
          </cell>
          <cell r="I354" t="str">
            <v>CN/PSE</v>
          </cell>
          <cell r="K354" t="str">
            <v>FC/PSE</v>
          </cell>
          <cell r="L354" t="str">
            <v>COT</v>
          </cell>
          <cell r="M354">
            <v>50000</v>
          </cell>
          <cell r="N354">
            <v>50000</v>
          </cell>
          <cell r="P354">
            <v>100000</v>
          </cell>
          <cell r="Q354" t="str">
            <v>page</v>
          </cell>
          <cell r="R354" t="str">
            <v>rep</v>
          </cell>
          <cell r="S354">
            <v>0.30000000000000004</v>
          </cell>
          <cell r="T354">
            <v>1</v>
          </cell>
          <cell r="U354">
            <v>15000.000000000002</v>
          </cell>
          <cell r="V354">
            <v>15000.000000000002</v>
          </cell>
          <cell r="W354">
            <v>0</v>
          </cell>
          <cell r="X354">
            <v>30000.000000000004</v>
          </cell>
          <cell r="Y354">
            <v>15000.000000000002</v>
          </cell>
          <cell r="Z354">
            <v>15000.000000000002</v>
          </cell>
          <cell r="AA354">
            <v>0</v>
          </cell>
          <cell r="AB354">
            <v>30000.000000000004</v>
          </cell>
          <cell r="AC354">
            <v>0</v>
          </cell>
          <cell r="AD354">
            <v>0</v>
          </cell>
          <cell r="AE354">
            <v>0</v>
          </cell>
          <cell r="AF354">
            <v>0</v>
          </cell>
          <cell r="AG354">
            <v>0</v>
          </cell>
          <cell r="AH354">
            <v>0</v>
          </cell>
        </row>
        <row r="355">
          <cell r="B355" t="str">
            <v>ISSEG</v>
          </cell>
          <cell r="C355" t="str">
            <v>Q</v>
          </cell>
          <cell r="D355" t="str">
            <v>41A</v>
          </cell>
          <cell r="E355" t="str">
            <v>ISSEG</v>
          </cell>
          <cell r="F355" t="str">
            <v>FC/CN</v>
          </cell>
          <cell r="G355">
            <v>23</v>
          </cell>
          <cell r="H355" t="str">
            <v>Poste informatique complet</v>
          </cell>
          <cell r="I355" t="str">
            <v>CN/PSE</v>
          </cell>
          <cell r="K355" t="str">
            <v>FC/PSE</v>
          </cell>
          <cell r="L355" t="str">
            <v>AOI</v>
          </cell>
          <cell r="M355">
            <v>10</v>
          </cell>
          <cell r="P355">
            <v>10</v>
          </cell>
          <cell r="Q355" t="str">
            <v>u</v>
          </cell>
          <cell r="R355" t="str">
            <v>pic</v>
          </cell>
          <cell r="S355">
            <v>14772.000000000002</v>
          </cell>
          <cell r="T355">
            <v>1</v>
          </cell>
          <cell r="U355">
            <v>147720.00000000003</v>
          </cell>
          <cell r="V355">
            <v>0</v>
          </cell>
          <cell r="W355">
            <v>0</v>
          </cell>
          <cell r="X355">
            <v>147720.00000000003</v>
          </cell>
          <cell r="Y355">
            <v>147720.00000000003</v>
          </cell>
          <cell r="Z355">
            <v>0</v>
          </cell>
          <cell r="AA355">
            <v>0</v>
          </cell>
          <cell r="AB355">
            <v>147720.00000000003</v>
          </cell>
          <cell r="AC355">
            <v>0</v>
          </cell>
          <cell r="AD355">
            <v>0</v>
          </cell>
          <cell r="AE355">
            <v>0</v>
          </cell>
          <cell r="AF355">
            <v>0</v>
          </cell>
          <cell r="AG355">
            <v>0</v>
          </cell>
          <cell r="AH355">
            <v>0</v>
          </cell>
        </row>
        <row r="356">
          <cell r="B356" t="str">
            <v>ISSEG</v>
          </cell>
          <cell r="C356" t="str">
            <v>Q</v>
          </cell>
          <cell r="D356" t="str">
            <v>41A</v>
          </cell>
          <cell r="E356" t="str">
            <v>ISSEG</v>
          </cell>
          <cell r="F356" t="str">
            <v>FC/CN</v>
          </cell>
          <cell r="G356">
            <v>23</v>
          </cell>
          <cell r="H356" t="str">
            <v>Photocopieur grande capacité</v>
          </cell>
          <cell r="I356" t="str">
            <v>CN/PSE</v>
          </cell>
          <cell r="K356" t="str">
            <v>FC/PSE</v>
          </cell>
          <cell r="L356" t="str">
            <v>AOI</v>
          </cell>
          <cell r="M356">
            <v>1</v>
          </cell>
          <cell r="P356">
            <v>1</v>
          </cell>
          <cell r="Q356" t="str">
            <v>u</v>
          </cell>
          <cell r="R356" t="str">
            <v>pgc</v>
          </cell>
          <cell r="S356">
            <v>121228.88000000003</v>
          </cell>
          <cell r="T356">
            <v>1</v>
          </cell>
          <cell r="U356">
            <v>121228.88000000003</v>
          </cell>
          <cell r="V356">
            <v>0</v>
          </cell>
          <cell r="W356">
            <v>0</v>
          </cell>
          <cell r="X356">
            <v>121228.88000000003</v>
          </cell>
          <cell r="Y356">
            <v>121228.88000000003</v>
          </cell>
          <cell r="Z356">
            <v>0</v>
          </cell>
          <cell r="AA356">
            <v>0</v>
          </cell>
          <cell r="AB356">
            <v>121228.88000000003</v>
          </cell>
          <cell r="AC356">
            <v>0</v>
          </cell>
          <cell r="AD356">
            <v>0</v>
          </cell>
          <cell r="AE356">
            <v>0</v>
          </cell>
          <cell r="AF356">
            <v>0</v>
          </cell>
          <cell r="AG356">
            <v>0</v>
          </cell>
          <cell r="AH356">
            <v>0</v>
          </cell>
        </row>
        <row r="357">
          <cell r="B357" t="str">
            <v>ISSEG</v>
          </cell>
          <cell r="C357" t="str">
            <v>Q</v>
          </cell>
          <cell r="D357" t="str">
            <v>41A</v>
          </cell>
          <cell r="E357" t="str">
            <v>ISSEG</v>
          </cell>
          <cell r="F357" t="str">
            <v>FC/CN</v>
          </cell>
          <cell r="G357">
            <v>15</v>
          </cell>
          <cell r="H357" t="str">
            <v>Fournitures et consommables</v>
          </cell>
          <cell r="I357" t="str">
            <v>ISSEG</v>
          </cell>
          <cell r="K357" t="str">
            <v>FC/PSE</v>
          </cell>
          <cell r="L357" t="str">
            <v>AUT</v>
          </cell>
          <cell r="M357">
            <v>6</v>
          </cell>
          <cell r="N357">
            <v>12</v>
          </cell>
          <cell r="O357">
            <v>12</v>
          </cell>
          <cell r="P357">
            <v>30</v>
          </cell>
          <cell r="Q357" t="str">
            <v>mois</v>
          </cell>
          <cell r="R357" t="str">
            <v>forfait</v>
          </cell>
          <cell r="S357">
            <v>5000</v>
          </cell>
          <cell r="T357">
            <v>1</v>
          </cell>
          <cell r="U357">
            <v>30000</v>
          </cell>
          <cell r="V357">
            <v>60000</v>
          </cell>
          <cell r="W357">
            <v>60000</v>
          </cell>
          <cell r="X357">
            <v>150000</v>
          </cell>
          <cell r="Y357">
            <v>30000</v>
          </cell>
          <cell r="Z357">
            <v>60000</v>
          </cell>
          <cell r="AA357">
            <v>60000</v>
          </cell>
          <cell r="AB357">
            <v>150000</v>
          </cell>
          <cell r="AC357">
            <v>0</v>
          </cell>
          <cell r="AD357">
            <v>0</v>
          </cell>
          <cell r="AE357">
            <v>0</v>
          </cell>
          <cell r="AF357">
            <v>0</v>
          </cell>
          <cell r="AG357">
            <v>0</v>
          </cell>
          <cell r="AH357">
            <v>0</v>
          </cell>
        </row>
        <row r="358">
          <cell r="H358" t="str">
            <v>INSTITUTS DE RECHERCHE SCIENTIFIQUE</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row>
        <row r="359">
          <cell r="H359" t="str">
            <v>P5 GESTION SECTORIELLE</v>
          </cell>
          <cell r="U359">
            <v>13524364.3408</v>
          </cell>
          <cell r="V359">
            <v>15737427.6</v>
          </cell>
          <cell r="W359">
            <v>15569142.399999999</v>
          </cell>
          <cell r="X359">
            <v>44830934.34080001</v>
          </cell>
          <cell r="Y359">
            <v>13524364.3408</v>
          </cell>
          <cell r="Z359">
            <v>15737427.6</v>
          </cell>
          <cell r="AA359">
            <v>15569142.399999999</v>
          </cell>
          <cell r="AB359">
            <v>44830934.34080001</v>
          </cell>
          <cell r="AC359">
            <v>0</v>
          </cell>
          <cell r="AD359">
            <v>0</v>
          </cell>
          <cell r="AE359">
            <v>0</v>
          </cell>
          <cell r="AF359">
            <v>0</v>
          </cell>
          <cell r="AH359">
            <v>0</v>
          </cell>
        </row>
        <row r="360">
          <cell r="H360" t="str">
            <v>GESTION CENTRALE</v>
          </cell>
          <cell r="U360">
            <v>6200721.6208000006</v>
          </cell>
          <cell r="V360">
            <v>7615119.6000000006</v>
          </cell>
          <cell r="W360">
            <v>7455697.6000000006</v>
          </cell>
          <cell r="X360">
            <v>21271538.820800003</v>
          </cell>
          <cell r="Y360">
            <v>6200721.6208000006</v>
          </cell>
          <cell r="Z360">
            <v>7615119.6000000006</v>
          </cell>
          <cell r="AA360">
            <v>7455697.6000000006</v>
          </cell>
          <cell r="AB360">
            <v>21271538.820800003</v>
          </cell>
          <cell r="AC360">
            <v>0</v>
          </cell>
          <cell r="AD360">
            <v>0</v>
          </cell>
          <cell r="AE360">
            <v>0</v>
          </cell>
          <cell r="AF360">
            <v>0</v>
          </cell>
          <cell r="AH360">
            <v>0</v>
          </cell>
        </row>
        <row r="361">
          <cell r="H361" t="str">
            <v>Appuis à la Cellule d'Audit Interne</v>
          </cell>
          <cell r="U361">
            <v>184062.96</v>
          </cell>
          <cell r="V361">
            <v>60000</v>
          </cell>
          <cell r="W361">
            <v>60000</v>
          </cell>
          <cell r="X361">
            <v>304062.95999999996</v>
          </cell>
          <cell r="Y361">
            <v>184062.96</v>
          </cell>
          <cell r="Z361">
            <v>60000</v>
          </cell>
          <cell r="AA361">
            <v>60000</v>
          </cell>
          <cell r="AB361">
            <v>304062.95999999996</v>
          </cell>
          <cell r="AC361">
            <v>0</v>
          </cell>
          <cell r="AD361">
            <v>0</v>
          </cell>
          <cell r="AE361">
            <v>0</v>
          </cell>
          <cell r="AF361">
            <v>0</v>
          </cell>
          <cell r="AG361">
            <v>0</v>
          </cell>
          <cell r="AH361">
            <v>0</v>
          </cell>
        </row>
        <row r="362">
          <cell r="B362" t="str">
            <v>CAI</v>
          </cell>
          <cell r="C362" t="str">
            <v>G</v>
          </cell>
          <cell r="D362" t="str">
            <v>51A</v>
          </cell>
          <cell r="E362" t="str">
            <v>IRE/</v>
          </cell>
          <cell r="F362" t="str">
            <v>FC/</v>
          </cell>
          <cell r="G362">
            <v>12</v>
          </cell>
          <cell r="H362" t="str">
            <v>Formation cadres CAI en compta publique et audit 7p en 192 heures CNPG</v>
          </cell>
          <cell r="I362" t="str">
            <v>CAI</v>
          </cell>
          <cell r="K362" t="str">
            <v>FC/PSE</v>
          </cell>
          <cell r="L362" t="str">
            <v>AUT</v>
          </cell>
          <cell r="M362">
            <v>192</v>
          </cell>
          <cell r="P362">
            <v>192</v>
          </cell>
          <cell r="Q362" t="str">
            <v>heure</v>
          </cell>
          <cell r="S362">
            <v>250</v>
          </cell>
          <cell r="T362">
            <v>1</v>
          </cell>
          <cell r="U362">
            <v>48000</v>
          </cell>
          <cell r="V362">
            <v>0</v>
          </cell>
          <cell r="W362">
            <v>0</v>
          </cell>
          <cell r="X362">
            <v>48000</v>
          </cell>
          <cell r="Y362">
            <v>48000</v>
          </cell>
          <cell r="Z362">
            <v>0</v>
          </cell>
          <cell r="AA362">
            <v>0</v>
          </cell>
          <cell r="AB362">
            <v>48000</v>
          </cell>
          <cell r="AC362">
            <v>0</v>
          </cell>
          <cell r="AD362">
            <v>0</v>
          </cell>
          <cell r="AE362">
            <v>0</v>
          </cell>
          <cell r="AF362">
            <v>0</v>
          </cell>
          <cell r="AG362">
            <v>0</v>
          </cell>
          <cell r="AH362">
            <v>0</v>
          </cell>
        </row>
        <row r="363">
          <cell r="B363" t="str">
            <v>CAI</v>
          </cell>
          <cell r="C363" t="str">
            <v>G</v>
          </cell>
          <cell r="D363" t="str">
            <v>51A</v>
          </cell>
          <cell r="E363" t="str">
            <v>IRE/</v>
          </cell>
          <cell r="F363" t="str">
            <v>FC/</v>
          </cell>
          <cell r="G363">
            <v>12</v>
          </cell>
          <cell r="H363" t="str">
            <v>Formation SAF/SGR IRE/DPE 46 x 2p x 4j</v>
          </cell>
          <cell r="I363" t="str">
            <v>CAI</v>
          </cell>
          <cell r="K363" t="str">
            <v>FC/PSE</v>
          </cell>
          <cell r="L363" t="str">
            <v>AUT</v>
          </cell>
          <cell r="M363">
            <v>368</v>
          </cell>
          <cell r="P363">
            <v>368</v>
          </cell>
          <cell r="Q363" t="str">
            <v>pxj</v>
          </cell>
          <cell r="R363" t="str">
            <v>asn</v>
          </cell>
          <cell r="S363">
            <v>147.72</v>
          </cell>
          <cell r="T363">
            <v>1</v>
          </cell>
          <cell r="U363">
            <v>54360.959999999999</v>
          </cell>
          <cell r="V363">
            <v>0</v>
          </cell>
          <cell r="W363">
            <v>0</v>
          </cell>
          <cell r="X363">
            <v>54360.959999999999</v>
          </cell>
          <cell r="Y363">
            <v>54360.959999999999</v>
          </cell>
          <cell r="Z363">
            <v>0</v>
          </cell>
          <cell r="AA363">
            <v>0</v>
          </cell>
          <cell r="AB363">
            <v>54360.959999999999</v>
          </cell>
          <cell r="AC363">
            <v>0</v>
          </cell>
          <cell r="AD363">
            <v>0</v>
          </cell>
          <cell r="AE363">
            <v>0</v>
          </cell>
          <cell r="AF363">
            <v>0</v>
          </cell>
          <cell r="AG363">
            <v>0</v>
          </cell>
          <cell r="AH363">
            <v>0</v>
          </cell>
        </row>
        <row r="364">
          <cell r="B364" t="str">
            <v>CAI</v>
          </cell>
          <cell r="C364" t="str">
            <v>G</v>
          </cell>
          <cell r="D364" t="str">
            <v>51A</v>
          </cell>
          <cell r="E364" t="str">
            <v>DRH/EPU</v>
          </cell>
          <cell r="F364" t="str">
            <v>FC/CN</v>
          </cell>
          <cell r="G364">
            <v>23</v>
          </cell>
          <cell r="H364" t="str">
            <v>Postes informatiques fixes complets</v>
          </cell>
          <cell r="I364" t="str">
            <v>CAI</v>
          </cell>
          <cell r="K364" t="str">
            <v>FC/PSE</v>
          </cell>
          <cell r="L364" t="str">
            <v>AOI</v>
          </cell>
          <cell r="M364">
            <v>3</v>
          </cell>
          <cell r="P364">
            <v>3</v>
          </cell>
          <cell r="Q364" t="str">
            <v>u</v>
          </cell>
          <cell r="R364" t="str">
            <v>pic</v>
          </cell>
          <cell r="S364">
            <v>14772.000000000002</v>
          </cell>
          <cell r="T364">
            <v>1</v>
          </cell>
          <cell r="U364">
            <v>44316.000000000007</v>
          </cell>
          <cell r="V364">
            <v>0</v>
          </cell>
          <cell r="W364">
            <v>0</v>
          </cell>
          <cell r="X364">
            <v>44316.000000000007</v>
          </cell>
          <cell r="Y364">
            <v>44316.000000000007</v>
          </cell>
          <cell r="Z364">
            <v>0</v>
          </cell>
          <cell r="AA364">
            <v>0</v>
          </cell>
          <cell r="AB364">
            <v>44316.000000000007</v>
          </cell>
          <cell r="AC364">
            <v>0</v>
          </cell>
          <cell r="AD364">
            <v>0</v>
          </cell>
          <cell r="AE364">
            <v>0</v>
          </cell>
          <cell r="AF364">
            <v>0</v>
          </cell>
          <cell r="AG364">
            <v>0</v>
          </cell>
          <cell r="AH364">
            <v>0</v>
          </cell>
        </row>
        <row r="365">
          <cell r="B365" t="str">
            <v>CAI</v>
          </cell>
          <cell r="C365" t="str">
            <v>G</v>
          </cell>
          <cell r="D365" t="str">
            <v>51A</v>
          </cell>
          <cell r="E365" t="str">
            <v>DRH/EPU</v>
          </cell>
          <cell r="F365" t="str">
            <v>FC/CN</v>
          </cell>
          <cell r="G365">
            <v>23</v>
          </cell>
          <cell r="H365" t="str">
            <v>Vidéoprojecteur</v>
          </cell>
          <cell r="I365" t="str">
            <v>CAI</v>
          </cell>
          <cell r="K365" t="str">
            <v>FC/PSE</v>
          </cell>
          <cell r="L365" t="str">
            <v>AOI</v>
          </cell>
          <cell r="M365">
            <v>1</v>
          </cell>
          <cell r="P365">
            <v>1</v>
          </cell>
          <cell r="Q365" t="str">
            <v>u</v>
          </cell>
          <cell r="S365">
            <v>7386.0000000000009</v>
          </cell>
          <cell r="T365">
            <v>1</v>
          </cell>
          <cell r="U365">
            <v>7386.0000000000009</v>
          </cell>
          <cell r="V365">
            <v>0</v>
          </cell>
          <cell r="W365">
            <v>0</v>
          </cell>
          <cell r="X365">
            <v>7386.0000000000009</v>
          </cell>
          <cell r="Y365">
            <v>7386.0000000000009</v>
          </cell>
          <cell r="Z365">
            <v>0</v>
          </cell>
          <cell r="AA365">
            <v>0</v>
          </cell>
          <cell r="AB365">
            <v>7386.0000000000009</v>
          </cell>
          <cell r="AC365">
            <v>0</v>
          </cell>
          <cell r="AD365">
            <v>0</v>
          </cell>
          <cell r="AE365">
            <v>0</v>
          </cell>
          <cell r="AF365">
            <v>0</v>
          </cell>
          <cell r="AG365">
            <v>0</v>
          </cell>
          <cell r="AH365">
            <v>0</v>
          </cell>
        </row>
        <row r="366">
          <cell r="B366" t="str">
            <v>CAI</v>
          </cell>
          <cell r="C366" t="str">
            <v>G</v>
          </cell>
          <cell r="D366" t="str">
            <v>51A</v>
          </cell>
          <cell r="E366" t="str">
            <v>IRE/</v>
          </cell>
          <cell r="F366" t="str">
            <v>FC/</v>
          </cell>
          <cell r="G366">
            <v>15</v>
          </cell>
          <cell r="H366" t="str">
            <v>Missions d'audit interne auprès des 40 SAF/SGR des IRE/DPE 2/an</v>
          </cell>
          <cell r="I366" t="str">
            <v>CAI</v>
          </cell>
          <cell r="K366" t="str">
            <v>FC/PSE</v>
          </cell>
          <cell r="L366" t="str">
            <v>AUT</v>
          </cell>
          <cell r="M366">
            <v>1</v>
          </cell>
          <cell r="N366">
            <v>2</v>
          </cell>
          <cell r="O366">
            <v>2</v>
          </cell>
          <cell r="P366">
            <v>5</v>
          </cell>
          <cell r="Q366" t="str">
            <v>audit</v>
          </cell>
          <cell r="S366">
            <v>30000</v>
          </cell>
          <cell r="T366">
            <v>1</v>
          </cell>
          <cell r="U366">
            <v>30000</v>
          </cell>
          <cell r="V366">
            <v>60000</v>
          </cell>
          <cell r="W366">
            <v>60000</v>
          </cell>
          <cell r="X366">
            <v>150000</v>
          </cell>
          <cell r="Y366">
            <v>30000</v>
          </cell>
          <cell r="Z366">
            <v>60000</v>
          </cell>
          <cell r="AA366">
            <v>60000</v>
          </cell>
          <cell r="AB366">
            <v>150000</v>
          </cell>
          <cell r="AC366">
            <v>0</v>
          </cell>
          <cell r="AD366">
            <v>0</v>
          </cell>
          <cell r="AE366">
            <v>0</v>
          </cell>
          <cell r="AF366">
            <v>0</v>
          </cell>
          <cell r="AG366">
            <v>0</v>
          </cell>
          <cell r="AH366">
            <v>0</v>
          </cell>
        </row>
        <row r="367">
          <cell r="H367" t="str">
            <v>Etudes et formations</v>
          </cell>
          <cell r="U367">
            <v>478784</v>
          </cell>
          <cell r="V367">
            <v>0</v>
          </cell>
          <cell r="W367">
            <v>0</v>
          </cell>
          <cell r="X367">
            <v>478784</v>
          </cell>
          <cell r="Y367">
            <v>478784</v>
          </cell>
          <cell r="Z367">
            <v>0</v>
          </cell>
          <cell r="AA367">
            <v>0</v>
          </cell>
          <cell r="AB367">
            <v>478784</v>
          </cell>
          <cell r="AC367">
            <v>0</v>
          </cell>
          <cell r="AD367">
            <v>0</v>
          </cell>
          <cell r="AE367">
            <v>0</v>
          </cell>
          <cell r="AF367">
            <v>0</v>
          </cell>
          <cell r="AH367">
            <v>0</v>
          </cell>
        </row>
        <row r="368">
          <cell r="B368" t="str">
            <v>CN/PSE</v>
          </cell>
          <cell r="C368" t="str">
            <v>G</v>
          </cell>
          <cell r="D368" t="str">
            <v>51B</v>
          </cell>
          <cell r="E368" t="str">
            <v>SSU</v>
          </cell>
          <cell r="F368" t="str">
            <v>FC/CN</v>
          </cell>
          <cell r="G368">
            <v>25</v>
          </cell>
          <cell r="H368" t="str">
            <v>Etude impact VIH/SIDA Spécialiste international : 20j</v>
          </cell>
          <cell r="I368" t="str">
            <v>CN/PSE</v>
          </cell>
          <cell r="K368" t="str">
            <v>FC/PSE</v>
          </cell>
          <cell r="L368" t="str">
            <v>CR</v>
          </cell>
          <cell r="M368">
            <v>0.66666666666666663</v>
          </cell>
          <cell r="P368">
            <v>0.66666666666666663</v>
          </cell>
          <cell r="Q368" t="str">
            <v>pxm</v>
          </cell>
          <cell r="R368" t="str">
            <v>cic</v>
          </cell>
          <cell r="S368">
            <v>88632</v>
          </cell>
          <cell r="T368">
            <v>1</v>
          </cell>
          <cell r="U368">
            <v>59088</v>
          </cell>
          <cell r="V368">
            <v>0</v>
          </cell>
          <cell r="W368">
            <v>0</v>
          </cell>
          <cell r="X368">
            <v>59088</v>
          </cell>
          <cell r="Y368">
            <v>59088</v>
          </cell>
          <cell r="Z368">
            <v>0</v>
          </cell>
          <cell r="AA368">
            <v>0</v>
          </cell>
          <cell r="AB368">
            <v>59088</v>
          </cell>
          <cell r="AC368">
            <v>0</v>
          </cell>
          <cell r="AD368">
            <v>0</v>
          </cell>
          <cell r="AE368">
            <v>0</v>
          </cell>
          <cell r="AF368">
            <v>0</v>
          </cell>
          <cell r="AG368">
            <v>0</v>
          </cell>
          <cell r="AH368">
            <v>0</v>
          </cell>
        </row>
        <row r="369">
          <cell r="B369" t="str">
            <v>CN/PSE</v>
          </cell>
          <cell r="C369" t="str">
            <v>G</v>
          </cell>
          <cell r="D369" t="str">
            <v>51B</v>
          </cell>
          <cell r="E369" t="str">
            <v>SSU</v>
          </cell>
          <cell r="F369" t="str">
            <v>FC/CN</v>
          </cell>
          <cell r="G369">
            <v>25</v>
          </cell>
          <cell r="H369" t="str">
            <v>Etude impact VIH/SIDA Spécialiste national : 20j</v>
          </cell>
          <cell r="I369" t="str">
            <v>CN/PSE</v>
          </cell>
          <cell r="K369" t="str">
            <v>FC/PSE</v>
          </cell>
          <cell r="L369" t="str">
            <v>CR</v>
          </cell>
          <cell r="M369">
            <v>0.66666666666666663</v>
          </cell>
          <cell r="P369">
            <v>0.66666666666666663</v>
          </cell>
          <cell r="Q369" t="str">
            <v>pxm</v>
          </cell>
          <cell r="R369" t="str">
            <v>cnc</v>
          </cell>
          <cell r="S369">
            <v>29544.000000000004</v>
          </cell>
          <cell r="T369">
            <v>1</v>
          </cell>
          <cell r="U369">
            <v>19696</v>
          </cell>
          <cell r="V369">
            <v>0</v>
          </cell>
          <cell r="W369">
            <v>0</v>
          </cell>
          <cell r="X369">
            <v>19696</v>
          </cell>
          <cell r="Y369">
            <v>19696</v>
          </cell>
          <cell r="Z369">
            <v>0</v>
          </cell>
          <cell r="AA369">
            <v>0</v>
          </cell>
          <cell r="AB369">
            <v>19696</v>
          </cell>
          <cell r="AC369">
            <v>0</v>
          </cell>
          <cell r="AD369">
            <v>0</v>
          </cell>
          <cell r="AE369">
            <v>0</v>
          </cell>
          <cell r="AF369">
            <v>0</v>
          </cell>
          <cell r="AG369">
            <v>0</v>
          </cell>
          <cell r="AH369">
            <v>0</v>
          </cell>
        </row>
        <row r="370">
          <cell r="B370" t="str">
            <v>CN/PSE</v>
          </cell>
          <cell r="C370" t="str">
            <v>G</v>
          </cell>
          <cell r="D370" t="str">
            <v>51B</v>
          </cell>
          <cell r="E370" t="str">
            <v>SNFP</v>
          </cell>
          <cell r="F370" t="str">
            <v>FC/CN</v>
          </cell>
          <cell r="G370">
            <v>12</v>
          </cell>
          <cell r="H370" t="str">
            <v>Formation approfondie à temps partiel en bureautique : 50p niveau central x 8sem</v>
          </cell>
          <cell r="I370" t="str">
            <v>CN/PSE</v>
          </cell>
          <cell r="K370" t="str">
            <v>FC/PSE</v>
          </cell>
          <cell r="L370" t="str">
            <v>CR</v>
          </cell>
          <cell r="M370">
            <v>400</v>
          </cell>
          <cell r="P370">
            <v>400</v>
          </cell>
          <cell r="Q370" t="str">
            <v>pxsem</v>
          </cell>
          <cell r="R370" t="str">
            <v>fbu</v>
          </cell>
          <cell r="S370">
            <v>1000</v>
          </cell>
          <cell r="T370">
            <v>1</v>
          </cell>
          <cell r="U370">
            <v>400000</v>
          </cell>
          <cell r="V370">
            <v>0</v>
          </cell>
          <cell r="W370">
            <v>0</v>
          </cell>
          <cell r="X370">
            <v>400000</v>
          </cell>
          <cell r="Y370">
            <v>400000</v>
          </cell>
          <cell r="Z370">
            <v>0</v>
          </cell>
          <cell r="AA370">
            <v>0</v>
          </cell>
          <cell r="AB370">
            <v>400000</v>
          </cell>
          <cell r="AC370">
            <v>0</v>
          </cell>
          <cell r="AD370">
            <v>0</v>
          </cell>
          <cell r="AE370">
            <v>0</v>
          </cell>
          <cell r="AF370">
            <v>0</v>
          </cell>
          <cell r="AG370">
            <v>0</v>
          </cell>
          <cell r="AH370">
            <v>0</v>
          </cell>
        </row>
        <row r="371">
          <cell r="H371" t="str">
            <v>Gestion des ressources humaines</v>
          </cell>
          <cell r="U371">
            <v>324732.00000000006</v>
          </cell>
          <cell r="V371">
            <v>30000.000000000007</v>
          </cell>
          <cell r="W371">
            <v>30000.000000000007</v>
          </cell>
          <cell r="X371">
            <v>384732.00000000012</v>
          </cell>
          <cell r="Y371">
            <v>324732.00000000006</v>
          </cell>
          <cell r="Z371">
            <v>30000.000000000007</v>
          </cell>
          <cell r="AA371">
            <v>30000.000000000007</v>
          </cell>
          <cell r="AB371">
            <v>384732.00000000012</v>
          </cell>
          <cell r="AC371">
            <v>0</v>
          </cell>
          <cell r="AD371">
            <v>0</v>
          </cell>
          <cell r="AE371">
            <v>0</v>
          </cell>
          <cell r="AF371">
            <v>0</v>
          </cell>
          <cell r="AH371">
            <v>0</v>
          </cell>
        </row>
        <row r="372">
          <cell r="B372" t="str">
            <v>DRH/EPU</v>
          </cell>
          <cell r="C372" t="str">
            <v>G</v>
          </cell>
          <cell r="D372" t="str">
            <v>51C</v>
          </cell>
          <cell r="E372" t="str">
            <v>DRH/EPU</v>
          </cell>
          <cell r="F372" t="str">
            <v>FC/CN</v>
          </cell>
          <cell r="G372">
            <v>25</v>
          </cell>
          <cell r="H372" t="str">
            <v>Manuel des procédures de màj  base des données du personnel</v>
          </cell>
          <cell r="I372" t="str">
            <v>CN/PSE</v>
          </cell>
          <cell r="K372" t="str">
            <v>FC/PSE</v>
          </cell>
          <cell r="L372" t="str">
            <v>CR</v>
          </cell>
          <cell r="M372">
            <v>0.5</v>
          </cell>
          <cell r="P372">
            <v>0.5</v>
          </cell>
          <cell r="Q372" t="str">
            <v>pxm</v>
          </cell>
          <cell r="R372" t="str">
            <v>cic</v>
          </cell>
          <cell r="S372">
            <v>88632</v>
          </cell>
          <cell r="T372">
            <v>1</v>
          </cell>
          <cell r="U372">
            <v>44316</v>
          </cell>
          <cell r="V372">
            <v>0</v>
          </cell>
          <cell r="W372">
            <v>0</v>
          </cell>
          <cell r="X372">
            <v>44316</v>
          </cell>
          <cell r="Y372">
            <v>44316</v>
          </cell>
          <cell r="Z372">
            <v>0</v>
          </cell>
          <cell r="AA372">
            <v>0</v>
          </cell>
          <cell r="AB372">
            <v>44316</v>
          </cell>
          <cell r="AC372">
            <v>0</v>
          </cell>
          <cell r="AD372">
            <v>0</v>
          </cell>
          <cell r="AE372">
            <v>0</v>
          </cell>
          <cell r="AF372">
            <v>0</v>
          </cell>
          <cell r="AG372">
            <v>0</v>
          </cell>
          <cell r="AH372">
            <v>0</v>
          </cell>
        </row>
        <row r="373">
          <cell r="B373" t="str">
            <v>DRH/EPU</v>
          </cell>
          <cell r="C373" t="str">
            <v>G</v>
          </cell>
          <cell r="D373" t="str">
            <v>51C</v>
          </cell>
          <cell r="E373" t="str">
            <v>DRH/EPU</v>
          </cell>
          <cell r="F373" t="str">
            <v>FC/CN</v>
          </cell>
          <cell r="G373">
            <v>23</v>
          </cell>
          <cell r="H373" t="str">
            <v>Postes informatiques fixes complets dédiés à la base personnel</v>
          </cell>
          <cell r="I373" t="str">
            <v>CN/PSE</v>
          </cell>
          <cell r="K373" t="str">
            <v>FC/PSE</v>
          </cell>
          <cell r="L373" t="str">
            <v>AOI</v>
          </cell>
          <cell r="M373">
            <v>5</v>
          </cell>
          <cell r="P373">
            <v>5</v>
          </cell>
          <cell r="Q373" t="str">
            <v>u</v>
          </cell>
          <cell r="R373" t="str">
            <v>pic</v>
          </cell>
          <cell r="S373">
            <v>14772.000000000002</v>
          </cell>
          <cell r="T373">
            <v>1</v>
          </cell>
          <cell r="U373">
            <v>73860.000000000015</v>
          </cell>
          <cell r="V373">
            <v>0</v>
          </cell>
          <cell r="W373">
            <v>0</v>
          </cell>
          <cell r="X373">
            <v>73860.000000000015</v>
          </cell>
          <cell r="Y373">
            <v>73860.000000000015</v>
          </cell>
          <cell r="Z373">
            <v>0</v>
          </cell>
          <cell r="AA373">
            <v>0</v>
          </cell>
          <cell r="AB373">
            <v>73860.000000000015</v>
          </cell>
          <cell r="AC373">
            <v>0</v>
          </cell>
          <cell r="AD373">
            <v>0</v>
          </cell>
          <cell r="AE373">
            <v>0</v>
          </cell>
          <cell r="AF373">
            <v>0</v>
          </cell>
          <cell r="AG373">
            <v>0</v>
          </cell>
          <cell r="AH373">
            <v>0</v>
          </cell>
        </row>
        <row r="374">
          <cell r="B374" t="str">
            <v>DRH/EPU</v>
          </cell>
          <cell r="C374" t="str">
            <v>G</v>
          </cell>
          <cell r="D374" t="str">
            <v>51C</v>
          </cell>
          <cell r="E374" t="str">
            <v>DRH/EPU</v>
          </cell>
          <cell r="F374" t="str">
            <v>FC/CN</v>
          </cell>
          <cell r="G374">
            <v>23</v>
          </cell>
          <cell r="H374" t="str">
            <v>Postes informatiques fixes complets</v>
          </cell>
          <cell r="I374" t="str">
            <v>CN/PSE</v>
          </cell>
          <cell r="K374" t="str">
            <v>FC/PSE</v>
          </cell>
          <cell r="L374" t="str">
            <v>AOI</v>
          </cell>
          <cell r="M374">
            <v>3</v>
          </cell>
          <cell r="P374">
            <v>3</v>
          </cell>
          <cell r="Q374" t="str">
            <v>u</v>
          </cell>
          <cell r="R374" t="str">
            <v>pic</v>
          </cell>
          <cell r="S374">
            <v>14772.000000000002</v>
          </cell>
          <cell r="T374">
            <v>1</v>
          </cell>
          <cell r="U374">
            <v>44316.000000000007</v>
          </cell>
          <cell r="V374">
            <v>0</v>
          </cell>
          <cell r="W374">
            <v>0</v>
          </cell>
          <cell r="X374">
            <v>44316.000000000007</v>
          </cell>
          <cell r="Y374">
            <v>44316.000000000007</v>
          </cell>
          <cell r="Z374">
            <v>0</v>
          </cell>
          <cell r="AA374">
            <v>0</v>
          </cell>
          <cell r="AB374">
            <v>44316.000000000007</v>
          </cell>
          <cell r="AC374">
            <v>0</v>
          </cell>
          <cell r="AD374">
            <v>0</v>
          </cell>
          <cell r="AE374">
            <v>0</v>
          </cell>
          <cell r="AF374">
            <v>0</v>
          </cell>
          <cell r="AG374">
            <v>0</v>
          </cell>
          <cell r="AH374">
            <v>0</v>
          </cell>
        </row>
        <row r="375">
          <cell r="B375" t="str">
            <v>DRH/EPU</v>
          </cell>
          <cell r="C375" t="str">
            <v>G</v>
          </cell>
          <cell r="D375" t="str">
            <v>51C</v>
          </cell>
          <cell r="E375" t="str">
            <v>DRH/EPU</v>
          </cell>
          <cell r="F375" t="str">
            <v>FC/CN</v>
          </cell>
          <cell r="G375">
            <v>23</v>
          </cell>
          <cell r="H375" t="str">
            <v>Serveur réseau pour base personnel</v>
          </cell>
          <cell r="I375" t="str">
            <v>CN/PSE</v>
          </cell>
          <cell r="K375" t="str">
            <v>FC/PSE</v>
          </cell>
          <cell r="L375" t="str">
            <v>AOI</v>
          </cell>
          <cell r="M375">
            <v>1</v>
          </cell>
          <cell r="P375">
            <v>1</v>
          </cell>
          <cell r="Q375" t="str">
            <v>u</v>
          </cell>
          <cell r="S375">
            <v>24620.000000000004</v>
          </cell>
          <cell r="T375">
            <v>1</v>
          </cell>
          <cell r="U375">
            <v>24620.000000000004</v>
          </cell>
          <cell r="V375">
            <v>0</v>
          </cell>
          <cell r="W375">
            <v>0</v>
          </cell>
          <cell r="X375">
            <v>24620.000000000004</v>
          </cell>
          <cell r="Y375">
            <v>24620.000000000004</v>
          </cell>
          <cell r="Z375">
            <v>0</v>
          </cell>
          <cell r="AA375">
            <v>0</v>
          </cell>
          <cell r="AB375">
            <v>24620.000000000004</v>
          </cell>
          <cell r="AC375">
            <v>0</v>
          </cell>
          <cell r="AD375">
            <v>0</v>
          </cell>
          <cell r="AE375">
            <v>0</v>
          </cell>
          <cell r="AF375">
            <v>0</v>
          </cell>
          <cell r="AG375">
            <v>0</v>
          </cell>
          <cell r="AH375">
            <v>0</v>
          </cell>
        </row>
        <row r="376">
          <cell r="B376" t="str">
            <v>DRH/EPU</v>
          </cell>
          <cell r="C376" t="str">
            <v>G</v>
          </cell>
          <cell r="D376" t="str">
            <v>51C</v>
          </cell>
          <cell r="E376" t="str">
            <v>DRH/EPU</v>
          </cell>
          <cell r="F376" t="str">
            <v>FC/CN</v>
          </cell>
          <cell r="G376">
            <v>23</v>
          </cell>
          <cell r="H376" t="str">
            <v>Equipement pour réseau postes dédiés et serveur cartes et connectique</v>
          </cell>
          <cell r="I376" t="str">
            <v>CN/PSE</v>
          </cell>
          <cell r="K376" t="str">
            <v>FC/PSE</v>
          </cell>
          <cell r="L376" t="str">
            <v>AOI</v>
          </cell>
          <cell r="M376">
            <v>1</v>
          </cell>
          <cell r="P376">
            <v>1</v>
          </cell>
          <cell r="Q376" t="str">
            <v>lot</v>
          </cell>
          <cell r="S376">
            <v>24620.000000000004</v>
          </cell>
          <cell r="T376">
            <v>1</v>
          </cell>
          <cell r="U376">
            <v>24620.000000000004</v>
          </cell>
          <cell r="V376">
            <v>0</v>
          </cell>
          <cell r="W376">
            <v>0</v>
          </cell>
          <cell r="X376">
            <v>24620.000000000004</v>
          </cell>
          <cell r="Y376">
            <v>24620.000000000004</v>
          </cell>
          <cell r="Z376">
            <v>0</v>
          </cell>
          <cell r="AA376">
            <v>0</v>
          </cell>
          <cell r="AB376">
            <v>24620.000000000004</v>
          </cell>
          <cell r="AC376">
            <v>0</v>
          </cell>
          <cell r="AD376">
            <v>0</v>
          </cell>
          <cell r="AE376">
            <v>0</v>
          </cell>
          <cell r="AF376">
            <v>0</v>
          </cell>
          <cell r="AG376">
            <v>0</v>
          </cell>
          <cell r="AH376">
            <v>0</v>
          </cell>
        </row>
        <row r="377">
          <cell r="B377" t="str">
            <v>DRH/EPU</v>
          </cell>
          <cell r="C377" t="str">
            <v>G</v>
          </cell>
          <cell r="D377" t="str">
            <v>51C</v>
          </cell>
          <cell r="E377" t="str">
            <v>DRH/EPU</v>
          </cell>
          <cell r="F377" t="str">
            <v>FC/CN</v>
          </cell>
          <cell r="G377">
            <v>12</v>
          </cell>
          <cell r="H377" t="str">
            <v>Formation utilisation base in situ 10p DRH x 2 semaines</v>
          </cell>
          <cell r="I377" t="str">
            <v>CN/PSE</v>
          </cell>
          <cell r="K377" t="str">
            <v>FC/PSE</v>
          </cell>
          <cell r="L377" t="str">
            <v>CR</v>
          </cell>
          <cell r="M377">
            <v>20</v>
          </cell>
          <cell r="P377">
            <v>20</v>
          </cell>
          <cell r="Q377" t="str">
            <v>pxs</v>
          </cell>
          <cell r="R377" t="str">
            <v>fbu</v>
          </cell>
          <cell r="S377">
            <v>1000</v>
          </cell>
          <cell r="T377">
            <v>1</v>
          </cell>
          <cell r="U377">
            <v>20000</v>
          </cell>
          <cell r="V377">
            <v>0</v>
          </cell>
          <cell r="W377">
            <v>0</v>
          </cell>
          <cell r="X377">
            <v>20000</v>
          </cell>
          <cell r="Y377">
            <v>20000</v>
          </cell>
          <cell r="Z377">
            <v>0</v>
          </cell>
          <cell r="AA377">
            <v>0</v>
          </cell>
          <cell r="AB377">
            <v>20000</v>
          </cell>
          <cell r="AC377">
            <v>0</v>
          </cell>
          <cell r="AD377">
            <v>0</v>
          </cell>
          <cell r="AE377">
            <v>0</v>
          </cell>
          <cell r="AF377">
            <v>0</v>
          </cell>
          <cell r="AG377">
            <v>0</v>
          </cell>
          <cell r="AH377">
            <v>0</v>
          </cell>
        </row>
        <row r="378">
          <cell r="B378" t="str">
            <v>DRH/EPU</v>
          </cell>
          <cell r="C378" t="str">
            <v>G</v>
          </cell>
          <cell r="D378" t="str">
            <v>51C</v>
          </cell>
          <cell r="E378" t="str">
            <v>DRH/EPU</v>
          </cell>
          <cell r="F378" t="str">
            <v>FC/CN</v>
          </cell>
          <cell r="G378">
            <v>12</v>
          </cell>
          <cell r="H378" t="str">
            <v>Formation bureautique 10p DRH x 3 semaines</v>
          </cell>
          <cell r="I378" t="str">
            <v>CN/PSE</v>
          </cell>
          <cell r="K378" t="str">
            <v>FC/PSE</v>
          </cell>
          <cell r="L378" t="str">
            <v>CR</v>
          </cell>
          <cell r="M378">
            <v>30</v>
          </cell>
          <cell r="P378">
            <v>30</v>
          </cell>
          <cell r="Q378" t="str">
            <v>pxs</v>
          </cell>
          <cell r="R378" t="str">
            <v>fbu</v>
          </cell>
          <cell r="S378">
            <v>1000</v>
          </cell>
          <cell r="T378">
            <v>1</v>
          </cell>
          <cell r="U378">
            <v>30000</v>
          </cell>
          <cell r="V378">
            <v>0</v>
          </cell>
          <cell r="W378">
            <v>0</v>
          </cell>
          <cell r="X378">
            <v>30000</v>
          </cell>
          <cell r="Y378">
            <v>30000</v>
          </cell>
          <cell r="Z378">
            <v>0</v>
          </cell>
          <cell r="AA378">
            <v>0</v>
          </cell>
          <cell r="AB378">
            <v>30000</v>
          </cell>
          <cell r="AC378">
            <v>0</v>
          </cell>
          <cell r="AD378">
            <v>0</v>
          </cell>
          <cell r="AE378">
            <v>0</v>
          </cell>
          <cell r="AF378">
            <v>0</v>
          </cell>
          <cell r="AG378">
            <v>0</v>
          </cell>
          <cell r="AH378">
            <v>0</v>
          </cell>
        </row>
        <row r="379">
          <cell r="B379" t="str">
            <v>DRH/EPU</v>
          </cell>
          <cell r="C379" t="str">
            <v>G</v>
          </cell>
          <cell r="D379" t="str">
            <v>51C</v>
          </cell>
          <cell r="E379" t="str">
            <v>DRH/EPU</v>
          </cell>
          <cell r="F379" t="str">
            <v>FC/CN</v>
          </cell>
          <cell r="G379">
            <v>15</v>
          </cell>
          <cell r="H379" t="str">
            <v>Fiches d'enquête par DSEE, établissements ETFP et IES</v>
          </cell>
          <cell r="I379" t="str">
            <v>CN/PSE</v>
          </cell>
          <cell r="K379" t="str">
            <v>FC/PSE</v>
          </cell>
          <cell r="L379" t="str">
            <v>COT</v>
          </cell>
          <cell r="M379">
            <v>160000</v>
          </cell>
          <cell r="P379">
            <v>160000</v>
          </cell>
          <cell r="Q379" t="str">
            <v>fiche</v>
          </cell>
          <cell r="R379" t="str">
            <v>rep</v>
          </cell>
          <cell r="S379">
            <v>0.30000000000000004</v>
          </cell>
          <cell r="T379">
            <v>1</v>
          </cell>
          <cell r="U379">
            <v>48000.000000000007</v>
          </cell>
          <cell r="V379">
            <v>0</v>
          </cell>
          <cell r="W379">
            <v>0</v>
          </cell>
          <cell r="X379">
            <v>48000.000000000007</v>
          </cell>
          <cell r="Y379">
            <v>48000.000000000007</v>
          </cell>
          <cell r="Z379">
            <v>0</v>
          </cell>
          <cell r="AA379">
            <v>0</v>
          </cell>
          <cell r="AB379">
            <v>48000.000000000007</v>
          </cell>
          <cell r="AC379">
            <v>0</v>
          </cell>
          <cell r="AD379">
            <v>0</v>
          </cell>
          <cell r="AE379">
            <v>0</v>
          </cell>
          <cell r="AF379">
            <v>0</v>
          </cell>
          <cell r="AG379">
            <v>0</v>
          </cell>
          <cell r="AH379">
            <v>0</v>
          </cell>
        </row>
        <row r="380">
          <cell r="B380" t="str">
            <v>DRH/EPU</v>
          </cell>
          <cell r="C380" t="str">
            <v>G</v>
          </cell>
          <cell r="D380" t="str">
            <v>51C</v>
          </cell>
          <cell r="E380" t="str">
            <v>DRH/EPU</v>
          </cell>
          <cell r="F380" t="str">
            <v>FC/CN</v>
          </cell>
          <cell r="G380">
            <v>11</v>
          </cell>
          <cell r="H380" t="str">
            <v>Informaticien contractuel</v>
          </cell>
          <cell r="I380" t="str">
            <v>CN/PSE</v>
          </cell>
          <cell r="K380" t="str">
            <v>FC/PSE</v>
          </cell>
          <cell r="L380" t="str">
            <v>CR</v>
          </cell>
          <cell r="M380">
            <v>6</v>
          </cell>
          <cell r="N380">
            <v>12</v>
          </cell>
          <cell r="O380">
            <v>12</v>
          </cell>
          <cell r="P380">
            <v>30</v>
          </cell>
          <cell r="Q380" t="str">
            <v>mois</v>
          </cell>
          <cell r="R380" t="str">
            <v>inf</v>
          </cell>
          <cell r="S380">
            <v>2500.0000000000005</v>
          </cell>
          <cell r="T380">
            <v>1</v>
          </cell>
          <cell r="U380">
            <v>15000.000000000004</v>
          </cell>
          <cell r="V380">
            <v>30000.000000000007</v>
          </cell>
          <cell r="W380">
            <v>30000.000000000007</v>
          </cell>
          <cell r="X380">
            <v>75000.000000000029</v>
          </cell>
          <cell r="Y380">
            <v>15000.000000000004</v>
          </cell>
          <cell r="Z380">
            <v>30000.000000000007</v>
          </cell>
          <cell r="AA380">
            <v>30000.000000000007</v>
          </cell>
          <cell r="AB380">
            <v>75000.000000000029</v>
          </cell>
          <cell r="AC380">
            <v>0</v>
          </cell>
          <cell r="AD380">
            <v>0</v>
          </cell>
          <cell r="AE380">
            <v>0</v>
          </cell>
          <cell r="AF380">
            <v>0</v>
          </cell>
          <cell r="AG380">
            <v>0</v>
          </cell>
          <cell r="AH380">
            <v>0</v>
          </cell>
        </row>
        <row r="381">
          <cell r="H381" t="str">
            <v>Cellule Cadre des Dépenses à Moyen Terme</v>
          </cell>
          <cell r="U381">
            <v>399679.06080000004</v>
          </cell>
          <cell r="V381">
            <v>258966</v>
          </cell>
          <cell r="W381">
            <v>59544</v>
          </cell>
          <cell r="X381">
            <v>718189.06079999998</v>
          </cell>
          <cell r="Y381">
            <v>399679.06080000004</v>
          </cell>
          <cell r="Z381">
            <v>258966</v>
          </cell>
          <cell r="AA381">
            <v>59544</v>
          </cell>
          <cell r="AB381">
            <v>718189.06079999998</v>
          </cell>
          <cell r="AC381">
            <v>0</v>
          </cell>
          <cell r="AD381">
            <v>0</v>
          </cell>
          <cell r="AE381">
            <v>0</v>
          </cell>
          <cell r="AF381">
            <v>0</v>
          </cell>
          <cell r="AH381">
            <v>0</v>
          </cell>
        </row>
        <row r="382">
          <cell r="B382" t="str">
            <v>C/CDMT</v>
          </cell>
          <cell r="C382" t="str">
            <v>G</v>
          </cell>
          <cell r="D382" t="str">
            <v>51D</v>
          </cell>
          <cell r="E382" t="str">
            <v>C/CDMT</v>
          </cell>
          <cell r="F382" t="str">
            <v>FC/CN</v>
          </cell>
          <cell r="G382">
            <v>15</v>
          </cell>
          <cell r="H382" t="str">
            <v>Missions d'information et d'encadrement des structures centrales et déconcentrées</v>
          </cell>
          <cell r="I382" t="str">
            <v>C/CDMT</v>
          </cell>
          <cell r="K382" t="str">
            <v>FC/PSE</v>
          </cell>
          <cell r="L382" t="str">
            <v>AUT</v>
          </cell>
          <cell r="M382">
            <v>100</v>
          </cell>
          <cell r="N382">
            <v>120</v>
          </cell>
          <cell r="O382">
            <v>120</v>
          </cell>
          <cell r="P382">
            <v>340</v>
          </cell>
          <cell r="Q382" t="str">
            <v>pxj</v>
          </cell>
          <cell r="R382" t="str">
            <v>min</v>
          </cell>
          <cell r="S382">
            <v>246.20000000000002</v>
          </cell>
          <cell r="T382">
            <v>1</v>
          </cell>
          <cell r="U382">
            <v>24620</v>
          </cell>
          <cell r="V382">
            <v>29544.000000000004</v>
          </cell>
          <cell r="W382">
            <v>29544.000000000004</v>
          </cell>
          <cell r="X382">
            <v>83708</v>
          </cell>
          <cell r="Y382">
            <v>24620</v>
          </cell>
          <cell r="Z382">
            <v>29544.000000000004</v>
          </cell>
          <cell r="AA382">
            <v>29544.000000000004</v>
          </cell>
          <cell r="AB382">
            <v>83708</v>
          </cell>
          <cell r="AC382">
            <v>0</v>
          </cell>
          <cell r="AD382">
            <v>0</v>
          </cell>
          <cell r="AE382">
            <v>0</v>
          </cell>
          <cell r="AF382">
            <v>0</v>
          </cell>
          <cell r="AG382">
            <v>0</v>
          </cell>
          <cell r="AH382">
            <v>0</v>
          </cell>
        </row>
        <row r="383">
          <cell r="B383" t="str">
            <v>C/CDMT</v>
          </cell>
          <cell r="C383" t="str">
            <v>G</v>
          </cell>
          <cell r="D383" t="str">
            <v>51D</v>
          </cell>
          <cell r="E383" t="str">
            <v>C/CDMT</v>
          </cell>
          <cell r="F383" t="str">
            <v>FC/CN</v>
          </cell>
          <cell r="G383">
            <v>12</v>
          </cell>
          <cell r="H383" t="str">
            <v>Formation approfondie Excel et Access 8sem x 3p</v>
          </cell>
          <cell r="I383" t="str">
            <v>CN/PSE</v>
          </cell>
          <cell r="K383" t="str">
            <v>FC/PSE</v>
          </cell>
          <cell r="L383" t="str">
            <v>CR</v>
          </cell>
          <cell r="M383">
            <v>24</v>
          </cell>
          <cell r="P383">
            <v>24</v>
          </cell>
          <cell r="Q383" t="str">
            <v>sem</v>
          </cell>
          <cell r="R383" t="str">
            <v>fbu</v>
          </cell>
          <cell r="S383">
            <v>1000</v>
          </cell>
          <cell r="T383">
            <v>1</v>
          </cell>
          <cell r="U383">
            <v>24000</v>
          </cell>
          <cell r="V383">
            <v>0</v>
          </cell>
          <cell r="W383">
            <v>0</v>
          </cell>
          <cell r="X383">
            <v>24000</v>
          </cell>
          <cell r="Y383">
            <v>24000</v>
          </cell>
          <cell r="Z383">
            <v>0</v>
          </cell>
          <cell r="AA383">
            <v>0</v>
          </cell>
          <cell r="AB383">
            <v>24000</v>
          </cell>
          <cell r="AC383">
            <v>0</v>
          </cell>
          <cell r="AD383">
            <v>0</v>
          </cell>
          <cell r="AE383">
            <v>0</v>
          </cell>
          <cell r="AF383">
            <v>0</v>
          </cell>
          <cell r="AG383">
            <v>0</v>
          </cell>
          <cell r="AH383">
            <v>0</v>
          </cell>
        </row>
        <row r="384">
          <cell r="B384" t="str">
            <v>C/CDMT</v>
          </cell>
          <cell r="C384" t="str">
            <v>G</v>
          </cell>
          <cell r="D384" t="str">
            <v>51D</v>
          </cell>
          <cell r="E384" t="str">
            <v>C/CDMT</v>
          </cell>
          <cell r="F384" t="str">
            <v>FC/CN</v>
          </cell>
          <cell r="G384">
            <v>12</v>
          </cell>
          <cell r="H384" t="str">
            <v>Formation aux outils de dépenses publique (TOFE,CDMT,GAR) La Rochelle 3p x 20j</v>
          </cell>
          <cell r="I384" t="str">
            <v>C/CDMT</v>
          </cell>
          <cell r="K384" t="str">
            <v>FC/PSE</v>
          </cell>
          <cell r="L384" t="str">
            <v>AUT</v>
          </cell>
          <cell r="N384">
            <v>3</v>
          </cell>
          <cell r="P384">
            <v>3</v>
          </cell>
          <cell r="Q384" t="str">
            <v>p</v>
          </cell>
          <cell r="S384">
            <v>66474</v>
          </cell>
          <cell r="T384">
            <v>1</v>
          </cell>
          <cell r="U384">
            <v>0</v>
          </cell>
          <cell r="V384">
            <v>199422</v>
          </cell>
          <cell r="W384">
            <v>0</v>
          </cell>
          <cell r="X384">
            <v>199422</v>
          </cell>
          <cell r="Y384">
            <v>0</v>
          </cell>
          <cell r="Z384">
            <v>199422</v>
          </cell>
          <cell r="AA384">
            <v>0</v>
          </cell>
          <cell r="AB384">
            <v>199422</v>
          </cell>
          <cell r="AC384">
            <v>0</v>
          </cell>
          <cell r="AD384">
            <v>0</v>
          </cell>
          <cell r="AE384">
            <v>0</v>
          </cell>
          <cell r="AF384">
            <v>0</v>
          </cell>
          <cell r="AG384">
            <v>0</v>
          </cell>
          <cell r="AH384">
            <v>0</v>
          </cell>
        </row>
        <row r="385">
          <cell r="B385" t="str">
            <v>C/CDMT</v>
          </cell>
          <cell r="C385" t="str">
            <v>G</v>
          </cell>
          <cell r="D385" t="str">
            <v>51D</v>
          </cell>
          <cell r="E385" t="str">
            <v>C/CDMT</v>
          </cell>
          <cell r="F385" t="str">
            <v>FC/CN</v>
          </cell>
          <cell r="G385">
            <v>15</v>
          </cell>
          <cell r="H385" t="str">
            <v>Appui au fonctionnement courant de la Cellule CDMT</v>
          </cell>
          <cell r="I385" t="str">
            <v>C/CDMT</v>
          </cell>
          <cell r="K385" t="str">
            <v>FC/PSE</v>
          </cell>
          <cell r="L385" t="str">
            <v>AUT</v>
          </cell>
          <cell r="M385">
            <v>6</v>
          </cell>
          <cell r="N385">
            <v>12</v>
          </cell>
          <cell r="O385">
            <v>12</v>
          </cell>
          <cell r="P385">
            <v>30</v>
          </cell>
          <cell r="Q385" t="str">
            <v>mois</v>
          </cell>
          <cell r="S385">
            <v>2500</v>
          </cell>
          <cell r="T385">
            <v>1</v>
          </cell>
          <cell r="U385">
            <v>15000</v>
          </cell>
          <cell r="V385">
            <v>30000</v>
          </cell>
          <cell r="W385">
            <v>30000</v>
          </cell>
          <cell r="X385">
            <v>75000</v>
          </cell>
          <cell r="Y385">
            <v>15000</v>
          </cell>
          <cell r="Z385">
            <v>30000</v>
          </cell>
          <cell r="AA385">
            <v>30000</v>
          </cell>
          <cell r="AB385">
            <v>75000</v>
          </cell>
          <cell r="AC385">
            <v>0</v>
          </cell>
          <cell r="AD385">
            <v>0</v>
          </cell>
          <cell r="AE385">
            <v>0</v>
          </cell>
          <cell r="AF385">
            <v>0</v>
          </cell>
          <cell r="AG385">
            <v>0</v>
          </cell>
          <cell r="AH385">
            <v>0</v>
          </cell>
        </row>
        <row r="386">
          <cell r="B386" t="str">
            <v>C/CDMT</v>
          </cell>
          <cell r="C386" t="str">
            <v>G</v>
          </cell>
          <cell r="D386" t="str">
            <v>51D</v>
          </cell>
          <cell r="E386" t="str">
            <v>C/CDMT</v>
          </cell>
          <cell r="F386" t="str">
            <v>FC/CN</v>
          </cell>
          <cell r="G386">
            <v>23</v>
          </cell>
          <cell r="H386" t="str">
            <v>Véhicule de mission 4X4 SW</v>
          </cell>
          <cell r="I386" t="str">
            <v>CN/PSE</v>
          </cell>
          <cell r="K386" t="str">
            <v>FC/PSE</v>
          </cell>
          <cell r="L386" t="str">
            <v>AOI</v>
          </cell>
          <cell r="M386">
            <v>1</v>
          </cell>
          <cell r="P386">
            <v>1</v>
          </cell>
          <cell r="Q386" t="str">
            <v>u</v>
          </cell>
          <cell r="R386" t="str">
            <v>vsw</v>
          </cell>
          <cell r="S386">
            <v>196960.00000000003</v>
          </cell>
          <cell r="T386">
            <v>1</v>
          </cell>
          <cell r="U386">
            <v>196960.00000000003</v>
          </cell>
          <cell r="V386">
            <v>0</v>
          </cell>
          <cell r="W386">
            <v>0</v>
          </cell>
          <cell r="X386">
            <v>196960.00000000003</v>
          </cell>
          <cell r="Y386">
            <v>196960.00000000003</v>
          </cell>
          <cell r="Z386">
            <v>0</v>
          </cell>
          <cell r="AA386">
            <v>0</v>
          </cell>
          <cell r="AB386">
            <v>196960.00000000003</v>
          </cell>
          <cell r="AC386">
            <v>0</v>
          </cell>
          <cell r="AD386">
            <v>0</v>
          </cell>
          <cell r="AE386">
            <v>0</v>
          </cell>
          <cell r="AF386">
            <v>0</v>
          </cell>
          <cell r="AG386">
            <v>0</v>
          </cell>
          <cell r="AH386">
            <v>0</v>
          </cell>
        </row>
        <row r="387">
          <cell r="B387" t="str">
            <v>C/CDMT</v>
          </cell>
          <cell r="C387" t="str">
            <v>G</v>
          </cell>
          <cell r="D387" t="str">
            <v>51D</v>
          </cell>
          <cell r="E387" t="str">
            <v>C/CDMT</v>
          </cell>
          <cell r="F387" t="str">
            <v>FC/CN</v>
          </cell>
          <cell r="G387">
            <v>23</v>
          </cell>
          <cell r="H387" t="str">
            <v>Photocopieur moyenne capacité</v>
          </cell>
          <cell r="I387" t="str">
            <v>CN/PSE</v>
          </cell>
          <cell r="K387" t="str">
            <v>FC/PSE</v>
          </cell>
          <cell r="L387" t="str">
            <v>AOI</v>
          </cell>
          <cell r="M387">
            <v>1</v>
          </cell>
          <cell r="P387">
            <v>1</v>
          </cell>
          <cell r="Q387" t="str">
            <v>u</v>
          </cell>
          <cell r="R387" t="str">
            <v>pmc</v>
          </cell>
          <cell r="S387">
            <v>72737.328000000009</v>
          </cell>
          <cell r="T387">
            <v>1</v>
          </cell>
          <cell r="U387">
            <v>72737.328000000009</v>
          </cell>
          <cell r="V387">
            <v>0</v>
          </cell>
          <cell r="W387">
            <v>0</v>
          </cell>
          <cell r="X387">
            <v>72737.328000000009</v>
          </cell>
          <cell r="Y387">
            <v>72737.328000000009</v>
          </cell>
          <cell r="Z387">
            <v>0</v>
          </cell>
          <cell r="AA387">
            <v>0</v>
          </cell>
          <cell r="AB387">
            <v>72737.328000000009</v>
          </cell>
          <cell r="AC387">
            <v>0</v>
          </cell>
          <cell r="AD387">
            <v>0</v>
          </cell>
          <cell r="AE387">
            <v>0</v>
          </cell>
          <cell r="AF387">
            <v>0</v>
          </cell>
          <cell r="AG387">
            <v>0</v>
          </cell>
          <cell r="AH387">
            <v>0</v>
          </cell>
        </row>
        <row r="388">
          <cell r="B388" t="str">
            <v>C/CDMT</v>
          </cell>
          <cell r="C388" t="str">
            <v>G</v>
          </cell>
          <cell r="D388" t="str">
            <v>51D</v>
          </cell>
          <cell r="E388" t="str">
            <v>C/CDMT</v>
          </cell>
          <cell r="F388" t="str">
            <v>FC/CN</v>
          </cell>
          <cell r="G388">
            <v>23</v>
          </cell>
          <cell r="H388" t="str">
            <v>Imprimante multifonction</v>
          </cell>
          <cell r="I388" t="str">
            <v>CN/PSE</v>
          </cell>
          <cell r="K388" t="str">
            <v>FC/PSE</v>
          </cell>
          <cell r="L388" t="str">
            <v>AOI</v>
          </cell>
          <cell r="M388">
            <v>1</v>
          </cell>
          <cell r="P388">
            <v>1</v>
          </cell>
          <cell r="Q388" t="str">
            <v>u</v>
          </cell>
          <cell r="R388" t="str">
            <v>imf</v>
          </cell>
          <cell r="S388">
            <v>7273.7328000000007</v>
          </cell>
          <cell r="T388">
            <v>1</v>
          </cell>
          <cell r="U388">
            <v>7273.7328000000007</v>
          </cell>
          <cell r="V388">
            <v>0</v>
          </cell>
          <cell r="W388">
            <v>0</v>
          </cell>
          <cell r="X388">
            <v>7273.7328000000007</v>
          </cell>
          <cell r="Y388">
            <v>7273.7328000000007</v>
          </cell>
          <cell r="Z388">
            <v>0</v>
          </cell>
          <cell r="AA388">
            <v>0</v>
          </cell>
          <cell r="AB388">
            <v>7273.7328000000007</v>
          </cell>
          <cell r="AC388">
            <v>0</v>
          </cell>
          <cell r="AD388">
            <v>0</v>
          </cell>
          <cell r="AE388">
            <v>0</v>
          </cell>
          <cell r="AF388">
            <v>0</v>
          </cell>
          <cell r="AG388">
            <v>0</v>
          </cell>
          <cell r="AH388">
            <v>0</v>
          </cell>
        </row>
        <row r="389">
          <cell r="B389" t="str">
            <v>C/CDMT</v>
          </cell>
          <cell r="C389" t="str">
            <v>G</v>
          </cell>
          <cell r="D389" t="str">
            <v>51D</v>
          </cell>
          <cell r="E389" t="str">
            <v>C/CDMT</v>
          </cell>
          <cell r="F389" t="str">
            <v>FC/CN</v>
          </cell>
          <cell r="G389">
            <v>23</v>
          </cell>
          <cell r="H389" t="str">
            <v>Poste informatique complet fixe</v>
          </cell>
          <cell r="I389" t="str">
            <v>CN/PSE</v>
          </cell>
          <cell r="K389" t="str">
            <v>FC/PSE</v>
          </cell>
          <cell r="L389" t="str">
            <v>AOI</v>
          </cell>
          <cell r="M389">
            <v>3</v>
          </cell>
          <cell r="P389">
            <v>3</v>
          </cell>
          <cell r="Q389" t="str">
            <v>u</v>
          </cell>
          <cell r="R389" t="str">
            <v>pic</v>
          </cell>
          <cell r="S389">
            <v>14772.000000000002</v>
          </cell>
          <cell r="T389">
            <v>1</v>
          </cell>
          <cell r="U389">
            <v>44316.000000000007</v>
          </cell>
          <cell r="V389">
            <v>0</v>
          </cell>
          <cell r="W389">
            <v>0</v>
          </cell>
          <cell r="X389">
            <v>44316.000000000007</v>
          </cell>
          <cell r="Y389">
            <v>44316.000000000007</v>
          </cell>
          <cell r="Z389">
            <v>0</v>
          </cell>
          <cell r="AA389">
            <v>0</v>
          </cell>
          <cell r="AB389">
            <v>44316.000000000007</v>
          </cell>
          <cell r="AC389">
            <v>0</v>
          </cell>
          <cell r="AD389">
            <v>0</v>
          </cell>
          <cell r="AE389">
            <v>0</v>
          </cell>
          <cell r="AF389">
            <v>0</v>
          </cell>
          <cell r="AG389">
            <v>0</v>
          </cell>
          <cell r="AH389">
            <v>0</v>
          </cell>
        </row>
        <row r="390">
          <cell r="B390" t="str">
            <v>C/CDMT</v>
          </cell>
          <cell r="C390" t="str">
            <v>G</v>
          </cell>
          <cell r="D390" t="str">
            <v>51D</v>
          </cell>
          <cell r="E390" t="str">
            <v>C/CDMT</v>
          </cell>
          <cell r="F390" t="str">
            <v>FC/CN</v>
          </cell>
          <cell r="G390">
            <v>23</v>
          </cell>
          <cell r="H390" t="str">
            <v>Projecteur vidéo</v>
          </cell>
          <cell r="I390" t="str">
            <v>CN/PSE</v>
          </cell>
          <cell r="K390" t="str">
            <v>FC/PSE</v>
          </cell>
          <cell r="L390" t="str">
            <v>AOI</v>
          </cell>
          <cell r="M390">
            <v>2</v>
          </cell>
          <cell r="P390">
            <v>2</v>
          </cell>
          <cell r="Q390" t="str">
            <v>u</v>
          </cell>
          <cell r="R390" t="str">
            <v>pvi</v>
          </cell>
          <cell r="S390">
            <v>7386.0000000000009</v>
          </cell>
          <cell r="T390">
            <v>1</v>
          </cell>
          <cell r="U390">
            <v>14772.000000000002</v>
          </cell>
          <cell r="V390">
            <v>0</v>
          </cell>
          <cell r="W390">
            <v>0</v>
          </cell>
          <cell r="X390">
            <v>14772.000000000002</v>
          </cell>
          <cell r="Y390">
            <v>14772.000000000002</v>
          </cell>
          <cell r="Z390">
            <v>0</v>
          </cell>
          <cell r="AA390">
            <v>0</v>
          </cell>
          <cell r="AB390">
            <v>14772.000000000002</v>
          </cell>
          <cell r="AC390">
            <v>0</v>
          </cell>
          <cell r="AD390">
            <v>0</v>
          </cell>
          <cell r="AE390">
            <v>0</v>
          </cell>
          <cell r="AF390">
            <v>0</v>
          </cell>
          <cell r="AG390">
            <v>0</v>
          </cell>
          <cell r="AH390">
            <v>0</v>
          </cell>
        </row>
        <row r="391">
          <cell r="H391" t="str">
            <v>Mise en place du système de suivi évaluation</v>
          </cell>
          <cell r="U391">
            <v>633780.20000000007</v>
          </cell>
          <cell r="V391">
            <v>527057.19999999995</v>
          </cell>
          <cell r="W391">
            <v>527057.19999999995</v>
          </cell>
          <cell r="X391">
            <v>1687894.6</v>
          </cell>
          <cell r="Y391">
            <v>633780.20000000007</v>
          </cell>
          <cell r="Z391">
            <v>527057.19999999995</v>
          </cell>
          <cell r="AA391">
            <v>527057.19999999995</v>
          </cell>
          <cell r="AB391">
            <v>1687894.6</v>
          </cell>
          <cell r="AC391">
            <v>0</v>
          </cell>
          <cell r="AD391">
            <v>0</v>
          </cell>
          <cell r="AE391">
            <v>0</v>
          </cell>
          <cell r="AF391">
            <v>0</v>
          </cell>
          <cell r="AH391">
            <v>0</v>
          </cell>
        </row>
        <row r="392">
          <cell r="H392" t="str">
            <v>Commission Nationale de Suivi Evaluation du PSE</v>
          </cell>
          <cell r="T392">
            <v>1</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row>
        <row r="393">
          <cell r="B393" t="str">
            <v>SSP</v>
          </cell>
          <cell r="C393" t="str">
            <v>G</v>
          </cell>
          <cell r="D393" t="str">
            <v>51E</v>
          </cell>
          <cell r="E393" t="str">
            <v>CNSE</v>
          </cell>
          <cell r="F393" t="str">
            <v>FC/CN</v>
          </cell>
          <cell r="G393">
            <v>15</v>
          </cell>
          <cell r="H393" t="str">
            <v>Ateliers trimestriels de la Commission 15p x 3jours</v>
          </cell>
          <cell r="I393" t="str">
            <v>CNSE</v>
          </cell>
          <cell r="K393" t="str">
            <v>FC/PSE</v>
          </cell>
          <cell r="L393" t="str">
            <v>AUT</v>
          </cell>
          <cell r="M393">
            <v>90</v>
          </cell>
          <cell r="N393">
            <v>180</v>
          </cell>
          <cell r="O393">
            <v>180</v>
          </cell>
          <cell r="P393">
            <v>450</v>
          </cell>
          <cell r="Q393" t="str">
            <v>pxj</v>
          </cell>
          <cell r="R393" t="str">
            <v>asr</v>
          </cell>
          <cell r="S393">
            <v>123.10000000000001</v>
          </cell>
          <cell r="T393">
            <v>1</v>
          </cell>
          <cell r="U393">
            <v>11079</v>
          </cell>
          <cell r="V393">
            <v>22158</v>
          </cell>
          <cell r="W393">
            <v>22158</v>
          </cell>
          <cell r="X393">
            <v>55395</v>
          </cell>
          <cell r="Y393">
            <v>11079</v>
          </cell>
          <cell r="Z393">
            <v>22158</v>
          </cell>
          <cell r="AA393">
            <v>22158</v>
          </cell>
          <cell r="AB393">
            <v>55395</v>
          </cell>
          <cell r="AC393">
            <v>0</v>
          </cell>
          <cell r="AD393">
            <v>0</v>
          </cell>
          <cell r="AE393">
            <v>0</v>
          </cell>
          <cell r="AF393">
            <v>0</v>
          </cell>
          <cell r="AG393">
            <v>0</v>
          </cell>
          <cell r="AH393">
            <v>0</v>
          </cell>
        </row>
        <row r="394">
          <cell r="B394" t="str">
            <v>SSP</v>
          </cell>
          <cell r="C394" t="str">
            <v>G</v>
          </cell>
          <cell r="D394" t="str">
            <v>51E</v>
          </cell>
          <cell r="E394" t="str">
            <v>CNSE</v>
          </cell>
          <cell r="F394" t="str">
            <v>FC/CN</v>
          </cell>
          <cell r="G394">
            <v>15</v>
          </cell>
          <cell r="H394" t="str">
            <v>Appui au fonctionnement (fournitures consommables et missions) de la CNSE</v>
          </cell>
          <cell r="I394" t="str">
            <v>CNSE</v>
          </cell>
          <cell r="K394" t="str">
            <v>FC/PSE</v>
          </cell>
          <cell r="L394" t="str">
            <v>AUT</v>
          </cell>
          <cell r="M394">
            <v>6</v>
          </cell>
          <cell r="N394">
            <v>12</v>
          </cell>
          <cell r="O394">
            <v>12</v>
          </cell>
          <cell r="P394">
            <v>30</v>
          </cell>
          <cell r="Q394" t="str">
            <v>mois</v>
          </cell>
          <cell r="S394">
            <v>3000</v>
          </cell>
          <cell r="T394">
            <v>1</v>
          </cell>
          <cell r="U394">
            <v>18000</v>
          </cell>
          <cell r="V394">
            <v>36000</v>
          </cell>
          <cell r="W394">
            <v>36000</v>
          </cell>
          <cell r="X394">
            <v>90000</v>
          </cell>
          <cell r="Y394">
            <v>18000</v>
          </cell>
          <cell r="Z394">
            <v>36000</v>
          </cell>
          <cell r="AA394">
            <v>36000</v>
          </cell>
          <cell r="AB394">
            <v>90000</v>
          </cell>
          <cell r="AC394">
            <v>0</v>
          </cell>
          <cell r="AD394">
            <v>0</v>
          </cell>
          <cell r="AE394">
            <v>0</v>
          </cell>
          <cell r="AF394">
            <v>0</v>
          </cell>
          <cell r="AG394">
            <v>0</v>
          </cell>
          <cell r="AH394">
            <v>0</v>
          </cell>
        </row>
        <row r="395">
          <cell r="H395" t="str">
            <v>Systèmes d'information statistique</v>
          </cell>
          <cell r="T395">
            <v>1</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row>
        <row r="396">
          <cell r="B396" t="str">
            <v>SSP</v>
          </cell>
          <cell r="C396" t="str">
            <v>G</v>
          </cell>
          <cell r="D396" t="str">
            <v>51E</v>
          </cell>
          <cell r="E396" t="str">
            <v>SSP</v>
          </cell>
          <cell r="F396" t="str">
            <v>FC/CN</v>
          </cell>
          <cell r="G396">
            <v>25</v>
          </cell>
          <cell r="H396" t="str">
            <v>Spécialiste Intl harmonisation des SIS existants 10 jrs</v>
          </cell>
          <cell r="I396" t="str">
            <v>SSP</v>
          </cell>
          <cell r="K396" t="str">
            <v>FC/PSE</v>
          </cell>
          <cell r="L396" t="str">
            <v>CR</v>
          </cell>
          <cell r="M396">
            <v>0.33333333333333331</v>
          </cell>
          <cell r="N396">
            <v>0.33333333333333331</v>
          </cell>
          <cell r="O396">
            <v>0.33333333333333331</v>
          </cell>
          <cell r="P396">
            <v>1</v>
          </cell>
          <cell r="Q396" t="str">
            <v>pxm</v>
          </cell>
          <cell r="R396" t="str">
            <v>cic</v>
          </cell>
          <cell r="S396">
            <v>88632</v>
          </cell>
          <cell r="T396">
            <v>1</v>
          </cell>
          <cell r="U396">
            <v>29544</v>
          </cell>
          <cell r="V396">
            <v>29544</v>
          </cell>
          <cell r="W396">
            <v>29544</v>
          </cell>
          <cell r="X396">
            <v>88632</v>
          </cell>
          <cell r="Y396">
            <v>29544</v>
          </cell>
          <cell r="Z396">
            <v>29544</v>
          </cell>
          <cell r="AA396">
            <v>29544</v>
          </cell>
          <cell r="AB396">
            <v>88632</v>
          </cell>
          <cell r="AC396">
            <v>0</v>
          </cell>
          <cell r="AD396">
            <v>0</v>
          </cell>
          <cell r="AE396">
            <v>0</v>
          </cell>
          <cell r="AF396">
            <v>0</v>
          </cell>
          <cell r="AG396">
            <v>0</v>
          </cell>
          <cell r="AH396">
            <v>0</v>
          </cell>
        </row>
        <row r="397">
          <cell r="B397" t="str">
            <v>SSP</v>
          </cell>
          <cell r="C397" t="str">
            <v>G</v>
          </cell>
          <cell r="D397" t="str">
            <v>51E</v>
          </cell>
          <cell r="E397" t="str">
            <v>SSP</v>
          </cell>
          <cell r="F397" t="str">
            <v>FC/CN</v>
          </cell>
          <cell r="G397">
            <v>15</v>
          </cell>
          <cell r="H397" t="str">
            <v>Atelier national validation manuel S&amp;E et ses nouveaux outils</v>
          </cell>
          <cell r="I397" t="str">
            <v>SSP</v>
          </cell>
          <cell r="K397" t="str">
            <v>FC/PSE</v>
          </cell>
          <cell r="L397" t="str">
            <v>AUT</v>
          </cell>
          <cell r="M397">
            <v>50</v>
          </cell>
          <cell r="P397">
            <v>50</v>
          </cell>
          <cell r="Q397" t="str">
            <v>pxj</v>
          </cell>
          <cell r="R397" t="str">
            <v>asn</v>
          </cell>
          <cell r="S397">
            <v>147.72</v>
          </cell>
          <cell r="T397">
            <v>1</v>
          </cell>
          <cell r="U397">
            <v>7386</v>
          </cell>
          <cell r="V397">
            <v>0</v>
          </cell>
          <cell r="W397">
            <v>0</v>
          </cell>
          <cell r="X397">
            <v>7386</v>
          </cell>
          <cell r="Y397">
            <v>7386</v>
          </cell>
          <cell r="Z397">
            <v>0</v>
          </cell>
          <cell r="AA397">
            <v>0</v>
          </cell>
          <cell r="AB397">
            <v>7386</v>
          </cell>
          <cell r="AC397">
            <v>0</v>
          </cell>
          <cell r="AD397">
            <v>0</v>
          </cell>
          <cell r="AE397">
            <v>0</v>
          </cell>
          <cell r="AF397">
            <v>0</v>
          </cell>
          <cell r="AG397">
            <v>0</v>
          </cell>
          <cell r="AH397">
            <v>0</v>
          </cell>
        </row>
        <row r="398">
          <cell r="B398" t="str">
            <v>SSP</v>
          </cell>
          <cell r="C398" t="str">
            <v>G</v>
          </cell>
          <cell r="D398" t="str">
            <v>51E</v>
          </cell>
          <cell r="E398" t="str">
            <v>SSP</v>
          </cell>
          <cell r="F398" t="str">
            <v>FC/CN</v>
          </cell>
          <cell r="G398">
            <v>15</v>
          </cell>
          <cell r="H398" t="str">
            <v>Ateliers nationaux lancement campagne statistique et SE 2at x 100p x 1j</v>
          </cell>
          <cell r="I398" t="str">
            <v>SSP</v>
          </cell>
          <cell r="K398" t="str">
            <v>FC/PSE</v>
          </cell>
          <cell r="L398" t="str">
            <v>AUT</v>
          </cell>
          <cell r="N398">
            <v>200</v>
          </cell>
          <cell r="O398">
            <v>200</v>
          </cell>
          <cell r="P398">
            <v>400</v>
          </cell>
          <cell r="Q398" t="str">
            <v>pxj</v>
          </cell>
          <cell r="R398" t="str">
            <v>asn</v>
          </cell>
          <cell r="S398">
            <v>147.72</v>
          </cell>
          <cell r="T398">
            <v>1</v>
          </cell>
          <cell r="U398">
            <v>0</v>
          </cell>
          <cell r="V398">
            <v>29544</v>
          </cell>
          <cell r="W398">
            <v>29544</v>
          </cell>
          <cell r="X398">
            <v>59088</v>
          </cell>
          <cell r="Y398">
            <v>0</v>
          </cell>
          <cell r="Z398">
            <v>29544</v>
          </cell>
          <cell r="AA398">
            <v>29544</v>
          </cell>
          <cell r="AB398">
            <v>59088</v>
          </cell>
          <cell r="AC398">
            <v>0</v>
          </cell>
          <cell r="AD398">
            <v>0</v>
          </cell>
          <cell r="AE398">
            <v>0</v>
          </cell>
          <cell r="AF398">
            <v>0</v>
          </cell>
          <cell r="AG398">
            <v>0</v>
          </cell>
          <cell r="AH398">
            <v>0</v>
          </cell>
        </row>
        <row r="399">
          <cell r="B399" t="str">
            <v>SSP</v>
          </cell>
          <cell r="C399" t="str">
            <v>G</v>
          </cell>
          <cell r="D399" t="str">
            <v>51E</v>
          </cell>
          <cell r="E399" t="str">
            <v>SSP</v>
          </cell>
          <cell r="F399" t="str">
            <v>FC/CN</v>
          </cell>
          <cell r="G399">
            <v>15</v>
          </cell>
          <cell r="H399" t="str">
            <v>Ateliers nationaux de restitution 2 at x 50p x 1j</v>
          </cell>
          <cell r="I399" t="str">
            <v>SSP</v>
          </cell>
          <cell r="K399" t="str">
            <v>FC/PSE</v>
          </cell>
          <cell r="L399" t="str">
            <v>AUT</v>
          </cell>
          <cell r="M399">
            <v>100</v>
          </cell>
          <cell r="N399">
            <v>100</v>
          </cell>
          <cell r="O399">
            <v>100</v>
          </cell>
          <cell r="P399">
            <v>300</v>
          </cell>
          <cell r="Q399" t="str">
            <v>pxj</v>
          </cell>
          <cell r="R399" t="str">
            <v>asn</v>
          </cell>
          <cell r="S399">
            <v>147.72</v>
          </cell>
          <cell r="T399">
            <v>1</v>
          </cell>
          <cell r="U399">
            <v>14772</v>
          </cell>
          <cell r="V399">
            <v>14772</v>
          </cell>
          <cell r="W399">
            <v>14772</v>
          </cell>
          <cell r="X399">
            <v>44316</v>
          </cell>
          <cell r="Y399">
            <v>14772</v>
          </cell>
          <cell r="Z399">
            <v>14772</v>
          </cell>
          <cell r="AA399">
            <v>14772</v>
          </cell>
          <cell r="AB399">
            <v>44316</v>
          </cell>
          <cell r="AC399">
            <v>0</v>
          </cell>
          <cell r="AD399">
            <v>0</v>
          </cell>
          <cell r="AE399">
            <v>0</v>
          </cell>
          <cell r="AF399">
            <v>0</v>
          </cell>
          <cell r="AG399">
            <v>0</v>
          </cell>
          <cell r="AH399">
            <v>0</v>
          </cell>
        </row>
        <row r="400">
          <cell r="B400" t="str">
            <v>SSP</v>
          </cell>
          <cell r="C400" t="str">
            <v>G</v>
          </cell>
          <cell r="D400" t="str">
            <v>51E</v>
          </cell>
          <cell r="E400" t="str">
            <v>SSP</v>
          </cell>
          <cell r="F400" t="str">
            <v>FC/CN</v>
          </cell>
          <cell r="G400">
            <v>25</v>
          </cell>
          <cell r="H400" t="str">
            <v>Spécialiste migration bdd primaire sur plateforme analyse multidim 10 j</v>
          </cell>
          <cell r="I400" t="str">
            <v>SSP</v>
          </cell>
          <cell r="K400" t="str">
            <v>FC/PSE</v>
          </cell>
          <cell r="L400" t="str">
            <v>CR</v>
          </cell>
          <cell r="M400">
            <v>0.33333333333333331</v>
          </cell>
          <cell r="N400">
            <v>0.33333333333333331</v>
          </cell>
          <cell r="O400">
            <v>0.33333333333333331</v>
          </cell>
          <cell r="P400">
            <v>1</v>
          </cell>
          <cell r="Q400" t="str">
            <v>pxj</v>
          </cell>
          <cell r="R400" t="str">
            <v>cic</v>
          </cell>
          <cell r="S400">
            <v>88632</v>
          </cell>
          <cell r="T400">
            <v>1</v>
          </cell>
          <cell r="U400">
            <v>29544</v>
          </cell>
          <cell r="V400">
            <v>29544</v>
          </cell>
          <cell r="W400">
            <v>29544</v>
          </cell>
          <cell r="X400">
            <v>88632</v>
          </cell>
          <cell r="Y400">
            <v>29544</v>
          </cell>
          <cell r="Z400">
            <v>29544</v>
          </cell>
          <cell r="AA400">
            <v>29544</v>
          </cell>
          <cell r="AB400">
            <v>88632</v>
          </cell>
          <cell r="AC400">
            <v>0</v>
          </cell>
          <cell r="AD400">
            <v>0</v>
          </cell>
          <cell r="AE400">
            <v>0</v>
          </cell>
          <cell r="AF400">
            <v>0</v>
          </cell>
          <cell r="AG400">
            <v>0</v>
          </cell>
          <cell r="AH400">
            <v>0</v>
          </cell>
        </row>
        <row r="401">
          <cell r="B401" t="str">
            <v>SSP</v>
          </cell>
          <cell r="C401" t="str">
            <v>G</v>
          </cell>
          <cell r="D401" t="str">
            <v>51E</v>
          </cell>
          <cell r="E401" t="str">
            <v>SSP</v>
          </cell>
          <cell r="F401" t="str">
            <v>FC/CN</v>
          </cell>
          <cell r="G401">
            <v>25</v>
          </cell>
          <cell r="H401" t="str">
            <v>Spécialiste Intl outils d'analyse multidimentionnelle 10jrs/an</v>
          </cell>
          <cell r="I401" t="str">
            <v>SSP</v>
          </cell>
          <cell r="K401" t="str">
            <v>FC/PSE</v>
          </cell>
          <cell r="L401" t="str">
            <v>CR</v>
          </cell>
          <cell r="M401">
            <v>0.33333333333333331</v>
          </cell>
          <cell r="N401">
            <v>0.33333333333333331</v>
          </cell>
          <cell r="O401">
            <v>0.33333333333333331</v>
          </cell>
          <cell r="P401">
            <v>1</v>
          </cell>
          <cell r="Q401" t="str">
            <v>pxj</v>
          </cell>
          <cell r="R401" t="str">
            <v>cic</v>
          </cell>
          <cell r="S401">
            <v>88632</v>
          </cell>
          <cell r="T401">
            <v>1</v>
          </cell>
          <cell r="U401">
            <v>29544</v>
          </cell>
          <cell r="V401">
            <v>29544</v>
          </cell>
          <cell r="W401">
            <v>29544</v>
          </cell>
          <cell r="X401">
            <v>88632</v>
          </cell>
          <cell r="Y401">
            <v>29544</v>
          </cell>
          <cell r="Z401">
            <v>29544</v>
          </cell>
          <cell r="AA401">
            <v>29544</v>
          </cell>
          <cell r="AB401">
            <v>88632</v>
          </cell>
          <cell r="AC401">
            <v>0</v>
          </cell>
          <cell r="AD401">
            <v>0</v>
          </cell>
          <cell r="AE401">
            <v>0</v>
          </cell>
          <cell r="AF401">
            <v>0</v>
          </cell>
          <cell r="AG401">
            <v>0</v>
          </cell>
          <cell r="AH401">
            <v>0</v>
          </cell>
        </row>
        <row r="402">
          <cell r="B402" t="str">
            <v>SSP</v>
          </cell>
          <cell r="C402" t="str">
            <v>G</v>
          </cell>
          <cell r="D402" t="str">
            <v>51E</v>
          </cell>
          <cell r="E402" t="str">
            <v>SSP</v>
          </cell>
          <cell r="F402" t="str">
            <v>FC/CN</v>
          </cell>
          <cell r="G402">
            <v>12</v>
          </cell>
          <cell r="H402" t="str">
            <v>Atelier de formation Système SE et Exploram 46 DPEet IRE x 2p x 5jours</v>
          </cell>
          <cell r="I402" t="str">
            <v>SSP</v>
          </cell>
          <cell r="K402" t="str">
            <v>FC/PSE</v>
          </cell>
          <cell r="L402" t="str">
            <v>AUT</v>
          </cell>
          <cell r="M402">
            <v>460</v>
          </cell>
          <cell r="N402">
            <v>460</v>
          </cell>
          <cell r="O402">
            <v>460</v>
          </cell>
          <cell r="P402">
            <v>1380</v>
          </cell>
          <cell r="Q402" t="str">
            <v>pxj</v>
          </cell>
          <cell r="R402" t="str">
            <v>asn</v>
          </cell>
          <cell r="S402">
            <v>147.72</v>
          </cell>
          <cell r="T402">
            <v>1</v>
          </cell>
          <cell r="U402">
            <v>67951.199999999997</v>
          </cell>
          <cell r="V402">
            <v>67951.199999999997</v>
          </cell>
          <cell r="W402">
            <v>67951.199999999997</v>
          </cell>
          <cell r="X402">
            <v>203853.59999999998</v>
          </cell>
          <cell r="Y402">
            <v>67951.199999999997</v>
          </cell>
          <cell r="Z402">
            <v>67951.199999999997</v>
          </cell>
          <cell r="AA402">
            <v>67951.199999999997</v>
          </cell>
          <cell r="AB402">
            <v>203853.59999999998</v>
          </cell>
          <cell r="AC402">
            <v>0</v>
          </cell>
          <cell r="AD402">
            <v>0</v>
          </cell>
          <cell r="AE402">
            <v>0</v>
          </cell>
          <cell r="AF402">
            <v>0</v>
          </cell>
          <cell r="AG402">
            <v>0</v>
          </cell>
          <cell r="AH402">
            <v>0</v>
          </cell>
        </row>
        <row r="403">
          <cell r="H403" t="str">
            <v>Appuis aux  SSP EPU, ETFP et ESRS</v>
          </cell>
        </row>
        <row r="404">
          <cell r="B404" t="str">
            <v>SSP</v>
          </cell>
          <cell r="C404" t="str">
            <v>G</v>
          </cell>
          <cell r="D404" t="str">
            <v>51E</v>
          </cell>
          <cell r="E404" t="str">
            <v>SSP</v>
          </cell>
          <cell r="F404" t="str">
            <v>FC/CN</v>
          </cell>
          <cell r="G404">
            <v>11</v>
          </cell>
          <cell r="H404" t="str">
            <v>Informaticien contractuel SSP EPU</v>
          </cell>
          <cell r="I404" t="str">
            <v>SSP</v>
          </cell>
          <cell r="K404" t="str">
            <v>FC/PSE</v>
          </cell>
          <cell r="L404" t="str">
            <v>CR</v>
          </cell>
          <cell r="M404">
            <v>6</v>
          </cell>
          <cell r="N404">
            <v>12</v>
          </cell>
          <cell r="O404">
            <v>12</v>
          </cell>
          <cell r="P404">
            <v>30</v>
          </cell>
          <cell r="Q404" t="str">
            <v>mois</v>
          </cell>
          <cell r="R404" t="str">
            <v>inf</v>
          </cell>
          <cell r="S404">
            <v>2500.0000000000005</v>
          </cell>
          <cell r="T404">
            <v>1</v>
          </cell>
          <cell r="U404">
            <v>15000.000000000004</v>
          </cell>
          <cell r="V404">
            <v>30000.000000000007</v>
          </cell>
          <cell r="W404">
            <v>30000.000000000007</v>
          </cell>
          <cell r="X404">
            <v>75000.000000000029</v>
          </cell>
          <cell r="Y404">
            <v>15000.000000000004</v>
          </cell>
          <cell r="Z404">
            <v>30000.000000000007</v>
          </cell>
          <cell r="AA404">
            <v>30000.000000000007</v>
          </cell>
          <cell r="AB404">
            <v>75000.000000000029</v>
          </cell>
          <cell r="AC404">
            <v>0</v>
          </cell>
          <cell r="AD404">
            <v>0</v>
          </cell>
          <cell r="AE404">
            <v>0</v>
          </cell>
          <cell r="AF404">
            <v>0</v>
          </cell>
          <cell r="AG404">
            <v>0</v>
          </cell>
          <cell r="AH404">
            <v>0</v>
          </cell>
        </row>
        <row r="405">
          <cell r="B405" t="str">
            <v>SSP</v>
          </cell>
          <cell r="C405" t="str">
            <v>G</v>
          </cell>
          <cell r="D405" t="str">
            <v>51E</v>
          </cell>
          <cell r="E405" t="str">
            <v>SSP</v>
          </cell>
          <cell r="F405" t="str">
            <v>FC/CN</v>
          </cell>
          <cell r="G405">
            <v>15</v>
          </cell>
          <cell r="H405" t="str">
            <v>Reproduction des fiches d'enquête 10 000 etbs x 10p x 4ex</v>
          </cell>
          <cell r="I405" t="str">
            <v>SSP</v>
          </cell>
          <cell r="K405" t="str">
            <v>FC/PSE</v>
          </cell>
          <cell r="L405" t="str">
            <v>COT</v>
          </cell>
          <cell r="M405">
            <v>400000</v>
          </cell>
          <cell r="N405">
            <v>400000</v>
          </cell>
          <cell r="O405">
            <v>400000</v>
          </cell>
          <cell r="P405">
            <v>1200000</v>
          </cell>
          <cell r="Q405" t="str">
            <v>page</v>
          </cell>
          <cell r="R405" t="str">
            <v>rep</v>
          </cell>
          <cell r="S405">
            <v>0.30000000000000004</v>
          </cell>
          <cell r="T405">
            <v>1</v>
          </cell>
          <cell r="U405">
            <v>120000.00000000001</v>
          </cell>
          <cell r="V405">
            <v>120000.00000000001</v>
          </cell>
          <cell r="W405">
            <v>120000.00000000001</v>
          </cell>
          <cell r="X405">
            <v>360000.00000000006</v>
          </cell>
          <cell r="Y405">
            <v>120000.00000000001</v>
          </cell>
          <cell r="Z405">
            <v>120000.00000000001</v>
          </cell>
          <cell r="AA405">
            <v>120000.00000000001</v>
          </cell>
          <cell r="AB405">
            <v>360000.00000000006</v>
          </cell>
          <cell r="AC405">
            <v>0</v>
          </cell>
          <cell r="AD405">
            <v>0</v>
          </cell>
          <cell r="AE405">
            <v>0</v>
          </cell>
          <cell r="AF405">
            <v>0</v>
          </cell>
          <cell r="AG405">
            <v>0</v>
          </cell>
          <cell r="AH405">
            <v>0</v>
          </cell>
        </row>
        <row r="406">
          <cell r="B406" t="str">
            <v>SSP</v>
          </cell>
          <cell r="C406" t="str">
            <v>G</v>
          </cell>
          <cell r="D406" t="str">
            <v>51E</v>
          </cell>
          <cell r="E406" t="str">
            <v>SSP</v>
          </cell>
          <cell r="F406" t="str">
            <v>FC/CN</v>
          </cell>
          <cell r="G406">
            <v>15</v>
          </cell>
          <cell r="H406" t="str">
            <v>Récupération des fiches d'enquête  1 litre gas oil / fiche</v>
          </cell>
          <cell r="I406" t="str">
            <v>SSP</v>
          </cell>
          <cell r="K406" t="str">
            <v>FC/PSE</v>
          </cell>
          <cell r="L406" t="str">
            <v>AUT</v>
          </cell>
          <cell r="M406">
            <v>10000</v>
          </cell>
          <cell r="N406">
            <v>10000</v>
          </cell>
          <cell r="O406">
            <v>10000</v>
          </cell>
          <cell r="P406">
            <v>30000</v>
          </cell>
          <cell r="Q406" t="str">
            <v>l</v>
          </cell>
          <cell r="R406" t="str">
            <v>gaz</v>
          </cell>
          <cell r="S406">
            <v>7</v>
          </cell>
          <cell r="T406">
            <v>1</v>
          </cell>
          <cell r="U406">
            <v>70000</v>
          </cell>
          <cell r="V406">
            <v>70000</v>
          </cell>
          <cell r="W406">
            <v>70000</v>
          </cell>
          <cell r="X406">
            <v>210000</v>
          </cell>
          <cell r="Y406">
            <v>70000</v>
          </cell>
          <cell r="Z406">
            <v>70000</v>
          </cell>
          <cell r="AA406">
            <v>70000</v>
          </cell>
          <cell r="AB406">
            <v>210000</v>
          </cell>
          <cell r="AC406">
            <v>0</v>
          </cell>
          <cell r="AD406">
            <v>0</v>
          </cell>
          <cell r="AE406">
            <v>0</v>
          </cell>
          <cell r="AF406">
            <v>0</v>
          </cell>
          <cell r="AG406">
            <v>0</v>
          </cell>
          <cell r="AH406">
            <v>0</v>
          </cell>
        </row>
        <row r="407">
          <cell r="B407" t="str">
            <v>SSP</v>
          </cell>
          <cell r="C407" t="str">
            <v>G</v>
          </cell>
          <cell r="D407" t="str">
            <v>51E</v>
          </cell>
          <cell r="E407" t="str">
            <v>SSP</v>
          </cell>
          <cell r="F407" t="str">
            <v>FC/CN</v>
          </cell>
          <cell r="G407">
            <v>23</v>
          </cell>
          <cell r="H407" t="str">
            <v>Véhicule de mission 4X4 SW section statistiques</v>
          </cell>
          <cell r="I407" t="str">
            <v>CN/PSE</v>
          </cell>
          <cell r="K407" t="str">
            <v>FC/PSE</v>
          </cell>
          <cell r="L407" t="str">
            <v>AOI</v>
          </cell>
          <cell r="M407">
            <v>1</v>
          </cell>
          <cell r="P407">
            <v>1</v>
          </cell>
          <cell r="Q407" t="str">
            <v>u</v>
          </cell>
          <cell r="R407" t="str">
            <v>vsw</v>
          </cell>
          <cell r="S407">
            <v>196960.00000000003</v>
          </cell>
          <cell r="T407">
            <v>1</v>
          </cell>
          <cell r="U407">
            <v>196960.00000000003</v>
          </cell>
          <cell r="V407">
            <v>0</v>
          </cell>
          <cell r="W407">
            <v>0</v>
          </cell>
          <cell r="X407">
            <v>196960.00000000003</v>
          </cell>
          <cell r="Y407">
            <v>196960.00000000003</v>
          </cell>
          <cell r="Z407">
            <v>0</v>
          </cell>
          <cell r="AA407">
            <v>0</v>
          </cell>
          <cell r="AB407">
            <v>196960.00000000003</v>
          </cell>
          <cell r="AC407">
            <v>0</v>
          </cell>
          <cell r="AD407">
            <v>0</v>
          </cell>
          <cell r="AE407">
            <v>0</v>
          </cell>
          <cell r="AF407">
            <v>0</v>
          </cell>
          <cell r="AG407">
            <v>0</v>
          </cell>
          <cell r="AH407">
            <v>0</v>
          </cell>
        </row>
        <row r="408">
          <cell r="B408" t="str">
            <v>SSP</v>
          </cell>
          <cell r="C408" t="str">
            <v>G</v>
          </cell>
          <cell r="D408" t="str">
            <v>51E</v>
          </cell>
          <cell r="E408" t="str">
            <v>SSP</v>
          </cell>
          <cell r="F408" t="str">
            <v>FC/CN</v>
          </cell>
          <cell r="G408">
            <v>15</v>
          </cell>
          <cell r="H408" t="str">
            <v>Appui au fonctionnement SSP EPU</v>
          </cell>
          <cell r="I408" t="str">
            <v>SSP</v>
          </cell>
          <cell r="K408" t="str">
            <v>FC/PSE</v>
          </cell>
          <cell r="L408" t="str">
            <v>AUT</v>
          </cell>
          <cell r="M408">
            <v>6</v>
          </cell>
          <cell r="N408">
            <v>12</v>
          </cell>
          <cell r="O408">
            <v>12</v>
          </cell>
          <cell r="P408">
            <v>30</v>
          </cell>
          <cell r="Q408" t="str">
            <v>mois</v>
          </cell>
          <cell r="S408">
            <v>2000</v>
          </cell>
          <cell r="T408">
            <v>1</v>
          </cell>
          <cell r="U408">
            <v>12000</v>
          </cell>
          <cell r="V408">
            <v>24000</v>
          </cell>
          <cell r="W408">
            <v>24000</v>
          </cell>
          <cell r="X408">
            <v>60000</v>
          </cell>
          <cell r="Y408">
            <v>12000</v>
          </cell>
          <cell r="Z408">
            <v>24000</v>
          </cell>
          <cell r="AA408">
            <v>24000</v>
          </cell>
          <cell r="AB408">
            <v>60000</v>
          </cell>
          <cell r="AC408">
            <v>0</v>
          </cell>
          <cell r="AD408">
            <v>0</v>
          </cell>
          <cell r="AE408">
            <v>0</v>
          </cell>
          <cell r="AF408">
            <v>0</v>
          </cell>
          <cell r="AG408">
            <v>0</v>
          </cell>
          <cell r="AH408">
            <v>0</v>
          </cell>
        </row>
        <row r="409">
          <cell r="B409" t="str">
            <v>SSP</v>
          </cell>
          <cell r="C409" t="str">
            <v>G</v>
          </cell>
          <cell r="D409" t="str">
            <v>51E</v>
          </cell>
          <cell r="E409" t="str">
            <v>SSP</v>
          </cell>
          <cell r="F409" t="str">
            <v>FC/CN</v>
          </cell>
          <cell r="G409">
            <v>15</v>
          </cell>
          <cell r="H409" t="str">
            <v>Appui au fonctionnement SSP ETFP</v>
          </cell>
          <cell r="I409" t="str">
            <v>SSP</v>
          </cell>
          <cell r="K409" t="str">
            <v>FC/PSE</v>
          </cell>
          <cell r="L409" t="str">
            <v>AUT</v>
          </cell>
          <cell r="M409">
            <v>6</v>
          </cell>
          <cell r="N409">
            <v>12</v>
          </cell>
          <cell r="O409">
            <v>12</v>
          </cell>
          <cell r="P409">
            <v>30</v>
          </cell>
          <cell r="Q409" t="str">
            <v>mois</v>
          </cell>
          <cell r="S409">
            <v>1000</v>
          </cell>
          <cell r="T409">
            <v>1</v>
          </cell>
          <cell r="U409">
            <v>6000</v>
          </cell>
          <cell r="V409">
            <v>12000</v>
          </cell>
          <cell r="W409">
            <v>12000</v>
          </cell>
          <cell r="X409">
            <v>30000</v>
          </cell>
          <cell r="Y409">
            <v>6000</v>
          </cell>
          <cell r="Z409">
            <v>12000</v>
          </cell>
          <cell r="AA409">
            <v>12000</v>
          </cell>
          <cell r="AB409">
            <v>30000</v>
          </cell>
          <cell r="AC409">
            <v>0</v>
          </cell>
          <cell r="AD409">
            <v>0</v>
          </cell>
          <cell r="AE409">
            <v>0</v>
          </cell>
          <cell r="AF409">
            <v>0</v>
          </cell>
          <cell r="AG409">
            <v>0</v>
          </cell>
          <cell r="AH409">
            <v>0</v>
          </cell>
        </row>
        <row r="410">
          <cell r="B410" t="str">
            <v>SSP</v>
          </cell>
          <cell r="C410" t="str">
            <v>G</v>
          </cell>
          <cell r="D410" t="str">
            <v>51E</v>
          </cell>
          <cell r="E410" t="str">
            <v>SSP</v>
          </cell>
          <cell r="F410" t="str">
            <v>FC/CN</v>
          </cell>
          <cell r="G410">
            <v>15</v>
          </cell>
          <cell r="H410" t="str">
            <v>Appui au fonctionnement SSP ESRS</v>
          </cell>
          <cell r="I410" t="str">
            <v>SSP</v>
          </cell>
          <cell r="K410" t="str">
            <v>FC/PSE</v>
          </cell>
          <cell r="L410" t="str">
            <v>AUT</v>
          </cell>
          <cell r="M410">
            <v>6</v>
          </cell>
          <cell r="N410">
            <v>12</v>
          </cell>
          <cell r="O410">
            <v>12</v>
          </cell>
          <cell r="P410">
            <v>30</v>
          </cell>
          <cell r="Q410" t="str">
            <v>mois</v>
          </cell>
          <cell r="S410">
            <v>1000</v>
          </cell>
          <cell r="T410">
            <v>1</v>
          </cell>
          <cell r="U410">
            <v>6000</v>
          </cell>
          <cell r="V410">
            <v>12000</v>
          </cell>
          <cell r="W410">
            <v>12000</v>
          </cell>
          <cell r="X410">
            <v>30000</v>
          </cell>
          <cell r="Y410">
            <v>6000</v>
          </cell>
          <cell r="Z410">
            <v>12000</v>
          </cell>
          <cell r="AA410">
            <v>12000</v>
          </cell>
          <cell r="AB410">
            <v>30000</v>
          </cell>
          <cell r="AC410">
            <v>0</v>
          </cell>
          <cell r="AD410">
            <v>0</v>
          </cell>
          <cell r="AE410">
            <v>0</v>
          </cell>
          <cell r="AF410">
            <v>0</v>
          </cell>
          <cell r="AG410">
            <v>0</v>
          </cell>
          <cell r="AH410">
            <v>0</v>
          </cell>
        </row>
        <row r="411">
          <cell r="H411" t="str">
            <v>Plan de communication et intranet</v>
          </cell>
          <cell r="U411">
            <v>522665</v>
          </cell>
          <cell r="V411">
            <v>234000</v>
          </cell>
          <cell r="W411">
            <v>274000</v>
          </cell>
          <cell r="X411">
            <v>1030665</v>
          </cell>
          <cell r="Y411">
            <v>522665</v>
          </cell>
          <cell r="Z411">
            <v>234000</v>
          </cell>
          <cell r="AA411">
            <v>274000</v>
          </cell>
          <cell r="AB411">
            <v>1030665</v>
          </cell>
          <cell r="AC411">
            <v>0</v>
          </cell>
          <cell r="AD411">
            <v>0</v>
          </cell>
          <cell r="AE411">
            <v>0</v>
          </cell>
          <cell r="AF411">
            <v>0</v>
          </cell>
          <cell r="AH411">
            <v>0</v>
          </cell>
        </row>
        <row r="412">
          <cell r="B412" t="str">
            <v>SINDA</v>
          </cell>
          <cell r="C412" t="str">
            <v>G</v>
          </cell>
          <cell r="D412" t="str">
            <v>51F</v>
          </cell>
          <cell r="E412" t="str">
            <v>SINDA</v>
          </cell>
          <cell r="F412" t="str">
            <v>FC/CN</v>
          </cell>
          <cell r="G412">
            <v>15</v>
          </cell>
          <cell r="H412" t="str">
            <v>Appui à la production d'émissions Radio TV</v>
          </cell>
          <cell r="I412" t="str">
            <v>SINDA</v>
          </cell>
          <cell r="K412" t="str">
            <v>FC/PSE</v>
          </cell>
          <cell r="L412" t="str">
            <v>AUT</v>
          </cell>
          <cell r="M412">
            <v>1</v>
          </cell>
          <cell r="N412">
            <v>1</v>
          </cell>
          <cell r="O412">
            <v>1</v>
          </cell>
          <cell r="P412">
            <v>3</v>
          </cell>
          <cell r="Q412" t="str">
            <v>forfait</v>
          </cell>
          <cell r="S412">
            <v>30000</v>
          </cell>
          <cell r="T412">
            <v>1</v>
          </cell>
          <cell r="U412">
            <v>30000</v>
          </cell>
          <cell r="V412">
            <v>30000</v>
          </cell>
          <cell r="W412">
            <v>30000</v>
          </cell>
          <cell r="X412">
            <v>90000</v>
          </cell>
          <cell r="Y412">
            <v>30000</v>
          </cell>
          <cell r="Z412">
            <v>30000</v>
          </cell>
          <cell r="AA412">
            <v>30000</v>
          </cell>
          <cell r="AB412">
            <v>90000</v>
          </cell>
          <cell r="AC412">
            <v>0</v>
          </cell>
          <cell r="AD412">
            <v>0</v>
          </cell>
          <cell r="AE412">
            <v>0</v>
          </cell>
          <cell r="AF412">
            <v>0</v>
          </cell>
          <cell r="AG412">
            <v>0</v>
          </cell>
          <cell r="AH412">
            <v>0</v>
          </cell>
        </row>
        <row r="413">
          <cell r="B413" t="str">
            <v>SINDA</v>
          </cell>
          <cell r="C413" t="str">
            <v>G</v>
          </cell>
          <cell r="D413" t="str">
            <v>51F</v>
          </cell>
          <cell r="E413" t="str">
            <v>SINDA</v>
          </cell>
          <cell r="F413" t="str">
            <v>FC/CN</v>
          </cell>
          <cell r="G413">
            <v>12</v>
          </cell>
          <cell r="H413" t="str">
            <v>Atelier d'appropriation du PSE par les médias (50 participants x 1j)</v>
          </cell>
          <cell r="I413" t="str">
            <v>SINDA</v>
          </cell>
          <cell r="K413" t="str">
            <v>FC/PSE</v>
          </cell>
          <cell r="L413" t="str">
            <v>AUT</v>
          </cell>
          <cell r="M413">
            <v>50</v>
          </cell>
          <cell r="P413">
            <v>50</v>
          </cell>
          <cell r="Q413" t="str">
            <v>pxj</v>
          </cell>
          <cell r="R413" t="str">
            <v>asn</v>
          </cell>
          <cell r="S413">
            <v>147.72</v>
          </cell>
          <cell r="T413">
            <v>1</v>
          </cell>
          <cell r="U413">
            <v>7386</v>
          </cell>
          <cell r="V413">
            <v>0</v>
          </cell>
          <cell r="W413">
            <v>0</v>
          </cell>
          <cell r="X413">
            <v>7386</v>
          </cell>
          <cell r="Y413">
            <v>7386</v>
          </cell>
          <cell r="Z413">
            <v>0</v>
          </cell>
          <cell r="AA413">
            <v>0</v>
          </cell>
          <cell r="AB413">
            <v>7386</v>
          </cell>
          <cell r="AC413">
            <v>0</v>
          </cell>
          <cell r="AD413">
            <v>0</v>
          </cell>
          <cell r="AE413">
            <v>0</v>
          </cell>
          <cell r="AF413">
            <v>0</v>
          </cell>
          <cell r="AG413">
            <v>0</v>
          </cell>
          <cell r="AH413">
            <v>0</v>
          </cell>
        </row>
        <row r="414">
          <cell r="B414" t="str">
            <v>SINDA</v>
          </cell>
          <cell r="C414" t="str">
            <v>G</v>
          </cell>
          <cell r="D414" t="str">
            <v>51F</v>
          </cell>
          <cell r="E414" t="str">
            <v>SINDA</v>
          </cell>
          <cell r="F414" t="str">
            <v>FC/CN</v>
          </cell>
          <cell r="G414">
            <v>12</v>
          </cell>
          <cell r="H414" t="str">
            <v>Formation du personnel des services centraux à Internet 80p x 3sem</v>
          </cell>
          <cell r="I414" t="str">
            <v>SINDA</v>
          </cell>
          <cell r="K414" t="str">
            <v>FC/PSE</v>
          </cell>
          <cell r="L414" t="str">
            <v>CR</v>
          </cell>
          <cell r="M414">
            <v>240</v>
          </cell>
          <cell r="P414">
            <v>240</v>
          </cell>
          <cell r="Q414" t="str">
            <v>pxsem</v>
          </cell>
          <cell r="R414" t="str">
            <v>fbu</v>
          </cell>
          <cell r="S414">
            <v>1000</v>
          </cell>
          <cell r="T414">
            <v>1</v>
          </cell>
          <cell r="U414">
            <v>240000</v>
          </cell>
          <cell r="V414">
            <v>0</v>
          </cell>
          <cell r="W414">
            <v>0</v>
          </cell>
          <cell r="X414">
            <v>240000</v>
          </cell>
          <cell r="Y414">
            <v>240000</v>
          </cell>
          <cell r="Z414">
            <v>0</v>
          </cell>
          <cell r="AA414">
            <v>0</v>
          </cell>
          <cell r="AB414">
            <v>240000</v>
          </cell>
          <cell r="AC414">
            <v>0</v>
          </cell>
          <cell r="AD414">
            <v>0</v>
          </cell>
          <cell r="AE414">
            <v>0</v>
          </cell>
          <cell r="AF414">
            <v>0</v>
          </cell>
          <cell r="AG414">
            <v>0</v>
          </cell>
          <cell r="AH414">
            <v>0</v>
          </cell>
        </row>
        <row r="415">
          <cell r="B415" t="str">
            <v>SINDA</v>
          </cell>
          <cell r="C415" t="str">
            <v>G</v>
          </cell>
          <cell r="D415" t="str">
            <v>51F</v>
          </cell>
          <cell r="E415" t="str">
            <v>SINDA</v>
          </cell>
          <cell r="F415" t="str">
            <v>FC/CN</v>
          </cell>
          <cell r="G415">
            <v>15</v>
          </cell>
          <cell r="H415" t="str">
            <v>Connexion du SINDA à Internet</v>
          </cell>
          <cell r="I415" t="str">
            <v>SINDA</v>
          </cell>
          <cell r="K415" t="str">
            <v>FC/PSE</v>
          </cell>
          <cell r="L415" t="str">
            <v>AUT</v>
          </cell>
          <cell r="M415">
            <v>1</v>
          </cell>
          <cell r="P415">
            <v>1</v>
          </cell>
          <cell r="Q415" t="str">
            <v>forfait</v>
          </cell>
          <cell r="S415">
            <v>50000</v>
          </cell>
          <cell r="T415">
            <v>1</v>
          </cell>
          <cell r="U415">
            <v>50000</v>
          </cell>
          <cell r="V415">
            <v>0</v>
          </cell>
          <cell r="W415">
            <v>0</v>
          </cell>
          <cell r="X415">
            <v>50000</v>
          </cell>
          <cell r="Y415">
            <v>50000</v>
          </cell>
          <cell r="Z415">
            <v>0</v>
          </cell>
          <cell r="AA415">
            <v>0</v>
          </cell>
          <cell r="AB415">
            <v>50000</v>
          </cell>
          <cell r="AC415">
            <v>0</v>
          </cell>
          <cell r="AD415">
            <v>0</v>
          </cell>
          <cell r="AE415">
            <v>0</v>
          </cell>
          <cell r="AF415">
            <v>0</v>
          </cell>
          <cell r="AG415">
            <v>0</v>
          </cell>
          <cell r="AH415">
            <v>0</v>
          </cell>
        </row>
        <row r="416">
          <cell r="B416" t="str">
            <v>SINDA</v>
          </cell>
          <cell r="C416" t="str">
            <v>G</v>
          </cell>
          <cell r="D416" t="str">
            <v>51F</v>
          </cell>
          <cell r="E416" t="str">
            <v>SINDA</v>
          </cell>
          <cell r="F416" t="str">
            <v>FC/CN</v>
          </cell>
          <cell r="G416">
            <v>15</v>
          </cell>
          <cell r="H416" t="str">
            <v>Publication Lettre d'information de l'Education 20p x 5000 x 3/an</v>
          </cell>
          <cell r="I416" t="str">
            <v>SINDA</v>
          </cell>
          <cell r="K416" t="str">
            <v>FC/PSE</v>
          </cell>
          <cell r="L416" t="str">
            <v>COT</v>
          </cell>
          <cell r="M416">
            <v>200000</v>
          </cell>
          <cell r="N416">
            <v>300000</v>
          </cell>
          <cell r="O416">
            <v>300000</v>
          </cell>
          <cell r="P416">
            <v>800000</v>
          </cell>
          <cell r="Q416" t="str">
            <v>page</v>
          </cell>
          <cell r="R416" t="str">
            <v>rep</v>
          </cell>
          <cell r="S416">
            <v>0.30000000000000004</v>
          </cell>
          <cell r="T416">
            <v>1</v>
          </cell>
          <cell r="U416">
            <v>60000.000000000007</v>
          </cell>
          <cell r="V416">
            <v>90000.000000000015</v>
          </cell>
          <cell r="W416">
            <v>90000.000000000015</v>
          </cell>
          <cell r="X416">
            <v>240000.00000000006</v>
          </cell>
          <cell r="Y416">
            <v>60000.000000000007</v>
          </cell>
          <cell r="Z416">
            <v>90000.000000000015</v>
          </cell>
          <cell r="AA416">
            <v>90000.000000000015</v>
          </cell>
          <cell r="AB416">
            <v>240000.00000000006</v>
          </cell>
          <cell r="AC416">
            <v>0</v>
          </cell>
          <cell r="AD416">
            <v>0</v>
          </cell>
          <cell r="AE416">
            <v>0</v>
          </cell>
          <cell r="AF416">
            <v>0</v>
          </cell>
          <cell r="AG416">
            <v>0</v>
          </cell>
          <cell r="AH416">
            <v>0</v>
          </cell>
        </row>
        <row r="417">
          <cell r="B417" t="str">
            <v>SINDA</v>
          </cell>
          <cell r="C417" t="str">
            <v>G</v>
          </cell>
          <cell r="D417" t="str">
            <v>51F</v>
          </cell>
          <cell r="E417" t="str">
            <v>SINDA</v>
          </cell>
          <cell r="F417" t="str">
            <v>FC/CN</v>
          </cell>
          <cell r="G417">
            <v>12</v>
          </cell>
          <cell r="H417" t="str">
            <v>Formation NTIC cadres structures doc &amp; correspond informat région 31px3sem</v>
          </cell>
          <cell r="I417" t="str">
            <v>SINDA</v>
          </cell>
          <cell r="K417" t="str">
            <v>FC/PSE</v>
          </cell>
          <cell r="L417" t="str">
            <v>CR</v>
          </cell>
          <cell r="M417">
            <v>93</v>
          </cell>
          <cell r="P417">
            <v>93</v>
          </cell>
          <cell r="Q417" t="str">
            <v>pxsem</v>
          </cell>
          <cell r="R417" t="str">
            <v>fbu</v>
          </cell>
          <cell r="S417">
            <v>1000</v>
          </cell>
          <cell r="T417">
            <v>1</v>
          </cell>
          <cell r="U417">
            <v>93000</v>
          </cell>
          <cell r="V417">
            <v>0</v>
          </cell>
          <cell r="W417">
            <v>0</v>
          </cell>
          <cell r="X417">
            <v>93000</v>
          </cell>
          <cell r="Y417">
            <v>93000</v>
          </cell>
          <cell r="Z417">
            <v>0</v>
          </cell>
          <cell r="AA417">
            <v>0</v>
          </cell>
          <cell r="AB417">
            <v>93000</v>
          </cell>
          <cell r="AC417">
            <v>0</v>
          </cell>
          <cell r="AD417">
            <v>0</v>
          </cell>
          <cell r="AE417">
            <v>0</v>
          </cell>
          <cell r="AF417">
            <v>0</v>
          </cell>
          <cell r="AG417">
            <v>0</v>
          </cell>
          <cell r="AH417">
            <v>0</v>
          </cell>
        </row>
        <row r="418">
          <cell r="B418" t="str">
            <v>SINDA</v>
          </cell>
          <cell r="C418" t="str">
            <v>G</v>
          </cell>
          <cell r="D418" t="str">
            <v>51F</v>
          </cell>
          <cell r="E418" t="str">
            <v>SINDA</v>
          </cell>
          <cell r="F418" t="str">
            <v>FC/CN</v>
          </cell>
          <cell r="G418">
            <v>12</v>
          </cell>
          <cell r="H418" t="str">
            <v>Formation à la conduite d'opérations IEC  15p x 5j</v>
          </cell>
          <cell r="I418" t="str">
            <v>SINDA</v>
          </cell>
          <cell r="K418" t="str">
            <v>FC/PSE</v>
          </cell>
          <cell r="L418" t="str">
            <v>AUT</v>
          </cell>
          <cell r="M418">
            <v>75</v>
          </cell>
          <cell r="P418">
            <v>75</v>
          </cell>
          <cell r="Q418" t="str">
            <v>pxj</v>
          </cell>
          <cell r="R418" t="str">
            <v>asn</v>
          </cell>
          <cell r="S418">
            <v>147.72</v>
          </cell>
          <cell r="T418">
            <v>1</v>
          </cell>
          <cell r="U418">
            <v>11079</v>
          </cell>
          <cell r="V418">
            <v>0</v>
          </cell>
          <cell r="W418">
            <v>0</v>
          </cell>
          <cell r="X418">
            <v>11079</v>
          </cell>
          <cell r="Y418">
            <v>11079</v>
          </cell>
          <cell r="Z418">
            <v>0</v>
          </cell>
          <cell r="AA418">
            <v>0</v>
          </cell>
          <cell r="AB418">
            <v>11079</v>
          </cell>
          <cell r="AC418">
            <v>0</v>
          </cell>
          <cell r="AD418">
            <v>0</v>
          </cell>
          <cell r="AE418">
            <v>0</v>
          </cell>
          <cell r="AF418">
            <v>0</v>
          </cell>
          <cell r="AG418">
            <v>0</v>
          </cell>
          <cell r="AH418">
            <v>0</v>
          </cell>
        </row>
        <row r="419">
          <cell r="B419" t="str">
            <v>SINDA</v>
          </cell>
          <cell r="C419" t="str">
            <v>G</v>
          </cell>
          <cell r="D419" t="str">
            <v>51F</v>
          </cell>
          <cell r="E419" t="str">
            <v>SINDA</v>
          </cell>
          <cell r="F419" t="str">
            <v>FC/CN</v>
          </cell>
          <cell r="G419">
            <v>15</v>
          </cell>
          <cell r="H419" t="str">
            <v xml:space="preserve">Opérationalisation du réseau de communicateurs en éducation </v>
          </cell>
          <cell r="I419" t="str">
            <v>SINDA</v>
          </cell>
          <cell r="K419" t="str">
            <v>FC/PSE</v>
          </cell>
          <cell r="L419" t="str">
            <v>AUT</v>
          </cell>
          <cell r="M419">
            <v>1</v>
          </cell>
          <cell r="P419">
            <v>1</v>
          </cell>
          <cell r="Q419" t="str">
            <v>forfait</v>
          </cell>
          <cell r="S419">
            <v>7200</v>
          </cell>
          <cell r="T419">
            <v>1</v>
          </cell>
          <cell r="U419">
            <v>7200</v>
          </cell>
          <cell r="V419">
            <v>0</v>
          </cell>
          <cell r="W419">
            <v>0</v>
          </cell>
          <cell r="X419">
            <v>7200</v>
          </cell>
          <cell r="Y419">
            <v>7200</v>
          </cell>
          <cell r="Z419">
            <v>0</v>
          </cell>
          <cell r="AA419">
            <v>0</v>
          </cell>
          <cell r="AB419">
            <v>7200</v>
          </cell>
          <cell r="AC419">
            <v>0</v>
          </cell>
          <cell r="AD419">
            <v>0</v>
          </cell>
          <cell r="AE419">
            <v>0</v>
          </cell>
          <cell r="AF419">
            <v>0</v>
          </cell>
          <cell r="AG419">
            <v>0</v>
          </cell>
          <cell r="AH419">
            <v>0</v>
          </cell>
        </row>
        <row r="420">
          <cell r="B420" t="str">
            <v>SINDA</v>
          </cell>
          <cell r="C420" t="str">
            <v>G</v>
          </cell>
          <cell r="D420" t="str">
            <v>51F</v>
          </cell>
          <cell r="E420" t="str">
            <v>SINDA</v>
          </cell>
          <cell r="F420" t="str">
            <v>FC/CN</v>
          </cell>
          <cell r="G420">
            <v>12</v>
          </cell>
          <cell r="H420" t="str">
            <v>Formation en maintenance de base de site WEB 6p x 4sem</v>
          </cell>
          <cell r="I420" t="str">
            <v>SINDA</v>
          </cell>
          <cell r="K420" t="str">
            <v>FC/PSE</v>
          </cell>
          <cell r="L420" t="str">
            <v>CR</v>
          </cell>
          <cell r="M420">
            <v>24</v>
          </cell>
          <cell r="P420">
            <v>24</v>
          </cell>
          <cell r="Q420" t="str">
            <v>pxsem</v>
          </cell>
          <cell r="R420" t="str">
            <v>fbu</v>
          </cell>
          <cell r="S420">
            <v>1000</v>
          </cell>
          <cell r="T420">
            <v>1</v>
          </cell>
          <cell r="U420">
            <v>24000</v>
          </cell>
          <cell r="V420">
            <v>0</v>
          </cell>
          <cell r="W420">
            <v>0</v>
          </cell>
          <cell r="X420">
            <v>24000</v>
          </cell>
          <cell r="Y420">
            <v>24000</v>
          </cell>
          <cell r="Z420">
            <v>0</v>
          </cell>
          <cell r="AA420">
            <v>0</v>
          </cell>
          <cell r="AB420">
            <v>24000</v>
          </cell>
          <cell r="AC420">
            <v>0</v>
          </cell>
          <cell r="AD420">
            <v>0</v>
          </cell>
          <cell r="AE420">
            <v>0</v>
          </cell>
          <cell r="AF420">
            <v>0</v>
          </cell>
          <cell r="AG420">
            <v>0</v>
          </cell>
          <cell r="AH420">
            <v>0</v>
          </cell>
        </row>
        <row r="421">
          <cell r="B421" t="str">
            <v>SINDA</v>
          </cell>
          <cell r="C421" t="str">
            <v>G</v>
          </cell>
          <cell r="D421" t="str">
            <v>51F</v>
          </cell>
          <cell r="E421" t="str">
            <v>SINDA</v>
          </cell>
          <cell r="F421" t="str">
            <v>FC/CN</v>
          </cell>
          <cell r="G421">
            <v>12</v>
          </cell>
          <cell r="H421" t="str">
            <v>Formation utilisation NTIC correspondants informat préfect 38p x 3sem x2ans</v>
          </cell>
          <cell r="I421" t="str">
            <v>SINDA</v>
          </cell>
          <cell r="K421" t="str">
            <v>FC/PSE</v>
          </cell>
          <cell r="L421" t="str">
            <v>AUT</v>
          </cell>
          <cell r="N421">
            <v>114</v>
          </cell>
          <cell r="O421">
            <v>114</v>
          </cell>
          <cell r="P421">
            <v>228</v>
          </cell>
          <cell r="Q421" t="str">
            <v>pxsem</v>
          </cell>
          <cell r="R421" t="str">
            <v>fbu</v>
          </cell>
          <cell r="S421">
            <v>1000</v>
          </cell>
          <cell r="T421">
            <v>1</v>
          </cell>
          <cell r="U421">
            <v>0</v>
          </cell>
          <cell r="V421">
            <v>114000</v>
          </cell>
          <cell r="W421">
            <v>114000</v>
          </cell>
          <cell r="X421">
            <v>228000</v>
          </cell>
          <cell r="Y421">
            <v>0</v>
          </cell>
          <cell r="Z421">
            <v>114000</v>
          </cell>
          <cell r="AA421">
            <v>114000</v>
          </cell>
          <cell r="AB421">
            <v>228000</v>
          </cell>
          <cell r="AC421">
            <v>0</v>
          </cell>
          <cell r="AD421">
            <v>0</v>
          </cell>
          <cell r="AE421">
            <v>0</v>
          </cell>
          <cell r="AF421">
            <v>0</v>
          </cell>
          <cell r="AG421">
            <v>0</v>
          </cell>
          <cell r="AH421">
            <v>0</v>
          </cell>
        </row>
        <row r="422">
          <cell r="B422" t="str">
            <v>SINDA</v>
          </cell>
          <cell r="C422" t="str">
            <v>G</v>
          </cell>
          <cell r="D422" t="str">
            <v>51F</v>
          </cell>
          <cell r="E422" t="str">
            <v>SINDA</v>
          </cell>
          <cell r="F422" t="str">
            <v>FC/CN</v>
          </cell>
          <cell r="G422">
            <v>15</v>
          </cell>
          <cell r="H422" t="str">
            <v>Production film vidéo sur le PSE</v>
          </cell>
          <cell r="I422" t="str">
            <v>SINDA</v>
          </cell>
          <cell r="K422" t="str">
            <v>FC/PSE</v>
          </cell>
          <cell r="L422" t="str">
            <v>CR</v>
          </cell>
          <cell r="O422">
            <v>1</v>
          </cell>
          <cell r="P422">
            <v>1</v>
          </cell>
          <cell r="Q422" t="str">
            <v>forfait</v>
          </cell>
          <cell r="S422">
            <v>40000</v>
          </cell>
          <cell r="T422">
            <v>1</v>
          </cell>
          <cell r="U422">
            <v>0</v>
          </cell>
          <cell r="V422">
            <v>0</v>
          </cell>
          <cell r="W422">
            <v>40000</v>
          </cell>
          <cell r="X422">
            <v>40000</v>
          </cell>
          <cell r="Y422">
            <v>0</v>
          </cell>
          <cell r="Z422">
            <v>0</v>
          </cell>
          <cell r="AA422">
            <v>40000</v>
          </cell>
          <cell r="AB422">
            <v>40000</v>
          </cell>
          <cell r="AC422">
            <v>0</v>
          </cell>
          <cell r="AD422">
            <v>0</v>
          </cell>
          <cell r="AE422">
            <v>0</v>
          </cell>
          <cell r="AF422">
            <v>0</v>
          </cell>
          <cell r="AG422">
            <v>0</v>
          </cell>
          <cell r="AH422">
            <v>0</v>
          </cell>
        </row>
        <row r="423">
          <cell r="H423" t="str">
            <v>Pilotage et Coordination du PSE</v>
          </cell>
          <cell r="U423">
            <v>3657018.4000000004</v>
          </cell>
          <cell r="V423">
            <v>6505096.4000000004</v>
          </cell>
          <cell r="W423">
            <v>6505096.4000000004</v>
          </cell>
          <cell r="X423">
            <v>16667211.200000001</v>
          </cell>
          <cell r="Y423">
            <v>3657018.4000000004</v>
          </cell>
          <cell r="Z423">
            <v>6505096.4000000004</v>
          </cell>
          <cell r="AA423">
            <v>6505096.4000000004</v>
          </cell>
          <cell r="AB423">
            <v>16667211.200000001</v>
          </cell>
          <cell r="AC423">
            <v>0</v>
          </cell>
          <cell r="AD423">
            <v>0</v>
          </cell>
          <cell r="AE423">
            <v>0</v>
          </cell>
          <cell r="AF423">
            <v>0</v>
          </cell>
          <cell r="AH423">
            <v>0</v>
          </cell>
        </row>
        <row r="424">
          <cell r="B424" t="str">
            <v>CN/PSE</v>
          </cell>
          <cell r="C424" t="str">
            <v>G</v>
          </cell>
          <cell r="D424" t="str">
            <v>51G</v>
          </cell>
          <cell r="E424" t="str">
            <v>CN/PSE</v>
          </cell>
          <cell r="F424" t="str">
            <v>FC/CN</v>
          </cell>
          <cell r="G424">
            <v>15</v>
          </cell>
          <cell r="H424" t="str">
            <v>Cadre de concertation MENRS - MF - MFP : 25p x 2j x 2 fois/an</v>
          </cell>
          <cell r="I424" t="str">
            <v>CN/PSE</v>
          </cell>
          <cell r="K424" t="str">
            <v>FC/PSE</v>
          </cell>
          <cell r="L424" t="str">
            <v>AUT</v>
          </cell>
          <cell r="M424">
            <v>100</v>
          </cell>
          <cell r="N424">
            <v>100</v>
          </cell>
          <cell r="O424">
            <v>100</v>
          </cell>
          <cell r="P424">
            <v>300</v>
          </cell>
          <cell r="Q424" t="str">
            <v>pxj</v>
          </cell>
          <cell r="R424" t="str">
            <v>asn</v>
          </cell>
          <cell r="S424">
            <v>147.72</v>
          </cell>
          <cell r="T424">
            <v>1</v>
          </cell>
          <cell r="U424">
            <v>14772</v>
          </cell>
          <cell r="V424">
            <v>14772</v>
          </cell>
          <cell r="W424">
            <v>14772</v>
          </cell>
          <cell r="X424">
            <v>44316</v>
          </cell>
          <cell r="Y424">
            <v>14772</v>
          </cell>
          <cell r="Z424">
            <v>14772</v>
          </cell>
          <cell r="AA424">
            <v>14772</v>
          </cell>
          <cell r="AB424">
            <v>44316</v>
          </cell>
          <cell r="AC424">
            <v>0</v>
          </cell>
          <cell r="AD424">
            <v>0</v>
          </cell>
          <cell r="AE424">
            <v>0</v>
          </cell>
          <cell r="AF424">
            <v>0</v>
          </cell>
          <cell r="AG424">
            <v>0</v>
          </cell>
          <cell r="AH424">
            <v>0</v>
          </cell>
        </row>
        <row r="425">
          <cell r="B425" t="str">
            <v>CN/PSE</v>
          </cell>
          <cell r="C425" t="str">
            <v>G</v>
          </cell>
          <cell r="D425" t="str">
            <v>51G</v>
          </cell>
          <cell r="E425" t="str">
            <v>CN/PSE</v>
          </cell>
          <cell r="F425" t="str">
            <v>FC/CN</v>
          </cell>
          <cell r="G425">
            <v>15</v>
          </cell>
          <cell r="H425" t="str">
            <v>Cadre de concertation PSE -Comité de Pilotage 25p x 1j x 2 fois/an</v>
          </cell>
          <cell r="I425" t="str">
            <v>CN/PSE</v>
          </cell>
          <cell r="K425" t="str">
            <v>FC/PSE</v>
          </cell>
          <cell r="L425" t="str">
            <v>AUT</v>
          </cell>
          <cell r="M425">
            <v>50</v>
          </cell>
          <cell r="N425">
            <v>50</v>
          </cell>
          <cell r="O425">
            <v>50</v>
          </cell>
          <cell r="P425">
            <v>150</v>
          </cell>
          <cell r="Q425" t="str">
            <v>pxj</v>
          </cell>
          <cell r="R425" t="str">
            <v>asn</v>
          </cell>
          <cell r="S425">
            <v>147.72</v>
          </cell>
          <cell r="T425">
            <v>1</v>
          </cell>
          <cell r="U425">
            <v>7386</v>
          </cell>
          <cell r="V425">
            <v>7386</v>
          </cell>
          <cell r="W425">
            <v>7386</v>
          </cell>
          <cell r="X425">
            <v>22158</v>
          </cell>
          <cell r="Y425">
            <v>7386</v>
          </cell>
          <cell r="Z425">
            <v>7386</v>
          </cell>
          <cell r="AA425">
            <v>7386</v>
          </cell>
          <cell r="AB425">
            <v>22158</v>
          </cell>
          <cell r="AC425">
            <v>0</v>
          </cell>
          <cell r="AD425">
            <v>0</v>
          </cell>
          <cell r="AE425">
            <v>0</v>
          </cell>
          <cell r="AF425">
            <v>0</v>
          </cell>
          <cell r="AG425">
            <v>0</v>
          </cell>
          <cell r="AH425">
            <v>0</v>
          </cell>
        </row>
        <row r="426">
          <cell r="B426" t="str">
            <v>CN/PSE</v>
          </cell>
          <cell r="C426" t="str">
            <v>G</v>
          </cell>
          <cell r="D426" t="str">
            <v>51G</v>
          </cell>
          <cell r="E426" t="str">
            <v>CN/PSE</v>
          </cell>
          <cell r="F426" t="str">
            <v>FC/CN</v>
          </cell>
          <cell r="G426">
            <v>15</v>
          </cell>
          <cell r="H426" t="str">
            <v>Cadre de concertation PSE -Comité stratégique 30p x 1j x 4 fois/an</v>
          </cell>
          <cell r="I426" t="str">
            <v>CN/PSE</v>
          </cell>
          <cell r="K426" t="str">
            <v>FC/PSE</v>
          </cell>
          <cell r="L426" t="str">
            <v>AUT</v>
          </cell>
          <cell r="M426">
            <v>120</v>
          </cell>
          <cell r="N426">
            <v>120</v>
          </cell>
          <cell r="O426">
            <v>120</v>
          </cell>
          <cell r="P426">
            <v>360</v>
          </cell>
          <cell r="Q426" t="str">
            <v>pxj</v>
          </cell>
          <cell r="R426" t="str">
            <v>asn</v>
          </cell>
          <cell r="S426">
            <v>147.72</v>
          </cell>
          <cell r="T426">
            <v>1</v>
          </cell>
          <cell r="U426">
            <v>17726.400000000001</v>
          </cell>
          <cell r="V426">
            <v>17726.400000000001</v>
          </cell>
          <cell r="W426">
            <v>17726.400000000001</v>
          </cell>
          <cell r="X426">
            <v>53179.200000000004</v>
          </cell>
          <cell r="Y426">
            <v>17726.400000000001</v>
          </cell>
          <cell r="Z426">
            <v>17726.400000000001</v>
          </cell>
          <cell r="AA426">
            <v>17726.400000000001</v>
          </cell>
          <cell r="AB426">
            <v>53179.200000000004</v>
          </cell>
          <cell r="AC426">
            <v>0</v>
          </cell>
          <cell r="AD426">
            <v>0</v>
          </cell>
          <cell r="AE426">
            <v>0</v>
          </cell>
          <cell r="AF426">
            <v>0</v>
          </cell>
          <cell r="AG426">
            <v>0</v>
          </cell>
          <cell r="AH426">
            <v>0</v>
          </cell>
        </row>
        <row r="427">
          <cell r="B427" t="str">
            <v>CN/PSE</v>
          </cell>
          <cell r="C427" t="str">
            <v>G</v>
          </cell>
          <cell r="D427" t="str">
            <v>51G</v>
          </cell>
          <cell r="E427" t="str">
            <v>CN/PSE</v>
          </cell>
          <cell r="F427" t="str">
            <v>FC/CN</v>
          </cell>
          <cell r="G427">
            <v>15</v>
          </cell>
          <cell r="H427" t="str">
            <v>Revues conjointes  50p x 5j x 2 fois/an</v>
          </cell>
          <cell r="I427" t="str">
            <v>CN/PSE</v>
          </cell>
          <cell r="K427" t="str">
            <v>FC/PSE</v>
          </cell>
          <cell r="L427" t="str">
            <v>AUT</v>
          </cell>
          <cell r="M427">
            <v>500</v>
          </cell>
          <cell r="N427">
            <v>500</v>
          </cell>
          <cell r="O427">
            <v>500</v>
          </cell>
          <cell r="P427">
            <v>1500</v>
          </cell>
          <cell r="Q427" t="str">
            <v>pxj</v>
          </cell>
          <cell r="R427" t="str">
            <v>asn</v>
          </cell>
          <cell r="S427">
            <v>147.72</v>
          </cell>
          <cell r="T427">
            <v>1</v>
          </cell>
          <cell r="U427">
            <v>73860</v>
          </cell>
          <cell r="V427">
            <v>73860</v>
          </cell>
          <cell r="W427">
            <v>73860</v>
          </cell>
          <cell r="X427">
            <v>221580</v>
          </cell>
          <cell r="Y427">
            <v>73860</v>
          </cell>
          <cell r="Z427">
            <v>73860</v>
          </cell>
          <cell r="AA427">
            <v>73860</v>
          </cell>
          <cell r="AB427">
            <v>221580</v>
          </cell>
          <cell r="AC427">
            <v>0</v>
          </cell>
          <cell r="AD427">
            <v>0</v>
          </cell>
          <cell r="AE427">
            <v>0</v>
          </cell>
          <cell r="AF427">
            <v>0</v>
          </cell>
          <cell r="AG427">
            <v>0</v>
          </cell>
          <cell r="AH427">
            <v>0</v>
          </cell>
        </row>
        <row r="428">
          <cell r="B428" t="str">
            <v>CN/PSE</v>
          </cell>
          <cell r="C428" t="str">
            <v>G</v>
          </cell>
          <cell r="D428" t="str">
            <v>51G</v>
          </cell>
          <cell r="E428" t="str">
            <v>CN/PSE</v>
          </cell>
          <cell r="F428" t="str">
            <v>FC/CN</v>
          </cell>
          <cell r="G428">
            <v>11</v>
          </cell>
          <cell r="H428" t="str">
            <v>Salaire 31 contractuels</v>
          </cell>
          <cell r="I428" t="str">
            <v>CN/PSE</v>
          </cell>
          <cell r="K428" t="str">
            <v>FC/PSE</v>
          </cell>
          <cell r="L428" t="str">
            <v>AUT</v>
          </cell>
          <cell r="N428">
            <v>12</v>
          </cell>
          <cell r="O428">
            <v>12</v>
          </cell>
          <cell r="P428">
            <v>24</v>
          </cell>
          <cell r="Q428" t="str">
            <v>mois</v>
          </cell>
          <cell r="S428">
            <v>221580.00000000003</v>
          </cell>
          <cell r="T428">
            <v>1</v>
          </cell>
          <cell r="U428">
            <v>0</v>
          </cell>
          <cell r="V428">
            <v>2658960.0000000005</v>
          </cell>
          <cell r="W428">
            <v>2658960.0000000005</v>
          </cell>
          <cell r="X428">
            <v>5317920.0000000009</v>
          </cell>
          <cell r="Y428">
            <v>0</v>
          </cell>
          <cell r="Z428">
            <v>2658960.0000000005</v>
          </cell>
          <cell r="AA428">
            <v>2658960.0000000005</v>
          </cell>
          <cell r="AB428">
            <v>5317920.0000000009</v>
          </cell>
          <cell r="AC428">
            <v>0</v>
          </cell>
          <cell r="AD428">
            <v>0</v>
          </cell>
          <cell r="AE428">
            <v>0</v>
          </cell>
          <cell r="AF428">
            <v>0</v>
          </cell>
          <cell r="AG428">
            <v>0</v>
          </cell>
          <cell r="AH428">
            <v>0</v>
          </cell>
        </row>
        <row r="429">
          <cell r="B429" t="str">
            <v>CN/PSE</v>
          </cell>
          <cell r="C429" t="str">
            <v>G</v>
          </cell>
          <cell r="D429" t="str">
            <v>51G</v>
          </cell>
          <cell r="E429" t="str">
            <v>CN/PSE</v>
          </cell>
          <cell r="F429" t="str">
            <v>FC/CN</v>
          </cell>
          <cell r="G429">
            <v>15</v>
          </cell>
          <cell r="H429" t="str">
            <v>Loyer bureau Coordination Nationale</v>
          </cell>
          <cell r="I429" t="str">
            <v>CN/PSE</v>
          </cell>
          <cell r="K429" t="str">
            <v>FC/PSE</v>
          </cell>
          <cell r="L429" t="str">
            <v>AUT</v>
          </cell>
          <cell r="M429">
            <v>6</v>
          </cell>
          <cell r="N429">
            <v>12</v>
          </cell>
          <cell r="O429">
            <v>12</v>
          </cell>
          <cell r="P429">
            <v>30</v>
          </cell>
          <cell r="Q429" t="str">
            <v>mois</v>
          </cell>
          <cell r="S429">
            <v>36930</v>
          </cell>
          <cell r="T429">
            <v>1</v>
          </cell>
          <cell r="U429">
            <v>221580</v>
          </cell>
          <cell r="V429">
            <v>443160</v>
          </cell>
          <cell r="W429">
            <v>443160</v>
          </cell>
          <cell r="X429">
            <v>1107900</v>
          </cell>
          <cell r="Y429">
            <v>221580</v>
          </cell>
          <cell r="Z429">
            <v>443160</v>
          </cell>
          <cell r="AA429">
            <v>443160</v>
          </cell>
          <cell r="AB429">
            <v>1107900</v>
          </cell>
          <cell r="AC429">
            <v>0</v>
          </cell>
          <cell r="AD429">
            <v>0</v>
          </cell>
          <cell r="AE429">
            <v>0</v>
          </cell>
          <cell r="AF429">
            <v>0</v>
          </cell>
          <cell r="AG429">
            <v>0</v>
          </cell>
          <cell r="AH429">
            <v>0</v>
          </cell>
        </row>
        <row r="430">
          <cell r="B430" t="str">
            <v>CN/PSE</v>
          </cell>
          <cell r="C430" t="str">
            <v>G</v>
          </cell>
          <cell r="D430" t="str">
            <v>51G</v>
          </cell>
          <cell r="E430" t="str">
            <v>CN/PSE</v>
          </cell>
          <cell r="F430" t="str">
            <v>FC/CN</v>
          </cell>
          <cell r="G430">
            <v>15</v>
          </cell>
          <cell r="H430" t="str">
            <v>Consommables</v>
          </cell>
          <cell r="I430" t="str">
            <v>CN/PSE</v>
          </cell>
          <cell r="K430" t="str">
            <v>FC/PSE</v>
          </cell>
          <cell r="L430" t="str">
            <v>AUT</v>
          </cell>
          <cell r="M430">
            <v>6</v>
          </cell>
          <cell r="N430">
            <v>12</v>
          </cell>
          <cell r="O430">
            <v>12</v>
          </cell>
          <cell r="P430">
            <v>30</v>
          </cell>
          <cell r="Q430" t="str">
            <v>mois</v>
          </cell>
          <cell r="S430">
            <v>29544.000000000004</v>
          </cell>
          <cell r="T430">
            <v>1</v>
          </cell>
          <cell r="U430">
            <v>177264.00000000003</v>
          </cell>
          <cell r="V430">
            <v>354528.00000000006</v>
          </cell>
          <cell r="W430">
            <v>354528.00000000006</v>
          </cell>
          <cell r="X430">
            <v>886320.00000000023</v>
          </cell>
          <cell r="Y430">
            <v>177264.00000000003</v>
          </cell>
          <cell r="Z430">
            <v>354528.00000000006</v>
          </cell>
          <cell r="AA430">
            <v>354528.00000000006</v>
          </cell>
          <cell r="AB430">
            <v>886320.00000000023</v>
          </cell>
          <cell r="AC430">
            <v>0</v>
          </cell>
          <cell r="AD430">
            <v>0</v>
          </cell>
          <cell r="AE430">
            <v>0</v>
          </cell>
          <cell r="AF430">
            <v>0</v>
          </cell>
          <cell r="AG430">
            <v>0</v>
          </cell>
          <cell r="AH430">
            <v>0</v>
          </cell>
        </row>
        <row r="431">
          <cell r="B431" t="str">
            <v>SSP</v>
          </cell>
          <cell r="C431" t="str">
            <v>G</v>
          </cell>
          <cell r="D431" t="str">
            <v>51G</v>
          </cell>
          <cell r="E431" t="str">
            <v>CN/PSE</v>
          </cell>
          <cell r="F431" t="str">
            <v>FC/CN</v>
          </cell>
          <cell r="G431">
            <v>23</v>
          </cell>
          <cell r="H431" t="str">
            <v>Véhicule de mission 4X4 SW Cellule S&amp;E PSE</v>
          </cell>
          <cell r="I431" t="str">
            <v>CN/PSE</v>
          </cell>
          <cell r="K431" t="str">
            <v>FC/PSE</v>
          </cell>
          <cell r="L431" t="str">
            <v>AOI</v>
          </cell>
          <cell r="M431">
            <v>2</v>
          </cell>
          <cell r="P431">
            <v>2</v>
          </cell>
          <cell r="Q431" t="str">
            <v>u</v>
          </cell>
          <cell r="R431" t="str">
            <v>vsw</v>
          </cell>
          <cell r="S431">
            <v>196960.00000000003</v>
          </cell>
          <cell r="T431">
            <v>1</v>
          </cell>
          <cell r="U431">
            <v>393920.00000000006</v>
          </cell>
          <cell r="V431">
            <v>0</v>
          </cell>
          <cell r="W431">
            <v>0</v>
          </cell>
          <cell r="X431">
            <v>393920.00000000006</v>
          </cell>
          <cell r="Y431">
            <v>393920.00000000006</v>
          </cell>
          <cell r="Z431">
            <v>0</v>
          </cell>
          <cell r="AA431">
            <v>0</v>
          </cell>
          <cell r="AB431">
            <v>393920.00000000006</v>
          </cell>
          <cell r="AC431">
            <v>0</v>
          </cell>
          <cell r="AD431">
            <v>0</v>
          </cell>
          <cell r="AE431">
            <v>0</v>
          </cell>
          <cell r="AF431">
            <v>0</v>
          </cell>
          <cell r="AG431">
            <v>0</v>
          </cell>
          <cell r="AH431">
            <v>0</v>
          </cell>
        </row>
        <row r="432">
          <cell r="B432" t="str">
            <v>CN/PSE</v>
          </cell>
          <cell r="C432" t="str">
            <v>G</v>
          </cell>
          <cell r="D432" t="str">
            <v>51G</v>
          </cell>
          <cell r="E432" t="str">
            <v>CN/PSE</v>
          </cell>
          <cell r="F432" t="str">
            <v>FC/CN</v>
          </cell>
          <cell r="G432">
            <v>15</v>
          </cell>
          <cell r="H432" t="str">
            <v>Carburant-Lubrifiant</v>
          </cell>
          <cell r="I432" t="str">
            <v>CN/PSE</v>
          </cell>
          <cell r="K432" t="str">
            <v>FC/PSE</v>
          </cell>
          <cell r="L432" t="str">
            <v>AUT</v>
          </cell>
          <cell r="M432">
            <v>6</v>
          </cell>
          <cell r="N432">
            <v>12</v>
          </cell>
          <cell r="O432">
            <v>12</v>
          </cell>
          <cell r="P432">
            <v>30</v>
          </cell>
          <cell r="Q432" t="str">
            <v>mois</v>
          </cell>
          <cell r="S432">
            <v>32006.000000000004</v>
          </cell>
          <cell r="T432">
            <v>1</v>
          </cell>
          <cell r="U432">
            <v>192036.00000000003</v>
          </cell>
          <cell r="V432">
            <v>384072.00000000006</v>
          </cell>
          <cell r="W432">
            <v>384072.00000000006</v>
          </cell>
          <cell r="X432">
            <v>960180.00000000023</v>
          </cell>
          <cell r="Y432">
            <v>192036.00000000003</v>
          </cell>
          <cell r="Z432">
            <v>384072.00000000006</v>
          </cell>
          <cell r="AA432">
            <v>384072.00000000006</v>
          </cell>
          <cell r="AB432">
            <v>960180.00000000023</v>
          </cell>
          <cell r="AC432">
            <v>0</v>
          </cell>
          <cell r="AD432">
            <v>0</v>
          </cell>
          <cell r="AE432">
            <v>0</v>
          </cell>
          <cell r="AF432">
            <v>0</v>
          </cell>
          <cell r="AG432">
            <v>0</v>
          </cell>
          <cell r="AH432">
            <v>0</v>
          </cell>
        </row>
        <row r="433">
          <cell r="B433" t="str">
            <v>CN/PSE</v>
          </cell>
          <cell r="C433" t="str">
            <v>G</v>
          </cell>
          <cell r="D433" t="str">
            <v>51G</v>
          </cell>
          <cell r="E433" t="str">
            <v>CN/PSE</v>
          </cell>
          <cell r="F433" t="str">
            <v>FC/CN</v>
          </cell>
          <cell r="G433">
            <v>15</v>
          </cell>
          <cell r="H433" t="str">
            <v>Maintenance équipements</v>
          </cell>
          <cell r="I433" t="str">
            <v>CN/PSE</v>
          </cell>
          <cell r="K433" t="str">
            <v>FC/PSE</v>
          </cell>
          <cell r="L433" t="str">
            <v>AUT</v>
          </cell>
          <cell r="M433">
            <v>6</v>
          </cell>
          <cell r="N433">
            <v>12</v>
          </cell>
          <cell r="O433">
            <v>12</v>
          </cell>
          <cell r="P433">
            <v>30</v>
          </cell>
          <cell r="Q433" t="str">
            <v>mois</v>
          </cell>
          <cell r="S433">
            <v>22158</v>
          </cell>
          <cell r="T433">
            <v>1</v>
          </cell>
          <cell r="U433">
            <v>132948</v>
          </cell>
          <cell r="V433">
            <v>265896</v>
          </cell>
          <cell r="W433">
            <v>265896</v>
          </cell>
          <cell r="X433">
            <v>664740</v>
          </cell>
          <cell r="Y433">
            <v>132948</v>
          </cell>
          <cell r="Z433">
            <v>265896</v>
          </cell>
          <cell r="AA433">
            <v>265896</v>
          </cell>
          <cell r="AB433">
            <v>664740</v>
          </cell>
          <cell r="AC433">
            <v>0</v>
          </cell>
          <cell r="AD433">
            <v>0</v>
          </cell>
          <cell r="AE433">
            <v>0</v>
          </cell>
          <cell r="AF433">
            <v>0</v>
          </cell>
          <cell r="AG433">
            <v>0</v>
          </cell>
          <cell r="AH433">
            <v>0</v>
          </cell>
        </row>
        <row r="434">
          <cell r="B434" t="str">
            <v>CN/PSE</v>
          </cell>
          <cell r="C434" t="str">
            <v>G</v>
          </cell>
          <cell r="D434" t="str">
            <v>51G</v>
          </cell>
          <cell r="E434" t="str">
            <v>CN/PSE</v>
          </cell>
          <cell r="F434" t="str">
            <v>FC/CN</v>
          </cell>
          <cell r="G434">
            <v>15</v>
          </cell>
          <cell r="H434" t="str">
            <v>Assurances équipements</v>
          </cell>
          <cell r="I434" t="str">
            <v>CN/PSE</v>
          </cell>
          <cell r="K434" t="str">
            <v>FC/PSE</v>
          </cell>
          <cell r="L434" t="str">
            <v>AUT</v>
          </cell>
          <cell r="M434">
            <v>6</v>
          </cell>
          <cell r="N434">
            <v>12</v>
          </cell>
          <cell r="O434">
            <v>12</v>
          </cell>
          <cell r="P434">
            <v>30</v>
          </cell>
          <cell r="Q434" t="str">
            <v>mois</v>
          </cell>
          <cell r="S434">
            <v>49240.000000000007</v>
          </cell>
          <cell r="T434">
            <v>1</v>
          </cell>
          <cell r="U434">
            <v>295440.00000000006</v>
          </cell>
          <cell r="V434">
            <v>590880.00000000012</v>
          </cell>
          <cell r="W434">
            <v>590880.00000000012</v>
          </cell>
          <cell r="X434">
            <v>1477200.0000000005</v>
          </cell>
          <cell r="Y434">
            <v>295440.00000000006</v>
          </cell>
          <cell r="Z434">
            <v>590880.00000000012</v>
          </cell>
          <cell r="AA434">
            <v>590880.00000000012</v>
          </cell>
          <cell r="AB434">
            <v>1477200.0000000005</v>
          </cell>
          <cell r="AC434">
            <v>0</v>
          </cell>
          <cell r="AD434">
            <v>0</v>
          </cell>
          <cell r="AE434">
            <v>0</v>
          </cell>
          <cell r="AF434">
            <v>0</v>
          </cell>
          <cell r="AG434">
            <v>0</v>
          </cell>
          <cell r="AH434">
            <v>0</v>
          </cell>
        </row>
        <row r="435">
          <cell r="B435" t="str">
            <v>CN/PSE</v>
          </cell>
          <cell r="C435" t="str">
            <v>G</v>
          </cell>
          <cell r="D435" t="str">
            <v>51G</v>
          </cell>
          <cell r="E435" t="str">
            <v>CN/PSE</v>
          </cell>
          <cell r="F435" t="str">
            <v>FC/CN</v>
          </cell>
          <cell r="G435">
            <v>15</v>
          </cell>
          <cell r="H435" t="str">
            <v>Déplacements en Guinée</v>
          </cell>
          <cell r="I435" t="str">
            <v>CN/PSE</v>
          </cell>
          <cell r="K435" t="str">
            <v>FC/PSE</v>
          </cell>
          <cell r="L435" t="str">
            <v>AUT</v>
          </cell>
          <cell r="M435">
            <v>6</v>
          </cell>
          <cell r="N435">
            <v>12</v>
          </cell>
          <cell r="O435">
            <v>12</v>
          </cell>
          <cell r="P435">
            <v>30</v>
          </cell>
          <cell r="Q435" t="str">
            <v>mois</v>
          </cell>
          <cell r="S435">
            <v>4924</v>
          </cell>
          <cell r="T435">
            <v>1</v>
          </cell>
          <cell r="U435">
            <v>29544</v>
          </cell>
          <cell r="V435">
            <v>59088</v>
          </cell>
          <cell r="W435">
            <v>59088</v>
          </cell>
          <cell r="X435">
            <v>147720</v>
          </cell>
          <cell r="Y435">
            <v>29544</v>
          </cell>
          <cell r="Z435">
            <v>59088</v>
          </cell>
          <cell r="AA435">
            <v>59088</v>
          </cell>
          <cell r="AB435">
            <v>147720</v>
          </cell>
          <cell r="AC435">
            <v>0</v>
          </cell>
          <cell r="AD435">
            <v>0</v>
          </cell>
          <cell r="AE435">
            <v>0</v>
          </cell>
          <cell r="AF435">
            <v>0</v>
          </cell>
          <cell r="AG435">
            <v>0</v>
          </cell>
          <cell r="AH435">
            <v>0</v>
          </cell>
        </row>
        <row r="436">
          <cell r="B436" t="str">
            <v>CN/PSE</v>
          </cell>
          <cell r="C436" t="str">
            <v>G</v>
          </cell>
          <cell r="D436" t="str">
            <v>51G</v>
          </cell>
          <cell r="E436" t="str">
            <v>CN/PSE</v>
          </cell>
          <cell r="F436" t="str">
            <v>FC/CN</v>
          </cell>
          <cell r="G436">
            <v>15</v>
          </cell>
          <cell r="H436" t="str">
            <v>Missions à l'étranger</v>
          </cell>
          <cell r="I436" t="str">
            <v>CN/PSE</v>
          </cell>
          <cell r="K436" t="str">
            <v>FC/PSE</v>
          </cell>
          <cell r="L436" t="str">
            <v>AUT</v>
          </cell>
          <cell r="M436">
            <v>1</v>
          </cell>
          <cell r="N436">
            <v>1</v>
          </cell>
          <cell r="O436">
            <v>1</v>
          </cell>
          <cell r="P436">
            <v>3</v>
          </cell>
          <cell r="Q436" t="str">
            <v>forfait</v>
          </cell>
          <cell r="S436">
            <v>393920.00000000006</v>
          </cell>
          <cell r="T436">
            <v>1</v>
          </cell>
          <cell r="U436">
            <v>393920.00000000006</v>
          </cell>
          <cell r="V436">
            <v>393920.00000000006</v>
          </cell>
          <cell r="W436">
            <v>393920.00000000006</v>
          </cell>
          <cell r="X436">
            <v>1181760.0000000002</v>
          </cell>
          <cell r="Y436">
            <v>393920.00000000006</v>
          </cell>
          <cell r="Z436">
            <v>393920.00000000006</v>
          </cell>
          <cell r="AA436">
            <v>393920.00000000006</v>
          </cell>
          <cell r="AB436">
            <v>1181760.0000000002</v>
          </cell>
          <cell r="AC436">
            <v>0</v>
          </cell>
          <cell r="AD436">
            <v>0</v>
          </cell>
          <cell r="AE436">
            <v>0</v>
          </cell>
          <cell r="AF436">
            <v>0</v>
          </cell>
          <cell r="AG436">
            <v>0</v>
          </cell>
          <cell r="AH436">
            <v>0</v>
          </cell>
        </row>
        <row r="437">
          <cell r="B437" t="str">
            <v>CN/PSE</v>
          </cell>
          <cell r="C437" t="str">
            <v>G</v>
          </cell>
          <cell r="D437" t="str">
            <v>51G</v>
          </cell>
          <cell r="E437" t="str">
            <v>CN/PSE</v>
          </cell>
          <cell r="F437" t="str">
            <v>FC/CN</v>
          </cell>
          <cell r="G437">
            <v>15</v>
          </cell>
          <cell r="H437" t="str">
            <v>Audit des comptes du FC-PSE</v>
          </cell>
          <cell r="I437" t="str">
            <v>CN/PSE</v>
          </cell>
          <cell r="K437" t="str">
            <v>FC/PSE</v>
          </cell>
          <cell r="L437" t="str">
            <v>CR</v>
          </cell>
          <cell r="M437">
            <v>2</v>
          </cell>
          <cell r="N437">
            <v>4</v>
          </cell>
          <cell r="O437">
            <v>4</v>
          </cell>
          <cell r="P437">
            <v>10</v>
          </cell>
          <cell r="Q437" t="str">
            <v>pxm</v>
          </cell>
          <cell r="R437" t="str">
            <v>cic</v>
          </cell>
          <cell r="S437">
            <v>88632</v>
          </cell>
          <cell r="T437">
            <v>1</v>
          </cell>
          <cell r="U437">
            <v>177264</v>
          </cell>
          <cell r="V437">
            <v>354528</v>
          </cell>
          <cell r="W437">
            <v>354528</v>
          </cell>
          <cell r="X437">
            <v>886320</v>
          </cell>
          <cell r="Y437">
            <v>177264</v>
          </cell>
          <cell r="Z437">
            <v>354528</v>
          </cell>
          <cell r="AA437">
            <v>354528</v>
          </cell>
          <cell r="AB437">
            <v>886320</v>
          </cell>
          <cell r="AC437">
            <v>0</v>
          </cell>
          <cell r="AD437">
            <v>0</v>
          </cell>
          <cell r="AE437">
            <v>0</v>
          </cell>
          <cell r="AF437">
            <v>0</v>
          </cell>
          <cell r="AG437">
            <v>0</v>
          </cell>
          <cell r="AH437">
            <v>0</v>
          </cell>
        </row>
        <row r="438">
          <cell r="B438" t="str">
            <v>CN/PSE</v>
          </cell>
          <cell r="C438" t="str">
            <v>G</v>
          </cell>
          <cell r="D438" t="str">
            <v>51G</v>
          </cell>
          <cell r="E438" t="str">
            <v>CN/PSE</v>
          </cell>
          <cell r="F438" t="str">
            <v>FC/CN</v>
          </cell>
          <cell r="G438">
            <v>15</v>
          </cell>
          <cell r="H438" t="str">
            <v>Audit technique de la passation des marchés</v>
          </cell>
          <cell r="I438" t="str">
            <v>CN/PSE</v>
          </cell>
          <cell r="K438" t="str">
            <v>FC/PSE</v>
          </cell>
          <cell r="L438" t="str">
            <v>CR</v>
          </cell>
          <cell r="M438">
            <v>1</v>
          </cell>
          <cell r="N438">
            <v>2</v>
          </cell>
          <cell r="O438">
            <v>2</v>
          </cell>
          <cell r="P438">
            <v>5</v>
          </cell>
          <cell r="Q438" t="str">
            <v>pxm</v>
          </cell>
          <cell r="R438" t="str">
            <v>cic</v>
          </cell>
          <cell r="S438">
            <v>88632</v>
          </cell>
          <cell r="T438">
            <v>1</v>
          </cell>
          <cell r="U438">
            <v>88632</v>
          </cell>
          <cell r="V438">
            <v>177264</v>
          </cell>
          <cell r="W438">
            <v>177264</v>
          </cell>
          <cell r="X438">
            <v>443160</v>
          </cell>
          <cell r="Y438">
            <v>88632</v>
          </cell>
          <cell r="Z438">
            <v>177264</v>
          </cell>
          <cell r="AA438">
            <v>177264</v>
          </cell>
          <cell r="AB438">
            <v>443160</v>
          </cell>
          <cell r="AC438">
            <v>0</v>
          </cell>
          <cell r="AD438">
            <v>0</v>
          </cell>
          <cell r="AE438">
            <v>0</v>
          </cell>
          <cell r="AF438">
            <v>0</v>
          </cell>
          <cell r="AG438">
            <v>0</v>
          </cell>
          <cell r="AH438">
            <v>0</v>
          </cell>
        </row>
        <row r="439">
          <cell r="B439" t="str">
            <v>CN/PSE</v>
          </cell>
          <cell r="C439" t="str">
            <v>G</v>
          </cell>
          <cell r="D439" t="str">
            <v>51G</v>
          </cell>
          <cell r="E439" t="str">
            <v>CN/PSE</v>
          </cell>
          <cell r="F439" t="str">
            <v>FC/CN</v>
          </cell>
          <cell r="G439">
            <v>25</v>
          </cell>
          <cell r="H439" t="str">
            <v>Spécialistes en programmation et gestion budgétaire</v>
          </cell>
          <cell r="I439" t="str">
            <v>CN/PSE</v>
          </cell>
          <cell r="K439" t="str">
            <v>FC/PSE</v>
          </cell>
          <cell r="L439" t="str">
            <v>CR</v>
          </cell>
          <cell r="M439">
            <v>6</v>
          </cell>
          <cell r="N439">
            <v>6</v>
          </cell>
          <cell r="O439">
            <v>6</v>
          </cell>
          <cell r="P439">
            <v>18</v>
          </cell>
          <cell r="Q439" t="str">
            <v>pxm</v>
          </cell>
          <cell r="R439" t="str">
            <v>cic</v>
          </cell>
          <cell r="S439">
            <v>88632</v>
          </cell>
          <cell r="T439">
            <v>1</v>
          </cell>
          <cell r="U439">
            <v>531792</v>
          </cell>
          <cell r="V439">
            <v>531792</v>
          </cell>
          <cell r="W439">
            <v>531792</v>
          </cell>
          <cell r="X439">
            <v>1595376</v>
          </cell>
          <cell r="Y439">
            <v>531792</v>
          </cell>
          <cell r="Z439">
            <v>531792</v>
          </cell>
          <cell r="AA439">
            <v>531792</v>
          </cell>
          <cell r="AB439">
            <v>1595376</v>
          </cell>
          <cell r="AC439">
            <v>0</v>
          </cell>
          <cell r="AD439">
            <v>0</v>
          </cell>
          <cell r="AE439">
            <v>0</v>
          </cell>
          <cell r="AF439">
            <v>0</v>
          </cell>
          <cell r="AG439">
            <v>0</v>
          </cell>
          <cell r="AH439">
            <v>0</v>
          </cell>
        </row>
        <row r="440">
          <cell r="B440" t="str">
            <v>CN/PSE</v>
          </cell>
          <cell r="C440" t="str">
            <v>G</v>
          </cell>
          <cell r="D440" t="str">
            <v>51G</v>
          </cell>
          <cell r="E440" t="str">
            <v>CN/PSE</v>
          </cell>
          <cell r="F440" t="str">
            <v>FC/CN</v>
          </cell>
          <cell r="G440">
            <v>25</v>
          </cell>
          <cell r="H440" t="str">
            <v>Spécialistes et études en suivi-évaluation</v>
          </cell>
          <cell r="I440" t="str">
            <v>CN/PSE</v>
          </cell>
          <cell r="K440" t="str">
            <v>FC/PSE</v>
          </cell>
          <cell r="L440" t="str">
            <v>CR</v>
          </cell>
          <cell r="M440">
            <v>2</v>
          </cell>
          <cell r="N440">
            <v>2</v>
          </cell>
          <cell r="O440">
            <v>2</v>
          </cell>
          <cell r="P440">
            <v>6</v>
          </cell>
          <cell r="Q440" t="str">
            <v>pxm</v>
          </cell>
          <cell r="R440" t="str">
            <v>cic</v>
          </cell>
          <cell r="S440">
            <v>88632</v>
          </cell>
          <cell r="T440">
            <v>1</v>
          </cell>
          <cell r="U440">
            <v>177264</v>
          </cell>
          <cell r="V440">
            <v>177264</v>
          </cell>
          <cell r="W440">
            <v>177264</v>
          </cell>
          <cell r="X440">
            <v>531792</v>
          </cell>
          <cell r="Y440">
            <v>177264</v>
          </cell>
          <cell r="Z440">
            <v>177264</v>
          </cell>
          <cell r="AA440">
            <v>177264</v>
          </cell>
          <cell r="AB440">
            <v>531792</v>
          </cell>
          <cell r="AC440">
            <v>0</v>
          </cell>
          <cell r="AD440">
            <v>0</v>
          </cell>
          <cell r="AE440">
            <v>0</v>
          </cell>
          <cell r="AF440">
            <v>0</v>
          </cell>
          <cell r="AG440">
            <v>0</v>
          </cell>
          <cell r="AH440">
            <v>0</v>
          </cell>
        </row>
        <row r="441">
          <cell r="B441" t="str">
            <v>CN/PSE</v>
          </cell>
          <cell r="C441" t="str">
            <v>G</v>
          </cell>
          <cell r="D441" t="str">
            <v>51G</v>
          </cell>
          <cell r="E441" t="str">
            <v>CN/PSE</v>
          </cell>
          <cell r="F441" t="str">
            <v>FC/CN</v>
          </cell>
          <cell r="G441">
            <v>12</v>
          </cell>
          <cell r="H441" t="str">
            <v>Formation personnel CN/PSE</v>
          </cell>
          <cell r="I441" t="str">
            <v>CN/PSE</v>
          </cell>
          <cell r="K441" t="str">
            <v>FC/PSE</v>
          </cell>
          <cell r="L441" t="str">
            <v>CR</v>
          </cell>
          <cell r="M441">
            <v>1</v>
          </cell>
          <cell r="P441">
            <v>1</v>
          </cell>
          <cell r="Q441" t="str">
            <v>forfait</v>
          </cell>
          <cell r="S441">
            <v>590880</v>
          </cell>
          <cell r="T441">
            <v>1</v>
          </cell>
          <cell r="U441">
            <v>590880</v>
          </cell>
          <cell r="V441">
            <v>0</v>
          </cell>
          <cell r="W441">
            <v>0</v>
          </cell>
          <cell r="X441">
            <v>590880</v>
          </cell>
          <cell r="Y441">
            <v>590880</v>
          </cell>
          <cell r="Z441">
            <v>0</v>
          </cell>
          <cell r="AA441">
            <v>0</v>
          </cell>
          <cell r="AB441">
            <v>590880</v>
          </cell>
          <cell r="AC441">
            <v>0</v>
          </cell>
          <cell r="AD441">
            <v>0</v>
          </cell>
          <cell r="AE441">
            <v>0</v>
          </cell>
          <cell r="AF441">
            <v>0</v>
          </cell>
          <cell r="AG441">
            <v>0</v>
          </cell>
          <cell r="AH441">
            <v>0</v>
          </cell>
        </row>
        <row r="442">
          <cell r="B442" t="str">
            <v>CN/PSE</v>
          </cell>
          <cell r="C442" t="str">
            <v>G</v>
          </cell>
          <cell r="D442" t="str">
            <v>51G</v>
          </cell>
          <cell r="E442" t="str">
            <v>CN/PSE</v>
          </cell>
          <cell r="F442" t="str">
            <v>FC/CN</v>
          </cell>
          <cell r="G442">
            <v>12</v>
          </cell>
          <cell r="H442" t="str">
            <v>Formation sur place en gestion de programme : 15p x 10j</v>
          </cell>
          <cell r="I442" t="str">
            <v>CN/PSE</v>
          </cell>
          <cell r="K442" t="str">
            <v>FC/PSE</v>
          </cell>
          <cell r="L442" t="str">
            <v>AUT</v>
          </cell>
          <cell r="M442">
            <v>30</v>
          </cell>
          <cell r="P442">
            <v>30</v>
          </cell>
          <cell r="Q442" t="str">
            <v>pxsem</v>
          </cell>
          <cell r="R442" t="str">
            <v>fbu</v>
          </cell>
          <cell r="S442">
            <v>1000</v>
          </cell>
          <cell r="T442">
            <v>1</v>
          </cell>
          <cell r="U442">
            <v>30000</v>
          </cell>
          <cell r="V442">
            <v>0</v>
          </cell>
          <cell r="W442">
            <v>0</v>
          </cell>
          <cell r="X442">
            <v>30000</v>
          </cell>
          <cell r="Y442">
            <v>30000</v>
          </cell>
          <cell r="Z442">
            <v>0</v>
          </cell>
          <cell r="AA442">
            <v>0</v>
          </cell>
          <cell r="AB442">
            <v>30000</v>
          </cell>
          <cell r="AC442">
            <v>0</v>
          </cell>
          <cell r="AD442">
            <v>0</v>
          </cell>
          <cell r="AE442">
            <v>0</v>
          </cell>
          <cell r="AF442">
            <v>0</v>
          </cell>
          <cell r="AG442">
            <v>0</v>
          </cell>
          <cell r="AH442">
            <v>0</v>
          </cell>
        </row>
        <row r="443">
          <cell r="B443" t="str">
            <v>CN/PSE</v>
          </cell>
          <cell r="C443" t="str">
            <v>G</v>
          </cell>
          <cell r="D443" t="str">
            <v>51G</v>
          </cell>
          <cell r="E443" t="str">
            <v>CN/PSE</v>
          </cell>
          <cell r="F443" t="str">
            <v>FC/CN</v>
          </cell>
          <cell r="G443">
            <v>25</v>
          </cell>
          <cell r="H443" t="str">
            <v>Spécialiste formation en gestion de programme</v>
          </cell>
          <cell r="I443" t="str">
            <v>CN/PSE</v>
          </cell>
          <cell r="K443" t="str">
            <v>FC/PSE</v>
          </cell>
          <cell r="L443" t="str">
            <v>CR</v>
          </cell>
          <cell r="M443">
            <v>0.5</v>
          </cell>
          <cell r="P443">
            <v>0.5</v>
          </cell>
          <cell r="Q443" t="str">
            <v>pxm</v>
          </cell>
          <cell r="R443" t="str">
            <v>cic</v>
          </cell>
          <cell r="S443">
            <v>88632</v>
          </cell>
          <cell r="T443">
            <v>1</v>
          </cell>
          <cell r="U443">
            <v>44316</v>
          </cell>
          <cell r="V443">
            <v>0</v>
          </cell>
          <cell r="W443">
            <v>0</v>
          </cell>
          <cell r="X443">
            <v>44316</v>
          </cell>
          <cell r="Y443">
            <v>44316</v>
          </cell>
          <cell r="Z443">
            <v>0</v>
          </cell>
          <cell r="AA443">
            <v>0</v>
          </cell>
          <cell r="AB443">
            <v>44316</v>
          </cell>
          <cell r="AC443">
            <v>0</v>
          </cell>
          <cell r="AD443">
            <v>0</v>
          </cell>
          <cell r="AE443">
            <v>0</v>
          </cell>
          <cell r="AF443">
            <v>0</v>
          </cell>
          <cell r="AG443">
            <v>0</v>
          </cell>
          <cell r="AH443">
            <v>0</v>
          </cell>
        </row>
        <row r="444">
          <cell r="B444" t="str">
            <v>CN/PSE</v>
          </cell>
          <cell r="C444" t="str">
            <v>G</v>
          </cell>
          <cell r="D444" t="str">
            <v>51G</v>
          </cell>
          <cell r="E444" t="str">
            <v>CN/PSE</v>
          </cell>
          <cell r="F444" t="str">
            <v>FC/CN</v>
          </cell>
          <cell r="G444">
            <v>12</v>
          </cell>
          <cell r="H444" t="str">
            <v>Formation à l'extérieur en gestion de programme : 5p x 10j</v>
          </cell>
          <cell r="I444" t="str">
            <v>CN/PSE</v>
          </cell>
          <cell r="K444" t="str">
            <v>FC/PSE</v>
          </cell>
          <cell r="L444" t="str">
            <v>CR</v>
          </cell>
          <cell r="M444">
            <v>5</v>
          </cell>
          <cell r="P444">
            <v>5</v>
          </cell>
          <cell r="Q444" t="str">
            <v>voy</v>
          </cell>
          <cell r="R444" t="str">
            <v>vaf</v>
          </cell>
          <cell r="S444">
            <v>13294.800000000001</v>
          </cell>
          <cell r="T444">
            <v>1</v>
          </cell>
          <cell r="U444">
            <v>66474</v>
          </cell>
          <cell r="V444">
            <v>0</v>
          </cell>
          <cell r="W444">
            <v>0</v>
          </cell>
          <cell r="X444">
            <v>66474</v>
          </cell>
          <cell r="Y444">
            <v>66474</v>
          </cell>
          <cell r="Z444">
            <v>0</v>
          </cell>
          <cell r="AA444">
            <v>0</v>
          </cell>
          <cell r="AB444">
            <v>66474</v>
          </cell>
          <cell r="AC444">
            <v>0</v>
          </cell>
          <cell r="AD444">
            <v>0</v>
          </cell>
          <cell r="AE444">
            <v>0</v>
          </cell>
          <cell r="AF444">
            <v>0</v>
          </cell>
          <cell r="AG444">
            <v>0</v>
          </cell>
          <cell r="AH444">
            <v>0</v>
          </cell>
        </row>
        <row r="445">
          <cell r="H445" t="str">
            <v>GESTION DECONCENTREE</v>
          </cell>
          <cell r="U445">
            <v>7323642.7200000007</v>
          </cell>
          <cell r="V445">
            <v>8122308</v>
          </cell>
          <cell r="W445">
            <v>8113444.8000000007</v>
          </cell>
          <cell r="X445">
            <v>23559395.520000003</v>
          </cell>
          <cell r="Y445">
            <v>7323642.7200000007</v>
          </cell>
          <cell r="Z445">
            <v>8122308</v>
          </cell>
          <cell r="AA445">
            <v>8113444.8000000007</v>
          </cell>
          <cell r="AB445">
            <v>23559395.520000003</v>
          </cell>
          <cell r="AC445">
            <v>0</v>
          </cell>
          <cell r="AD445">
            <v>0</v>
          </cell>
          <cell r="AE445">
            <v>0</v>
          </cell>
          <cell r="AF445">
            <v>0</v>
          </cell>
          <cell r="AH445">
            <v>0</v>
          </cell>
        </row>
        <row r="446">
          <cell r="H446" t="str">
            <v>Etudes travaux et équipements structures d'administration</v>
          </cell>
          <cell r="U446">
            <v>374500</v>
          </cell>
          <cell r="V446">
            <v>0</v>
          </cell>
          <cell r="W446">
            <v>0</v>
          </cell>
          <cell r="X446">
            <v>374500</v>
          </cell>
          <cell r="Y446">
            <v>374500</v>
          </cell>
          <cell r="Z446">
            <v>0</v>
          </cell>
          <cell r="AA446">
            <v>0</v>
          </cell>
          <cell r="AB446">
            <v>374500</v>
          </cell>
          <cell r="AC446">
            <v>0</v>
          </cell>
          <cell r="AD446">
            <v>0</v>
          </cell>
          <cell r="AE446">
            <v>0</v>
          </cell>
          <cell r="AF446">
            <v>0</v>
          </cell>
          <cell r="AH446">
            <v>0</v>
          </cell>
        </row>
        <row r="447">
          <cell r="B447" t="str">
            <v>CN/PSE</v>
          </cell>
          <cell r="C447" t="str">
            <v>G</v>
          </cell>
          <cell r="D447" t="str">
            <v>52A</v>
          </cell>
          <cell r="E447" t="str">
            <v>IRE/</v>
          </cell>
          <cell r="F447" t="str">
            <v>FC/CN</v>
          </cell>
          <cell r="G447">
            <v>21</v>
          </cell>
          <cell r="H447" t="str">
            <v>BET pour les réhabilitation IRE</v>
          </cell>
          <cell r="I447" t="str">
            <v>SNIES</v>
          </cell>
          <cell r="K447" t="str">
            <v>FC/PSE</v>
          </cell>
          <cell r="L447" t="str">
            <v>CR</v>
          </cell>
          <cell r="M447">
            <v>1</v>
          </cell>
          <cell r="P447">
            <v>1</v>
          </cell>
          <cell r="Q447" t="str">
            <v>forfait</v>
          </cell>
          <cell r="R447" t="str">
            <v>travaux</v>
          </cell>
          <cell r="S447">
            <v>7.0000000000000007E-2</v>
          </cell>
          <cell r="T447">
            <v>1</v>
          </cell>
          <cell r="U447">
            <v>3500.0000000000005</v>
          </cell>
          <cell r="V447">
            <v>0</v>
          </cell>
          <cell r="W447">
            <v>0</v>
          </cell>
          <cell r="X447">
            <v>3500.0000000000005</v>
          </cell>
          <cell r="Y447">
            <v>3500.0000000000005</v>
          </cell>
          <cell r="Z447">
            <v>0</v>
          </cell>
          <cell r="AA447">
            <v>0</v>
          </cell>
          <cell r="AB447">
            <v>3500.0000000000005</v>
          </cell>
          <cell r="AC447">
            <v>0</v>
          </cell>
          <cell r="AD447">
            <v>0</v>
          </cell>
          <cell r="AE447">
            <v>0</v>
          </cell>
          <cell r="AF447">
            <v>0</v>
          </cell>
          <cell r="AG447">
            <v>0</v>
          </cell>
          <cell r="AH447">
            <v>0</v>
          </cell>
        </row>
        <row r="448">
          <cell r="B448" t="str">
            <v>CN/PSE</v>
          </cell>
          <cell r="C448" t="str">
            <v>G</v>
          </cell>
          <cell r="D448" t="str">
            <v>52A</v>
          </cell>
          <cell r="E448" t="str">
            <v>IRE/</v>
          </cell>
          <cell r="F448" t="str">
            <v>FC/CN</v>
          </cell>
          <cell r="G448">
            <v>22</v>
          </cell>
          <cell r="H448" t="str">
            <v>Travaux de génie civil d'urgence IRE</v>
          </cell>
          <cell r="I448" t="str">
            <v>SNIES</v>
          </cell>
          <cell r="K448" t="str">
            <v>FC/PSE</v>
          </cell>
          <cell r="L448" t="str">
            <v>COT</v>
          </cell>
          <cell r="M448">
            <v>1</v>
          </cell>
          <cell r="P448">
            <v>1</v>
          </cell>
          <cell r="Q448" t="str">
            <v>forfait</v>
          </cell>
          <cell r="S448">
            <v>50000</v>
          </cell>
          <cell r="T448">
            <v>1</v>
          </cell>
          <cell r="U448">
            <v>50000</v>
          </cell>
          <cell r="V448">
            <v>0</v>
          </cell>
          <cell r="W448">
            <v>0</v>
          </cell>
          <cell r="X448">
            <v>50000</v>
          </cell>
          <cell r="Y448">
            <v>50000</v>
          </cell>
          <cell r="Z448">
            <v>0</v>
          </cell>
          <cell r="AA448">
            <v>0</v>
          </cell>
          <cell r="AB448">
            <v>50000</v>
          </cell>
          <cell r="AC448">
            <v>0</v>
          </cell>
          <cell r="AD448">
            <v>0</v>
          </cell>
          <cell r="AE448">
            <v>0</v>
          </cell>
          <cell r="AF448">
            <v>0</v>
          </cell>
          <cell r="AG448">
            <v>0</v>
          </cell>
          <cell r="AH448">
            <v>0</v>
          </cell>
        </row>
        <row r="449">
          <cell r="B449" t="str">
            <v>CN/PSE</v>
          </cell>
          <cell r="C449" t="str">
            <v>G</v>
          </cell>
          <cell r="D449" t="str">
            <v>52A</v>
          </cell>
          <cell r="E449" t="str">
            <v>DPE/</v>
          </cell>
          <cell r="F449" t="str">
            <v>FC/CN</v>
          </cell>
          <cell r="G449">
            <v>21</v>
          </cell>
          <cell r="H449" t="str">
            <v>BET pour les réhabilitation DPE</v>
          </cell>
          <cell r="I449" t="str">
            <v>SNIES</v>
          </cell>
          <cell r="K449" t="str">
            <v>FC/PSE</v>
          </cell>
          <cell r="L449" t="str">
            <v>CR</v>
          </cell>
          <cell r="M449">
            <v>1</v>
          </cell>
          <cell r="P449">
            <v>1</v>
          </cell>
          <cell r="Q449" t="str">
            <v>forfait</v>
          </cell>
          <cell r="R449" t="str">
            <v>travaux</v>
          </cell>
          <cell r="S449">
            <v>7.0000000000000007E-2</v>
          </cell>
          <cell r="T449">
            <v>1</v>
          </cell>
          <cell r="U449">
            <v>21000.000000000004</v>
          </cell>
          <cell r="V449">
            <v>0</v>
          </cell>
          <cell r="W449">
            <v>0</v>
          </cell>
          <cell r="X449">
            <v>21000.000000000004</v>
          </cell>
          <cell r="Y449">
            <v>21000.000000000004</v>
          </cell>
          <cell r="Z449">
            <v>0</v>
          </cell>
          <cell r="AA449">
            <v>0</v>
          </cell>
          <cell r="AB449">
            <v>21000.000000000004</v>
          </cell>
          <cell r="AC449">
            <v>0</v>
          </cell>
          <cell r="AD449">
            <v>0</v>
          </cell>
          <cell r="AE449">
            <v>0</v>
          </cell>
          <cell r="AF449">
            <v>0</v>
          </cell>
          <cell r="AG449">
            <v>0</v>
          </cell>
          <cell r="AH449">
            <v>0</v>
          </cell>
        </row>
        <row r="450">
          <cell r="B450" t="str">
            <v>CN/PSE</v>
          </cell>
          <cell r="C450" t="str">
            <v>G</v>
          </cell>
          <cell r="D450" t="str">
            <v>52A</v>
          </cell>
          <cell r="E450" t="str">
            <v>DPE/</v>
          </cell>
          <cell r="F450" t="str">
            <v>FC/CN</v>
          </cell>
          <cell r="G450">
            <v>22</v>
          </cell>
          <cell r="H450" t="str">
            <v>Travaux de génie civil d'urgence DPE</v>
          </cell>
          <cell r="I450" t="str">
            <v>SNIES</v>
          </cell>
          <cell r="K450" t="str">
            <v>FC/PSE</v>
          </cell>
          <cell r="L450" t="str">
            <v>COT</v>
          </cell>
          <cell r="M450">
            <v>6</v>
          </cell>
          <cell r="P450">
            <v>6</v>
          </cell>
          <cell r="Q450" t="str">
            <v>forfait</v>
          </cell>
          <cell r="S450">
            <v>50000</v>
          </cell>
          <cell r="T450">
            <v>1</v>
          </cell>
          <cell r="U450">
            <v>300000</v>
          </cell>
          <cell r="V450">
            <v>0</v>
          </cell>
          <cell r="W450">
            <v>0</v>
          </cell>
          <cell r="X450">
            <v>300000</v>
          </cell>
          <cell r="Y450">
            <v>300000</v>
          </cell>
          <cell r="Z450">
            <v>0</v>
          </cell>
          <cell r="AA450">
            <v>0</v>
          </cell>
          <cell r="AB450">
            <v>300000</v>
          </cell>
          <cell r="AC450">
            <v>0</v>
          </cell>
          <cell r="AD450">
            <v>0</v>
          </cell>
          <cell r="AE450">
            <v>0</v>
          </cell>
          <cell r="AF450">
            <v>0</v>
          </cell>
          <cell r="AG450">
            <v>0</v>
          </cell>
          <cell r="AH450">
            <v>0</v>
          </cell>
        </row>
        <row r="451">
          <cell r="H451" t="str">
            <v>Appuis aux IRE</v>
          </cell>
          <cell r="U451">
            <v>145750.40000000002</v>
          </cell>
          <cell r="V451">
            <v>1718176</v>
          </cell>
          <cell r="W451">
            <v>1718176</v>
          </cell>
          <cell r="X451">
            <v>3582102.4</v>
          </cell>
          <cell r="Y451">
            <v>145750.40000000002</v>
          </cell>
          <cell r="Z451">
            <v>1718176</v>
          </cell>
          <cell r="AA451">
            <v>1718176</v>
          </cell>
          <cell r="AB451">
            <v>3582102.4</v>
          </cell>
          <cell r="AC451">
            <v>0</v>
          </cell>
          <cell r="AD451">
            <v>0</v>
          </cell>
          <cell r="AE451">
            <v>0</v>
          </cell>
          <cell r="AF451">
            <v>0</v>
          </cell>
          <cell r="AH451">
            <v>0</v>
          </cell>
        </row>
        <row r="452">
          <cell r="B452" t="str">
            <v>CN/PSE</v>
          </cell>
          <cell r="C452" t="str">
            <v>G</v>
          </cell>
          <cell r="D452" t="str">
            <v>52B</v>
          </cell>
          <cell r="E452" t="str">
            <v>IRE/</v>
          </cell>
          <cell r="F452" t="str">
            <v>FC/</v>
          </cell>
          <cell r="G452">
            <v>15</v>
          </cell>
          <cell r="H452" t="str">
            <v>Provision pour PTAB  8 IRE</v>
          </cell>
          <cell r="I452" t="str">
            <v>IRE/</v>
          </cell>
          <cell r="K452" t="str">
            <v>FC/PSE</v>
          </cell>
          <cell r="L452" t="str">
            <v>AUT</v>
          </cell>
          <cell r="N452">
            <v>8</v>
          </cell>
          <cell r="O452">
            <v>8</v>
          </cell>
          <cell r="P452">
            <v>16</v>
          </cell>
          <cell r="Q452" t="str">
            <v>forfait</v>
          </cell>
          <cell r="S452">
            <v>200000</v>
          </cell>
          <cell r="T452">
            <v>1</v>
          </cell>
          <cell r="U452">
            <v>0</v>
          </cell>
          <cell r="V452">
            <v>1600000</v>
          </cell>
          <cell r="W452">
            <v>1600000</v>
          </cell>
          <cell r="X452">
            <v>3200000</v>
          </cell>
          <cell r="Y452">
            <v>0</v>
          </cell>
          <cell r="Z452">
            <v>1600000</v>
          </cell>
          <cell r="AA452">
            <v>1600000</v>
          </cell>
          <cell r="AB452">
            <v>3200000</v>
          </cell>
          <cell r="AC452">
            <v>0</v>
          </cell>
          <cell r="AD452">
            <v>0</v>
          </cell>
          <cell r="AE452">
            <v>0</v>
          </cell>
          <cell r="AF452">
            <v>0</v>
          </cell>
          <cell r="AG452">
            <v>0</v>
          </cell>
          <cell r="AH452">
            <v>0</v>
          </cell>
        </row>
        <row r="453">
          <cell r="B453" t="str">
            <v>CN/PSE</v>
          </cell>
          <cell r="C453" t="str">
            <v>G</v>
          </cell>
          <cell r="D453" t="str">
            <v>52B</v>
          </cell>
          <cell r="E453" t="str">
            <v>IRE/</v>
          </cell>
          <cell r="F453" t="str">
            <v>FC/</v>
          </cell>
          <cell r="G453">
            <v>12</v>
          </cell>
          <cell r="H453" t="str">
            <v>Formation cadres régionaux aux procédures du PSE et PAAB (PPDE) : 4p x 8 IRE x 2j</v>
          </cell>
          <cell r="I453" t="str">
            <v>IRE/</v>
          </cell>
          <cell r="K453" t="str">
            <v>FC/PSE</v>
          </cell>
          <cell r="L453" t="str">
            <v>AUT</v>
          </cell>
          <cell r="M453">
            <v>64</v>
          </cell>
          <cell r="P453">
            <v>64</v>
          </cell>
          <cell r="Q453" t="str">
            <v>pxj</v>
          </cell>
          <cell r="R453" t="str">
            <v>asr</v>
          </cell>
          <cell r="S453">
            <v>123.10000000000001</v>
          </cell>
          <cell r="T453">
            <v>1</v>
          </cell>
          <cell r="U453">
            <v>7878.4000000000005</v>
          </cell>
          <cell r="V453">
            <v>0</v>
          </cell>
          <cell r="W453">
            <v>0</v>
          </cell>
          <cell r="X453">
            <v>7878.4000000000005</v>
          </cell>
          <cell r="Y453">
            <v>7878.4000000000005</v>
          </cell>
          <cell r="Z453">
            <v>0</v>
          </cell>
          <cell r="AA453">
            <v>0</v>
          </cell>
          <cell r="AB453">
            <v>7878.4000000000005</v>
          </cell>
          <cell r="AC453">
            <v>0</v>
          </cell>
          <cell r="AD453">
            <v>0</v>
          </cell>
          <cell r="AE453">
            <v>0</v>
          </cell>
          <cell r="AF453">
            <v>0</v>
          </cell>
          <cell r="AG453">
            <v>0</v>
          </cell>
          <cell r="AH453">
            <v>0</v>
          </cell>
        </row>
        <row r="454">
          <cell r="B454" t="str">
            <v>CN/PSE</v>
          </cell>
          <cell r="C454" t="str">
            <v>G</v>
          </cell>
          <cell r="D454" t="str">
            <v>52B</v>
          </cell>
          <cell r="E454" t="str">
            <v>IRE/</v>
          </cell>
          <cell r="F454" t="str">
            <v>FC/</v>
          </cell>
          <cell r="G454">
            <v>15</v>
          </cell>
          <cell r="H454" t="str">
            <v>At rég coord stratég/opérat y compr élab et suivi des PAAB  : 15p x 8reg x2j x 1at/trim</v>
          </cell>
          <cell r="I454" t="str">
            <v>IRE/</v>
          </cell>
          <cell r="K454" t="str">
            <v>FC/PSE</v>
          </cell>
          <cell r="L454" t="str">
            <v>AUT</v>
          </cell>
          <cell r="M454">
            <v>480</v>
          </cell>
          <cell r="N454">
            <v>960</v>
          </cell>
          <cell r="O454">
            <v>960</v>
          </cell>
          <cell r="P454">
            <v>2400</v>
          </cell>
          <cell r="Q454" t="str">
            <v>pxj</v>
          </cell>
          <cell r="R454" t="str">
            <v>asr</v>
          </cell>
          <cell r="S454">
            <v>123.10000000000001</v>
          </cell>
          <cell r="T454">
            <v>1</v>
          </cell>
          <cell r="U454">
            <v>59088.000000000007</v>
          </cell>
          <cell r="V454">
            <v>118176.00000000001</v>
          </cell>
          <cell r="W454">
            <v>118176.00000000001</v>
          </cell>
          <cell r="X454">
            <v>295440.00000000006</v>
          </cell>
          <cell r="Y454">
            <v>59088.000000000007</v>
          </cell>
          <cell r="Z454">
            <v>118176.00000000001</v>
          </cell>
          <cell r="AA454">
            <v>118176.00000000001</v>
          </cell>
          <cell r="AB454">
            <v>295440.00000000006</v>
          </cell>
          <cell r="AC454">
            <v>0</v>
          </cell>
          <cell r="AD454">
            <v>0</v>
          </cell>
          <cell r="AE454">
            <v>0</v>
          </cell>
          <cell r="AF454">
            <v>0</v>
          </cell>
          <cell r="AG454">
            <v>0</v>
          </cell>
          <cell r="AH454">
            <v>0</v>
          </cell>
        </row>
        <row r="455">
          <cell r="B455" t="str">
            <v>CN/PSE</v>
          </cell>
          <cell r="C455" t="str">
            <v>G</v>
          </cell>
          <cell r="D455" t="str">
            <v>52B</v>
          </cell>
          <cell r="E455" t="str">
            <v>IRE/</v>
          </cell>
          <cell r="F455" t="str">
            <v>FC/</v>
          </cell>
          <cell r="G455">
            <v>15</v>
          </cell>
          <cell r="H455" t="str">
            <v>At régionaux d'inform et sensib sur PSE et analyse capacités : 40p x 8 reg x 2j</v>
          </cell>
          <cell r="I455" t="str">
            <v>IRE/</v>
          </cell>
          <cell r="K455" t="str">
            <v>FC/PSE</v>
          </cell>
          <cell r="L455" t="str">
            <v>AUT</v>
          </cell>
          <cell r="M455">
            <v>640</v>
          </cell>
          <cell r="P455">
            <v>640</v>
          </cell>
          <cell r="Q455" t="str">
            <v>pxj</v>
          </cell>
          <cell r="R455" t="str">
            <v>asr</v>
          </cell>
          <cell r="S455">
            <v>123.10000000000001</v>
          </cell>
          <cell r="T455">
            <v>1</v>
          </cell>
          <cell r="U455">
            <v>78784</v>
          </cell>
          <cell r="V455">
            <v>0</v>
          </cell>
          <cell r="W455">
            <v>0</v>
          </cell>
          <cell r="X455">
            <v>78784</v>
          </cell>
          <cell r="Y455">
            <v>78784</v>
          </cell>
          <cell r="Z455">
            <v>0</v>
          </cell>
          <cell r="AA455">
            <v>0</v>
          </cell>
          <cell r="AB455">
            <v>78784</v>
          </cell>
          <cell r="AC455">
            <v>0</v>
          </cell>
          <cell r="AD455">
            <v>0</v>
          </cell>
          <cell r="AE455">
            <v>0</v>
          </cell>
          <cell r="AF455">
            <v>0</v>
          </cell>
          <cell r="AG455">
            <v>0</v>
          </cell>
          <cell r="AH455">
            <v>0</v>
          </cell>
        </row>
        <row r="456">
          <cell r="H456" t="str">
            <v>Appuis aux DPE</v>
          </cell>
          <cell r="U456">
            <v>6803392.3200000003</v>
          </cell>
          <cell r="V456">
            <v>6404132</v>
          </cell>
          <cell r="W456">
            <v>6395268.7999999998</v>
          </cell>
          <cell r="X456">
            <v>19602793.120000001</v>
          </cell>
          <cell r="Y456">
            <v>6803392.3200000003</v>
          </cell>
          <cell r="Z456">
            <v>6404132</v>
          </cell>
          <cell r="AA456">
            <v>6395268.7999999998</v>
          </cell>
          <cell r="AB456">
            <v>19602793.120000001</v>
          </cell>
          <cell r="AC456">
            <v>0</v>
          </cell>
          <cell r="AD456">
            <v>0</v>
          </cell>
          <cell r="AE456">
            <v>0</v>
          </cell>
          <cell r="AF456">
            <v>0</v>
          </cell>
          <cell r="AH456">
            <v>0</v>
          </cell>
        </row>
        <row r="457">
          <cell r="B457" t="str">
            <v>CN/PSE</v>
          </cell>
          <cell r="C457" t="str">
            <v>G</v>
          </cell>
          <cell r="D457" t="str">
            <v>52C</v>
          </cell>
          <cell r="E457" t="str">
            <v>DPE/</v>
          </cell>
          <cell r="F457" t="str">
            <v>FC/</v>
          </cell>
          <cell r="G457">
            <v>15</v>
          </cell>
          <cell r="H457" t="str">
            <v>Provision PTAB 38 DPE</v>
          </cell>
          <cell r="I457" t="str">
            <v>DPE/</v>
          </cell>
          <cell r="K457" t="str">
            <v>FC/PSE</v>
          </cell>
          <cell r="L457" t="str">
            <v>AUT</v>
          </cell>
          <cell r="N457">
            <v>38</v>
          </cell>
          <cell r="O457">
            <v>38</v>
          </cell>
          <cell r="P457">
            <v>76</v>
          </cell>
          <cell r="Q457" t="str">
            <v>forfait</v>
          </cell>
          <cell r="S457">
            <v>150000</v>
          </cell>
          <cell r="T457">
            <v>1</v>
          </cell>
          <cell r="U457">
            <v>0</v>
          </cell>
          <cell r="V457">
            <v>5700000</v>
          </cell>
          <cell r="W457">
            <v>5700000</v>
          </cell>
          <cell r="X457">
            <v>11400000</v>
          </cell>
          <cell r="Y457">
            <v>0</v>
          </cell>
          <cell r="Z457">
            <v>5700000</v>
          </cell>
          <cell r="AA457">
            <v>5700000</v>
          </cell>
          <cell r="AB457">
            <v>11400000</v>
          </cell>
          <cell r="AC457">
            <v>0</v>
          </cell>
          <cell r="AD457">
            <v>0</v>
          </cell>
          <cell r="AE457">
            <v>0</v>
          </cell>
          <cell r="AF457">
            <v>0</v>
          </cell>
          <cell r="AG457">
            <v>0</v>
          </cell>
          <cell r="AH457">
            <v>0</v>
          </cell>
        </row>
        <row r="458">
          <cell r="B458" t="str">
            <v>CN/PSE</v>
          </cell>
          <cell r="C458" t="str">
            <v>G</v>
          </cell>
          <cell r="D458" t="str">
            <v>52C</v>
          </cell>
          <cell r="E458" t="str">
            <v>DPE/</v>
          </cell>
          <cell r="F458" t="str">
            <v>FC/</v>
          </cell>
          <cell r="G458">
            <v>12</v>
          </cell>
          <cell r="H458" t="str">
            <v>Formation cadres préfectoraux aux procédures du PSE et PAAB : 4p x 38 DPE x 2j</v>
          </cell>
          <cell r="I458" t="str">
            <v>DPE/</v>
          </cell>
          <cell r="K458" t="str">
            <v>FC/PSE</v>
          </cell>
          <cell r="L458" t="str">
            <v>AUT</v>
          </cell>
          <cell r="M458">
            <v>304</v>
          </cell>
          <cell r="P458">
            <v>304</v>
          </cell>
          <cell r="Q458" t="str">
            <v>pxj</v>
          </cell>
          <cell r="R458" t="str">
            <v>asp</v>
          </cell>
          <cell r="S458">
            <v>98.48</v>
          </cell>
          <cell r="T458">
            <v>1</v>
          </cell>
          <cell r="U458">
            <v>29937.920000000002</v>
          </cell>
          <cell r="V458">
            <v>0</v>
          </cell>
          <cell r="W458">
            <v>0</v>
          </cell>
          <cell r="X458">
            <v>29937.920000000002</v>
          </cell>
          <cell r="Y458">
            <v>29937.920000000002</v>
          </cell>
          <cell r="Z458">
            <v>0</v>
          </cell>
          <cell r="AA458">
            <v>0</v>
          </cell>
          <cell r="AB458">
            <v>29937.920000000002</v>
          </cell>
          <cell r="AC458">
            <v>0</v>
          </cell>
          <cell r="AD458">
            <v>0</v>
          </cell>
          <cell r="AE458">
            <v>0</v>
          </cell>
          <cell r="AF458">
            <v>0</v>
          </cell>
          <cell r="AG458">
            <v>0</v>
          </cell>
          <cell r="AH458">
            <v>0</v>
          </cell>
        </row>
        <row r="459">
          <cell r="B459" t="str">
            <v>CN/PSE</v>
          </cell>
          <cell r="C459" t="str">
            <v>G</v>
          </cell>
          <cell r="D459" t="str">
            <v>52C</v>
          </cell>
          <cell r="E459" t="str">
            <v>DPE/</v>
          </cell>
          <cell r="F459" t="str">
            <v>FC/</v>
          </cell>
          <cell r="G459">
            <v>15</v>
          </cell>
          <cell r="H459" t="str">
            <v>At pref coord stratég/opérat y compr élab et suivi PAAB  : 15p x 38pref x2j x 1at/trim</v>
          </cell>
          <cell r="I459" t="str">
            <v>DPE/</v>
          </cell>
          <cell r="K459" t="str">
            <v>FC/PSE</v>
          </cell>
          <cell r="L459" t="str">
            <v>AUT</v>
          </cell>
          <cell r="M459">
            <v>2280</v>
          </cell>
          <cell r="N459">
            <v>4560</v>
          </cell>
          <cell r="O459">
            <v>4560</v>
          </cell>
          <cell r="P459">
            <v>11400</v>
          </cell>
          <cell r="Q459" t="str">
            <v>pxj</v>
          </cell>
          <cell r="R459" t="str">
            <v>asp</v>
          </cell>
          <cell r="S459">
            <v>98.48</v>
          </cell>
          <cell r="T459">
            <v>1</v>
          </cell>
          <cell r="U459">
            <v>224534.40000000002</v>
          </cell>
          <cell r="V459">
            <v>449068.80000000005</v>
          </cell>
          <cell r="W459">
            <v>449068.80000000005</v>
          </cell>
          <cell r="X459">
            <v>1122672</v>
          </cell>
          <cell r="Y459">
            <v>224534.40000000002</v>
          </cell>
          <cell r="Z459">
            <v>449068.80000000005</v>
          </cell>
          <cell r="AA459">
            <v>449068.80000000005</v>
          </cell>
          <cell r="AB459">
            <v>1122672</v>
          </cell>
          <cell r="AC459">
            <v>0</v>
          </cell>
          <cell r="AD459">
            <v>0</v>
          </cell>
          <cell r="AE459">
            <v>0</v>
          </cell>
          <cell r="AF459">
            <v>0</v>
          </cell>
          <cell r="AG459">
            <v>0</v>
          </cell>
          <cell r="AH459">
            <v>0</v>
          </cell>
        </row>
        <row r="460">
          <cell r="B460" t="str">
            <v>CN/PSE</v>
          </cell>
          <cell r="C460" t="str">
            <v>G</v>
          </cell>
          <cell r="D460" t="str">
            <v>52C</v>
          </cell>
          <cell r="E460" t="str">
            <v>DPE/</v>
          </cell>
          <cell r="F460" t="str">
            <v>FC/</v>
          </cell>
          <cell r="G460">
            <v>23</v>
          </cell>
          <cell r="H460" t="str">
            <v>Vehicule PU Double cab</v>
          </cell>
          <cell r="I460" t="str">
            <v>CN/PSE</v>
          </cell>
          <cell r="K460" t="str">
            <v>FC/PSE</v>
          </cell>
          <cell r="L460" t="str">
            <v>AOI</v>
          </cell>
          <cell r="M460">
            <v>38</v>
          </cell>
          <cell r="P460">
            <v>38</v>
          </cell>
          <cell r="Q460" t="str">
            <v>u</v>
          </cell>
          <cell r="R460" t="str">
            <v>vdc</v>
          </cell>
          <cell r="S460">
            <v>172340</v>
          </cell>
          <cell r="T460">
            <v>1</v>
          </cell>
          <cell r="U460">
            <v>6548920</v>
          </cell>
          <cell r="V460">
            <v>0</v>
          </cell>
          <cell r="W460">
            <v>0</v>
          </cell>
          <cell r="X460">
            <v>6548920</v>
          </cell>
          <cell r="Y460">
            <v>6548920</v>
          </cell>
          <cell r="Z460">
            <v>0</v>
          </cell>
          <cell r="AA460">
            <v>0</v>
          </cell>
          <cell r="AB460">
            <v>6548920</v>
          </cell>
          <cell r="AC460">
            <v>0</v>
          </cell>
          <cell r="AD460">
            <v>0</v>
          </cell>
          <cell r="AE460">
            <v>0</v>
          </cell>
          <cell r="AF460">
            <v>0</v>
          </cell>
          <cell r="AG460">
            <v>0</v>
          </cell>
          <cell r="AH460">
            <v>0</v>
          </cell>
        </row>
        <row r="461">
          <cell r="B461" t="str">
            <v>CN/PSE</v>
          </cell>
          <cell r="C461" t="str">
            <v>G</v>
          </cell>
          <cell r="D461" t="str">
            <v>52C</v>
          </cell>
          <cell r="E461" t="str">
            <v>DPE/</v>
          </cell>
          <cell r="F461" t="str">
            <v>FC/</v>
          </cell>
          <cell r="G461">
            <v>15</v>
          </cell>
          <cell r="H461" t="str">
            <v>Elaboration stratégie accroissement demande scol  zone difficile : 30p x 2j</v>
          </cell>
          <cell r="I461" t="str">
            <v>DPE/</v>
          </cell>
          <cell r="K461" t="str">
            <v>FC/PSE</v>
          </cell>
          <cell r="L461" t="str">
            <v>AUT</v>
          </cell>
          <cell r="N461">
            <v>60</v>
          </cell>
          <cell r="P461">
            <v>60</v>
          </cell>
          <cell r="Q461" t="str">
            <v>pxj</v>
          </cell>
          <cell r="R461" t="str">
            <v>asn</v>
          </cell>
          <cell r="S461">
            <v>147.72</v>
          </cell>
          <cell r="T461">
            <v>1</v>
          </cell>
          <cell r="U461">
            <v>0</v>
          </cell>
          <cell r="V461">
            <v>8863.2000000000007</v>
          </cell>
          <cell r="W461">
            <v>0</v>
          </cell>
          <cell r="X461">
            <v>8863.2000000000007</v>
          </cell>
          <cell r="Y461">
            <v>0</v>
          </cell>
          <cell r="Z461">
            <v>8863.2000000000007</v>
          </cell>
          <cell r="AA461">
            <v>0</v>
          </cell>
          <cell r="AB461">
            <v>8863.2000000000007</v>
          </cell>
          <cell r="AC461">
            <v>0</v>
          </cell>
          <cell r="AD461">
            <v>0</v>
          </cell>
          <cell r="AE461">
            <v>0</v>
          </cell>
          <cell r="AF461">
            <v>0</v>
          </cell>
          <cell r="AG461">
            <v>0</v>
          </cell>
          <cell r="AH461">
            <v>0</v>
          </cell>
        </row>
        <row r="462">
          <cell r="B462" t="str">
            <v>CN/PSE</v>
          </cell>
          <cell r="C462" t="str">
            <v>G</v>
          </cell>
          <cell r="D462" t="str">
            <v>52C</v>
          </cell>
          <cell r="E462" t="str">
            <v>DPE/</v>
          </cell>
          <cell r="F462" t="str">
            <v>FC/</v>
          </cell>
          <cell r="G462">
            <v>12</v>
          </cell>
          <cell r="H462" t="str">
            <v>Campagnes sensibilisation demande scol : 25 sous-pref à faible taux scolarisation</v>
          </cell>
          <cell r="I462" t="str">
            <v>DPE/</v>
          </cell>
          <cell r="K462" t="str">
            <v>FC/PSE</v>
          </cell>
          <cell r="L462" t="str">
            <v>AUT</v>
          </cell>
          <cell r="N462">
            <v>25</v>
          </cell>
          <cell r="O462">
            <v>25</v>
          </cell>
          <cell r="P462">
            <v>50</v>
          </cell>
          <cell r="Q462" t="str">
            <v>forfait</v>
          </cell>
          <cell r="S462">
            <v>9848</v>
          </cell>
          <cell r="T462">
            <v>1</v>
          </cell>
          <cell r="U462">
            <v>0</v>
          </cell>
          <cell r="V462">
            <v>246200</v>
          </cell>
          <cell r="W462">
            <v>246200</v>
          </cell>
          <cell r="X462">
            <v>492400</v>
          </cell>
          <cell r="Y462">
            <v>0</v>
          </cell>
          <cell r="Z462">
            <v>246200</v>
          </cell>
          <cell r="AA462">
            <v>246200</v>
          </cell>
          <cell r="AB462">
            <v>492400</v>
          </cell>
          <cell r="AC462">
            <v>0</v>
          </cell>
          <cell r="AD462">
            <v>0</v>
          </cell>
          <cell r="AE462">
            <v>0</v>
          </cell>
          <cell r="AF462">
            <v>0</v>
          </cell>
          <cell r="AG462">
            <v>0</v>
          </cell>
          <cell r="AH462">
            <v>0</v>
          </cell>
        </row>
      </sheetData>
      <sheetData sheetId="3"/>
      <sheetData sheetId="4"/>
      <sheetData sheetId="5"/>
      <sheetData sheetId="6">
        <row r="4">
          <cell r="A4">
            <v>1</v>
          </cell>
          <cell r="B4" t="str">
            <v>St gv 2007</v>
          </cell>
          <cell r="C4" t="str">
            <v>Prio sociaux</v>
          </cell>
          <cell r="D4" t="str">
            <v>$ &amp; saut de page</v>
          </cell>
          <cell r="E4" t="str">
            <v>Section</v>
          </cell>
          <cell r="F4" t="str">
            <v>Ss sect</v>
          </cell>
          <cell r="G4" t="str">
            <v>T</v>
          </cell>
          <cell r="H4" t="str">
            <v>Chapitre</v>
          </cell>
          <cell r="I4" t="str">
            <v>Article</v>
          </cell>
          <cell r="J4" t="str">
            <v>Minist.</v>
          </cell>
          <cell r="K4" t="str">
            <v>Budget</v>
          </cell>
          <cell r="L4" t="str">
            <v>Destinat.1</v>
          </cell>
          <cell r="M4" t="str">
            <v>Destinat.2</v>
          </cell>
          <cell r="N4" t="str">
            <v>Localis.1</v>
          </cell>
          <cell r="O4" t="str">
            <v>Localis.2</v>
          </cell>
          <cell r="P4" t="str">
            <v>Financ.</v>
          </cell>
          <cell r="Q4" t="str">
            <v>Titre</v>
          </cell>
          <cell r="R4" t="str">
            <v>Chap.1</v>
          </cell>
          <cell r="S4" t="str">
            <v>Chap.2</v>
          </cell>
          <cell r="T4" t="str">
            <v>Article</v>
          </cell>
          <cell r="U4" t="str">
            <v>Régul code</v>
          </cell>
          <cell r="V4" t="str">
            <v>Pauvreté</v>
          </cell>
          <cell r="W4">
            <v>0</v>
          </cell>
          <cell r="X4" t="str">
            <v>Bénéficiaire</v>
          </cell>
          <cell r="Y4" t="str">
            <v>Y</v>
          </cell>
          <cell r="Z4" t="str">
            <v>Déconc.loc.</v>
          </cell>
          <cell r="AA4" t="str">
            <v>Nature</v>
          </cell>
          <cell r="AB4" t="str">
            <v xml:space="preserve">LFI 2008 </v>
          </cell>
          <cell r="AC4" t="str">
            <v xml:space="preserve">LFR 2008 </v>
          </cell>
        </row>
        <row r="5">
          <cell r="X5" t="str">
            <v>MINISTERE DE L'EDUCATION NATIONALEET DE LA RECHERCHE SCIENTIFIQUE</v>
          </cell>
        </row>
        <row r="7">
          <cell r="A7">
            <v>12330</v>
          </cell>
          <cell r="B7">
            <v>1</v>
          </cell>
          <cell r="J7">
            <v>20</v>
          </cell>
          <cell r="X7" t="str">
            <v>p.mem. TOTAL DEPENSES YC. FINEX &amp; Assistance humanitaire</v>
          </cell>
          <cell r="AB7">
            <v>609662715</v>
          </cell>
          <cell r="AC7">
            <v>609662715</v>
          </cell>
        </row>
        <row r="8">
          <cell r="A8">
            <v>12332</v>
          </cell>
          <cell r="B8">
            <v>1</v>
          </cell>
          <cell r="D8" t="str">
            <v>I</v>
          </cell>
          <cell r="J8">
            <v>20</v>
          </cell>
          <cell r="K8">
            <v>1</v>
          </cell>
          <cell r="Q8">
            <v>2</v>
          </cell>
          <cell r="X8" t="str">
            <v>T2. PERSONNEL / TRAITEMENTS &amp; SALAIRES</v>
          </cell>
          <cell r="AB8">
            <v>335715200</v>
          </cell>
          <cell r="AC8">
            <v>335715200</v>
          </cell>
        </row>
        <row r="9">
          <cell r="A9">
            <v>12334</v>
          </cell>
          <cell r="B9">
            <v>1</v>
          </cell>
          <cell r="J9">
            <v>20</v>
          </cell>
          <cell r="K9">
            <v>1</v>
          </cell>
          <cell r="N9">
            <v>1</v>
          </cell>
          <cell r="Q9">
            <v>2</v>
          </cell>
          <cell r="R9">
            <v>2</v>
          </cell>
          <cell r="X9" t="str">
            <v>Services centraux</v>
          </cell>
          <cell r="AB9">
            <v>70408760</v>
          </cell>
          <cell r="AC9">
            <v>70408760</v>
          </cell>
        </row>
        <row r="10">
          <cell r="A10">
            <v>12336</v>
          </cell>
          <cell r="B10">
            <v>1</v>
          </cell>
          <cell r="J10">
            <v>20</v>
          </cell>
          <cell r="K10">
            <v>1</v>
          </cell>
          <cell r="N10">
            <v>2</v>
          </cell>
          <cell r="Q10">
            <v>2</v>
          </cell>
          <cell r="R10">
            <v>2</v>
          </cell>
          <cell r="X10" t="str">
            <v>Conakry Services déconcentrés</v>
          </cell>
          <cell r="AB10">
            <v>66650820</v>
          </cell>
          <cell r="AC10">
            <v>66650820</v>
          </cell>
        </row>
        <row r="11">
          <cell r="A11">
            <v>12338</v>
          </cell>
          <cell r="B11">
            <v>1</v>
          </cell>
          <cell r="J11">
            <v>20</v>
          </cell>
          <cell r="K11">
            <v>1</v>
          </cell>
          <cell r="N11">
            <v>3</v>
          </cell>
          <cell r="Q11">
            <v>2</v>
          </cell>
          <cell r="R11">
            <v>2</v>
          </cell>
          <cell r="X11" t="str">
            <v>Intérieur Services déconcentrés</v>
          </cell>
          <cell r="AB11">
            <v>198655620</v>
          </cell>
          <cell r="AC11">
            <v>198655620</v>
          </cell>
        </row>
        <row r="12">
          <cell r="A12">
            <v>12340</v>
          </cell>
          <cell r="B12">
            <v>1</v>
          </cell>
          <cell r="D12" t="str">
            <v>I</v>
          </cell>
          <cell r="J12">
            <v>20</v>
          </cell>
          <cell r="K12">
            <v>1</v>
          </cell>
          <cell r="Q12">
            <v>2</v>
          </cell>
          <cell r="R12">
            <v>2</v>
          </cell>
          <cell r="S12">
            <v>1</v>
          </cell>
          <cell r="X12" t="str">
            <v xml:space="preserve">Rem. Fonctionnaires </v>
          </cell>
          <cell r="AB12">
            <v>241682590</v>
          </cell>
          <cell r="AC12">
            <v>241682590</v>
          </cell>
        </row>
        <row r="13">
          <cell r="A13">
            <v>12342</v>
          </cell>
          <cell r="B13">
            <v>1</v>
          </cell>
          <cell r="J13">
            <v>20</v>
          </cell>
          <cell r="K13">
            <v>1</v>
          </cell>
          <cell r="N13">
            <v>1</v>
          </cell>
          <cell r="Q13">
            <v>2</v>
          </cell>
          <cell r="R13">
            <v>2</v>
          </cell>
          <cell r="S13">
            <v>1</v>
          </cell>
          <cell r="X13" t="str">
            <v>Services centraux</v>
          </cell>
          <cell r="AB13">
            <v>28095190</v>
          </cell>
          <cell r="AC13">
            <v>28095190</v>
          </cell>
        </row>
        <row r="14">
          <cell r="A14">
            <v>601</v>
          </cell>
          <cell r="B14">
            <v>1</v>
          </cell>
          <cell r="E14" t="str">
            <v>20</v>
          </cell>
          <cell r="F14">
            <v>44000100600</v>
          </cell>
          <cell r="G14">
            <v>2</v>
          </cell>
          <cell r="H14" t="str">
            <v>21</v>
          </cell>
          <cell r="I14">
            <v>10</v>
          </cell>
          <cell r="J14">
            <v>20</v>
          </cell>
          <cell r="K14">
            <v>1</v>
          </cell>
          <cell r="L14">
            <v>44</v>
          </cell>
          <cell r="M14" t="str">
            <v>000</v>
          </cell>
          <cell r="N14">
            <v>1</v>
          </cell>
          <cell r="O14" t="str">
            <v>00</v>
          </cell>
          <cell r="P14">
            <v>6</v>
          </cell>
          <cell r="Q14">
            <v>2</v>
          </cell>
          <cell r="R14">
            <v>2</v>
          </cell>
          <cell r="S14">
            <v>1</v>
          </cell>
          <cell r="T14">
            <v>10</v>
          </cell>
          <cell r="V14">
            <v>1</v>
          </cell>
          <cell r="W14">
            <v>0</v>
          </cell>
          <cell r="X14" t="str">
            <v>Enseign. technique</v>
          </cell>
          <cell r="Y14" t="str">
            <v>P3</v>
          </cell>
          <cell r="Z14" t="str">
            <v>Serv.cent.</v>
          </cell>
          <cell r="AA14" t="str">
            <v>Salaires fonct.</v>
          </cell>
          <cell r="AB14">
            <v>4047550</v>
          </cell>
          <cell r="AC14">
            <v>4047550</v>
          </cell>
        </row>
        <row r="15">
          <cell r="A15">
            <v>602</v>
          </cell>
          <cell r="B15">
            <v>1</v>
          </cell>
          <cell r="E15" t="str">
            <v>20</v>
          </cell>
          <cell r="F15">
            <v>44000100600</v>
          </cell>
          <cell r="G15">
            <v>2</v>
          </cell>
          <cell r="H15" t="str">
            <v>21</v>
          </cell>
          <cell r="I15">
            <v>20</v>
          </cell>
          <cell r="J15">
            <v>20</v>
          </cell>
          <cell r="K15">
            <v>1</v>
          </cell>
          <cell r="L15">
            <v>44</v>
          </cell>
          <cell r="M15" t="str">
            <v>000</v>
          </cell>
          <cell r="N15">
            <v>1</v>
          </cell>
          <cell r="O15" t="str">
            <v>00</v>
          </cell>
          <cell r="P15">
            <v>6</v>
          </cell>
          <cell r="Q15">
            <v>2</v>
          </cell>
          <cell r="R15">
            <v>2</v>
          </cell>
          <cell r="S15">
            <v>1</v>
          </cell>
          <cell r="T15">
            <v>20</v>
          </cell>
          <cell r="V15">
            <v>1</v>
          </cell>
          <cell r="W15">
            <v>0</v>
          </cell>
          <cell r="X15" t="str">
            <v>Enseign. technique</v>
          </cell>
          <cell r="Y15" t="str">
            <v>P3</v>
          </cell>
          <cell r="Z15" t="str">
            <v>Serv.cent.</v>
          </cell>
          <cell r="AA15" t="str">
            <v>Primes fonct.</v>
          </cell>
          <cell r="AB15">
            <v>380870</v>
          </cell>
          <cell r="AC15">
            <v>380870</v>
          </cell>
        </row>
        <row r="16">
          <cell r="A16">
            <v>603</v>
          </cell>
          <cell r="B16">
            <v>1</v>
          </cell>
          <cell r="E16" t="str">
            <v>20</v>
          </cell>
          <cell r="F16">
            <v>44000100600</v>
          </cell>
          <cell r="G16">
            <v>2</v>
          </cell>
          <cell r="H16" t="str">
            <v>21</v>
          </cell>
          <cell r="I16">
            <v>30</v>
          </cell>
          <cell r="J16">
            <v>20</v>
          </cell>
          <cell r="K16">
            <v>1</v>
          </cell>
          <cell r="L16">
            <v>44</v>
          </cell>
          <cell r="M16" t="str">
            <v>000</v>
          </cell>
          <cell r="N16">
            <v>1</v>
          </cell>
          <cell r="O16" t="str">
            <v>00</v>
          </cell>
          <cell r="P16">
            <v>6</v>
          </cell>
          <cell r="Q16">
            <v>2</v>
          </cell>
          <cell r="R16">
            <v>2</v>
          </cell>
          <cell r="S16">
            <v>1</v>
          </cell>
          <cell r="T16">
            <v>30</v>
          </cell>
          <cell r="V16">
            <v>1</v>
          </cell>
          <cell r="W16">
            <v>0</v>
          </cell>
          <cell r="X16" t="str">
            <v>Enseign. technique</v>
          </cell>
          <cell r="Y16" t="str">
            <v>P3</v>
          </cell>
          <cell r="Z16" t="str">
            <v>Serv.cent.</v>
          </cell>
          <cell r="AA16" t="str">
            <v>Indemnités fonct.</v>
          </cell>
          <cell r="AB16">
            <v>1168500</v>
          </cell>
          <cell r="AC16">
            <v>1168500</v>
          </cell>
        </row>
        <row r="17">
          <cell r="A17">
            <v>604</v>
          </cell>
          <cell r="B17">
            <v>1</v>
          </cell>
          <cell r="E17" t="str">
            <v>20</v>
          </cell>
          <cell r="F17">
            <v>44000100600</v>
          </cell>
          <cell r="G17">
            <v>2</v>
          </cell>
          <cell r="H17" t="str">
            <v>21</v>
          </cell>
          <cell r="I17">
            <v>40</v>
          </cell>
          <cell r="J17">
            <v>20</v>
          </cell>
          <cell r="K17">
            <v>1</v>
          </cell>
          <cell r="L17">
            <v>44</v>
          </cell>
          <cell r="M17" t="str">
            <v>000</v>
          </cell>
          <cell r="N17">
            <v>1</v>
          </cell>
          <cell r="O17" t="str">
            <v>00</v>
          </cell>
          <cell r="P17">
            <v>6</v>
          </cell>
          <cell r="Q17">
            <v>2</v>
          </cell>
          <cell r="R17">
            <v>2</v>
          </cell>
          <cell r="S17">
            <v>1</v>
          </cell>
          <cell r="T17">
            <v>40</v>
          </cell>
          <cell r="V17">
            <v>1</v>
          </cell>
          <cell r="W17">
            <v>0</v>
          </cell>
          <cell r="X17" t="str">
            <v>Enseign. technique</v>
          </cell>
          <cell r="Y17" t="str">
            <v>P3</v>
          </cell>
          <cell r="Z17" t="str">
            <v>Serv.cent.</v>
          </cell>
          <cell r="AA17" t="str">
            <v xml:space="preserve">Allocations familiales fonc. </v>
          </cell>
          <cell r="AB17">
            <v>73060</v>
          </cell>
          <cell r="AC17">
            <v>73060</v>
          </cell>
        </row>
        <row r="18">
          <cell r="A18">
            <v>623</v>
          </cell>
          <cell r="B18">
            <v>1</v>
          </cell>
          <cell r="E18" t="str">
            <v>20</v>
          </cell>
          <cell r="F18">
            <v>46000100600</v>
          </cell>
          <cell r="G18">
            <v>2</v>
          </cell>
          <cell r="H18" t="str">
            <v>21</v>
          </cell>
          <cell r="I18">
            <v>10</v>
          </cell>
          <cell r="J18">
            <v>20</v>
          </cell>
          <cell r="K18">
            <v>1</v>
          </cell>
          <cell r="L18">
            <v>46</v>
          </cell>
          <cell r="M18" t="str">
            <v>000</v>
          </cell>
          <cell r="N18">
            <v>1</v>
          </cell>
          <cell r="O18" t="str">
            <v>00</v>
          </cell>
          <cell r="P18">
            <v>6</v>
          </cell>
          <cell r="Q18">
            <v>2</v>
          </cell>
          <cell r="R18">
            <v>2</v>
          </cell>
          <cell r="S18">
            <v>1</v>
          </cell>
          <cell r="T18">
            <v>10</v>
          </cell>
          <cell r="V18">
            <v>1</v>
          </cell>
          <cell r="W18">
            <v>0</v>
          </cell>
          <cell r="X18" t="str">
            <v>Enseig. Supérieur</v>
          </cell>
          <cell r="Y18" t="str">
            <v>P4</v>
          </cell>
          <cell r="Z18" t="str">
            <v>Serv.cent.</v>
          </cell>
          <cell r="AA18" t="str">
            <v>Salaires fonct.</v>
          </cell>
          <cell r="AB18">
            <v>12065210</v>
          </cell>
          <cell r="AC18">
            <v>12065210</v>
          </cell>
        </row>
        <row r="19">
          <cell r="A19">
            <v>624</v>
          </cell>
          <cell r="B19">
            <v>1</v>
          </cell>
          <cell r="E19" t="str">
            <v>20</v>
          </cell>
          <cell r="F19">
            <v>46000100600</v>
          </cell>
          <cell r="G19">
            <v>2</v>
          </cell>
          <cell r="H19" t="str">
            <v>21</v>
          </cell>
          <cell r="I19">
            <v>20</v>
          </cell>
          <cell r="J19">
            <v>20</v>
          </cell>
          <cell r="K19">
            <v>1</v>
          </cell>
          <cell r="L19">
            <v>46</v>
          </cell>
          <cell r="M19" t="str">
            <v>000</v>
          </cell>
          <cell r="N19">
            <v>1</v>
          </cell>
          <cell r="O19" t="str">
            <v>00</v>
          </cell>
          <cell r="P19">
            <v>6</v>
          </cell>
          <cell r="Q19">
            <v>2</v>
          </cell>
          <cell r="R19">
            <v>2</v>
          </cell>
          <cell r="S19">
            <v>1</v>
          </cell>
          <cell r="T19">
            <v>20</v>
          </cell>
          <cell r="V19">
            <v>1</v>
          </cell>
          <cell r="W19">
            <v>0</v>
          </cell>
          <cell r="X19" t="str">
            <v>Enseig. Supérieur</v>
          </cell>
          <cell r="Y19" t="str">
            <v>P4</v>
          </cell>
          <cell r="Z19" t="str">
            <v>Serv.cent.</v>
          </cell>
          <cell r="AA19" t="str">
            <v>Primes fonct.</v>
          </cell>
          <cell r="AB19">
            <v>1252620</v>
          </cell>
          <cell r="AC19">
            <v>1252620</v>
          </cell>
        </row>
        <row r="20">
          <cell r="A20">
            <v>625</v>
          </cell>
          <cell r="B20">
            <v>1</v>
          </cell>
          <cell r="E20" t="str">
            <v>20</v>
          </cell>
          <cell r="F20">
            <v>46000100600</v>
          </cell>
          <cell r="G20">
            <v>2</v>
          </cell>
          <cell r="H20" t="str">
            <v>21</v>
          </cell>
          <cell r="I20">
            <v>30</v>
          </cell>
          <cell r="J20">
            <v>20</v>
          </cell>
          <cell r="K20">
            <v>1</v>
          </cell>
          <cell r="L20">
            <v>46</v>
          </cell>
          <cell r="M20" t="str">
            <v>000</v>
          </cell>
          <cell r="N20">
            <v>1</v>
          </cell>
          <cell r="O20" t="str">
            <v>00</v>
          </cell>
          <cell r="P20">
            <v>6</v>
          </cell>
          <cell r="Q20">
            <v>2</v>
          </cell>
          <cell r="R20">
            <v>2</v>
          </cell>
          <cell r="S20">
            <v>1</v>
          </cell>
          <cell r="T20">
            <v>30</v>
          </cell>
          <cell r="V20">
            <v>1</v>
          </cell>
          <cell r="W20">
            <v>0</v>
          </cell>
          <cell r="X20" t="str">
            <v>Enseig. Supérieur</v>
          </cell>
          <cell r="Y20" t="str">
            <v>P4</v>
          </cell>
          <cell r="Z20" t="str">
            <v>Serv.cent.</v>
          </cell>
          <cell r="AA20" t="str">
            <v>Indemnités fonct.</v>
          </cell>
          <cell r="AB20">
            <v>3752660</v>
          </cell>
          <cell r="AC20">
            <v>3752660</v>
          </cell>
        </row>
        <row r="21">
          <cell r="A21">
            <v>626</v>
          </cell>
          <cell r="B21">
            <v>1</v>
          </cell>
          <cell r="E21" t="str">
            <v>20</v>
          </cell>
          <cell r="F21">
            <v>46000100600</v>
          </cell>
          <cell r="G21">
            <v>2</v>
          </cell>
          <cell r="H21" t="str">
            <v>21</v>
          </cell>
          <cell r="I21">
            <v>40</v>
          </cell>
          <cell r="J21">
            <v>20</v>
          </cell>
          <cell r="K21">
            <v>1</v>
          </cell>
          <cell r="L21">
            <v>46</v>
          </cell>
          <cell r="M21" t="str">
            <v>000</v>
          </cell>
          <cell r="N21">
            <v>1</v>
          </cell>
          <cell r="O21" t="str">
            <v>00</v>
          </cell>
          <cell r="P21">
            <v>6</v>
          </cell>
          <cell r="Q21">
            <v>2</v>
          </cell>
          <cell r="R21">
            <v>2</v>
          </cell>
          <cell r="S21">
            <v>1</v>
          </cell>
          <cell r="T21">
            <v>40</v>
          </cell>
          <cell r="V21">
            <v>1</v>
          </cell>
          <cell r="W21">
            <v>0</v>
          </cell>
          <cell r="X21" t="str">
            <v>Enseig. Supérieur</v>
          </cell>
          <cell r="Y21" t="str">
            <v>P4</v>
          </cell>
          <cell r="Z21" t="str">
            <v>Serv.cent.</v>
          </cell>
          <cell r="AA21" t="str">
            <v xml:space="preserve">Allocations familiales fonc. </v>
          </cell>
          <cell r="AB21">
            <v>111140</v>
          </cell>
          <cell r="AC21">
            <v>111140</v>
          </cell>
        </row>
        <row r="22">
          <cell r="A22">
            <v>575</v>
          </cell>
          <cell r="B22">
            <v>1</v>
          </cell>
          <cell r="E22" t="str">
            <v>20</v>
          </cell>
          <cell r="F22">
            <v>49000100600</v>
          </cell>
          <cell r="G22">
            <v>2</v>
          </cell>
          <cell r="H22" t="str">
            <v>21</v>
          </cell>
          <cell r="I22">
            <v>10</v>
          </cell>
          <cell r="J22">
            <v>20</v>
          </cell>
          <cell r="K22">
            <v>1</v>
          </cell>
          <cell r="L22">
            <v>49</v>
          </cell>
          <cell r="M22" t="str">
            <v>000</v>
          </cell>
          <cell r="N22">
            <v>1</v>
          </cell>
          <cell r="O22" t="str">
            <v>00</v>
          </cell>
          <cell r="P22">
            <v>6</v>
          </cell>
          <cell r="Q22">
            <v>2</v>
          </cell>
          <cell r="R22">
            <v>2</v>
          </cell>
          <cell r="S22">
            <v>1</v>
          </cell>
          <cell r="T22">
            <v>10</v>
          </cell>
          <cell r="V22">
            <v>1</v>
          </cell>
          <cell r="W22">
            <v>0</v>
          </cell>
          <cell r="X22" t="str">
            <v>Enseig. Serv administratifs</v>
          </cell>
          <cell r="Y22" t="str">
            <v>P5</v>
          </cell>
          <cell r="Z22" t="str">
            <v>Serv.cent.</v>
          </cell>
          <cell r="AA22" t="str">
            <v>Salaires fonct.</v>
          </cell>
          <cell r="AB22">
            <v>3834670</v>
          </cell>
          <cell r="AC22">
            <v>3834670</v>
          </cell>
        </row>
        <row r="23">
          <cell r="A23">
            <v>576</v>
          </cell>
          <cell r="B23">
            <v>1</v>
          </cell>
          <cell r="E23" t="str">
            <v>20</v>
          </cell>
          <cell r="F23">
            <v>49000100600</v>
          </cell>
          <cell r="G23">
            <v>2</v>
          </cell>
          <cell r="H23" t="str">
            <v>21</v>
          </cell>
          <cell r="I23">
            <v>20</v>
          </cell>
          <cell r="J23">
            <v>20</v>
          </cell>
          <cell r="K23">
            <v>1</v>
          </cell>
          <cell r="L23">
            <v>49</v>
          </cell>
          <cell r="M23" t="str">
            <v>000</v>
          </cell>
          <cell r="N23">
            <v>1</v>
          </cell>
          <cell r="O23" t="str">
            <v>00</v>
          </cell>
          <cell r="P23">
            <v>6</v>
          </cell>
          <cell r="Q23">
            <v>2</v>
          </cell>
          <cell r="R23">
            <v>2</v>
          </cell>
          <cell r="S23">
            <v>1</v>
          </cell>
          <cell r="T23">
            <v>20</v>
          </cell>
          <cell r="V23">
            <v>1</v>
          </cell>
          <cell r="W23">
            <v>0</v>
          </cell>
          <cell r="X23" t="str">
            <v>Enseig. Serv administratifs</v>
          </cell>
          <cell r="Y23" t="str">
            <v>P5</v>
          </cell>
          <cell r="Z23" t="str">
            <v>Serv.cent.</v>
          </cell>
          <cell r="AA23" t="str">
            <v>Primes fonct.</v>
          </cell>
          <cell r="AB23">
            <v>308480</v>
          </cell>
          <cell r="AC23">
            <v>308480</v>
          </cell>
        </row>
        <row r="24">
          <cell r="A24">
            <v>577</v>
          </cell>
          <cell r="B24">
            <v>1</v>
          </cell>
          <cell r="E24" t="str">
            <v>20</v>
          </cell>
          <cell r="F24">
            <v>49000100600</v>
          </cell>
          <cell r="G24">
            <v>2</v>
          </cell>
          <cell r="H24" t="str">
            <v>21</v>
          </cell>
          <cell r="I24">
            <v>30</v>
          </cell>
          <cell r="J24">
            <v>20</v>
          </cell>
          <cell r="K24">
            <v>1</v>
          </cell>
          <cell r="L24">
            <v>49</v>
          </cell>
          <cell r="M24" t="str">
            <v>000</v>
          </cell>
          <cell r="N24">
            <v>1</v>
          </cell>
          <cell r="O24" t="str">
            <v>00</v>
          </cell>
          <cell r="P24">
            <v>6</v>
          </cell>
          <cell r="Q24">
            <v>2</v>
          </cell>
          <cell r="R24">
            <v>2</v>
          </cell>
          <cell r="S24">
            <v>1</v>
          </cell>
          <cell r="T24">
            <v>30</v>
          </cell>
          <cell r="V24">
            <v>1</v>
          </cell>
          <cell r="W24">
            <v>0</v>
          </cell>
          <cell r="X24" t="str">
            <v>Enseig. Serv administratifs</v>
          </cell>
          <cell r="Y24" t="str">
            <v>P5</v>
          </cell>
          <cell r="Z24" t="str">
            <v>Serv.cent.</v>
          </cell>
          <cell r="AA24" t="str">
            <v>Indemnités fonct.</v>
          </cell>
          <cell r="AB24">
            <v>1047220</v>
          </cell>
          <cell r="AC24">
            <v>1047220</v>
          </cell>
        </row>
        <row r="25">
          <cell r="A25">
            <v>578</v>
          </cell>
          <cell r="B25">
            <v>1</v>
          </cell>
          <cell r="E25" t="str">
            <v>20</v>
          </cell>
          <cell r="F25">
            <v>49000100600</v>
          </cell>
          <cell r="G25">
            <v>2</v>
          </cell>
          <cell r="H25" t="str">
            <v>21</v>
          </cell>
          <cell r="I25">
            <v>40</v>
          </cell>
          <cell r="J25">
            <v>20</v>
          </cell>
          <cell r="K25">
            <v>1</v>
          </cell>
          <cell r="L25">
            <v>49</v>
          </cell>
          <cell r="M25" t="str">
            <v>000</v>
          </cell>
          <cell r="N25">
            <v>1</v>
          </cell>
          <cell r="O25" t="str">
            <v>00</v>
          </cell>
          <cell r="P25">
            <v>6</v>
          </cell>
          <cell r="Q25">
            <v>2</v>
          </cell>
          <cell r="R25">
            <v>2</v>
          </cell>
          <cell r="S25">
            <v>1</v>
          </cell>
          <cell r="T25">
            <v>40</v>
          </cell>
          <cell r="V25">
            <v>1</v>
          </cell>
          <cell r="W25">
            <v>0</v>
          </cell>
          <cell r="X25" t="str">
            <v>Enseig. Serv administratifs</v>
          </cell>
          <cell r="Y25" t="str">
            <v>P5</v>
          </cell>
          <cell r="Z25" t="str">
            <v>Serv.cent.</v>
          </cell>
          <cell r="AA25" t="str">
            <v xml:space="preserve">Allocations familiales fonc. </v>
          </cell>
          <cell r="AB25">
            <v>53210</v>
          </cell>
          <cell r="AC25">
            <v>53210</v>
          </cell>
        </row>
        <row r="26">
          <cell r="A26">
            <v>12344</v>
          </cell>
          <cell r="B26">
            <v>1</v>
          </cell>
          <cell r="J26">
            <v>20</v>
          </cell>
          <cell r="K26">
            <v>1</v>
          </cell>
          <cell r="N26">
            <v>2</v>
          </cell>
          <cell r="Q26">
            <v>2</v>
          </cell>
          <cell r="R26">
            <v>2</v>
          </cell>
          <cell r="S26">
            <v>1</v>
          </cell>
          <cell r="X26" t="str">
            <v>Conakry Services déconcentrés</v>
          </cell>
          <cell r="AB26">
            <v>57618450</v>
          </cell>
          <cell r="AC26">
            <v>57618450</v>
          </cell>
        </row>
        <row r="27">
          <cell r="A27">
            <v>608</v>
          </cell>
          <cell r="B27">
            <v>1</v>
          </cell>
          <cell r="E27" t="str">
            <v>20</v>
          </cell>
          <cell r="F27">
            <v>44000200600</v>
          </cell>
          <cell r="G27">
            <v>2</v>
          </cell>
          <cell r="H27" t="str">
            <v>21</v>
          </cell>
          <cell r="I27">
            <v>10</v>
          </cell>
          <cell r="J27">
            <v>20</v>
          </cell>
          <cell r="K27">
            <v>1</v>
          </cell>
          <cell r="L27">
            <v>44</v>
          </cell>
          <cell r="M27" t="str">
            <v>000</v>
          </cell>
          <cell r="N27">
            <v>2</v>
          </cell>
          <cell r="O27" t="str">
            <v>00</v>
          </cell>
          <cell r="P27">
            <v>6</v>
          </cell>
          <cell r="Q27">
            <v>2</v>
          </cell>
          <cell r="R27">
            <v>2</v>
          </cell>
          <cell r="S27">
            <v>1</v>
          </cell>
          <cell r="T27">
            <v>10</v>
          </cell>
          <cell r="V27">
            <v>1</v>
          </cell>
          <cell r="W27">
            <v>0</v>
          </cell>
          <cell r="X27" t="str">
            <v>Enseign. technique</v>
          </cell>
          <cell r="Y27" t="str">
            <v>P3</v>
          </cell>
          <cell r="Z27" t="str">
            <v>Conakry</v>
          </cell>
          <cell r="AA27" t="str">
            <v>Salaires fonct.</v>
          </cell>
          <cell r="AB27">
            <v>667880</v>
          </cell>
          <cell r="AC27">
            <v>667880</v>
          </cell>
        </row>
        <row r="28">
          <cell r="A28">
            <v>609</v>
          </cell>
          <cell r="B28">
            <v>1</v>
          </cell>
          <cell r="E28" t="str">
            <v>20</v>
          </cell>
          <cell r="F28">
            <v>44000200600</v>
          </cell>
          <cell r="G28">
            <v>2</v>
          </cell>
          <cell r="H28" t="str">
            <v>21</v>
          </cell>
          <cell r="I28">
            <v>20</v>
          </cell>
          <cell r="J28">
            <v>20</v>
          </cell>
          <cell r="K28">
            <v>1</v>
          </cell>
          <cell r="L28">
            <v>44</v>
          </cell>
          <cell r="M28" t="str">
            <v>000</v>
          </cell>
          <cell r="N28">
            <v>2</v>
          </cell>
          <cell r="O28" t="str">
            <v>00</v>
          </cell>
          <cell r="P28">
            <v>6</v>
          </cell>
          <cell r="Q28">
            <v>2</v>
          </cell>
          <cell r="R28">
            <v>2</v>
          </cell>
          <cell r="S28">
            <v>1</v>
          </cell>
          <cell r="T28">
            <v>20</v>
          </cell>
          <cell r="V28">
            <v>1</v>
          </cell>
          <cell r="W28">
            <v>0</v>
          </cell>
          <cell r="X28" t="str">
            <v>Enseign. technique</v>
          </cell>
          <cell r="Y28" t="str">
            <v>P3</v>
          </cell>
          <cell r="Z28" t="str">
            <v>Conakry</v>
          </cell>
          <cell r="AA28" t="str">
            <v>Primes fonct.</v>
          </cell>
          <cell r="AB28">
            <v>56510</v>
          </cell>
          <cell r="AC28">
            <v>56510</v>
          </cell>
        </row>
        <row r="29">
          <cell r="A29">
            <v>610</v>
          </cell>
          <cell r="B29">
            <v>1</v>
          </cell>
          <cell r="E29" t="str">
            <v>20</v>
          </cell>
          <cell r="F29">
            <v>44000200600</v>
          </cell>
          <cell r="G29">
            <v>2</v>
          </cell>
          <cell r="H29" t="str">
            <v>21</v>
          </cell>
          <cell r="I29">
            <v>30</v>
          </cell>
          <cell r="J29">
            <v>20</v>
          </cell>
          <cell r="K29">
            <v>1</v>
          </cell>
          <cell r="L29">
            <v>44</v>
          </cell>
          <cell r="M29" t="str">
            <v>000</v>
          </cell>
          <cell r="N29">
            <v>2</v>
          </cell>
          <cell r="O29" t="str">
            <v>00</v>
          </cell>
          <cell r="P29">
            <v>6</v>
          </cell>
          <cell r="Q29">
            <v>2</v>
          </cell>
          <cell r="R29">
            <v>2</v>
          </cell>
          <cell r="S29">
            <v>1</v>
          </cell>
          <cell r="T29">
            <v>30</v>
          </cell>
          <cell r="V29">
            <v>1</v>
          </cell>
          <cell r="W29">
            <v>0</v>
          </cell>
          <cell r="X29" t="str">
            <v>Enseign. technique</v>
          </cell>
          <cell r="Y29" t="str">
            <v>P3</v>
          </cell>
          <cell r="Z29" t="str">
            <v>Conakry</v>
          </cell>
          <cell r="AA29" t="str">
            <v>Indemnités fonct.</v>
          </cell>
          <cell r="AB29">
            <v>273500</v>
          </cell>
          <cell r="AC29">
            <v>273500</v>
          </cell>
        </row>
        <row r="30">
          <cell r="A30">
            <v>611</v>
          </cell>
          <cell r="B30">
            <v>1</v>
          </cell>
          <cell r="E30" t="str">
            <v>20</v>
          </cell>
          <cell r="F30">
            <v>44000200600</v>
          </cell>
          <cell r="G30">
            <v>2</v>
          </cell>
          <cell r="H30" t="str">
            <v>21</v>
          </cell>
          <cell r="I30">
            <v>40</v>
          </cell>
          <cell r="J30">
            <v>20</v>
          </cell>
          <cell r="K30">
            <v>1</v>
          </cell>
          <cell r="L30">
            <v>44</v>
          </cell>
          <cell r="M30" t="str">
            <v>000</v>
          </cell>
          <cell r="N30">
            <v>2</v>
          </cell>
          <cell r="O30" t="str">
            <v>00</v>
          </cell>
          <cell r="P30">
            <v>6</v>
          </cell>
          <cell r="Q30">
            <v>2</v>
          </cell>
          <cell r="R30">
            <v>2</v>
          </cell>
          <cell r="S30">
            <v>1</v>
          </cell>
          <cell r="T30">
            <v>40</v>
          </cell>
          <cell r="V30">
            <v>1</v>
          </cell>
          <cell r="W30">
            <v>0</v>
          </cell>
          <cell r="X30" t="str">
            <v>Enseign. technique</v>
          </cell>
          <cell r="Y30" t="str">
            <v>P3</v>
          </cell>
          <cell r="Z30" t="str">
            <v>Conakry</v>
          </cell>
          <cell r="AA30" t="str">
            <v xml:space="preserve">Allocations familiales fonc. </v>
          </cell>
          <cell r="AB30">
            <v>220</v>
          </cell>
          <cell r="AC30">
            <v>220</v>
          </cell>
        </row>
        <row r="31">
          <cell r="A31">
            <v>582</v>
          </cell>
          <cell r="B31">
            <v>1</v>
          </cell>
          <cell r="E31" t="str">
            <v>20</v>
          </cell>
          <cell r="F31">
            <v>49000200600</v>
          </cell>
          <cell r="G31">
            <v>2</v>
          </cell>
          <cell r="H31" t="str">
            <v>21</v>
          </cell>
          <cell r="I31">
            <v>10</v>
          </cell>
          <cell r="J31">
            <v>20</v>
          </cell>
          <cell r="K31">
            <v>1</v>
          </cell>
          <cell r="L31">
            <v>49</v>
          </cell>
          <cell r="M31" t="str">
            <v>000</v>
          </cell>
          <cell r="N31">
            <v>2</v>
          </cell>
          <cell r="O31" t="str">
            <v>00</v>
          </cell>
          <cell r="P31">
            <v>6</v>
          </cell>
          <cell r="Q31">
            <v>2</v>
          </cell>
          <cell r="R31">
            <v>2</v>
          </cell>
          <cell r="S31">
            <v>1</v>
          </cell>
          <cell r="T31">
            <v>10</v>
          </cell>
          <cell r="V31">
            <v>1</v>
          </cell>
          <cell r="W31">
            <v>0</v>
          </cell>
          <cell r="X31" t="str">
            <v>Enseig. Serv administratifs</v>
          </cell>
          <cell r="Y31" t="str">
            <v>P5</v>
          </cell>
          <cell r="Z31" t="str">
            <v>Conakry</v>
          </cell>
          <cell r="AA31" t="str">
            <v>Salaires fonct.</v>
          </cell>
          <cell r="AB31">
            <v>31033950</v>
          </cell>
          <cell r="AC31">
            <v>31033950</v>
          </cell>
        </row>
        <row r="32">
          <cell r="B32">
            <v>1</v>
          </cell>
          <cell r="E32" t="str">
            <v>20</v>
          </cell>
          <cell r="F32">
            <v>49000200900</v>
          </cell>
          <cell r="G32">
            <v>2</v>
          </cell>
          <cell r="H32" t="str">
            <v>21</v>
          </cell>
          <cell r="I32">
            <v>10</v>
          </cell>
          <cell r="J32">
            <v>20</v>
          </cell>
          <cell r="K32">
            <v>1</v>
          </cell>
          <cell r="L32">
            <v>49</v>
          </cell>
          <cell r="M32" t="str">
            <v>000</v>
          </cell>
          <cell r="N32">
            <v>2</v>
          </cell>
          <cell r="O32" t="str">
            <v>00</v>
          </cell>
          <cell r="P32">
            <v>9</v>
          </cell>
          <cell r="Q32">
            <v>2</v>
          </cell>
          <cell r="R32">
            <v>2</v>
          </cell>
          <cell r="S32">
            <v>1</v>
          </cell>
          <cell r="T32">
            <v>10</v>
          </cell>
          <cell r="V32">
            <v>1</v>
          </cell>
          <cell r="W32">
            <v>0</v>
          </cell>
          <cell r="X32" t="str">
            <v>Enseig. Serv administratifs</v>
          </cell>
          <cell r="Y32" t="str">
            <v>P5</v>
          </cell>
          <cell r="Z32" t="str">
            <v>Conakry</v>
          </cell>
          <cell r="AA32" t="str">
            <v>Salaires fonct.PPTE</v>
          </cell>
          <cell r="AB32">
            <v>0</v>
          </cell>
          <cell r="AC32">
            <v>0</v>
          </cell>
        </row>
        <row r="33">
          <cell r="A33">
            <v>583</v>
          </cell>
          <cell r="B33">
            <v>1</v>
          </cell>
          <cell r="E33" t="str">
            <v>20</v>
          </cell>
          <cell r="F33">
            <v>49000200600</v>
          </cell>
          <cell r="G33">
            <v>2</v>
          </cell>
          <cell r="H33" t="str">
            <v>21</v>
          </cell>
          <cell r="I33">
            <v>20</v>
          </cell>
          <cell r="J33">
            <v>20</v>
          </cell>
          <cell r="K33">
            <v>1</v>
          </cell>
          <cell r="L33">
            <v>49</v>
          </cell>
          <cell r="M33" t="str">
            <v>000</v>
          </cell>
          <cell r="N33">
            <v>2</v>
          </cell>
          <cell r="O33" t="str">
            <v>00</v>
          </cell>
          <cell r="P33">
            <v>6</v>
          </cell>
          <cell r="Q33">
            <v>2</v>
          </cell>
          <cell r="R33">
            <v>2</v>
          </cell>
          <cell r="S33">
            <v>1</v>
          </cell>
          <cell r="T33">
            <v>20</v>
          </cell>
          <cell r="V33">
            <v>1</v>
          </cell>
          <cell r="W33">
            <v>0</v>
          </cell>
          <cell r="X33" t="str">
            <v>Enseig. Serv administratifs</v>
          </cell>
          <cell r="Y33" t="str">
            <v>P5</v>
          </cell>
          <cell r="Z33" t="str">
            <v>Conakry</v>
          </cell>
          <cell r="AA33" t="str">
            <v>Primes fonct.</v>
          </cell>
          <cell r="AB33">
            <v>4288320</v>
          </cell>
          <cell r="AC33">
            <v>4288320</v>
          </cell>
        </row>
        <row r="34">
          <cell r="B34">
            <v>1</v>
          </cell>
          <cell r="E34" t="str">
            <v>20</v>
          </cell>
          <cell r="F34">
            <v>49000200900</v>
          </cell>
          <cell r="G34">
            <v>2</v>
          </cell>
          <cell r="H34" t="str">
            <v>21</v>
          </cell>
          <cell r="I34">
            <v>20</v>
          </cell>
          <cell r="J34">
            <v>20</v>
          </cell>
          <cell r="K34">
            <v>1</v>
          </cell>
          <cell r="L34">
            <v>49</v>
          </cell>
          <cell r="M34" t="str">
            <v>000</v>
          </cell>
          <cell r="N34">
            <v>2</v>
          </cell>
          <cell r="O34" t="str">
            <v>00</v>
          </cell>
          <cell r="P34">
            <v>9</v>
          </cell>
          <cell r="Q34">
            <v>2</v>
          </cell>
          <cell r="R34">
            <v>2</v>
          </cell>
          <cell r="S34">
            <v>1</v>
          </cell>
          <cell r="T34">
            <v>20</v>
          </cell>
          <cell r="V34">
            <v>1</v>
          </cell>
          <cell r="W34">
            <v>0</v>
          </cell>
          <cell r="X34" t="str">
            <v>Enseig. Serv administratifs</v>
          </cell>
          <cell r="Y34" t="str">
            <v>P5</v>
          </cell>
          <cell r="Z34" t="str">
            <v>Conakry</v>
          </cell>
          <cell r="AA34" t="str">
            <v>Primes fonct. PPTE</v>
          </cell>
          <cell r="AB34">
            <v>0</v>
          </cell>
          <cell r="AC34">
            <v>0</v>
          </cell>
        </row>
        <row r="35">
          <cell r="A35">
            <v>584</v>
          </cell>
          <cell r="B35">
            <v>1</v>
          </cell>
          <cell r="E35" t="str">
            <v>20</v>
          </cell>
          <cell r="F35">
            <v>49000200600</v>
          </cell>
          <cell r="G35">
            <v>2</v>
          </cell>
          <cell r="H35" t="str">
            <v>21</v>
          </cell>
          <cell r="I35">
            <v>30</v>
          </cell>
          <cell r="J35">
            <v>20</v>
          </cell>
          <cell r="K35">
            <v>1</v>
          </cell>
          <cell r="L35">
            <v>49</v>
          </cell>
          <cell r="M35" t="str">
            <v>000</v>
          </cell>
          <cell r="N35">
            <v>2</v>
          </cell>
          <cell r="O35" t="str">
            <v>00</v>
          </cell>
          <cell r="P35">
            <v>6</v>
          </cell>
          <cell r="Q35">
            <v>2</v>
          </cell>
          <cell r="R35">
            <v>2</v>
          </cell>
          <cell r="S35">
            <v>1</v>
          </cell>
          <cell r="T35">
            <v>30</v>
          </cell>
          <cell r="V35">
            <v>1</v>
          </cell>
          <cell r="W35">
            <v>0</v>
          </cell>
          <cell r="X35" t="str">
            <v>Enseig. Serv administratifs</v>
          </cell>
          <cell r="Y35" t="str">
            <v>P5</v>
          </cell>
          <cell r="Z35" t="str">
            <v>Conakry</v>
          </cell>
          <cell r="AA35" t="str">
            <v>Indemnités fonct.</v>
          </cell>
          <cell r="AB35">
            <v>21038590</v>
          </cell>
          <cell r="AC35">
            <v>21038590</v>
          </cell>
        </row>
        <row r="36">
          <cell r="B36">
            <v>1</v>
          </cell>
          <cell r="E36" t="str">
            <v>20</v>
          </cell>
          <cell r="F36">
            <v>49000200900</v>
          </cell>
          <cell r="G36">
            <v>2</v>
          </cell>
          <cell r="H36" t="str">
            <v>21</v>
          </cell>
          <cell r="I36">
            <v>30</v>
          </cell>
          <cell r="J36">
            <v>20</v>
          </cell>
          <cell r="K36">
            <v>1</v>
          </cell>
          <cell r="L36">
            <v>49</v>
          </cell>
          <cell r="M36" t="str">
            <v>000</v>
          </cell>
          <cell r="N36">
            <v>2</v>
          </cell>
          <cell r="O36" t="str">
            <v>00</v>
          </cell>
          <cell r="P36">
            <v>9</v>
          </cell>
          <cell r="Q36">
            <v>2</v>
          </cell>
          <cell r="R36">
            <v>2</v>
          </cell>
          <cell r="S36">
            <v>1</v>
          </cell>
          <cell r="T36">
            <v>30</v>
          </cell>
          <cell r="V36">
            <v>1</v>
          </cell>
          <cell r="W36">
            <v>0</v>
          </cell>
          <cell r="X36" t="str">
            <v>Enseig. Serv administratifs</v>
          </cell>
          <cell r="Y36" t="str">
            <v>P5</v>
          </cell>
          <cell r="Z36" t="str">
            <v>Conakry</v>
          </cell>
          <cell r="AA36" t="str">
            <v>Indemnités fonct. PPTE</v>
          </cell>
          <cell r="AB36">
            <v>0</v>
          </cell>
          <cell r="AC36">
            <v>0</v>
          </cell>
        </row>
        <row r="37">
          <cell r="A37">
            <v>585</v>
          </cell>
          <cell r="B37">
            <v>1</v>
          </cell>
          <cell r="E37" t="str">
            <v>20</v>
          </cell>
          <cell r="F37">
            <v>49000200600</v>
          </cell>
          <cell r="G37">
            <v>2</v>
          </cell>
          <cell r="H37" t="str">
            <v>21</v>
          </cell>
          <cell r="I37">
            <v>40</v>
          </cell>
          <cell r="J37">
            <v>20</v>
          </cell>
          <cell r="K37">
            <v>1</v>
          </cell>
          <cell r="L37">
            <v>49</v>
          </cell>
          <cell r="M37" t="str">
            <v>000</v>
          </cell>
          <cell r="N37">
            <v>2</v>
          </cell>
          <cell r="O37" t="str">
            <v>00</v>
          </cell>
          <cell r="P37">
            <v>6</v>
          </cell>
          <cell r="Q37">
            <v>2</v>
          </cell>
          <cell r="R37">
            <v>2</v>
          </cell>
          <cell r="S37">
            <v>1</v>
          </cell>
          <cell r="T37">
            <v>40</v>
          </cell>
          <cell r="V37">
            <v>1</v>
          </cell>
          <cell r="W37">
            <v>0</v>
          </cell>
          <cell r="X37" t="str">
            <v>Enseig. Serv administratifs</v>
          </cell>
          <cell r="Y37" t="str">
            <v>P5</v>
          </cell>
          <cell r="Z37" t="str">
            <v>Conakry</v>
          </cell>
          <cell r="AA37" t="str">
            <v xml:space="preserve">Allocations familiales fonc. </v>
          </cell>
          <cell r="AB37">
            <v>259480</v>
          </cell>
          <cell r="AC37">
            <v>259480</v>
          </cell>
        </row>
        <row r="38">
          <cell r="B38">
            <v>1</v>
          </cell>
          <cell r="E38" t="str">
            <v>20</v>
          </cell>
          <cell r="F38">
            <v>49000200900</v>
          </cell>
          <cell r="G38">
            <v>2</v>
          </cell>
          <cell r="H38" t="str">
            <v>21</v>
          </cell>
          <cell r="I38">
            <v>40</v>
          </cell>
          <cell r="J38">
            <v>20</v>
          </cell>
          <cell r="K38">
            <v>1</v>
          </cell>
          <cell r="L38">
            <v>49</v>
          </cell>
          <cell r="M38" t="str">
            <v>000</v>
          </cell>
          <cell r="N38">
            <v>2</v>
          </cell>
          <cell r="O38" t="str">
            <v>00</v>
          </cell>
          <cell r="P38">
            <v>9</v>
          </cell>
          <cell r="Q38">
            <v>2</v>
          </cell>
          <cell r="R38">
            <v>2</v>
          </cell>
          <cell r="S38">
            <v>1</v>
          </cell>
          <cell r="T38">
            <v>40</v>
          </cell>
          <cell r="V38">
            <v>1</v>
          </cell>
          <cell r="W38">
            <v>0</v>
          </cell>
          <cell r="X38" t="str">
            <v>Enseig. Serv administratifs</v>
          </cell>
          <cell r="Y38" t="str">
            <v>P5</v>
          </cell>
          <cell r="Z38" t="str">
            <v>Conakry</v>
          </cell>
          <cell r="AA38" t="str">
            <v>Allocations familiales fonc. PPTE</v>
          </cell>
          <cell r="AB38">
            <v>0</v>
          </cell>
          <cell r="AC38">
            <v>0</v>
          </cell>
        </row>
        <row r="39">
          <cell r="A39">
            <v>12346</v>
          </cell>
          <cell r="B39">
            <v>1</v>
          </cell>
          <cell r="J39">
            <v>20</v>
          </cell>
          <cell r="K39">
            <v>1</v>
          </cell>
          <cell r="N39">
            <v>3</v>
          </cell>
          <cell r="Q39">
            <v>2</v>
          </cell>
          <cell r="R39">
            <v>2</v>
          </cell>
          <cell r="S39">
            <v>1</v>
          </cell>
          <cell r="X39" t="str">
            <v>Intérieur Services déconcentrés</v>
          </cell>
          <cell r="AB39">
            <v>155968950</v>
          </cell>
          <cell r="AC39">
            <v>155968950</v>
          </cell>
        </row>
        <row r="40">
          <cell r="A40">
            <v>614</v>
          </cell>
          <cell r="B40">
            <v>1</v>
          </cell>
          <cell r="E40" t="str">
            <v>20</v>
          </cell>
          <cell r="F40">
            <v>44000300600</v>
          </cell>
          <cell r="G40">
            <v>2</v>
          </cell>
          <cell r="H40" t="str">
            <v>21</v>
          </cell>
          <cell r="I40">
            <v>10</v>
          </cell>
          <cell r="J40">
            <v>20</v>
          </cell>
          <cell r="K40">
            <v>1</v>
          </cell>
          <cell r="L40">
            <v>44</v>
          </cell>
          <cell r="M40" t="str">
            <v>000</v>
          </cell>
          <cell r="N40">
            <v>3</v>
          </cell>
          <cell r="O40" t="str">
            <v>00</v>
          </cell>
          <cell r="P40">
            <v>6</v>
          </cell>
          <cell r="Q40">
            <v>2</v>
          </cell>
          <cell r="R40">
            <v>2</v>
          </cell>
          <cell r="S40">
            <v>1</v>
          </cell>
          <cell r="T40">
            <v>10</v>
          </cell>
          <cell r="V40">
            <v>1</v>
          </cell>
          <cell r="W40">
            <v>0</v>
          </cell>
          <cell r="X40" t="str">
            <v>Enseign. technique</v>
          </cell>
          <cell r="Y40" t="str">
            <v>P3</v>
          </cell>
          <cell r="Z40" t="str">
            <v>Intérieur</v>
          </cell>
          <cell r="AA40" t="str">
            <v>Salaires fonct.</v>
          </cell>
          <cell r="AB40">
            <v>2760040</v>
          </cell>
          <cell r="AC40">
            <v>2760040</v>
          </cell>
        </row>
        <row r="41">
          <cell r="A41">
            <v>615</v>
          </cell>
          <cell r="B41">
            <v>1</v>
          </cell>
          <cell r="E41" t="str">
            <v>20</v>
          </cell>
          <cell r="F41">
            <v>44000300600</v>
          </cell>
          <cell r="G41">
            <v>2</v>
          </cell>
          <cell r="H41" t="str">
            <v>21</v>
          </cell>
          <cell r="I41">
            <v>20</v>
          </cell>
          <cell r="J41">
            <v>20</v>
          </cell>
          <cell r="K41">
            <v>1</v>
          </cell>
          <cell r="L41">
            <v>44</v>
          </cell>
          <cell r="M41" t="str">
            <v>000</v>
          </cell>
          <cell r="N41">
            <v>3</v>
          </cell>
          <cell r="O41" t="str">
            <v>00</v>
          </cell>
          <cell r="P41">
            <v>6</v>
          </cell>
          <cell r="Q41">
            <v>2</v>
          </cell>
          <cell r="R41">
            <v>2</v>
          </cell>
          <cell r="S41">
            <v>1</v>
          </cell>
          <cell r="T41">
            <v>20</v>
          </cell>
          <cell r="V41">
            <v>1</v>
          </cell>
          <cell r="W41">
            <v>0</v>
          </cell>
          <cell r="X41" t="str">
            <v>Enseign. technique</v>
          </cell>
          <cell r="Y41" t="str">
            <v>P3</v>
          </cell>
          <cell r="Z41" t="str">
            <v>Intérieur</v>
          </cell>
          <cell r="AA41" t="str">
            <v>Primes fonct.</v>
          </cell>
          <cell r="AB41">
            <v>366910</v>
          </cell>
          <cell r="AC41">
            <v>366910</v>
          </cell>
        </row>
        <row r="42">
          <cell r="A42">
            <v>616</v>
          </cell>
          <cell r="B42">
            <v>1</v>
          </cell>
          <cell r="E42" t="str">
            <v>20</v>
          </cell>
          <cell r="F42">
            <v>44000300600</v>
          </cell>
          <cell r="G42">
            <v>2</v>
          </cell>
          <cell r="H42" t="str">
            <v>21</v>
          </cell>
          <cell r="I42">
            <v>30</v>
          </cell>
          <cell r="J42">
            <v>20</v>
          </cell>
          <cell r="K42">
            <v>1</v>
          </cell>
          <cell r="L42">
            <v>44</v>
          </cell>
          <cell r="M42" t="str">
            <v>000</v>
          </cell>
          <cell r="N42">
            <v>3</v>
          </cell>
          <cell r="O42" t="str">
            <v>00</v>
          </cell>
          <cell r="P42">
            <v>6</v>
          </cell>
          <cell r="Q42">
            <v>2</v>
          </cell>
          <cell r="R42">
            <v>2</v>
          </cell>
          <cell r="S42">
            <v>1</v>
          </cell>
          <cell r="T42">
            <v>30</v>
          </cell>
          <cell r="V42">
            <v>1</v>
          </cell>
          <cell r="W42">
            <v>0</v>
          </cell>
          <cell r="X42" t="str">
            <v>Enseign. technique</v>
          </cell>
          <cell r="Y42" t="str">
            <v>P3</v>
          </cell>
          <cell r="Z42" t="str">
            <v>Intérieur</v>
          </cell>
          <cell r="AA42" t="str">
            <v>Indemnités fonct.</v>
          </cell>
          <cell r="AB42">
            <v>879420</v>
          </cell>
          <cell r="AC42">
            <v>879420</v>
          </cell>
        </row>
        <row r="43">
          <cell r="A43">
            <v>617</v>
          </cell>
          <cell r="B43">
            <v>1</v>
          </cell>
          <cell r="E43" t="str">
            <v>20</v>
          </cell>
          <cell r="F43">
            <v>44000300600</v>
          </cell>
          <cell r="G43">
            <v>2</v>
          </cell>
          <cell r="H43" t="str">
            <v>21</v>
          </cell>
          <cell r="I43">
            <v>40</v>
          </cell>
          <cell r="J43">
            <v>20</v>
          </cell>
          <cell r="K43">
            <v>1</v>
          </cell>
          <cell r="L43">
            <v>44</v>
          </cell>
          <cell r="M43" t="str">
            <v>000</v>
          </cell>
          <cell r="N43">
            <v>3</v>
          </cell>
          <cell r="O43" t="str">
            <v>00</v>
          </cell>
          <cell r="P43">
            <v>6</v>
          </cell>
          <cell r="Q43">
            <v>2</v>
          </cell>
          <cell r="R43">
            <v>2</v>
          </cell>
          <cell r="S43">
            <v>1</v>
          </cell>
          <cell r="T43">
            <v>40</v>
          </cell>
          <cell r="V43">
            <v>1</v>
          </cell>
          <cell r="W43">
            <v>0</v>
          </cell>
          <cell r="X43" t="str">
            <v>Enseign. technique</v>
          </cell>
          <cell r="Y43" t="str">
            <v>P3</v>
          </cell>
          <cell r="Z43" t="str">
            <v>Intérieur</v>
          </cell>
          <cell r="AA43" t="str">
            <v xml:space="preserve">Allocations familiales fonc. </v>
          </cell>
          <cell r="AB43">
            <v>48840</v>
          </cell>
          <cell r="AC43">
            <v>48840</v>
          </cell>
        </row>
        <row r="44">
          <cell r="A44">
            <v>632</v>
          </cell>
          <cell r="B44">
            <v>1</v>
          </cell>
          <cell r="E44" t="str">
            <v>20</v>
          </cell>
          <cell r="F44">
            <v>46000300600</v>
          </cell>
          <cell r="G44">
            <v>2</v>
          </cell>
          <cell r="H44" t="str">
            <v>21</v>
          </cell>
          <cell r="I44">
            <v>10</v>
          </cell>
          <cell r="J44">
            <v>20</v>
          </cell>
          <cell r="K44">
            <v>1</v>
          </cell>
          <cell r="L44">
            <v>46</v>
          </cell>
          <cell r="M44" t="str">
            <v>000</v>
          </cell>
          <cell r="N44">
            <v>3</v>
          </cell>
          <cell r="O44" t="str">
            <v>00</v>
          </cell>
          <cell r="P44">
            <v>6</v>
          </cell>
          <cell r="Q44">
            <v>2</v>
          </cell>
          <cell r="R44">
            <v>2</v>
          </cell>
          <cell r="S44">
            <v>1</v>
          </cell>
          <cell r="T44">
            <v>10</v>
          </cell>
          <cell r="V44">
            <v>1</v>
          </cell>
          <cell r="W44">
            <v>0</v>
          </cell>
          <cell r="X44" t="str">
            <v>Enseig. Supérieur</v>
          </cell>
          <cell r="Y44" t="str">
            <v>P4</v>
          </cell>
          <cell r="Z44" t="str">
            <v>Intérieur</v>
          </cell>
          <cell r="AA44" t="str">
            <v>Salaires fonct.</v>
          </cell>
          <cell r="AB44">
            <v>2743180</v>
          </cell>
          <cell r="AC44">
            <v>2743180</v>
          </cell>
        </row>
        <row r="45">
          <cell r="A45">
            <v>633</v>
          </cell>
          <cell r="B45">
            <v>1</v>
          </cell>
          <cell r="E45" t="str">
            <v>20</v>
          </cell>
          <cell r="F45">
            <v>46000300600</v>
          </cell>
          <cell r="G45">
            <v>2</v>
          </cell>
          <cell r="H45" t="str">
            <v>21</v>
          </cell>
          <cell r="I45">
            <v>20</v>
          </cell>
          <cell r="J45">
            <v>20</v>
          </cell>
          <cell r="K45">
            <v>1</v>
          </cell>
          <cell r="L45">
            <v>46</v>
          </cell>
          <cell r="M45" t="str">
            <v>000</v>
          </cell>
          <cell r="N45">
            <v>3</v>
          </cell>
          <cell r="O45" t="str">
            <v>00</v>
          </cell>
          <cell r="P45">
            <v>6</v>
          </cell>
          <cell r="Q45">
            <v>2</v>
          </cell>
          <cell r="R45">
            <v>2</v>
          </cell>
          <cell r="S45">
            <v>1</v>
          </cell>
          <cell r="T45">
            <v>20</v>
          </cell>
          <cell r="V45">
            <v>1</v>
          </cell>
          <cell r="W45">
            <v>0</v>
          </cell>
          <cell r="X45" t="str">
            <v>Enseig. Supérieur</v>
          </cell>
          <cell r="Y45" t="str">
            <v>P4</v>
          </cell>
          <cell r="Z45" t="str">
            <v>Intérieur</v>
          </cell>
          <cell r="AA45" t="str">
            <v>Primes fonct.</v>
          </cell>
          <cell r="AB45">
            <v>387710</v>
          </cell>
          <cell r="AC45">
            <v>387710</v>
          </cell>
        </row>
        <row r="46">
          <cell r="A46">
            <v>634</v>
          </cell>
          <cell r="B46">
            <v>1</v>
          </cell>
          <cell r="E46" t="str">
            <v>20</v>
          </cell>
          <cell r="F46">
            <v>46000300600</v>
          </cell>
          <cell r="G46">
            <v>2</v>
          </cell>
          <cell r="H46" t="str">
            <v>21</v>
          </cell>
          <cell r="I46">
            <v>30</v>
          </cell>
          <cell r="J46">
            <v>20</v>
          </cell>
          <cell r="K46">
            <v>1</v>
          </cell>
          <cell r="L46">
            <v>46</v>
          </cell>
          <cell r="M46" t="str">
            <v>000</v>
          </cell>
          <cell r="N46">
            <v>3</v>
          </cell>
          <cell r="O46" t="str">
            <v>00</v>
          </cell>
          <cell r="P46">
            <v>6</v>
          </cell>
          <cell r="Q46">
            <v>2</v>
          </cell>
          <cell r="R46">
            <v>2</v>
          </cell>
          <cell r="S46">
            <v>1</v>
          </cell>
          <cell r="T46">
            <v>30</v>
          </cell>
          <cell r="V46">
            <v>1</v>
          </cell>
          <cell r="W46">
            <v>0</v>
          </cell>
          <cell r="X46" t="str">
            <v>Enseig. Supérieur</v>
          </cell>
          <cell r="Y46" t="str">
            <v>P4</v>
          </cell>
          <cell r="Z46" t="str">
            <v>Intérieur</v>
          </cell>
          <cell r="AA46" t="str">
            <v>Indemnités fonct.</v>
          </cell>
          <cell r="AB46">
            <v>825700</v>
          </cell>
          <cell r="AC46">
            <v>825700</v>
          </cell>
        </row>
        <row r="47">
          <cell r="A47">
            <v>635</v>
          </cell>
          <cell r="B47">
            <v>1</v>
          </cell>
          <cell r="E47" t="str">
            <v>20</v>
          </cell>
          <cell r="F47">
            <v>46000300600</v>
          </cell>
          <cell r="G47">
            <v>2</v>
          </cell>
          <cell r="H47" t="str">
            <v>21</v>
          </cell>
          <cell r="I47">
            <v>40</v>
          </cell>
          <cell r="J47">
            <v>20</v>
          </cell>
          <cell r="K47">
            <v>1</v>
          </cell>
          <cell r="L47">
            <v>46</v>
          </cell>
          <cell r="M47" t="str">
            <v>000</v>
          </cell>
          <cell r="N47">
            <v>3</v>
          </cell>
          <cell r="O47" t="str">
            <v>00</v>
          </cell>
          <cell r="P47">
            <v>6</v>
          </cell>
          <cell r="Q47">
            <v>2</v>
          </cell>
          <cell r="R47">
            <v>2</v>
          </cell>
          <cell r="S47">
            <v>1</v>
          </cell>
          <cell r="T47">
            <v>40</v>
          </cell>
          <cell r="V47">
            <v>1</v>
          </cell>
          <cell r="W47">
            <v>0</v>
          </cell>
          <cell r="X47" t="str">
            <v>Enseig. Supérieur</v>
          </cell>
          <cell r="Y47" t="str">
            <v>P4</v>
          </cell>
          <cell r="Z47" t="str">
            <v>Intérieur</v>
          </cell>
          <cell r="AA47" t="str">
            <v xml:space="preserve">Allocations familiales fonc. </v>
          </cell>
          <cell r="AB47">
            <v>34800</v>
          </cell>
          <cell r="AC47">
            <v>34800</v>
          </cell>
        </row>
        <row r="48">
          <cell r="A48">
            <v>591</v>
          </cell>
          <cell r="B48">
            <v>1</v>
          </cell>
          <cell r="E48" t="str">
            <v>20</v>
          </cell>
          <cell r="F48">
            <v>49000300600</v>
          </cell>
          <cell r="G48">
            <v>2</v>
          </cell>
          <cell r="H48" t="str">
            <v>21</v>
          </cell>
          <cell r="I48">
            <v>10</v>
          </cell>
          <cell r="J48">
            <v>20</v>
          </cell>
          <cell r="K48">
            <v>1</v>
          </cell>
          <cell r="L48">
            <v>49</v>
          </cell>
          <cell r="M48" t="str">
            <v>000</v>
          </cell>
          <cell r="N48">
            <v>3</v>
          </cell>
          <cell r="O48" t="str">
            <v>00</v>
          </cell>
          <cell r="P48">
            <v>6</v>
          </cell>
          <cell r="Q48">
            <v>2</v>
          </cell>
          <cell r="R48">
            <v>2</v>
          </cell>
          <cell r="S48">
            <v>1</v>
          </cell>
          <cell r="T48">
            <v>10</v>
          </cell>
          <cell r="V48">
            <v>1</v>
          </cell>
          <cell r="W48">
            <v>0</v>
          </cell>
          <cell r="X48" t="str">
            <v>Enseig. Serv administratifs</v>
          </cell>
          <cell r="Y48" t="str">
            <v>P5</v>
          </cell>
          <cell r="Z48" t="str">
            <v>Intérieur</v>
          </cell>
          <cell r="AA48" t="str">
            <v>Salaires fonct.</v>
          </cell>
          <cell r="AB48">
            <v>81847440</v>
          </cell>
          <cell r="AC48">
            <v>81847440</v>
          </cell>
        </row>
        <row r="49">
          <cell r="B49">
            <v>1</v>
          </cell>
          <cell r="E49" t="str">
            <v>20</v>
          </cell>
          <cell r="F49">
            <v>49000300900</v>
          </cell>
          <cell r="G49">
            <v>2</v>
          </cell>
          <cell r="H49" t="str">
            <v>21</v>
          </cell>
          <cell r="I49">
            <v>10</v>
          </cell>
          <cell r="J49">
            <v>20</v>
          </cell>
          <cell r="K49">
            <v>1</v>
          </cell>
          <cell r="L49">
            <v>49</v>
          </cell>
          <cell r="M49" t="str">
            <v>000</v>
          </cell>
          <cell r="N49">
            <v>3</v>
          </cell>
          <cell r="O49" t="str">
            <v>00</v>
          </cell>
          <cell r="P49">
            <v>9</v>
          </cell>
          <cell r="Q49">
            <v>2</v>
          </cell>
          <cell r="R49">
            <v>2</v>
          </cell>
          <cell r="S49">
            <v>1</v>
          </cell>
          <cell r="T49">
            <v>10</v>
          </cell>
          <cell r="V49">
            <v>1</v>
          </cell>
          <cell r="W49">
            <v>0</v>
          </cell>
          <cell r="X49" t="str">
            <v>Enseig. Serv administratifs</v>
          </cell>
          <cell r="Y49" t="str">
            <v>P5</v>
          </cell>
          <cell r="Z49" t="str">
            <v>Intérieur</v>
          </cell>
          <cell r="AA49" t="str">
            <v>Salaires fonct.PPTE</v>
          </cell>
          <cell r="AB49">
            <v>0</v>
          </cell>
          <cell r="AC49">
            <v>0</v>
          </cell>
        </row>
        <row r="50">
          <cell r="A50">
            <v>592</v>
          </cell>
          <cell r="B50">
            <v>1</v>
          </cell>
          <cell r="E50" t="str">
            <v>20</v>
          </cell>
          <cell r="F50">
            <v>49000300600</v>
          </cell>
          <cell r="G50">
            <v>2</v>
          </cell>
          <cell r="H50" t="str">
            <v>21</v>
          </cell>
          <cell r="I50">
            <v>20</v>
          </cell>
          <cell r="J50">
            <v>20</v>
          </cell>
          <cell r="K50">
            <v>1</v>
          </cell>
          <cell r="L50">
            <v>49</v>
          </cell>
          <cell r="M50" t="str">
            <v>000</v>
          </cell>
          <cell r="N50">
            <v>3</v>
          </cell>
          <cell r="O50" t="str">
            <v>00</v>
          </cell>
          <cell r="P50">
            <v>6</v>
          </cell>
          <cell r="Q50">
            <v>2</v>
          </cell>
          <cell r="R50">
            <v>2</v>
          </cell>
          <cell r="S50">
            <v>1</v>
          </cell>
          <cell r="T50">
            <v>20</v>
          </cell>
          <cell r="V50">
            <v>1</v>
          </cell>
          <cell r="W50">
            <v>0</v>
          </cell>
          <cell r="X50" t="str">
            <v>Enseig. Serv administratifs</v>
          </cell>
          <cell r="Y50" t="str">
            <v>P5</v>
          </cell>
          <cell r="Z50" t="str">
            <v>Intérieur</v>
          </cell>
          <cell r="AA50" t="str">
            <v>Primes fonct.</v>
          </cell>
          <cell r="AB50">
            <v>14111750</v>
          </cell>
          <cell r="AC50">
            <v>14111750</v>
          </cell>
        </row>
        <row r="51">
          <cell r="B51">
            <v>1</v>
          </cell>
          <cell r="E51" t="str">
            <v>20</v>
          </cell>
          <cell r="F51">
            <v>49000300900</v>
          </cell>
          <cell r="G51">
            <v>2</v>
          </cell>
          <cell r="H51" t="str">
            <v>21</v>
          </cell>
          <cell r="I51">
            <v>20</v>
          </cell>
          <cell r="J51">
            <v>20</v>
          </cell>
          <cell r="K51">
            <v>1</v>
          </cell>
          <cell r="L51">
            <v>49</v>
          </cell>
          <cell r="M51" t="str">
            <v>000</v>
          </cell>
          <cell r="N51">
            <v>3</v>
          </cell>
          <cell r="O51" t="str">
            <v>00</v>
          </cell>
          <cell r="P51">
            <v>9</v>
          </cell>
          <cell r="Q51">
            <v>2</v>
          </cell>
          <cell r="R51">
            <v>2</v>
          </cell>
          <cell r="S51">
            <v>1</v>
          </cell>
          <cell r="T51">
            <v>20</v>
          </cell>
          <cell r="V51">
            <v>1</v>
          </cell>
          <cell r="W51">
            <v>0</v>
          </cell>
          <cell r="X51" t="str">
            <v>Enseig. Serv administratifs</v>
          </cell>
          <cell r="Y51" t="str">
            <v>P5</v>
          </cell>
          <cell r="Z51" t="str">
            <v>Intérieur</v>
          </cell>
          <cell r="AA51" t="str">
            <v>Primes fonct.PPTE</v>
          </cell>
          <cell r="AB51">
            <v>0</v>
          </cell>
          <cell r="AC51">
            <v>0</v>
          </cell>
        </row>
        <row r="52">
          <cell r="A52">
            <v>593</v>
          </cell>
          <cell r="B52">
            <v>1</v>
          </cell>
          <cell r="E52" t="str">
            <v>20</v>
          </cell>
          <cell r="F52">
            <v>49000300600</v>
          </cell>
          <cell r="G52">
            <v>2</v>
          </cell>
          <cell r="H52" t="str">
            <v>21</v>
          </cell>
          <cell r="I52">
            <v>30</v>
          </cell>
          <cell r="J52">
            <v>20</v>
          </cell>
          <cell r="K52">
            <v>1</v>
          </cell>
          <cell r="L52">
            <v>49</v>
          </cell>
          <cell r="M52" t="str">
            <v>000</v>
          </cell>
          <cell r="N52">
            <v>3</v>
          </cell>
          <cell r="O52" t="str">
            <v>00</v>
          </cell>
          <cell r="P52">
            <v>6</v>
          </cell>
          <cell r="Q52">
            <v>2</v>
          </cell>
          <cell r="R52">
            <v>2</v>
          </cell>
          <cell r="S52">
            <v>1</v>
          </cell>
          <cell r="T52">
            <v>30</v>
          </cell>
          <cell r="V52">
            <v>1</v>
          </cell>
          <cell r="W52">
            <v>0</v>
          </cell>
          <cell r="X52" t="str">
            <v>Enseig. Serv administratifs</v>
          </cell>
          <cell r="Y52" t="str">
            <v>P5</v>
          </cell>
          <cell r="Z52" t="str">
            <v>Intérieur</v>
          </cell>
          <cell r="AA52" t="str">
            <v>Indemnités fonct.</v>
          </cell>
          <cell r="AB52">
            <v>50914820</v>
          </cell>
          <cell r="AC52">
            <v>50914820</v>
          </cell>
        </row>
        <row r="53">
          <cell r="B53">
            <v>1</v>
          </cell>
          <cell r="E53" t="str">
            <v>20</v>
          </cell>
          <cell r="F53">
            <v>49000300900</v>
          </cell>
          <cell r="G53">
            <v>2</v>
          </cell>
          <cell r="H53" t="str">
            <v>21</v>
          </cell>
          <cell r="I53">
            <v>30</v>
          </cell>
          <cell r="J53">
            <v>20</v>
          </cell>
          <cell r="K53">
            <v>1</v>
          </cell>
          <cell r="L53">
            <v>49</v>
          </cell>
          <cell r="M53" t="str">
            <v>000</v>
          </cell>
          <cell r="N53">
            <v>3</v>
          </cell>
          <cell r="O53" t="str">
            <v>00</v>
          </cell>
          <cell r="P53">
            <v>9</v>
          </cell>
          <cell r="Q53">
            <v>2</v>
          </cell>
          <cell r="R53">
            <v>2</v>
          </cell>
          <cell r="S53">
            <v>1</v>
          </cell>
          <cell r="T53">
            <v>30</v>
          </cell>
          <cell r="V53">
            <v>1</v>
          </cell>
          <cell r="W53">
            <v>0</v>
          </cell>
          <cell r="X53" t="str">
            <v>Enseig. Serv administratifs</v>
          </cell>
          <cell r="Y53" t="str">
            <v>P5</v>
          </cell>
          <cell r="Z53" t="str">
            <v>Intérieur</v>
          </cell>
          <cell r="AA53" t="str">
            <v>Indemnités fonct.PPTE</v>
          </cell>
          <cell r="AB53">
            <v>0</v>
          </cell>
          <cell r="AC53">
            <v>0</v>
          </cell>
        </row>
        <row r="54">
          <cell r="A54">
            <v>594</v>
          </cell>
          <cell r="B54">
            <v>1</v>
          </cell>
          <cell r="E54" t="str">
            <v>20</v>
          </cell>
          <cell r="F54">
            <v>49000300600</v>
          </cell>
          <cell r="G54">
            <v>2</v>
          </cell>
          <cell r="H54" t="str">
            <v>21</v>
          </cell>
          <cell r="I54">
            <v>40</v>
          </cell>
          <cell r="J54">
            <v>20</v>
          </cell>
          <cell r="K54">
            <v>1</v>
          </cell>
          <cell r="L54">
            <v>49</v>
          </cell>
          <cell r="M54" t="str">
            <v>000</v>
          </cell>
          <cell r="N54">
            <v>3</v>
          </cell>
          <cell r="O54" t="str">
            <v>00</v>
          </cell>
          <cell r="P54">
            <v>6</v>
          </cell>
          <cell r="Q54">
            <v>2</v>
          </cell>
          <cell r="R54">
            <v>2</v>
          </cell>
          <cell r="S54">
            <v>1</v>
          </cell>
          <cell r="T54">
            <v>40</v>
          </cell>
          <cell r="V54">
            <v>1</v>
          </cell>
          <cell r="W54">
            <v>0</v>
          </cell>
          <cell r="X54" t="str">
            <v>Enseig. Serv administratifs</v>
          </cell>
          <cell r="Y54" t="str">
            <v>P5</v>
          </cell>
          <cell r="Z54" t="str">
            <v>Intérieur</v>
          </cell>
          <cell r="AA54" t="str">
            <v xml:space="preserve">Allocations familiales fonc. </v>
          </cell>
          <cell r="AB54">
            <v>1048340</v>
          </cell>
          <cell r="AC54">
            <v>1048340</v>
          </cell>
        </row>
        <row r="55">
          <cell r="B55">
            <v>1</v>
          </cell>
          <cell r="E55" t="str">
            <v>20</v>
          </cell>
          <cell r="F55">
            <v>49000300900</v>
          </cell>
          <cell r="G55">
            <v>2</v>
          </cell>
          <cell r="H55" t="str">
            <v>21</v>
          </cell>
          <cell r="I55">
            <v>40</v>
          </cell>
          <cell r="J55">
            <v>20</v>
          </cell>
          <cell r="K55">
            <v>1</v>
          </cell>
          <cell r="L55">
            <v>49</v>
          </cell>
          <cell r="M55" t="str">
            <v>000</v>
          </cell>
          <cell r="N55">
            <v>3</v>
          </cell>
          <cell r="O55" t="str">
            <v>00</v>
          </cell>
          <cell r="P55">
            <v>9</v>
          </cell>
          <cell r="Q55">
            <v>2</v>
          </cell>
          <cell r="R55">
            <v>2</v>
          </cell>
          <cell r="S55">
            <v>1</v>
          </cell>
          <cell r="T55">
            <v>40</v>
          </cell>
          <cell r="V55">
            <v>1</v>
          </cell>
          <cell r="W55">
            <v>0</v>
          </cell>
          <cell r="X55" t="str">
            <v>Enseig. Serv administratifs</v>
          </cell>
          <cell r="Y55" t="str">
            <v>P5</v>
          </cell>
          <cell r="Z55" t="str">
            <v>Intérieur</v>
          </cell>
          <cell r="AA55" t="str">
            <v>Allocations familiales fonc. PPTE</v>
          </cell>
          <cell r="AB55">
            <v>0</v>
          </cell>
          <cell r="AC55">
            <v>0</v>
          </cell>
        </row>
        <row r="56">
          <cell r="A56">
            <v>12348</v>
          </cell>
          <cell r="B56">
            <v>1</v>
          </cell>
          <cell r="D56" t="str">
            <v>I</v>
          </cell>
          <cell r="J56">
            <v>20</v>
          </cell>
          <cell r="K56">
            <v>1</v>
          </cell>
          <cell r="Q56">
            <v>2</v>
          </cell>
          <cell r="R56">
            <v>2</v>
          </cell>
          <cell r="S56">
            <v>4</v>
          </cell>
          <cell r="X56" t="str">
            <v xml:space="preserve">Rem. Contract. Temporaires </v>
          </cell>
          <cell r="AB56">
            <v>1947600</v>
          </cell>
          <cell r="AC56">
            <v>1947600</v>
          </cell>
        </row>
        <row r="57">
          <cell r="A57">
            <v>605</v>
          </cell>
          <cell r="B57">
            <v>1</v>
          </cell>
          <cell r="E57" t="str">
            <v>20</v>
          </cell>
          <cell r="F57">
            <v>44000100600</v>
          </cell>
          <cell r="G57">
            <v>2</v>
          </cell>
          <cell r="H57" t="str">
            <v>24</v>
          </cell>
          <cell r="I57">
            <v>10</v>
          </cell>
          <cell r="J57">
            <v>20</v>
          </cell>
          <cell r="K57">
            <v>1</v>
          </cell>
          <cell r="L57">
            <v>44</v>
          </cell>
          <cell r="M57" t="str">
            <v>000</v>
          </cell>
          <cell r="N57">
            <v>1</v>
          </cell>
          <cell r="O57" t="str">
            <v>00</v>
          </cell>
          <cell r="P57">
            <v>6</v>
          </cell>
          <cell r="Q57">
            <v>2</v>
          </cell>
          <cell r="R57">
            <v>2</v>
          </cell>
          <cell r="S57">
            <v>4</v>
          </cell>
          <cell r="T57">
            <v>10</v>
          </cell>
          <cell r="V57">
            <v>1</v>
          </cell>
          <cell r="W57">
            <v>0</v>
          </cell>
          <cell r="X57" t="str">
            <v>Enseign. technique</v>
          </cell>
          <cell r="Y57" t="str">
            <v>P3</v>
          </cell>
          <cell r="Z57" t="str">
            <v>Serv.cent.</v>
          </cell>
          <cell r="AA57" t="str">
            <v>Salaires CT</v>
          </cell>
          <cell r="AB57">
            <v>475200</v>
          </cell>
          <cell r="AC57">
            <v>475200</v>
          </cell>
        </row>
        <row r="58">
          <cell r="A58">
            <v>627</v>
          </cell>
          <cell r="B58">
            <v>1</v>
          </cell>
          <cell r="E58" t="str">
            <v>20</v>
          </cell>
          <cell r="F58">
            <v>46000100600</v>
          </cell>
          <cell r="G58">
            <v>2</v>
          </cell>
          <cell r="H58" t="str">
            <v>24</v>
          </cell>
          <cell r="I58">
            <v>10</v>
          </cell>
          <cell r="J58">
            <v>20</v>
          </cell>
          <cell r="K58">
            <v>1</v>
          </cell>
          <cell r="L58">
            <v>46</v>
          </cell>
          <cell r="M58" t="str">
            <v>000</v>
          </cell>
          <cell r="N58">
            <v>1</v>
          </cell>
          <cell r="O58" t="str">
            <v>00</v>
          </cell>
          <cell r="P58">
            <v>6</v>
          </cell>
          <cell r="Q58">
            <v>2</v>
          </cell>
          <cell r="R58">
            <v>2</v>
          </cell>
          <cell r="S58">
            <v>4</v>
          </cell>
          <cell r="T58">
            <v>10</v>
          </cell>
          <cell r="V58">
            <v>1</v>
          </cell>
          <cell r="W58">
            <v>0</v>
          </cell>
          <cell r="X58" t="str">
            <v>Enseig. Supérieur</v>
          </cell>
          <cell r="Y58" t="str">
            <v>P4</v>
          </cell>
          <cell r="Z58" t="str">
            <v>Serv.cent.</v>
          </cell>
          <cell r="AA58" t="str">
            <v>Salaires CT</v>
          </cell>
          <cell r="AB58">
            <v>498000</v>
          </cell>
          <cell r="AC58">
            <v>498000</v>
          </cell>
        </row>
        <row r="59">
          <cell r="A59">
            <v>579</v>
          </cell>
          <cell r="B59">
            <v>1</v>
          </cell>
          <cell r="E59" t="str">
            <v>20</v>
          </cell>
          <cell r="F59">
            <v>49000100600</v>
          </cell>
          <cell r="G59">
            <v>2</v>
          </cell>
          <cell r="H59" t="str">
            <v>24</v>
          </cell>
          <cell r="I59">
            <v>10</v>
          </cell>
          <cell r="J59">
            <v>20</v>
          </cell>
          <cell r="K59">
            <v>1</v>
          </cell>
          <cell r="L59">
            <v>49</v>
          </cell>
          <cell r="M59" t="str">
            <v>000</v>
          </cell>
          <cell r="N59">
            <v>1</v>
          </cell>
          <cell r="O59" t="str">
            <v>00</v>
          </cell>
          <cell r="P59">
            <v>6</v>
          </cell>
          <cell r="Q59">
            <v>2</v>
          </cell>
          <cell r="R59">
            <v>2</v>
          </cell>
          <cell r="S59">
            <v>4</v>
          </cell>
          <cell r="T59">
            <v>10</v>
          </cell>
          <cell r="V59">
            <v>1</v>
          </cell>
          <cell r="W59">
            <v>0</v>
          </cell>
          <cell r="X59" t="str">
            <v>Enseig. Serv administratifs</v>
          </cell>
          <cell r="Y59" t="str">
            <v>P5</v>
          </cell>
          <cell r="Z59" t="str">
            <v>Serv.cent.</v>
          </cell>
          <cell r="AA59" t="str">
            <v>Salaires CT</v>
          </cell>
          <cell r="AB59">
            <v>974400</v>
          </cell>
          <cell r="AC59">
            <v>974400</v>
          </cell>
        </row>
        <row r="60">
          <cell r="A60">
            <v>12350</v>
          </cell>
          <cell r="B60">
            <v>1</v>
          </cell>
          <cell r="D60" t="str">
            <v>I</v>
          </cell>
          <cell r="J60">
            <v>20</v>
          </cell>
          <cell r="K60">
            <v>1</v>
          </cell>
          <cell r="Q60">
            <v>2</v>
          </cell>
          <cell r="R60">
            <v>2</v>
          </cell>
          <cell r="S60">
            <v>5</v>
          </cell>
          <cell r="X60" t="str">
            <v xml:space="preserve">Rem. Particulières (h.projets) </v>
          </cell>
          <cell r="AB60">
            <v>92085010</v>
          </cell>
          <cell r="AC60">
            <v>92085010</v>
          </cell>
        </row>
        <row r="61">
          <cell r="A61">
            <v>12352</v>
          </cell>
          <cell r="B61">
            <v>1</v>
          </cell>
          <cell r="J61">
            <v>20</v>
          </cell>
          <cell r="K61">
            <v>1</v>
          </cell>
          <cell r="N61">
            <v>1</v>
          </cell>
          <cell r="Q61">
            <v>2</v>
          </cell>
          <cell r="R61">
            <v>2</v>
          </cell>
          <cell r="S61">
            <v>5</v>
          </cell>
          <cell r="X61" t="str">
            <v>Services centraux</v>
          </cell>
          <cell r="AB61">
            <v>40365970</v>
          </cell>
          <cell r="AC61">
            <v>40365970</v>
          </cell>
        </row>
        <row r="62">
          <cell r="A62">
            <v>607</v>
          </cell>
          <cell r="B62">
            <v>1</v>
          </cell>
          <cell r="E62" t="str">
            <v>20</v>
          </cell>
          <cell r="F62">
            <v>44000100600</v>
          </cell>
          <cell r="G62">
            <v>2</v>
          </cell>
          <cell r="H62" t="str">
            <v>25</v>
          </cell>
          <cell r="I62">
            <v>34</v>
          </cell>
          <cell r="J62">
            <v>20</v>
          </cell>
          <cell r="K62">
            <v>1</v>
          </cell>
          <cell r="L62">
            <v>44</v>
          </cell>
          <cell r="M62" t="str">
            <v>000</v>
          </cell>
          <cell r="N62">
            <v>1</v>
          </cell>
          <cell r="O62" t="str">
            <v>00</v>
          </cell>
          <cell r="P62">
            <v>6</v>
          </cell>
          <cell r="Q62">
            <v>2</v>
          </cell>
          <cell r="R62">
            <v>2</v>
          </cell>
          <cell r="S62">
            <v>5</v>
          </cell>
          <cell r="T62">
            <v>34</v>
          </cell>
          <cell r="V62">
            <v>1</v>
          </cell>
          <cell r="W62">
            <v>0</v>
          </cell>
          <cell r="X62" t="str">
            <v>Enseign. technique</v>
          </cell>
          <cell r="Y62" t="str">
            <v>P3</v>
          </cell>
          <cell r="Z62" t="str">
            <v>Serv.cent.</v>
          </cell>
          <cell r="AA62" t="str">
            <v>Indemnités d’examen</v>
          </cell>
          <cell r="AB62">
            <v>831600</v>
          </cell>
          <cell r="AC62">
            <v>831600</v>
          </cell>
        </row>
        <row r="63">
          <cell r="A63">
            <v>628</v>
          </cell>
          <cell r="B63">
            <v>1</v>
          </cell>
          <cell r="D63" t="str">
            <v>$</v>
          </cell>
          <cell r="E63" t="str">
            <v>20</v>
          </cell>
          <cell r="F63">
            <v>46000100600</v>
          </cell>
          <cell r="G63">
            <v>2</v>
          </cell>
          <cell r="H63" t="str">
            <v>25</v>
          </cell>
          <cell r="I63">
            <v>13</v>
          </cell>
          <cell r="J63">
            <v>20</v>
          </cell>
          <cell r="K63">
            <v>1</v>
          </cell>
          <cell r="L63">
            <v>46</v>
          </cell>
          <cell r="M63" t="str">
            <v>000</v>
          </cell>
          <cell r="N63">
            <v>1</v>
          </cell>
          <cell r="O63" t="str">
            <v>00</v>
          </cell>
          <cell r="P63">
            <v>6</v>
          </cell>
          <cell r="Q63">
            <v>2</v>
          </cell>
          <cell r="R63">
            <v>2</v>
          </cell>
          <cell r="S63">
            <v>5</v>
          </cell>
          <cell r="T63">
            <v>13</v>
          </cell>
          <cell r="V63">
            <v>1</v>
          </cell>
          <cell r="W63">
            <v>0</v>
          </cell>
          <cell r="X63" t="str">
            <v>Enseig. Supérieur</v>
          </cell>
          <cell r="Y63" t="str">
            <v>P4</v>
          </cell>
          <cell r="Z63" t="str">
            <v>Serv.cent.</v>
          </cell>
          <cell r="AA63" t="str">
            <v>Salaires experts contractuels</v>
          </cell>
          <cell r="AB63">
            <v>37936540</v>
          </cell>
          <cell r="AC63">
            <v>37936540</v>
          </cell>
        </row>
        <row r="64">
          <cell r="A64">
            <v>629</v>
          </cell>
          <cell r="B64">
            <v>1</v>
          </cell>
          <cell r="E64" t="str">
            <v>20</v>
          </cell>
          <cell r="F64">
            <v>46000100600</v>
          </cell>
          <cell r="G64">
            <v>2</v>
          </cell>
          <cell r="H64" t="str">
            <v>25</v>
          </cell>
          <cell r="I64">
            <v>15</v>
          </cell>
          <cell r="J64">
            <v>20</v>
          </cell>
          <cell r="K64">
            <v>1</v>
          </cell>
          <cell r="L64">
            <v>46</v>
          </cell>
          <cell r="M64" t="str">
            <v>000</v>
          </cell>
          <cell r="N64">
            <v>1</v>
          </cell>
          <cell r="O64" t="str">
            <v>00</v>
          </cell>
          <cell r="P64">
            <v>6</v>
          </cell>
          <cell r="Q64">
            <v>2</v>
          </cell>
          <cell r="R64">
            <v>2</v>
          </cell>
          <cell r="S64">
            <v>5</v>
          </cell>
          <cell r="T64">
            <v>15</v>
          </cell>
          <cell r="V64">
            <v>1</v>
          </cell>
          <cell r="X64" t="str">
            <v>Enseig. Supérieur</v>
          </cell>
          <cell r="Y64" t="str">
            <v>P4</v>
          </cell>
          <cell r="Z64" t="str">
            <v>Serv.cent.</v>
          </cell>
          <cell r="AA64" t="str">
            <v>Vacation des extra muros</v>
          </cell>
          <cell r="AB64">
            <v>0</v>
          </cell>
          <cell r="AC64">
            <v>0</v>
          </cell>
        </row>
        <row r="65">
          <cell r="A65">
            <v>630</v>
          </cell>
          <cell r="B65">
            <v>1</v>
          </cell>
          <cell r="E65" t="str">
            <v>20</v>
          </cell>
          <cell r="F65">
            <v>46000100600</v>
          </cell>
          <cell r="G65">
            <v>2</v>
          </cell>
          <cell r="H65" t="str">
            <v>25</v>
          </cell>
          <cell r="I65">
            <v>34</v>
          </cell>
          <cell r="J65">
            <v>20</v>
          </cell>
          <cell r="K65">
            <v>1</v>
          </cell>
          <cell r="L65">
            <v>46</v>
          </cell>
          <cell r="M65" t="str">
            <v>000</v>
          </cell>
          <cell r="N65">
            <v>1</v>
          </cell>
          <cell r="O65" t="str">
            <v>00</v>
          </cell>
          <cell r="P65">
            <v>6</v>
          </cell>
          <cell r="Q65">
            <v>2</v>
          </cell>
          <cell r="R65">
            <v>2</v>
          </cell>
          <cell r="S65">
            <v>5</v>
          </cell>
          <cell r="T65">
            <v>34</v>
          </cell>
          <cell r="V65">
            <v>1</v>
          </cell>
          <cell r="W65">
            <v>0</v>
          </cell>
          <cell r="X65" t="str">
            <v>Enseig. Supérieur</v>
          </cell>
          <cell r="Y65" t="str">
            <v>P4</v>
          </cell>
          <cell r="Z65" t="str">
            <v>Serv.cent.</v>
          </cell>
          <cell r="AA65" t="str">
            <v>Indemnités d’examen</v>
          </cell>
          <cell r="AB65">
            <v>54200</v>
          </cell>
          <cell r="AC65">
            <v>54200</v>
          </cell>
        </row>
        <row r="66">
          <cell r="A66">
            <v>631</v>
          </cell>
          <cell r="B66">
            <v>1</v>
          </cell>
          <cell r="E66" t="str">
            <v>20</v>
          </cell>
          <cell r="F66">
            <v>46000100600</v>
          </cell>
          <cell r="G66">
            <v>2</v>
          </cell>
          <cell r="H66" t="str">
            <v>25</v>
          </cell>
          <cell r="I66">
            <v>35</v>
          </cell>
          <cell r="J66">
            <v>20</v>
          </cell>
          <cell r="K66">
            <v>1</v>
          </cell>
          <cell r="L66">
            <v>46</v>
          </cell>
          <cell r="M66" t="str">
            <v>000</v>
          </cell>
          <cell r="N66">
            <v>1</v>
          </cell>
          <cell r="O66" t="str">
            <v>00</v>
          </cell>
          <cell r="P66">
            <v>6</v>
          </cell>
          <cell r="Q66">
            <v>2</v>
          </cell>
          <cell r="R66">
            <v>2</v>
          </cell>
          <cell r="S66">
            <v>5</v>
          </cell>
          <cell r="T66">
            <v>35</v>
          </cell>
          <cell r="V66">
            <v>1</v>
          </cell>
          <cell r="W66">
            <v>0</v>
          </cell>
          <cell r="X66" t="str">
            <v>Enseig. Supérieur</v>
          </cell>
          <cell r="Y66" t="str">
            <v>P4</v>
          </cell>
          <cell r="Z66" t="str">
            <v>Serv.cent.</v>
          </cell>
          <cell r="AA66" t="str">
            <v>Indemnités de session</v>
          </cell>
          <cell r="AB66">
            <v>117400</v>
          </cell>
          <cell r="AC66">
            <v>117400</v>
          </cell>
        </row>
        <row r="67">
          <cell r="A67">
            <v>581</v>
          </cell>
          <cell r="B67">
            <v>1</v>
          </cell>
          <cell r="E67" t="str">
            <v>20</v>
          </cell>
          <cell r="F67">
            <v>49000100600</v>
          </cell>
          <cell r="G67">
            <v>2</v>
          </cell>
          <cell r="H67" t="str">
            <v>25</v>
          </cell>
          <cell r="I67">
            <v>34</v>
          </cell>
          <cell r="J67">
            <v>20</v>
          </cell>
          <cell r="K67">
            <v>1</v>
          </cell>
          <cell r="L67">
            <v>49</v>
          </cell>
          <cell r="M67" t="str">
            <v>000</v>
          </cell>
          <cell r="N67">
            <v>1</v>
          </cell>
          <cell r="O67" t="str">
            <v>00</v>
          </cell>
          <cell r="P67">
            <v>6</v>
          </cell>
          <cell r="Q67">
            <v>2</v>
          </cell>
          <cell r="R67">
            <v>2</v>
          </cell>
          <cell r="S67">
            <v>5</v>
          </cell>
          <cell r="T67">
            <v>34</v>
          </cell>
          <cell r="V67">
            <v>1</v>
          </cell>
          <cell r="W67">
            <v>0</v>
          </cell>
          <cell r="X67" t="str">
            <v>Enseig. Serv administratifs</v>
          </cell>
          <cell r="Y67" t="str">
            <v>P5</v>
          </cell>
          <cell r="Z67" t="str">
            <v>Serv.cent.</v>
          </cell>
          <cell r="AA67" t="str">
            <v>Indemnités d’examen</v>
          </cell>
          <cell r="AB67">
            <v>1426230</v>
          </cell>
          <cell r="AC67">
            <v>1426230</v>
          </cell>
        </row>
        <row r="68">
          <cell r="A68">
            <v>12354</v>
          </cell>
          <cell r="B68">
            <v>1</v>
          </cell>
          <cell r="J68">
            <v>20</v>
          </cell>
          <cell r="K68">
            <v>1</v>
          </cell>
          <cell r="N68">
            <v>2</v>
          </cell>
          <cell r="Q68">
            <v>2</v>
          </cell>
          <cell r="R68">
            <v>2</v>
          </cell>
          <cell r="S68">
            <v>5</v>
          </cell>
          <cell r="X68" t="str">
            <v>Conakry Services déconcentrés</v>
          </cell>
          <cell r="AB68">
            <v>9032370</v>
          </cell>
          <cell r="AC68">
            <v>9032370</v>
          </cell>
        </row>
        <row r="69">
          <cell r="A69">
            <v>612</v>
          </cell>
          <cell r="B69">
            <v>1</v>
          </cell>
          <cell r="E69" t="str">
            <v>20</v>
          </cell>
          <cell r="F69">
            <v>44000200600</v>
          </cell>
          <cell r="G69">
            <v>2</v>
          </cell>
          <cell r="H69" t="str">
            <v>25</v>
          </cell>
          <cell r="I69">
            <v>15</v>
          </cell>
          <cell r="J69">
            <v>20</v>
          </cell>
          <cell r="K69">
            <v>1</v>
          </cell>
          <cell r="L69">
            <v>44</v>
          </cell>
          <cell r="M69" t="str">
            <v>000</v>
          </cell>
          <cell r="N69">
            <v>2</v>
          </cell>
          <cell r="O69" t="str">
            <v>00</v>
          </cell>
          <cell r="P69">
            <v>6</v>
          </cell>
          <cell r="Q69">
            <v>2</v>
          </cell>
          <cell r="R69">
            <v>2</v>
          </cell>
          <cell r="S69">
            <v>5</v>
          </cell>
          <cell r="T69">
            <v>15</v>
          </cell>
          <cell r="V69">
            <v>1</v>
          </cell>
          <cell r="W69">
            <v>0</v>
          </cell>
          <cell r="X69" t="str">
            <v>Enseign. technique</v>
          </cell>
          <cell r="Y69" t="str">
            <v>P3</v>
          </cell>
          <cell r="Z69" t="str">
            <v>Conakry</v>
          </cell>
          <cell r="AA69" t="str">
            <v>Vacation des extra muros</v>
          </cell>
          <cell r="AB69">
            <v>1056000</v>
          </cell>
          <cell r="AC69">
            <v>1056000</v>
          </cell>
        </row>
        <row r="70">
          <cell r="A70">
            <v>589</v>
          </cell>
          <cell r="B70">
            <v>1</v>
          </cell>
          <cell r="E70" t="str">
            <v>20</v>
          </cell>
          <cell r="F70">
            <v>49000200900</v>
          </cell>
          <cell r="G70">
            <v>2</v>
          </cell>
          <cell r="H70" t="str">
            <v>25</v>
          </cell>
          <cell r="I70">
            <v>15</v>
          </cell>
          <cell r="J70">
            <v>20</v>
          </cell>
          <cell r="K70">
            <v>1</v>
          </cell>
          <cell r="L70">
            <v>49</v>
          </cell>
          <cell r="M70" t="str">
            <v>000</v>
          </cell>
          <cell r="N70">
            <v>2</v>
          </cell>
          <cell r="O70" t="str">
            <v>00</v>
          </cell>
          <cell r="P70">
            <v>9</v>
          </cell>
          <cell r="Q70">
            <v>2</v>
          </cell>
          <cell r="R70">
            <v>2</v>
          </cell>
          <cell r="S70">
            <v>5</v>
          </cell>
          <cell r="T70">
            <v>15</v>
          </cell>
          <cell r="V70">
            <v>1</v>
          </cell>
          <cell r="W70">
            <v>0</v>
          </cell>
          <cell r="X70" t="str">
            <v>Enseig. Serv administratifs</v>
          </cell>
          <cell r="Y70" t="str">
            <v>P2</v>
          </cell>
          <cell r="Z70" t="str">
            <v>Conakry</v>
          </cell>
          <cell r="AA70" t="str">
            <v>Vacation des extra muros</v>
          </cell>
          <cell r="AB70">
            <v>2541800</v>
          </cell>
          <cell r="AC70">
            <v>2541800</v>
          </cell>
        </row>
        <row r="71">
          <cell r="A71">
            <v>590</v>
          </cell>
          <cell r="B71">
            <v>1</v>
          </cell>
          <cell r="E71" t="str">
            <v>20</v>
          </cell>
          <cell r="F71">
            <v>49000200900</v>
          </cell>
          <cell r="G71">
            <v>2</v>
          </cell>
          <cell r="H71" t="str">
            <v>25</v>
          </cell>
          <cell r="I71">
            <v>25</v>
          </cell>
          <cell r="J71">
            <v>20</v>
          </cell>
          <cell r="K71">
            <v>1</v>
          </cell>
          <cell r="L71">
            <v>49</v>
          </cell>
          <cell r="M71" t="str">
            <v>000</v>
          </cell>
          <cell r="N71">
            <v>2</v>
          </cell>
          <cell r="O71" t="str">
            <v>00</v>
          </cell>
          <cell r="P71">
            <v>9</v>
          </cell>
          <cell r="Q71">
            <v>2</v>
          </cell>
          <cell r="R71">
            <v>2</v>
          </cell>
          <cell r="S71">
            <v>5</v>
          </cell>
          <cell r="T71">
            <v>25</v>
          </cell>
          <cell r="V71">
            <v>1</v>
          </cell>
          <cell r="W71">
            <v>0</v>
          </cell>
          <cell r="X71" t="str">
            <v>Enseig. Serv administratifs</v>
          </cell>
          <cell r="Y71" t="str">
            <v>P1</v>
          </cell>
          <cell r="Z71" t="str">
            <v>Conakry</v>
          </cell>
          <cell r="AA71" t="str">
            <v>Primes PPTE Maîtres contractuels</v>
          </cell>
          <cell r="AB71">
            <v>3682300</v>
          </cell>
          <cell r="AC71">
            <v>3682300</v>
          </cell>
        </row>
        <row r="72">
          <cell r="A72">
            <v>588</v>
          </cell>
          <cell r="B72">
            <v>1</v>
          </cell>
          <cell r="E72" t="str">
            <v>20</v>
          </cell>
          <cell r="F72">
            <v>49000200600</v>
          </cell>
          <cell r="G72">
            <v>2</v>
          </cell>
          <cell r="H72" t="str">
            <v>25</v>
          </cell>
          <cell r="I72">
            <v>34</v>
          </cell>
          <cell r="J72">
            <v>20</v>
          </cell>
          <cell r="K72">
            <v>1</v>
          </cell>
          <cell r="L72">
            <v>49</v>
          </cell>
          <cell r="M72" t="str">
            <v>000</v>
          </cell>
          <cell r="N72">
            <v>2</v>
          </cell>
          <cell r="O72" t="str">
            <v>00</v>
          </cell>
          <cell r="P72">
            <v>6</v>
          </cell>
          <cell r="Q72">
            <v>2</v>
          </cell>
          <cell r="R72">
            <v>2</v>
          </cell>
          <cell r="S72">
            <v>5</v>
          </cell>
          <cell r="T72">
            <v>34</v>
          </cell>
          <cell r="V72">
            <v>1</v>
          </cell>
          <cell r="W72">
            <v>0</v>
          </cell>
          <cell r="X72" t="str">
            <v>Enseig. Serv administratifs</v>
          </cell>
          <cell r="Y72" t="str">
            <v>P5</v>
          </cell>
          <cell r="Z72" t="str">
            <v>Conakry</v>
          </cell>
          <cell r="AA72" t="str">
            <v>Indemnités d’examen</v>
          </cell>
          <cell r="AB72">
            <v>1518570</v>
          </cell>
          <cell r="AC72">
            <v>1518570</v>
          </cell>
        </row>
        <row r="73">
          <cell r="A73">
            <v>621</v>
          </cell>
          <cell r="B73">
            <v>1</v>
          </cell>
          <cell r="E73" t="str">
            <v>20</v>
          </cell>
          <cell r="F73">
            <v>49500200600</v>
          </cell>
          <cell r="G73">
            <v>2</v>
          </cell>
          <cell r="H73" t="str">
            <v>25</v>
          </cell>
          <cell r="I73">
            <v>34</v>
          </cell>
          <cell r="J73">
            <v>20</v>
          </cell>
          <cell r="K73">
            <v>1</v>
          </cell>
          <cell r="L73">
            <v>49</v>
          </cell>
          <cell r="M73">
            <v>500</v>
          </cell>
          <cell r="N73">
            <v>2</v>
          </cell>
          <cell r="O73" t="str">
            <v>00</v>
          </cell>
          <cell r="P73">
            <v>6</v>
          </cell>
          <cell r="Q73">
            <v>2</v>
          </cell>
          <cell r="R73">
            <v>2</v>
          </cell>
          <cell r="S73">
            <v>5</v>
          </cell>
          <cell r="T73">
            <v>34</v>
          </cell>
          <cell r="V73">
            <v>1</v>
          </cell>
          <cell r="X73" t="str">
            <v>Ens.serv.adm.Ens.tech</v>
          </cell>
          <cell r="Y73" t="str">
            <v>P5</v>
          </cell>
          <cell r="Z73" t="str">
            <v>Conakry</v>
          </cell>
          <cell r="AA73" t="str">
            <v>Indemnités d’examen</v>
          </cell>
          <cell r="AB73">
            <v>233700</v>
          </cell>
          <cell r="AC73">
            <v>233700</v>
          </cell>
        </row>
        <row r="74">
          <cell r="A74">
            <v>12356</v>
          </cell>
          <cell r="B74">
            <v>1</v>
          </cell>
          <cell r="J74">
            <v>20</v>
          </cell>
          <cell r="K74">
            <v>1</v>
          </cell>
          <cell r="N74">
            <v>3</v>
          </cell>
          <cell r="Q74">
            <v>2</v>
          </cell>
          <cell r="R74">
            <v>2</v>
          </cell>
          <cell r="S74">
            <v>5</v>
          </cell>
          <cell r="X74" t="str">
            <v>Intérieur Services déconcentrés</v>
          </cell>
          <cell r="AB74">
            <v>42686670</v>
          </cell>
          <cell r="AC74">
            <v>42686670</v>
          </cell>
        </row>
        <row r="75">
          <cell r="A75">
            <v>618</v>
          </cell>
          <cell r="B75">
            <v>1</v>
          </cell>
          <cell r="E75" t="str">
            <v>20</v>
          </cell>
          <cell r="F75">
            <v>44000300600</v>
          </cell>
          <cell r="G75">
            <v>2</v>
          </cell>
          <cell r="H75" t="str">
            <v>25</v>
          </cell>
          <cell r="I75">
            <v>15</v>
          </cell>
          <cell r="J75">
            <v>20</v>
          </cell>
          <cell r="K75">
            <v>1</v>
          </cell>
          <cell r="L75">
            <v>44</v>
          </cell>
          <cell r="M75" t="str">
            <v>000</v>
          </cell>
          <cell r="N75">
            <v>3</v>
          </cell>
          <cell r="O75" t="str">
            <v>00</v>
          </cell>
          <cell r="P75">
            <v>6</v>
          </cell>
          <cell r="Q75">
            <v>2</v>
          </cell>
          <cell r="R75">
            <v>2</v>
          </cell>
          <cell r="S75">
            <v>5</v>
          </cell>
          <cell r="T75">
            <v>15</v>
          </cell>
          <cell r="V75">
            <v>1</v>
          </cell>
          <cell r="W75">
            <v>0</v>
          </cell>
          <cell r="X75" t="str">
            <v>Enseign. technique</v>
          </cell>
          <cell r="Y75" t="str">
            <v>P3</v>
          </cell>
          <cell r="Z75" t="str">
            <v>Intérieur</v>
          </cell>
          <cell r="AA75" t="str">
            <v>Vacation des extra muros</v>
          </cell>
          <cell r="AB75">
            <v>1285680</v>
          </cell>
          <cell r="AC75">
            <v>1285680</v>
          </cell>
        </row>
        <row r="76">
          <cell r="A76">
            <v>598</v>
          </cell>
          <cell r="B76">
            <v>1</v>
          </cell>
          <cell r="E76" t="str">
            <v>20</v>
          </cell>
          <cell r="F76">
            <v>49000300900</v>
          </cell>
          <cell r="G76">
            <v>2</v>
          </cell>
          <cell r="H76" t="str">
            <v>25</v>
          </cell>
          <cell r="I76">
            <v>15</v>
          </cell>
          <cell r="J76">
            <v>20</v>
          </cell>
          <cell r="K76">
            <v>1</v>
          </cell>
          <cell r="L76">
            <v>49</v>
          </cell>
          <cell r="M76" t="str">
            <v>000</v>
          </cell>
          <cell r="N76">
            <v>3</v>
          </cell>
          <cell r="O76" t="str">
            <v>00</v>
          </cell>
          <cell r="P76">
            <v>9</v>
          </cell>
          <cell r="Q76">
            <v>2</v>
          </cell>
          <cell r="R76">
            <v>2</v>
          </cell>
          <cell r="S76">
            <v>5</v>
          </cell>
          <cell r="T76">
            <v>15</v>
          </cell>
          <cell r="V76">
            <v>1</v>
          </cell>
          <cell r="W76">
            <v>0</v>
          </cell>
          <cell r="X76" t="str">
            <v>Enseig. Serv administratifs</v>
          </cell>
          <cell r="Y76" t="str">
            <v>P2</v>
          </cell>
          <cell r="Z76" t="str">
            <v>Intérieur</v>
          </cell>
          <cell r="AA76" t="str">
            <v>Vacation des extra muros</v>
          </cell>
          <cell r="AB76">
            <v>8324440</v>
          </cell>
          <cell r="AC76">
            <v>8324440</v>
          </cell>
        </row>
        <row r="77">
          <cell r="A77">
            <v>599</v>
          </cell>
          <cell r="B77">
            <v>1</v>
          </cell>
          <cell r="E77" t="str">
            <v>20</v>
          </cell>
          <cell r="F77">
            <v>49000300900</v>
          </cell>
          <cell r="G77">
            <v>2</v>
          </cell>
          <cell r="H77" t="str">
            <v>25</v>
          </cell>
          <cell r="I77">
            <v>25</v>
          </cell>
          <cell r="J77">
            <v>20</v>
          </cell>
          <cell r="K77">
            <v>1</v>
          </cell>
          <cell r="L77">
            <v>49</v>
          </cell>
          <cell r="M77" t="str">
            <v>000</v>
          </cell>
          <cell r="N77">
            <v>3</v>
          </cell>
          <cell r="O77" t="str">
            <v>00</v>
          </cell>
          <cell r="P77">
            <v>9</v>
          </cell>
          <cell r="Q77">
            <v>2</v>
          </cell>
          <cell r="R77">
            <v>2</v>
          </cell>
          <cell r="S77">
            <v>5</v>
          </cell>
          <cell r="T77">
            <v>25</v>
          </cell>
          <cell r="V77">
            <v>1</v>
          </cell>
          <cell r="W77">
            <v>0</v>
          </cell>
          <cell r="X77" t="str">
            <v>Enseig. Serv administratifs</v>
          </cell>
          <cell r="Y77" t="str">
            <v>P1</v>
          </cell>
          <cell r="Z77" t="str">
            <v>Intérieur</v>
          </cell>
          <cell r="AA77" t="str">
            <v>Primes PPTE Maîtres contractuels</v>
          </cell>
          <cell r="AB77">
            <v>29197580</v>
          </cell>
          <cell r="AC77">
            <v>29197580</v>
          </cell>
        </row>
        <row r="78">
          <cell r="A78">
            <v>597</v>
          </cell>
          <cell r="B78">
            <v>1</v>
          </cell>
          <cell r="E78" t="str">
            <v>20</v>
          </cell>
          <cell r="F78">
            <v>49000300600</v>
          </cell>
          <cell r="G78">
            <v>2</v>
          </cell>
          <cell r="H78" t="str">
            <v>25</v>
          </cell>
          <cell r="I78">
            <v>34</v>
          </cell>
          <cell r="J78">
            <v>20</v>
          </cell>
          <cell r="K78">
            <v>1</v>
          </cell>
          <cell r="L78">
            <v>49</v>
          </cell>
          <cell r="M78" t="str">
            <v>000</v>
          </cell>
          <cell r="N78">
            <v>3</v>
          </cell>
          <cell r="O78" t="str">
            <v>00</v>
          </cell>
          <cell r="P78">
            <v>6</v>
          </cell>
          <cell r="Q78">
            <v>2</v>
          </cell>
          <cell r="R78">
            <v>2</v>
          </cell>
          <cell r="S78">
            <v>5</v>
          </cell>
          <cell r="T78">
            <v>34</v>
          </cell>
          <cell r="V78">
            <v>1</v>
          </cell>
          <cell r="W78">
            <v>0</v>
          </cell>
          <cell r="X78" t="str">
            <v>Enseig. Serv administratifs</v>
          </cell>
          <cell r="Y78" t="str">
            <v>P5</v>
          </cell>
          <cell r="Z78" t="str">
            <v>Intérieur</v>
          </cell>
          <cell r="AA78" t="str">
            <v>Indemnités d’examen</v>
          </cell>
          <cell r="AB78">
            <v>3620470</v>
          </cell>
          <cell r="AC78">
            <v>3620470</v>
          </cell>
        </row>
        <row r="79">
          <cell r="A79">
            <v>622</v>
          </cell>
          <cell r="B79">
            <v>1</v>
          </cell>
          <cell r="E79" t="str">
            <v>20</v>
          </cell>
          <cell r="F79">
            <v>49500300600</v>
          </cell>
          <cell r="G79">
            <v>2</v>
          </cell>
          <cell r="H79" t="str">
            <v>25</v>
          </cell>
          <cell r="I79">
            <v>34</v>
          </cell>
          <cell r="J79">
            <v>20</v>
          </cell>
          <cell r="K79">
            <v>1</v>
          </cell>
          <cell r="L79">
            <v>49</v>
          </cell>
          <cell r="M79">
            <v>500</v>
          </cell>
          <cell r="N79">
            <v>3</v>
          </cell>
          <cell r="O79" t="str">
            <v>00</v>
          </cell>
          <cell r="P79">
            <v>6</v>
          </cell>
          <cell r="Q79">
            <v>2</v>
          </cell>
          <cell r="R79">
            <v>2</v>
          </cell>
          <cell r="S79">
            <v>5</v>
          </cell>
          <cell r="T79">
            <v>34</v>
          </cell>
          <cell r="V79">
            <v>1</v>
          </cell>
          <cell r="X79" t="str">
            <v>Ens.serv.adm.Ens.tech</v>
          </cell>
          <cell r="Y79" t="str">
            <v>P5</v>
          </cell>
          <cell r="Z79" t="str">
            <v>Intérieur</v>
          </cell>
          <cell r="AA79" t="str">
            <v>Indemnités d’examen</v>
          </cell>
          <cell r="AB79">
            <v>258500</v>
          </cell>
          <cell r="AC79">
            <v>258500</v>
          </cell>
        </row>
        <row r="80">
          <cell r="A80">
            <v>12358</v>
          </cell>
          <cell r="B80">
            <v>1</v>
          </cell>
          <cell r="D80" t="str">
            <v>I</v>
          </cell>
          <cell r="J80">
            <v>20</v>
          </cell>
          <cell r="K80">
            <v>1</v>
          </cell>
          <cell r="Q80">
            <v>3</v>
          </cell>
          <cell r="X80" t="str">
            <v xml:space="preserve">T3. FONCTIONNEMENT / BIENS ET SERVICES </v>
          </cell>
          <cell r="AB80">
            <v>48044470</v>
          </cell>
          <cell r="AC80">
            <v>48044470</v>
          </cell>
        </row>
        <row r="81">
          <cell r="A81">
            <v>12360</v>
          </cell>
          <cell r="B81">
            <v>1</v>
          </cell>
          <cell r="J81">
            <v>20</v>
          </cell>
          <cell r="K81">
            <v>1</v>
          </cell>
          <cell r="P81">
            <v>9</v>
          </cell>
          <cell r="Q81">
            <v>3</v>
          </cell>
          <cell r="X81" t="str">
            <v>dont initiative PPTE</v>
          </cell>
          <cell r="AB81">
            <v>14125140</v>
          </cell>
          <cell r="AC81">
            <v>14125140</v>
          </cell>
        </row>
        <row r="82">
          <cell r="A82">
            <v>12362</v>
          </cell>
          <cell r="B82">
            <v>1</v>
          </cell>
          <cell r="J82">
            <v>20</v>
          </cell>
          <cell r="K82">
            <v>1</v>
          </cell>
          <cell r="N82">
            <v>1</v>
          </cell>
          <cell r="Q82">
            <v>3</v>
          </cell>
          <cell r="X82" t="str">
            <v>Services centraux</v>
          </cell>
          <cell r="AB82">
            <v>10459420</v>
          </cell>
          <cell r="AC82">
            <v>10459420</v>
          </cell>
        </row>
        <row r="83">
          <cell r="A83">
            <v>6665</v>
          </cell>
          <cell r="B83">
            <v>1</v>
          </cell>
          <cell r="J83">
            <v>20</v>
          </cell>
          <cell r="K83">
            <v>1</v>
          </cell>
          <cell r="L83">
            <v>35</v>
          </cell>
          <cell r="M83">
            <v>120</v>
          </cell>
          <cell r="N83">
            <v>1</v>
          </cell>
          <cell r="Q83">
            <v>3</v>
          </cell>
          <cell r="X83" t="str">
            <v>Cabinet Education</v>
          </cell>
          <cell r="Y83" t="str">
            <v>P5</v>
          </cell>
          <cell r="AB83">
            <v>142180</v>
          </cell>
          <cell r="AC83">
            <v>142180</v>
          </cell>
        </row>
        <row r="84">
          <cell r="A84">
            <v>6667</v>
          </cell>
          <cell r="B84">
            <v>1</v>
          </cell>
          <cell r="J84">
            <v>20</v>
          </cell>
          <cell r="K84">
            <v>1</v>
          </cell>
          <cell r="L84">
            <v>42</v>
          </cell>
          <cell r="M84">
            <v>101</v>
          </cell>
          <cell r="N84">
            <v>1</v>
          </cell>
          <cell r="Q84">
            <v>3</v>
          </cell>
          <cell r="X84" t="str">
            <v xml:space="preserve">Direction Nationale Enseignement Elémentaire </v>
          </cell>
          <cell r="Y84" t="str">
            <v>P5</v>
          </cell>
          <cell r="AB84">
            <v>4650</v>
          </cell>
          <cell r="AC84">
            <v>4650</v>
          </cell>
        </row>
        <row r="85">
          <cell r="A85">
            <v>6675</v>
          </cell>
          <cell r="B85">
            <v>1</v>
          </cell>
          <cell r="J85">
            <v>20</v>
          </cell>
          <cell r="K85">
            <v>1</v>
          </cell>
          <cell r="L85">
            <v>43</v>
          </cell>
          <cell r="M85">
            <v>101</v>
          </cell>
          <cell r="N85">
            <v>1</v>
          </cell>
          <cell r="Q85">
            <v>3</v>
          </cell>
          <cell r="X85" t="str">
            <v xml:space="preserve">Direction Nationale Enseignement Secondaire </v>
          </cell>
          <cell r="Y85" t="str">
            <v>P5</v>
          </cell>
          <cell r="AB85">
            <v>5250</v>
          </cell>
          <cell r="AC85">
            <v>5250</v>
          </cell>
        </row>
        <row r="86">
          <cell r="A86">
            <v>6743</v>
          </cell>
          <cell r="B86">
            <v>1</v>
          </cell>
          <cell r="J86">
            <v>20</v>
          </cell>
          <cell r="K86">
            <v>1</v>
          </cell>
          <cell r="L86">
            <v>44</v>
          </cell>
          <cell r="M86">
            <v>101</v>
          </cell>
          <cell r="N86">
            <v>1</v>
          </cell>
          <cell r="Q86">
            <v>3</v>
          </cell>
          <cell r="X86" t="str">
            <v>DNDPPE Dir nat dévelop pédagogique &amp; programmes d'enseignement</v>
          </cell>
          <cell r="Y86" t="str">
            <v>P5</v>
          </cell>
        </row>
        <row r="87">
          <cell r="A87">
            <v>6745</v>
          </cell>
          <cell r="B87">
            <v>1</v>
          </cell>
          <cell r="J87">
            <v>20</v>
          </cell>
          <cell r="K87">
            <v>1</v>
          </cell>
          <cell r="L87">
            <v>44</v>
          </cell>
          <cell r="M87">
            <v>102</v>
          </cell>
          <cell r="N87">
            <v>1</v>
          </cell>
          <cell r="Q87">
            <v>3</v>
          </cell>
          <cell r="X87" t="str">
            <v>DNFPP Dir Nat Formation &amp; perfectionnement des presonnels</v>
          </cell>
          <cell r="Y87" t="str">
            <v>P5</v>
          </cell>
        </row>
        <row r="88">
          <cell r="A88">
            <v>6751</v>
          </cell>
          <cell r="B88">
            <v>1</v>
          </cell>
          <cell r="J88">
            <v>20</v>
          </cell>
          <cell r="K88">
            <v>1</v>
          </cell>
          <cell r="L88">
            <v>44</v>
          </cell>
          <cell r="M88">
            <v>501</v>
          </cell>
          <cell r="N88">
            <v>1</v>
          </cell>
          <cell r="Q88">
            <v>3</v>
          </cell>
          <cell r="X88" t="str">
            <v>SECS Serv examens &amp; concours scolaires</v>
          </cell>
          <cell r="Y88" t="str">
            <v>P5</v>
          </cell>
        </row>
        <row r="89">
          <cell r="A89">
            <v>6753</v>
          </cell>
          <cell r="B89">
            <v>1</v>
          </cell>
          <cell r="J89">
            <v>20</v>
          </cell>
          <cell r="K89">
            <v>1</v>
          </cell>
          <cell r="L89">
            <v>44</v>
          </cell>
          <cell r="M89">
            <v>502</v>
          </cell>
          <cell r="N89">
            <v>1</v>
          </cell>
          <cell r="Q89">
            <v>3</v>
          </cell>
          <cell r="X89" t="str">
            <v>SESCS Serv études stat &amp; cartes scolaires</v>
          </cell>
          <cell r="Y89" t="str">
            <v>P5</v>
          </cell>
        </row>
        <row r="90">
          <cell r="A90">
            <v>6755</v>
          </cell>
          <cell r="B90">
            <v>1</v>
          </cell>
          <cell r="J90">
            <v>20</v>
          </cell>
          <cell r="K90">
            <v>1</v>
          </cell>
          <cell r="L90">
            <v>44</v>
          </cell>
          <cell r="M90">
            <v>503</v>
          </cell>
          <cell r="N90">
            <v>1</v>
          </cell>
          <cell r="Q90">
            <v>3</v>
          </cell>
          <cell r="X90" t="str">
            <v>SINDA Serv information &amp; documentation</v>
          </cell>
          <cell r="Y90" t="str">
            <v>P5</v>
          </cell>
        </row>
        <row r="91">
          <cell r="A91">
            <v>6757</v>
          </cell>
          <cell r="B91">
            <v>1</v>
          </cell>
          <cell r="J91">
            <v>20</v>
          </cell>
          <cell r="K91">
            <v>1</v>
          </cell>
          <cell r="L91">
            <v>44</v>
          </cell>
          <cell r="M91">
            <v>504</v>
          </cell>
          <cell r="N91">
            <v>1</v>
          </cell>
          <cell r="Q91">
            <v>3</v>
          </cell>
          <cell r="X91" t="str">
            <v>SNEP Serv nat enseignement privé</v>
          </cell>
          <cell r="Y91" t="str">
            <v>P5</v>
          </cell>
        </row>
        <row r="92">
          <cell r="A92">
            <v>6759</v>
          </cell>
          <cell r="B92">
            <v>1</v>
          </cell>
          <cell r="J92">
            <v>20</v>
          </cell>
          <cell r="K92">
            <v>1</v>
          </cell>
          <cell r="L92">
            <v>44</v>
          </cell>
          <cell r="M92">
            <v>505</v>
          </cell>
          <cell r="N92">
            <v>1</v>
          </cell>
          <cell r="Q92">
            <v>3</v>
          </cell>
          <cell r="X92" t="str">
            <v>SNIEM Serv nat Infrastructures Equipement &amp; Maintenance</v>
          </cell>
          <cell r="Y92" t="str">
            <v>P5</v>
          </cell>
        </row>
        <row r="93">
          <cell r="A93">
            <v>6761</v>
          </cell>
          <cell r="B93">
            <v>1</v>
          </cell>
          <cell r="J93">
            <v>20</v>
          </cell>
          <cell r="K93">
            <v>1</v>
          </cell>
          <cell r="L93">
            <v>44</v>
          </cell>
          <cell r="M93">
            <v>506</v>
          </cell>
          <cell r="N93">
            <v>1</v>
          </cell>
          <cell r="Q93">
            <v>3</v>
          </cell>
          <cell r="X93" t="str">
            <v>Serv Audit Evaluation</v>
          </cell>
          <cell r="Y93" t="str">
            <v>P5</v>
          </cell>
        </row>
        <row r="94">
          <cell r="A94">
            <v>6763</v>
          </cell>
          <cell r="B94">
            <v>1</v>
          </cell>
          <cell r="J94">
            <v>20</v>
          </cell>
          <cell r="K94">
            <v>1</v>
          </cell>
          <cell r="L94">
            <v>44</v>
          </cell>
          <cell r="M94">
            <v>900</v>
          </cell>
          <cell r="N94">
            <v>1</v>
          </cell>
          <cell r="Q94">
            <v>3</v>
          </cell>
          <cell r="X94" t="str">
            <v>Autres services centraux Ens tech</v>
          </cell>
          <cell r="Y94" t="str">
            <v>P5</v>
          </cell>
        </row>
        <row r="95">
          <cell r="A95">
            <v>6803</v>
          </cell>
          <cell r="B95">
            <v>1</v>
          </cell>
          <cell r="J95">
            <v>20</v>
          </cell>
          <cell r="K95">
            <v>1</v>
          </cell>
          <cell r="L95">
            <v>46</v>
          </cell>
          <cell r="M95">
            <v>101</v>
          </cell>
          <cell r="N95">
            <v>1</v>
          </cell>
          <cell r="Q95">
            <v>3</v>
          </cell>
          <cell r="W95">
            <v>0</v>
          </cell>
          <cell r="X95" t="str">
            <v>DN Enseig Superieur</v>
          </cell>
          <cell r="Y95" t="str">
            <v>P5</v>
          </cell>
        </row>
        <row r="96">
          <cell r="A96">
            <v>6805</v>
          </cell>
          <cell r="B96">
            <v>1</v>
          </cell>
          <cell r="J96">
            <v>20</v>
          </cell>
          <cell r="K96">
            <v>1</v>
          </cell>
          <cell r="L96">
            <v>46</v>
          </cell>
          <cell r="M96">
            <v>102</v>
          </cell>
          <cell r="N96">
            <v>1</v>
          </cell>
          <cell r="Q96">
            <v>3</v>
          </cell>
          <cell r="W96">
            <v>0</v>
          </cell>
          <cell r="X96" t="str">
            <v>DN Recherche Scientfq</v>
          </cell>
          <cell r="Y96" t="str">
            <v>P5</v>
          </cell>
        </row>
        <row r="97">
          <cell r="A97">
            <v>6807</v>
          </cell>
          <cell r="B97">
            <v>1</v>
          </cell>
          <cell r="J97">
            <v>20</v>
          </cell>
          <cell r="K97">
            <v>1</v>
          </cell>
          <cell r="L97">
            <v>46</v>
          </cell>
          <cell r="M97">
            <v>501</v>
          </cell>
          <cell r="N97">
            <v>1</v>
          </cell>
          <cell r="Q97">
            <v>3</v>
          </cell>
          <cell r="W97">
            <v>0</v>
          </cell>
          <cell r="X97" t="str">
            <v>Commission UNESCO</v>
          </cell>
          <cell r="Y97" t="str">
            <v>P5</v>
          </cell>
        </row>
        <row r="98">
          <cell r="A98">
            <v>6809</v>
          </cell>
          <cell r="B98">
            <v>1</v>
          </cell>
          <cell r="J98">
            <v>20</v>
          </cell>
          <cell r="K98">
            <v>1</v>
          </cell>
          <cell r="L98">
            <v>46</v>
          </cell>
          <cell r="M98">
            <v>502</v>
          </cell>
          <cell r="N98">
            <v>1</v>
          </cell>
          <cell r="Q98">
            <v>3</v>
          </cell>
          <cell r="W98">
            <v>0</v>
          </cell>
          <cell r="X98" t="str">
            <v>Service Planification &amp; Statistq</v>
          </cell>
          <cell r="Y98" t="str">
            <v>P5</v>
          </cell>
        </row>
        <row r="99">
          <cell r="A99">
            <v>6811</v>
          </cell>
          <cell r="B99">
            <v>1</v>
          </cell>
          <cell r="J99">
            <v>20</v>
          </cell>
          <cell r="K99">
            <v>1</v>
          </cell>
          <cell r="L99">
            <v>46</v>
          </cell>
          <cell r="M99">
            <v>503</v>
          </cell>
          <cell r="N99">
            <v>1</v>
          </cell>
          <cell r="Q99">
            <v>3</v>
          </cell>
          <cell r="W99">
            <v>0</v>
          </cell>
          <cell r="X99" t="str">
            <v>SNABE</v>
          </cell>
          <cell r="Y99" t="str">
            <v>P5</v>
          </cell>
        </row>
        <row r="100">
          <cell r="A100">
            <v>6813</v>
          </cell>
          <cell r="B100">
            <v>1</v>
          </cell>
          <cell r="J100">
            <v>20</v>
          </cell>
          <cell r="K100">
            <v>1</v>
          </cell>
          <cell r="L100">
            <v>46</v>
          </cell>
          <cell r="M100">
            <v>504</v>
          </cell>
          <cell r="N100">
            <v>1</v>
          </cell>
          <cell r="Q100">
            <v>3</v>
          </cell>
          <cell r="W100">
            <v>0</v>
          </cell>
          <cell r="X100" t="str">
            <v>Service Nl Enseignmt Priv</v>
          </cell>
          <cell r="Y100" t="str">
            <v>P5</v>
          </cell>
        </row>
        <row r="101">
          <cell r="A101">
            <v>6815</v>
          </cell>
          <cell r="B101">
            <v>1</v>
          </cell>
          <cell r="J101">
            <v>20</v>
          </cell>
          <cell r="K101">
            <v>1</v>
          </cell>
          <cell r="L101">
            <v>46</v>
          </cell>
          <cell r="M101">
            <v>505</v>
          </cell>
          <cell r="N101">
            <v>1</v>
          </cell>
          <cell r="Q101">
            <v>3</v>
          </cell>
          <cell r="X101" t="str">
            <v>Service Nl Lutte Anti drogue</v>
          </cell>
          <cell r="Y101" t="str">
            <v>P5</v>
          </cell>
        </row>
        <row r="102">
          <cell r="A102">
            <v>6817</v>
          </cell>
          <cell r="B102">
            <v>1</v>
          </cell>
          <cell r="J102">
            <v>20</v>
          </cell>
          <cell r="K102">
            <v>1</v>
          </cell>
          <cell r="L102">
            <v>46</v>
          </cell>
          <cell r="M102">
            <v>506</v>
          </cell>
          <cell r="N102">
            <v>1</v>
          </cell>
          <cell r="Q102">
            <v>3</v>
          </cell>
          <cell r="X102" t="str">
            <v>Service Recher. Un. For. SPE Doctorale</v>
          </cell>
          <cell r="Y102" t="str">
            <v>P5</v>
          </cell>
        </row>
        <row r="103">
          <cell r="A103">
            <v>6819</v>
          </cell>
          <cell r="B103">
            <v>1</v>
          </cell>
          <cell r="J103">
            <v>20</v>
          </cell>
          <cell r="K103">
            <v>1</v>
          </cell>
          <cell r="L103">
            <v>46</v>
          </cell>
          <cell r="M103">
            <v>507</v>
          </cell>
          <cell r="N103">
            <v>1</v>
          </cell>
          <cell r="Q103">
            <v>3</v>
          </cell>
          <cell r="X103" t="str">
            <v>Division des Ressources humaines</v>
          </cell>
          <cell r="Y103" t="str">
            <v>P5</v>
          </cell>
        </row>
        <row r="104">
          <cell r="A104">
            <v>6821</v>
          </cell>
          <cell r="B104">
            <v>1</v>
          </cell>
          <cell r="J104">
            <v>20</v>
          </cell>
          <cell r="K104">
            <v>1</v>
          </cell>
          <cell r="L104">
            <v>46</v>
          </cell>
          <cell r="M104">
            <v>508</v>
          </cell>
          <cell r="N104">
            <v>1</v>
          </cell>
          <cell r="Q104">
            <v>3</v>
          </cell>
          <cell r="X104" t="str">
            <v>Service Archive &amp; Documentatio</v>
          </cell>
          <cell r="Y104" t="str">
            <v>P5</v>
          </cell>
        </row>
        <row r="105">
          <cell r="A105">
            <v>6823</v>
          </cell>
          <cell r="B105">
            <v>1</v>
          </cell>
          <cell r="J105">
            <v>20</v>
          </cell>
          <cell r="K105">
            <v>1</v>
          </cell>
          <cell r="L105">
            <v>46</v>
          </cell>
          <cell r="M105">
            <v>509</v>
          </cell>
          <cell r="N105">
            <v>1</v>
          </cell>
          <cell r="Q105">
            <v>3</v>
          </cell>
          <cell r="X105" t="str">
            <v>Comité Genre &amp; Equité Ens. Sup.</v>
          </cell>
          <cell r="Y105" t="str">
            <v>P5</v>
          </cell>
        </row>
        <row r="106">
          <cell r="A106">
            <v>6825</v>
          </cell>
          <cell r="B106">
            <v>1</v>
          </cell>
          <cell r="J106">
            <v>20</v>
          </cell>
          <cell r="K106">
            <v>1</v>
          </cell>
          <cell r="L106">
            <v>46</v>
          </cell>
          <cell r="M106">
            <v>900</v>
          </cell>
          <cell r="N106">
            <v>1</v>
          </cell>
          <cell r="Q106">
            <v>3</v>
          </cell>
          <cell r="W106">
            <v>0</v>
          </cell>
          <cell r="X106" t="str">
            <v>Autres services centraux Ens sup</v>
          </cell>
          <cell r="Y106" t="str">
            <v>P5</v>
          </cell>
        </row>
        <row r="107">
          <cell r="A107">
            <v>6683</v>
          </cell>
          <cell r="B107">
            <v>1</v>
          </cell>
          <cell r="J107">
            <v>20</v>
          </cell>
          <cell r="K107">
            <v>1</v>
          </cell>
          <cell r="L107">
            <v>49</v>
          </cell>
          <cell r="M107">
            <v>151</v>
          </cell>
          <cell r="N107">
            <v>1</v>
          </cell>
          <cell r="Q107">
            <v>3</v>
          </cell>
          <cell r="X107" t="str">
            <v>Direction Nationale Education civique</v>
          </cell>
          <cell r="Y107" t="str">
            <v>P5</v>
          </cell>
          <cell r="AB107">
            <v>3510</v>
          </cell>
          <cell r="AC107">
            <v>3510</v>
          </cell>
        </row>
        <row r="108">
          <cell r="A108">
            <v>6685</v>
          </cell>
          <cell r="B108">
            <v>1</v>
          </cell>
          <cell r="J108">
            <v>20</v>
          </cell>
          <cell r="K108">
            <v>1</v>
          </cell>
          <cell r="L108">
            <v>49</v>
          </cell>
          <cell r="M108">
            <v>152</v>
          </cell>
          <cell r="N108">
            <v>1</v>
          </cell>
          <cell r="Q108">
            <v>3</v>
          </cell>
          <cell r="X108" t="str">
            <v>Direction Nationale de l'Enseignement Privé</v>
          </cell>
          <cell r="Y108" t="str">
            <v>P5</v>
          </cell>
          <cell r="AB108">
            <v>579680</v>
          </cell>
          <cell r="AC108">
            <v>579680</v>
          </cell>
        </row>
        <row r="109">
          <cell r="A109">
            <v>6687</v>
          </cell>
          <cell r="B109">
            <v>1</v>
          </cell>
          <cell r="J109">
            <v>20</v>
          </cell>
          <cell r="K109">
            <v>1</v>
          </cell>
          <cell r="L109">
            <v>49</v>
          </cell>
          <cell r="M109">
            <v>301</v>
          </cell>
          <cell r="N109">
            <v>1</v>
          </cell>
          <cell r="Q109">
            <v>3</v>
          </cell>
          <cell r="X109" t="str">
            <v>Inspection Générale de l'Enseignement</v>
          </cell>
          <cell r="Y109" t="str">
            <v>P5</v>
          </cell>
          <cell r="AB109">
            <v>17530</v>
          </cell>
          <cell r="AC109">
            <v>17530</v>
          </cell>
        </row>
        <row r="110">
          <cell r="A110">
            <v>6689</v>
          </cell>
          <cell r="B110">
            <v>1</v>
          </cell>
          <cell r="J110">
            <v>20</v>
          </cell>
          <cell r="K110">
            <v>1</v>
          </cell>
          <cell r="L110">
            <v>49</v>
          </cell>
          <cell r="M110">
            <v>501</v>
          </cell>
          <cell r="N110">
            <v>1</v>
          </cell>
          <cell r="Q110">
            <v>3</v>
          </cell>
          <cell r="X110" t="str">
            <v>CONEBAT (Serv gestion écoles seconde chance)</v>
          </cell>
          <cell r="Y110" t="str">
            <v>P5</v>
          </cell>
          <cell r="AB110">
            <v>0</v>
          </cell>
          <cell r="AC110">
            <v>0</v>
          </cell>
        </row>
        <row r="111">
          <cell r="A111">
            <v>6691</v>
          </cell>
          <cell r="B111">
            <v>1</v>
          </cell>
          <cell r="J111">
            <v>20</v>
          </cell>
          <cell r="K111">
            <v>1</v>
          </cell>
          <cell r="L111">
            <v>49</v>
          </cell>
          <cell r="M111">
            <v>502</v>
          </cell>
          <cell r="N111">
            <v>1</v>
          </cell>
          <cell r="Q111">
            <v>3</v>
          </cell>
          <cell r="X111" t="str">
            <v xml:space="preserve">Institut National Recherche Appliquée </v>
          </cell>
          <cell r="Y111" t="str">
            <v>P5</v>
          </cell>
          <cell r="AB111">
            <v>0</v>
          </cell>
          <cell r="AC111">
            <v>0</v>
          </cell>
        </row>
        <row r="112">
          <cell r="A112">
            <v>6693</v>
          </cell>
          <cell r="B112">
            <v>1</v>
          </cell>
          <cell r="J112">
            <v>20</v>
          </cell>
          <cell r="K112">
            <v>1</v>
          </cell>
          <cell r="L112">
            <v>49</v>
          </cell>
          <cell r="M112">
            <v>503</v>
          </cell>
          <cell r="N112">
            <v>1</v>
          </cell>
          <cell r="Q112">
            <v>3</v>
          </cell>
          <cell r="X112" t="str">
            <v>Service National Alphabétisation</v>
          </cell>
          <cell r="Y112" t="str">
            <v>P5</v>
          </cell>
          <cell r="AB112">
            <v>3510</v>
          </cell>
          <cell r="AC112">
            <v>3510</v>
          </cell>
        </row>
        <row r="113">
          <cell r="A113">
            <v>6695</v>
          </cell>
          <cell r="B113">
            <v>1</v>
          </cell>
          <cell r="J113">
            <v>20</v>
          </cell>
          <cell r="K113">
            <v>1</v>
          </cell>
          <cell r="L113">
            <v>49</v>
          </cell>
          <cell r="M113">
            <v>504</v>
          </cell>
          <cell r="N113">
            <v>1</v>
          </cell>
          <cell r="Q113">
            <v>3</v>
          </cell>
          <cell r="X113" t="str">
            <v>Service National Infrastuctures Equipements Scolaires</v>
          </cell>
          <cell r="Y113" t="str">
            <v>P5</v>
          </cell>
          <cell r="AB113">
            <v>0</v>
          </cell>
          <cell r="AC113">
            <v>0</v>
          </cell>
        </row>
        <row r="114">
          <cell r="A114">
            <v>6697</v>
          </cell>
          <cell r="B114">
            <v>1</v>
          </cell>
          <cell r="J114">
            <v>20</v>
          </cell>
          <cell r="K114">
            <v>1</v>
          </cell>
          <cell r="L114">
            <v>49</v>
          </cell>
          <cell r="M114">
            <v>505</v>
          </cell>
          <cell r="N114">
            <v>1</v>
          </cell>
          <cell r="Q114">
            <v>3</v>
          </cell>
          <cell r="X114" t="str">
            <v>Centre Informatique</v>
          </cell>
          <cell r="Y114" t="str">
            <v>P5</v>
          </cell>
          <cell r="AB114">
            <v>3510</v>
          </cell>
          <cell r="AC114">
            <v>3510</v>
          </cell>
        </row>
        <row r="115">
          <cell r="A115">
            <v>6699</v>
          </cell>
          <cell r="B115">
            <v>1</v>
          </cell>
          <cell r="J115">
            <v>20</v>
          </cell>
          <cell r="K115">
            <v>1</v>
          </cell>
          <cell r="L115">
            <v>49</v>
          </cell>
          <cell r="M115">
            <v>506</v>
          </cell>
          <cell r="N115">
            <v>1</v>
          </cell>
          <cell r="Q115">
            <v>3</v>
          </cell>
          <cell r="X115" t="str">
            <v>Centre de Perfectionnement linguistique</v>
          </cell>
          <cell r="Y115" t="str">
            <v>P5</v>
          </cell>
          <cell r="AB115">
            <v>0</v>
          </cell>
          <cell r="AC115">
            <v>0</v>
          </cell>
        </row>
        <row r="116">
          <cell r="A116">
            <v>6701</v>
          </cell>
          <cell r="B116">
            <v>1</v>
          </cell>
          <cell r="J116">
            <v>20</v>
          </cell>
          <cell r="K116">
            <v>1</v>
          </cell>
          <cell r="L116">
            <v>49</v>
          </cell>
          <cell r="M116">
            <v>507</v>
          </cell>
          <cell r="N116">
            <v>1</v>
          </cell>
          <cell r="Q116">
            <v>3</v>
          </cell>
          <cell r="X116" t="str">
            <v>Relations Extérieures et Transport</v>
          </cell>
          <cell r="Y116" t="str">
            <v>P5</v>
          </cell>
          <cell r="AB116">
            <v>0</v>
          </cell>
          <cell r="AC116">
            <v>0</v>
          </cell>
        </row>
        <row r="117">
          <cell r="A117">
            <v>6703</v>
          </cell>
          <cell r="B117">
            <v>1</v>
          </cell>
          <cell r="J117">
            <v>20</v>
          </cell>
          <cell r="K117">
            <v>1</v>
          </cell>
          <cell r="L117">
            <v>49</v>
          </cell>
          <cell r="M117">
            <v>508</v>
          </cell>
          <cell r="N117">
            <v>1</v>
          </cell>
          <cell r="Q117">
            <v>3</v>
          </cell>
          <cell r="X117" t="str">
            <v>Service Statistique Planification scolaire</v>
          </cell>
          <cell r="Y117" t="str">
            <v>P5</v>
          </cell>
          <cell r="AB117">
            <v>0</v>
          </cell>
          <cell r="AC117">
            <v>0</v>
          </cell>
        </row>
        <row r="118">
          <cell r="A118">
            <v>6705</v>
          </cell>
          <cell r="B118">
            <v>1</v>
          </cell>
          <cell r="J118">
            <v>20</v>
          </cell>
          <cell r="K118">
            <v>1</v>
          </cell>
          <cell r="L118">
            <v>49</v>
          </cell>
          <cell r="M118">
            <v>509</v>
          </cell>
          <cell r="N118">
            <v>1</v>
          </cell>
          <cell r="Q118">
            <v>3</v>
          </cell>
          <cell r="X118" t="str">
            <v>SINDA</v>
          </cell>
          <cell r="Y118" t="str">
            <v>P5</v>
          </cell>
          <cell r="AB118">
            <v>0</v>
          </cell>
          <cell r="AC118">
            <v>0</v>
          </cell>
        </row>
        <row r="119">
          <cell r="A119">
            <v>6707</v>
          </cell>
          <cell r="B119">
            <v>1</v>
          </cell>
          <cell r="J119">
            <v>20</v>
          </cell>
          <cell r="K119">
            <v>1</v>
          </cell>
          <cell r="L119">
            <v>49</v>
          </cell>
          <cell r="M119">
            <v>510</v>
          </cell>
          <cell r="N119">
            <v>1</v>
          </cell>
          <cell r="Q119">
            <v>3</v>
          </cell>
          <cell r="X119" t="str">
            <v>Coordination PASE/ ST- PASE</v>
          </cell>
          <cell r="Y119" t="str">
            <v>P5</v>
          </cell>
          <cell r="AB119">
            <v>0</v>
          </cell>
          <cell r="AC119">
            <v>0</v>
          </cell>
        </row>
        <row r="120">
          <cell r="A120">
            <v>6709</v>
          </cell>
          <cell r="B120">
            <v>1</v>
          </cell>
          <cell r="J120">
            <v>20</v>
          </cell>
          <cell r="K120">
            <v>1</v>
          </cell>
          <cell r="L120">
            <v>49</v>
          </cell>
          <cell r="M120">
            <v>511</v>
          </cell>
          <cell r="N120">
            <v>1</v>
          </cell>
          <cell r="Q120">
            <v>3</v>
          </cell>
          <cell r="X120" t="str">
            <v>Cellule d'Audit</v>
          </cell>
          <cell r="Y120" t="str">
            <v>P5</v>
          </cell>
          <cell r="AB120">
            <v>3510</v>
          </cell>
          <cell r="AC120">
            <v>3510</v>
          </cell>
        </row>
        <row r="121">
          <cell r="A121">
            <v>6711</v>
          </cell>
          <cell r="B121">
            <v>1</v>
          </cell>
          <cell r="J121">
            <v>20</v>
          </cell>
          <cell r="K121">
            <v>1</v>
          </cell>
          <cell r="L121">
            <v>49</v>
          </cell>
          <cell r="M121">
            <v>512</v>
          </cell>
          <cell r="N121">
            <v>1</v>
          </cell>
          <cell r="Q121">
            <v>3</v>
          </cell>
          <cell r="X121" t="str">
            <v>Service Evaluation</v>
          </cell>
          <cell r="Y121" t="str">
            <v>P5</v>
          </cell>
          <cell r="AB121">
            <v>0</v>
          </cell>
          <cell r="AC121">
            <v>0</v>
          </cell>
        </row>
        <row r="122">
          <cell r="A122">
            <v>6713</v>
          </cell>
          <cell r="B122">
            <v>1</v>
          </cell>
          <cell r="J122">
            <v>20</v>
          </cell>
          <cell r="K122">
            <v>1</v>
          </cell>
          <cell r="L122">
            <v>49</v>
          </cell>
          <cell r="M122">
            <v>513</v>
          </cell>
          <cell r="N122">
            <v>1</v>
          </cell>
          <cell r="Q122">
            <v>3</v>
          </cell>
          <cell r="X122" t="str">
            <v>Service Examen Contrôle Scolaire</v>
          </cell>
          <cell r="Y122" t="str">
            <v>P5</v>
          </cell>
          <cell r="AB122">
            <v>0</v>
          </cell>
          <cell r="AC122">
            <v>0</v>
          </cell>
        </row>
        <row r="123">
          <cell r="A123">
            <v>6715</v>
          </cell>
          <cell r="B123">
            <v>1</v>
          </cell>
          <cell r="J123">
            <v>20</v>
          </cell>
          <cell r="K123">
            <v>1</v>
          </cell>
          <cell r="L123">
            <v>49</v>
          </cell>
          <cell r="M123">
            <v>514</v>
          </cell>
          <cell r="N123">
            <v>1</v>
          </cell>
          <cell r="Q123">
            <v>3</v>
          </cell>
          <cell r="X123" t="str">
            <v xml:space="preserve">Imprimerie de l'Education  </v>
          </cell>
          <cell r="Y123" t="str">
            <v>P5</v>
          </cell>
          <cell r="AB123">
            <v>0</v>
          </cell>
          <cell r="AC123">
            <v>0</v>
          </cell>
        </row>
        <row r="124">
          <cell r="A124">
            <v>6717</v>
          </cell>
          <cell r="B124">
            <v>1</v>
          </cell>
          <cell r="J124">
            <v>20</v>
          </cell>
          <cell r="K124">
            <v>1</v>
          </cell>
          <cell r="L124">
            <v>49</v>
          </cell>
          <cell r="M124">
            <v>515</v>
          </cell>
          <cell r="N124">
            <v>1</v>
          </cell>
          <cell r="Q124">
            <v>3</v>
          </cell>
          <cell r="X124" t="str">
            <v>Comité d'Equité  CE / NFQE</v>
          </cell>
          <cell r="Y124" t="str">
            <v>P5</v>
          </cell>
          <cell r="AB124">
            <v>0</v>
          </cell>
          <cell r="AC124">
            <v>0</v>
          </cell>
        </row>
        <row r="125">
          <cell r="A125">
            <v>6719</v>
          </cell>
          <cell r="B125">
            <v>1</v>
          </cell>
          <cell r="J125">
            <v>20</v>
          </cell>
          <cell r="K125">
            <v>1</v>
          </cell>
          <cell r="L125">
            <v>49</v>
          </cell>
          <cell r="M125">
            <v>516</v>
          </cell>
          <cell r="N125">
            <v>1</v>
          </cell>
          <cell r="Q125">
            <v>3</v>
          </cell>
          <cell r="X125" t="str">
            <v>ISESCO</v>
          </cell>
          <cell r="Y125" t="str">
            <v>P5</v>
          </cell>
          <cell r="AB125">
            <v>0</v>
          </cell>
          <cell r="AC125">
            <v>0</v>
          </cell>
        </row>
        <row r="126">
          <cell r="A126">
            <v>6723</v>
          </cell>
          <cell r="B126">
            <v>1</v>
          </cell>
          <cell r="J126">
            <v>20</v>
          </cell>
          <cell r="K126">
            <v>1</v>
          </cell>
          <cell r="L126">
            <v>49</v>
          </cell>
          <cell r="M126">
            <v>518</v>
          </cell>
          <cell r="N126">
            <v>1</v>
          </cell>
          <cell r="Q126">
            <v>3</v>
          </cell>
          <cell r="X126" t="str">
            <v>Service  Coopération</v>
          </cell>
          <cell r="Y126" t="str">
            <v>P5</v>
          </cell>
          <cell r="AB126">
            <v>0</v>
          </cell>
          <cell r="AC126">
            <v>0</v>
          </cell>
        </row>
        <row r="127">
          <cell r="A127">
            <v>6725</v>
          </cell>
          <cell r="B127">
            <v>1</v>
          </cell>
          <cell r="J127">
            <v>20</v>
          </cell>
          <cell r="K127">
            <v>1</v>
          </cell>
          <cell r="L127">
            <v>49</v>
          </cell>
          <cell r="M127">
            <v>519</v>
          </cell>
          <cell r="N127">
            <v>1</v>
          </cell>
          <cell r="Q127">
            <v>3</v>
          </cell>
          <cell r="X127" t="str">
            <v xml:space="preserve">Bureau Africain des services de l'Education </v>
          </cell>
          <cell r="Y127" t="str">
            <v>P5</v>
          </cell>
          <cell r="AB127">
            <v>0</v>
          </cell>
          <cell r="AC127">
            <v>0</v>
          </cell>
        </row>
        <row r="128">
          <cell r="A128">
            <v>6727</v>
          </cell>
          <cell r="B128">
            <v>1</v>
          </cell>
          <cell r="J128">
            <v>20</v>
          </cell>
          <cell r="K128">
            <v>1</v>
          </cell>
          <cell r="L128">
            <v>49</v>
          </cell>
          <cell r="M128">
            <v>520</v>
          </cell>
          <cell r="N128">
            <v>1</v>
          </cell>
          <cell r="Q128">
            <v>3</v>
          </cell>
          <cell r="X128" t="str">
            <v>Cellule CDMT</v>
          </cell>
          <cell r="Y128" t="str">
            <v>P5</v>
          </cell>
          <cell r="AB128">
            <v>105050</v>
          </cell>
          <cell r="AC128">
            <v>105050</v>
          </cell>
        </row>
        <row r="129">
          <cell r="A129">
            <v>6729</v>
          </cell>
          <cell r="B129">
            <v>1</v>
          </cell>
          <cell r="J129">
            <v>20</v>
          </cell>
          <cell r="K129">
            <v>1</v>
          </cell>
          <cell r="L129">
            <v>49</v>
          </cell>
          <cell r="M129">
            <v>521</v>
          </cell>
          <cell r="N129">
            <v>1</v>
          </cell>
          <cell r="Q129">
            <v>3</v>
          </cell>
          <cell r="X129" t="str">
            <v>Serv.nat. Enseignement à distance</v>
          </cell>
          <cell r="Y129" t="str">
            <v>P5</v>
          </cell>
          <cell r="AB129">
            <v>0</v>
          </cell>
          <cell r="AC129">
            <v>0</v>
          </cell>
        </row>
        <row r="130">
          <cell r="A130">
            <v>6731</v>
          </cell>
          <cell r="B130">
            <v>1</v>
          </cell>
          <cell r="J130">
            <v>20</v>
          </cell>
          <cell r="K130">
            <v>1</v>
          </cell>
          <cell r="L130">
            <v>49</v>
          </cell>
          <cell r="M130">
            <v>522</v>
          </cell>
          <cell r="N130">
            <v>1</v>
          </cell>
          <cell r="Q130">
            <v>3</v>
          </cell>
          <cell r="X130" t="str">
            <v>Office des sports universitaires &amp; scolaires</v>
          </cell>
          <cell r="Y130" t="str">
            <v>P5</v>
          </cell>
          <cell r="AB130">
            <v>0</v>
          </cell>
          <cell r="AC130">
            <v>0</v>
          </cell>
        </row>
        <row r="131">
          <cell r="A131">
            <v>6733</v>
          </cell>
          <cell r="B131">
            <v>1</v>
          </cell>
          <cell r="J131">
            <v>20</v>
          </cell>
          <cell r="K131">
            <v>1</v>
          </cell>
          <cell r="L131">
            <v>49</v>
          </cell>
          <cell r="M131">
            <v>900</v>
          </cell>
          <cell r="N131">
            <v>1</v>
          </cell>
          <cell r="Q131">
            <v>3</v>
          </cell>
          <cell r="X131" t="str">
            <v>Autres services centraux Ens PréU</v>
          </cell>
          <cell r="Y131" t="str">
            <v>P5</v>
          </cell>
          <cell r="AB131">
            <v>7423150</v>
          </cell>
          <cell r="AC131">
            <v>7423150</v>
          </cell>
        </row>
        <row r="132">
          <cell r="A132">
            <v>12364</v>
          </cell>
          <cell r="B132">
            <v>1</v>
          </cell>
          <cell r="J132">
            <v>20</v>
          </cell>
          <cell r="K132">
            <v>1</v>
          </cell>
          <cell r="N132">
            <v>2</v>
          </cell>
          <cell r="Q132">
            <v>3</v>
          </cell>
          <cell r="X132" t="str">
            <v>Conakry Services déconcentrés</v>
          </cell>
          <cell r="AB132">
            <v>7268070</v>
          </cell>
          <cell r="AC132">
            <v>7268070</v>
          </cell>
        </row>
        <row r="133">
          <cell r="A133">
            <v>6669</v>
          </cell>
          <cell r="B133">
            <v>1</v>
          </cell>
          <cell r="J133">
            <v>20</v>
          </cell>
          <cell r="K133">
            <v>1</v>
          </cell>
          <cell r="L133">
            <v>42</v>
          </cell>
          <cell r="M133" t="str">
            <v>000</v>
          </cell>
          <cell r="N133">
            <v>2</v>
          </cell>
          <cell r="Q133">
            <v>3</v>
          </cell>
          <cell r="X133" t="str">
            <v>PRIMAIRE SERVICES DECONCENTRES CONAKRY</v>
          </cell>
          <cell r="Y133" t="str">
            <v>P1</v>
          </cell>
          <cell r="AB133">
            <v>4644570</v>
          </cell>
          <cell r="AC133">
            <v>4644570</v>
          </cell>
        </row>
        <row r="134">
          <cell r="A134">
            <v>6677</v>
          </cell>
          <cell r="B134">
            <v>1</v>
          </cell>
          <cell r="J134">
            <v>20</v>
          </cell>
          <cell r="K134">
            <v>1</v>
          </cell>
          <cell r="L134">
            <v>43</v>
          </cell>
          <cell r="M134" t="str">
            <v>000</v>
          </cell>
          <cell r="N134">
            <v>2</v>
          </cell>
          <cell r="Q134">
            <v>3</v>
          </cell>
          <cell r="X134" t="str">
            <v>SECONDAIRE SERVICES DECONCENTRES CONAKRY</v>
          </cell>
          <cell r="Y134" t="str">
            <v>P2</v>
          </cell>
          <cell r="AB134">
            <v>1424490</v>
          </cell>
          <cell r="AC134">
            <v>1424490</v>
          </cell>
        </row>
        <row r="135">
          <cell r="A135">
            <v>6765</v>
          </cell>
          <cell r="B135">
            <v>1</v>
          </cell>
          <cell r="J135">
            <v>20</v>
          </cell>
          <cell r="K135">
            <v>1</v>
          </cell>
          <cell r="L135">
            <v>44</v>
          </cell>
          <cell r="M135" t="str">
            <v>000</v>
          </cell>
          <cell r="N135">
            <v>2</v>
          </cell>
          <cell r="Q135">
            <v>3</v>
          </cell>
          <cell r="X135" t="str">
            <v>Ens.services déconcentrés Conakry Ens tech</v>
          </cell>
          <cell r="Y135" t="str">
            <v>P3</v>
          </cell>
        </row>
        <row r="136">
          <cell r="A136">
            <v>6749</v>
          </cell>
          <cell r="B136">
            <v>1</v>
          </cell>
          <cell r="J136">
            <v>20</v>
          </cell>
          <cell r="K136">
            <v>1</v>
          </cell>
          <cell r="L136">
            <v>44</v>
          </cell>
          <cell r="M136">
            <v>300</v>
          </cell>
          <cell r="N136">
            <v>2</v>
          </cell>
          <cell r="Q136">
            <v>3</v>
          </cell>
          <cell r="X136" t="str">
            <v>Inspect région. Ens tech</v>
          </cell>
          <cell r="Y136" t="str">
            <v>P5</v>
          </cell>
        </row>
        <row r="137">
          <cell r="A137">
            <v>6735</v>
          </cell>
          <cell r="B137">
            <v>1</v>
          </cell>
          <cell r="J137">
            <v>20</v>
          </cell>
          <cell r="K137">
            <v>1</v>
          </cell>
          <cell r="L137">
            <v>49</v>
          </cell>
          <cell r="M137" t="str">
            <v>000</v>
          </cell>
          <cell r="N137">
            <v>2</v>
          </cell>
          <cell r="Q137">
            <v>3</v>
          </cell>
          <cell r="X137" t="str">
            <v>SERVICES ADMINISTRATIFS DECONCENTRES CONAKRY</v>
          </cell>
          <cell r="Y137" t="str">
            <v>P5</v>
          </cell>
          <cell r="AB137">
            <v>101060</v>
          </cell>
          <cell r="AC137">
            <v>101060</v>
          </cell>
        </row>
        <row r="138">
          <cell r="A138">
            <v>12366</v>
          </cell>
          <cell r="B138">
            <v>1</v>
          </cell>
          <cell r="J138">
            <v>20</v>
          </cell>
          <cell r="K138">
            <v>1</v>
          </cell>
          <cell r="N138">
            <v>3</v>
          </cell>
          <cell r="Q138">
            <v>3</v>
          </cell>
          <cell r="X138" t="str">
            <v>Intérieur Services déconcentrés</v>
          </cell>
          <cell r="AB138">
            <v>22188410</v>
          </cell>
          <cell r="AC138">
            <v>22188410</v>
          </cell>
        </row>
        <row r="139">
          <cell r="A139">
            <v>6671</v>
          </cell>
          <cell r="B139">
            <v>1</v>
          </cell>
          <cell r="J139">
            <v>20</v>
          </cell>
          <cell r="K139">
            <v>1</v>
          </cell>
          <cell r="L139">
            <v>42</v>
          </cell>
          <cell r="M139" t="str">
            <v>000</v>
          </cell>
          <cell r="N139">
            <v>3</v>
          </cell>
          <cell r="Q139">
            <v>3</v>
          </cell>
          <cell r="X139" t="str">
            <v>PRIMAIRE SERVICES DECONCENTRES INTERIEUR</v>
          </cell>
          <cell r="Y139" t="str">
            <v>P1</v>
          </cell>
          <cell r="AB139">
            <v>13328500</v>
          </cell>
          <cell r="AC139">
            <v>13328500</v>
          </cell>
        </row>
        <row r="140">
          <cell r="A140">
            <v>6679</v>
          </cell>
          <cell r="B140">
            <v>1</v>
          </cell>
          <cell r="J140">
            <v>20</v>
          </cell>
          <cell r="K140">
            <v>1</v>
          </cell>
          <cell r="L140">
            <v>43</v>
          </cell>
          <cell r="M140" t="str">
            <v>000</v>
          </cell>
          <cell r="N140">
            <v>3</v>
          </cell>
          <cell r="Q140">
            <v>3</v>
          </cell>
          <cell r="X140" t="str">
            <v>SECONDAIRE SERVICES DECONCENTRES INTERIEUR</v>
          </cell>
          <cell r="Y140" t="str">
            <v>P2</v>
          </cell>
          <cell r="AB140">
            <v>4277340</v>
          </cell>
          <cell r="AC140">
            <v>4277340</v>
          </cell>
        </row>
        <row r="141">
          <cell r="A141">
            <v>6767</v>
          </cell>
          <cell r="B141">
            <v>1</v>
          </cell>
          <cell r="J141">
            <v>20</v>
          </cell>
          <cell r="K141">
            <v>1</v>
          </cell>
          <cell r="L141">
            <v>44</v>
          </cell>
          <cell r="M141" t="str">
            <v>000</v>
          </cell>
          <cell r="N141">
            <v>3</v>
          </cell>
          <cell r="Q141">
            <v>3</v>
          </cell>
          <cell r="X141" t="str">
            <v>Ens.services déconcentrés Intérieur Ens tech</v>
          </cell>
          <cell r="Y141" t="str">
            <v>P5</v>
          </cell>
        </row>
        <row r="142">
          <cell r="A142">
            <v>6747</v>
          </cell>
          <cell r="B142">
            <v>1</v>
          </cell>
          <cell r="J142">
            <v>20</v>
          </cell>
          <cell r="K142">
            <v>1</v>
          </cell>
          <cell r="L142">
            <v>44</v>
          </cell>
          <cell r="M142">
            <v>234</v>
          </cell>
          <cell r="N142">
            <v>3</v>
          </cell>
          <cell r="Q142">
            <v>3</v>
          </cell>
          <cell r="X142" t="str">
            <v>ENATEF Contrib coop helvétique</v>
          </cell>
          <cell r="Y142" t="str">
            <v>P5</v>
          </cell>
        </row>
        <row r="143">
          <cell r="A143">
            <v>6737</v>
          </cell>
          <cell r="B143">
            <v>1</v>
          </cell>
          <cell r="J143">
            <v>20</v>
          </cell>
          <cell r="K143">
            <v>1</v>
          </cell>
          <cell r="L143">
            <v>49</v>
          </cell>
          <cell r="M143" t="str">
            <v>000</v>
          </cell>
          <cell r="N143">
            <v>3</v>
          </cell>
          <cell r="Q143">
            <v>3</v>
          </cell>
          <cell r="X143" t="str">
            <v>SERVICES ADMINISTRATIFS DECONCENTRES INTERIEUR</v>
          </cell>
          <cell r="Y143" t="str">
            <v>P5</v>
          </cell>
          <cell r="AB143">
            <v>1240950</v>
          </cell>
          <cell r="AC143">
            <v>1240950</v>
          </cell>
        </row>
        <row r="144">
          <cell r="A144">
            <v>12368</v>
          </cell>
          <cell r="B144">
            <v>1</v>
          </cell>
          <cell r="J144">
            <v>20</v>
          </cell>
          <cell r="K144">
            <v>1</v>
          </cell>
          <cell r="N144">
            <v>9</v>
          </cell>
          <cell r="Q144">
            <v>3</v>
          </cell>
          <cell r="X144" t="str">
            <v>Ensemble Non ventilé</v>
          </cell>
          <cell r="AB144">
            <v>4744340</v>
          </cell>
          <cell r="AC144">
            <v>4744340</v>
          </cell>
        </row>
        <row r="145">
          <cell r="A145">
            <v>6673</v>
          </cell>
          <cell r="B145">
            <v>1</v>
          </cell>
          <cell r="J145">
            <v>20</v>
          </cell>
          <cell r="K145">
            <v>1</v>
          </cell>
          <cell r="L145">
            <v>42</v>
          </cell>
          <cell r="M145" t="str">
            <v>000</v>
          </cell>
          <cell r="N145">
            <v>9</v>
          </cell>
          <cell r="Q145">
            <v>3</v>
          </cell>
          <cell r="X145" t="str">
            <v>PRIMAIRE NON VENTILE</v>
          </cell>
          <cell r="Y145" t="str">
            <v>P1</v>
          </cell>
          <cell r="AB145">
            <v>0</v>
          </cell>
          <cell r="AC145">
            <v>0</v>
          </cell>
        </row>
        <row r="146">
          <cell r="A146">
            <v>6681</v>
          </cell>
          <cell r="B146">
            <v>1</v>
          </cell>
          <cell r="J146">
            <v>20</v>
          </cell>
          <cell r="K146">
            <v>1</v>
          </cell>
          <cell r="L146">
            <v>43</v>
          </cell>
          <cell r="M146" t="str">
            <v>000</v>
          </cell>
          <cell r="N146">
            <v>9</v>
          </cell>
          <cell r="Q146">
            <v>3</v>
          </cell>
          <cell r="X146" t="str">
            <v>SECONDAIRE NON VENTILE</v>
          </cell>
          <cell r="Y146" t="str">
            <v>P2</v>
          </cell>
          <cell r="AB146">
            <v>0</v>
          </cell>
          <cell r="AC146">
            <v>0</v>
          </cell>
        </row>
        <row r="147">
          <cell r="A147">
            <v>6769</v>
          </cell>
          <cell r="B147">
            <v>1</v>
          </cell>
          <cell r="J147">
            <v>20</v>
          </cell>
          <cell r="K147">
            <v>1</v>
          </cell>
          <cell r="L147">
            <v>44</v>
          </cell>
          <cell r="M147" t="str">
            <v>000</v>
          </cell>
          <cell r="N147">
            <v>9</v>
          </cell>
          <cell r="Q147">
            <v>3</v>
          </cell>
          <cell r="X147" t="str">
            <v>Ens.services NV Ens tech</v>
          </cell>
          <cell r="Y147" t="str">
            <v>P3</v>
          </cell>
        </row>
        <row r="148">
          <cell r="A148">
            <v>6739</v>
          </cell>
          <cell r="B148">
            <v>1</v>
          </cell>
          <cell r="J148">
            <v>20</v>
          </cell>
          <cell r="K148">
            <v>1</v>
          </cell>
          <cell r="L148">
            <v>49</v>
          </cell>
          <cell r="M148" t="str">
            <v>000</v>
          </cell>
          <cell r="N148">
            <v>9</v>
          </cell>
          <cell r="Q148">
            <v>3</v>
          </cell>
          <cell r="X148" t="str">
            <v>SERVICES ADMINISTRATIFS NON VENTILE</v>
          </cell>
          <cell r="Y148" t="str">
            <v>P5</v>
          </cell>
          <cell r="AB148">
            <v>1661340</v>
          </cell>
          <cell r="AC148">
            <v>1661340</v>
          </cell>
        </row>
        <row r="149">
          <cell r="A149">
            <v>12370</v>
          </cell>
          <cell r="B149">
            <v>1</v>
          </cell>
          <cell r="D149" t="str">
            <v>I</v>
          </cell>
          <cell r="J149">
            <v>20</v>
          </cell>
          <cell r="K149">
            <v>1</v>
          </cell>
          <cell r="Q149">
            <v>3</v>
          </cell>
          <cell r="R149">
            <v>3</v>
          </cell>
          <cell r="S149">
            <v>1</v>
          </cell>
          <cell r="X149" t="str">
            <v xml:space="preserve">Fournitures et biens courants </v>
          </cell>
          <cell r="AB149">
            <v>3471880</v>
          </cell>
          <cell r="AC149">
            <v>3471880</v>
          </cell>
        </row>
        <row r="150">
          <cell r="A150">
            <v>12372</v>
          </cell>
          <cell r="B150">
            <v>1</v>
          </cell>
          <cell r="J150">
            <v>20</v>
          </cell>
          <cell r="K150">
            <v>1</v>
          </cell>
          <cell r="N150">
            <v>1</v>
          </cell>
          <cell r="Q150">
            <v>3</v>
          </cell>
          <cell r="R150">
            <v>3</v>
          </cell>
          <cell r="S150">
            <v>1</v>
          </cell>
          <cell r="X150" t="str">
            <v>Services centraux</v>
          </cell>
          <cell r="AB150">
            <v>707500</v>
          </cell>
          <cell r="AC150">
            <v>707500</v>
          </cell>
        </row>
        <row r="151">
          <cell r="A151">
            <v>2938</v>
          </cell>
          <cell r="B151">
            <v>1</v>
          </cell>
          <cell r="C151">
            <v>1</v>
          </cell>
          <cell r="E151" t="str">
            <v>20</v>
          </cell>
          <cell r="F151">
            <v>35120100700</v>
          </cell>
          <cell r="G151">
            <v>3</v>
          </cell>
          <cell r="H151" t="str">
            <v>31</v>
          </cell>
          <cell r="I151">
            <v>31</v>
          </cell>
          <cell r="J151">
            <v>20</v>
          </cell>
          <cell r="K151">
            <v>1</v>
          </cell>
          <cell r="L151">
            <v>35</v>
          </cell>
          <cell r="M151">
            <v>120</v>
          </cell>
          <cell r="N151">
            <v>1</v>
          </cell>
          <cell r="O151" t="str">
            <v>00</v>
          </cell>
          <cell r="P151">
            <v>7</v>
          </cell>
          <cell r="Q151">
            <v>3</v>
          </cell>
          <cell r="R151">
            <v>3</v>
          </cell>
          <cell r="S151">
            <v>1</v>
          </cell>
          <cell r="T151">
            <v>31</v>
          </cell>
          <cell r="U151">
            <v>93</v>
          </cell>
          <cell r="V151">
            <v>1</v>
          </cell>
          <cell r="X151" t="str">
            <v>Cabinet du MERS</v>
          </cell>
          <cell r="Y151" t="str">
            <v>P5</v>
          </cell>
          <cell r="Z151" t="str">
            <v>Serv.centr.</v>
          </cell>
          <cell r="AA151" t="str">
            <v>Carburant véhicule</v>
          </cell>
          <cell r="AB151">
            <v>142180</v>
          </cell>
          <cell r="AC151">
            <v>142180</v>
          </cell>
        </row>
        <row r="152">
          <cell r="A152">
            <v>4812</v>
          </cell>
          <cell r="B152">
            <v>1</v>
          </cell>
          <cell r="C152">
            <v>1</v>
          </cell>
          <cell r="E152" t="str">
            <v>20</v>
          </cell>
          <cell r="F152">
            <v>35121100700</v>
          </cell>
          <cell r="G152">
            <v>3</v>
          </cell>
          <cell r="H152" t="str">
            <v>31</v>
          </cell>
          <cell r="I152">
            <v>31</v>
          </cell>
          <cell r="J152">
            <v>20</v>
          </cell>
          <cell r="K152">
            <v>1</v>
          </cell>
          <cell r="L152">
            <v>35</v>
          </cell>
          <cell r="M152">
            <v>121</v>
          </cell>
          <cell r="N152">
            <v>1</v>
          </cell>
          <cell r="O152" t="str">
            <v>00</v>
          </cell>
          <cell r="P152">
            <v>7</v>
          </cell>
          <cell r="Q152">
            <v>3</v>
          </cell>
          <cell r="R152">
            <v>3</v>
          </cell>
          <cell r="S152">
            <v>1</v>
          </cell>
          <cell r="T152">
            <v>31</v>
          </cell>
          <cell r="U152">
            <v>96</v>
          </cell>
          <cell r="V152">
            <v>1</v>
          </cell>
          <cell r="X152" t="str">
            <v>Cabinet ex METFP</v>
          </cell>
          <cell r="Y152" t="str">
            <v>P5</v>
          </cell>
          <cell r="Z152" t="str">
            <v>Serv.cent.</v>
          </cell>
          <cell r="AA152" t="str">
            <v>Carburant</v>
          </cell>
          <cell r="AB152">
            <v>63110</v>
          </cell>
          <cell r="AC152">
            <v>63110</v>
          </cell>
        </row>
        <row r="153">
          <cell r="A153">
            <v>4817</v>
          </cell>
          <cell r="B153">
            <v>1</v>
          </cell>
          <cell r="C153">
            <v>1</v>
          </cell>
          <cell r="E153" t="str">
            <v>20</v>
          </cell>
          <cell r="F153">
            <v>35121100700</v>
          </cell>
          <cell r="G153">
            <v>3</v>
          </cell>
          <cell r="H153" t="str">
            <v>31</v>
          </cell>
          <cell r="I153">
            <v>31</v>
          </cell>
          <cell r="J153">
            <v>20</v>
          </cell>
          <cell r="K153">
            <v>1</v>
          </cell>
          <cell r="L153">
            <v>35</v>
          </cell>
          <cell r="M153">
            <v>121</v>
          </cell>
          <cell r="N153">
            <v>1</v>
          </cell>
          <cell r="O153" t="str">
            <v>00</v>
          </cell>
          <cell r="P153">
            <v>7</v>
          </cell>
          <cell r="Q153">
            <v>3</v>
          </cell>
          <cell r="R153">
            <v>3</v>
          </cell>
          <cell r="S153">
            <v>1</v>
          </cell>
          <cell r="T153">
            <v>31</v>
          </cell>
          <cell r="U153">
            <v>96</v>
          </cell>
          <cell r="V153">
            <v>1</v>
          </cell>
          <cell r="X153" t="str">
            <v>Cabinet ex METFP DAAF &amp; Secrétariat central</v>
          </cell>
          <cell r="Y153" t="str">
            <v>P5</v>
          </cell>
          <cell r="Z153" t="str">
            <v>Serv.cent.</v>
          </cell>
          <cell r="AA153" t="str">
            <v>Carburant</v>
          </cell>
          <cell r="AB153">
            <v>0</v>
          </cell>
          <cell r="AC153">
            <v>0</v>
          </cell>
        </row>
        <row r="154">
          <cell r="A154">
            <v>4818</v>
          </cell>
          <cell r="B154">
            <v>1</v>
          </cell>
          <cell r="C154">
            <v>1</v>
          </cell>
          <cell r="E154" t="str">
            <v>20</v>
          </cell>
          <cell r="F154">
            <v>35121100700</v>
          </cell>
          <cell r="G154">
            <v>3</v>
          </cell>
          <cell r="H154" t="str">
            <v>31</v>
          </cell>
          <cell r="I154">
            <v>33</v>
          </cell>
          <cell r="J154">
            <v>20</v>
          </cell>
          <cell r="K154">
            <v>1</v>
          </cell>
          <cell r="L154">
            <v>35</v>
          </cell>
          <cell r="M154">
            <v>121</v>
          </cell>
          <cell r="N154">
            <v>1</v>
          </cell>
          <cell r="O154" t="str">
            <v>00</v>
          </cell>
          <cell r="P154">
            <v>7</v>
          </cell>
          <cell r="Q154">
            <v>3</v>
          </cell>
          <cell r="R154">
            <v>3</v>
          </cell>
          <cell r="S154">
            <v>1</v>
          </cell>
          <cell r="T154">
            <v>33</v>
          </cell>
          <cell r="U154">
            <v>96</v>
          </cell>
          <cell r="V154">
            <v>1</v>
          </cell>
          <cell r="X154" t="str">
            <v>Cabinet ex METFP DAAF &amp; Secrétariat central</v>
          </cell>
          <cell r="Y154" t="str">
            <v>P5</v>
          </cell>
          <cell r="Z154" t="str">
            <v>Serv.cent.</v>
          </cell>
          <cell r="AA154" t="str">
            <v>Combustible groupe électrogène</v>
          </cell>
          <cell r="AB154">
            <v>13160</v>
          </cell>
          <cell r="AC154">
            <v>13160</v>
          </cell>
        </row>
        <row r="155">
          <cell r="A155">
            <v>4948</v>
          </cell>
          <cell r="B155">
            <v>1</v>
          </cell>
          <cell r="C155">
            <v>1</v>
          </cell>
          <cell r="E155" t="str">
            <v>20</v>
          </cell>
          <cell r="F155">
            <v>35134100600</v>
          </cell>
          <cell r="G155">
            <v>3</v>
          </cell>
          <cell r="H155" t="str">
            <v>31</v>
          </cell>
          <cell r="I155">
            <v>31</v>
          </cell>
          <cell r="J155">
            <v>20</v>
          </cell>
          <cell r="K155">
            <v>1</v>
          </cell>
          <cell r="L155">
            <v>35</v>
          </cell>
          <cell r="M155">
            <v>134</v>
          </cell>
          <cell r="N155">
            <v>1</v>
          </cell>
          <cell r="O155" t="str">
            <v>00</v>
          </cell>
          <cell r="P155">
            <v>6</v>
          </cell>
          <cell r="Q155">
            <v>3</v>
          </cell>
          <cell r="R155">
            <v>3</v>
          </cell>
          <cell r="S155">
            <v>1</v>
          </cell>
          <cell r="T155">
            <v>31</v>
          </cell>
          <cell r="U155">
            <v>98</v>
          </cell>
          <cell r="V155">
            <v>1</v>
          </cell>
          <cell r="W155">
            <v>0</v>
          </cell>
          <cell r="X155" t="str">
            <v>Cabinet ex MESRS</v>
          </cell>
          <cell r="Y155" t="str">
            <v>P5</v>
          </cell>
          <cell r="Z155" t="str">
            <v>Serv.cent.</v>
          </cell>
          <cell r="AA155" t="str">
            <v>Carburant</v>
          </cell>
          <cell r="AB155">
            <v>33850</v>
          </cell>
          <cell r="AC155">
            <v>33850</v>
          </cell>
        </row>
        <row r="156">
          <cell r="A156">
            <v>2999</v>
          </cell>
          <cell r="B156">
            <v>1</v>
          </cell>
          <cell r="C156">
            <v>1</v>
          </cell>
          <cell r="E156" t="str">
            <v>20</v>
          </cell>
          <cell r="F156">
            <v>42101100700</v>
          </cell>
          <cell r="G156">
            <v>3</v>
          </cell>
          <cell r="H156" t="str">
            <v>31</v>
          </cell>
          <cell r="I156">
            <v>31</v>
          </cell>
          <cell r="J156">
            <v>20</v>
          </cell>
          <cell r="K156">
            <v>1</v>
          </cell>
          <cell r="L156">
            <v>42</v>
          </cell>
          <cell r="M156">
            <v>101</v>
          </cell>
          <cell r="N156">
            <v>1</v>
          </cell>
          <cell r="O156" t="str">
            <v>00</v>
          </cell>
          <cell r="P156">
            <v>7</v>
          </cell>
          <cell r="Q156">
            <v>3</v>
          </cell>
          <cell r="R156">
            <v>3</v>
          </cell>
          <cell r="S156">
            <v>1</v>
          </cell>
          <cell r="T156">
            <v>31</v>
          </cell>
          <cell r="U156">
            <v>93</v>
          </cell>
          <cell r="V156">
            <v>1</v>
          </cell>
          <cell r="X156" t="str">
            <v xml:space="preserve">Direction Nationale Enseignement Elémentaire </v>
          </cell>
          <cell r="Y156" t="str">
            <v>P5</v>
          </cell>
          <cell r="Z156" t="str">
            <v>Serv.centr.</v>
          </cell>
          <cell r="AA156" t="str">
            <v>Carburant véhicule</v>
          </cell>
          <cell r="AB156">
            <v>4650</v>
          </cell>
          <cell r="AC156">
            <v>4650</v>
          </cell>
        </row>
        <row r="157">
          <cell r="A157">
            <v>3060</v>
          </cell>
          <cell r="B157">
            <v>1</v>
          </cell>
          <cell r="C157">
            <v>1</v>
          </cell>
          <cell r="E157" t="str">
            <v>20</v>
          </cell>
          <cell r="F157">
            <v>43101100700</v>
          </cell>
          <cell r="G157">
            <v>3</v>
          </cell>
          <cell r="H157" t="str">
            <v>31</v>
          </cell>
          <cell r="I157">
            <v>31</v>
          </cell>
          <cell r="J157">
            <v>20</v>
          </cell>
          <cell r="K157">
            <v>1</v>
          </cell>
          <cell r="L157">
            <v>43</v>
          </cell>
          <cell r="M157">
            <v>101</v>
          </cell>
          <cell r="N157">
            <v>1</v>
          </cell>
          <cell r="O157" t="str">
            <v>00</v>
          </cell>
          <cell r="P157">
            <v>7</v>
          </cell>
          <cell r="Q157">
            <v>3</v>
          </cell>
          <cell r="R157">
            <v>3</v>
          </cell>
          <cell r="S157">
            <v>1</v>
          </cell>
          <cell r="T157">
            <v>31</v>
          </cell>
          <cell r="U157">
            <v>93</v>
          </cell>
          <cell r="V157">
            <v>1</v>
          </cell>
          <cell r="X157" t="str">
            <v xml:space="preserve">Direction Nationale Enseignement Secondaire </v>
          </cell>
          <cell r="Y157" t="str">
            <v>P5</v>
          </cell>
          <cell r="Z157" t="str">
            <v>Serv.centr.</v>
          </cell>
          <cell r="AA157" t="str">
            <v>Carburant véhicule</v>
          </cell>
          <cell r="AB157">
            <v>5250</v>
          </cell>
          <cell r="AC157">
            <v>5250</v>
          </cell>
        </row>
        <row r="158">
          <cell r="A158">
            <v>4873</v>
          </cell>
          <cell r="B158">
            <v>1</v>
          </cell>
          <cell r="C158">
            <v>1</v>
          </cell>
          <cell r="E158" t="str">
            <v>20</v>
          </cell>
          <cell r="F158">
            <v>44101100700</v>
          </cell>
          <cell r="G158">
            <v>3</v>
          </cell>
          <cell r="H158" t="str">
            <v>31</v>
          </cell>
          <cell r="I158">
            <v>21</v>
          </cell>
          <cell r="J158">
            <v>20</v>
          </cell>
          <cell r="K158">
            <v>1</v>
          </cell>
          <cell r="L158">
            <v>44</v>
          </cell>
          <cell r="M158">
            <v>101</v>
          </cell>
          <cell r="N158">
            <v>1</v>
          </cell>
          <cell r="O158" t="str">
            <v>00</v>
          </cell>
          <cell r="P158">
            <v>7</v>
          </cell>
          <cell r="Q158">
            <v>3</v>
          </cell>
          <cell r="R158">
            <v>3</v>
          </cell>
          <cell r="S158">
            <v>1</v>
          </cell>
          <cell r="T158">
            <v>21</v>
          </cell>
          <cell r="U158">
            <v>96</v>
          </cell>
          <cell r="V158">
            <v>1</v>
          </cell>
          <cell r="X158" t="str">
            <v>DNDPPE Dir nat dévelop pédagogique &amp; programmes d'enseignement</v>
          </cell>
          <cell r="Y158" t="str">
            <v>P5</v>
          </cell>
          <cell r="Z158" t="str">
            <v>Serv.cent.</v>
          </cell>
          <cell r="AA158" t="str">
            <v>Fournitures &amp; petit matériel bureau</v>
          </cell>
          <cell r="AB158">
            <v>2100</v>
          </cell>
          <cell r="AC158">
            <v>2100</v>
          </cell>
        </row>
        <row r="159">
          <cell r="A159">
            <v>4874</v>
          </cell>
          <cell r="B159">
            <v>1</v>
          </cell>
          <cell r="C159">
            <v>1</v>
          </cell>
          <cell r="E159" t="str">
            <v>20</v>
          </cell>
          <cell r="F159">
            <v>44101100700</v>
          </cell>
          <cell r="G159">
            <v>3</v>
          </cell>
          <cell r="H159" t="str">
            <v>31</v>
          </cell>
          <cell r="I159">
            <v>31</v>
          </cell>
          <cell r="J159">
            <v>20</v>
          </cell>
          <cell r="K159">
            <v>1</v>
          </cell>
          <cell r="L159">
            <v>44</v>
          </cell>
          <cell r="M159">
            <v>101</v>
          </cell>
          <cell r="N159">
            <v>1</v>
          </cell>
          <cell r="O159" t="str">
            <v>00</v>
          </cell>
          <cell r="P159">
            <v>7</v>
          </cell>
          <cell r="Q159">
            <v>3</v>
          </cell>
          <cell r="R159">
            <v>3</v>
          </cell>
          <cell r="S159">
            <v>1</v>
          </cell>
          <cell r="T159">
            <v>31</v>
          </cell>
          <cell r="U159">
            <v>96</v>
          </cell>
          <cell r="V159">
            <v>1</v>
          </cell>
          <cell r="X159" t="str">
            <v>DNDPPE Dir nat dévelop pédagogique &amp; programmes d'enseignement</v>
          </cell>
          <cell r="Y159" t="str">
            <v>P5</v>
          </cell>
          <cell r="Z159" t="str">
            <v>Serv.cent.</v>
          </cell>
          <cell r="AA159" t="str">
            <v>Carburant</v>
          </cell>
          <cell r="AB159">
            <v>3510</v>
          </cell>
          <cell r="AC159">
            <v>3510</v>
          </cell>
        </row>
        <row r="160">
          <cell r="A160">
            <v>4877</v>
          </cell>
          <cell r="B160">
            <v>1</v>
          </cell>
          <cell r="C160">
            <v>1</v>
          </cell>
          <cell r="E160" t="str">
            <v>20</v>
          </cell>
          <cell r="F160">
            <v>44102100700</v>
          </cell>
          <cell r="G160">
            <v>3</v>
          </cell>
          <cell r="H160" t="str">
            <v>31</v>
          </cell>
          <cell r="I160">
            <v>21</v>
          </cell>
          <cell r="J160">
            <v>20</v>
          </cell>
          <cell r="K160">
            <v>1</v>
          </cell>
          <cell r="L160">
            <v>44</v>
          </cell>
          <cell r="M160">
            <v>102</v>
          </cell>
          <cell r="N160">
            <v>1</v>
          </cell>
          <cell r="O160" t="str">
            <v>00</v>
          </cell>
          <cell r="P160">
            <v>7</v>
          </cell>
          <cell r="Q160">
            <v>3</v>
          </cell>
          <cell r="R160">
            <v>3</v>
          </cell>
          <cell r="S160">
            <v>1</v>
          </cell>
          <cell r="T160">
            <v>21</v>
          </cell>
          <cell r="U160">
            <v>96</v>
          </cell>
          <cell r="V160">
            <v>1</v>
          </cell>
          <cell r="X160" t="str">
            <v>DNFPP Dir Nat Formation &amp; perfectionnement des presonnels</v>
          </cell>
          <cell r="Y160" t="str">
            <v>P5</v>
          </cell>
          <cell r="Z160" t="str">
            <v>Serv.cent.</v>
          </cell>
          <cell r="AA160" t="str">
            <v>Fournitures &amp; petit matériel bureau</v>
          </cell>
          <cell r="AB160">
            <v>2390</v>
          </cell>
          <cell r="AC160">
            <v>2390</v>
          </cell>
        </row>
        <row r="161">
          <cell r="A161">
            <v>4878</v>
          </cell>
          <cell r="B161">
            <v>1</v>
          </cell>
          <cell r="C161">
            <v>1</v>
          </cell>
          <cell r="E161" t="str">
            <v>20</v>
          </cell>
          <cell r="F161">
            <v>44102100700</v>
          </cell>
          <cell r="G161">
            <v>3</v>
          </cell>
          <cell r="H161" t="str">
            <v>31</v>
          </cell>
          <cell r="I161">
            <v>31</v>
          </cell>
          <cell r="J161">
            <v>20</v>
          </cell>
          <cell r="K161">
            <v>1</v>
          </cell>
          <cell r="L161">
            <v>44</v>
          </cell>
          <cell r="M161">
            <v>102</v>
          </cell>
          <cell r="N161">
            <v>1</v>
          </cell>
          <cell r="O161" t="str">
            <v>00</v>
          </cell>
          <cell r="P161">
            <v>7</v>
          </cell>
          <cell r="Q161">
            <v>3</v>
          </cell>
          <cell r="R161">
            <v>3</v>
          </cell>
          <cell r="S161">
            <v>1</v>
          </cell>
          <cell r="T161">
            <v>31</v>
          </cell>
          <cell r="U161">
            <v>96</v>
          </cell>
          <cell r="V161">
            <v>1</v>
          </cell>
          <cell r="X161" t="str">
            <v>DNFPP Dir Nat Formation &amp; perfectionnement des presonnels</v>
          </cell>
          <cell r="Y161" t="str">
            <v>P5</v>
          </cell>
          <cell r="Z161" t="str">
            <v>Serv.cent.</v>
          </cell>
          <cell r="AA161" t="str">
            <v>Carburant</v>
          </cell>
          <cell r="AB161">
            <v>1820</v>
          </cell>
          <cell r="AC161">
            <v>1820</v>
          </cell>
        </row>
        <row r="162">
          <cell r="A162">
            <v>4881</v>
          </cell>
          <cell r="B162">
            <v>1</v>
          </cell>
          <cell r="C162">
            <v>1</v>
          </cell>
          <cell r="E162" t="str">
            <v>20</v>
          </cell>
          <cell r="F162">
            <v>44103100700</v>
          </cell>
          <cell r="G162">
            <v>3</v>
          </cell>
          <cell r="H162" t="str">
            <v>31</v>
          </cell>
          <cell r="I162">
            <v>21</v>
          </cell>
          <cell r="J162">
            <v>20</v>
          </cell>
          <cell r="K162">
            <v>1</v>
          </cell>
          <cell r="L162">
            <v>44</v>
          </cell>
          <cell r="M162">
            <v>103</v>
          </cell>
          <cell r="N162">
            <v>1</v>
          </cell>
          <cell r="O162" t="str">
            <v>00</v>
          </cell>
          <cell r="P162">
            <v>7</v>
          </cell>
          <cell r="Q162">
            <v>3</v>
          </cell>
          <cell r="R162">
            <v>3</v>
          </cell>
          <cell r="S162">
            <v>1</v>
          </cell>
          <cell r="T162">
            <v>21</v>
          </cell>
          <cell r="U162">
            <v>96</v>
          </cell>
          <cell r="V162">
            <v>1</v>
          </cell>
          <cell r="X162" t="str">
            <v>DNEPFS DN Ens privé &amp; formation spécialisées</v>
          </cell>
          <cell r="Y162" t="str">
            <v>P5</v>
          </cell>
          <cell r="Z162" t="str">
            <v>Serv.cent.</v>
          </cell>
          <cell r="AA162" t="str">
            <v>Fournitures &amp; petit matériel bureau</v>
          </cell>
          <cell r="AB162">
            <v>2100</v>
          </cell>
          <cell r="AC162">
            <v>2100</v>
          </cell>
        </row>
        <row r="163">
          <cell r="A163">
            <v>4882</v>
          </cell>
          <cell r="B163">
            <v>1</v>
          </cell>
          <cell r="C163">
            <v>1</v>
          </cell>
          <cell r="E163" t="str">
            <v>20</v>
          </cell>
          <cell r="F163">
            <v>44103100700</v>
          </cell>
          <cell r="G163">
            <v>3</v>
          </cell>
          <cell r="H163" t="str">
            <v>31</v>
          </cell>
          <cell r="I163">
            <v>31</v>
          </cell>
          <cell r="J163">
            <v>20</v>
          </cell>
          <cell r="K163">
            <v>1</v>
          </cell>
          <cell r="L163">
            <v>44</v>
          </cell>
          <cell r="M163">
            <v>103</v>
          </cell>
          <cell r="N163">
            <v>1</v>
          </cell>
          <cell r="O163" t="str">
            <v>00</v>
          </cell>
          <cell r="P163">
            <v>7</v>
          </cell>
          <cell r="Q163">
            <v>3</v>
          </cell>
          <cell r="R163">
            <v>3</v>
          </cell>
          <cell r="S163">
            <v>1</v>
          </cell>
          <cell r="T163">
            <v>31</v>
          </cell>
          <cell r="U163">
            <v>96</v>
          </cell>
          <cell r="V163">
            <v>1</v>
          </cell>
          <cell r="X163" t="str">
            <v>DNEPFS DN Ens privé &amp; formation spécialisées</v>
          </cell>
          <cell r="Y163" t="str">
            <v>P5</v>
          </cell>
          <cell r="Z163" t="str">
            <v>Serv.cent.</v>
          </cell>
          <cell r="AA163" t="str">
            <v>Carburant</v>
          </cell>
          <cell r="AB163">
            <v>2100</v>
          </cell>
          <cell r="AC163">
            <v>2100</v>
          </cell>
        </row>
        <row r="164">
          <cell r="A164">
            <v>4902</v>
          </cell>
          <cell r="B164">
            <v>1</v>
          </cell>
          <cell r="C164">
            <v>1</v>
          </cell>
          <cell r="E164" t="str">
            <v>20</v>
          </cell>
          <cell r="F164">
            <v>44501100700</v>
          </cell>
          <cell r="G164">
            <v>3</v>
          </cell>
          <cell r="H164" t="str">
            <v>31</v>
          </cell>
          <cell r="I164">
            <v>11</v>
          </cell>
          <cell r="J164">
            <v>20</v>
          </cell>
          <cell r="K164">
            <v>1</v>
          </cell>
          <cell r="L164">
            <v>44</v>
          </cell>
          <cell r="M164">
            <v>501</v>
          </cell>
          <cell r="N164">
            <v>1</v>
          </cell>
          <cell r="O164" t="str">
            <v>00</v>
          </cell>
          <cell r="P164">
            <v>7</v>
          </cell>
          <cell r="Q164">
            <v>3</v>
          </cell>
          <cell r="R164">
            <v>3</v>
          </cell>
          <cell r="S164">
            <v>1</v>
          </cell>
          <cell r="T164">
            <v>11</v>
          </cell>
          <cell r="U164">
            <v>96</v>
          </cell>
          <cell r="V164">
            <v>1</v>
          </cell>
          <cell r="X164" t="str">
            <v>SECS Serv examens &amp; concours scolaires</v>
          </cell>
          <cell r="Y164" t="str">
            <v>P5</v>
          </cell>
          <cell r="Z164" t="str">
            <v>Serv.cent.</v>
          </cell>
          <cell r="AA164" t="str">
            <v>Pré imprimés</v>
          </cell>
          <cell r="AB164">
            <v>87580</v>
          </cell>
          <cell r="AC164">
            <v>87580</v>
          </cell>
        </row>
        <row r="165">
          <cell r="A165">
            <v>4903</v>
          </cell>
          <cell r="B165">
            <v>1</v>
          </cell>
          <cell r="C165">
            <v>1</v>
          </cell>
          <cell r="E165" t="str">
            <v>20</v>
          </cell>
          <cell r="F165">
            <v>44501100700</v>
          </cell>
          <cell r="G165">
            <v>3</v>
          </cell>
          <cell r="H165" t="str">
            <v>31</v>
          </cell>
          <cell r="I165">
            <v>31</v>
          </cell>
          <cell r="J165">
            <v>20</v>
          </cell>
          <cell r="K165">
            <v>1</v>
          </cell>
          <cell r="L165">
            <v>44</v>
          </cell>
          <cell r="M165">
            <v>501</v>
          </cell>
          <cell r="N165">
            <v>1</v>
          </cell>
          <cell r="O165" t="str">
            <v>00</v>
          </cell>
          <cell r="P165">
            <v>7</v>
          </cell>
          <cell r="Q165">
            <v>3</v>
          </cell>
          <cell r="R165">
            <v>3</v>
          </cell>
          <cell r="S165">
            <v>1</v>
          </cell>
          <cell r="T165">
            <v>31</v>
          </cell>
          <cell r="U165">
            <v>96</v>
          </cell>
          <cell r="V165">
            <v>1</v>
          </cell>
          <cell r="X165" t="str">
            <v>SECS Serv examens &amp; concours scolaires</v>
          </cell>
          <cell r="Y165" t="str">
            <v>P5</v>
          </cell>
          <cell r="Z165" t="str">
            <v>Serv.cent.</v>
          </cell>
          <cell r="AA165" t="str">
            <v>Carburant</v>
          </cell>
          <cell r="AB165">
            <v>4590</v>
          </cell>
          <cell r="AC165">
            <v>4590</v>
          </cell>
        </row>
        <row r="166">
          <cell r="A166">
            <v>4904</v>
          </cell>
          <cell r="B166">
            <v>1</v>
          </cell>
          <cell r="C166">
            <v>1</v>
          </cell>
          <cell r="E166" t="str">
            <v>20</v>
          </cell>
          <cell r="F166">
            <v>44501100700</v>
          </cell>
          <cell r="G166">
            <v>3</v>
          </cell>
          <cell r="H166" t="str">
            <v>31</v>
          </cell>
          <cell r="I166">
            <v>33</v>
          </cell>
          <cell r="J166">
            <v>20</v>
          </cell>
          <cell r="K166">
            <v>1</v>
          </cell>
          <cell r="L166">
            <v>44</v>
          </cell>
          <cell r="M166">
            <v>501</v>
          </cell>
          <cell r="N166">
            <v>1</v>
          </cell>
          <cell r="O166" t="str">
            <v>00</v>
          </cell>
          <cell r="P166">
            <v>7</v>
          </cell>
          <cell r="Q166">
            <v>3</v>
          </cell>
          <cell r="R166">
            <v>3</v>
          </cell>
          <cell r="S166">
            <v>1</v>
          </cell>
          <cell r="T166">
            <v>33</v>
          </cell>
          <cell r="U166">
            <v>96</v>
          </cell>
          <cell r="V166">
            <v>1</v>
          </cell>
          <cell r="X166" t="str">
            <v>SECS Serv examens &amp; concours scolaires</v>
          </cell>
          <cell r="Y166" t="str">
            <v>P5</v>
          </cell>
          <cell r="Z166" t="str">
            <v>Serv.cent.</v>
          </cell>
          <cell r="AA166" t="str">
            <v>Combustible groupe électrogène</v>
          </cell>
          <cell r="AB166">
            <v>2810</v>
          </cell>
          <cell r="AC166">
            <v>2810</v>
          </cell>
        </row>
        <row r="167">
          <cell r="A167">
            <v>4907</v>
          </cell>
          <cell r="B167">
            <v>1</v>
          </cell>
          <cell r="C167">
            <v>1</v>
          </cell>
          <cell r="E167" t="str">
            <v>20</v>
          </cell>
          <cell r="F167">
            <v>44502100700</v>
          </cell>
          <cell r="G167">
            <v>3</v>
          </cell>
          <cell r="H167" t="str">
            <v>31</v>
          </cell>
          <cell r="I167">
            <v>31</v>
          </cell>
          <cell r="J167">
            <v>20</v>
          </cell>
          <cell r="K167">
            <v>1</v>
          </cell>
          <cell r="L167">
            <v>44</v>
          </cell>
          <cell r="M167">
            <v>502</v>
          </cell>
          <cell r="N167">
            <v>1</v>
          </cell>
          <cell r="O167" t="str">
            <v>00</v>
          </cell>
          <cell r="P167">
            <v>7</v>
          </cell>
          <cell r="Q167">
            <v>3</v>
          </cell>
          <cell r="R167">
            <v>3</v>
          </cell>
          <cell r="S167">
            <v>1</v>
          </cell>
          <cell r="T167">
            <v>31</v>
          </cell>
          <cell r="U167">
            <v>96</v>
          </cell>
          <cell r="V167">
            <v>1</v>
          </cell>
          <cell r="X167" t="str">
            <v>SESCS Serv études stat &amp; cartes scolaires</v>
          </cell>
          <cell r="Y167" t="str">
            <v>P5</v>
          </cell>
          <cell r="Z167" t="str">
            <v>Serv.cent.</v>
          </cell>
          <cell r="AA167" t="str">
            <v>Carburant</v>
          </cell>
          <cell r="AB167">
            <v>910</v>
          </cell>
          <cell r="AC167">
            <v>910</v>
          </cell>
        </row>
        <row r="168">
          <cell r="A168">
            <v>4910</v>
          </cell>
          <cell r="B168">
            <v>1</v>
          </cell>
          <cell r="C168">
            <v>1</v>
          </cell>
          <cell r="E168" t="str">
            <v>20</v>
          </cell>
          <cell r="F168">
            <v>44503100700</v>
          </cell>
          <cell r="G168">
            <v>3</v>
          </cell>
          <cell r="H168" t="str">
            <v>31</v>
          </cell>
          <cell r="I168">
            <v>31</v>
          </cell>
          <cell r="J168">
            <v>20</v>
          </cell>
          <cell r="K168">
            <v>1</v>
          </cell>
          <cell r="L168">
            <v>44</v>
          </cell>
          <cell r="M168">
            <v>503</v>
          </cell>
          <cell r="N168">
            <v>1</v>
          </cell>
          <cell r="O168" t="str">
            <v>00</v>
          </cell>
          <cell r="P168">
            <v>7</v>
          </cell>
          <cell r="Q168">
            <v>3</v>
          </cell>
          <cell r="R168">
            <v>3</v>
          </cell>
          <cell r="S168">
            <v>1</v>
          </cell>
          <cell r="T168">
            <v>31</v>
          </cell>
          <cell r="U168">
            <v>96</v>
          </cell>
          <cell r="V168">
            <v>1</v>
          </cell>
          <cell r="X168" t="str">
            <v>SINDA Serv information &amp; documentation</v>
          </cell>
          <cell r="Y168" t="str">
            <v>P5</v>
          </cell>
          <cell r="Z168" t="str">
            <v>Serv.cent.</v>
          </cell>
          <cell r="AA168" t="str">
            <v>Carburant</v>
          </cell>
          <cell r="AB168">
            <v>910</v>
          </cell>
          <cell r="AC168">
            <v>910</v>
          </cell>
        </row>
        <row r="169">
          <cell r="A169">
            <v>4913</v>
          </cell>
          <cell r="B169">
            <v>1</v>
          </cell>
          <cell r="C169">
            <v>1</v>
          </cell>
          <cell r="E169" t="str">
            <v>20</v>
          </cell>
          <cell r="F169">
            <v>44504100700</v>
          </cell>
          <cell r="G169">
            <v>3</v>
          </cell>
          <cell r="H169" t="str">
            <v>31</v>
          </cell>
          <cell r="I169">
            <v>31</v>
          </cell>
          <cell r="J169">
            <v>20</v>
          </cell>
          <cell r="K169">
            <v>1</v>
          </cell>
          <cell r="L169">
            <v>44</v>
          </cell>
          <cell r="M169">
            <v>504</v>
          </cell>
          <cell r="N169">
            <v>1</v>
          </cell>
          <cell r="O169" t="str">
            <v>00</v>
          </cell>
          <cell r="P169">
            <v>7</v>
          </cell>
          <cell r="Q169">
            <v>3</v>
          </cell>
          <cell r="R169">
            <v>3</v>
          </cell>
          <cell r="S169">
            <v>1</v>
          </cell>
          <cell r="T169">
            <v>31</v>
          </cell>
          <cell r="U169">
            <v>96</v>
          </cell>
          <cell r="V169">
            <v>1</v>
          </cell>
          <cell r="X169" t="str">
            <v>SNEP Serv nat enseignement privé</v>
          </cell>
          <cell r="Y169" t="str">
            <v>P5</v>
          </cell>
          <cell r="Z169" t="str">
            <v>Serv.cent.</v>
          </cell>
          <cell r="AA169" t="str">
            <v>Carburant</v>
          </cell>
          <cell r="AB169">
            <v>0</v>
          </cell>
          <cell r="AC169">
            <v>0</v>
          </cell>
        </row>
        <row r="170">
          <cell r="A170">
            <v>4916</v>
          </cell>
          <cell r="B170">
            <v>1</v>
          </cell>
          <cell r="C170">
            <v>1</v>
          </cell>
          <cell r="E170" t="str">
            <v>20</v>
          </cell>
          <cell r="F170">
            <v>44505100700</v>
          </cell>
          <cell r="G170">
            <v>3</v>
          </cell>
          <cell r="H170" t="str">
            <v>31</v>
          </cell>
          <cell r="I170">
            <v>31</v>
          </cell>
          <cell r="J170">
            <v>20</v>
          </cell>
          <cell r="K170">
            <v>1</v>
          </cell>
          <cell r="L170">
            <v>44</v>
          </cell>
          <cell r="M170">
            <v>505</v>
          </cell>
          <cell r="N170">
            <v>1</v>
          </cell>
          <cell r="O170" t="str">
            <v>00</v>
          </cell>
          <cell r="P170">
            <v>7</v>
          </cell>
          <cell r="Q170">
            <v>3</v>
          </cell>
          <cell r="R170">
            <v>3</v>
          </cell>
          <cell r="S170">
            <v>1</v>
          </cell>
          <cell r="T170">
            <v>31</v>
          </cell>
          <cell r="U170">
            <v>96</v>
          </cell>
          <cell r="V170">
            <v>1</v>
          </cell>
          <cell r="X170" t="str">
            <v>SNIEM Serv nat Infrastructures Equipement &amp; Maintenance</v>
          </cell>
          <cell r="Y170" t="str">
            <v>P5</v>
          </cell>
          <cell r="Z170" t="str">
            <v>Serv.cent.</v>
          </cell>
          <cell r="AA170" t="str">
            <v>Carburant</v>
          </cell>
          <cell r="AB170">
            <v>2960</v>
          </cell>
          <cell r="AC170">
            <v>2960</v>
          </cell>
        </row>
        <row r="171">
          <cell r="A171">
            <v>4919</v>
          </cell>
          <cell r="B171">
            <v>1</v>
          </cell>
          <cell r="C171">
            <v>1</v>
          </cell>
          <cell r="E171" t="str">
            <v>20</v>
          </cell>
          <cell r="F171">
            <v>44506100700</v>
          </cell>
          <cell r="G171">
            <v>3</v>
          </cell>
          <cell r="H171" t="str">
            <v>31</v>
          </cell>
          <cell r="I171">
            <v>31</v>
          </cell>
          <cell r="J171">
            <v>20</v>
          </cell>
          <cell r="K171">
            <v>1</v>
          </cell>
          <cell r="L171">
            <v>44</v>
          </cell>
          <cell r="M171">
            <v>506</v>
          </cell>
          <cell r="N171">
            <v>1</v>
          </cell>
          <cell r="O171" t="str">
            <v>00</v>
          </cell>
          <cell r="P171">
            <v>7</v>
          </cell>
          <cell r="Q171">
            <v>3</v>
          </cell>
          <cell r="R171">
            <v>3</v>
          </cell>
          <cell r="S171">
            <v>1</v>
          </cell>
          <cell r="T171">
            <v>31</v>
          </cell>
          <cell r="U171">
            <v>96</v>
          </cell>
          <cell r="V171">
            <v>1</v>
          </cell>
          <cell r="X171" t="str">
            <v>Serv Audit Evaluation</v>
          </cell>
          <cell r="Y171" t="str">
            <v>P5</v>
          </cell>
          <cell r="Z171" t="str">
            <v>Serv.cent.</v>
          </cell>
          <cell r="AA171" t="str">
            <v>Carburant</v>
          </cell>
          <cell r="AB171">
            <v>910</v>
          </cell>
          <cell r="AC171">
            <v>910</v>
          </cell>
        </row>
        <row r="172">
          <cell r="A172">
            <v>4931</v>
          </cell>
          <cell r="B172">
            <v>1</v>
          </cell>
          <cell r="C172">
            <v>1</v>
          </cell>
          <cell r="E172" t="str">
            <v>20</v>
          </cell>
          <cell r="F172">
            <v>44900100700</v>
          </cell>
          <cell r="G172">
            <v>3</v>
          </cell>
          <cell r="H172" t="str">
            <v>31</v>
          </cell>
          <cell r="I172">
            <v>12</v>
          </cell>
          <cell r="J172">
            <v>20</v>
          </cell>
          <cell r="K172">
            <v>1</v>
          </cell>
          <cell r="L172">
            <v>44</v>
          </cell>
          <cell r="M172">
            <v>900</v>
          </cell>
          <cell r="N172">
            <v>1</v>
          </cell>
          <cell r="O172" t="str">
            <v>00</v>
          </cell>
          <cell r="P172">
            <v>7</v>
          </cell>
          <cell r="Q172">
            <v>3</v>
          </cell>
          <cell r="R172">
            <v>3</v>
          </cell>
          <cell r="S172">
            <v>1</v>
          </cell>
          <cell r="T172">
            <v>12</v>
          </cell>
          <cell r="U172">
            <v>96</v>
          </cell>
          <cell r="V172">
            <v>1</v>
          </cell>
          <cell r="X172" t="str">
            <v>Enseign. Technique Autres serv centraux</v>
          </cell>
          <cell r="Y172" t="str">
            <v>P5</v>
          </cell>
          <cell r="Z172" t="str">
            <v>Serv.cent.</v>
          </cell>
          <cell r="AA172" t="str">
            <v>Documentat.</v>
          </cell>
          <cell r="AB172">
            <v>0</v>
          </cell>
          <cell r="AC172">
            <v>0</v>
          </cell>
        </row>
        <row r="173">
          <cell r="A173">
            <v>4946</v>
          </cell>
          <cell r="B173">
            <v>1</v>
          </cell>
          <cell r="C173">
            <v>1</v>
          </cell>
          <cell r="E173" t="str">
            <v>20</v>
          </cell>
          <cell r="F173">
            <v>44900100900</v>
          </cell>
          <cell r="G173">
            <v>3</v>
          </cell>
          <cell r="H173" t="str">
            <v>31</v>
          </cell>
          <cell r="I173">
            <v>90</v>
          </cell>
          <cell r="J173">
            <v>20</v>
          </cell>
          <cell r="K173">
            <v>1</v>
          </cell>
          <cell r="L173">
            <v>44</v>
          </cell>
          <cell r="M173">
            <v>900</v>
          </cell>
          <cell r="N173">
            <v>1</v>
          </cell>
          <cell r="O173" t="str">
            <v>00</v>
          </cell>
          <cell r="P173">
            <v>9</v>
          </cell>
          <cell r="Q173">
            <v>3</v>
          </cell>
          <cell r="R173">
            <v>3</v>
          </cell>
          <cell r="S173">
            <v>1</v>
          </cell>
          <cell r="T173">
            <v>90</v>
          </cell>
          <cell r="U173">
            <v>97</v>
          </cell>
          <cell r="V173">
            <v>1</v>
          </cell>
          <cell r="X173" t="str">
            <v>Enseign. Technique Autres serv centraux</v>
          </cell>
          <cell r="Y173" t="str">
            <v>P5</v>
          </cell>
          <cell r="Z173" t="str">
            <v>Serv.cent.</v>
          </cell>
          <cell r="AA173" t="str">
            <v>Autres produits et fournitures PPTE</v>
          </cell>
          <cell r="AB173">
            <v>0</v>
          </cell>
          <cell r="AC173">
            <v>0</v>
          </cell>
        </row>
        <row r="174">
          <cell r="A174">
            <v>5000</v>
          </cell>
          <cell r="B174">
            <v>1</v>
          </cell>
          <cell r="C174">
            <v>1</v>
          </cell>
          <cell r="E174" t="str">
            <v>20</v>
          </cell>
          <cell r="F174">
            <v>46101100600</v>
          </cell>
          <cell r="G174">
            <v>3</v>
          </cell>
          <cell r="H174" t="str">
            <v>31</v>
          </cell>
          <cell r="I174">
            <v>21</v>
          </cell>
          <cell r="J174">
            <v>20</v>
          </cell>
          <cell r="K174">
            <v>1</v>
          </cell>
          <cell r="L174">
            <v>46</v>
          </cell>
          <cell r="M174">
            <v>101</v>
          </cell>
          <cell r="N174">
            <v>1</v>
          </cell>
          <cell r="O174" t="str">
            <v>00</v>
          </cell>
          <cell r="P174">
            <v>6</v>
          </cell>
          <cell r="Q174">
            <v>3</v>
          </cell>
          <cell r="R174">
            <v>3</v>
          </cell>
          <cell r="S174">
            <v>1</v>
          </cell>
          <cell r="T174">
            <v>21</v>
          </cell>
          <cell r="U174">
            <v>98</v>
          </cell>
          <cell r="V174">
            <v>1</v>
          </cell>
          <cell r="W174">
            <v>0</v>
          </cell>
          <cell r="X174" t="str">
            <v>DN Enseig Superieur</v>
          </cell>
          <cell r="Y174" t="str">
            <v>P5</v>
          </cell>
          <cell r="Z174" t="str">
            <v>Serv.cent.</v>
          </cell>
          <cell r="AA174" t="str">
            <v>Fournitures petits matériels bureau</v>
          </cell>
          <cell r="AB174">
            <v>8570</v>
          </cell>
          <cell r="AC174">
            <v>8570</v>
          </cell>
        </row>
        <row r="175">
          <cell r="A175">
            <v>5001</v>
          </cell>
          <cell r="B175">
            <v>1</v>
          </cell>
          <cell r="C175">
            <v>1</v>
          </cell>
          <cell r="E175" t="str">
            <v>20</v>
          </cell>
          <cell r="F175">
            <v>46101100600</v>
          </cell>
          <cell r="G175">
            <v>3</v>
          </cell>
          <cell r="H175" t="str">
            <v>31</v>
          </cell>
          <cell r="I175">
            <v>31</v>
          </cell>
          <cell r="J175">
            <v>20</v>
          </cell>
          <cell r="K175">
            <v>1</v>
          </cell>
          <cell r="L175">
            <v>46</v>
          </cell>
          <cell r="M175">
            <v>101</v>
          </cell>
          <cell r="N175">
            <v>1</v>
          </cell>
          <cell r="O175" t="str">
            <v>00</v>
          </cell>
          <cell r="P175">
            <v>6</v>
          </cell>
          <cell r="Q175">
            <v>3</v>
          </cell>
          <cell r="R175">
            <v>3</v>
          </cell>
          <cell r="S175">
            <v>1</v>
          </cell>
          <cell r="T175">
            <v>31</v>
          </cell>
          <cell r="U175">
            <v>98</v>
          </cell>
          <cell r="V175">
            <v>1</v>
          </cell>
          <cell r="W175">
            <v>0</v>
          </cell>
          <cell r="X175" t="str">
            <v>DN Enseig Superieur</v>
          </cell>
          <cell r="Y175" t="str">
            <v>P5</v>
          </cell>
          <cell r="Z175" t="str">
            <v>Serv.cent.</v>
          </cell>
          <cell r="AA175" t="str">
            <v>Carburant automobile</v>
          </cell>
          <cell r="AB175">
            <v>9120</v>
          </cell>
          <cell r="AC175">
            <v>9120</v>
          </cell>
        </row>
        <row r="176">
          <cell r="A176">
            <v>5003</v>
          </cell>
          <cell r="B176">
            <v>1</v>
          </cell>
          <cell r="C176">
            <v>1</v>
          </cell>
          <cell r="E176" t="str">
            <v>20</v>
          </cell>
          <cell r="F176">
            <v>46102100600</v>
          </cell>
          <cell r="G176">
            <v>3</v>
          </cell>
          <cell r="H176" t="str">
            <v>31</v>
          </cell>
          <cell r="I176">
            <v>21</v>
          </cell>
          <cell r="J176">
            <v>20</v>
          </cell>
          <cell r="K176">
            <v>1</v>
          </cell>
          <cell r="L176">
            <v>46</v>
          </cell>
          <cell r="M176">
            <v>102</v>
          </cell>
          <cell r="N176">
            <v>1</v>
          </cell>
          <cell r="O176" t="str">
            <v>00</v>
          </cell>
          <cell r="P176">
            <v>6</v>
          </cell>
          <cell r="Q176">
            <v>3</v>
          </cell>
          <cell r="R176">
            <v>3</v>
          </cell>
          <cell r="S176">
            <v>1</v>
          </cell>
          <cell r="T176">
            <v>21</v>
          </cell>
          <cell r="U176">
            <v>98</v>
          </cell>
          <cell r="V176">
            <v>1</v>
          </cell>
          <cell r="W176">
            <v>0</v>
          </cell>
          <cell r="X176" t="str">
            <v>DN Recherche Scientfq</v>
          </cell>
          <cell r="Y176" t="str">
            <v>P5</v>
          </cell>
          <cell r="Z176" t="str">
            <v>Serv.cent.</v>
          </cell>
          <cell r="AA176" t="str">
            <v>Fournitures petits matériels bureau</v>
          </cell>
          <cell r="AB176">
            <v>8760</v>
          </cell>
          <cell r="AC176">
            <v>8760</v>
          </cell>
        </row>
        <row r="177">
          <cell r="A177">
            <v>5004</v>
          </cell>
          <cell r="B177">
            <v>1</v>
          </cell>
          <cell r="C177">
            <v>1</v>
          </cell>
          <cell r="E177" t="str">
            <v>20</v>
          </cell>
          <cell r="F177">
            <v>46102100600</v>
          </cell>
          <cell r="G177">
            <v>3</v>
          </cell>
          <cell r="H177" t="str">
            <v>31</v>
          </cell>
          <cell r="I177">
            <v>31</v>
          </cell>
          <cell r="J177">
            <v>20</v>
          </cell>
          <cell r="K177">
            <v>1</v>
          </cell>
          <cell r="L177">
            <v>46</v>
          </cell>
          <cell r="M177">
            <v>102</v>
          </cell>
          <cell r="N177">
            <v>1</v>
          </cell>
          <cell r="O177" t="str">
            <v>00</v>
          </cell>
          <cell r="P177">
            <v>6</v>
          </cell>
          <cell r="Q177">
            <v>3</v>
          </cell>
          <cell r="R177">
            <v>3</v>
          </cell>
          <cell r="S177">
            <v>1</v>
          </cell>
          <cell r="T177">
            <v>31</v>
          </cell>
          <cell r="U177">
            <v>98</v>
          </cell>
          <cell r="V177">
            <v>1</v>
          </cell>
          <cell r="W177">
            <v>0</v>
          </cell>
          <cell r="X177" t="str">
            <v>DN Recherche Scientfq</v>
          </cell>
          <cell r="Y177" t="str">
            <v>P5</v>
          </cell>
          <cell r="Z177" t="str">
            <v>Serv.cent.</v>
          </cell>
          <cell r="AA177" t="str">
            <v>Carburant automobile</v>
          </cell>
          <cell r="AB177">
            <v>8980</v>
          </cell>
          <cell r="AC177">
            <v>8980</v>
          </cell>
        </row>
        <row r="178">
          <cell r="A178">
            <v>5006</v>
          </cell>
          <cell r="B178">
            <v>1</v>
          </cell>
          <cell r="C178">
            <v>1</v>
          </cell>
          <cell r="E178" t="str">
            <v>20</v>
          </cell>
          <cell r="F178">
            <v>46501100600</v>
          </cell>
          <cell r="G178">
            <v>3</v>
          </cell>
          <cell r="H178" t="str">
            <v>31</v>
          </cell>
          <cell r="I178">
            <v>21</v>
          </cell>
          <cell r="J178">
            <v>20</v>
          </cell>
          <cell r="K178">
            <v>1</v>
          </cell>
          <cell r="L178">
            <v>46</v>
          </cell>
          <cell r="M178">
            <v>501</v>
          </cell>
          <cell r="N178">
            <v>1</v>
          </cell>
          <cell r="O178" t="str">
            <v>00</v>
          </cell>
          <cell r="P178">
            <v>6</v>
          </cell>
          <cell r="Q178">
            <v>3</v>
          </cell>
          <cell r="R178">
            <v>3</v>
          </cell>
          <cell r="S178">
            <v>1</v>
          </cell>
          <cell r="T178">
            <v>21</v>
          </cell>
          <cell r="U178">
            <v>98</v>
          </cell>
          <cell r="V178">
            <v>1</v>
          </cell>
          <cell r="W178">
            <v>0</v>
          </cell>
          <cell r="X178" t="str">
            <v>Commission UNESCO</v>
          </cell>
          <cell r="Y178" t="str">
            <v>P5</v>
          </cell>
          <cell r="Z178" t="str">
            <v>Serv.cent.</v>
          </cell>
          <cell r="AA178" t="str">
            <v>Fournitures petits matériels bureau</v>
          </cell>
          <cell r="AB178">
            <v>4510</v>
          </cell>
          <cell r="AC178">
            <v>4510</v>
          </cell>
        </row>
        <row r="179">
          <cell r="A179">
            <v>5007</v>
          </cell>
          <cell r="B179">
            <v>1</v>
          </cell>
          <cell r="C179">
            <v>1</v>
          </cell>
          <cell r="E179" t="str">
            <v>20</v>
          </cell>
          <cell r="F179">
            <v>46501100600</v>
          </cell>
          <cell r="G179">
            <v>3</v>
          </cell>
          <cell r="H179" t="str">
            <v>31</v>
          </cell>
          <cell r="I179">
            <v>31</v>
          </cell>
          <cell r="J179">
            <v>20</v>
          </cell>
          <cell r="K179">
            <v>1</v>
          </cell>
          <cell r="L179">
            <v>46</v>
          </cell>
          <cell r="M179">
            <v>501</v>
          </cell>
          <cell r="N179">
            <v>1</v>
          </cell>
          <cell r="O179" t="str">
            <v>00</v>
          </cell>
          <cell r="P179">
            <v>6</v>
          </cell>
          <cell r="Q179">
            <v>3</v>
          </cell>
          <cell r="R179">
            <v>3</v>
          </cell>
          <cell r="S179">
            <v>1</v>
          </cell>
          <cell r="T179">
            <v>31</v>
          </cell>
          <cell r="U179">
            <v>98</v>
          </cell>
          <cell r="V179">
            <v>1</v>
          </cell>
          <cell r="W179">
            <v>0</v>
          </cell>
          <cell r="X179" t="str">
            <v>Commission UNESCO</v>
          </cell>
          <cell r="Y179" t="str">
            <v>P5</v>
          </cell>
          <cell r="Z179" t="str">
            <v>Serv.cent.</v>
          </cell>
          <cell r="AA179" t="str">
            <v>Carburant automobile</v>
          </cell>
          <cell r="AB179">
            <v>4450</v>
          </cell>
          <cell r="AC179">
            <v>4450</v>
          </cell>
        </row>
        <row r="180">
          <cell r="A180">
            <v>5009</v>
          </cell>
          <cell r="B180">
            <v>1</v>
          </cell>
          <cell r="C180">
            <v>1</v>
          </cell>
          <cell r="E180" t="str">
            <v>20</v>
          </cell>
          <cell r="F180">
            <v>46502100600</v>
          </cell>
          <cell r="G180">
            <v>3</v>
          </cell>
          <cell r="H180" t="str">
            <v>31</v>
          </cell>
          <cell r="I180">
            <v>21</v>
          </cell>
          <cell r="J180">
            <v>20</v>
          </cell>
          <cell r="K180">
            <v>1</v>
          </cell>
          <cell r="L180">
            <v>46</v>
          </cell>
          <cell r="M180">
            <v>502</v>
          </cell>
          <cell r="N180">
            <v>1</v>
          </cell>
          <cell r="O180" t="str">
            <v>00</v>
          </cell>
          <cell r="P180">
            <v>6</v>
          </cell>
          <cell r="Q180">
            <v>3</v>
          </cell>
          <cell r="R180">
            <v>3</v>
          </cell>
          <cell r="S180">
            <v>1</v>
          </cell>
          <cell r="T180">
            <v>21</v>
          </cell>
          <cell r="U180">
            <v>98</v>
          </cell>
          <cell r="V180">
            <v>1</v>
          </cell>
          <cell r="W180">
            <v>0</v>
          </cell>
          <cell r="X180" t="str">
            <v>Service Planification &amp; Statistq</v>
          </cell>
          <cell r="Y180" t="str">
            <v>P5</v>
          </cell>
          <cell r="Z180" t="str">
            <v>Serv.cent.</v>
          </cell>
          <cell r="AA180" t="str">
            <v>Fournitures petits matériels bureau</v>
          </cell>
          <cell r="AB180">
            <v>4540</v>
          </cell>
          <cell r="AC180">
            <v>4540</v>
          </cell>
        </row>
        <row r="181">
          <cell r="A181">
            <v>5010</v>
          </cell>
          <cell r="B181">
            <v>1</v>
          </cell>
          <cell r="C181">
            <v>1</v>
          </cell>
          <cell r="E181" t="str">
            <v>20</v>
          </cell>
          <cell r="F181">
            <v>46502100600</v>
          </cell>
          <cell r="G181">
            <v>3</v>
          </cell>
          <cell r="H181" t="str">
            <v>31</v>
          </cell>
          <cell r="I181">
            <v>31</v>
          </cell>
          <cell r="J181">
            <v>20</v>
          </cell>
          <cell r="K181">
            <v>1</v>
          </cell>
          <cell r="L181">
            <v>46</v>
          </cell>
          <cell r="M181">
            <v>502</v>
          </cell>
          <cell r="N181">
            <v>1</v>
          </cell>
          <cell r="O181" t="str">
            <v>00</v>
          </cell>
          <cell r="P181">
            <v>6</v>
          </cell>
          <cell r="Q181">
            <v>3</v>
          </cell>
          <cell r="R181">
            <v>3</v>
          </cell>
          <cell r="S181">
            <v>1</v>
          </cell>
          <cell r="T181">
            <v>31</v>
          </cell>
          <cell r="U181">
            <v>98</v>
          </cell>
          <cell r="V181">
            <v>1</v>
          </cell>
          <cell r="W181">
            <v>0</v>
          </cell>
          <cell r="X181" t="str">
            <v>Service Planification &amp; Statistq</v>
          </cell>
          <cell r="Y181" t="str">
            <v>P5</v>
          </cell>
          <cell r="Z181" t="str">
            <v>Serv.cent.</v>
          </cell>
          <cell r="AA181" t="str">
            <v>Carburant automobile</v>
          </cell>
          <cell r="AB181">
            <v>4420</v>
          </cell>
          <cell r="AC181">
            <v>4420</v>
          </cell>
        </row>
        <row r="182">
          <cell r="A182">
            <v>5012</v>
          </cell>
          <cell r="B182">
            <v>1</v>
          </cell>
          <cell r="C182">
            <v>1</v>
          </cell>
          <cell r="E182" t="str">
            <v>20</v>
          </cell>
          <cell r="F182">
            <v>46503100600</v>
          </cell>
          <cell r="G182">
            <v>3</v>
          </cell>
          <cell r="H182" t="str">
            <v>31</v>
          </cell>
          <cell r="I182">
            <v>21</v>
          </cell>
          <cell r="J182">
            <v>20</v>
          </cell>
          <cell r="K182">
            <v>1</v>
          </cell>
          <cell r="L182">
            <v>46</v>
          </cell>
          <cell r="M182">
            <v>503</v>
          </cell>
          <cell r="N182">
            <v>1</v>
          </cell>
          <cell r="O182" t="str">
            <v>00</v>
          </cell>
          <cell r="P182">
            <v>6</v>
          </cell>
          <cell r="Q182">
            <v>3</v>
          </cell>
          <cell r="R182">
            <v>3</v>
          </cell>
          <cell r="S182">
            <v>1</v>
          </cell>
          <cell r="T182">
            <v>21</v>
          </cell>
          <cell r="U182">
            <v>98</v>
          </cell>
          <cell r="V182">
            <v>1</v>
          </cell>
          <cell r="W182">
            <v>0</v>
          </cell>
          <cell r="X182" t="str">
            <v>SNABE</v>
          </cell>
          <cell r="Y182" t="str">
            <v>P5</v>
          </cell>
          <cell r="Z182" t="str">
            <v>Serv.cent.</v>
          </cell>
          <cell r="AA182" t="str">
            <v>Fournitures petits matériels bureau</v>
          </cell>
          <cell r="AB182">
            <v>5910</v>
          </cell>
          <cell r="AC182">
            <v>5910</v>
          </cell>
        </row>
        <row r="183">
          <cell r="A183">
            <v>5013</v>
          </cell>
          <cell r="B183">
            <v>1</v>
          </cell>
          <cell r="C183">
            <v>1</v>
          </cell>
          <cell r="E183" t="str">
            <v>20</v>
          </cell>
          <cell r="F183">
            <v>46503100600</v>
          </cell>
          <cell r="G183">
            <v>3</v>
          </cell>
          <cell r="H183" t="str">
            <v>31</v>
          </cell>
          <cell r="I183">
            <v>31</v>
          </cell>
          <cell r="J183">
            <v>20</v>
          </cell>
          <cell r="K183">
            <v>1</v>
          </cell>
          <cell r="L183">
            <v>46</v>
          </cell>
          <cell r="M183">
            <v>503</v>
          </cell>
          <cell r="N183">
            <v>1</v>
          </cell>
          <cell r="O183" t="str">
            <v>00</v>
          </cell>
          <cell r="P183">
            <v>6</v>
          </cell>
          <cell r="Q183">
            <v>3</v>
          </cell>
          <cell r="R183">
            <v>3</v>
          </cell>
          <cell r="S183">
            <v>1</v>
          </cell>
          <cell r="T183">
            <v>31</v>
          </cell>
          <cell r="U183">
            <v>98</v>
          </cell>
          <cell r="V183">
            <v>1</v>
          </cell>
          <cell r="W183">
            <v>0</v>
          </cell>
          <cell r="X183" t="str">
            <v>SNABE</v>
          </cell>
          <cell r="Y183" t="str">
            <v>P5</v>
          </cell>
          <cell r="Z183" t="str">
            <v>Serv.cent.</v>
          </cell>
          <cell r="AA183" t="str">
            <v>Carburant automobile</v>
          </cell>
          <cell r="AB183">
            <v>8460</v>
          </cell>
          <cell r="AC183">
            <v>8460</v>
          </cell>
        </row>
        <row r="184">
          <cell r="A184">
            <v>5015</v>
          </cell>
          <cell r="B184">
            <v>1</v>
          </cell>
          <cell r="C184">
            <v>1</v>
          </cell>
          <cell r="E184" t="str">
            <v>20</v>
          </cell>
          <cell r="F184">
            <v>46504100600</v>
          </cell>
          <cell r="G184">
            <v>3</v>
          </cell>
          <cell r="H184" t="str">
            <v>31</v>
          </cell>
          <cell r="I184">
            <v>21</v>
          </cell>
          <cell r="J184">
            <v>20</v>
          </cell>
          <cell r="K184">
            <v>1</v>
          </cell>
          <cell r="L184">
            <v>46</v>
          </cell>
          <cell r="M184">
            <v>504</v>
          </cell>
          <cell r="N184">
            <v>1</v>
          </cell>
          <cell r="O184" t="str">
            <v>00</v>
          </cell>
          <cell r="P184">
            <v>6</v>
          </cell>
          <cell r="Q184">
            <v>3</v>
          </cell>
          <cell r="R184">
            <v>3</v>
          </cell>
          <cell r="S184">
            <v>1</v>
          </cell>
          <cell r="T184">
            <v>21</v>
          </cell>
          <cell r="U184">
            <v>98</v>
          </cell>
          <cell r="V184">
            <v>1</v>
          </cell>
          <cell r="W184">
            <v>0</v>
          </cell>
          <cell r="X184" t="str">
            <v>Service Nl Enseignmt Priv</v>
          </cell>
          <cell r="Y184" t="str">
            <v>P5</v>
          </cell>
          <cell r="Z184" t="str">
            <v>Serv.cent.</v>
          </cell>
          <cell r="AA184" t="str">
            <v>Fournitures petits matériels bureau</v>
          </cell>
          <cell r="AB184">
            <v>0</v>
          </cell>
          <cell r="AC184">
            <v>0</v>
          </cell>
        </row>
        <row r="185">
          <cell r="A185">
            <v>5016</v>
          </cell>
          <cell r="B185">
            <v>1</v>
          </cell>
          <cell r="C185">
            <v>1</v>
          </cell>
          <cell r="E185" t="str">
            <v>20</v>
          </cell>
          <cell r="F185">
            <v>46504100600</v>
          </cell>
          <cell r="G185">
            <v>3</v>
          </cell>
          <cell r="H185" t="str">
            <v>31</v>
          </cell>
          <cell r="I185">
            <v>31</v>
          </cell>
          <cell r="J185">
            <v>20</v>
          </cell>
          <cell r="K185">
            <v>1</v>
          </cell>
          <cell r="L185">
            <v>46</v>
          </cell>
          <cell r="M185">
            <v>504</v>
          </cell>
          <cell r="N185">
            <v>1</v>
          </cell>
          <cell r="O185" t="str">
            <v>00</v>
          </cell>
          <cell r="P185">
            <v>6</v>
          </cell>
          <cell r="Q185">
            <v>3</v>
          </cell>
          <cell r="R185">
            <v>3</v>
          </cell>
          <cell r="S185">
            <v>1</v>
          </cell>
          <cell r="T185">
            <v>31</v>
          </cell>
          <cell r="U185">
            <v>98</v>
          </cell>
          <cell r="V185">
            <v>1</v>
          </cell>
          <cell r="W185">
            <v>0</v>
          </cell>
          <cell r="X185" t="str">
            <v>Service Nl Enseignmt Priv</v>
          </cell>
          <cell r="Y185" t="str">
            <v>P5</v>
          </cell>
          <cell r="Z185" t="str">
            <v>Serv.cent.</v>
          </cell>
          <cell r="AA185" t="str">
            <v>Carburant automobile</v>
          </cell>
          <cell r="AB185">
            <v>0</v>
          </cell>
          <cell r="AC185">
            <v>0</v>
          </cell>
        </row>
        <row r="186">
          <cell r="A186">
            <v>5018</v>
          </cell>
          <cell r="B186">
            <v>1</v>
          </cell>
          <cell r="C186">
            <v>1</v>
          </cell>
          <cell r="E186" t="str">
            <v>20</v>
          </cell>
          <cell r="F186">
            <v>46505100600</v>
          </cell>
          <cell r="G186">
            <v>3</v>
          </cell>
          <cell r="H186" t="str">
            <v>31</v>
          </cell>
          <cell r="I186">
            <v>21</v>
          </cell>
          <cell r="J186">
            <v>20</v>
          </cell>
          <cell r="K186">
            <v>1</v>
          </cell>
          <cell r="L186">
            <v>46</v>
          </cell>
          <cell r="M186">
            <v>505</v>
          </cell>
          <cell r="N186">
            <v>1</v>
          </cell>
          <cell r="O186" t="str">
            <v>00</v>
          </cell>
          <cell r="P186">
            <v>6</v>
          </cell>
          <cell r="Q186">
            <v>3</v>
          </cell>
          <cell r="R186">
            <v>3</v>
          </cell>
          <cell r="S186">
            <v>1</v>
          </cell>
          <cell r="T186">
            <v>21</v>
          </cell>
          <cell r="U186">
            <v>98</v>
          </cell>
          <cell r="V186">
            <v>1</v>
          </cell>
          <cell r="X186" t="str">
            <v>Service Nl Lutte Anti drogue</v>
          </cell>
          <cell r="Y186" t="str">
            <v>P5</v>
          </cell>
          <cell r="Z186" t="str">
            <v>Serv.cent.</v>
          </cell>
          <cell r="AA186" t="str">
            <v>Fournitures petits matériels bureau</v>
          </cell>
          <cell r="AB186">
            <v>0</v>
          </cell>
          <cell r="AC186">
            <v>0</v>
          </cell>
        </row>
        <row r="187">
          <cell r="A187">
            <v>5019</v>
          </cell>
          <cell r="B187">
            <v>1</v>
          </cell>
          <cell r="C187">
            <v>1</v>
          </cell>
          <cell r="E187" t="str">
            <v>20</v>
          </cell>
          <cell r="F187">
            <v>46505100600</v>
          </cell>
          <cell r="G187">
            <v>3</v>
          </cell>
          <cell r="H187" t="str">
            <v>31</v>
          </cell>
          <cell r="I187">
            <v>31</v>
          </cell>
          <cell r="J187">
            <v>20</v>
          </cell>
          <cell r="K187">
            <v>1</v>
          </cell>
          <cell r="L187">
            <v>46</v>
          </cell>
          <cell r="M187">
            <v>505</v>
          </cell>
          <cell r="N187">
            <v>1</v>
          </cell>
          <cell r="O187" t="str">
            <v>00</v>
          </cell>
          <cell r="P187">
            <v>6</v>
          </cell>
          <cell r="Q187">
            <v>3</v>
          </cell>
          <cell r="R187">
            <v>3</v>
          </cell>
          <cell r="S187">
            <v>1</v>
          </cell>
          <cell r="T187">
            <v>31</v>
          </cell>
          <cell r="U187">
            <v>98</v>
          </cell>
          <cell r="V187">
            <v>1</v>
          </cell>
          <cell r="X187" t="str">
            <v>Service Nl Lutte Anti drogue</v>
          </cell>
          <cell r="Y187" t="str">
            <v>P5</v>
          </cell>
          <cell r="Z187" t="str">
            <v>Serv.cent.</v>
          </cell>
          <cell r="AA187" t="str">
            <v>Carburant automobile</v>
          </cell>
          <cell r="AB187">
            <v>0</v>
          </cell>
          <cell r="AC187">
            <v>0</v>
          </cell>
        </row>
        <row r="188">
          <cell r="A188">
            <v>5021</v>
          </cell>
          <cell r="B188">
            <v>1</v>
          </cell>
          <cell r="C188">
            <v>1</v>
          </cell>
          <cell r="E188" t="str">
            <v>20</v>
          </cell>
          <cell r="F188">
            <v>46506100600</v>
          </cell>
          <cell r="G188">
            <v>3</v>
          </cell>
          <cell r="H188" t="str">
            <v>31</v>
          </cell>
          <cell r="I188">
            <v>21</v>
          </cell>
          <cell r="J188">
            <v>20</v>
          </cell>
          <cell r="K188">
            <v>1</v>
          </cell>
          <cell r="L188">
            <v>46</v>
          </cell>
          <cell r="M188">
            <v>506</v>
          </cell>
          <cell r="N188">
            <v>1</v>
          </cell>
          <cell r="O188" t="str">
            <v>00</v>
          </cell>
          <cell r="P188">
            <v>6</v>
          </cell>
          <cell r="Q188">
            <v>3</v>
          </cell>
          <cell r="R188">
            <v>3</v>
          </cell>
          <cell r="S188">
            <v>1</v>
          </cell>
          <cell r="T188">
            <v>21</v>
          </cell>
          <cell r="U188">
            <v>98</v>
          </cell>
          <cell r="V188">
            <v>1</v>
          </cell>
          <cell r="X188" t="str">
            <v>Service Recher. Un. For. SPE Doctorale</v>
          </cell>
          <cell r="Y188" t="str">
            <v>P5</v>
          </cell>
          <cell r="Z188" t="str">
            <v>Serv.cent.</v>
          </cell>
          <cell r="AA188" t="str">
            <v>Fournitures petits matériels bureau</v>
          </cell>
          <cell r="AB188">
            <v>870</v>
          </cell>
          <cell r="AC188">
            <v>870</v>
          </cell>
        </row>
        <row r="189">
          <cell r="A189">
            <v>5022</v>
          </cell>
          <cell r="B189">
            <v>1</v>
          </cell>
          <cell r="C189">
            <v>1</v>
          </cell>
          <cell r="E189" t="str">
            <v>20</v>
          </cell>
          <cell r="F189">
            <v>46506100600</v>
          </cell>
          <cell r="G189">
            <v>3</v>
          </cell>
          <cell r="H189" t="str">
            <v>31</v>
          </cell>
          <cell r="I189">
            <v>31</v>
          </cell>
          <cell r="J189">
            <v>20</v>
          </cell>
          <cell r="K189">
            <v>1</v>
          </cell>
          <cell r="L189">
            <v>46</v>
          </cell>
          <cell r="M189">
            <v>506</v>
          </cell>
          <cell r="N189">
            <v>1</v>
          </cell>
          <cell r="O189" t="str">
            <v>00</v>
          </cell>
          <cell r="P189">
            <v>6</v>
          </cell>
          <cell r="Q189">
            <v>3</v>
          </cell>
          <cell r="R189">
            <v>3</v>
          </cell>
          <cell r="S189">
            <v>1</v>
          </cell>
          <cell r="T189">
            <v>31</v>
          </cell>
          <cell r="U189">
            <v>98</v>
          </cell>
          <cell r="V189">
            <v>1</v>
          </cell>
          <cell r="X189" t="str">
            <v>Service Recher. Un. For. SPE Doctorale</v>
          </cell>
          <cell r="Y189" t="str">
            <v>P5</v>
          </cell>
          <cell r="Z189" t="str">
            <v>Serv.cent.</v>
          </cell>
          <cell r="AA189" t="str">
            <v>Carburant automobile</v>
          </cell>
          <cell r="AB189">
            <v>18120</v>
          </cell>
          <cell r="AC189">
            <v>18120</v>
          </cell>
        </row>
        <row r="190">
          <cell r="A190">
            <v>5024</v>
          </cell>
          <cell r="B190">
            <v>1</v>
          </cell>
          <cell r="C190">
            <v>1</v>
          </cell>
          <cell r="E190" t="str">
            <v>20</v>
          </cell>
          <cell r="F190">
            <v>46507100600</v>
          </cell>
          <cell r="G190">
            <v>3</v>
          </cell>
          <cell r="H190" t="str">
            <v>31</v>
          </cell>
          <cell r="I190">
            <v>21</v>
          </cell>
          <cell r="J190">
            <v>20</v>
          </cell>
          <cell r="K190">
            <v>1</v>
          </cell>
          <cell r="L190">
            <v>46</v>
          </cell>
          <cell r="M190">
            <v>507</v>
          </cell>
          <cell r="N190">
            <v>1</v>
          </cell>
          <cell r="O190" t="str">
            <v>00</v>
          </cell>
          <cell r="P190">
            <v>6</v>
          </cell>
          <cell r="Q190">
            <v>3</v>
          </cell>
          <cell r="R190">
            <v>3</v>
          </cell>
          <cell r="S190">
            <v>1</v>
          </cell>
          <cell r="T190">
            <v>21</v>
          </cell>
          <cell r="U190">
            <v>98</v>
          </cell>
          <cell r="V190">
            <v>1</v>
          </cell>
          <cell r="X190" t="str">
            <v>Division des Ressources humaines</v>
          </cell>
          <cell r="Y190" t="str">
            <v>P5</v>
          </cell>
          <cell r="Z190" t="str">
            <v>Serv.cent.</v>
          </cell>
          <cell r="AA190" t="str">
            <v>Fournitures petits matériels bureau</v>
          </cell>
          <cell r="AB190">
            <v>9850</v>
          </cell>
          <cell r="AC190">
            <v>9850</v>
          </cell>
        </row>
        <row r="191">
          <cell r="A191">
            <v>5025</v>
          </cell>
          <cell r="B191">
            <v>1</v>
          </cell>
          <cell r="C191">
            <v>1</v>
          </cell>
          <cell r="E191" t="str">
            <v>20</v>
          </cell>
          <cell r="F191">
            <v>46507100600</v>
          </cell>
          <cell r="G191">
            <v>3</v>
          </cell>
          <cell r="H191" t="str">
            <v>31</v>
          </cell>
          <cell r="I191">
            <v>31</v>
          </cell>
          <cell r="J191">
            <v>20</v>
          </cell>
          <cell r="K191">
            <v>1</v>
          </cell>
          <cell r="L191">
            <v>46</v>
          </cell>
          <cell r="M191">
            <v>507</v>
          </cell>
          <cell r="N191">
            <v>1</v>
          </cell>
          <cell r="O191" t="str">
            <v>00</v>
          </cell>
          <cell r="P191">
            <v>6</v>
          </cell>
          <cell r="Q191">
            <v>3</v>
          </cell>
          <cell r="R191">
            <v>3</v>
          </cell>
          <cell r="S191">
            <v>1</v>
          </cell>
          <cell r="T191">
            <v>31</v>
          </cell>
          <cell r="U191">
            <v>98</v>
          </cell>
          <cell r="V191">
            <v>1</v>
          </cell>
          <cell r="X191" t="str">
            <v>Division des Ressources humaines</v>
          </cell>
          <cell r="Y191" t="str">
            <v>P5</v>
          </cell>
          <cell r="Z191" t="str">
            <v>Serv.cent.</v>
          </cell>
          <cell r="AA191" t="str">
            <v>Carburant automobile</v>
          </cell>
          <cell r="AB191">
            <v>10860</v>
          </cell>
          <cell r="AC191">
            <v>10860</v>
          </cell>
        </row>
        <row r="192">
          <cell r="A192">
            <v>5027</v>
          </cell>
          <cell r="B192">
            <v>1</v>
          </cell>
          <cell r="C192">
            <v>1</v>
          </cell>
          <cell r="E192" t="str">
            <v>20</v>
          </cell>
          <cell r="F192">
            <v>46508100600</v>
          </cell>
          <cell r="G192">
            <v>3</v>
          </cell>
          <cell r="H192" t="str">
            <v>31</v>
          </cell>
          <cell r="I192">
            <v>21</v>
          </cell>
          <cell r="J192">
            <v>20</v>
          </cell>
          <cell r="K192">
            <v>1</v>
          </cell>
          <cell r="L192">
            <v>46</v>
          </cell>
          <cell r="M192">
            <v>508</v>
          </cell>
          <cell r="N192">
            <v>1</v>
          </cell>
          <cell r="O192" t="str">
            <v>00</v>
          </cell>
          <cell r="P192">
            <v>6</v>
          </cell>
          <cell r="Q192">
            <v>3</v>
          </cell>
          <cell r="R192">
            <v>3</v>
          </cell>
          <cell r="S192">
            <v>1</v>
          </cell>
          <cell r="T192">
            <v>21</v>
          </cell>
          <cell r="U192">
            <v>98</v>
          </cell>
          <cell r="V192">
            <v>1</v>
          </cell>
          <cell r="X192" t="str">
            <v>Service Archive &amp; Documentatio</v>
          </cell>
          <cell r="Y192" t="str">
            <v>P5</v>
          </cell>
          <cell r="Z192" t="str">
            <v>Serv.cent.</v>
          </cell>
          <cell r="AA192" t="str">
            <v>Fournitures petits matériels bureau</v>
          </cell>
          <cell r="AB192">
            <v>10860</v>
          </cell>
          <cell r="AC192">
            <v>10860</v>
          </cell>
        </row>
        <row r="193">
          <cell r="A193">
            <v>5028</v>
          </cell>
          <cell r="B193">
            <v>1</v>
          </cell>
          <cell r="C193">
            <v>1</v>
          </cell>
          <cell r="E193" t="str">
            <v>20</v>
          </cell>
          <cell r="F193">
            <v>46508100600</v>
          </cell>
          <cell r="G193">
            <v>3</v>
          </cell>
          <cell r="H193" t="str">
            <v>31</v>
          </cell>
          <cell r="I193">
            <v>31</v>
          </cell>
          <cell r="J193">
            <v>20</v>
          </cell>
          <cell r="K193">
            <v>1</v>
          </cell>
          <cell r="L193">
            <v>46</v>
          </cell>
          <cell r="M193">
            <v>508</v>
          </cell>
          <cell r="N193">
            <v>1</v>
          </cell>
          <cell r="O193" t="str">
            <v>00</v>
          </cell>
          <cell r="P193">
            <v>6</v>
          </cell>
          <cell r="Q193">
            <v>3</v>
          </cell>
          <cell r="R193">
            <v>3</v>
          </cell>
          <cell r="S193">
            <v>1</v>
          </cell>
          <cell r="T193">
            <v>31</v>
          </cell>
          <cell r="U193">
            <v>98</v>
          </cell>
          <cell r="V193">
            <v>1</v>
          </cell>
          <cell r="X193" t="str">
            <v>Service Archive &amp; Documentatio</v>
          </cell>
          <cell r="Y193" t="str">
            <v>P5</v>
          </cell>
          <cell r="Z193" t="str">
            <v>Serv.cent.</v>
          </cell>
          <cell r="AA193" t="str">
            <v>Carburant automobile</v>
          </cell>
          <cell r="AB193">
            <v>5970</v>
          </cell>
          <cell r="AC193">
            <v>5970</v>
          </cell>
        </row>
        <row r="194">
          <cell r="A194">
            <v>5030</v>
          </cell>
          <cell r="B194">
            <v>1</v>
          </cell>
          <cell r="C194">
            <v>1</v>
          </cell>
          <cell r="E194" t="str">
            <v>20</v>
          </cell>
          <cell r="F194">
            <v>46509100600</v>
          </cell>
          <cell r="G194">
            <v>3</v>
          </cell>
          <cell r="H194" t="str">
            <v>31</v>
          </cell>
          <cell r="I194">
            <v>21</v>
          </cell>
          <cell r="J194">
            <v>20</v>
          </cell>
          <cell r="K194">
            <v>1</v>
          </cell>
          <cell r="L194">
            <v>46</v>
          </cell>
          <cell r="M194">
            <v>509</v>
          </cell>
          <cell r="N194">
            <v>1</v>
          </cell>
          <cell r="O194" t="str">
            <v>00</v>
          </cell>
          <cell r="P194">
            <v>6</v>
          </cell>
          <cell r="Q194">
            <v>3</v>
          </cell>
          <cell r="R194">
            <v>3</v>
          </cell>
          <cell r="S194">
            <v>1</v>
          </cell>
          <cell r="T194">
            <v>21</v>
          </cell>
          <cell r="U194">
            <v>98</v>
          </cell>
          <cell r="V194">
            <v>1</v>
          </cell>
          <cell r="X194" t="str">
            <v>Comité Genre &amp; Equité Ens. Sup.</v>
          </cell>
          <cell r="Y194" t="str">
            <v>P5</v>
          </cell>
          <cell r="Z194" t="str">
            <v>Serv.cent.</v>
          </cell>
          <cell r="AA194" t="str">
            <v>Fournitures petits matériels bureau</v>
          </cell>
          <cell r="AB194">
            <v>12490</v>
          </cell>
          <cell r="AC194">
            <v>12490</v>
          </cell>
        </row>
        <row r="195">
          <cell r="A195">
            <v>5031</v>
          </cell>
          <cell r="B195">
            <v>1</v>
          </cell>
          <cell r="C195">
            <v>1</v>
          </cell>
          <cell r="E195" t="str">
            <v>20</v>
          </cell>
          <cell r="F195">
            <v>46509100600</v>
          </cell>
          <cell r="G195">
            <v>3</v>
          </cell>
          <cell r="H195" t="str">
            <v>31</v>
          </cell>
          <cell r="I195">
            <v>31</v>
          </cell>
          <cell r="J195">
            <v>20</v>
          </cell>
          <cell r="K195">
            <v>1</v>
          </cell>
          <cell r="L195">
            <v>46</v>
          </cell>
          <cell r="M195">
            <v>509</v>
          </cell>
          <cell r="N195">
            <v>1</v>
          </cell>
          <cell r="O195" t="str">
            <v>00</v>
          </cell>
          <cell r="P195">
            <v>6</v>
          </cell>
          <cell r="Q195">
            <v>3</v>
          </cell>
          <cell r="R195">
            <v>3</v>
          </cell>
          <cell r="S195">
            <v>1</v>
          </cell>
          <cell r="T195">
            <v>31</v>
          </cell>
          <cell r="U195">
            <v>98</v>
          </cell>
          <cell r="V195">
            <v>1</v>
          </cell>
          <cell r="X195" t="str">
            <v>Comité Genre &amp; Equité Ens. Sup.</v>
          </cell>
          <cell r="Y195" t="str">
            <v>P5</v>
          </cell>
          <cell r="Z195" t="str">
            <v>Serv.cent.</v>
          </cell>
          <cell r="AA195" t="str">
            <v>Carburant automobile</v>
          </cell>
          <cell r="AB195">
            <v>10860</v>
          </cell>
          <cell r="AC195">
            <v>10860</v>
          </cell>
        </row>
        <row r="196">
          <cell r="A196">
            <v>5033</v>
          </cell>
          <cell r="B196">
            <v>1</v>
          </cell>
          <cell r="C196">
            <v>1</v>
          </cell>
          <cell r="E196" t="str">
            <v>20</v>
          </cell>
          <cell r="F196">
            <v>46510100600</v>
          </cell>
          <cell r="G196">
            <v>3</v>
          </cell>
          <cell r="H196" t="str">
            <v>31</v>
          </cell>
          <cell r="I196">
            <v>21</v>
          </cell>
          <cell r="J196">
            <v>20</v>
          </cell>
          <cell r="K196">
            <v>1</v>
          </cell>
          <cell r="L196">
            <v>46</v>
          </cell>
          <cell r="M196">
            <v>510</v>
          </cell>
          <cell r="N196">
            <v>1</v>
          </cell>
          <cell r="O196" t="str">
            <v>00</v>
          </cell>
          <cell r="P196">
            <v>6</v>
          </cell>
          <cell r="Q196">
            <v>3</v>
          </cell>
          <cell r="R196">
            <v>3</v>
          </cell>
          <cell r="S196">
            <v>1</v>
          </cell>
          <cell r="T196">
            <v>21</v>
          </cell>
          <cell r="U196">
            <v>98</v>
          </cell>
          <cell r="V196">
            <v>1</v>
          </cell>
          <cell r="X196" t="str">
            <v>Contrôle et suivi projets</v>
          </cell>
          <cell r="Y196" t="str">
            <v>P5</v>
          </cell>
          <cell r="Z196" t="str">
            <v>Serv.cent.</v>
          </cell>
          <cell r="AA196" t="str">
            <v>Fournitures petits matériels bureau</v>
          </cell>
          <cell r="AB196">
            <v>12970</v>
          </cell>
          <cell r="AC196">
            <v>12970</v>
          </cell>
        </row>
        <row r="197">
          <cell r="A197">
            <v>5034</v>
          </cell>
          <cell r="B197">
            <v>1</v>
          </cell>
          <cell r="C197">
            <v>1</v>
          </cell>
          <cell r="E197" t="str">
            <v>20</v>
          </cell>
          <cell r="F197">
            <v>46510100600</v>
          </cell>
          <cell r="G197">
            <v>3</v>
          </cell>
          <cell r="H197" t="str">
            <v>31</v>
          </cell>
          <cell r="I197">
            <v>31</v>
          </cell>
          <cell r="J197">
            <v>20</v>
          </cell>
          <cell r="K197">
            <v>1</v>
          </cell>
          <cell r="L197">
            <v>46</v>
          </cell>
          <cell r="M197">
            <v>510</v>
          </cell>
          <cell r="N197">
            <v>1</v>
          </cell>
          <cell r="O197" t="str">
            <v>00</v>
          </cell>
          <cell r="P197">
            <v>6</v>
          </cell>
          <cell r="Q197">
            <v>3</v>
          </cell>
          <cell r="R197">
            <v>3</v>
          </cell>
          <cell r="S197">
            <v>1</v>
          </cell>
          <cell r="T197">
            <v>31</v>
          </cell>
          <cell r="U197">
            <v>98</v>
          </cell>
          <cell r="V197">
            <v>1</v>
          </cell>
          <cell r="X197" t="str">
            <v>Contrôle et suivi projets</v>
          </cell>
          <cell r="Y197" t="str">
            <v>P5</v>
          </cell>
          <cell r="Z197" t="str">
            <v>Serv.cent.</v>
          </cell>
          <cell r="AA197" t="str">
            <v>Carburant automobile</v>
          </cell>
          <cell r="AB197">
            <v>11080</v>
          </cell>
          <cell r="AC197">
            <v>11080</v>
          </cell>
        </row>
        <row r="198">
          <cell r="A198">
            <v>5037</v>
          </cell>
          <cell r="B198">
            <v>1</v>
          </cell>
          <cell r="C198">
            <v>1</v>
          </cell>
          <cell r="E198" t="str">
            <v>20</v>
          </cell>
          <cell r="F198">
            <v>46900100600</v>
          </cell>
          <cell r="G198">
            <v>3</v>
          </cell>
          <cell r="H198" t="str">
            <v>31</v>
          </cell>
          <cell r="I198">
            <v>21</v>
          </cell>
          <cell r="J198">
            <v>20</v>
          </cell>
          <cell r="K198">
            <v>1</v>
          </cell>
          <cell r="L198">
            <v>46</v>
          </cell>
          <cell r="M198">
            <v>900</v>
          </cell>
          <cell r="N198">
            <v>1</v>
          </cell>
          <cell r="O198" t="str">
            <v>00</v>
          </cell>
          <cell r="P198">
            <v>6</v>
          </cell>
          <cell r="Q198">
            <v>3</v>
          </cell>
          <cell r="R198">
            <v>3</v>
          </cell>
          <cell r="S198">
            <v>1</v>
          </cell>
          <cell r="T198">
            <v>21</v>
          </cell>
          <cell r="U198">
            <v>98</v>
          </cell>
          <cell r="V198">
            <v>1</v>
          </cell>
          <cell r="W198">
            <v>0</v>
          </cell>
          <cell r="X198" t="str">
            <v>Enseig. Supérieur Autres serv centraux</v>
          </cell>
          <cell r="Y198" t="str">
            <v>P5</v>
          </cell>
          <cell r="Z198" t="str">
            <v>Serv.cent.</v>
          </cell>
          <cell r="AA198" t="str">
            <v>Fournitures petits matériels bureau</v>
          </cell>
          <cell r="AB198">
            <v>34270</v>
          </cell>
          <cell r="AC198">
            <v>34270</v>
          </cell>
        </row>
        <row r="199">
          <cell r="A199">
            <v>5038</v>
          </cell>
          <cell r="B199">
            <v>1</v>
          </cell>
          <cell r="C199">
            <v>1</v>
          </cell>
          <cell r="E199" t="str">
            <v>20</v>
          </cell>
          <cell r="F199">
            <v>46900100600</v>
          </cell>
          <cell r="G199">
            <v>3</v>
          </cell>
          <cell r="H199" t="str">
            <v>31</v>
          </cell>
          <cell r="I199">
            <v>31</v>
          </cell>
          <cell r="J199">
            <v>20</v>
          </cell>
          <cell r="K199">
            <v>1</v>
          </cell>
          <cell r="L199">
            <v>46</v>
          </cell>
          <cell r="M199">
            <v>900</v>
          </cell>
          <cell r="N199">
            <v>1</v>
          </cell>
          <cell r="O199" t="str">
            <v>00</v>
          </cell>
          <cell r="P199">
            <v>6</v>
          </cell>
          <cell r="Q199">
            <v>3</v>
          </cell>
          <cell r="R199">
            <v>3</v>
          </cell>
          <cell r="S199">
            <v>1</v>
          </cell>
          <cell r="T199">
            <v>31</v>
          </cell>
          <cell r="U199">
            <v>98</v>
          </cell>
          <cell r="V199">
            <v>1</v>
          </cell>
          <cell r="W199">
            <v>0</v>
          </cell>
          <cell r="X199" t="str">
            <v>Enseig. Supérieur Autres serv centraux</v>
          </cell>
          <cell r="Y199" t="str">
            <v>P5</v>
          </cell>
          <cell r="Z199" t="str">
            <v>Serv.cent.</v>
          </cell>
          <cell r="AA199" t="str">
            <v>Carburant automobile</v>
          </cell>
          <cell r="AB199">
            <v>21240</v>
          </cell>
          <cell r="AC199">
            <v>21240</v>
          </cell>
        </row>
        <row r="200">
          <cell r="A200">
            <v>5039</v>
          </cell>
          <cell r="B200">
            <v>1</v>
          </cell>
          <cell r="C200">
            <v>1</v>
          </cell>
          <cell r="E200" t="str">
            <v>20</v>
          </cell>
          <cell r="F200">
            <v>46900100600</v>
          </cell>
          <cell r="G200">
            <v>3</v>
          </cell>
          <cell r="H200" t="str">
            <v>31</v>
          </cell>
          <cell r="I200">
            <v>33</v>
          </cell>
          <cell r="J200">
            <v>20</v>
          </cell>
          <cell r="K200">
            <v>1</v>
          </cell>
          <cell r="L200">
            <v>46</v>
          </cell>
          <cell r="M200">
            <v>900</v>
          </cell>
          <cell r="N200">
            <v>1</v>
          </cell>
          <cell r="O200" t="str">
            <v>00</v>
          </cell>
          <cell r="P200">
            <v>6</v>
          </cell>
          <cell r="Q200">
            <v>3</v>
          </cell>
          <cell r="R200">
            <v>3</v>
          </cell>
          <cell r="S200">
            <v>1</v>
          </cell>
          <cell r="T200">
            <v>33</v>
          </cell>
          <cell r="U200">
            <v>98</v>
          </cell>
          <cell r="V200">
            <v>1</v>
          </cell>
          <cell r="W200">
            <v>0</v>
          </cell>
          <cell r="X200" t="str">
            <v>Enseig. Supérieur Autres serv centraux</v>
          </cell>
          <cell r="Y200" t="str">
            <v>P5</v>
          </cell>
          <cell r="Z200" t="str">
            <v>Serv.cent.</v>
          </cell>
          <cell r="AA200" t="str">
            <v>Combustible groupe électrogène</v>
          </cell>
          <cell r="AB200">
            <v>42820</v>
          </cell>
          <cell r="AC200">
            <v>42820</v>
          </cell>
        </row>
        <row r="201">
          <cell r="A201">
            <v>3122</v>
          </cell>
          <cell r="B201">
            <v>1</v>
          </cell>
          <cell r="C201">
            <v>1</v>
          </cell>
          <cell r="E201" t="str">
            <v>20</v>
          </cell>
          <cell r="F201">
            <v>49151100700</v>
          </cell>
          <cell r="G201">
            <v>3</v>
          </cell>
          <cell r="H201" t="str">
            <v>31</v>
          </cell>
          <cell r="I201">
            <v>31</v>
          </cell>
          <cell r="J201">
            <v>20</v>
          </cell>
          <cell r="K201">
            <v>1</v>
          </cell>
          <cell r="L201">
            <v>49</v>
          </cell>
          <cell r="M201">
            <v>151</v>
          </cell>
          <cell r="N201">
            <v>1</v>
          </cell>
          <cell r="O201" t="str">
            <v>00</v>
          </cell>
          <cell r="P201">
            <v>7</v>
          </cell>
          <cell r="Q201">
            <v>3</v>
          </cell>
          <cell r="R201">
            <v>3</v>
          </cell>
          <cell r="S201">
            <v>1</v>
          </cell>
          <cell r="T201">
            <v>31</v>
          </cell>
          <cell r="U201">
            <v>93</v>
          </cell>
          <cell r="V201">
            <v>1</v>
          </cell>
          <cell r="X201" t="str">
            <v>Direction Nationale Education civique</v>
          </cell>
          <cell r="Y201" t="str">
            <v>P5</v>
          </cell>
          <cell r="Z201" t="str">
            <v>Serv.centr.</v>
          </cell>
          <cell r="AA201" t="str">
            <v>Carburant véhicule</v>
          </cell>
          <cell r="AB201">
            <v>3510</v>
          </cell>
          <cell r="AC201">
            <v>3510</v>
          </cell>
        </row>
        <row r="202">
          <cell r="A202">
            <v>3124</v>
          </cell>
          <cell r="B202">
            <v>1</v>
          </cell>
          <cell r="C202">
            <v>1</v>
          </cell>
          <cell r="E202" t="str">
            <v>20</v>
          </cell>
          <cell r="F202">
            <v>49152100700</v>
          </cell>
          <cell r="G202">
            <v>3</v>
          </cell>
          <cell r="H202" t="str">
            <v>31</v>
          </cell>
          <cell r="I202">
            <v>31</v>
          </cell>
          <cell r="J202">
            <v>20</v>
          </cell>
          <cell r="K202">
            <v>1</v>
          </cell>
          <cell r="L202">
            <v>49</v>
          </cell>
          <cell r="M202">
            <v>152</v>
          </cell>
          <cell r="N202">
            <v>1</v>
          </cell>
          <cell r="O202" t="str">
            <v>00</v>
          </cell>
          <cell r="P202">
            <v>7</v>
          </cell>
          <cell r="Q202">
            <v>3</v>
          </cell>
          <cell r="R202">
            <v>3</v>
          </cell>
          <cell r="S202">
            <v>1</v>
          </cell>
          <cell r="T202">
            <v>31</v>
          </cell>
          <cell r="U202">
            <v>93</v>
          </cell>
          <cell r="V202">
            <v>1</v>
          </cell>
          <cell r="X202" t="str">
            <v>Direction Nationale de l'Enseignement Privé</v>
          </cell>
          <cell r="Y202" t="str">
            <v>P5</v>
          </cell>
          <cell r="Z202" t="str">
            <v>Serv.centr.</v>
          </cell>
          <cell r="AA202" t="str">
            <v>Carburant véhicule</v>
          </cell>
          <cell r="AB202">
            <v>3510</v>
          </cell>
          <cell r="AC202">
            <v>3510</v>
          </cell>
        </row>
        <row r="203">
          <cell r="A203">
            <v>3126</v>
          </cell>
          <cell r="B203">
            <v>1</v>
          </cell>
          <cell r="C203">
            <v>1</v>
          </cell>
          <cell r="E203" t="str">
            <v>20</v>
          </cell>
          <cell r="F203">
            <v>49301100700</v>
          </cell>
          <cell r="G203">
            <v>3</v>
          </cell>
          <cell r="H203" t="str">
            <v>31</v>
          </cell>
          <cell r="I203">
            <v>31</v>
          </cell>
          <cell r="J203">
            <v>20</v>
          </cell>
          <cell r="K203">
            <v>1</v>
          </cell>
          <cell r="L203">
            <v>49</v>
          </cell>
          <cell r="M203">
            <v>301</v>
          </cell>
          <cell r="N203">
            <v>1</v>
          </cell>
          <cell r="O203" t="str">
            <v>00</v>
          </cell>
          <cell r="P203">
            <v>7</v>
          </cell>
          <cell r="Q203">
            <v>3</v>
          </cell>
          <cell r="R203">
            <v>3</v>
          </cell>
          <cell r="S203">
            <v>1</v>
          </cell>
          <cell r="T203">
            <v>31</v>
          </cell>
          <cell r="U203">
            <v>93</v>
          </cell>
          <cell r="V203">
            <v>1</v>
          </cell>
          <cell r="X203" t="str">
            <v>Inspection Générale de l'Enseignement</v>
          </cell>
          <cell r="Y203" t="str">
            <v>P5</v>
          </cell>
          <cell r="Z203" t="str">
            <v>Serv.centr.</v>
          </cell>
          <cell r="AA203" t="str">
            <v>Carburant véhicule</v>
          </cell>
          <cell r="AB203">
            <v>17530</v>
          </cell>
          <cell r="AC203">
            <v>17530</v>
          </cell>
        </row>
        <row r="204">
          <cell r="A204">
            <v>3128</v>
          </cell>
          <cell r="B204">
            <v>1</v>
          </cell>
          <cell r="C204">
            <v>1</v>
          </cell>
          <cell r="E204" t="str">
            <v>20</v>
          </cell>
          <cell r="F204">
            <v>49501100700</v>
          </cell>
          <cell r="G204">
            <v>3</v>
          </cell>
          <cell r="H204" t="str">
            <v>31</v>
          </cell>
          <cell r="I204">
            <v>31</v>
          </cell>
          <cell r="J204">
            <v>20</v>
          </cell>
          <cell r="K204">
            <v>1</v>
          </cell>
          <cell r="L204">
            <v>49</v>
          </cell>
          <cell r="M204">
            <v>501</v>
          </cell>
          <cell r="N204">
            <v>1</v>
          </cell>
          <cell r="O204" t="str">
            <v>00</v>
          </cell>
          <cell r="P204">
            <v>7</v>
          </cell>
          <cell r="Q204">
            <v>3</v>
          </cell>
          <cell r="R204">
            <v>3</v>
          </cell>
          <cell r="S204">
            <v>1</v>
          </cell>
          <cell r="T204">
            <v>31</v>
          </cell>
          <cell r="U204">
            <v>93</v>
          </cell>
          <cell r="V204">
            <v>1</v>
          </cell>
          <cell r="X204" t="str">
            <v>CONEBAT (Serv gestion écoles seconde chance)</v>
          </cell>
          <cell r="Y204" t="str">
            <v>P5</v>
          </cell>
          <cell r="Z204" t="str">
            <v>Serv.centr.</v>
          </cell>
          <cell r="AA204" t="str">
            <v>Carburant véhicule</v>
          </cell>
          <cell r="AB204">
            <v>0</v>
          </cell>
          <cell r="AC204">
            <v>0</v>
          </cell>
        </row>
        <row r="205">
          <cell r="A205">
            <v>3130</v>
          </cell>
          <cell r="B205">
            <v>1</v>
          </cell>
          <cell r="C205">
            <v>1</v>
          </cell>
          <cell r="E205" t="str">
            <v>20</v>
          </cell>
          <cell r="F205">
            <v>49502100700</v>
          </cell>
          <cell r="G205">
            <v>3</v>
          </cell>
          <cell r="H205" t="str">
            <v>31</v>
          </cell>
          <cell r="I205">
            <v>31</v>
          </cell>
          <cell r="J205">
            <v>20</v>
          </cell>
          <cell r="K205">
            <v>1</v>
          </cell>
          <cell r="L205">
            <v>49</v>
          </cell>
          <cell r="M205">
            <v>502</v>
          </cell>
          <cell r="N205">
            <v>1</v>
          </cell>
          <cell r="O205" t="str">
            <v>00</v>
          </cell>
          <cell r="P205">
            <v>7</v>
          </cell>
          <cell r="Q205">
            <v>3</v>
          </cell>
          <cell r="R205">
            <v>3</v>
          </cell>
          <cell r="S205">
            <v>1</v>
          </cell>
          <cell r="T205">
            <v>31</v>
          </cell>
          <cell r="U205">
            <v>93</v>
          </cell>
          <cell r="V205">
            <v>1</v>
          </cell>
          <cell r="X205" t="str">
            <v xml:space="preserve">Institut National Recherche Appliquée </v>
          </cell>
          <cell r="Y205" t="str">
            <v>P5</v>
          </cell>
          <cell r="Z205" t="str">
            <v>Serv.centr.</v>
          </cell>
          <cell r="AA205" t="str">
            <v>Carburant véhicule</v>
          </cell>
          <cell r="AB205">
            <v>0</v>
          </cell>
          <cell r="AC205">
            <v>0</v>
          </cell>
        </row>
        <row r="206">
          <cell r="A206">
            <v>3132</v>
          </cell>
          <cell r="B206">
            <v>1</v>
          </cell>
          <cell r="C206">
            <v>1</v>
          </cell>
          <cell r="E206" t="str">
            <v>20</v>
          </cell>
          <cell r="F206">
            <v>49503100700</v>
          </cell>
          <cell r="G206">
            <v>3</v>
          </cell>
          <cell r="H206" t="str">
            <v>31</v>
          </cell>
          <cell r="I206">
            <v>31</v>
          </cell>
          <cell r="J206">
            <v>20</v>
          </cell>
          <cell r="K206">
            <v>1</v>
          </cell>
          <cell r="L206">
            <v>49</v>
          </cell>
          <cell r="M206">
            <v>503</v>
          </cell>
          <cell r="N206">
            <v>1</v>
          </cell>
          <cell r="O206" t="str">
            <v>00</v>
          </cell>
          <cell r="P206">
            <v>7</v>
          </cell>
          <cell r="Q206">
            <v>3</v>
          </cell>
          <cell r="R206">
            <v>3</v>
          </cell>
          <cell r="S206">
            <v>1</v>
          </cell>
          <cell r="T206">
            <v>31</v>
          </cell>
          <cell r="U206">
            <v>93</v>
          </cell>
          <cell r="V206">
            <v>1</v>
          </cell>
          <cell r="X206" t="str">
            <v>Service National Alphabétisation</v>
          </cell>
          <cell r="Y206" t="str">
            <v>P5</v>
          </cell>
          <cell r="Z206" t="str">
            <v>Serv.centr.</v>
          </cell>
          <cell r="AA206" t="str">
            <v>Carburant véhicule</v>
          </cell>
          <cell r="AB206">
            <v>3510</v>
          </cell>
          <cell r="AC206">
            <v>3510</v>
          </cell>
        </row>
        <row r="207">
          <cell r="A207">
            <v>3134</v>
          </cell>
          <cell r="B207">
            <v>1</v>
          </cell>
          <cell r="C207">
            <v>1</v>
          </cell>
          <cell r="E207" t="str">
            <v>20</v>
          </cell>
          <cell r="F207">
            <v>49504100700</v>
          </cell>
          <cell r="G207">
            <v>3</v>
          </cell>
          <cell r="H207" t="str">
            <v>31</v>
          </cell>
          <cell r="I207">
            <v>31</v>
          </cell>
          <cell r="J207">
            <v>20</v>
          </cell>
          <cell r="K207">
            <v>1</v>
          </cell>
          <cell r="L207">
            <v>49</v>
          </cell>
          <cell r="M207">
            <v>504</v>
          </cell>
          <cell r="N207">
            <v>1</v>
          </cell>
          <cell r="O207" t="str">
            <v>00</v>
          </cell>
          <cell r="P207">
            <v>7</v>
          </cell>
          <cell r="Q207">
            <v>3</v>
          </cell>
          <cell r="R207">
            <v>3</v>
          </cell>
          <cell r="S207">
            <v>1</v>
          </cell>
          <cell r="T207">
            <v>31</v>
          </cell>
          <cell r="U207">
            <v>93</v>
          </cell>
          <cell r="V207">
            <v>1</v>
          </cell>
          <cell r="X207" t="str">
            <v>Service National Infrastuctures Equipements Scolaires</v>
          </cell>
          <cell r="Y207" t="str">
            <v>P5</v>
          </cell>
          <cell r="Z207" t="str">
            <v>Serv.centr.</v>
          </cell>
          <cell r="AA207" t="str">
            <v>Carburant véhicule</v>
          </cell>
          <cell r="AB207">
            <v>0</v>
          </cell>
          <cell r="AC207">
            <v>0</v>
          </cell>
        </row>
        <row r="208">
          <cell r="A208">
            <v>3136</v>
          </cell>
          <cell r="B208">
            <v>1</v>
          </cell>
          <cell r="C208">
            <v>1</v>
          </cell>
          <cell r="E208" t="str">
            <v>20</v>
          </cell>
          <cell r="F208">
            <v>49505100700</v>
          </cell>
          <cell r="G208">
            <v>3</v>
          </cell>
          <cell r="H208" t="str">
            <v>31</v>
          </cell>
          <cell r="I208">
            <v>31</v>
          </cell>
          <cell r="J208">
            <v>20</v>
          </cell>
          <cell r="K208">
            <v>1</v>
          </cell>
          <cell r="L208">
            <v>49</v>
          </cell>
          <cell r="M208">
            <v>505</v>
          </cell>
          <cell r="N208">
            <v>1</v>
          </cell>
          <cell r="O208" t="str">
            <v>00</v>
          </cell>
          <cell r="P208">
            <v>7</v>
          </cell>
          <cell r="Q208">
            <v>3</v>
          </cell>
          <cell r="R208">
            <v>3</v>
          </cell>
          <cell r="S208">
            <v>1</v>
          </cell>
          <cell r="T208">
            <v>31</v>
          </cell>
          <cell r="U208">
            <v>93</v>
          </cell>
          <cell r="V208">
            <v>1</v>
          </cell>
          <cell r="X208" t="str">
            <v>Centre Informatique</v>
          </cell>
          <cell r="Y208" t="str">
            <v>P5</v>
          </cell>
          <cell r="Z208" t="str">
            <v>Serv.centr.</v>
          </cell>
          <cell r="AA208" t="str">
            <v>Carburant véhicule</v>
          </cell>
          <cell r="AB208">
            <v>3510</v>
          </cell>
          <cell r="AC208">
            <v>3510</v>
          </cell>
        </row>
        <row r="209">
          <cell r="A209">
            <v>3138</v>
          </cell>
          <cell r="B209">
            <v>1</v>
          </cell>
          <cell r="C209">
            <v>1</v>
          </cell>
          <cell r="E209" t="str">
            <v>20</v>
          </cell>
          <cell r="F209">
            <v>49506100700</v>
          </cell>
          <cell r="G209">
            <v>3</v>
          </cell>
          <cell r="H209" t="str">
            <v>31</v>
          </cell>
          <cell r="I209">
            <v>31</v>
          </cell>
          <cell r="J209">
            <v>20</v>
          </cell>
          <cell r="K209">
            <v>1</v>
          </cell>
          <cell r="L209">
            <v>49</v>
          </cell>
          <cell r="M209">
            <v>506</v>
          </cell>
          <cell r="N209">
            <v>1</v>
          </cell>
          <cell r="O209" t="str">
            <v>00</v>
          </cell>
          <cell r="P209">
            <v>7</v>
          </cell>
          <cell r="Q209">
            <v>3</v>
          </cell>
          <cell r="R209">
            <v>3</v>
          </cell>
          <cell r="S209">
            <v>1</v>
          </cell>
          <cell r="T209">
            <v>31</v>
          </cell>
          <cell r="U209">
            <v>93</v>
          </cell>
          <cell r="V209">
            <v>1</v>
          </cell>
          <cell r="X209" t="str">
            <v>Centre de Perfectionnement linguistique</v>
          </cell>
          <cell r="Y209" t="str">
            <v>P5</v>
          </cell>
          <cell r="Z209" t="str">
            <v>Serv.centr.</v>
          </cell>
          <cell r="AA209" t="str">
            <v>Carburant véhicule</v>
          </cell>
          <cell r="AB209">
            <v>0</v>
          </cell>
          <cell r="AC209">
            <v>0</v>
          </cell>
        </row>
        <row r="210">
          <cell r="A210">
            <v>3140</v>
          </cell>
          <cell r="B210">
            <v>1</v>
          </cell>
          <cell r="C210">
            <v>1</v>
          </cell>
          <cell r="E210" t="str">
            <v>20</v>
          </cell>
          <cell r="F210">
            <v>49507100700</v>
          </cell>
          <cell r="G210">
            <v>3</v>
          </cell>
          <cell r="H210" t="str">
            <v>31</v>
          </cell>
          <cell r="I210">
            <v>31</v>
          </cell>
          <cell r="J210">
            <v>20</v>
          </cell>
          <cell r="K210">
            <v>1</v>
          </cell>
          <cell r="L210">
            <v>49</v>
          </cell>
          <cell r="M210">
            <v>507</v>
          </cell>
          <cell r="N210">
            <v>1</v>
          </cell>
          <cell r="O210" t="str">
            <v>00</v>
          </cell>
          <cell r="P210">
            <v>7</v>
          </cell>
          <cell r="Q210">
            <v>3</v>
          </cell>
          <cell r="R210">
            <v>3</v>
          </cell>
          <cell r="S210">
            <v>1</v>
          </cell>
          <cell r="T210">
            <v>31</v>
          </cell>
          <cell r="U210">
            <v>93</v>
          </cell>
          <cell r="V210">
            <v>1</v>
          </cell>
          <cell r="X210" t="str">
            <v>Relations Extérieures et Transport</v>
          </cell>
          <cell r="Y210" t="str">
            <v>P5</v>
          </cell>
          <cell r="Z210" t="str">
            <v>Serv.centr.</v>
          </cell>
          <cell r="AA210" t="str">
            <v>Carburant véhicule</v>
          </cell>
          <cell r="AB210">
            <v>0</v>
          </cell>
          <cell r="AC210">
            <v>0</v>
          </cell>
        </row>
        <row r="211">
          <cell r="A211">
            <v>3142</v>
          </cell>
          <cell r="B211">
            <v>1</v>
          </cell>
          <cell r="C211">
            <v>1</v>
          </cell>
          <cell r="E211" t="str">
            <v>20</v>
          </cell>
          <cell r="F211">
            <v>49508100700</v>
          </cell>
          <cell r="G211">
            <v>3</v>
          </cell>
          <cell r="H211" t="str">
            <v>31</v>
          </cell>
          <cell r="I211">
            <v>31</v>
          </cell>
          <cell r="J211">
            <v>20</v>
          </cell>
          <cell r="K211">
            <v>1</v>
          </cell>
          <cell r="L211">
            <v>49</v>
          </cell>
          <cell r="M211">
            <v>508</v>
          </cell>
          <cell r="N211">
            <v>1</v>
          </cell>
          <cell r="O211" t="str">
            <v>00</v>
          </cell>
          <cell r="P211">
            <v>7</v>
          </cell>
          <cell r="Q211">
            <v>3</v>
          </cell>
          <cell r="R211">
            <v>3</v>
          </cell>
          <cell r="S211">
            <v>1</v>
          </cell>
          <cell r="T211">
            <v>31</v>
          </cell>
          <cell r="U211">
            <v>93</v>
          </cell>
          <cell r="V211">
            <v>1</v>
          </cell>
          <cell r="X211" t="str">
            <v>Service Statistique Planification scolaire</v>
          </cell>
          <cell r="Y211" t="str">
            <v>P5</v>
          </cell>
          <cell r="Z211" t="str">
            <v>Serv.centr.</v>
          </cell>
          <cell r="AA211" t="str">
            <v>Carburant véhicule</v>
          </cell>
          <cell r="AB211">
            <v>0</v>
          </cell>
          <cell r="AC211">
            <v>0</v>
          </cell>
        </row>
        <row r="212">
          <cell r="A212">
            <v>3144</v>
          </cell>
          <cell r="B212">
            <v>1</v>
          </cell>
          <cell r="C212">
            <v>1</v>
          </cell>
          <cell r="E212" t="str">
            <v>20</v>
          </cell>
          <cell r="F212">
            <v>49509100700</v>
          </cell>
          <cell r="G212">
            <v>3</v>
          </cell>
          <cell r="H212" t="str">
            <v>31</v>
          </cell>
          <cell r="I212">
            <v>31</v>
          </cell>
          <cell r="J212">
            <v>20</v>
          </cell>
          <cell r="K212">
            <v>1</v>
          </cell>
          <cell r="L212">
            <v>49</v>
          </cell>
          <cell r="M212">
            <v>509</v>
          </cell>
          <cell r="N212">
            <v>1</v>
          </cell>
          <cell r="O212" t="str">
            <v>00</v>
          </cell>
          <cell r="P212">
            <v>7</v>
          </cell>
          <cell r="Q212">
            <v>3</v>
          </cell>
          <cell r="R212">
            <v>3</v>
          </cell>
          <cell r="S212">
            <v>1</v>
          </cell>
          <cell r="T212">
            <v>31</v>
          </cell>
          <cell r="U212">
            <v>93</v>
          </cell>
          <cell r="V212">
            <v>1</v>
          </cell>
          <cell r="X212" t="str">
            <v>SINDA</v>
          </cell>
          <cell r="Y212" t="str">
            <v>P5</v>
          </cell>
          <cell r="Z212" t="str">
            <v>Serv.centr.</v>
          </cell>
          <cell r="AA212" t="str">
            <v>Carburant véhicule</v>
          </cell>
          <cell r="AB212">
            <v>0</v>
          </cell>
          <cell r="AC212">
            <v>0</v>
          </cell>
        </row>
        <row r="213">
          <cell r="A213">
            <v>3146</v>
          </cell>
          <cell r="B213">
            <v>1</v>
          </cell>
          <cell r="C213">
            <v>1</v>
          </cell>
          <cell r="E213" t="str">
            <v>20</v>
          </cell>
          <cell r="F213">
            <v>49510100700</v>
          </cell>
          <cell r="G213">
            <v>3</v>
          </cell>
          <cell r="H213" t="str">
            <v>31</v>
          </cell>
          <cell r="I213">
            <v>31</v>
          </cell>
          <cell r="J213">
            <v>20</v>
          </cell>
          <cell r="K213">
            <v>1</v>
          </cell>
          <cell r="L213">
            <v>49</v>
          </cell>
          <cell r="M213">
            <v>510</v>
          </cell>
          <cell r="N213">
            <v>1</v>
          </cell>
          <cell r="O213" t="str">
            <v>00</v>
          </cell>
          <cell r="P213">
            <v>7</v>
          </cell>
          <cell r="Q213">
            <v>3</v>
          </cell>
          <cell r="R213">
            <v>3</v>
          </cell>
          <cell r="S213">
            <v>1</v>
          </cell>
          <cell r="T213">
            <v>31</v>
          </cell>
          <cell r="U213">
            <v>93</v>
          </cell>
          <cell r="V213">
            <v>1</v>
          </cell>
          <cell r="X213" t="str">
            <v>Coordination PASE/ ST- PASE</v>
          </cell>
          <cell r="Y213" t="str">
            <v>P5</v>
          </cell>
          <cell r="Z213" t="str">
            <v>Serv.centr.</v>
          </cell>
          <cell r="AA213" t="str">
            <v>Carburant véhicule</v>
          </cell>
          <cell r="AB213">
            <v>0</v>
          </cell>
          <cell r="AC213">
            <v>0</v>
          </cell>
        </row>
        <row r="214">
          <cell r="A214">
            <v>3148</v>
          </cell>
          <cell r="B214">
            <v>1</v>
          </cell>
          <cell r="C214">
            <v>1</v>
          </cell>
          <cell r="E214" t="str">
            <v>20</v>
          </cell>
          <cell r="F214">
            <v>49511100700</v>
          </cell>
          <cell r="G214">
            <v>3</v>
          </cell>
          <cell r="H214" t="str">
            <v>31</v>
          </cell>
          <cell r="I214">
            <v>31</v>
          </cell>
          <cell r="J214">
            <v>20</v>
          </cell>
          <cell r="K214">
            <v>1</v>
          </cell>
          <cell r="L214">
            <v>49</v>
          </cell>
          <cell r="M214">
            <v>511</v>
          </cell>
          <cell r="N214">
            <v>1</v>
          </cell>
          <cell r="O214" t="str">
            <v>00</v>
          </cell>
          <cell r="P214">
            <v>7</v>
          </cell>
          <cell r="Q214">
            <v>3</v>
          </cell>
          <cell r="R214">
            <v>3</v>
          </cell>
          <cell r="S214">
            <v>1</v>
          </cell>
          <cell r="T214">
            <v>31</v>
          </cell>
          <cell r="U214">
            <v>93</v>
          </cell>
          <cell r="V214">
            <v>1</v>
          </cell>
          <cell r="X214" t="str">
            <v>Cellule d'Audit</v>
          </cell>
          <cell r="Y214" t="str">
            <v>P5</v>
          </cell>
          <cell r="Z214" t="str">
            <v>Serv.centr.</v>
          </cell>
          <cell r="AA214" t="str">
            <v>Carburant véhicule</v>
          </cell>
          <cell r="AB214">
            <v>3510</v>
          </cell>
          <cell r="AC214">
            <v>3510</v>
          </cell>
        </row>
        <row r="215">
          <cell r="A215">
            <v>3150</v>
          </cell>
          <cell r="B215">
            <v>1</v>
          </cell>
          <cell r="C215">
            <v>1</v>
          </cell>
          <cell r="E215" t="str">
            <v>20</v>
          </cell>
          <cell r="F215">
            <v>49512100700</v>
          </cell>
          <cell r="G215">
            <v>3</v>
          </cell>
          <cell r="H215" t="str">
            <v>31</v>
          </cell>
          <cell r="I215">
            <v>31</v>
          </cell>
          <cell r="J215">
            <v>20</v>
          </cell>
          <cell r="K215">
            <v>1</v>
          </cell>
          <cell r="L215">
            <v>49</v>
          </cell>
          <cell r="M215">
            <v>512</v>
          </cell>
          <cell r="N215">
            <v>1</v>
          </cell>
          <cell r="O215" t="str">
            <v>00</v>
          </cell>
          <cell r="P215">
            <v>7</v>
          </cell>
          <cell r="Q215">
            <v>3</v>
          </cell>
          <cell r="R215">
            <v>3</v>
          </cell>
          <cell r="S215">
            <v>1</v>
          </cell>
          <cell r="T215">
            <v>31</v>
          </cell>
          <cell r="U215">
            <v>93</v>
          </cell>
          <cell r="V215">
            <v>1</v>
          </cell>
          <cell r="X215" t="str">
            <v>Service Evaluation</v>
          </cell>
          <cell r="Y215" t="str">
            <v>P5</v>
          </cell>
          <cell r="Z215" t="str">
            <v>Serv.centr.</v>
          </cell>
          <cell r="AA215" t="str">
            <v>Carburant véhicule</v>
          </cell>
          <cell r="AB215">
            <v>0</v>
          </cell>
          <cell r="AC215">
            <v>0</v>
          </cell>
        </row>
        <row r="216">
          <cell r="A216">
            <v>3152</v>
          </cell>
          <cell r="B216">
            <v>1</v>
          </cell>
          <cell r="C216">
            <v>1</v>
          </cell>
          <cell r="E216" t="str">
            <v>20</v>
          </cell>
          <cell r="F216">
            <v>49513100700</v>
          </cell>
          <cell r="G216">
            <v>3</v>
          </cell>
          <cell r="H216" t="str">
            <v>31</v>
          </cell>
          <cell r="I216">
            <v>31</v>
          </cell>
          <cell r="J216">
            <v>20</v>
          </cell>
          <cell r="K216">
            <v>1</v>
          </cell>
          <cell r="L216">
            <v>49</v>
          </cell>
          <cell r="M216">
            <v>513</v>
          </cell>
          <cell r="N216">
            <v>1</v>
          </cell>
          <cell r="O216" t="str">
            <v>00</v>
          </cell>
          <cell r="P216">
            <v>7</v>
          </cell>
          <cell r="Q216">
            <v>3</v>
          </cell>
          <cell r="R216">
            <v>3</v>
          </cell>
          <cell r="S216">
            <v>1</v>
          </cell>
          <cell r="T216">
            <v>31</v>
          </cell>
          <cell r="U216">
            <v>93</v>
          </cell>
          <cell r="V216">
            <v>1</v>
          </cell>
          <cell r="X216" t="str">
            <v>Service Examen Contrôle Scolaire</v>
          </cell>
          <cell r="Y216" t="str">
            <v>P5</v>
          </cell>
          <cell r="Z216" t="str">
            <v>Serv.centr.</v>
          </cell>
          <cell r="AA216" t="str">
            <v>Carburant véhicule</v>
          </cell>
          <cell r="AB216">
            <v>0</v>
          </cell>
          <cell r="AC216">
            <v>0</v>
          </cell>
        </row>
        <row r="217">
          <cell r="A217">
            <v>3154</v>
          </cell>
          <cell r="B217">
            <v>1</v>
          </cell>
          <cell r="C217">
            <v>1</v>
          </cell>
          <cell r="E217" t="str">
            <v>20</v>
          </cell>
          <cell r="F217">
            <v>49514100700</v>
          </cell>
          <cell r="G217">
            <v>3</v>
          </cell>
          <cell r="H217" t="str">
            <v>31</v>
          </cell>
          <cell r="I217">
            <v>31</v>
          </cell>
          <cell r="J217">
            <v>20</v>
          </cell>
          <cell r="K217">
            <v>1</v>
          </cell>
          <cell r="L217">
            <v>49</v>
          </cell>
          <cell r="M217">
            <v>514</v>
          </cell>
          <cell r="N217">
            <v>1</v>
          </cell>
          <cell r="O217" t="str">
            <v>00</v>
          </cell>
          <cell r="P217">
            <v>7</v>
          </cell>
          <cell r="Q217">
            <v>3</v>
          </cell>
          <cell r="R217">
            <v>3</v>
          </cell>
          <cell r="S217">
            <v>1</v>
          </cell>
          <cell r="T217">
            <v>31</v>
          </cell>
          <cell r="U217">
            <v>93</v>
          </cell>
          <cell r="V217">
            <v>1</v>
          </cell>
          <cell r="X217" t="str">
            <v xml:space="preserve">Imprimerie de l'Education  </v>
          </cell>
          <cell r="Y217" t="str">
            <v>P5</v>
          </cell>
          <cell r="Z217" t="str">
            <v>Serv.centr.</v>
          </cell>
          <cell r="AA217" t="str">
            <v>Carburant véhicule</v>
          </cell>
          <cell r="AB217">
            <v>0</v>
          </cell>
          <cell r="AC217">
            <v>0</v>
          </cell>
        </row>
        <row r="218">
          <cell r="A218">
            <v>3156</v>
          </cell>
          <cell r="B218">
            <v>1</v>
          </cell>
          <cell r="C218">
            <v>1</v>
          </cell>
          <cell r="E218" t="str">
            <v>20</v>
          </cell>
          <cell r="F218">
            <v>49515100700</v>
          </cell>
          <cell r="G218">
            <v>3</v>
          </cell>
          <cell r="H218" t="str">
            <v>31</v>
          </cell>
          <cell r="I218">
            <v>31</v>
          </cell>
          <cell r="J218">
            <v>20</v>
          </cell>
          <cell r="K218">
            <v>1</v>
          </cell>
          <cell r="L218">
            <v>49</v>
          </cell>
          <cell r="M218">
            <v>515</v>
          </cell>
          <cell r="N218">
            <v>1</v>
          </cell>
          <cell r="O218" t="str">
            <v>00</v>
          </cell>
          <cell r="P218">
            <v>7</v>
          </cell>
          <cell r="Q218">
            <v>3</v>
          </cell>
          <cell r="R218">
            <v>3</v>
          </cell>
          <cell r="S218">
            <v>1</v>
          </cell>
          <cell r="T218">
            <v>31</v>
          </cell>
          <cell r="U218">
            <v>93</v>
          </cell>
          <cell r="V218">
            <v>1</v>
          </cell>
          <cell r="X218" t="str">
            <v>Comité d'Equité  CE / NFQE</v>
          </cell>
          <cell r="Y218" t="str">
            <v>P5</v>
          </cell>
          <cell r="Z218" t="str">
            <v>Serv.centr.</v>
          </cell>
          <cell r="AA218" t="str">
            <v>Carburant véhicule</v>
          </cell>
          <cell r="AB218">
            <v>0</v>
          </cell>
          <cell r="AC218">
            <v>0</v>
          </cell>
        </row>
        <row r="219">
          <cell r="A219">
            <v>3158</v>
          </cell>
          <cell r="B219">
            <v>1</v>
          </cell>
          <cell r="C219">
            <v>1</v>
          </cell>
          <cell r="E219" t="str">
            <v>20</v>
          </cell>
          <cell r="F219">
            <v>49516100700</v>
          </cell>
          <cell r="G219">
            <v>3</v>
          </cell>
          <cell r="H219" t="str">
            <v>31</v>
          </cell>
          <cell r="I219">
            <v>31</v>
          </cell>
          <cell r="J219">
            <v>20</v>
          </cell>
          <cell r="K219">
            <v>1</v>
          </cell>
          <cell r="L219">
            <v>49</v>
          </cell>
          <cell r="M219">
            <v>516</v>
          </cell>
          <cell r="N219">
            <v>1</v>
          </cell>
          <cell r="O219" t="str">
            <v>00</v>
          </cell>
          <cell r="P219">
            <v>7</v>
          </cell>
          <cell r="Q219">
            <v>3</v>
          </cell>
          <cell r="R219">
            <v>3</v>
          </cell>
          <cell r="S219">
            <v>1</v>
          </cell>
          <cell r="T219">
            <v>31</v>
          </cell>
          <cell r="U219">
            <v>93</v>
          </cell>
          <cell r="V219">
            <v>1</v>
          </cell>
          <cell r="X219" t="str">
            <v>ISESCO</v>
          </cell>
          <cell r="Y219" t="str">
            <v>P5</v>
          </cell>
          <cell r="Z219" t="str">
            <v>Serv.centr.</v>
          </cell>
          <cell r="AA219" t="str">
            <v>Carburant véhicule</v>
          </cell>
          <cell r="AB219">
            <v>0</v>
          </cell>
          <cell r="AC219">
            <v>0</v>
          </cell>
        </row>
        <row r="220">
          <cell r="A220">
            <v>3160</v>
          </cell>
          <cell r="B220">
            <v>1</v>
          </cell>
          <cell r="C220">
            <v>1</v>
          </cell>
          <cell r="E220" t="str">
            <v>20</v>
          </cell>
          <cell r="F220">
            <v>49518100700</v>
          </cell>
          <cell r="G220">
            <v>3</v>
          </cell>
          <cell r="H220" t="str">
            <v>31</v>
          </cell>
          <cell r="I220">
            <v>31</v>
          </cell>
          <cell r="J220">
            <v>20</v>
          </cell>
          <cell r="K220">
            <v>1</v>
          </cell>
          <cell r="L220">
            <v>49</v>
          </cell>
          <cell r="M220">
            <v>518</v>
          </cell>
          <cell r="N220">
            <v>1</v>
          </cell>
          <cell r="O220" t="str">
            <v>00</v>
          </cell>
          <cell r="P220">
            <v>7</v>
          </cell>
          <cell r="Q220">
            <v>3</v>
          </cell>
          <cell r="R220">
            <v>3</v>
          </cell>
          <cell r="S220">
            <v>1</v>
          </cell>
          <cell r="T220">
            <v>31</v>
          </cell>
          <cell r="U220">
            <v>93</v>
          </cell>
          <cell r="V220">
            <v>1</v>
          </cell>
          <cell r="X220" t="str">
            <v>Service  Coopération</v>
          </cell>
          <cell r="Y220" t="str">
            <v>P5</v>
          </cell>
          <cell r="Z220" t="str">
            <v>Serv.centr.</v>
          </cell>
          <cell r="AA220" t="str">
            <v>Carburant véhicule</v>
          </cell>
          <cell r="AB220">
            <v>0</v>
          </cell>
          <cell r="AC220">
            <v>0</v>
          </cell>
        </row>
        <row r="221">
          <cell r="A221">
            <v>3162</v>
          </cell>
          <cell r="B221">
            <v>1</v>
          </cell>
          <cell r="C221">
            <v>1</v>
          </cell>
          <cell r="E221" t="str">
            <v>20</v>
          </cell>
          <cell r="F221">
            <v>49519100700</v>
          </cell>
          <cell r="G221">
            <v>3</v>
          </cell>
          <cell r="H221" t="str">
            <v>31</v>
          </cell>
          <cell r="I221">
            <v>31</v>
          </cell>
          <cell r="J221">
            <v>20</v>
          </cell>
          <cell r="K221">
            <v>1</v>
          </cell>
          <cell r="L221">
            <v>49</v>
          </cell>
          <cell r="M221">
            <v>519</v>
          </cell>
          <cell r="N221">
            <v>1</v>
          </cell>
          <cell r="O221" t="str">
            <v>00</v>
          </cell>
          <cell r="P221">
            <v>7</v>
          </cell>
          <cell r="Q221">
            <v>3</v>
          </cell>
          <cell r="R221">
            <v>3</v>
          </cell>
          <cell r="S221">
            <v>1</v>
          </cell>
          <cell r="T221">
            <v>31</v>
          </cell>
          <cell r="U221">
            <v>93</v>
          </cell>
          <cell r="V221">
            <v>1</v>
          </cell>
          <cell r="X221" t="str">
            <v xml:space="preserve">Bureau Africain des services de l'Education </v>
          </cell>
          <cell r="Y221" t="str">
            <v>P5</v>
          </cell>
          <cell r="Z221" t="str">
            <v>Serv.centr.</v>
          </cell>
          <cell r="AA221" t="str">
            <v>Carburant véhicule</v>
          </cell>
          <cell r="AB221">
            <v>0</v>
          </cell>
          <cell r="AC221">
            <v>0</v>
          </cell>
        </row>
        <row r="222">
          <cell r="A222">
            <v>3164</v>
          </cell>
          <cell r="B222">
            <v>1</v>
          </cell>
          <cell r="C222">
            <v>1</v>
          </cell>
          <cell r="E222" t="str">
            <v>20</v>
          </cell>
          <cell r="F222">
            <v>49520100700</v>
          </cell>
          <cell r="G222">
            <v>3</v>
          </cell>
          <cell r="H222" t="str">
            <v>31</v>
          </cell>
          <cell r="I222">
            <v>31</v>
          </cell>
          <cell r="J222">
            <v>20</v>
          </cell>
          <cell r="K222">
            <v>1</v>
          </cell>
          <cell r="L222">
            <v>49</v>
          </cell>
          <cell r="M222">
            <v>520</v>
          </cell>
          <cell r="N222">
            <v>1</v>
          </cell>
          <cell r="O222" t="str">
            <v>00</v>
          </cell>
          <cell r="P222">
            <v>7</v>
          </cell>
          <cell r="Q222">
            <v>3</v>
          </cell>
          <cell r="R222">
            <v>3</v>
          </cell>
          <cell r="S222">
            <v>1</v>
          </cell>
          <cell r="T222">
            <v>31</v>
          </cell>
          <cell r="U222">
            <v>93</v>
          </cell>
          <cell r="V222">
            <v>1</v>
          </cell>
          <cell r="X222" t="str">
            <v>Cellule CDMT</v>
          </cell>
          <cell r="Y222" t="str">
            <v>P5</v>
          </cell>
          <cell r="Z222" t="str">
            <v>Serv.centr.</v>
          </cell>
          <cell r="AA222" t="str">
            <v>Carburant véhicule</v>
          </cell>
          <cell r="AB222">
            <v>3510</v>
          </cell>
          <cell r="AC222">
            <v>3510</v>
          </cell>
        </row>
        <row r="223">
          <cell r="A223">
            <v>3166</v>
          </cell>
          <cell r="B223">
            <v>1</v>
          </cell>
          <cell r="C223">
            <v>1</v>
          </cell>
          <cell r="E223" t="str">
            <v>20</v>
          </cell>
          <cell r="F223">
            <v>49521100700</v>
          </cell>
          <cell r="G223">
            <v>3</v>
          </cell>
          <cell r="H223" t="str">
            <v>31</v>
          </cell>
          <cell r="I223">
            <v>31</v>
          </cell>
          <cell r="J223">
            <v>20</v>
          </cell>
          <cell r="K223">
            <v>1</v>
          </cell>
          <cell r="L223">
            <v>49</v>
          </cell>
          <cell r="M223">
            <v>521</v>
          </cell>
          <cell r="N223">
            <v>1</v>
          </cell>
          <cell r="O223" t="str">
            <v>00</v>
          </cell>
          <cell r="P223">
            <v>7</v>
          </cell>
          <cell r="Q223">
            <v>3</v>
          </cell>
          <cell r="R223">
            <v>3</v>
          </cell>
          <cell r="S223">
            <v>1</v>
          </cell>
          <cell r="T223">
            <v>31</v>
          </cell>
          <cell r="U223">
            <v>93</v>
          </cell>
          <cell r="V223">
            <v>1</v>
          </cell>
          <cell r="X223" t="str">
            <v>Serv nat enseignement à distance</v>
          </cell>
          <cell r="Y223" t="str">
            <v>P5</v>
          </cell>
          <cell r="Z223" t="str">
            <v>Serv.centr.</v>
          </cell>
          <cell r="AA223" t="str">
            <v>Carburant véhicule</v>
          </cell>
          <cell r="AB223">
            <v>0</v>
          </cell>
          <cell r="AC223">
            <v>0</v>
          </cell>
        </row>
        <row r="224">
          <cell r="A224">
            <v>3168</v>
          </cell>
          <cell r="B224">
            <v>1</v>
          </cell>
          <cell r="C224">
            <v>1</v>
          </cell>
          <cell r="E224" t="str">
            <v>20</v>
          </cell>
          <cell r="F224">
            <v>49522100700</v>
          </cell>
          <cell r="G224">
            <v>3</v>
          </cell>
          <cell r="H224" t="str">
            <v>31</v>
          </cell>
          <cell r="I224">
            <v>31</v>
          </cell>
          <cell r="J224">
            <v>20</v>
          </cell>
          <cell r="K224">
            <v>1</v>
          </cell>
          <cell r="L224">
            <v>49</v>
          </cell>
          <cell r="M224">
            <v>522</v>
          </cell>
          <cell r="N224">
            <v>1</v>
          </cell>
          <cell r="O224" t="str">
            <v>00</v>
          </cell>
          <cell r="P224">
            <v>7</v>
          </cell>
          <cell r="Q224">
            <v>3</v>
          </cell>
          <cell r="R224">
            <v>3</v>
          </cell>
          <cell r="S224">
            <v>1</v>
          </cell>
          <cell r="T224">
            <v>31</v>
          </cell>
          <cell r="U224">
            <v>93</v>
          </cell>
          <cell r="V224">
            <v>1</v>
          </cell>
          <cell r="X224" t="str">
            <v>Office sports scolaires &amp; universitaires</v>
          </cell>
          <cell r="Y224" t="str">
            <v>P5</v>
          </cell>
          <cell r="Z224" t="str">
            <v>Serv.centr.</v>
          </cell>
          <cell r="AA224" t="str">
            <v>Carburant véhicule</v>
          </cell>
          <cell r="AB224">
            <v>0</v>
          </cell>
          <cell r="AC224">
            <v>0</v>
          </cell>
        </row>
        <row r="225">
          <cell r="A225">
            <v>3170</v>
          </cell>
          <cell r="B225">
            <v>1</v>
          </cell>
          <cell r="C225">
            <v>1</v>
          </cell>
          <cell r="E225" t="str">
            <v>20</v>
          </cell>
          <cell r="F225">
            <v>49900100700</v>
          </cell>
          <cell r="G225">
            <v>3</v>
          </cell>
          <cell r="H225" t="str">
            <v>31</v>
          </cell>
          <cell r="I225">
            <v>11</v>
          </cell>
          <cell r="J225">
            <v>20</v>
          </cell>
          <cell r="K225">
            <v>1</v>
          </cell>
          <cell r="L225">
            <v>49</v>
          </cell>
          <cell r="M225">
            <v>900</v>
          </cell>
          <cell r="N225">
            <v>1</v>
          </cell>
          <cell r="O225" t="str">
            <v>00</v>
          </cell>
          <cell r="P225">
            <v>7</v>
          </cell>
          <cell r="Q225">
            <v>3</v>
          </cell>
          <cell r="R225">
            <v>3</v>
          </cell>
          <cell r="S225">
            <v>1</v>
          </cell>
          <cell r="T225">
            <v>11</v>
          </cell>
          <cell r="U225">
            <v>93</v>
          </cell>
          <cell r="V225">
            <v>1</v>
          </cell>
          <cell r="X225" t="str">
            <v>Enseig. Serv adm Autres serv centraux</v>
          </cell>
          <cell r="Y225" t="str">
            <v>P5</v>
          </cell>
          <cell r="Z225" t="str">
            <v>Serv.centr.</v>
          </cell>
          <cell r="AA225" t="str">
            <v>Pré imprimés</v>
          </cell>
          <cell r="AB225">
            <v>22040</v>
          </cell>
          <cell r="AC225">
            <v>22040</v>
          </cell>
        </row>
        <row r="226">
          <cell r="A226">
            <v>3171</v>
          </cell>
          <cell r="B226">
            <v>1</v>
          </cell>
          <cell r="C226">
            <v>1</v>
          </cell>
          <cell r="E226" t="str">
            <v>20</v>
          </cell>
          <cell r="F226">
            <v>49900100700</v>
          </cell>
          <cell r="G226">
            <v>3</v>
          </cell>
          <cell r="H226" t="str">
            <v>31</v>
          </cell>
          <cell r="I226">
            <v>31</v>
          </cell>
          <cell r="J226">
            <v>20</v>
          </cell>
          <cell r="K226">
            <v>1</v>
          </cell>
          <cell r="L226">
            <v>49</v>
          </cell>
          <cell r="M226">
            <v>900</v>
          </cell>
          <cell r="N226">
            <v>1</v>
          </cell>
          <cell r="O226" t="str">
            <v>00</v>
          </cell>
          <cell r="P226">
            <v>7</v>
          </cell>
          <cell r="Q226">
            <v>3</v>
          </cell>
          <cell r="R226">
            <v>3</v>
          </cell>
          <cell r="S226">
            <v>1</v>
          </cell>
          <cell r="T226">
            <v>31</v>
          </cell>
          <cell r="U226">
            <v>93</v>
          </cell>
          <cell r="V226">
            <v>1</v>
          </cell>
          <cell r="X226" t="str">
            <v>Enseig. Serv adm Autres serv centraux</v>
          </cell>
          <cell r="Y226" t="str">
            <v>P5</v>
          </cell>
          <cell r="Z226" t="str">
            <v>Serv.centr.</v>
          </cell>
          <cell r="AA226" t="str">
            <v>Carburant véhicule</v>
          </cell>
          <cell r="AB226">
            <v>0</v>
          </cell>
          <cell r="AC226">
            <v>0</v>
          </cell>
        </row>
        <row r="227">
          <cell r="A227">
            <v>12374</v>
          </cell>
          <cell r="B227">
            <v>1</v>
          </cell>
          <cell r="J227">
            <v>20</v>
          </cell>
          <cell r="K227">
            <v>1</v>
          </cell>
          <cell r="N227">
            <v>2</v>
          </cell>
          <cell r="Q227">
            <v>3</v>
          </cell>
          <cell r="R227">
            <v>3</v>
          </cell>
          <cell r="S227">
            <v>1</v>
          </cell>
          <cell r="X227" t="str">
            <v>Conakry Services déconcentrés</v>
          </cell>
          <cell r="AB227">
            <v>248290</v>
          </cell>
          <cell r="AC227">
            <v>248290</v>
          </cell>
        </row>
        <row r="228">
          <cell r="A228">
            <v>4822</v>
          </cell>
          <cell r="B228">
            <v>1</v>
          </cell>
          <cell r="C228">
            <v>1</v>
          </cell>
          <cell r="E228" t="str">
            <v>20</v>
          </cell>
          <cell r="F228">
            <v>44000200700</v>
          </cell>
          <cell r="G228">
            <v>3</v>
          </cell>
          <cell r="H228" t="str">
            <v>31</v>
          </cell>
          <cell r="I228">
            <v>21</v>
          </cell>
          <cell r="J228">
            <v>20</v>
          </cell>
          <cell r="K228">
            <v>1</v>
          </cell>
          <cell r="L228">
            <v>44</v>
          </cell>
          <cell r="M228" t="str">
            <v>000</v>
          </cell>
          <cell r="N228">
            <v>2</v>
          </cell>
          <cell r="O228" t="str">
            <v>00</v>
          </cell>
          <cell r="P228">
            <v>7</v>
          </cell>
          <cell r="Q228">
            <v>3</v>
          </cell>
          <cell r="R228">
            <v>3</v>
          </cell>
          <cell r="S228">
            <v>1</v>
          </cell>
          <cell r="T228">
            <v>21</v>
          </cell>
          <cell r="U228">
            <v>36</v>
          </cell>
          <cell r="V228">
            <v>1</v>
          </cell>
          <cell r="W228">
            <v>0</v>
          </cell>
          <cell r="X228" t="str">
            <v>Enseign. Technique</v>
          </cell>
          <cell r="Y228" t="str">
            <v>P3</v>
          </cell>
          <cell r="Z228" t="str">
            <v>Conakry</v>
          </cell>
          <cell r="AA228" t="str">
            <v>Fournitures petits matériels bureau</v>
          </cell>
          <cell r="AB228">
            <v>12720</v>
          </cell>
          <cell r="AC228">
            <v>12720</v>
          </cell>
        </row>
        <row r="229">
          <cell r="A229">
            <v>4824</v>
          </cell>
          <cell r="B229">
            <v>1</v>
          </cell>
          <cell r="C229">
            <v>1</v>
          </cell>
          <cell r="E229" t="str">
            <v>20</v>
          </cell>
          <cell r="F229">
            <v>44000200700</v>
          </cell>
          <cell r="G229">
            <v>3</v>
          </cell>
          <cell r="H229" t="str">
            <v>31</v>
          </cell>
          <cell r="I229">
            <v>31</v>
          </cell>
          <cell r="J229">
            <v>20</v>
          </cell>
          <cell r="K229">
            <v>1</v>
          </cell>
          <cell r="L229">
            <v>44</v>
          </cell>
          <cell r="M229" t="str">
            <v>000</v>
          </cell>
          <cell r="N229">
            <v>2</v>
          </cell>
          <cell r="O229" t="str">
            <v>00</v>
          </cell>
          <cell r="P229">
            <v>7</v>
          </cell>
          <cell r="Q229">
            <v>3</v>
          </cell>
          <cell r="R229">
            <v>3</v>
          </cell>
          <cell r="S229">
            <v>1</v>
          </cell>
          <cell r="T229">
            <v>31</v>
          </cell>
          <cell r="U229">
            <v>36</v>
          </cell>
          <cell r="V229">
            <v>1</v>
          </cell>
          <cell r="W229">
            <v>0</v>
          </cell>
          <cell r="X229" t="str">
            <v>Enseign. Technique</v>
          </cell>
          <cell r="Y229" t="str">
            <v>P3</v>
          </cell>
          <cell r="Z229" t="str">
            <v>Conakry</v>
          </cell>
          <cell r="AA229" t="str">
            <v>Carburant automobile</v>
          </cell>
          <cell r="AB229">
            <v>47000</v>
          </cell>
          <cell r="AC229">
            <v>47000</v>
          </cell>
        </row>
        <row r="230">
          <cell r="A230">
            <v>4825</v>
          </cell>
          <cell r="B230">
            <v>1</v>
          </cell>
          <cell r="C230">
            <v>1</v>
          </cell>
          <cell r="E230" t="str">
            <v>20</v>
          </cell>
          <cell r="F230">
            <v>44000200700</v>
          </cell>
          <cell r="G230">
            <v>3</v>
          </cell>
          <cell r="H230" t="str">
            <v>31</v>
          </cell>
          <cell r="I230">
            <v>33</v>
          </cell>
          <cell r="J230">
            <v>20</v>
          </cell>
          <cell r="K230">
            <v>1</v>
          </cell>
          <cell r="L230">
            <v>44</v>
          </cell>
          <cell r="M230" t="str">
            <v>000</v>
          </cell>
          <cell r="N230">
            <v>2</v>
          </cell>
          <cell r="O230" t="str">
            <v>00</v>
          </cell>
          <cell r="P230">
            <v>7</v>
          </cell>
          <cell r="Q230">
            <v>3</v>
          </cell>
          <cell r="R230">
            <v>3</v>
          </cell>
          <cell r="S230">
            <v>1</v>
          </cell>
          <cell r="T230">
            <v>33</v>
          </cell>
          <cell r="U230">
            <v>36</v>
          </cell>
          <cell r="V230">
            <v>1</v>
          </cell>
          <cell r="W230">
            <v>0</v>
          </cell>
          <cell r="X230" t="str">
            <v>Enseign. Technique</v>
          </cell>
          <cell r="Y230" t="str">
            <v>P3</v>
          </cell>
          <cell r="Z230" t="str">
            <v>Conakry</v>
          </cell>
          <cell r="AA230" t="str">
            <v>Combustible groupe électrogène</v>
          </cell>
          <cell r="AB230">
            <v>29040</v>
          </cell>
          <cell r="AC230">
            <v>29040</v>
          </cell>
        </row>
        <row r="231">
          <cell r="A231">
            <v>4826</v>
          </cell>
          <cell r="B231">
            <v>1</v>
          </cell>
          <cell r="C231">
            <v>1</v>
          </cell>
          <cell r="E231" t="str">
            <v>20</v>
          </cell>
          <cell r="F231">
            <v>44000200700</v>
          </cell>
          <cell r="G231">
            <v>3</v>
          </cell>
          <cell r="H231" t="str">
            <v>31</v>
          </cell>
          <cell r="I231">
            <v>41</v>
          </cell>
          <cell r="J231">
            <v>20</v>
          </cell>
          <cell r="K231">
            <v>1</v>
          </cell>
          <cell r="L231">
            <v>44</v>
          </cell>
          <cell r="M231" t="str">
            <v>000</v>
          </cell>
          <cell r="N231">
            <v>2</v>
          </cell>
          <cell r="O231" t="str">
            <v>00</v>
          </cell>
          <cell r="P231">
            <v>7</v>
          </cell>
          <cell r="Q231">
            <v>3</v>
          </cell>
          <cell r="R231">
            <v>3</v>
          </cell>
          <cell r="S231">
            <v>1</v>
          </cell>
          <cell r="T231">
            <v>41</v>
          </cell>
          <cell r="U231">
            <v>36</v>
          </cell>
          <cell r="V231">
            <v>1</v>
          </cell>
          <cell r="W231">
            <v>0</v>
          </cell>
          <cell r="X231" t="str">
            <v>Enseign. Technique</v>
          </cell>
          <cell r="Y231" t="str">
            <v>P3</v>
          </cell>
          <cell r="Z231" t="str">
            <v>Conakry</v>
          </cell>
          <cell r="AA231" t="str">
            <v>Petit outillage fournitures d’atelier</v>
          </cell>
          <cell r="AB231">
            <v>50850</v>
          </cell>
          <cell r="AC231">
            <v>50850</v>
          </cell>
        </row>
        <row r="232">
          <cell r="A232">
            <v>4827</v>
          </cell>
          <cell r="B232">
            <v>1</v>
          </cell>
          <cell r="C232">
            <v>1</v>
          </cell>
          <cell r="E232" t="str">
            <v>20</v>
          </cell>
          <cell r="F232">
            <v>44000200700</v>
          </cell>
          <cell r="G232">
            <v>3</v>
          </cell>
          <cell r="H232" t="str">
            <v>31</v>
          </cell>
          <cell r="I232">
            <v>90</v>
          </cell>
          <cell r="J232">
            <v>20</v>
          </cell>
          <cell r="K232">
            <v>1</v>
          </cell>
          <cell r="L232">
            <v>44</v>
          </cell>
          <cell r="M232" t="str">
            <v>000</v>
          </cell>
          <cell r="N232">
            <v>2</v>
          </cell>
          <cell r="O232" t="str">
            <v>00</v>
          </cell>
          <cell r="P232">
            <v>7</v>
          </cell>
          <cell r="Q232">
            <v>3</v>
          </cell>
          <cell r="R232">
            <v>3</v>
          </cell>
          <cell r="S232">
            <v>1</v>
          </cell>
          <cell r="T232">
            <v>90</v>
          </cell>
          <cell r="U232">
            <v>36</v>
          </cell>
          <cell r="V232">
            <v>1</v>
          </cell>
          <cell r="W232">
            <v>0</v>
          </cell>
          <cell r="X232" t="str">
            <v>Enseign. Technique</v>
          </cell>
          <cell r="Y232" t="str">
            <v>P3</v>
          </cell>
          <cell r="Z232" t="str">
            <v>Conakry</v>
          </cell>
          <cell r="AA232" t="str">
            <v>Autres produits fournitures</v>
          </cell>
          <cell r="AB232">
            <v>24540</v>
          </cell>
          <cell r="AC232">
            <v>24540</v>
          </cell>
        </row>
        <row r="233">
          <cell r="A233">
            <v>4841</v>
          </cell>
          <cell r="B233">
            <v>1</v>
          </cell>
          <cell r="C233">
            <v>1</v>
          </cell>
          <cell r="E233" t="str">
            <v>20</v>
          </cell>
          <cell r="F233">
            <v>44000200900</v>
          </cell>
          <cell r="G233">
            <v>3</v>
          </cell>
          <cell r="H233" t="str">
            <v>31</v>
          </cell>
          <cell r="I233">
            <v>90</v>
          </cell>
          <cell r="J233">
            <v>20</v>
          </cell>
          <cell r="K233">
            <v>1</v>
          </cell>
          <cell r="L233">
            <v>44</v>
          </cell>
          <cell r="M233" t="str">
            <v>000</v>
          </cell>
          <cell r="N233">
            <v>2</v>
          </cell>
          <cell r="O233" t="str">
            <v>00</v>
          </cell>
          <cell r="P233">
            <v>9</v>
          </cell>
          <cell r="Q233">
            <v>3</v>
          </cell>
          <cell r="R233">
            <v>3</v>
          </cell>
          <cell r="S233">
            <v>1</v>
          </cell>
          <cell r="T233">
            <v>90</v>
          </cell>
          <cell r="U233">
            <v>37</v>
          </cell>
          <cell r="V233">
            <v>1</v>
          </cell>
          <cell r="X233" t="str">
            <v>Enseign. Technique</v>
          </cell>
          <cell r="Y233" t="str">
            <v>P3</v>
          </cell>
          <cell r="Z233" t="str">
            <v>Conakry</v>
          </cell>
          <cell r="AA233" t="str">
            <v>Autres produits spécifiques</v>
          </cell>
          <cell r="AB233">
            <v>0</v>
          </cell>
          <cell r="AC233">
            <v>0</v>
          </cell>
        </row>
        <row r="234">
          <cell r="A234">
            <v>4890</v>
          </cell>
          <cell r="B234">
            <v>1</v>
          </cell>
          <cell r="C234">
            <v>1</v>
          </cell>
          <cell r="E234" t="str">
            <v>20</v>
          </cell>
          <cell r="F234">
            <v>44300200700</v>
          </cell>
          <cell r="G234">
            <v>3</v>
          </cell>
          <cell r="H234" t="str">
            <v>31</v>
          </cell>
          <cell r="I234">
            <v>21</v>
          </cell>
          <cell r="J234">
            <v>20</v>
          </cell>
          <cell r="K234">
            <v>1</v>
          </cell>
          <cell r="L234">
            <v>44</v>
          </cell>
          <cell r="M234">
            <v>300</v>
          </cell>
          <cell r="N234">
            <v>2</v>
          </cell>
          <cell r="O234" t="str">
            <v>00</v>
          </cell>
          <cell r="P234">
            <v>7</v>
          </cell>
          <cell r="Q234">
            <v>3</v>
          </cell>
          <cell r="R234">
            <v>3</v>
          </cell>
          <cell r="S234">
            <v>1</v>
          </cell>
          <cell r="T234">
            <v>21</v>
          </cell>
          <cell r="U234">
            <v>36</v>
          </cell>
          <cell r="V234">
            <v>1</v>
          </cell>
          <cell r="X234" t="str">
            <v>Inspect région. Ens tech</v>
          </cell>
          <cell r="Y234" t="str">
            <v>P5</v>
          </cell>
          <cell r="Z234" t="str">
            <v>Conakry</v>
          </cell>
          <cell r="AA234" t="str">
            <v>Fournitures &amp; petit matériel bureau</v>
          </cell>
          <cell r="AB234">
            <v>0</v>
          </cell>
          <cell r="AC234">
            <v>0</v>
          </cell>
        </row>
        <row r="235">
          <cell r="A235">
            <v>4891</v>
          </cell>
          <cell r="B235">
            <v>1</v>
          </cell>
          <cell r="C235">
            <v>1</v>
          </cell>
          <cell r="E235" t="str">
            <v>20</v>
          </cell>
          <cell r="F235">
            <v>44300200700</v>
          </cell>
          <cell r="G235">
            <v>3</v>
          </cell>
          <cell r="H235" t="str">
            <v>31</v>
          </cell>
          <cell r="I235">
            <v>31</v>
          </cell>
          <cell r="J235">
            <v>20</v>
          </cell>
          <cell r="K235">
            <v>1</v>
          </cell>
          <cell r="L235">
            <v>44</v>
          </cell>
          <cell r="M235">
            <v>300</v>
          </cell>
          <cell r="N235">
            <v>2</v>
          </cell>
          <cell r="O235" t="str">
            <v>00</v>
          </cell>
          <cell r="P235">
            <v>7</v>
          </cell>
          <cell r="Q235">
            <v>3</v>
          </cell>
          <cell r="R235">
            <v>3</v>
          </cell>
          <cell r="S235">
            <v>1</v>
          </cell>
          <cell r="T235">
            <v>31</v>
          </cell>
          <cell r="U235">
            <v>36</v>
          </cell>
          <cell r="V235">
            <v>1</v>
          </cell>
          <cell r="X235" t="str">
            <v>Inspect région. Ens tech</v>
          </cell>
          <cell r="Y235" t="str">
            <v>P5</v>
          </cell>
          <cell r="Z235" t="str">
            <v>Conakry</v>
          </cell>
          <cell r="AA235" t="str">
            <v>Carburant</v>
          </cell>
          <cell r="AB235">
            <v>0</v>
          </cell>
          <cell r="AC235">
            <v>0</v>
          </cell>
        </row>
        <row r="236">
          <cell r="A236">
            <v>3063</v>
          </cell>
          <cell r="B236">
            <v>1</v>
          </cell>
          <cell r="C236">
            <v>1</v>
          </cell>
          <cell r="E236" t="str">
            <v>20</v>
          </cell>
          <cell r="F236">
            <v>49000200700</v>
          </cell>
          <cell r="G236">
            <v>3</v>
          </cell>
          <cell r="H236" t="str">
            <v>31</v>
          </cell>
          <cell r="I236">
            <v>11</v>
          </cell>
          <cell r="J236">
            <v>20</v>
          </cell>
          <cell r="K236">
            <v>1</v>
          </cell>
          <cell r="L236">
            <v>49</v>
          </cell>
          <cell r="M236" t="str">
            <v>000</v>
          </cell>
          <cell r="N236">
            <v>2</v>
          </cell>
          <cell r="O236" t="str">
            <v>00</v>
          </cell>
          <cell r="P236">
            <v>7</v>
          </cell>
          <cell r="Q236">
            <v>3</v>
          </cell>
          <cell r="R236">
            <v>3</v>
          </cell>
          <cell r="S236">
            <v>1</v>
          </cell>
          <cell r="T236">
            <v>11</v>
          </cell>
          <cell r="U236">
            <v>33</v>
          </cell>
          <cell r="V236">
            <v>1</v>
          </cell>
          <cell r="X236" t="str">
            <v>Enseig. Serv administratifs</v>
          </cell>
          <cell r="Y236" t="str">
            <v>P5</v>
          </cell>
          <cell r="Z236" t="str">
            <v>Conakry</v>
          </cell>
          <cell r="AA236" t="str">
            <v>Pré imprimés</v>
          </cell>
          <cell r="AB236">
            <v>42310</v>
          </cell>
          <cell r="AC236">
            <v>42310</v>
          </cell>
        </row>
        <row r="237">
          <cell r="A237">
            <v>3064</v>
          </cell>
          <cell r="B237">
            <v>1</v>
          </cell>
          <cell r="C237">
            <v>1</v>
          </cell>
          <cell r="E237" t="str">
            <v>20</v>
          </cell>
          <cell r="F237">
            <v>49000200700</v>
          </cell>
          <cell r="G237">
            <v>3</v>
          </cell>
          <cell r="H237" t="str">
            <v>31</v>
          </cell>
          <cell r="I237">
            <v>21</v>
          </cell>
          <cell r="J237">
            <v>20</v>
          </cell>
          <cell r="K237">
            <v>1</v>
          </cell>
          <cell r="L237">
            <v>49</v>
          </cell>
          <cell r="M237" t="str">
            <v>000</v>
          </cell>
          <cell r="N237">
            <v>2</v>
          </cell>
          <cell r="O237" t="str">
            <v>00</v>
          </cell>
          <cell r="P237">
            <v>7</v>
          </cell>
          <cell r="Q237">
            <v>3</v>
          </cell>
          <cell r="R237">
            <v>3</v>
          </cell>
          <cell r="S237">
            <v>1</v>
          </cell>
          <cell r="T237">
            <v>21</v>
          </cell>
          <cell r="U237">
            <v>33</v>
          </cell>
          <cell r="V237">
            <v>1</v>
          </cell>
          <cell r="X237" t="str">
            <v>Enseig. Serv administratifs</v>
          </cell>
          <cell r="Y237" t="str">
            <v>P5</v>
          </cell>
          <cell r="Z237" t="str">
            <v>Conakry</v>
          </cell>
          <cell r="AA237" t="str">
            <v>Fournitur. &amp; petit mat. de bureau</v>
          </cell>
          <cell r="AB237">
            <v>0</v>
          </cell>
          <cell r="AC237">
            <v>0</v>
          </cell>
        </row>
        <row r="238">
          <cell r="A238">
            <v>3065</v>
          </cell>
          <cell r="B238">
            <v>1</v>
          </cell>
          <cell r="C238">
            <v>1</v>
          </cell>
          <cell r="E238" t="str">
            <v>20</v>
          </cell>
          <cell r="F238">
            <v>49000200700</v>
          </cell>
          <cell r="G238">
            <v>3</v>
          </cell>
          <cell r="H238" t="str">
            <v>31</v>
          </cell>
          <cell r="I238">
            <v>22</v>
          </cell>
          <cell r="J238">
            <v>20</v>
          </cell>
          <cell r="K238">
            <v>1</v>
          </cell>
          <cell r="L238">
            <v>49</v>
          </cell>
          <cell r="M238" t="str">
            <v>000</v>
          </cell>
          <cell r="N238">
            <v>2</v>
          </cell>
          <cell r="O238" t="str">
            <v>00</v>
          </cell>
          <cell r="P238">
            <v>7</v>
          </cell>
          <cell r="Q238">
            <v>3</v>
          </cell>
          <cell r="R238">
            <v>3</v>
          </cell>
          <cell r="S238">
            <v>1</v>
          </cell>
          <cell r="T238">
            <v>22</v>
          </cell>
          <cell r="U238">
            <v>33</v>
          </cell>
          <cell r="V238">
            <v>1</v>
          </cell>
          <cell r="X238" t="str">
            <v>Enseig. Serv administratifs</v>
          </cell>
          <cell r="Y238" t="str">
            <v>P5</v>
          </cell>
          <cell r="Z238" t="str">
            <v>Conakry</v>
          </cell>
          <cell r="AA238" t="str">
            <v>Fournit. Informati.</v>
          </cell>
          <cell r="AB238">
            <v>0</v>
          </cell>
          <cell r="AC238">
            <v>0</v>
          </cell>
        </row>
        <row r="239">
          <cell r="A239">
            <v>3066</v>
          </cell>
          <cell r="B239">
            <v>1</v>
          </cell>
          <cell r="C239">
            <v>1</v>
          </cell>
          <cell r="E239" t="str">
            <v>20</v>
          </cell>
          <cell r="F239">
            <v>49000200700</v>
          </cell>
          <cell r="G239">
            <v>3</v>
          </cell>
          <cell r="H239" t="str">
            <v>31</v>
          </cell>
          <cell r="I239">
            <v>31</v>
          </cell>
          <cell r="J239">
            <v>20</v>
          </cell>
          <cell r="K239">
            <v>1</v>
          </cell>
          <cell r="L239">
            <v>49</v>
          </cell>
          <cell r="M239" t="str">
            <v>000</v>
          </cell>
          <cell r="N239">
            <v>2</v>
          </cell>
          <cell r="O239" t="str">
            <v>00</v>
          </cell>
          <cell r="P239">
            <v>7</v>
          </cell>
          <cell r="Q239">
            <v>3</v>
          </cell>
          <cell r="R239">
            <v>3</v>
          </cell>
          <cell r="S239">
            <v>1</v>
          </cell>
          <cell r="T239">
            <v>31</v>
          </cell>
          <cell r="U239">
            <v>33</v>
          </cell>
          <cell r="V239">
            <v>1</v>
          </cell>
          <cell r="X239" t="str">
            <v>Enseig. Serv administratifs</v>
          </cell>
          <cell r="Y239" t="str">
            <v>P5</v>
          </cell>
          <cell r="Z239" t="str">
            <v>Conakry</v>
          </cell>
          <cell r="AA239" t="str">
            <v>Carburant véhicule</v>
          </cell>
          <cell r="AB239">
            <v>41830</v>
          </cell>
          <cell r="AC239">
            <v>41830</v>
          </cell>
        </row>
        <row r="240">
          <cell r="A240">
            <v>12376</v>
          </cell>
          <cell r="B240">
            <v>1</v>
          </cell>
          <cell r="J240">
            <v>20</v>
          </cell>
          <cell r="K240">
            <v>1</v>
          </cell>
          <cell r="N240">
            <v>3</v>
          </cell>
          <cell r="Q240">
            <v>3</v>
          </cell>
          <cell r="R240">
            <v>3</v>
          </cell>
          <cell r="S240">
            <v>1</v>
          </cell>
          <cell r="X240" t="str">
            <v>Intérieur Services déconcentrés</v>
          </cell>
          <cell r="AB240">
            <v>1399620</v>
          </cell>
          <cell r="AC240">
            <v>1399620</v>
          </cell>
        </row>
        <row r="241">
          <cell r="A241">
            <v>4842</v>
          </cell>
          <cell r="B241">
            <v>1</v>
          </cell>
          <cell r="C241">
            <v>1</v>
          </cell>
          <cell r="E241" t="str">
            <v>20</v>
          </cell>
          <cell r="F241">
            <v>44000300700</v>
          </cell>
          <cell r="G241">
            <v>3</v>
          </cell>
          <cell r="H241" t="str">
            <v>31</v>
          </cell>
          <cell r="I241">
            <v>11</v>
          </cell>
          <cell r="J241">
            <v>20</v>
          </cell>
          <cell r="K241">
            <v>1</v>
          </cell>
          <cell r="L241">
            <v>44</v>
          </cell>
          <cell r="M241" t="str">
            <v>000</v>
          </cell>
          <cell r="N241">
            <v>3</v>
          </cell>
          <cell r="O241" t="str">
            <v>00</v>
          </cell>
          <cell r="P241">
            <v>7</v>
          </cell>
          <cell r="Q241">
            <v>3</v>
          </cell>
          <cell r="R241">
            <v>3</v>
          </cell>
          <cell r="S241">
            <v>1</v>
          </cell>
          <cell r="T241">
            <v>11</v>
          </cell>
          <cell r="U241">
            <v>36</v>
          </cell>
          <cell r="V241">
            <v>1</v>
          </cell>
          <cell r="W241">
            <v>0</v>
          </cell>
          <cell r="X241" t="str">
            <v>Enseign. Technique</v>
          </cell>
          <cell r="Y241" t="str">
            <v>P3</v>
          </cell>
          <cell r="Z241" t="str">
            <v>Intérieur</v>
          </cell>
          <cell r="AA241" t="str">
            <v>Pré-imprimés</v>
          </cell>
          <cell r="AB241">
            <v>0</v>
          </cell>
          <cell r="AC241">
            <v>0</v>
          </cell>
        </row>
        <row r="242">
          <cell r="A242">
            <v>4843</v>
          </cell>
          <cell r="B242">
            <v>1</v>
          </cell>
          <cell r="C242">
            <v>1</v>
          </cell>
          <cell r="E242" t="str">
            <v>20</v>
          </cell>
          <cell r="F242">
            <v>44000300700</v>
          </cell>
          <cell r="G242">
            <v>3</v>
          </cell>
          <cell r="H242" t="str">
            <v>31</v>
          </cell>
          <cell r="I242">
            <v>12</v>
          </cell>
          <cell r="J242">
            <v>20</v>
          </cell>
          <cell r="K242">
            <v>1</v>
          </cell>
          <cell r="L242">
            <v>44</v>
          </cell>
          <cell r="M242" t="str">
            <v>000</v>
          </cell>
          <cell r="N242">
            <v>3</v>
          </cell>
          <cell r="O242" t="str">
            <v>00</v>
          </cell>
          <cell r="P242">
            <v>7</v>
          </cell>
          <cell r="Q242">
            <v>3</v>
          </cell>
          <cell r="R242">
            <v>3</v>
          </cell>
          <cell r="S242">
            <v>1</v>
          </cell>
          <cell r="T242">
            <v>12</v>
          </cell>
          <cell r="U242">
            <v>36</v>
          </cell>
          <cell r="V242">
            <v>1</v>
          </cell>
          <cell r="W242">
            <v>0</v>
          </cell>
          <cell r="X242" t="str">
            <v>Enseign. Technique</v>
          </cell>
          <cell r="Y242" t="str">
            <v>P3</v>
          </cell>
          <cell r="Z242" t="str">
            <v>Intérieur</v>
          </cell>
          <cell r="AA242" t="str">
            <v>Documentat.</v>
          </cell>
          <cell r="AB242">
            <v>0</v>
          </cell>
          <cell r="AC242">
            <v>0</v>
          </cell>
        </row>
        <row r="243">
          <cell r="A243">
            <v>4844</v>
          </cell>
          <cell r="B243">
            <v>1</v>
          </cell>
          <cell r="C243">
            <v>1</v>
          </cell>
          <cell r="E243" t="str">
            <v>20</v>
          </cell>
          <cell r="F243">
            <v>44000300700</v>
          </cell>
          <cell r="G243">
            <v>3</v>
          </cell>
          <cell r="H243" t="str">
            <v>31</v>
          </cell>
          <cell r="I243">
            <v>21</v>
          </cell>
          <cell r="J243">
            <v>20</v>
          </cell>
          <cell r="K243">
            <v>1</v>
          </cell>
          <cell r="L243">
            <v>44</v>
          </cell>
          <cell r="M243" t="str">
            <v>000</v>
          </cell>
          <cell r="N243">
            <v>3</v>
          </cell>
          <cell r="O243" t="str">
            <v>00</v>
          </cell>
          <cell r="P243">
            <v>7</v>
          </cell>
          <cell r="Q243">
            <v>3</v>
          </cell>
          <cell r="R243">
            <v>3</v>
          </cell>
          <cell r="S243">
            <v>1</v>
          </cell>
          <cell r="T243">
            <v>21</v>
          </cell>
          <cell r="U243">
            <v>36</v>
          </cell>
          <cell r="V243">
            <v>1</v>
          </cell>
          <cell r="W243">
            <v>0</v>
          </cell>
          <cell r="X243" t="str">
            <v>Enseign. Technique</v>
          </cell>
          <cell r="Y243" t="str">
            <v>P3</v>
          </cell>
          <cell r="Z243" t="str">
            <v>Intérieur</v>
          </cell>
          <cell r="AA243" t="str">
            <v>Fournitures petits matériels bureau</v>
          </cell>
          <cell r="AB243">
            <v>25380</v>
          </cell>
          <cell r="AC243">
            <v>25380</v>
          </cell>
        </row>
        <row r="244">
          <cell r="A244">
            <v>4845</v>
          </cell>
          <cell r="B244">
            <v>1</v>
          </cell>
          <cell r="C244">
            <v>1</v>
          </cell>
          <cell r="E244" t="str">
            <v>20</v>
          </cell>
          <cell r="F244">
            <v>44000300700</v>
          </cell>
          <cell r="G244">
            <v>3</v>
          </cell>
          <cell r="H244" t="str">
            <v>31</v>
          </cell>
          <cell r="I244">
            <v>22</v>
          </cell>
          <cell r="J244">
            <v>20</v>
          </cell>
          <cell r="K244">
            <v>1</v>
          </cell>
          <cell r="L244">
            <v>44</v>
          </cell>
          <cell r="M244" t="str">
            <v>000</v>
          </cell>
          <cell r="N244">
            <v>3</v>
          </cell>
          <cell r="O244" t="str">
            <v>00</v>
          </cell>
          <cell r="P244">
            <v>7</v>
          </cell>
          <cell r="Q244">
            <v>3</v>
          </cell>
          <cell r="R244">
            <v>3</v>
          </cell>
          <cell r="S244">
            <v>1</v>
          </cell>
          <cell r="T244">
            <v>22</v>
          </cell>
          <cell r="U244">
            <v>36</v>
          </cell>
          <cell r="V244">
            <v>1</v>
          </cell>
          <cell r="W244">
            <v>0</v>
          </cell>
          <cell r="X244" t="str">
            <v>Enseign. Technique</v>
          </cell>
          <cell r="Y244" t="str">
            <v>P3</v>
          </cell>
          <cell r="Z244" t="str">
            <v>Intérieur</v>
          </cell>
          <cell r="AA244" t="str">
            <v>Fournitures informatiques</v>
          </cell>
          <cell r="AB244">
            <v>0</v>
          </cell>
          <cell r="AC244">
            <v>0</v>
          </cell>
        </row>
        <row r="245">
          <cell r="A245">
            <v>4846</v>
          </cell>
          <cell r="B245">
            <v>1</v>
          </cell>
          <cell r="C245">
            <v>1</v>
          </cell>
          <cell r="E245" t="str">
            <v>20</v>
          </cell>
          <cell r="F245">
            <v>44000300700</v>
          </cell>
          <cell r="G245">
            <v>3</v>
          </cell>
          <cell r="H245" t="str">
            <v>31</v>
          </cell>
          <cell r="I245">
            <v>31</v>
          </cell>
          <cell r="J245">
            <v>20</v>
          </cell>
          <cell r="K245">
            <v>1</v>
          </cell>
          <cell r="L245">
            <v>44</v>
          </cell>
          <cell r="M245" t="str">
            <v>000</v>
          </cell>
          <cell r="N245">
            <v>3</v>
          </cell>
          <cell r="O245" t="str">
            <v>00</v>
          </cell>
          <cell r="P245">
            <v>7</v>
          </cell>
          <cell r="Q245">
            <v>3</v>
          </cell>
          <cell r="R245">
            <v>3</v>
          </cell>
          <cell r="S245">
            <v>1</v>
          </cell>
          <cell r="T245">
            <v>31</v>
          </cell>
          <cell r="U245">
            <v>36</v>
          </cell>
          <cell r="V245">
            <v>1</v>
          </cell>
          <cell r="W245">
            <v>0</v>
          </cell>
          <cell r="X245" t="str">
            <v>Enseign. Technique</v>
          </cell>
          <cell r="Y245" t="str">
            <v>P3</v>
          </cell>
          <cell r="Z245" t="str">
            <v>Intérieur</v>
          </cell>
          <cell r="AA245" t="str">
            <v>Carburant automobile</v>
          </cell>
          <cell r="AB245">
            <v>59610</v>
          </cell>
          <cell r="AC245">
            <v>59610</v>
          </cell>
        </row>
        <row r="246">
          <cell r="A246">
            <v>4847</v>
          </cell>
          <cell r="B246">
            <v>1</v>
          </cell>
          <cell r="C246">
            <v>1</v>
          </cell>
          <cell r="E246" t="str">
            <v>20</v>
          </cell>
          <cell r="F246">
            <v>44000300700</v>
          </cell>
          <cell r="G246">
            <v>3</v>
          </cell>
          <cell r="H246" t="str">
            <v>31</v>
          </cell>
          <cell r="I246">
            <v>33</v>
          </cell>
          <cell r="J246">
            <v>20</v>
          </cell>
          <cell r="K246">
            <v>1</v>
          </cell>
          <cell r="L246">
            <v>44</v>
          </cell>
          <cell r="M246" t="str">
            <v>000</v>
          </cell>
          <cell r="N246">
            <v>3</v>
          </cell>
          <cell r="O246" t="str">
            <v>00</v>
          </cell>
          <cell r="P246">
            <v>7</v>
          </cell>
          <cell r="Q246">
            <v>3</v>
          </cell>
          <cell r="R246">
            <v>3</v>
          </cell>
          <cell r="S246">
            <v>1</v>
          </cell>
          <cell r="T246">
            <v>33</v>
          </cell>
          <cell r="U246">
            <v>36</v>
          </cell>
          <cell r="V246">
            <v>1</v>
          </cell>
          <cell r="W246">
            <v>0</v>
          </cell>
          <cell r="X246" t="str">
            <v>Enseign. Technique</v>
          </cell>
          <cell r="Y246" t="str">
            <v>P3</v>
          </cell>
          <cell r="Z246" t="str">
            <v>Intérieur</v>
          </cell>
          <cell r="AA246" t="str">
            <v>Combustible groupe électrogène</v>
          </cell>
          <cell r="AB246">
            <v>32580</v>
          </cell>
          <cell r="AC246">
            <v>32580</v>
          </cell>
        </row>
        <row r="247">
          <cell r="A247">
            <v>4848</v>
          </cell>
          <cell r="B247">
            <v>1</v>
          </cell>
          <cell r="C247">
            <v>1</v>
          </cell>
          <cell r="E247" t="str">
            <v>20</v>
          </cell>
          <cell r="F247">
            <v>44000300700</v>
          </cell>
          <cell r="G247">
            <v>3</v>
          </cell>
          <cell r="H247" t="str">
            <v>31</v>
          </cell>
          <cell r="I247">
            <v>41</v>
          </cell>
          <cell r="J247">
            <v>20</v>
          </cell>
          <cell r="K247">
            <v>1</v>
          </cell>
          <cell r="L247">
            <v>44</v>
          </cell>
          <cell r="M247" t="str">
            <v>000</v>
          </cell>
          <cell r="N247">
            <v>3</v>
          </cell>
          <cell r="O247" t="str">
            <v>00</v>
          </cell>
          <cell r="P247">
            <v>7</v>
          </cell>
          <cell r="Q247">
            <v>3</v>
          </cell>
          <cell r="R247">
            <v>3</v>
          </cell>
          <cell r="S247">
            <v>1</v>
          </cell>
          <cell r="T247">
            <v>41</v>
          </cell>
          <cell r="U247">
            <v>36</v>
          </cell>
          <cell r="V247">
            <v>1</v>
          </cell>
          <cell r="W247">
            <v>0</v>
          </cell>
          <cell r="X247" t="str">
            <v>Enseign. Technique</v>
          </cell>
          <cell r="Y247" t="str">
            <v>P3</v>
          </cell>
          <cell r="Z247" t="str">
            <v>Intérieur</v>
          </cell>
          <cell r="AA247" t="str">
            <v>Petit outillage fournitures d’atelier</v>
          </cell>
          <cell r="AB247">
            <v>43070</v>
          </cell>
          <cell r="AC247">
            <v>43070</v>
          </cell>
        </row>
        <row r="248">
          <cell r="A248">
            <v>4849</v>
          </cell>
          <cell r="B248">
            <v>1</v>
          </cell>
          <cell r="C248">
            <v>1</v>
          </cell>
          <cell r="E248" t="str">
            <v>20</v>
          </cell>
          <cell r="F248">
            <v>44000300700</v>
          </cell>
          <cell r="G248">
            <v>3</v>
          </cell>
          <cell r="H248" t="str">
            <v>31</v>
          </cell>
          <cell r="I248">
            <v>90</v>
          </cell>
          <cell r="J248">
            <v>20</v>
          </cell>
          <cell r="K248">
            <v>1</v>
          </cell>
          <cell r="L248">
            <v>44</v>
          </cell>
          <cell r="M248" t="str">
            <v>000</v>
          </cell>
          <cell r="N248">
            <v>3</v>
          </cell>
          <cell r="O248" t="str">
            <v>00</v>
          </cell>
          <cell r="P248">
            <v>7</v>
          </cell>
          <cell r="Q248">
            <v>3</v>
          </cell>
          <cell r="R248">
            <v>3</v>
          </cell>
          <cell r="S248">
            <v>1</v>
          </cell>
          <cell r="T248">
            <v>90</v>
          </cell>
          <cell r="U248">
            <v>36</v>
          </cell>
          <cell r="V248">
            <v>1</v>
          </cell>
          <cell r="W248">
            <v>0</v>
          </cell>
          <cell r="X248" t="str">
            <v>Enseign. Technique</v>
          </cell>
          <cell r="Y248" t="str">
            <v>P3</v>
          </cell>
          <cell r="Z248" t="str">
            <v>Intérieur</v>
          </cell>
          <cell r="AA248" t="str">
            <v>Autres produits fournitures</v>
          </cell>
          <cell r="AB248">
            <v>13510</v>
          </cell>
          <cell r="AC248">
            <v>13510</v>
          </cell>
        </row>
        <row r="249">
          <cell r="A249">
            <v>4866</v>
          </cell>
          <cell r="B249">
            <v>1</v>
          </cell>
          <cell r="C249">
            <v>1</v>
          </cell>
          <cell r="E249" t="str">
            <v>20</v>
          </cell>
          <cell r="F249">
            <v>44000300900</v>
          </cell>
          <cell r="G249">
            <v>3</v>
          </cell>
          <cell r="H249" t="str">
            <v>31</v>
          </cell>
          <cell r="I249">
            <v>90</v>
          </cell>
          <cell r="J249">
            <v>20</v>
          </cell>
          <cell r="K249">
            <v>1</v>
          </cell>
          <cell r="L249">
            <v>44</v>
          </cell>
          <cell r="M249" t="str">
            <v>000</v>
          </cell>
          <cell r="N249">
            <v>3</v>
          </cell>
          <cell r="O249" t="str">
            <v>00</v>
          </cell>
          <cell r="P249">
            <v>9</v>
          </cell>
          <cell r="Q249">
            <v>3</v>
          </cell>
          <cell r="R249">
            <v>3</v>
          </cell>
          <cell r="S249">
            <v>1</v>
          </cell>
          <cell r="T249">
            <v>90</v>
          </cell>
          <cell r="U249">
            <v>37</v>
          </cell>
          <cell r="V249">
            <v>1</v>
          </cell>
          <cell r="X249" t="str">
            <v>Enseign. Technique</v>
          </cell>
          <cell r="Y249" t="str">
            <v>P3</v>
          </cell>
          <cell r="Z249" t="str">
            <v>Intérieur</v>
          </cell>
          <cell r="AA249" t="str">
            <v>Autres produits spécifiques</v>
          </cell>
          <cell r="AB249">
            <v>0</v>
          </cell>
          <cell r="AC249">
            <v>0</v>
          </cell>
        </row>
        <row r="250">
          <cell r="A250">
            <v>4883</v>
          </cell>
          <cell r="B250">
            <v>1</v>
          </cell>
          <cell r="C250">
            <v>1</v>
          </cell>
          <cell r="E250" t="str">
            <v>20</v>
          </cell>
          <cell r="F250">
            <v>44234300700</v>
          </cell>
          <cell r="G250">
            <v>3</v>
          </cell>
          <cell r="H250" t="str">
            <v>31</v>
          </cell>
          <cell r="I250">
            <v>31</v>
          </cell>
          <cell r="J250">
            <v>20</v>
          </cell>
          <cell r="K250">
            <v>1</v>
          </cell>
          <cell r="L250">
            <v>44</v>
          </cell>
          <cell r="M250">
            <v>234</v>
          </cell>
          <cell r="N250">
            <v>3</v>
          </cell>
          <cell r="O250" t="str">
            <v>00</v>
          </cell>
          <cell r="P250">
            <v>7</v>
          </cell>
          <cell r="Q250">
            <v>3</v>
          </cell>
          <cell r="R250">
            <v>3</v>
          </cell>
          <cell r="S250">
            <v>1</v>
          </cell>
          <cell r="T250" t="str">
            <v>31</v>
          </cell>
          <cell r="U250">
            <v>36</v>
          </cell>
          <cell r="V250">
            <v>1</v>
          </cell>
          <cell r="X250" t="str">
            <v>ENATEF Contrib coop helvétique</v>
          </cell>
          <cell r="Y250" t="str">
            <v>P3</v>
          </cell>
          <cell r="Z250" t="str">
            <v>Intérieur</v>
          </cell>
          <cell r="AA250" t="str">
            <v>Carburant et lubrifiant véhicules</v>
          </cell>
          <cell r="AB250">
            <v>0</v>
          </cell>
          <cell r="AC250">
            <v>0</v>
          </cell>
        </row>
        <row r="251">
          <cell r="A251">
            <v>4884</v>
          </cell>
          <cell r="B251">
            <v>1</v>
          </cell>
          <cell r="C251">
            <v>1</v>
          </cell>
          <cell r="E251" t="str">
            <v>20</v>
          </cell>
          <cell r="F251">
            <v>44234300700</v>
          </cell>
          <cell r="G251">
            <v>3</v>
          </cell>
          <cell r="H251" t="str">
            <v>31</v>
          </cell>
          <cell r="I251">
            <v>41</v>
          </cell>
          <cell r="J251">
            <v>20</v>
          </cell>
          <cell r="K251">
            <v>1</v>
          </cell>
          <cell r="L251">
            <v>44</v>
          </cell>
          <cell r="M251">
            <v>234</v>
          </cell>
          <cell r="N251">
            <v>3</v>
          </cell>
          <cell r="O251" t="str">
            <v>00</v>
          </cell>
          <cell r="P251">
            <v>7</v>
          </cell>
          <cell r="Q251">
            <v>3</v>
          </cell>
          <cell r="R251">
            <v>3</v>
          </cell>
          <cell r="S251">
            <v>1</v>
          </cell>
          <cell r="T251" t="str">
            <v>41</v>
          </cell>
          <cell r="U251">
            <v>36</v>
          </cell>
          <cell r="V251">
            <v>1</v>
          </cell>
          <cell r="X251" t="str">
            <v>ENATEF Contrib coop helvétique</v>
          </cell>
          <cell r="Y251" t="str">
            <v>P3</v>
          </cell>
          <cell r="Z251" t="str">
            <v>Intérieur</v>
          </cell>
          <cell r="AA251" t="str">
            <v>Petits outillages et fournitures d'atelier</v>
          </cell>
          <cell r="AB251">
            <v>91110</v>
          </cell>
          <cell r="AC251">
            <v>91110</v>
          </cell>
        </row>
        <row r="252">
          <cell r="A252">
            <v>4896</v>
          </cell>
          <cell r="B252">
            <v>1</v>
          </cell>
          <cell r="C252">
            <v>1</v>
          </cell>
          <cell r="E252" t="str">
            <v>20</v>
          </cell>
          <cell r="F252">
            <v>44300300700</v>
          </cell>
          <cell r="G252">
            <v>3</v>
          </cell>
          <cell r="H252" t="str">
            <v>31</v>
          </cell>
          <cell r="I252">
            <v>21</v>
          </cell>
          <cell r="J252">
            <v>20</v>
          </cell>
          <cell r="K252">
            <v>1</v>
          </cell>
          <cell r="L252">
            <v>44</v>
          </cell>
          <cell r="M252">
            <v>300</v>
          </cell>
          <cell r="N252">
            <v>3</v>
          </cell>
          <cell r="O252" t="str">
            <v>00</v>
          </cell>
          <cell r="P252">
            <v>7</v>
          </cell>
          <cell r="Q252">
            <v>3</v>
          </cell>
          <cell r="R252">
            <v>3</v>
          </cell>
          <cell r="S252">
            <v>1</v>
          </cell>
          <cell r="T252">
            <v>21</v>
          </cell>
          <cell r="U252">
            <v>36</v>
          </cell>
          <cell r="V252">
            <v>1</v>
          </cell>
          <cell r="X252" t="str">
            <v>Inspect région. Ens tech</v>
          </cell>
          <cell r="Y252" t="str">
            <v>P5</v>
          </cell>
          <cell r="Z252" t="str">
            <v>Intérieur</v>
          </cell>
          <cell r="AA252" t="str">
            <v>Fournitures &amp; petit matériel bureau</v>
          </cell>
          <cell r="AB252">
            <v>0</v>
          </cell>
          <cell r="AC252">
            <v>0</v>
          </cell>
        </row>
        <row r="253">
          <cell r="A253">
            <v>4897</v>
          </cell>
          <cell r="B253">
            <v>1</v>
          </cell>
          <cell r="C253">
            <v>1</v>
          </cell>
          <cell r="E253" t="str">
            <v>20</v>
          </cell>
          <cell r="F253">
            <v>44300300700</v>
          </cell>
          <cell r="G253">
            <v>3</v>
          </cell>
          <cell r="H253" t="str">
            <v>31</v>
          </cell>
          <cell r="I253">
            <v>31</v>
          </cell>
          <cell r="J253">
            <v>20</v>
          </cell>
          <cell r="K253">
            <v>1</v>
          </cell>
          <cell r="L253">
            <v>44</v>
          </cell>
          <cell r="M253">
            <v>300</v>
          </cell>
          <cell r="N253">
            <v>3</v>
          </cell>
          <cell r="O253" t="str">
            <v>00</v>
          </cell>
          <cell r="P253">
            <v>7</v>
          </cell>
          <cell r="Q253">
            <v>3</v>
          </cell>
          <cell r="R253">
            <v>3</v>
          </cell>
          <cell r="S253">
            <v>1</v>
          </cell>
          <cell r="T253">
            <v>31</v>
          </cell>
          <cell r="U253">
            <v>36</v>
          </cell>
          <cell r="V253">
            <v>1</v>
          </cell>
          <cell r="X253" t="str">
            <v>Inspect région. Ens tech</v>
          </cell>
          <cell r="Y253" t="str">
            <v>P5</v>
          </cell>
          <cell r="Z253" t="str">
            <v>Intérieur</v>
          </cell>
          <cell r="AA253" t="str">
            <v>Carburant</v>
          </cell>
          <cell r="AB253">
            <v>0</v>
          </cell>
          <cell r="AC253">
            <v>0</v>
          </cell>
        </row>
        <row r="254">
          <cell r="A254">
            <v>3085</v>
          </cell>
          <cell r="B254">
            <v>1</v>
          </cell>
          <cell r="C254">
            <v>1</v>
          </cell>
          <cell r="E254" t="str">
            <v>20</v>
          </cell>
          <cell r="F254">
            <v>49000300700</v>
          </cell>
          <cell r="G254">
            <v>3</v>
          </cell>
          <cell r="H254" t="str">
            <v>31</v>
          </cell>
          <cell r="I254">
            <v>11</v>
          </cell>
          <cell r="J254">
            <v>20</v>
          </cell>
          <cell r="K254">
            <v>1</v>
          </cell>
          <cell r="L254">
            <v>49</v>
          </cell>
          <cell r="M254" t="str">
            <v>000</v>
          </cell>
          <cell r="N254">
            <v>3</v>
          </cell>
          <cell r="O254" t="str">
            <v>00</v>
          </cell>
          <cell r="P254">
            <v>7</v>
          </cell>
          <cell r="Q254">
            <v>3</v>
          </cell>
          <cell r="R254">
            <v>3</v>
          </cell>
          <cell r="S254">
            <v>1</v>
          </cell>
          <cell r="T254">
            <v>11</v>
          </cell>
          <cell r="U254">
            <v>33</v>
          </cell>
          <cell r="V254">
            <v>1</v>
          </cell>
          <cell r="X254" t="str">
            <v>Enseig. Serv administratifs</v>
          </cell>
          <cell r="Y254" t="str">
            <v>P5</v>
          </cell>
          <cell r="Z254" t="str">
            <v>Intérieur</v>
          </cell>
          <cell r="AA254" t="str">
            <v>Pré imprimés</v>
          </cell>
          <cell r="AB254">
            <v>673700</v>
          </cell>
          <cell r="AC254">
            <v>673700</v>
          </cell>
        </row>
        <row r="255">
          <cell r="A255">
            <v>3086</v>
          </cell>
          <cell r="B255">
            <v>1</v>
          </cell>
          <cell r="C255">
            <v>1</v>
          </cell>
          <cell r="E255" t="str">
            <v>20</v>
          </cell>
          <cell r="F255">
            <v>49000300700</v>
          </cell>
          <cell r="G255">
            <v>3</v>
          </cell>
          <cell r="H255" t="str">
            <v>31</v>
          </cell>
          <cell r="I255">
            <v>21</v>
          </cell>
          <cell r="J255">
            <v>20</v>
          </cell>
          <cell r="K255">
            <v>1</v>
          </cell>
          <cell r="L255">
            <v>49</v>
          </cell>
          <cell r="M255" t="str">
            <v>000</v>
          </cell>
          <cell r="N255">
            <v>3</v>
          </cell>
          <cell r="O255" t="str">
            <v>00</v>
          </cell>
          <cell r="P255">
            <v>7</v>
          </cell>
          <cell r="Q255">
            <v>3</v>
          </cell>
          <cell r="R255">
            <v>3</v>
          </cell>
          <cell r="S255">
            <v>1</v>
          </cell>
          <cell r="T255">
            <v>21</v>
          </cell>
          <cell r="U255">
            <v>33</v>
          </cell>
          <cell r="V255">
            <v>1</v>
          </cell>
          <cell r="X255" t="str">
            <v>Enseig. Serv administratifs</v>
          </cell>
          <cell r="Y255" t="str">
            <v>P5</v>
          </cell>
          <cell r="Z255" t="str">
            <v>Intérieur</v>
          </cell>
          <cell r="AA255" t="str">
            <v>Fournitur. &amp; petit mat. de bureau</v>
          </cell>
          <cell r="AB255">
            <v>341100</v>
          </cell>
          <cell r="AC255">
            <v>341100</v>
          </cell>
        </row>
        <row r="256">
          <cell r="A256">
            <v>3087</v>
          </cell>
          <cell r="B256">
            <v>1</v>
          </cell>
          <cell r="C256">
            <v>1</v>
          </cell>
          <cell r="E256" t="str">
            <v>20</v>
          </cell>
          <cell r="F256">
            <v>49000300700</v>
          </cell>
          <cell r="G256">
            <v>3</v>
          </cell>
          <cell r="H256" t="str">
            <v>31</v>
          </cell>
          <cell r="I256">
            <v>22</v>
          </cell>
          <cell r="J256">
            <v>20</v>
          </cell>
          <cell r="K256">
            <v>1</v>
          </cell>
          <cell r="L256">
            <v>49</v>
          </cell>
          <cell r="M256" t="str">
            <v>000</v>
          </cell>
          <cell r="N256">
            <v>3</v>
          </cell>
          <cell r="O256" t="str">
            <v>00</v>
          </cell>
          <cell r="P256">
            <v>7</v>
          </cell>
          <cell r="Q256">
            <v>3</v>
          </cell>
          <cell r="R256">
            <v>3</v>
          </cell>
          <cell r="S256">
            <v>1</v>
          </cell>
          <cell r="T256">
            <v>22</v>
          </cell>
          <cell r="U256">
            <v>33</v>
          </cell>
          <cell r="V256">
            <v>1</v>
          </cell>
          <cell r="X256" t="str">
            <v>Enseig. Serv administratifs</v>
          </cell>
          <cell r="Y256" t="str">
            <v>P5</v>
          </cell>
          <cell r="Z256" t="str">
            <v>Intérieur</v>
          </cell>
          <cell r="AA256" t="str">
            <v>Fournit. Informati.</v>
          </cell>
          <cell r="AB256">
            <v>0</v>
          </cell>
          <cell r="AC256">
            <v>0</v>
          </cell>
        </row>
        <row r="257">
          <cell r="A257">
            <v>3088</v>
          </cell>
          <cell r="B257">
            <v>1</v>
          </cell>
          <cell r="C257">
            <v>1</v>
          </cell>
          <cell r="E257" t="str">
            <v>20</v>
          </cell>
          <cell r="F257">
            <v>49000300700</v>
          </cell>
          <cell r="G257">
            <v>3</v>
          </cell>
          <cell r="H257" t="str">
            <v>31</v>
          </cell>
          <cell r="I257">
            <v>31</v>
          </cell>
          <cell r="J257">
            <v>20</v>
          </cell>
          <cell r="K257">
            <v>1</v>
          </cell>
          <cell r="L257">
            <v>49</v>
          </cell>
          <cell r="M257" t="str">
            <v>000</v>
          </cell>
          <cell r="N257">
            <v>3</v>
          </cell>
          <cell r="O257" t="str">
            <v>00</v>
          </cell>
          <cell r="P257">
            <v>7</v>
          </cell>
          <cell r="Q257">
            <v>3</v>
          </cell>
          <cell r="R257">
            <v>3</v>
          </cell>
          <cell r="S257">
            <v>1</v>
          </cell>
          <cell r="T257">
            <v>31</v>
          </cell>
          <cell r="U257">
            <v>33</v>
          </cell>
          <cell r="V257">
            <v>1</v>
          </cell>
          <cell r="X257" t="str">
            <v>Enseig. Serv administratifs</v>
          </cell>
          <cell r="Y257" t="str">
            <v>P5</v>
          </cell>
          <cell r="Z257" t="str">
            <v>Intérieur</v>
          </cell>
          <cell r="AA257" t="str">
            <v>Carburant véhicule</v>
          </cell>
          <cell r="AB257">
            <v>119560</v>
          </cell>
          <cell r="AC257">
            <v>119560</v>
          </cell>
        </row>
        <row r="258">
          <cell r="A258">
            <v>12378</v>
          </cell>
          <cell r="B258">
            <v>1</v>
          </cell>
          <cell r="J258">
            <v>20</v>
          </cell>
          <cell r="K258">
            <v>1</v>
          </cell>
          <cell r="N258">
            <v>9</v>
          </cell>
          <cell r="Q258">
            <v>3</v>
          </cell>
          <cell r="R258">
            <v>3</v>
          </cell>
          <cell r="S258">
            <v>1</v>
          </cell>
          <cell r="X258" t="str">
            <v>Ensemble Non ventilé</v>
          </cell>
          <cell r="AB258">
            <v>1116470</v>
          </cell>
          <cell r="AC258">
            <v>1116470</v>
          </cell>
        </row>
        <row r="259">
          <cell r="A259">
            <v>2995</v>
          </cell>
          <cell r="B259">
            <v>1</v>
          </cell>
          <cell r="C259">
            <v>1</v>
          </cell>
          <cell r="E259" t="str">
            <v>20</v>
          </cell>
          <cell r="F259">
            <v>42000900700</v>
          </cell>
          <cell r="G259">
            <v>3</v>
          </cell>
          <cell r="H259" t="str">
            <v>31</v>
          </cell>
          <cell r="I259">
            <v>90</v>
          </cell>
          <cell r="J259">
            <v>20</v>
          </cell>
          <cell r="K259">
            <v>1</v>
          </cell>
          <cell r="L259">
            <v>42</v>
          </cell>
          <cell r="M259" t="str">
            <v>000</v>
          </cell>
          <cell r="N259">
            <v>9</v>
          </cell>
          <cell r="O259" t="str">
            <v>00</v>
          </cell>
          <cell r="P259">
            <v>7</v>
          </cell>
          <cell r="Q259">
            <v>3</v>
          </cell>
          <cell r="R259">
            <v>3</v>
          </cell>
          <cell r="S259">
            <v>1</v>
          </cell>
          <cell r="T259">
            <v>90</v>
          </cell>
          <cell r="U259">
            <v>93</v>
          </cell>
          <cell r="V259">
            <v>1</v>
          </cell>
          <cell r="X259" t="str">
            <v>Primaire Ens.serv</v>
          </cell>
          <cell r="Y259" t="str">
            <v>P1</v>
          </cell>
          <cell r="Z259" t="str">
            <v>Ens. NV</v>
          </cell>
          <cell r="AA259" t="str">
            <v>Autres produits &amp; fourn.</v>
          </cell>
          <cell r="AB259">
            <v>0</v>
          </cell>
          <cell r="AC259">
            <v>0</v>
          </cell>
        </row>
        <row r="260">
          <cell r="A260">
            <v>3058</v>
          </cell>
          <cell r="B260">
            <v>1</v>
          </cell>
          <cell r="C260">
            <v>1</v>
          </cell>
          <cell r="E260" t="str">
            <v>20</v>
          </cell>
          <cell r="F260">
            <v>43000900700</v>
          </cell>
          <cell r="G260">
            <v>3</v>
          </cell>
          <cell r="H260" t="str">
            <v>31</v>
          </cell>
          <cell r="I260">
            <v>90</v>
          </cell>
          <cell r="J260">
            <v>20</v>
          </cell>
          <cell r="K260">
            <v>1</v>
          </cell>
          <cell r="L260">
            <v>43</v>
          </cell>
          <cell r="M260" t="str">
            <v>000</v>
          </cell>
          <cell r="N260">
            <v>9</v>
          </cell>
          <cell r="O260" t="str">
            <v>00</v>
          </cell>
          <cell r="P260">
            <v>7</v>
          </cell>
          <cell r="Q260">
            <v>3</v>
          </cell>
          <cell r="R260">
            <v>3</v>
          </cell>
          <cell r="S260">
            <v>1</v>
          </cell>
          <cell r="T260">
            <v>90</v>
          </cell>
          <cell r="U260">
            <v>93</v>
          </cell>
          <cell r="V260">
            <v>1</v>
          </cell>
          <cell r="X260" t="str">
            <v>Secondaire Ens.serv.</v>
          </cell>
          <cell r="Y260" t="str">
            <v>P2</v>
          </cell>
          <cell r="Z260" t="str">
            <v>Ens. NV</v>
          </cell>
          <cell r="AA260" t="str">
            <v>Autres produits &amp; fourn.</v>
          </cell>
          <cell r="AB260">
            <v>0</v>
          </cell>
          <cell r="AC260">
            <v>0</v>
          </cell>
        </row>
        <row r="261">
          <cell r="A261">
            <v>3109</v>
          </cell>
          <cell r="B261">
            <v>1</v>
          </cell>
          <cell r="C261">
            <v>1</v>
          </cell>
          <cell r="E261" t="str">
            <v>20</v>
          </cell>
          <cell r="F261">
            <v>49000900700</v>
          </cell>
          <cell r="G261">
            <v>3</v>
          </cell>
          <cell r="H261" t="str">
            <v>31</v>
          </cell>
          <cell r="I261">
            <v>21</v>
          </cell>
          <cell r="J261">
            <v>20</v>
          </cell>
          <cell r="K261">
            <v>1</v>
          </cell>
          <cell r="L261">
            <v>49</v>
          </cell>
          <cell r="M261" t="str">
            <v>000</v>
          </cell>
          <cell r="N261">
            <v>9</v>
          </cell>
          <cell r="O261" t="str">
            <v>00</v>
          </cell>
          <cell r="P261">
            <v>7</v>
          </cell>
          <cell r="Q261">
            <v>3</v>
          </cell>
          <cell r="R261">
            <v>3</v>
          </cell>
          <cell r="S261">
            <v>1</v>
          </cell>
          <cell r="T261">
            <v>21</v>
          </cell>
          <cell r="U261">
            <v>93</v>
          </cell>
          <cell r="V261">
            <v>1</v>
          </cell>
          <cell r="X261" t="str">
            <v>Enseig. Serv administratifs</v>
          </cell>
          <cell r="Y261" t="str">
            <v>P5</v>
          </cell>
          <cell r="Z261" t="str">
            <v>Ens. NV</v>
          </cell>
          <cell r="AA261" t="str">
            <v>Fournitur. &amp; petit mat. de bureau</v>
          </cell>
          <cell r="AB261">
            <v>1039720</v>
          </cell>
          <cell r="AC261">
            <v>1039720</v>
          </cell>
        </row>
        <row r="262">
          <cell r="A262">
            <v>3110</v>
          </cell>
          <cell r="B262">
            <v>1</v>
          </cell>
          <cell r="C262">
            <v>1</v>
          </cell>
          <cell r="E262" t="str">
            <v>20</v>
          </cell>
          <cell r="F262">
            <v>49000900700</v>
          </cell>
          <cell r="G262">
            <v>3</v>
          </cell>
          <cell r="H262" t="str">
            <v>31</v>
          </cell>
          <cell r="I262">
            <v>22</v>
          </cell>
          <cell r="J262">
            <v>20</v>
          </cell>
          <cell r="K262">
            <v>1</v>
          </cell>
          <cell r="L262">
            <v>49</v>
          </cell>
          <cell r="M262" t="str">
            <v>000</v>
          </cell>
          <cell r="N262">
            <v>9</v>
          </cell>
          <cell r="O262" t="str">
            <v>00</v>
          </cell>
          <cell r="P262">
            <v>7</v>
          </cell>
          <cell r="Q262">
            <v>3</v>
          </cell>
          <cell r="R262">
            <v>3</v>
          </cell>
          <cell r="S262">
            <v>1</v>
          </cell>
          <cell r="T262">
            <v>22</v>
          </cell>
          <cell r="U262">
            <v>93</v>
          </cell>
          <cell r="V262">
            <v>1</v>
          </cell>
          <cell r="X262" t="str">
            <v>Enseig. Serv administratifs</v>
          </cell>
          <cell r="Y262" t="str">
            <v>P5</v>
          </cell>
          <cell r="Z262" t="str">
            <v>Ens. NV</v>
          </cell>
          <cell r="AA262" t="str">
            <v>Fournit. Informati.</v>
          </cell>
          <cell r="AB262">
            <v>42310</v>
          </cell>
          <cell r="AC262">
            <v>42310</v>
          </cell>
        </row>
        <row r="263">
          <cell r="A263">
            <v>3111</v>
          </cell>
          <cell r="B263">
            <v>1</v>
          </cell>
          <cell r="C263">
            <v>1</v>
          </cell>
          <cell r="E263" t="str">
            <v>20</v>
          </cell>
          <cell r="F263">
            <v>49000900700</v>
          </cell>
          <cell r="G263">
            <v>3</v>
          </cell>
          <cell r="H263" t="str">
            <v>31</v>
          </cell>
          <cell r="I263">
            <v>31</v>
          </cell>
          <cell r="J263">
            <v>20</v>
          </cell>
          <cell r="K263">
            <v>1</v>
          </cell>
          <cell r="L263">
            <v>49</v>
          </cell>
          <cell r="M263" t="str">
            <v>000</v>
          </cell>
          <cell r="N263">
            <v>9</v>
          </cell>
          <cell r="O263" t="str">
            <v>00</v>
          </cell>
          <cell r="P263">
            <v>7</v>
          </cell>
          <cell r="Q263">
            <v>3</v>
          </cell>
          <cell r="R263">
            <v>3</v>
          </cell>
          <cell r="S263">
            <v>1</v>
          </cell>
          <cell r="T263">
            <v>31</v>
          </cell>
          <cell r="U263">
            <v>93</v>
          </cell>
          <cell r="V263">
            <v>1</v>
          </cell>
          <cell r="X263" t="str">
            <v>Enseig. Serv administratifs</v>
          </cell>
          <cell r="Y263" t="str">
            <v>P5</v>
          </cell>
          <cell r="Z263" t="str">
            <v>Ens. NV</v>
          </cell>
          <cell r="AA263" t="str">
            <v>Carburant véhicule</v>
          </cell>
          <cell r="AB263">
            <v>0</v>
          </cell>
          <cell r="AC263">
            <v>0</v>
          </cell>
        </row>
        <row r="264">
          <cell r="A264">
            <v>3112</v>
          </cell>
          <cell r="B264">
            <v>1</v>
          </cell>
          <cell r="C264">
            <v>1</v>
          </cell>
          <cell r="E264" t="str">
            <v>20</v>
          </cell>
          <cell r="F264">
            <v>49000900700</v>
          </cell>
          <cell r="G264">
            <v>3</v>
          </cell>
          <cell r="H264" t="str">
            <v>31</v>
          </cell>
          <cell r="I264">
            <v>33</v>
          </cell>
          <cell r="J264">
            <v>20</v>
          </cell>
          <cell r="K264">
            <v>1</v>
          </cell>
          <cell r="L264">
            <v>49</v>
          </cell>
          <cell r="M264" t="str">
            <v>000</v>
          </cell>
          <cell r="N264">
            <v>9</v>
          </cell>
          <cell r="O264" t="str">
            <v>00</v>
          </cell>
          <cell r="P264">
            <v>7</v>
          </cell>
          <cell r="Q264">
            <v>3</v>
          </cell>
          <cell r="R264">
            <v>3</v>
          </cell>
          <cell r="S264">
            <v>1</v>
          </cell>
          <cell r="T264">
            <v>33</v>
          </cell>
          <cell r="U264">
            <v>93</v>
          </cell>
          <cell r="V264">
            <v>1</v>
          </cell>
          <cell r="X264" t="str">
            <v>Enseig. Serv administratifs</v>
          </cell>
          <cell r="Y264" t="str">
            <v>P5</v>
          </cell>
          <cell r="Z264" t="str">
            <v>Ens. NV</v>
          </cell>
          <cell r="AA264" t="str">
            <v>Combust. Groupes électrog.</v>
          </cell>
          <cell r="AB264">
            <v>14560</v>
          </cell>
          <cell r="AC264">
            <v>14560</v>
          </cell>
        </row>
        <row r="265">
          <cell r="A265">
            <v>3113</v>
          </cell>
          <cell r="B265">
            <v>1</v>
          </cell>
          <cell r="C265">
            <v>1</v>
          </cell>
          <cell r="E265" t="str">
            <v>20</v>
          </cell>
          <cell r="F265">
            <v>49000900700</v>
          </cell>
          <cell r="G265">
            <v>3</v>
          </cell>
          <cell r="H265" t="str">
            <v>31</v>
          </cell>
          <cell r="I265">
            <v>90</v>
          </cell>
          <cell r="J265">
            <v>20</v>
          </cell>
          <cell r="K265">
            <v>1</v>
          </cell>
          <cell r="L265">
            <v>49</v>
          </cell>
          <cell r="M265" t="str">
            <v>000</v>
          </cell>
          <cell r="N265">
            <v>9</v>
          </cell>
          <cell r="O265" t="str">
            <v>00</v>
          </cell>
          <cell r="P265">
            <v>7</v>
          </cell>
          <cell r="Q265">
            <v>3</v>
          </cell>
          <cell r="R265">
            <v>3</v>
          </cell>
          <cell r="S265">
            <v>1</v>
          </cell>
          <cell r="T265">
            <v>90</v>
          </cell>
          <cell r="U265">
            <v>93</v>
          </cell>
          <cell r="V265">
            <v>1</v>
          </cell>
          <cell r="X265" t="str">
            <v>Enseig. Serv administratifs</v>
          </cell>
          <cell r="Y265" t="str">
            <v>P5</v>
          </cell>
          <cell r="Z265" t="str">
            <v>Ens. NV</v>
          </cell>
          <cell r="AA265" t="str">
            <v>Autres produits &amp; fourn.</v>
          </cell>
          <cell r="AB265">
            <v>19880</v>
          </cell>
          <cell r="AC265">
            <v>19880</v>
          </cell>
        </row>
        <row r="266">
          <cell r="A266">
            <v>12380</v>
          </cell>
          <cell r="B266">
            <v>1</v>
          </cell>
          <cell r="D266" t="str">
            <v>I</v>
          </cell>
          <cell r="J266">
            <v>20</v>
          </cell>
          <cell r="K266">
            <v>1</v>
          </cell>
          <cell r="Q266">
            <v>3</v>
          </cell>
          <cell r="R266">
            <v>3</v>
          </cell>
          <cell r="S266">
            <v>2</v>
          </cell>
          <cell r="X266" t="str">
            <v xml:space="preserve">Fournitures et biens spécifiques </v>
          </cell>
          <cell r="AB266">
            <v>20460160</v>
          </cell>
          <cell r="AC266">
            <v>20460160</v>
          </cell>
        </row>
        <row r="267">
          <cell r="A267">
            <v>12382</v>
          </cell>
          <cell r="B267">
            <v>1</v>
          </cell>
          <cell r="J267">
            <v>20</v>
          </cell>
          <cell r="K267">
            <v>1</v>
          </cell>
          <cell r="N267">
            <v>1</v>
          </cell>
          <cell r="Q267">
            <v>3</v>
          </cell>
          <cell r="R267">
            <v>3</v>
          </cell>
          <cell r="S267">
            <v>2</v>
          </cell>
          <cell r="X267" t="str">
            <v>Services centraux</v>
          </cell>
          <cell r="AB267">
            <v>0</v>
          </cell>
          <cell r="AC267">
            <v>0</v>
          </cell>
        </row>
        <row r="268">
          <cell r="A268">
            <v>4922</v>
          </cell>
          <cell r="B268">
            <v>1</v>
          </cell>
          <cell r="C268">
            <v>1</v>
          </cell>
          <cell r="E268" t="str">
            <v>20</v>
          </cell>
          <cell r="F268">
            <v>44507100700</v>
          </cell>
          <cell r="G268">
            <v>3</v>
          </cell>
          <cell r="H268" t="str">
            <v>32</v>
          </cell>
          <cell r="I268">
            <v>31</v>
          </cell>
          <cell r="J268">
            <v>20</v>
          </cell>
          <cell r="K268">
            <v>1</v>
          </cell>
          <cell r="L268">
            <v>44</v>
          </cell>
          <cell r="M268">
            <v>507</v>
          </cell>
          <cell r="N268">
            <v>1</v>
          </cell>
          <cell r="O268" t="str">
            <v>00</v>
          </cell>
          <cell r="P268">
            <v>7</v>
          </cell>
          <cell r="Q268">
            <v>3</v>
          </cell>
          <cell r="R268">
            <v>3</v>
          </cell>
          <cell r="S268">
            <v>2</v>
          </cell>
          <cell r="T268">
            <v>31</v>
          </cell>
          <cell r="U268">
            <v>96</v>
          </cell>
          <cell r="V268">
            <v>1</v>
          </cell>
          <cell r="X268" t="str">
            <v>Comité d'éthique</v>
          </cell>
          <cell r="Y268" t="str">
            <v>P5</v>
          </cell>
          <cell r="Z268" t="str">
            <v>Serv.cent.</v>
          </cell>
          <cell r="AA268" t="str">
            <v>Fournitures scolaires</v>
          </cell>
          <cell r="AB268">
            <v>0</v>
          </cell>
          <cell r="AC268">
            <v>0</v>
          </cell>
        </row>
        <row r="269">
          <cell r="A269">
            <v>12384</v>
          </cell>
          <cell r="B269">
            <v>1</v>
          </cell>
          <cell r="J269">
            <v>20</v>
          </cell>
          <cell r="K269">
            <v>1</v>
          </cell>
          <cell r="N269">
            <v>2</v>
          </cell>
          <cell r="Q269">
            <v>3</v>
          </cell>
          <cell r="R269">
            <v>3</v>
          </cell>
          <cell r="S269">
            <v>2</v>
          </cell>
          <cell r="X269" t="str">
            <v>Conakry Services déconcentrés</v>
          </cell>
          <cell r="AB269">
            <v>3718340</v>
          </cell>
          <cell r="AC269">
            <v>3718340</v>
          </cell>
        </row>
        <row r="270">
          <cell r="A270">
            <v>2940</v>
          </cell>
          <cell r="B270">
            <v>1</v>
          </cell>
          <cell r="C270">
            <v>1</v>
          </cell>
          <cell r="E270" t="str">
            <v>20</v>
          </cell>
          <cell r="F270">
            <v>42000200700</v>
          </cell>
          <cell r="G270">
            <v>3</v>
          </cell>
          <cell r="H270" t="str">
            <v>32</v>
          </cell>
          <cell r="I270">
            <v>31</v>
          </cell>
          <cell r="J270">
            <v>20</v>
          </cell>
          <cell r="K270">
            <v>1</v>
          </cell>
          <cell r="L270">
            <v>42</v>
          </cell>
          <cell r="M270" t="str">
            <v>000</v>
          </cell>
          <cell r="N270">
            <v>2</v>
          </cell>
          <cell r="O270" t="str">
            <v>00</v>
          </cell>
          <cell r="P270">
            <v>7</v>
          </cell>
          <cell r="Q270">
            <v>3</v>
          </cell>
          <cell r="R270">
            <v>3</v>
          </cell>
          <cell r="S270">
            <v>2</v>
          </cell>
          <cell r="T270">
            <v>31</v>
          </cell>
          <cell r="U270">
            <v>33</v>
          </cell>
          <cell r="V270">
            <v>1</v>
          </cell>
          <cell r="X270" t="str">
            <v>Primaire Ens.serv.déconc.</v>
          </cell>
          <cell r="Y270" t="str">
            <v>P1</v>
          </cell>
          <cell r="Z270" t="str">
            <v>Conakry</v>
          </cell>
          <cell r="AA270" t="str">
            <v>Fournitures scolaires hors PPTE</v>
          </cell>
          <cell r="AB270">
            <v>1015980</v>
          </cell>
          <cell r="AC270">
            <v>1015980</v>
          </cell>
        </row>
        <row r="271">
          <cell r="A271">
            <v>2964</v>
          </cell>
          <cell r="B271">
            <v>1</v>
          </cell>
          <cell r="C271">
            <v>1</v>
          </cell>
          <cell r="E271" t="str">
            <v>20</v>
          </cell>
          <cell r="F271">
            <v>42000200900</v>
          </cell>
          <cell r="G271">
            <v>3</v>
          </cell>
          <cell r="H271" t="str">
            <v>32</v>
          </cell>
          <cell r="I271">
            <v>31</v>
          </cell>
          <cell r="J271">
            <v>20</v>
          </cell>
          <cell r="K271">
            <v>1</v>
          </cell>
          <cell r="L271">
            <v>42</v>
          </cell>
          <cell r="M271" t="str">
            <v>000</v>
          </cell>
          <cell r="N271">
            <v>2</v>
          </cell>
          <cell r="O271" t="str">
            <v>00</v>
          </cell>
          <cell r="P271">
            <v>9</v>
          </cell>
          <cell r="Q271">
            <v>3</v>
          </cell>
          <cell r="R271">
            <v>3</v>
          </cell>
          <cell r="S271">
            <v>2</v>
          </cell>
          <cell r="T271">
            <v>31</v>
          </cell>
          <cell r="U271">
            <v>34</v>
          </cell>
          <cell r="V271">
            <v>1</v>
          </cell>
          <cell r="X271" t="str">
            <v>Primaire Ens.serv.déconc.</v>
          </cell>
          <cell r="Y271" t="str">
            <v>P1</v>
          </cell>
          <cell r="Z271" t="str">
            <v>Conakry</v>
          </cell>
          <cell r="AA271" t="str">
            <v>Fournitures scolaires PPTE</v>
          </cell>
          <cell r="AB271">
            <v>623000</v>
          </cell>
          <cell r="AC271">
            <v>623000</v>
          </cell>
        </row>
        <row r="272">
          <cell r="A272">
            <v>2941</v>
          </cell>
          <cell r="B272">
            <v>1</v>
          </cell>
          <cell r="C272">
            <v>1</v>
          </cell>
          <cell r="E272" t="str">
            <v>20</v>
          </cell>
          <cell r="F272">
            <v>42000200700</v>
          </cell>
          <cell r="G272">
            <v>3</v>
          </cell>
          <cell r="H272" t="str">
            <v>32</v>
          </cell>
          <cell r="I272">
            <v>32</v>
          </cell>
          <cell r="J272">
            <v>20</v>
          </cell>
          <cell r="K272">
            <v>1</v>
          </cell>
          <cell r="L272">
            <v>42</v>
          </cell>
          <cell r="M272" t="str">
            <v>000</v>
          </cell>
          <cell r="N272">
            <v>2</v>
          </cell>
          <cell r="O272" t="str">
            <v>00</v>
          </cell>
          <cell r="P272">
            <v>7</v>
          </cell>
          <cell r="Q272">
            <v>3</v>
          </cell>
          <cell r="R272">
            <v>3</v>
          </cell>
          <cell r="S272">
            <v>2</v>
          </cell>
          <cell r="T272">
            <v>32</v>
          </cell>
          <cell r="U272">
            <v>33</v>
          </cell>
          <cell r="V272">
            <v>1</v>
          </cell>
          <cell r="X272" t="str">
            <v>Primaire Ens.serv.déconc.</v>
          </cell>
          <cell r="Y272" t="str">
            <v>P1</v>
          </cell>
          <cell r="Z272" t="str">
            <v>Conakry</v>
          </cell>
          <cell r="AA272" t="str">
            <v>Matériel pédagogique hors PPTE</v>
          </cell>
          <cell r="AB272">
            <v>89690</v>
          </cell>
          <cell r="AC272">
            <v>89690</v>
          </cell>
        </row>
        <row r="273">
          <cell r="A273">
            <v>2965</v>
          </cell>
          <cell r="B273">
            <v>1</v>
          </cell>
          <cell r="C273">
            <v>1</v>
          </cell>
          <cell r="E273" t="str">
            <v>20</v>
          </cell>
          <cell r="F273">
            <v>42000200900</v>
          </cell>
          <cell r="G273">
            <v>3</v>
          </cell>
          <cell r="H273" t="str">
            <v>32</v>
          </cell>
          <cell r="I273">
            <v>32</v>
          </cell>
          <cell r="J273">
            <v>20</v>
          </cell>
          <cell r="K273">
            <v>1</v>
          </cell>
          <cell r="L273">
            <v>42</v>
          </cell>
          <cell r="M273" t="str">
            <v>000</v>
          </cell>
          <cell r="N273">
            <v>2</v>
          </cell>
          <cell r="O273" t="str">
            <v>00</v>
          </cell>
          <cell r="P273">
            <v>9</v>
          </cell>
          <cell r="Q273">
            <v>3</v>
          </cell>
          <cell r="R273">
            <v>3</v>
          </cell>
          <cell r="S273">
            <v>2</v>
          </cell>
          <cell r="T273">
            <v>32</v>
          </cell>
          <cell r="U273">
            <v>34</v>
          </cell>
          <cell r="V273">
            <v>1</v>
          </cell>
          <cell r="X273" t="str">
            <v>Primaire Ens.serv.déconc.</v>
          </cell>
          <cell r="Y273" t="str">
            <v>P1</v>
          </cell>
          <cell r="Z273" t="str">
            <v>Conakry</v>
          </cell>
          <cell r="AA273" t="str">
            <v>Matériel pédagogique PPTE</v>
          </cell>
          <cell r="AB273">
            <v>274000</v>
          </cell>
          <cell r="AC273">
            <v>274000</v>
          </cell>
        </row>
        <row r="274">
          <cell r="A274">
            <v>2942</v>
          </cell>
          <cell r="B274">
            <v>1</v>
          </cell>
          <cell r="C274">
            <v>1</v>
          </cell>
          <cell r="E274" t="str">
            <v>20</v>
          </cell>
          <cell r="F274">
            <v>42000200700</v>
          </cell>
          <cell r="G274">
            <v>3</v>
          </cell>
          <cell r="H274" t="str">
            <v>32</v>
          </cell>
          <cell r="I274">
            <v>39</v>
          </cell>
          <cell r="J274">
            <v>20</v>
          </cell>
          <cell r="K274">
            <v>1</v>
          </cell>
          <cell r="L274">
            <v>42</v>
          </cell>
          <cell r="M274" t="str">
            <v>000</v>
          </cell>
          <cell r="N274">
            <v>2</v>
          </cell>
          <cell r="O274" t="str">
            <v>00</v>
          </cell>
          <cell r="P274">
            <v>7</v>
          </cell>
          <cell r="Q274">
            <v>3</v>
          </cell>
          <cell r="R274">
            <v>3</v>
          </cell>
          <cell r="S274">
            <v>2</v>
          </cell>
          <cell r="T274">
            <v>39</v>
          </cell>
          <cell r="U274">
            <v>33</v>
          </cell>
          <cell r="V274">
            <v>1</v>
          </cell>
          <cell r="X274" t="str">
            <v>Primaire Ens.serv.déconc.</v>
          </cell>
          <cell r="Y274" t="str">
            <v>P1</v>
          </cell>
          <cell r="Z274" t="str">
            <v>Conakry</v>
          </cell>
          <cell r="AA274" t="str">
            <v>Autres produits spécifiq. éducation</v>
          </cell>
          <cell r="AB274">
            <v>44510</v>
          </cell>
          <cell r="AC274">
            <v>44510</v>
          </cell>
        </row>
        <row r="275">
          <cell r="A275">
            <v>2943</v>
          </cell>
          <cell r="B275">
            <v>1</v>
          </cell>
          <cell r="C275">
            <v>1</v>
          </cell>
          <cell r="E275" t="str">
            <v>20</v>
          </cell>
          <cell r="F275">
            <v>42000200700</v>
          </cell>
          <cell r="G275">
            <v>3</v>
          </cell>
          <cell r="H275" t="str">
            <v>32</v>
          </cell>
          <cell r="I275">
            <v>41</v>
          </cell>
          <cell r="J275">
            <v>20</v>
          </cell>
          <cell r="K275">
            <v>1</v>
          </cell>
          <cell r="L275">
            <v>42</v>
          </cell>
          <cell r="M275" t="str">
            <v>000</v>
          </cell>
          <cell r="N275">
            <v>2</v>
          </cell>
          <cell r="O275" t="str">
            <v>00</v>
          </cell>
          <cell r="P275">
            <v>7</v>
          </cell>
          <cell r="Q275">
            <v>3</v>
          </cell>
          <cell r="R275">
            <v>3</v>
          </cell>
          <cell r="S275">
            <v>2</v>
          </cell>
          <cell r="T275">
            <v>41</v>
          </cell>
          <cell r="U275">
            <v>33</v>
          </cell>
          <cell r="V275">
            <v>1</v>
          </cell>
          <cell r="X275" t="str">
            <v>Primaire Ens.serv.déconc.</v>
          </cell>
          <cell r="Y275" t="str">
            <v>P1</v>
          </cell>
          <cell r="Z275" t="str">
            <v>Conakry</v>
          </cell>
          <cell r="AA275" t="str">
            <v>Produits pharmac.</v>
          </cell>
          <cell r="AB275">
            <v>27750</v>
          </cell>
          <cell r="AC275">
            <v>27750</v>
          </cell>
        </row>
        <row r="276">
          <cell r="A276">
            <v>3001</v>
          </cell>
          <cell r="B276">
            <v>1</v>
          </cell>
          <cell r="C276">
            <v>1</v>
          </cell>
          <cell r="E276" t="str">
            <v>20</v>
          </cell>
          <cell r="F276">
            <v>43000200700</v>
          </cell>
          <cell r="G276">
            <v>3</v>
          </cell>
          <cell r="H276" t="str">
            <v>32</v>
          </cell>
          <cell r="I276">
            <v>31</v>
          </cell>
          <cell r="J276">
            <v>20</v>
          </cell>
          <cell r="K276">
            <v>1</v>
          </cell>
          <cell r="L276">
            <v>43</v>
          </cell>
          <cell r="M276" t="str">
            <v>000</v>
          </cell>
          <cell r="N276">
            <v>2</v>
          </cell>
          <cell r="O276" t="str">
            <v>00</v>
          </cell>
          <cell r="P276">
            <v>7</v>
          </cell>
          <cell r="Q276">
            <v>3</v>
          </cell>
          <cell r="R276">
            <v>3</v>
          </cell>
          <cell r="S276">
            <v>2</v>
          </cell>
          <cell r="T276">
            <v>31</v>
          </cell>
          <cell r="U276">
            <v>33</v>
          </cell>
          <cell r="V276">
            <v>1</v>
          </cell>
          <cell r="X276" t="str">
            <v>Secondaire Ens.serv.déconc.</v>
          </cell>
          <cell r="Y276" t="str">
            <v>P2</v>
          </cell>
          <cell r="Z276" t="str">
            <v>Conakry</v>
          </cell>
          <cell r="AA276" t="str">
            <v>Fournitures scolaires hors PPTE</v>
          </cell>
          <cell r="AB276">
            <v>98040</v>
          </cell>
          <cell r="AC276">
            <v>98040</v>
          </cell>
        </row>
        <row r="277">
          <cell r="A277">
            <v>3026</v>
          </cell>
          <cell r="B277">
            <v>1</v>
          </cell>
          <cell r="C277">
            <v>1</v>
          </cell>
          <cell r="E277" t="str">
            <v>20</v>
          </cell>
          <cell r="F277">
            <v>43000200900</v>
          </cell>
          <cell r="G277">
            <v>3</v>
          </cell>
          <cell r="H277" t="str">
            <v>32</v>
          </cell>
          <cell r="I277">
            <v>31</v>
          </cell>
          <cell r="J277">
            <v>20</v>
          </cell>
          <cell r="K277">
            <v>1</v>
          </cell>
          <cell r="L277">
            <v>43</v>
          </cell>
          <cell r="M277" t="str">
            <v>000</v>
          </cell>
          <cell r="N277">
            <v>2</v>
          </cell>
          <cell r="O277" t="str">
            <v>00</v>
          </cell>
          <cell r="P277">
            <v>9</v>
          </cell>
          <cell r="Q277">
            <v>3</v>
          </cell>
          <cell r="R277">
            <v>3</v>
          </cell>
          <cell r="S277">
            <v>2</v>
          </cell>
          <cell r="T277">
            <v>31</v>
          </cell>
          <cell r="U277">
            <v>34</v>
          </cell>
          <cell r="V277">
            <v>1</v>
          </cell>
          <cell r="X277" t="str">
            <v>Secondaire Ens.serv.déconc.</v>
          </cell>
          <cell r="Y277" t="str">
            <v>P2</v>
          </cell>
          <cell r="Z277" t="str">
            <v>Conakry</v>
          </cell>
          <cell r="AA277" t="str">
            <v>Fournitures scolaires PPTE</v>
          </cell>
          <cell r="AB277">
            <v>326350</v>
          </cell>
          <cell r="AC277">
            <v>326350</v>
          </cell>
        </row>
        <row r="278">
          <cell r="A278">
            <v>3002</v>
          </cell>
          <cell r="B278">
            <v>1</v>
          </cell>
          <cell r="C278">
            <v>1</v>
          </cell>
          <cell r="E278" t="str">
            <v>20</v>
          </cell>
          <cell r="F278">
            <v>43000200700</v>
          </cell>
          <cell r="G278">
            <v>3</v>
          </cell>
          <cell r="H278" t="str">
            <v>32</v>
          </cell>
          <cell r="I278">
            <v>32</v>
          </cell>
          <cell r="J278">
            <v>20</v>
          </cell>
          <cell r="K278">
            <v>1</v>
          </cell>
          <cell r="L278">
            <v>43</v>
          </cell>
          <cell r="M278" t="str">
            <v>000</v>
          </cell>
          <cell r="N278">
            <v>2</v>
          </cell>
          <cell r="O278" t="str">
            <v>00</v>
          </cell>
          <cell r="P278">
            <v>7</v>
          </cell>
          <cell r="Q278">
            <v>3</v>
          </cell>
          <cell r="R278">
            <v>3</v>
          </cell>
          <cell r="S278">
            <v>2</v>
          </cell>
          <cell r="T278">
            <v>32</v>
          </cell>
          <cell r="U278">
            <v>33</v>
          </cell>
          <cell r="V278">
            <v>1</v>
          </cell>
          <cell r="X278" t="str">
            <v>Secondaire Ens.serv.déconc.</v>
          </cell>
          <cell r="Y278" t="str">
            <v>P2</v>
          </cell>
          <cell r="Z278" t="str">
            <v>Conakry</v>
          </cell>
          <cell r="AA278" t="str">
            <v>Matériel pédagogique hors PPTE</v>
          </cell>
          <cell r="AB278">
            <v>77720</v>
          </cell>
          <cell r="AC278">
            <v>77720</v>
          </cell>
        </row>
        <row r="279">
          <cell r="A279">
            <v>3027</v>
          </cell>
          <cell r="B279">
            <v>1</v>
          </cell>
          <cell r="C279">
            <v>1</v>
          </cell>
          <cell r="E279" t="str">
            <v>20</v>
          </cell>
          <cell r="F279">
            <v>43000200900</v>
          </cell>
          <cell r="G279">
            <v>3</v>
          </cell>
          <cell r="H279" t="str">
            <v>32</v>
          </cell>
          <cell r="I279">
            <v>32</v>
          </cell>
          <cell r="J279">
            <v>20</v>
          </cell>
          <cell r="K279">
            <v>1</v>
          </cell>
          <cell r="L279">
            <v>43</v>
          </cell>
          <cell r="M279" t="str">
            <v>000</v>
          </cell>
          <cell r="N279">
            <v>2</v>
          </cell>
          <cell r="O279" t="str">
            <v>00</v>
          </cell>
          <cell r="P279">
            <v>9</v>
          </cell>
          <cell r="Q279">
            <v>3</v>
          </cell>
          <cell r="R279">
            <v>3</v>
          </cell>
          <cell r="S279">
            <v>2</v>
          </cell>
          <cell r="T279">
            <v>32</v>
          </cell>
          <cell r="U279">
            <v>34</v>
          </cell>
          <cell r="V279">
            <v>1</v>
          </cell>
          <cell r="X279" t="str">
            <v>Secondaire Ens.serv.déconc.</v>
          </cell>
          <cell r="Y279" t="str">
            <v>P2</v>
          </cell>
          <cell r="Z279" t="str">
            <v>Conakry</v>
          </cell>
          <cell r="AA279" t="str">
            <v>Matériel pédagogique PPTE</v>
          </cell>
          <cell r="AB279">
            <v>185000</v>
          </cell>
          <cell r="AC279">
            <v>185000</v>
          </cell>
        </row>
        <row r="280">
          <cell r="A280">
            <v>3003</v>
          </cell>
          <cell r="B280">
            <v>1</v>
          </cell>
          <cell r="C280">
            <v>1</v>
          </cell>
          <cell r="E280" t="str">
            <v>20</v>
          </cell>
          <cell r="F280">
            <v>43000200700</v>
          </cell>
          <cell r="G280">
            <v>3</v>
          </cell>
          <cell r="H280" t="str">
            <v>32</v>
          </cell>
          <cell r="I280">
            <v>39</v>
          </cell>
          <cell r="J280">
            <v>20</v>
          </cell>
          <cell r="K280">
            <v>1</v>
          </cell>
          <cell r="L280">
            <v>43</v>
          </cell>
          <cell r="M280" t="str">
            <v>000</v>
          </cell>
          <cell r="N280">
            <v>2</v>
          </cell>
          <cell r="O280" t="str">
            <v>00</v>
          </cell>
          <cell r="P280">
            <v>7</v>
          </cell>
          <cell r="Q280">
            <v>3</v>
          </cell>
          <cell r="R280">
            <v>3</v>
          </cell>
          <cell r="S280">
            <v>2</v>
          </cell>
          <cell r="T280">
            <v>39</v>
          </cell>
          <cell r="U280">
            <v>33</v>
          </cell>
          <cell r="V280">
            <v>1</v>
          </cell>
          <cell r="X280" t="str">
            <v>Secondaire Ens.serv.déconc.</v>
          </cell>
          <cell r="Y280" t="str">
            <v>P2</v>
          </cell>
          <cell r="Z280" t="str">
            <v>Conakry</v>
          </cell>
          <cell r="AA280" t="str">
            <v>Autres produits spécifiq. éducation</v>
          </cell>
          <cell r="AB280">
            <v>22500</v>
          </cell>
          <cell r="AC280">
            <v>22500</v>
          </cell>
        </row>
        <row r="281">
          <cell r="A281">
            <v>3004</v>
          </cell>
          <cell r="B281">
            <v>1</v>
          </cell>
          <cell r="C281">
            <v>1</v>
          </cell>
          <cell r="E281" t="str">
            <v>20</v>
          </cell>
          <cell r="F281">
            <v>43000200700</v>
          </cell>
          <cell r="G281">
            <v>3</v>
          </cell>
          <cell r="H281" t="str">
            <v>32</v>
          </cell>
          <cell r="I281">
            <v>41</v>
          </cell>
          <cell r="J281">
            <v>20</v>
          </cell>
          <cell r="K281">
            <v>1</v>
          </cell>
          <cell r="L281">
            <v>43</v>
          </cell>
          <cell r="M281" t="str">
            <v>000</v>
          </cell>
          <cell r="N281">
            <v>2</v>
          </cell>
          <cell r="O281" t="str">
            <v>00</v>
          </cell>
          <cell r="P281">
            <v>7</v>
          </cell>
          <cell r="Q281">
            <v>3</v>
          </cell>
          <cell r="R281">
            <v>3</v>
          </cell>
          <cell r="S281">
            <v>2</v>
          </cell>
          <cell r="T281">
            <v>41</v>
          </cell>
          <cell r="U281">
            <v>33</v>
          </cell>
          <cell r="V281">
            <v>1</v>
          </cell>
          <cell r="X281" t="str">
            <v>Secondaire Ens.serv.déconc.</v>
          </cell>
          <cell r="Y281" t="str">
            <v>P2</v>
          </cell>
          <cell r="Z281" t="str">
            <v>Conakry</v>
          </cell>
          <cell r="AA281" t="str">
            <v>Produits pharmac.</v>
          </cell>
          <cell r="AB281">
            <v>0</v>
          </cell>
          <cell r="AC281">
            <v>0</v>
          </cell>
        </row>
        <row r="282">
          <cell r="A282">
            <v>4828</v>
          </cell>
          <cell r="B282">
            <v>1</v>
          </cell>
          <cell r="C282">
            <v>1</v>
          </cell>
          <cell r="E282" t="str">
            <v>20</v>
          </cell>
          <cell r="F282">
            <v>44000200700</v>
          </cell>
          <cell r="G282">
            <v>3</v>
          </cell>
          <cell r="H282" t="str">
            <v>32</v>
          </cell>
          <cell r="I282">
            <v>12</v>
          </cell>
          <cell r="J282">
            <v>20</v>
          </cell>
          <cell r="K282">
            <v>1</v>
          </cell>
          <cell r="L282">
            <v>44</v>
          </cell>
          <cell r="M282" t="str">
            <v>000</v>
          </cell>
          <cell r="N282">
            <v>2</v>
          </cell>
          <cell r="O282" t="str">
            <v>00</v>
          </cell>
          <cell r="P282">
            <v>7</v>
          </cell>
          <cell r="Q282">
            <v>3</v>
          </cell>
          <cell r="R282">
            <v>3</v>
          </cell>
          <cell r="S282">
            <v>2</v>
          </cell>
          <cell r="T282">
            <v>12</v>
          </cell>
          <cell r="U282">
            <v>36</v>
          </cell>
          <cell r="V282">
            <v>1</v>
          </cell>
          <cell r="W282">
            <v>0</v>
          </cell>
          <cell r="X282" t="str">
            <v>Enseign. Technique</v>
          </cell>
          <cell r="Y282" t="str">
            <v>P3</v>
          </cell>
          <cell r="Z282" t="str">
            <v>Conakry</v>
          </cell>
          <cell r="AA282" t="str">
            <v>Alimentation agents non FP</v>
          </cell>
          <cell r="AB282">
            <v>0</v>
          </cell>
          <cell r="AC282">
            <v>0</v>
          </cell>
        </row>
        <row r="283">
          <cell r="A283">
            <v>4829</v>
          </cell>
          <cell r="B283">
            <v>1</v>
          </cell>
          <cell r="C283">
            <v>1</v>
          </cell>
          <cell r="E283" t="str">
            <v>20</v>
          </cell>
          <cell r="F283">
            <v>44000200700</v>
          </cell>
          <cell r="G283">
            <v>3</v>
          </cell>
          <cell r="H283" t="str">
            <v>32</v>
          </cell>
          <cell r="I283">
            <v>21</v>
          </cell>
          <cell r="J283">
            <v>20</v>
          </cell>
          <cell r="K283">
            <v>1</v>
          </cell>
          <cell r="L283">
            <v>44</v>
          </cell>
          <cell r="M283" t="str">
            <v>000</v>
          </cell>
          <cell r="N283">
            <v>2</v>
          </cell>
          <cell r="O283" t="str">
            <v>00</v>
          </cell>
          <cell r="P283">
            <v>7</v>
          </cell>
          <cell r="Q283">
            <v>3</v>
          </cell>
          <cell r="R283">
            <v>3</v>
          </cell>
          <cell r="S283">
            <v>2</v>
          </cell>
          <cell r="T283">
            <v>21</v>
          </cell>
          <cell r="U283">
            <v>36</v>
          </cell>
          <cell r="V283">
            <v>1</v>
          </cell>
          <cell r="W283">
            <v>0</v>
          </cell>
          <cell r="X283" t="str">
            <v>Enseign. Technique</v>
          </cell>
          <cell r="Y283" t="str">
            <v>P3</v>
          </cell>
          <cell r="Z283" t="str">
            <v>Conakry</v>
          </cell>
          <cell r="AA283" t="str">
            <v>Habillement agents FP</v>
          </cell>
          <cell r="AB283">
            <v>13920</v>
          </cell>
          <cell r="AC283">
            <v>13920</v>
          </cell>
        </row>
        <row r="284">
          <cell r="A284">
            <v>4830</v>
          </cell>
          <cell r="B284">
            <v>1</v>
          </cell>
          <cell r="C284">
            <v>1</v>
          </cell>
          <cell r="E284" t="str">
            <v>20</v>
          </cell>
          <cell r="F284">
            <v>44000200700</v>
          </cell>
          <cell r="G284">
            <v>3</v>
          </cell>
          <cell r="H284" t="str">
            <v>32</v>
          </cell>
          <cell r="I284">
            <v>22</v>
          </cell>
          <cell r="J284">
            <v>20</v>
          </cell>
          <cell r="K284">
            <v>1</v>
          </cell>
          <cell r="L284">
            <v>44</v>
          </cell>
          <cell r="M284" t="str">
            <v>000</v>
          </cell>
          <cell r="N284">
            <v>2</v>
          </cell>
          <cell r="O284" t="str">
            <v>00</v>
          </cell>
          <cell r="P284">
            <v>7</v>
          </cell>
          <cell r="Q284">
            <v>3</v>
          </cell>
          <cell r="R284">
            <v>3</v>
          </cell>
          <cell r="S284">
            <v>2</v>
          </cell>
          <cell r="T284">
            <v>22</v>
          </cell>
          <cell r="U284">
            <v>36</v>
          </cell>
          <cell r="V284">
            <v>1</v>
          </cell>
          <cell r="W284">
            <v>0</v>
          </cell>
          <cell r="X284" t="str">
            <v>Enseign. Technique</v>
          </cell>
          <cell r="Y284" t="str">
            <v>P3</v>
          </cell>
          <cell r="Z284" t="str">
            <v>Conakry</v>
          </cell>
          <cell r="AA284" t="str">
            <v>Habillement agents non FP</v>
          </cell>
          <cell r="AB284">
            <v>14030</v>
          </cell>
          <cell r="AC284">
            <v>14030</v>
          </cell>
        </row>
        <row r="285">
          <cell r="A285">
            <v>4831</v>
          </cell>
          <cell r="B285">
            <v>1</v>
          </cell>
          <cell r="C285">
            <v>1</v>
          </cell>
          <cell r="E285" t="str">
            <v>20</v>
          </cell>
          <cell r="F285">
            <v>44000200700</v>
          </cell>
          <cell r="G285">
            <v>3</v>
          </cell>
          <cell r="H285" t="str">
            <v>32</v>
          </cell>
          <cell r="I285">
            <v>31</v>
          </cell>
          <cell r="J285">
            <v>20</v>
          </cell>
          <cell r="K285">
            <v>1</v>
          </cell>
          <cell r="L285">
            <v>44</v>
          </cell>
          <cell r="M285" t="str">
            <v>000</v>
          </cell>
          <cell r="N285">
            <v>2</v>
          </cell>
          <cell r="O285" t="str">
            <v>00</v>
          </cell>
          <cell r="P285">
            <v>7</v>
          </cell>
          <cell r="Q285">
            <v>3</v>
          </cell>
          <cell r="R285">
            <v>3</v>
          </cell>
          <cell r="S285">
            <v>2</v>
          </cell>
          <cell r="T285">
            <v>31</v>
          </cell>
          <cell r="U285">
            <v>36</v>
          </cell>
          <cell r="V285">
            <v>1</v>
          </cell>
          <cell r="W285">
            <v>0</v>
          </cell>
          <cell r="X285" t="str">
            <v>Enseign. Technique</v>
          </cell>
          <cell r="Y285" t="str">
            <v>P3</v>
          </cell>
          <cell r="Z285" t="str">
            <v>Conakry</v>
          </cell>
          <cell r="AA285" t="str">
            <v>Fournitures scolaires</v>
          </cell>
          <cell r="AB285">
            <v>229140</v>
          </cell>
          <cell r="AC285">
            <v>229140</v>
          </cell>
        </row>
        <row r="286">
          <cell r="A286">
            <v>4832</v>
          </cell>
          <cell r="B286">
            <v>1</v>
          </cell>
          <cell r="C286">
            <v>1</v>
          </cell>
          <cell r="E286" t="str">
            <v>20</v>
          </cell>
          <cell r="F286">
            <v>44000200700</v>
          </cell>
          <cell r="G286">
            <v>3</v>
          </cell>
          <cell r="H286" t="str">
            <v>32</v>
          </cell>
          <cell r="I286">
            <v>39</v>
          </cell>
          <cell r="J286">
            <v>20</v>
          </cell>
          <cell r="K286">
            <v>1</v>
          </cell>
          <cell r="L286">
            <v>44</v>
          </cell>
          <cell r="M286" t="str">
            <v>000</v>
          </cell>
          <cell r="N286">
            <v>2</v>
          </cell>
          <cell r="O286" t="str">
            <v>00</v>
          </cell>
          <cell r="P286">
            <v>7</v>
          </cell>
          <cell r="Q286">
            <v>3</v>
          </cell>
          <cell r="R286">
            <v>3</v>
          </cell>
          <cell r="S286">
            <v>2</v>
          </cell>
          <cell r="T286">
            <v>39</v>
          </cell>
          <cell r="U286">
            <v>36</v>
          </cell>
          <cell r="V286">
            <v>1</v>
          </cell>
          <cell r="W286">
            <v>0</v>
          </cell>
          <cell r="X286" t="str">
            <v>Enseign. Technique</v>
          </cell>
          <cell r="Y286" t="str">
            <v>P3</v>
          </cell>
          <cell r="Z286" t="str">
            <v>Conakry</v>
          </cell>
          <cell r="AA286" t="str">
            <v>Autres pdts spéc. Éducation</v>
          </cell>
          <cell r="AB286">
            <v>666190</v>
          </cell>
          <cell r="AC286">
            <v>666190</v>
          </cell>
        </row>
        <row r="287">
          <cell r="A287">
            <v>4833</v>
          </cell>
          <cell r="B287">
            <v>1</v>
          </cell>
          <cell r="C287">
            <v>1</v>
          </cell>
          <cell r="E287" t="str">
            <v>20</v>
          </cell>
          <cell r="F287">
            <v>44000200700</v>
          </cell>
          <cell r="G287">
            <v>3</v>
          </cell>
          <cell r="H287" t="str">
            <v>32</v>
          </cell>
          <cell r="I287">
            <v>41</v>
          </cell>
          <cell r="J287">
            <v>20</v>
          </cell>
          <cell r="K287">
            <v>1</v>
          </cell>
          <cell r="L287">
            <v>44</v>
          </cell>
          <cell r="M287" t="str">
            <v>000</v>
          </cell>
          <cell r="N287">
            <v>2</v>
          </cell>
          <cell r="O287" t="str">
            <v>00</v>
          </cell>
          <cell r="P287">
            <v>7</v>
          </cell>
          <cell r="Q287">
            <v>3</v>
          </cell>
          <cell r="R287">
            <v>3</v>
          </cell>
          <cell r="S287">
            <v>2</v>
          </cell>
          <cell r="T287">
            <v>41</v>
          </cell>
          <cell r="U287">
            <v>36</v>
          </cell>
          <cell r="V287">
            <v>1</v>
          </cell>
          <cell r="W287">
            <v>0</v>
          </cell>
          <cell r="X287" t="str">
            <v>Enseign. Technique</v>
          </cell>
          <cell r="Y287" t="str">
            <v>P3</v>
          </cell>
          <cell r="Z287" t="str">
            <v>Conakry</v>
          </cell>
          <cell r="AA287" t="str">
            <v>Produits pharmaceutiques</v>
          </cell>
          <cell r="AB287">
            <v>10520</v>
          </cell>
          <cell r="AC287">
            <v>10520</v>
          </cell>
        </row>
        <row r="288">
          <cell r="A288">
            <v>12386</v>
          </cell>
          <cell r="B288">
            <v>1</v>
          </cell>
          <cell r="J288">
            <v>20</v>
          </cell>
          <cell r="K288">
            <v>1</v>
          </cell>
          <cell r="N288">
            <v>3</v>
          </cell>
          <cell r="Q288">
            <v>3</v>
          </cell>
          <cell r="R288">
            <v>3</v>
          </cell>
          <cell r="S288">
            <v>2</v>
          </cell>
          <cell r="X288" t="str">
            <v>Intérieur Services déconcentrés</v>
          </cell>
          <cell r="AB288">
            <v>16741820</v>
          </cell>
          <cell r="AC288">
            <v>16741820</v>
          </cell>
        </row>
        <row r="289">
          <cell r="A289">
            <v>2967</v>
          </cell>
          <cell r="B289">
            <v>1</v>
          </cell>
          <cell r="C289">
            <v>1</v>
          </cell>
          <cell r="E289" t="str">
            <v>20</v>
          </cell>
          <cell r="F289">
            <v>42000300700</v>
          </cell>
          <cell r="G289">
            <v>3</v>
          </cell>
          <cell r="H289" t="str">
            <v>32</v>
          </cell>
          <cell r="I289">
            <v>31</v>
          </cell>
          <cell r="J289">
            <v>20</v>
          </cell>
          <cell r="K289">
            <v>1</v>
          </cell>
          <cell r="L289">
            <v>42</v>
          </cell>
          <cell r="M289" t="str">
            <v>000</v>
          </cell>
          <cell r="N289">
            <v>3</v>
          </cell>
          <cell r="O289" t="str">
            <v>00</v>
          </cell>
          <cell r="P289">
            <v>7</v>
          </cell>
          <cell r="Q289">
            <v>3</v>
          </cell>
          <cell r="R289">
            <v>3</v>
          </cell>
          <cell r="S289">
            <v>2</v>
          </cell>
          <cell r="T289">
            <v>31</v>
          </cell>
          <cell r="U289">
            <v>33</v>
          </cell>
          <cell r="V289">
            <v>1</v>
          </cell>
          <cell r="X289" t="str">
            <v>Primaire Ens.serv.déconc.</v>
          </cell>
          <cell r="Y289" t="str">
            <v>P1</v>
          </cell>
          <cell r="Z289" t="str">
            <v>Intérieur</v>
          </cell>
          <cell r="AA289" t="str">
            <v>Fournitures scolaires hors PPTE</v>
          </cell>
          <cell r="AB289">
            <v>2104140</v>
          </cell>
          <cell r="AC289">
            <v>2104140</v>
          </cell>
        </row>
        <row r="290">
          <cell r="A290">
            <v>2992</v>
          </cell>
          <cell r="B290">
            <v>1</v>
          </cell>
          <cell r="C290">
            <v>1</v>
          </cell>
          <cell r="E290" t="str">
            <v>20</v>
          </cell>
          <cell r="F290">
            <v>42000300900</v>
          </cell>
          <cell r="G290">
            <v>3</v>
          </cell>
          <cell r="H290" t="str">
            <v>32</v>
          </cell>
          <cell r="I290">
            <v>31</v>
          </cell>
          <cell r="J290">
            <v>20</v>
          </cell>
          <cell r="K290">
            <v>1</v>
          </cell>
          <cell r="L290">
            <v>42</v>
          </cell>
          <cell r="M290" t="str">
            <v>000</v>
          </cell>
          <cell r="N290">
            <v>3</v>
          </cell>
          <cell r="O290" t="str">
            <v>00</v>
          </cell>
          <cell r="P290">
            <v>9</v>
          </cell>
          <cell r="Q290">
            <v>3</v>
          </cell>
          <cell r="R290">
            <v>3</v>
          </cell>
          <cell r="S290">
            <v>2</v>
          </cell>
          <cell r="T290">
            <v>31</v>
          </cell>
          <cell r="U290">
            <v>34</v>
          </cell>
          <cell r="V290">
            <v>1</v>
          </cell>
          <cell r="X290" t="str">
            <v>Primaire Ens.serv.déconc.</v>
          </cell>
          <cell r="Y290" t="str">
            <v>P1</v>
          </cell>
          <cell r="Z290" t="str">
            <v>Intérieur</v>
          </cell>
          <cell r="AA290" t="str">
            <v>Fournitures scolaires PPTE</v>
          </cell>
          <cell r="AB290">
            <v>5740680</v>
          </cell>
          <cell r="AC290">
            <v>5740680</v>
          </cell>
        </row>
        <row r="291">
          <cell r="A291">
            <v>2968</v>
          </cell>
          <cell r="B291">
            <v>1</v>
          </cell>
          <cell r="C291">
            <v>1</v>
          </cell>
          <cell r="E291" t="str">
            <v>20</v>
          </cell>
          <cell r="F291">
            <v>42000300700</v>
          </cell>
          <cell r="G291">
            <v>3</v>
          </cell>
          <cell r="H291" t="str">
            <v>32</v>
          </cell>
          <cell r="I291">
            <v>32</v>
          </cell>
          <cell r="J291">
            <v>20</v>
          </cell>
          <cell r="K291">
            <v>1</v>
          </cell>
          <cell r="L291">
            <v>42</v>
          </cell>
          <cell r="M291" t="str">
            <v>000</v>
          </cell>
          <cell r="N291">
            <v>3</v>
          </cell>
          <cell r="O291" t="str">
            <v>00</v>
          </cell>
          <cell r="P291">
            <v>7</v>
          </cell>
          <cell r="Q291">
            <v>3</v>
          </cell>
          <cell r="R291">
            <v>3</v>
          </cell>
          <cell r="S291">
            <v>2</v>
          </cell>
          <cell r="T291">
            <v>32</v>
          </cell>
          <cell r="U291">
            <v>33</v>
          </cell>
          <cell r="V291">
            <v>1</v>
          </cell>
          <cell r="X291" t="str">
            <v>Primaire Ens.serv.déconc.</v>
          </cell>
          <cell r="Y291" t="str">
            <v>P1</v>
          </cell>
          <cell r="Z291" t="str">
            <v>Intérieur</v>
          </cell>
          <cell r="AA291" t="str">
            <v>Matériel pédagogique hors PPTE</v>
          </cell>
          <cell r="AB291">
            <v>509110</v>
          </cell>
          <cell r="AC291">
            <v>509110</v>
          </cell>
        </row>
        <row r="292">
          <cell r="A292">
            <v>2993</v>
          </cell>
          <cell r="B292">
            <v>1</v>
          </cell>
          <cell r="C292">
            <v>1</v>
          </cell>
          <cell r="E292" t="str">
            <v>20</v>
          </cell>
          <cell r="F292">
            <v>42000300900</v>
          </cell>
          <cell r="G292">
            <v>3</v>
          </cell>
          <cell r="H292" t="str">
            <v>32</v>
          </cell>
          <cell r="I292">
            <v>32</v>
          </cell>
          <cell r="J292">
            <v>20</v>
          </cell>
          <cell r="K292">
            <v>1</v>
          </cell>
          <cell r="L292">
            <v>42</v>
          </cell>
          <cell r="M292" t="str">
            <v>000</v>
          </cell>
          <cell r="N292">
            <v>3</v>
          </cell>
          <cell r="O292" t="str">
            <v>00</v>
          </cell>
          <cell r="P292">
            <v>9</v>
          </cell>
          <cell r="Q292">
            <v>3</v>
          </cell>
          <cell r="R292">
            <v>3</v>
          </cell>
          <cell r="S292">
            <v>2</v>
          </cell>
          <cell r="T292">
            <v>32</v>
          </cell>
          <cell r="U292">
            <v>34</v>
          </cell>
          <cell r="V292">
            <v>1</v>
          </cell>
          <cell r="X292" t="str">
            <v>Primaire Ens.serv.déconc.</v>
          </cell>
          <cell r="Y292" t="str">
            <v>P1</v>
          </cell>
          <cell r="Z292" t="str">
            <v>Intérieur</v>
          </cell>
          <cell r="AA292" t="str">
            <v>Matériel pédagogique PPTE</v>
          </cell>
          <cell r="AB292">
            <v>2067180</v>
          </cell>
          <cell r="AC292">
            <v>2067180</v>
          </cell>
        </row>
        <row r="293">
          <cell r="A293">
            <v>2969</v>
          </cell>
          <cell r="B293">
            <v>1</v>
          </cell>
          <cell r="C293">
            <v>1</v>
          </cell>
          <cell r="E293" t="str">
            <v>20</v>
          </cell>
          <cell r="F293">
            <v>42000300700</v>
          </cell>
          <cell r="G293">
            <v>3</v>
          </cell>
          <cell r="H293" t="str">
            <v>32</v>
          </cell>
          <cell r="I293">
            <v>39</v>
          </cell>
          <cell r="J293">
            <v>20</v>
          </cell>
          <cell r="K293">
            <v>1</v>
          </cell>
          <cell r="L293">
            <v>42</v>
          </cell>
          <cell r="M293" t="str">
            <v>000</v>
          </cell>
          <cell r="N293">
            <v>3</v>
          </cell>
          <cell r="O293" t="str">
            <v>00</v>
          </cell>
          <cell r="P293">
            <v>7</v>
          </cell>
          <cell r="Q293">
            <v>3</v>
          </cell>
          <cell r="R293">
            <v>3</v>
          </cell>
          <cell r="S293">
            <v>2</v>
          </cell>
          <cell r="T293">
            <v>39</v>
          </cell>
          <cell r="U293">
            <v>33</v>
          </cell>
          <cell r="V293">
            <v>1</v>
          </cell>
          <cell r="X293" t="str">
            <v>Primaire Ens.serv.déconc.</v>
          </cell>
          <cell r="Y293" t="str">
            <v>P1</v>
          </cell>
          <cell r="Z293" t="str">
            <v>Intérieur</v>
          </cell>
          <cell r="AA293" t="str">
            <v>Autres produits spécifiq. éducation</v>
          </cell>
          <cell r="AB293">
            <v>179220</v>
          </cell>
          <cell r="AC293">
            <v>179220</v>
          </cell>
        </row>
        <row r="294">
          <cell r="A294">
            <v>2970</v>
          </cell>
          <cell r="B294">
            <v>1</v>
          </cell>
          <cell r="C294">
            <v>1</v>
          </cell>
          <cell r="E294" t="str">
            <v>20</v>
          </cell>
          <cell r="F294">
            <v>42000300700</v>
          </cell>
          <cell r="G294">
            <v>3</v>
          </cell>
          <cell r="H294" t="str">
            <v>32</v>
          </cell>
          <cell r="I294">
            <v>41</v>
          </cell>
          <cell r="J294">
            <v>20</v>
          </cell>
          <cell r="K294">
            <v>1</v>
          </cell>
          <cell r="L294">
            <v>42</v>
          </cell>
          <cell r="M294" t="str">
            <v>000</v>
          </cell>
          <cell r="N294">
            <v>3</v>
          </cell>
          <cell r="O294" t="str">
            <v>00</v>
          </cell>
          <cell r="P294">
            <v>7</v>
          </cell>
          <cell r="Q294">
            <v>3</v>
          </cell>
          <cell r="R294">
            <v>3</v>
          </cell>
          <cell r="S294">
            <v>2</v>
          </cell>
          <cell r="T294">
            <v>41</v>
          </cell>
          <cell r="U294">
            <v>33</v>
          </cell>
          <cell r="V294">
            <v>1</v>
          </cell>
          <cell r="X294" t="str">
            <v>Primaire Ens.serv.déconc.</v>
          </cell>
          <cell r="Y294" t="str">
            <v>P1</v>
          </cell>
          <cell r="Z294" t="str">
            <v>Intérieur</v>
          </cell>
          <cell r="AA294" t="str">
            <v>Produits pharmac.</v>
          </cell>
          <cell r="AB294">
            <v>0</v>
          </cell>
          <cell r="AC294">
            <v>0</v>
          </cell>
        </row>
        <row r="295">
          <cell r="A295">
            <v>3029</v>
          </cell>
          <cell r="B295">
            <v>1</v>
          </cell>
          <cell r="C295">
            <v>1</v>
          </cell>
          <cell r="E295" t="str">
            <v>20</v>
          </cell>
          <cell r="F295">
            <v>43000300700</v>
          </cell>
          <cell r="G295">
            <v>3</v>
          </cell>
          <cell r="H295" t="str">
            <v>32</v>
          </cell>
          <cell r="I295">
            <v>31</v>
          </cell>
          <cell r="J295">
            <v>20</v>
          </cell>
          <cell r="K295">
            <v>1</v>
          </cell>
          <cell r="L295">
            <v>43</v>
          </cell>
          <cell r="M295" t="str">
            <v>000</v>
          </cell>
          <cell r="N295">
            <v>3</v>
          </cell>
          <cell r="O295" t="str">
            <v>00</v>
          </cell>
          <cell r="P295">
            <v>7</v>
          </cell>
          <cell r="Q295">
            <v>3</v>
          </cell>
          <cell r="R295">
            <v>3</v>
          </cell>
          <cell r="S295">
            <v>2</v>
          </cell>
          <cell r="T295">
            <v>31</v>
          </cell>
          <cell r="U295">
            <v>33</v>
          </cell>
          <cell r="V295">
            <v>1</v>
          </cell>
          <cell r="X295" t="str">
            <v>Secondaire Ens.serv.déconc.</v>
          </cell>
          <cell r="Y295" t="str">
            <v>P2</v>
          </cell>
          <cell r="Z295" t="str">
            <v>Intérieur</v>
          </cell>
          <cell r="AA295" t="str">
            <v>Fournitures scolaires hors PPTE</v>
          </cell>
          <cell r="AB295">
            <v>289080</v>
          </cell>
          <cell r="AC295">
            <v>289080</v>
          </cell>
        </row>
        <row r="296">
          <cell r="A296">
            <v>3055</v>
          </cell>
          <cell r="B296">
            <v>1</v>
          </cell>
          <cell r="C296">
            <v>1</v>
          </cell>
          <cell r="E296" t="str">
            <v>20</v>
          </cell>
          <cell r="F296">
            <v>43000300900</v>
          </cell>
          <cell r="G296">
            <v>3</v>
          </cell>
          <cell r="H296" t="str">
            <v>32</v>
          </cell>
          <cell r="I296">
            <v>31</v>
          </cell>
          <cell r="J296">
            <v>20</v>
          </cell>
          <cell r="K296">
            <v>1</v>
          </cell>
          <cell r="L296">
            <v>43</v>
          </cell>
          <cell r="M296" t="str">
            <v>000</v>
          </cell>
          <cell r="N296">
            <v>3</v>
          </cell>
          <cell r="O296" t="str">
            <v>00</v>
          </cell>
          <cell r="P296">
            <v>9</v>
          </cell>
          <cell r="Q296">
            <v>3</v>
          </cell>
          <cell r="R296">
            <v>3</v>
          </cell>
          <cell r="S296">
            <v>2</v>
          </cell>
          <cell r="T296">
            <v>31</v>
          </cell>
          <cell r="U296">
            <v>34</v>
          </cell>
          <cell r="V296">
            <v>1</v>
          </cell>
          <cell r="X296" t="str">
            <v>Secondaire Ens.serv.déconc.</v>
          </cell>
          <cell r="Y296" t="str">
            <v>P2</v>
          </cell>
          <cell r="Z296" t="str">
            <v>Intérieur</v>
          </cell>
          <cell r="AA296" t="str">
            <v>Fournitures scolaires PPTE</v>
          </cell>
          <cell r="AB296">
            <v>1973710</v>
          </cell>
          <cell r="AC296">
            <v>1973710</v>
          </cell>
        </row>
        <row r="297">
          <cell r="A297">
            <v>3030</v>
          </cell>
          <cell r="B297">
            <v>1</v>
          </cell>
          <cell r="C297">
            <v>1</v>
          </cell>
          <cell r="E297" t="str">
            <v>20</v>
          </cell>
          <cell r="F297">
            <v>43000300700</v>
          </cell>
          <cell r="G297">
            <v>3</v>
          </cell>
          <cell r="H297" t="str">
            <v>32</v>
          </cell>
          <cell r="I297">
            <v>32</v>
          </cell>
          <cell r="J297">
            <v>20</v>
          </cell>
          <cell r="K297">
            <v>1</v>
          </cell>
          <cell r="L297">
            <v>43</v>
          </cell>
          <cell r="M297" t="str">
            <v>000</v>
          </cell>
          <cell r="N297">
            <v>3</v>
          </cell>
          <cell r="O297" t="str">
            <v>00</v>
          </cell>
          <cell r="P297">
            <v>7</v>
          </cell>
          <cell r="Q297">
            <v>3</v>
          </cell>
          <cell r="R297">
            <v>3</v>
          </cell>
          <cell r="S297">
            <v>2</v>
          </cell>
          <cell r="T297">
            <v>32</v>
          </cell>
          <cell r="U297">
            <v>33</v>
          </cell>
          <cell r="V297">
            <v>1</v>
          </cell>
          <cell r="X297" t="str">
            <v>Secondaire Ens.serv.déconc.</v>
          </cell>
          <cell r="Y297" t="str">
            <v>P2</v>
          </cell>
          <cell r="Z297" t="str">
            <v>Intérieur</v>
          </cell>
          <cell r="AA297" t="str">
            <v>Matériel pédagogique hors PPTE</v>
          </cell>
          <cell r="AB297">
            <v>105190</v>
          </cell>
          <cell r="AC297">
            <v>105190</v>
          </cell>
        </row>
        <row r="298">
          <cell r="A298">
            <v>3056</v>
          </cell>
          <cell r="B298">
            <v>1</v>
          </cell>
          <cell r="C298">
            <v>1</v>
          </cell>
          <cell r="E298" t="str">
            <v>20</v>
          </cell>
          <cell r="F298">
            <v>43000300900</v>
          </cell>
          <cell r="G298">
            <v>3</v>
          </cell>
          <cell r="H298" t="str">
            <v>32</v>
          </cell>
          <cell r="I298">
            <v>32</v>
          </cell>
          <cell r="J298">
            <v>20</v>
          </cell>
          <cell r="K298">
            <v>1</v>
          </cell>
          <cell r="L298">
            <v>43</v>
          </cell>
          <cell r="M298" t="str">
            <v>000</v>
          </cell>
          <cell r="N298">
            <v>3</v>
          </cell>
          <cell r="O298" t="str">
            <v>00</v>
          </cell>
          <cell r="P298">
            <v>9</v>
          </cell>
          <cell r="Q298">
            <v>3</v>
          </cell>
          <cell r="R298">
            <v>3</v>
          </cell>
          <cell r="S298">
            <v>2</v>
          </cell>
          <cell r="T298">
            <v>32</v>
          </cell>
          <cell r="U298">
            <v>34</v>
          </cell>
          <cell r="V298">
            <v>1</v>
          </cell>
          <cell r="X298" t="str">
            <v>Secondaire Ens.serv.déconc.</v>
          </cell>
          <cell r="Y298" t="str">
            <v>P2</v>
          </cell>
          <cell r="Z298" t="str">
            <v>Intérieur</v>
          </cell>
          <cell r="AA298" t="str">
            <v>Matériel pédagogique PPTE</v>
          </cell>
          <cell r="AB298">
            <v>782220</v>
          </cell>
          <cell r="AC298">
            <v>782220</v>
          </cell>
        </row>
        <row r="299">
          <cell r="A299">
            <v>3031</v>
          </cell>
          <cell r="B299">
            <v>1</v>
          </cell>
          <cell r="C299">
            <v>1</v>
          </cell>
          <cell r="E299" t="str">
            <v>20</v>
          </cell>
          <cell r="F299">
            <v>43000300700</v>
          </cell>
          <cell r="G299">
            <v>3</v>
          </cell>
          <cell r="H299" t="str">
            <v>32</v>
          </cell>
          <cell r="I299">
            <v>39</v>
          </cell>
          <cell r="J299">
            <v>20</v>
          </cell>
          <cell r="K299">
            <v>1</v>
          </cell>
          <cell r="L299">
            <v>43</v>
          </cell>
          <cell r="M299" t="str">
            <v>000</v>
          </cell>
          <cell r="N299">
            <v>3</v>
          </cell>
          <cell r="O299" t="str">
            <v>00</v>
          </cell>
          <cell r="P299">
            <v>7</v>
          </cell>
          <cell r="Q299">
            <v>3</v>
          </cell>
          <cell r="R299">
            <v>3</v>
          </cell>
          <cell r="S299">
            <v>2</v>
          </cell>
          <cell r="T299">
            <v>39</v>
          </cell>
          <cell r="U299">
            <v>33</v>
          </cell>
          <cell r="V299">
            <v>1</v>
          </cell>
          <cell r="X299" t="str">
            <v>Secondaire Ens.serv.déconc.</v>
          </cell>
          <cell r="Y299" t="str">
            <v>P2</v>
          </cell>
          <cell r="Z299" t="str">
            <v>Intérieur</v>
          </cell>
          <cell r="AA299" t="str">
            <v>Autres produits spécifiq. éducation</v>
          </cell>
          <cell r="AB299">
            <v>0</v>
          </cell>
          <cell r="AC299">
            <v>0</v>
          </cell>
        </row>
        <row r="300">
          <cell r="A300">
            <v>3032</v>
          </cell>
          <cell r="B300">
            <v>1</v>
          </cell>
          <cell r="C300">
            <v>1</v>
          </cell>
          <cell r="E300" t="str">
            <v>20</v>
          </cell>
          <cell r="F300">
            <v>43000300700</v>
          </cell>
          <cell r="G300">
            <v>3</v>
          </cell>
          <cell r="H300" t="str">
            <v>32</v>
          </cell>
          <cell r="I300">
            <v>41</v>
          </cell>
          <cell r="J300">
            <v>20</v>
          </cell>
          <cell r="K300">
            <v>1</v>
          </cell>
          <cell r="L300">
            <v>43</v>
          </cell>
          <cell r="M300" t="str">
            <v>000</v>
          </cell>
          <cell r="N300">
            <v>3</v>
          </cell>
          <cell r="O300" t="str">
            <v>00</v>
          </cell>
          <cell r="P300">
            <v>7</v>
          </cell>
          <cell r="Q300">
            <v>3</v>
          </cell>
          <cell r="R300">
            <v>3</v>
          </cell>
          <cell r="S300">
            <v>2</v>
          </cell>
          <cell r="T300">
            <v>41</v>
          </cell>
          <cell r="U300">
            <v>33</v>
          </cell>
          <cell r="V300">
            <v>1</v>
          </cell>
          <cell r="X300" t="str">
            <v>Secondaire Ens.serv.déconc.</v>
          </cell>
          <cell r="Y300" t="str">
            <v>P2</v>
          </cell>
          <cell r="Z300" t="str">
            <v>Intérieur</v>
          </cell>
          <cell r="AA300" t="str">
            <v>Produits pharmac.</v>
          </cell>
          <cell r="AB300">
            <v>0</v>
          </cell>
          <cell r="AC300">
            <v>0</v>
          </cell>
        </row>
        <row r="301">
          <cell r="A301">
            <v>4850</v>
          </cell>
          <cell r="B301">
            <v>1</v>
          </cell>
          <cell r="C301">
            <v>1</v>
          </cell>
          <cell r="E301" t="str">
            <v>20</v>
          </cell>
          <cell r="F301">
            <v>44000300700</v>
          </cell>
          <cell r="G301">
            <v>3</v>
          </cell>
          <cell r="H301" t="str">
            <v>32</v>
          </cell>
          <cell r="I301">
            <v>12</v>
          </cell>
          <cell r="J301">
            <v>20</v>
          </cell>
          <cell r="K301">
            <v>1</v>
          </cell>
          <cell r="L301">
            <v>44</v>
          </cell>
          <cell r="M301" t="str">
            <v>000</v>
          </cell>
          <cell r="N301">
            <v>3</v>
          </cell>
          <cell r="O301" t="str">
            <v>00</v>
          </cell>
          <cell r="P301">
            <v>7</v>
          </cell>
          <cell r="Q301">
            <v>3</v>
          </cell>
          <cell r="R301">
            <v>3</v>
          </cell>
          <cell r="S301">
            <v>2</v>
          </cell>
          <cell r="T301">
            <v>12</v>
          </cell>
          <cell r="U301">
            <v>36</v>
          </cell>
          <cell r="V301">
            <v>1</v>
          </cell>
          <cell r="W301">
            <v>0</v>
          </cell>
          <cell r="X301" t="str">
            <v>Enseign. Technique</v>
          </cell>
          <cell r="Y301" t="str">
            <v>P3</v>
          </cell>
          <cell r="Z301" t="str">
            <v>Intérieur</v>
          </cell>
          <cell r="AA301" t="str">
            <v>Alimentation agents non FP</v>
          </cell>
          <cell r="AB301">
            <v>945290</v>
          </cell>
          <cell r="AC301">
            <v>945290</v>
          </cell>
        </row>
        <row r="302">
          <cell r="A302">
            <v>4851</v>
          </cell>
          <cell r="B302">
            <v>1</v>
          </cell>
          <cell r="C302">
            <v>1</v>
          </cell>
          <cell r="E302" t="str">
            <v>20</v>
          </cell>
          <cell r="F302">
            <v>44000300700</v>
          </cell>
          <cell r="G302">
            <v>3</v>
          </cell>
          <cell r="H302" t="str">
            <v>32</v>
          </cell>
          <cell r="I302">
            <v>21</v>
          </cell>
          <cell r="J302">
            <v>20</v>
          </cell>
          <cell r="K302">
            <v>1</v>
          </cell>
          <cell r="L302">
            <v>44</v>
          </cell>
          <cell r="M302" t="str">
            <v>000</v>
          </cell>
          <cell r="N302">
            <v>3</v>
          </cell>
          <cell r="O302" t="str">
            <v>00</v>
          </cell>
          <cell r="P302">
            <v>7</v>
          </cell>
          <cell r="Q302">
            <v>3</v>
          </cell>
          <cell r="R302">
            <v>3</v>
          </cell>
          <cell r="S302">
            <v>2</v>
          </cell>
          <cell r="T302">
            <v>21</v>
          </cell>
          <cell r="U302">
            <v>36</v>
          </cell>
          <cell r="V302">
            <v>1</v>
          </cell>
          <cell r="W302">
            <v>0</v>
          </cell>
          <cell r="X302" t="str">
            <v>Enseign. Technique</v>
          </cell>
          <cell r="Y302" t="str">
            <v>P3</v>
          </cell>
          <cell r="Z302" t="str">
            <v>Intérieur</v>
          </cell>
          <cell r="AA302" t="str">
            <v>Habillement agents FP</v>
          </cell>
          <cell r="AB302">
            <v>16690</v>
          </cell>
          <cell r="AC302">
            <v>16690</v>
          </cell>
        </row>
        <row r="303">
          <cell r="A303">
            <v>4852</v>
          </cell>
          <cell r="B303">
            <v>1</v>
          </cell>
          <cell r="C303">
            <v>1</v>
          </cell>
          <cell r="E303" t="str">
            <v>20</v>
          </cell>
          <cell r="F303">
            <v>44000300700</v>
          </cell>
          <cell r="G303">
            <v>3</v>
          </cell>
          <cell r="H303" t="str">
            <v>32</v>
          </cell>
          <cell r="I303">
            <v>22</v>
          </cell>
          <cell r="J303">
            <v>20</v>
          </cell>
          <cell r="K303">
            <v>1</v>
          </cell>
          <cell r="L303">
            <v>44</v>
          </cell>
          <cell r="M303" t="str">
            <v>000</v>
          </cell>
          <cell r="N303">
            <v>3</v>
          </cell>
          <cell r="O303" t="str">
            <v>00</v>
          </cell>
          <cell r="P303">
            <v>7</v>
          </cell>
          <cell r="Q303">
            <v>3</v>
          </cell>
          <cell r="R303">
            <v>3</v>
          </cell>
          <cell r="S303">
            <v>2</v>
          </cell>
          <cell r="T303">
            <v>22</v>
          </cell>
          <cell r="U303">
            <v>36</v>
          </cell>
          <cell r="V303">
            <v>1</v>
          </cell>
          <cell r="W303">
            <v>0</v>
          </cell>
          <cell r="X303" t="str">
            <v>Enseign. Technique</v>
          </cell>
          <cell r="Y303" t="str">
            <v>P3</v>
          </cell>
          <cell r="Z303" t="str">
            <v>Intérieur</v>
          </cell>
          <cell r="AA303" t="str">
            <v>Habillement agents non FP</v>
          </cell>
          <cell r="AB303">
            <v>19330</v>
          </cell>
          <cell r="AC303">
            <v>19330</v>
          </cell>
        </row>
        <row r="304">
          <cell r="A304">
            <v>4853</v>
          </cell>
          <cell r="B304">
            <v>1</v>
          </cell>
          <cell r="C304">
            <v>1</v>
          </cell>
          <cell r="E304" t="str">
            <v>20</v>
          </cell>
          <cell r="F304">
            <v>44000300700</v>
          </cell>
          <cell r="G304">
            <v>3</v>
          </cell>
          <cell r="H304" t="str">
            <v>32</v>
          </cell>
          <cell r="I304">
            <v>31</v>
          </cell>
          <cell r="J304">
            <v>20</v>
          </cell>
          <cell r="K304">
            <v>1</v>
          </cell>
          <cell r="L304">
            <v>44</v>
          </cell>
          <cell r="M304" t="str">
            <v>000</v>
          </cell>
          <cell r="N304">
            <v>3</v>
          </cell>
          <cell r="O304" t="str">
            <v>00</v>
          </cell>
          <cell r="P304">
            <v>7</v>
          </cell>
          <cell r="Q304">
            <v>3</v>
          </cell>
          <cell r="R304">
            <v>3</v>
          </cell>
          <cell r="S304">
            <v>2</v>
          </cell>
          <cell r="T304">
            <v>31</v>
          </cell>
          <cell r="U304">
            <v>36</v>
          </cell>
          <cell r="V304">
            <v>1</v>
          </cell>
          <cell r="W304">
            <v>0</v>
          </cell>
          <cell r="X304" t="str">
            <v>Enseign. Technique</v>
          </cell>
          <cell r="Y304" t="str">
            <v>P3</v>
          </cell>
          <cell r="Z304" t="str">
            <v>Intérieur</v>
          </cell>
          <cell r="AA304" t="str">
            <v>Fournitures scolaires</v>
          </cell>
          <cell r="AB304">
            <v>501740</v>
          </cell>
          <cell r="AC304">
            <v>501740</v>
          </cell>
        </row>
        <row r="305">
          <cell r="A305">
            <v>4854</v>
          </cell>
          <cell r="B305">
            <v>1</v>
          </cell>
          <cell r="C305">
            <v>1</v>
          </cell>
          <cell r="E305" t="str">
            <v>20</v>
          </cell>
          <cell r="F305">
            <v>44000300700</v>
          </cell>
          <cell r="G305">
            <v>3</v>
          </cell>
          <cell r="H305" t="str">
            <v>32</v>
          </cell>
          <cell r="I305">
            <v>39</v>
          </cell>
          <cell r="J305">
            <v>20</v>
          </cell>
          <cell r="K305">
            <v>1</v>
          </cell>
          <cell r="L305">
            <v>44</v>
          </cell>
          <cell r="M305" t="str">
            <v>000</v>
          </cell>
          <cell r="N305">
            <v>3</v>
          </cell>
          <cell r="O305" t="str">
            <v>00</v>
          </cell>
          <cell r="P305">
            <v>7</v>
          </cell>
          <cell r="Q305">
            <v>3</v>
          </cell>
          <cell r="R305">
            <v>3</v>
          </cell>
          <cell r="S305">
            <v>2</v>
          </cell>
          <cell r="T305">
            <v>39</v>
          </cell>
          <cell r="U305">
            <v>36</v>
          </cell>
          <cell r="V305">
            <v>1</v>
          </cell>
          <cell r="W305">
            <v>0</v>
          </cell>
          <cell r="X305" t="str">
            <v>Enseign. Technique</v>
          </cell>
          <cell r="Y305" t="str">
            <v>P3</v>
          </cell>
          <cell r="Z305" t="str">
            <v>Intérieur</v>
          </cell>
          <cell r="AA305" t="str">
            <v>Autres pdts spéc. Éducation</v>
          </cell>
          <cell r="AB305">
            <v>867790</v>
          </cell>
          <cell r="AC305">
            <v>867790</v>
          </cell>
        </row>
        <row r="306">
          <cell r="A306">
            <v>4855</v>
          </cell>
          <cell r="B306">
            <v>1</v>
          </cell>
          <cell r="C306">
            <v>1</v>
          </cell>
          <cell r="E306" t="str">
            <v>20</v>
          </cell>
          <cell r="F306">
            <v>44000300700</v>
          </cell>
          <cell r="G306">
            <v>3</v>
          </cell>
          <cell r="H306" t="str">
            <v>32</v>
          </cell>
          <cell r="I306">
            <v>41</v>
          </cell>
          <cell r="J306">
            <v>20</v>
          </cell>
          <cell r="K306">
            <v>1</v>
          </cell>
          <cell r="L306">
            <v>44</v>
          </cell>
          <cell r="M306" t="str">
            <v>000</v>
          </cell>
          <cell r="N306">
            <v>3</v>
          </cell>
          <cell r="O306" t="str">
            <v>00</v>
          </cell>
          <cell r="P306">
            <v>7</v>
          </cell>
          <cell r="Q306">
            <v>3</v>
          </cell>
          <cell r="R306">
            <v>3</v>
          </cell>
          <cell r="S306">
            <v>2</v>
          </cell>
          <cell r="T306">
            <v>41</v>
          </cell>
          <cell r="U306">
            <v>36</v>
          </cell>
          <cell r="V306">
            <v>1</v>
          </cell>
          <cell r="W306">
            <v>0</v>
          </cell>
          <cell r="X306" t="str">
            <v>Enseign. Technique</v>
          </cell>
          <cell r="Y306" t="str">
            <v>P3</v>
          </cell>
          <cell r="Z306" t="str">
            <v>Intérieur</v>
          </cell>
          <cell r="AA306" t="str">
            <v>Produits pharmaceutiques</v>
          </cell>
          <cell r="AB306">
            <v>14030</v>
          </cell>
          <cell r="AC306">
            <v>14030</v>
          </cell>
        </row>
        <row r="307">
          <cell r="A307">
            <v>4856</v>
          </cell>
          <cell r="B307">
            <v>1</v>
          </cell>
          <cell r="C307">
            <v>1</v>
          </cell>
          <cell r="E307" t="str">
            <v>20</v>
          </cell>
          <cell r="F307">
            <v>44000300700</v>
          </cell>
          <cell r="G307">
            <v>3</v>
          </cell>
          <cell r="H307" t="str">
            <v>32</v>
          </cell>
          <cell r="I307">
            <v>51</v>
          </cell>
          <cell r="J307">
            <v>20</v>
          </cell>
          <cell r="K307">
            <v>1</v>
          </cell>
          <cell r="L307">
            <v>44</v>
          </cell>
          <cell r="M307" t="str">
            <v>000</v>
          </cell>
          <cell r="N307">
            <v>3</v>
          </cell>
          <cell r="O307" t="str">
            <v>00</v>
          </cell>
          <cell r="P307">
            <v>7</v>
          </cell>
          <cell r="Q307">
            <v>3</v>
          </cell>
          <cell r="R307">
            <v>3</v>
          </cell>
          <cell r="S307">
            <v>2</v>
          </cell>
          <cell r="T307">
            <v>51</v>
          </cell>
          <cell r="U307">
            <v>36</v>
          </cell>
          <cell r="V307">
            <v>1</v>
          </cell>
          <cell r="W307">
            <v>0</v>
          </cell>
          <cell r="X307" t="str">
            <v>Enseign. Technique</v>
          </cell>
          <cell r="Y307" t="str">
            <v>P3</v>
          </cell>
          <cell r="Z307" t="str">
            <v>Intérieur</v>
          </cell>
          <cell r="AA307" t="str">
            <v>Pdts spéc. Agriculture</v>
          </cell>
          <cell r="AB307">
            <v>38570</v>
          </cell>
          <cell r="AC307">
            <v>38570</v>
          </cell>
        </row>
        <row r="308">
          <cell r="A308">
            <v>4857</v>
          </cell>
          <cell r="B308">
            <v>1</v>
          </cell>
          <cell r="C308">
            <v>1</v>
          </cell>
          <cell r="E308" t="str">
            <v>20</v>
          </cell>
          <cell r="F308">
            <v>44000300700</v>
          </cell>
          <cell r="G308">
            <v>3</v>
          </cell>
          <cell r="H308" t="str">
            <v>32</v>
          </cell>
          <cell r="I308">
            <v>52</v>
          </cell>
          <cell r="J308">
            <v>20</v>
          </cell>
          <cell r="K308">
            <v>1</v>
          </cell>
          <cell r="L308">
            <v>44</v>
          </cell>
          <cell r="M308" t="str">
            <v>000</v>
          </cell>
          <cell r="N308">
            <v>3</v>
          </cell>
          <cell r="O308" t="str">
            <v>00</v>
          </cell>
          <cell r="P308">
            <v>7</v>
          </cell>
          <cell r="Q308">
            <v>3</v>
          </cell>
          <cell r="R308">
            <v>3</v>
          </cell>
          <cell r="S308">
            <v>2</v>
          </cell>
          <cell r="T308">
            <v>52</v>
          </cell>
          <cell r="U308">
            <v>36</v>
          </cell>
          <cell r="V308">
            <v>1</v>
          </cell>
          <cell r="W308">
            <v>0</v>
          </cell>
          <cell r="X308" t="str">
            <v>Enseign. Technique</v>
          </cell>
          <cell r="Y308" t="str">
            <v>P3</v>
          </cell>
          <cell r="Z308" t="str">
            <v>Intérieur</v>
          </cell>
          <cell r="AA308" t="str">
            <v xml:space="preserve">Produits vétérinaires </v>
          </cell>
          <cell r="AB308">
            <v>28050</v>
          </cell>
          <cell r="AC308">
            <v>28050</v>
          </cell>
        </row>
        <row r="309">
          <cell r="A309">
            <v>4885</v>
          </cell>
          <cell r="B309">
            <v>1</v>
          </cell>
          <cell r="C309">
            <v>1</v>
          </cell>
          <cell r="E309" t="str">
            <v>20</v>
          </cell>
          <cell r="F309">
            <v>44234300700</v>
          </cell>
          <cell r="G309">
            <v>3</v>
          </cell>
          <cell r="H309" t="str">
            <v>32</v>
          </cell>
          <cell r="I309">
            <v>12</v>
          </cell>
          <cell r="J309">
            <v>20</v>
          </cell>
          <cell r="K309">
            <v>1</v>
          </cell>
          <cell r="L309">
            <v>44</v>
          </cell>
          <cell r="M309">
            <v>234</v>
          </cell>
          <cell r="N309">
            <v>3</v>
          </cell>
          <cell r="O309" t="str">
            <v>00</v>
          </cell>
          <cell r="P309">
            <v>7</v>
          </cell>
          <cell r="Q309">
            <v>3</v>
          </cell>
          <cell r="R309">
            <v>3</v>
          </cell>
          <cell r="S309">
            <v>2</v>
          </cell>
          <cell r="T309" t="str">
            <v>12</v>
          </cell>
          <cell r="U309">
            <v>36</v>
          </cell>
          <cell r="V309">
            <v>1</v>
          </cell>
          <cell r="X309" t="str">
            <v>ENATEF Contrib coop helvétique</v>
          </cell>
          <cell r="Y309" t="str">
            <v>P3</v>
          </cell>
          <cell r="Z309" t="str">
            <v>Intérieur</v>
          </cell>
          <cell r="AA309" t="str">
            <v>Alimentation agents non FP</v>
          </cell>
          <cell r="AB309">
            <v>224880</v>
          </cell>
          <cell r="AC309">
            <v>224880</v>
          </cell>
        </row>
        <row r="310">
          <cell r="A310">
            <v>4886</v>
          </cell>
          <cell r="B310">
            <v>1</v>
          </cell>
          <cell r="C310">
            <v>1</v>
          </cell>
          <cell r="E310" t="str">
            <v>20</v>
          </cell>
          <cell r="F310">
            <v>44234300700</v>
          </cell>
          <cell r="G310">
            <v>3</v>
          </cell>
          <cell r="H310" t="str">
            <v>32</v>
          </cell>
          <cell r="I310">
            <v>31</v>
          </cell>
          <cell r="J310">
            <v>20</v>
          </cell>
          <cell r="K310">
            <v>1</v>
          </cell>
          <cell r="L310">
            <v>44</v>
          </cell>
          <cell r="M310">
            <v>234</v>
          </cell>
          <cell r="N310">
            <v>3</v>
          </cell>
          <cell r="O310" t="str">
            <v>00</v>
          </cell>
          <cell r="P310">
            <v>7</v>
          </cell>
          <cell r="Q310">
            <v>3</v>
          </cell>
          <cell r="R310">
            <v>3</v>
          </cell>
          <cell r="S310">
            <v>2</v>
          </cell>
          <cell r="T310" t="str">
            <v>31</v>
          </cell>
          <cell r="U310">
            <v>36</v>
          </cell>
          <cell r="V310">
            <v>1</v>
          </cell>
          <cell r="X310" t="str">
            <v>ENATEF Contrib coop helvétique</v>
          </cell>
          <cell r="Y310" t="str">
            <v>P3</v>
          </cell>
          <cell r="Z310" t="str">
            <v>Intérieur</v>
          </cell>
          <cell r="AA310" t="str">
            <v>Fournitures scolaires</v>
          </cell>
          <cell r="AB310">
            <v>334920</v>
          </cell>
          <cell r="AC310">
            <v>334920</v>
          </cell>
        </row>
        <row r="311">
          <cell r="A311">
            <v>12388</v>
          </cell>
          <cell r="B311">
            <v>1</v>
          </cell>
          <cell r="J311">
            <v>20</v>
          </cell>
          <cell r="K311">
            <v>1</v>
          </cell>
          <cell r="N311">
            <v>9</v>
          </cell>
          <cell r="Q311">
            <v>3</v>
          </cell>
          <cell r="R311">
            <v>3</v>
          </cell>
          <cell r="S311">
            <v>2</v>
          </cell>
          <cell r="X311" t="str">
            <v>Ensemble Non ventilé</v>
          </cell>
          <cell r="AB311">
            <v>0</v>
          </cell>
          <cell r="AC311">
            <v>0</v>
          </cell>
        </row>
        <row r="312">
          <cell r="A312">
            <v>2996</v>
          </cell>
          <cell r="B312">
            <v>1</v>
          </cell>
          <cell r="C312">
            <v>1</v>
          </cell>
          <cell r="E312" t="str">
            <v>20</v>
          </cell>
          <cell r="F312">
            <v>42000900700</v>
          </cell>
          <cell r="G312">
            <v>3</v>
          </cell>
          <cell r="H312" t="str">
            <v>32</v>
          </cell>
          <cell r="I312">
            <v>11</v>
          </cell>
          <cell r="J312">
            <v>20</v>
          </cell>
          <cell r="K312">
            <v>1</v>
          </cell>
          <cell r="L312">
            <v>42</v>
          </cell>
          <cell r="M312" t="str">
            <v>000</v>
          </cell>
          <cell r="N312">
            <v>9</v>
          </cell>
          <cell r="O312" t="str">
            <v>00</v>
          </cell>
          <cell r="P312">
            <v>7</v>
          </cell>
          <cell r="Q312">
            <v>3</v>
          </cell>
          <cell r="R312">
            <v>3</v>
          </cell>
          <cell r="S312">
            <v>2</v>
          </cell>
          <cell r="T312">
            <v>11</v>
          </cell>
          <cell r="U312">
            <v>93</v>
          </cell>
          <cell r="V312">
            <v>1</v>
          </cell>
          <cell r="X312" t="str">
            <v>Primaire Ens.serv</v>
          </cell>
          <cell r="Y312" t="str">
            <v>P1</v>
          </cell>
          <cell r="Z312" t="str">
            <v>Ens. NV</v>
          </cell>
          <cell r="AA312" t="str">
            <v>Pdts aliment. agents FP</v>
          </cell>
          <cell r="AB312">
            <v>0</v>
          </cell>
          <cell r="AC312">
            <v>0</v>
          </cell>
        </row>
        <row r="313">
          <cell r="A313">
            <v>2997</v>
          </cell>
          <cell r="B313">
            <v>1</v>
          </cell>
          <cell r="C313">
            <v>1</v>
          </cell>
          <cell r="E313" t="str">
            <v>20</v>
          </cell>
          <cell r="F313">
            <v>42000900700</v>
          </cell>
          <cell r="G313">
            <v>3</v>
          </cell>
          <cell r="H313" t="str">
            <v>32</v>
          </cell>
          <cell r="I313">
            <v>21</v>
          </cell>
          <cell r="J313">
            <v>20</v>
          </cell>
          <cell r="K313">
            <v>1</v>
          </cell>
          <cell r="L313">
            <v>42</v>
          </cell>
          <cell r="M313" t="str">
            <v>000</v>
          </cell>
          <cell r="N313">
            <v>9</v>
          </cell>
          <cell r="O313" t="str">
            <v>00</v>
          </cell>
          <cell r="P313">
            <v>7</v>
          </cell>
          <cell r="Q313">
            <v>3</v>
          </cell>
          <cell r="R313">
            <v>3</v>
          </cell>
          <cell r="S313">
            <v>2</v>
          </cell>
          <cell r="T313">
            <v>21</v>
          </cell>
          <cell r="U313">
            <v>93</v>
          </cell>
          <cell r="V313">
            <v>1</v>
          </cell>
          <cell r="X313" t="str">
            <v>Primaire Ens.serv</v>
          </cell>
          <cell r="Y313" t="str">
            <v>P1</v>
          </cell>
          <cell r="Z313" t="str">
            <v>Ens. NV</v>
          </cell>
          <cell r="AA313" t="str">
            <v>Habits uniform. Agents FP</v>
          </cell>
          <cell r="AB313">
            <v>0</v>
          </cell>
          <cell r="AC313">
            <v>0</v>
          </cell>
        </row>
        <row r="314">
          <cell r="A314">
            <v>12390</v>
          </cell>
          <cell r="B314">
            <v>1</v>
          </cell>
          <cell r="D314" t="str">
            <v>I</v>
          </cell>
          <cell r="J314">
            <v>20</v>
          </cell>
          <cell r="K314">
            <v>1</v>
          </cell>
          <cell r="Q314">
            <v>3</v>
          </cell>
          <cell r="R314">
            <v>3</v>
          </cell>
          <cell r="S314">
            <v>3</v>
          </cell>
          <cell r="X314" t="str">
            <v xml:space="preserve">Prestations diverses </v>
          </cell>
          <cell r="AB314">
            <v>7515920</v>
          </cell>
          <cell r="AC314">
            <v>7515920</v>
          </cell>
        </row>
        <row r="315">
          <cell r="A315">
            <v>12392</v>
          </cell>
          <cell r="B315">
            <v>1</v>
          </cell>
          <cell r="J315">
            <v>20</v>
          </cell>
          <cell r="K315">
            <v>1</v>
          </cell>
          <cell r="N315">
            <v>1</v>
          </cell>
          <cell r="Q315">
            <v>3</v>
          </cell>
          <cell r="R315">
            <v>3</v>
          </cell>
          <cell r="S315">
            <v>3</v>
          </cell>
          <cell r="X315" t="str">
            <v>Services centraux</v>
          </cell>
          <cell r="AB315">
            <v>7306510</v>
          </cell>
          <cell r="AC315">
            <v>7306510</v>
          </cell>
        </row>
        <row r="316">
          <cell r="A316">
            <v>4927</v>
          </cell>
          <cell r="B316">
            <v>1</v>
          </cell>
          <cell r="C316">
            <v>1</v>
          </cell>
          <cell r="E316" t="str">
            <v>20</v>
          </cell>
          <cell r="F316">
            <v>44508100700</v>
          </cell>
          <cell r="G316">
            <v>3</v>
          </cell>
          <cell r="H316" t="str">
            <v>33</v>
          </cell>
          <cell r="I316">
            <v>21</v>
          </cell>
          <cell r="J316">
            <v>20</v>
          </cell>
          <cell r="K316">
            <v>1</v>
          </cell>
          <cell r="L316">
            <v>44</v>
          </cell>
          <cell r="M316">
            <v>508</v>
          </cell>
          <cell r="N316">
            <v>1</v>
          </cell>
          <cell r="O316" t="str">
            <v>00</v>
          </cell>
          <cell r="P316">
            <v>7</v>
          </cell>
          <cell r="Q316">
            <v>3</v>
          </cell>
          <cell r="R316">
            <v>3</v>
          </cell>
          <cell r="S316">
            <v>3</v>
          </cell>
          <cell r="T316">
            <v>21</v>
          </cell>
          <cell r="U316">
            <v>96</v>
          </cell>
          <cell r="V316">
            <v>1</v>
          </cell>
          <cell r="X316" t="str">
            <v>Cogetep  &amp; CLD</v>
          </cell>
          <cell r="Y316" t="str">
            <v>P5</v>
          </cell>
          <cell r="Z316" t="str">
            <v>Serv.Cent</v>
          </cell>
          <cell r="AA316" t="str">
            <v>Réunions séminaires conférences</v>
          </cell>
          <cell r="AB316">
            <v>0</v>
          </cell>
          <cell r="AC316">
            <v>0</v>
          </cell>
        </row>
        <row r="317">
          <cell r="A317">
            <v>4932</v>
          </cell>
          <cell r="B317">
            <v>1</v>
          </cell>
          <cell r="C317">
            <v>1</v>
          </cell>
          <cell r="E317" t="str">
            <v>20</v>
          </cell>
          <cell r="F317">
            <v>44900100700</v>
          </cell>
          <cell r="G317">
            <v>3</v>
          </cell>
          <cell r="H317" t="str">
            <v>33</v>
          </cell>
          <cell r="I317">
            <v>21</v>
          </cell>
          <cell r="J317">
            <v>20</v>
          </cell>
          <cell r="K317">
            <v>1</v>
          </cell>
          <cell r="L317">
            <v>44</v>
          </cell>
          <cell r="M317">
            <v>900</v>
          </cell>
          <cell r="N317">
            <v>1</v>
          </cell>
          <cell r="O317" t="str">
            <v>00</v>
          </cell>
          <cell r="P317">
            <v>7</v>
          </cell>
          <cell r="Q317">
            <v>3</v>
          </cell>
          <cell r="R317">
            <v>3</v>
          </cell>
          <cell r="S317">
            <v>3</v>
          </cell>
          <cell r="T317">
            <v>21</v>
          </cell>
          <cell r="U317">
            <v>96</v>
          </cell>
          <cell r="V317">
            <v>1</v>
          </cell>
          <cell r="X317" t="str">
            <v>Enseign. Technique Autres serv centraux</v>
          </cell>
          <cell r="Y317" t="str">
            <v>P5</v>
          </cell>
          <cell r="Z317" t="str">
            <v>Serv.cent.</v>
          </cell>
          <cell r="AA317" t="str">
            <v>Réunions séminaires conférences</v>
          </cell>
          <cell r="AB317">
            <v>71800</v>
          </cell>
          <cell r="AC317">
            <v>71800</v>
          </cell>
        </row>
        <row r="318">
          <cell r="A318">
            <v>4933</v>
          </cell>
          <cell r="B318">
            <v>1</v>
          </cell>
          <cell r="C318">
            <v>1</v>
          </cell>
          <cell r="E318" t="str">
            <v>20</v>
          </cell>
          <cell r="F318">
            <v>44900100700</v>
          </cell>
          <cell r="G318">
            <v>3</v>
          </cell>
          <cell r="H318" t="str">
            <v>33</v>
          </cell>
          <cell r="I318">
            <v>31</v>
          </cell>
          <cell r="J318">
            <v>20</v>
          </cell>
          <cell r="K318">
            <v>1</v>
          </cell>
          <cell r="L318">
            <v>44</v>
          </cell>
          <cell r="M318">
            <v>900</v>
          </cell>
          <cell r="N318">
            <v>1</v>
          </cell>
          <cell r="O318" t="str">
            <v>00</v>
          </cell>
          <cell r="P318">
            <v>7</v>
          </cell>
          <cell r="Q318">
            <v>3</v>
          </cell>
          <cell r="R318">
            <v>3</v>
          </cell>
          <cell r="S318">
            <v>3</v>
          </cell>
          <cell r="T318">
            <v>31</v>
          </cell>
          <cell r="U318">
            <v>96</v>
          </cell>
          <cell r="V318">
            <v>1</v>
          </cell>
          <cell r="X318" t="str">
            <v>Enseign. Technique Autres serv centraux</v>
          </cell>
          <cell r="Y318" t="str">
            <v>P5</v>
          </cell>
          <cell r="Z318" t="str">
            <v>Serv.cent.</v>
          </cell>
          <cell r="AA318" t="str">
            <v>Rembt frais medicaux agents FP</v>
          </cell>
          <cell r="AB318">
            <v>15590</v>
          </cell>
          <cell r="AC318">
            <v>15590</v>
          </cell>
        </row>
        <row r="319">
          <cell r="A319">
            <v>4934</v>
          </cell>
          <cell r="B319">
            <v>1</v>
          </cell>
          <cell r="C319">
            <v>1</v>
          </cell>
          <cell r="E319" t="str">
            <v>20</v>
          </cell>
          <cell r="F319">
            <v>44900100700</v>
          </cell>
          <cell r="G319">
            <v>3</v>
          </cell>
          <cell r="H319" t="str">
            <v>33</v>
          </cell>
          <cell r="I319">
            <v>55</v>
          </cell>
          <cell r="J319">
            <v>20</v>
          </cell>
          <cell r="K319">
            <v>1</v>
          </cell>
          <cell r="L319">
            <v>44</v>
          </cell>
          <cell r="M319">
            <v>900</v>
          </cell>
          <cell r="N319">
            <v>1</v>
          </cell>
          <cell r="O319" t="str">
            <v>00</v>
          </cell>
          <cell r="P319">
            <v>7</v>
          </cell>
          <cell r="Q319">
            <v>3</v>
          </cell>
          <cell r="R319">
            <v>3</v>
          </cell>
          <cell r="S319">
            <v>3</v>
          </cell>
          <cell r="T319">
            <v>55</v>
          </cell>
          <cell r="U319">
            <v>96</v>
          </cell>
          <cell r="V319">
            <v>1</v>
          </cell>
          <cell r="X319" t="str">
            <v>Enseign. Technique Autres serv centraux</v>
          </cell>
          <cell r="Y319" t="str">
            <v>P5</v>
          </cell>
          <cell r="Z319" t="str">
            <v>Serv.cent.</v>
          </cell>
          <cell r="AA319" t="str">
            <v>Nettoyage de locaux</v>
          </cell>
          <cell r="AB319">
            <v>14030</v>
          </cell>
          <cell r="AC319">
            <v>14030</v>
          </cell>
        </row>
        <row r="320">
          <cell r="A320">
            <v>4964</v>
          </cell>
          <cell r="B320">
            <v>1</v>
          </cell>
          <cell r="C320">
            <v>1</v>
          </cell>
          <cell r="E320" t="str">
            <v>20</v>
          </cell>
          <cell r="F320">
            <v>46000100600</v>
          </cell>
          <cell r="G320">
            <v>3</v>
          </cell>
          <cell r="H320" t="str">
            <v>33</v>
          </cell>
          <cell r="I320">
            <v>31</v>
          </cell>
          <cell r="J320">
            <v>20</v>
          </cell>
          <cell r="K320">
            <v>1</v>
          </cell>
          <cell r="L320">
            <v>46</v>
          </cell>
          <cell r="M320" t="str">
            <v>000</v>
          </cell>
          <cell r="N320">
            <v>1</v>
          </cell>
          <cell r="O320" t="str">
            <v>00</v>
          </cell>
          <cell r="P320">
            <v>6</v>
          </cell>
          <cell r="Q320">
            <v>3</v>
          </cell>
          <cell r="R320">
            <v>3</v>
          </cell>
          <cell r="S320">
            <v>3</v>
          </cell>
          <cell r="T320">
            <v>31</v>
          </cell>
          <cell r="U320">
            <v>98</v>
          </cell>
          <cell r="V320">
            <v>1</v>
          </cell>
          <cell r="W320">
            <v>0</v>
          </cell>
          <cell r="X320" t="str">
            <v xml:space="preserve">Enseig. Supérieur </v>
          </cell>
          <cell r="Y320" t="str">
            <v>P5</v>
          </cell>
          <cell r="Z320" t="str">
            <v>Serv.cent.</v>
          </cell>
          <cell r="AA320" t="str">
            <v>Remb. frais médicaux agents FP</v>
          </cell>
          <cell r="AB320">
            <v>19440</v>
          </cell>
          <cell r="AC320">
            <v>19440</v>
          </cell>
        </row>
        <row r="321">
          <cell r="A321">
            <v>5040</v>
          </cell>
          <cell r="B321">
            <v>1</v>
          </cell>
          <cell r="C321">
            <v>1</v>
          </cell>
          <cell r="E321" t="str">
            <v>20</v>
          </cell>
          <cell r="F321">
            <v>46900100600</v>
          </cell>
          <cell r="G321">
            <v>3</v>
          </cell>
          <cell r="H321" t="str">
            <v>33</v>
          </cell>
          <cell r="I321">
            <v>11</v>
          </cell>
          <cell r="J321">
            <v>20</v>
          </cell>
          <cell r="K321">
            <v>1</v>
          </cell>
          <cell r="L321">
            <v>46</v>
          </cell>
          <cell r="M321">
            <v>900</v>
          </cell>
          <cell r="N321">
            <v>1</v>
          </cell>
          <cell r="O321" t="str">
            <v>00</v>
          </cell>
          <cell r="P321">
            <v>6</v>
          </cell>
          <cell r="Q321">
            <v>3</v>
          </cell>
          <cell r="R321">
            <v>3</v>
          </cell>
          <cell r="S321">
            <v>3</v>
          </cell>
          <cell r="T321">
            <v>11</v>
          </cell>
          <cell r="U321">
            <v>98</v>
          </cell>
          <cell r="V321">
            <v>1</v>
          </cell>
          <cell r="W321">
            <v>0</v>
          </cell>
          <cell r="X321" t="str">
            <v>Enseig. Supérieur Autres serv centraux</v>
          </cell>
          <cell r="Y321" t="str">
            <v>P5</v>
          </cell>
          <cell r="Z321" t="str">
            <v>Serv.cent.</v>
          </cell>
          <cell r="AA321" t="str">
            <v>Loyer bureaux bât.adm</v>
          </cell>
          <cell r="AB321">
            <v>266540</v>
          </cell>
          <cell r="AC321">
            <v>266540</v>
          </cell>
        </row>
        <row r="322">
          <cell r="A322">
            <v>5041</v>
          </cell>
          <cell r="B322">
            <v>1</v>
          </cell>
          <cell r="C322">
            <v>1</v>
          </cell>
          <cell r="E322" t="str">
            <v>20</v>
          </cell>
          <cell r="F322">
            <v>46900100600</v>
          </cell>
          <cell r="G322">
            <v>3</v>
          </cell>
          <cell r="H322" t="str">
            <v>33</v>
          </cell>
          <cell r="I322">
            <v>21</v>
          </cell>
          <cell r="J322">
            <v>20</v>
          </cell>
          <cell r="K322">
            <v>1</v>
          </cell>
          <cell r="L322">
            <v>46</v>
          </cell>
          <cell r="M322">
            <v>900</v>
          </cell>
          <cell r="N322">
            <v>1</v>
          </cell>
          <cell r="O322" t="str">
            <v>00</v>
          </cell>
          <cell r="P322">
            <v>6</v>
          </cell>
          <cell r="Q322">
            <v>3</v>
          </cell>
          <cell r="R322">
            <v>3</v>
          </cell>
          <cell r="S322">
            <v>3</v>
          </cell>
          <cell r="T322">
            <v>21</v>
          </cell>
          <cell r="U322">
            <v>98</v>
          </cell>
          <cell r="V322">
            <v>1</v>
          </cell>
          <cell r="W322">
            <v>0</v>
          </cell>
          <cell r="X322" t="str">
            <v>Enseig. Supérieur Autres serv centraux</v>
          </cell>
          <cell r="Y322" t="str">
            <v>P5</v>
          </cell>
          <cell r="Z322" t="str">
            <v>Serv.cent.</v>
          </cell>
          <cell r="AA322" t="str">
            <v>Réunion, séminaire, conf.</v>
          </cell>
          <cell r="AB322">
            <v>158820</v>
          </cell>
          <cell r="AC322">
            <v>158820</v>
          </cell>
        </row>
        <row r="323">
          <cell r="A323">
            <v>5042</v>
          </cell>
          <cell r="B323">
            <v>1</v>
          </cell>
          <cell r="C323">
            <v>1</v>
          </cell>
          <cell r="E323" t="str">
            <v>20</v>
          </cell>
          <cell r="F323">
            <v>46900100600</v>
          </cell>
          <cell r="G323">
            <v>3</v>
          </cell>
          <cell r="H323" t="str">
            <v>33</v>
          </cell>
          <cell r="I323">
            <v>22</v>
          </cell>
          <cell r="J323">
            <v>20</v>
          </cell>
          <cell r="K323">
            <v>1</v>
          </cell>
          <cell r="L323">
            <v>46</v>
          </cell>
          <cell r="M323">
            <v>900</v>
          </cell>
          <cell r="N323">
            <v>1</v>
          </cell>
          <cell r="O323" t="str">
            <v>00</v>
          </cell>
          <cell r="P323">
            <v>6</v>
          </cell>
          <cell r="Q323">
            <v>3</v>
          </cell>
          <cell r="R323">
            <v>3</v>
          </cell>
          <cell r="S323">
            <v>3</v>
          </cell>
          <cell r="T323">
            <v>22</v>
          </cell>
          <cell r="U323">
            <v>98</v>
          </cell>
          <cell r="V323">
            <v>1</v>
          </cell>
          <cell r="W323">
            <v>0</v>
          </cell>
          <cell r="X323" t="str">
            <v>Enseig. Supérieur Autres serv centraux</v>
          </cell>
          <cell r="Y323" t="str">
            <v>P5</v>
          </cell>
          <cell r="Z323" t="str">
            <v>Serv.cent.</v>
          </cell>
          <cell r="AA323" t="str">
            <v>Stage et formation</v>
          </cell>
          <cell r="AB323">
            <v>24540</v>
          </cell>
          <cell r="AC323">
            <v>24540</v>
          </cell>
        </row>
        <row r="324">
          <cell r="A324">
            <v>5043</v>
          </cell>
          <cell r="B324">
            <v>1</v>
          </cell>
          <cell r="C324">
            <v>1</v>
          </cell>
          <cell r="E324" t="str">
            <v>20</v>
          </cell>
          <cell r="F324">
            <v>46900100600</v>
          </cell>
          <cell r="G324">
            <v>3</v>
          </cell>
          <cell r="H324" t="str">
            <v>33</v>
          </cell>
          <cell r="I324">
            <v>42</v>
          </cell>
          <cell r="J324">
            <v>20</v>
          </cell>
          <cell r="K324">
            <v>1</v>
          </cell>
          <cell r="L324">
            <v>46</v>
          </cell>
          <cell r="M324">
            <v>900</v>
          </cell>
          <cell r="N324">
            <v>1</v>
          </cell>
          <cell r="O324" t="str">
            <v>00</v>
          </cell>
          <cell r="P324">
            <v>6</v>
          </cell>
          <cell r="Q324">
            <v>3</v>
          </cell>
          <cell r="R324">
            <v>3</v>
          </cell>
          <cell r="S324">
            <v>3</v>
          </cell>
          <cell r="T324">
            <v>42</v>
          </cell>
          <cell r="U324">
            <v>98</v>
          </cell>
          <cell r="V324">
            <v>1</v>
          </cell>
          <cell r="W324">
            <v>0</v>
          </cell>
          <cell r="X324" t="str">
            <v>Enseig. Supérieur Autres serv centraux</v>
          </cell>
          <cell r="Y324" t="str">
            <v>P5</v>
          </cell>
          <cell r="Z324" t="str">
            <v>Serv.cent.</v>
          </cell>
          <cell r="AA324" t="str">
            <v>Frais postaux (yc valise diplomatique)</v>
          </cell>
          <cell r="AB324">
            <v>0</v>
          </cell>
          <cell r="AC324">
            <v>0</v>
          </cell>
        </row>
        <row r="325">
          <cell r="A325">
            <v>5044</v>
          </cell>
          <cell r="B325">
            <v>1</v>
          </cell>
          <cell r="C325">
            <v>1</v>
          </cell>
          <cell r="E325" t="str">
            <v>20</v>
          </cell>
          <cell r="F325">
            <v>46900100600</v>
          </cell>
          <cell r="G325">
            <v>3</v>
          </cell>
          <cell r="H325" t="str">
            <v>33</v>
          </cell>
          <cell r="I325">
            <v>55</v>
          </cell>
          <cell r="J325">
            <v>20</v>
          </cell>
          <cell r="K325">
            <v>1</v>
          </cell>
          <cell r="L325">
            <v>46</v>
          </cell>
          <cell r="M325">
            <v>900</v>
          </cell>
          <cell r="N325">
            <v>1</v>
          </cell>
          <cell r="O325" t="str">
            <v>00</v>
          </cell>
          <cell r="P325">
            <v>6</v>
          </cell>
          <cell r="Q325">
            <v>3</v>
          </cell>
          <cell r="R325">
            <v>3</v>
          </cell>
          <cell r="S325">
            <v>3</v>
          </cell>
          <cell r="T325">
            <v>55</v>
          </cell>
          <cell r="U325">
            <v>98</v>
          </cell>
          <cell r="V325">
            <v>1</v>
          </cell>
          <cell r="W325">
            <v>0</v>
          </cell>
          <cell r="X325" t="str">
            <v>Enseig. Supérieur Autres serv centraux</v>
          </cell>
          <cell r="Y325" t="str">
            <v>P5</v>
          </cell>
          <cell r="Z325" t="str">
            <v>Serv.cent.</v>
          </cell>
          <cell r="AA325" t="str">
            <v>Nettoyage de locaux</v>
          </cell>
          <cell r="AB325">
            <v>35060</v>
          </cell>
          <cell r="AC325">
            <v>35060</v>
          </cell>
        </row>
        <row r="326">
          <cell r="A326">
            <v>5045</v>
          </cell>
          <cell r="B326">
            <v>1</v>
          </cell>
          <cell r="C326">
            <v>1</v>
          </cell>
          <cell r="E326" t="str">
            <v>20</v>
          </cell>
          <cell r="F326">
            <v>46900100600</v>
          </cell>
          <cell r="G326">
            <v>3</v>
          </cell>
          <cell r="H326" t="str">
            <v>33</v>
          </cell>
          <cell r="I326">
            <v>69</v>
          </cell>
          <cell r="J326">
            <v>20</v>
          </cell>
          <cell r="K326">
            <v>1</v>
          </cell>
          <cell r="L326">
            <v>46</v>
          </cell>
          <cell r="M326">
            <v>900</v>
          </cell>
          <cell r="N326">
            <v>1</v>
          </cell>
          <cell r="O326" t="str">
            <v>00</v>
          </cell>
          <cell r="P326">
            <v>6</v>
          </cell>
          <cell r="Q326">
            <v>3</v>
          </cell>
          <cell r="R326">
            <v>3</v>
          </cell>
          <cell r="S326">
            <v>3</v>
          </cell>
          <cell r="T326">
            <v>69</v>
          </cell>
          <cell r="U326">
            <v>98</v>
          </cell>
          <cell r="V326">
            <v>1</v>
          </cell>
          <cell r="W326">
            <v>0</v>
          </cell>
          <cell r="X326" t="str">
            <v>Enseig. Supérieur Autres serv centraux</v>
          </cell>
          <cell r="Y326" t="str">
            <v>P5</v>
          </cell>
          <cell r="Z326" t="str">
            <v>Serv.cent.</v>
          </cell>
          <cell r="AA326" t="str">
            <v>Autres prestations intellectuelles</v>
          </cell>
          <cell r="AB326">
            <v>445150</v>
          </cell>
          <cell r="AC326">
            <v>445150</v>
          </cell>
        </row>
        <row r="327">
          <cell r="A327">
            <v>3172</v>
          </cell>
          <cell r="B327">
            <v>1</v>
          </cell>
          <cell r="C327">
            <v>1</v>
          </cell>
          <cell r="E327" t="str">
            <v>20</v>
          </cell>
          <cell r="F327">
            <v>49900100700</v>
          </cell>
          <cell r="G327">
            <v>3</v>
          </cell>
          <cell r="H327" t="str">
            <v>33</v>
          </cell>
          <cell r="I327">
            <v>11</v>
          </cell>
          <cell r="J327">
            <v>20</v>
          </cell>
          <cell r="K327">
            <v>1</v>
          </cell>
          <cell r="L327">
            <v>49</v>
          </cell>
          <cell r="M327">
            <v>900</v>
          </cell>
          <cell r="N327">
            <v>1</v>
          </cell>
          <cell r="O327" t="str">
            <v>00</v>
          </cell>
          <cell r="P327">
            <v>7</v>
          </cell>
          <cell r="Q327">
            <v>3</v>
          </cell>
          <cell r="R327">
            <v>3</v>
          </cell>
          <cell r="S327">
            <v>3</v>
          </cell>
          <cell r="T327">
            <v>11</v>
          </cell>
          <cell r="U327">
            <v>93</v>
          </cell>
          <cell r="V327">
            <v>1</v>
          </cell>
          <cell r="X327" t="str">
            <v>Enseig. Serv adm Autres serv centraux</v>
          </cell>
          <cell r="Y327" t="str">
            <v>P5</v>
          </cell>
          <cell r="Z327" t="str">
            <v>Serv.centr.</v>
          </cell>
          <cell r="AA327" t="str">
            <v>Loyers bureaux bât.adm.</v>
          </cell>
          <cell r="AB327">
            <v>430140</v>
          </cell>
          <cell r="AC327">
            <v>430140</v>
          </cell>
        </row>
        <row r="328">
          <cell r="A328">
            <v>3173</v>
          </cell>
          <cell r="B328">
            <v>1</v>
          </cell>
          <cell r="C328">
            <v>1</v>
          </cell>
          <cell r="E328" t="str">
            <v>20</v>
          </cell>
          <cell r="F328">
            <v>49900100700</v>
          </cell>
          <cell r="G328">
            <v>3</v>
          </cell>
          <cell r="H328" t="str">
            <v>33</v>
          </cell>
          <cell r="I328">
            <v>21</v>
          </cell>
          <cell r="J328">
            <v>20</v>
          </cell>
          <cell r="K328">
            <v>1</v>
          </cell>
          <cell r="L328">
            <v>49</v>
          </cell>
          <cell r="M328">
            <v>900</v>
          </cell>
          <cell r="N328">
            <v>1</v>
          </cell>
          <cell r="O328" t="str">
            <v>00</v>
          </cell>
          <cell r="P328">
            <v>7</v>
          </cell>
          <cell r="Q328">
            <v>3</v>
          </cell>
          <cell r="R328">
            <v>3</v>
          </cell>
          <cell r="S328">
            <v>3</v>
          </cell>
          <cell r="T328">
            <v>21</v>
          </cell>
          <cell r="U328">
            <v>93</v>
          </cell>
          <cell r="V328">
            <v>1</v>
          </cell>
          <cell r="X328" t="str">
            <v>Enseig. Serv adm Autres serv centraux</v>
          </cell>
          <cell r="Y328" t="str">
            <v>P5</v>
          </cell>
          <cell r="Z328" t="str">
            <v>Serv.centr.</v>
          </cell>
          <cell r="AA328" t="str">
            <v>Réunions séminair. conféren.</v>
          </cell>
          <cell r="AB328">
            <v>1104760</v>
          </cell>
          <cell r="AC328">
            <v>1104760</v>
          </cell>
        </row>
        <row r="329">
          <cell r="A329">
            <v>3174</v>
          </cell>
          <cell r="B329">
            <v>1</v>
          </cell>
          <cell r="C329">
            <v>1</v>
          </cell>
          <cell r="E329" t="str">
            <v>20</v>
          </cell>
          <cell r="F329">
            <v>49900100700</v>
          </cell>
          <cell r="G329">
            <v>3</v>
          </cell>
          <cell r="H329" t="str">
            <v>33</v>
          </cell>
          <cell r="I329">
            <v>22</v>
          </cell>
          <cell r="J329">
            <v>20</v>
          </cell>
          <cell r="K329">
            <v>1</v>
          </cell>
          <cell r="L329">
            <v>49</v>
          </cell>
          <cell r="M329">
            <v>900</v>
          </cell>
          <cell r="N329">
            <v>1</v>
          </cell>
          <cell r="O329" t="str">
            <v>00</v>
          </cell>
          <cell r="P329">
            <v>7</v>
          </cell>
          <cell r="Q329">
            <v>3</v>
          </cell>
          <cell r="R329">
            <v>3</v>
          </cell>
          <cell r="S329">
            <v>3</v>
          </cell>
          <cell r="T329">
            <v>22</v>
          </cell>
          <cell r="U329">
            <v>93</v>
          </cell>
          <cell r="V329">
            <v>1</v>
          </cell>
          <cell r="X329" t="str">
            <v>Enseig. Serv adm Autres serv centraux</v>
          </cell>
          <cell r="Y329" t="str">
            <v>P5</v>
          </cell>
          <cell r="Z329" t="str">
            <v>Serv.centr.</v>
          </cell>
          <cell r="AA329" t="str">
            <v>Stage &amp; formation</v>
          </cell>
          <cell r="AB329">
            <v>79410</v>
          </cell>
          <cell r="AC329">
            <v>79410</v>
          </cell>
        </row>
        <row r="330">
          <cell r="A330">
            <v>3175</v>
          </cell>
          <cell r="B330">
            <v>1</v>
          </cell>
          <cell r="C330">
            <v>1</v>
          </cell>
          <cell r="E330" t="str">
            <v>20</v>
          </cell>
          <cell r="F330">
            <v>49900100700</v>
          </cell>
          <cell r="G330">
            <v>3</v>
          </cell>
          <cell r="H330" t="str">
            <v>33</v>
          </cell>
          <cell r="I330">
            <v>31</v>
          </cell>
          <cell r="J330">
            <v>20</v>
          </cell>
          <cell r="K330">
            <v>1</v>
          </cell>
          <cell r="L330">
            <v>49</v>
          </cell>
          <cell r="M330">
            <v>900</v>
          </cell>
          <cell r="N330">
            <v>1</v>
          </cell>
          <cell r="O330" t="str">
            <v>00</v>
          </cell>
          <cell r="P330">
            <v>7</v>
          </cell>
          <cell r="Q330">
            <v>3</v>
          </cell>
          <cell r="R330">
            <v>3</v>
          </cell>
          <cell r="S330">
            <v>3</v>
          </cell>
          <cell r="T330">
            <v>31</v>
          </cell>
          <cell r="U330">
            <v>93</v>
          </cell>
          <cell r="V330">
            <v>1</v>
          </cell>
          <cell r="X330" t="str">
            <v>Enseig. Serv adm Autres serv centraux</v>
          </cell>
          <cell r="Y330" t="str">
            <v>P5</v>
          </cell>
          <cell r="Z330" t="str">
            <v>Serv.centr.</v>
          </cell>
          <cell r="AA330" t="str">
            <v>Remb. Frais médicaux agents FP</v>
          </cell>
          <cell r="AB330">
            <v>13010</v>
          </cell>
          <cell r="AC330">
            <v>13010</v>
          </cell>
        </row>
        <row r="331">
          <cell r="A331">
            <v>3176</v>
          </cell>
          <cell r="B331">
            <v>1</v>
          </cell>
          <cell r="C331">
            <v>1</v>
          </cell>
          <cell r="E331" t="str">
            <v>20</v>
          </cell>
          <cell r="F331">
            <v>49900100700</v>
          </cell>
          <cell r="G331">
            <v>3</v>
          </cell>
          <cell r="H331" t="str">
            <v>33</v>
          </cell>
          <cell r="I331">
            <v>41</v>
          </cell>
          <cell r="J331">
            <v>20</v>
          </cell>
          <cell r="K331">
            <v>1</v>
          </cell>
          <cell r="L331">
            <v>49</v>
          </cell>
          <cell r="M331">
            <v>900</v>
          </cell>
          <cell r="N331">
            <v>1</v>
          </cell>
          <cell r="O331" t="str">
            <v>00</v>
          </cell>
          <cell r="P331">
            <v>7</v>
          </cell>
          <cell r="Q331">
            <v>3</v>
          </cell>
          <cell r="R331">
            <v>3</v>
          </cell>
          <cell r="S331">
            <v>3</v>
          </cell>
          <cell r="T331">
            <v>41</v>
          </cell>
          <cell r="U331">
            <v>93</v>
          </cell>
          <cell r="V331">
            <v>1</v>
          </cell>
          <cell r="X331" t="str">
            <v>Enseig. Serv adm Autres serv centraux</v>
          </cell>
          <cell r="Y331" t="str">
            <v>P5</v>
          </cell>
          <cell r="Z331" t="str">
            <v>Serv.centr.</v>
          </cell>
          <cell r="AA331" t="str">
            <v>Frais transit &amp; manutent.</v>
          </cell>
          <cell r="AB331">
            <v>48720</v>
          </cell>
          <cell r="AC331">
            <v>48720</v>
          </cell>
        </row>
        <row r="332">
          <cell r="A332">
            <v>3177</v>
          </cell>
          <cell r="B332">
            <v>1</v>
          </cell>
          <cell r="C332">
            <v>1</v>
          </cell>
          <cell r="E332" t="str">
            <v>20</v>
          </cell>
          <cell r="F332">
            <v>49900100700</v>
          </cell>
          <cell r="G332">
            <v>3</v>
          </cell>
          <cell r="H332" t="str">
            <v>33</v>
          </cell>
          <cell r="I332">
            <v>43</v>
          </cell>
          <cell r="J332">
            <v>20</v>
          </cell>
          <cell r="K332">
            <v>1</v>
          </cell>
          <cell r="L332">
            <v>49</v>
          </cell>
          <cell r="M332">
            <v>900</v>
          </cell>
          <cell r="N332">
            <v>1</v>
          </cell>
          <cell r="O332" t="str">
            <v>00</v>
          </cell>
          <cell r="P332">
            <v>7</v>
          </cell>
          <cell r="Q332">
            <v>3</v>
          </cell>
          <cell r="R332">
            <v>3</v>
          </cell>
          <cell r="S332">
            <v>3</v>
          </cell>
          <cell r="T332">
            <v>43</v>
          </cell>
          <cell r="U332">
            <v>93</v>
          </cell>
          <cell r="V332">
            <v>1</v>
          </cell>
          <cell r="X332" t="str">
            <v>Enseig. Serv adm Autres serv centraux</v>
          </cell>
          <cell r="Y332" t="str">
            <v>P5</v>
          </cell>
          <cell r="Z332" t="str">
            <v>Serv.centr.</v>
          </cell>
          <cell r="AA332" t="str">
            <v>Impres. publicité document.</v>
          </cell>
          <cell r="AB332">
            <v>0</v>
          </cell>
          <cell r="AC332">
            <v>0</v>
          </cell>
        </row>
        <row r="333">
          <cell r="A333">
            <v>3178</v>
          </cell>
          <cell r="B333">
            <v>1</v>
          </cell>
          <cell r="C333">
            <v>1</v>
          </cell>
          <cell r="E333" t="str">
            <v>20</v>
          </cell>
          <cell r="F333">
            <v>49900100700</v>
          </cell>
          <cell r="G333">
            <v>3</v>
          </cell>
          <cell r="H333" t="str">
            <v>33</v>
          </cell>
          <cell r="I333">
            <v>55</v>
          </cell>
          <cell r="J333">
            <v>20</v>
          </cell>
          <cell r="K333">
            <v>1</v>
          </cell>
          <cell r="L333">
            <v>49</v>
          </cell>
          <cell r="M333">
            <v>900</v>
          </cell>
          <cell r="N333">
            <v>1</v>
          </cell>
          <cell r="O333" t="str">
            <v>00</v>
          </cell>
          <cell r="P333">
            <v>7</v>
          </cell>
          <cell r="Q333">
            <v>3</v>
          </cell>
          <cell r="R333">
            <v>3</v>
          </cell>
          <cell r="S333">
            <v>3</v>
          </cell>
          <cell r="T333">
            <v>55</v>
          </cell>
          <cell r="U333">
            <v>93</v>
          </cell>
          <cell r="V333">
            <v>1</v>
          </cell>
          <cell r="X333" t="str">
            <v>Enseig. Serv adm Autres serv centraux</v>
          </cell>
          <cell r="Y333" t="str">
            <v>P5</v>
          </cell>
          <cell r="Z333" t="str">
            <v>Serv.centr.</v>
          </cell>
          <cell r="AA333" t="str">
            <v>Nettoyage de locaux</v>
          </cell>
          <cell r="AB333">
            <v>32790</v>
          </cell>
          <cell r="AC333">
            <v>32790</v>
          </cell>
        </row>
        <row r="334">
          <cell r="A334">
            <v>3179</v>
          </cell>
          <cell r="B334">
            <v>1</v>
          </cell>
          <cell r="C334">
            <v>1</v>
          </cell>
          <cell r="E334" t="str">
            <v>20</v>
          </cell>
          <cell r="F334">
            <v>49900100700</v>
          </cell>
          <cell r="G334">
            <v>3</v>
          </cell>
          <cell r="H334" t="str">
            <v>33</v>
          </cell>
          <cell r="I334">
            <v>71</v>
          </cell>
          <cell r="J334">
            <v>20</v>
          </cell>
          <cell r="K334">
            <v>1</v>
          </cell>
          <cell r="L334">
            <v>49</v>
          </cell>
          <cell r="M334">
            <v>900</v>
          </cell>
          <cell r="N334">
            <v>1</v>
          </cell>
          <cell r="O334" t="str">
            <v>00</v>
          </cell>
          <cell r="P334">
            <v>7</v>
          </cell>
          <cell r="Q334">
            <v>3</v>
          </cell>
          <cell r="R334">
            <v>3</v>
          </cell>
          <cell r="S334">
            <v>3</v>
          </cell>
          <cell r="T334">
            <v>71</v>
          </cell>
          <cell r="U334">
            <v>93</v>
          </cell>
          <cell r="V334">
            <v>1</v>
          </cell>
          <cell r="X334" t="str">
            <v>Enseig. Serv adm Autres serv centraux</v>
          </cell>
          <cell r="Y334" t="str">
            <v>P5</v>
          </cell>
          <cell r="Z334" t="str">
            <v>Serv.centr.</v>
          </cell>
          <cell r="AA334" t="str">
            <v>Internet-Intranet et assimilés</v>
          </cell>
          <cell r="AB334">
            <v>4397200</v>
          </cell>
          <cell r="AC334">
            <v>4397200</v>
          </cell>
        </row>
        <row r="335">
          <cell r="A335">
            <v>3180</v>
          </cell>
          <cell r="B335">
            <v>1</v>
          </cell>
          <cell r="C335">
            <v>1</v>
          </cell>
          <cell r="E335" t="str">
            <v>20</v>
          </cell>
          <cell r="F335">
            <v>49900100700</v>
          </cell>
          <cell r="G335">
            <v>3</v>
          </cell>
          <cell r="H335" t="str">
            <v>33</v>
          </cell>
          <cell r="I335">
            <v>81</v>
          </cell>
          <cell r="J335">
            <v>20</v>
          </cell>
          <cell r="K335">
            <v>1</v>
          </cell>
          <cell r="L335">
            <v>49</v>
          </cell>
          <cell r="M335">
            <v>900</v>
          </cell>
          <cell r="N335">
            <v>1</v>
          </cell>
          <cell r="O335" t="str">
            <v>00</v>
          </cell>
          <cell r="P335">
            <v>7</v>
          </cell>
          <cell r="Q335">
            <v>3</v>
          </cell>
          <cell r="R335">
            <v>3</v>
          </cell>
          <cell r="S335">
            <v>3</v>
          </cell>
          <cell r="T335">
            <v>81</v>
          </cell>
          <cell r="U335">
            <v>93</v>
          </cell>
          <cell r="V335">
            <v>1</v>
          </cell>
          <cell r="X335" t="str">
            <v>Enseig. Serv adm Autres serv centraux</v>
          </cell>
          <cell r="Y335" t="str">
            <v>P5</v>
          </cell>
          <cell r="Z335" t="str">
            <v>Serv.centr.</v>
          </cell>
          <cell r="AA335" t="str">
            <v>Frais d' assurance</v>
          </cell>
          <cell r="AB335">
            <v>149510</v>
          </cell>
          <cell r="AC335">
            <v>149510</v>
          </cell>
        </row>
        <row r="336">
          <cell r="A336">
            <v>3181</v>
          </cell>
          <cell r="B336">
            <v>1</v>
          </cell>
          <cell r="C336">
            <v>1</v>
          </cell>
          <cell r="E336" t="str">
            <v>20</v>
          </cell>
          <cell r="F336">
            <v>49900100700</v>
          </cell>
          <cell r="G336">
            <v>3</v>
          </cell>
          <cell r="H336" t="str">
            <v>33</v>
          </cell>
          <cell r="I336">
            <v>90</v>
          </cell>
          <cell r="J336">
            <v>20</v>
          </cell>
          <cell r="K336">
            <v>1</v>
          </cell>
          <cell r="L336">
            <v>49</v>
          </cell>
          <cell r="M336">
            <v>900</v>
          </cell>
          <cell r="N336">
            <v>1</v>
          </cell>
          <cell r="O336" t="str">
            <v>00</v>
          </cell>
          <cell r="P336">
            <v>7</v>
          </cell>
          <cell r="Q336">
            <v>3</v>
          </cell>
          <cell r="R336">
            <v>3</v>
          </cell>
          <cell r="S336">
            <v>3</v>
          </cell>
          <cell r="T336">
            <v>90</v>
          </cell>
          <cell r="U336">
            <v>93</v>
          </cell>
          <cell r="V336">
            <v>1</v>
          </cell>
          <cell r="X336" t="str">
            <v>Enseig. Serv adm Autres serv centraux</v>
          </cell>
          <cell r="Y336" t="str">
            <v>P5</v>
          </cell>
          <cell r="Z336" t="str">
            <v>Serv.centr.</v>
          </cell>
          <cell r="AA336" t="str">
            <v>Autres prest.serv. ménages h.FP</v>
          </cell>
          <cell r="AB336">
            <v>0</v>
          </cell>
          <cell r="AC336">
            <v>0</v>
          </cell>
        </row>
        <row r="337">
          <cell r="A337">
            <v>12394</v>
          </cell>
          <cell r="B337">
            <v>1</v>
          </cell>
          <cell r="J337">
            <v>20</v>
          </cell>
          <cell r="K337">
            <v>1</v>
          </cell>
          <cell r="N337">
            <v>2</v>
          </cell>
          <cell r="Q337">
            <v>3</v>
          </cell>
          <cell r="R337">
            <v>3</v>
          </cell>
          <cell r="S337">
            <v>3</v>
          </cell>
          <cell r="X337" t="str">
            <v>Conakry Services déconcentrés</v>
          </cell>
          <cell r="AB337">
            <v>34100</v>
          </cell>
          <cell r="AC337">
            <v>34100</v>
          </cell>
        </row>
        <row r="338">
          <cell r="A338">
            <v>2944</v>
          </cell>
          <cell r="B338">
            <v>1</v>
          </cell>
          <cell r="C338">
            <v>1</v>
          </cell>
          <cell r="E338" t="str">
            <v>20</v>
          </cell>
          <cell r="F338">
            <v>42000200700</v>
          </cell>
          <cell r="G338">
            <v>3</v>
          </cell>
          <cell r="H338" t="str">
            <v>33</v>
          </cell>
          <cell r="I338">
            <v>22</v>
          </cell>
          <cell r="J338">
            <v>20</v>
          </cell>
          <cell r="K338">
            <v>1</v>
          </cell>
          <cell r="L338">
            <v>42</v>
          </cell>
          <cell r="M338" t="str">
            <v>000</v>
          </cell>
          <cell r="N338">
            <v>2</v>
          </cell>
          <cell r="O338" t="str">
            <v>00</v>
          </cell>
          <cell r="P338">
            <v>7</v>
          </cell>
          <cell r="Q338">
            <v>3</v>
          </cell>
          <cell r="R338">
            <v>3</v>
          </cell>
          <cell r="S338">
            <v>3</v>
          </cell>
          <cell r="T338">
            <v>22</v>
          </cell>
          <cell r="U338">
            <v>33</v>
          </cell>
          <cell r="V338">
            <v>1</v>
          </cell>
          <cell r="X338" t="str">
            <v>Primaire Ens.serv.déconc.</v>
          </cell>
          <cell r="Y338" t="str">
            <v>P5</v>
          </cell>
          <cell r="Z338" t="str">
            <v>Conakry</v>
          </cell>
          <cell r="AA338" t="str">
            <v>Stage &amp; formation</v>
          </cell>
          <cell r="AB338">
            <v>0</v>
          </cell>
          <cell r="AC338">
            <v>0</v>
          </cell>
        </row>
        <row r="339">
          <cell r="A339">
            <v>2945</v>
          </cell>
          <cell r="B339">
            <v>1</v>
          </cell>
          <cell r="C339">
            <v>1</v>
          </cell>
          <cell r="E339" t="str">
            <v>20</v>
          </cell>
          <cell r="F339">
            <v>42000200700</v>
          </cell>
          <cell r="G339">
            <v>3</v>
          </cell>
          <cell r="H339" t="str">
            <v>33</v>
          </cell>
          <cell r="I339">
            <v>31</v>
          </cell>
          <cell r="J339">
            <v>20</v>
          </cell>
          <cell r="K339">
            <v>1</v>
          </cell>
          <cell r="L339">
            <v>42</v>
          </cell>
          <cell r="M339" t="str">
            <v>000</v>
          </cell>
          <cell r="N339">
            <v>2</v>
          </cell>
          <cell r="O339" t="str">
            <v>00</v>
          </cell>
          <cell r="P339">
            <v>7</v>
          </cell>
          <cell r="Q339">
            <v>3</v>
          </cell>
          <cell r="R339">
            <v>3</v>
          </cell>
          <cell r="S339">
            <v>3</v>
          </cell>
          <cell r="T339">
            <v>31</v>
          </cell>
          <cell r="U339">
            <v>33</v>
          </cell>
          <cell r="V339">
            <v>1</v>
          </cell>
          <cell r="X339" t="str">
            <v>Primaire Ens.serv.déconc.</v>
          </cell>
          <cell r="Y339" t="str">
            <v>P5</v>
          </cell>
          <cell r="Z339" t="str">
            <v>Conakry</v>
          </cell>
          <cell r="AA339" t="str">
            <v>Remb. Frais médicaux agents FP</v>
          </cell>
          <cell r="AB339">
            <v>20690</v>
          </cell>
          <cell r="AC339">
            <v>20690</v>
          </cell>
        </row>
        <row r="340">
          <cell r="A340">
            <v>2946</v>
          </cell>
          <cell r="B340">
            <v>1</v>
          </cell>
          <cell r="C340">
            <v>1</v>
          </cell>
          <cell r="E340" t="str">
            <v>20</v>
          </cell>
          <cell r="F340">
            <v>42000200700</v>
          </cell>
          <cell r="G340">
            <v>3</v>
          </cell>
          <cell r="H340" t="str">
            <v>33</v>
          </cell>
          <cell r="I340">
            <v>69</v>
          </cell>
          <cell r="J340">
            <v>20</v>
          </cell>
          <cell r="K340">
            <v>1</v>
          </cell>
          <cell r="L340">
            <v>42</v>
          </cell>
          <cell r="M340" t="str">
            <v>000</v>
          </cell>
          <cell r="N340">
            <v>2</v>
          </cell>
          <cell r="O340" t="str">
            <v>00</v>
          </cell>
          <cell r="P340">
            <v>7</v>
          </cell>
          <cell r="Q340">
            <v>3</v>
          </cell>
          <cell r="R340">
            <v>3</v>
          </cell>
          <cell r="S340">
            <v>3</v>
          </cell>
          <cell r="T340">
            <v>69</v>
          </cell>
          <cell r="U340">
            <v>33</v>
          </cell>
          <cell r="V340">
            <v>1</v>
          </cell>
          <cell r="X340" t="str">
            <v>Primaire Ens.serv.déconc.</v>
          </cell>
          <cell r="Y340" t="str">
            <v>P5</v>
          </cell>
          <cell r="Z340" t="str">
            <v>Conakry</v>
          </cell>
          <cell r="AA340" t="str">
            <v>Autres prest.tech (radios inter actives)</v>
          </cell>
          <cell r="AB340">
            <v>0</v>
          </cell>
          <cell r="AC340">
            <v>0</v>
          </cell>
        </row>
        <row r="341">
          <cell r="A341">
            <v>2947</v>
          </cell>
          <cell r="B341">
            <v>1</v>
          </cell>
          <cell r="C341">
            <v>1</v>
          </cell>
          <cell r="E341" t="str">
            <v>20</v>
          </cell>
          <cell r="F341">
            <v>42000200700</v>
          </cell>
          <cell r="G341">
            <v>3</v>
          </cell>
          <cell r="H341" t="str">
            <v>33</v>
          </cell>
          <cell r="I341">
            <v>90</v>
          </cell>
          <cell r="J341">
            <v>20</v>
          </cell>
          <cell r="K341">
            <v>1</v>
          </cell>
          <cell r="L341">
            <v>42</v>
          </cell>
          <cell r="M341" t="str">
            <v>000</v>
          </cell>
          <cell r="N341">
            <v>2</v>
          </cell>
          <cell r="O341" t="str">
            <v>00</v>
          </cell>
          <cell r="P341">
            <v>7</v>
          </cell>
          <cell r="Q341">
            <v>3</v>
          </cell>
          <cell r="R341">
            <v>3</v>
          </cell>
          <cell r="S341">
            <v>3</v>
          </cell>
          <cell r="T341">
            <v>90</v>
          </cell>
          <cell r="U341">
            <v>33</v>
          </cell>
          <cell r="V341">
            <v>1</v>
          </cell>
          <cell r="X341" t="str">
            <v>Primaire Ens.serv.déconc.</v>
          </cell>
          <cell r="Y341" t="str">
            <v>P5</v>
          </cell>
          <cell r="Z341" t="str">
            <v>Conakry</v>
          </cell>
          <cell r="AA341" t="str">
            <v>Prestat. Services diverses</v>
          </cell>
          <cell r="AB341">
            <v>0</v>
          </cell>
          <cell r="AC341">
            <v>0</v>
          </cell>
        </row>
        <row r="342">
          <cell r="A342">
            <v>3005</v>
          </cell>
          <cell r="B342">
            <v>1</v>
          </cell>
          <cell r="C342">
            <v>1</v>
          </cell>
          <cell r="E342" t="str">
            <v>20</v>
          </cell>
          <cell r="F342">
            <v>43000200700</v>
          </cell>
          <cell r="G342">
            <v>3</v>
          </cell>
          <cell r="H342" t="str">
            <v>33</v>
          </cell>
          <cell r="I342">
            <v>22</v>
          </cell>
          <cell r="J342">
            <v>20</v>
          </cell>
          <cell r="K342">
            <v>1</v>
          </cell>
          <cell r="L342">
            <v>43</v>
          </cell>
          <cell r="M342" t="str">
            <v>000</v>
          </cell>
          <cell r="N342">
            <v>2</v>
          </cell>
          <cell r="O342" t="str">
            <v>00</v>
          </cell>
          <cell r="P342">
            <v>7</v>
          </cell>
          <cell r="Q342">
            <v>3</v>
          </cell>
          <cell r="R342">
            <v>3</v>
          </cell>
          <cell r="S342">
            <v>3</v>
          </cell>
          <cell r="T342">
            <v>22</v>
          </cell>
          <cell r="U342">
            <v>33</v>
          </cell>
          <cell r="V342">
            <v>1</v>
          </cell>
          <cell r="X342" t="str">
            <v>Secondaire Ens.serv.déconc.</v>
          </cell>
          <cell r="Y342" t="str">
            <v>P5</v>
          </cell>
          <cell r="Z342" t="str">
            <v>Conakry</v>
          </cell>
          <cell r="AA342" t="str">
            <v>Stage &amp; formation</v>
          </cell>
          <cell r="AB342">
            <v>0</v>
          </cell>
          <cell r="AC342">
            <v>0</v>
          </cell>
        </row>
        <row r="343">
          <cell r="A343">
            <v>3006</v>
          </cell>
          <cell r="B343">
            <v>1</v>
          </cell>
          <cell r="C343">
            <v>1</v>
          </cell>
          <cell r="E343" t="str">
            <v>20</v>
          </cell>
          <cell r="F343">
            <v>43000200700</v>
          </cell>
          <cell r="G343">
            <v>3</v>
          </cell>
          <cell r="H343" t="str">
            <v>33</v>
          </cell>
          <cell r="I343">
            <v>31</v>
          </cell>
          <cell r="J343">
            <v>20</v>
          </cell>
          <cell r="K343">
            <v>1</v>
          </cell>
          <cell r="L343">
            <v>43</v>
          </cell>
          <cell r="M343" t="str">
            <v>000</v>
          </cell>
          <cell r="N343">
            <v>2</v>
          </cell>
          <cell r="O343" t="str">
            <v>00</v>
          </cell>
          <cell r="P343">
            <v>7</v>
          </cell>
          <cell r="Q343">
            <v>3</v>
          </cell>
          <cell r="R343">
            <v>3</v>
          </cell>
          <cell r="S343">
            <v>3</v>
          </cell>
          <cell r="T343">
            <v>31</v>
          </cell>
          <cell r="U343">
            <v>33</v>
          </cell>
          <cell r="V343">
            <v>1</v>
          </cell>
          <cell r="X343" t="str">
            <v>Secondaire Ens.serv.déconc.</v>
          </cell>
          <cell r="Y343" t="str">
            <v>P5</v>
          </cell>
          <cell r="Z343" t="str">
            <v>Conakry</v>
          </cell>
          <cell r="AA343" t="str">
            <v>Remb. Frais médicaux agents FP</v>
          </cell>
          <cell r="AB343">
            <v>13410</v>
          </cell>
          <cell r="AC343">
            <v>13410</v>
          </cell>
        </row>
        <row r="344">
          <cell r="A344">
            <v>3007</v>
          </cell>
          <cell r="B344">
            <v>1</v>
          </cell>
          <cell r="C344">
            <v>1</v>
          </cell>
          <cell r="E344" t="str">
            <v>20</v>
          </cell>
          <cell r="F344">
            <v>43000200700</v>
          </cell>
          <cell r="G344">
            <v>3</v>
          </cell>
          <cell r="H344" t="str">
            <v>33</v>
          </cell>
          <cell r="I344">
            <v>90</v>
          </cell>
          <cell r="J344">
            <v>20</v>
          </cell>
          <cell r="K344">
            <v>1</v>
          </cell>
          <cell r="L344">
            <v>43</v>
          </cell>
          <cell r="M344" t="str">
            <v>000</v>
          </cell>
          <cell r="N344">
            <v>2</v>
          </cell>
          <cell r="O344" t="str">
            <v>00</v>
          </cell>
          <cell r="P344">
            <v>7</v>
          </cell>
          <cell r="Q344">
            <v>3</v>
          </cell>
          <cell r="R344">
            <v>3</v>
          </cell>
          <cell r="S344">
            <v>3</v>
          </cell>
          <cell r="T344">
            <v>90</v>
          </cell>
          <cell r="U344">
            <v>33</v>
          </cell>
          <cell r="V344">
            <v>1</v>
          </cell>
          <cell r="X344" t="str">
            <v>Secondaire Ens.serv.déconc.</v>
          </cell>
          <cell r="Y344" t="str">
            <v>P5</v>
          </cell>
          <cell r="Z344" t="str">
            <v>Conakry</v>
          </cell>
          <cell r="AA344" t="str">
            <v>Prestat. Services diverses</v>
          </cell>
          <cell r="AB344">
            <v>0</v>
          </cell>
          <cell r="AC344">
            <v>0</v>
          </cell>
        </row>
        <row r="345">
          <cell r="A345">
            <v>4834</v>
          </cell>
          <cell r="B345">
            <v>1</v>
          </cell>
          <cell r="C345">
            <v>1</v>
          </cell>
          <cell r="E345" t="str">
            <v>20</v>
          </cell>
          <cell r="F345">
            <v>44000200700</v>
          </cell>
          <cell r="G345">
            <v>3</v>
          </cell>
          <cell r="H345" t="str">
            <v>33</v>
          </cell>
          <cell r="I345">
            <v>31</v>
          </cell>
          <cell r="J345">
            <v>20</v>
          </cell>
          <cell r="K345">
            <v>1</v>
          </cell>
          <cell r="L345">
            <v>44</v>
          </cell>
          <cell r="M345" t="str">
            <v>000</v>
          </cell>
          <cell r="N345">
            <v>2</v>
          </cell>
          <cell r="O345" t="str">
            <v>00</v>
          </cell>
          <cell r="P345">
            <v>7</v>
          </cell>
          <cell r="Q345">
            <v>3</v>
          </cell>
          <cell r="R345">
            <v>3</v>
          </cell>
          <cell r="S345">
            <v>3</v>
          </cell>
          <cell r="T345">
            <v>31</v>
          </cell>
          <cell r="U345">
            <v>36</v>
          </cell>
          <cell r="V345">
            <v>1</v>
          </cell>
          <cell r="W345">
            <v>0</v>
          </cell>
          <cell r="X345" t="str">
            <v>Enseign. Technique</v>
          </cell>
          <cell r="Y345" t="str">
            <v>P5</v>
          </cell>
          <cell r="Z345" t="str">
            <v>Conakry</v>
          </cell>
          <cell r="AA345" t="str">
            <v>Remb. frais médicaux agents FP</v>
          </cell>
          <cell r="AB345">
            <v>0</v>
          </cell>
          <cell r="AC345">
            <v>0</v>
          </cell>
        </row>
        <row r="346">
          <cell r="A346">
            <v>12396</v>
          </cell>
          <cell r="B346">
            <v>1</v>
          </cell>
          <cell r="J346">
            <v>20</v>
          </cell>
          <cell r="K346">
            <v>1</v>
          </cell>
          <cell r="N346">
            <v>3</v>
          </cell>
          <cell r="Q346">
            <v>3</v>
          </cell>
          <cell r="R346">
            <v>3</v>
          </cell>
          <cell r="S346">
            <v>3</v>
          </cell>
          <cell r="X346" t="str">
            <v>Intérieur Services déconcentrés</v>
          </cell>
          <cell r="AB346">
            <v>175310</v>
          </cell>
          <cell r="AC346">
            <v>175310</v>
          </cell>
        </row>
        <row r="347">
          <cell r="A347">
            <v>2971</v>
          </cell>
          <cell r="B347">
            <v>1</v>
          </cell>
          <cell r="C347">
            <v>1</v>
          </cell>
          <cell r="E347" t="str">
            <v>20</v>
          </cell>
          <cell r="F347">
            <v>42000300700</v>
          </cell>
          <cell r="G347">
            <v>3</v>
          </cell>
          <cell r="H347" t="str">
            <v>33</v>
          </cell>
          <cell r="I347">
            <v>22</v>
          </cell>
          <cell r="J347">
            <v>20</v>
          </cell>
          <cell r="K347">
            <v>1</v>
          </cell>
          <cell r="L347">
            <v>42</v>
          </cell>
          <cell r="M347" t="str">
            <v>000</v>
          </cell>
          <cell r="N347">
            <v>3</v>
          </cell>
          <cell r="O347" t="str">
            <v>00</v>
          </cell>
          <cell r="P347">
            <v>7</v>
          </cell>
          <cell r="Q347">
            <v>3</v>
          </cell>
          <cell r="R347">
            <v>3</v>
          </cell>
          <cell r="S347">
            <v>3</v>
          </cell>
          <cell r="T347">
            <v>22</v>
          </cell>
          <cell r="U347">
            <v>33</v>
          </cell>
          <cell r="V347">
            <v>1</v>
          </cell>
          <cell r="X347" t="str">
            <v>Primaire Ens.serv.déconc.</v>
          </cell>
          <cell r="Y347" t="str">
            <v>P5</v>
          </cell>
          <cell r="Z347" t="str">
            <v>Intérieur</v>
          </cell>
          <cell r="AA347" t="str">
            <v>Stage &amp; formation</v>
          </cell>
          <cell r="AB347">
            <v>0</v>
          </cell>
          <cell r="AC347">
            <v>0</v>
          </cell>
        </row>
        <row r="348">
          <cell r="A348">
            <v>2972</v>
          </cell>
          <cell r="B348">
            <v>1</v>
          </cell>
          <cell r="C348">
            <v>1</v>
          </cell>
          <cell r="E348" t="str">
            <v>20</v>
          </cell>
          <cell r="F348">
            <v>42000300700</v>
          </cell>
          <cell r="G348">
            <v>3</v>
          </cell>
          <cell r="H348" t="str">
            <v>33</v>
          </cell>
          <cell r="I348">
            <v>31</v>
          </cell>
          <cell r="J348">
            <v>20</v>
          </cell>
          <cell r="K348">
            <v>1</v>
          </cell>
          <cell r="L348">
            <v>42</v>
          </cell>
          <cell r="M348" t="str">
            <v>000</v>
          </cell>
          <cell r="N348">
            <v>3</v>
          </cell>
          <cell r="O348" t="str">
            <v>00</v>
          </cell>
          <cell r="P348">
            <v>7</v>
          </cell>
          <cell r="Q348">
            <v>3</v>
          </cell>
          <cell r="R348">
            <v>3</v>
          </cell>
          <cell r="S348">
            <v>3</v>
          </cell>
          <cell r="T348">
            <v>31</v>
          </cell>
          <cell r="U348">
            <v>33</v>
          </cell>
          <cell r="V348">
            <v>1</v>
          </cell>
          <cell r="X348" t="str">
            <v>Primaire Ens.serv.déconc.</v>
          </cell>
          <cell r="Y348" t="str">
            <v>P5</v>
          </cell>
          <cell r="Z348" t="str">
            <v>Intérieur</v>
          </cell>
          <cell r="AA348" t="str">
            <v>Remb. Frais médicaux agents FP</v>
          </cell>
          <cell r="AB348">
            <v>0</v>
          </cell>
          <cell r="AC348">
            <v>0</v>
          </cell>
        </row>
        <row r="349">
          <cell r="A349">
            <v>2973</v>
          </cell>
          <cell r="B349">
            <v>1</v>
          </cell>
          <cell r="C349">
            <v>1</v>
          </cell>
          <cell r="E349" t="str">
            <v>20</v>
          </cell>
          <cell r="F349">
            <v>42000300700</v>
          </cell>
          <cell r="G349">
            <v>3</v>
          </cell>
          <cell r="H349" t="str">
            <v>33</v>
          </cell>
          <cell r="I349">
            <v>69</v>
          </cell>
          <cell r="J349">
            <v>20</v>
          </cell>
          <cell r="K349">
            <v>1</v>
          </cell>
          <cell r="L349">
            <v>42</v>
          </cell>
          <cell r="M349" t="str">
            <v>000</v>
          </cell>
          <cell r="N349">
            <v>3</v>
          </cell>
          <cell r="O349" t="str">
            <v>00</v>
          </cell>
          <cell r="P349">
            <v>7</v>
          </cell>
          <cell r="Q349">
            <v>3</v>
          </cell>
          <cell r="R349">
            <v>3</v>
          </cell>
          <cell r="S349">
            <v>3</v>
          </cell>
          <cell r="T349">
            <v>69</v>
          </cell>
          <cell r="U349">
            <v>33</v>
          </cell>
          <cell r="V349">
            <v>1</v>
          </cell>
          <cell r="X349" t="str">
            <v>Primaire Ens.serv.déconc.</v>
          </cell>
          <cell r="Y349" t="str">
            <v>P5</v>
          </cell>
          <cell r="Z349" t="str">
            <v>Intérieur</v>
          </cell>
          <cell r="AA349" t="str">
            <v>Autres prest.tech (radios inter actives)</v>
          </cell>
          <cell r="AB349">
            <v>144170</v>
          </cell>
          <cell r="AC349">
            <v>144170</v>
          </cell>
        </row>
        <row r="350">
          <cell r="A350">
            <v>2974</v>
          </cell>
          <cell r="B350">
            <v>1</v>
          </cell>
          <cell r="C350">
            <v>1</v>
          </cell>
          <cell r="E350" t="str">
            <v>20</v>
          </cell>
          <cell r="F350">
            <v>42000300700</v>
          </cell>
          <cell r="G350">
            <v>3</v>
          </cell>
          <cell r="H350" t="str">
            <v>33</v>
          </cell>
          <cell r="I350">
            <v>90</v>
          </cell>
          <cell r="J350">
            <v>20</v>
          </cell>
          <cell r="K350">
            <v>1</v>
          </cell>
          <cell r="L350">
            <v>42</v>
          </cell>
          <cell r="M350" t="str">
            <v>000</v>
          </cell>
          <cell r="N350">
            <v>3</v>
          </cell>
          <cell r="O350" t="str">
            <v>00</v>
          </cell>
          <cell r="P350">
            <v>7</v>
          </cell>
          <cell r="Q350">
            <v>3</v>
          </cell>
          <cell r="R350">
            <v>3</v>
          </cell>
          <cell r="S350">
            <v>3</v>
          </cell>
          <cell r="T350">
            <v>90</v>
          </cell>
          <cell r="U350">
            <v>33</v>
          </cell>
          <cell r="V350">
            <v>1</v>
          </cell>
          <cell r="X350" t="str">
            <v>Primaire Ens.serv.déconc.</v>
          </cell>
          <cell r="Y350" t="str">
            <v>P5</v>
          </cell>
          <cell r="Z350" t="str">
            <v>Intérieur</v>
          </cell>
          <cell r="AA350" t="str">
            <v>Prestat. Services diverses</v>
          </cell>
          <cell r="AB350">
            <v>0</v>
          </cell>
          <cell r="AC350">
            <v>0</v>
          </cell>
        </row>
        <row r="351">
          <cell r="A351">
            <v>3033</v>
          </cell>
          <cell r="B351">
            <v>1</v>
          </cell>
          <cell r="C351">
            <v>1</v>
          </cell>
          <cell r="E351" t="str">
            <v>20</v>
          </cell>
          <cell r="F351">
            <v>43000300700</v>
          </cell>
          <cell r="G351">
            <v>3</v>
          </cell>
          <cell r="H351" t="str">
            <v>33</v>
          </cell>
          <cell r="I351">
            <v>22</v>
          </cell>
          <cell r="J351">
            <v>20</v>
          </cell>
          <cell r="K351">
            <v>1</v>
          </cell>
          <cell r="L351">
            <v>43</v>
          </cell>
          <cell r="M351" t="str">
            <v>000</v>
          </cell>
          <cell r="N351">
            <v>3</v>
          </cell>
          <cell r="O351" t="str">
            <v>00</v>
          </cell>
          <cell r="P351">
            <v>7</v>
          </cell>
          <cell r="Q351">
            <v>3</v>
          </cell>
          <cell r="R351">
            <v>3</v>
          </cell>
          <cell r="S351">
            <v>3</v>
          </cell>
          <cell r="T351">
            <v>22</v>
          </cell>
          <cell r="U351">
            <v>33</v>
          </cell>
          <cell r="V351">
            <v>1</v>
          </cell>
          <cell r="X351" t="str">
            <v>Secondaire Ens.serv.déconc.</v>
          </cell>
          <cell r="Y351" t="str">
            <v>P5</v>
          </cell>
          <cell r="Z351" t="str">
            <v>Intérieur</v>
          </cell>
          <cell r="AA351" t="str">
            <v>Stage &amp; formation</v>
          </cell>
          <cell r="AB351">
            <v>0</v>
          </cell>
          <cell r="AC351">
            <v>0</v>
          </cell>
        </row>
        <row r="352">
          <cell r="A352">
            <v>3034</v>
          </cell>
          <cell r="B352">
            <v>1</v>
          </cell>
          <cell r="C352">
            <v>1</v>
          </cell>
          <cell r="E352" t="str">
            <v>20</v>
          </cell>
          <cell r="F352">
            <v>43000300700</v>
          </cell>
          <cell r="G352">
            <v>3</v>
          </cell>
          <cell r="H352" t="str">
            <v>33</v>
          </cell>
          <cell r="I352">
            <v>31</v>
          </cell>
          <cell r="J352">
            <v>20</v>
          </cell>
          <cell r="K352">
            <v>1</v>
          </cell>
          <cell r="L352">
            <v>43</v>
          </cell>
          <cell r="M352" t="str">
            <v>000</v>
          </cell>
          <cell r="N352">
            <v>3</v>
          </cell>
          <cell r="O352" t="str">
            <v>00</v>
          </cell>
          <cell r="P352">
            <v>7</v>
          </cell>
          <cell r="Q352">
            <v>3</v>
          </cell>
          <cell r="R352">
            <v>3</v>
          </cell>
          <cell r="S352">
            <v>3</v>
          </cell>
          <cell r="T352">
            <v>31</v>
          </cell>
          <cell r="U352">
            <v>33</v>
          </cell>
          <cell r="V352">
            <v>1</v>
          </cell>
          <cell r="X352" t="str">
            <v>Secondaire Ens.serv.déconc.</v>
          </cell>
          <cell r="Y352" t="str">
            <v>P5</v>
          </cell>
          <cell r="Z352" t="str">
            <v>Intérieur</v>
          </cell>
          <cell r="AA352" t="str">
            <v>Remb. Frais médicaux agents FP</v>
          </cell>
          <cell r="AB352">
            <v>31140</v>
          </cell>
          <cell r="AC352">
            <v>31140</v>
          </cell>
        </row>
        <row r="353">
          <cell r="A353">
            <v>3035</v>
          </cell>
          <cell r="B353">
            <v>1</v>
          </cell>
          <cell r="C353">
            <v>1</v>
          </cell>
          <cell r="E353" t="str">
            <v>20</v>
          </cell>
          <cell r="F353">
            <v>43000300700</v>
          </cell>
          <cell r="G353">
            <v>3</v>
          </cell>
          <cell r="H353" t="str">
            <v>33</v>
          </cell>
          <cell r="I353">
            <v>90</v>
          </cell>
          <cell r="J353">
            <v>20</v>
          </cell>
          <cell r="K353">
            <v>1</v>
          </cell>
          <cell r="L353">
            <v>43</v>
          </cell>
          <cell r="M353" t="str">
            <v>000</v>
          </cell>
          <cell r="N353">
            <v>3</v>
          </cell>
          <cell r="O353" t="str">
            <v>00</v>
          </cell>
          <cell r="P353">
            <v>7</v>
          </cell>
          <cell r="Q353">
            <v>3</v>
          </cell>
          <cell r="R353">
            <v>3</v>
          </cell>
          <cell r="S353">
            <v>3</v>
          </cell>
          <cell r="T353">
            <v>90</v>
          </cell>
          <cell r="U353">
            <v>33</v>
          </cell>
          <cell r="V353">
            <v>1</v>
          </cell>
          <cell r="X353" t="str">
            <v>Secondaire Ens.serv.déconc.</v>
          </cell>
          <cell r="Y353" t="str">
            <v>P5</v>
          </cell>
          <cell r="Z353" t="str">
            <v>Intérieur</v>
          </cell>
          <cell r="AA353" t="str">
            <v>Prestat. Services diverses</v>
          </cell>
          <cell r="AB353">
            <v>0</v>
          </cell>
          <cell r="AC353">
            <v>0</v>
          </cell>
        </row>
        <row r="354">
          <cell r="A354">
            <v>4858</v>
          </cell>
          <cell r="B354">
            <v>1</v>
          </cell>
          <cell r="C354">
            <v>1</v>
          </cell>
          <cell r="E354" t="str">
            <v>20</v>
          </cell>
          <cell r="F354">
            <v>44000300700</v>
          </cell>
          <cell r="G354">
            <v>3</v>
          </cell>
          <cell r="H354" t="str">
            <v>33</v>
          </cell>
          <cell r="I354">
            <v>31</v>
          </cell>
          <cell r="J354">
            <v>20</v>
          </cell>
          <cell r="K354">
            <v>1</v>
          </cell>
          <cell r="L354">
            <v>44</v>
          </cell>
          <cell r="M354" t="str">
            <v>000</v>
          </cell>
          <cell r="N354">
            <v>3</v>
          </cell>
          <cell r="O354" t="str">
            <v>00</v>
          </cell>
          <cell r="P354">
            <v>7</v>
          </cell>
          <cell r="Q354">
            <v>3</v>
          </cell>
          <cell r="R354">
            <v>3</v>
          </cell>
          <cell r="S354">
            <v>3</v>
          </cell>
          <cell r="T354">
            <v>31</v>
          </cell>
          <cell r="U354">
            <v>36</v>
          </cell>
          <cell r="V354">
            <v>1</v>
          </cell>
          <cell r="W354">
            <v>0</v>
          </cell>
          <cell r="X354" t="str">
            <v>Enseign. Technique</v>
          </cell>
          <cell r="Y354" t="str">
            <v>P5</v>
          </cell>
          <cell r="Z354" t="str">
            <v>Intérieur</v>
          </cell>
          <cell r="AA354" t="str">
            <v>Remb. frais médicaux agents FP</v>
          </cell>
          <cell r="AB354">
            <v>0</v>
          </cell>
          <cell r="AC354">
            <v>0</v>
          </cell>
        </row>
        <row r="355">
          <cell r="A355">
            <v>12398</v>
          </cell>
          <cell r="B355">
            <v>1</v>
          </cell>
          <cell r="J355">
            <v>20</v>
          </cell>
          <cell r="K355">
            <v>1</v>
          </cell>
          <cell r="N355">
            <v>9</v>
          </cell>
          <cell r="Q355">
            <v>3</v>
          </cell>
          <cell r="R355">
            <v>3</v>
          </cell>
          <cell r="S355">
            <v>3</v>
          </cell>
          <cell r="X355" t="str">
            <v>Ensemble Non ventilé</v>
          </cell>
          <cell r="AB355">
            <v>0</v>
          </cell>
          <cell r="AC355">
            <v>0</v>
          </cell>
        </row>
        <row r="356">
          <cell r="A356">
            <v>12400</v>
          </cell>
          <cell r="B356">
            <v>1</v>
          </cell>
          <cell r="D356" t="str">
            <v>I</v>
          </cell>
          <cell r="J356">
            <v>20</v>
          </cell>
          <cell r="K356">
            <v>1</v>
          </cell>
          <cell r="Q356">
            <v>3</v>
          </cell>
          <cell r="R356">
            <v>3</v>
          </cell>
          <cell r="S356">
            <v>4</v>
          </cell>
          <cell r="X356" t="str">
            <v xml:space="preserve">Conso. Eau électricité téléphone </v>
          </cell>
          <cell r="AB356">
            <v>0</v>
          </cell>
          <cell r="AC356">
            <v>0</v>
          </cell>
        </row>
        <row r="357">
          <cell r="A357">
            <v>4869</v>
          </cell>
          <cell r="B357">
            <v>1</v>
          </cell>
          <cell r="C357">
            <v>1</v>
          </cell>
          <cell r="E357" t="str">
            <v>20</v>
          </cell>
          <cell r="F357">
            <v>44000900700</v>
          </cell>
          <cell r="G357">
            <v>3</v>
          </cell>
          <cell r="H357" t="str">
            <v>34</v>
          </cell>
          <cell r="I357">
            <v>10</v>
          </cell>
          <cell r="J357">
            <v>20</v>
          </cell>
          <cell r="K357">
            <v>1</v>
          </cell>
          <cell r="L357">
            <v>44</v>
          </cell>
          <cell r="M357" t="str">
            <v>000</v>
          </cell>
          <cell r="N357">
            <v>9</v>
          </cell>
          <cell r="O357" t="str">
            <v>00</v>
          </cell>
          <cell r="P357">
            <v>7</v>
          </cell>
          <cell r="Q357">
            <v>3</v>
          </cell>
          <cell r="R357">
            <v>3</v>
          </cell>
          <cell r="S357">
            <v>4</v>
          </cell>
          <cell r="T357">
            <v>10</v>
          </cell>
          <cell r="U357">
            <v>10</v>
          </cell>
          <cell r="V357">
            <v>1</v>
          </cell>
          <cell r="W357">
            <v>0</v>
          </cell>
          <cell r="X357" t="str">
            <v>Enseign. Technique</v>
          </cell>
          <cell r="Y357" t="str">
            <v>P3</v>
          </cell>
          <cell r="Z357" t="str">
            <v xml:space="preserve"> Ens. NV</v>
          </cell>
          <cell r="AA357" t="str">
            <v xml:space="preserve">Eau </v>
          </cell>
          <cell r="AB357">
            <v>0</v>
          </cell>
          <cell r="AC357">
            <v>0</v>
          </cell>
        </row>
        <row r="358">
          <cell r="A358">
            <v>4870</v>
          </cell>
          <cell r="B358">
            <v>1</v>
          </cell>
          <cell r="C358">
            <v>1</v>
          </cell>
          <cell r="E358" t="str">
            <v>20</v>
          </cell>
          <cell r="F358">
            <v>44000900700</v>
          </cell>
          <cell r="G358">
            <v>3</v>
          </cell>
          <cell r="H358" t="str">
            <v>34</v>
          </cell>
          <cell r="I358">
            <v>20</v>
          </cell>
          <cell r="J358">
            <v>20</v>
          </cell>
          <cell r="K358">
            <v>1</v>
          </cell>
          <cell r="L358">
            <v>44</v>
          </cell>
          <cell r="M358" t="str">
            <v>000</v>
          </cell>
          <cell r="N358">
            <v>9</v>
          </cell>
          <cell r="O358" t="str">
            <v>00</v>
          </cell>
          <cell r="P358">
            <v>7</v>
          </cell>
          <cell r="Q358">
            <v>3</v>
          </cell>
          <cell r="R358">
            <v>3</v>
          </cell>
          <cell r="S358">
            <v>4</v>
          </cell>
          <cell r="T358">
            <v>20</v>
          </cell>
          <cell r="U358">
            <v>10</v>
          </cell>
          <cell r="V358">
            <v>1</v>
          </cell>
          <cell r="W358">
            <v>0</v>
          </cell>
          <cell r="X358" t="str">
            <v>Enseign. Technique</v>
          </cell>
          <cell r="Y358" t="str">
            <v>P3</v>
          </cell>
          <cell r="Z358" t="str">
            <v xml:space="preserve"> Ens. NV</v>
          </cell>
          <cell r="AA358" t="str">
            <v>Electricité</v>
          </cell>
          <cell r="AB358">
            <v>0</v>
          </cell>
          <cell r="AC358">
            <v>0</v>
          </cell>
        </row>
        <row r="359">
          <cell r="A359">
            <v>4871</v>
          </cell>
          <cell r="B359">
            <v>1</v>
          </cell>
          <cell r="C359">
            <v>1</v>
          </cell>
          <cell r="E359" t="str">
            <v>20</v>
          </cell>
          <cell r="F359">
            <v>44000900700</v>
          </cell>
          <cell r="G359">
            <v>3</v>
          </cell>
          <cell r="H359" t="str">
            <v>34</v>
          </cell>
          <cell r="I359">
            <v>30</v>
          </cell>
          <cell r="J359">
            <v>20</v>
          </cell>
          <cell r="K359">
            <v>1</v>
          </cell>
          <cell r="L359">
            <v>44</v>
          </cell>
          <cell r="M359" t="str">
            <v>000</v>
          </cell>
          <cell r="N359">
            <v>9</v>
          </cell>
          <cell r="O359" t="str">
            <v>00</v>
          </cell>
          <cell r="P359">
            <v>7</v>
          </cell>
          <cell r="Q359">
            <v>3</v>
          </cell>
          <cell r="R359">
            <v>3</v>
          </cell>
          <cell r="S359">
            <v>4</v>
          </cell>
          <cell r="T359">
            <v>30</v>
          </cell>
          <cell r="U359">
            <v>10</v>
          </cell>
          <cell r="V359">
            <v>1</v>
          </cell>
          <cell r="W359">
            <v>0</v>
          </cell>
          <cell r="X359" t="str">
            <v>Enseign. Technique</v>
          </cell>
          <cell r="Y359" t="str">
            <v>P3</v>
          </cell>
          <cell r="Z359" t="str">
            <v xml:space="preserve"> Ens. NV</v>
          </cell>
          <cell r="AA359" t="str">
            <v>Téléphone et assimilé</v>
          </cell>
          <cell r="AB359">
            <v>0</v>
          </cell>
          <cell r="AC359">
            <v>0</v>
          </cell>
        </row>
        <row r="360">
          <cell r="A360">
            <v>4872</v>
          </cell>
          <cell r="B360">
            <v>1</v>
          </cell>
          <cell r="C360">
            <v>1</v>
          </cell>
          <cell r="E360" t="str">
            <v>20</v>
          </cell>
          <cell r="F360">
            <v>44000900700</v>
          </cell>
          <cell r="G360">
            <v>3</v>
          </cell>
          <cell r="H360" t="str">
            <v>34</v>
          </cell>
          <cell r="I360">
            <v>40</v>
          </cell>
          <cell r="J360">
            <v>20</v>
          </cell>
          <cell r="K360">
            <v>1</v>
          </cell>
          <cell r="L360">
            <v>44</v>
          </cell>
          <cell r="M360" t="str">
            <v>000</v>
          </cell>
          <cell r="N360">
            <v>9</v>
          </cell>
          <cell r="O360" t="str">
            <v>00</v>
          </cell>
          <cell r="P360">
            <v>7</v>
          </cell>
          <cell r="Q360">
            <v>3</v>
          </cell>
          <cell r="R360">
            <v>3</v>
          </cell>
          <cell r="S360">
            <v>4</v>
          </cell>
          <cell r="T360">
            <v>40</v>
          </cell>
          <cell r="U360">
            <v>10</v>
          </cell>
          <cell r="V360">
            <v>1</v>
          </cell>
          <cell r="W360">
            <v>0</v>
          </cell>
          <cell r="X360" t="str">
            <v>Enseign. Technique</v>
          </cell>
          <cell r="Y360" t="str">
            <v>P3</v>
          </cell>
          <cell r="Z360" t="str">
            <v xml:space="preserve"> Ens. NV</v>
          </cell>
          <cell r="AA360" t="str">
            <v>Conso s.exercices antérieurs</v>
          </cell>
          <cell r="AB360">
            <v>0</v>
          </cell>
          <cell r="AC360">
            <v>0</v>
          </cell>
        </row>
        <row r="361">
          <cell r="A361">
            <v>4995</v>
          </cell>
          <cell r="B361">
            <v>1</v>
          </cell>
          <cell r="C361">
            <v>1</v>
          </cell>
          <cell r="E361" t="str">
            <v>20</v>
          </cell>
          <cell r="F361">
            <v>46000900600</v>
          </cell>
          <cell r="G361">
            <v>3</v>
          </cell>
          <cell r="H361" t="str">
            <v>34</v>
          </cell>
          <cell r="I361">
            <v>10</v>
          </cell>
          <cell r="J361">
            <v>20</v>
          </cell>
          <cell r="K361">
            <v>1</v>
          </cell>
          <cell r="L361">
            <v>46</v>
          </cell>
          <cell r="M361" t="str">
            <v>000</v>
          </cell>
          <cell r="N361">
            <v>9</v>
          </cell>
          <cell r="O361" t="str">
            <v>00</v>
          </cell>
          <cell r="P361">
            <v>6</v>
          </cell>
          <cell r="Q361">
            <v>3</v>
          </cell>
          <cell r="R361">
            <v>3</v>
          </cell>
          <cell r="S361">
            <v>4</v>
          </cell>
          <cell r="T361">
            <v>10</v>
          </cell>
          <cell r="U361">
            <v>10</v>
          </cell>
          <cell r="V361">
            <v>1</v>
          </cell>
          <cell r="W361">
            <v>0</v>
          </cell>
          <cell r="X361" t="str">
            <v xml:space="preserve">Enseig. Supérieur </v>
          </cell>
          <cell r="Y361" t="str">
            <v>P4</v>
          </cell>
          <cell r="Z361" t="str">
            <v xml:space="preserve"> Ens. NV</v>
          </cell>
          <cell r="AA361" t="str">
            <v xml:space="preserve">Eau </v>
          </cell>
          <cell r="AB361">
            <v>0</v>
          </cell>
          <cell r="AC361">
            <v>0</v>
          </cell>
        </row>
        <row r="362">
          <cell r="A362">
            <v>4996</v>
          </cell>
          <cell r="B362">
            <v>1</v>
          </cell>
          <cell r="C362">
            <v>1</v>
          </cell>
          <cell r="E362" t="str">
            <v>20</v>
          </cell>
          <cell r="F362">
            <v>46000900600</v>
          </cell>
          <cell r="G362">
            <v>3</v>
          </cell>
          <cell r="H362" t="str">
            <v>34</v>
          </cell>
          <cell r="I362">
            <v>20</v>
          </cell>
          <cell r="J362">
            <v>20</v>
          </cell>
          <cell r="K362">
            <v>1</v>
          </cell>
          <cell r="L362">
            <v>46</v>
          </cell>
          <cell r="M362" t="str">
            <v>000</v>
          </cell>
          <cell r="N362">
            <v>9</v>
          </cell>
          <cell r="O362" t="str">
            <v>00</v>
          </cell>
          <cell r="P362">
            <v>6</v>
          </cell>
          <cell r="Q362">
            <v>3</v>
          </cell>
          <cell r="R362">
            <v>3</v>
          </cell>
          <cell r="S362">
            <v>4</v>
          </cell>
          <cell r="T362">
            <v>20</v>
          </cell>
          <cell r="U362">
            <v>98</v>
          </cell>
          <cell r="V362">
            <v>1</v>
          </cell>
          <cell r="W362">
            <v>0</v>
          </cell>
          <cell r="X362" t="str">
            <v xml:space="preserve">Enseig. Supérieur </v>
          </cell>
          <cell r="Y362" t="str">
            <v>P4</v>
          </cell>
          <cell r="Z362" t="str">
            <v xml:space="preserve"> Ens. NV</v>
          </cell>
          <cell r="AA362" t="str">
            <v>Electricité</v>
          </cell>
          <cell r="AB362">
            <v>0</v>
          </cell>
          <cell r="AC362">
            <v>0</v>
          </cell>
        </row>
        <row r="363">
          <cell r="A363">
            <v>4997</v>
          </cell>
          <cell r="B363">
            <v>1</v>
          </cell>
          <cell r="C363">
            <v>1</v>
          </cell>
          <cell r="E363" t="str">
            <v>20</v>
          </cell>
          <cell r="F363">
            <v>46000900600</v>
          </cell>
          <cell r="G363">
            <v>3</v>
          </cell>
          <cell r="H363" t="str">
            <v>34</v>
          </cell>
          <cell r="I363">
            <v>30</v>
          </cell>
          <cell r="J363">
            <v>20</v>
          </cell>
          <cell r="K363">
            <v>1</v>
          </cell>
          <cell r="L363">
            <v>46</v>
          </cell>
          <cell r="M363" t="str">
            <v>000</v>
          </cell>
          <cell r="N363">
            <v>9</v>
          </cell>
          <cell r="O363" t="str">
            <v>00</v>
          </cell>
          <cell r="P363">
            <v>6</v>
          </cell>
          <cell r="Q363">
            <v>3</v>
          </cell>
          <cell r="R363">
            <v>3</v>
          </cell>
          <cell r="S363">
            <v>4</v>
          </cell>
          <cell r="T363">
            <v>30</v>
          </cell>
          <cell r="U363">
            <v>10</v>
          </cell>
          <cell r="V363">
            <v>1</v>
          </cell>
          <cell r="W363">
            <v>0</v>
          </cell>
          <cell r="X363" t="str">
            <v xml:space="preserve">Enseig. Supérieur </v>
          </cell>
          <cell r="Y363" t="str">
            <v>P4</v>
          </cell>
          <cell r="Z363" t="str">
            <v xml:space="preserve"> Ens. NV</v>
          </cell>
          <cell r="AA363" t="str">
            <v>Téléphone et assimilé</v>
          </cell>
          <cell r="AB363">
            <v>0</v>
          </cell>
          <cell r="AC363">
            <v>0</v>
          </cell>
        </row>
        <row r="364">
          <cell r="A364">
            <v>3114</v>
          </cell>
          <cell r="B364">
            <v>1</v>
          </cell>
          <cell r="C364">
            <v>1</v>
          </cell>
          <cell r="E364" t="str">
            <v>20</v>
          </cell>
          <cell r="F364">
            <v>49000900700</v>
          </cell>
          <cell r="G364">
            <v>3</v>
          </cell>
          <cell r="H364" t="str">
            <v>34</v>
          </cell>
          <cell r="I364">
            <v>10</v>
          </cell>
          <cell r="J364">
            <v>20</v>
          </cell>
          <cell r="K364">
            <v>1</v>
          </cell>
          <cell r="L364">
            <v>49</v>
          </cell>
          <cell r="M364" t="str">
            <v>000</v>
          </cell>
          <cell r="N364">
            <v>9</v>
          </cell>
          <cell r="O364" t="str">
            <v>00</v>
          </cell>
          <cell r="P364">
            <v>7</v>
          </cell>
          <cell r="Q364">
            <v>3</v>
          </cell>
          <cell r="R364">
            <v>3</v>
          </cell>
          <cell r="S364">
            <v>4</v>
          </cell>
          <cell r="T364">
            <v>10</v>
          </cell>
          <cell r="U364">
            <v>10</v>
          </cell>
          <cell r="V364">
            <v>1</v>
          </cell>
          <cell r="X364" t="str">
            <v>Enseig. Serv administratifs</v>
          </cell>
          <cell r="Y364" t="str">
            <v>P5</v>
          </cell>
          <cell r="Z364" t="str">
            <v>Ens. NV</v>
          </cell>
          <cell r="AA364" t="str">
            <v xml:space="preserve">Consomat. Eau </v>
          </cell>
          <cell r="AB364">
            <v>0</v>
          </cell>
          <cell r="AC364">
            <v>0</v>
          </cell>
        </row>
        <row r="365">
          <cell r="A365">
            <v>3115</v>
          </cell>
          <cell r="B365">
            <v>1</v>
          </cell>
          <cell r="C365">
            <v>1</v>
          </cell>
          <cell r="E365" t="str">
            <v>20</v>
          </cell>
          <cell r="F365">
            <v>49000900700</v>
          </cell>
          <cell r="G365">
            <v>3</v>
          </cell>
          <cell r="H365" t="str">
            <v>34</v>
          </cell>
          <cell r="I365">
            <v>20</v>
          </cell>
          <cell r="J365">
            <v>20</v>
          </cell>
          <cell r="K365">
            <v>1</v>
          </cell>
          <cell r="L365">
            <v>49</v>
          </cell>
          <cell r="M365" t="str">
            <v>000</v>
          </cell>
          <cell r="N365">
            <v>9</v>
          </cell>
          <cell r="O365" t="str">
            <v>00</v>
          </cell>
          <cell r="P365">
            <v>7</v>
          </cell>
          <cell r="Q365">
            <v>3</v>
          </cell>
          <cell r="R365">
            <v>3</v>
          </cell>
          <cell r="S365">
            <v>4</v>
          </cell>
          <cell r="T365">
            <v>20</v>
          </cell>
          <cell r="U365">
            <v>10</v>
          </cell>
          <cell r="V365">
            <v>1</v>
          </cell>
          <cell r="X365" t="str">
            <v>Enseig. Serv administratifs</v>
          </cell>
          <cell r="Y365" t="str">
            <v>P5</v>
          </cell>
          <cell r="Z365" t="str">
            <v>Ens. NV</v>
          </cell>
          <cell r="AA365" t="str">
            <v>Consom. Electricité</v>
          </cell>
          <cell r="AB365">
            <v>0</v>
          </cell>
          <cell r="AC365">
            <v>0</v>
          </cell>
        </row>
        <row r="366">
          <cell r="A366">
            <v>3116</v>
          </cell>
          <cell r="B366">
            <v>1</v>
          </cell>
          <cell r="C366">
            <v>1</v>
          </cell>
          <cell r="E366" t="str">
            <v>20</v>
          </cell>
          <cell r="F366">
            <v>49000900700</v>
          </cell>
          <cell r="G366">
            <v>3</v>
          </cell>
          <cell r="H366" t="str">
            <v>34</v>
          </cell>
          <cell r="I366">
            <v>30</v>
          </cell>
          <cell r="J366">
            <v>20</v>
          </cell>
          <cell r="K366">
            <v>1</v>
          </cell>
          <cell r="L366">
            <v>49</v>
          </cell>
          <cell r="M366" t="str">
            <v>000</v>
          </cell>
          <cell r="N366">
            <v>9</v>
          </cell>
          <cell r="O366" t="str">
            <v>00</v>
          </cell>
          <cell r="P366">
            <v>7</v>
          </cell>
          <cell r="Q366">
            <v>3</v>
          </cell>
          <cell r="R366">
            <v>3</v>
          </cell>
          <cell r="S366">
            <v>4</v>
          </cell>
          <cell r="T366">
            <v>30</v>
          </cell>
          <cell r="U366">
            <v>10</v>
          </cell>
          <cell r="V366">
            <v>1</v>
          </cell>
          <cell r="X366" t="str">
            <v>Enseig. Serv administratifs</v>
          </cell>
          <cell r="Y366" t="str">
            <v>P5</v>
          </cell>
          <cell r="Z366" t="str">
            <v>Ens. NV</v>
          </cell>
          <cell r="AA366" t="str">
            <v>Consom. Téléphone</v>
          </cell>
          <cell r="AB366">
            <v>0</v>
          </cell>
          <cell r="AC366">
            <v>0</v>
          </cell>
        </row>
        <row r="367">
          <cell r="A367">
            <v>3117</v>
          </cell>
          <cell r="B367">
            <v>1</v>
          </cell>
          <cell r="C367">
            <v>1</v>
          </cell>
          <cell r="E367" t="str">
            <v>20</v>
          </cell>
          <cell r="F367">
            <v>49000900700</v>
          </cell>
          <cell r="G367">
            <v>3</v>
          </cell>
          <cell r="H367" t="str">
            <v>34</v>
          </cell>
          <cell r="I367">
            <v>40</v>
          </cell>
          <cell r="J367">
            <v>20</v>
          </cell>
          <cell r="K367">
            <v>1</v>
          </cell>
          <cell r="L367">
            <v>49</v>
          </cell>
          <cell r="M367" t="str">
            <v>000</v>
          </cell>
          <cell r="N367">
            <v>9</v>
          </cell>
          <cell r="O367" t="str">
            <v>00</v>
          </cell>
          <cell r="P367">
            <v>7</v>
          </cell>
          <cell r="Q367">
            <v>3</v>
          </cell>
          <cell r="R367">
            <v>3</v>
          </cell>
          <cell r="S367">
            <v>4</v>
          </cell>
          <cell r="T367">
            <v>40</v>
          </cell>
          <cell r="U367">
            <v>10</v>
          </cell>
          <cell r="V367">
            <v>1</v>
          </cell>
          <cell r="X367" t="str">
            <v>Enseig. Serv administratifs</v>
          </cell>
          <cell r="Y367" t="str">
            <v>P5</v>
          </cell>
          <cell r="Z367" t="str">
            <v>Ens. NV</v>
          </cell>
          <cell r="AA367" t="str">
            <v>Conso s.exercices antérieurs</v>
          </cell>
          <cell r="AB367">
            <v>0</v>
          </cell>
          <cell r="AC367">
            <v>0</v>
          </cell>
        </row>
        <row r="368">
          <cell r="A368">
            <v>12402</v>
          </cell>
          <cell r="B368">
            <v>1</v>
          </cell>
          <cell r="D368" t="str">
            <v>I</v>
          </cell>
          <cell r="J368">
            <v>20</v>
          </cell>
          <cell r="K368">
            <v>1</v>
          </cell>
          <cell r="Q368">
            <v>3</v>
          </cell>
          <cell r="R368">
            <v>3</v>
          </cell>
          <cell r="S368">
            <v>5</v>
          </cell>
          <cell r="X368" t="str">
            <v xml:space="preserve">Frais de déplacement </v>
          </cell>
          <cell r="AB368">
            <v>5459090</v>
          </cell>
          <cell r="AC368">
            <v>5459090</v>
          </cell>
        </row>
        <row r="369">
          <cell r="A369">
            <v>12404</v>
          </cell>
          <cell r="B369">
            <v>1</v>
          </cell>
          <cell r="J369">
            <v>20</v>
          </cell>
          <cell r="K369">
            <v>1</v>
          </cell>
          <cell r="N369">
            <v>1</v>
          </cell>
          <cell r="Q369">
            <v>3</v>
          </cell>
          <cell r="R369">
            <v>3</v>
          </cell>
          <cell r="S369">
            <v>5</v>
          </cell>
          <cell r="X369" t="str">
            <v>Services centraux</v>
          </cell>
          <cell r="AB369">
            <v>240790</v>
          </cell>
          <cell r="AC369">
            <v>240790</v>
          </cell>
        </row>
        <row r="370">
          <cell r="A370">
            <v>4936</v>
          </cell>
          <cell r="B370">
            <v>1</v>
          </cell>
          <cell r="C370">
            <v>1</v>
          </cell>
          <cell r="E370" t="str">
            <v>20</v>
          </cell>
          <cell r="F370">
            <v>44900100700</v>
          </cell>
          <cell r="G370">
            <v>3</v>
          </cell>
          <cell r="H370" t="str">
            <v>35</v>
          </cell>
          <cell r="I370">
            <v>10</v>
          </cell>
          <cell r="J370">
            <v>20</v>
          </cell>
          <cell r="K370">
            <v>1</v>
          </cell>
          <cell r="L370">
            <v>44</v>
          </cell>
          <cell r="M370">
            <v>900</v>
          </cell>
          <cell r="N370">
            <v>1</v>
          </cell>
          <cell r="O370" t="str">
            <v>00</v>
          </cell>
          <cell r="P370">
            <v>7</v>
          </cell>
          <cell r="Q370">
            <v>3</v>
          </cell>
          <cell r="R370">
            <v>3</v>
          </cell>
          <cell r="S370">
            <v>5</v>
          </cell>
          <cell r="T370">
            <v>10</v>
          </cell>
          <cell r="U370">
            <v>96</v>
          </cell>
          <cell r="V370">
            <v>1</v>
          </cell>
          <cell r="X370" t="str">
            <v>Enseign. Technique Autres serv centraux</v>
          </cell>
          <cell r="Y370" t="str">
            <v>P3</v>
          </cell>
          <cell r="Z370" t="str">
            <v>Serv.cent.</v>
          </cell>
          <cell r="AA370" t="str">
            <v>Déplacem définitifs</v>
          </cell>
          <cell r="AB370">
            <v>0</v>
          </cell>
          <cell r="AC370">
            <v>0</v>
          </cell>
        </row>
        <row r="371">
          <cell r="A371">
            <v>4937</v>
          </cell>
          <cell r="B371">
            <v>1</v>
          </cell>
          <cell r="C371">
            <v>1</v>
          </cell>
          <cell r="E371" t="str">
            <v>20</v>
          </cell>
          <cell r="F371">
            <v>44900100700</v>
          </cell>
          <cell r="G371">
            <v>3</v>
          </cell>
          <cell r="H371" t="str">
            <v>35</v>
          </cell>
          <cell r="I371">
            <v>21</v>
          </cell>
          <cell r="J371">
            <v>20</v>
          </cell>
          <cell r="K371">
            <v>1</v>
          </cell>
          <cell r="L371">
            <v>44</v>
          </cell>
          <cell r="M371">
            <v>900</v>
          </cell>
          <cell r="N371">
            <v>1</v>
          </cell>
          <cell r="O371" t="str">
            <v>00</v>
          </cell>
          <cell r="P371">
            <v>7</v>
          </cell>
          <cell r="Q371">
            <v>3</v>
          </cell>
          <cell r="R371">
            <v>3</v>
          </cell>
          <cell r="S371">
            <v>5</v>
          </cell>
          <cell r="T371">
            <v>21</v>
          </cell>
          <cell r="U371">
            <v>96</v>
          </cell>
          <cell r="V371">
            <v>1</v>
          </cell>
          <cell r="X371" t="str">
            <v>Enseign. Technique Autres serv centraux</v>
          </cell>
          <cell r="Y371" t="str">
            <v>P3</v>
          </cell>
          <cell r="Z371" t="str">
            <v>Serv.cent.</v>
          </cell>
          <cell r="AA371" t="str">
            <v>Indemnités missions intérieur</v>
          </cell>
          <cell r="AB371">
            <v>16920</v>
          </cell>
          <cell r="AC371">
            <v>16920</v>
          </cell>
        </row>
        <row r="372">
          <cell r="A372">
            <v>4938</v>
          </cell>
          <cell r="B372">
            <v>1</v>
          </cell>
          <cell r="C372">
            <v>1</v>
          </cell>
          <cell r="E372" t="str">
            <v>20</v>
          </cell>
          <cell r="F372">
            <v>44900100700</v>
          </cell>
          <cell r="G372">
            <v>3</v>
          </cell>
          <cell r="H372" t="str">
            <v>35</v>
          </cell>
          <cell r="I372">
            <v>25</v>
          </cell>
          <cell r="J372">
            <v>20</v>
          </cell>
          <cell r="K372">
            <v>1</v>
          </cell>
          <cell r="L372">
            <v>44</v>
          </cell>
          <cell r="M372">
            <v>900</v>
          </cell>
          <cell r="N372">
            <v>1</v>
          </cell>
          <cell r="O372" t="str">
            <v>00</v>
          </cell>
          <cell r="P372">
            <v>7</v>
          </cell>
          <cell r="Q372">
            <v>3</v>
          </cell>
          <cell r="R372">
            <v>3</v>
          </cell>
          <cell r="S372">
            <v>5</v>
          </cell>
          <cell r="T372">
            <v>25</v>
          </cell>
          <cell r="U372">
            <v>96</v>
          </cell>
          <cell r="V372">
            <v>1</v>
          </cell>
          <cell r="X372" t="str">
            <v>Enseign. Technique Autres serv centraux</v>
          </cell>
          <cell r="Y372" t="str">
            <v>P3</v>
          </cell>
          <cell r="Z372" t="str">
            <v>Serv.cent.</v>
          </cell>
          <cell r="AA372" t="str">
            <v>Transport mission intérieur</v>
          </cell>
          <cell r="AB372">
            <v>21150</v>
          </cell>
          <cell r="AC372">
            <v>21150</v>
          </cell>
        </row>
        <row r="373">
          <cell r="A373">
            <v>4939</v>
          </cell>
          <cell r="B373">
            <v>1</v>
          </cell>
          <cell r="C373">
            <v>1</v>
          </cell>
          <cell r="E373" t="str">
            <v>20</v>
          </cell>
          <cell r="F373">
            <v>44900100700</v>
          </cell>
          <cell r="G373">
            <v>3</v>
          </cell>
          <cell r="H373" t="str">
            <v>35</v>
          </cell>
          <cell r="I373">
            <v>29</v>
          </cell>
          <cell r="J373">
            <v>20</v>
          </cell>
          <cell r="K373">
            <v>1</v>
          </cell>
          <cell r="L373">
            <v>44</v>
          </cell>
          <cell r="M373">
            <v>900</v>
          </cell>
          <cell r="N373">
            <v>1</v>
          </cell>
          <cell r="O373" t="str">
            <v>00</v>
          </cell>
          <cell r="P373">
            <v>7</v>
          </cell>
          <cell r="Q373">
            <v>3</v>
          </cell>
          <cell r="R373">
            <v>3</v>
          </cell>
          <cell r="S373">
            <v>5</v>
          </cell>
          <cell r="T373">
            <v>29</v>
          </cell>
          <cell r="U373">
            <v>96</v>
          </cell>
          <cell r="V373">
            <v>1</v>
          </cell>
          <cell r="X373" t="str">
            <v>Enseign. Technique Autres serv centraux</v>
          </cell>
          <cell r="Y373" t="str">
            <v>P3</v>
          </cell>
          <cell r="Z373" t="str">
            <v>Serv.cent.</v>
          </cell>
          <cell r="AA373" t="str">
            <v>Autres frais missions intérieur</v>
          </cell>
          <cell r="AB373">
            <v>0</v>
          </cell>
          <cell r="AC373">
            <v>0</v>
          </cell>
        </row>
        <row r="374">
          <cell r="A374">
            <v>5046</v>
          </cell>
          <cell r="B374">
            <v>1</v>
          </cell>
          <cell r="C374">
            <v>1</v>
          </cell>
          <cell r="E374" t="str">
            <v>20</v>
          </cell>
          <cell r="F374">
            <v>46900100600</v>
          </cell>
          <cell r="G374">
            <v>3</v>
          </cell>
          <cell r="H374" t="str">
            <v>35</v>
          </cell>
          <cell r="I374">
            <v>10</v>
          </cell>
          <cell r="J374">
            <v>20</v>
          </cell>
          <cell r="K374">
            <v>1</v>
          </cell>
          <cell r="L374">
            <v>46</v>
          </cell>
          <cell r="M374">
            <v>900</v>
          </cell>
          <cell r="N374">
            <v>1</v>
          </cell>
          <cell r="O374" t="str">
            <v>00</v>
          </cell>
          <cell r="P374">
            <v>6</v>
          </cell>
          <cell r="Q374">
            <v>3</v>
          </cell>
          <cell r="R374">
            <v>3</v>
          </cell>
          <cell r="S374">
            <v>5</v>
          </cell>
          <cell r="T374">
            <v>10</v>
          </cell>
          <cell r="U374">
            <v>98</v>
          </cell>
          <cell r="V374">
            <v>1</v>
          </cell>
          <cell r="W374">
            <v>0</v>
          </cell>
          <cell r="X374" t="str">
            <v>Enseig. Supérieur Autres serv centraux</v>
          </cell>
          <cell r="Y374" t="str">
            <v>P4</v>
          </cell>
          <cell r="Z374" t="str">
            <v xml:space="preserve"> Ens. NV</v>
          </cell>
          <cell r="AA374" t="str">
            <v>Déplacements définitifs</v>
          </cell>
          <cell r="AB374">
            <v>46830</v>
          </cell>
          <cell r="AC374">
            <v>46830</v>
          </cell>
        </row>
        <row r="375">
          <cell r="A375">
            <v>5047</v>
          </cell>
          <cell r="B375">
            <v>1</v>
          </cell>
          <cell r="C375">
            <v>1</v>
          </cell>
          <cell r="E375" t="str">
            <v>20</v>
          </cell>
          <cell r="F375">
            <v>46900100600</v>
          </cell>
          <cell r="G375">
            <v>3</v>
          </cell>
          <cell r="H375" t="str">
            <v>35</v>
          </cell>
          <cell r="I375">
            <v>21</v>
          </cell>
          <cell r="J375">
            <v>20</v>
          </cell>
          <cell r="K375">
            <v>1</v>
          </cell>
          <cell r="L375">
            <v>46</v>
          </cell>
          <cell r="M375">
            <v>900</v>
          </cell>
          <cell r="N375">
            <v>1</v>
          </cell>
          <cell r="O375" t="str">
            <v>00</v>
          </cell>
          <cell r="P375">
            <v>6</v>
          </cell>
          <cell r="Q375">
            <v>3</v>
          </cell>
          <cell r="R375">
            <v>3</v>
          </cell>
          <cell r="S375">
            <v>5</v>
          </cell>
          <cell r="T375">
            <v>21</v>
          </cell>
          <cell r="U375">
            <v>98</v>
          </cell>
          <cell r="V375">
            <v>1</v>
          </cell>
          <cell r="W375">
            <v>0</v>
          </cell>
          <cell r="X375" t="str">
            <v>Enseig. Supérieur Autres serv centraux</v>
          </cell>
          <cell r="Y375" t="str">
            <v>P4</v>
          </cell>
          <cell r="Z375" t="str">
            <v>Serv.cent.</v>
          </cell>
          <cell r="AA375" t="str">
            <v>Indemnités mission à l’intérieur</v>
          </cell>
          <cell r="AB375">
            <v>29290</v>
          </cell>
          <cell r="AC375">
            <v>29290</v>
          </cell>
        </row>
        <row r="376">
          <cell r="A376">
            <v>5048</v>
          </cell>
          <cell r="B376">
            <v>1</v>
          </cell>
          <cell r="C376">
            <v>1</v>
          </cell>
          <cell r="E376" t="str">
            <v>20</v>
          </cell>
          <cell r="F376">
            <v>46900100600</v>
          </cell>
          <cell r="G376">
            <v>3</v>
          </cell>
          <cell r="H376" t="str">
            <v>35</v>
          </cell>
          <cell r="I376">
            <v>25</v>
          </cell>
          <cell r="J376">
            <v>20</v>
          </cell>
          <cell r="K376">
            <v>1</v>
          </cell>
          <cell r="L376">
            <v>46</v>
          </cell>
          <cell r="M376">
            <v>900</v>
          </cell>
          <cell r="N376">
            <v>1</v>
          </cell>
          <cell r="O376" t="str">
            <v>00</v>
          </cell>
          <cell r="P376">
            <v>6</v>
          </cell>
          <cell r="Q376">
            <v>3</v>
          </cell>
          <cell r="R376">
            <v>3</v>
          </cell>
          <cell r="S376">
            <v>5</v>
          </cell>
          <cell r="T376">
            <v>25</v>
          </cell>
          <cell r="U376">
            <v>98</v>
          </cell>
          <cell r="V376">
            <v>1</v>
          </cell>
          <cell r="W376">
            <v>0</v>
          </cell>
          <cell r="X376" t="str">
            <v>Enseig. Supérieur Autres serv centraux</v>
          </cell>
          <cell r="Y376" t="str">
            <v>P4</v>
          </cell>
          <cell r="Z376" t="str">
            <v>Serv.cent.</v>
          </cell>
          <cell r="AA376" t="str">
            <v>Transport mission à l’intérieur</v>
          </cell>
          <cell r="AB376">
            <v>31640</v>
          </cell>
          <cell r="AC376">
            <v>31640</v>
          </cell>
        </row>
        <row r="377">
          <cell r="A377">
            <v>5049</v>
          </cell>
          <cell r="B377">
            <v>1</v>
          </cell>
          <cell r="C377">
            <v>1</v>
          </cell>
          <cell r="E377" t="str">
            <v>20</v>
          </cell>
          <cell r="F377">
            <v>46900100600</v>
          </cell>
          <cell r="G377">
            <v>3</v>
          </cell>
          <cell r="H377" t="str">
            <v>35</v>
          </cell>
          <cell r="I377">
            <v>29</v>
          </cell>
          <cell r="J377">
            <v>20</v>
          </cell>
          <cell r="K377">
            <v>1</v>
          </cell>
          <cell r="L377">
            <v>46</v>
          </cell>
          <cell r="M377">
            <v>900</v>
          </cell>
          <cell r="N377">
            <v>1</v>
          </cell>
          <cell r="O377" t="str">
            <v>00</v>
          </cell>
          <cell r="P377">
            <v>6</v>
          </cell>
          <cell r="Q377">
            <v>3</v>
          </cell>
          <cell r="R377">
            <v>3</v>
          </cell>
          <cell r="S377">
            <v>5</v>
          </cell>
          <cell r="T377">
            <v>29</v>
          </cell>
          <cell r="U377">
            <v>98</v>
          </cell>
          <cell r="V377">
            <v>1</v>
          </cell>
          <cell r="W377">
            <v>0</v>
          </cell>
          <cell r="X377" t="str">
            <v>Enseig. Supérieur Autres serv centraux</v>
          </cell>
          <cell r="Y377" t="str">
            <v>P4</v>
          </cell>
          <cell r="Z377" t="str">
            <v>Serv.cent.</v>
          </cell>
          <cell r="AA377" t="str">
            <v>Autres frais mission à l'intérieur</v>
          </cell>
          <cell r="AB377">
            <v>9460</v>
          </cell>
          <cell r="AC377">
            <v>9460</v>
          </cell>
        </row>
        <row r="378">
          <cell r="A378">
            <v>3182</v>
          </cell>
          <cell r="B378">
            <v>1</v>
          </cell>
          <cell r="C378">
            <v>1</v>
          </cell>
          <cell r="E378" t="str">
            <v>20</v>
          </cell>
          <cell r="F378">
            <v>49900100700</v>
          </cell>
          <cell r="G378">
            <v>3</v>
          </cell>
          <cell r="H378" t="str">
            <v>35</v>
          </cell>
          <cell r="I378">
            <v>29</v>
          </cell>
          <cell r="J378">
            <v>20</v>
          </cell>
          <cell r="K378">
            <v>1</v>
          </cell>
          <cell r="L378">
            <v>49</v>
          </cell>
          <cell r="M378">
            <v>900</v>
          </cell>
          <cell r="N378">
            <v>1</v>
          </cell>
          <cell r="O378" t="str">
            <v>00</v>
          </cell>
          <cell r="P378">
            <v>7</v>
          </cell>
          <cell r="Q378">
            <v>3</v>
          </cell>
          <cell r="R378">
            <v>3</v>
          </cell>
          <cell r="S378">
            <v>5</v>
          </cell>
          <cell r="T378">
            <v>29</v>
          </cell>
          <cell r="U378">
            <v>93</v>
          </cell>
          <cell r="V378">
            <v>1</v>
          </cell>
          <cell r="X378" t="str">
            <v>Enseig. Serv adm Autres serv centraux</v>
          </cell>
          <cell r="Y378" t="str">
            <v>P5</v>
          </cell>
          <cell r="Z378" t="str">
            <v>Serv.centr.</v>
          </cell>
          <cell r="AA378" t="str">
            <v>Autres frais mission à l'interieur</v>
          </cell>
          <cell r="AB378">
            <v>85500</v>
          </cell>
          <cell r="AC378">
            <v>85500</v>
          </cell>
        </row>
        <row r="379">
          <cell r="A379">
            <v>12406</v>
          </cell>
          <cell r="B379">
            <v>1</v>
          </cell>
          <cell r="J379">
            <v>20</v>
          </cell>
          <cell r="K379">
            <v>1</v>
          </cell>
          <cell r="N379">
            <v>2</v>
          </cell>
          <cell r="Q379">
            <v>3</v>
          </cell>
          <cell r="R379">
            <v>3</v>
          </cell>
          <cell r="S379">
            <v>5</v>
          </cell>
          <cell r="X379" t="str">
            <v>Conakry Services déconcentrés</v>
          </cell>
          <cell r="AB379">
            <v>85480</v>
          </cell>
          <cell r="AC379">
            <v>85480</v>
          </cell>
        </row>
        <row r="380">
          <cell r="A380">
            <v>2948</v>
          </cell>
          <cell r="B380">
            <v>1</v>
          </cell>
          <cell r="C380">
            <v>1</v>
          </cell>
          <cell r="E380" t="str">
            <v>20</v>
          </cell>
          <cell r="F380">
            <v>42000200700</v>
          </cell>
          <cell r="G380">
            <v>3</v>
          </cell>
          <cell r="H380" t="str">
            <v>35</v>
          </cell>
          <cell r="I380">
            <v>10</v>
          </cell>
          <cell r="J380">
            <v>20</v>
          </cell>
          <cell r="K380">
            <v>1</v>
          </cell>
          <cell r="L380">
            <v>42</v>
          </cell>
          <cell r="M380" t="str">
            <v>000</v>
          </cell>
          <cell r="N380">
            <v>2</v>
          </cell>
          <cell r="O380" t="str">
            <v>00</v>
          </cell>
          <cell r="P380">
            <v>7</v>
          </cell>
          <cell r="Q380">
            <v>3</v>
          </cell>
          <cell r="R380">
            <v>3</v>
          </cell>
          <cell r="S380">
            <v>5</v>
          </cell>
          <cell r="T380">
            <v>10</v>
          </cell>
          <cell r="U380">
            <v>33</v>
          </cell>
          <cell r="V380">
            <v>1</v>
          </cell>
          <cell r="X380" t="str">
            <v>Primaire Ens.serv.déconc.</v>
          </cell>
          <cell r="Y380" t="str">
            <v>P1</v>
          </cell>
          <cell r="Z380" t="str">
            <v>Conakry</v>
          </cell>
          <cell r="AA380" t="str">
            <v>Déplace. définitifs</v>
          </cell>
          <cell r="AB380">
            <v>13460</v>
          </cell>
          <cell r="AC380">
            <v>13460</v>
          </cell>
        </row>
        <row r="381">
          <cell r="A381">
            <v>2949</v>
          </cell>
          <cell r="B381">
            <v>1</v>
          </cell>
          <cell r="C381">
            <v>1</v>
          </cell>
          <cell r="E381" t="str">
            <v>20</v>
          </cell>
          <cell r="F381">
            <v>42000200700</v>
          </cell>
          <cell r="G381">
            <v>3</v>
          </cell>
          <cell r="H381" t="str">
            <v>35</v>
          </cell>
          <cell r="I381">
            <v>21</v>
          </cell>
          <cell r="J381">
            <v>20</v>
          </cell>
          <cell r="K381">
            <v>1</v>
          </cell>
          <cell r="L381">
            <v>42</v>
          </cell>
          <cell r="M381" t="str">
            <v>000</v>
          </cell>
          <cell r="N381">
            <v>2</v>
          </cell>
          <cell r="O381" t="str">
            <v>00</v>
          </cell>
          <cell r="P381">
            <v>7</v>
          </cell>
          <cell r="Q381">
            <v>3</v>
          </cell>
          <cell r="R381">
            <v>3</v>
          </cell>
          <cell r="S381">
            <v>5</v>
          </cell>
          <cell r="T381">
            <v>21</v>
          </cell>
          <cell r="U381">
            <v>33</v>
          </cell>
          <cell r="V381">
            <v>1</v>
          </cell>
          <cell r="X381" t="str">
            <v>Primaire Ens.serv.déconc.</v>
          </cell>
          <cell r="Y381" t="str">
            <v>P1</v>
          </cell>
          <cell r="Z381" t="str">
            <v>Conakry</v>
          </cell>
          <cell r="AA381" t="str">
            <v>Indem. missions intérieur</v>
          </cell>
          <cell r="AB381">
            <v>17530</v>
          </cell>
          <cell r="AC381">
            <v>17530</v>
          </cell>
        </row>
        <row r="382">
          <cell r="A382">
            <v>2950</v>
          </cell>
          <cell r="B382">
            <v>1</v>
          </cell>
          <cell r="C382">
            <v>1</v>
          </cell>
          <cell r="E382" t="str">
            <v>20</v>
          </cell>
          <cell r="F382">
            <v>42000200700</v>
          </cell>
          <cell r="G382">
            <v>3</v>
          </cell>
          <cell r="H382" t="str">
            <v>35</v>
          </cell>
          <cell r="I382">
            <v>29</v>
          </cell>
          <cell r="J382">
            <v>20</v>
          </cell>
          <cell r="K382">
            <v>1</v>
          </cell>
          <cell r="L382">
            <v>42</v>
          </cell>
          <cell r="M382" t="str">
            <v>000</v>
          </cell>
          <cell r="N382">
            <v>2</v>
          </cell>
          <cell r="O382" t="str">
            <v>00</v>
          </cell>
          <cell r="P382">
            <v>7</v>
          </cell>
          <cell r="Q382">
            <v>3</v>
          </cell>
          <cell r="R382">
            <v>3</v>
          </cell>
          <cell r="S382">
            <v>5</v>
          </cell>
          <cell r="T382">
            <v>29</v>
          </cell>
          <cell r="U382">
            <v>33</v>
          </cell>
          <cell r="V382">
            <v>1</v>
          </cell>
          <cell r="X382" t="str">
            <v>Primaire Ens.serv.déconc.</v>
          </cell>
          <cell r="Y382" t="str">
            <v>P1</v>
          </cell>
          <cell r="Z382" t="str">
            <v>Conakry</v>
          </cell>
          <cell r="AA382" t="str">
            <v>Autres frais mission à l'interieur</v>
          </cell>
          <cell r="AB382">
            <v>0</v>
          </cell>
          <cell r="AC382">
            <v>0</v>
          </cell>
        </row>
        <row r="383">
          <cell r="A383">
            <v>3008</v>
          </cell>
          <cell r="B383">
            <v>1</v>
          </cell>
          <cell r="C383">
            <v>1</v>
          </cell>
          <cell r="E383" t="str">
            <v>20</v>
          </cell>
          <cell r="F383">
            <v>43000200700</v>
          </cell>
          <cell r="G383">
            <v>3</v>
          </cell>
          <cell r="H383" t="str">
            <v>35</v>
          </cell>
          <cell r="I383">
            <v>10</v>
          </cell>
          <cell r="J383">
            <v>20</v>
          </cell>
          <cell r="K383">
            <v>1</v>
          </cell>
          <cell r="L383">
            <v>43</v>
          </cell>
          <cell r="M383" t="str">
            <v>000</v>
          </cell>
          <cell r="N383">
            <v>2</v>
          </cell>
          <cell r="O383" t="str">
            <v>00</v>
          </cell>
          <cell r="P383">
            <v>7</v>
          </cell>
          <cell r="Q383">
            <v>3</v>
          </cell>
          <cell r="R383">
            <v>3</v>
          </cell>
          <cell r="S383">
            <v>5</v>
          </cell>
          <cell r="T383">
            <v>10</v>
          </cell>
          <cell r="U383">
            <v>33</v>
          </cell>
          <cell r="V383">
            <v>1</v>
          </cell>
          <cell r="X383" t="str">
            <v>Secondaire Ens.serv.déconc.</v>
          </cell>
          <cell r="Y383" t="str">
            <v>P2</v>
          </cell>
          <cell r="Z383" t="str">
            <v>Conakry</v>
          </cell>
          <cell r="AA383" t="str">
            <v>Déplace. définitifs</v>
          </cell>
          <cell r="AB383">
            <v>1900</v>
          </cell>
          <cell r="AC383">
            <v>1900</v>
          </cell>
        </row>
        <row r="384">
          <cell r="A384">
            <v>3009</v>
          </cell>
          <cell r="B384">
            <v>1</v>
          </cell>
          <cell r="C384">
            <v>1</v>
          </cell>
          <cell r="E384" t="str">
            <v>20</v>
          </cell>
          <cell r="F384">
            <v>43000200700</v>
          </cell>
          <cell r="G384">
            <v>3</v>
          </cell>
          <cell r="H384" t="str">
            <v>35</v>
          </cell>
          <cell r="I384">
            <v>21</v>
          </cell>
          <cell r="J384">
            <v>20</v>
          </cell>
          <cell r="K384">
            <v>1</v>
          </cell>
          <cell r="L384">
            <v>43</v>
          </cell>
          <cell r="M384" t="str">
            <v>000</v>
          </cell>
          <cell r="N384">
            <v>2</v>
          </cell>
          <cell r="O384" t="str">
            <v>00</v>
          </cell>
          <cell r="P384">
            <v>7</v>
          </cell>
          <cell r="Q384">
            <v>3</v>
          </cell>
          <cell r="R384">
            <v>3</v>
          </cell>
          <cell r="S384">
            <v>5</v>
          </cell>
          <cell r="T384">
            <v>21</v>
          </cell>
          <cell r="U384">
            <v>33</v>
          </cell>
          <cell r="V384">
            <v>1</v>
          </cell>
          <cell r="X384" t="str">
            <v>Secondaire Ens.serv.déconc.</v>
          </cell>
          <cell r="Y384" t="str">
            <v>P2</v>
          </cell>
          <cell r="Z384" t="str">
            <v>Conakry</v>
          </cell>
          <cell r="AA384" t="str">
            <v>Indem. missions intérieur</v>
          </cell>
          <cell r="AB384">
            <v>0</v>
          </cell>
          <cell r="AC384">
            <v>0</v>
          </cell>
        </row>
        <row r="385">
          <cell r="A385">
            <v>3010</v>
          </cell>
          <cell r="B385">
            <v>1</v>
          </cell>
          <cell r="C385">
            <v>1</v>
          </cell>
          <cell r="E385" t="str">
            <v>20</v>
          </cell>
          <cell r="F385">
            <v>43000200700</v>
          </cell>
          <cell r="G385">
            <v>3</v>
          </cell>
          <cell r="H385" t="str">
            <v>35</v>
          </cell>
          <cell r="I385">
            <v>25</v>
          </cell>
          <cell r="J385">
            <v>20</v>
          </cell>
          <cell r="K385">
            <v>1</v>
          </cell>
          <cell r="L385">
            <v>43</v>
          </cell>
          <cell r="M385" t="str">
            <v>000</v>
          </cell>
          <cell r="N385">
            <v>2</v>
          </cell>
          <cell r="O385" t="str">
            <v>00</v>
          </cell>
          <cell r="P385">
            <v>7</v>
          </cell>
          <cell r="Q385">
            <v>3</v>
          </cell>
          <cell r="R385">
            <v>3</v>
          </cell>
          <cell r="S385">
            <v>5</v>
          </cell>
          <cell r="T385">
            <v>25</v>
          </cell>
          <cell r="U385">
            <v>33</v>
          </cell>
          <cell r="V385">
            <v>1</v>
          </cell>
          <cell r="X385" t="str">
            <v>Secondaire Ens.serv.déconc.</v>
          </cell>
          <cell r="Y385" t="str">
            <v>P2</v>
          </cell>
          <cell r="Z385" t="str">
            <v>Conakry</v>
          </cell>
          <cell r="AA385" t="str">
            <v>Transport missions intérieur</v>
          </cell>
          <cell r="AB385">
            <v>0</v>
          </cell>
          <cell r="AC385">
            <v>0</v>
          </cell>
        </row>
        <row r="386">
          <cell r="A386">
            <v>3011</v>
          </cell>
          <cell r="B386">
            <v>1</v>
          </cell>
          <cell r="C386">
            <v>1</v>
          </cell>
          <cell r="E386" t="str">
            <v>20</v>
          </cell>
          <cell r="F386">
            <v>43000200700</v>
          </cell>
          <cell r="G386">
            <v>3</v>
          </cell>
          <cell r="H386" t="str">
            <v>35</v>
          </cell>
          <cell r="I386">
            <v>29</v>
          </cell>
          <cell r="J386">
            <v>20</v>
          </cell>
          <cell r="K386">
            <v>1</v>
          </cell>
          <cell r="L386">
            <v>43</v>
          </cell>
          <cell r="M386" t="str">
            <v>000</v>
          </cell>
          <cell r="N386">
            <v>2</v>
          </cell>
          <cell r="O386" t="str">
            <v>00</v>
          </cell>
          <cell r="P386">
            <v>7</v>
          </cell>
          <cell r="Q386">
            <v>3</v>
          </cell>
          <cell r="R386">
            <v>3</v>
          </cell>
          <cell r="S386">
            <v>5</v>
          </cell>
          <cell r="T386">
            <v>29</v>
          </cell>
          <cell r="U386">
            <v>33</v>
          </cell>
          <cell r="V386">
            <v>1</v>
          </cell>
          <cell r="X386" t="str">
            <v>Secondaire Ens.serv.déconc.</v>
          </cell>
          <cell r="Y386" t="str">
            <v>P2</v>
          </cell>
          <cell r="Z386" t="str">
            <v>Conakry</v>
          </cell>
          <cell r="AA386" t="str">
            <v>Autres frais mission à l'interieur</v>
          </cell>
          <cell r="AB386">
            <v>52590</v>
          </cell>
          <cell r="AC386">
            <v>52590</v>
          </cell>
        </row>
        <row r="387">
          <cell r="A387">
            <v>4835</v>
          </cell>
          <cell r="B387">
            <v>1</v>
          </cell>
          <cell r="C387">
            <v>1</v>
          </cell>
          <cell r="E387" t="str">
            <v>20</v>
          </cell>
          <cell r="F387">
            <v>44000200700</v>
          </cell>
          <cell r="G387">
            <v>3</v>
          </cell>
          <cell r="H387" t="str">
            <v>35</v>
          </cell>
          <cell r="I387">
            <v>10</v>
          </cell>
          <cell r="J387">
            <v>20</v>
          </cell>
          <cell r="K387">
            <v>1</v>
          </cell>
          <cell r="L387">
            <v>44</v>
          </cell>
          <cell r="M387" t="str">
            <v>000</v>
          </cell>
          <cell r="N387">
            <v>2</v>
          </cell>
          <cell r="O387" t="str">
            <v>00</v>
          </cell>
          <cell r="P387">
            <v>7</v>
          </cell>
          <cell r="Q387">
            <v>3</v>
          </cell>
          <cell r="R387">
            <v>3</v>
          </cell>
          <cell r="S387">
            <v>5</v>
          </cell>
          <cell r="T387">
            <v>10</v>
          </cell>
          <cell r="U387">
            <v>36</v>
          </cell>
          <cell r="V387">
            <v>1</v>
          </cell>
          <cell r="W387">
            <v>0</v>
          </cell>
          <cell r="X387" t="str">
            <v>Enseign. Technique</v>
          </cell>
          <cell r="Y387" t="str">
            <v>P3</v>
          </cell>
          <cell r="Z387" t="str">
            <v>Conakry</v>
          </cell>
          <cell r="AA387" t="str">
            <v>Déplacements définitifs</v>
          </cell>
          <cell r="AB387">
            <v>0</v>
          </cell>
          <cell r="AC387">
            <v>0</v>
          </cell>
        </row>
        <row r="388">
          <cell r="A388">
            <v>4836</v>
          </cell>
          <cell r="B388">
            <v>1</v>
          </cell>
          <cell r="C388">
            <v>1</v>
          </cell>
          <cell r="E388" t="str">
            <v>20</v>
          </cell>
          <cell r="F388">
            <v>44000200700</v>
          </cell>
          <cell r="G388">
            <v>3</v>
          </cell>
          <cell r="H388" t="str">
            <v>35</v>
          </cell>
          <cell r="I388">
            <v>21</v>
          </cell>
          <cell r="J388">
            <v>20</v>
          </cell>
          <cell r="K388">
            <v>1</v>
          </cell>
          <cell r="L388">
            <v>44</v>
          </cell>
          <cell r="M388" t="str">
            <v>000</v>
          </cell>
          <cell r="N388">
            <v>2</v>
          </cell>
          <cell r="O388" t="str">
            <v>00</v>
          </cell>
          <cell r="P388">
            <v>7</v>
          </cell>
          <cell r="Q388">
            <v>3</v>
          </cell>
          <cell r="R388">
            <v>3</v>
          </cell>
          <cell r="S388">
            <v>5</v>
          </cell>
          <cell r="T388">
            <v>21</v>
          </cell>
          <cell r="U388">
            <v>36</v>
          </cell>
          <cell r="V388">
            <v>1</v>
          </cell>
          <cell r="W388">
            <v>0</v>
          </cell>
          <cell r="X388" t="str">
            <v>Enseign. Technique</v>
          </cell>
          <cell r="Y388" t="str">
            <v>P3</v>
          </cell>
          <cell r="Z388" t="str">
            <v>Conakry</v>
          </cell>
          <cell r="AA388" t="str">
            <v>Indemnités mission à l’intérieur</v>
          </cell>
          <cell r="AB388">
            <v>0</v>
          </cell>
          <cell r="AC388">
            <v>0</v>
          </cell>
        </row>
        <row r="389">
          <cell r="A389">
            <v>4837</v>
          </cell>
          <cell r="B389">
            <v>1</v>
          </cell>
          <cell r="C389">
            <v>1</v>
          </cell>
          <cell r="E389" t="str">
            <v>20</v>
          </cell>
          <cell r="F389">
            <v>44000200700</v>
          </cell>
          <cell r="G389">
            <v>3</v>
          </cell>
          <cell r="H389" t="str">
            <v>35</v>
          </cell>
          <cell r="I389">
            <v>25</v>
          </cell>
          <cell r="J389">
            <v>20</v>
          </cell>
          <cell r="K389">
            <v>1</v>
          </cell>
          <cell r="L389">
            <v>44</v>
          </cell>
          <cell r="M389" t="str">
            <v>000</v>
          </cell>
          <cell r="N389">
            <v>2</v>
          </cell>
          <cell r="O389" t="str">
            <v>00</v>
          </cell>
          <cell r="P389">
            <v>7</v>
          </cell>
          <cell r="Q389">
            <v>3</v>
          </cell>
          <cell r="R389">
            <v>3</v>
          </cell>
          <cell r="S389">
            <v>5</v>
          </cell>
          <cell r="T389">
            <v>25</v>
          </cell>
          <cell r="U389">
            <v>36</v>
          </cell>
          <cell r="V389">
            <v>1</v>
          </cell>
          <cell r="W389">
            <v>0</v>
          </cell>
          <cell r="X389" t="str">
            <v>Enseign. Technique</v>
          </cell>
          <cell r="Y389" t="str">
            <v>P3</v>
          </cell>
          <cell r="Z389" t="str">
            <v>Conakry</v>
          </cell>
          <cell r="AA389" t="str">
            <v>Transport mission à l’intérieur</v>
          </cell>
          <cell r="AB389">
            <v>0</v>
          </cell>
          <cell r="AC389">
            <v>0</v>
          </cell>
        </row>
        <row r="390">
          <cell r="A390">
            <v>4892</v>
          </cell>
          <cell r="B390">
            <v>1</v>
          </cell>
          <cell r="C390">
            <v>1</v>
          </cell>
          <cell r="E390" t="str">
            <v>20</v>
          </cell>
          <cell r="F390">
            <v>44300200700</v>
          </cell>
          <cell r="G390">
            <v>3</v>
          </cell>
          <cell r="H390" t="str">
            <v>35</v>
          </cell>
          <cell r="I390">
            <v>21</v>
          </cell>
          <cell r="J390">
            <v>20</v>
          </cell>
          <cell r="K390">
            <v>1</v>
          </cell>
          <cell r="L390">
            <v>44</v>
          </cell>
          <cell r="M390">
            <v>300</v>
          </cell>
          <cell r="N390">
            <v>2</v>
          </cell>
          <cell r="O390" t="str">
            <v>00</v>
          </cell>
          <cell r="P390">
            <v>7</v>
          </cell>
          <cell r="Q390">
            <v>3</v>
          </cell>
          <cell r="R390">
            <v>3</v>
          </cell>
          <cell r="S390">
            <v>5</v>
          </cell>
          <cell r="T390">
            <v>21</v>
          </cell>
          <cell r="U390">
            <v>36</v>
          </cell>
          <cell r="V390">
            <v>1</v>
          </cell>
          <cell r="X390" t="str">
            <v>Inspect région. Ens tech</v>
          </cell>
          <cell r="Y390" t="str">
            <v>P5</v>
          </cell>
          <cell r="Z390" t="str">
            <v>Conakry</v>
          </cell>
          <cell r="AA390" t="str">
            <v>Indemnité mission intérieur</v>
          </cell>
          <cell r="AB390">
            <v>0</v>
          </cell>
          <cell r="AC390">
            <v>0</v>
          </cell>
        </row>
        <row r="391">
          <cell r="A391">
            <v>4893</v>
          </cell>
          <cell r="B391">
            <v>1</v>
          </cell>
          <cell r="C391">
            <v>1</v>
          </cell>
          <cell r="E391" t="str">
            <v>20</v>
          </cell>
          <cell r="F391">
            <v>44300200700</v>
          </cell>
          <cell r="G391">
            <v>3</v>
          </cell>
          <cell r="H391" t="str">
            <v>35</v>
          </cell>
          <cell r="I391">
            <v>25</v>
          </cell>
          <cell r="J391">
            <v>20</v>
          </cell>
          <cell r="K391">
            <v>1</v>
          </cell>
          <cell r="L391">
            <v>44</v>
          </cell>
          <cell r="M391">
            <v>300</v>
          </cell>
          <cell r="N391">
            <v>2</v>
          </cell>
          <cell r="O391" t="str">
            <v>00</v>
          </cell>
          <cell r="P391">
            <v>7</v>
          </cell>
          <cell r="Q391">
            <v>3</v>
          </cell>
          <cell r="R391">
            <v>3</v>
          </cell>
          <cell r="S391">
            <v>5</v>
          </cell>
          <cell r="T391">
            <v>25</v>
          </cell>
          <cell r="U391">
            <v>36</v>
          </cell>
          <cell r="V391">
            <v>1</v>
          </cell>
          <cell r="X391" t="str">
            <v>Inspect région. Ens tech</v>
          </cell>
          <cell r="Y391" t="str">
            <v>P5</v>
          </cell>
          <cell r="Z391" t="str">
            <v>Conakry</v>
          </cell>
          <cell r="AA391" t="str">
            <v>Transport mission intérieur</v>
          </cell>
          <cell r="AB391">
            <v>0</v>
          </cell>
          <cell r="AC391">
            <v>0</v>
          </cell>
        </row>
        <row r="392">
          <cell r="A392">
            <v>3067</v>
          </cell>
          <cell r="B392">
            <v>1</v>
          </cell>
          <cell r="C392">
            <v>1</v>
          </cell>
          <cell r="E392" t="str">
            <v>20</v>
          </cell>
          <cell r="F392">
            <v>49000200700</v>
          </cell>
          <cell r="G392">
            <v>3</v>
          </cell>
          <cell r="H392" t="str">
            <v>35</v>
          </cell>
          <cell r="I392">
            <v>29</v>
          </cell>
          <cell r="J392">
            <v>20</v>
          </cell>
          <cell r="K392">
            <v>1</v>
          </cell>
          <cell r="L392">
            <v>49</v>
          </cell>
          <cell r="M392" t="str">
            <v>000</v>
          </cell>
          <cell r="N392">
            <v>2</v>
          </cell>
          <cell r="O392" t="str">
            <v>00</v>
          </cell>
          <cell r="P392">
            <v>7</v>
          </cell>
          <cell r="Q392">
            <v>3</v>
          </cell>
          <cell r="R392">
            <v>3</v>
          </cell>
          <cell r="S392">
            <v>5</v>
          </cell>
          <cell r="T392">
            <v>29</v>
          </cell>
          <cell r="U392">
            <v>33</v>
          </cell>
          <cell r="V392">
            <v>1</v>
          </cell>
          <cell r="X392" t="str">
            <v>Enseig. Serv administratifs</v>
          </cell>
          <cell r="Y392" t="str">
            <v>P5</v>
          </cell>
          <cell r="Z392" t="str">
            <v>Conakry</v>
          </cell>
          <cell r="AA392" t="str">
            <v>Autres frais mission à l'interieur</v>
          </cell>
          <cell r="AB392">
            <v>0</v>
          </cell>
          <cell r="AC392">
            <v>0</v>
          </cell>
        </row>
        <row r="393">
          <cell r="A393">
            <v>12408</v>
          </cell>
          <cell r="B393">
            <v>1</v>
          </cell>
          <cell r="J393">
            <v>20</v>
          </cell>
          <cell r="K393">
            <v>1</v>
          </cell>
          <cell r="N393">
            <v>3</v>
          </cell>
          <cell r="Q393">
            <v>3</v>
          </cell>
          <cell r="R393">
            <v>3</v>
          </cell>
          <cell r="S393">
            <v>5</v>
          </cell>
          <cell r="X393" t="str">
            <v>Intérieur Services déconcentrés</v>
          </cell>
          <cell r="AB393">
            <v>360480</v>
          </cell>
          <cell r="AC393">
            <v>360480</v>
          </cell>
        </row>
        <row r="394">
          <cell r="A394">
            <v>2975</v>
          </cell>
          <cell r="B394">
            <v>1</v>
          </cell>
          <cell r="C394">
            <v>1</v>
          </cell>
          <cell r="E394" t="str">
            <v>20</v>
          </cell>
          <cell r="F394">
            <v>42000300700</v>
          </cell>
          <cell r="G394">
            <v>3</v>
          </cell>
          <cell r="H394" t="str">
            <v>35</v>
          </cell>
          <cell r="I394">
            <v>10</v>
          </cell>
          <cell r="J394">
            <v>20</v>
          </cell>
          <cell r="K394">
            <v>1</v>
          </cell>
          <cell r="L394">
            <v>42</v>
          </cell>
          <cell r="M394" t="str">
            <v>000</v>
          </cell>
          <cell r="N394">
            <v>3</v>
          </cell>
          <cell r="O394" t="str">
            <v>00</v>
          </cell>
          <cell r="P394">
            <v>7</v>
          </cell>
          <cell r="Q394">
            <v>3</v>
          </cell>
          <cell r="R394">
            <v>3</v>
          </cell>
          <cell r="S394">
            <v>5</v>
          </cell>
          <cell r="T394">
            <v>10</v>
          </cell>
          <cell r="U394">
            <v>33</v>
          </cell>
          <cell r="V394">
            <v>1</v>
          </cell>
          <cell r="X394" t="str">
            <v>Primaire Ens.serv.déconc.</v>
          </cell>
          <cell r="Y394" t="str">
            <v>P1</v>
          </cell>
          <cell r="Z394" t="str">
            <v>Intérieur</v>
          </cell>
          <cell r="AA394" t="str">
            <v>Déplace. définitifs</v>
          </cell>
          <cell r="AB394">
            <v>50940</v>
          </cell>
          <cell r="AC394">
            <v>50940</v>
          </cell>
        </row>
        <row r="395">
          <cell r="A395">
            <v>2976</v>
          </cell>
          <cell r="B395">
            <v>1</v>
          </cell>
          <cell r="C395">
            <v>1</v>
          </cell>
          <cell r="E395" t="str">
            <v>20</v>
          </cell>
          <cell r="F395">
            <v>42000300700</v>
          </cell>
          <cell r="G395">
            <v>3</v>
          </cell>
          <cell r="H395" t="str">
            <v>35</v>
          </cell>
          <cell r="I395">
            <v>21</v>
          </cell>
          <cell r="J395">
            <v>20</v>
          </cell>
          <cell r="K395">
            <v>1</v>
          </cell>
          <cell r="L395">
            <v>42</v>
          </cell>
          <cell r="M395" t="str">
            <v>000</v>
          </cell>
          <cell r="N395">
            <v>3</v>
          </cell>
          <cell r="O395" t="str">
            <v>00</v>
          </cell>
          <cell r="P395">
            <v>7</v>
          </cell>
          <cell r="Q395">
            <v>3</v>
          </cell>
          <cell r="R395">
            <v>3</v>
          </cell>
          <cell r="S395">
            <v>5</v>
          </cell>
          <cell r="T395">
            <v>21</v>
          </cell>
          <cell r="U395">
            <v>33</v>
          </cell>
          <cell r="V395">
            <v>1</v>
          </cell>
          <cell r="X395" t="str">
            <v>Primaire Ens.serv.déconc.</v>
          </cell>
          <cell r="Y395" t="str">
            <v>P1</v>
          </cell>
          <cell r="Z395" t="str">
            <v>Intérieur</v>
          </cell>
          <cell r="AA395" t="str">
            <v>Indem. missions intérieur</v>
          </cell>
          <cell r="AB395">
            <v>40300</v>
          </cell>
          <cell r="AC395">
            <v>40300</v>
          </cell>
        </row>
        <row r="396">
          <cell r="A396">
            <v>2977</v>
          </cell>
          <cell r="B396">
            <v>1</v>
          </cell>
          <cell r="C396">
            <v>1</v>
          </cell>
          <cell r="E396" t="str">
            <v>20</v>
          </cell>
          <cell r="F396">
            <v>42000300700</v>
          </cell>
          <cell r="G396">
            <v>3</v>
          </cell>
          <cell r="H396" t="str">
            <v>35</v>
          </cell>
          <cell r="I396">
            <v>25</v>
          </cell>
          <cell r="J396">
            <v>20</v>
          </cell>
          <cell r="K396">
            <v>1</v>
          </cell>
          <cell r="L396">
            <v>42</v>
          </cell>
          <cell r="M396" t="str">
            <v>000</v>
          </cell>
          <cell r="N396">
            <v>3</v>
          </cell>
          <cell r="O396" t="str">
            <v>00</v>
          </cell>
          <cell r="P396">
            <v>7</v>
          </cell>
          <cell r="Q396">
            <v>3</v>
          </cell>
          <cell r="R396">
            <v>3</v>
          </cell>
          <cell r="S396">
            <v>5</v>
          </cell>
          <cell r="T396">
            <v>25</v>
          </cell>
          <cell r="U396">
            <v>33</v>
          </cell>
          <cell r="V396">
            <v>1</v>
          </cell>
          <cell r="X396" t="str">
            <v>Primaire Ens.serv.déconc.</v>
          </cell>
          <cell r="Y396" t="str">
            <v>P1</v>
          </cell>
          <cell r="Z396" t="str">
            <v>Intérieur</v>
          </cell>
          <cell r="AA396" t="str">
            <v>Transport missions intérieur</v>
          </cell>
          <cell r="AB396">
            <v>70250</v>
          </cell>
          <cell r="AC396">
            <v>70250</v>
          </cell>
        </row>
        <row r="397">
          <cell r="A397">
            <v>2978</v>
          </cell>
          <cell r="B397">
            <v>1</v>
          </cell>
          <cell r="C397">
            <v>1</v>
          </cell>
          <cell r="E397" t="str">
            <v>20</v>
          </cell>
          <cell r="F397">
            <v>42000300700</v>
          </cell>
          <cell r="G397">
            <v>3</v>
          </cell>
          <cell r="H397" t="str">
            <v>35</v>
          </cell>
          <cell r="I397">
            <v>29</v>
          </cell>
          <cell r="J397">
            <v>20</v>
          </cell>
          <cell r="K397">
            <v>1</v>
          </cell>
          <cell r="L397">
            <v>42</v>
          </cell>
          <cell r="M397" t="str">
            <v>000</v>
          </cell>
          <cell r="N397">
            <v>3</v>
          </cell>
          <cell r="O397" t="str">
            <v>00</v>
          </cell>
          <cell r="P397">
            <v>7</v>
          </cell>
          <cell r="Q397">
            <v>3</v>
          </cell>
          <cell r="R397">
            <v>3</v>
          </cell>
          <cell r="S397">
            <v>5</v>
          </cell>
          <cell r="T397">
            <v>29</v>
          </cell>
          <cell r="U397">
            <v>33</v>
          </cell>
          <cell r="V397">
            <v>1</v>
          </cell>
          <cell r="X397" t="str">
            <v>Primaire Ens.serv.déconc.</v>
          </cell>
          <cell r="Y397" t="str">
            <v>P1</v>
          </cell>
          <cell r="Z397" t="str">
            <v>Intérieur</v>
          </cell>
          <cell r="AA397" t="str">
            <v>Autres frais mission à l'interieur</v>
          </cell>
          <cell r="AB397">
            <v>105190</v>
          </cell>
          <cell r="AC397">
            <v>105190</v>
          </cell>
        </row>
        <row r="398">
          <cell r="A398">
            <v>3036</v>
          </cell>
          <cell r="B398">
            <v>1</v>
          </cell>
          <cell r="C398">
            <v>1</v>
          </cell>
          <cell r="E398" t="str">
            <v>20</v>
          </cell>
          <cell r="F398">
            <v>43000300700</v>
          </cell>
          <cell r="G398">
            <v>3</v>
          </cell>
          <cell r="H398" t="str">
            <v>35</v>
          </cell>
          <cell r="I398">
            <v>10</v>
          </cell>
          <cell r="J398">
            <v>20</v>
          </cell>
          <cell r="K398">
            <v>1</v>
          </cell>
          <cell r="L398">
            <v>43</v>
          </cell>
          <cell r="M398" t="str">
            <v>000</v>
          </cell>
          <cell r="N398">
            <v>3</v>
          </cell>
          <cell r="O398" t="str">
            <v>00</v>
          </cell>
          <cell r="P398">
            <v>7</v>
          </cell>
          <cell r="Q398">
            <v>3</v>
          </cell>
          <cell r="R398">
            <v>3</v>
          </cell>
          <cell r="S398">
            <v>5</v>
          </cell>
          <cell r="T398">
            <v>10</v>
          </cell>
          <cell r="U398">
            <v>33</v>
          </cell>
          <cell r="V398">
            <v>1</v>
          </cell>
          <cell r="X398" t="str">
            <v>Secondaire Ens.serv.déconc.</v>
          </cell>
          <cell r="Y398" t="str">
            <v>P2</v>
          </cell>
          <cell r="Z398" t="str">
            <v>Intérieur</v>
          </cell>
          <cell r="AA398" t="str">
            <v>Déplace. définitifs</v>
          </cell>
          <cell r="AB398">
            <v>4410</v>
          </cell>
          <cell r="AC398">
            <v>4410</v>
          </cell>
        </row>
        <row r="399">
          <cell r="A399">
            <v>3037</v>
          </cell>
          <cell r="B399">
            <v>1</v>
          </cell>
          <cell r="C399">
            <v>1</v>
          </cell>
          <cell r="E399" t="str">
            <v>20</v>
          </cell>
          <cell r="F399">
            <v>43000300700</v>
          </cell>
          <cell r="G399">
            <v>3</v>
          </cell>
          <cell r="H399" t="str">
            <v>35</v>
          </cell>
          <cell r="I399">
            <v>21</v>
          </cell>
          <cell r="J399">
            <v>20</v>
          </cell>
          <cell r="K399">
            <v>1</v>
          </cell>
          <cell r="L399">
            <v>43</v>
          </cell>
          <cell r="M399" t="str">
            <v>000</v>
          </cell>
          <cell r="N399">
            <v>3</v>
          </cell>
          <cell r="O399" t="str">
            <v>00</v>
          </cell>
          <cell r="P399">
            <v>7</v>
          </cell>
          <cell r="Q399">
            <v>3</v>
          </cell>
          <cell r="R399">
            <v>3</v>
          </cell>
          <cell r="S399">
            <v>5</v>
          </cell>
          <cell r="T399">
            <v>21</v>
          </cell>
          <cell r="U399">
            <v>33</v>
          </cell>
          <cell r="V399">
            <v>1</v>
          </cell>
          <cell r="X399" t="str">
            <v>Secondaire Ens.serv.déconc.</v>
          </cell>
          <cell r="Y399" t="str">
            <v>P2</v>
          </cell>
          <cell r="Z399" t="str">
            <v>Intérieur</v>
          </cell>
          <cell r="AA399" t="str">
            <v>Indem. missions intérieur</v>
          </cell>
          <cell r="AB399">
            <v>40300</v>
          </cell>
          <cell r="AC399">
            <v>40300</v>
          </cell>
        </row>
        <row r="400">
          <cell r="A400">
            <v>3039</v>
          </cell>
          <cell r="B400">
            <v>1</v>
          </cell>
          <cell r="C400">
            <v>1</v>
          </cell>
          <cell r="E400" t="str">
            <v>20</v>
          </cell>
          <cell r="F400">
            <v>43000300700</v>
          </cell>
          <cell r="G400">
            <v>3</v>
          </cell>
          <cell r="H400" t="str">
            <v>35</v>
          </cell>
          <cell r="I400">
            <v>29</v>
          </cell>
          <cell r="J400">
            <v>20</v>
          </cell>
          <cell r="K400">
            <v>1</v>
          </cell>
          <cell r="L400">
            <v>43</v>
          </cell>
          <cell r="M400" t="str">
            <v>000</v>
          </cell>
          <cell r="N400">
            <v>3</v>
          </cell>
          <cell r="O400" t="str">
            <v>00</v>
          </cell>
          <cell r="P400">
            <v>7</v>
          </cell>
          <cell r="Q400">
            <v>3</v>
          </cell>
          <cell r="R400">
            <v>3</v>
          </cell>
          <cell r="S400">
            <v>5</v>
          </cell>
          <cell r="T400">
            <v>29</v>
          </cell>
          <cell r="U400">
            <v>33</v>
          </cell>
          <cell r="V400">
            <v>1</v>
          </cell>
          <cell r="X400" t="str">
            <v>Secondaire Ens.serv.déconc.</v>
          </cell>
          <cell r="Y400" t="str">
            <v>P2</v>
          </cell>
          <cell r="Z400" t="str">
            <v>Intérieur</v>
          </cell>
          <cell r="AA400" t="str">
            <v>Autres frais mission à l'interieur</v>
          </cell>
          <cell r="AB400">
            <v>49090</v>
          </cell>
          <cell r="AC400">
            <v>49090</v>
          </cell>
        </row>
        <row r="401">
          <cell r="A401">
            <v>4859</v>
          </cell>
          <cell r="B401">
            <v>1</v>
          </cell>
          <cell r="C401">
            <v>1</v>
          </cell>
          <cell r="E401" t="str">
            <v>20</v>
          </cell>
          <cell r="F401">
            <v>44000300700</v>
          </cell>
          <cell r="G401">
            <v>3</v>
          </cell>
          <cell r="H401" t="str">
            <v>35</v>
          </cell>
          <cell r="I401">
            <v>10</v>
          </cell>
          <cell r="J401">
            <v>20</v>
          </cell>
          <cell r="K401">
            <v>1</v>
          </cell>
          <cell r="L401">
            <v>44</v>
          </cell>
          <cell r="M401" t="str">
            <v>000</v>
          </cell>
          <cell r="N401">
            <v>3</v>
          </cell>
          <cell r="O401" t="str">
            <v>00</v>
          </cell>
          <cell r="P401">
            <v>7</v>
          </cell>
          <cell r="Q401">
            <v>3</v>
          </cell>
          <cell r="R401">
            <v>3</v>
          </cell>
          <cell r="S401">
            <v>5</v>
          </cell>
          <cell r="T401">
            <v>10</v>
          </cell>
          <cell r="U401">
            <v>36</v>
          </cell>
          <cell r="V401">
            <v>1</v>
          </cell>
          <cell r="W401">
            <v>0</v>
          </cell>
          <cell r="X401" t="str">
            <v>Enseign. Technique</v>
          </cell>
          <cell r="Y401" t="str">
            <v>P3</v>
          </cell>
          <cell r="Z401" t="str">
            <v>Intérieur</v>
          </cell>
          <cell r="AA401" t="str">
            <v>Déplacements définitifs</v>
          </cell>
          <cell r="AB401">
            <v>0</v>
          </cell>
          <cell r="AC401">
            <v>0</v>
          </cell>
        </row>
        <row r="402">
          <cell r="A402">
            <v>4860</v>
          </cell>
          <cell r="B402">
            <v>1</v>
          </cell>
          <cell r="C402">
            <v>1</v>
          </cell>
          <cell r="E402" t="str">
            <v>20</v>
          </cell>
          <cell r="F402">
            <v>44000300700</v>
          </cell>
          <cell r="G402">
            <v>3</v>
          </cell>
          <cell r="H402" t="str">
            <v>35</v>
          </cell>
          <cell r="I402">
            <v>21</v>
          </cell>
          <cell r="J402">
            <v>20</v>
          </cell>
          <cell r="K402">
            <v>1</v>
          </cell>
          <cell r="L402">
            <v>44</v>
          </cell>
          <cell r="M402" t="str">
            <v>000</v>
          </cell>
          <cell r="N402">
            <v>3</v>
          </cell>
          <cell r="O402" t="str">
            <v>00</v>
          </cell>
          <cell r="P402">
            <v>7</v>
          </cell>
          <cell r="Q402">
            <v>3</v>
          </cell>
          <cell r="R402">
            <v>3</v>
          </cell>
          <cell r="S402">
            <v>5</v>
          </cell>
          <cell r="T402">
            <v>21</v>
          </cell>
          <cell r="U402">
            <v>36</v>
          </cell>
          <cell r="V402">
            <v>1</v>
          </cell>
          <cell r="W402">
            <v>0</v>
          </cell>
          <cell r="X402" t="str">
            <v>Enseign. Technique</v>
          </cell>
          <cell r="Y402" t="str">
            <v>P3</v>
          </cell>
          <cell r="Z402" t="str">
            <v>Intérieur</v>
          </cell>
          <cell r="AA402" t="str">
            <v>Indemnités mission à l’intérieur</v>
          </cell>
          <cell r="AB402">
            <v>0</v>
          </cell>
          <cell r="AC402">
            <v>0</v>
          </cell>
        </row>
        <row r="403">
          <cell r="A403">
            <v>4861</v>
          </cell>
          <cell r="B403">
            <v>1</v>
          </cell>
          <cell r="C403">
            <v>1</v>
          </cell>
          <cell r="E403" t="str">
            <v>20</v>
          </cell>
          <cell r="F403">
            <v>44000300700</v>
          </cell>
          <cell r="G403">
            <v>3</v>
          </cell>
          <cell r="H403" t="str">
            <v>35</v>
          </cell>
          <cell r="I403">
            <v>25</v>
          </cell>
          <cell r="J403">
            <v>20</v>
          </cell>
          <cell r="K403">
            <v>1</v>
          </cell>
          <cell r="L403">
            <v>44</v>
          </cell>
          <cell r="M403" t="str">
            <v>000</v>
          </cell>
          <cell r="N403">
            <v>3</v>
          </cell>
          <cell r="O403" t="str">
            <v>00</v>
          </cell>
          <cell r="P403">
            <v>7</v>
          </cell>
          <cell r="Q403">
            <v>3</v>
          </cell>
          <cell r="R403">
            <v>3</v>
          </cell>
          <cell r="S403">
            <v>5</v>
          </cell>
          <cell r="T403">
            <v>25</v>
          </cell>
          <cell r="U403">
            <v>36</v>
          </cell>
          <cell r="V403">
            <v>1</v>
          </cell>
          <cell r="W403">
            <v>0</v>
          </cell>
          <cell r="X403" t="str">
            <v>Enseign. Technique</v>
          </cell>
          <cell r="Y403" t="str">
            <v>P3</v>
          </cell>
          <cell r="Z403" t="str">
            <v>Intérieur</v>
          </cell>
          <cell r="AA403" t="str">
            <v>Transport mission à l’intérieur</v>
          </cell>
          <cell r="AB403">
            <v>0</v>
          </cell>
          <cell r="AC403">
            <v>0</v>
          </cell>
        </row>
        <row r="404">
          <cell r="A404">
            <v>3089</v>
          </cell>
          <cell r="B404">
            <v>1</v>
          </cell>
          <cell r="C404">
            <v>1</v>
          </cell>
          <cell r="E404" t="str">
            <v>20</v>
          </cell>
          <cell r="F404">
            <v>49000300700</v>
          </cell>
          <cell r="G404">
            <v>3</v>
          </cell>
          <cell r="H404" t="str">
            <v>35</v>
          </cell>
          <cell r="I404">
            <v>29</v>
          </cell>
          <cell r="J404">
            <v>20</v>
          </cell>
          <cell r="K404">
            <v>1</v>
          </cell>
          <cell r="L404">
            <v>49</v>
          </cell>
          <cell r="M404" t="str">
            <v>000</v>
          </cell>
          <cell r="N404">
            <v>3</v>
          </cell>
          <cell r="O404" t="str">
            <v>00</v>
          </cell>
          <cell r="P404">
            <v>7</v>
          </cell>
          <cell r="Q404">
            <v>3</v>
          </cell>
          <cell r="R404">
            <v>3</v>
          </cell>
          <cell r="S404">
            <v>5</v>
          </cell>
          <cell r="T404">
            <v>29</v>
          </cell>
          <cell r="U404">
            <v>33</v>
          </cell>
          <cell r="V404">
            <v>1</v>
          </cell>
          <cell r="X404" t="str">
            <v>Enseig. Serv administratifs</v>
          </cell>
          <cell r="Y404" t="str">
            <v>P5</v>
          </cell>
          <cell r="Z404" t="str">
            <v>Intérieur</v>
          </cell>
          <cell r="AA404" t="str">
            <v>Autres frais mission à l'interieur</v>
          </cell>
          <cell r="AB404">
            <v>0</v>
          </cell>
          <cell r="AC404">
            <v>0</v>
          </cell>
        </row>
        <row r="405">
          <cell r="A405">
            <v>4993</v>
          </cell>
          <cell r="B405">
            <v>1</v>
          </cell>
          <cell r="C405">
            <v>1</v>
          </cell>
          <cell r="D405" t="str">
            <v>$</v>
          </cell>
          <cell r="E405" t="str">
            <v>20</v>
          </cell>
          <cell r="F405">
            <v>46000400600</v>
          </cell>
          <cell r="G405">
            <v>3</v>
          </cell>
          <cell r="H405" t="str">
            <v>35</v>
          </cell>
          <cell r="I405">
            <v>35</v>
          </cell>
          <cell r="J405">
            <v>20</v>
          </cell>
          <cell r="K405">
            <v>1</v>
          </cell>
          <cell r="L405">
            <v>46</v>
          </cell>
          <cell r="M405" t="str">
            <v>000</v>
          </cell>
          <cell r="N405">
            <v>4</v>
          </cell>
          <cell r="O405" t="str">
            <v>00</v>
          </cell>
          <cell r="P405">
            <v>6</v>
          </cell>
          <cell r="Q405">
            <v>3</v>
          </cell>
          <cell r="R405">
            <v>3</v>
          </cell>
          <cell r="S405">
            <v>5</v>
          </cell>
          <cell r="T405">
            <v>35</v>
          </cell>
          <cell r="U405">
            <v>22</v>
          </cell>
          <cell r="V405">
            <v>1</v>
          </cell>
          <cell r="W405">
            <v>0</v>
          </cell>
          <cell r="X405" t="str">
            <v xml:space="preserve">Enseig. Supérieur </v>
          </cell>
          <cell r="Y405" t="str">
            <v>P4</v>
          </cell>
          <cell r="Z405" t="str">
            <v>Etranger</v>
          </cell>
          <cell r="AA405" t="str">
            <v>Transport Etudiants boursiers mission à l’extérieur</v>
          </cell>
          <cell r="AB405">
            <v>3384230</v>
          </cell>
          <cell r="AC405">
            <v>3384230</v>
          </cell>
        </row>
        <row r="406">
          <cell r="A406">
            <v>12410</v>
          </cell>
          <cell r="B406">
            <v>1</v>
          </cell>
          <cell r="J406">
            <v>20</v>
          </cell>
          <cell r="K406">
            <v>1</v>
          </cell>
          <cell r="N406">
            <v>9</v>
          </cell>
          <cell r="Q406">
            <v>3</v>
          </cell>
          <cell r="R406">
            <v>3</v>
          </cell>
          <cell r="S406">
            <v>5</v>
          </cell>
          <cell r="X406" t="str">
            <v>Ensemble Non ventilé</v>
          </cell>
          <cell r="AB406">
            <v>1388110</v>
          </cell>
          <cell r="AC406">
            <v>1388110</v>
          </cell>
        </row>
        <row r="407">
          <cell r="A407">
            <v>4867</v>
          </cell>
          <cell r="B407">
            <v>1</v>
          </cell>
          <cell r="C407">
            <v>1</v>
          </cell>
          <cell r="D407" t="str">
            <v>$</v>
          </cell>
          <cell r="E407" t="str">
            <v>20</v>
          </cell>
          <cell r="F407">
            <v>44000900600</v>
          </cell>
          <cell r="G407">
            <v>3</v>
          </cell>
          <cell r="H407" t="str">
            <v>35</v>
          </cell>
          <cell r="I407">
            <v>31</v>
          </cell>
          <cell r="J407">
            <v>20</v>
          </cell>
          <cell r="K407">
            <v>1</v>
          </cell>
          <cell r="L407">
            <v>44</v>
          </cell>
          <cell r="M407" t="str">
            <v>000</v>
          </cell>
          <cell r="N407">
            <v>9</v>
          </cell>
          <cell r="O407" t="str">
            <v>00</v>
          </cell>
          <cell r="P407">
            <v>6</v>
          </cell>
          <cell r="Q407">
            <v>3</v>
          </cell>
          <cell r="R407">
            <v>3</v>
          </cell>
          <cell r="S407">
            <v>5</v>
          </cell>
          <cell r="T407">
            <v>31</v>
          </cell>
          <cell r="U407">
            <v>20</v>
          </cell>
          <cell r="V407">
            <v>1</v>
          </cell>
          <cell r="W407">
            <v>0</v>
          </cell>
          <cell r="X407" t="str">
            <v>Enseign. Technique</v>
          </cell>
          <cell r="Y407" t="str">
            <v>P3</v>
          </cell>
          <cell r="Z407" t="str">
            <v xml:space="preserve"> Ens. NV</v>
          </cell>
          <cell r="AA407" t="str">
            <v xml:space="preserve">Indemnités mission à l’extérieur </v>
          </cell>
          <cell r="AB407">
            <v>34870</v>
          </cell>
          <cell r="AC407">
            <v>34870</v>
          </cell>
        </row>
        <row r="408">
          <cell r="A408">
            <v>4868</v>
          </cell>
          <cell r="B408">
            <v>1</v>
          </cell>
          <cell r="C408">
            <v>1</v>
          </cell>
          <cell r="D408" t="str">
            <v>$</v>
          </cell>
          <cell r="E408" t="str">
            <v>20</v>
          </cell>
          <cell r="F408">
            <v>44000900600</v>
          </cell>
          <cell r="G408">
            <v>3</v>
          </cell>
          <cell r="H408" t="str">
            <v>35</v>
          </cell>
          <cell r="I408">
            <v>35</v>
          </cell>
          <cell r="J408">
            <v>20</v>
          </cell>
          <cell r="K408">
            <v>1</v>
          </cell>
          <cell r="L408">
            <v>44</v>
          </cell>
          <cell r="M408" t="str">
            <v>000</v>
          </cell>
          <cell r="N408">
            <v>9</v>
          </cell>
          <cell r="O408" t="str">
            <v>00</v>
          </cell>
          <cell r="P408">
            <v>6</v>
          </cell>
          <cell r="Q408">
            <v>3</v>
          </cell>
          <cell r="R408">
            <v>3</v>
          </cell>
          <cell r="S408">
            <v>5</v>
          </cell>
          <cell r="T408">
            <v>35</v>
          </cell>
          <cell r="U408">
            <v>20</v>
          </cell>
          <cell r="V408">
            <v>1</v>
          </cell>
          <cell r="W408">
            <v>0</v>
          </cell>
          <cell r="X408" t="str">
            <v>Enseign. Technique</v>
          </cell>
          <cell r="Y408" t="str">
            <v>P3</v>
          </cell>
          <cell r="Z408" t="str">
            <v xml:space="preserve"> Ens. NV</v>
          </cell>
          <cell r="AA408" t="str">
            <v>Transport mission à l’extérieur</v>
          </cell>
          <cell r="AB408">
            <v>105820</v>
          </cell>
          <cell r="AC408">
            <v>105820</v>
          </cell>
        </row>
        <row r="409">
          <cell r="A409">
            <v>4998</v>
          </cell>
          <cell r="B409">
            <v>1</v>
          </cell>
          <cell r="C409">
            <v>1</v>
          </cell>
          <cell r="D409" t="str">
            <v>$</v>
          </cell>
          <cell r="E409" t="str">
            <v>20</v>
          </cell>
          <cell r="F409">
            <v>46000900600</v>
          </cell>
          <cell r="G409">
            <v>3</v>
          </cell>
          <cell r="H409" t="str">
            <v>35</v>
          </cell>
          <cell r="I409">
            <v>31</v>
          </cell>
          <cell r="J409">
            <v>20</v>
          </cell>
          <cell r="K409">
            <v>1</v>
          </cell>
          <cell r="L409">
            <v>46</v>
          </cell>
          <cell r="M409" t="str">
            <v>000</v>
          </cell>
          <cell r="N409">
            <v>9</v>
          </cell>
          <cell r="O409" t="str">
            <v>00</v>
          </cell>
          <cell r="P409">
            <v>6</v>
          </cell>
          <cell r="Q409">
            <v>3</v>
          </cell>
          <cell r="R409">
            <v>3</v>
          </cell>
          <cell r="S409">
            <v>5</v>
          </cell>
          <cell r="T409">
            <v>31</v>
          </cell>
          <cell r="U409">
            <v>20</v>
          </cell>
          <cell r="V409">
            <v>1</v>
          </cell>
          <cell r="W409">
            <v>0</v>
          </cell>
          <cell r="X409" t="str">
            <v xml:space="preserve">Enseig. Supérieur </v>
          </cell>
          <cell r="Y409" t="str">
            <v>P4</v>
          </cell>
          <cell r="Z409" t="str">
            <v xml:space="preserve"> Ens. NV</v>
          </cell>
          <cell r="AA409" t="str">
            <v>Indemnités mission à l’extérieur</v>
          </cell>
          <cell r="AB409">
            <v>357930</v>
          </cell>
          <cell r="AC409">
            <v>357930</v>
          </cell>
        </row>
        <row r="410">
          <cell r="A410">
            <v>4999</v>
          </cell>
          <cell r="B410">
            <v>1</v>
          </cell>
          <cell r="C410">
            <v>1</v>
          </cell>
          <cell r="D410" t="str">
            <v>$</v>
          </cell>
          <cell r="E410" t="str">
            <v>20</v>
          </cell>
          <cell r="F410">
            <v>46000900600</v>
          </cell>
          <cell r="G410">
            <v>3</v>
          </cell>
          <cell r="H410" t="str">
            <v>35</v>
          </cell>
          <cell r="I410">
            <v>35</v>
          </cell>
          <cell r="J410">
            <v>20</v>
          </cell>
          <cell r="K410">
            <v>1</v>
          </cell>
          <cell r="L410">
            <v>46</v>
          </cell>
          <cell r="M410" t="str">
            <v>000</v>
          </cell>
          <cell r="N410">
            <v>9</v>
          </cell>
          <cell r="O410" t="str">
            <v>00</v>
          </cell>
          <cell r="P410">
            <v>6</v>
          </cell>
          <cell r="Q410">
            <v>3</v>
          </cell>
          <cell r="R410">
            <v>3</v>
          </cell>
          <cell r="S410">
            <v>5</v>
          </cell>
          <cell r="T410">
            <v>35</v>
          </cell>
          <cell r="U410">
            <v>20</v>
          </cell>
          <cell r="V410">
            <v>1</v>
          </cell>
          <cell r="W410">
            <v>0</v>
          </cell>
          <cell r="X410" t="str">
            <v xml:space="preserve">Enseig. Supérieur </v>
          </cell>
          <cell r="Y410" t="str">
            <v>P4</v>
          </cell>
          <cell r="Z410" t="str">
            <v xml:space="preserve"> Ens. NV</v>
          </cell>
          <cell r="AA410" t="str">
            <v>Transport mission à l’extérieur</v>
          </cell>
          <cell r="AB410">
            <v>431380</v>
          </cell>
          <cell r="AC410">
            <v>431380</v>
          </cell>
        </row>
        <row r="411">
          <cell r="A411">
            <v>3118</v>
          </cell>
          <cell r="B411">
            <v>1</v>
          </cell>
          <cell r="C411">
            <v>1</v>
          </cell>
          <cell r="E411" t="str">
            <v>20</v>
          </cell>
          <cell r="F411">
            <v>49000900700</v>
          </cell>
          <cell r="G411">
            <v>3</v>
          </cell>
          <cell r="H411" t="str">
            <v>35</v>
          </cell>
          <cell r="I411">
            <v>10</v>
          </cell>
          <cell r="J411">
            <v>20</v>
          </cell>
          <cell r="K411">
            <v>1</v>
          </cell>
          <cell r="L411">
            <v>49</v>
          </cell>
          <cell r="M411" t="str">
            <v>000</v>
          </cell>
          <cell r="N411">
            <v>9</v>
          </cell>
          <cell r="O411" t="str">
            <v>00</v>
          </cell>
          <cell r="P411">
            <v>7</v>
          </cell>
          <cell r="Q411">
            <v>3</v>
          </cell>
          <cell r="R411">
            <v>3</v>
          </cell>
          <cell r="S411">
            <v>5</v>
          </cell>
          <cell r="T411">
            <v>10</v>
          </cell>
          <cell r="U411">
            <v>93</v>
          </cell>
          <cell r="V411">
            <v>1</v>
          </cell>
          <cell r="X411" t="str">
            <v>Enseig. Serv administratifs</v>
          </cell>
          <cell r="Y411" t="str">
            <v>P5</v>
          </cell>
          <cell r="Z411" t="str">
            <v>Ens. NV</v>
          </cell>
          <cell r="AA411" t="str">
            <v>Déplace. définitifs</v>
          </cell>
          <cell r="AB411">
            <v>0</v>
          </cell>
          <cell r="AC411">
            <v>0</v>
          </cell>
        </row>
        <row r="412">
          <cell r="A412">
            <v>3119</v>
          </cell>
          <cell r="B412">
            <v>1</v>
          </cell>
          <cell r="C412">
            <v>1</v>
          </cell>
          <cell r="E412" t="str">
            <v>20</v>
          </cell>
          <cell r="F412">
            <v>49000900700</v>
          </cell>
          <cell r="G412">
            <v>3</v>
          </cell>
          <cell r="H412" t="str">
            <v>35</v>
          </cell>
          <cell r="I412">
            <v>21</v>
          </cell>
          <cell r="J412">
            <v>20</v>
          </cell>
          <cell r="K412">
            <v>1</v>
          </cell>
          <cell r="L412">
            <v>49</v>
          </cell>
          <cell r="M412" t="str">
            <v>000</v>
          </cell>
          <cell r="N412">
            <v>9</v>
          </cell>
          <cell r="O412" t="str">
            <v>00</v>
          </cell>
          <cell r="P412">
            <v>7</v>
          </cell>
          <cell r="Q412">
            <v>3</v>
          </cell>
          <cell r="R412">
            <v>3</v>
          </cell>
          <cell r="S412">
            <v>5</v>
          </cell>
          <cell r="T412">
            <v>21</v>
          </cell>
          <cell r="U412">
            <v>93</v>
          </cell>
          <cell r="V412">
            <v>1</v>
          </cell>
          <cell r="X412" t="str">
            <v>Enseig. Serv administratifs</v>
          </cell>
          <cell r="Y412" t="str">
            <v>P5</v>
          </cell>
          <cell r="Z412" t="str">
            <v>Ens. NV</v>
          </cell>
          <cell r="AA412" t="str">
            <v>Indem. missions intérieur</v>
          </cell>
          <cell r="AB412">
            <v>62520</v>
          </cell>
          <cell r="AC412">
            <v>62520</v>
          </cell>
        </row>
        <row r="413">
          <cell r="A413">
            <v>3120</v>
          </cell>
          <cell r="B413">
            <v>1</v>
          </cell>
          <cell r="C413">
            <v>1</v>
          </cell>
          <cell r="E413" t="str">
            <v>20</v>
          </cell>
          <cell r="F413">
            <v>49000900700</v>
          </cell>
          <cell r="G413">
            <v>3</v>
          </cell>
          <cell r="H413" t="str">
            <v>35</v>
          </cell>
          <cell r="I413">
            <v>25</v>
          </cell>
          <cell r="J413">
            <v>20</v>
          </cell>
          <cell r="K413">
            <v>1</v>
          </cell>
          <cell r="L413">
            <v>49</v>
          </cell>
          <cell r="M413" t="str">
            <v>000</v>
          </cell>
          <cell r="N413">
            <v>9</v>
          </cell>
          <cell r="O413" t="str">
            <v>00</v>
          </cell>
          <cell r="P413">
            <v>7</v>
          </cell>
          <cell r="Q413">
            <v>3</v>
          </cell>
          <cell r="R413">
            <v>3</v>
          </cell>
          <cell r="S413">
            <v>5</v>
          </cell>
          <cell r="T413">
            <v>25</v>
          </cell>
          <cell r="U413">
            <v>93</v>
          </cell>
          <cell r="V413">
            <v>1</v>
          </cell>
          <cell r="X413" t="str">
            <v>Enseig. Serv administratifs</v>
          </cell>
          <cell r="Y413" t="str">
            <v>P5</v>
          </cell>
          <cell r="Z413" t="str">
            <v>Ens. NV</v>
          </cell>
          <cell r="AA413" t="str">
            <v>Transport missions intérieur</v>
          </cell>
          <cell r="AB413">
            <v>158980</v>
          </cell>
          <cell r="AC413">
            <v>158980</v>
          </cell>
        </row>
        <row r="414">
          <cell r="A414">
            <v>3106</v>
          </cell>
          <cell r="B414">
            <v>1</v>
          </cell>
          <cell r="C414">
            <v>1</v>
          </cell>
          <cell r="D414" t="str">
            <v>$</v>
          </cell>
          <cell r="E414" t="str">
            <v>20</v>
          </cell>
          <cell r="F414">
            <v>49000900600</v>
          </cell>
          <cell r="G414">
            <v>3</v>
          </cell>
          <cell r="H414" t="str">
            <v>35</v>
          </cell>
          <cell r="I414">
            <v>31</v>
          </cell>
          <cell r="J414">
            <v>20</v>
          </cell>
          <cell r="K414">
            <v>1</v>
          </cell>
          <cell r="L414">
            <v>49</v>
          </cell>
          <cell r="M414" t="str">
            <v>000</v>
          </cell>
          <cell r="N414">
            <v>9</v>
          </cell>
          <cell r="O414" t="str">
            <v>00</v>
          </cell>
          <cell r="P414">
            <v>6</v>
          </cell>
          <cell r="Q414">
            <v>3</v>
          </cell>
          <cell r="R414">
            <v>3</v>
          </cell>
          <cell r="S414">
            <v>5</v>
          </cell>
          <cell r="T414">
            <v>31</v>
          </cell>
          <cell r="U414">
            <v>20</v>
          </cell>
          <cell r="V414">
            <v>1</v>
          </cell>
          <cell r="W414">
            <v>0</v>
          </cell>
          <cell r="X414" t="str">
            <v>Enseig. Serv administratifs</v>
          </cell>
          <cell r="Y414" t="str">
            <v>P5</v>
          </cell>
          <cell r="Z414" t="str">
            <v xml:space="preserve"> Ens. NV</v>
          </cell>
          <cell r="AA414" t="str">
            <v xml:space="preserve">Indemnités mission à l’extérieur </v>
          </cell>
          <cell r="AB414">
            <v>91630</v>
          </cell>
          <cell r="AC414">
            <v>91630</v>
          </cell>
        </row>
        <row r="415">
          <cell r="A415">
            <v>3107</v>
          </cell>
          <cell r="B415">
            <v>1</v>
          </cell>
          <cell r="C415">
            <v>1</v>
          </cell>
          <cell r="D415" t="str">
            <v>$</v>
          </cell>
          <cell r="E415" t="str">
            <v>20</v>
          </cell>
          <cell r="F415">
            <v>49000900600</v>
          </cell>
          <cell r="G415">
            <v>3</v>
          </cell>
          <cell r="H415" t="str">
            <v>35</v>
          </cell>
          <cell r="I415">
            <v>35</v>
          </cell>
          <cell r="J415">
            <v>20</v>
          </cell>
          <cell r="K415">
            <v>1</v>
          </cell>
          <cell r="L415">
            <v>49</v>
          </cell>
          <cell r="M415" t="str">
            <v>000</v>
          </cell>
          <cell r="N415">
            <v>9</v>
          </cell>
          <cell r="O415" t="str">
            <v>00</v>
          </cell>
          <cell r="P415">
            <v>6</v>
          </cell>
          <cell r="Q415">
            <v>3</v>
          </cell>
          <cell r="R415">
            <v>3</v>
          </cell>
          <cell r="S415">
            <v>5</v>
          </cell>
          <cell r="T415">
            <v>35</v>
          </cell>
          <cell r="U415">
            <v>20</v>
          </cell>
          <cell r="V415">
            <v>1</v>
          </cell>
          <cell r="W415">
            <v>0</v>
          </cell>
          <cell r="X415" t="str">
            <v>Enseig. Serv administratifs</v>
          </cell>
          <cell r="Y415" t="str">
            <v>P5</v>
          </cell>
          <cell r="Z415" t="str">
            <v xml:space="preserve"> Ens. NV</v>
          </cell>
          <cell r="AA415" t="str">
            <v>Transport mission à l’extérieur</v>
          </cell>
          <cell r="AB415">
            <v>144980</v>
          </cell>
          <cell r="AC415">
            <v>144980</v>
          </cell>
        </row>
        <row r="416">
          <cell r="A416">
            <v>12412</v>
          </cell>
          <cell r="B416">
            <v>1</v>
          </cell>
          <cell r="D416" t="str">
            <v>I</v>
          </cell>
          <cell r="J416">
            <v>20</v>
          </cell>
          <cell r="K416">
            <v>1</v>
          </cell>
          <cell r="Q416">
            <v>3</v>
          </cell>
          <cell r="R416">
            <v>3</v>
          </cell>
          <cell r="S416">
            <v>6</v>
          </cell>
          <cell r="X416" t="str">
            <v xml:space="preserve">Frais de représentation &amp; Manisf. </v>
          </cell>
          <cell r="AB416">
            <v>459120</v>
          </cell>
          <cell r="AC416">
            <v>459120</v>
          </cell>
        </row>
        <row r="417">
          <cell r="A417">
            <v>12414</v>
          </cell>
          <cell r="B417">
            <v>1</v>
          </cell>
          <cell r="J417">
            <v>20</v>
          </cell>
          <cell r="K417">
            <v>1</v>
          </cell>
          <cell r="N417">
            <v>1</v>
          </cell>
          <cell r="Q417">
            <v>3</v>
          </cell>
          <cell r="R417">
            <v>3</v>
          </cell>
          <cell r="S417">
            <v>6</v>
          </cell>
          <cell r="X417" t="str">
            <v>Services centraux</v>
          </cell>
          <cell r="AB417">
            <v>118520</v>
          </cell>
          <cell r="AC417">
            <v>118520</v>
          </cell>
        </row>
        <row r="418">
          <cell r="A418">
            <v>4940</v>
          </cell>
          <cell r="B418">
            <v>1</v>
          </cell>
          <cell r="C418">
            <v>1</v>
          </cell>
          <cell r="E418" t="str">
            <v>20</v>
          </cell>
          <cell r="F418">
            <v>44900100700</v>
          </cell>
          <cell r="G418">
            <v>3</v>
          </cell>
          <cell r="H418" t="str">
            <v>36</v>
          </cell>
          <cell r="I418">
            <v>11</v>
          </cell>
          <cell r="J418">
            <v>20</v>
          </cell>
          <cell r="K418">
            <v>1</v>
          </cell>
          <cell r="L418">
            <v>44</v>
          </cell>
          <cell r="M418">
            <v>900</v>
          </cell>
          <cell r="N418">
            <v>1</v>
          </cell>
          <cell r="O418" t="str">
            <v>00</v>
          </cell>
          <cell r="P418">
            <v>7</v>
          </cell>
          <cell r="Q418">
            <v>3</v>
          </cell>
          <cell r="R418">
            <v>3</v>
          </cell>
          <cell r="S418">
            <v>6</v>
          </cell>
          <cell r="T418">
            <v>11</v>
          </cell>
          <cell r="U418">
            <v>96</v>
          </cell>
          <cell r="V418">
            <v>1</v>
          </cell>
          <cell r="X418" t="str">
            <v>Enseign. Technique Autres serv centraux</v>
          </cell>
          <cell r="Y418" t="str">
            <v>P5</v>
          </cell>
          <cell r="Z418" t="str">
            <v>Serv.cent.</v>
          </cell>
          <cell r="AA418" t="str">
            <v>Cérémonies &amp; réceptions</v>
          </cell>
          <cell r="AB418">
            <v>14030</v>
          </cell>
          <cell r="AC418">
            <v>14030</v>
          </cell>
        </row>
        <row r="419">
          <cell r="A419">
            <v>3062</v>
          </cell>
          <cell r="B419">
            <v>1</v>
          </cell>
          <cell r="C419">
            <v>1</v>
          </cell>
          <cell r="E419" t="str">
            <v>20</v>
          </cell>
          <cell r="F419">
            <v>49000100700</v>
          </cell>
          <cell r="G419">
            <v>3</v>
          </cell>
          <cell r="H419" t="str">
            <v>36</v>
          </cell>
          <cell r="I419">
            <v>90</v>
          </cell>
          <cell r="J419">
            <v>20</v>
          </cell>
          <cell r="K419">
            <v>1</v>
          </cell>
          <cell r="L419">
            <v>49</v>
          </cell>
          <cell r="M419" t="str">
            <v>000</v>
          </cell>
          <cell r="N419">
            <v>1</v>
          </cell>
          <cell r="O419" t="str">
            <v>00</v>
          </cell>
          <cell r="P419">
            <v>7</v>
          </cell>
          <cell r="Q419">
            <v>3</v>
          </cell>
          <cell r="R419">
            <v>3</v>
          </cell>
          <cell r="S419">
            <v>6</v>
          </cell>
          <cell r="T419">
            <v>90</v>
          </cell>
          <cell r="U419">
            <v>33</v>
          </cell>
          <cell r="V419">
            <v>1</v>
          </cell>
          <cell r="X419" t="str">
            <v>Ens serv administratifs</v>
          </cell>
          <cell r="Y419" t="str">
            <v>P5</v>
          </cell>
          <cell r="Z419" t="str">
            <v>Serv.centr.</v>
          </cell>
          <cell r="AA419" t="str">
            <v>Autres frais de représentations et manifestations</v>
          </cell>
          <cell r="AB419">
            <v>0</v>
          </cell>
          <cell r="AC419">
            <v>0</v>
          </cell>
        </row>
        <row r="420">
          <cell r="A420">
            <v>3183</v>
          </cell>
          <cell r="B420">
            <v>1</v>
          </cell>
          <cell r="C420">
            <v>1</v>
          </cell>
          <cell r="E420" t="str">
            <v>20</v>
          </cell>
          <cell r="F420">
            <v>49900100700</v>
          </cell>
          <cell r="G420">
            <v>3</v>
          </cell>
          <cell r="H420" t="str">
            <v>36</v>
          </cell>
          <cell r="I420">
            <v>21</v>
          </cell>
          <cell r="J420">
            <v>20</v>
          </cell>
          <cell r="K420">
            <v>1</v>
          </cell>
          <cell r="L420">
            <v>49</v>
          </cell>
          <cell r="M420">
            <v>900</v>
          </cell>
          <cell r="N420">
            <v>1</v>
          </cell>
          <cell r="O420" t="str">
            <v>00</v>
          </cell>
          <cell r="P420">
            <v>7</v>
          </cell>
          <cell r="Q420">
            <v>3</v>
          </cell>
          <cell r="R420">
            <v>3</v>
          </cell>
          <cell r="S420">
            <v>6</v>
          </cell>
          <cell r="T420">
            <v>21</v>
          </cell>
          <cell r="U420">
            <v>93</v>
          </cell>
          <cell r="V420">
            <v>1</v>
          </cell>
          <cell r="X420" t="str">
            <v>Enseig. Serv adm Autres serv centraux</v>
          </cell>
          <cell r="Y420" t="str">
            <v>P5</v>
          </cell>
          <cell r="Z420" t="str">
            <v>Serv.centr.</v>
          </cell>
          <cell r="AA420" t="str">
            <v>Manisfestations sportives</v>
          </cell>
          <cell r="AB420">
            <v>34360</v>
          </cell>
          <cell r="AC420">
            <v>34360</v>
          </cell>
        </row>
        <row r="421">
          <cell r="A421">
            <v>3184</v>
          </cell>
          <cell r="B421">
            <v>1</v>
          </cell>
          <cell r="C421">
            <v>1</v>
          </cell>
          <cell r="E421" t="str">
            <v>20</v>
          </cell>
          <cell r="F421">
            <v>49900100700</v>
          </cell>
          <cell r="G421">
            <v>3</v>
          </cell>
          <cell r="H421" t="str">
            <v>36</v>
          </cell>
          <cell r="I421">
            <v>90</v>
          </cell>
          <cell r="J421">
            <v>20</v>
          </cell>
          <cell r="K421">
            <v>1</v>
          </cell>
          <cell r="L421">
            <v>49</v>
          </cell>
          <cell r="M421">
            <v>900</v>
          </cell>
          <cell r="N421">
            <v>1</v>
          </cell>
          <cell r="O421" t="str">
            <v>00</v>
          </cell>
          <cell r="P421">
            <v>7</v>
          </cell>
          <cell r="Q421">
            <v>3</v>
          </cell>
          <cell r="R421">
            <v>3</v>
          </cell>
          <cell r="S421">
            <v>6</v>
          </cell>
          <cell r="T421">
            <v>90</v>
          </cell>
          <cell r="U421">
            <v>93</v>
          </cell>
          <cell r="V421">
            <v>1</v>
          </cell>
          <cell r="X421" t="str">
            <v>Enseig. Serv adm Autres serv centraux</v>
          </cell>
          <cell r="Y421" t="str">
            <v>P5</v>
          </cell>
          <cell r="Z421" t="str">
            <v>Serv.centr.</v>
          </cell>
          <cell r="AA421" t="str">
            <v>Autres manifes. socio -culturelle</v>
          </cell>
          <cell r="AB421">
            <v>70130</v>
          </cell>
          <cell r="AC421">
            <v>70130</v>
          </cell>
        </row>
        <row r="422">
          <cell r="A422">
            <v>12416</v>
          </cell>
          <cell r="B422">
            <v>1</v>
          </cell>
          <cell r="J422">
            <v>20</v>
          </cell>
          <cell r="K422">
            <v>1</v>
          </cell>
          <cell r="N422">
            <v>2</v>
          </cell>
          <cell r="Q422">
            <v>3</v>
          </cell>
          <cell r="R422">
            <v>3</v>
          </cell>
          <cell r="S422">
            <v>6</v>
          </cell>
          <cell r="X422" t="str">
            <v>Conakry Services déconcentrés</v>
          </cell>
          <cell r="AB422">
            <v>63460</v>
          </cell>
          <cell r="AC422">
            <v>63460</v>
          </cell>
        </row>
        <row r="423">
          <cell r="A423">
            <v>2951</v>
          </cell>
          <cell r="B423">
            <v>1</v>
          </cell>
          <cell r="C423">
            <v>1</v>
          </cell>
          <cell r="E423" t="str">
            <v>20</v>
          </cell>
          <cell r="F423">
            <v>42000200700</v>
          </cell>
          <cell r="G423">
            <v>3</v>
          </cell>
          <cell r="H423" t="str">
            <v>36</v>
          </cell>
          <cell r="I423">
            <v>21</v>
          </cell>
          <cell r="J423">
            <v>20</v>
          </cell>
          <cell r="K423">
            <v>1</v>
          </cell>
          <cell r="L423">
            <v>42</v>
          </cell>
          <cell r="M423" t="str">
            <v>000</v>
          </cell>
          <cell r="N423">
            <v>2</v>
          </cell>
          <cell r="O423" t="str">
            <v>00</v>
          </cell>
          <cell r="P423">
            <v>7</v>
          </cell>
          <cell r="Q423">
            <v>3</v>
          </cell>
          <cell r="R423">
            <v>3</v>
          </cell>
          <cell r="S423">
            <v>6</v>
          </cell>
          <cell r="T423">
            <v>21</v>
          </cell>
          <cell r="U423">
            <v>33</v>
          </cell>
          <cell r="V423">
            <v>1</v>
          </cell>
          <cell r="X423" t="str">
            <v>Primaire Ens.serv.déconc.</v>
          </cell>
          <cell r="Y423" t="str">
            <v>P5</v>
          </cell>
          <cell r="Z423" t="str">
            <v>Conakry</v>
          </cell>
          <cell r="AA423" t="str">
            <v>Manisfes. sportives</v>
          </cell>
          <cell r="AB423">
            <v>42310</v>
          </cell>
          <cell r="AC423">
            <v>42310</v>
          </cell>
        </row>
        <row r="424">
          <cell r="A424">
            <v>2952</v>
          </cell>
          <cell r="B424">
            <v>1</v>
          </cell>
          <cell r="C424">
            <v>1</v>
          </cell>
          <cell r="E424" t="str">
            <v>20</v>
          </cell>
          <cell r="F424">
            <v>42000200700</v>
          </cell>
          <cell r="G424">
            <v>3</v>
          </cell>
          <cell r="H424" t="str">
            <v>36</v>
          </cell>
          <cell r="I424">
            <v>31</v>
          </cell>
          <cell r="J424">
            <v>20</v>
          </cell>
          <cell r="K424">
            <v>1</v>
          </cell>
          <cell r="L424">
            <v>42</v>
          </cell>
          <cell r="M424" t="str">
            <v>000</v>
          </cell>
          <cell r="N424">
            <v>2</v>
          </cell>
          <cell r="O424" t="str">
            <v>00</v>
          </cell>
          <cell r="P424">
            <v>7</v>
          </cell>
          <cell r="Q424">
            <v>3</v>
          </cell>
          <cell r="R424">
            <v>3</v>
          </cell>
          <cell r="S424">
            <v>6</v>
          </cell>
          <cell r="T424">
            <v>31</v>
          </cell>
          <cell r="U424">
            <v>33</v>
          </cell>
          <cell r="V424">
            <v>1</v>
          </cell>
          <cell r="X424" t="str">
            <v>Primaire Ens.serv.déconc.</v>
          </cell>
          <cell r="Y424" t="str">
            <v>P5</v>
          </cell>
          <cell r="Z424" t="str">
            <v>Conakry</v>
          </cell>
          <cell r="AA424" t="str">
            <v>Manisfes. culturelles</v>
          </cell>
          <cell r="AB424">
            <v>0</v>
          </cell>
          <cell r="AC424">
            <v>0</v>
          </cell>
        </row>
        <row r="425">
          <cell r="A425">
            <v>2953</v>
          </cell>
          <cell r="B425">
            <v>1</v>
          </cell>
          <cell r="C425">
            <v>1</v>
          </cell>
          <cell r="E425" t="str">
            <v>20</v>
          </cell>
          <cell r="F425">
            <v>42000200700</v>
          </cell>
          <cell r="G425">
            <v>3</v>
          </cell>
          <cell r="H425" t="str">
            <v>36</v>
          </cell>
          <cell r="I425">
            <v>90</v>
          </cell>
          <cell r="J425">
            <v>20</v>
          </cell>
          <cell r="K425">
            <v>1</v>
          </cell>
          <cell r="L425">
            <v>42</v>
          </cell>
          <cell r="M425" t="str">
            <v>000</v>
          </cell>
          <cell r="N425">
            <v>2</v>
          </cell>
          <cell r="O425" t="str">
            <v>00</v>
          </cell>
          <cell r="P425">
            <v>7</v>
          </cell>
          <cell r="Q425">
            <v>3</v>
          </cell>
          <cell r="R425">
            <v>3</v>
          </cell>
          <cell r="S425">
            <v>6</v>
          </cell>
          <cell r="T425">
            <v>90</v>
          </cell>
          <cell r="U425">
            <v>33</v>
          </cell>
          <cell r="V425">
            <v>1</v>
          </cell>
          <cell r="X425" t="str">
            <v>Primaire Ens.serv.déconc.</v>
          </cell>
          <cell r="Y425" t="str">
            <v>P5</v>
          </cell>
          <cell r="Z425" t="str">
            <v>Conakry</v>
          </cell>
          <cell r="AA425" t="str">
            <v>Autres manifes. socio -culturelle</v>
          </cell>
          <cell r="AB425">
            <v>0</v>
          </cell>
          <cell r="AC425">
            <v>0</v>
          </cell>
        </row>
        <row r="426">
          <cell r="A426">
            <v>3012</v>
          </cell>
          <cell r="B426">
            <v>1</v>
          </cell>
          <cell r="C426">
            <v>1</v>
          </cell>
          <cell r="E426" t="str">
            <v>20</v>
          </cell>
          <cell r="F426">
            <v>43000200700</v>
          </cell>
          <cell r="G426">
            <v>3</v>
          </cell>
          <cell r="H426" t="str">
            <v>36</v>
          </cell>
          <cell r="I426">
            <v>21</v>
          </cell>
          <cell r="J426">
            <v>20</v>
          </cell>
          <cell r="K426">
            <v>1</v>
          </cell>
          <cell r="L426">
            <v>43</v>
          </cell>
          <cell r="M426" t="str">
            <v>000</v>
          </cell>
          <cell r="N426">
            <v>2</v>
          </cell>
          <cell r="O426" t="str">
            <v>00</v>
          </cell>
          <cell r="P426">
            <v>7</v>
          </cell>
          <cell r="Q426">
            <v>3</v>
          </cell>
          <cell r="R426">
            <v>3</v>
          </cell>
          <cell r="S426">
            <v>6</v>
          </cell>
          <cell r="T426">
            <v>21</v>
          </cell>
          <cell r="U426">
            <v>33</v>
          </cell>
          <cell r="V426">
            <v>1</v>
          </cell>
          <cell r="X426" t="str">
            <v>Secondaire Ens.serv.déconc.</v>
          </cell>
          <cell r="Y426" t="str">
            <v>P5</v>
          </cell>
          <cell r="Z426" t="str">
            <v>Conakry</v>
          </cell>
          <cell r="AA426" t="str">
            <v>Manisfes. sportives</v>
          </cell>
          <cell r="AB426">
            <v>21150</v>
          </cell>
          <cell r="AC426">
            <v>21150</v>
          </cell>
        </row>
        <row r="427">
          <cell r="A427">
            <v>3013</v>
          </cell>
          <cell r="B427">
            <v>1</v>
          </cell>
          <cell r="C427">
            <v>1</v>
          </cell>
          <cell r="E427" t="str">
            <v>20</v>
          </cell>
          <cell r="F427">
            <v>43000200700</v>
          </cell>
          <cell r="G427">
            <v>3</v>
          </cell>
          <cell r="H427" t="str">
            <v>36</v>
          </cell>
          <cell r="I427">
            <v>31</v>
          </cell>
          <cell r="J427">
            <v>20</v>
          </cell>
          <cell r="K427">
            <v>1</v>
          </cell>
          <cell r="L427">
            <v>43</v>
          </cell>
          <cell r="M427" t="str">
            <v>000</v>
          </cell>
          <cell r="N427">
            <v>2</v>
          </cell>
          <cell r="O427" t="str">
            <v>00</v>
          </cell>
          <cell r="P427">
            <v>7</v>
          </cell>
          <cell r="Q427">
            <v>3</v>
          </cell>
          <cell r="R427">
            <v>3</v>
          </cell>
          <cell r="S427">
            <v>6</v>
          </cell>
          <cell r="T427">
            <v>31</v>
          </cell>
          <cell r="U427">
            <v>33</v>
          </cell>
          <cell r="V427">
            <v>1</v>
          </cell>
          <cell r="X427" t="str">
            <v>Secondaire Ens.serv.déconc.</v>
          </cell>
          <cell r="Y427" t="str">
            <v>P5</v>
          </cell>
          <cell r="Z427" t="str">
            <v>Conakry</v>
          </cell>
          <cell r="AA427" t="str">
            <v>Manisfes. culturelles</v>
          </cell>
          <cell r="AB427">
            <v>0</v>
          </cell>
          <cell r="AC427">
            <v>0</v>
          </cell>
        </row>
        <row r="428">
          <cell r="A428">
            <v>3014</v>
          </cell>
          <cell r="B428">
            <v>1</v>
          </cell>
          <cell r="C428">
            <v>1</v>
          </cell>
          <cell r="E428" t="str">
            <v>20</v>
          </cell>
          <cell r="F428">
            <v>43000200700</v>
          </cell>
          <cell r="G428">
            <v>3</v>
          </cell>
          <cell r="H428" t="str">
            <v>36</v>
          </cell>
          <cell r="I428">
            <v>90</v>
          </cell>
          <cell r="J428">
            <v>20</v>
          </cell>
          <cell r="K428">
            <v>1</v>
          </cell>
          <cell r="L428">
            <v>43</v>
          </cell>
          <cell r="M428" t="str">
            <v>000</v>
          </cell>
          <cell r="N428">
            <v>2</v>
          </cell>
          <cell r="O428" t="str">
            <v>00</v>
          </cell>
          <cell r="P428">
            <v>7</v>
          </cell>
          <cell r="Q428">
            <v>3</v>
          </cell>
          <cell r="R428">
            <v>3</v>
          </cell>
          <cell r="S428">
            <v>6</v>
          </cell>
          <cell r="T428">
            <v>90</v>
          </cell>
          <cell r="U428">
            <v>33</v>
          </cell>
          <cell r="V428">
            <v>1</v>
          </cell>
          <cell r="X428" t="str">
            <v>Secondaire Ens.serv.déconc.</v>
          </cell>
          <cell r="Y428" t="str">
            <v>P5</v>
          </cell>
          <cell r="Z428" t="str">
            <v>Conakry</v>
          </cell>
          <cell r="AA428" t="str">
            <v>Autres manifes. socio -culturelle</v>
          </cell>
          <cell r="AB428">
            <v>0</v>
          </cell>
          <cell r="AC428">
            <v>0</v>
          </cell>
        </row>
        <row r="429">
          <cell r="A429">
            <v>3068</v>
          </cell>
          <cell r="B429">
            <v>1</v>
          </cell>
          <cell r="C429">
            <v>1</v>
          </cell>
          <cell r="E429" t="str">
            <v>20</v>
          </cell>
          <cell r="F429">
            <v>49000200700</v>
          </cell>
          <cell r="G429">
            <v>3</v>
          </cell>
          <cell r="H429" t="str">
            <v>36</v>
          </cell>
          <cell r="I429">
            <v>90</v>
          </cell>
          <cell r="J429">
            <v>20</v>
          </cell>
          <cell r="K429">
            <v>1</v>
          </cell>
          <cell r="L429">
            <v>49</v>
          </cell>
          <cell r="M429" t="str">
            <v>000</v>
          </cell>
          <cell r="N429">
            <v>2</v>
          </cell>
          <cell r="O429" t="str">
            <v>00</v>
          </cell>
          <cell r="P429">
            <v>7</v>
          </cell>
          <cell r="Q429">
            <v>3</v>
          </cell>
          <cell r="R429">
            <v>3</v>
          </cell>
          <cell r="S429">
            <v>6</v>
          </cell>
          <cell r="T429">
            <v>90</v>
          </cell>
          <cell r="U429">
            <v>33</v>
          </cell>
          <cell r="V429">
            <v>1</v>
          </cell>
          <cell r="X429" t="str">
            <v>Enseig. Serv administratifs</v>
          </cell>
          <cell r="Y429" t="str">
            <v>P5</v>
          </cell>
          <cell r="Z429" t="str">
            <v>Conakry</v>
          </cell>
          <cell r="AA429" t="str">
            <v>Autres frais de représentations et manifestations</v>
          </cell>
          <cell r="AB429">
            <v>0</v>
          </cell>
          <cell r="AC429">
            <v>0</v>
          </cell>
        </row>
        <row r="430">
          <cell r="A430">
            <v>12418</v>
          </cell>
          <cell r="B430">
            <v>1</v>
          </cell>
          <cell r="J430">
            <v>20</v>
          </cell>
          <cell r="K430">
            <v>1</v>
          </cell>
          <cell r="N430">
            <v>3</v>
          </cell>
          <cell r="Q430">
            <v>3</v>
          </cell>
          <cell r="R430">
            <v>3</v>
          </cell>
          <cell r="S430">
            <v>6</v>
          </cell>
          <cell r="X430" t="str">
            <v>Intérieur Services déconcentrés</v>
          </cell>
          <cell r="AB430">
            <v>190380</v>
          </cell>
          <cell r="AC430">
            <v>190380</v>
          </cell>
        </row>
        <row r="431">
          <cell r="A431">
            <v>2979</v>
          </cell>
          <cell r="B431">
            <v>1</v>
          </cell>
          <cell r="C431">
            <v>1</v>
          </cell>
          <cell r="E431" t="str">
            <v>20</v>
          </cell>
          <cell r="F431">
            <v>42000300700</v>
          </cell>
          <cell r="G431">
            <v>3</v>
          </cell>
          <cell r="H431" t="str">
            <v>36</v>
          </cell>
          <cell r="I431">
            <v>21</v>
          </cell>
          <cell r="J431">
            <v>20</v>
          </cell>
          <cell r="K431">
            <v>1</v>
          </cell>
          <cell r="L431">
            <v>42</v>
          </cell>
          <cell r="M431" t="str">
            <v>000</v>
          </cell>
          <cell r="N431">
            <v>3</v>
          </cell>
          <cell r="O431" t="str">
            <v>00</v>
          </cell>
          <cell r="P431">
            <v>7</v>
          </cell>
          <cell r="Q431">
            <v>3</v>
          </cell>
          <cell r="R431">
            <v>3</v>
          </cell>
          <cell r="S431">
            <v>6</v>
          </cell>
          <cell r="T431">
            <v>21</v>
          </cell>
          <cell r="U431">
            <v>33</v>
          </cell>
          <cell r="V431">
            <v>1</v>
          </cell>
          <cell r="X431" t="str">
            <v>Primaire Ens.serv.déconc.</v>
          </cell>
          <cell r="Y431" t="str">
            <v>P5</v>
          </cell>
          <cell r="Z431" t="str">
            <v>Intérieur</v>
          </cell>
          <cell r="AA431" t="str">
            <v>Manisfes. sportives</v>
          </cell>
          <cell r="AB431">
            <v>126920</v>
          </cell>
          <cell r="AC431">
            <v>126920</v>
          </cell>
        </row>
        <row r="432">
          <cell r="A432">
            <v>2980</v>
          </cell>
          <cell r="B432">
            <v>1</v>
          </cell>
          <cell r="C432">
            <v>1</v>
          </cell>
          <cell r="E432" t="str">
            <v>20</v>
          </cell>
          <cell r="F432">
            <v>42000300700</v>
          </cell>
          <cell r="G432">
            <v>3</v>
          </cell>
          <cell r="H432" t="str">
            <v>36</v>
          </cell>
          <cell r="I432">
            <v>31</v>
          </cell>
          <cell r="J432">
            <v>20</v>
          </cell>
          <cell r="K432">
            <v>1</v>
          </cell>
          <cell r="L432">
            <v>42</v>
          </cell>
          <cell r="M432" t="str">
            <v>000</v>
          </cell>
          <cell r="N432">
            <v>3</v>
          </cell>
          <cell r="O432" t="str">
            <v>00</v>
          </cell>
          <cell r="P432">
            <v>7</v>
          </cell>
          <cell r="Q432">
            <v>3</v>
          </cell>
          <cell r="R432">
            <v>3</v>
          </cell>
          <cell r="S432">
            <v>6</v>
          </cell>
          <cell r="T432">
            <v>31</v>
          </cell>
          <cell r="U432">
            <v>33</v>
          </cell>
          <cell r="V432">
            <v>1</v>
          </cell>
          <cell r="X432" t="str">
            <v>Primaire Ens.serv.déconc.</v>
          </cell>
          <cell r="Y432" t="str">
            <v>P5</v>
          </cell>
          <cell r="Z432" t="str">
            <v>Intérieur</v>
          </cell>
          <cell r="AA432" t="str">
            <v>Manisfes. culturelles</v>
          </cell>
          <cell r="AB432">
            <v>0</v>
          </cell>
          <cell r="AC432">
            <v>0</v>
          </cell>
        </row>
        <row r="433">
          <cell r="A433">
            <v>2981</v>
          </cell>
          <cell r="B433">
            <v>1</v>
          </cell>
          <cell r="C433">
            <v>1</v>
          </cell>
          <cell r="E433" t="str">
            <v>20</v>
          </cell>
          <cell r="F433">
            <v>42000300700</v>
          </cell>
          <cell r="G433">
            <v>3</v>
          </cell>
          <cell r="H433" t="str">
            <v>36</v>
          </cell>
          <cell r="I433">
            <v>90</v>
          </cell>
          <cell r="J433">
            <v>20</v>
          </cell>
          <cell r="K433">
            <v>1</v>
          </cell>
          <cell r="L433">
            <v>42</v>
          </cell>
          <cell r="M433" t="str">
            <v>000</v>
          </cell>
          <cell r="N433">
            <v>3</v>
          </cell>
          <cell r="O433" t="str">
            <v>00</v>
          </cell>
          <cell r="P433">
            <v>7</v>
          </cell>
          <cell r="Q433">
            <v>3</v>
          </cell>
          <cell r="R433">
            <v>3</v>
          </cell>
          <cell r="S433">
            <v>6</v>
          </cell>
          <cell r="T433">
            <v>90</v>
          </cell>
          <cell r="U433">
            <v>33</v>
          </cell>
          <cell r="V433">
            <v>1</v>
          </cell>
          <cell r="X433" t="str">
            <v>Primaire Ens.serv.déconc.</v>
          </cell>
          <cell r="Y433" t="str">
            <v>P5</v>
          </cell>
          <cell r="Z433" t="str">
            <v>Intérieur</v>
          </cell>
          <cell r="AA433" t="str">
            <v>Autres manifes. socio -culturelle</v>
          </cell>
          <cell r="AB433">
            <v>0</v>
          </cell>
          <cell r="AC433">
            <v>0</v>
          </cell>
        </row>
        <row r="434">
          <cell r="A434">
            <v>3040</v>
          </cell>
          <cell r="B434">
            <v>1</v>
          </cell>
          <cell r="C434">
            <v>1</v>
          </cell>
          <cell r="E434" t="str">
            <v>20</v>
          </cell>
          <cell r="F434">
            <v>43000300700</v>
          </cell>
          <cell r="G434">
            <v>3</v>
          </cell>
          <cell r="H434" t="str">
            <v>36</v>
          </cell>
          <cell r="I434">
            <v>21</v>
          </cell>
          <cell r="J434">
            <v>20</v>
          </cell>
          <cell r="K434">
            <v>1</v>
          </cell>
          <cell r="L434">
            <v>43</v>
          </cell>
          <cell r="M434" t="str">
            <v>000</v>
          </cell>
          <cell r="N434">
            <v>3</v>
          </cell>
          <cell r="O434" t="str">
            <v>00</v>
          </cell>
          <cell r="P434">
            <v>7</v>
          </cell>
          <cell r="Q434">
            <v>3</v>
          </cell>
          <cell r="R434">
            <v>3</v>
          </cell>
          <cell r="S434">
            <v>6</v>
          </cell>
          <cell r="T434">
            <v>21</v>
          </cell>
          <cell r="U434">
            <v>33</v>
          </cell>
          <cell r="V434">
            <v>1</v>
          </cell>
          <cell r="X434" t="str">
            <v>Secondaire Ens.serv.déconc.</v>
          </cell>
          <cell r="Y434" t="str">
            <v>P5</v>
          </cell>
          <cell r="Z434" t="str">
            <v>Intérieur</v>
          </cell>
          <cell r="AA434" t="str">
            <v>Manisfes. sportives</v>
          </cell>
          <cell r="AB434">
            <v>63460</v>
          </cell>
          <cell r="AC434">
            <v>63460</v>
          </cell>
        </row>
        <row r="435">
          <cell r="A435">
            <v>3041</v>
          </cell>
          <cell r="B435">
            <v>1</v>
          </cell>
          <cell r="C435">
            <v>1</v>
          </cell>
          <cell r="E435" t="str">
            <v>20</v>
          </cell>
          <cell r="F435">
            <v>43000300700</v>
          </cell>
          <cell r="G435">
            <v>3</v>
          </cell>
          <cell r="H435" t="str">
            <v>36</v>
          </cell>
          <cell r="I435">
            <v>31</v>
          </cell>
          <cell r="J435">
            <v>20</v>
          </cell>
          <cell r="K435">
            <v>1</v>
          </cell>
          <cell r="L435">
            <v>43</v>
          </cell>
          <cell r="M435" t="str">
            <v>000</v>
          </cell>
          <cell r="N435">
            <v>3</v>
          </cell>
          <cell r="O435" t="str">
            <v>00</v>
          </cell>
          <cell r="P435">
            <v>7</v>
          </cell>
          <cell r="Q435">
            <v>3</v>
          </cell>
          <cell r="R435">
            <v>3</v>
          </cell>
          <cell r="S435">
            <v>6</v>
          </cell>
          <cell r="T435">
            <v>31</v>
          </cell>
          <cell r="U435">
            <v>33</v>
          </cell>
          <cell r="V435">
            <v>1</v>
          </cell>
          <cell r="X435" t="str">
            <v>Secondaire Ens.serv.déconc.</v>
          </cell>
          <cell r="Y435" t="str">
            <v>P5</v>
          </cell>
          <cell r="Z435" t="str">
            <v>Intérieur</v>
          </cell>
          <cell r="AA435" t="str">
            <v>Manisfes. culturelles</v>
          </cell>
          <cell r="AB435">
            <v>0</v>
          </cell>
          <cell r="AC435">
            <v>0</v>
          </cell>
        </row>
        <row r="436">
          <cell r="A436">
            <v>3042</v>
          </cell>
          <cell r="B436">
            <v>1</v>
          </cell>
          <cell r="C436">
            <v>1</v>
          </cell>
          <cell r="E436" t="str">
            <v>20</v>
          </cell>
          <cell r="F436">
            <v>43000300700</v>
          </cell>
          <cell r="G436">
            <v>3</v>
          </cell>
          <cell r="H436" t="str">
            <v>36</v>
          </cell>
          <cell r="I436">
            <v>90</v>
          </cell>
          <cell r="J436">
            <v>20</v>
          </cell>
          <cell r="K436">
            <v>1</v>
          </cell>
          <cell r="L436">
            <v>43</v>
          </cell>
          <cell r="M436" t="str">
            <v>000</v>
          </cell>
          <cell r="N436">
            <v>3</v>
          </cell>
          <cell r="O436" t="str">
            <v>00</v>
          </cell>
          <cell r="P436">
            <v>7</v>
          </cell>
          <cell r="Q436">
            <v>3</v>
          </cell>
          <cell r="R436">
            <v>3</v>
          </cell>
          <cell r="S436">
            <v>6</v>
          </cell>
          <cell r="T436">
            <v>90</v>
          </cell>
          <cell r="U436">
            <v>33</v>
          </cell>
          <cell r="V436">
            <v>1</v>
          </cell>
          <cell r="X436" t="str">
            <v>Secondaire Ens.serv.déconc.</v>
          </cell>
          <cell r="Y436" t="str">
            <v>P5</v>
          </cell>
          <cell r="Z436" t="str">
            <v>Intérieur</v>
          </cell>
          <cell r="AA436" t="str">
            <v>Autres manifes. socio -culturelle</v>
          </cell>
        </row>
        <row r="437">
          <cell r="A437">
            <v>12420</v>
          </cell>
          <cell r="B437">
            <v>1</v>
          </cell>
          <cell r="J437">
            <v>20</v>
          </cell>
          <cell r="K437">
            <v>1</v>
          </cell>
          <cell r="N437">
            <v>9</v>
          </cell>
          <cell r="Q437">
            <v>3</v>
          </cell>
          <cell r="R437">
            <v>3</v>
          </cell>
          <cell r="S437">
            <v>6</v>
          </cell>
          <cell r="X437" t="str">
            <v>Ensemble Non ventilé</v>
          </cell>
          <cell r="AB437">
            <v>86760</v>
          </cell>
          <cell r="AC437">
            <v>86760</v>
          </cell>
        </row>
        <row r="438">
          <cell r="A438">
            <v>3108</v>
          </cell>
          <cell r="B438">
            <v>1</v>
          </cell>
          <cell r="C438">
            <v>1</v>
          </cell>
          <cell r="E438" t="str">
            <v>20</v>
          </cell>
          <cell r="F438">
            <v>49000900600</v>
          </cell>
          <cell r="G438">
            <v>3</v>
          </cell>
          <cell r="H438" t="str">
            <v>36</v>
          </cell>
          <cell r="I438">
            <v>90</v>
          </cell>
          <cell r="J438">
            <v>20</v>
          </cell>
          <cell r="K438">
            <v>1</v>
          </cell>
          <cell r="L438">
            <v>49</v>
          </cell>
          <cell r="M438" t="str">
            <v>000</v>
          </cell>
          <cell r="N438">
            <v>9</v>
          </cell>
          <cell r="O438" t="str">
            <v>00</v>
          </cell>
          <cell r="P438">
            <v>6</v>
          </cell>
          <cell r="Q438">
            <v>3</v>
          </cell>
          <cell r="R438">
            <v>3</v>
          </cell>
          <cell r="S438">
            <v>6</v>
          </cell>
          <cell r="T438">
            <v>90</v>
          </cell>
          <cell r="U438">
            <v>93</v>
          </cell>
          <cell r="V438">
            <v>1</v>
          </cell>
          <cell r="X438" t="str">
            <v>Enseig. Serv administratifs</v>
          </cell>
          <cell r="Y438" t="str">
            <v>P5</v>
          </cell>
          <cell r="Z438" t="str">
            <v>Serv.centr.</v>
          </cell>
          <cell r="AA438" t="str">
            <v>Organisation de la semaine de l'éducation civique</v>
          </cell>
          <cell r="AB438">
            <v>86760</v>
          </cell>
          <cell r="AC438">
            <v>86760</v>
          </cell>
        </row>
        <row r="439">
          <cell r="A439">
            <v>12452</v>
          </cell>
          <cell r="B439">
            <v>1</v>
          </cell>
          <cell r="D439" t="str">
            <v>I</v>
          </cell>
          <cell r="J439">
            <v>20</v>
          </cell>
          <cell r="K439">
            <v>1</v>
          </cell>
          <cell r="Q439">
            <v>3</v>
          </cell>
          <cell r="R439">
            <v>3</v>
          </cell>
          <cell r="S439">
            <v>7</v>
          </cell>
          <cell r="X439" t="str">
            <v xml:space="preserve">Entretien mainten. Immobilis. </v>
          </cell>
          <cell r="AB439">
            <v>5891290</v>
          </cell>
          <cell r="AC439">
            <v>5891290</v>
          </cell>
        </row>
        <row r="440">
          <cell r="A440">
            <v>12454</v>
          </cell>
          <cell r="B440">
            <v>1</v>
          </cell>
          <cell r="J440">
            <v>20</v>
          </cell>
          <cell r="K440">
            <v>1</v>
          </cell>
          <cell r="N440">
            <v>1</v>
          </cell>
          <cell r="Q440">
            <v>3</v>
          </cell>
          <cell r="R440">
            <v>3</v>
          </cell>
          <cell r="S440">
            <v>7</v>
          </cell>
          <cell r="X440" t="str">
            <v>Services centraux</v>
          </cell>
          <cell r="AB440">
            <v>467470</v>
          </cell>
          <cell r="AC440">
            <v>467470</v>
          </cell>
        </row>
        <row r="441">
          <cell r="A441">
            <v>3185</v>
          </cell>
          <cell r="B441">
            <v>1</v>
          </cell>
          <cell r="C441">
            <v>1</v>
          </cell>
          <cell r="E441" t="str">
            <v>20</v>
          </cell>
          <cell r="F441">
            <v>49900100700</v>
          </cell>
          <cell r="G441">
            <v>3</v>
          </cell>
          <cell r="H441" t="str">
            <v>37</v>
          </cell>
          <cell r="I441">
            <v>11</v>
          </cell>
          <cell r="J441">
            <v>20</v>
          </cell>
          <cell r="K441">
            <v>1</v>
          </cell>
          <cell r="L441">
            <v>49</v>
          </cell>
          <cell r="M441">
            <v>900</v>
          </cell>
          <cell r="N441">
            <v>1</v>
          </cell>
          <cell r="O441" t="str">
            <v>00</v>
          </cell>
          <cell r="P441">
            <v>7</v>
          </cell>
          <cell r="Q441">
            <v>3</v>
          </cell>
          <cell r="R441">
            <v>3</v>
          </cell>
          <cell r="S441">
            <v>7</v>
          </cell>
          <cell r="T441">
            <v>11</v>
          </cell>
          <cell r="U441">
            <v>93</v>
          </cell>
          <cell r="V441">
            <v>1</v>
          </cell>
          <cell r="X441" t="str">
            <v>Enseig. Serv adm Autres serv centraux</v>
          </cell>
          <cell r="Y441" t="str">
            <v>P5</v>
          </cell>
          <cell r="Z441" t="str">
            <v>Serv.centr.</v>
          </cell>
          <cell r="AA441" t="str">
            <v>Entretien matériel mobilier</v>
          </cell>
          <cell r="AB441">
            <v>19880</v>
          </cell>
          <cell r="AC441">
            <v>19880</v>
          </cell>
        </row>
        <row r="442">
          <cell r="A442">
            <v>3186</v>
          </cell>
          <cell r="B442">
            <v>1</v>
          </cell>
          <cell r="C442">
            <v>1</v>
          </cell>
          <cell r="E442" t="str">
            <v>20</v>
          </cell>
          <cell r="F442">
            <v>49900100700</v>
          </cell>
          <cell r="G442">
            <v>3</v>
          </cell>
          <cell r="H442" t="str">
            <v>37</v>
          </cell>
          <cell r="I442">
            <v>12</v>
          </cell>
          <cell r="J442">
            <v>20</v>
          </cell>
          <cell r="K442">
            <v>1</v>
          </cell>
          <cell r="L442">
            <v>49</v>
          </cell>
          <cell r="M442">
            <v>900</v>
          </cell>
          <cell r="N442">
            <v>1</v>
          </cell>
          <cell r="O442" t="str">
            <v>00</v>
          </cell>
          <cell r="P442">
            <v>7</v>
          </cell>
          <cell r="Q442">
            <v>3</v>
          </cell>
          <cell r="R442">
            <v>3</v>
          </cell>
          <cell r="S442">
            <v>7</v>
          </cell>
          <cell r="T442">
            <v>12</v>
          </cell>
          <cell r="U442">
            <v>93</v>
          </cell>
          <cell r="V442">
            <v>1</v>
          </cell>
          <cell r="X442" t="str">
            <v>Enseig. Serv adm Autres serv centraux</v>
          </cell>
          <cell r="Y442" t="str">
            <v>P5</v>
          </cell>
          <cell r="Z442" t="str">
            <v>Serv.centr.</v>
          </cell>
          <cell r="AA442" t="str">
            <v>Entretien matériel informat.</v>
          </cell>
          <cell r="AB442">
            <v>155140</v>
          </cell>
          <cell r="AC442">
            <v>155140</v>
          </cell>
        </row>
        <row r="443">
          <cell r="A443">
            <v>3187</v>
          </cell>
          <cell r="B443">
            <v>1</v>
          </cell>
          <cell r="C443">
            <v>1</v>
          </cell>
          <cell r="E443" t="str">
            <v>20</v>
          </cell>
          <cell r="F443">
            <v>49900100700</v>
          </cell>
          <cell r="G443">
            <v>3</v>
          </cell>
          <cell r="H443" t="str">
            <v>37</v>
          </cell>
          <cell r="I443">
            <v>13</v>
          </cell>
          <cell r="J443">
            <v>20</v>
          </cell>
          <cell r="K443">
            <v>1</v>
          </cell>
          <cell r="L443">
            <v>49</v>
          </cell>
          <cell r="M443">
            <v>900</v>
          </cell>
          <cell r="N443">
            <v>1</v>
          </cell>
          <cell r="O443" t="str">
            <v>00</v>
          </cell>
          <cell r="P443">
            <v>7</v>
          </cell>
          <cell r="Q443">
            <v>3</v>
          </cell>
          <cell r="R443">
            <v>3</v>
          </cell>
          <cell r="S443">
            <v>7</v>
          </cell>
          <cell r="T443">
            <v>13</v>
          </cell>
          <cell r="U443">
            <v>93</v>
          </cell>
          <cell r="V443">
            <v>1</v>
          </cell>
          <cell r="X443" t="str">
            <v>Enseig. Serv adm Autres serv centraux</v>
          </cell>
          <cell r="Y443" t="str">
            <v>P5</v>
          </cell>
          <cell r="Z443" t="str">
            <v>Serv.centr.</v>
          </cell>
          <cell r="AA443" t="str">
            <v>Entretien autres matériels techniqu.</v>
          </cell>
          <cell r="AB443">
            <v>25440</v>
          </cell>
          <cell r="AC443">
            <v>25440</v>
          </cell>
        </row>
        <row r="444">
          <cell r="A444">
            <v>3188</v>
          </cell>
          <cell r="B444">
            <v>1</v>
          </cell>
          <cell r="C444">
            <v>1</v>
          </cell>
          <cell r="E444" t="str">
            <v>20</v>
          </cell>
          <cell r="F444">
            <v>49900100700</v>
          </cell>
          <cell r="G444">
            <v>3</v>
          </cell>
          <cell r="H444" t="str">
            <v>37</v>
          </cell>
          <cell r="I444">
            <v>20</v>
          </cell>
          <cell r="J444">
            <v>20</v>
          </cell>
          <cell r="K444">
            <v>1</v>
          </cell>
          <cell r="L444">
            <v>49</v>
          </cell>
          <cell r="M444">
            <v>900</v>
          </cell>
          <cell r="N444">
            <v>1</v>
          </cell>
          <cell r="O444" t="str">
            <v>00</v>
          </cell>
          <cell r="P444">
            <v>7</v>
          </cell>
          <cell r="Q444">
            <v>3</v>
          </cell>
          <cell r="R444">
            <v>3</v>
          </cell>
          <cell r="S444">
            <v>7</v>
          </cell>
          <cell r="T444">
            <v>20</v>
          </cell>
          <cell r="U444">
            <v>93</v>
          </cell>
          <cell r="V444">
            <v>1</v>
          </cell>
          <cell r="X444" t="str">
            <v>Enseig. Serv adm Autres serv centraux</v>
          </cell>
          <cell r="Y444" t="str">
            <v>P5</v>
          </cell>
          <cell r="Z444" t="str">
            <v>Serv.centr.</v>
          </cell>
          <cell r="AA444" t="str">
            <v>Entretien véhicules automob.</v>
          </cell>
          <cell r="AB444">
            <v>236090</v>
          </cell>
          <cell r="AC444">
            <v>236090</v>
          </cell>
        </row>
        <row r="445">
          <cell r="A445">
            <v>3189</v>
          </cell>
          <cell r="B445">
            <v>1</v>
          </cell>
          <cell r="C445">
            <v>1</v>
          </cell>
          <cell r="E445" t="str">
            <v>20</v>
          </cell>
          <cell r="F445">
            <v>49900100700</v>
          </cell>
          <cell r="G445">
            <v>3</v>
          </cell>
          <cell r="H445" t="str">
            <v>37</v>
          </cell>
          <cell r="I445">
            <v>51</v>
          </cell>
          <cell r="J445">
            <v>20</v>
          </cell>
          <cell r="K445">
            <v>1</v>
          </cell>
          <cell r="L445">
            <v>49</v>
          </cell>
          <cell r="M445">
            <v>900</v>
          </cell>
          <cell r="N445">
            <v>1</v>
          </cell>
          <cell r="O445" t="str">
            <v>00</v>
          </cell>
          <cell r="P445">
            <v>7</v>
          </cell>
          <cell r="Q445">
            <v>3</v>
          </cell>
          <cell r="R445">
            <v>3</v>
          </cell>
          <cell r="S445">
            <v>7</v>
          </cell>
          <cell r="T445">
            <v>51</v>
          </cell>
          <cell r="U445">
            <v>93</v>
          </cell>
          <cell r="V445">
            <v>1</v>
          </cell>
          <cell r="X445" t="str">
            <v>Enseig. Serv adm Autres serv centraux</v>
          </cell>
          <cell r="Y445" t="str">
            <v>P5</v>
          </cell>
          <cell r="Z445" t="str">
            <v>Serv.centr.</v>
          </cell>
          <cell r="AA445" t="str">
            <v>Entretien bâtiments administ.</v>
          </cell>
          <cell r="AB445">
            <v>11040</v>
          </cell>
          <cell r="AC445">
            <v>11040</v>
          </cell>
        </row>
        <row r="446">
          <cell r="A446">
            <v>3190</v>
          </cell>
          <cell r="B446">
            <v>1</v>
          </cell>
          <cell r="C446">
            <v>1</v>
          </cell>
          <cell r="E446" t="str">
            <v>20</v>
          </cell>
          <cell r="F446">
            <v>49900100700</v>
          </cell>
          <cell r="G446">
            <v>3</v>
          </cell>
          <cell r="H446" t="str">
            <v>37</v>
          </cell>
          <cell r="I446">
            <v>52</v>
          </cell>
          <cell r="J446">
            <v>20</v>
          </cell>
          <cell r="K446">
            <v>1</v>
          </cell>
          <cell r="L446">
            <v>49</v>
          </cell>
          <cell r="M446">
            <v>900</v>
          </cell>
          <cell r="N446">
            <v>1</v>
          </cell>
          <cell r="O446" t="str">
            <v>00</v>
          </cell>
          <cell r="P446">
            <v>7</v>
          </cell>
          <cell r="Q446">
            <v>3</v>
          </cell>
          <cell r="R446">
            <v>3</v>
          </cell>
          <cell r="S446">
            <v>7</v>
          </cell>
          <cell r="T446">
            <v>52</v>
          </cell>
          <cell r="U446">
            <v>93</v>
          </cell>
          <cell r="V446">
            <v>1</v>
          </cell>
          <cell r="X446" t="str">
            <v>Enseig. Serv adm Autres serv centraux</v>
          </cell>
          <cell r="Y446" t="str">
            <v>P5</v>
          </cell>
          <cell r="Z446" t="str">
            <v>Serv.centr.</v>
          </cell>
          <cell r="AA446" t="str">
            <v>Entretien logements</v>
          </cell>
          <cell r="AB446">
            <v>19880</v>
          </cell>
          <cell r="AC446">
            <v>19880</v>
          </cell>
        </row>
        <row r="447">
          <cell r="A447">
            <v>12456</v>
          </cell>
          <cell r="B447">
            <v>1</v>
          </cell>
          <cell r="J447">
            <v>20</v>
          </cell>
          <cell r="K447">
            <v>1</v>
          </cell>
          <cell r="N447">
            <v>2</v>
          </cell>
          <cell r="Q447">
            <v>3</v>
          </cell>
          <cell r="R447">
            <v>3</v>
          </cell>
          <cell r="S447">
            <v>7</v>
          </cell>
          <cell r="X447" t="str">
            <v>Conakry Services déconcentrés</v>
          </cell>
          <cell r="AB447">
            <v>2103020</v>
          </cell>
          <cell r="AC447">
            <v>2103020</v>
          </cell>
        </row>
        <row r="448">
          <cell r="A448">
            <v>2954</v>
          </cell>
          <cell r="B448">
            <v>1</v>
          </cell>
          <cell r="C448">
            <v>1</v>
          </cell>
          <cell r="E448" t="str">
            <v>20</v>
          </cell>
          <cell r="F448">
            <v>42000200700</v>
          </cell>
          <cell r="G448">
            <v>3</v>
          </cell>
          <cell r="H448" t="str">
            <v>37</v>
          </cell>
          <cell r="I448">
            <v>11</v>
          </cell>
          <cell r="J448">
            <v>20</v>
          </cell>
          <cell r="K448">
            <v>1</v>
          </cell>
          <cell r="L448">
            <v>42</v>
          </cell>
          <cell r="M448" t="str">
            <v>000</v>
          </cell>
          <cell r="N448">
            <v>2</v>
          </cell>
          <cell r="O448" t="str">
            <v>00</v>
          </cell>
          <cell r="P448">
            <v>7</v>
          </cell>
          <cell r="Q448">
            <v>3</v>
          </cell>
          <cell r="R448">
            <v>3</v>
          </cell>
          <cell r="S448">
            <v>7</v>
          </cell>
          <cell r="T448">
            <v>11</v>
          </cell>
          <cell r="U448">
            <v>33</v>
          </cell>
          <cell r="V448">
            <v>1</v>
          </cell>
          <cell r="X448" t="str">
            <v>Primaire Ens.serv.déconc.</v>
          </cell>
          <cell r="Y448" t="str">
            <v>P1</v>
          </cell>
          <cell r="Z448" t="str">
            <v>Conakry</v>
          </cell>
          <cell r="AA448" t="str">
            <v>Entretien matériel mobilier</v>
          </cell>
          <cell r="AB448">
            <v>0</v>
          </cell>
          <cell r="AC448">
            <v>0</v>
          </cell>
        </row>
        <row r="449">
          <cell r="A449">
            <v>2955</v>
          </cell>
          <cell r="B449">
            <v>1</v>
          </cell>
          <cell r="C449">
            <v>1</v>
          </cell>
          <cell r="E449" t="str">
            <v>20</v>
          </cell>
          <cell r="F449">
            <v>42000200700</v>
          </cell>
          <cell r="G449">
            <v>3</v>
          </cell>
          <cell r="H449" t="str">
            <v>37</v>
          </cell>
          <cell r="I449">
            <v>51</v>
          </cell>
          <cell r="J449">
            <v>20</v>
          </cell>
          <cell r="K449">
            <v>1</v>
          </cell>
          <cell r="L449">
            <v>42</v>
          </cell>
          <cell r="M449" t="str">
            <v>000</v>
          </cell>
          <cell r="N449">
            <v>2</v>
          </cell>
          <cell r="O449" t="str">
            <v>00</v>
          </cell>
          <cell r="P449">
            <v>7</v>
          </cell>
          <cell r="Q449">
            <v>3</v>
          </cell>
          <cell r="R449">
            <v>3</v>
          </cell>
          <cell r="S449">
            <v>7</v>
          </cell>
          <cell r="T449">
            <v>51</v>
          </cell>
          <cell r="U449">
            <v>33</v>
          </cell>
          <cell r="V449">
            <v>1</v>
          </cell>
          <cell r="X449" t="str">
            <v>Primaire Ens.serv.déconc.</v>
          </cell>
          <cell r="Y449" t="str">
            <v>P1</v>
          </cell>
          <cell r="Z449" t="str">
            <v>Conakry</v>
          </cell>
          <cell r="AA449" t="str">
            <v>Entretien bâtiments administ.</v>
          </cell>
          <cell r="AB449">
            <v>1460270</v>
          </cell>
          <cell r="AC449">
            <v>1460270</v>
          </cell>
        </row>
        <row r="450">
          <cell r="A450">
            <v>2956</v>
          </cell>
          <cell r="B450">
            <v>1</v>
          </cell>
          <cell r="C450">
            <v>1</v>
          </cell>
          <cell r="E450" t="str">
            <v>20</v>
          </cell>
          <cell r="F450">
            <v>42000200700</v>
          </cell>
          <cell r="G450">
            <v>3</v>
          </cell>
          <cell r="H450" t="str">
            <v>37</v>
          </cell>
          <cell r="I450">
            <v>90</v>
          </cell>
          <cell r="J450">
            <v>20</v>
          </cell>
          <cell r="K450">
            <v>1</v>
          </cell>
          <cell r="L450">
            <v>42</v>
          </cell>
          <cell r="M450" t="str">
            <v>000</v>
          </cell>
          <cell r="N450">
            <v>2</v>
          </cell>
          <cell r="O450" t="str">
            <v>00</v>
          </cell>
          <cell r="P450">
            <v>7</v>
          </cell>
          <cell r="Q450">
            <v>3</v>
          </cell>
          <cell r="R450">
            <v>3</v>
          </cell>
          <cell r="S450">
            <v>7</v>
          </cell>
          <cell r="T450">
            <v>90</v>
          </cell>
          <cell r="U450">
            <v>33</v>
          </cell>
          <cell r="V450">
            <v>1</v>
          </cell>
          <cell r="X450" t="str">
            <v>Primaire Ens.serv.déconc.</v>
          </cell>
          <cell r="Y450" t="str">
            <v>P1</v>
          </cell>
          <cell r="Z450" t="str">
            <v>Conakry</v>
          </cell>
          <cell r="AA450" t="str">
            <v>Entretien autres immob.</v>
          </cell>
          <cell r="AB450">
            <v>0</v>
          </cell>
          <cell r="AC450">
            <v>0</v>
          </cell>
        </row>
        <row r="451">
          <cell r="A451">
            <v>3015</v>
          </cell>
          <cell r="B451">
            <v>1</v>
          </cell>
          <cell r="C451">
            <v>1</v>
          </cell>
          <cell r="E451" t="str">
            <v>20</v>
          </cell>
          <cell r="F451">
            <v>43000200700</v>
          </cell>
          <cell r="G451">
            <v>3</v>
          </cell>
          <cell r="H451" t="str">
            <v>37</v>
          </cell>
          <cell r="I451">
            <v>11</v>
          </cell>
          <cell r="J451">
            <v>20</v>
          </cell>
          <cell r="K451">
            <v>1</v>
          </cell>
          <cell r="L451">
            <v>43</v>
          </cell>
          <cell r="M451" t="str">
            <v>000</v>
          </cell>
          <cell r="N451">
            <v>2</v>
          </cell>
          <cell r="O451" t="str">
            <v>00</v>
          </cell>
          <cell r="P451">
            <v>7</v>
          </cell>
          <cell r="Q451">
            <v>3</v>
          </cell>
          <cell r="R451">
            <v>3</v>
          </cell>
          <cell r="S451">
            <v>7</v>
          </cell>
          <cell r="T451">
            <v>11</v>
          </cell>
          <cell r="U451">
            <v>33</v>
          </cell>
          <cell r="V451">
            <v>1</v>
          </cell>
          <cell r="X451" t="str">
            <v>Secondaire Ens.serv.déconc.</v>
          </cell>
          <cell r="Y451" t="str">
            <v>P2</v>
          </cell>
          <cell r="Z451" t="str">
            <v>Conakry</v>
          </cell>
          <cell r="AA451" t="str">
            <v>Entretien matériel mobilier</v>
          </cell>
          <cell r="AB451">
            <v>0</v>
          </cell>
          <cell r="AC451">
            <v>0</v>
          </cell>
        </row>
        <row r="452">
          <cell r="A452">
            <v>3016</v>
          </cell>
          <cell r="B452">
            <v>1</v>
          </cell>
          <cell r="C452">
            <v>1</v>
          </cell>
          <cell r="E452" t="str">
            <v>20</v>
          </cell>
          <cell r="F452">
            <v>43000200700</v>
          </cell>
          <cell r="G452">
            <v>3</v>
          </cell>
          <cell r="H452" t="str">
            <v>37</v>
          </cell>
          <cell r="I452">
            <v>12</v>
          </cell>
          <cell r="J452">
            <v>20</v>
          </cell>
          <cell r="K452">
            <v>1</v>
          </cell>
          <cell r="L452">
            <v>43</v>
          </cell>
          <cell r="M452" t="str">
            <v>000</v>
          </cell>
          <cell r="N452">
            <v>2</v>
          </cell>
          <cell r="O452" t="str">
            <v>00</v>
          </cell>
          <cell r="P452">
            <v>7</v>
          </cell>
          <cell r="Q452">
            <v>3</v>
          </cell>
          <cell r="R452">
            <v>3</v>
          </cell>
          <cell r="S452">
            <v>7</v>
          </cell>
          <cell r="T452">
            <v>12</v>
          </cell>
          <cell r="U452">
            <v>33</v>
          </cell>
          <cell r="V452">
            <v>1</v>
          </cell>
          <cell r="X452" t="str">
            <v>Secondaire Ens.serv.déconc.</v>
          </cell>
          <cell r="Y452" t="str">
            <v>P2</v>
          </cell>
          <cell r="Z452" t="str">
            <v>Conakry</v>
          </cell>
          <cell r="AA452" t="str">
            <v>Entretien matériel informat.</v>
          </cell>
          <cell r="AB452">
            <v>0</v>
          </cell>
          <cell r="AC452">
            <v>0</v>
          </cell>
        </row>
        <row r="453">
          <cell r="A453">
            <v>3017</v>
          </cell>
          <cell r="B453">
            <v>1</v>
          </cell>
          <cell r="C453">
            <v>1</v>
          </cell>
          <cell r="E453" t="str">
            <v>20</v>
          </cell>
          <cell r="F453">
            <v>43000200700</v>
          </cell>
          <cell r="G453">
            <v>3</v>
          </cell>
          <cell r="H453" t="str">
            <v>37</v>
          </cell>
          <cell r="I453">
            <v>13</v>
          </cell>
          <cell r="J453">
            <v>20</v>
          </cell>
          <cell r="K453">
            <v>1</v>
          </cell>
          <cell r="L453">
            <v>43</v>
          </cell>
          <cell r="M453" t="str">
            <v>000</v>
          </cell>
          <cell r="N453">
            <v>2</v>
          </cell>
          <cell r="O453" t="str">
            <v>00</v>
          </cell>
          <cell r="P453">
            <v>7</v>
          </cell>
          <cell r="Q453">
            <v>3</v>
          </cell>
          <cell r="R453">
            <v>3</v>
          </cell>
          <cell r="S453">
            <v>7</v>
          </cell>
          <cell r="T453">
            <v>13</v>
          </cell>
          <cell r="U453">
            <v>33</v>
          </cell>
          <cell r="V453">
            <v>1</v>
          </cell>
          <cell r="X453" t="str">
            <v>Secondaire Ens.serv.déconc.</v>
          </cell>
          <cell r="Y453" t="str">
            <v>P2</v>
          </cell>
          <cell r="Z453" t="str">
            <v>Conakry</v>
          </cell>
          <cell r="AA453" t="str">
            <v>Entretien autres matériels techniqu.</v>
          </cell>
          <cell r="AB453">
            <v>0</v>
          </cell>
          <cell r="AC453">
            <v>0</v>
          </cell>
        </row>
        <row r="454">
          <cell r="A454">
            <v>3018</v>
          </cell>
          <cell r="B454">
            <v>1</v>
          </cell>
          <cell r="C454">
            <v>1</v>
          </cell>
          <cell r="E454" t="str">
            <v>20</v>
          </cell>
          <cell r="F454">
            <v>43000200700</v>
          </cell>
          <cell r="G454">
            <v>3</v>
          </cell>
          <cell r="H454" t="str">
            <v>37</v>
          </cell>
          <cell r="I454">
            <v>51</v>
          </cell>
          <cell r="J454">
            <v>20</v>
          </cell>
          <cell r="K454">
            <v>1</v>
          </cell>
          <cell r="L454">
            <v>43</v>
          </cell>
          <cell r="M454" t="str">
            <v>000</v>
          </cell>
          <cell r="N454">
            <v>2</v>
          </cell>
          <cell r="O454" t="str">
            <v>00</v>
          </cell>
          <cell r="P454">
            <v>7</v>
          </cell>
          <cell r="Q454">
            <v>3</v>
          </cell>
          <cell r="R454">
            <v>3</v>
          </cell>
          <cell r="S454">
            <v>7</v>
          </cell>
          <cell r="T454">
            <v>51</v>
          </cell>
          <cell r="U454">
            <v>33</v>
          </cell>
          <cell r="V454">
            <v>1</v>
          </cell>
          <cell r="X454" t="str">
            <v>Secondaire Ens.serv.déconc.</v>
          </cell>
          <cell r="Y454" t="str">
            <v>P2</v>
          </cell>
          <cell r="Z454" t="str">
            <v>Conakry</v>
          </cell>
          <cell r="AA454" t="str">
            <v>Entretien bâtiments administ.</v>
          </cell>
          <cell r="AB454">
            <v>625830</v>
          </cell>
          <cell r="AC454">
            <v>625830</v>
          </cell>
        </row>
        <row r="455">
          <cell r="A455">
            <v>3019</v>
          </cell>
          <cell r="B455">
            <v>1</v>
          </cell>
          <cell r="C455">
            <v>1</v>
          </cell>
          <cell r="E455" t="str">
            <v>20</v>
          </cell>
          <cell r="F455">
            <v>43000200700</v>
          </cell>
          <cell r="G455">
            <v>3</v>
          </cell>
          <cell r="H455" t="str">
            <v>37</v>
          </cell>
          <cell r="I455">
            <v>90</v>
          </cell>
          <cell r="J455">
            <v>20</v>
          </cell>
          <cell r="K455">
            <v>1</v>
          </cell>
          <cell r="L455">
            <v>43</v>
          </cell>
          <cell r="M455" t="str">
            <v>000</v>
          </cell>
          <cell r="N455">
            <v>2</v>
          </cell>
          <cell r="O455" t="str">
            <v>00</v>
          </cell>
          <cell r="P455">
            <v>7</v>
          </cell>
          <cell r="Q455">
            <v>3</v>
          </cell>
          <cell r="R455">
            <v>3</v>
          </cell>
          <cell r="S455">
            <v>7</v>
          </cell>
          <cell r="T455">
            <v>90</v>
          </cell>
          <cell r="U455">
            <v>33</v>
          </cell>
          <cell r="V455">
            <v>1</v>
          </cell>
          <cell r="X455" t="str">
            <v>Secondaire Ens.serv.déconc.</v>
          </cell>
          <cell r="Y455" t="str">
            <v>P2</v>
          </cell>
          <cell r="Z455" t="str">
            <v>Conakry</v>
          </cell>
          <cell r="AA455" t="str">
            <v>Entretien autres immob.</v>
          </cell>
          <cell r="AB455">
            <v>0</v>
          </cell>
          <cell r="AC455">
            <v>0</v>
          </cell>
        </row>
        <row r="456">
          <cell r="A456">
            <v>4838</v>
          </cell>
          <cell r="B456">
            <v>1</v>
          </cell>
          <cell r="C456">
            <v>1</v>
          </cell>
          <cell r="E456" t="str">
            <v>20</v>
          </cell>
          <cell r="F456">
            <v>44000200700</v>
          </cell>
          <cell r="G456">
            <v>3</v>
          </cell>
          <cell r="H456" t="str">
            <v>37</v>
          </cell>
          <cell r="I456">
            <v>90</v>
          </cell>
          <cell r="J456">
            <v>20</v>
          </cell>
          <cell r="K456">
            <v>1</v>
          </cell>
          <cell r="L456">
            <v>44</v>
          </cell>
          <cell r="M456" t="str">
            <v>000</v>
          </cell>
          <cell r="N456">
            <v>2</v>
          </cell>
          <cell r="O456" t="str">
            <v>00</v>
          </cell>
          <cell r="P456">
            <v>7</v>
          </cell>
          <cell r="Q456">
            <v>3</v>
          </cell>
          <cell r="R456">
            <v>3</v>
          </cell>
          <cell r="S456">
            <v>7</v>
          </cell>
          <cell r="T456">
            <v>90</v>
          </cell>
          <cell r="U456">
            <v>36</v>
          </cell>
          <cell r="V456">
            <v>1</v>
          </cell>
          <cell r="W456">
            <v>0</v>
          </cell>
          <cell r="X456" t="str">
            <v>Enseign. Technique</v>
          </cell>
          <cell r="Y456" t="str">
            <v>P3</v>
          </cell>
          <cell r="Z456" t="str">
            <v>Conakry</v>
          </cell>
          <cell r="AA456" t="str">
            <v>Ent. Autres immob. (corporelles)</v>
          </cell>
          <cell r="AB456">
            <v>0</v>
          </cell>
          <cell r="AC456">
            <v>0</v>
          </cell>
        </row>
        <row r="457">
          <cell r="A457">
            <v>3069</v>
          </cell>
          <cell r="B457">
            <v>1</v>
          </cell>
          <cell r="C457">
            <v>1</v>
          </cell>
          <cell r="E457" t="str">
            <v>20</v>
          </cell>
          <cell r="F457">
            <v>49000200700</v>
          </cell>
          <cell r="G457">
            <v>3</v>
          </cell>
          <cell r="H457" t="str">
            <v>37</v>
          </cell>
          <cell r="I457">
            <v>11</v>
          </cell>
          <cell r="J457">
            <v>20</v>
          </cell>
          <cell r="K457">
            <v>1</v>
          </cell>
          <cell r="L457">
            <v>49</v>
          </cell>
          <cell r="M457" t="str">
            <v>000</v>
          </cell>
          <cell r="N457">
            <v>2</v>
          </cell>
          <cell r="O457" t="str">
            <v>00</v>
          </cell>
          <cell r="P457">
            <v>7</v>
          </cell>
          <cell r="Q457">
            <v>3</v>
          </cell>
          <cell r="R457">
            <v>3</v>
          </cell>
          <cell r="S457">
            <v>7</v>
          </cell>
          <cell r="T457">
            <v>11</v>
          </cell>
          <cell r="U457">
            <v>33</v>
          </cell>
          <cell r="V457">
            <v>1</v>
          </cell>
          <cell r="X457" t="str">
            <v>Enseig. Serv administratifs</v>
          </cell>
          <cell r="Z457" t="str">
            <v>Conakry</v>
          </cell>
          <cell r="AA457" t="str">
            <v>Entretien matériel mobilier</v>
          </cell>
          <cell r="AB457">
            <v>0</v>
          </cell>
          <cell r="AC457">
            <v>0</v>
          </cell>
        </row>
        <row r="458">
          <cell r="A458">
            <v>3070</v>
          </cell>
          <cell r="B458">
            <v>1</v>
          </cell>
          <cell r="C458">
            <v>1</v>
          </cell>
          <cell r="E458" t="str">
            <v>20</v>
          </cell>
          <cell r="F458">
            <v>49000200700</v>
          </cell>
          <cell r="G458">
            <v>3</v>
          </cell>
          <cell r="H458" t="str">
            <v>37</v>
          </cell>
          <cell r="I458">
            <v>12</v>
          </cell>
          <cell r="J458">
            <v>20</v>
          </cell>
          <cell r="K458">
            <v>1</v>
          </cell>
          <cell r="L458">
            <v>49</v>
          </cell>
          <cell r="M458" t="str">
            <v>000</v>
          </cell>
          <cell r="N458">
            <v>2</v>
          </cell>
          <cell r="O458" t="str">
            <v>00</v>
          </cell>
          <cell r="P458">
            <v>7</v>
          </cell>
          <cell r="Q458">
            <v>3</v>
          </cell>
          <cell r="R458">
            <v>3</v>
          </cell>
          <cell r="S458">
            <v>7</v>
          </cell>
          <cell r="T458">
            <v>12</v>
          </cell>
          <cell r="U458">
            <v>33</v>
          </cell>
          <cell r="V458">
            <v>1</v>
          </cell>
          <cell r="X458" t="str">
            <v>Enseig. Serv administratifs</v>
          </cell>
          <cell r="Z458" t="str">
            <v>Conakry</v>
          </cell>
          <cell r="AA458" t="str">
            <v>Entretien matériel informat.</v>
          </cell>
          <cell r="AB458">
            <v>0</v>
          </cell>
          <cell r="AC458">
            <v>0</v>
          </cell>
        </row>
        <row r="459">
          <cell r="A459">
            <v>3071</v>
          </cell>
          <cell r="B459">
            <v>1</v>
          </cell>
          <cell r="C459">
            <v>1</v>
          </cell>
          <cell r="E459" t="str">
            <v>20</v>
          </cell>
          <cell r="F459">
            <v>49000200700</v>
          </cell>
          <cell r="G459">
            <v>3</v>
          </cell>
          <cell r="H459" t="str">
            <v>37</v>
          </cell>
          <cell r="I459">
            <v>13</v>
          </cell>
          <cell r="J459">
            <v>20</v>
          </cell>
          <cell r="K459">
            <v>1</v>
          </cell>
          <cell r="L459">
            <v>49</v>
          </cell>
          <cell r="M459" t="str">
            <v>000</v>
          </cell>
          <cell r="N459">
            <v>2</v>
          </cell>
          <cell r="O459" t="str">
            <v>00</v>
          </cell>
          <cell r="P459">
            <v>7</v>
          </cell>
          <cell r="Q459">
            <v>3</v>
          </cell>
          <cell r="R459">
            <v>3</v>
          </cell>
          <cell r="S459">
            <v>7</v>
          </cell>
          <cell r="T459">
            <v>13</v>
          </cell>
          <cell r="U459">
            <v>33</v>
          </cell>
          <cell r="V459">
            <v>1</v>
          </cell>
          <cell r="X459" t="str">
            <v>Enseig. Serv administratifs</v>
          </cell>
          <cell r="Y459" t="str">
            <v>P5</v>
          </cell>
          <cell r="Z459" t="str">
            <v>Conakry</v>
          </cell>
          <cell r="AA459" t="str">
            <v>Entretien autres matériels techniqu.</v>
          </cell>
          <cell r="AB459">
            <v>16920</v>
          </cell>
          <cell r="AC459">
            <v>16920</v>
          </cell>
        </row>
        <row r="460">
          <cell r="A460">
            <v>3072</v>
          </cell>
          <cell r="B460">
            <v>1</v>
          </cell>
          <cell r="C460">
            <v>1</v>
          </cell>
          <cell r="E460" t="str">
            <v>20</v>
          </cell>
          <cell r="F460">
            <v>49000200700</v>
          </cell>
          <cell r="G460">
            <v>3</v>
          </cell>
          <cell r="H460" t="str">
            <v>37</v>
          </cell>
          <cell r="I460">
            <v>20</v>
          </cell>
          <cell r="J460">
            <v>20</v>
          </cell>
          <cell r="K460">
            <v>1</v>
          </cell>
          <cell r="L460">
            <v>49</v>
          </cell>
          <cell r="M460" t="str">
            <v>000</v>
          </cell>
          <cell r="N460">
            <v>2</v>
          </cell>
          <cell r="O460" t="str">
            <v>00</v>
          </cell>
          <cell r="P460">
            <v>7</v>
          </cell>
          <cell r="Q460">
            <v>3</v>
          </cell>
          <cell r="R460">
            <v>3</v>
          </cell>
          <cell r="S460">
            <v>7</v>
          </cell>
          <cell r="T460">
            <v>20</v>
          </cell>
          <cell r="U460">
            <v>33</v>
          </cell>
          <cell r="V460">
            <v>1</v>
          </cell>
          <cell r="X460" t="str">
            <v>Enseig. Serv administratifs</v>
          </cell>
          <cell r="Z460" t="str">
            <v>Conakry</v>
          </cell>
          <cell r="AA460" t="str">
            <v>Entretien véhicules automob.</v>
          </cell>
          <cell r="AB460">
            <v>0</v>
          </cell>
          <cell r="AC460">
            <v>0</v>
          </cell>
        </row>
        <row r="461">
          <cell r="A461">
            <v>3073</v>
          </cell>
          <cell r="B461">
            <v>1</v>
          </cell>
          <cell r="C461">
            <v>1</v>
          </cell>
          <cell r="E461" t="str">
            <v>20</v>
          </cell>
          <cell r="F461">
            <v>49000200700</v>
          </cell>
          <cell r="G461">
            <v>3</v>
          </cell>
          <cell r="H461" t="str">
            <v>37</v>
          </cell>
          <cell r="I461">
            <v>51</v>
          </cell>
          <cell r="J461">
            <v>20</v>
          </cell>
          <cell r="K461">
            <v>1</v>
          </cell>
          <cell r="L461">
            <v>49</v>
          </cell>
          <cell r="M461" t="str">
            <v>000</v>
          </cell>
          <cell r="N461">
            <v>2</v>
          </cell>
          <cell r="O461" t="str">
            <v>00</v>
          </cell>
          <cell r="P461">
            <v>7</v>
          </cell>
          <cell r="Q461">
            <v>3</v>
          </cell>
          <cell r="R461">
            <v>3</v>
          </cell>
          <cell r="S461">
            <v>7</v>
          </cell>
          <cell r="T461">
            <v>51</v>
          </cell>
          <cell r="U461">
            <v>33</v>
          </cell>
          <cell r="V461">
            <v>1</v>
          </cell>
          <cell r="X461" t="str">
            <v>Enseig. Serv administratifs</v>
          </cell>
          <cell r="Z461" t="str">
            <v>Conakry</v>
          </cell>
          <cell r="AA461" t="str">
            <v>Entretien bâtiments administ.</v>
          </cell>
          <cell r="AB461">
            <v>0</v>
          </cell>
          <cell r="AC461">
            <v>0</v>
          </cell>
        </row>
        <row r="462">
          <cell r="A462">
            <v>3074</v>
          </cell>
          <cell r="B462">
            <v>1</v>
          </cell>
          <cell r="C462">
            <v>1</v>
          </cell>
          <cell r="E462" t="str">
            <v>20</v>
          </cell>
          <cell r="F462">
            <v>49000200700</v>
          </cell>
          <cell r="G462">
            <v>3</v>
          </cell>
          <cell r="H462" t="str">
            <v>37</v>
          </cell>
          <cell r="I462">
            <v>52</v>
          </cell>
          <cell r="J462">
            <v>20</v>
          </cell>
          <cell r="K462">
            <v>1</v>
          </cell>
          <cell r="L462">
            <v>49</v>
          </cell>
          <cell r="M462" t="str">
            <v>000</v>
          </cell>
          <cell r="N462">
            <v>2</v>
          </cell>
          <cell r="O462" t="str">
            <v>00</v>
          </cell>
          <cell r="P462">
            <v>7</v>
          </cell>
          <cell r="Q462">
            <v>3</v>
          </cell>
          <cell r="R462">
            <v>3</v>
          </cell>
          <cell r="S462">
            <v>7</v>
          </cell>
          <cell r="T462">
            <v>52</v>
          </cell>
          <cell r="U462">
            <v>33</v>
          </cell>
          <cell r="V462">
            <v>1</v>
          </cell>
          <cell r="X462" t="str">
            <v>Enseig. Serv administratifs</v>
          </cell>
          <cell r="Z462" t="str">
            <v>Conakry</v>
          </cell>
          <cell r="AA462" t="str">
            <v>Entretien logements</v>
          </cell>
          <cell r="AB462">
            <v>0</v>
          </cell>
          <cell r="AC462">
            <v>0</v>
          </cell>
        </row>
        <row r="463">
          <cell r="A463">
            <v>3075</v>
          </cell>
          <cell r="B463">
            <v>1</v>
          </cell>
          <cell r="C463">
            <v>1</v>
          </cell>
          <cell r="E463" t="str">
            <v>20</v>
          </cell>
          <cell r="F463">
            <v>49000200700</v>
          </cell>
          <cell r="G463">
            <v>3</v>
          </cell>
          <cell r="H463" t="str">
            <v>37</v>
          </cell>
          <cell r="I463">
            <v>90</v>
          </cell>
          <cell r="J463">
            <v>20</v>
          </cell>
          <cell r="K463">
            <v>1</v>
          </cell>
          <cell r="L463">
            <v>49</v>
          </cell>
          <cell r="M463" t="str">
            <v>000</v>
          </cell>
          <cell r="N463">
            <v>2</v>
          </cell>
          <cell r="O463" t="str">
            <v>00</v>
          </cell>
          <cell r="P463">
            <v>7</v>
          </cell>
          <cell r="Q463">
            <v>3</v>
          </cell>
          <cell r="R463">
            <v>3</v>
          </cell>
          <cell r="S463">
            <v>7</v>
          </cell>
          <cell r="T463">
            <v>90</v>
          </cell>
          <cell r="U463">
            <v>33</v>
          </cell>
          <cell r="V463">
            <v>1</v>
          </cell>
          <cell r="X463" t="str">
            <v>Enseig. Serv administratifs</v>
          </cell>
          <cell r="Z463" t="str">
            <v>Conakry</v>
          </cell>
          <cell r="AA463" t="str">
            <v>Entretien autres immob.</v>
          </cell>
          <cell r="AB463">
            <v>0</v>
          </cell>
          <cell r="AC463">
            <v>0</v>
          </cell>
        </row>
        <row r="464">
          <cell r="A464">
            <v>12458</v>
          </cell>
          <cell r="B464">
            <v>1</v>
          </cell>
          <cell r="J464">
            <v>20</v>
          </cell>
          <cell r="K464">
            <v>1</v>
          </cell>
          <cell r="N464">
            <v>3</v>
          </cell>
          <cell r="Q464">
            <v>3</v>
          </cell>
          <cell r="R464">
            <v>3</v>
          </cell>
          <cell r="S464">
            <v>7</v>
          </cell>
          <cell r="X464" t="str">
            <v>Intérieur Services déconcentrés</v>
          </cell>
          <cell r="AB464">
            <v>3320800</v>
          </cell>
          <cell r="AC464">
            <v>3320800</v>
          </cell>
        </row>
        <row r="465">
          <cell r="A465">
            <v>2982</v>
          </cell>
          <cell r="B465">
            <v>1</v>
          </cell>
          <cell r="C465">
            <v>1</v>
          </cell>
          <cell r="E465" t="str">
            <v>20</v>
          </cell>
          <cell r="F465">
            <v>42000300700</v>
          </cell>
          <cell r="G465">
            <v>3</v>
          </cell>
          <cell r="H465" t="str">
            <v>37</v>
          </cell>
          <cell r="I465">
            <v>11</v>
          </cell>
          <cell r="J465">
            <v>20</v>
          </cell>
          <cell r="K465">
            <v>1</v>
          </cell>
          <cell r="L465">
            <v>42</v>
          </cell>
          <cell r="M465" t="str">
            <v>000</v>
          </cell>
          <cell r="N465">
            <v>3</v>
          </cell>
          <cell r="O465" t="str">
            <v>00</v>
          </cell>
          <cell r="P465">
            <v>7</v>
          </cell>
          <cell r="Q465">
            <v>3</v>
          </cell>
          <cell r="R465">
            <v>3</v>
          </cell>
          <cell r="S465">
            <v>7</v>
          </cell>
          <cell r="T465">
            <v>11</v>
          </cell>
          <cell r="U465">
            <v>33</v>
          </cell>
          <cell r="V465">
            <v>1</v>
          </cell>
          <cell r="X465" t="str">
            <v>Primaire Ens.serv.déconc.</v>
          </cell>
          <cell r="Z465" t="str">
            <v>Intérieur</v>
          </cell>
          <cell r="AA465" t="str">
            <v>Entretien matériel mobilier</v>
          </cell>
          <cell r="AB465">
            <v>0</v>
          </cell>
          <cell r="AC465">
            <v>0</v>
          </cell>
        </row>
        <row r="466">
          <cell r="A466">
            <v>2983</v>
          </cell>
          <cell r="B466">
            <v>1</v>
          </cell>
          <cell r="C466">
            <v>1</v>
          </cell>
          <cell r="E466" t="str">
            <v>20</v>
          </cell>
          <cell r="F466">
            <v>42000300700</v>
          </cell>
          <cell r="G466">
            <v>3</v>
          </cell>
          <cell r="H466" t="str">
            <v>37</v>
          </cell>
          <cell r="I466">
            <v>12</v>
          </cell>
          <cell r="J466">
            <v>20</v>
          </cell>
          <cell r="K466">
            <v>1</v>
          </cell>
          <cell r="L466">
            <v>42</v>
          </cell>
          <cell r="M466" t="str">
            <v>000</v>
          </cell>
          <cell r="N466">
            <v>3</v>
          </cell>
          <cell r="O466" t="str">
            <v>00</v>
          </cell>
          <cell r="P466">
            <v>7</v>
          </cell>
          <cell r="Q466">
            <v>3</v>
          </cell>
          <cell r="R466">
            <v>3</v>
          </cell>
          <cell r="S466">
            <v>7</v>
          </cell>
          <cell r="T466">
            <v>12</v>
          </cell>
          <cell r="U466">
            <v>33</v>
          </cell>
          <cell r="V466">
            <v>1</v>
          </cell>
          <cell r="X466" t="str">
            <v>Primaire Ens.serv.déconc.</v>
          </cell>
          <cell r="Z466" t="str">
            <v>Intérieur</v>
          </cell>
          <cell r="AA466" t="str">
            <v>Entretien matériel informat.</v>
          </cell>
          <cell r="AB466">
            <v>0</v>
          </cell>
          <cell r="AC466">
            <v>0</v>
          </cell>
        </row>
        <row r="467">
          <cell r="A467">
            <v>2984</v>
          </cell>
          <cell r="B467">
            <v>1</v>
          </cell>
          <cell r="C467">
            <v>1</v>
          </cell>
          <cell r="E467" t="str">
            <v>20</v>
          </cell>
          <cell r="F467">
            <v>42000300700</v>
          </cell>
          <cell r="G467">
            <v>3</v>
          </cell>
          <cell r="H467" t="str">
            <v>37</v>
          </cell>
          <cell r="I467">
            <v>51</v>
          </cell>
          <cell r="J467">
            <v>20</v>
          </cell>
          <cell r="K467">
            <v>1</v>
          </cell>
          <cell r="L467">
            <v>42</v>
          </cell>
          <cell r="M467" t="str">
            <v>000</v>
          </cell>
          <cell r="N467">
            <v>3</v>
          </cell>
          <cell r="O467" t="str">
            <v>00</v>
          </cell>
          <cell r="P467">
            <v>7</v>
          </cell>
          <cell r="Q467">
            <v>3</v>
          </cell>
          <cell r="R467">
            <v>3</v>
          </cell>
          <cell r="S467">
            <v>7</v>
          </cell>
          <cell r="T467">
            <v>51</v>
          </cell>
          <cell r="U467">
            <v>33</v>
          </cell>
          <cell r="V467">
            <v>1</v>
          </cell>
          <cell r="X467" t="str">
            <v>Primaire Ens.serv.déconc.</v>
          </cell>
          <cell r="Y467" t="str">
            <v>P1</v>
          </cell>
          <cell r="Z467" t="str">
            <v>Intérieur</v>
          </cell>
          <cell r="AA467" t="str">
            <v>Entretien bâtiments administ.</v>
          </cell>
          <cell r="AB467">
            <v>2190400</v>
          </cell>
          <cell r="AC467">
            <v>2190400</v>
          </cell>
        </row>
        <row r="468">
          <cell r="A468">
            <v>2985</v>
          </cell>
          <cell r="B468">
            <v>1</v>
          </cell>
          <cell r="C468">
            <v>1</v>
          </cell>
          <cell r="E468" t="str">
            <v>20</v>
          </cell>
          <cell r="F468">
            <v>42000300700</v>
          </cell>
          <cell r="G468">
            <v>3</v>
          </cell>
          <cell r="H468" t="str">
            <v>37</v>
          </cell>
          <cell r="I468">
            <v>90</v>
          </cell>
          <cell r="J468">
            <v>20</v>
          </cell>
          <cell r="K468">
            <v>1</v>
          </cell>
          <cell r="L468">
            <v>42</v>
          </cell>
          <cell r="M468" t="str">
            <v>000</v>
          </cell>
          <cell r="N468">
            <v>3</v>
          </cell>
          <cell r="O468" t="str">
            <v>00</v>
          </cell>
          <cell r="P468">
            <v>7</v>
          </cell>
          <cell r="Q468">
            <v>3</v>
          </cell>
          <cell r="R468">
            <v>3</v>
          </cell>
          <cell r="S468">
            <v>7</v>
          </cell>
          <cell r="T468">
            <v>90</v>
          </cell>
          <cell r="U468">
            <v>33</v>
          </cell>
          <cell r="V468">
            <v>1</v>
          </cell>
          <cell r="X468" t="str">
            <v>Primaire Ens.serv.déconc.</v>
          </cell>
          <cell r="Z468" t="str">
            <v>Intérieur</v>
          </cell>
          <cell r="AA468" t="str">
            <v>Entretien autres immob.</v>
          </cell>
          <cell r="AB468">
            <v>0</v>
          </cell>
          <cell r="AC468">
            <v>0</v>
          </cell>
        </row>
        <row r="469">
          <cell r="A469">
            <v>3043</v>
          </cell>
          <cell r="B469">
            <v>1</v>
          </cell>
          <cell r="C469">
            <v>1</v>
          </cell>
          <cell r="E469" t="str">
            <v>20</v>
          </cell>
          <cell r="F469">
            <v>43000300700</v>
          </cell>
          <cell r="G469">
            <v>3</v>
          </cell>
          <cell r="H469" t="str">
            <v>37</v>
          </cell>
          <cell r="I469">
            <v>11</v>
          </cell>
          <cell r="J469">
            <v>20</v>
          </cell>
          <cell r="K469">
            <v>1</v>
          </cell>
          <cell r="L469">
            <v>43</v>
          </cell>
          <cell r="M469" t="str">
            <v>000</v>
          </cell>
          <cell r="N469">
            <v>3</v>
          </cell>
          <cell r="O469" t="str">
            <v>00</v>
          </cell>
          <cell r="P469">
            <v>7</v>
          </cell>
          <cell r="Q469">
            <v>3</v>
          </cell>
          <cell r="R469">
            <v>3</v>
          </cell>
          <cell r="S469">
            <v>7</v>
          </cell>
          <cell r="T469">
            <v>11</v>
          </cell>
          <cell r="U469">
            <v>33</v>
          </cell>
          <cell r="V469">
            <v>1</v>
          </cell>
          <cell r="X469" t="str">
            <v>Secondaire Ens.serv.déconc.</v>
          </cell>
          <cell r="Z469" t="str">
            <v>Intérieur</v>
          </cell>
          <cell r="AA469" t="str">
            <v>Entretien matériel mobilier</v>
          </cell>
          <cell r="AB469">
            <v>0</v>
          </cell>
          <cell r="AC469">
            <v>0</v>
          </cell>
        </row>
        <row r="470">
          <cell r="A470">
            <v>3044</v>
          </cell>
          <cell r="B470">
            <v>1</v>
          </cell>
          <cell r="C470">
            <v>1</v>
          </cell>
          <cell r="E470" t="str">
            <v>20</v>
          </cell>
          <cell r="F470">
            <v>43000300700</v>
          </cell>
          <cell r="G470">
            <v>3</v>
          </cell>
          <cell r="H470" t="str">
            <v>37</v>
          </cell>
          <cell r="I470">
            <v>12</v>
          </cell>
          <cell r="J470">
            <v>20</v>
          </cell>
          <cell r="K470">
            <v>1</v>
          </cell>
          <cell r="L470">
            <v>43</v>
          </cell>
          <cell r="M470" t="str">
            <v>000</v>
          </cell>
          <cell r="N470">
            <v>3</v>
          </cell>
          <cell r="O470" t="str">
            <v>00</v>
          </cell>
          <cell r="P470">
            <v>7</v>
          </cell>
          <cell r="Q470">
            <v>3</v>
          </cell>
          <cell r="R470">
            <v>3</v>
          </cell>
          <cell r="S470">
            <v>7</v>
          </cell>
          <cell r="T470">
            <v>12</v>
          </cell>
          <cell r="U470">
            <v>33</v>
          </cell>
          <cell r="V470">
            <v>1</v>
          </cell>
          <cell r="X470" t="str">
            <v>Secondaire Ens.serv.déconc.</v>
          </cell>
          <cell r="Z470" t="str">
            <v>Intérieur</v>
          </cell>
          <cell r="AA470" t="str">
            <v>Entretien matériel informat.</v>
          </cell>
          <cell r="AB470">
            <v>0</v>
          </cell>
          <cell r="AC470">
            <v>0</v>
          </cell>
        </row>
        <row r="471">
          <cell r="A471">
            <v>3045</v>
          </cell>
          <cell r="B471">
            <v>1</v>
          </cell>
          <cell r="C471">
            <v>1</v>
          </cell>
          <cell r="E471" t="str">
            <v>20</v>
          </cell>
          <cell r="F471">
            <v>43000300700</v>
          </cell>
          <cell r="G471">
            <v>3</v>
          </cell>
          <cell r="H471" t="str">
            <v>37</v>
          </cell>
          <cell r="I471">
            <v>13</v>
          </cell>
          <cell r="J471">
            <v>20</v>
          </cell>
          <cell r="K471">
            <v>1</v>
          </cell>
          <cell r="L471">
            <v>43</v>
          </cell>
          <cell r="M471" t="str">
            <v>000</v>
          </cell>
          <cell r="N471">
            <v>3</v>
          </cell>
          <cell r="O471" t="str">
            <v>00</v>
          </cell>
          <cell r="P471">
            <v>7</v>
          </cell>
          <cell r="Q471">
            <v>3</v>
          </cell>
          <cell r="R471">
            <v>3</v>
          </cell>
          <cell r="S471">
            <v>7</v>
          </cell>
          <cell r="T471">
            <v>13</v>
          </cell>
          <cell r="U471">
            <v>33</v>
          </cell>
          <cell r="V471">
            <v>1</v>
          </cell>
          <cell r="X471" t="str">
            <v>Secondaire Ens.serv.déconc.</v>
          </cell>
          <cell r="Z471" t="str">
            <v>Intérieur</v>
          </cell>
          <cell r="AA471" t="str">
            <v>Entretien autres matériels techniqu.</v>
          </cell>
        </row>
        <row r="472">
          <cell r="A472">
            <v>3046</v>
          </cell>
          <cell r="B472">
            <v>1</v>
          </cell>
          <cell r="C472">
            <v>1</v>
          </cell>
          <cell r="E472" t="str">
            <v>20</v>
          </cell>
          <cell r="F472">
            <v>43000300700</v>
          </cell>
          <cell r="G472">
            <v>3</v>
          </cell>
          <cell r="H472" t="str">
            <v>37</v>
          </cell>
          <cell r="I472">
            <v>51</v>
          </cell>
          <cell r="J472">
            <v>20</v>
          </cell>
          <cell r="K472">
            <v>1</v>
          </cell>
          <cell r="L472">
            <v>43</v>
          </cell>
          <cell r="M472" t="str">
            <v>000</v>
          </cell>
          <cell r="N472">
            <v>3</v>
          </cell>
          <cell r="O472" t="str">
            <v>00</v>
          </cell>
          <cell r="P472">
            <v>7</v>
          </cell>
          <cell r="Q472">
            <v>3</v>
          </cell>
          <cell r="R472">
            <v>3</v>
          </cell>
          <cell r="S472">
            <v>7</v>
          </cell>
          <cell r="T472">
            <v>51</v>
          </cell>
          <cell r="U472">
            <v>33</v>
          </cell>
          <cell r="V472">
            <v>1</v>
          </cell>
          <cell r="X472" t="str">
            <v>Secondaire Ens.serv.déconc.</v>
          </cell>
          <cell r="Y472" t="str">
            <v>P2</v>
          </cell>
          <cell r="Z472" t="str">
            <v>Intérieur</v>
          </cell>
          <cell r="AA472" t="str">
            <v>Entretien bâtiments administ.</v>
          </cell>
          <cell r="AB472">
            <v>938740</v>
          </cell>
          <cell r="AC472">
            <v>938740</v>
          </cell>
        </row>
        <row r="473">
          <cell r="A473">
            <v>3047</v>
          </cell>
          <cell r="B473">
            <v>1</v>
          </cell>
          <cell r="C473">
            <v>1</v>
          </cell>
          <cell r="E473" t="str">
            <v>20</v>
          </cell>
          <cell r="F473">
            <v>43000300700</v>
          </cell>
          <cell r="G473">
            <v>3</v>
          </cell>
          <cell r="H473" t="str">
            <v>37</v>
          </cell>
          <cell r="I473">
            <v>90</v>
          </cell>
          <cell r="J473">
            <v>20</v>
          </cell>
          <cell r="K473">
            <v>1</v>
          </cell>
          <cell r="L473">
            <v>43</v>
          </cell>
          <cell r="M473" t="str">
            <v>000</v>
          </cell>
          <cell r="N473">
            <v>3</v>
          </cell>
          <cell r="O473" t="str">
            <v>00</v>
          </cell>
          <cell r="P473">
            <v>7</v>
          </cell>
          <cell r="Q473">
            <v>3</v>
          </cell>
          <cell r="R473">
            <v>3</v>
          </cell>
          <cell r="S473">
            <v>7</v>
          </cell>
          <cell r="T473">
            <v>90</v>
          </cell>
          <cell r="U473">
            <v>33</v>
          </cell>
          <cell r="V473">
            <v>1</v>
          </cell>
          <cell r="X473" t="str">
            <v>Secondaire Ens.serv.déconc.</v>
          </cell>
          <cell r="Z473" t="str">
            <v>Intérieur</v>
          </cell>
          <cell r="AA473" t="str">
            <v>Entretien autres immob.</v>
          </cell>
          <cell r="AB473">
            <v>0</v>
          </cell>
          <cell r="AC473">
            <v>0</v>
          </cell>
        </row>
        <row r="474">
          <cell r="A474">
            <v>4862</v>
          </cell>
          <cell r="B474">
            <v>1</v>
          </cell>
          <cell r="C474">
            <v>1</v>
          </cell>
          <cell r="E474" t="str">
            <v>20</v>
          </cell>
          <cell r="F474">
            <v>44000300700</v>
          </cell>
          <cell r="G474">
            <v>3</v>
          </cell>
          <cell r="H474" t="str">
            <v>37</v>
          </cell>
          <cell r="I474">
            <v>90</v>
          </cell>
          <cell r="J474">
            <v>20</v>
          </cell>
          <cell r="K474">
            <v>1</v>
          </cell>
          <cell r="L474">
            <v>44</v>
          </cell>
          <cell r="M474" t="str">
            <v>000</v>
          </cell>
          <cell r="N474">
            <v>3</v>
          </cell>
          <cell r="O474" t="str">
            <v>00</v>
          </cell>
          <cell r="P474">
            <v>7</v>
          </cell>
          <cell r="Q474">
            <v>3</v>
          </cell>
          <cell r="R474">
            <v>3</v>
          </cell>
          <cell r="S474">
            <v>7</v>
          </cell>
          <cell r="T474">
            <v>90</v>
          </cell>
          <cell r="U474">
            <v>36</v>
          </cell>
          <cell r="V474">
            <v>1</v>
          </cell>
          <cell r="W474">
            <v>0</v>
          </cell>
          <cell r="X474" t="str">
            <v>Enseign. Technique</v>
          </cell>
          <cell r="Z474" t="str">
            <v>Intérieur</v>
          </cell>
          <cell r="AA474" t="str">
            <v>Ent. Autres immob. (corporelles)</v>
          </cell>
          <cell r="AB474">
            <v>0</v>
          </cell>
          <cell r="AC474">
            <v>0</v>
          </cell>
        </row>
        <row r="475">
          <cell r="A475">
            <v>4887</v>
          </cell>
          <cell r="B475">
            <v>1</v>
          </cell>
          <cell r="C475">
            <v>1</v>
          </cell>
          <cell r="E475" t="str">
            <v>20</v>
          </cell>
          <cell r="F475">
            <v>44234300700</v>
          </cell>
          <cell r="G475">
            <v>3</v>
          </cell>
          <cell r="H475" t="str">
            <v>37</v>
          </cell>
          <cell r="I475">
            <v>20</v>
          </cell>
          <cell r="J475">
            <v>20</v>
          </cell>
          <cell r="K475">
            <v>1</v>
          </cell>
          <cell r="L475">
            <v>44</v>
          </cell>
          <cell r="M475">
            <v>234</v>
          </cell>
          <cell r="N475">
            <v>3</v>
          </cell>
          <cell r="O475" t="str">
            <v>00</v>
          </cell>
          <cell r="P475">
            <v>7</v>
          </cell>
          <cell r="Q475">
            <v>3</v>
          </cell>
          <cell r="R475">
            <v>3</v>
          </cell>
          <cell r="S475">
            <v>7</v>
          </cell>
          <cell r="T475" t="str">
            <v>20</v>
          </cell>
          <cell r="U475">
            <v>36</v>
          </cell>
          <cell r="V475">
            <v>1</v>
          </cell>
          <cell r="X475" t="str">
            <v>ENATEF Contrib coop helvétique</v>
          </cell>
          <cell r="Y475" t="str">
            <v>P3</v>
          </cell>
          <cell r="Z475" t="str">
            <v>Intérieur</v>
          </cell>
          <cell r="AA475" t="str">
            <v>Entretien véhicules automobiles</v>
          </cell>
          <cell r="AB475">
            <v>35450</v>
          </cell>
          <cell r="AC475">
            <v>35450</v>
          </cell>
        </row>
        <row r="476">
          <cell r="A476">
            <v>4888</v>
          </cell>
          <cell r="B476">
            <v>1</v>
          </cell>
          <cell r="C476">
            <v>1</v>
          </cell>
          <cell r="E476" t="str">
            <v>20</v>
          </cell>
          <cell r="F476">
            <v>44234300700</v>
          </cell>
          <cell r="G476">
            <v>3</v>
          </cell>
          <cell r="H476" t="str">
            <v>37</v>
          </cell>
          <cell r="I476">
            <v>51</v>
          </cell>
          <cell r="J476">
            <v>20</v>
          </cell>
          <cell r="K476">
            <v>1</v>
          </cell>
          <cell r="L476">
            <v>44</v>
          </cell>
          <cell r="M476">
            <v>234</v>
          </cell>
          <cell r="N476">
            <v>3</v>
          </cell>
          <cell r="O476" t="str">
            <v>00</v>
          </cell>
          <cell r="P476">
            <v>7</v>
          </cell>
          <cell r="Q476">
            <v>3</v>
          </cell>
          <cell r="R476">
            <v>3</v>
          </cell>
          <cell r="S476">
            <v>7</v>
          </cell>
          <cell r="T476" t="str">
            <v>51</v>
          </cell>
          <cell r="U476">
            <v>36</v>
          </cell>
          <cell r="V476">
            <v>1</v>
          </cell>
          <cell r="X476" t="str">
            <v>ENATEF Contrib coop helvétique</v>
          </cell>
          <cell r="Y476" t="str">
            <v>P3</v>
          </cell>
          <cell r="Z476" t="str">
            <v>Intérieur</v>
          </cell>
          <cell r="AA476" t="str">
            <v>Entretien bâtiments administratifs</v>
          </cell>
          <cell r="AB476">
            <v>49620</v>
          </cell>
          <cell r="AC476">
            <v>49620</v>
          </cell>
        </row>
        <row r="477">
          <cell r="A477">
            <v>3090</v>
          </cell>
          <cell r="B477">
            <v>1</v>
          </cell>
          <cell r="C477">
            <v>1</v>
          </cell>
          <cell r="E477" t="str">
            <v>20</v>
          </cell>
          <cell r="F477">
            <v>49000300700</v>
          </cell>
          <cell r="G477">
            <v>3</v>
          </cell>
          <cell r="H477" t="str">
            <v>37</v>
          </cell>
          <cell r="I477">
            <v>11</v>
          </cell>
          <cell r="J477">
            <v>20</v>
          </cell>
          <cell r="K477">
            <v>1</v>
          </cell>
          <cell r="L477">
            <v>49</v>
          </cell>
          <cell r="M477" t="str">
            <v>000</v>
          </cell>
          <cell r="N477">
            <v>3</v>
          </cell>
          <cell r="O477" t="str">
            <v>00</v>
          </cell>
          <cell r="P477">
            <v>7</v>
          </cell>
          <cell r="Q477">
            <v>3</v>
          </cell>
          <cell r="R477">
            <v>3</v>
          </cell>
          <cell r="S477">
            <v>7</v>
          </cell>
          <cell r="T477">
            <v>11</v>
          </cell>
          <cell r="U477">
            <v>33</v>
          </cell>
          <cell r="V477">
            <v>1</v>
          </cell>
          <cell r="X477" t="str">
            <v>Enseig. Serv administratifs</v>
          </cell>
          <cell r="Z477" t="str">
            <v>Intérieur</v>
          </cell>
          <cell r="AA477" t="str">
            <v>Entretien matériel mobilier</v>
          </cell>
          <cell r="AB477">
            <v>0</v>
          </cell>
          <cell r="AC477">
            <v>0</v>
          </cell>
        </row>
        <row r="478">
          <cell r="A478">
            <v>3091</v>
          </cell>
          <cell r="B478">
            <v>1</v>
          </cell>
          <cell r="C478">
            <v>1</v>
          </cell>
          <cell r="E478" t="str">
            <v>20</v>
          </cell>
          <cell r="F478">
            <v>49000300700</v>
          </cell>
          <cell r="G478">
            <v>3</v>
          </cell>
          <cell r="H478" t="str">
            <v>37</v>
          </cell>
          <cell r="I478">
            <v>12</v>
          </cell>
          <cell r="J478">
            <v>20</v>
          </cell>
          <cell r="K478">
            <v>1</v>
          </cell>
          <cell r="L478">
            <v>49</v>
          </cell>
          <cell r="M478" t="str">
            <v>000</v>
          </cell>
          <cell r="N478">
            <v>3</v>
          </cell>
          <cell r="O478" t="str">
            <v>00</v>
          </cell>
          <cell r="P478">
            <v>7</v>
          </cell>
          <cell r="Q478">
            <v>3</v>
          </cell>
          <cell r="R478">
            <v>3</v>
          </cell>
          <cell r="S478">
            <v>7</v>
          </cell>
          <cell r="T478">
            <v>12</v>
          </cell>
          <cell r="U478">
            <v>33</v>
          </cell>
          <cell r="V478">
            <v>1</v>
          </cell>
          <cell r="X478" t="str">
            <v>Enseig. Serv administratifs</v>
          </cell>
          <cell r="Z478" t="str">
            <v>Intérieur</v>
          </cell>
          <cell r="AA478" t="str">
            <v>Entretien matériel informat.</v>
          </cell>
          <cell r="AB478">
            <v>0</v>
          </cell>
          <cell r="AC478">
            <v>0</v>
          </cell>
        </row>
        <row r="479">
          <cell r="A479">
            <v>3092</v>
          </cell>
          <cell r="B479">
            <v>1</v>
          </cell>
          <cell r="C479">
            <v>1</v>
          </cell>
          <cell r="E479" t="str">
            <v>20</v>
          </cell>
          <cell r="F479">
            <v>49000300700</v>
          </cell>
          <cell r="G479">
            <v>3</v>
          </cell>
          <cell r="H479" t="str">
            <v>37</v>
          </cell>
          <cell r="I479">
            <v>13</v>
          </cell>
          <cell r="J479">
            <v>20</v>
          </cell>
          <cell r="K479">
            <v>1</v>
          </cell>
          <cell r="L479">
            <v>49</v>
          </cell>
          <cell r="M479" t="str">
            <v>000</v>
          </cell>
          <cell r="N479">
            <v>3</v>
          </cell>
          <cell r="O479" t="str">
            <v>00</v>
          </cell>
          <cell r="P479">
            <v>7</v>
          </cell>
          <cell r="Q479">
            <v>3</v>
          </cell>
          <cell r="R479">
            <v>3</v>
          </cell>
          <cell r="S479">
            <v>7</v>
          </cell>
          <cell r="T479">
            <v>13</v>
          </cell>
          <cell r="U479">
            <v>33</v>
          </cell>
          <cell r="V479">
            <v>1</v>
          </cell>
          <cell r="X479" t="str">
            <v>Enseig. Serv administratifs</v>
          </cell>
          <cell r="Z479" t="str">
            <v>Intérieur</v>
          </cell>
          <cell r="AA479" t="str">
            <v>Entretien autres matériels techniqu.</v>
          </cell>
          <cell r="AB479">
            <v>0</v>
          </cell>
          <cell r="AC479">
            <v>0</v>
          </cell>
        </row>
        <row r="480">
          <cell r="A480">
            <v>3093</v>
          </cell>
          <cell r="B480">
            <v>1</v>
          </cell>
          <cell r="C480">
            <v>1</v>
          </cell>
          <cell r="E480" t="str">
            <v>20</v>
          </cell>
          <cell r="F480">
            <v>49000300700</v>
          </cell>
          <cell r="G480">
            <v>3</v>
          </cell>
          <cell r="H480" t="str">
            <v>37</v>
          </cell>
          <cell r="I480">
            <v>20</v>
          </cell>
          <cell r="J480">
            <v>20</v>
          </cell>
          <cell r="K480">
            <v>1</v>
          </cell>
          <cell r="L480">
            <v>49</v>
          </cell>
          <cell r="M480" t="str">
            <v>000</v>
          </cell>
          <cell r="N480">
            <v>3</v>
          </cell>
          <cell r="O480" t="str">
            <v>00</v>
          </cell>
          <cell r="P480">
            <v>7</v>
          </cell>
          <cell r="Q480">
            <v>3</v>
          </cell>
          <cell r="R480">
            <v>3</v>
          </cell>
          <cell r="S480">
            <v>7</v>
          </cell>
          <cell r="T480">
            <v>20</v>
          </cell>
          <cell r="U480">
            <v>33</v>
          </cell>
          <cell r="V480">
            <v>1</v>
          </cell>
          <cell r="X480" t="str">
            <v>Enseig. Serv administratifs</v>
          </cell>
          <cell r="Y480" t="str">
            <v>P1</v>
          </cell>
          <cell r="Z480" t="str">
            <v>Intérieur</v>
          </cell>
          <cell r="AA480" t="str">
            <v>Entretien véhicules automob.</v>
          </cell>
          <cell r="AB480">
            <v>106590</v>
          </cell>
          <cell r="AC480">
            <v>106590</v>
          </cell>
        </row>
        <row r="481">
          <cell r="A481">
            <v>3094</v>
          </cell>
          <cell r="B481">
            <v>1</v>
          </cell>
          <cell r="C481">
            <v>1</v>
          </cell>
          <cell r="E481" t="str">
            <v>20</v>
          </cell>
          <cell r="F481">
            <v>49000300700</v>
          </cell>
          <cell r="G481">
            <v>3</v>
          </cell>
          <cell r="H481" t="str">
            <v>37</v>
          </cell>
          <cell r="I481">
            <v>51</v>
          </cell>
          <cell r="J481">
            <v>20</v>
          </cell>
          <cell r="K481">
            <v>1</v>
          </cell>
          <cell r="L481">
            <v>49</v>
          </cell>
          <cell r="M481" t="str">
            <v>000</v>
          </cell>
          <cell r="N481">
            <v>3</v>
          </cell>
          <cell r="O481" t="str">
            <v>00</v>
          </cell>
          <cell r="P481">
            <v>7</v>
          </cell>
          <cell r="Q481">
            <v>3</v>
          </cell>
          <cell r="R481">
            <v>3</v>
          </cell>
          <cell r="S481">
            <v>7</v>
          </cell>
          <cell r="T481">
            <v>51</v>
          </cell>
          <cell r="U481">
            <v>33</v>
          </cell>
          <cell r="V481">
            <v>1</v>
          </cell>
          <cell r="X481" t="str">
            <v>Enseig. Serv administratifs</v>
          </cell>
          <cell r="Z481" t="str">
            <v>Intérieur</v>
          </cell>
          <cell r="AA481" t="str">
            <v>Entretien bâtiments administ.</v>
          </cell>
          <cell r="AB481">
            <v>0</v>
          </cell>
          <cell r="AC481">
            <v>0</v>
          </cell>
        </row>
        <row r="482">
          <cell r="A482">
            <v>3095</v>
          </cell>
          <cell r="B482">
            <v>1</v>
          </cell>
          <cell r="C482">
            <v>1</v>
          </cell>
          <cell r="E482" t="str">
            <v>20</v>
          </cell>
          <cell r="F482">
            <v>49000300700</v>
          </cell>
          <cell r="G482">
            <v>3</v>
          </cell>
          <cell r="H482" t="str">
            <v>37</v>
          </cell>
          <cell r="I482">
            <v>52</v>
          </cell>
          <cell r="J482">
            <v>20</v>
          </cell>
          <cell r="K482">
            <v>1</v>
          </cell>
          <cell r="L482">
            <v>49</v>
          </cell>
          <cell r="M482" t="str">
            <v>000</v>
          </cell>
          <cell r="N482">
            <v>3</v>
          </cell>
          <cell r="O482" t="str">
            <v>00</v>
          </cell>
          <cell r="P482">
            <v>7</v>
          </cell>
          <cell r="Q482">
            <v>3</v>
          </cell>
          <cell r="R482">
            <v>3</v>
          </cell>
          <cell r="S482">
            <v>7</v>
          </cell>
          <cell r="T482">
            <v>52</v>
          </cell>
          <cell r="U482">
            <v>33</v>
          </cell>
          <cell r="V482">
            <v>1</v>
          </cell>
          <cell r="X482" t="str">
            <v>Enseig. Serv administratifs</v>
          </cell>
          <cell r="Z482" t="str">
            <v>Intérieur</v>
          </cell>
          <cell r="AA482" t="str">
            <v>Entretien logements</v>
          </cell>
          <cell r="AB482">
            <v>0</v>
          </cell>
          <cell r="AC482">
            <v>0</v>
          </cell>
        </row>
        <row r="483">
          <cell r="A483">
            <v>3096</v>
          </cell>
          <cell r="B483">
            <v>1</v>
          </cell>
          <cell r="C483">
            <v>1</v>
          </cell>
          <cell r="E483" t="str">
            <v>20</v>
          </cell>
          <cell r="F483">
            <v>49000300700</v>
          </cell>
          <cell r="G483">
            <v>3</v>
          </cell>
          <cell r="H483" t="str">
            <v>37</v>
          </cell>
          <cell r="I483">
            <v>90</v>
          </cell>
          <cell r="J483">
            <v>20</v>
          </cell>
          <cell r="K483">
            <v>1</v>
          </cell>
          <cell r="L483">
            <v>49</v>
          </cell>
          <cell r="M483" t="str">
            <v>000</v>
          </cell>
          <cell r="N483">
            <v>3</v>
          </cell>
          <cell r="O483" t="str">
            <v>00</v>
          </cell>
          <cell r="P483">
            <v>7</v>
          </cell>
          <cell r="Q483">
            <v>3</v>
          </cell>
          <cell r="R483">
            <v>3</v>
          </cell>
          <cell r="S483">
            <v>7</v>
          </cell>
          <cell r="T483">
            <v>90</v>
          </cell>
          <cell r="U483">
            <v>33</v>
          </cell>
          <cell r="V483">
            <v>1</v>
          </cell>
          <cell r="X483" t="str">
            <v>Enseig. Serv administratifs</v>
          </cell>
          <cell r="Z483" t="str">
            <v>Intérieur</v>
          </cell>
          <cell r="AA483" t="str">
            <v>Entretien autres immob.</v>
          </cell>
          <cell r="AB483">
            <v>0</v>
          </cell>
          <cell r="AC483">
            <v>0</v>
          </cell>
        </row>
        <row r="484">
          <cell r="A484">
            <v>12460</v>
          </cell>
          <cell r="B484">
            <v>1</v>
          </cell>
          <cell r="J484">
            <v>20</v>
          </cell>
          <cell r="K484">
            <v>1</v>
          </cell>
          <cell r="N484">
            <v>9</v>
          </cell>
          <cell r="Q484">
            <v>3</v>
          </cell>
          <cell r="R484">
            <v>3</v>
          </cell>
          <cell r="S484">
            <v>7</v>
          </cell>
          <cell r="X484" t="str">
            <v>Ensemble Non ventilé</v>
          </cell>
          <cell r="AB484">
            <v>0</v>
          </cell>
          <cell r="AC484">
            <v>0</v>
          </cell>
        </row>
        <row r="485">
          <cell r="A485">
            <v>12462</v>
          </cell>
          <cell r="B485">
            <v>1</v>
          </cell>
          <cell r="D485" t="str">
            <v>I</v>
          </cell>
          <cell r="J485">
            <v>20</v>
          </cell>
          <cell r="K485">
            <v>1</v>
          </cell>
          <cell r="Q485">
            <v>3</v>
          </cell>
          <cell r="R485">
            <v>3</v>
          </cell>
          <cell r="S485">
            <v>9</v>
          </cell>
          <cell r="X485" t="str">
            <v xml:space="preserve">Dépenses diverses </v>
          </cell>
          <cell r="AB485">
            <v>3891330</v>
          </cell>
          <cell r="AC485">
            <v>3891330</v>
          </cell>
        </row>
        <row r="486">
          <cell r="A486">
            <v>12464</v>
          </cell>
          <cell r="B486">
            <v>1</v>
          </cell>
          <cell r="J486">
            <v>20</v>
          </cell>
          <cell r="K486">
            <v>1</v>
          </cell>
          <cell r="N486">
            <v>1</v>
          </cell>
          <cell r="Q486">
            <v>3</v>
          </cell>
          <cell r="R486">
            <v>3</v>
          </cell>
          <cell r="S486">
            <v>9</v>
          </cell>
          <cell r="X486" t="str">
            <v>Services centraux</v>
          </cell>
          <cell r="AB486">
            <v>722950</v>
          </cell>
          <cell r="AC486">
            <v>722950</v>
          </cell>
        </row>
        <row r="487">
          <cell r="A487">
            <v>2939</v>
          </cell>
          <cell r="B487">
            <v>1</v>
          </cell>
          <cell r="C487">
            <v>1</v>
          </cell>
          <cell r="E487" t="str">
            <v>20</v>
          </cell>
          <cell r="F487">
            <v>35120100700</v>
          </cell>
          <cell r="G487">
            <v>3</v>
          </cell>
          <cell r="H487" t="str">
            <v>39</v>
          </cell>
          <cell r="I487">
            <v>90</v>
          </cell>
          <cell r="J487">
            <v>20</v>
          </cell>
          <cell r="K487">
            <v>1</v>
          </cell>
          <cell r="L487">
            <v>35</v>
          </cell>
          <cell r="M487">
            <v>120</v>
          </cell>
          <cell r="N487">
            <v>1</v>
          </cell>
          <cell r="O487" t="str">
            <v>00</v>
          </cell>
          <cell r="P487">
            <v>7</v>
          </cell>
          <cell r="Q487">
            <v>3</v>
          </cell>
          <cell r="R487">
            <v>3</v>
          </cell>
          <cell r="S487">
            <v>9</v>
          </cell>
          <cell r="T487">
            <v>90</v>
          </cell>
          <cell r="U487">
            <v>93</v>
          </cell>
          <cell r="V487">
            <v>1</v>
          </cell>
          <cell r="X487" t="str">
            <v>Cabinet du MERS</v>
          </cell>
          <cell r="Y487" t="str">
            <v>P5</v>
          </cell>
          <cell r="Z487" t="str">
            <v>Serv.centr.</v>
          </cell>
          <cell r="AA487" t="str">
            <v>Dépenses diverses non ventilées</v>
          </cell>
          <cell r="AB487">
            <v>0</v>
          </cell>
          <cell r="AC487">
            <v>0</v>
          </cell>
        </row>
        <row r="488">
          <cell r="A488">
            <v>3000</v>
          </cell>
          <cell r="B488">
            <v>1</v>
          </cell>
          <cell r="C488">
            <v>1</v>
          </cell>
          <cell r="E488" t="str">
            <v>20</v>
          </cell>
          <cell r="F488">
            <v>42101100700</v>
          </cell>
          <cell r="G488">
            <v>3</v>
          </cell>
          <cell r="H488" t="str">
            <v>39</v>
          </cell>
          <cell r="I488">
            <v>90</v>
          </cell>
          <cell r="J488">
            <v>20</v>
          </cell>
          <cell r="K488">
            <v>1</v>
          </cell>
          <cell r="L488">
            <v>42</v>
          </cell>
          <cell r="M488">
            <v>101</v>
          </cell>
          <cell r="N488">
            <v>1</v>
          </cell>
          <cell r="O488" t="str">
            <v>00</v>
          </cell>
          <cell r="P488">
            <v>7</v>
          </cell>
          <cell r="Q488">
            <v>3</v>
          </cell>
          <cell r="R488">
            <v>3</v>
          </cell>
          <cell r="S488">
            <v>9</v>
          </cell>
          <cell r="T488">
            <v>90</v>
          </cell>
          <cell r="U488">
            <v>93</v>
          </cell>
          <cell r="V488">
            <v>1</v>
          </cell>
          <cell r="X488" t="str">
            <v xml:space="preserve">Direction Nationale Enseignement Elémentaire </v>
          </cell>
          <cell r="Y488" t="str">
            <v>P5</v>
          </cell>
          <cell r="Z488" t="str">
            <v>Serv.centr.</v>
          </cell>
          <cell r="AA488" t="str">
            <v>Dépenses diverses non ventilées</v>
          </cell>
          <cell r="AB488">
            <v>0</v>
          </cell>
          <cell r="AC488">
            <v>0</v>
          </cell>
        </row>
        <row r="489">
          <cell r="A489">
            <v>3061</v>
          </cell>
          <cell r="B489">
            <v>1</v>
          </cell>
          <cell r="C489">
            <v>1</v>
          </cell>
          <cell r="E489" t="str">
            <v>20</v>
          </cell>
          <cell r="F489">
            <v>43101100700</v>
          </cell>
          <cell r="G489">
            <v>3</v>
          </cell>
          <cell r="H489" t="str">
            <v>39</v>
          </cell>
          <cell r="I489">
            <v>90</v>
          </cell>
          <cell r="J489">
            <v>20</v>
          </cell>
          <cell r="K489">
            <v>1</v>
          </cell>
          <cell r="L489">
            <v>43</v>
          </cell>
          <cell r="M489">
            <v>101</v>
          </cell>
          <cell r="N489">
            <v>1</v>
          </cell>
          <cell r="O489" t="str">
            <v>00</v>
          </cell>
          <cell r="P489">
            <v>7</v>
          </cell>
          <cell r="Q489">
            <v>3</v>
          </cell>
          <cell r="R489">
            <v>3</v>
          </cell>
          <cell r="S489">
            <v>9</v>
          </cell>
          <cell r="T489">
            <v>90</v>
          </cell>
          <cell r="U489">
            <v>93</v>
          </cell>
          <cell r="V489">
            <v>1</v>
          </cell>
          <cell r="X489" t="str">
            <v xml:space="preserve">Direction Nationale Enseignement Secondaire </v>
          </cell>
          <cell r="Y489" t="str">
            <v>P5</v>
          </cell>
          <cell r="Z489" t="str">
            <v>Serv.centr.</v>
          </cell>
          <cell r="AA489" t="str">
            <v>Dépenses diverses n vent</v>
          </cell>
          <cell r="AB489">
            <v>0</v>
          </cell>
          <cell r="AC489">
            <v>0</v>
          </cell>
        </row>
        <row r="490">
          <cell r="A490">
            <v>4875</v>
          </cell>
          <cell r="B490">
            <v>1</v>
          </cell>
          <cell r="C490">
            <v>1</v>
          </cell>
          <cell r="E490" t="str">
            <v>20</v>
          </cell>
          <cell r="F490">
            <v>44101100700</v>
          </cell>
          <cell r="G490">
            <v>3</v>
          </cell>
          <cell r="H490" t="str">
            <v>39</v>
          </cell>
          <cell r="I490">
            <v>90</v>
          </cell>
          <cell r="J490">
            <v>20</v>
          </cell>
          <cell r="K490">
            <v>1</v>
          </cell>
          <cell r="L490">
            <v>44</v>
          </cell>
          <cell r="M490">
            <v>101</v>
          </cell>
          <cell r="N490">
            <v>1</v>
          </cell>
          <cell r="O490" t="str">
            <v>00</v>
          </cell>
          <cell r="P490">
            <v>7</v>
          </cell>
          <cell r="Q490">
            <v>3</v>
          </cell>
          <cell r="R490">
            <v>3</v>
          </cell>
          <cell r="S490">
            <v>9</v>
          </cell>
          <cell r="T490">
            <v>90</v>
          </cell>
          <cell r="U490">
            <v>96</v>
          </cell>
          <cell r="V490">
            <v>1</v>
          </cell>
          <cell r="X490" t="str">
            <v>DNDPPE Dir nat dévelop pédagogique &amp; programmes d'enseignement</v>
          </cell>
          <cell r="Y490" t="str">
            <v>P5</v>
          </cell>
          <cell r="Z490" t="str">
            <v>Serv.cent.</v>
          </cell>
          <cell r="AA490" t="str">
            <v>Dépenses diverses n vent</v>
          </cell>
          <cell r="AB490">
            <v>0</v>
          </cell>
          <cell r="AC490">
            <v>0</v>
          </cell>
        </row>
        <row r="491">
          <cell r="A491">
            <v>4879</v>
          </cell>
          <cell r="B491">
            <v>1</v>
          </cell>
          <cell r="C491">
            <v>1</v>
          </cell>
          <cell r="E491" t="str">
            <v>20</v>
          </cell>
          <cell r="F491">
            <v>44102100700</v>
          </cell>
          <cell r="G491">
            <v>3</v>
          </cell>
          <cell r="H491" t="str">
            <v>39</v>
          </cell>
          <cell r="I491">
            <v>90</v>
          </cell>
          <cell r="J491">
            <v>20</v>
          </cell>
          <cell r="K491">
            <v>1</v>
          </cell>
          <cell r="L491">
            <v>44</v>
          </cell>
          <cell r="M491">
            <v>102</v>
          </cell>
          <cell r="N491">
            <v>1</v>
          </cell>
          <cell r="O491" t="str">
            <v>00</v>
          </cell>
          <cell r="P491">
            <v>7</v>
          </cell>
          <cell r="Q491">
            <v>3</v>
          </cell>
          <cell r="R491">
            <v>3</v>
          </cell>
          <cell r="S491">
            <v>9</v>
          </cell>
          <cell r="T491">
            <v>90</v>
          </cell>
          <cell r="U491">
            <v>96</v>
          </cell>
          <cell r="V491">
            <v>1</v>
          </cell>
          <cell r="X491" t="str">
            <v>DNFPP Dir Nat Formation &amp; perfectionnement des presonnels</v>
          </cell>
          <cell r="Y491" t="str">
            <v>P5</v>
          </cell>
          <cell r="Z491" t="str">
            <v>Serv.cent.</v>
          </cell>
          <cell r="AA491" t="str">
            <v>Dépenses diverses n vent</v>
          </cell>
          <cell r="AB491">
            <v>0</v>
          </cell>
          <cell r="AC491">
            <v>0</v>
          </cell>
        </row>
        <row r="492">
          <cell r="A492">
            <v>4917</v>
          </cell>
          <cell r="B492">
            <v>1</v>
          </cell>
          <cell r="C492">
            <v>1</v>
          </cell>
          <cell r="E492" t="str">
            <v>20</v>
          </cell>
          <cell r="F492">
            <v>44505100700</v>
          </cell>
          <cell r="G492">
            <v>3</v>
          </cell>
          <cell r="H492" t="str">
            <v>39</v>
          </cell>
          <cell r="I492">
            <v>90</v>
          </cell>
          <cell r="J492">
            <v>20</v>
          </cell>
          <cell r="K492">
            <v>1</v>
          </cell>
          <cell r="L492">
            <v>44</v>
          </cell>
          <cell r="M492">
            <v>505</v>
          </cell>
          <cell r="N492">
            <v>1</v>
          </cell>
          <cell r="O492" t="str">
            <v>00</v>
          </cell>
          <cell r="P492">
            <v>7</v>
          </cell>
          <cell r="Q492">
            <v>3</v>
          </cell>
          <cell r="R492">
            <v>3</v>
          </cell>
          <cell r="S492">
            <v>9</v>
          </cell>
          <cell r="T492">
            <v>90</v>
          </cell>
          <cell r="U492">
            <v>96</v>
          </cell>
          <cell r="V492">
            <v>1</v>
          </cell>
          <cell r="X492" t="str">
            <v>SNIEM Serv nat Infrastructures Equipement &amp; Maintenance</v>
          </cell>
          <cell r="Y492" t="str">
            <v>P5</v>
          </cell>
          <cell r="Z492" t="str">
            <v>Serv.cent.</v>
          </cell>
          <cell r="AA492" t="str">
            <v>Dépenses diverses n vent</v>
          </cell>
          <cell r="AB492">
            <v>3160</v>
          </cell>
          <cell r="AC492">
            <v>3160</v>
          </cell>
        </row>
        <row r="493">
          <cell r="A493">
            <v>4923</v>
          </cell>
          <cell r="B493">
            <v>1</v>
          </cell>
          <cell r="C493">
            <v>1</v>
          </cell>
          <cell r="E493" t="str">
            <v>20</v>
          </cell>
          <cell r="F493">
            <v>44507100700</v>
          </cell>
          <cell r="G493">
            <v>3</v>
          </cell>
          <cell r="H493" t="str">
            <v>39</v>
          </cell>
          <cell r="I493">
            <v>90</v>
          </cell>
          <cell r="J493">
            <v>20</v>
          </cell>
          <cell r="K493">
            <v>1</v>
          </cell>
          <cell r="L493">
            <v>44</v>
          </cell>
          <cell r="M493">
            <v>507</v>
          </cell>
          <cell r="N493">
            <v>1</v>
          </cell>
          <cell r="O493" t="str">
            <v>00</v>
          </cell>
          <cell r="P493">
            <v>7</v>
          </cell>
          <cell r="Q493">
            <v>3</v>
          </cell>
          <cell r="R493">
            <v>3</v>
          </cell>
          <cell r="S493">
            <v>9</v>
          </cell>
          <cell r="T493">
            <v>90</v>
          </cell>
          <cell r="U493">
            <v>96</v>
          </cell>
          <cell r="V493">
            <v>1</v>
          </cell>
          <cell r="X493" t="str">
            <v>Comité d'éthique</v>
          </cell>
          <cell r="Y493" t="str">
            <v>P5</v>
          </cell>
          <cell r="Z493" t="str">
            <v>Serv.cent.</v>
          </cell>
          <cell r="AA493" t="str">
            <v>Dépenses diverses n vent</v>
          </cell>
          <cell r="AB493">
            <v>42080</v>
          </cell>
          <cell r="AC493">
            <v>42080</v>
          </cell>
        </row>
        <row r="494">
          <cell r="A494">
            <v>4928</v>
          </cell>
          <cell r="B494">
            <v>1</v>
          </cell>
          <cell r="C494">
            <v>1</v>
          </cell>
          <cell r="E494" t="str">
            <v>20</v>
          </cell>
          <cell r="F494">
            <v>44508100700</v>
          </cell>
          <cell r="G494">
            <v>3</v>
          </cell>
          <cell r="H494" t="str">
            <v>39</v>
          </cell>
          <cell r="I494">
            <v>90</v>
          </cell>
          <cell r="J494">
            <v>20</v>
          </cell>
          <cell r="K494">
            <v>1</v>
          </cell>
          <cell r="L494">
            <v>44</v>
          </cell>
          <cell r="M494">
            <v>508</v>
          </cell>
          <cell r="N494">
            <v>1</v>
          </cell>
          <cell r="O494" t="str">
            <v>00</v>
          </cell>
          <cell r="P494">
            <v>7</v>
          </cell>
          <cell r="Q494">
            <v>3</v>
          </cell>
          <cell r="R494">
            <v>3</v>
          </cell>
          <cell r="S494">
            <v>9</v>
          </cell>
          <cell r="T494">
            <v>90</v>
          </cell>
          <cell r="U494">
            <v>96</v>
          </cell>
          <cell r="V494">
            <v>1</v>
          </cell>
          <cell r="X494" t="str">
            <v>Cogetep  &amp; CLD</v>
          </cell>
          <cell r="Y494" t="str">
            <v>P5</v>
          </cell>
          <cell r="Z494" t="str">
            <v>Serv.Cent</v>
          </cell>
          <cell r="AA494" t="str">
            <v>Dépenses diverses n vent</v>
          </cell>
          <cell r="AB494">
            <v>0</v>
          </cell>
          <cell r="AC494">
            <v>0</v>
          </cell>
        </row>
        <row r="495">
          <cell r="A495">
            <v>4941</v>
          </cell>
          <cell r="B495">
            <v>1</v>
          </cell>
          <cell r="C495">
            <v>1</v>
          </cell>
          <cell r="E495" t="str">
            <v>20</v>
          </cell>
          <cell r="F495">
            <v>44900100700</v>
          </cell>
          <cell r="G495">
            <v>3</v>
          </cell>
          <cell r="H495" t="str">
            <v>39</v>
          </cell>
          <cell r="I495">
            <v>90</v>
          </cell>
          <cell r="J495">
            <v>20</v>
          </cell>
          <cell r="K495">
            <v>1</v>
          </cell>
          <cell r="L495">
            <v>44</v>
          </cell>
          <cell r="M495">
            <v>900</v>
          </cell>
          <cell r="N495">
            <v>1</v>
          </cell>
          <cell r="O495" t="str">
            <v>00</v>
          </cell>
          <cell r="P495">
            <v>7</v>
          </cell>
          <cell r="Q495">
            <v>3</v>
          </cell>
          <cell r="R495">
            <v>3</v>
          </cell>
          <cell r="S495">
            <v>9</v>
          </cell>
          <cell r="T495">
            <v>90</v>
          </cell>
          <cell r="U495">
            <v>96</v>
          </cell>
          <cell r="V495">
            <v>1</v>
          </cell>
          <cell r="X495" t="str">
            <v>Enseign. Technique Autres serv centraux</v>
          </cell>
          <cell r="Y495" t="str">
            <v>P5</v>
          </cell>
          <cell r="Z495" t="str">
            <v>Serv.cent.</v>
          </cell>
          <cell r="AA495" t="str">
            <v>Dépenses diverses n vent</v>
          </cell>
          <cell r="AB495">
            <v>0</v>
          </cell>
          <cell r="AC495">
            <v>0</v>
          </cell>
        </row>
        <row r="496">
          <cell r="A496">
            <v>3123</v>
          </cell>
          <cell r="B496">
            <v>1</v>
          </cell>
          <cell r="C496">
            <v>1</v>
          </cell>
          <cell r="E496" t="str">
            <v>20</v>
          </cell>
          <cell r="F496">
            <v>49151100700</v>
          </cell>
          <cell r="G496">
            <v>3</v>
          </cell>
          <cell r="H496" t="str">
            <v>39</v>
          </cell>
          <cell r="I496">
            <v>90</v>
          </cell>
          <cell r="J496">
            <v>20</v>
          </cell>
          <cell r="K496">
            <v>1</v>
          </cell>
          <cell r="L496">
            <v>49</v>
          </cell>
          <cell r="M496">
            <v>151</v>
          </cell>
          <cell r="N496">
            <v>1</v>
          </cell>
          <cell r="O496" t="str">
            <v>00</v>
          </cell>
          <cell r="P496">
            <v>7</v>
          </cell>
          <cell r="Q496">
            <v>3</v>
          </cell>
          <cell r="R496">
            <v>3</v>
          </cell>
          <cell r="S496">
            <v>9</v>
          </cell>
          <cell r="T496">
            <v>90</v>
          </cell>
          <cell r="U496">
            <v>93</v>
          </cell>
          <cell r="V496">
            <v>1</v>
          </cell>
          <cell r="X496" t="str">
            <v>Direction Nationale Education civique</v>
          </cell>
          <cell r="Y496" t="str">
            <v>P5</v>
          </cell>
          <cell r="Z496" t="str">
            <v>Serv.centr.</v>
          </cell>
          <cell r="AA496" t="str">
            <v>Dépenses diverses n vent</v>
          </cell>
          <cell r="AB496">
            <v>0</v>
          </cell>
          <cell r="AC496">
            <v>0</v>
          </cell>
        </row>
        <row r="497">
          <cell r="A497">
            <v>3125</v>
          </cell>
          <cell r="B497">
            <v>1</v>
          </cell>
          <cell r="C497">
            <v>1</v>
          </cell>
          <cell r="E497" t="str">
            <v>20</v>
          </cell>
          <cell r="F497">
            <v>49152100700</v>
          </cell>
          <cell r="G497">
            <v>3</v>
          </cell>
          <cell r="H497" t="str">
            <v>39</v>
          </cell>
          <cell r="I497">
            <v>90</v>
          </cell>
          <cell r="J497">
            <v>20</v>
          </cell>
          <cell r="K497">
            <v>1</v>
          </cell>
          <cell r="L497">
            <v>49</v>
          </cell>
          <cell r="M497">
            <v>152</v>
          </cell>
          <cell r="N497">
            <v>1</v>
          </cell>
          <cell r="O497" t="str">
            <v>00</v>
          </cell>
          <cell r="P497">
            <v>7</v>
          </cell>
          <cell r="Q497">
            <v>3</v>
          </cell>
          <cell r="R497">
            <v>3</v>
          </cell>
          <cell r="S497">
            <v>9</v>
          </cell>
          <cell r="T497">
            <v>90</v>
          </cell>
          <cell r="U497">
            <v>93</v>
          </cell>
          <cell r="V497">
            <v>1</v>
          </cell>
          <cell r="X497" t="str">
            <v>Direction Nationale de l'Enseignement Privé</v>
          </cell>
          <cell r="Y497" t="str">
            <v>P5</v>
          </cell>
          <cell r="Z497" t="str">
            <v>Serv.centr.</v>
          </cell>
          <cell r="AA497" t="str">
            <v>Dépenses diverses n vent</v>
          </cell>
          <cell r="AB497">
            <v>576170</v>
          </cell>
          <cell r="AC497">
            <v>576170</v>
          </cell>
        </row>
        <row r="498">
          <cell r="A498">
            <v>3127</v>
          </cell>
          <cell r="B498">
            <v>1</v>
          </cell>
          <cell r="C498">
            <v>1</v>
          </cell>
          <cell r="E498" t="str">
            <v>20</v>
          </cell>
          <cell r="F498">
            <v>49301100700</v>
          </cell>
          <cell r="G498">
            <v>3</v>
          </cell>
          <cell r="H498" t="str">
            <v>39</v>
          </cell>
          <cell r="I498">
            <v>90</v>
          </cell>
          <cell r="J498">
            <v>20</v>
          </cell>
          <cell r="K498">
            <v>1</v>
          </cell>
          <cell r="L498">
            <v>49</v>
          </cell>
          <cell r="M498">
            <v>301</v>
          </cell>
          <cell r="N498">
            <v>1</v>
          </cell>
          <cell r="O498" t="str">
            <v>00</v>
          </cell>
          <cell r="P498">
            <v>7</v>
          </cell>
          <cell r="Q498">
            <v>3</v>
          </cell>
          <cell r="R498">
            <v>3</v>
          </cell>
          <cell r="S498">
            <v>9</v>
          </cell>
          <cell r="T498">
            <v>90</v>
          </cell>
          <cell r="U498">
            <v>93</v>
          </cell>
          <cell r="V498">
            <v>1</v>
          </cell>
          <cell r="X498" t="str">
            <v>Inspection Générale de l'Enseignement</v>
          </cell>
          <cell r="Y498" t="str">
            <v>P5</v>
          </cell>
          <cell r="Z498" t="str">
            <v>Serv.centr.</v>
          </cell>
          <cell r="AA498" t="str">
            <v>Dépenses diverses n vent</v>
          </cell>
          <cell r="AB498">
            <v>0</v>
          </cell>
          <cell r="AC498">
            <v>0</v>
          </cell>
        </row>
        <row r="499">
          <cell r="A499">
            <v>3129</v>
          </cell>
          <cell r="B499">
            <v>1</v>
          </cell>
          <cell r="C499">
            <v>1</v>
          </cell>
          <cell r="E499" t="str">
            <v>20</v>
          </cell>
          <cell r="F499">
            <v>49501100700</v>
          </cell>
          <cell r="G499">
            <v>3</v>
          </cell>
          <cell r="H499" t="str">
            <v>39</v>
          </cell>
          <cell r="I499">
            <v>90</v>
          </cell>
          <cell r="J499">
            <v>20</v>
          </cell>
          <cell r="K499">
            <v>1</v>
          </cell>
          <cell r="L499">
            <v>49</v>
          </cell>
          <cell r="M499">
            <v>501</v>
          </cell>
          <cell r="N499">
            <v>1</v>
          </cell>
          <cell r="O499" t="str">
            <v>00</v>
          </cell>
          <cell r="P499">
            <v>7</v>
          </cell>
          <cell r="Q499">
            <v>3</v>
          </cell>
          <cell r="R499">
            <v>3</v>
          </cell>
          <cell r="S499">
            <v>9</v>
          </cell>
          <cell r="T499">
            <v>90</v>
          </cell>
          <cell r="U499">
            <v>93</v>
          </cell>
          <cell r="V499">
            <v>1</v>
          </cell>
          <cell r="X499" t="str">
            <v>CONEBAT (Serv gestion écoles seconde chance)</v>
          </cell>
          <cell r="Y499" t="str">
            <v>P5</v>
          </cell>
          <cell r="Z499" t="str">
            <v>Serv.centr.</v>
          </cell>
          <cell r="AA499" t="str">
            <v>Dépenses diverses n vent</v>
          </cell>
          <cell r="AB499">
            <v>0</v>
          </cell>
          <cell r="AC499">
            <v>0</v>
          </cell>
        </row>
        <row r="500">
          <cell r="A500">
            <v>3131</v>
          </cell>
          <cell r="B500">
            <v>1</v>
          </cell>
          <cell r="C500">
            <v>1</v>
          </cell>
          <cell r="E500" t="str">
            <v>20</v>
          </cell>
          <cell r="F500">
            <v>49502100700</v>
          </cell>
          <cell r="G500">
            <v>3</v>
          </cell>
          <cell r="H500" t="str">
            <v>39</v>
          </cell>
          <cell r="I500">
            <v>90</v>
          </cell>
          <cell r="J500">
            <v>20</v>
          </cell>
          <cell r="K500">
            <v>1</v>
          </cell>
          <cell r="L500">
            <v>49</v>
          </cell>
          <cell r="M500">
            <v>502</v>
          </cell>
          <cell r="N500">
            <v>1</v>
          </cell>
          <cell r="O500" t="str">
            <v>00</v>
          </cell>
          <cell r="P500">
            <v>7</v>
          </cell>
          <cell r="Q500">
            <v>3</v>
          </cell>
          <cell r="R500">
            <v>3</v>
          </cell>
          <cell r="S500">
            <v>9</v>
          </cell>
          <cell r="T500">
            <v>90</v>
          </cell>
          <cell r="U500">
            <v>93</v>
          </cell>
          <cell r="V500">
            <v>1</v>
          </cell>
          <cell r="X500" t="str">
            <v xml:space="preserve">Institut National Recherche Appliquée </v>
          </cell>
          <cell r="Y500" t="str">
            <v>P5</v>
          </cell>
          <cell r="Z500" t="str">
            <v>Serv.centr.</v>
          </cell>
          <cell r="AA500" t="str">
            <v>Dépenses diverses n vent</v>
          </cell>
          <cell r="AB500">
            <v>0</v>
          </cell>
          <cell r="AC500">
            <v>0</v>
          </cell>
        </row>
        <row r="501">
          <cell r="A501">
            <v>3133</v>
          </cell>
          <cell r="B501">
            <v>1</v>
          </cell>
          <cell r="C501">
            <v>1</v>
          </cell>
          <cell r="E501" t="str">
            <v>20</v>
          </cell>
          <cell r="F501">
            <v>49503100700</v>
          </cell>
          <cell r="G501">
            <v>3</v>
          </cell>
          <cell r="H501" t="str">
            <v>39</v>
          </cell>
          <cell r="I501">
            <v>90</v>
          </cell>
          <cell r="J501">
            <v>20</v>
          </cell>
          <cell r="K501">
            <v>1</v>
          </cell>
          <cell r="L501">
            <v>49</v>
          </cell>
          <cell r="M501">
            <v>503</v>
          </cell>
          <cell r="N501">
            <v>1</v>
          </cell>
          <cell r="O501" t="str">
            <v>00</v>
          </cell>
          <cell r="P501">
            <v>7</v>
          </cell>
          <cell r="Q501">
            <v>3</v>
          </cell>
          <cell r="R501">
            <v>3</v>
          </cell>
          <cell r="S501">
            <v>9</v>
          </cell>
          <cell r="T501">
            <v>90</v>
          </cell>
          <cell r="U501">
            <v>93</v>
          </cell>
          <cell r="V501">
            <v>1</v>
          </cell>
          <cell r="X501" t="str">
            <v>Service National Alphabétisation</v>
          </cell>
          <cell r="Y501" t="str">
            <v>P5</v>
          </cell>
          <cell r="Z501" t="str">
            <v>Serv.centr.</v>
          </cell>
          <cell r="AA501" t="str">
            <v>Dépenses diverses n vent</v>
          </cell>
          <cell r="AB501">
            <v>0</v>
          </cell>
          <cell r="AC501">
            <v>0</v>
          </cell>
        </row>
        <row r="502">
          <cell r="A502">
            <v>3135</v>
          </cell>
          <cell r="B502">
            <v>1</v>
          </cell>
          <cell r="C502">
            <v>1</v>
          </cell>
          <cell r="E502" t="str">
            <v>20</v>
          </cell>
          <cell r="F502">
            <v>49504100700</v>
          </cell>
          <cell r="G502">
            <v>3</v>
          </cell>
          <cell r="H502" t="str">
            <v>39</v>
          </cell>
          <cell r="I502">
            <v>90</v>
          </cell>
          <cell r="J502">
            <v>20</v>
          </cell>
          <cell r="K502">
            <v>1</v>
          </cell>
          <cell r="L502">
            <v>49</v>
          </cell>
          <cell r="M502">
            <v>504</v>
          </cell>
          <cell r="N502">
            <v>1</v>
          </cell>
          <cell r="O502" t="str">
            <v>00</v>
          </cell>
          <cell r="P502">
            <v>7</v>
          </cell>
          <cell r="Q502">
            <v>3</v>
          </cell>
          <cell r="R502">
            <v>3</v>
          </cell>
          <cell r="S502">
            <v>9</v>
          </cell>
          <cell r="T502">
            <v>90</v>
          </cell>
          <cell r="U502">
            <v>93</v>
          </cell>
          <cell r="V502">
            <v>1</v>
          </cell>
          <cell r="X502" t="str">
            <v>Service National Infrastuctures Equipements Scolaires</v>
          </cell>
          <cell r="Y502" t="str">
            <v>P5</v>
          </cell>
          <cell r="Z502" t="str">
            <v>Serv.centr.</v>
          </cell>
          <cell r="AA502" t="str">
            <v>Dépenses diverses n vent</v>
          </cell>
          <cell r="AB502">
            <v>0</v>
          </cell>
          <cell r="AC502">
            <v>0</v>
          </cell>
        </row>
        <row r="503">
          <cell r="A503">
            <v>3137</v>
          </cell>
          <cell r="B503">
            <v>1</v>
          </cell>
          <cell r="C503">
            <v>1</v>
          </cell>
          <cell r="E503" t="str">
            <v>20</v>
          </cell>
          <cell r="F503">
            <v>49505100700</v>
          </cell>
          <cell r="G503">
            <v>3</v>
          </cell>
          <cell r="H503" t="str">
            <v>39</v>
          </cell>
          <cell r="I503">
            <v>90</v>
          </cell>
          <cell r="J503">
            <v>20</v>
          </cell>
          <cell r="K503">
            <v>1</v>
          </cell>
          <cell r="L503">
            <v>49</v>
          </cell>
          <cell r="M503">
            <v>505</v>
          </cell>
          <cell r="N503">
            <v>1</v>
          </cell>
          <cell r="O503" t="str">
            <v>00</v>
          </cell>
          <cell r="P503">
            <v>7</v>
          </cell>
          <cell r="Q503">
            <v>3</v>
          </cell>
          <cell r="R503">
            <v>3</v>
          </cell>
          <cell r="S503">
            <v>9</v>
          </cell>
          <cell r="T503">
            <v>90</v>
          </cell>
          <cell r="U503">
            <v>93</v>
          </cell>
          <cell r="V503">
            <v>1</v>
          </cell>
          <cell r="X503" t="str">
            <v>Centre Informatique</v>
          </cell>
          <cell r="Y503" t="str">
            <v>P5</v>
          </cell>
          <cell r="Z503" t="str">
            <v>Serv.centr.</v>
          </cell>
          <cell r="AA503" t="str">
            <v>Dépenses diverses n vent</v>
          </cell>
          <cell r="AB503">
            <v>0</v>
          </cell>
          <cell r="AC503">
            <v>0</v>
          </cell>
        </row>
        <row r="504">
          <cell r="A504">
            <v>3139</v>
          </cell>
          <cell r="B504">
            <v>1</v>
          </cell>
          <cell r="C504">
            <v>1</v>
          </cell>
          <cell r="E504" t="str">
            <v>20</v>
          </cell>
          <cell r="F504">
            <v>49506100700</v>
          </cell>
          <cell r="G504">
            <v>3</v>
          </cell>
          <cell r="H504" t="str">
            <v>39</v>
          </cell>
          <cell r="I504">
            <v>90</v>
          </cell>
          <cell r="J504">
            <v>20</v>
          </cell>
          <cell r="K504">
            <v>1</v>
          </cell>
          <cell r="L504">
            <v>49</v>
          </cell>
          <cell r="M504">
            <v>506</v>
          </cell>
          <cell r="N504">
            <v>1</v>
          </cell>
          <cell r="O504" t="str">
            <v>00</v>
          </cell>
          <cell r="P504">
            <v>7</v>
          </cell>
          <cell r="Q504">
            <v>3</v>
          </cell>
          <cell r="R504">
            <v>3</v>
          </cell>
          <cell r="S504">
            <v>9</v>
          </cell>
          <cell r="T504">
            <v>90</v>
          </cell>
          <cell r="U504">
            <v>93</v>
          </cell>
          <cell r="V504">
            <v>1</v>
          </cell>
          <cell r="X504" t="str">
            <v>Centre de Perfectionnement linguistique</v>
          </cell>
          <cell r="Y504" t="str">
            <v>P5</v>
          </cell>
          <cell r="Z504" t="str">
            <v>Serv.centr.</v>
          </cell>
          <cell r="AA504" t="str">
            <v>Dépenses diverses n vent</v>
          </cell>
          <cell r="AB504">
            <v>0</v>
          </cell>
          <cell r="AC504">
            <v>0</v>
          </cell>
        </row>
        <row r="505">
          <cell r="A505">
            <v>3141</v>
          </cell>
          <cell r="B505">
            <v>1</v>
          </cell>
          <cell r="C505">
            <v>1</v>
          </cell>
          <cell r="E505" t="str">
            <v>20</v>
          </cell>
          <cell r="F505">
            <v>49507100700</v>
          </cell>
          <cell r="G505">
            <v>3</v>
          </cell>
          <cell r="H505" t="str">
            <v>39</v>
          </cell>
          <cell r="I505">
            <v>90</v>
          </cell>
          <cell r="J505">
            <v>20</v>
          </cell>
          <cell r="K505">
            <v>1</v>
          </cell>
          <cell r="L505">
            <v>49</v>
          </cell>
          <cell r="M505">
            <v>507</v>
          </cell>
          <cell r="N505">
            <v>1</v>
          </cell>
          <cell r="O505" t="str">
            <v>00</v>
          </cell>
          <cell r="P505">
            <v>7</v>
          </cell>
          <cell r="Q505">
            <v>3</v>
          </cell>
          <cell r="R505">
            <v>3</v>
          </cell>
          <cell r="S505">
            <v>9</v>
          </cell>
          <cell r="T505">
            <v>90</v>
          </cell>
          <cell r="U505">
            <v>93</v>
          </cell>
          <cell r="V505">
            <v>1</v>
          </cell>
          <cell r="X505" t="str">
            <v>Relations Extérieures et Transport</v>
          </cell>
          <cell r="Y505" t="str">
            <v>P5</v>
          </cell>
          <cell r="Z505" t="str">
            <v>Serv.centr.</v>
          </cell>
          <cell r="AA505" t="str">
            <v>Dépenses diverses n vent</v>
          </cell>
          <cell r="AB505">
            <v>0</v>
          </cell>
          <cell r="AC505">
            <v>0</v>
          </cell>
        </row>
        <row r="506">
          <cell r="A506">
            <v>3143</v>
          </cell>
          <cell r="B506">
            <v>1</v>
          </cell>
          <cell r="C506">
            <v>1</v>
          </cell>
          <cell r="E506" t="str">
            <v>20</v>
          </cell>
          <cell r="F506">
            <v>49508100700</v>
          </cell>
          <cell r="G506">
            <v>3</v>
          </cell>
          <cell r="H506" t="str">
            <v>39</v>
          </cell>
          <cell r="I506">
            <v>90</v>
          </cell>
          <cell r="J506">
            <v>20</v>
          </cell>
          <cell r="K506">
            <v>1</v>
          </cell>
          <cell r="L506">
            <v>49</v>
          </cell>
          <cell r="M506">
            <v>508</v>
          </cell>
          <cell r="N506">
            <v>1</v>
          </cell>
          <cell r="O506" t="str">
            <v>00</v>
          </cell>
          <cell r="P506">
            <v>7</v>
          </cell>
          <cell r="Q506">
            <v>3</v>
          </cell>
          <cell r="R506">
            <v>3</v>
          </cell>
          <cell r="S506">
            <v>9</v>
          </cell>
          <cell r="T506">
            <v>90</v>
          </cell>
          <cell r="U506">
            <v>93</v>
          </cell>
          <cell r="V506">
            <v>1</v>
          </cell>
          <cell r="X506" t="str">
            <v>Service Statistique Planification scolaire</v>
          </cell>
          <cell r="Y506" t="str">
            <v>P5</v>
          </cell>
          <cell r="Z506" t="str">
            <v>Serv.centr.</v>
          </cell>
          <cell r="AA506" t="str">
            <v>Dépenses diverses n vent</v>
          </cell>
          <cell r="AB506">
            <v>0</v>
          </cell>
          <cell r="AC506">
            <v>0</v>
          </cell>
        </row>
        <row r="507">
          <cell r="A507">
            <v>3145</v>
          </cell>
          <cell r="B507">
            <v>1</v>
          </cell>
          <cell r="C507">
            <v>1</v>
          </cell>
          <cell r="E507" t="str">
            <v>20</v>
          </cell>
          <cell r="F507">
            <v>49509100700</v>
          </cell>
          <cell r="G507">
            <v>3</v>
          </cell>
          <cell r="H507" t="str">
            <v>39</v>
          </cell>
          <cell r="I507">
            <v>90</v>
          </cell>
          <cell r="J507">
            <v>20</v>
          </cell>
          <cell r="K507">
            <v>1</v>
          </cell>
          <cell r="L507">
            <v>49</v>
          </cell>
          <cell r="M507">
            <v>509</v>
          </cell>
          <cell r="N507">
            <v>1</v>
          </cell>
          <cell r="O507" t="str">
            <v>00</v>
          </cell>
          <cell r="P507">
            <v>7</v>
          </cell>
          <cell r="Q507">
            <v>3</v>
          </cell>
          <cell r="R507">
            <v>3</v>
          </cell>
          <cell r="S507">
            <v>9</v>
          </cell>
          <cell r="T507">
            <v>90</v>
          </cell>
          <cell r="U507">
            <v>93</v>
          </cell>
          <cell r="V507">
            <v>1</v>
          </cell>
          <cell r="X507" t="str">
            <v>SINDA</v>
          </cell>
          <cell r="Y507" t="str">
            <v>P5</v>
          </cell>
          <cell r="Z507" t="str">
            <v>Serv.centr.</v>
          </cell>
          <cell r="AA507" t="str">
            <v>Dépenses diverses n vent</v>
          </cell>
          <cell r="AB507">
            <v>0</v>
          </cell>
          <cell r="AC507">
            <v>0</v>
          </cell>
        </row>
        <row r="508">
          <cell r="A508">
            <v>3147</v>
          </cell>
          <cell r="B508">
            <v>1</v>
          </cell>
          <cell r="C508">
            <v>1</v>
          </cell>
          <cell r="E508" t="str">
            <v>20</v>
          </cell>
          <cell r="F508">
            <v>49510100700</v>
          </cell>
          <cell r="G508">
            <v>3</v>
          </cell>
          <cell r="H508" t="str">
            <v>39</v>
          </cell>
          <cell r="I508">
            <v>90</v>
          </cell>
          <cell r="J508">
            <v>20</v>
          </cell>
          <cell r="K508">
            <v>1</v>
          </cell>
          <cell r="L508">
            <v>49</v>
          </cell>
          <cell r="M508">
            <v>510</v>
          </cell>
          <cell r="N508">
            <v>1</v>
          </cell>
          <cell r="O508" t="str">
            <v>00</v>
          </cell>
          <cell r="P508">
            <v>7</v>
          </cell>
          <cell r="Q508">
            <v>3</v>
          </cell>
          <cell r="R508">
            <v>3</v>
          </cell>
          <cell r="S508">
            <v>9</v>
          </cell>
          <cell r="T508">
            <v>90</v>
          </cell>
          <cell r="U508">
            <v>93</v>
          </cell>
          <cell r="V508">
            <v>1</v>
          </cell>
          <cell r="X508" t="str">
            <v>Coordination PASE/ ST- PASE</v>
          </cell>
          <cell r="Y508" t="str">
            <v>P5</v>
          </cell>
          <cell r="Z508" t="str">
            <v>Serv.centr.</v>
          </cell>
          <cell r="AA508" t="str">
            <v>Dépenses diverses n vent</v>
          </cell>
          <cell r="AB508">
            <v>0</v>
          </cell>
          <cell r="AC508">
            <v>0</v>
          </cell>
        </row>
        <row r="509">
          <cell r="A509">
            <v>3151</v>
          </cell>
          <cell r="B509">
            <v>1</v>
          </cell>
          <cell r="C509">
            <v>1</v>
          </cell>
          <cell r="E509" t="str">
            <v>20</v>
          </cell>
          <cell r="F509">
            <v>49512100700</v>
          </cell>
          <cell r="G509">
            <v>3</v>
          </cell>
          <cell r="H509" t="str">
            <v>39</v>
          </cell>
          <cell r="I509">
            <v>90</v>
          </cell>
          <cell r="J509">
            <v>20</v>
          </cell>
          <cell r="K509">
            <v>1</v>
          </cell>
          <cell r="L509">
            <v>49</v>
          </cell>
          <cell r="M509">
            <v>512</v>
          </cell>
          <cell r="N509">
            <v>1</v>
          </cell>
          <cell r="O509" t="str">
            <v>00</v>
          </cell>
          <cell r="P509">
            <v>7</v>
          </cell>
          <cell r="Q509">
            <v>3</v>
          </cell>
          <cell r="R509">
            <v>3</v>
          </cell>
          <cell r="S509">
            <v>9</v>
          </cell>
          <cell r="T509">
            <v>90</v>
          </cell>
          <cell r="U509">
            <v>93</v>
          </cell>
          <cell r="V509">
            <v>1</v>
          </cell>
          <cell r="X509" t="str">
            <v>Service Evaluation</v>
          </cell>
          <cell r="Y509" t="str">
            <v>P5</v>
          </cell>
          <cell r="Z509" t="str">
            <v>Serv.centr.</v>
          </cell>
          <cell r="AA509" t="str">
            <v>Dépenses diverses n vent</v>
          </cell>
          <cell r="AB509">
            <v>0</v>
          </cell>
          <cell r="AC509">
            <v>0</v>
          </cell>
        </row>
        <row r="510">
          <cell r="A510">
            <v>3153</v>
          </cell>
          <cell r="B510">
            <v>1</v>
          </cell>
          <cell r="C510">
            <v>1</v>
          </cell>
          <cell r="E510" t="str">
            <v>20</v>
          </cell>
          <cell r="F510">
            <v>49513100700</v>
          </cell>
          <cell r="G510">
            <v>3</v>
          </cell>
          <cell r="H510" t="str">
            <v>39</v>
          </cell>
          <cell r="I510">
            <v>90</v>
          </cell>
          <cell r="J510">
            <v>20</v>
          </cell>
          <cell r="K510">
            <v>1</v>
          </cell>
          <cell r="L510">
            <v>49</v>
          </cell>
          <cell r="M510">
            <v>513</v>
          </cell>
          <cell r="N510">
            <v>1</v>
          </cell>
          <cell r="O510" t="str">
            <v>00</v>
          </cell>
          <cell r="P510">
            <v>7</v>
          </cell>
          <cell r="Q510">
            <v>3</v>
          </cell>
          <cell r="R510">
            <v>3</v>
          </cell>
          <cell r="S510">
            <v>9</v>
          </cell>
          <cell r="T510">
            <v>90</v>
          </cell>
          <cell r="U510">
            <v>93</v>
          </cell>
          <cell r="V510">
            <v>1</v>
          </cell>
          <cell r="X510" t="str">
            <v>Service Examen Contrôle Scolaire</v>
          </cell>
          <cell r="Y510" t="str">
            <v>P5</v>
          </cell>
          <cell r="Z510" t="str">
            <v>Serv.centr.</v>
          </cell>
          <cell r="AA510" t="str">
            <v>Dépenses diverses n vent</v>
          </cell>
          <cell r="AB510">
            <v>0</v>
          </cell>
          <cell r="AC510">
            <v>0</v>
          </cell>
        </row>
        <row r="511">
          <cell r="A511">
            <v>3155</v>
          </cell>
          <cell r="B511">
            <v>1</v>
          </cell>
          <cell r="C511">
            <v>1</v>
          </cell>
          <cell r="E511" t="str">
            <v>20</v>
          </cell>
          <cell r="F511">
            <v>49514100700</v>
          </cell>
          <cell r="G511">
            <v>3</v>
          </cell>
          <cell r="H511" t="str">
            <v>39</v>
          </cell>
          <cell r="I511">
            <v>90</v>
          </cell>
          <cell r="J511">
            <v>20</v>
          </cell>
          <cell r="K511">
            <v>1</v>
          </cell>
          <cell r="L511">
            <v>49</v>
          </cell>
          <cell r="M511">
            <v>514</v>
          </cell>
          <cell r="N511">
            <v>1</v>
          </cell>
          <cell r="O511" t="str">
            <v>00</v>
          </cell>
          <cell r="P511">
            <v>7</v>
          </cell>
          <cell r="Q511">
            <v>3</v>
          </cell>
          <cell r="R511">
            <v>3</v>
          </cell>
          <cell r="S511">
            <v>9</v>
          </cell>
          <cell r="T511">
            <v>90</v>
          </cell>
          <cell r="U511">
            <v>93</v>
          </cell>
          <cell r="V511">
            <v>1</v>
          </cell>
          <cell r="X511" t="str">
            <v xml:space="preserve">Imprimerie de l'Education  </v>
          </cell>
          <cell r="Y511" t="str">
            <v>P5</v>
          </cell>
          <cell r="Z511" t="str">
            <v>Serv.centr.</v>
          </cell>
          <cell r="AA511" t="str">
            <v>Dépenses diverses n vent</v>
          </cell>
          <cell r="AB511">
            <v>0</v>
          </cell>
          <cell r="AC511">
            <v>0</v>
          </cell>
        </row>
        <row r="512">
          <cell r="A512">
            <v>3157</v>
          </cell>
          <cell r="B512">
            <v>1</v>
          </cell>
          <cell r="C512">
            <v>1</v>
          </cell>
          <cell r="E512" t="str">
            <v>20</v>
          </cell>
          <cell r="F512">
            <v>49515100700</v>
          </cell>
          <cell r="G512">
            <v>3</v>
          </cell>
          <cell r="H512" t="str">
            <v>39</v>
          </cell>
          <cell r="I512">
            <v>90</v>
          </cell>
          <cell r="J512">
            <v>20</v>
          </cell>
          <cell r="K512">
            <v>1</v>
          </cell>
          <cell r="L512">
            <v>49</v>
          </cell>
          <cell r="M512">
            <v>515</v>
          </cell>
          <cell r="N512">
            <v>1</v>
          </cell>
          <cell r="O512" t="str">
            <v>00</v>
          </cell>
          <cell r="P512">
            <v>7</v>
          </cell>
          <cell r="Q512">
            <v>3</v>
          </cell>
          <cell r="R512">
            <v>3</v>
          </cell>
          <cell r="S512">
            <v>9</v>
          </cell>
          <cell r="T512">
            <v>90</v>
          </cell>
          <cell r="U512">
            <v>93</v>
          </cell>
          <cell r="V512">
            <v>1</v>
          </cell>
          <cell r="X512" t="str">
            <v>Comité d'Equité  CE / NFQE</v>
          </cell>
          <cell r="Y512" t="str">
            <v>P5</v>
          </cell>
          <cell r="Z512" t="str">
            <v>Serv.centr.</v>
          </cell>
          <cell r="AA512" t="str">
            <v>Dépenses diverses n vent</v>
          </cell>
          <cell r="AB512">
            <v>0</v>
          </cell>
          <cell r="AC512">
            <v>0</v>
          </cell>
        </row>
        <row r="513">
          <cell r="A513">
            <v>3159</v>
          </cell>
          <cell r="B513">
            <v>1</v>
          </cell>
          <cell r="C513">
            <v>1</v>
          </cell>
          <cell r="E513" t="str">
            <v>20</v>
          </cell>
          <cell r="F513">
            <v>49516100700</v>
          </cell>
          <cell r="G513">
            <v>3</v>
          </cell>
          <cell r="H513" t="str">
            <v>39</v>
          </cell>
          <cell r="I513">
            <v>90</v>
          </cell>
          <cell r="J513">
            <v>20</v>
          </cell>
          <cell r="K513">
            <v>1</v>
          </cell>
          <cell r="L513">
            <v>49</v>
          </cell>
          <cell r="M513">
            <v>516</v>
          </cell>
          <cell r="N513">
            <v>1</v>
          </cell>
          <cell r="O513" t="str">
            <v>00</v>
          </cell>
          <cell r="P513">
            <v>7</v>
          </cell>
          <cell r="Q513">
            <v>3</v>
          </cell>
          <cell r="R513">
            <v>3</v>
          </cell>
          <cell r="S513">
            <v>9</v>
          </cell>
          <cell r="T513">
            <v>90</v>
          </cell>
          <cell r="U513">
            <v>93</v>
          </cell>
          <cell r="V513">
            <v>1</v>
          </cell>
          <cell r="X513" t="str">
            <v>ISESCO</v>
          </cell>
          <cell r="Y513" t="str">
            <v>P5</v>
          </cell>
          <cell r="Z513" t="str">
            <v>Serv.centr.</v>
          </cell>
          <cell r="AA513" t="str">
            <v>Dépenses diverses n vent</v>
          </cell>
          <cell r="AB513">
            <v>0</v>
          </cell>
          <cell r="AC513">
            <v>0</v>
          </cell>
        </row>
        <row r="514">
          <cell r="A514">
            <v>3161</v>
          </cell>
          <cell r="B514">
            <v>1</v>
          </cell>
          <cell r="C514">
            <v>1</v>
          </cell>
          <cell r="E514" t="str">
            <v>20</v>
          </cell>
          <cell r="F514">
            <v>49518100700</v>
          </cell>
          <cell r="G514">
            <v>3</v>
          </cell>
          <cell r="H514" t="str">
            <v>39</v>
          </cell>
          <cell r="I514">
            <v>90</v>
          </cell>
          <cell r="J514">
            <v>20</v>
          </cell>
          <cell r="K514">
            <v>1</v>
          </cell>
          <cell r="L514">
            <v>49</v>
          </cell>
          <cell r="M514">
            <v>518</v>
          </cell>
          <cell r="N514">
            <v>1</v>
          </cell>
          <cell r="O514" t="str">
            <v>00</v>
          </cell>
          <cell r="P514">
            <v>7</v>
          </cell>
          <cell r="Q514">
            <v>3</v>
          </cell>
          <cell r="R514">
            <v>3</v>
          </cell>
          <cell r="S514">
            <v>9</v>
          </cell>
          <cell r="T514">
            <v>90</v>
          </cell>
          <cell r="U514">
            <v>93</v>
          </cell>
          <cell r="V514">
            <v>1</v>
          </cell>
          <cell r="X514" t="str">
            <v>Service  Coopération</v>
          </cell>
          <cell r="Y514" t="str">
            <v>P5</v>
          </cell>
          <cell r="Z514" t="str">
            <v>Serv.centr.</v>
          </cell>
          <cell r="AA514" t="str">
            <v>Dépenses diverses n vent</v>
          </cell>
          <cell r="AB514">
            <v>0</v>
          </cell>
          <cell r="AC514">
            <v>0</v>
          </cell>
        </row>
        <row r="515">
          <cell r="A515">
            <v>3163</v>
          </cell>
          <cell r="B515">
            <v>1</v>
          </cell>
          <cell r="C515">
            <v>1</v>
          </cell>
          <cell r="E515" t="str">
            <v>20</v>
          </cell>
          <cell r="F515">
            <v>49519100700</v>
          </cell>
          <cell r="G515">
            <v>3</v>
          </cell>
          <cell r="H515" t="str">
            <v>39</v>
          </cell>
          <cell r="I515">
            <v>90</v>
          </cell>
          <cell r="J515">
            <v>20</v>
          </cell>
          <cell r="K515">
            <v>1</v>
          </cell>
          <cell r="L515">
            <v>49</v>
          </cell>
          <cell r="M515">
            <v>519</v>
          </cell>
          <cell r="N515">
            <v>1</v>
          </cell>
          <cell r="O515" t="str">
            <v>00</v>
          </cell>
          <cell r="P515">
            <v>7</v>
          </cell>
          <cell r="Q515">
            <v>3</v>
          </cell>
          <cell r="R515">
            <v>3</v>
          </cell>
          <cell r="S515">
            <v>9</v>
          </cell>
          <cell r="T515">
            <v>90</v>
          </cell>
          <cell r="U515">
            <v>93</v>
          </cell>
          <cell r="V515">
            <v>1</v>
          </cell>
          <cell r="X515" t="str">
            <v xml:space="preserve">Bureau Africain des services de l'Education </v>
          </cell>
          <cell r="Y515" t="str">
            <v>P5</v>
          </cell>
          <cell r="Z515" t="str">
            <v>Serv.centr.</v>
          </cell>
          <cell r="AA515" t="str">
            <v>Dépenses diverses n vent</v>
          </cell>
          <cell r="AB515">
            <v>0</v>
          </cell>
          <cell r="AC515">
            <v>0</v>
          </cell>
        </row>
        <row r="516">
          <cell r="A516">
            <v>3165</v>
          </cell>
          <cell r="B516">
            <v>1</v>
          </cell>
          <cell r="C516">
            <v>1</v>
          </cell>
          <cell r="E516" t="str">
            <v>20</v>
          </cell>
          <cell r="F516">
            <v>49520100700</v>
          </cell>
          <cell r="G516">
            <v>3</v>
          </cell>
          <cell r="H516" t="str">
            <v>39</v>
          </cell>
          <cell r="I516">
            <v>90</v>
          </cell>
          <cell r="J516">
            <v>20</v>
          </cell>
          <cell r="K516">
            <v>1</v>
          </cell>
          <cell r="L516">
            <v>49</v>
          </cell>
          <cell r="M516">
            <v>520</v>
          </cell>
          <cell r="N516">
            <v>1</v>
          </cell>
          <cell r="O516" t="str">
            <v>00</v>
          </cell>
          <cell r="P516">
            <v>7</v>
          </cell>
          <cell r="Q516">
            <v>3</v>
          </cell>
          <cell r="R516">
            <v>3</v>
          </cell>
          <cell r="S516">
            <v>9</v>
          </cell>
          <cell r="T516">
            <v>90</v>
          </cell>
          <cell r="U516">
            <v>93</v>
          </cell>
          <cell r="V516">
            <v>1</v>
          </cell>
          <cell r="X516" t="str">
            <v>Cellule CDMT</v>
          </cell>
          <cell r="Y516" t="str">
            <v>P5</v>
          </cell>
          <cell r="Z516" t="str">
            <v>Serv.centr.</v>
          </cell>
          <cell r="AA516" t="str">
            <v>Dépenses diverses n vent</v>
          </cell>
          <cell r="AB516">
            <v>101540</v>
          </cell>
          <cell r="AC516">
            <v>101540</v>
          </cell>
        </row>
        <row r="517">
          <cell r="A517">
            <v>3167</v>
          </cell>
          <cell r="B517">
            <v>1</v>
          </cell>
          <cell r="C517">
            <v>1</v>
          </cell>
          <cell r="E517" t="str">
            <v>20</v>
          </cell>
          <cell r="F517">
            <v>49521100700</v>
          </cell>
          <cell r="G517">
            <v>3</v>
          </cell>
          <cell r="H517" t="str">
            <v>39</v>
          </cell>
          <cell r="I517">
            <v>90</v>
          </cell>
          <cell r="J517">
            <v>20</v>
          </cell>
          <cell r="K517">
            <v>1</v>
          </cell>
          <cell r="L517">
            <v>49</v>
          </cell>
          <cell r="M517">
            <v>521</v>
          </cell>
          <cell r="N517">
            <v>1</v>
          </cell>
          <cell r="O517" t="str">
            <v>00</v>
          </cell>
          <cell r="P517">
            <v>7</v>
          </cell>
          <cell r="Q517">
            <v>3</v>
          </cell>
          <cell r="R517">
            <v>3</v>
          </cell>
          <cell r="S517">
            <v>9</v>
          </cell>
          <cell r="T517">
            <v>90</v>
          </cell>
          <cell r="U517">
            <v>93</v>
          </cell>
          <cell r="V517">
            <v>1</v>
          </cell>
          <cell r="X517" t="str">
            <v>Serv nat enseignement à distance</v>
          </cell>
          <cell r="Y517" t="str">
            <v>P5</v>
          </cell>
          <cell r="Z517" t="str">
            <v>Serv.centr.</v>
          </cell>
          <cell r="AA517" t="str">
            <v>Dépenses diverses n vent</v>
          </cell>
          <cell r="AB517">
            <v>0</v>
          </cell>
          <cell r="AC517">
            <v>0</v>
          </cell>
        </row>
        <row r="518">
          <cell r="A518">
            <v>3169</v>
          </cell>
          <cell r="B518">
            <v>1</v>
          </cell>
          <cell r="C518">
            <v>1</v>
          </cell>
          <cell r="E518" t="str">
            <v>20</v>
          </cell>
          <cell r="F518">
            <v>49522100700</v>
          </cell>
          <cell r="G518">
            <v>3</v>
          </cell>
          <cell r="H518" t="str">
            <v>39</v>
          </cell>
          <cell r="I518">
            <v>90</v>
          </cell>
          <cell r="J518">
            <v>20</v>
          </cell>
          <cell r="K518">
            <v>1</v>
          </cell>
          <cell r="L518">
            <v>49</v>
          </cell>
          <cell r="M518">
            <v>522</v>
          </cell>
          <cell r="N518">
            <v>1</v>
          </cell>
          <cell r="O518" t="str">
            <v>00</v>
          </cell>
          <cell r="P518">
            <v>7</v>
          </cell>
          <cell r="Q518">
            <v>3</v>
          </cell>
          <cell r="R518">
            <v>3</v>
          </cell>
          <cell r="S518">
            <v>9</v>
          </cell>
          <cell r="T518">
            <v>90</v>
          </cell>
          <cell r="U518">
            <v>93</v>
          </cell>
          <cell r="V518">
            <v>1</v>
          </cell>
          <cell r="X518" t="str">
            <v>Office sports scolaires &amp; universitaires</v>
          </cell>
          <cell r="Y518" t="str">
            <v>P5</v>
          </cell>
          <cell r="Z518" t="str">
            <v>Serv.centr.</v>
          </cell>
          <cell r="AA518" t="str">
            <v>Dépenses diverses n vent</v>
          </cell>
          <cell r="AB518">
            <v>0</v>
          </cell>
          <cell r="AC518">
            <v>0</v>
          </cell>
        </row>
        <row r="519">
          <cell r="A519">
            <v>3191</v>
          </cell>
          <cell r="B519">
            <v>1</v>
          </cell>
          <cell r="C519">
            <v>1</v>
          </cell>
          <cell r="E519" t="str">
            <v>20</v>
          </cell>
          <cell r="F519">
            <v>49900100700</v>
          </cell>
          <cell r="G519">
            <v>3</v>
          </cell>
          <cell r="H519" t="str">
            <v>39</v>
          </cell>
          <cell r="I519">
            <v>90</v>
          </cell>
          <cell r="J519">
            <v>20</v>
          </cell>
          <cell r="K519">
            <v>1</v>
          </cell>
          <cell r="L519">
            <v>49</v>
          </cell>
          <cell r="M519">
            <v>900</v>
          </cell>
          <cell r="N519">
            <v>1</v>
          </cell>
          <cell r="O519" t="str">
            <v>00</v>
          </cell>
          <cell r="P519">
            <v>7</v>
          </cell>
          <cell r="Q519">
            <v>3</v>
          </cell>
          <cell r="R519">
            <v>3</v>
          </cell>
          <cell r="S519">
            <v>9</v>
          </cell>
          <cell r="T519">
            <v>90</v>
          </cell>
          <cell r="U519">
            <v>93</v>
          </cell>
          <cell r="V519">
            <v>1</v>
          </cell>
          <cell r="X519" t="str">
            <v>Enseig. Serv adm Autres serv centraux</v>
          </cell>
          <cell r="Y519" t="str">
            <v>P5</v>
          </cell>
          <cell r="Z519" t="str">
            <v>Serv.centr.</v>
          </cell>
          <cell r="AA519" t="str">
            <v>Dépenses diverses n vent</v>
          </cell>
          <cell r="AB519">
            <v>0</v>
          </cell>
          <cell r="AC519">
            <v>0</v>
          </cell>
        </row>
        <row r="520">
          <cell r="A520">
            <v>3199</v>
          </cell>
          <cell r="B520">
            <v>1</v>
          </cell>
          <cell r="C520">
            <v>1</v>
          </cell>
          <cell r="E520" t="str">
            <v>20</v>
          </cell>
          <cell r="F520">
            <v>49900100900</v>
          </cell>
          <cell r="G520">
            <v>3</v>
          </cell>
          <cell r="H520" t="str">
            <v>39</v>
          </cell>
          <cell r="I520">
            <v>90</v>
          </cell>
          <cell r="J520">
            <v>20</v>
          </cell>
          <cell r="K520">
            <v>1</v>
          </cell>
          <cell r="L520">
            <v>49</v>
          </cell>
          <cell r="M520">
            <v>900</v>
          </cell>
          <cell r="N520">
            <v>1</v>
          </cell>
          <cell r="O520" t="str">
            <v>00</v>
          </cell>
          <cell r="P520">
            <v>9</v>
          </cell>
          <cell r="Q520">
            <v>3</v>
          </cell>
          <cell r="R520">
            <v>3</v>
          </cell>
          <cell r="S520">
            <v>9</v>
          </cell>
          <cell r="T520">
            <v>90</v>
          </cell>
          <cell r="U520">
            <v>94</v>
          </cell>
          <cell r="V520">
            <v>1</v>
          </cell>
          <cell r="X520" t="str">
            <v>Enseig. Serv adm Autres serv centraux</v>
          </cell>
          <cell r="Y520" t="str">
            <v>P5</v>
          </cell>
          <cell r="Z520" t="str">
            <v>Serv.centr.</v>
          </cell>
          <cell r="AA520" t="str">
            <v>Dépenses diverses n vent PPTE</v>
          </cell>
          <cell r="AB520">
            <v>0</v>
          </cell>
          <cell r="AC520">
            <v>0</v>
          </cell>
        </row>
        <row r="521">
          <cell r="A521">
            <v>12466</v>
          </cell>
          <cell r="B521">
            <v>1</v>
          </cell>
          <cell r="J521">
            <v>20</v>
          </cell>
          <cell r="K521">
            <v>1</v>
          </cell>
          <cell r="N521">
            <v>2</v>
          </cell>
          <cell r="Q521">
            <v>3</v>
          </cell>
          <cell r="R521">
            <v>3</v>
          </cell>
          <cell r="S521">
            <v>9</v>
          </cell>
          <cell r="X521" t="str">
            <v>Conakry Services déconcentrés</v>
          </cell>
          <cell r="AB521">
            <v>1015380</v>
          </cell>
          <cell r="AC521">
            <v>1015380</v>
          </cell>
        </row>
        <row r="522">
          <cell r="A522">
            <v>2957</v>
          </cell>
          <cell r="B522">
            <v>1</v>
          </cell>
          <cell r="C522">
            <v>1</v>
          </cell>
          <cell r="E522" t="str">
            <v>20</v>
          </cell>
          <cell r="F522">
            <v>42000200700</v>
          </cell>
          <cell r="G522">
            <v>3</v>
          </cell>
          <cell r="H522" t="str">
            <v>39</v>
          </cell>
          <cell r="I522">
            <v>90</v>
          </cell>
          <cell r="J522">
            <v>20</v>
          </cell>
          <cell r="K522">
            <v>1</v>
          </cell>
          <cell r="L522">
            <v>42</v>
          </cell>
          <cell r="M522" t="str">
            <v>000</v>
          </cell>
          <cell r="N522">
            <v>2</v>
          </cell>
          <cell r="O522" t="str">
            <v>00</v>
          </cell>
          <cell r="P522">
            <v>7</v>
          </cell>
          <cell r="Q522">
            <v>3</v>
          </cell>
          <cell r="R522">
            <v>3</v>
          </cell>
          <cell r="S522">
            <v>9</v>
          </cell>
          <cell r="T522">
            <v>90</v>
          </cell>
          <cell r="U522">
            <v>33</v>
          </cell>
          <cell r="V522">
            <v>1</v>
          </cell>
          <cell r="X522" t="str">
            <v>Primaire Ens.serv.déconc.</v>
          </cell>
          <cell r="Y522" t="str">
            <v>P1</v>
          </cell>
          <cell r="Z522" t="str">
            <v>Conakry</v>
          </cell>
          <cell r="AA522" t="str">
            <v>Dépenses diverses n vent. PPTE</v>
          </cell>
          <cell r="AB522">
            <v>0</v>
          </cell>
          <cell r="AC522">
            <v>0</v>
          </cell>
        </row>
        <row r="523">
          <cell r="A523">
            <v>2958</v>
          </cell>
          <cell r="B523">
            <v>1</v>
          </cell>
          <cell r="C523">
            <v>1</v>
          </cell>
          <cell r="E523" t="str">
            <v>20</v>
          </cell>
          <cell r="F523">
            <v>42000200700</v>
          </cell>
          <cell r="G523">
            <v>3</v>
          </cell>
          <cell r="H523" t="str">
            <v>39</v>
          </cell>
          <cell r="I523">
            <v>90</v>
          </cell>
          <cell r="J523">
            <v>20</v>
          </cell>
          <cell r="K523">
            <v>1</v>
          </cell>
          <cell r="L523">
            <v>42</v>
          </cell>
          <cell r="M523" t="str">
            <v>000</v>
          </cell>
          <cell r="N523">
            <v>2</v>
          </cell>
          <cell r="O523" t="str">
            <v>00</v>
          </cell>
          <cell r="P523">
            <v>7</v>
          </cell>
          <cell r="Q523">
            <v>3</v>
          </cell>
          <cell r="R523">
            <v>3</v>
          </cell>
          <cell r="S523">
            <v>9</v>
          </cell>
          <cell r="T523">
            <v>90</v>
          </cell>
          <cell r="U523">
            <v>33</v>
          </cell>
          <cell r="V523">
            <v>1</v>
          </cell>
          <cell r="X523" t="str">
            <v>Secondaire Ens.serv.déconc.</v>
          </cell>
          <cell r="Y523" t="str">
            <v>P2</v>
          </cell>
          <cell r="Z523" t="str">
            <v>Intérieur</v>
          </cell>
          <cell r="AA523" t="str">
            <v>Dépenses diverses n vent.</v>
          </cell>
          <cell r="AB523">
            <v>1015380</v>
          </cell>
          <cell r="AC523">
            <v>1015380</v>
          </cell>
        </row>
        <row r="524">
          <cell r="A524">
            <v>2966</v>
          </cell>
          <cell r="B524">
            <v>1</v>
          </cell>
          <cell r="C524">
            <v>1</v>
          </cell>
          <cell r="E524" t="str">
            <v>20</v>
          </cell>
          <cell r="F524">
            <v>42000200900</v>
          </cell>
          <cell r="G524">
            <v>3</v>
          </cell>
          <cell r="H524" t="str">
            <v>39</v>
          </cell>
          <cell r="I524">
            <v>90</v>
          </cell>
          <cell r="J524">
            <v>20</v>
          </cell>
          <cell r="K524">
            <v>1</v>
          </cell>
          <cell r="L524">
            <v>42</v>
          </cell>
          <cell r="M524" t="str">
            <v>000</v>
          </cell>
          <cell r="N524">
            <v>2</v>
          </cell>
          <cell r="O524" t="str">
            <v>00</v>
          </cell>
          <cell r="P524">
            <v>9</v>
          </cell>
          <cell r="Q524">
            <v>3</v>
          </cell>
          <cell r="R524">
            <v>3</v>
          </cell>
          <cell r="S524">
            <v>9</v>
          </cell>
          <cell r="T524">
            <v>90</v>
          </cell>
          <cell r="U524">
            <v>34</v>
          </cell>
          <cell r="V524">
            <v>1</v>
          </cell>
          <cell r="X524" t="str">
            <v>Primaire Ens.serv.déconc.</v>
          </cell>
          <cell r="Z524" t="str">
            <v>Conakry</v>
          </cell>
          <cell r="AA524" t="str">
            <v>Dépenses diverses n vent. PPTE</v>
          </cell>
          <cell r="AB524">
            <v>0</v>
          </cell>
          <cell r="AC524">
            <v>0</v>
          </cell>
        </row>
        <row r="525">
          <cell r="A525">
            <v>3028</v>
          </cell>
          <cell r="B525">
            <v>1</v>
          </cell>
          <cell r="C525">
            <v>1</v>
          </cell>
          <cell r="E525" t="str">
            <v>20</v>
          </cell>
          <cell r="F525">
            <v>43000200900</v>
          </cell>
          <cell r="G525">
            <v>3</v>
          </cell>
          <cell r="H525" t="str">
            <v>39</v>
          </cell>
          <cell r="I525">
            <v>90</v>
          </cell>
          <cell r="J525">
            <v>20</v>
          </cell>
          <cell r="K525">
            <v>1</v>
          </cell>
          <cell r="L525">
            <v>43</v>
          </cell>
          <cell r="M525" t="str">
            <v>000</v>
          </cell>
          <cell r="N525">
            <v>2</v>
          </cell>
          <cell r="O525" t="str">
            <v>00</v>
          </cell>
          <cell r="P525">
            <v>9</v>
          </cell>
          <cell r="Q525">
            <v>3</v>
          </cell>
          <cell r="R525">
            <v>3</v>
          </cell>
          <cell r="S525">
            <v>9</v>
          </cell>
          <cell r="T525">
            <v>90</v>
          </cell>
          <cell r="U525">
            <v>34</v>
          </cell>
          <cell r="V525">
            <v>1</v>
          </cell>
          <cell r="X525" t="str">
            <v>Secondaire Ens.serv.déconc.</v>
          </cell>
          <cell r="Z525" t="str">
            <v>Conakry</v>
          </cell>
          <cell r="AA525" t="str">
            <v>Dépenses diverses n vent PPTE</v>
          </cell>
          <cell r="AB525">
            <v>0</v>
          </cell>
          <cell r="AC525">
            <v>0</v>
          </cell>
        </row>
        <row r="526">
          <cell r="A526">
            <v>4839</v>
          </cell>
          <cell r="B526">
            <v>1</v>
          </cell>
          <cell r="C526">
            <v>1</v>
          </cell>
          <cell r="E526" t="str">
            <v>20</v>
          </cell>
          <cell r="F526">
            <v>44000200700</v>
          </cell>
          <cell r="G526">
            <v>3</v>
          </cell>
          <cell r="H526" t="str">
            <v>39</v>
          </cell>
          <cell r="I526">
            <v>90</v>
          </cell>
          <cell r="J526">
            <v>20</v>
          </cell>
          <cell r="K526">
            <v>1</v>
          </cell>
          <cell r="L526">
            <v>44</v>
          </cell>
          <cell r="M526" t="str">
            <v>000</v>
          </cell>
          <cell r="N526">
            <v>2</v>
          </cell>
          <cell r="O526" t="str">
            <v>00</v>
          </cell>
          <cell r="P526">
            <v>7</v>
          </cell>
          <cell r="Q526">
            <v>3</v>
          </cell>
          <cell r="R526">
            <v>3</v>
          </cell>
          <cell r="S526">
            <v>9</v>
          </cell>
          <cell r="T526">
            <v>90</v>
          </cell>
          <cell r="U526">
            <v>36</v>
          </cell>
          <cell r="V526">
            <v>1</v>
          </cell>
          <cell r="W526">
            <v>0</v>
          </cell>
          <cell r="X526" t="str">
            <v>Enseign. Technique</v>
          </cell>
          <cell r="Z526" t="str">
            <v>Conakry</v>
          </cell>
          <cell r="AA526" t="str">
            <v>Dépenses diverses n vent</v>
          </cell>
          <cell r="AB526">
            <v>0</v>
          </cell>
          <cell r="AC526">
            <v>0</v>
          </cell>
        </row>
        <row r="527">
          <cell r="A527">
            <v>4894</v>
          </cell>
          <cell r="B527">
            <v>1</v>
          </cell>
          <cell r="C527">
            <v>1</v>
          </cell>
          <cell r="E527" t="str">
            <v>20</v>
          </cell>
          <cell r="F527">
            <v>44300200700</v>
          </cell>
          <cell r="G527">
            <v>3</v>
          </cell>
          <cell r="H527" t="str">
            <v>39</v>
          </cell>
          <cell r="I527">
            <v>90</v>
          </cell>
          <cell r="J527">
            <v>20</v>
          </cell>
          <cell r="K527">
            <v>1</v>
          </cell>
          <cell r="L527">
            <v>44</v>
          </cell>
          <cell r="M527">
            <v>300</v>
          </cell>
          <cell r="N527">
            <v>2</v>
          </cell>
          <cell r="O527" t="str">
            <v>00</v>
          </cell>
          <cell r="P527">
            <v>7</v>
          </cell>
          <cell r="Q527">
            <v>3</v>
          </cell>
          <cell r="R527">
            <v>3</v>
          </cell>
          <cell r="S527">
            <v>9</v>
          </cell>
          <cell r="T527">
            <v>90</v>
          </cell>
          <cell r="U527">
            <v>36</v>
          </cell>
          <cell r="V527">
            <v>1</v>
          </cell>
          <cell r="X527" t="str">
            <v>Inspect région. Ens tech</v>
          </cell>
          <cell r="Z527" t="str">
            <v>Conakry</v>
          </cell>
          <cell r="AA527" t="str">
            <v>Dépenses diverses n vent</v>
          </cell>
          <cell r="AB527">
            <v>0</v>
          </cell>
          <cell r="AC527">
            <v>0</v>
          </cell>
        </row>
        <row r="528">
          <cell r="A528">
            <v>3076</v>
          </cell>
          <cell r="B528">
            <v>1</v>
          </cell>
          <cell r="C528">
            <v>1</v>
          </cell>
          <cell r="E528" t="str">
            <v>20</v>
          </cell>
          <cell r="F528">
            <v>49000200700</v>
          </cell>
          <cell r="G528">
            <v>3</v>
          </cell>
          <cell r="H528" t="str">
            <v>39</v>
          </cell>
          <cell r="I528">
            <v>90</v>
          </cell>
          <cell r="J528">
            <v>20</v>
          </cell>
          <cell r="K528">
            <v>1</v>
          </cell>
          <cell r="L528">
            <v>49</v>
          </cell>
          <cell r="M528" t="str">
            <v>000</v>
          </cell>
          <cell r="N528">
            <v>2</v>
          </cell>
          <cell r="O528" t="str">
            <v>00</v>
          </cell>
          <cell r="P528">
            <v>7</v>
          </cell>
          <cell r="Q528">
            <v>3</v>
          </cell>
          <cell r="R528">
            <v>3</v>
          </cell>
          <cell r="S528">
            <v>9</v>
          </cell>
          <cell r="T528">
            <v>90</v>
          </cell>
          <cell r="U528">
            <v>33</v>
          </cell>
          <cell r="V528">
            <v>1</v>
          </cell>
          <cell r="X528" t="str">
            <v>Enseig. Serv administratifs</v>
          </cell>
          <cell r="Z528" t="str">
            <v>Conakry</v>
          </cell>
          <cell r="AA528" t="str">
            <v>Dépenses diverses n vent</v>
          </cell>
          <cell r="AB528">
            <v>0</v>
          </cell>
          <cell r="AC528">
            <v>0</v>
          </cell>
        </row>
        <row r="529">
          <cell r="A529">
            <v>3084</v>
          </cell>
          <cell r="B529">
            <v>1</v>
          </cell>
          <cell r="C529">
            <v>1</v>
          </cell>
          <cell r="E529" t="str">
            <v>20</v>
          </cell>
          <cell r="F529">
            <v>49000200900</v>
          </cell>
          <cell r="G529">
            <v>3</v>
          </cell>
          <cell r="H529" t="str">
            <v>39</v>
          </cell>
          <cell r="I529">
            <v>90</v>
          </cell>
          <cell r="J529">
            <v>20</v>
          </cell>
          <cell r="K529">
            <v>1</v>
          </cell>
          <cell r="L529">
            <v>49</v>
          </cell>
          <cell r="M529" t="str">
            <v>000</v>
          </cell>
          <cell r="N529">
            <v>2</v>
          </cell>
          <cell r="O529" t="str">
            <v>00</v>
          </cell>
          <cell r="P529">
            <v>9</v>
          </cell>
          <cell r="Q529">
            <v>3</v>
          </cell>
          <cell r="R529">
            <v>3</v>
          </cell>
          <cell r="S529">
            <v>9</v>
          </cell>
          <cell r="T529">
            <v>90</v>
          </cell>
          <cell r="U529">
            <v>34</v>
          </cell>
          <cell r="V529">
            <v>1</v>
          </cell>
          <cell r="X529" t="str">
            <v>Enseig. Serv administratifs</v>
          </cell>
          <cell r="Z529" t="str">
            <v>Conakry</v>
          </cell>
          <cell r="AA529" t="str">
            <v>Dépenses diverses n vent PPTE</v>
          </cell>
          <cell r="AB529">
            <v>0</v>
          </cell>
          <cell r="AC529">
            <v>0</v>
          </cell>
        </row>
        <row r="530">
          <cell r="A530">
            <v>12468</v>
          </cell>
          <cell r="B530">
            <v>1</v>
          </cell>
          <cell r="J530">
            <v>20</v>
          </cell>
          <cell r="K530">
            <v>1</v>
          </cell>
          <cell r="N530">
            <v>3</v>
          </cell>
          <cell r="Q530">
            <v>3</v>
          </cell>
          <cell r="R530">
            <v>3</v>
          </cell>
          <cell r="S530">
            <v>9</v>
          </cell>
          <cell r="X530" t="str">
            <v>Intérieur Services déconcentrés</v>
          </cell>
          <cell r="AB530">
            <v>0</v>
          </cell>
          <cell r="AC530">
            <v>0</v>
          </cell>
        </row>
        <row r="531">
          <cell r="A531">
            <v>2986</v>
          </cell>
          <cell r="B531">
            <v>1</v>
          </cell>
          <cell r="C531">
            <v>1</v>
          </cell>
          <cell r="E531" t="str">
            <v>20</v>
          </cell>
          <cell r="F531">
            <v>42000300700</v>
          </cell>
          <cell r="G531">
            <v>3</v>
          </cell>
          <cell r="H531" t="str">
            <v>39</v>
          </cell>
          <cell r="I531">
            <v>90</v>
          </cell>
          <cell r="J531">
            <v>20</v>
          </cell>
          <cell r="K531">
            <v>1</v>
          </cell>
          <cell r="L531">
            <v>42</v>
          </cell>
          <cell r="M531" t="str">
            <v>000</v>
          </cell>
          <cell r="N531">
            <v>3</v>
          </cell>
          <cell r="O531" t="str">
            <v>00</v>
          </cell>
          <cell r="P531">
            <v>7</v>
          </cell>
          <cell r="Q531">
            <v>3</v>
          </cell>
          <cell r="R531">
            <v>3</v>
          </cell>
          <cell r="S531">
            <v>9</v>
          </cell>
          <cell r="T531">
            <v>90</v>
          </cell>
          <cell r="U531">
            <v>33</v>
          </cell>
          <cell r="V531">
            <v>1</v>
          </cell>
          <cell r="X531" t="str">
            <v>Primaire Ens.serv.déconc.</v>
          </cell>
          <cell r="Z531" t="str">
            <v>Intérieur</v>
          </cell>
          <cell r="AA531" t="str">
            <v>Dépenses diverses n vent.</v>
          </cell>
          <cell r="AB531">
            <v>0</v>
          </cell>
          <cell r="AC531">
            <v>0</v>
          </cell>
        </row>
        <row r="532">
          <cell r="A532">
            <v>2994</v>
          </cell>
          <cell r="B532">
            <v>1</v>
          </cell>
          <cell r="C532">
            <v>1</v>
          </cell>
          <cell r="E532" t="str">
            <v>20</v>
          </cell>
          <cell r="F532">
            <v>42000300900</v>
          </cell>
          <cell r="G532">
            <v>3</v>
          </cell>
          <cell r="H532" t="str">
            <v>39</v>
          </cell>
          <cell r="I532">
            <v>90</v>
          </cell>
          <cell r="J532">
            <v>20</v>
          </cell>
          <cell r="K532">
            <v>1</v>
          </cell>
          <cell r="L532">
            <v>42</v>
          </cell>
          <cell r="M532" t="str">
            <v>000</v>
          </cell>
          <cell r="N532">
            <v>3</v>
          </cell>
          <cell r="O532" t="str">
            <v>00</v>
          </cell>
          <cell r="P532">
            <v>9</v>
          </cell>
          <cell r="Q532">
            <v>3</v>
          </cell>
          <cell r="R532">
            <v>3</v>
          </cell>
          <cell r="S532">
            <v>9</v>
          </cell>
          <cell r="T532">
            <v>90</v>
          </cell>
          <cell r="U532">
            <v>34</v>
          </cell>
          <cell r="V532">
            <v>1</v>
          </cell>
          <cell r="X532" t="str">
            <v>Primaire Ens.serv.déconc.</v>
          </cell>
          <cell r="Z532" t="str">
            <v>Intérieur</v>
          </cell>
          <cell r="AA532" t="str">
            <v>Dépenses diverses n vent. PPTE</v>
          </cell>
          <cell r="AB532">
            <v>0</v>
          </cell>
          <cell r="AC532">
            <v>0</v>
          </cell>
        </row>
        <row r="533">
          <cell r="A533">
            <v>3048</v>
          </cell>
          <cell r="B533">
            <v>1</v>
          </cell>
          <cell r="C533">
            <v>1</v>
          </cell>
          <cell r="E533" t="str">
            <v>20</v>
          </cell>
          <cell r="F533">
            <v>43000300700</v>
          </cell>
          <cell r="G533">
            <v>3</v>
          </cell>
          <cell r="H533" t="str">
            <v>39</v>
          </cell>
          <cell r="I533">
            <v>90</v>
          </cell>
          <cell r="J533">
            <v>20</v>
          </cell>
          <cell r="K533">
            <v>1</v>
          </cell>
          <cell r="L533">
            <v>43</v>
          </cell>
          <cell r="M533" t="str">
            <v>000</v>
          </cell>
          <cell r="N533">
            <v>3</v>
          </cell>
          <cell r="O533" t="str">
            <v>00</v>
          </cell>
          <cell r="P533">
            <v>7</v>
          </cell>
          <cell r="Q533">
            <v>3</v>
          </cell>
          <cell r="R533">
            <v>3</v>
          </cell>
          <cell r="S533">
            <v>9</v>
          </cell>
          <cell r="T533">
            <v>90</v>
          </cell>
          <cell r="U533">
            <v>33</v>
          </cell>
          <cell r="V533">
            <v>1</v>
          </cell>
          <cell r="X533" t="str">
            <v>Secondaire Ens.serv.déconc.</v>
          </cell>
          <cell r="Z533" t="str">
            <v>Intérieur</v>
          </cell>
          <cell r="AA533" t="str">
            <v>Dépenses diverses n vent</v>
          </cell>
          <cell r="AB533">
            <v>0</v>
          </cell>
          <cell r="AC533">
            <v>0</v>
          </cell>
        </row>
        <row r="534">
          <cell r="A534">
            <v>3057</v>
          </cell>
          <cell r="B534">
            <v>1</v>
          </cell>
          <cell r="C534">
            <v>1</v>
          </cell>
          <cell r="E534" t="str">
            <v>20</v>
          </cell>
          <cell r="F534">
            <v>43000300900</v>
          </cell>
          <cell r="G534">
            <v>3</v>
          </cell>
          <cell r="H534" t="str">
            <v>39</v>
          </cell>
          <cell r="I534">
            <v>90</v>
          </cell>
          <cell r="J534">
            <v>20</v>
          </cell>
          <cell r="K534">
            <v>1</v>
          </cell>
          <cell r="L534">
            <v>43</v>
          </cell>
          <cell r="M534" t="str">
            <v>000</v>
          </cell>
          <cell r="N534">
            <v>3</v>
          </cell>
          <cell r="O534" t="str">
            <v>00</v>
          </cell>
          <cell r="P534">
            <v>9</v>
          </cell>
          <cell r="Q534">
            <v>3</v>
          </cell>
          <cell r="R534">
            <v>3</v>
          </cell>
          <cell r="S534">
            <v>9</v>
          </cell>
          <cell r="T534">
            <v>90</v>
          </cell>
          <cell r="U534">
            <v>34</v>
          </cell>
          <cell r="V534">
            <v>1</v>
          </cell>
          <cell r="X534" t="str">
            <v>Secondaire Ens.serv.déconc.</v>
          </cell>
          <cell r="Z534" t="str">
            <v>Intérieur</v>
          </cell>
          <cell r="AA534" t="str">
            <v>Dépenses diverses n vent PPTE</v>
          </cell>
          <cell r="AB534">
            <v>0</v>
          </cell>
          <cell r="AC534">
            <v>0</v>
          </cell>
        </row>
        <row r="535">
          <cell r="A535">
            <v>4863</v>
          </cell>
          <cell r="B535">
            <v>1</v>
          </cell>
          <cell r="C535">
            <v>1</v>
          </cell>
          <cell r="E535" t="str">
            <v>20</v>
          </cell>
          <cell r="F535">
            <v>44000300700</v>
          </cell>
          <cell r="G535">
            <v>3</v>
          </cell>
          <cell r="H535" t="str">
            <v>39</v>
          </cell>
          <cell r="I535">
            <v>90</v>
          </cell>
          <cell r="J535">
            <v>20</v>
          </cell>
          <cell r="K535">
            <v>1</v>
          </cell>
          <cell r="L535">
            <v>44</v>
          </cell>
          <cell r="M535" t="str">
            <v>000</v>
          </cell>
          <cell r="N535">
            <v>3</v>
          </cell>
          <cell r="O535" t="str">
            <v>00</v>
          </cell>
          <cell r="P535">
            <v>7</v>
          </cell>
          <cell r="Q535">
            <v>3</v>
          </cell>
          <cell r="R535">
            <v>3</v>
          </cell>
          <cell r="S535">
            <v>9</v>
          </cell>
          <cell r="T535">
            <v>90</v>
          </cell>
          <cell r="U535">
            <v>36</v>
          </cell>
          <cell r="V535">
            <v>1</v>
          </cell>
          <cell r="W535">
            <v>0</v>
          </cell>
          <cell r="X535" t="str">
            <v>Enseign. Technique</v>
          </cell>
          <cell r="Z535" t="str">
            <v>Intérieur</v>
          </cell>
          <cell r="AA535" t="str">
            <v>Dépenses diverses n vent</v>
          </cell>
          <cell r="AB535">
            <v>0</v>
          </cell>
          <cell r="AC535">
            <v>0</v>
          </cell>
        </row>
        <row r="536">
          <cell r="A536">
            <v>4889</v>
          </cell>
          <cell r="B536">
            <v>1</v>
          </cell>
          <cell r="C536">
            <v>1</v>
          </cell>
          <cell r="E536" t="str">
            <v>20</v>
          </cell>
          <cell r="F536">
            <v>44234300700</v>
          </cell>
          <cell r="G536">
            <v>3</v>
          </cell>
          <cell r="H536" t="str">
            <v>39</v>
          </cell>
          <cell r="I536">
            <v>90</v>
          </cell>
          <cell r="J536">
            <v>20</v>
          </cell>
          <cell r="K536">
            <v>1</v>
          </cell>
          <cell r="L536">
            <v>44</v>
          </cell>
          <cell r="M536">
            <v>234</v>
          </cell>
          <cell r="N536">
            <v>3</v>
          </cell>
          <cell r="O536" t="str">
            <v>00</v>
          </cell>
          <cell r="P536">
            <v>7</v>
          </cell>
          <cell r="Q536">
            <v>3</v>
          </cell>
          <cell r="R536">
            <v>3</v>
          </cell>
          <cell r="S536">
            <v>9</v>
          </cell>
          <cell r="T536">
            <v>90</v>
          </cell>
          <cell r="U536">
            <v>36</v>
          </cell>
          <cell r="V536">
            <v>1</v>
          </cell>
          <cell r="X536" t="str">
            <v>ENATEF Contrib coop helvétique</v>
          </cell>
          <cell r="Z536" t="str">
            <v>Intérieur</v>
          </cell>
          <cell r="AA536" t="str">
            <v>Dépenses diverses NV</v>
          </cell>
          <cell r="AB536">
            <v>0</v>
          </cell>
          <cell r="AC536">
            <v>0</v>
          </cell>
        </row>
        <row r="537">
          <cell r="A537">
            <v>3097</v>
          </cell>
          <cell r="B537">
            <v>1</v>
          </cell>
          <cell r="C537">
            <v>1</v>
          </cell>
          <cell r="E537" t="str">
            <v>20</v>
          </cell>
          <cell r="F537">
            <v>49000300700</v>
          </cell>
          <cell r="G537">
            <v>3</v>
          </cell>
          <cell r="H537" t="str">
            <v>39</v>
          </cell>
          <cell r="I537">
            <v>90</v>
          </cell>
          <cell r="J537">
            <v>20</v>
          </cell>
          <cell r="K537">
            <v>1</v>
          </cell>
          <cell r="L537">
            <v>49</v>
          </cell>
          <cell r="M537" t="str">
            <v>000</v>
          </cell>
          <cell r="N537">
            <v>3</v>
          </cell>
          <cell r="O537" t="str">
            <v>00</v>
          </cell>
          <cell r="P537">
            <v>7</v>
          </cell>
          <cell r="Q537">
            <v>3</v>
          </cell>
          <cell r="R537">
            <v>3</v>
          </cell>
          <cell r="S537">
            <v>9</v>
          </cell>
          <cell r="T537">
            <v>90</v>
          </cell>
          <cell r="U537">
            <v>33</v>
          </cell>
          <cell r="V537">
            <v>1</v>
          </cell>
          <cell r="X537" t="str">
            <v>Enseig. Serv administratifs</v>
          </cell>
          <cell r="Z537" t="str">
            <v>Intérieur</v>
          </cell>
          <cell r="AA537" t="str">
            <v>Dépenses diverses n vent</v>
          </cell>
          <cell r="AB537">
            <v>0</v>
          </cell>
          <cell r="AC537">
            <v>0</v>
          </cell>
        </row>
        <row r="538">
          <cell r="A538">
            <v>3105</v>
          </cell>
          <cell r="B538">
            <v>1</v>
          </cell>
          <cell r="C538">
            <v>1</v>
          </cell>
          <cell r="E538" t="str">
            <v>20</v>
          </cell>
          <cell r="F538">
            <v>49000300900</v>
          </cell>
          <cell r="G538">
            <v>3</v>
          </cell>
          <cell r="H538" t="str">
            <v>39</v>
          </cell>
          <cell r="I538">
            <v>90</v>
          </cell>
          <cell r="J538">
            <v>20</v>
          </cell>
          <cell r="K538">
            <v>1</v>
          </cell>
          <cell r="L538">
            <v>49</v>
          </cell>
          <cell r="M538" t="str">
            <v>000</v>
          </cell>
          <cell r="N538">
            <v>3</v>
          </cell>
          <cell r="O538" t="str">
            <v>00</v>
          </cell>
          <cell r="P538">
            <v>9</v>
          </cell>
          <cell r="Q538">
            <v>3</v>
          </cell>
          <cell r="R538">
            <v>3</v>
          </cell>
          <cell r="S538">
            <v>9</v>
          </cell>
          <cell r="T538">
            <v>90</v>
          </cell>
          <cell r="U538">
            <v>34</v>
          </cell>
          <cell r="V538">
            <v>1</v>
          </cell>
          <cell r="X538" t="str">
            <v>Enseig. Serv administratifs</v>
          </cell>
          <cell r="Z538" t="str">
            <v>Intérieur</v>
          </cell>
          <cell r="AA538" t="str">
            <v>Dépenses diverses n vent PPTE</v>
          </cell>
          <cell r="AB538">
            <v>0</v>
          </cell>
          <cell r="AC538">
            <v>0</v>
          </cell>
        </row>
        <row r="539">
          <cell r="A539">
            <v>12470</v>
          </cell>
          <cell r="B539">
            <v>1</v>
          </cell>
          <cell r="J539">
            <v>20</v>
          </cell>
          <cell r="K539">
            <v>1</v>
          </cell>
          <cell r="N539">
            <v>9</v>
          </cell>
          <cell r="Q539">
            <v>3</v>
          </cell>
          <cell r="R539">
            <v>3</v>
          </cell>
          <cell r="S539">
            <v>9</v>
          </cell>
          <cell r="X539" t="str">
            <v>Ensemble Non ventilé</v>
          </cell>
          <cell r="AB539">
            <v>2153000</v>
          </cell>
          <cell r="AC539">
            <v>2153000</v>
          </cell>
        </row>
        <row r="540">
          <cell r="A540">
            <v>2998</v>
          </cell>
          <cell r="B540">
            <v>1</v>
          </cell>
          <cell r="C540">
            <v>1</v>
          </cell>
          <cell r="E540" t="str">
            <v>20</v>
          </cell>
          <cell r="F540">
            <v>42000900900</v>
          </cell>
          <cell r="G540">
            <v>3</v>
          </cell>
          <cell r="H540" t="str">
            <v>39</v>
          </cell>
          <cell r="I540">
            <v>90</v>
          </cell>
          <cell r="J540">
            <v>20</v>
          </cell>
          <cell r="K540">
            <v>1</v>
          </cell>
          <cell r="L540">
            <v>42</v>
          </cell>
          <cell r="M540" t="str">
            <v>000</v>
          </cell>
          <cell r="N540">
            <v>9</v>
          </cell>
          <cell r="O540" t="str">
            <v>00</v>
          </cell>
          <cell r="P540">
            <v>9</v>
          </cell>
          <cell r="Q540">
            <v>3</v>
          </cell>
          <cell r="R540">
            <v>3</v>
          </cell>
          <cell r="S540">
            <v>9</v>
          </cell>
          <cell r="T540">
            <v>90</v>
          </cell>
          <cell r="U540">
            <v>94</v>
          </cell>
          <cell r="V540">
            <v>1</v>
          </cell>
          <cell r="W540">
            <v>0</v>
          </cell>
          <cell r="X540" t="str">
            <v>Primaire Ens.serv</v>
          </cell>
          <cell r="Z540" t="str">
            <v xml:space="preserve"> Ens. NV</v>
          </cell>
          <cell r="AA540" t="str">
            <v>Dépenses diverses n vent PPTE</v>
          </cell>
          <cell r="AB540">
            <v>0</v>
          </cell>
          <cell r="AC540">
            <v>0</v>
          </cell>
        </row>
        <row r="541">
          <cell r="A541">
            <v>3059</v>
          </cell>
          <cell r="B541">
            <v>1</v>
          </cell>
          <cell r="C541">
            <v>1</v>
          </cell>
          <cell r="E541" t="str">
            <v>20</v>
          </cell>
          <cell r="F541">
            <v>43000900900</v>
          </cell>
          <cell r="G541">
            <v>3</v>
          </cell>
          <cell r="H541" t="str">
            <v>39</v>
          </cell>
          <cell r="I541">
            <v>90</v>
          </cell>
          <cell r="J541">
            <v>20</v>
          </cell>
          <cell r="K541">
            <v>1</v>
          </cell>
          <cell r="L541">
            <v>43</v>
          </cell>
          <cell r="M541" t="str">
            <v>000</v>
          </cell>
          <cell r="N541">
            <v>9</v>
          </cell>
          <cell r="O541" t="str">
            <v>00</v>
          </cell>
          <cell r="P541">
            <v>9</v>
          </cell>
          <cell r="Q541">
            <v>3</v>
          </cell>
          <cell r="R541">
            <v>3</v>
          </cell>
          <cell r="S541">
            <v>9</v>
          </cell>
          <cell r="T541">
            <v>90</v>
          </cell>
          <cell r="U541">
            <v>94</v>
          </cell>
          <cell r="V541">
            <v>1</v>
          </cell>
          <cell r="X541" t="str">
            <v>Secondaire Ens.serv.</v>
          </cell>
          <cell r="Z541" t="str">
            <v>Ens. NV</v>
          </cell>
          <cell r="AA541" t="str">
            <v>Dépenses diverses n vent PPTE</v>
          </cell>
          <cell r="AB541">
            <v>0</v>
          </cell>
          <cell r="AC541">
            <v>0</v>
          </cell>
        </row>
        <row r="542">
          <cell r="A542">
            <v>3121</v>
          </cell>
          <cell r="B542">
            <v>1</v>
          </cell>
          <cell r="C542">
            <v>1</v>
          </cell>
          <cell r="E542" t="str">
            <v>20</v>
          </cell>
          <cell r="F542">
            <v>49000900900</v>
          </cell>
          <cell r="G542">
            <v>3</v>
          </cell>
          <cell r="H542" t="str">
            <v>39</v>
          </cell>
          <cell r="I542">
            <v>90</v>
          </cell>
          <cell r="J542">
            <v>20</v>
          </cell>
          <cell r="K542">
            <v>1</v>
          </cell>
          <cell r="L542">
            <v>49</v>
          </cell>
          <cell r="M542" t="str">
            <v>000</v>
          </cell>
          <cell r="N542">
            <v>9</v>
          </cell>
          <cell r="O542" t="str">
            <v>00</v>
          </cell>
          <cell r="P542">
            <v>9</v>
          </cell>
          <cell r="Q542">
            <v>3</v>
          </cell>
          <cell r="R542">
            <v>3</v>
          </cell>
          <cell r="S542">
            <v>9</v>
          </cell>
          <cell r="T542">
            <v>90</v>
          </cell>
          <cell r="U542">
            <v>94</v>
          </cell>
          <cell r="V542">
            <v>1</v>
          </cell>
          <cell r="X542" t="str">
            <v>Enseig. Serv administratifs</v>
          </cell>
          <cell r="Z542" t="str">
            <v>Ens. NV</v>
          </cell>
          <cell r="AA542" t="str">
            <v>Dépenses diverses n vent PPTE</v>
          </cell>
          <cell r="AB542">
            <v>0</v>
          </cell>
          <cell r="AC542">
            <v>0</v>
          </cell>
        </row>
        <row r="543">
          <cell r="B543">
            <v>1</v>
          </cell>
          <cell r="C543">
            <v>1</v>
          </cell>
          <cell r="E543" t="str">
            <v>20</v>
          </cell>
          <cell r="F543">
            <v>49910900900</v>
          </cell>
          <cell r="G543">
            <v>3</v>
          </cell>
          <cell r="H543" t="str">
            <v>39</v>
          </cell>
          <cell r="I543">
            <v>90</v>
          </cell>
          <cell r="J543">
            <v>20</v>
          </cell>
          <cell r="K543">
            <v>1</v>
          </cell>
          <cell r="L543">
            <v>49</v>
          </cell>
          <cell r="M543">
            <v>910</v>
          </cell>
          <cell r="N543">
            <v>9</v>
          </cell>
          <cell r="O543" t="str">
            <v>00</v>
          </cell>
          <cell r="P543">
            <v>9</v>
          </cell>
          <cell r="Q543">
            <v>3</v>
          </cell>
          <cell r="R543">
            <v>3</v>
          </cell>
          <cell r="S543">
            <v>9</v>
          </cell>
          <cell r="T543">
            <v>90</v>
          </cell>
          <cell r="U543">
            <v>94</v>
          </cell>
          <cell r="V543">
            <v>1</v>
          </cell>
          <cell r="X543" t="str">
            <v xml:space="preserve">Organisation des Etats généraux de l'éducation  </v>
          </cell>
          <cell r="Y543" t="str">
            <v>P5</v>
          </cell>
          <cell r="Z543" t="str">
            <v>Ens. NV</v>
          </cell>
          <cell r="AA543" t="str">
            <v>Dépenses diverses n vent PPTE</v>
          </cell>
          <cell r="AB543">
            <v>2153000</v>
          </cell>
          <cell r="AC543">
            <v>2153000</v>
          </cell>
        </row>
        <row r="544">
          <cell r="A544">
            <v>12432</v>
          </cell>
          <cell r="B544">
            <v>1</v>
          </cell>
          <cell r="D544" t="str">
            <v>I</v>
          </cell>
          <cell r="J544">
            <v>20</v>
          </cell>
          <cell r="K544">
            <v>1</v>
          </cell>
          <cell r="Q544">
            <v>3</v>
          </cell>
          <cell r="R544">
            <v>5</v>
          </cell>
          <cell r="S544">
            <v>1</v>
          </cell>
          <cell r="X544" t="str">
            <v xml:space="preserve">Acquisition Matériels, mobiliers, véhicules </v>
          </cell>
          <cell r="AB544">
            <v>895680</v>
          </cell>
          <cell r="AC544">
            <v>895680</v>
          </cell>
        </row>
        <row r="545">
          <cell r="A545">
            <v>12434</v>
          </cell>
          <cell r="B545">
            <v>1</v>
          </cell>
          <cell r="J545">
            <v>20</v>
          </cell>
          <cell r="K545">
            <v>1</v>
          </cell>
          <cell r="N545">
            <v>1</v>
          </cell>
          <cell r="Q545">
            <v>3</v>
          </cell>
          <cell r="R545">
            <v>5</v>
          </cell>
          <cell r="S545">
            <v>1</v>
          </cell>
          <cell r="X545" t="str">
            <v>Services centraux</v>
          </cell>
          <cell r="AB545">
            <v>895680</v>
          </cell>
          <cell r="AC545">
            <v>895680</v>
          </cell>
        </row>
        <row r="546">
          <cell r="A546">
            <v>4820</v>
          </cell>
          <cell r="B546">
            <v>1</v>
          </cell>
          <cell r="C546">
            <v>1</v>
          </cell>
          <cell r="E546" t="str">
            <v>20</v>
          </cell>
          <cell r="F546">
            <v>35121100700</v>
          </cell>
          <cell r="G546">
            <v>3</v>
          </cell>
          <cell r="H546" t="str">
            <v>51</v>
          </cell>
          <cell r="I546">
            <v>20</v>
          </cell>
          <cell r="J546">
            <v>20</v>
          </cell>
          <cell r="K546">
            <v>1</v>
          </cell>
          <cell r="L546">
            <v>35</v>
          </cell>
          <cell r="M546">
            <v>121</v>
          </cell>
          <cell r="N546">
            <v>1</v>
          </cell>
          <cell r="O546" t="str">
            <v>00</v>
          </cell>
          <cell r="P546">
            <v>7</v>
          </cell>
          <cell r="Q546">
            <v>3</v>
          </cell>
          <cell r="R546">
            <v>5</v>
          </cell>
          <cell r="S546">
            <v>1</v>
          </cell>
          <cell r="T546">
            <v>20</v>
          </cell>
          <cell r="U546">
            <v>96</v>
          </cell>
          <cell r="V546">
            <v>1</v>
          </cell>
          <cell r="X546" t="str">
            <v>Cabinet ex METFP DAAF &amp; Secrétariat central</v>
          </cell>
          <cell r="Y546" t="str">
            <v>P5</v>
          </cell>
          <cell r="Z546" t="str">
            <v>Serv.cent.</v>
          </cell>
          <cell r="AA546" t="str">
            <v>Matériel informatique</v>
          </cell>
          <cell r="AB546">
            <v>70180</v>
          </cell>
          <cell r="AC546">
            <v>70180</v>
          </cell>
        </row>
        <row r="547">
          <cell r="A547">
            <v>4876</v>
          </cell>
          <cell r="B547">
            <v>1</v>
          </cell>
          <cell r="C547">
            <v>1</v>
          </cell>
          <cell r="E547" t="str">
            <v>20</v>
          </cell>
          <cell r="F547">
            <v>44101100700</v>
          </cell>
          <cell r="G547">
            <v>3</v>
          </cell>
          <cell r="H547" t="str">
            <v>51</v>
          </cell>
          <cell r="I547">
            <v>20</v>
          </cell>
          <cell r="J547">
            <v>20</v>
          </cell>
          <cell r="K547">
            <v>1</v>
          </cell>
          <cell r="L547">
            <v>44</v>
          </cell>
          <cell r="M547">
            <v>101</v>
          </cell>
          <cell r="N547">
            <v>1</v>
          </cell>
          <cell r="O547" t="str">
            <v>00</v>
          </cell>
          <cell r="P547">
            <v>7</v>
          </cell>
          <cell r="Q547">
            <v>3</v>
          </cell>
          <cell r="R547">
            <v>5</v>
          </cell>
          <cell r="S547">
            <v>1</v>
          </cell>
          <cell r="T547">
            <v>20</v>
          </cell>
          <cell r="U547">
            <v>96</v>
          </cell>
          <cell r="V547">
            <v>1</v>
          </cell>
          <cell r="X547" t="str">
            <v>DNDPPE Dir nat dévelop pédagogique &amp; programmes d'enseignement</v>
          </cell>
          <cell r="Y547" t="str">
            <v>P5</v>
          </cell>
          <cell r="Z547" t="str">
            <v>Serv.cent.</v>
          </cell>
          <cell r="AA547" t="str">
            <v>Matériel informatique</v>
          </cell>
          <cell r="AB547">
            <v>0</v>
          </cell>
          <cell r="AC547">
            <v>0</v>
          </cell>
        </row>
        <row r="548">
          <cell r="A548">
            <v>4880</v>
          </cell>
          <cell r="B548">
            <v>1</v>
          </cell>
          <cell r="C548">
            <v>1</v>
          </cell>
          <cell r="E548" t="str">
            <v>20</v>
          </cell>
          <cell r="F548">
            <v>44102100700</v>
          </cell>
          <cell r="G548">
            <v>3</v>
          </cell>
          <cell r="H548" t="str">
            <v>51</v>
          </cell>
          <cell r="I548">
            <v>20</v>
          </cell>
          <cell r="J548">
            <v>20</v>
          </cell>
          <cell r="K548">
            <v>1</v>
          </cell>
          <cell r="L548">
            <v>44</v>
          </cell>
          <cell r="M548">
            <v>102</v>
          </cell>
          <cell r="N548">
            <v>1</v>
          </cell>
          <cell r="O548" t="str">
            <v>00</v>
          </cell>
          <cell r="P548">
            <v>7</v>
          </cell>
          <cell r="Q548">
            <v>3</v>
          </cell>
          <cell r="R548">
            <v>5</v>
          </cell>
          <cell r="S548">
            <v>1</v>
          </cell>
          <cell r="T548">
            <v>20</v>
          </cell>
          <cell r="U548">
            <v>96</v>
          </cell>
          <cell r="V548">
            <v>1</v>
          </cell>
          <cell r="X548" t="str">
            <v>DNFPP Dir Nat Formation &amp; perfectionnement des presonnels</v>
          </cell>
          <cell r="Y548" t="str">
            <v>P5</v>
          </cell>
          <cell r="Z548" t="str">
            <v>Serv.cent.</v>
          </cell>
          <cell r="AA548" t="str">
            <v>Matériel informatique</v>
          </cell>
          <cell r="AB548">
            <v>0</v>
          </cell>
          <cell r="AC548">
            <v>0</v>
          </cell>
        </row>
        <row r="549">
          <cell r="A549">
            <v>4918</v>
          </cell>
          <cell r="B549">
            <v>1</v>
          </cell>
          <cell r="C549">
            <v>1</v>
          </cell>
          <cell r="E549" t="str">
            <v>20</v>
          </cell>
          <cell r="F549">
            <v>44505100700</v>
          </cell>
          <cell r="G549">
            <v>3</v>
          </cell>
          <cell r="H549" t="str">
            <v>51</v>
          </cell>
          <cell r="I549">
            <v>20</v>
          </cell>
          <cell r="J549">
            <v>20</v>
          </cell>
          <cell r="K549">
            <v>1</v>
          </cell>
          <cell r="L549">
            <v>44</v>
          </cell>
          <cell r="M549">
            <v>505</v>
          </cell>
          <cell r="N549">
            <v>1</v>
          </cell>
          <cell r="O549" t="str">
            <v>00</v>
          </cell>
          <cell r="P549">
            <v>7</v>
          </cell>
          <cell r="Q549">
            <v>3</v>
          </cell>
          <cell r="R549">
            <v>5</v>
          </cell>
          <cell r="S549">
            <v>1</v>
          </cell>
          <cell r="T549">
            <v>20</v>
          </cell>
          <cell r="U549">
            <v>96</v>
          </cell>
          <cell r="V549">
            <v>1</v>
          </cell>
          <cell r="X549" t="str">
            <v>SNIEM Serv nat Infrastructures Equipement &amp; Maintenance</v>
          </cell>
          <cell r="Y549" t="str">
            <v>P5</v>
          </cell>
          <cell r="Z549" t="str">
            <v>Serv.cent.</v>
          </cell>
          <cell r="AA549" t="str">
            <v>Matériel informatique</v>
          </cell>
          <cell r="AB549">
            <v>0</v>
          </cell>
          <cell r="AC549">
            <v>0</v>
          </cell>
        </row>
        <row r="550">
          <cell r="A550">
            <v>4929</v>
          </cell>
          <cell r="B550">
            <v>1</v>
          </cell>
          <cell r="C550">
            <v>1</v>
          </cell>
          <cell r="E550" t="str">
            <v>20</v>
          </cell>
          <cell r="F550">
            <v>44508100700</v>
          </cell>
          <cell r="G550">
            <v>3</v>
          </cell>
          <cell r="H550" t="str">
            <v>51</v>
          </cell>
          <cell r="I550">
            <v>20</v>
          </cell>
          <cell r="J550">
            <v>20</v>
          </cell>
          <cell r="K550">
            <v>1</v>
          </cell>
          <cell r="L550">
            <v>44</v>
          </cell>
          <cell r="M550">
            <v>508</v>
          </cell>
          <cell r="N550">
            <v>1</v>
          </cell>
          <cell r="O550" t="str">
            <v>00</v>
          </cell>
          <cell r="P550">
            <v>7</v>
          </cell>
          <cell r="Q550">
            <v>3</v>
          </cell>
          <cell r="R550">
            <v>5</v>
          </cell>
          <cell r="S550">
            <v>1</v>
          </cell>
          <cell r="T550">
            <v>20</v>
          </cell>
          <cell r="U550">
            <v>96</v>
          </cell>
          <cell r="V550">
            <v>1</v>
          </cell>
          <cell r="X550" t="str">
            <v>Cogetep  &amp; CLD</v>
          </cell>
          <cell r="Y550" t="str">
            <v>P5</v>
          </cell>
          <cell r="Z550" t="str">
            <v>Serv.Cent</v>
          </cell>
          <cell r="AA550" t="str">
            <v>Matériel informatique</v>
          </cell>
          <cell r="AB550">
            <v>0</v>
          </cell>
          <cell r="AC550">
            <v>0</v>
          </cell>
        </row>
        <row r="551">
          <cell r="A551">
            <v>4942</v>
          </cell>
          <cell r="B551">
            <v>1</v>
          </cell>
          <cell r="C551">
            <v>1</v>
          </cell>
          <cell r="E551" t="str">
            <v>20</v>
          </cell>
          <cell r="F551">
            <v>44900100700</v>
          </cell>
          <cell r="G551">
            <v>3</v>
          </cell>
          <cell r="H551" t="str">
            <v>51</v>
          </cell>
          <cell r="I551">
            <v>11</v>
          </cell>
          <cell r="J551">
            <v>20</v>
          </cell>
          <cell r="K551">
            <v>1</v>
          </cell>
          <cell r="L551">
            <v>44</v>
          </cell>
          <cell r="M551">
            <v>900</v>
          </cell>
          <cell r="N551">
            <v>1</v>
          </cell>
          <cell r="O551" t="str">
            <v>00</v>
          </cell>
          <cell r="P551">
            <v>7</v>
          </cell>
          <cell r="Q551">
            <v>3</v>
          </cell>
          <cell r="R551">
            <v>5</v>
          </cell>
          <cell r="S551">
            <v>1</v>
          </cell>
          <cell r="T551">
            <v>11</v>
          </cell>
          <cell r="U551">
            <v>96</v>
          </cell>
          <cell r="V551">
            <v>1</v>
          </cell>
          <cell r="X551" t="str">
            <v>Enseign. Technique Autres serv centraux</v>
          </cell>
          <cell r="Y551" t="str">
            <v>P5</v>
          </cell>
          <cell r="Z551" t="str">
            <v>Serv.cent.</v>
          </cell>
          <cell r="AA551" t="str">
            <v>Matériel mobilier bureau</v>
          </cell>
          <cell r="AB551">
            <v>38080</v>
          </cell>
          <cell r="AC551">
            <v>38080</v>
          </cell>
        </row>
        <row r="552">
          <cell r="A552">
            <v>4943</v>
          </cell>
          <cell r="B552">
            <v>1</v>
          </cell>
          <cell r="C552">
            <v>1</v>
          </cell>
          <cell r="E552" t="str">
            <v>20</v>
          </cell>
          <cell r="F552">
            <v>44900100700</v>
          </cell>
          <cell r="G552">
            <v>3</v>
          </cell>
          <cell r="H552" t="str">
            <v>51</v>
          </cell>
          <cell r="I552">
            <v>20</v>
          </cell>
          <cell r="J552">
            <v>20</v>
          </cell>
          <cell r="K552">
            <v>1</v>
          </cell>
          <cell r="L552">
            <v>44</v>
          </cell>
          <cell r="M552">
            <v>900</v>
          </cell>
          <cell r="N552">
            <v>1</v>
          </cell>
          <cell r="O552" t="str">
            <v>00</v>
          </cell>
          <cell r="P552">
            <v>7</v>
          </cell>
          <cell r="Q552">
            <v>3</v>
          </cell>
          <cell r="R552">
            <v>5</v>
          </cell>
          <cell r="S552">
            <v>1</v>
          </cell>
          <cell r="T552">
            <v>20</v>
          </cell>
          <cell r="U552">
            <v>96</v>
          </cell>
          <cell r="V552">
            <v>1</v>
          </cell>
          <cell r="X552" t="str">
            <v>Enseign. Technique Autres serv centraux</v>
          </cell>
          <cell r="Y552" t="str">
            <v>P5</v>
          </cell>
          <cell r="Z552" t="str">
            <v>Serv.cent.</v>
          </cell>
          <cell r="AA552" t="str">
            <v>Matériel informatique</v>
          </cell>
          <cell r="AB552">
            <v>40630</v>
          </cell>
          <cell r="AC552">
            <v>40630</v>
          </cell>
        </row>
        <row r="553">
          <cell r="A553">
            <v>4944</v>
          </cell>
          <cell r="B553">
            <v>1</v>
          </cell>
          <cell r="C553">
            <v>1</v>
          </cell>
          <cell r="E553" t="str">
            <v>20</v>
          </cell>
          <cell r="F553">
            <v>44900100700</v>
          </cell>
          <cell r="G553">
            <v>3</v>
          </cell>
          <cell r="H553" t="str">
            <v>51</v>
          </cell>
          <cell r="I553">
            <v>51</v>
          </cell>
          <cell r="J553">
            <v>20</v>
          </cell>
          <cell r="K553">
            <v>1</v>
          </cell>
          <cell r="L553">
            <v>44</v>
          </cell>
          <cell r="M553">
            <v>900</v>
          </cell>
          <cell r="N553">
            <v>1</v>
          </cell>
          <cell r="O553" t="str">
            <v>00</v>
          </cell>
          <cell r="P553">
            <v>7</v>
          </cell>
          <cell r="Q553">
            <v>3</v>
          </cell>
          <cell r="R553">
            <v>5</v>
          </cell>
          <cell r="S553">
            <v>1</v>
          </cell>
          <cell r="T553">
            <v>51</v>
          </cell>
          <cell r="U553">
            <v>96</v>
          </cell>
          <cell r="V553">
            <v>1</v>
          </cell>
          <cell r="X553" t="str">
            <v>Enseign. Technique Autres serv centraux</v>
          </cell>
          <cell r="Y553" t="str">
            <v>P5</v>
          </cell>
          <cell r="Z553" t="str">
            <v>Serv.cent.</v>
          </cell>
          <cell r="AA553" t="str">
            <v>Véhicules &amp; engins</v>
          </cell>
          <cell r="AB553">
            <v>258680</v>
          </cell>
          <cell r="AC553">
            <v>258680</v>
          </cell>
        </row>
        <row r="554">
          <cell r="A554">
            <v>3192</v>
          </cell>
          <cell r="B554">
            <v>1</v>
          </cell>
          <cell r="C554">
            <v>1</v>
          </cell>
          <cell r="E554" t="str">
            <v>20</v>
          </cell>
          <cell r="F554">
            <v>49900100700</v>
          </cell>
          <cell r="G554">
            <v>3</v>
          </cell>
          <cell r="H554" t="str">
            <v>51</v>
          </cell>
          <cell r="I554">
            <v>11</v>
          </cell>
          <cell r="J554">
            <v>20</v>
          </cell>
          <cell r="K554">
            <v>1</v>
          </cell>
          <cell r="L554">
            <v>49</v>
          </cell>
          <cell r="M554">
            <v>900</v>
          </cell>
          <cell r="N554">
            <v>1</v>
          </cell>
          <cell r="O554" t="str">
            <v>00</v>
          </cell>
          <cell r="P554">
            <v>7</v>
          </cell>
          <cell r="Q554">
            <v>3</v>
          </cell>
          <cell r="R554">
            <v>5</v>
          </cell>
          <cell r="S554">
            <v>1</v>
          </cell>
          <cell r="T554">
            <v>11</v>
          </cell>
          <cell r="U554">
            <v>93</v>
          </cell>
          <cell r="V554">
            <v>1</v>
          </cell>
          <cell r="X554" t="str">
            <v>Enseig. Serv adm Autres serv centraux</v>
          </cell>
          <cell r="Y554" t="str">
            <v>P5</v>
          </cell>
          <cell r="Z554" t="str">
            <v>Serv.centr.</v>
          </cell>
          <cell r="AA554" t="str">
            <v>Matériel mobilier bureau</v>
          </cell>
          <cell r="AB554">
            <v>0</v>
          </cell>
          <cell r="AC554">
            <v>0</v>
          </cell>
        </row>
        <row r="555">
          <cell r="A555">
            <v>3193</v>
          </cell>
          <cell r="B555">
            <v>1</v>
          </cell>
          <cell r="C555">
            <v>1</v>
          </cell>
          <cell r="E555" t="str">
            <v>20</v>
          </cell>
          <cell r="F555">
            <v>49900100700</v>
          </cell>
          <cell r="G555">
            <v>3</v>
          </cell>
          <cell r="H555" t="str">
            <v>51</v>
          </cell>
          <cell r="I555">
            <v>12</v>
          </cell>
          <cell r="J555">
            <v>20</v>
          </cell>
          <cell r="K555">
            <v>1</v>
          </cell>
          <cell r="L555">
            <v>49</v>
          </cell>
          <cell r="M555">
            <v>900</v>
          </cell>
          <cell r="N555">
            <v>1</v>
          </cell>
          <cell r="O555" t="str">
            <v>00</v>
          </cell>
          <cell r="P555">
            <v>7</v>
          </cell>
          <cell r="Q555">
            <v>3</v>
          </cell>
          <cell r="R555">
            <v>5</v>
          </cell>
          <cell r="S555">
            <v>1</v>
          </cell>
          <cell r="T555">
            <v>12</v>
          </cell>
          <cell r="U555">
            <v>93</v>
          </cell>
          <cell r="V555">
            <v>1</v>
          </cell>
          <cell r="X555" t="str">
            <v>Enseig. Serv adm Autres serv centraux</v>
          </cell>
          <cell r="Y555" t="str">
            <v>P5</v>
          </cell>
          <cell r="Z555" t="str">
            <v>Serv.centr.</v>
          </cell>
          <cell r="AA555" t="str">
            <v>Matériel mobilier logement</v>
          </cell>
          <cell r="AB555">
            <v>0</v>
          </cell>
          <cell r="AC555">
            <v>0</v>
          </cell>
        </row>
        <row r="556">
          <cell r="A556">
            <v>3194</v>
          </cell>
          <cell r="B556">
            <v>1</v>
          </cell>
          <cell r="C556">
            <v>1</v>
          </cell>
          <cell r="E556" t="str">
            <v>20</v>
          </cell>
          <cell r="F556">
            <v>49900100700</v>
          </cell>
          <cell r="G556">
            <v>3</v>
          </cell>
          <cell r="H556" t="str">
            <v>51</v>
          </cell>
          <cell r="I556">
            <v>20</v>
          </cell>
          <cell r="J556">
            <v>20</v>
          </cell>
          <cell r="K556">
            <v>1</v>
          </cell>
          <cell r="L556">
            <v>49</v>
          </cell>
          <cell r="M556">
            <v>900</v>
          </cell>
          <cell r="N556">
            <v>1</v>
          </cell>
          <cell r="O556" t="str">
            <v>00</v>
          </cell>
          <cell r="P556">
            <v>7</v>
          </cell>
          <cell r="Q556">
            <v>3</v>
          </cell>
          <cell r="R556">
            <v>5</v>
          </cell>
          <cell r="S556">
            <v>1</v>
          </cell>
          <cell r="T556">
            <v>20</v>
          </cell>
          <cell r="U556">
            <v>93</v>
          </cell>
          <cell r="V556">
            <v>1</v>
          </cell>
          <cell r="X556" t="str">
            <v>Enseig. Serv adm Autres serv centraux</v>
          </cell>
          <cell r="Y556" t="str">
            <v>P5</v>
          </cell>
          <cell r="Z556" t="str">
            <v>Serv.centr.</v>
          </cell>
          <cell r="AA556" t="str">
            <v>Matériel informat.</v>
          </cell>
          <cell r="AB556">
            <v>314320</v>
          </cell>
          <cell r="AC556">
            <v>314320</v>
          </cell>
        </row>
        <row r="557">
          <cell r="A557">
            <v>3195</v>
          </cell>
          <cell r="B557">
            <v>1</v>
          </cell>
          <cell r="C557">
            <v>1</v>
          </cell>
          <cell r="E557" t="str">
            <v>20</v>
          </cell>
          <cell r="F557">
            <v>49900100700</v>
          </cell>
          <cell r="G557">
            <v>3</v>
          </cell>
          <cell r="H557" t="str">
            <v>51</v>
          </cell>
          <cell r="I557">
            <v>40</v>
          </cell>
          <cell r="J557">
            <v>20</v>
          </cell>
          <cell r="K557">
            <v>1</v>
          </cell>
          <cell r="L557">
            <v>49</v>
          </cell>
          <cell r="M557">
            <v>900</v>
          </cell>
          <cell r="N557">
            <v>1</v>
          </cell>
          <cell r="O557" t="str">
            <v>00</v>
          </cell>
          <cell r="P557">
            <v>7</v>
          </cell>
          <cell r="Q557">
            <v>3</v>
          </cell>
          <cell r="R557">
            <v>5</v>
          </cell>
          <cell r="S557">
            <v>1</v>
          </cell>
          <cell r="T557">
            <v>40</v>
          </cell>
          <cell r="U557">
            <v>93</v>
          </cell>
          <cell r="V557">
            <v>1</v>
          </cell>
          <cell r="X557" t="str">
            <v>Enseig. Serv adm Autres serv centraux</v>
          </cell>
          <cell r="Y557" t="str">
            <v>P5</v>
          </cell>
          <cell r="Z557" t="str">
            <v>Serv.centr.</v>
          </cell>
          <cell r="AA557" t="str">
            <v>Autres matériels installat. technique</v>
          </cell>
          <cell r="AB557">
            <v>71800</v>
          </cell>
          <cell r="AC557">
            <v>71800</v>
          </cell>
        </row>
        <row r="558">
          <cell r="A558">
            <v>3197</v>
          </cell>
          <cell r="B558">
            <v>1</v>
          </cell>
          <cell r="C558">
            <v>1</v>
          </cell>
          <cell r="E558" t="str">
            <v>20</v>
          </cell>
          <cell r="F558">
            <v>49900100700</v>
          </cell>
          <cell r="G558">
            <v>3</v>
          </cell>
          <cell r="H558" t="str">
            <v>51</v>
          </cell>
          <cell r="I558">
            <v>59</v>
          </cell>
          <cell r="J558">
            <v>20</v>
          </cell>
          <cell r="K558">
            <v>1</v>
          </cell>
          <cell r="L558">
            <v>49</v>
          </cell>
          <cell r="M558">
            <v>900</v>
          </cell>
          <cell r="N558">
            <v>1</v>
          </cell>
          <cell r="O558" t="str">
            <v>00</v>
          </cell>
          <cell r="P558">
            <v>7</v>
          </cell>
          <cell r="Q558">
            <v>3</v>
          </cell>
          <cell r="R558">
            <v>5</v>
          </cell>
          <cell r="S558">
            <v>1</v>
          </cell>
          <cell r="T558">
            <v>59</v>
          </cell>
          <cell r="U558">
            <v>93</v>
          </cell>
          <cell r="V558">
            <v>1</v>
          </cell>
          <cell r="X558" t="str">
            <v>Enseig. Serv adm Autres serv centraux</v>
          </cell>
          <cell r="Y558" t="str">
            <v>P5</v>
          </cell>
          <cell r="Z558" t="str">
            <v>Serv.centr.</v>
          </cell>
          <cell r="AA558" t="str">
            <v>Autres matériels de transport</v>
          </cell>
          <cell r="AB558">
            <v>69290</v>
          </cell>
          <cell r="AC558">
            <v>69290</v>
          </cell>
        </row>
        <row r="559">
          <cell r="A559">
            <v>3198</v>
          </cell>
          <cell r="B559">
            <v>1</v>
          </cell>
          <cell r="C559">
            <v>1</v>
          </cell>
          <cell r="E559" t="str">
            <v>20</v>
          </cell>
          <cell r="F559">
            <v>49900100700</v>
          </cell>
          <cell r="G559">
            <v>3</v>
          </cell>
          <cell r="H559" t="str">
            <v>51</v>
          </cell>
          <cell r="I559">
            <v>90</v>
          </cell>
          <cell r="J559">
            <v>20</v>
          </cell>
          <cell r="K559">
            <v>1</v>
          </cell>
          <cell r="L559">
            <v>49</v>
          </cell>
          <cell r="M559">
            <v>900</v>
          </cell>
          <cell r="N559">
            <v>1</v>
          </cell>
          <cell r="O559" t="str">
            <v>00</v>
          </cell>
          <cell r="P559">
            <v>7</v>
          </cell>
          <cell r="Q559">
            <v>3</v>
          </cell>
          <cell r="R559">
            <v>5</v>
          </cell>
          <cell r="S559">
            <v>1</v>
          </cell>
          <cell r="T559">
            <v>90</v>
          </cell>
          <cell r="U559">
            <v>93</v>
          </cell>
          <cell r="V559">
            <v>1</v>
          </cell>
          <cell r="X559" t="str">
            <v>Enseig. Serv adm Autres serv centraux</v>
          </cell>
          <cell r="Y559" t="str">
            <v>P5</v>
          </cell>
          <cell r="Z559" t="str">
            <v>Serv.centr.</v>
          </cell>
          <cell r="AA559" t="str">
            <v>Autres matériels &amp; mobiliers</v>
          </cell>
          <cell r="AB559">
            <v>32700</v>
          </cell>
          <cell r="AC559">
            <v>32700</v>
          </cell>
        </row>
        <row r="560">
          <cell r="A560">
            <v>12436</v>
          </cell>
          <cell r="B560">
            <v>1</v>
          </cell>
          <cell r="J560">
            <v>20</v>
          </cell>
          <cell r="K560">
            <v>1</v>
          </cell>
          <cell r="N560">
            <v>2</v>
          </cell>
          <cell r="Q560">
            <v>3</v>
          </cell>
          <cell r="R560">
            <v>5</v>
          </cell>
          <cell r="S560">
            <v>1</v>
          </cell>
          <cell r="X560" t="str">
            <v>Conakry Services déconcentrés</v>
          </cell>
          <cell r="AB560">
            <v>0</v>
          </cell>
          <cell r="AC560">
            <v>0</v>
          </cell>
        </row>
        <row r="561">
          <cell r="A561">
            <v>2959</v>
          </cell>
          <cell r="B561">
            <v>1</v>
          </cell>
          <cell r="C561">
            <v>1</v>
          </cell>
          <cell r="E561" t="str">
            <v>20</v>
          </cell>
          <cell r="F561">
            <v>42000200700</v>
          </cell>
          <cell r="G561">
            <v>3</v>
          </cell>
          <cell r="H561" t="str">
            <v>51</v>
          </cell>
          <cell r="I561">
            <v>11</v>
          </cell>
          <cell r="J561">
            <v>20</v>
          </cell>
          <cell r="K561">
            <v>1</v>
          </cell>
          <cell r="L561">
            <v>42</v>
          </cell>
          <cell r="M561" t="str">
            <v>000</v>
          </cell>
          <cell r="N561">
            <v>2</v>
          </cell>
          <cell r="O561" t="str">
            <v>00</v>
          </cell>
          <cell r="P561">
            <v>7</v>
          </cell>
          <cell r="Q561">
            <v>3</v>
          </cell>
          <cell r="R561">
            <v>5</v>
          </cell>
          <cell r="S561">
            <v>1</v>
          </cell>
          <cell r="T561">
            <v>11</v>
          </cell>
          <cell r="U561">
            <v>33</v>
          </cell>
          <cell r="V561">
            <v>1</v>
          </cell>
          <cell r="X561" t="str">
            <v>Primaire Ens.serv.déconc.</v>
          </cell>
          <cell r="Z561" t="str">
            <v>Conakry</v>
          </cell>
          <cell r="AA561" t="str">
            <v>Matériel mobilier bureau</v>
          </cell>
          <cell r="AB561">
            <v>0</v>
          </cell>
          <cell r="AC561">
            <v>0</v>
          </cell>
        </row>
        <row r="562">
          <cell r="A562">
            <v>2960</v>
          </cell>
          <cell r="B562">
            <v>1</v>
          </cell>
          <cell r="C562">
            <v>1</v>
          </cell>
          <cell r="E562" t="str">
            <v>20</v>
          </cell>
          <cell r="F562">
            <v>42000200700</v>
          </cell>
          <cell r="G562">
            <v>3</v>
          </cell>
          <cell r="H562" t="str">
            <v>51</v>
          </cell>
          <cell r="I562">
            <v>13</v>
          </cell>
          <cell r="J562">
            <v>20</v>
          </cell>
          <cell r="K562">
            <v>1</v>
          </cell>
          <cell r="L562">
            <v>42</v>
          </cell>
          <cell r="M562" t="str">
            <v>000</v>
          </cell>
          <cell r="N562">
            <v>2</v>
          </cell>
          <cell r="O562" t="str">
            <v>00</v>
          </cell>
          <cell r="P562">
            <v>7</v>
          </cell>
          <cell r="Q562">
            <v>3</v>
          </cell>
          <cell r="R562">
            <v>5</v>
          </cell>
          <cell r="S562">
            <v>1</v>
          </cell>
          <cell r="T562">
            <v>13</v>
          </cell>
          <cell r="U562">
            <v>33</v>
          </cell>
          <cell r="V562">
            <v>1</v>
          </cell>
          <cell r="X562" t="str">
            <v>Primaire Ens.serv.déconc.</v>
          </cell>
          <cell r="Z562" t="str">
            <v>Conakry</v>
          </cell>
          <cell r="AA562" t="str">
            <v>Mobiler scolaire</v>
          </cell>
          <cell r="AB562">
            <v>0</v>
          </cell>
          <cell r="AC562">
            <v>0</v>
          </cell>
        </row>
        <row r="563">
          <cell r="A563">
            <v>2961</v>
          </cell>
          <cell r="B563">
            <v>1</v>
          </cell>
          <cell r="C563">
            <v>1</v>
          </cell>
          <cell r="E563" t="str">
            <v>20</v>
          </cell>
          <cell r="F563">
            <v>42000200700</v>
          </cell>
          <cell r="G563">
            <v>3</v>
          </cell>
          <cell r="H563" t="str">
            <v>51</v>
          </cell>
          <cell r="I563">
            <v>15</v>
          </cell>
          <cell r="J563">
            <v>20</v>
          </cell>
          <cell r="K563">
            <v>1</v>
          </cell>
          <cell r="L563">
            <v>42</v>
          </cell>
          <cell r="M563" t="str">
            <v>000</v>
          </cell>
          <cell r="N563">
            <v>2</v>
          </cell>
          <cell r="O563" t="str">
            <v>00</v>
          </cell>
          <cell r="P563">
            <v>7</v>
          </cell>
          <cell r="Q563">
            <v>3</v>
          </cell>
          <cell r="R563">
            <v>5</v>
          </cell>
          <cell r="S563">
            <v>1</v>
          </cell>
          <cell r="T563">
            <v>15</v>
          </cell>
          <cell r="U563">
            <v>33</v>
          </cell>
          <cell r="V563">
            <v>1</v>
          </cell>
          <cell r="X563" t="str">
            <v>Primaire Ens.serv.déconc.</v>
          </cell>
          <cell r="Z563" t="str">
            <v>Conakry</v>
          </cell>
          <cell r="AA563" t="str">
            <v>Matériel scolaire</v>
          </cell>
          <cell r="AB563">
            <v>0</v>
          </cell>
          <cell r="AC563">
            <v>0</v>
          </cell>
        </row>
        <row r="564">
          <cell r="A564">
            <v>2962</v>
          </cell>
          <cell r="B564">
            <v>1</v>
          </cell>
          <cell r="C564">
            <v>1</v>
          </cell>
          <cell r="E564" t="str">
            <v>20</v>
          </cell>
          <cell r="F564">
            <v>42000200700</v>
          </cell>
          <cell r="G564">
            <v>3</v>
          </cell>
          <cell r="H564" t="str">
            <v>51</v>
          </cell>
          <cell r="I564">
            <v>40</v>
          </cell>
          <cell r="J564">
            <v>20</v>
          </cell>
          <cell r="K564">
            <v>1</v>
          </cell>
          <cell r="L564">
            <v>42</v>
          </cell>
          <cell r="M564" t="str">
            <v>000</v>
          </cell>
          <cell r="N564">
            <v>2</v>
          </cell>
          <cell r="O564" t="str">
            <v>00</v>
          </cell>
          <cell r="P564">
            <v>7</v>
          </cell>
          <cell r="Q564">
            <v>3</v>
          </cell>
          <cell r="R564">
            <v>5</v>
          </cell>
          <cell r="S564">
            <v>1</v>
          </cell>
          <cell r="T564">
            <v>40</v>
          </cell>
          <cell r="U564">
            <v>33</v>
          </cell>
          <cell r="V564">
            <v>1</v>
          </cell>
          <cell r="X564" t="str">
            <v>Primaire Ens.serv.déconc.</v>
          </cell>
          <cell r="Z564" t="str">
            <v>Conakry</v>
          </cell>
          <cell r="AA564" t="str">
            <v>Autres matériels installat. technique</v>
          </cell>
          <cell r="AB564">
            <v>0</v>
          </cell>
          <cell r="AC564">
            <v>0</v>
          </cell>
        </row>
        <row r="565">
          <cell r="A565">
            <v>2963</v>
          </cell>
          <cell r="B565">
            <v>1</v>
          </cell>
          <cell r="C565">
            <v>1</v>
          </cell>
          <cell r="E565" t="str">
            <v>20</v>
          </cell>
          <cell r="F565">
            <v>42000200700</v>
          </cell>
          <cell r="G565">
            <v>3</v>
          </cell>
          <cell r="H565" t="str">
            <v>51</v>
          </cell>
          <cell r="I565">
            <v>90</v>
          </cell>
          <cell r="J565">
            <v>20</v>
          </cell>
          <cell r="K565">
            <v>1</v>
          </cell>
          <cell r="L565">
            <v>42</v>
          </cell>
          <cell r="M565" t="str">
            <v>000</v>
          </cell>
          <cell r="N565">
            <v>2</v>
          </cell>
          <cell r="O565" t="str">
            <v>00</v>
          </cell>
          <cell r="P565">
            <v>7</v>
          </cell>
          <cell r="Q565">
            <v>3</v>
          </cell>
          <cell r="R565">
            <v>5</v>
          </cell>
          <cell r="S565">
            <v>1</v>
          </cell>
          <cell r="T565">
            <v>90</v>
          </cell>
          <cell r="U565">
            <v>33</v>
          </cell>
          <cell r="V565">
            <v>1</v>
          </cell>
          <cell r="X565" t="str">
            <v>Primaire Ens.serv.déconc.</v>
          </cell>
          <cell r="Z565" t="str">
            <v>Conakry</v>
          </cell>
          <cell r="AA565" t="str">
            <v>Autres matériels &amp; mobiliers</v>
          </cell>
          <cell r="AB565">
            <v>0</v>
          </cell>
          <cell r="AC565">
            <v>0</v>
          </cell>
        </row>
        <row r="566">
          <cell r="A566">
            <v>3020</v>
          </cell>
          <cell r="B566">
            <v>1</v>
          </cell>
          <cell r="C566">
            <v>1</v>
          </cell>
          <cell r="E566" t="str">
            <v>20</v>
          </cell>
          <cell r="F566">
            <v>43000200700</v>
          </cell>
          <cell r="G566">
            <v>3</v>
          </cell>
          <cell r="H566" t="str">
            <v>51</v>
          </cell>
          <cell r="I566">
            <v>11</v>
          </cell>
          <cell r="J566">
            <v>20</v>
          </cell>
          <cell r="K566">
            <v>1</v>
          </cell>
          <cell r="L566">
            <v>43</v>
          </cell>
          <cell r="M566" t="str">
            <v>000</v>
          </cell>
          <cell r="N566">
            <v>2</v>
          </cell>
          <cell r="O566" t="str">
            <v>00</v>
          </cell>
          <cell r="P566">
            <v>7</v>
          </cell>
          <cell r="Q566">
            <v>3</v>
          </cell>
          <cell r="R566">
            <v>5</v>
          </cell>
          <cell r="S566">
            <v>1</v>
          </cell>
          <cell r="T566">
            <v>11</v>
          </cell>
          <cell r="U566">
            <v>33</v>
          </cell>
          <cell r="V566">
            <v>1</v>
          </cell>
          <cell r="X566" t="str">
            <v>Secondaire Ens.serv.déconc.</v>
          </cell>
          <cell r="Z566" t="str">
            <v>Conakry</v>
          </cell>
          <cell r="AA566" t="str">
            <v>Matériel mobilier bureau</v>
          </cell>
          <cell r="AB566">
            <v>0</v>
          </cell>
          <cell r="AC566">
            <v>0</v>
          </cell>
        </row>
        <row r="567">
          <cell r="A567">
            <v>3021</v>
          </cell>
          <cell r="B567">
            <v>1</v>
          </cell>
          <cell r="C567">
            <v>1</v>
          </cell>
          <cell r="E567" t="str">
            <v>20</v>
          </cell>
          <cell r="F567">
            <v>43000200700</v>
          </cell>
          <cell r="G567">
            <v>3</v>
          </cell>
          <cell r="H567" t="str">
            <v>51</v>
          </cell>
          <cell r="I567">
            <v>13</v>
          </cell>
          <cell r="J567">
            <v>20</v>
          </cell>
          <cell r="K567">
            <v>1</v>
          </cell>
          <cell r="L567">
            <v>43</v>
          </cell>
          <cell r="M567" t="str">
            <v>000</v>
          </cell>
          <cell r="N567">
            <v>2</v>
          </cell>
          <cell r="O567" t="str">
            <v>00</v>
          </cell>
          <cell r="P567">
            <v>7</v>
          </cell>
          <cell r="Q567">
            <v>3</v>
          </cell>
          <cell r="R567">
            <v>5</v>
          </cell>
          <cell r="S567">
            <v>1</v>
          </cell>
          <cell r="T567">
            <v>13</v>
          </cell>
          <cell r="U567">
            <v>33</v>
          </cell>
          <cell r="V567">
            <v>1</v>
          </cell>
          <cell r="X567" t="str">
            <v>Secondaire Ens.serv.déconc.</v>
          </cell>
          <cell r="Z567" t="str">
            <v>Conakry</v>
          </cell>
          <cell r="AA567" t="str">
            <v>Mobiler scolaire</v>
          </cell>
          <cell r="AB567">
            <v>0</v>
          </cell>
          <cell r="AC567">
            <v>0</v>
          </cell>
        </row>
        <row r="568">
          <cell r="A568">
            <v>3022</v>
          </cell>
          <cell r="B568">
            <v>1</v>
          </cell>
          <cell r="C568">
            <v>1</v>
          </cell>
          <cell r="E568" t="str">
            <v>20</v>
          </cell>
          <cell r="F568">
            <v>43000200700</v>
          </cell>
          <cell r="G568">
            <v>3</v>
          </cell>
          <cell r="H568" t="str">
            <v>51</v>
          </cell>
          <cell r="I568">
            <v>15</v>
          </cell>
          <cell r="J568">
            <v>20</v>
          </cell>
          <cell r="K568">
            <v>1</v>
          </cell>
          <cell r="L568">
            <v>43</v>
          </cell>
          <cell r="M568" t="str">
            <v>000</v>
          </cell>
          <cell r="N568">
            <v>2</v>
          </cell>
          <cell r="O568" t="str">
            <v>00</v>
          </cell>
          <cell r="P568">
            <v>7</v>
          </cell>
          <cell r="Q568">
            <v>3</v>
          </cell>
          <cell r="R568">
            <v>5</v>
          </cell>
          <cell r="S568">
            <v>1</v>
          </cell>
          <cell r="T568">
            <v>15</v>
          </cell>
          <cell r="U568">
            <v>33</v>
          </cell>
          <cell r="V568">
            <v>1</v>
          </cell>
          <cell r="X568" t="str">
            <v>Secondaire Ens.serv.déconc.</v>
          </cell>
          <cell r="Z568" t="str">
            <v>Conakry</v>
          </cell>
          <cell r="AA568" t="str">
            <v>Matériel scolaire</v>
          </cell>
          <cell r="AB568">
            <v>0</v>
          </cell>
          <cell r="AC568">
            <v>0</v>
          </cell>
        </row>
        <row r="569">
          <cell r="A569">
            <v>3023</v>
          </cell>
          <cell r="B569">
            <v>1</v>
          </cell>
          <cell r="C569">
            <v>1</v>
          </cell>
          <cell r="E569" t="str">
            <v>20</v>
          </cell>
          <cell r="F569">
            <v>43000200700</v>
          </cell>
          <cell r="G569">
            <v>3</v>
          </cell>
          <cell r="H569" t="str">
            <v>51</v>
          </cell>
          <cell r="I569">
            <v>20</v>
          </cell>
          <cell r="J569">
            <v>20</v>
          </cell>
          <cell r="K569">
            <v>1</v>
          </cell>
          <cell r="L569">
            <v>43</v>
          </cell>
          <cell r="M569" t="str">
            <v>000</v>
          </cell>
          <cell r="N569">
            <v>2</v>
          </cell>
          <cell r="O569" t="str">
            <v>00</v>
          </cell>
          <cell r="P569">
            <v>7</v>
          </cell>
          <cell r="Q569">
            <v>3</v>
          </cell>
          <cell r="R569">
            <v>5</v>
          </cell>
          <cell r="S569">
            <v>1</v>
          </cell>
          <cell r="T569">
            <v>20</v>
          </cell>
          <cell r="U569">
            <v>33</v>
          </cell>
          <cell r="V569">
            <v>1</v>
          </cell>
          <cell r="X569" t="str">
            <v>Secondaire Ens.serv.déconc.</v>
          </cell>
          <cell r="Z569" t="str">
            <v>Conakry</v>
          </cell>
          <cell r="AA569" t="str">
            <v>Matériel informat.</v>
          </cell>
          <cell r="AB569">
            <v>0</v>
          </cell>
          <cell r="AC569">
            <v>0</v>
          </cell>
        </row>
        <row r="570">
          <cell r="A570">
            <v>3024</v>
          </cell>
          <cell r="B570">
            <v>1</v>
          </cell>
          <cell r="C570">
            <v>1</v>
          </cell>
          <cell r="E570" t="str">
            <v>20</v>
          </cell>
          <cell r="F570">
            <v>43000200700</v>
          </cell>
          <cell r="G570">
            <v>3</v>
          </cell>
          <cell r="H570" t="str">
            <v>51</v>
          </cell>
          <cell r="I570">
            <v>40</v>
          </cell>
          <cell r="J570">
            <v>20</v>
          </cell>
          <cell r="K570">
            <v>1</v>
          </cell>
          <cell r="L570">
            <v>43</v>
          </cell>
          <cell r="M570" t="str">
            <v>000</v>
          </cell>
          <cell r="N570">
            <v>2</v>
          </cell>
          <cell r="O570" t="str">
            <v>00</v>
          </cell>
          <cell r="P570">
            <v>7</v>
          </cell>
          <cell r="Q570">
            <v>3</v>
          </cell>
          <cell r="R570">
            <v>5</v>
          </cell>
          <cell r="S570">
            <v>1</v>
          </cell>
          <cell r="T570">
            <v>40</v>
          </cell>
          <cell r="U570">
            <v>33</v>
          </cell>
          <cell r="V570">
            <v>1</v>
          </cell>
          <cell r="X570" t="str">
            <v>Secondaire Ens.serv.déconc.</v>
          </cell>
          <cell r="Z570" t="str">
            <v>Conakry</v>
          </cell>
          <cell r="AA570" t="str">
            <v>Autres matériels installat. technique</v>
          </cell>
          <cell r="AB570">
            <v>0</v>
          </cell>
          <cell r="AC570">
            <v>0</v>
          </cell>
        </row>
        <row r="571">
          <cell r="A571">
            <v>4895</v>
          </cell>
          <cell r="B571">
            <v>1</v>
          </cell>
          <cell r="C571">
            <v>1</v>
          </cell>
          <cell r="E571" t="str">
            <v>20</v>
          </cell>
          <cell r="F571">
            <v>44300200700</v>
          </cell>
          <cell r="G571">
            <v>3</v>
          </cell>
          <cell r="H571" t="str">
            <v>51</v>
          </cell>
          <cell r="I571">
            <v>11</v>
          </cell>
          <cell r="J571">
            <v>20</v>
          </cell>
          <cell r="K571">
            <v>1</v>
          </cell>
          <cell r="L571">
            <v>44</v>
          </cell>
          <cell r="M571">
            <v>300</v>
          </cell>
          <cell r="N571">
            <v>2</v>
          </cell>
          <cell r="O571" t="str">
            <v>00</v>
          </cell>
          <cell r="P571">
            <v>7</v>
          </cell>
          <cell r="Q571">
            <v>3</v>
          </cell>
          <cell r="R571">
            <v>5</v>
          </cell>
          <cell r="S571">
            <v>1</v>
          </cell>
          <cell r="T571">
            <v>11</v>
          </cell>
          <cell r="U571">
            <v>36</v>
          </cell>
          <cell r="V571">
            <v>1</v>
          </cell>
          <cell r="X571" t="str">
            <v>Inspect région. Ens tech</v>
          </cell>
          <cell r="Z571" t="str">
            <v>Conakry</v>
          </cell>
          <cell r="AA571" t="str">
            <v>Matériel mobilier bureau</v>
          </cell>
          <cell r="AB571">
            <v>0</v>
          </cell>
          <cell r="AC571">
            <v>0</v>
          </cell>
        </row>
        <row r="572">
          <cell r="A572">
            <v>3077</v>
          </cell>
          <cell r="B572">
            <v>1</v>
          </cell>
          <cell r="C572">
            <v>1</v>
          </cell>
          <cell r="E572" t="str">
            <v>20</v>
          </cell>
          <cell r="F572">
            <v>49000200700</v>
          </cell>
          <cell r="G572">
            <v>3</v>
          </cell>
          <cell r="H572" t="str">
            <v>51</v>
          </cell>
          <cell r="I572">
            <v>11</v>
          </cell>
          <cell r="J572">
            <v>20</v>
          </cell>
          <cell r="K572">
            <v>1</v>
          </cell>
          <cell r="L572">
            <v>49</v>
          </cell>
          <cell r="M572" t="str">
            <v>000</v>
          </cell>
          <cell r="N572">
            <v>2</v>
          </cell>
          <cell r="O572" t="str">
            <v>00</v>
          </cell>
          <cell r="P572">
            <v>7</v>
          </cell>
          <cell r="Q572">
            <v>3</v>
          </cell>
          <cell r="R572">
            <v>5</v>
          </cell>
          <cell r="S572">
            <v>1</v>
          </cell>
          <cell r="T572">
            <v>11</v>
          </cell>
          <cell r="U572">
            <v>33</v>
          </cell>
          <cell r="V572">
            <v>1</v>
          </cell>
          <cell r="X572" t="str">
            <v>Enseig. Serv administratifs</v>
          </cell>
          <cell r="Z572" t="str">
            <v>Conakry</v>
          </cell>
          <cell r="AA572" t="str">
            <v>Matériel mobilier bureau</v>
          </cell>
          <cell r="AB572">
            <v>0</v>
          </cell>
          <cell r="AC572">
            <v>0</v>
          </cell>
        </row>
        <row r="573">
          <cell r="A573">
            <v>3078</v>
          </cell>
          <cell r="B573">
            <v>1</v>
          </cell>
          <cell r="C573">
            <v>1</v>
          </cell>
          <cell r="E573" t="str">
            <v>20</v>
          </cell>
          <cell r="F573">
            <v>49000200700</v>
          </cell>
          <cell r="G573">
            <v>3</v>
          </cell>
          <cell r="H573" t="str">
            <v>51</v>
          </cell>
          <cell r="I573">
            <v>12</v>
          </cell>
          <cell r="J573">
            <v>20</v>
          </cell>
          <cell r="K573">
            <v>1</v>
          </cell>
          <cell r="L573">
            <v>49</v>
          </cell>
          <cell r="M573" t="str">
            <v>000</v>
          </cell>
          <cell r="N573">
            <v>2</v>
          </cell>
          <cell r="O573" t="str">
            <v>00</v>
          </cell>
          <cell r="P573">
            <v>7</v>
          </cell>
          <cell r="Q573">
            <v>3</v>
          </cell>
          <cell r="R573">
            <v>5</v>
          </cell>
          <cell r="S573">
            <v>1</v>
          </cell>
          <cell r="T573">
            <v>12</v>
          </cell>
          <cell r="U573">
            <v>33</v>
          </cell>
          <cell r="V573">
            <v>1</v>
          </cell>
          <cell r="X573" t="str">
            <v>Enseig. Serv administratifs</v>
          </cell>
          <cell r="Z573" t="str">
            <v>Conakry</v>
          </cell>
          <cell r="AA573" t="str">
            <v>Matériel mobilier logement</v>
          </cell>
          <cell r="AB573">
            <v>0</v>
          </cell>
          <cell r="AC573">
            <v>0</v>
          </cell>
        </row>
        <row r="574">
          <cell r="A574">
            <v>3079</v>
          </cell>
          <cell r="B574">
            <v>1</v>
          </cell>
          <cell r="C574">
            <v>1</v>
          </cell>
          <cell r="E574" t="str">
            <v>20</v>
          </cell>
          <cell r="F574">
            <v>49000200700</v>
          </cell>
          <cell r="G574">
            <v>3</v>
          </cell>
          <cell r="H574" t="str">
            <v>51</v>
          </cell>
          <cell r="I574">
            <v>20</v>
          </cell>
          <cell r="J574">
            <v>20</v>
          </cell>
          <cell r="K574">
            <v>1</v>
          </cell>
          <cell r="L574">
            <v>49</v>
          </cell>
          <cell r="M574" t="str">
            <v>000</v>
          </cell>
          <cell r="N574">
            <v>2</v>
          </cell>
          <cell r="O574" t="str">
            <v>00</v>
          </cell>
          <cell r="P574">
            <v>7</v>
          </cell>
          <cell r="Q574">
            <v>3</v>
          </cell>
          <cell r="R574">
            <v>5</v>
          </cell>
          <cell r="S574">
            <v>1</v>
          </cell>
          <cell r="T574">
            <v>20</v>
          </cell>
          <cell r="U574">
            <v>33</v>
          </cell>
          <cell r="V574">
            <v>1</v>
          </cell>
          <cell r="X574" t="str">
            <v>Enseig. Serv administratifs</v>
          </cell>
          <cell r="Z574" t="str">
            <v>Conakry</v>
          </cell>
          <cell r="AA574" t="str">
            <v>Matériel informat.</v>
          </cell>
          <cell r="AB574">
            <v>0</v>
          </cell>
          <cell r="AC574">
            <v>0</v>
          </cell>
        </row>
        <row r="575">
          <cell r="A575">
            <v>3080</v>
          </cell>
          <cell r="B575">
            <v>1</v>
          </cell>
          <cell r="C575">
            <v>1</v>
          </cell>
          <cell r="E575" t="str">
            <v>20</v>
          </cell>
          <cell r="F575">
            <v>49000200700</v>
          </cell>
          <cell r="G575">
            <v>3</v>
          </cell>
          <cell r="H575" t="str">
            <v>51</v>
          </cell>
          <cell r="I575">
            <v>40</v>
          </cell>
          <cell r="J575">
            <v>20</v>
          </cell>
          <cell r="K575">
            <v>1</v>
          </cell>
          <cell r="L575">
            <v>49</v>
          </cell>
          <cell r="M575" t="str">
            <v>000</v>
          </cell>
          <cell r="N575">
            <v>2</v>
          </cell>
          <cell r="O575" t="str">
            <v>00</v>
          </cell>
          <cell r="P575">
            <v>7</v>
          </cell>
          <cell r="Q575">
            <v>3</v>
          </cell>
          <cell r="R575">
            <v>5</v>
          </cell>
          <cell r="S575">
            <v>1</v>
          </cell>
          <cell r="T575">
            <v>40</v>
          </cell>
          <cell r="U575">
            <v>33</v>
          </cell>
          <cell r="V575">
            <v>1</v>
          </cell>
          <cell r="X575" t="str">
            <v>Enseig. Serv administratifs</v>
          </cell>
          <cell r="Z575" t="str">
            <v>Conakry</v>
          </cell>
          <cell r="AA575" t="str">
            <v>Autres matériels installat. technique</v>
          </cell>
          <cell r="AB575">
            <v>0</v>
          </cell>
          <cell r="AC575">
            <v>0</v>
          </cell>
        </row>
        <row r="576">
          <cell r="A576">
            <v>3081</v>
          </cell>
          <cell r="B576">
            <v>1</v>
          </cell>
          <cell r="C576">
            <v>1</v>
          </cell>
          <cell r="E576" t="str">
            <v>20</v>
          </cell>
          <cell r="F576">
            <v>49000200700</v>
          </cell>
          <cell r="G576">
            <v>3</v>
          </cell>
          <cell r="H576" t="str">
            <v>51</v>
          </cell>
          <cell r="I576">
            <v>51</v>
          </cell>
          <cell r="J576">
            <v>20</v>
          </cell>
          <cell r="K576">
            <v>1</v>
          </cell>
          <cell r="L576">
            <v>49</v>
          </cell>
          <cell r="M576" t="str">
            <v>000</v>
          </cell>
          <cell r="N576">
            <v>2</v>
          </cell>
          <cell r="O576" t="str">
            <v>00</v>
          </cell>
          <cell r="P576">
            <v>7</v>
          </cell>
          <cell r="Q576">
            <v>3</v>
          </cell>
          <cell r="R576">
            <v>5</v>
          </cell>
          <cell r="S576">
            <v>1</v>
          </cell>
          <cell r="T576">
            <v>51</v>
          </cell>
          <cell r="U576">
            <v>33</v>
          </cell>
          <cell r="V576">
            <v>1</v>
          </cell>
          <cell r="X576" t="str">
            <v>Enseig. Serv administratifs</v>
          </cell>
          <cell r="Z576" t="str">
            <v>Conakry</v>
          </cell>
          <cell r="AA576" t="str">
            <v>Véhicules &amp; engins</v>
          </cell>
          <cell r="AB576">
            <v>0</v>
          </cell>
          <cell r="AC576">
            <v>0</v>
          </cell>
        </row>
        <row r="577">
          <cell r="A577">
            <v>3082</v>
          </cell>
          <cell r="B577">
            <v>1</v>
          </cell>
          <cell r="C577">
            <v>1</v>
          </cell>
          <cell r="E577" t="str">
            <v>20</v>
          </cell>
          <cell r="F577">
            <v>49000200700</v>
          </cell>
          <cell r="G577">
            <v>3</v>
          </cell>
          <cell r="H577" t="str">
            <v>51</v>
          </cell>
          <cell r="I577">
            <v>59</v>
          </cell>
          <cell r="J577">
            <v>20</v>
          </cell>
          <cell r="K577">
            <v>1</v>
          </cell>
          <cell r="L577">
            <v>49</v>
          </cell>
          <cell r="M577" t="str">
            <v>000</v>
          </cell>
          <cell r="N577">
            <v>2</v>
          </cell>
          <cell r="O577" t="str">
            <v>00</v>
          </cell>
          <cell r="P577">
            <v>7</v>
          </cell>
          <cell r="Q577">
            <v>3</v>
          </cell>
          <cell r="R577">
            <v>5</v>
          </cell>
          <cell r="S577">
            <v>1</v>
          </cell>
          <cell r="T577">
            <v>59</v>
          </cell>
          <cell r="U577">
            <v>33</v>
          </cell>
          <cell r="V577">
            <v>1</v>
          </cell>
          <cell r="X577" t="str">
            <v>Enseig. Serv administratifs</v>
          </cell>
          <cell r="Z577" t="str">
            <v>Conakry</v>
          </cell>
          <cell r="AA577" t="str">
            <v>Autres matériels de transport</v>
          </cell>
          <cell r="AB577">
            <v>0</v>
          </cell>
          <cell r="AC577">
            <v>0</v>
          </cell>
        </row>
        <row r="578">
          <cell r="A578">
            <v>3083</v>
          </cell>
          <cell r="B578">
            <v>1</v>
          </cell>
          <cell r="C578">
            <v>1</v>
          </cell>
          <cell r="E578" t="str">
            <v>20</v>
          </cell>
          <cell r="F578">
            <v>49000200700</v>
          </cell>
          <cell r="G578">
            <v>3</v>
          </cell>
          <cell r="H578" t="str">
            <v>51</v>
          </cell>
          <cell r="I578">
            <v>90</v>
          </cell>
          <cell r="J578">
            <v>20</v>
          </cell>
          <cell r="K578">
            <v>1</v>
          </cell>
          <cell r="L578">
            <v>49</v>
          </cell>
          <cell r="M578" t="str">
            <v>000</v>
          </cell>
          <cell r="N578">
            <v>2</v>
          </cell>
          <cell r="O578" t="str">
            <v>00</v>
          </cell>
          <cell r="P578">
            <v>7</v>
          </cell>
          <cell r="Q578">
            <v>3</v>
          </cell>
          <cell r="R578">
            <v>5</v>
          </cell>
          <cell r="S578">
            <v>1</v>
          </cell>
          <cell r="T578">
            <v>90</v>
          </cell>
          <cell r="U578">
            <v>33</v>
          </cell>
          <cell r="V578">
            <v>1</v>
          </cell>
          <cell r="X578" t="str">
            <v>Enseig. Serv administratifs</v>
          </cell>
          <cell r="Z578" t="str">
            <v>Conakry</v>
          </cell>
          <cell r="AA578" t="str">
            <v>Autres matériels &amp; mobiliers</v>
          </cell>
          <cell r="AB578">
            <v>0</v>
          </cell>
          <cell r="AC578">
            <v>0</v>
          </cell>
        </row>
        <row r="579">
          <cell r="A579">
            <v>12438</v>
          </cell>
          <cell r="B579">
            <v>1</v>
          </cell>
          <cell r="J579">
            <v>20</v>
          </cell>
          <cell r="K579">
            <v>1</v>
          </cell>
          <cell r="N579">
            <v>3</v>
          </cell>
          <cell r="Q579">
            <v>3</v>
          </cell>
          <cell r="R579">
            <v>5</v>
          </cell>
          <cell r="S579">
            <v>1</v>
          </cell>
          <cell r="X579" t="str">
            <v>Intérieur Services déconcentrés</v>
          </cell>
          <cell r="AB579">
            <v>0</v>
          </cell>
          <cell r="AC579">
            <v>0</v>
          </cell>
        </row>
        <row r="580">
          <cell r="A580">
            <v>2987</v>
          </cell>
          <cell r="B580">
            <v>1</v>
          </cell>
          <cell r="C580">
            <v>1</v>
          </cell>
          <cell r="E580" t="str">
            <v>20</v>
          </cell>
          <cell r="F580">
            <v>42000300700</v>
          </cell>
          <cell r="G580">
            <v>3</v>
          </cell>
          <cell r="H580" t="str">
            <v>51</v>
          </cell>
          <cell r="I580">
            <v>11</v>
          </cell>
          <cell r="J580">
            <v>20</v>
          </cell>
          <cell r="K580">
            <v>1</v>
          </cell>
          <cell r="L580">
            <v>42</v>
          </cell>
          <cell r="M580" t="str">
            <v>000</v>
          </cell>
          <cell r="N580">
            <v>3</v>
          </cell>
          <cell r="O580" t="str">
            <v>00</v>
          </cell>
          <cell r="P580">
            <v>7</v>
          </cell>
          <cell r="Q580">
            <v>3</v>
          </cell>
          <cell r="R580">
            <v>5</v>
          </cell>
          <cell r="S580">
            <v>1</v>
          </cell>
          <cell r="T580">
            <v>11</v>
          </cell>
          <cell r="U580">
            <v>33</v>
          </cell>
          <cell r="V580">
            <v>1</v>
          </cell>
          <cell r="X580" t="str">
            <v>Primaire Ens.serv.déconc.</v>
          </cell>
          <cell r="Z580" t="str">
            <v>Intérieur</v>
          </cell>
          <cell r="AA580" t="str">
            <v>Matériel mobilier bureau</v>
          </cell>
          <cell r="AB580">
            <v>0</v>
          </cell>
          <cell r="AC580">
            <v>0</v>
          </cell>
        </row>
        <row r="581">
          <cell r="A581">
            <v>2988</v>
          </cell>
          <cell r="B581">
            <v>1</v>
          </cell>
          <cell r="C581">
            <v>1</v>
          </cell>
          <cell r="E581" t="str">
            <v>20</v>
          </cell>
          <cell r="F581">
            <v>42000300700</v>
          </cell>
          <cell r="G581">
            <v>3</v>
          </cell>
          <cell r="H581" t="str">
            <v>51</v>
          </cell>
          <cell r="I581">
            <v>13</v>
          </cell>
          <cell r="J581">
            <v>20</v>
          </cell>
          <cell r="K581">
            <v>1</v>
          </cell>
          <cell r="L581">
            <v>42</v>
          </cell>
          <cell r="M581" t="str">
            <v>000</v>
          </cell>
          <cell r="N581">
            <v>3</v>
          </cell>
          <cell r="O581" t="str">
            <v>00</v>
          </cell>
          <cell r="P581">
            <v>7</v>
          </cell>
          <cell r="Q581">
            <v>3</v>
          </cell>
          <cell r="R581">
            <v>5</v>
          </cell>
          <cell r="S581">
            <v>1</v>
          </cell>
          <cell r="T581">
            <v>13</v>
          </cell>
          <cell r="U581">
            <v>33</v>
          </cell>
          <cell r="V581">
            <v>1</v>
          </cell>
          <cell r="X581" t="str">
            <v>Primaire Ens.serv.déconc.</v>
          </cell>
          <cell r="Z581" t="str">
            <v>Intérieur</v>
          </cell>
          <cell r="AA581" t="str">
            <v>Mobiler scolaire</v>
          </cell>
          <cell r="AB581">
            <v>0</v>
          </cell>
          <cell r="AC581">
            <v>0</v>
          </cell>
        </row>
        <row r="582">
          <cell r="A582">
            <v>2989</v>
          </cell>
          <cell r="B582">
            <v>1</v>
          </cell>
          <cell r="C582">
            <v>1</v>
          </cell>
          <cell r="E582" t="str">
            <v>20</v>
          </cell>
          <cell r="F582">
            <v>42000300700</v>
          </cell>
          <cell r="G582">
            <v>3</v>
          </cell>
          <cell r="H582" t="str">
            <v>51</v>
          </cell>
          <cell r="I582">
            <v>15</v>
          </cell>
          <cell r="J582">
            <v>20</v>
          </cell>
          <cell r="K582">
            <v>1</v>
          </cell>
          <cell r="L582">
            <v>42</v>
          </cell>
          <cell r="M582" t="str">
            <v>000</v>
          </cell>
          <cell r="N582">
            <v>3</v>
          </cell>
          <cell r="O582" t="str">
            <v>00</v>
          </cell>
          <cell r="P582">
            <v>7</v>
          </cell>
          <cell r="Q582">
            <v>3</v>
          </cell>
          <cell r="R582">
            <v>5</v>
          </cell>
          <cell r="S582">
            <v>1</v>
          </cell>
          <cell r="T582">
            <v>15</v>
          </cell>
          <cell r="U582">
            <v>33</v>
          </cell>
          <cell r="V582">
            <v>1</v>
          </cell>
          <cell r="X582" t="str">
            <v>Primaire Ens.serv.déconc.</v>
          </cell>
          <cell r="Z582" t="str">
            <v>Intérieur</v>
          </cell>
          <cell r="AA582" t="str">
            <v>Matériel scolaire</v>
          </cell>
          <cell r="AB582">
            <v>0</v>
          </cell>
          <cell r="AC582">
            <v>0</v>
          </cell>
        </row>
        <row r="583">
          <cell r="A583">
            <v>2990</v>
          </cell>
          <cell r="B583">
            <v>1</v>
          </cell>
          <cell r="C583">
            <v>1</v>
          </cell>
          <cell r="E583" t="str">
            <v>20</v>
          </cell>
          <cell r="F583">
            <v>42000300700</v>
          </cell>
          <cell r="G583">
            <v>3</v>
          </cell>
          <cell r="H583" t="str">
            <v>51</v>
          </cell>
          <cell r="I583">
            <v>40</v>
          </cell>
          <cell r="J583">
            <v>20</v>
          </cell>
          <cell r="K583">
            <v>1</v>
          </cell>
          <cell r="L583">
            <v>42</v>
          </cell>
          <cell r="M583" t="str">
            <v>000</v>
          </cell>
          <cell r="N583">
            <v>3</v>
          </cell>
          <cell r="O583" t="str">
            <v>00</v>
          </cell>
          <cell r="P583">
            <v>7</v>
          </cell>
          <cell r="Q583">
            <v>3</v>
          </cell>
          <cell r="R583">
            <v>5</v>
          </cell>
          <cell r="S583">
            <v>1</v>
          </cell>
          <cell r="T583">
            <v>40</v>
          </cell>
          <cell r="U583">
            <v>33</v>
          </cell>
          <cell r="V583">
            <v>1</v>
          </cell>
          <cell r="X583" t="str">
            <v>Primaire Ens.serv.déconc.</v>
          </cell>
          <cell r="Z583" t="str">
            <v>Intérieur</v>
          </cell>
          <cell r="AA583" t="str">
            <v>Autres matériels installat. technique</v>
          </cell>
          <cell r="AB583">
            <v>0</v>
          </cell>
          <cell r="AC583">
            <v>0</v>
          </cell>
        </row>
        <row r="584">
          <cell r="A584">
            <v>2991</v>
          </cell>
          <cell r="B584">
            <v>1</v>
          </cell>
          <cell r="C584">
            <v>1</v>
          </cell>
          <cell r="E584" t="str">
            <v>20</v>
          </cell>
          <cell r="F584">
            <v>42000300700</v>
          </cell>
          <cell r="G584">
            <v>3</v>
          </cell>
          <cell r="H584" t="str">
            <v>51</v>
          </cell>
          <cell r="I584">
            <v>90</v>
          </cell>
          <cell r="J584">
            <v>20</v>
          </cell>
          <cell r="K584">
            <v>1</v>
          </cell>
          <cell r="L584">
            <v>42</v>
          </cell>
          <cell r="M584" t="str">
            <v>000</v>
          </cell>
          <cell r="N584">
            <v>3</v>
          </cell>
          <cell r="O584" t="str">
            <v>00</v>
          </cell>
          <cell r="P584">
            <v>7</v>
          </cell>
          <cell r="Q584">
            <v>3</v>
          </cell>
          <cell r="R584">
            <v>5</v>
          </cell>
          <cell r="S584">
            <v>1</v>
          </cell>
          <cell r="T584">
            <v>90</v>
          </cell>
          <cell r="U584">
            <v>33</v>
          </cell>
          <cell r="V584">
            <v>1</v>
          </cell>
          <cell r="X584" t="str">
            <v>Primaire Ens.serv.déconc.</v>
          </cell>
          <cell r="Z584" t="str">
            <v>Intérieur</v>
          </cell>
          <cell r="AA584" t="str">
            <v>Autres matériels &amp; mobiliers</v>
          </cell>
          <cell r="AB584">
            <v>0</v>
          </cell>
          <cell r="AC584">
            <v>0</v>
          </cell>
        </row>
        <row r="585">
          <cell r="A585">
            <v>3049</v>
          </cell>
          <cell r="B585">
            <v>1</v>
          </cell>
          <cell r="C585">
            <v>1</v>
          </cell>
          <cell r="E585" t="str">
            <v>20</v>
          </cell>
          <cell r="F585">
            <v>43000300700</v>
          </cell>
          <cell r="G585">
            <v>3</v>
          </cell>
          <cell r="H585" t="str">
            <v>51</v>
          </cell>
          <cell r="I585">
            <v>11</v>
          </cell>
          <cell r="J585">
            <v>20</v>
          </cell>
          <cell r="K585">
            <v>1</v>
          </cell>
          <cell r="L585">
            <v>43</v>
          </cell>
          <cell r="M585" t="str">
            <v>000</v>
          </cell>
          <cell r="N585">
            <v>3</v>
          </cell>
          <cell r="O585" t="str">
            <v>00</v>
          </cell>
          <cell r="P585">
            <v>7</v>
          </cell>
          <cell r="Q585">
            <v>3</v>
          </cell>
          <cell r="R585">
            <v>5</v>
          </cell>
          <cell r="S585">
            <v>1</v>
          </cell>
          <cell r="T585">
            <v>11</v>
          </cell>
          <cell r="U585">
            <v>33</v>
          </cell>
          <cell r="V585">
            <v>1</v>
          </cell>
          <cell r="X585" t="str">
            <v>Secondaire Ens.serv.déconc.</v>
          </cell>
          <cell r="Z585" t="str">
            <v>Intérieur</v>
          </cell>
          <cell r="AA585" t="str">
            <v>Matériel mobilier bureau</v>
          </cell>
          <cell r="AB585">
            <v>0</v>
          </cell>
          <cell r="AC585">
            <v>0</v>
          </cell>
        </row>
        <row r="586">
          <cell r="A586">
            <v>3050</v>
          </cell>
          <cell r="B586">
            <v>1</v>
          </cell>
          <cell r="C586">
            <v>1</v>
          </cell>
          <cell r="E586" t="str">
            <v>20</v>
          </cell>
          <cell r="F586">
            <v>43000300700</v>
          </cell>
          <cell r="G586">
            <v>3</v>
          </cell>
          <cell r="H586" t="str">
            <v>51</v>
          </cell>
          <cell r="I586">
            <v>13</v>
          </cell>
          <cell r="J586">
            <v>20</v>
          </cell>
          <cell r="K586">
            <v>1</v>
          </cell>
          <cell r="L586">
            <v>43</v>
          </cell>
          <cell r="M586" t="str">
            <v>000</v>
          </cell>
          <cell r="N586">
            <v>3</v>
          </cell>
          <cell r="O586" t="str">
            <v>00</v>
          </cell>
          <cell r="P586">
            <v>7</v>
          </cell>
          <cell r="Q586">
            <v>3</v>
          </cell>
          <cell r="R586">
            <v>5</v>
          </cell>
          <cell r="S586">
            <v>1</v>
          </cell>
          <cell r="T586">
            <v>13</v>
          </cell>
          <cell r="U586">
            <v>33</v>
          </cell>
          <cell r="V586">
            <v>1</v>
          </cell>
          <cell r="X586" t="str">
            <v>Secondaire Ens.serv.déconc.</v>
          </cell>
          <cell r="Z586" t="str">
            <v>Intérieur</v>
          </cell>
          <cell r="AA586" t="str">
            <v>Mobiler scolaire</v>
          </cell>
          <cell r="AB586">
            <v>0</v>
          </cell>
          <cell r="AC586">
            <v>0</v>
          </cell>
        </row>
        <row r="587">
          <cell r="A587">
            <v>3051</v>
          </cell>
          <cell r="B587">
            <v>1</v>
          </cell>
          <cell r="C587">
            <v>1</v>
          </cell>
          <cell r="E587" t="str">
            <v>20</v>
          </cell>
          <cell r="F587">
            <v>43000300700</v>
          </cell>
          <cell r="G587">
            <v>3</v>
          </cell>
          <cell r="H587" t="str">
            <v>51</v>
          </cell>
          <cell r="I587">
            <v>15</v>
          </cell>
          <cell r="J587">
            <v>20</v>
          </cell>
          <cell r="K587">
            <v>1</v>
          </cell>
          <cell r="L587">
            <v>43</v>
          </cell>
          <cell r="M587" t="str">
            <v>000</v>
          </cell>
          <cell r="N587">
            <v>3</v>
          </cell>
          <cell r="O587" t="str">
            <v>00</v>
          </cell>
          <cell r="P587">
            <v>7</v>
          </cell>
          <cell r="Q587">
            <v>3</v>
          </cell>
          <cell r="R587">
            <v>5</v>
          </cell>
          <cell r="S587">
            <v>1</v>
          </cell>
          <cell r="T587">
            <v>15</v>
          </cell>
          <cell r="U587">
            <v>33</v>
          </cell>
          <cell r="V587">
            <v>1</v>
          </cell>
          <cell r="X587" t="str">
            <v>Secondaire Ens.serv.déconc.</v>
          </cell>
          <cell r="Z587" t="str">
            <v>Intérieur</v>
          </cell>
          <cell r="AA587" t="str">
            <v>Matériel scolaire</v>
          </cell>
          <cell r="AB587">
            <v>0</v>
          </cell>
          <cell r="AC587">
            <v>0</v>
          </cell>
        </row>
        <row r="588">
          <cell r="A588">
            <v>3052</v>
          </cell>
          <cell r="B588">
            <v>1</v>
          </cell>
          <cell r="C588">
            <v>1</v>
          </cell>
          <cell r="E588" t="str">
            <v>20</v>
          </cell>
          <cell r="F588">
            <v>43000300700</v>
          </cell>
          <cell r="G588">
            <v>3</v>
          </cell>
          <cell r="H588" t="str">
            <v>51</v>
          </cell>
          <cell r="I588">
            <v>20</v>
          </cell>
          <cell r="J588">
            <v>20</v>
          </cell>
          <cell r="K588">
            <v>1</v>
          </cell>
          <cell r="L588">
            <v>43</v>
          </cell>
          <cell r="M588" t="str">
            <v>000</v>
          </cell>
          <cell r="N588">
            <v>3</v>
          </cell>
          <cell r="O588" t="str">
            <v>00</v>
          </cell>
          <cell r="P588">
            <v>7</v>
          </cell>
          <cell r="Q588">
            <v>3</v>
          </cell>
          <cell r="R588">
            <v>5</v>
          </cell>
          <cell r="S588">
            <v>1</v>
          </cell>
          <cell r="T588">
            <v>20</v>
          </cell>
          <cell r="U588">
            <v>33</v>
          </cell>
          <cell r="V588">
            <v>1</v>
          </cell>
          <cell r="X588" t="str">
            <v>Secondaire Ens.serv.déconc.</v>
          </cell>
          <cell r="Z588" t="str">
            <v>Intérieur</v>
          </cell>
          <cell r="AA588" t="str">
            <v>Matériel informat.</v>
          </cell>
          <cell r="AB588">
            <v>0</v>
          </cell>
          <cell r="AC588">
            <v>0</v>
          </cell>
        </row>
        <row r="589">
          <cell r="A589">
            <v>3053</v>
          </cell>
          <cell r="B589">
            <v>1</v>
          </cell>
          <cell r="C589">
            <v>1</v>
          </cell>
          <cell r="E589" t="str">
            <v>20</v>
          </cell>
          <cell r="F589">
            <v>43000300700</v>
          </cell>
          <cell r="G589">
            <v>3</v>
          </cell>
          <cell r="H589" t="str">
            <v>51</v>
          </cell>
          <cell r="I589">
            <v>40</v>
          </cell>
          <cell r="J589">
            <v>20</v>
          </cell>
          <cell r="K589">
            <v>1</v>
          </cell>
          <cell r="L589">
            <v>43</v>
          </cell>
          <cell r="M589" t="str">
            <v>000</v>
          </cell>
          <cell r="N589">
            <v>3</v>
          </cell>
          <cell r="O589" t="str">
            <v>00</v>
          </cell>
          <cell r="P589">
            <v>7</v>
          </cell>
          <cell r="Q589">
            <v>3</v>
          </cell>
          <cell r="R589">
            <v>5</v>
          </cell>
          <cell r="S589">
            <v>1</v>
          </cell>
          <cell r="T589">
            <v>40</v>
          </cell>
          <cell r="U589">
            <v>33</v>
          </cell>
          <cell r="V589">
            <v>1</v>
          </cell>
          <cell r="X589" t="str">
            <v>Secondaire Ens.serv.déconc.</v>
          </cell>
          <cell r="Z589" t="str">
            <v>Intérieur</v>
          </cell>
          <cell r="AA589" t="str">
            <v>Autres matériels installat. technique</v>
          </cell>
          <cell r="AB589">
            <v>0</v>
          </cell>
          <cell r="AC589">
            <v>0</v>
          </cell>
        </row>
        <row r="590">
          <cell r="A590">
            <v>3054</v>
          </cell>
          <cell r="B590">
            <v>1</v>
          </cell>
          <cell r="C590">
            <v>1</v>
          </cell>
          <cell r="E590" t="str">
            <v>20</v>
          </cell>
          <cell r="F590">
            <v>43000300700</v>
          </cell>
          <cell r="G590">
            <v>3</v>
          </cell>
          <cell r="H590" t="str">
            <v>51</v>
          </cell>
          <cell r="I590">
            <v>90</v>
          </cell>
          <cell r="J590">
            <v>20</v>
          </cell>
          <cell r="K590">
            <v>1</v>
          </cell>
          <cell r="L590">
            <v>43</v>
          </cell>
          <cell r="M590" t="str">
            <v>000</v>
          </cell>
          <cell r="N590">
            <v>3</v>
          </cell>
          <cell r="O590" t="str">
            <v>00</v>
          </cell>
          <cell r="P590">
            <v>7</v>
          </cell>
          <cell r="Q590">
            <v>3</v>
          </cell>
          <cell r="R590">
            <v>5</v>
          </cell>
          <cell r="S590">
            <v>1</v>
          </cell>
          <cell r="T590">
            <v>90</v>
          </cell>
          <cell r="U590">
            <v>33</v>
          </cell>
          <cell r="V590">
            <v>1</v>
          </cell>
          <cell r="X590" t="str">
            <v>Secondaire Ens.serv.déconc.</v>
          </cell>
          <cell r="Z590" t="str">
            <v>Intérieur</v>
          </cell>
          <cell r="AA590" t="str">
            <v>Autres matériels &amp; mobiliers</v>
          </cell>
          <cell r="AB590">
            <v>0</v>
          </cell>
          <cell r="AC590">
            <v>0</v>
          </cell>
        </row>
        <row r="591">
          <cell r="A591">
            <v>4864</v>
          </cell>
          <cell r="B591">
            <v>1</v>
          </cell>
          <cell r="C591">
            <v>1</v>
          </cell>
          <cell r="E591" t="str">
            <v>20</v>
          </cell>
          <cell r="F591">
            <v>44000300700</v>
          </cell>
          <cell r="G591">
            <v>3</v>
          </cell>
          <cell r="H591" t="str">
            <v>51</v>
          </cell>
          <cell r="I591">
            <v>51</v>
          </cell>
          <cell r="J591">
            <v>20</v>
          </cell>
          <cell r="K591">
            <v>1</v>
          </cell>
          <cell r="L591">
            <v>44</v>
          </cell>
          <cell r="M591" t="str">
            <v>000</v>
          </cell>
          <cell r="N591">
            <v>3</v>
          </cell>
          <cell r="O591" t="str">
            <v>00</v>
          </cell>
          <cell r="P591">
            <v>7</v>
          </cell>
          <cell r="Q591">
            <v>3</v>
          </cell>
          <cell r="R591">
            <v>5</v>
          </cell>
          <cell r="S591">
            <v>1</v>
          </cell>
          <cell r="T591">
            <v>51</v>
          </cell>
          <cell r="U591">
            <v>36</v>
          </cell>
          <cell r="V591">
            <v>1</v>
          </cell>
          <cell r="W591">
            <v>0</v>
          </cell>
          <cell r="X591" t="str">
            <v>Enseign. Technique</v>
          </cell>
          <cell r="Z591" t="str">
            <v>Intérieur</v>
          </cell>
          <cell r="AA591" t="str">
            <v>Véhicules &amp; engins</v>
          </cell>
          <cell r="AB591">
            <v>0</v>
          </cell>
          <cell r="AC591">
            <v>0</v>
          </cell>
        </row>
        <row r="592">
          <cell r="A592">
            <v>3098</v>
          </cell>
          <cell r="B592">
            <v>1</v>
          </cell>
          <cell r="C592">
            <v>1</v>
          </cell>
          <cell r="E592" t="str">
            <v>20</v>
          </cell>
          <cell r="F592">
            <v>49000300700</v>
          </cell>
          <cell r="G592">
            <v>3</v>
          </cell>
          <cell r="H592" t="str">
            <v>51</v>
          </cell>
          <cell r="I592">
            <v>11</v>
          </cell>
          <cell r="J592">
            <v>20</v>
          </cell>
          <cell r="K592">
            <v>1</v>
          </cell>
          <cell r="L592">
            <v>49</v>
          </cell>
          <cell r="M592" t="str">
            <v>000</v>
          </cell>
          <cell r="N592">
            <v>3</v>
          </cell>
          <cell r="O592" t="str">
            <v>00</v>
          </cell>
          <cell r="P592">
            <v>7</v>
          </cell>
          <cell r="Q592">
            <v>3</v>
          </cell>
          <cell r="R592">
            <v>5</v>
          </cell>
          <cell r="S592">
            <v>1</v>
          </cell>
          <cell r="T592">
            <v>11</v>
          </cell>
          <cell r="U592">
            <v>33</v>
          </cell>
          <cell r="V592">
            <v>1</v>
          </cell>
          <cell r="X592" t="str">
            <v>Enseig. Serv administratifs</v>
          </cell>
          <cell r="Z592" t="str">
            <v>Intérieur</v>
          </cell>
          <cell r="AA592" t="str">
            <v>Matériel mobilier bureau</v>
          </cell>
          <cell r="AB592">
            <v>0</v>
          </cell>
          <cell r="AC592">
            <v>0</v>
          </cell>
        </row>
        <row r="593">
          <cell r="A593">
            <v>3099</v>
          </cell>
          <cell r="B593">
            <v>1</v>
          </cell>
          <cell r="C593">
            <v>1</v>
          </cell>
          <cell r="E593" t="str">
            <v>20</v>
          </cell>
          <cell r="F593">
            <v>49000300700</v>
          </cell>
          <cell r="G593">
            <v>3</v>
          </cell>
          <cell r="H593" t="str">
            <v>51</v>
          </cell>
          <cell r="I593">
            <v>12</v>
          </cell>
          <cell r="J593">
            <v>20</v>
          </cell>
          <cell r="K593">
            <v>1</v>
          </cell>
          <cell r="L593">
            <v>49</v>
          </cell>
          <cell r="M593" t="str">
            <v>000</v>
          </cell>
          <cell r="N593">
            <v>3</v>
          </cell>
          <cell r="O593" t="str">
            <v>00</v>
          </cell>
          <cell r="P593">
            <v>7</v>
          </cell>
          <cell r="Q593">
            <v>3</v>
          </cell>
          <cell r="R593">
            <v>5</v>
          </cell>
          <cell r="S593">
            <v>1</v>
          </cell>
          <cell r="T593">
            <v>12</v>
          </cell>
          <cell r="U593">
            <v>33</v>
          </cell>
          <cell r="V593">
            <v>1</v>
          </cell>
          <cell r="X593" t="str">
            <v>Enseig. Serv administratifs</v>
          </cell>
          <cell r="Z593" t="str">
            <v>Intérieur</v>
          </cell>
          <cell r="AA593" t="str">
            <v>Matériel mobilier logement</v>
          </cell>
          <cell r="AB593">
            <v>0</v>
          </cell>
          <cell r="AC593">
            <v>0</v>
          </cell>
        </row>
        <row r="594">
          <cell r="A594">
            <v>3100</v>
          </cell>
          <cell r="B594">
            <v>1</v>
          </cell>
          <cell r="C594">
            <v>1</v>
          </cell>
          <cell r="E594" t="str">
            <v>20</v>
          </cell>
          <cell r="F594">
            <v>49000300700</v>
          </cell>
          <cell r="G594">
            <v>3</v>
          </cell>
          <cell r="H594" t="str">
            <v>51</v>
          </cell>
          <cell r="I594">
            <v>20</v>
          </cell>
          <cell r="J594">
            <v>20</v>
          </cell>
          <cell r="K594">
            <v>1</v>
          </cell>
          <cell r="L594">
            <v>49</v>
          </cell>
          <cell r="M594" t="str">
            <v>000</v>
          </cell>
          <cell r="N594">
            <v>3</v>
          </cell>
          <cell r="O594" t="str">
            <v>00</v>
          </cell>
          <cell r="P594">
            <v>7</v>
          </cell>
          <cell r="Q594">
            <v>3</v>
          </cell>
          <cell r="R594">
            <v>5</v>
          </cell>
          <cell r="S594">
            <v>1</v>
          </cell>
          <cell r="T594">
            <v>20</v>
          </cell>
          <cell r="U594">
            <v>33</v>
          </cell>
          <cell r="V594">
            <v>1</v>
          </cell>
          <cell r="X594" t="str">
            <v>Enseig. Serv administratifs</v>
          </cell>
          <cell r="Z594" t="str">
            <v>Intérieur</v>
          </cell>
          <cell r="AA594" t="str">
            <v>Matériel informat.</v>
          </cell>
          <cell r="AB594">
            <v>0</v>
          </cell>
          <cell r="AC594">
            <v>0</v>
          </cell>
        </row>
        <row r="595">
          <cell r="A595">
            <v>3101</v>
          </cell>
          <cell r="B595">
            <v>1</v>
          </cell>
          <cell r="C595">
            <v>1</v>
          </cell>
          <cell r="E595" t="str">
            <v>20</v>
          </cell>
          <cell r="F595">
            <v>49000300700</v>
          </cell>
          <cell r="G595">
            <v>3</v>
          </cell>
          <cell r="H595" t="str">
            <v>51</v>
          </cell>
          <cell r="I595">
            <v>40</v>
          </cell>
          <cell r="J595">
            <v>20</v>
          </cell>
          <cell r="K595">
            <v>1</v>
          </cell>
          <cell r="L595">
            <v>49</v>
          </cell>
          <cell r="M595" t="str">
            <v>000</v>
          </cell>
          <cell r="N595">
            <v>3</v>
          </cell>
          <cell r="O595" t="str">
            <v>00</v>
          </cell>
          <cell r="P595">
            <v>7</v>
          </cell>
          <cell r="Q595">
            <v>3</v>
          </cell>
          <cell r="R595">
            <v>5</v>
          </cell>
          <cell r="S595">
            <v>1</v>
          </cell>
          <cell r="T595">
            <v>40</v>
          </cell>
          <cell r="U595">
            <v>33</v>
          </cell>
          <cell r="V595">
            <v>1</v>
          </cell>
          <cell r="X595" t="str">
            <v>Enseig. Serv administratifs</v>
          </cell>
          <cell r="Z595" t="str">
            <v>Intérieur</v>
          </cell>
          <cell r="AA595" t="str">
            <v>Autres matériels installat. technique</v>
          </cell>
          <cell r="AB595">
            <v>0</v>
          </cell>
          <cell r="AC595">
            <v>0</v>
          </cell>
        </row>
        <row r="596">
          <cell r="A596">
            <v>3102</v>
          </cell>
          <cell r="B596">
            <v>1</v>
          </cell>
          <cell r="C596">
            <v>1</v>
          </cell>
          <cell r="E596" t="str">
            <v>20</v>
          </cell>
          <cell r="F596">
            <v>49000300700</v>
          </cell>
          <cell r="G596">
            <v>3</v>
          </cell>
          <cell r="H596" t="str">
            <v>51</v>
          </cell>
          <cell r="I596">
            <v>51</v>
          </cell>
          <cell r="J596">
            <v>20</v>
          </cell>
          <cell r="K596">
            <v>1</v>
          </cell>
          <cell r="L596">
            <v>49</v>
          </cell>
          <cell r="M596" t="str">
            <v>000</v>
          </cell>
          <cell r="N596">
            <v>3</v>
          </cell>
          <cell r="O596" t="str">
            <v>00</v>
          </cell>
          <cell r="P596">
            <v>7</v>
          </cell>
          <cell r="Q596">
            <v>3</v>
          </cell>
          <cell r="R596">
            <v>5</v>
          </cell>
          <cell r="S596">
            <v>1</v>
          </cell>
          <cell r="T596">
            <v>51</v>
          </cell>
          <cell r="U596">
            <v>33</v>
          </cell>
          <cell r="V596">
            <v>1</v>
          </cell>
          <cell r="X596" t="str">
            <v>Enseig. Serv administratifs</v>
          </cell>
          <cell r="Z596" t="str">
            <v>Intérieur</v>
          </cell>
          <cell r="AA596" t="str">
            <v>Véhicules &amp; engins</v>
          </cell>
          <cell r="AB596">
            <v>0</v>
          </cell>
          <cell r="AC596">
            <v>0</v>
          </cell>
        </row>
        <row r="597">
          <cell r="A597">
            <v>3103</v>
          </cell>
          <cell r="B597">
            <v>1</v>
          </cell>
          <cell r="C597">
            <v>1</v>
          </cell>
          <cell r="E597" t="str">
            <v>20</v>
          </cell>
          <cell r="F597">
            <v>49000300700</v>
          </cell>
          <cell r="G597">
            <v>3</v>
          </cell>
          <cell r="H597" t="str">
            <v>51</v>
          </cell>
          <cell r="I597">
            <v>59</v>
          </cell>
          <cell r="J597">
            <v>20</v>
          </cell>
          <cell r="K597">
            <v>1</v>
          </cell>
          <cell r="L597">
            <v>49</v>
          </cell>
          <cell r="M597" t="str">
            <v>000</v>
          </cell>
          <cell r="N597">
            <v>3</v>
          </cell>
          <cell r="O597" t="str">
            <v>00</v>
          </cell>
          <cell r="P597">
            <v>7</v>
          </cell>
          <cell r="Q597">
            <v>3</v>
          </cell>
          <cell r="R597">
            <v>5</v>
          </cell>
          <cell r="S597">
            <v>1</v>
          </cell>
          <cell r="T597">
            <v>59</v>
          </cell>
          <cell r="U597">
            <v>33</v>
          </cell>
          <cell r="V597">
            <v>1</v>
          </cell>
          <cell r="X597" t="str">
            <v>Enseig. Serv administratifs</v>
          </cell>
          <cell r="Z597" t="str">
            <v>Intérieur</v>
          </cell>
          <cell r="AA597" t="str">
            <v>Autres matériels de transport</v>
          </cell>
          <cell r="AB597">
            <v>0</v>
          </cell>
          <cell r="AC597">
            <v>0</v>
          </cell>
        </row>
        <row r="598">
          <cell r="A598">
            <v>3104</v>
          </cell>
          <cell r="B598">
            <v>1</v>
          </cell>
          <cell r="C598">
            <v>1</v>
          </cell>
          <cell r="E598" t="str">
            <v>20</v>
          </cell>
          <cell r="F598">
            <v>49000300700</v>
          </cell>
          <cell r="G598">
            <v>3</v>
          </cell>
          <cell r="H598" t="str">
            <v>51</v>
          </cell>
          <cell r="I598">
            <v>90</v>
          </cell>
          <cell r="J598">
            <v>20</v>
          </cell>
          <cell r="K598">
            <v>1</v>
          </cell>
          <cell r="L598">
            <v>49</v>
          </cell>
          <cell r="M598" t="str">
            <v>000</v>
          </cell>
          <cell r="N598">
            <v>3</v>
          </cell>
          <cell r="O598" t="str">
            <v>00</v>
          </cell>
          <cell r="P598">
            <v>7</v>
          </cell>
          <cell r="Q598">
            <v>3</v>
          </cell>
          <cell r="R598">
            <v>5</v>
          </cell>
          <cell r="S598">
            <v>1</v>
          </cell>
          <cell r="T598">
            <v>90</v>
          </cell>
          <cell r="U598">
            <v>33</v>
          </cell>
          <cell r="V598">
            <v>1</v>
          </cell>
          <cell r="X598" t="str">
            <v>Enseig. Serv administratifs</v>
          </cell>
          <cell r="Z598" t="str">
            <v>Intérieur</v>
          </cell>
          <cell r="AA598" t="str">
            <v>Autres matériels &amp; mobiliers</v>
          </cell>
          <cell r="AB598">
            <v>0</v>
          </cell>
          <cell r="AC598">
            <v>0</v>
          </cell>
        </row>
        <row r="599">
          <cell r="A599">
            <v>12440</v>
          </cell>
          <cell r="B599">
            <v>1</v>
          </cell>
          <cell r="J599">
            <v>20</v>
          </cell>
          <cell r="K599">
            <v>1</v>
          </cell>
          <cell r="N599">
            <v>9</v>
          </cell>
          <cell r="Q599">
            <v>3</v>
          </cell>
          <cell r="R599">
            <v>5</v>
          </cell>
          <cell r="S599">
            <v>1</v>
          </cell>
          <cell r="X599" t="str">
            <v>Ensemble Non ventilé</v>
          </cell>
          <cell r="AB599">
            <v>0</v>
          </cell>
          <cell r="AC599">
            <v>0</v>
          </cell>
        </row>
        <row r="600">
          <cell r="A600">
            <v>12422</v>
          </cell>
          <cell r="B600">
            <v>1</v>
          </cell>
          <cell r="D600" t="str">
            <v>I</v>
          </cell>
          <cell r="J600">
            <v>20</v>
          </cell>
          <cell r="K600">
            <v>1</v>
          </cell>
          <cell r="Q600">
            <v>3</v>
          </cell>
          <cell r="R600">
            <v>5</v>
          </cell>
          <cell r="S600">
            <v>3</v>
          </cell>
          <cell r="X600" t="str">
            <v xml:space="preserve">Acquisition rénovation Batiments </v>
          </cell>
          <cell r="AB600">
            <v>0</v>
          </cell>
          <cell r="AC600">
            <v>0</v>
          </cell>
        </row>
        <row r="601">
          <cell r="A601">
            <v>12424</v>
          </cell>
          <cell r="B601">
            <v>1</v>
          </cell>
          <cell r="J601">
            <v>20</v>
          </cell>
          <cell r="K601">
            <v>1</v>
          </cell>
          <cell r="N601">
            <v>1</v>
          </cell>
          <cell r="Q601">
            <v>3</v>
          </cell>
          <cell r="R601">
            <v>5</v>
          </cell>
          <cell r="S601">
            <v>3</v>
          </cell>
          <cell r="X601" t="str">
            <v>Services centraux</v>
          </cell>
          <cell r="AB601">
            <v>0</v>
          </cell>
          <cell r="AC601">
            <v>0</v>
          </cell>
        </row>
        <row r="602">
          <cell r="A602">
            <v>4945</v>
          </cell>
          <cell r="B602">
            <v>1</v>
          </cell>
          <cell r="C602">
            <v>1</v>
          </cell>
          <cell r="E602" t="str">
            <v>20</v>
          </cell>
          <cell r="F602">
            <v>44900100700</v>
          </cell>
          <cell r="G602">
            <v>3</v>
          </cell>
          <cell r="H602" t="str">
            <v>53</v>
          </cell>
          <cell r="I602">
            <v>30</v>
          </cell>
          <cell r="J602">
            <v>20</v>
          </cell>
          <cell r="K602">
            <v>1</v>
          </cell>
          <cell r="L602">
            <v>44</v>
          </cell>
          <cell r="M602">
            <v>900</v>
          </cell>
          <cell r="N602">
            <v>1</v>
          </cell>
          <cell r="O602" t="str">
            <v>00</v>
          </cell>
          <cell r="P602">
            <v>7</v>
          </cell>
          <cell r="Q602">
            <v>3</v>
          </cell>
          <cell r="R602">
            <v>5</v>
          </cell>
          <cell r="S602">
            <v>3</v>
          </cell>
          <cell r="T602">
            <v>30</v>
          </cell>
          <cell r="U602">
            <v>96</v>
          </cell>
          <cell r="V602">
            <v>1</v>
          </cell>
          <cell r="X602" t="str">
            <v>Enseign. Technique Autres serv centraux</v>
          </cell>
          <cell r="Z602" t="str">
            <v>Serv.cent.</v>
          </cell>
          <cell r="AA602" t="str">
            <v>Batiments administratifs</v>
          </cell>
          <cell r="AB602">
            <v>0</v>
          </cell>
          <cell r="AC602">
            <v>0</v>
          </cell>
        </row>
        <row r="603">
          <cell r="A603">
            <v>12426</v>
          </cell>
          <cell r="B603">
            <v>1</v>
          </cell>
          <cell r="J603">
            <v>20</v>
          </cell>
          <cell r="K603">
            <v>1</v>
          </cell>
          <cell r="N603">
            <v>2</v>
          </cell>
          <cell r="Q603">
            <v>3</v>
          </cell>
          <cell r="R603">
            <v>5</v>
          </cell>
          <cell r="S603">
            <v>3</v>
          </cell>
          <cell r="X603" t="str">
            <v>Conakry Services déconcentrés</v>
          </cell>
          <cell r="AB603">
            <v>0</v>
          </cell>
          <cell r="AC603">
            <v>0</v>
          </cell>
        </row>
        <row r="604">
          <cell r="A604">
            <v>4840</v>
          </cell>
          <cell r="B604">
            <v>1</v>
          </cell>
          <cell r="C604">
            <v>1</v>
          </cell>
          <cell r="E604" t="str">
            <v>20</v>
          </cell>
          <cell r="F604">
            <v>44000200700</v>
          </cell>
          <cell r="G604">
            <v>3</v>
          </cell>
          <cell r="H604" t="str">
            <v>53</v>
          </cell>
          <cell r="I604">
            <v>10</v>
          </cell>
          <cell r="J604">
            <v>20</v>
          </cell>
          <cell r="K604">
            <v>1</v>
          </cell>
          <cell r="L604">
            <v>44</v>
          </cell>
          <cell r="M604" t="str">
            <v>000</v>
          </cell>
          <cell r="N604">
            <v>2</v>
          </cell>
          <cell r="O604" t="str">
            <v>00</v>
          </cell>
          <cell r="P604">
            <v>7</v>
          </cell>
          <cell r="Q604">
            <v>3</v>
          </cell>
          <cell r="R604">
            <v>5</v>
          </cell>
          <cell r="S604">
            <v>3</v>
          </cell>
          <cell r="T604">
            <v>10</v>
          </cell>
          <cell r="U604">
            <v>36</v>
          </cell>
          <cell r="V604">
            <v>1</v>
          </cell>
          <cell r="W604">
            <v>0</v>
          </cell>
          <cell r="X604" t="str">
            <v>Enseign. Technique</v>
          </cell>
          <cell r="Z604" t="str">
            <v>Conakry</v>
          </cell>
          <cell r="AA604" t="str">
            <v>Bâtiments scolaires</v>
          </cell>
          <cell r="AB604">
            <v>0</v>
          </cell>
          <cell r="AC604">
            <v>0</v>
          </cell>
        </row>
        <row r="605">
          <cell r="A605">
            <v>12428</v>
          </cell>
          <cell r="B605">
            <v>1</v>
          </cell>
          <cell r="J605">
            <v>20</v>
          </cell>
          <cell r="K605">
            <v>1</v>
          </cell>
          <cell r="N605">
            <v>3</v>
          </cell>
          <cell r="Q605">
            <v>3</v>
          </cell>
          <cell r="R605">
            <v>5</v>
          </cell>
          <cell r="S605">
            <v>3</v>
          </cell>
          <cell r="X605" t="str">
            <v>Intérieur Services déconcentrés</v>
          </cell>
          <cell r="AB605">
            <v>0</v>
          </cell>
          <cell r="AC605">
            <v>0</v>
          </cell>
        </row>
        <row r="606">
          <cell r="A606">
            <v>4865</v>
          </cell>
          <cell r="B606">
            <v>1</v>
          </cell>
          <cell r="C606">
            <v>1</v>
          </cell>
          <cell r="E606" t="str">
            <v>20</v>
          </cell>
          <cell r="F606">
            <v>44000300700</v>
          </cell>
          <cell r="G606">
            <v>3</v>
          </cell>
          <cell r="H606" t="str">
            <v>53</v>
          </cell>
          <cell r="I606">
            <v>10</v>
          </cell>
          <cell r="J606">
            <v>20</v>
          </cell>
          <cell r="K606">
            <v>1</v>
          </cell>
          <cell r="L606">
            <v>44</v>
          </cell>
          <cell r="M606" t="str">
            <v>000</v>
          </cell>
          <cell r="N606">
            <v>3</v>
          </cell>
          <cell r="O606" t="str">
            <v>00</v>
          </cell>
          <cell r="P606">
            <v>7</v>
          </cell>
          <cell r="Q606">
            <v>3</v>
          </cell>
          <cell r="R606">
            <v>5</v>
          </cell>
          <cell r="S606">
            <v>3</v>
          </cell>
          <cell r="T606">
            <v>10</v>
          </cell>
          <cell r="U606">
            <v>36</v>
          </cell>
          <cell r="V606">
            <v>1</v>
          </cell>
          <cell r="W606">
            <v>0</v>
          </cell>
          <cell r="X606" t="str">
            <v>Enseign. Technique</v>
          </cell>
          <cell r="Z606" t="str">
            <v>Intérieur</v>
          </cell>
          <cell r="AA606" t="str">
            <v>Bâtiments scolaires</v>
          </cell>
          <cell r="AB606">
            <v>0</v>
          </cell>
          <cell r="AC606">
            <v>0</v>
          </cell>
        </row>
        <row r="607">
          <cell r="A607">
            <v>12430</v>
          </cell>
          <cell r="B607">
            <v>1</v>
          </cell>
          <cell r="J607">
            <v>20</v>
          </cell>
          <cell r="K607">
            <v>1</v>
          </cell>
          <cell r="N607">
            <v>9</v>
          </cell>
          <cell r="Q607">
            <v>3</v>
          </cell>
          <cell r="R607">
            <v>5</v>
          </cell>
          <cell r="S607">
            <v>3</v>
          </cell>
          <cell r="X607" t="str">
            <v>Ensemble Non ventilé</v>
          </cell>
          <cell r="AB607">
            <v>0</v>
          </cell>
          <cell r="AC607">
            <v>0</v>
          </cell>
        </row>
        <row r="608">
          <cell r="A608">
            <v>12442</v>
          </cell>
          <cell r="B608">
            <v>1</v>
          </cell>
          <cell r="D608" t="str">
            <v>I</v>
          </cell>
          <cell r="J608">
            <v>20</v>
          </cell>
          <cell r="K608">
            <v>1</v>
          </cell>
          <cell r="Q608">
            <v>3</v>
          </cell>
          <cell r="R608">
            <v>5</v>
          </cell>
          <cell r="S608">
            <v>4</v>
          </cell>
          <cell r="X608" t="str">
            <v>Frais d'études, recherche (yc Appl. &amp; prog. info)</v>
          </cell>
          <cell r="AB608">
            <v>0</v>
          </cell>
          <cell r="AC608">
            <v>0</v>
          </cell>
        </row>
        <row r="609">
          <cell r="A609">
            <v>12444</v>
          </cell>
          <cell r="B609">
            <v>1</v>
          </cell>
          <cell r="J609">
            <v>20</v>
          </cell>
          <cell r="K609">
            <v>1</v>
          </cell>
          <cell r="N609">
            <v>1</v>
          </cell>
          <cell r="Q609">
            <v>3</v>
          </cell>
          <cell r="R609">
            <v>5</v>
          </cell>
          <cell r="S609">
            <v>4</v>
          </cell>
          <cell r="X609" t="str">
            <v>Services centraux</v>
          </cell>
          <cell r="AB609">
            <v>0</v>
          </cell>
          <cell r="AC609">
            <v>0</v>
          </cell>
        </row>
        <row r="610">
          <cell r="A610">
            <v>12446</v>
          </cell>
          <cell r="B610">
            <v>1</v>
          </cell>
          <cell r="J610">
            <v>20</v>
          </cell>
          <cell r="K610">
            <v>1</v>
          </cell>
          <cell r="N610">
            <v>2</v>
          </cell>
          <cell r="Q610">
            <v>3</v>
          </cell>
          <cell r="R610">
            <v>5</v>
          </cell>
          <cell r="S610">
            <v>4</v>
          </cell>
          <cell r="X610" t="str">
            <v>Conakry Services déconcentrés</v>
          </cell>
          <cell r="AB610">
            <v>0</v>
          </cell>
          <cell r="AC610">
            <v>0</v>
          </cell>
        </row>
        <row r="611">
          <cell r="A611">
            <v>12448</v>
          </cell>
          <cell r="B611">
            <v>1</v>
          </cell>
          <cell r="J611">
            <v>20</v>
          </cell>
          <cell r="K611">
            <v>1</v>
          </cell>
          <cell r="N611">
            <v>3</v>
          </cell>
          <cell r="Q611">
            <v>3</v>
          </cell>
          <cell r="R611">
            <v>5</v>
          </cell>
          <cell r="S611">
            <v>4</v>
          </cell>
          <cell r="X611" t="str">
            <v>Intérieur Services déconcentrés</v>
          </cell>
          <cell r="AB611">
            <v>0</v>
          </cell>
          <cell r="AC611">
            <v>0</v>
          </cell>
        </row>
        <row r="612">
          <cell r="A612">
            <v>12450</v>
          </cell>
          <cell r="B612">
            <v>1</v>
          </cell>
          <cell r="J612">
            <v>20</v>
          </cell>
          <cell r="K612">
            <v>1</v>
          </cell>
          <cell r="N612">
            <v>9</v>
          </cell>
          <cell r="Q612">
            <v>3</v>
          </cell>
          <cell r="R612">
            <v>5</v>
          </cell>
          <cell r="S612">
            <v>4</v>
          </cell>
          <cell r="X612" t="str">
            <v>Ensemble Non ventilé</v>
          </cell>
          <cell r="AB612">
            <v>0</v>
          </cell>
          <cell r="AC612">
            <v>0</v>
          </cell>
        </row>
        <row r="613">
          <cell r="AB613">
            <v>114256950</v>
          </cell>
          <cell r="AC613">
            <v>114256950</v>
          </cell>
        </row>
        <row r="614">
          <cell r="A614">
            <v>12472</v>
          </cell>
          <cell r="B614">
            <v>1</v>
          </cell>
          <cell r="D614" t="str">
            <v>I</v>
          </cell>
          <cell r="J614">
            <v>20</v>
          </cell>
          <cell r="K614">
            <v>1</v>
          </cell>
          <cell r="Q614">
            <v>4</v>
          </cell>
          <cell r="X614" t="str">
            <v>T4. INTERVENTION /SUBVENTIONS &amp;TRANSFERTS (COURANTS)</v>
          </cell>
          <cell r="AB614">
            <v>115463800</v>
          </cell>
          <cell r="AC614">
            <v>115463800</v>
          </cell>
        </row>
        <row r="615">
          <cell r="A615">
            <v>6117</v>
          </cell>
          <cell r="B615">
            <v>1</v>
          </cell>
          <cell r="J615">
            <v>20</v>
          </cell>
          <cell r="K615">
            <v>1</v>
          </cell>
          <cell r="L615">
            <v>11</v>
          </cell>
          <cell r="M615">
            <v>110</v>
          </cell>
          <cell r="N615">
            <v>2</v>
          </cell>
          <cell r="Q615">
            <v>4</v>
          </cell>
          <cell r="R615">
            <v>4</v>
          </cell>
          <cell r="S615">
            <v>1</v>
          </cell>
          <cell r="W615">
            <v>0</v>
          </cell>
          <cell r="X615" t="str">
            <v>Université Conakry</v>
          </cell>
          <cell r="AB615">
            <v>11985220</v>
          </cell>
          <cell r="AC615">
            <v>11985220</v>
          </cell>
        </row>
        <row r="616">
          <cell r="A616">
            <v>5366</v>
          </cell>
          <cell r="B616">
            <v>1</v>
          </cell>
          <cell r="C616">
            <v>1</v>
          </cell>
          <cell r="E616" t="str">
            <v>20</v>
          </cell>
          <cell r="F616">
            <v>11110200600</v>
          </cell>
          <cell r="G616">
            <v>4</v>
          </cell>
          <cell r="H616" t="str">
            <v>41</v>
          </cell>
          <cell r="I616">
            <v>20</v>
          </cell>
          <cell r="J616">
            <v>20</v>
          </cell>
          <cell r="K616">
            <v>1</v>
          </cell>
          <cell r="L616">
            <v>11</v>
          </cell>
          <cell r="M616">
            <v>110</v>
          </cell>
          <cell r="N616">
            <v>2</v>
          </cell>
          <cell r="O616" t="str">
            <v>00</v>
          </cell>
          <cell r="P616">
            <v>6</v>
          </cell>
          <cell r="Q616">
            <v>4</v>
          </cell>
          <cell r="R616">
            <v>4</v>
          </cell>
          <cell r="S616">
            <v>1</v>
          </cell>
          <cell r="T616">
            <v>20</v>
          </cell>
          <cell r="V616">
            <v>0</v>
          </cell>
          <cell r="W616">
            <v>0</v>
          </cell>
          <cell r="X616" t="str">
            <v>Université Conakry</v>
          </cell>
          <cell r="Y616" t="str">
            <v>P4</v>
          </cell>
          <cell r="Z616" t="str">
            <v xml:space="preserve"> Conakry</v>
          </cell>
          <cell r="AA616" t="str">
            <v>Sub.expl. Frais de personnel</v>
          </cell>
          <cell r="AB616">
            <v>415920</v>
          </cell>
          <cell r="AC616">
            <v>415920</v>
          </cell>
        </row>
        <row r="617">
          <cell r="A617">
            <v>5367</v>
          </cell>
          <cell r="B617">
            <v>1</v>
          </cell>
          <cell r="C617">
            <v>1</v>
          </cell>
          <cell r="E617" t="str">
            <v>20</v>
          </cell>
          <cell r="F617">
            <v>11110200600</v>
          </cell>
          <cell r="G617">
            <v>4</v>
          </cell>
          <cell r="H617" t="str">
            <v>41</v>
          </cell>
          <cell r="I617">
            <v>31</v>
          </cell>
          <cell r="J617">
            <v>20</v>
          </cell>
          <cell r="K617">
            <v>1</v>
          </cell>
          <cell r="L617">
            <v>11</v>
          </cell>
          <cell r="M617">
            <v>110</v>
          </cell>
          <cell r="N617">
            <v>2</v>
          </cell>
          <cell r="O617" t="str">
            <v>00</v>
          </cell>
          <cell r="P617">
            <v>6</v>
          </cell>
          <cell r="Q617">
            <v>4</v>
          </cell>
          <cell r="R617">
            <v>4</v>
          </cell>
          <cell r="S617">
            <v>1</v>
          </cell>
          <cell r="T617">
            <v>31</v>
          </cell>
          <cell r="V617">
            <v>0</v>
          </cell>
          <cell r="W617">
            <v>0</v>
          </cell>
          <cell r="X617" t="str">
            <v>Université Conakry</v>
          </cell>
          <cell r="Y617" t="str">
            <v>P4</v>
          </cell>
          <cell r="Z617" t="str">
            <v xml:space="preserve"> Conakry</v>
          </cell>
          <cell r="AA617" t="str">
            <v>Sub.expl. Fonct. (Fournit.conso)</v>
          </cell>
          <cell r="AB617">
            <v>465000</v>
          </cell>
          <cell r="AC617">
            <v>465000</v>
          </cell>
        </row>
        <row r="618">
          <cell r="A618">
            <v>5368</v>
          </cell>
          <cell r="B618">
            <v>1</v>
          </cell>
          <cell r="C618">
            <v>1</v>
          </cell>
          <cell r="E618" t="str">
            <v>20</v>
          </cell>
          <cell r="F618">
            <v>11110200600</v>
          </cell>
          <cell r="G618">
            <v>4</v>
          </cell>
          <cell r="H618" t="str">
            <v>41</v>
          </cell>
          <cell r="I618">
            <v>34</v>
          </cell>
          <cell r="J618">
            <v>20</v>
          </cell>
          <cell r="K618">
            <v>1</v>
          </cell>
          <cell r="L618">
            <v>11</v>
          </cell>
          <cell r="M618">
            <v>110</v>
          </cell>
          <cell r="N618">
            <v>2</v>
          </cell>
          <cell r="O618" t="str">
            <v>00</v>
          </cell>
          <cell r="P618">
            <v>6</v>
          </cell>
          <cell r="Q618">
            <v>4</v>
          </cell>
          <cell r="R618">
            <v>4</v>
          </cell>
          <cell r="S618">
            <v>1</v>
          </cell>
          <cell r="T618">
            <v>34</v>
          </cell>
          <cell r="V618">
            <v>0</v>
          </cell>
          <cell r="W618">
            <v>0</v>
          </cell>
          <cell r="X618" t="str">
            <v>Université Conakry</v>
          </cell>
          <cell r="Y618" t="str">
            <v>P4</v>
          </cell>
          <cell r="Z618" t="str">
            <v xml:space="preserve"> Conakry</v>
          </cell>
          <cell r="AA618" t="str">
            <v>Sub.expl. Fonct. (Conso div)</v>
          </cell>
          <cell r="AB618">
            <v>64030</v>
          </cell>
          <cell r="AC618">
            <v>64030</v>
          </cell>
        </row>
        <row r="619">
          <cell r="A619">
            <v>5369</v>
          </cell>
          <cell r="B619">
            <v>1</v>
          </cell>
          <cell r="C619">
            <v>1</v>
          </cell>
          <cell r="E619" t="str">
            <v>20</v>
          </cell>
          <cell r="F619">
            <v>11110200600</v>
          </cell>
          <cell r="G619">
            <v>4</v>
          </cell>
          <cell r="H619" t="str">
            <v>41</v>
          </cell>
          <cell r="I619">
            <v>37</v>
          </cell>
          <cell r="J619">
            <v>20</v>
          </cell>
          <cell r="K619">
            <v>1</v>
          </cell>
          <cell r="L619">
            <v>11</v>
          </cell>
          <cell r="M619">
            <v>110</v>
          </cell>
          <cell r="N619">
            <v>2</v>
          </cell>
          <cell r="O619" t="str">
            <v>00</v>
          </cell>
          <cell r="P619">
            <v>6</v>
          </cell>
          <cell r="Q619">
            <v>4</v>
          </cell>
          <cell r="R619">
            <v>4</v>
          </cell>
          <cell r="S619">
            <v>1</v>
          </cell>
          <cell r="T619">
            <v>37</v>
          </cell>
          <cell r="V619">
            <v>0</v>
          </cell>
          <cell r="W619">
            <v>0</v>
          </cell>
          <cell r="X619" t="str">
            <v>Université Conakry</v>
          </cell>
          <cell r="Y619" t="str">
            <v>P4</v>
          </cell>
          <cell r="Z619" t="str">
            <v xml:space="preserve"> Conakry</v>
          </cell>
          <cell r="AA619" t="str">
            <v>Sub.expl. Fonct. (Entret.immob)</v>
          </cell>
          <cell r="AB619">
            <v>113140</v>
          </cell>
          <cell r="AC619">
            <v>113140</v>
          </cell>
        </row>
        <row r="620">
          <cell r="A620">
            <v>5370</v>
          </cell>
          <cell r="B620">
            <v>1</v>
          </cell>
          <cell r="C620">
            <v>1</v>
          </cell>
          <cell r="E620" t="str">
            <v>20</v>
          </cell>
          <cell r="F620">
            <v>11110200600</v>
          </cell>
          <cell r="G620">
            <v>4</v>
          </cell>
          <cell r="H620" t="str">
            <v>41</v>
          </cell>
          <cell r="I620">
            <v>40</v>
          </cell>
          <cell r="J620">
            <v>20</v>
          </cell>
          <cell r="K620">
            <v>1</v>
          </cell>
          <cell r="L620">
            <v>11</v>
          </cell>
          <cell r="M620">
            <v>110</v>
          </cell>
          <cell r="N620">
            <v>2</v>
          </cell>
          <cell r="O620" t="str">
            <v>00</v>
          </cell>
          <cell r="P620">
            <v>6</v>
          </cell>
          <cell r="Q620">
            <v>4</v>
          </cell>
          <cell r="R620">
            <v>4</v>
          </cell>
          <cell r="S620">
            <v>1</v>
          </cell>
          <cell r="T620">
            <v>40</v>
          </cell>
          <cell r="V620">
            <v>0</v>
          </cell>
          <cell r="W620">
            <v>0</v>
          </cell>
          <cell r="X620" t="str">
            <v>Université Conakry</v>
          </cell>
          <cell r="Y620" t="str">
            <v>P4</v>
          </cell>
          <cell r="Z620" t="str">
            <v xml:space="preserve"> Conakry</v>
          </cell>
          <cell r="AA620" t="str">
            <v>Sub.expl.Transfert (Bourses)</v>
          </cell>
          <cell r="AB620">
            <v>10772940</v>
          </cell>
          <cell r="AC620">
            <v>10772940</v>
          </cell>
        </row>
        <row r="621">
          <cell r="A621">
            <v>5371</v>
          </cell>
          <cell r="B621">
            <v>1</v>
          </cell>
          <cell r="C621">
            <v>1</v>
          </cell>
          <cell r="E621" t="str">
            <v>20</v>
          </cell>
          <cell r="F621">
            <v>11110200600</v>
          </cell>
          <cell r="G621">
            <v>4</v>
          </cell>
          <cell r="H621" t="str">
            <v>41</v>
          </cell>
          <cell r="I621">
            <v>90</v>
          </cell>
          <cell r="J621">
            <v>20</v>
          </cell>
          <cell r="K621">
            <v>1</v>
          </cell>
          <cell r="L621">
            <v>11</v>
          </cell>
          <cell r="M621">
            <v>110</v>
          </cell>
          <cell r="N621">
            <v>2</v>
          </cell>
          <cell r="O621" t="str">
            <v>00</v>
          </cell>
          <cell r="P621">
            <v>6</v>
          </cell>
          <cell r="Q621">
            <v>4</v>
          </cell>
          <cell r="R621">
            <v>4</v>
          </cell>
          <cell r="S621">
            <v>1</v>
          </cell>
          <cell r="T621">
            <v>90</v>
          </cell>
          <cell r="V621">
            <v>0</v>
          </cell>
          <cell r="W621">
            <v>0</v>
          </cell>
          <cell r="X621" t="str">
            <v>Université Conakry</v>
          </cell>
          <cell r="Y621" t="str">
            <v>P4</v>
          </cell>
          <cell r="Z621" t="str">
            <v xml:space="preserve"> Conakry</v>
          </cell>
          <cell r="AA621" t="str">
            <v>Sub.expl. NV (Recher.format.)</v>
          </cell>
          <cell r="AB621">
            <v>154190</v>
          </cell>
          <cell r="AC621">
            <v>154190</v>
          </cell>
        </row>
        <row r="622">
          <cell r="A622">
            <v>6147</v>
          </cell>
          <cell r="B622">
            <v>1</v>
          </cell>
          <cell r="J622">
            <v>20</v>
          </cell>
          <cell r="K622">
            <v>1</v>
          </cell>
          <cell r="L622">
            <v>11</v>
          </cell>
          <cell r="M622">
            <v>115</v>
          </cell>
          <cell r="N622">
            <v>2</v>
          </cell>
          <cell r="Q622">
            <v>4</v>
          </cell>
          <cell r="R622">
            <v>4</v>
          </cell>
          <cell r="S622">
            <v>1</v>
          </cell>
          <cell r="X622" t="str">
            <v>Université Sonfonia</v>
          </cell>
          <cell r="AB622">
            <v>13927460</v>
          </cell>
          <cell r="AC622">
            <v>13927460</v>
          </cell>
        </row>
        <row r="623">
          <cell r="A623">
            <v>5372</v>
          </cell>
          <cell r="B623">
            <v>1</v>
          </cell>
          <cell r="C623">
            <v>1</v>
          </cell>
          <cell r="E623" t="str">
            <v>20</v>
          </cell>
          <cell r="F623">
            <v>11115200600</v>
          </cell>
          <cell r="G623">
            <v>4</v>
          </cell>
          <cell r="H623" t="str">
            <v>41</v>
          </cell>
          <cell r="I623">
            <v>20</v>
          </cell>
          <cell r="J623">
            <v>20</v>
          </cell>
          <cell r="K623">
            <v>1</v>
          </cell>
          <cell r="L623">
            <v>11</v>
          </cell>
          <cell r="M623">
            <v>115</v>
          </cell>
          <cell r="N623">
            <v>2</v>
          </cell>
          <cell r="O623" t="str">
            <v>00</v>
          </cell>
          <cell r="P623">
            <v>6</v>
          </cell>
          <cell r="Q623">
            <v>4</v>
          </cell>
          <cell r="R623">
            <v>4</v>
          </cell>
          <cell r="S623">
            <v>1</v>
          </cell>
          <cell r="T623">
            <v>20</v>
          </cell>
          <cell r="V623">
            <v>0</v>
          </cell>
          <cell r="X623" t="str">
            <v>Université Sonfonia</v>
          </cell>
          <cell r="Y623" t="str">
            <v>P4</v>
          </cell>
          <cell r="Z623" t="str">
            <v xml:space="preserve"> Conakry</v>
          </cell>
          <cell r="AA623" t="str">
            <v>Sub.expl. Frais de personnel</v>
          </cell>
          <cell r="AB623">
            <v>993170</v>
          </cell>
          <cell r="AC623">
            <v>993170</v>
          </cell>
        </row>
        <row r="624">
          <cell r="A624">
            <v>5373</v>
          </cell>
          <cell r="B624">
            <v>1</v>
          </cell>
          <cell r="C624">
            <v>1</v>
          </cell>
          <cell r="E624" t="str">
            <v>20</v>
          </cell>
          <cell r="F624">
            <v>11115200600</v>
          </cell>
          <cell r="G624">
            <v>4</v>
          </cell>
          <cell r="H624" t="str">
            <v>41</v>
          </cell>
          <cell r="I624">
            <v>31</v>
          </cell>
          <cell r="J624">
            <v>20</v>
          </cell>
          <cell r="K624">
            <v>1</v>
          </cell>
          <cell r="L624">
            <v>11</v>
          </cell>
          <cell r="M624">
            <v>115</v>
          </cell>
          <cell r="N624">
            <v>2</v>
          </cell>
          <cell r="O624" t="str">
            <v>00</v>
          </cell>
          <cell r="P624">
            <v>6</v>
          </cell>
          <cell r="Q624">
            <v>4</v>
          </cell>
          <cell r="R624">
            <v>4</v>
          </cell>
          <cell r="S624">
            <v>1</v>
          </cell>
          <cell r="T624">
            <v>31</v>
          </cell>
          <cell r="V624">
            <v>0</v>
          </cell>
          <cell r="X624" t="str">
            <v>Université Sonfonia</v>
          </cell>
          <cell r="Y624" t="str">
            <v>P4</v>
          </cell>
          <cell r="Z624" t="str">
            <v xml:space="preserve"> Conakry</v>
          </cell>
          <cell r="AA624" t="str">
            <v>Sub.expl. Fonct. (Fournit.conso)</v>
          </cell>
          <cell r="AB624">
            <v>579240</v>
          </cell>
          <cell r="AC624">
            <v>579240</v>
          </cell>
        </row>
        <row r="625">
          <cell r="A625">
            <v>5374</v>
          </cell>
          <cell r="B625">
            <v>1</v>
          </cell>
          <cell r="C625">
            <v>1</v>
          </cell>
          <cell r="E625" t="str">
            <v>20</v>
          </cell>
          <cell r="F625">
            <v>11115200600</v>
          </cell>
          <cell r="G625">
            <v>4</v>
          </cell>
          <cell r="H625" t="str">
            <v>41</v>
          </cell>
          <cell r="I625">
            <v>34</v>
          </cell>
          <cell r="J625">
            <v>20</v>
          </cell>
          <cell r="K625">
            <v>1</v>
          </cell>
          <cell r="L625">
            <v>11</v>
          </cell>
          <cell r="M625">
            <v>115</v>
          </cell>
          <cell r="N625">
            <v>2</v>
          </cell>
          <cell r="O625" t="str">
            <v>00</v>
          </cell>
          <cell r="P625">
            <v>6</v>
          </cell>
          <cell r="Q625">
            <v>4</v>
          </cell>
          <cell r="R625">
            <v>4</v>
          </cell>
          <cell r="S625">
            <v>1</v>
          </cell>
          <cell r="T625">
            <v>34</v>
          </cell>
          <cell r="V625">
            <v>0</v>
          </cell>
          <cell r="X625" t="str">
            <v>Université Sonfonia</v>
          </cell>
          <cell r="Y625" t="str">
            <v>P4</v>
          </cell>
          <cell r="Z625" t="str">
            <v xml:space="preserve"> Conakry</v>
          </cell>
          <cell r="AA625" t="str">
            <v>Sub.expl. Fonct. (Conso div)</v>
          </cell>
          <cell r="AB625">
            <v>710280</v>
          </cell>
          <cell r="AC625">
            <v>710280</v>
          </cell>
        </row>
        <row r="626">
          <cell r="A626">
            <v>5375</v>
          </cell>
          <cell r="B626">
            <v>1</v>
          </cell>
          <cell r="C626">
            <v>1</v>
          </cell>
          <cell r="E626" t="str">
            <v>20</v>
          </cell>
          <cell r="F626">
            <v>11115200600</v>
          </cell>
          <cell r="G626">
            <v>4</v>
          </cell>
          <cell r="H626" t="str">
            <v>41</v>
          </cell>
          <cell r="I626">
            <v>37</v>
          </cell>
          <cell r="J626">
            <v>20</v>
          </cell>
          <cell r="K626">
            <v>1</v>
          </cell>
          <cell r="L626">
            <v>11</v>
          </cell>
          <cell r="M626">
            <v>115</v>
          </cell>
          <cell r="N626">
            <v>2</v>
          </cell>
          <cell r="O626" t="str">
            <v>00</v>
          </cell>
          <cell r="P626">
            <v>6</v>
          </cell>
          <cell r="Q626">
            <v>4</v>
          </cell>
          <cell r="R626">
            <v>4</v>
          </cell>
          <cell r="S626">
            <v>1</v>
          </cell>
          <cell r="T626">
            <v>37</v>
          </cell>
          <cell r="V626">
            <v>0</v>
          </cell>
          <cell r="X626" t="str">
            <v>Université Sonfonia</v>
          </cell>
          <cell r="Y626" t="str">
            <v>P4</v>
          </cell>
          <cell r="Z626" t="str">
            <v xml:space="preserve"> Conakry</v>
          </cell>
          <cell r="AA626" t="str">
            <v>Sub.expl. Fonct. (Entret.immob)</v>
          </cell>
          <cell r="AB626">
            <v>336500</v>
          </cell>
          <cell r="AC626">
            <v>336500</v>
          </cell>
        </row>
        <row r="627">
          <cell r="A627">
            <v>5376</v>
          </cell>
          <cell r="B627">
            <v>1</v>
          </cell>
          <cell r="C627">
            <v>1</v>
          </cell>
          <cell r="E627" t="str">
            <v>20</v>
          </cell>
          <cell r="F627">
            <v>11115200600</v>
          </cell>
          <cell r="G627">
            <v>4</v>
          </cell>
          <cell r="H627" t="str">
            <v>41</v>
          </cell>
          <cell r="I627">
            <v>40</v>
          </cell>
          <cell r="J627">
            <v>20</v>
          </cell>
          <cell r="K627">
            <v>1</v>
          </cell>
          <cell r="L627">
            <v>11</v>
          </cell>
          <cell r="M627">
            <v>115</v>
          </cell>
          <cell r="N627">
            <v>2</v>
          </cell>
          <cell r="O627" t="str">
            <v>00</v>
          </cell>
          <cell r="P627">
            <v>6</v>
          </cell>
          <cell r="Q627">
            <v>4</v>
          </cell>
          <cell r="R627">
            <v>4</v>
          </cell>
          <cell r="S627">
            <v>1</v>
          </cell>
          <cell r="T627">
            <v>40</v>
          </cell>
          <cell r="V627">
            <v>0</v>
          </cell>
          <cell r="X627" t="str">
            <v>Université Sonfonia</v>
          </cell>
          <cell r="Y627" t="str">
            <v>P4</v>
          </cell>
          <cell r="Z627" t="str">
            <v xml:space="preserve"> Conakry</v>
          </cell>
          <cell r="AA627" t="str">
            <v>Sub.expl.Transfert (Bourses)</v>
          </cell>
          <cell r="AB627">
            <v>10823220</v>
          </cell>
          <cell r="AC627">
            <v>10823220</v>
          </cell>
        </row>
        <row r="628">
          <cell r="A628">
            <v>5377</v>
          </cell>
          <cell r="B628">
            <v>1</v>
          </cell>
          <cell r="C628">
            <v>1</v>
          </cell>
          <cell r="E628" t="str">
            <v>20</v>
          </cell>
          <cell r="F628">
            <v>11115200600</v>
          </cell>
          <cell r="G628">
            <v>4</v>
          </cell>
          <cell r="H628" t="str">
            <v>41</v>
          </cell>
          <cell r="I628">
            <v>90</v>
          </cell>
          <cell r="J628">
            <v>20</v>
          </cell>
          <cell r="K628">
            <v>1</v>
          </cell>
          <cell r="L628">
            <v>11</v>
          </cell>
          <cell r="M628">
            <v>115</v>
          </cell>
          <cell r="N628">
            <v>2</v>
          </cell>
          <cell r="O628" t="str">
            <v>00</v>
          </cell>
          <cell r="P628">
            <v>6</v>
          </cell>
          <cell r="Q628">
            <v>4</v>
          </cell>
          <cell r="R628">
            <v>4</v>
          </cell>
          <cell r="S628">
            <v>1</v>
          </cell>
          <cell r="T628">
            <v>90</v>
          </cell>
          <cell r="V628">
            <v>0</v>
          </cell>
          <cell r="X628" t="str">
            <v>Université Sonfonia</v>
          </cell>
          <cell r="Y628" t="str">
            <v>P4</v>
          </cell>
          <cell r="Z628" t="str">
            <v xml:space="preserve"> Conakry</v>
          </cell>
          <cell r="AA628" t="str">
            <v>Sub.expl. NV (Recher.format.)</v>
          </cell>
          <cell r="AB628">
            <v>485050</v>
          </cell>
          <cell r="AC628">
            <v>485050</v>
          </cell>
        </row>
        <row r="629">
          <cell r="B629">
            <v>1</v>
          </cell>
          <cell r="C629">
            <v>1</v>
          </cell>
          <cell r="E629" t="str">
            <v>20</v>
          </cell>
          <cell r="F629">
            <v>11286200600</v>
          </cell>
          <cell r="G629">
            <v>4</v>
          </cell>
          <cell r="H629" t="str">
            <v>41</v>
          </cell>
          <cell r="I629">
            <v>90</v>
          </cell>
          <cell r="J629">
            <v>20</v>
          </cell>
          <cell r="K629">
            <v>1</v>
          </cell>
          <cell r="L629">
            <v>11</v>
          </cell>
          <cell r="M629">
            <v>286</v>
          </cell>
          <cell r="N629">
            <v>2</v>
          </cell>
          <cell r="O629" t="str">
            <v>00</v>
          </cell>
          <cell r="P629">
            <v>6</v>
          </cell>
          <cell r="Q629">
            <v>4</v>
          </cell>
          <cell r="R629">
            <v>4</v>
          </cell>
          <cell r="S629">
            <v>1</v>
          </cell>
          <cell r="T629">
            <v>90</v>
          </cell>
          <cell r="V629">
            <v>0</v>
          </cell>
          <cell r="X629" t="str">
            <v>Inst Itinérant lutte contre la drogue</v>
          </cell>
          <cell r="Y629" t="str">
            <v>P4</v>
          </cell>
          <cell r="Z629" t="str">
            <v xml:space="preserve"> Conakry</v>
          </cell>
          <cell r="AA629" t="str">
            <v>Sub.d'équilibre Non ventilé</v>
          </cell>
          <cell r="AB629">
            <v>917250</v>
          </cell>
          <cell r="AC629">
            <v>917250</v>
          </cell>
        </row>
        <row r="630">
          <cell r="A630">
            <v>6141</v>
          </cell>
          <cell r="B630">
            <v>1</v>
          </cell>
          <cell r="J630">
            <v>20</v>
          </cell>
          <cell r="K630">
            <v>1</v>
          </cell>
          <cell r="L630">
            <v>11</v>
          </cell>
          <cell r="M630">
            <v>291</v>
          </cell>
          <cell r="N630">
            <v>2</v>
          </cell>
          <cell r="Q630">
            <v>4</v>
          </cell>
          <cell r="R630">
            <v>4</v>
          </cell>
          <cell r="S630">
            <v>1</v>
          </cell>
          <cell r="W630">
            <v>0</v>
          </cell>
          <cell r="X630" t="str">
            <v>ISFAD Inst sup form à distance</v>
          </cell>
          <cell r="AB630">
            <v>1969220</v>
          </cell>
          <cell r="AC630">
            <v>1969220</v>
          </cell>
        </row>
        <row r="631">
          <cell r="A631">
            <v>5444</v>
          </cell>
          <cell r="B631">
            <v>1</v>
          </cell>
          <cell r="C631">
            <v>1</v>
          </cell>
          <cell r="E631" t="str">
            <v>20</v>
          </cell>
          <cell r="F631">
            <v>11291200600</v>
          </cell>
          <cell r="G631">
            <v>4</v>
          </cell>
          <cell r="H631" t="str">
            <v>41</v>
          </cell>
          <cell r="I631">
            <v>20</v>
          </cell>
          <cell r="J631">
            <v>20</v>
          </cell>
          <cell r="K631">
            <v>1</v>
          </cell>
          <cell r="L631">
            <v>11</v>
          </cell>
          <cell r="M631">
            <v>291</v>
          </cell>
          <cell r="N631">
            <v>2</v>
          </cell>
          <cell r="O631" t="str">
            <v>00</v>
          </cell>
          <cell r="P631">
            <v>6</v>
          </cell>
          <cell r="Q631">
            <v>4</v>
          </cell>
          <cell r="R631">
            <v>4</v>
          </cell>
          <cell r="S631">
            <v>1</v>
          </cell>
          <cell r="T631">
            <v>20</v>
          </cell>
          <cell r="V631">
            <v>0</v>
          </cell>
          <cell r="W631">
            <v>0</v>
          </cell>
          <cell r="X631" t="str">
            <v>ISFAD Inst sup form à distance</v>
          </cell>
          <cell r="Y631" t="str">
            <v>P4</v>
          </cell>
          <cell r="Z631" t="str">
            <v xml:space="preserve"> Conakry</v>
          </cell>
          <cell r="AA631" t="str">
            <v>Sub.expl. Frais de personnel</v>
          </cell>
          <cell r="AB631">
            <v>503400</v>
          </cell>
          <cell r="AC631">
            <v>503400</v>
          </cell>
        </row>
        <row r="632">
          <cell r="A632">
            <v>5445</v>
          </cell>
          <cell r="B632">
            <v>1</v>
          </cell>
          <cell r="C632">
            <v>1</v>
          </cell>
          <cell r="E632" t="str">
            <v>20</v>
          </cell>
          <cell r="F632">
            <v>11291200600</v>
          </cell>
          <cell r="G632">
            <v>4</v>
          </cell>
          <cell r="H632" t="str">
            <v>41</v>
          </cell>
          <cell r="I632">
            <v>31</v>
          </cell>
          <cell r="J632">
            <v>20</v>
          </cell>
          <cell r="K632">
            <v>1</v>
          </cell>
          <cell r="L632">
            <v>11</v>
          </cell>
          <cell r="M632">
            <v>291</v>
          </cell>
          <cell r="N632">
            <v>2</v>
          </cell>
          <cell r="O632" t="str">
            <v>00</v>
          </cell>
          <cell r="P632">
            <v>6</v>
          </cell>
          <cell r="Q632">
            <v>4</v>
          </cell>
          <cell r="R632">
            <v>4</v>
          </cell>
          <cell r="S632">
            <v>1</v>
          </cell>
          <cell r="T632">
            <v>31</v>
          </cell>
          <cell r="V632">
            <v>0</v>
          </cell>
          <cell r="W632">
            <v>0</v>
          </cell>
          <cell r="X632" t="str">
            <v>ISFAD Inst sup form à distance</v>
          </cell>
          <cell r="Y632" t="str">
            <v>P4</v>
          </cell>
          <cell r="Z632" t="str">
            <v xml:space="preserve"> Conakry</v>
          </cell>
          <cell r="AA632" t="str">
            <v>Sub.expl. Fonct. (Fournit.conso)</v>
          </cell>
          <cell r="AB632">
            <v>644920</v>
          </cell>
          <cell r="AC632">
            <v>644920</v>
          </cell>
        </row>
        <row r="633">
          <cell r="A633">
            <v>5446</v>
          </cell>
          <cell r="B633">
            <v>1</v>
          </cell>
          <cell r="C633">
            <v>1</v>
          </cell>
          <cell r="E633" t="str">
            <v>20</v>
          </cell>
          <cell r="F633">
            <v>11291200600</v>
          </cell>
          <cell r="G633">
            <v>4</v>
          </cell>
          <cell r="H633" t="str">
            <v>41</v>
          </cell>
          <cell r="I633">
            <v>34</v>
          </cell>
          <cell r="J633">
            <v>20</v>
          </cell>
          <cell r="K633">
            <v>1</v>
          </cell>
          <cell r="L633">
            <v>11</v>
          </cell>
          <cell r="M633">
            <v>291</v>
          </cell>
          <cell r="N633">
            <v>2</v>
          </cell>
          <cell r="O633" t="str">
            <v>00</v>
          </cell>
          <cell r="P633">
            <v>6</v>
          </cell>
          <cell r="Q633">
            <v>4</v>
          </cell>
          <cell r="R633">
            <v>4</v>
          </cell>
          <cell r="S633">
            <v>1</v>
          </cell>
          <cell r="T633">
            <v>34</v>
          </cell>
          <cell r="V633">
            <v>0</v>
          </cell>
          <cell r="W633">
            <v>0</v>
          </cell>
          <cell r="X633" t="str">
            <v>ISFAD Inst sup form à distance</v>
          </cell>
          <cell r="Y633" t="str">
            <v>P4</v>
          </cell>
          <cell r="Z633" t="str">
            <v xml:space="preserve"> Conakry</v>
          </cell>
          <cell r="AA633" t="str">
            <v>Sub.expl. Fonct. (Conso div)</v>
          </cell>
          <cell r="AB633">
            <v>218170</v>
          </cell>
          <cell r="AC633">
            <v>218170</v>
          </cell>
        </row>
        <row r="634">
          <cell r="A634">
            <v>5447</v>
          </cell>
          <cell r="B634">
            <v>1</v>
          </cell>
          <cell r="C634">
            <v>1</v>
          </cell>
          <cell r="E634" t="str">
            <v>20</v>
          </cell>
          <cell r="F634">
            <v>11291200600</v>
          </cell>
          <cell r="G634">
            <v>4</v>
          </cell>
          <cell r="H634" t="str">
            <v>41</v>
          </cell>
          <cell r="I634">
            <v>37</v>
          </cell>
          <cell r="J634">
            <v>20</v>
          </cell>
          <cell r="K634">
            <v>1</v>
          </cell>
          <cell r="L634">
            <v>11</v>
          </cell>
          <cell r="M634">
            <v>291</v>
          </cell>
          <cell r="N634">
            <v>2</v>
          </cell>
          <cell r="O634" t="str">
            <v>00</v>
          </cell>
          <cell r="P634">
            <v>6</v>
          </cell>
          <cell r="Q634">
            <v>4</v>
          </cell>
          <cell r="R634">
            <v>4</v>
          </cell>
          <cell r="S634">
            <v>1</v>
          </cell>
          <cell r="T634">
            <v>37</v>
          </cell>
          <cell r="V634">
            <v>0</v>
          </cell>
          <cell r="W634">
            <v>0</v>
          </cell>
          <cell r="X634" t="str">
            <v>ISFAD Inst sup form à distance</v>
          </cell>
          <cell r="Y634" t="str">
            <v>P4</v>
          </cell>
          <cell r="Z634" t="str">
            <v xml:space="preserve"> Conakry</v>
          </cell>
          <cell r="AA634" t="str">
            <v>Sub.expl. Fonct. (Entret.immob)</v>
          </cell>
          <cell r="AB634">
            <v>354310</v>
          </cell>
          <cell r="AC634">
            <v>354310</v>
          </cell>
        </row>
        <row r="635">
          <cell r="A635">
            <v>5448</v>
          </cell>
          <cell r="B635">
            <v>1</v>
          </cell>
          <cell r="C635">
            <v>1</v>
          </cell>
          <cell r="E635" t="str">
            <v>20</v>
          </cell>
          <cell r="F635">
            <v>11291200600</v>
          </cell>
          <cell r="G635">
            <v>4</v>
          </cell>
          <cell r="H635" t="str">
            <v>41</v>
          </cell>
          <cell r="I635">
            <v>90</v>
          </cell>
          <cell r="J635">
            <v>20</v>
          </cell>
          <cell r="K635">
            <v>1</v>
          </cell>
          <cell r="L635">
            <v>11</v>
          </cell>
          <cell r="M635">
            <v>291</v>
          </cell>
          <cell r="N635">
            <v>2</v>
          </cell>
          <cell r="O635" t="str">
            <v>00</v>
          </cell>
          <cell r="P635">
            <v>6</v>
          </cell>
          <cell r="Q635">
            <v>4</v>
          </cell>
          <cell r="R635">
            <v>4</v>
          </cell>
          <cell r="S635">
            <v>1</v>
          </cell>
          <cell r="T635">
            <v>90</v>
          </cell>
          <cell r="V635">
            <v>0</v>
          </cell>
          <cell r="W635">
            <v>0</v>
          </cell>
          <cell r="X635" t="str">
            <v>ISFAD Inst sup form à distance</v>
          </cell>
          <cell r="Y635" t="str">
            <v>P4</v>
          </cell>
          <cell r="Z635" t="str">
            <v xml:space="preserve"> Conakry</v>
          </cell>
          <cell r="AA635" t="str">
            <v>Sub.expl. NV (Recher.format.)</v>
          </cell>
          <cell r="AB635">
            <v>248420</v>
          </cell>
          <cell r="AC635">
            <v>248420</v>
          </cell>
        </row>
        <row r="636">
          <cell r="A636">
            <v>6143</v>
          </cell>
          <cell r="B636">
            <v>1</v>
          </cell>
          <cell r="J636">
            <v>20</v>
          </cell>
          <cell r="K636">
            <v>1</v>
          </cell>
          <cell r="L636">
            <v>11</v>
          </cell>
          <cell r="M636">
            <v>292</v>
          </cell>
          <cell r="N636">
            <v>2</v>
          </cell>
          <cell r="Q636">
            <v>4</v>
          </cell>
          <cell r="R636">
            <v>4</v>
          </cell>
          <cell r="S636">
            <v>1</v>
          </cell>
          <cell r="X636" t="str">
            <v>ISCCAEG</v>
          </cell>
          <cell r="AB636">
            <v>500000</v>
          </cell>
          <cell r="AC636">
            <v>500000</v>
          </cell>
        </row>
        <row r="637">
          <cell r="B637">
            <v>1</v>
          </cell>
          <cell r="C637">
            <v>1</v>
          </cell>
          <cell r="E637" t="str">
            <v>20</v>
          </cell>
          <cell r="F637">
            <v>11292200600</v>
          </cell>
          <cell r="G637">
            <v>4</v>
          </cell>
          <cell r="H637" t="str">
            <v>41</v>
          </cell>
          <cell r="I637">
            <v>20</v>
          </cell>
          <cell r="J637">
            <v>20</v>
          </cell>
          <cell r="K637">
            <v>1</v>
          </cell>
          <cell r="L637">
            <v>11</v>
          </cell>
          <cell r="M637">
            <v>292</v>
          </cell>
          <cell r="N637">
            <v>2</v>
          </cell>
          <cell r="O637" t="str">
            <v>00</v>
          </cell>
          <cell r="P637">
            <v>6</v>
          </cell>
          <cell r="Q637">
            <v>4</v>
          </cell>
          <cell r="R637">
            <v>4</v>
          </cell>
          <cell r="S637">
            <v>1</v>
          </cell>
          <cell r="T637">
            <v>20</v>
          </cell>
          <cell r="V637">
            <v>0</v>
          </cell>
          <cell r="W637">
            <v>0</v>
          </cell>
          <cell r="X637" t="str">
            <v>Institut Sup.Com. &amp; Adm. Entrep.Guinée(ISCAEG)</v>
          </cell>
          <cell r="Y637" t="str">
            <v>P4</v>
          </cell>
          <cell r="Z637" t="str">
            <v xml:space="preserve"> Conakry</v>
          </cell>
          <cell r="AA637" t="str">
            <v>Sub.expl. Frais de personnel</v>
          </cell>
          <cell r="AB637">
            <v>180000</v>
          </cell>
          <cell r="AC637">
            <v>180000</v>
          </cell>
        </row>
        <row r="638">
          <cell r="B638">
            <v>1</v>
          </cell>
          <cell r="C638">
            <v>1</v>
          </cell>
          <cell r="E638" t="str">
            <v>20</v>
          </cell>
          <cell r="F638">
            <v>11292200600</v>
          </cell>
          <cell r="G638">
            <v>4</v>
          </cell>
          <cell r="H638" t="str">
            <v>41</v>
          </cell>
          <cell r="I638">
            <v>31</v>
          </cell>
          <cell r="J638">
            <v>20</v>
          </cell>
          <cell r="K638">
            <v>1</v>
          </cell>
          <cell r="L638">
            <v>11</v>
          </cell>
          <cell r="M638">
            <v>292</v>
          </cell>
          <cell r="N638">
            <v>2</v>
          </cell>
          <cell r="O638" t="str">
            <v>00</v>
          </cell>
          <cell r="P638">
            <v>6</v>
          </cell>
          <cell r="Q638">
            <v>4</v>
          </cell>
          <cell r="R638">
            <v>4</v>
          </cell>
          <cell r="S638">
            <v>1</v>
          </cell>
          <cell r="T638">
            <v>31</v>
          </cell>
          <cell r="V638">
            <v>0</v>
          </cell>
          <cell r="X638" t="str">
            <v>Institut Sup.Com. &amp; Adm. Entrep.Guinée(ISCAEG)</v>
          </cell>
          <cell r="Y638" t="str">
            <v>P4</v>
          </cell>
          <cell r="Z638" t="str">
            <v xml:space="preserve"> Conakry</v>
          </cell>
          <cell r="AA638" t="str">
            <v>Sub.expl. Fonct. (Fournit.conso)</v>
          </cell>
          <cell r="AB638">
            <v>56000</v>
          </cell>
          <cell r="AC638">
            <v>56000</v>
          </cell>
        </row>
        <row r="639">
          <cell r="B639">
            <v>1</v>
          </cell>
          <cell r="C639">
            <v>1</v>
          </cell>
          <cell r="E639" t="str">
            <v>20</v>
          </cell>
          <cell r="F639">
            <v>11292200600</v>
          </cell>
          <cell r="G639">
            <v>4</v>
          </cell>
          <cell r="H639" t="str">
            <v>41</v>
          </cell>
          <cell r="I639">
            <v>34</v>
          </cell>
          <cell r="J639">
            <v>20</v>
          </cell>
          <cell r="K639">
            <v>1</v>
          </cell>
          <cell r="L639">
            <v>11</v>
          </cell>
          <cell r="M639">
            <v>292</v>
          </cell>
          <cell r="N639">
            <v>2</v>
          </cell>
          <cell r="O639" t="str">
            <v>00</v>
          </cell>
          <cell r="P639">
            <v>6</v>
          </cell>
          <cell r="Q639">
            <v>4</v>
          </cell>
          <cell r="R639">
            <v>4</v>
          </cell>
          <cell r="S639">
            <v>1</v>
          </cell>
          <cell r="T639">
            <v>34</v>
          </cell>
          <cell r="V639">
            <v>0</v>
          </cell>
          <cell r="X639" t="str">
            <v>Institut Sup.Com. &amp; Adm. Entrep.Guinée(ISCAEG)</v>
          </cell>
          <cell r="Y639" t="str">
            <v>P4</v>
          </cell>
          <cell r="Z639" t="str">
            <v xml:space="preserve"> Conakry</v>
          </cell>
          <cell r="AA639" t="str">
            <v>Sub.expl. Fonct. (Conso div)</v>
          </cell>
          <cell r="AB639">
            <v>90000</v>
          </cell>
          <cell r="AC639">
            <v>90000</v>
          </cell>
        </row>
        <row r="640">
          <cell r="B640">
            <v>1</v>
          </cell>
          <cell r="C640">
            <v>1</v>
          </cell>
          <cell r="E640" t="str">
            <v>20</v>
          </cell>
          <cell r="F640">
            <v>11292200600</v>
          </cell>
          <cell r="G640">
            <v>4</v>
          </cell>
          <cell r="H640" t="str">
            <v>41</v>
          </cell>
          <cell r="I640">
            <v>37</v>
          </cell>
          <cell r="J640">
            <v>20</v>
          </cell>
          <cell r="K640">
            <v>1</v>
          </cell>
          <cell r="L640">
            <v>11</v>
          </cell>
          <cell r="M640">
            <v>292</v>
          </cell>
          <cell r="N640">
            <v>2</v>
          </cell>
          <cell r="O640" t="str">
            <v>00</v>
          </cell>
          <cell r="P640">
            <v>6</v>
          </cell>
          <cell r="Q640">
            <v>4</v>
          </cell>
          <cell r="R640">
            <v>4</v>
          </cell>
          <cell r="S640">
            <v>1</v>
          </cell>
          <cell r="T640">
            <v>37</v>
          </cell>
          <cell r="V640">
            <v>0</v>
          </cell>
          <cell r="X640" t="str">
            <v>Institut Sup.Com. &amp; Adm. Entrep.Guinée(ISCAEG)</v>
          </cell>
          <cell r="Y640" t="str">
            <v>P4</v>
          </cell>
          <cell r="Z640" t="str">
            <v xml:space="preserve"> Conakry</v>
          </cell>
          <cell r="AA640" t="str">
            <v>Sub.expl. Fonct. (Entret.immob)</v>
          </cell>
          <cell r="AB640">
            <v>114000</v>
          </cell>
          <cell r="AC640">
            <v>114000</v>
          </cell>
        </row>
        <row r="641">
          <cell r="B641">
            <v>1</v>
          </cell>
          <cell r="C641">
            <v>1</v>
          </cell>
          <cell r="E641" t="str">
            <v>20</v>
          </cell>
          <cell r="F641">
            <v>11292200600</v>
          </cell>
          <cell r="G641">
            <v>4</v>
          </cell>
          <cell r="H641" t="str">
            <v>41</v>
          </cell>
          <cell r="I641">
            <v>40</v>
          </cell>
          <cell r="J641">
            <v>20</v>
          </cell>
          <cell r="K641">
            <v>1</v>
          </cell>
          <cell r="L641">
            <v>11</v>
          </cell>
          <cell r="M641">
            <v>292</v>
          </cell>
          <cell r="N641">
            <v>2</v>
          </cell>
          <cell r="O641" t="str">
            <v>00</v>
          </cell>
          <cell r="P641">
            <v>6</v>
          </cell>
          <cell r="Q641">
            <v>4</v>
          </cell>
          <cell r="R641">
            <v>4</v>
          </cell>
          <cell r="S641">
            <v>1</v>
          </cell>
          <cell r="T641">
            <v>40</v>
          </cell>
          <cell r="V641">
            <v>0</v>
          </cell>
          <cell r="X641" t="str">
            <v>Institut Sup.Com. &amp; Adm. Entrep.Guinée(ISCAEG)</v>
          </cell>
          <cell r="Y641" t="str">
            <v>P4</v>
          </cell>
          <cell r="Z641" t="str">
            <v xml:space="preserve"> Conakry</v>
          </cell>
          <cell r="AA641" t="str">
            <v>Sub.expl.Transfert (Bourses)</v>
          </cell>
          <cell r="AB641">
            <v>0</v>
          </cell>
          <cell r="AC641">
            <v>0</v>
          </cell>
        </row>
        <row r="642">
          <cell r="B642">
            <v>1</v>
          </cell>
          <cell r="C642">
            <v>1</v>
          </cell>
          <cell r="E642" t="str">
            <v>20</v>
          </cell>
          <cell r="F642">
            <v>11292200600</v>
          </cell>
          <cell r="G642">
            <v>4</v>
          </cell>
          <cell r="H642" t="str">
            <v>41</v>
          </cell>
          <cell r="I642">
            <v>90</v>
          </cell>
          <cell r="J642">
            <v>20</v>
          </cell>
          <cell r="K642">
            <v>1</v>
          </cell>
          <cell r="L642">
            <v>11</v>
          </cell>
          <cell r="M642">
            <v>292</v>
          </cell>
          <cell r="N642">
            <v>2</v>
          </cell>
          <cell r="O642" t="str">
            <v>00</v>
          </cell>
          <cell r="P642">
            <v>6</v>
          </cell>
          <cell r="Q642">
            <v>4</v>
          </cell>
          <cell r="R642">
            <v>4</v>
          </cell>
          <cell r="S642">
            <v>1</v>
          </cell>
          <cell r="T642">
            <v>90</v>
          </cell>
          <cell r="V642">
            <v>0</v>
          </cell>
          <cell r="X642" t="str">
            <v>Institut Sup.Com. &amp; Adm. Entrep.Guinée(ISCAEG)</v>
          </cell>
          <cell r="Y642" t="str">
            <v>P4</v>
          </cell>
          <cell r="Z642" t="str">
            <v xml:space="preserve"> Conakry</v>
          </cell>
          <cell r="AA642" t="str">
            <v>Sub.expl. NV (Recher.format.)</v>
          </cell>
          <cell r="AB642">
            <v>60000</v>
          </cell>
          <cell r="AC642">
            <v>60000</v>
          </cell>
        </row>
        <row r="643">
          <cell r="A643">
            <v>6145</v>
          </cell>
          <cell r="B643">
            <v>1</v>
          </cell>
          <cell r="J643">
            <v>20</v>
          </cell>
          <cell r="K643">
            <v>1</v>
          </cell>
          <cell r="L643">
            <v>11</v>
          </cell>
          <cell r="M643">
            <v>293</v>
          </cell>
          <cell r="N643">
            <v>2</v>
          </cell>
          <cell r="Q643">
            <v>4</v>
          </cell>
          <cell r="R643">
            <v>4</v>
          </cell>
          <cell r="S643">
            <v>1</v>
          </cell>
          <cell r="X643" t="str">
            <v>Inst. Sup. Informat. &amp; Cce</v>
          </cell>
          <cell r="AB643">
            <v>736970</v>
          </cell>
          <cell r="AC643">
            <v>736970</v>
          </cell>
        </row>
        <row r="644">
          <cell r="A644">
            <v>5449</v>
          </cell>
          <cell r="B644">
            <v>1</v>
          </cell>
          <cell r="C644">
            <v>1</v>
          </cell>
          <cell r="E644" t="str">
            <v>20</v>
          </cell>
          <cell r="F644">
            <v>11293200600</v>
          </cell>
          <cell r="G644">
            <v>4</v>
          </cell>
          <cell r="H644" t="str">
            <v>41</v>
          </cell>
          <cell r="I644">
            <v>20</v>
          </cell>
          <cell r="J644">
            <v>20</v>
          </cell>
          <cell r="K644">
            <v>1</v>
          </cell>
          <cell r="L644">
            <v>11</v>
          </cell>
          <cell r="M644">
            <v>293</v>
          </cell>
          <cell r="N644">
            <v>2</v>
          </cell>
          <cell r="O644" t="str">
            <v>00</v>
          </cell>
          <cell r="P644">
            <v>6</v>
          </cell>
          <cell r="Q644">
            <v>4</v>
          </cell>
          <cell r="R644">
            <v>4</v>
          </cell>
          <cell r="S644">
            <v>1</v>
          </cell>
          <cell r="T644">
            <v>20</v>
          </cell>
          <cell r="V644">
            <v>0</v>
          </cell>
          <cell r="W644">
            <v>0</v>
          </cell>
          <cell r="X644" t="str">
            <v>Institut Sup.Information et Communication</v>
          </cell>
          <cell r="Y644" t="str">
            <v>P4</v>
          </cell>
          <cell r="Z644" t="str">
            <v xml:space="preserve"> Conakry</v>
          </cell>
          <cell r="AA644" t="str">
            <v>Sub.expl. Frais de personnel</v>
          </cell>
          <cell r="AB644">
            <v>66180</v>
          </cell>
          <cell r="AC644">
            <v>66180</v>
          </cell>
        </row>
        <row r="645">
          <cell r="A645">
            <v>5450</v>
          </cell>
          <cell r="B645">
            <v>1</v>
          </cell>
          <cell r="C645">
            <v>1</v>
          </cell>
          <cell r="E645" t="str">
            <v>20</v>
          </cell>
          <cell r="F645">
            <v>11293200600</v>
          </cell>
          <cell r="G645">
            <v>4</v>
          </cell>
          <cell r="H645" t="str">
            <v>41</v>
          </cell>
          <cell r="I645">
            <v>31</v>
          </cell>
          <cell r="J645">
            <v>20</v>
          </cell>
          <cell r="K645">
            <v>1</v>
          </cell>
          <cell r="L645">
            <v>11</v>
          </cell>
          <cell r="M645">
            <v>293</v>
          </cell>
          <cell r="N645">
            <v>2</v>
          </cell>
          <cell r="O645" t="str">
            <v>00</v>
          </cell>
          <cell r="P645">
            <v>6</v>
          </cell>
          <cell r="Q645">
            <v>4</v>
          </cell>
          <cell r="R645">
            <v>4</v>
          </cell>
          <cell r="S645">
            <v>1</v>
          </cell>
          <cell r="T645">
            <v>31</v>
          </cell>
          <cell r="V645">
            <v>0</v>
          </cell>
          <cell r="X645" t="str">
            <v>Institut Sup.Information et Communication</v>
          </cell>
          <cell r="Y645" t="str">
            <v>P4</v>
          </cell>
          <cell r="Z645" t="str">
            <v xml:space="preserve"> Conakry</v>
          </cell>
          <cell r="AA645" t="str">
            <v>Sub.expl. Fonct. (Fournit.conso)</v>
          </cell>
          <cell r="AB645">
            <v>25960</v>
          </cell>
          <cell r="AC645">
            <v>25960</v>
          </cell>
        </row>
        <row r="646">
          <cell r="A646">
            <v>5451</v>
          </cell>
          <cell r="B646">
            <v>1</v>
          </cell>
          <cell r="C646">
            <v>1</v>
          </cell>
          <cell r="E646" t="str">
            <v>20</v>
          </cell>
          <cell r="F646">
            <v>11293200600</v>
          </cell>
          <cell r="G646">
            <v>4</v>
          </cell>
          <cell r="H646" t="str">
            <v>41</v>
          </cell>
          <cell r="I646">
            <v>34</v>
          </cell>
          <cell r="J646">
            <v>20</v>
          </cell>
          <cell r="K646">
            <v>1</v>
          </cell>
          <cell r="L646">
            <v>11</v>
          </cell>
          <cell r="M646">
            <v>293</v>
          </cell>
          <cell r="N646">
            <v>2</v>
          </cell>
          <cell r="O646" t="str">
            <v>00</v>
          </cell>
          <cell r="P646">
            <v>6</v>
          </cell>
          <cell r="Q646">
            <v>4</v>
          </cell>
          <cell r="R646">
            <v>4</v>
          </cell>
          <cell r="S646">
            <v>1</v>
          </cell>
          <cell r="T646">
            <v>34</v>
          </cell>
          <cell r="V646">
            <v>0</v>
          </cell>
          <cell r="X646" t="str">
            <v>Institut Sup.Information et Communication</v>
          </cell>
          <cell r="Y646" t="str">
            <v>P4</v>
          </cell>
          <cell r="Z646" t="str">
            <v xml:space="preserve"> Conakry</v>
          </cell>
          <cell r="AA646" t="str">
            <v>Sub.expl. Fonct. (Conso div)</v>
          </cell>
          <cell r="AB646">
            <v>225280</v>
          </cell>
          <cell r="AC646">
            <v>225280</v>
          </cell>
        </row>
        <row r="647">
          <cell r="A647">
            <v>5452</v>
          </cell>
          <cell r="B647">
            <v>1</v>
          </cell>
          <cell r="C647">
            <v>1</v>
          </cell>
          <cell r="E647" t="str">
            <v>20</v>
          </cell>
          <cell r="F647">
            <v>11293200600</v>
          </cell>
          <cell r="G647">
            <v>4</v>
          </cell>
          <cell r="H647" t="str">
            <v>41</v>
          </cell>
          <cell r="I647">
            <v>37</v>
          </cell>
          <cell r="J647">
            <v>20</v>
          </cell>
          <cell r="K647">
            <v>1</v>
          </cell>
          <cell r="L647">
            <v>11</v>
          </cell>
          <cell r="M647">
            <v>293</v>
          </cell>
          <cell r="N647">
            <v>2</v>
          </cell>
          <cell r="O647" t="str">
            <v>00</v>
          </cell>
          <cell r="P647">
            <v>6</v>
          </cell>
          <cell r="Q647">
            <v>4</v>
          </cell>
          <cell r="R647">
            <v>4</v>
          </cell>
          <cell r="S647">
            <v>1</v>
          </cell>
          <cell r="T647">
            <v>37</v>
          </cell>
          <cell r="V647">
            <v>0</v>
          </cell>
          <cell r="X647" t="str">
            <v>Institut Sup.Information et Communication</v>
          </cell>
          <cell r="Y647" t="str">
            <v>P4</v>
          </cell>
          <cell r="Z647" t="str">
            <v xml:space="preserve"> Conakry</v>
          </cell>
          <cell r="AA647" t="str">
            <v>Sub.expl. Fonct. (Entret.immob)</v>
          </cell>
          <cell r="AB647">
            <v>22920</v>
          </cell>
          <cell r="AC647">
            <v>22920</v>
          </cell>
        </row>
        <row r="648">
          <cell r="A648">
            <v>5453</v>
          </cell>
          <cell r="B648">
            <v>1</v>
          </cell>
          <cell r="C648">
            <v>1</v>
          </cell>
          <cell r="E648" t="str">
            <v>20</v>
          </cell>
          <cell r="F648">
            <v>11293200600</v>
          </cell>
          <cell r="G648">
            <v>4</v>
          </cell>
          <cell r="H648" t="str">
            <v>41</v>
          </cell>
          <cell r="I648">
            <v>40</v>
          </cell>
          <cell r="J648">
            <v>20</v>
          </cell>
          <cell r="K648">
            <v>1</v>
          </cell>
          <cell r="L648">
            <v>11</v>
          </cell>
          <cell r="M648">
            <v>293</v>
          </cell>
          <cell r="N648">
            <v>2</v>
          </cell>
          <cell r="O648" t="str">
            <v>00</v>
          </cell>
          <cell r="P648">
            <v>6</v>
          </cell>
          <cell r="Q648">
            <v>4</v>
          </cell>
          <cell r="R648">
            <v>4</v>
          </cell>
          <cell r="S648">
            <v>1</v>
          </cell>
          <cell r="T648">
            <v>40</v>
          </cell>
          <cell r="V648">
            <v>0</v>
          </cell>
          <cell r="X648" t="str">
            <v>Institut Sup.Information et Communication</v>
          </cell>
          <cell r="Y648" t="str">
            <v>P4</v>
          </cell>
          <cell r="Z648" t="str">
            <v xml:space="preserve"> Conakry</v>
          </cell>
          <cell r="AA648" t="str">
            <v>Sub.expl.Transfert (Bourses)</v>
          </cell>
          <cell r="AB648">
            <v>375860</v>
          </cell>
          <cell r="AC648">
            <v>375860</v>
          </cell>
        </row>
        <row r="649">
          <cell r="A649">
            <v>5454</v>
          </cell>
          <cell r="B649">
            <v>1</v>
          </cell>
          <cell r="C649">
            <v>1</v>
          </cell>
          <cell r="E649" t="str">
            <v>20</v>
          </cell>
          <cell r="F649">
            <v>11293200600</v>
          </cell>
          <cell r="G649">
            <v>4</v>
          </cell>
          <cell r="H649" t="str">
            <v>41</v>
          </cell>
          <cell r="I649">
            <v>90</v>
          </cell>
          <cell r="J649">
            <v>20</v>
          </cell>
          <cell r="K649">
            <v>1</v>
          </cell>
          <cell r="L649">
            <v>11</v>
          </cell>
          <cell r="M649">
            <v>293</v>
          </cell>
          <cell r="N649">
            <v>2</v>
          </cell>
          <cell r="O649" t="str">
            <v>00</v>
          </cell>
          <cell r="P649">
            <v>6</v>
          </cell>
          <cell r="Q649">
            <v>4</v>
          </cell>
          <cell r="R649">
            <v>4</v>
          </cell>
          <cell r="S649">
            <v>1</v>
          </cell>
          <cell r="T649">
            <v>90</v>
          </cell>
          <cell r="V649">
            <v>0</v>
          </cell>
          <cell r="X649" t="str">
            <v>Institut Sup.Information et Communication</v>
          </cell>
          <cell r="Y649" t="str">
            <v>P4</v>
          </cell>
          <cell r="Z649" t="str">
            <v xml:space="preserve"> Conakry</v>
          </cell>
          <cell r="AA649" t="str">
            <v>Sub.expl. NV (Recher.format.)</v>
          </cell>
          <cell r="AB649">
            <v>20770</v>
          </cell>
          <cell r="AC649">
            <v>20770</v>
          </cell>
        </row>
        <row r="650">
          <cell r="A650">
            <v>5455</v>
          </cell>
          <cell r="B650">
            <v>1</v>
          </cell>
          <cell r="C650">
            <v>1</v>
          </cell>
          <cell r="E650" t="str">
            <v>20</v>
          </cell>
          <cell r="F650">
            <v>11299200600</v>
          </cell>
          <cell r="G650">
            <v>4</v>
          </cell>
          <cell r="H650" t="str">
            <v>41</v>
          </cell>
          <cell r="I650">
            <v>40</v>
          </cell>
          <cell r="J650">
            <v>20</v>
          </cell>
          <cell r="K650">
            <v>1</v>
          </cell>
          <cell r="L650">
            <v>11</v>
          </cell>
          <cell r="M650">
            <v>299</v>
          </cell>
          <cell r="N650">
            <v>2</v>
          </cell>
          <cell r="O650" t="str">
            <v>00</v>
          </cell>
          <cell r="P650">
            <v>6</v>
          </cell>
          <cell r="Q650">
            <v>4</v>
          </cell>
          <cell r="R650">
            <v>4</v>
          </cell>
          <cell r="S650">
            <v>1</v>
          </cell>
          <cell r="T650">
            <v>40</v>
          </cell>
          <cell r="V650">
            <v>0</v>
          </cell>
          <cell r="X650" t="str">
            <v>Autres instituts</v>
          </cell>
          <cell r="Y650" t="str">
            <v>P4</v>
          </cell>
          <cell r="Z650" t="str">
            <v xml:space="preserve"> Conakry</v>
          </cell>
          <cell r="AA650" t="str">
            <v>Sub.expl.Transfert (Bourses)</v>
          </cell>
          <cell r="AB650">
            <v>14089770</v>
          </cell>
          <cell r="AC650">
            <v>14089770</v>
          </cell>
        </row>
        <row r="651">
          <cell r="A651">
            <v>6119</v>
          </cell>
          <cell r="B651">
            <v>1</v>
          </cell>
          <cell r="J651">
            <v>20</v>
          </cell>
          <cell r="K651">
            <v>1</v>
          </cell>
          <cell r="L651">
            <v>11</v>
          </cell>
          <cell r="M651">
            <v>120</v>
          </cell>
          <cell r="N651">
            <v>3</v>
          </cell>
          <cell r="Q651">
            <v>4</v>
          </cell>
          <cell r="R651">
            <v>4</v>
          </cell>
          <cell r="S651">
            <v>1</v>
          </cell>
          <cell r="W651">
            <v>0</v>
          </cell>
          <cell r="X651" t="str">
            <v>Université Kankan</v>
          </cell>
          <cell r="AB651">
            <v>9212850</v>
          </cell>
          <cell r="AC651">
            <v>9212850</v>
          </cell>
        </row>
        <row r="652">
          <cell r="A652">
            <v>5378</v>
          </cell>
          <cell r="B652">
            <v>1</v>
          </cell>
          <cell r="C652">
            <v>1</v>
          </cell>
          <cell r="E652" t="str">
            <v>20</v>
          </cell>
          <cell r="F652">
            <v>11120300600</v>
          </cell>
          <cell r="G652">
            <v>4</v>
          </cell>
          <cell r="H652" t="str">
            <v>41</v>
          </cell>
          <cell r="I652">
            <v>20</v>
          </cell>
          <cell r="J652">
            <v>20</v>
          </cell>
          <cell r="K652">
            <v>1</v>
          </cell>
          <cell r="L652">
            <v>11</v>
          </cell>
          <cell r="M652">
            <v>120</v>
          </cell>
          <cell r="N652">
            <v>3</v>
          </cell>
          <cell r="O652" t="str">
            <v>00</v>
          </cell>
          <cell r="P652">
            <v>6</v>
          </cell>
          <cell r="Q652">
            <v>4</v>
          </cell>
          <cell r="R652">
            <v>4</v>
          </cell>
          <cell r="S652">
            <v>1</v>
          </cell>
          <cell r="T652">
            <v>20</v>
          </cell>
          <cell r="V652">
            <v>0</v>
          </cell>
          <cell r="W652">
            <v>0</v>
          </cell>
          <cell r="X652" t="str">
            <v>Université Kankan</v>
          </cell>
          <cell r="Y652" t="str">
            <v>P4</v>
          </cell>
          <cell r="Z652" t="str">
            <v xml:space="preserve"> Intérieur</v>
          </cell>
          <cell r="AA652" t="str">
            <v>Sub.expl. Frais de personnel</v>
          </cell>
          <cell r="AB652">
            <v>600940</v>
          </cell>
          <cell r="AC652">
            <v>600940</v>
          </cell>
        </row>
        <row r="653">
          <cell r="A653">
            <v>5379</v>
          </cell>
          <cell r="B653">
            <v>1</v>
          </cell>
          <cell r="C653">
            <v>1</v>
          </cell>
          <cell r="E653" t="str">
            <v>20</v>
          </cell>
          <cell r="F653">
            <v>11120300600</v>
          </cell>
          <cell r="G653">
            <v>4</v>
          </cell>
          <cell r="H653" t="str">
            <v>41</v>
          </cell>
          <cell r="I653">
            <v>31</v>
          </cell>
          <cell r="J653">
            <v>20</v>
          </cell>
          <cell r="K653">
            <v>1</v>
          </cell>
          <cell r="L653">
            <v>11</v>
          </cell>
          <cell r="M653">
            <v>120</v>
          </cell>
          <cell r="N653">
            <v>3</v>
          </cell>
          <cell r="O653" t="str">
            <v>00</v>
          </cell>
          <cell r="P653">
            <v>6</v>
          </cell>
          <cell r="Q653">
            <v>4</v>
          </cell>
          <cell r="R653">
            <v>4</v>
          </cell>
          <cell r="S653">
            <v>1</v>
          </cell>
          <cell r="T653">
            <v>31</v>
          </cell>
          <cell r="V653">
            <v>0</v>
          </cell>
          <cell r="W653">
            <v>0</v>
          </cell>
          <cell r="X653" t="str">
            <v>Université Kankan</v>
          </cell>
          <cell r="Y653" t="str">
            <v>P4</v>
          </cell>
          <cell r="Z653" t="str">
            <v xml:space="preserve"> Intérieur</v>
          </cell>
          <cell r="AA653" t="str">
            <v>Sub.expl. Fonct. (Fournit.conso)</v>
          </cell>
          <cell r="AB653">
            <v>327710</v>
          </cell>
          <cell r="AC653">
            <v>327710</v>
          </cell>
        </row>
        <row r="654">
          <cell r="A654">
            <v>5380</v>
          </cell>
          <cell r="B654">
            <v>1</v>
          </cell>
          <cell r="C654">
            <v>1</v>
          </cell>
          <cell r="E654" t="str">
            <v>20</v>
          </cell>
          <cell r="F654">
            <v>11120300600</v>
          </cell>
          <cell r="G654">
            <v>4</v>
          </cell>
          <cell r="H654" t="str">
            <v>41</v>
          </cell>
          <cell r="I654">
            <v>34</v>
          </cell>
          <cell r="J654">
            <v>20</v>
          </cell>
          <cell r="K654">
            <v>1</v>
          </cell>
          <cell r="L654">
            <v>11</v>
          </cell>
          <cell r="M654">
            <v>120</v>
          </cell>
          <cell r="N654">
            <v>3</v>
          </cell>
          <cell r="O654" t="str">
            <v>00</v>
          </cell>
          <cell r="P654">
            <v>6</v>
          </cell>
          <cell r="Q654">
            <v>4</v>
          </cell>
          <cell r="R654">
            <v>4</v>
          </cell>
          <cell r="S654">
            <v>1</v>
          </cell>
          <cell r="T654">
            <v>34</v>
          </cell>
          <cell r="V654">
            <v>0</v>
          </cell>
          <cell r="W654">
            <v>0</v>
          </cell>
          <cell r="X654" t="str">
            <v>Université Kankan</v>
          </cell>
          <cell r="Y654" t="str">
            <v>P4</v>
          </cell>
          <cell r="Z654" t="str">
            <v xml:space="preserve"> Intérieur</v>
          </cell>
          <cell r="AA654" t="str">
            <v>Sub.expl. Fonct. (Conso div)</v>
          </cell>
          <cell r="AB654">
            <v>648280</v>
          </cell>
          <cell r="AC654">
            <v>648280</v>
          </cell>
        </row>
        <row r="655">
          <cell r="A655">
            <v>5381</v>
          </cell>
          <cell r="B655">
            <v>1</v>
          </cell>
          <cell r="C655">
            <v>1</v>
          </cell>
          <cell r="E655" t="str">
            <v>20</v>
          </cell>
          <cell r="F655">
            <v>11120300600</v>
          </cell>
          <cell r="G655">
            <v>4</v>
          </cell>
          <cell r="H655" t="str">
            <v>41</v>
          </cell>
          <cell r="I655">
            <v>37</v>
          </cell>
          <cell r="J655">
            <v>20</v>
          </cell>
          <cell r="K655">
            <v>1</v>
          </cell>
          <cell r="L655">
            <v>11</v>
          </cell>
          <cell r="M655">
            <v>120</v>
          </cell>
          <cell r="N655">
            <v>3</v>
          </cell>
          <cell r="O655" t="str">
            <v>00</v>
          </cell>
          <cell r="P655">
            <v>6</v>
          </cell>
          <cell r="Q655">
            <v>4</v>
          </cell>
          <cell r="R655">
            <v>4</v>
          </cell>
          <cell r="S655">
            <v>1</v>
          </cell>
          <cell r="T655">
            <v>37</v>
          </cell>
          <cell r="V655">
            <v>0</v>
          </cell>
          <cell r="W655">
            <v>0</v>
          </cell>
          <cell r="X655" t="str">
            <v>Université Kankan</v>
          </cell>
          <cell r="Y655" t="str">
            <v>P4</v>
          </cell>
          <cell r="Z655" t="str">
            <v xml:space="preserve"> Intérieur</v>
          </cell>
          <cell r="AA655" t="str">
            <v>Sub.expl. Fonct. (Entret.immob)</v>
          </cell>
          <cell r="AB655">
            <v>475130</v>
          </cell>
          <cell r="AC655">
            <v>475130</v>
          </cell>
        </row>
        <row r="656">
          <cell r="A656">
            <v>5382</v>
          </cell>
          <cell r="B656">
            <v>1</v>
          </cell>
          <cell r="C656">
            <v>1</v>
          </cell>
          <cell r="E656" t="str">
            <v>20</v>
          </cell>
          <cell r="F656">
            <v>11120300600</v>
          </cell>
          <cell r="G656">
            <v>4</v>
          </cell>
          <cell r="H656" t="str">
            <v>41</v>
          </cell>
          <cell r="I656">
            <v>40</v>
          </cell>
          <cell r="J656">
            <v>20</v>
          </cell>
          <cell r="K656">
            <v>1</v>
          </cell>
          <cell r="L656">
            <v>11</v>
          </cell>
          <cell r="M656">
            <v>120</v>
          </cell>
          <cell r="N656">
            <v>3</v>
          </cell>
          <cell r="O656" t="str">
            <v>00</v>
          </cell>
          <cell r="P656">
            <v>6</v>
          </cell>
          <cell r="Q656">
            <v>4</v>
          </cell>
          <cell r="R656">
            <v>4</v>
          </cell>
          <cell r="S656">
            <v>1</v>
          </cell>
          <cell r="T656">
            <v>40</v>
          </cell>
          <cell r="V656">
            <v>0</v>
          </cell>
          <cell r="W656">
            <v>0</v>
          </cell>
          <cell r="X656" t="str">
            <v>Université Kankan</v>
          </cell>
          <cell r="Y656" t="str">
            <v>P4</v>
          </cell>
          <cell r="Z656" t="str">
            <v xml:space="preserve"> Intérieur</v>
          </cell>
          <cell r="AA656" t="str">
            <v>Sub.expl.Transfert (Bourses)</v>
          </cell>
          <cell r="AB656">
            <v>6953770</v>
          </cell>
          <cell r="AC656">
            <v>6953770</v>
          </cell>
        </row>
        <row r="657">
          <cell r="A657">
            <v>5383</v>
          </cell>
          <cell r="B657">
            <v>1</v>
          </cell>
          <cell r="C657">
            <v>1</v>
          </cell>
          <cell r="E657" t="str">
            <v>20</v>
          </cell>
          <cell r="F657">
            <v>11120300600</v>
          </cell>
          <cell r="G657">
            <v>4</v>
          </cell>
          <cell r="H657" t="str">
            <v>41</v>
          </cell>
          <cell r="I657">
            <v>90</v>
          </cell>
          <cell r="J657">
            <v>20</v>
          </cell>
          <cell r="K657">
            <v>1</v>
          </cell>
          <cell r="L657">
            <v>11</v>
          </cell>
          <cell r="M657">
            <v>120</v>
          </cell>
          <cell r="N657">
            <v>3</v>
          </cell>
          <cell r="O657" t="str">
            <v>00</v>
          </cell>
          <cell r="P657">
            <v>6</v>
          </cell>
          <cell r="Q657">
            <v>4</v>
          </cell>
          <cell r="R657">
            <v>4</v>
          </cell>
          <cell r="S657">
            <v>1</v>
          </cell>
          <cell r="T657">
            <v>90</v>
          </cell>
          <cell r="V657">
            <v>0</v>
          </cell>
          <cell r="W657">
            <v>0</v>
          </cell>
          <cell r="X657" t="str">
            <v>Université Kankan</v>
          </cell>
          <cell r="Y657" t="str">
            <v>P4</v>
          </cell>
          <cell r="Z657" t="str">
            <v xml:space="preserve"> Intérieur</v>
          </cell>
          <cell r="AA657" t="str">
            <v>Sub.expl. NV (Recher.format.)</v>
          </cell>
          <cell r="AB657">
            <v>207020</v>
          </cell>
          <cell r="AC657">
            <v>207020</v>
          </cell>
        </row>
        <row r="658">
          <cell r="A658">
            <v>6121</v>
          </cell>
          <cell r="B658">
            <v>1</v>
          </cell>
          <cell r="J658">
            <v>20</v>
          </cell>
          <cell r="K658">
            <v>1</v>
          </cell>
          <cell r="L658">
            <v>11</v>
          </cell>
          <cell r="M658">
            <v>210</v>
          </cell>
          <cell r="N658">
            <v>3</v>
          </cell>
          <cell r="Q658">
            <v>4</v>
          </cell>
          <cell r="R658">
            <v>4</v>
          </cell>
          <cell r="S658">
            <v>1</v>
          </cell>
          <cell r="W658">
            <v>0</v>
          </cell>
          <cell r="X658" t="str">
            <v>Institut Faranah</v>
          </cell>
          <cell r="AB658">
            <v>7941610</v>
          </cell>
          <cell r="AC658">
            <v>7941610</v>
          </cell>
        </row>
        <row r="659">
          <cell r="A659">
            <v>5384</v>
          </cell>
          <cell r="B659">
            <v>1</v>
          </cell>
          <cell r="C659">
            <v>1</v>
          </cell>
          <cell r="E659" t="str">
            <v>20</v>
          </cell>
          <cell r="F659">
            <v>11210300600</v>
          </cell>
          <cell r="G659">
            <v>4</v>
          </cell>
          <cell r="H659" t="str">
            <v>41</v>
          </cell>
          <cell r="I659">
            <v>20</v>
          </cell>
          <cell r="J659">
            <v>20</v>
          </cell>
          <cell r="K659">
            <v>1</v>
          </cell>
          <cell r="L659">
            <v>11</v>
          </cell>
          <cell r="M659">
            <v>210</v>
          </cell>
          <cell r="N659">
            <v>3</v>
          </cell>
          <cell r="O659" t="str">
            <v>00</v>
          </cell>
          <cell r="P659">
            <v>6</v>
          </cell>
          <cell r="Q659">
            <v>4</v>
          </cell>
          <cell r="R659">
            <v>4</v>
          </cell>
          <cell r="S659">
            <v>1</v>
          </cell>
          <cell r="T659">
            <v>20</v>
          </cell>
          <cell r="V659">
            <v>0</v>
          </cell>
          <cell r="W659">
            <v>0</v>
          </cell>
          <cell r="X659" t="str">
            <v>Institut Faranah</v>
          </cell>
          <cell r="Y659" t="str">
            <v>P4</v>
          </cell>
          <cell r="Z659" t="str">
            <v xml:space="preserve"> Intérieur</v>
          </cell>
          <cell r="AA659" t="str">
            <v>Sub.expl. Frais de personnel</v>
          </cell>
          <cell r="AB659">
            <v>671920</v>
          </cell>
          <cell r="AC659">
            <v>671920</v>
          </cell>
        </row>
        <row r="660">
          <cell r="A660">
            <v>5385</v>
          </cell>
          <cell r="B660">
            <v>1</v>
          </cell>
          <cell r="C660">
            <v>1</v>
          </cell>
          <cell r="E660" t="str">
            <v>20</v>
          </cell>
          <cell r="F660">
            <v>11210300600</v>
          </cell>
          <cell r="G660">
            <v>4</v>
          </cell>
          <cell r="H660" t="str">
            <v>41</v>
          </cell>
          <cell r="I660">
            <v>31</v>
          </cell>
          <cell r="J660">
            <v>20</v>
          </cell>
          <cell r="K660">
            <v>1</v>
          </cell>
          <cell r="L660">
            <v>11</v>
          </cell>
          <cell r="M660">
            <v>210</v>
          </cell>
          <cell r="N660">
            <v>3</v>
          </cell>
          <cell r="O660" t="str">
            <v>00</v>
          </cell>
          <cell r="P660">
            <v>6</v>
          </cell>
          <cell r="Q660">
            <v>4</v>
          </cell>
          <cell r="R660">
            <v>4</v>
          </cell>
          <cell r="S660">
            <v>1</v>
          </cell>
          <cell r="T660">
            <v>31</v>
          </cell>
          <cell r="V660">
            <v>0</v>
          </cell>
          <cell r="W660">
            <v>0</v>
          </cell>
          <cell r="X660" t="str">
            <v>Institut Faranah</v>
          </cell>
          <cell r="Y660" t="str">
            <v>P4</v>
          </cell>
          <cell r="Z660" t="str">
            <v xml:space="preserve"> Intérieur</v>
          </cell>
          <cell r="AA660" t="str">
            <v>Sub.expl. Fonct. (Fournit.conso)</v>
          </cell>
          <cell r="AB660">
            <v>449810</v>
          </cell>
          <cell r="AC660">
            <v>449810</v>
          </cell>
        </row>
        <row r="661">
          <cell r="A661">
            <v>5386</v>
          </cell>
          <cell r="B661">
            <v>1</v>
          </cell>
          <cell r="C661">
            <v>1</v>
          </cell>
          <cell r="E661" t="str">
            <v>20</v>
          </cell>
          <cell r="F661">
            <v>11210300600</v>
          </cell>
          <cell r="G661">
            <v>4</v>
          </cell>
          <cell r="H661" t="str">
            <v>41</v>
          </cell>
          <cell r="I661">
            <v>34</v>
          </cell>
          <cell r="J661">
            <v>20</v>
          </cell>
          <cell r="K661">
            <v>1</v>
          </cell>
          <cell r="L661">
            <v>11</v>
          </cell>
          <cell r="M661">
            <v>210</v>
          </cell>
          <cell r="N661">
            <v>3</v>
          </cell>
          <cell r="O661" t="str">
            <v>00</v>
          </cell>
          <cell r="P661">
            <v>6</v>
          </cell>
          <cell r="Q661">
            <v>4</v>
          </cell>
          <cell r="R661">
            <v>4</v>
          </cell>
          <cell r="S661">
            <v>1</v>
          </cell>
          <cell r="T661">
            <v>34</v>
          </cell>
          <cell r="V661">
            <v>0</v>
          </cell>
          <cell r="W661">
            <v>0</v>
          </cell>
          <cell r="X661" t="str">
            <v>Institut Faranah</v>
          </cell>
          <cell r="Y661" t="str">
            <v>P4</v>
          </cell>
          <cell r="Z661" t="str">
            <v xml:space="preserve"> Intérieur</v>
          </cell>
          <cell r="AA661" t="str">
            <v>Sub.expl. Fonct. (Conso div)</v>
          </cell>
          <cell r="AB661">
            <v>509240</v>
          </cell>
          <cell r="AC661">
            <v>509240</v>
          </cell>
        </row>
        <row r="662">
          <cell r="A662">
            <v>5387</v>
          </cell>
          <cell r="B662">
            <v>1</v>
          </cell>
          <cell r="C662">
            <v>1</v>
          </cell>
          <cell r="E662" t="str">
            <v>20</v>
          </cell>
          <cell r="F662">
            <v>11210300600</v>
          </cell>
          <cell r="G662">
            <v>4</v>
          </cell>
          <cell r="H662" t="str">
            <v>41</v>
          </cell>
          <cell r="I662">
            <v>37</v>
          </cell>
          <cell r="J662">
            <v>20</v>
          </cell>
          <cell r="K662">
            <v>1</v>
          </cell>
          <cell r="L662">
            <v>11</v>
          </cell>
          <cell r="M662">
            <v>210</v>
          </cell>
          <cell r="N662">
            <v>3</v>
          </cell>
          <cell r="O662" t="str">
            <v>00</v>
          </cell>
          <cell r="P662">
            <v>6</v>
          </cell>
          <cell r="Q662">
            <v>4</v>
          </cell>
          <cell r="R662">
            <v>4</v>
          </cell>
          <cell r="S662">
            <v>1</v>
          </cell>
          <cell r="T662">
            <v>37</v>
          </cell>
          <cell r="V662">
            <v>0</v>
          </cell>
          <cell r="W662">
            <v>0</v>
          </cell>
          <cell r="X662" t="str">
            <v>Institut Faranah</v>
          </cell>
          <cell r="Y662" t="str">
            <v>P4</v>
          </cell>
          <cell r="Z662" t="str">
            <v xml:space="preserve"> Intérieur</v>
          </cell>
          <cell r="AA662" t="str">
            <v>Sub.expl. Fonct. (Entret.immob)</v>
          </cell>
          <cell r="AB662">
            <v>449980</v>
          </cell>
          <cell r="AC662">
            <v>449980</v>
          </cell>
        </row>
        <row r="663">
          <cell r="A663">
            <v>5388</v>
          </cell>
          <cell r="B663">
            <v>1</v>
          </cell>
          <cell r="C663">
            <v>1</v>
          </cell>
          <cell r="E663" t="str">
            <v>20</v>
          </cell>
          <cell r="F663">
            <v>11210300600</v>
          </cell>
          <cell r="G663">
            <v>4</v>
          </cell>
          <cell r="H663" t="str">
            <v>41</v>
          </cell>
          <cell r="I663">
            <v>40</v>
          </cell>
          <cell r="J663">
            <v>20</v>
          </cell>
          <cell r="K663">
            <v>1</v>
          </cell>
          <cell r="L663">
            <v>11</v>
          </cell>
          <cell r="M663">
            <v>210</v>
          </cell>
          <cell r="N663">
            <v>3</v>
          </cell>
          <cell r="O663" t="str">
            <v>00</v>
          </cell>
          <cell r="P663">
            <v>6</v>
          </cell>
          <cell r="Q663">
            <v>4</v>
          </cell>
          <cell r="R663">
            <v>4</v>
          </cell>
          <cell r="S663">
            <v>1</v>
          </cell>
          <cell r="T663">
            <v>40</v>
          </cell>
          <cell r="V663">
            <v>0</v>
          </cell>
          <cell r="W663">
            <v>0</v>
          </cell>
          <cell r="X663" t="str">
            <v>Institut Faranah</v>
          </cell>
          <cell r="Y663" t="str">
            <v>P4</v>
          </cell>
          <cell r="Z663" t="str">
            <v xml:space="preserve"> Intérieur</v>
          </cell>
          <cell r="AA663" t="str">
            <v>Sub.expl.Transfert (Bourses)</v>
          </cell>
          <cell r="AB663">
            <v>5629120</v>
          </cell>
          <cell r="AC663">
            <v>5629120</v>
          </cell>
        </row>
        <row r="664">
          <cell r="A664">
            <v>5389</v>
          </cell>
          <cell r="B664">
            <v>1</v>
          </cell>
          <cell r="C664">
            <v>1</v>
          </cell>
          <cell r="E664" t="str">
            <v>20</v>
          </cell>
          <cell r="F664">
            <v>11210300600</v>
          </cell>
          <cell r="G664">
            <v>4</v>
          </cell>
          <cell r="H664" t="str">
            <v>41</v>
          </cell>
          <cell r="I664">
            <v>90</v>
          </cell>
          <cell r="J664">
            <v>20</v>
          </cell>
          <cell r="K664">
            <v>1</v>
          </cell>
          <cell r="L664">
            <v>11</v>
          </cell>
          <cell r="M664">
            <v>210</v>
          </cell>
          <cell r="N664">
            <v>3</v>
          </cell>
          <cell r="O664" t="str">
            <v>00</v>
          </cell>
          <cell r="P664">
            <v>6</v>
          </cell>
          <cell r="Q664">
            <v>4</v>
          </cell>
          <cell r="R664">
            <v>4</v>
          </cell>
          <cell r="S664">
            <v>1</v>
          </cell>
          <cell r="T664">
            <v>90</v>
          </cell>
          <cell r="V664">
            <v>0</v>
          </cell>
          <cell r="W664">
            <v>0</v>
          </cell>
          <cell r="X664" t="str">
            <v>Institut Faranah</v>
          </cell>
          <cell r="Y664" t="str">
            <v>P4</v>
          </cell>
          <cell r="Z664" t="str">
            <v xml:space="preserve"> Intérieur</v>
          </cell>
          <cell r="AA664" t="str">
            <v>Sub.expl. NV (Recher.format.)</v>
          </cell>
          <cell r="AB664">
            <v>231540</v>
          </cell>
          <cell r="AC664">
            <v>231540</v>
          </cell>
        </row>
        <row r="665">
          <cell r="A665">
            <v>6123</v>
          </cell>
          <cell r="B665">
            <v>1</v>
          </cell>
          <cell r="J665">
            <v>20</v>
          </cell>
          <cell r="K665">
            <v>1</v>
          </cell>
          <cell r="L665">
            <v>11</v>
          </cell>
          <cell r="M665">
            <v>220</v>
          </cell>
          <cell r="N665">
            <v>3</v>
          </cell>
          <cell r="Q665">
            <v>4</v>
          </cell>
          <cell r="R665">
            <v>4</v>
          </cell>
          <cell r="S665">
            <v>1</v>
          </cell>
          <cell r="W665">
            <v>0</v>
          </cell>
          <cell r="X665" t="str">
            <v>Institut Manéah</v>
          </cell>
          <cell r="AB665">
            <v>4478180</v>
          </cell>
          <cell r="AC665">
            <v>4478180</v>
          </cell>
        </row>
        <row r="666">
          <cell r="A666">
            <v>5390</v>
          </cell>
          <cell r="B666">
            <v>1</v>
          </cell>
          <cell r="C666">
            <v>1</v>
          </cell>
          <cell r="E666" t="str">
            <v>20</v>
          </cell>
          <cell r="F666">
            <v>11220300600</v>
          </cell>
          <cell r="G666">
            <v>4</v>
          </cell>
          <cell r="H666" t="str">
            <v>41</v>
          </cell>
          <cell r="I666">
            <v>20</v>
          </cell>
          <cell r="J666">
            <v>20</v>
          </cell>
          <cell r="K666">
            <v>1</v>
          </cell>
          <cell r="L666">
            <v>11</v>
          </cell>
          <cell r="M666">
            <v>220</v>
          </cell>
          <cell r="N666">
            <v>3</v>
          </cell>
          <cell r="O666" t="str">
            <v>00</v>
          </cell>
          <cell r="P666">
            <v>6</v>
          </cell>
          <cell r="Q666">
            <v>4</v>
          </cell>
          <cell r="R666">
            <v>4</v>
          </cell>
          <cell r="S666">
            <v>1</v>
          </cell>
          <cell r="T666">
            <v>20</v>
          </cell>
          <cell r="V666">
            <v>0</v>
          </cell>
          <cell r="W666">
            <v>0</v>
          </cell>
          <cell r="X666" t="str">
            <v>Institut Manéah</v>
          </cell>
          <cell r="Y666" t="str">
            <v>P4</v>
          </cell>
          <cell r="Z666" t="str">
            <v xml:space="preserve"> Intérieur</v>
          </cell>
          <cell r="AA666" t="str">
            <v>Sub.expl. Frais de personnel</v>
          </cell>
          <cell r="AB666">
            <v>339890</v>
          </cell>
          <cell r="AC666">
            <v>339890</v>
          </cell>
        </row>
        <row r="667">
          <cell r="A667">
            <v>5391</v>
          </cell>
          <cell r="B667">
            <v>1</v>
          </cell>
          <cell r="C667">
            <v>1</v>
          </cell>
          <cell r="E667" t="str">
            <v>20</v>
          </cell>
          <cell r="F667">
            <v>11220300600</v>
          </cell>
          <cell r="G667">
            <v>4</v>
          </cell>
          <cell r="H667" t="str">
            <v>41</v>
          </cell>
          <cell r="I667">
            <v>31</v>
          </cell>
          <cell r="J667">
            <v>20</v>
          </cell>
          <cell r="K667">
            <v>1</v>
          </cell>
          <cell r="L667">
            <v>11</v>
          </cell>
          <cell r="M667">
            <v>220</v>
          </cell>
          <cell r="N667">
            <v>3</v>
          </cell>
          <cell r="O667" t="str">
            <v>00</v>
          </cell>
          <cell r="P667">
            <v>6</v>
          </cell>
          <cell r="Q667">
            <v>4</v>
          </cell>
          <cell r="R667">
            <v>4</v>
          </cell>
          <cell r="S667">
            <v>1</v>
          </cell>
          <cell r="T667">
            <v>31</v>
          </cell>
          <cell r="V667">
            <v>0</v>
          </cell>
          <cell r="W667">
            <v>0</v>
          </cell>
          <cell r="X667" t="str">
            <v>Institut Manéah</v>
          </cell>
          <cell r="Y667" t="str">
            <v>P4</v>
          </cell>
          <cell r="Z667" t="str">
            <v xml:space="preserve"> Intérieur</v>
          </cell>
          <cell r="AA667" t="str">
            <v>Sub.expl. Fonct. (Fournit.conso)</v>
          </cell>
          <cell r="AB667">
            <v>475750</v>
          </cell>
          <cell r="AC667">
            <v>475750</v>
          </cell>
        </row>
        <row r="668">
          <cell r="A668">
            <v>5392</v>
          </cell>
          <cell r="B668">
            <v>1</v>
          </cell>
          <cell r="C668">
            <v>1</v>
          </cell>
          <cell r="E668" t="str">
            <v>20</v>
          </cell>
          <cell r="F668">
            <v>11220300600</v>
          </cell>
          <cell r="G668">
            <v>4</v>
          </cell>
          <cell r="H668" t="str">
            <v>41</v>
          </cell>
          <cell r="I668">
            <v>34</v>
          </cell>
          <cell r="J668">
            <v>20</v>
          </cell>
          <cell r="K668">
            <v>1</v>
          </cell>
          <cell r="L668">
            <v>11</v>
          </cell>
          <cell r="M668">
            <v>220</v>
          </cell>
          <cell r="N668">
            <v>3</v>
          </cell>
          <cell r="O668" t="str">
            <v>00</v>
          </cell>
          <cell r="P668">
            <v>6</v>
          </cell>
          <cell r="Q668">
            <v>4</v>
          </cell>
          <cell r="R668">
            <v>4</v>
          </cell>
          <cell r="S668">
            <v>1</v>
          </cell>
          <cell r="T668">
            <v>34</v>
          </cell>
          <cell r="V668">
            <v>0</v>
          </cell>
          <cell r="W668">
            <v>0</v>
          </cell>
          <cell r="X668" t="str">
            <v>Institut Manéah</v>
          </cell>
          <cell r="Y668" t="str">
            <v>P4</v>
          </cell>
          <cell r="Z668" t="str">
            <v xml:space="preserve"> Intérieur</v>
          </cell>
          <cell r="AA668" t="str">
            <v>Sub.expl. Fonct. (Conso div)</v>
          </cell>
          <cell r="AB668">
            <v>320810</v>
          </cell>
          <cell r="AC668">
            <v>320810</v>
          </cell>
        </row>
        <row r="669">
          <cell r="A669">
            <v>5393</v>
          </cell>
          <cell r="B669">
            <v>1</v>
          </cell>
          <cell r="C669">
            <v>1</v>
          </cell>
          <cell r="E669" t="str">
            <v>20</v>
          </cell>
          <cell r="F669">
            <v>11220300600</v>
          </cell>
          <cell r="G669">
            <v>4</v>
          </cell>
          <cell r="H669" t="str">
            <v>41</v>
          </cell>
          <cell r="I669">
            <v>37</v>
          </cell>
          <cell r="J669">
            <v>20</v>
          </cell>
          <cell r="K669">
            <v>1</v>
          </cell>
          <cell r="L669">
            <v>11</v>
          </cell>
          <cell r="M669">
            <v>220</v>
          </cell>
          <cell r="N669">
            <v>3</v>
          </cell>
          <cell r="O669" t="str">
            <v>00</v>
          </cell>
          <cell r="P669">
            <v>6</v>
          </cell>
          <cell r="Q669">
            <v>4</v>
          </cell>
          <cell r="R669">
            <v>4</v>
          </cell>
          <cell r="S669">
            <v>1</v>
          </cell>
          <cell r="T669">
            <v>37</v>
          </cell>
          <cell r="V669">
            <v>0</v>
          </cell>
          <cell r="W669">
            <v>0</v>
          </cell>
          <cell r="X669" t="str">
            <v>Institut Manéah</v>
          </cell>
          <cell r="Y669" t="str">
            <v>P4</v>
          </cell>
          <cell r="Z669" t="str">
            <v xml:space="preserve"> Intérieur</v>
          </cell>
          <cell r="AA669" t="str">
            <v>Sub.expl. Fonct. (Entret.immob)</v>
          </cell>
          <cell r="AB669">
            <v>280190</v>
          </cell>
          <cell r="AC669">
            <v>280190</v>
          </cell>
        </row>
        <row r="670">
          <cell r="A670">
            <v>5394</v>
          </cell>
          <cell r="B670">
            <v>1</v>
          </cell>
          <cell r="C670">
            <v>1</v>
          </cell>
          <cell r="E670" t="str">
            <v>20</v>
          </cell>
          <cell r="F670">
            <v>11220300600</v>
          </cell>
          <cell r="G670">
            <v>4</v>
          </cell>
          <cell r="H670" t="str">
            <v>41</v>
          </cell>
          <cell r="I670">
            <v>40</v>
          </cell>
          <cell r="J670">
            <v>20</v>
          </cell>
          <cell r="K670">
            <v>1</v>
          </cell>
          <cell r="L670">
            <v>11</v>
          </cell>
          <cell r="M670">
            <v>220</v>
          </cell>
          <cell r="N670">
            <v>3</v>
          </cell>
          <cell r="O670" t="str">
            <v>00</v>
          </cell>
          <cell r="P670">
            <v>6</v>
          </cell>
          <cell r="Q670">
            <v>4</v>
          </cell>
          <cell r="R670">
            <v>4</v>
          </cell>
          <cell r="S670">
            <v>1</v>
          </cell>
          <cell r="T670">
            <v>40</v>
          </cell>
          <cell r="V670">
            <v>0</v>
          </cell>
          <cell r="W670">
            <v>0</v>
          </cell>
          <cell r="X670" t="str">
            <v>Institut Manéah</v>
          </cell>
          <cell r="Y670" t="str">
            <v>P4</v>
          </cell>
          <cell r="Z670" t="str">
            <v xml:space="preserve"> Intérieur</v>
          </cell>
          <cell r="AA670" t="str">
            <v>Sub.expl.Transfert (Bourses)</v>
          </cell>
          <cell r="AB670">
            <v>2860320</v>
          </cell>
          <cell r="AC670">
            <v>2860320</v>
          </cell>
        </row>
        <row r="671">
          <cell r="A671">
            <v>5395</v>
          </cell>
          <cell r="B671">
            <v>1</v>
          </cell>
          <cell r="C671">
            <v>1</v>
          </cell>
          <cell r="E671" t="str">
            <v>20</v>
          </cell>
          <cell r="F671">
            <v>11220300600</v>
          </cell>
          <cell r="G671">
            <v>4</v>
          </cell>
          <cell r="H671" t="str">
            <v>41</v>
          </cell>
          <cell r="I671">
            <v>90</v>
          </cell>
          <cell r="J671">
            <v>20</v>
          </cell>
          <cell r="K671">
            <v>1</v>
          </cell>
          <cell r="L671">
            <v>11</v>
          </cell>
          <cell r="M671">
            <v>220</v>
          </cell>
          <cell r="N671">
            <v>3</v>
          </cell>
          <cell r="O671" t="str">
            <v>00</v>
          </cell>
          <cell r="P671">
            <v>6</v>
          </cell>
          <cell r="Q671">
            <v>4</v>
          </cell>
          <cell r="R671">
            <v>4</v>
          </cell>
          <cell r="S671">
            <v>1</v>
          </cell>
          <cell r="T671">
            <v>90</v>
          </cell>
          <cell r="V671">
            <v>0</v>
          </cell>
          <cell r="W671">
            <v>0</v>
          </cell>
          <cell r="X671" t="str">
            <v>Institut Manéah</v>
          </cell>
          <cell r="Y671" t="str">
            <v>P4</v>
          </cell>
          <cell r="Z671" t="str">
            <v xml:space="preserve"> Intérieur</v>
          </cell>
          <cell r="AA671" t="str">
            <v>Sub.expl. NV (Recher.format.)</v>
          </cell>
          <cell r="AB671">
            <v>201220</v>
          </cell>
          <cell r="AC671">
            <v>201220</v>
          </cell>
        </row>
        <row r="672">
          <cell r="A672">
            <v>6125</v>
          </cell>
          <cell r="B672">
            <v>1</v>
          </cell>
          <cell r="J672">
            <v>20</v>
          </cell>
          <cell r="K672">
            <v>1</v>
          </cell>
          <cell r="L672">
            <v>11</v>
          </cell>
          <cell r="M672">
            <v>230</v>
          </cell>
          <cell r="N672">
            <v>3</v>
          </cell>
          <cell r="Q672">
            <v>4</v>
          </cell>
          <cell r="R672">
            <v>4</v>
          </cell>
          <cell r="S672">
            <v>1</v>
          </cell>
          <cell r="W672">
            <v>0</v>
          </cell>
          <cell r="X672" t="str">
            <v>Institut Boké</v>
          </cell>
          <cell r="AB672">
            <v>3117760</v>
          </cell>
          <cell r="AC672">
            <v>3117760</v>
          </cell>
        </row>
        <row r="673">
          <cell r="A673">
            <v>5396</v>
          </cell>
          <cell r="B673">
            <v>1</v>
          </cell>
          <cell r="C673">
            <v>1</v>
          </cell>
          <cell r="E673" t="str">
            <v>20</v>
          </cell>
          <cell r="F673">
            <v>11230300600</v>
          </cell>
          <cell r="G673">
            <v>4</v>
          </cell>
          <cell r="H673" t="str">
            <v>41</v>
          </cell>
          <cell r="I673">
            <v>20</v>
          </cell>
          <cell r="J673">
            <v>20</v>
          </cell>
          <cell r="K673">
            <v>1</v>
          </cell>
          <cell r="L673">
            <v>11</v>
          </cell>
          <cell r="M673">
            <v>230</v>
          </cell>
          <cell r="N673">
            <v>3</v>
          </cell>
          <cell r="O673" t="str">
            <v>00</v>
          </cell>
          <cell r="P673">
            <v>6</v>
          </cell>
          <cell r="Q673">
            <v>4</v>
          </cell>
          <cell r="R673">
            <v>4</v>
          </cell>
          <cell r="S673">
            <v>1</v>
          </cell>
          <cell r="T673">
            <v>20</v>
          </cell>
          <cell r="V673">
            <v>0</v>
          </cell>
          <cell r="W673">
            <v>0</v>
          </cell>
          <cell r="X673" t="str">
            <v>Institut Boké</v>
          </cell>
          <cell r="Y673" t="str">
            <v>P4</v>
          </cell>
          <cell r="Z673" t="str">
            <v xml:space="preserve"> Intérieur</v>
          </cell>
          <cell r="AA673" t="str">
            <v>Sub.expl. Frais de personnel</v>
          </cell>
          <cell r="AB673">
            <v>227520</v>
          </cell>
          <cell r="AC673">
            <v>227520</v>
          </cell>
        </row>
        <row r="674">
          <cell r="A674">
            <v>5397</v>
          </cell>
          <cell r="B674">
            <v>1</v>
          </cell>
          <cell r="C674">
            <v>1</v>
          </cell>
          <cell r="E674" t="str">
            <v>20</v>
          </cell>
          <cell r="F674">
            <v>11230300600</v>
          </cell>
          <cell r="G674">
            <v>4</v>
          </cell>
          <cell r="H674" t="str">
            <v>41</v>
          </cell>
          <cell r="I674">
            <v>31</v>
          </cell>
          <cell r="J674">
            <v>20</v>
          </cell>
          <cell r="K674">
            <v>1</v>
          </cell>
          <cell r="L674">
            <v>11</v>
          </cell>
          <cell r="M674">
            <v>230</v>
          </cell>
          <cell r="N674">
            <v>3</v>
          </cell>
          <cell r="O674" t="str">
            <v>00</v>
          </cell>
          <cell r="P674">
            <v>6</v>
          </cell>
          <cell r="Q674">
            <v>4</v>
          </cell>
          <cell r="R674">
            <v>4</v>
          </cell>
          <cell r="S674">
            <v>1</v>
          </cell>
          <cell r="T674">
            <v>31</v>
          </cell>
          <cell r="V674">
            <v>0</v>
          </cell>
          <cell r="W674">
            <v>0</v>
          </cell>
          <cell r="X674" t="str">
            <v>Institut Boké</v>
          </cell>
          <cell r="Y674" t="str">
            <v>P4</v>
          </cell>
          <cell r="Z674" t="str">
            <v xml:space="preserve"> Intérieur</v>
          </cell>
          <cell r="AA674" t="str">
            <v>Sub.expl. Fonct. (Fournit.conso)</v>
          </cell>
          <cell r="AB674">
            <v>149750</v>
          </cell>
          <cell r="AC674">
            <v>149750</v>
          </cell>
        </row>
        <row r="675">
          <cell r="A675">
            <v>5398</v>
          </cell>
          <cell r="B675">
            <v>1</v>
          </cell>
          <cell r="C675">
            <v>1</v>
          </cell>
          <cell r="E675" t="str">
            <v>20</v>
          </cell>
          <cell r="F675">
            <v>11230300600</v>
          </cell>
          <cell r="G675">
            <v>4</v>
          </cell>
          <cell r="H675" t="str">
            <v>41</v>
          </cell>
          <cell r="I675">
            <v>34</v>
          </cell>
          <cell r="J675">
            <v>20</v>
          </cell>
          <cell r="K675">
            <v>1</v>
          </cell>
          <cell r="L675">
            <v>11</v>
          </cell>
          <cell r="M675">
            <v>230</v>
          </cell>
          <cell r="N675">
            <v>3</v>
          </cell>
          <cell r="O675" t="str">
            <v>00</v>
          </cell>
          <cell r="P675">
            <v>6</v>
          </cell>
          <cell r="Q675">
            <v>4</v>
          </cell>
          <cell r="R675">
            <v>4</v>
          </cell>
          <cell r="S675">
            <v>1</v>
          </cell>
          <cell r="T675">
            <v>34</v>
          </cell>
          <cell r="V675">
            <v>0</v>
          </cell>
          <cell r="W675">
            <v>0</v>
          </cell>
          <cell r="X675" t="str">
            <v>Institut Boké</v>
          </cell>
          <cell r="Y675" t="str">
            <v>P4</v>
          </cell>
          <cell r="Z675" t="str">
            <v xml:space="preserve"> Intérieur</v>
          </cell>
          <cell r="AA675" t="str">
            <v>Sub.expl. Fonct. (Conso div)</v>
          </cell>
          <cell r="AB675">
            <v>449130</v>
          </cell>
          <cell r="AC675">
            <v>449130</v>
          </cell>
        </row>
        <row r="676">
          <cell r="A676">
            <v>5399</v>
          </cell>
          <cell r="B676">
            <v>1</v>
          </cell>
          <cell r="C676">
            <v>1</v>
          </cell>
          <cell r="E676" t="str">
            <v>20</v>
          </cell>
          <cell r="F676">
            <v>11230300600</v>
          </cell>
          <cell r="G676">
            <v>4</v>
          </cell>
          <cell r="H676" t="str">
            <v>41</v>
          </cell>
          <cell r="I676">
            <v>37</v>
          </cell>
          <cell r="J676">
            <v>20</v>
          </cell>
          <cell r="K676">
            <v>1</v>
          </cell>
          <cell r="L676">
            <v>11</v>
          </cell>
          <cell r="M676">
            <v>230</v>
          </cell>
          <cell r="N676">
            <v>3</v>
          </cell>
          <cell r="O676" t="str">
            <v>00</v>
          </cell>
          <cell r="P676">
            <v>6</v>
          </cell>
          <cell r="Q676">
            <v>4</v>
          </cell>
          <cell r="R676">
            <v>4</v>
          </cell>
          <cell r="S676">
            <v>1</v>
          </cell>
          <cell r="T676">
            <v>37</v>
          </cell>
          <cell r="V676">
            <v>0</v>
          </cell>
          <cell r="W676">
            <v>0</v>
          </cell>
          <cell r="X676" t="str">
            <v>Institut Boké</v>
          </cell>
          <cell r="Y676" t="str">
            <v>P4</v>
          </cell>
          <cell r="Z676" t="str">
            <v xml:space="preserve"> Intérieur</v>
          </cell>
          <cell r="AA676" t="str">
            <v>Sub.expl. Fonct. (Entret.immob)</v>
          </cell>
          <cell r="AB676">
            <v>393910</v>
          </cell>
          <cell r="AC676">
            <v>393910</v>
          </cell>
        </row>
        <row r="677">
          <cell r="A677">
            <v>5400</v>
          </cell>
          <cell r="B677">
            <v>1</v>
          </cell>
          <cell r="C677">
            <v>1</v>
          </cell>
          <cell r="E677" t="str">
            <v>20</v>
          </cell>
          <cell r="F677">
            <v>11230300600</v>
          </cell>
          <cell r="G677">
            <v>4</v>
          </cell>
          <cell r="H677" t="str">
            <v>41</v>
          </cell>
          <cell r="I677">
            <v>40</v>
          </cell>
          <cell r="J677">
            <v>20</v>
          </cell>
          <cell r="K677">
            <v>1</v>
          </cell>
          <cell r="L677">
            <v>11</v>
          </cell>
          <cell r="M677">
            <v>230</v>
          </cell>
          <cell r="N677">
            <v>3</v>
          </cell>
          <cell r="O677" t="str">
            <v>00</v>
          </cell>
          <cell r="P677">
            <v>6</v>
          </cell>
          <cell r="Q677">
            <v>4</v>
          </cell>
          <cell r="R677">
            <v>4</v>
          </cell>
          <cell r="S677">
            <v>1</v>
          </cell>
          <cell r="T677">
            <v>40</v>
          </cell>
          <cell r="V677">
            <v>0</v>
          </cell>
          <cell r="W677">
            <v>0</v>
          </cell>
          <cell r="X677" t="str">
            <v>Institut Boké</v>
          </cell>
          <cell r="Y677" t="str">
            <v>P4</v>
          </cell>
          <cell r="Z677" t="str">
            <v xml:space="preserve"> Intérieur</v>
          </cell>
          <cell r="AA677" t="str">
            <v>Sub.expl.Transfert (Bourses)</v>
          </cell>
          <cell r="AB677">
            <v>1707010</v>
          </cell>
          <cell r="AC677">
            <v>1707010</v>
          </cell>
        </row>
        <row r="678">
          <cell r="A678">
            <v>5401</v>
          </cell>
          <cell r="B678">
            <v>1</v>
          </cell>
          <cell r="C678">
            <v>1</v>
          </cell>
          <cell r="E678" t="str">
            <v>20</v>
          </cell>
          <cell r="F678">
            <v>11230300600</v>
          </cell>
          <cell r="G678">
            <v>4</v>
          </cell>
          <cell r="H678" t="str">
            <v>41</v>
          </cell>
          <cell r="I678">
            <v>90</v>
          </cell>
          <cell r="J678">
            <v>20</v>
          </cell>
          <cell r="K678">
            <v>1</v>
          </cell>
          <cell r="L678">
            <v>11</v>
          </cell>
          <cell r="M678">
            <v>230</v>
          </cell>
          <cell r="N678">
            <v>3</v>
          </cell>
          <cell r="O678" t="str">
            <v>00</v>
          </cell>
          <cell r="P678">
            <v>6</v>
          </cell>
          <cell r="Q678">
            <v>4</v>
          </cell>
          <cell r="R678">
            <v>4</v>
          </cell>
          <cell r="S678">
            <v>1</v>
          </cell>
          <cell r="T678">
            <v>90</v>
          </cell>
          <cell r="V678">
            <v>0</v>
          </cell>
          <cell r="W678">
            <v>0</v>
          </cell>
          <cell r="X678" t="str">
            <v>Institut Boké</v>
          </cell>
          <cell r="Y678" t="str">
            <v>P4</v>
          </cell>
          <cell r="Z678" t="str">
            <v xml:space="preserve"> Intérieur</v>
          </cell>
          <cell r="AA678" t="str">
            <v>Sub.expl. NV (Recher.format.)</v>
          </cell>
          <cell r="AB678">
            <v>190440</v>
          </cell>
          <cell r="AC678">
            <v>190440</v>
          </cell>
        </row>
        <row r="679">
          <cell r="A679">
            <v>6127</v>
          </cell>
          <cell r="B679">
            <v>1</v>
          </cell>
          <cell r="J679">
            <v>20</v>
          </cell>
          <cell r="K679">
            <v>1</v>
          </cell>
          <cell r="L679">
            <v>11</v>
          </cell>
          <cell r="M679">
            <v>240</v>
          </cell>
          <cell r="N679">
            <v>3</v>
          </cell>
          <cell r="Q679">
            <v>4</v>
          </cell>
          <cell r="R679">
            <v>4</v>
          </cell>
          <cell r="S679">
            <v>1</v>
          </cell>
          <cell r="W679">
            <v>0</v>
          </cell>
          <cell r="X679" t="str">
            <v>Institut Labé</v>
          </cell>
          <cell r="AB679">
            <v>3541960</v>
          </cell>
          <cell r="AC679">
            <v>3541960</v>
          </cell>
        </row>
        <row r="680">
          <cell r="A680">
            <v>5402</v>
          </cell>
          <cell r="B680">
            <v>1</v>
          </cell>
          <cell r="C680">
            <v>1</v>
          </cell>
          <cell r="E680" t="str">
            <v>20</v>
          </cell>
          <cell r="F680">
            <v>11240300600</v>
          </cell>
          <cell r="G680">
            <v>4</v>
          </cell>
          <cell r="H680" t="str">
            <v>41</v>
          </cell>
          <cell r="I680">
            <v>20</v>
          </cell>
          <cell r="J680">
            <v>20</v>
          </cell>
          <cell r="K680">
            <v>1</v>
          </cell>
          <cell r="L680">
            <v>11</v>
          </cell>
          <cell r="M680">
            <v>240</v>
          </cell>
          <cell r="N680">
            <v>3</v>
          </cell>
          <cell r="O680" t="str">
            <v>00</v>
          </cell>
          <cell r="P680">
            <v>6</v>
          </cell>
          <cell r="Q680">
            <v>4</v>
          </cell>
          <cell r="R680">
            <v>4</v>
          </cell>
          <cell r="S680">
            <v>1</v>
          </cell>
          <cell r="T680">
            <v>20</v>
          </cell>
          <cell r="V680">
            <v>0</v>
          </cell>
          <cell r="W680">
            <v>0</v>
          </cell>
          <cell r="X680" t="str">
            <v>Institut Labé</v>
          </cell>
          <cell r="Y680" t="str">
            <v>P4</v>
          </cell>
          <cell r="Z680" t="str">
            <v xml:space="preserve"> Intérieur</v>
          </cell>
          <cell r="AA680" t="str">
            <v>Sub.expl. Frais de personnel</v>
          </cell>
          <cell r="AB680">
            <v>420550</v>
          </cell>
          <cell r="AC680">
            <v>420550</v>
          </cell>
        </row>
        <row r="681">
          <cell r="A681">
            <v>5403</v>
          </cell>
          <cell r="B681">
            <v>1</v>
          </cell>
          <cell r="C681">
            <v>1</v>
          </cell>
          <cell r="E681" t="str">
            <v>20</v>
          </cell>
          <cell r="F681">
            <v>11240300600</v>
          </cell>
          <cell r="G681">
            <v>4</v>
          </cell>
          <cell r="H681" t="str">
            <v>41</v>
          </cell>
          <cell r="I681">
            <v>31</v>
          </cell>
          <cell r="J681">
            <v>20</v>
          </cell>
          <cell r="K681">
            <v>1</v>
          </cell>
          <cell r="L681">
            <v>11</v>
          </cell>
          <cell r="M681">
            <v>240</v>
          </cell>
          <cell r="N681">
            <v>3</v>
          </cell>
          <cell r="O681" t="str">
            <v>00</v>
          </cell>
          <cell r="P681">
            <v>6</v>
          </cell>
          <cell r="Q681">
            <v>4</v>
          </cell>
          <cell r="R681">
            <v>4</v>
          </cell>
          <cell r="S681">
            <v>1</v>
          </cell>
          <cell r="T681">
            <v>31</v>
          </cell>
          <cell r="V681">
            <v>0</v>
          </cell>
          <cell r="W681">
            <v>0</v>
          </cell>
          <cell r="X681" t="str">
            <v>Institut Labé</v>
          </cell>
          <cell r="Y681" t="str">
            <v>P4</v>
          </cell>
          <cell r="Z681" t="str">
            <v xml:space="preserve"> Intérieur</v>
          </cell>
          <cell r="AA681" t="str">
            <v>Sub.expl. Fonct. (Fournit.conso)</v>
          </cell>
          <cell r="AB681">
            <v>194720</v>
          </cell>
          <cell r="AC681">
            <v>194720</v>
          </cell>
        </row>
        <row r="682">
          <cell r="A682">
            <v>5404</v>
          </cell>
          <cell r="B682">
            <v>1</v>
          </cell>
          <cell r="C682">
            <v>1</v>
          </cell>
          <cell r="E682" t="str">
            <v>20</v>
          </cell>
          <cell r="F682">
            <v>11240300600</v>
          </cell>
          <cell r="G682">
            <v>4</v>
          </cell>
          <cell r="H682" t="str">
            <v>41</v>
          </cell>
          <cell r="I682">
            <v>34</v>
          </cell>
          <cell r="J682">
            <v>20</v>
          </cell>
          <cell r="K682">
            <v>1</v>
          </cell>
          <cell r="L682">
            <v>11</v>
          </cell>
          <cell r="M682">
            <v>240</v>
          </cell>
          <cell r="N682">
            <v>3</v>
          </cell>
          <cell r="O682" t="str">
            <v>00</v>
          </cell>
          <cell r="P682">
            <v>6</v>
          </cell>
          <cell r="Q682">
            <v>4</v>
          </cell>
          <cell r="R682">
            <v>4</v>
          </cell>
          <cell r="S682">
            <v>1</v>
          </cell>
          <cell r="T682">
            <v>34</v>
          </cell>
          <cell r="V682">
            <v>0</v>
          </cell>
          <cell r="W682">
            <v>0</v>
          </cell>
          <cell r="X682" t="str">
            <v>Institut Labé</v>
          </cell>
          <cell r="Y682" t="str">
            <v>P4</v>
          </cell>
          <cell r="Z682" t="str">
            <v xml:space="preserve"> Intérieur</v>
          </cell>
          <cell r="AA682" t="str">
            <v>Sub.expl. Fonct. (Conso div)</v>
          </cell>
          <cell r="AB682">
            <v>391890</v>
          </cell>
          <cell r="AC682">
            <v>391890</v>
          </cell>
        </row>
        <row r="683">
          <cell r="A683">
            <v>5405</v>
          </cell>
          <cell r="B683">
            <v>1</v>
          </cell>
          <cell r="C683">
            <v>1</v>
          </cell>
          <cell r="E683" t="str">
            <v>20</v>
          </cell>
          <cell r="F683">
            <v>11240300600</v>
          </cell>
          <cell r="G683">
            <v>4</v>
          </cell>
          <cell r="H683" t="str">
            <v>41</v>
          </cell>
          <cell r="I683">
            <v>37</v>
          </cell>
          <cell r="J683">
            <v>20</v>
          </cell>
          <cell r="K683">
            <v>1</v>
          </cell>
          <cell r="L683">
            <v>11</v>
          </cell>
          <cell r="M683">
            <v>240</v>
          </cell>
          <cell r="N683">
            <v>3</v>
          </cell>
          <cell r="O683" t="str">
            <v>00</v>
          </cell>
          <cell r="P683">
            <v>6</v>
          </cell>
          <cell r="Q683">
            <v>4</v>
          </cell>
          <cell r="R683">
            <v>4</v>
          </cell>
          <cell r="S683">
            <v>1</v>
          </cell>
          <cell r="T683">
            <v>37</v>
          </cell>
          <cell r="V683">
            <v>0</v>
          </cell>
          <cell r="W683">
            <v>0</v>
          </cell>
          <cell r="X683" t="str">
            <v>Institut Labé</v>
          </cell>
          <cell r="Y683" t="str">
            <v>P4</v>
          </cell>
          <cell r="Z683" t="str">
            <v xml:space="preserve"> Intérieur</v>
          </cell>
          <cell r="AA683" t="str">
            <v>Sub.expl. Fonct. (Entret.immob)</v>
          </cell>
          <cell r="AB683">
            <v>137510</v>
          </cell>
          <cell r="AC683">
            <v>137510</v>
          </cell>
        </row>
        <row r="684">
          <cell r="A684">
            <v>5406</v>
          </cell>
          <cell r="B684">
            <v>1</v>
          </cell>
          <cell r="C684">
            <v>1</v>
          </cell>
          <cell r="E684" t="str">
            <v>20</v>
          </cell>
          <cell r="F684">
            <v>11240300600</v>
          </cell>
          <cell r="G684">
            <v>4</v>
          </cell>
          <cell r="H684" t="str">
            <v>41</v>
          </cell>
          <cell r="I684">
            <v>40</v>
          </cell>
          <cell r="J684">
            <v>20</v>
          </cell>
          <cell r="K684">
            <v>1</v>
          </cell>
          <cell r="L684">
            <v>11</v>
          </cell>
          <cell r="M684">
            <v>240</v>
          </cell>
          <cell r="N684">
            <v>3</v>
          </cell>
          <cell r="O684" t="str">
            <v>00</v>
          </cell>
          <cell r="P684">
            <v>6</v>
          </cell>
          <cell r="Q684">
            <v>4</v>
          </cell>
          <cell r="R684">
            <v>4</v>
          </cell>
          <cell r="S684">
            <v>1</v>
          </cell>
          <cell r="T684">
            <v>40</v>
          </cell>
          <cell r="V684">
            <v>0</v>
          </cell>
          <cell r="W684">
            <v>0</v>
          </cell>
          <cell r="X684" t="str">
            <v>Institut Labé</v>
          </cell>
          <cell r="Y684" t="str">
            <v>P4</v>
          </cell>
          <cell r="Z684" t="str">
            <v xml:space="preserve"> Intérieur</v>
          </cell>
          <cell r="AA684" t="str">
            <v>Sub.expl.Transfert (Bourses)</v>
          </cell>
          <cell r="AB684">
            <v>2130900</v>
          </cell>
          <cell r="AC684">
            <v>2130900</v>
          </cell>
        </row>
        <row r="685">
          <cell r="A685">
            <v>5407</v>
          </cell>
          <cell r="B685">
            <v>1</v>
          </cell>
          <cell r="C685">
            <v>1</v>
          </cell>
          <cell r="E685" t="str">
            <v>20</v>
          </cell>
          <cell r="F685">
            <v>11240300600</v>
          </cell>
          <cell r="G685">
            <v>4</v>
          </cell>
          <cell r="H685" t="str">
            <v>41</v>
          </cell>
          <cell r="I685">
            <v>90</v>
          </cell>
          <cell r="J685">
            <v>20</v>
          </cell>
          <cell r="K685">
            <v>1</v>
          </cell>
          <cell r="L685">
            <v>11</v>
          </cell>
          <cell r="M685">
            <v>240</v>
          </cell>
          <cell r="N685">
            <v>3</v>
          </cell>
          <cell r="O685" t="str">
            <v>00</v>
          </cell>
          <cell r="P685">
            <v>6</v>
          </cell>
          <cell r="Q685">
            <v>4</v>
          </cell>
          <cell r="R685">
            <v>4</v>
          </cell>
          <cell r="S685">
            <v>1</v>
          </cell>
          <cell r="T685">
            <v>90</v>
          </cell>
          <cell r="V685">
            <v>0</v>
          </cell>
          <cell r="W685">
            <v>0</v>
          </cell>
          <cell r="X685" t="str">
            <v>Institut Labé</v>
          </cell>
          <cell r="Y685" t="str">
            <v>P4</v>
          </cell>
          <cell r="Z685" t="str">
            <v xml:space="preserve"> Intérieur</v>
          </cell>
          <cell r="AA685" t="str">
            <v>Sub.expl. NV (Recher.format.)</v>
          </cell>
          <cell r="AB685">
            <v>266390</v>
          </cell>
          <cell r="AC685">
            <v>266390</v>
          </cell>
        </row>
        <row r="686">
          <cell r="A686">
            <v>6129</v>
          </cell>
          <cell r="B686">
            <v>1</v>
          </cell>
          <cell r="J686">
            <v>20</v>
          </cell>
          <cell r="K686">
            <v>1</v>
          </cell>
          <cell r="L686">
            <v>11</v>
          </cell>
          <cell r="M686">
            <v>250</v>
          </cell>
          <cell r="N686">
            <v>3</v>
          </cell>
          <cell r="Q686">
            <v>4</v>
          </cell>
          <cell r="R686">
            <v>4</v>
          </cell>
          <cell r="S686">
            <v>1</v>
          </cell>
          <cell r="W686">
            <v>0</v>
          </cell>
          <cell r="X686" t="str">
            <v>Institut N'Zérécoré</v>
          </cell>
          <cell r="AB686">
            <v>4682960</v>
          </cell>
          <cell r="AC686">
            <v>4682960</v>
          </cell>
        </row>
        <row r="687">
          <cell r="A687">
            <v>5408</v>
          </cell>
          <cell r="B687">
            <v>1</v>
          </cell>
          <cell r="C687">
            <v>1</v>
          </cell>
          <cell r="E687" t="str">
            <v>20</v>
          </cell>
          <cell r="F687">
            <v>11250300600</v>
          </cell>
          <cell r="G687">
            <v>4</v>
          </cell>
          <cell r="H687" t="str">
            <v>41</v>
          </cell>
          <cell r="I687">
            <v>20</v>
          </cell>
          <cell r="J687">
            <v>20</v>
          </cell>
          <cell r="K687">
            <v>1</v>
          </cell>
          <cell r="L687">
            <v>11</v>
          </cell>
          <cell r="M687">
            <v>250</v>
          </cell>
          <cell r="N687">
            <v>3</v>
          </cell>
          <cell r="O687" t="str">
            <v>00</v>
          </cell>
          <cell r="P687">
            <v>6</v>
          </cell>
          <cell r="Q687">
            <v>4</v>
          </cell>
          <cell r="R687">
            <v>4</v>
          </cell>
          <cell r="S687">
            <v>1</v>
          </cell>
          <cell r="T687">
            <v>20</v>
          </cell>
          <cell r="V687">
            <v>0</v>
          </cell>
          <cell r="W687">
            <v>0</v>
          </cell>
          <cell r="X687" t="str">
            <v>Institut N'Zérékoré</v>
          </cell>
          <cell r="Y687" t="str">
            <v>P4</v>
          </cell>
          <cell r="Z687" t="str">
            <v xml:space="preserve"> Intérieur</v>
          </cell>
          <cell r="AA687" t="str">
            <v>Sub.expl. Frais de personnel</v>
          </cell>
          <cell r="AB687">
            <v>915970</v>
          </cell>
          <cell r="AC687">
            <v>915970</v>
          </cell>
        </row>
        <row r="688">
          <cell r="A688">
            <v>5409</v>
          </cell>
          <cell r="B688">
            <v>1</v>
          </cell>
          <cell r="C688">
            <v>1</v>
          </cell>
          <cell r="E688" t="str">
            <v>20</v>
          </cell>
          <cell r="F688">
            <v>11250300600</v>
          </cell>
          <cell r="G688">
            <v>4</v>
          </cell>
          <cell r="H688" t="str">
            <v>41</v>
          </cell>
          <cell r="I688">
            <v>31</v>
          </cell>
          <cell r="J688">
            <v>20</v>
          </cell>
          <cell r="K688">
            <v>1</v>
          </cell>
          <cell r="L688">
            <v>11</v>
          </cell>
          <cell r="M688">
            <v>250</v>
          </cell>
          <cell r="N688">
            <v>3</v>
          </cell>
          <cell r="O688" t="str">
            <v>00</v>
          </cell>
          <cell r="P688">
            <v>6</v>
          </cell>
          <cell r="Q688">
            <v>4</v>
          </cell>
          <cell r="R688">
            <v>4</v>
          </cell>
          <cell r="S688">
            <v>1</v>
          </cell>
          <cell r="T688">
            <v>31</v>
          </cell>
          <cell r="V688">
            <v>0</v>
          </cell>
          <cell r="W688">
            <v>0</v>
          </cell>
          <cell r="X688" t="str">
            <v>Institut N'Zérékoré</v>
          </cell>
          <cell r="Y688" t="str">
            <v>P4</v>
          </cell>
          <cell r="Z688" t="str">
            <v xml:space="preserve"> Intérieur</v>
          </cell>
          <cell r="AA688" t="str">
            <v>Sub.expl. Fonct. (Fournit.conso)</v>
          </cell>
          <cell r="AB688">
            <v>395500</v>
          </cell>
          <cell r="AC688">
            <v>395500</v>
          </cell>
        </row>
        <row r="689">
          <cell r="A689">
            <v>5410</v>
          </cell>
          <cell r="B689">
            <v>1</v>
          </cell>
          <cell r="C689">
            <v>1</v>
          </cell>
          <cell r="E689" t="str">
            <v>20</v>
          </cell>
          <cell r="F689">
            <v>11250300600</v>
          </cell>
          <cell r="G689">
            <v>4</v>
          </cell>
          <cell r="H689" t="str">
            <v>41</v>
          </cell>
          <cell r="I689">
            <v>34</v>
          </cell>
          <cell r="J689">
            <v>20</v>
          </cell>
          <cell r="K689">
            <v>1</v>
          </cell>
          <cell r="L689">
            <v>11</v>
          </cell>
          <cell r="M689">
            <v>250</v>
          </cell>
          <cell r="N689">
            <v>3</v>
          </cell>
          <cell r="O689" t="str">
            <v>00</v>
          </cell>
          <cell r="P689">
            <v>6</v>
          </cell>
          <cell r="Q689">
            <v>4</v>
          </cell>
          <cell r="R689">
            <v>4</v>
          </cell>
          <cell r="S689">
            <v>1</v>
          </cell>
          <cell r="T689">
            <v>34</v>
          </cell>
          <cell r="V689">
            <v>0</v>
          </cell>
          <cell r="W689">
            <v>0</v>
          </cell>
          <cell r="X689" t="str">
            <v>Institut N'Zérékoré</v>
          </cell>
          <cell r="Y689" t="str">
            <v>P4</v>
          </cell>
          <cell r="Z689" t="str">
            <v xml:space="preserve"> Intérieur</v>
          </cell>
          <cell r="AA689" t="str">
            <v>Sub.expl. Fonct. (Conso div)</v>
          </cell>
          <cell r="AB689">
            <v>340440</v>
          </cell>
          <cell r="AC689">
            <v>340440</v>
          </cell>
        </row>
        <row r="690">
          <cell r="A690">
            <v>5411</v>
          </cell>
          <cell r="B690">
            <v>1</v>
          </cell>
          <cell r="C690">
            <v>1</v>
          </cell>
          <cell r="E690" t="str">
            <v>20</v>
          </cell>
          <cell r="F690">
            <v>11250300600</v>
          </cell>
          <cell r="G690">
            <v>4</v>
          </cell>
          <cell r="H690" t="str">
            <v>41</v>
          </cell>
          <cell r="I690">
            <v>37</v>
          </cell>
          <cell r="J690">
            <v>20</v>
          </cell>
          <cell r="K690">
            <v>1</v>
          </cell>
          <cell r="L690">
            <v>11</v>
          </cell>
          <cell r="M690">
            <v>250</v>
          </cell>
          <cell r="N690">
            <v>3</v>
          </cell>
          <cell r="O690" t="str">
            <v>00</v>
          </cell>
          <cell r="P690">
            <v>6</v>
          </cell>
          <cell r="Q690">
            <v>4</v>
          </cell>
          <cell r="R690">
            <v>4</v>
          </cell>
          <cell r="S690">
            <v>1</v>
          </cell>
          <cell r="T690">
            <v>37</v>
          </cell>
          <cell r="V690">
            <v>0</v>
          </cell>
          <cell r="W690">
            <v>0</v>
          </cell>
          <cell r="X690" t="str">
            <v>Institut N'Zérékoré</v>
          </cell>
          <cell r="Y690" t="str">
            <v>P4</v>
          </cell>
          <cell r="Z690" t="str">
            <v xml:space="preserve"> Intérieur</v>
          </cell>
          <cell r="AA690" t="str">
            <v>Sub.expl. Fonct. (Entret.immob)</v>
          </cell>
          <cell r="AB690">
            <v>270700</v>
          </cell>
          <cell r="AC690">
            <v>270700</v>
          </cell>
        </row>
        <row r="691">
          <cell r="A691">
            <v>5412</v>
          </cell>
          <cell r="B691">
            <v>1</v>
          </cell>
          <cell r="C691">
            <v>1</v>
          </cell>
          <cell r="E691" t="str">
            <v>20</v>
          </cell>
          <cell r="F691">
            <v>11250300600</v>
          </cell>
          <cell r="G691">
            <v>4</v>
          </cell>
          <cell r="H691" t="str">
            <v>41</v>
          </cell>
          <cell r="I691">
            <v>40</v>
          </cell>
          <cell r="J691">
            <v>20</v>
          </cell>
          <cell r="K691">
            <v>1</v>
          </cell>
          <cell r="L691">
            <v>11</v>
          </cell>
          <cell r="M691">
            <v>250</v>
          </cell>
          <cell r="N691">
            <v>3</v>
          </cell>
          <cell r="O691" t="str">
            <v>00</v>
          </cell>
          <cell r="P691">
            <v>6</v>
          </cell>
          <cell r="Q691">
            <v>4</v>
          </cell>
          <cell r="R691">
            <v>4</v>
          </cell>
          <cell r="S691">
            <v>1</v>
          </cell>
          <cell r="T691">
            <v>40</v>
          </cell>
          <cell r="V691">
            <v>0</v>
          </cell>
          <cell r="W691">
            <v>0</v>
          </cell>
          <cell r="X691" t="str">
            <v>Institut N'Zérékoré</v>
          </cell>
          <cell r="Y691" t="str">
            <v>P4</v>
          </cell>
          <cell r="Z691" t="str">
            <v xml:space="preserve"> Intérieur</v>
          </cell>
          <cell r="AA691" t="str">
            <v>Sub.expl.Transfert (Bourses)</v>
          </cell>
          <cell r="AB691">
            <v>2641280</v>
          </cell>
          <cell r="AC691">
            <v>2641280</v>
          </cell>
        </row>
        <row r="692">
          <cell r="A692">
            <v>5413</v>
          </cell>
          <cell r="B692">
            <v>1</v>
          </cell>
          <cell r="C692">
            <v>1</v>
          </cell>
          <cell r="E692" t="str">
            <v>20</v>
          </cell>
          <cell r="F692">
            <v>11250300600</v>
          </cell>
          <cell r="G692">
            <v>4</v>
          </cell>
          <cell r="H692" t="str">
            <v>41</v>
          </cell>
          <cell r="I692">
            <v>90</v>
          </cell>
          <cell r="J692">
            <v>20</v>
          </cell>
          <cell r="K692">
            <v>1</v>
          </cell>
          <cell r="L692">
            <v>11</v>
          </cell>
          <cell r="M692">
            <v>250</v>
          </cell>
          <cell r="N692">
            <v>3</v>
          </cell>
          <cell r="O692" t="str">
            <v>00</v>
          </cell>
          <cell r="P692">
            <v>6</v>
          </cell>
          <cell r="Q692">
            <v>4</v>
          </cell>
          <cell r="R692">
            <v>4</v>
          </cell>
          <cell r="S692">
            <v>1</v>
          </cell>
          <cell r="T692">
            <v>90</v>
          </cell>
          <cell r="V692">
            <v>0</v>
          </cell>
          <cell r="W692">
            <v>0</v>
          </cell>
          <cell r="X692" t="str">
            <v>Institut N'Zérékoré</v>
          </cell>
          <cell r="Y692" t="str">
            <v>P4</v>
          </cell>
          <cell r="Z692" t="str">
            <v xml:space="preserve"> Intérieur</v>
          </cell>
          <cell r="AA692" t="str">
            <v>Sub.expl. NV (Recher.format.)</v>
          </cell>
          <cell r="AB692">
            <v>119070</v>
          </cell>
          <cell r="AC692">
            <v>119070</v>
          </cell>
        </row>
        <row r="693">
          <cell r="A693">
            <v>6131</v>
          </cell>
          <cell r="B693">
            <v>1</v>
          </cell>
          <cell r="J693">
            <v>20</v>
          </cell>
          <cell r="K693">
            <v>1</v>
          </cell>
          <cell r="L693">
            <v>11</v>
          </cell>
          <cell r="M693">
            <v>260</v>
          </cell>
          <cell r="N693">
            <v>3</v>
          </cell>
          <cell r="Q693">
            <v>4</v>
          </cell>
          <cell r="R693">
            <v>4</v>
          </cell>
          <cell r="S693">
            <v>1</v>
          </cell>
          <cell r="W693">
            <v>0</v>
          </cell>
          <cell r="X693" t="str">
            <v>Institut Sup Arts-Guinée</v>
          </cell>
          <cell r="AB693">
            <v>3523570</v>
          </cell>
          <cell r="AC693">
            <v>3523570</v>
          </cell>
        </row>
        <row r="694">
          <cell r="A694">
            <v>5414</v>
          </cell>
          <cell r="B694">
            <v>1</v>
          </cell>
          <cell r="C694">
            <v>1</v>
          </cell>
          <cell r="E694" t="str">
            <v>20</v>
          </cell>
          <cell r="F694">
            <v>11260300600</v>
          </cell>
          <cell r="G694">
            <v>4</v>
          </cell>
          <cell r="H694" t="str">
            <v>41</v>
          </cell>
          <cell r="I694">
            <v>20</v>
          </cell>
          <cell r="J694">
            <v>20</v>
          </cell>
          <cell r="K694">
            <v>1</v>
          </cell>
          <cell r="L694">
            <v>11</v>
          </cell>
          <cell r="M694">
            <v>260</v>
          </cell>
          <cell r="N694">
            <v>3</v>
          </cell>
          <cell r="O694" t="str">
            <v>00</v>
          </cell>
          <cell r="P694">
            <v>6</v>
          </cell>
          <cell r="Q694">
            <v>4</v>
          </cell>
          <cell r="R694">
            <v>4</v>
          </cell>
          <cell r="S694">
            <v>1</v>
          </cell>
          <cell r="T694">
            <v>20</v>
          </cell>
          <cell r="V694">
            <v>0</v>
          </cell>
          <cell r="W694">
            <v>0</v>
          </cell>
          <cell r="X694" t="str">
            <v>Institut Sup Arts-Guinée</v>
          </cell>
          <cell r="Y694" t="str">
            <v>P4</v>
          </cell>
          <cell r="Z694" t="str">
            <v xml:space="preserve"> Intérieur</v>
          </cell>
          <cell r="AA694" t="str">
            <v>Sub.expl. Frais de personnel</v>
          </cell>
          <cell r="AB694">
            <v>488570</v>
          </cell>
          <cell r="AC694">
            <v>488570</v>
          </cell>
        </row>
        <row r="695">
          <cell r="A695">
            <v>5415</v>
          </cell>
          <cell r="B695">
            <v>1</v>
          </cell>
          <cell r="C695">
            <v>1</v>
          </cell>
          <cell r="E695" t="str">
            <v>20</v>
          </cell>
          <cell r="F695">
            <v>11260300600</v>
          </cell>
          <cell r="G695">
            <v>4</v>
          </cell>
          <cell r="H695" t="str">
            <v>41</v>
          </cell>
          <cell r="I695">
            <v>31</v>
          </cell>
          <cell r="J695">
            <v>20</v>
          </cell>
          <cell r="K695">
            <v>1</v>
          </cell>
          <cell r="L695">
            <v>11</v>
          </cell>
          <cell r="M695">
            <v>260</v>
          </cell>
          <cell r="N695">
            <v>3</v>
          </cell>
          <cell r="O695" t="str">
            <v>00</v>
          </cell>
          <cell r="P695">
            <v>6</v>
          </cell>
          <cell r="Q695">
            <v>4</v>
          </cell>
          <cell r="R695">
            <v>4</v>
          </cell>
          <cell r="S695">
            <v>1</v>
          </cell>
          <cell r="T695">
            <v>31</v>
          </cell>
          <cell r="V695">
            <v>0</v>
          </cell>
          <cell r="W695">
            <v>0</v>
          </cell>
          <cell r="X695" t="str">
            <v>Institut Sup Arts-Guinée</v>
          </cell>
          <cell r="Y695" t="str">
            <v>P4</v>
          </cell>
          <cell r="Z695" t="str">
            <v xml:space="preserve"> Intérieur</v>
          </cell>
          <cell r="AA695" t="str">
            <v>Sub.expl. Fonct. (Fournit.conso)</v>
          </cell>
          <cell r="AB695">
            <v>591360</v>
          </cell>
          <cell r="AC695">
            <v>591360</v>
          </cell>
        </row>
        <row r="696">
          <cell r="A696">
            <v>5416</v>
          </cell>
          <cell r="B696">
            <v>1</v>
          </cell>
          <cell r="C696">
            <v>1</v>
          </cell>
          <cell r="E696" t="str">
            <v>20</v>
          </cell>
          <cell r="F696">
            <v>11260300600</v>
          </cell>
          <cell r="G696">
            <v>4</v>
          </cell>
          <cell r="H696" t="str">
            <v>41</v>
          </cell>
          <cell r="I696">
            <v>34</v>
          </cell>
          <cell r="J696">
            <v>20</v>
          </cell>
          <cell r="K696">
            <v>1</v>
          </cell>
          <cell r="L696">
            <v>11</v>
          </cell>
          <cell r="M696">
            <v>260</v>
          </cell>
          <cell r="N696">
            <v>3</v>
          </cell>
          <cell r="O696" t="str">
            <v>00</v>
          </cell>
          <cell r="P696">
            <v>6</v>
          </cell>
          <cell r="Q696">
            <v>4</v>
          </cell>
          <cell r="R696">
            <v>4</v>
          </cell>
          <cell r="S696">
            <v>1</v>
          </cell>
          <cell r="T696">
            <v>34</v>
          </cell>
          <cell r="V696">
            <v>0</v>
          </cell>
          <cell r="W696">
            <v>0</v>
          </cell>
          <cell r="X696" t="str">
            <v>Institut Sup Arts-Guinée</v>
          </cell>
          <cell r="Y696" t="str">
            <v>P4</v>
          </cell>
          <cell r="Z696" t="str">
            <v xml:space="preserve"> Intérieur</v>
          </cell>
          <cell r="AA696" t="str">
            <v>Sub.expl. Fonct. (Conso div)</v>
          </cell>
          <cell r="AB696">
            <v>138910</v>
          </cell>
          <cell r="AC696">
            <v>138910</v>
          </cell>
        </row>
        <row r="697">
          <cell r="A697">
            <v>5417</v>
          </cell>
          <cell r="B697">
            <v>1</v>
          </cell>
          <cell r="C697">
            <v>1</v>
          </cell>
          <cell r="E697" t="str">
            <v>20</v>
          </cell>
          <cell r="F697">
            <v>11260300600</v>
          </cell>
          <cell r="G697">
            <v>4</v>
          </cell>
          <cell r="H697" t="str">
            <v>41</v>
          </cell>
          <cell r="I697">
            <v>37</v>
          </cell>
          <cell r="J697">
            <v>20</v>
          </cell>
          <cell r="K697">
            <v>1</v>
          </cell>
          <cell r="L697">
            <v>11</v>
          </cell>
          <cell r="M697">
            <v>260</v>
          </cell>
          <cell r="N697">
            <v>3</v>
          </cell>
          <cell r="O697" t="str">
            <v>00</v>
          </cell>
          <cell r="P697">
            <v>6</v>
          </cell>
          <cell r="Q697">
            <v>4</v>
          </cell>
          <cell r="R697">
            <v>4</v>
          </cell>
          <cell r="S697">
            <v>1</v>
          </cell>
          <cell r="T697">
            <v>37</v>
          </cell>
          <cell r="V697">
            <v>0</v>
          </cell>
          <cell r="W697">
            <v>0</v>
          </cell>
          <cell r="X697" t="str">
            <v>Institut Sup Arts-Guinée</v>
          </cell>
          <cell r="Y697" t="str">
            <v>P4</v>
          </cell>
          <cell r="Z697" t="str">
            <v xml:space="preserve"> Intérieur</v>
          </cell>
          <cell r="AA697" t="str">
            <v>Sub.expl. Fonct. (Entret.immob)</v>
          </cell>
          <cell r="AB697">
            <v>115100</v>
          </cell>
          <cell r="AC697">
            <v>115100</v>
          </cell>
        </row>
        <row r="698">
          <cell r="A698">
            <v>5418</v>
          </cell>
          <cell r="B698">
            <v>1</v>
          </cell>
          <cell r="C698">
            <v>1</v>
          </cell>
          <cell r="E698" t="str">
            <v>20</v>
          </cell>
          <cell r="F698">
            <v>11260300600</v>
          </cell>
          <cell r="G698">
            <v>4</v>
          </cell>
          <cell r="H698" t="str">
            <v>41</v>
          </cell>
          <cell r="I698">
            <v>40</v>
          </cell>
          <cell r="J698">
            <v>20</v>
          </cell>
          <cell r="K698">
            <v>1</v>
          </cell>
          <cell r="L698">
            <v>11</v>
          </cell>
          <cell r="M698">
            <v>260</v>
          </cell>
          <cell r="N698">
            <v>3</v>
          </cell>
          <cell r="O698" t="str">
            <v>00</v>
          </cell>
          <cell r="P698">
            <v>6</v>
          </cell>
          <cell r="Q698">
            <v>4</v>
          </cell>
          <cell r="R698">
            <v>4</v>
          </cell>
          <cell r="S698">
            <v>1</v>
          </cell>
          <cell r="T698">
            <v>40</v>
          </cell>
          <cell r="V698">
            <v>0</v>
          </cell>
          <cell r="W698">
            <v>0</v>
          </cell>
          <cell r="X698" t="str">
            <v>Institut Sup Arts-Guinée</v>
          </cell>
          <cell r="Y698" t="str">
            <v>P4</v>
          </cell>
          <cell r="Z698" t="str">
            <v xml:space="preserve"> Intérieur</v>
          </cell>
          <cell r="AA698" t="str">
            <v>Sub.expl.Transfert (Bourses)</v>
          </cell>
          <cell r="AB698">
            <v>2153830</v>
          </cell>
          <cell r="AC698">
            <v>2153830</v>
          </cell>
        </row>
        <row r="699">
          <cell r="A699">
            <v>5419</v>
          </cell>
          <cell r="B699">
            <v>1</v>
          </cell>
          <cell r="C699">
            <v>1</v>
          </cell>
          <cell r="E699" t="str">
            <v>20</v>
          </cell>
          <cell r="F699">
            <v>11260300600</v>
          </cell>
          <cell r="G699">
            <v>4</v>
          </cell>
          <cell r="H699" t="str">
            <v>41</v>
          </cell>
          <cell r="I699">
            <v>90</v>
          </cell>
          <cell r="J699">
            <v>20</v>
          </cell>
          <cell r="K699">
            <v>1</v>
          </cell>
          <cell r="L699">
            <v>11</v>
          </cell>
          <cell r="M699">
            <v>260</v>
          </cell>
          <cell r="N699">
            <v>3</v>
          </cell>
          <cell r="O699" t="str">
            <v>00</v>
          </cell>
          <cell r="P699">
            <v>6</v>
          </cell>
          <cell r="Q699">
            <v>4</v>
          </cell>
          <cell r="R699">
            <v>4</v>
          </cell>
          <cell r="S699">
            <v>1</v>
          </cell>
          <cell r="T699">
            <v>90</v>
          </cell>
          <cell r="V699">
            <v>0</v>
          </cell>
          <cell r="W699">
            <v>0</v>
          </cell>
          <cell r="X699" t="str">
            <v>Institut Sup Arts-Guinée</v>
          </cell>
          <cell r="Y699" t="str">
            <v>P4</v>
          </cell>
          <cell r="Z699" t="str">
            <v xml:space="preserve"> Intérieur</v>
          </cell>
          <cell r="AA699" t="str">
            <v>Sub.expl. NV (Recher.format.)</v>
          </cell>
          <cell r="AB699">
            <v>35800</v>
          </cell>
          <cell r="AC699">
            <v>35800</v>
          </cell>
        </row>
        <row r="700">
          <cell r="A700">
            <v>6133</v>
          </cell>
          <cell r="B700">
            <v>1</v>
          </cell>
          <cell r="J700">
            <v>20</v>
          </cell>
          <cell r="K700">
            <v>1</v>
          </cell>
          <cell r="L700">
            <v>11</v>
          </cell>
          <cell r="M700">
            <v>270</v>
          </cell>
          <cell r="N700">
            <v>3</v>
          </cell>
          <cell r="Q700">
            <v>4</v>
          </cell>
          <cell r="R700">
            <v>4</v>
          </cell>
          <cell r="S700">
            <v>1</v>
          </cell>
          <cell r="W700">
            <v>0</v>
          </cell>
          <cell r="X700" t="str">
            <v>Ecole Préparatoire Grandes Institutions Ingenieurs Tech. Sup.</v>
          </cell>
          <cell r="AB700">
            <v>3594060</v>
          </cell>
          <cell r="AC700">
            <v>3594060</v>
          </cell>
        </row>
        <row r="701">
          <cell r="A701">
            <v>5420</v>
          </cell>
          <cell r="B701">
            <v>1</v>
          </cell>
          <cell r="C701">
            <v>1</v>
          </cell>
          <cell r="E701" t="str">
            <v>20</v>
          </cell>
          <cell r="F701">
            <v>11270300600</v>
          </cell>
          <cell r="G701">
            <v>4</v>
          </cell>
          <cell r="H701" t="str">
            <v>41</v>
          </cell>
          <cell r="I701">
            <v>20</v>
          </cell>
          <cell r="J701">
            <v>20</v>
          </cell>
          <cell r="K701">
            <v>1</v>
          </cell>
          <cell r="L701">
            <v>11</v>
          </cell>
          <cell r="M701">
            <v>270</v>
          </cell>
          <cell r="N701">
            <v>3</v>
          </cell>
          <cell r="O701" t="str">
            <v>00</v>
          </cell>
          <cell r="P701">
            <v>6</v>
          </cell>
          <cell r="Q701">
            <v>4</v>
          </cell>
          <cell r="R701">
            <v>4</v>
          </cell>
          <cell r="S701">
            <v>1</v>
          </cell>
          <cell r="T701">
            <v>20</v>
          </cell>
          <cell r="V701">
            <v>0</v>
          </cell>
          <cell r="W701">
            <v>0</v>
          </cell>
          <cell r="X701" t="str">
            <v>EPGIITS Kindia Ecole Préparatoire Grandes Institutions Ingenieurs Tech. Sup.</v>
          </cell>
          <cell r="Y701" t="str">
            <v>P4</v>
          </cell>
          <cell r="Z701" t="str">
            <v xml:space="preserve"> Intérieur</v>
          </cell>
          <cell r="AA701" t="str">
            <v>Sub.expl. Frais de personnel</v>
          </cell>
          <cell r="AB701">
            <v>327090</v>
          </cell>
          <cell r="AC701">
            <v>327090</v>
          </cell>
        </row>
        <row r="702">
          <cell r="A702">
            <v>5421</v>
          </cell>
          <cell r="B702">
            <v>1</v>
          </cell>
          <cell r="C702">
            <v>1</v>
          </cell>
          <cell r="E702" t="str">
            <v>20</v>
          </cell>
          <cell r="F702">
            <v>11270300600</v>
          </cell>
          <cell r="G702">
            <v>4</v>
          </cell>
          <cell r="H702" t="str">
            <v>41</v>
          </cell>
          <cell r="I702">
            <v>31</v>
          </cell>
          <cell r="J702">
            <v>20</v>
          </cell>
          <cell r="K702">
            <v>1</v>
          </cell>
          <cell r="L702">
            <v>11</v>
          </cell>
          <cell r="M702">
            <v>270</v>
          </cell>
          <cell r="N702">
            <v>3</v>
          </cell>
          <cell r="O702" t="str">
            <v>00</v>
          </cell>
          <cell r="P702">
            <v>6</v>
          </cell>
          <cell r="Q702">
            <v>4</v>
          </cell>
          <cell r="R702">
            <v>4</v>
          </cell>
          <cell r="S702">
            <v>1</v>
          </cell>
          <cell r="T702">
            <v>31</v>
          </cell>
          <cell r="V702">
            <v>0</v>
          </cell>
          <cell r="W702">
            <v>0</v>
          </cell>
          <cell r="X702" t="str">
            <v>EPGIITS Kindia Ecole Préparatoire Grandes Institutions Ingenieurs Tech. Sup.</v>
          </cell>
          <cell r="Y702" t="str">
            <v>P4</v>
          </cell>
          <cell r="Z702" t="str">
            <v xml:space="preserve"> Intérieur</v>
          </cell>
          <cell r="AA702" t="str">
            <v>Sub.expl. Fonct. (Fournit.conso)</v>
          </cell>
          <cell r="AB702">
            <v>208380</v>
          </cell>
          <cell r="AC702">
            <v>208380</v>
          </cell>
        </row>
        <row r="703">
          <cell r="A703">
            <v>5422</v>
          </cell>
          <cell r="B703">
            <v>1</v>
          </cell>
          <cell r="C703">
            <v>1</v>
          </cell>
          <cell r="E703" t="str">
            <v>20</v>
          </cell>
          <cell r="F703">
            <v>11270300600</v>
          </cell>
          <cell r="G703">
            <v>4</v>
          </cell>
          <cell r="H703" t="str">
            <v>41</v>
          </cell>
          <cell r="I703">
            <v>34</v>
          </cell>
          <cell r="J703">
            <v>20</v>
          </cell>
          <cell r="K703">
            <v>1</v>
          </cell>
          <cell r="L703">
            <v>11</v>
          </cell>
          <cell r="M703">
            <v>270</v>
          </cell>
          <cell r="N703">
            <v>3</v>
          </cell>
          <cell r="O703" t="str">
            <v>00</v>
          </cell>
          <cell r="P703">
            <v>6</v>
          </cell>
          <cell r="Q703">
            <v>4</v>
          </cell>
          <cell r="R703">
            <v>4</v>
          </cell>
          <cell r="S703">
            <v>1</v>
          </cell>
          <cell r="T703">
            <v>34</v>
          </cell>
          <cell r="V703">
            <v>0</v>
          </cell>
          <cell r="W703">
            <v>0</v>
          </cell>
          <cell r="X703" t="str">
            <v>EPGIITS Kindia Ecole Préparatoire Grandes Institutions Ingenieurs Tech. Sup.</v>
          </cell>
          <cell r="Y703" t="str">
            <v>P4</v>
          </cell>
          <cell r="Z703" t="str">
            <v xml:space="preserve"> Intérieur</v>
          </cell>
          <cell r="AA703" t="str">
            <v>Sub.expl. Fonct. (Conso div)</v>
          </cell>
          <cell r="AB703">
            <v>279120</v>
          </cell>
          <cell r="AC703">
            <v>279120</v>
          </cell>
        </row>
        <row r="704">
          <cell r="A704">
            <v>5423</v>
          </cell>
          <cell r="B704">
            <v>1</v>
          </cell>
          <cell r="C704">
            <v>1</v>
          </cell>
          <cell r="E704" t="str">
            <v>20</v>
          </cell>
          <cell r="F704">
            <v>11270300600</v>
          </cell>
          <cell r="G704">
            <v>4</v>
          </cell>
          <cell r="H704" t="str">
            <v>41</v>
          </cell>
          <cell r="I704">
            <v>37</v>
          </cell>
          <cell r="J704">
            <v>20</v>
          </cell>
          <cell r="K704">
            <v>1</v>
          </cell>
          <cell r="L704">
            <v>11</v>
          </cell>
          <cell r="M704">
            <v>270</v>
          </cell>
          <cell r="N704">
            <v>3</v>
          </cell>
          <cell r="O704" t="str">
            <v>00</v>
          </cell>
          <cell r="P704">
            <v>6</v>
          </cell>
          <cell r="Q704">
            <v>4</v>
          </cell>
          <cell r="R704">
            <v>4</v>
          </cell>
          <cell r="S704">
            <v>1</v>
          </cell>
          <cell r="T704">
            <v>37</v>
          </cell>
          <cell r="V704">
            <v>0</v>
          </cell>
          <cell r="W704">
            <v>0</v>
          </cell>
          <cell r="X704" t="str">
            <v>EPGIITS Kindia Ecole Préparatoire Grandes Institutions Ingenieurs Tech. Sup.</v>
          </cell>
          <cell r="Y704" t="str">
            <v>P4</v>
          </cell>
          <cell r="Z704" t="str">
            <v xml:space="preserve"> Intérieur</v>
          </cell>
          <cell r="AA704" t="str">
            <v>Sub.expl. Fonct. (Entret.immob)</v>
          </cell>
          <cell r="AB704">
            <v>130220</v>
          </cell>
          <cell r="AC704">
            <v>130220</v>
          </cell>
        </row>
        <row r="705">
          <cell r="A705">
            <v>5424</v>
          </cell>
          <cell r="B705">
            <v>1</v>
          </cell>
          <cell r="C705">
            <v>1</v>
          </cell>
          <cell r="E705" t="str">
            <v>20</v>
          </cell>
          <cell r="F705">
            <v>11270300600</v>
          </cell>
          <cell r="G705">
            <v>4</v>
          </cell>
          <cell r="H705" t="str">
            <v>41</v>
          </cell>
          <cell r="I705">
            <v>40</v>
          </cell>
          <cell r="J705">
            <v>20</v>
          </cell>
          <cell r="K705">
            <v>1</v>
          </cell>
          <cell r="L705">
            <v>11</v>
          </cell>
          <cell r="M705">
            <v>270</v>
          </cell>
          <cell r="N705">
            <v>3</v>
          </cell>
          <cell r="O705" t="str">
            <v>00</v>
          </cell>
          <cell r="P705">
            <v>6</v>
          </cell>
          <cell r="Q705">
            <v>4</v>
          </cell>
          <cell r="R705">
            <v>4</v>
          </cell>
          <cell r="S705">
            <v>1</v>
          </cell>
          <cell r="T705">
            <v>40</v>
          </cell>
          <cell r="V705">
            <v>0</v>
          </cell>
          <cell r="W705">
            <v>0</v>
          </cell>
          <cell r="X705" t="str">
            <v>EPGIITS Kindia Ecole Préparatoire Grandes Institutions Ingenieurs Tech. Sup.</v>
          </cell>
          <cell r="Y705" t="str">
            <v>P4</v>
          </cell>
          <cell r="Z705" t="str">
            <v xml:space="preserve"> Intérieur</v>
          </cell>
          <cell r="AA705" t="str">
            <v>Sub.expl.Transfert (Bourses)</v>
          </cell>
          <cell r="AB705">
            <v>2484530</v>
          </cell>
          <cell r="AC705">
            <v>2484530</v>
          </cell>
        </row>
        <row r="706">
          <cell r="A706">
            <v>5425</v>
          </cell>
          <cell r="B706">
            <v>1</v>
          </cell>
          <cell r="C706">
            <v>1</v>
          </cell>
          <cell r="E706" t="str">
            <v>20</v>
          </cell>
          <cell r="F706">
            <v>11270300600</v>
          </cell>
          <cell r="G706">
            <v>4</v>
          </cell>
          <cell r="H706" t="str">
            <v>41</v>
          </cell>
          <cell r="I706">
            <v>90</v>
          </cell>
          <cell r="J706">
            <v>20</v>
          </cell>
          <cell r="K706">
            <v>1</v>
          </cell>
          <cell r="L706">
            <v>11</v>
          </cell>
          <cell r="M706">
            <v>270</v>
          </cell>
          <cell r="N706">
            <v>3</v>
          </cell>
          <cell r="O706" t="str">
            <v>00</v>
          </cell>
          <cell r="P706">
            <v>6</v>
          </cell>
          <cell r="Q706">
            <v>4</v>
          </cell>
          <cell r="R706">
            <v>4</v>
          </cell>
          <cell r="S706">
            <v>1</v>
          </cell>
          <cell r="T706">
            <v>90</v>
          </cell>
          <cell r="V706">
            <v>0</v>
          </cell>
          <cell r="W706">
            <v>0</v>
          </cell>
          <cell r="X706" t="str">
            <v>EPGIITS Kindia Ecole Préparatoire Grandes Institutions Ingenieurs Tech. Sup.</v>
          </cell>
          <cell r="Y706" t="str">
            <v>P4</v>
          </cell>
          <cell r="Z706" t="str">
            <v xml:space="preserve"> Intérieur</v>
          </cell>
          <cell r="AA706" t="str">
            <v>Sub.expl. NV (Recher.format.)</v>
          </cell>
          <cell r="AB706">
            <v>164720</v>
          </cell>
          <cell r="AC706">
            <v>164720</v>
          </cell>
        </row>
        <row r="707">
          <cell r="A707">
            <v>6135</v>
          </cell>
          <cell r="B707">
            <v>1</v>
          </cell>
          <cell r="J707">
            <v>20</v>
          </cell>
          <cell r="K707">
            <v>1</v>
          </cell>
          <cell r="L707">
            <v>11</v>
          </cell>
          <cell r="M707">
            <v>281</v>
          </cell>
          <cell r="N707">
            <v>3</v>
          </cell>
          <cell r="Q707">
            <v>4</v>
          </cell>
          <cell r="R707">
            <v>4</v>
          </cell>
          <cell r="S707">
            <v>1</v>
          </cell>
          <cell r="W707">
            <v>0</v>
          </cell>
          <cell r="X707" t="str">
            <v>INA Urbanisme Coyah</v>
          </cell>
          <cell r="AB707">
            <v>1453650</v>
          </cell>
          <cell r="AC707">
            <v>1453650</v>
          </cell>
        </row>
        <row r="708">
          <cell r="A708">
            <v>5426</v>
          </cell>
          <cell r="B708">
            <v>1</v>
          </cell>
          <cell r="C708">
            <v>1</v>
          </cell>
          <cell r="E708" t="str">
            <v>20</v>
          </cell>
          <cell r="F708">
            <v>11281300600</v>
          </cell>
          <cell r="G708">
            <v>4</v>
          </cell>
          <cell r="H708" t="str">
            <v>41</v>
          </cell>
          <cell r="I708">
            <v>20</v>
          </cell>
          <cell r="J708">
            <v>20</v>
          </cell>
          <cell r="K708">
            <v>1</v>
          </cell>
          <cell r="L708">
            <v>11</v>
          </cell>
          <cell r="M708">
            <v>281</v>
          </cell>
          <cell r="N708">
            <v>3</v>
          </cell>
          <cell r="O708" t="str">
            <v>00</v>
          </cell>
          <cell r="P708">
            <v>6</v>
          </cell>
          <cell r="Q708">
            <v>4</v>
          </cell>
          <cell r="R708">
            <v>4</v>
          </cell>
          <cell r="S708">
            <v>1</v>
          </cell>
          <cell r="T708">
            <v>20</v>
          </cell>
          <cell r="V708">
            <v>0</v>
          </cell>
          <cell r="W708">
            <v>0</v>
          </cell>
          <cell r="X708" t="str">
            <v xml:space="preserve"> INA Urbanisme</v>
          </cell>
          <cell r="Y708" t="str">
            <v>P4</v>
          </cell>
          <cell r="Z708" t="str">
            <v xml:space="preserve"> Intérieur</v>
          </cell>
          <cell r="AA708" t="str">
            <v>Sub.expl. Frais de personnel</v>
          </cell>
          <cell r="AB708">
            <v>357550</v>
          </cell>
          <cell r="AC708">
            <v>357550</v>
          </cell>
        </row>
        <row r="709">
          <cell r="A709">
            <v>5427</v>
          </cell>
          <cell r="B709">
            <v>1</v>
          </cell>
          <cell r="C709">
            <v>1</v>
          </cell>
          <cell r="E709" t="str">
            <v>20</v>
          </cell>
          <cell r="F709">
            <v>11281300600</v>
          </cell>
          <cell r="G709">
            <v>4</v>
          </cell>
          <cell r="H709" t="str">
            <v>41</v>
          </cell>
          <cell r="I709">
            <v>31</v>
          </cell>
          <cell r="J709">
            <v>20</v>
          </cell>
          <cell r="K709">
            <v>1</v>
          </cell>
          <cell r="L709">
            <v>11</v>
          </cell>
          <cell r="M709">
            <v>281</v>
          </cell>
          <cell r="N709">
            <v>3</v>
          </cell>
          <cell r="O709" t="str">
            <v>00</v>
          </cell>
          <cell r="P709">
            <v>6</v>
          </cell>
          <cell r="Q709">
            <v>4</v>
          </cell>
          <cell r="R709">
            <v>4</v>
          </cell>
          <cell r="S709">
            <v>1</v>
          </cell>
          <cell r="T709">
            <v>31</v>
          </cell>
          <cell r="V709">
            <v>0</v>
          </cell>
          <cell r="W709">
            <v>0</v>
          </cell>
          <cell r="X709" t="str">
            <v>INA Urbanisme</v>
          </cell>
          <cell r="Y709" t="str">
            <v>P4</v>
          </cell>
          <cell r="Z709" t="str">
            <v xml:space="preserve"> Intérieur</v>
          </cell>
          <cell r="AA709" t="str">
            <v>Sub.expl. Fonct. (Fournit.conso)</v>
          </cell>
          <cell r="AB709">
            <v>439620</v>
          </cell>
          <cell r="AC709">
            <v>439620</v>
          </cell>
        </row>
        <row r="710">
          <cell r="A710">
            <v>5428</v>
          </cell>
          <cell r="B710">
            <v>1</v>
          </cell>
          <cell r="C710">
            <v>1</v>
          </cell>
          <cell r="E710" t="str">
            <v>20</v>
          </cell>
          <cell r="F710">
            <v>11281300600</v>
          </cell>
          <cell r="G710">
            <v>4</v>
          </cell>
          <cell r="H710" t="str">
            <v>41</v>
          </cell>
          <cell r="I710">
            <v>34</v>
          </cell>
          <cell r="J710">
            <v>20</v>
          </cell>
          <cell r="K710">
            <v>1</v>
          </cell>
          <cell r="L710">
            <v>11</v>
          </cell>
          <cell r="M710">
            <v>281</v>
          </cell>
          <cell r="N710">
            <v>3</v>
          </cell>
          <cell r="O710" t="str">
            <v>00</v>
          </cell>
          <cell r="P710">
            <v>6</v>
          </cell>
          <cell r="Q710">
            <v>4</v>
          </cell>
          <cell r="R710">
            <v>4</v>
          </cell>
          <cell r="S710">
            <v>1</v>
          </cell>
          <cell r="T710">
            <v>34</v>
          </cell>
          <cell r="V710">
            <v>0</v>
          </cell>
          <cell r="W710">
            <v>0</v>
          </cell>
          <cell r="X710" t="str">
            <v>INA Urbanisme</v>
          </cell>
          <cell r="Y710" t="str">
            <v>P4</v>
          </cell>
          <cell r="Z710" t="str">
            <v xml:space="preserve"> Intérieur</v>
          </cell>
          <cell r="AA710" t="str">
            <v>Sub.expl. Fonct. (Conso div)</v>
          </cell>
          <cell r="AB710">
            <v>120740</v>
          </cell>
          <cell r="AC710">
            <v>120740</v>
          </cell>
        </row>
        <row r="711">
          <cell r="A711">
            <v>5429</v>
          </cell>
          <cell r="B711">
            <v>1</v>
          </cell>
          <cell r="C711">
            <v>1</v>
          </cell>
          <cell r="E711" t="str">
            <v>20</v>
          </cell>
          <cell r="F711">
            <v>11281300600</v>
          </cell>
          <cell r="G711">
            <v>4</v>
          </cell>
          <cell r="H711" t="str">
            <v>41</v>
          </cell>
          <cell r="I711">
            <v>37</v>
          </cell>
          <cell r="J711">
            <v>20</v>
          </cell>
          <cell r="K711">
            <v>1</v>
          </cell>
          <cell r="L711">
            <v>11</v>
          </cell>
          <cell r="M711">
            <v>281</v>
          </cell>
          <cell r="N711">
            <v>3</v>
          </cell>
          <cell r="O711" t="str">
            <v>00</v>
          </cell>
          <cell r="P711">
            <v>6</v>
          </cell>
          <cell r="Q711">
            <v>4</v>
          </cell>
          <cell r="R711">
            <v>4</v>
          </cell>
          <cell r="S711">
            <v>1</v>
          </cell>
          <cell r="T711">
            <v>37</v>
          </cell>
          <cell r="V711">
            <v>0</v>
          </cell>
          <cell r="W711">
            <v>0</v>
          </cell>
          <cell r="X711" t="str">
            <v>INA Urbanisme</v>
          </cell>
          <cell r="Y711" t="str">
            <v>P4</v>
          </cell>
          <cell r="Z711" t="str">
            <v xml:space="preserve"> Intérieur</v>
          </cell>
          <cell r="AA711" t="str">
            <v>Sub.expl. Fonct. (Entret.immob)</v>
          </cell>
          <cell r="AB711">
            <v>78340</v>
          </cell>
          <cell r="AC711">
            <v>78340</v>
          </cell>
        </row>
        <row r="712">
          <cell r="A712">
            <v>5430</v>
          </cell>
          <cell r="B712">
            <v>1</v>
          </cell>
          <cell r="C712">
            <v>1</v>
          </cell>
          <cell r="E712" t="str">
            <v>20</v>
          </cell>
          <cell r="F712">
            <v>11281300600</v>
          </cell>
          <cell r="G712">
            <v>4</v>
          </cell>
          <cell r="H712" t="str">
            <v>41</v>
          </cell>
          <cell r="I712">
            <v>40</v>
          </cell>
          <cell r="J712">
            <v>20</v>
          </cell>
          <cell r="K712">
            <v>1</v>
          </cell>
          <cell r="L712">
            <v>11</v>
          </cell>
          <cell r="M712">
            <v>281</v>
          </cell>
          <cell r="N712">
            <v>3</v>
          </cell>
          <cell r="O712" t="str">
            <v>00</v>
          </cell>
          <cell r="P712">
            <v>6</v>
          </cell>
          <cell r="Q712">
            <v>4</v>
          </cell>
          <cell r="R712">
            <v>4</v>
          </cell>
          <cell r="S712">
            <v>1</v>
          </cell>
          <cell r="T712">
            <v>40</v>
          </cell>
          <cell r="V712">
            <v>0</v>
          </cell>
          <cell r="W712">
            <v>0</v>
          </cell>
          <cell r="X712" t="str">
            <v>INA Urbanisme</v>
          </cell>
          <cell r="Y712" t="str">
            <v>P4</v>
          </cell>
          <cell r="Z712" t="str">
            <v xml:space="preserve"> Intérieur</v>
          </cell>
          <cell r="AA712" t="str">
            <v>Sub.expl.Transfert (Bourses)</v>
          </cell>
          <cell r="AB712">
            <v>405030</v>
          </cell>
          <cell r="AC712">
            <v>405030</v>
          </cell>
        </row>
        <row r="713">
          <cell r="A713">
            <v>5431</v>
          </cell>
          <cell r="B713">
            <v>1</v>
          </cell>
          <cell r="C713">
            <v>1</v>
          </cell>
          <cell r="E713" t="str">
            <v>20</v>
          </cell>
          <cell r="F713">
            <v>11281300600</v>
          </cell>
          <cell r="G713">
            <v>4</v>
          </cell>
          <cell r="H713" t="str">
            <v>41</v>
          </cell>
          <cell r="I713">
            <v>90</v>
          </cell>
          <cell r="J713">
            <v>20</v>
          </cell>
          <cell r="K713">
            <v>1</v>
          </cell>
          <cell r="L713">
            <v>11</v>
          </cell>
          <cell r="M713">
            <v>281</v>
          </cell>
          <cell r="N713">
            <v>3</v>
          </cell>
          <cell r="O713" t="str">
            <v>00</v>
          </cell>
          <cell r="P713">
            <v>6</v>
          </cell>
          <cell r="Q713">
            <v>4</v>
          </cell>
          <cell r="R713">
            <v>4</v>
          </cell>
          <cell r="S713">
            <v>1</v>
          </cell>
          <cell r="T713">
            <v>90</v>
          </cell>
          <cell r="V713">
            <v>0</v>
          </cell>
          <cell r="W713">
            <v>0</v>
          </cell>
          <cell r="X713" t="str">
            <v>INA Urbanisme</v>
          </cell>
          <cell r="Y713" t="str">
            <v>P4</v>
          </cell>
          <cell r="Z713" t="str">
            <v xml:space="preserve"> Intérieur</v>
          </cell>
          <cell r="AA713" t="str">
            <v>Sub.expl. NV (Recher.format.)</v>
          </cell>
          <cell r="AB713">
            <v>52370</v>
          </cell>
          <cell r="AC713">
            <v>52370</v>
          </cell>
        </row>
        <row r="714">
          <cell r="A714">
            <v>6137</v>
          </cell>
          <cell r="B714">
            <v>1</v>
          </cell>
          <cell r="J714">
            <v>20</v>
          </cell>
          <cell r="K714">
            <v>1</v>
          </cell>
          <cell r="L714">
            <v>11</v>
          </cell>
          <cell r="M714">
            <v>285</v>
          </cell>
          <cell r="N714">
            <v>3</v>
          </cell>
          <cell r="Q714">
            <v>4</v>
          </cell>
          <cell r="R714">
            <v>4</v>
          </cell>
          <cell r="S714">
            <v>1</v>
          </cell>
          <cell r="W714">
            <v>0</v>
          </cell>
          <cell r="X714" t="str">
            <v>IST Mamou</v>
          </cell>
          <cell r="AB714">
            <v>2901800</v>
          </cell>
          <cell r="AC714">
            <v>2901800</v>
          </cell>
        </row>
        <row r="715">
          <cell r="A715">
            <v>5432</v>
          </cell>
          <cell r="B715">
            <v>1</v>
          </cell>
          <cell r="C715">
            <v>1</v>
          </cell>
          <cell r="E715" t="str">
            <v>20</v>
          </cell>
          <cell r="F715">
            <v>11285300600</v>
          </cell>
          <cell r="G715">
            <v>4</v>
          </cell>
          <cell r="H715" t="str">
            <v>41</v>
          </cell>
          <cell r="I715">
            <v>20</v>
          </cell>
          <cell r="J715">
            <v>20</v>
          </cell>
          <cell r="K715">
            <v>1</v>
          </cell>
          <cell r="L715">
            <v>11</v>
          </cell>
          <cell r="M715">
            <v>285</v>
          </cell>
          <cell r="N715">
            <v>3</v>
          </cell>
          <cell r="O715" t="str">
            <v>00</v>
          </cell>
          <cell r="P715">
            <v>6</v>
          </cell>
          <cell r="Q715">
            <v>4</v>
          </cell>
          <cell r="R715">
            <v>4</v>
          </cell>
          <cell r="S715">
            <v>1</v>
          </cell>
          <cell r="T715">
            <v>20</v>
          </cell>
          <cell r="V715">
            <v>0</v>
          </cell>
          <cell r="W715">
            <v>0</v>
          </cell>
          <cell r="X715" t="str">
            <v>IST Mamou</v>
          </cell>
          <cell r="Y715" t="str">
            <v>P4</v>
          </cell>
          <cell r="Z715" t="str">
            <v xml:space="preserve"> Intérieur</v>
          </cell>
          <cell r="AA715" t="str">
            <v>Sub.expl. Frais de personnel</v>
          </cell>
          <cell r="AB715">
            <v>461210</v>
          </cell>
          <cell r="AC715">
            <v>461210</v>
          </cell>
        </row>
        <row r="716">
          <cell r="A716">
            <v>5433</v>
          </cell>
          <cell r="B716">
            <v>1</v>
          </cell>
          <cell r="C716">
            <v>1</v>
          </cell>
          <cell r="E716" t="str">
            <v>20</v>
          </cell>
          <cell r="F716">
            <v>11285300600</v>
          </cell>
          <cell r="G716">
            <v>4</v>
          </cell>
          <cell r="H716" t="str">
            <v>41</v>
          </cell>
          <cell r="I716">
            <v>31</v>
          </cell>
          <cell r="J716">
            <v>20</v>
          </cell>
          <cell r="K716">
            <v>1</v>
          </cell>
          <cell r="L716">
            <v>11</v>
          </cell>
          <cell r="M716">
            <v>285</v>
          </cell>
          <cell r="N716">
            <v>3</v>
          </cell>
          <cell r="O716" t="str">
            <v>00</v>
          </cell>
          <cell r="P716">
            <v>6</v>
          </cell>
          <cell r="Q716">
            <v>4</v>
          </cell>
          <cell r="R716">
            <v>4</v>
          </cell>
          <cell r="S716">
            <v>1</v>
          </cell>
          <cell r="T716">
            <v>31</v>
          </cell>
          <cell r="V716">
            <v>0</v>
          </cell>
          <cell r="W716">
            <v>0</v>
          </cell>
          <cell r="X716" t="str">
            <v>IST Mamou</v>
          </cell>
          <cell r="Y716" t="str">
            <v>P4</v>
          </cell>
          <cell r="Z716" t="str">
            <v xml:space="preserve"> Intérieur</v>
          </cell>
          <cell r="AA716" t="str">
            <v>Sub.expl. Fonct. (Fournit.conso)</v>
          </cell>
          <cell r="AB716">
            <v>330880</v>
          </cell>
          <cell r="AC716">
            <v>330880</v>
          </cell>
        </row>
        <row r="717">
          <cell r="A717">
            <v>5434</v>
          </cell>
          <cell r="B717">
            <v>1</v>
          </cell>
          <cell r="C717">
            <v>1</v>
          </cell>
          <cell r="E717" t="str">
            <v>20</v>
          </cell>
          <cell r="F717">
            <v>11285300600</v>
          </cell>
          <cell r="G717">
            <v>4</v>
          </cell>
          <cell r="H717" t="str">
            <v>41</v>
          </cell>
          <cell r="I717">
            <v>34</v>
          </cell>
          <cell r="J717">
            <v>20</v>
          </cell>
          <cell r="K717">
            <v>1</v>
          </cell>
          <cell r="L717">
            <v>11</v>
          </cell>
          <cell r="M717">
            <v>285</v>
          </cell>
          <cell r="N717">
            <v>3</v>
          </cell>
          <cell r="O717" t="str">
            <v>00</v>
          </cell>
          <cell r="P717">
            <v>6</v>
          </cell>
          <cell r="Q717">
            <v>4</v>
          </cell>
          <cell r="R717">
            <v>4</v>
          </cell>
          <cell r="S717">
            <v>1</v>
          </cell>
          <cell r="T717">
            <v>34</v>
          </cell>
          <cell r="V717">
            <v>0</v>
          </cell>
          <cell r="W717">
            <v>0</v>
          </cell>
          <cell r="X717" t="str">
            <v>IST Mamou</v>
          </cell>
          <cell r="Y717" t="str">
            <v>P4</v>
          </cell>
          <cell r="Z717" t="str">
            <v xml:space="preserve"> Intérieur</v>
          </cell>
          <cell r="AA717" t="str">
            <v>Sub.expl. Fonct. (Conso div)</v>
          </cell>
          <cell r="AB717">
            <v>524320</v>
          </cell>
          <cell r="AC717">
            <v>524320</v>
          </cell>
        </row>
        <row r="718">
          <cell r="A718">
            <v>5435</v>
          </cell>
          <cell r="B718">
            <v>1</v>
          </cell>
          <cell r="C718">
            <v>1</v>
          </cell>
          <cell r="E718" t="str">
            <v>20</v>
          </cell>
          <cell r="F718">
            <v>11285300600</v>
          </cell>
          <cell r="G718">
            <v>4</v>
          </cell>
          <cell r="H718" t="str">
            <v>41</v>
          </cell>
          <cell r="I718">
            <v>37</v>
          </cell>
          <cell r="J718">
            <v>20</v>
          </cell>
          <cell r="K718">
            <v>1</v>
          </cell>
          <cell r="L718">
            <v>11</v>
          </cell>
          <cell r="M718">
            <v>285</v>
          </cell>
          <cell r="N718">
            <v>3</v>
          </cell>
          <cell r="O718" t="str">
            <v>00</v>
          </cell>
          <cell r="P718">
            <v>6</v>
          </cell>
          <cell r="Q718">
            <v>4</v>
          </cell>
          <cell r="R718">
            <v>4</v>
          </cell>
          <cell r="S718">
            <v>1</v>
          </cell>
          <cell r="T718">
            <v>37</v>
          </cell>
          <cell r="V718">
            <v>0</v>
          </cell>
          <cell r="W718">
            <v>0</v>
          </cell>
          <cell r="X718" t="str">
            <v>IST Mamou</v>
          </cell>
          <cell r="Y718" t="str">
            <v>P4</v>
          </cell>
          <cell r="Z718" t="str">
            <v xml:space="preserve"> Intérieur</v>
          </cell>
          <cell r="AA718" t="str">
            <v>Sub.expl. Fonct. (Entret.immob)</v>
          </cell>
          <cell r="AB718">
            <v>303560</v>
          </cell>
          <cell r="AC718">
            <v>303560</v>
          </cell>
        </row>
        <row r="719">
          <cell r="A719">
            <v>5436</v>
          </cell>
          <cell r="B719">
            <v>1</v>
          </cell>
          <cell r="C719">
            <v>1</v>
          </cell>
          <cell r="E719" t="str">
            <v>20</v>
          </cell>
          <cell r="F719">
            <v>11285300600</v>
          </cell>
          <cell r="G719">
            <v>4</v>
          </cell>
          <cell r="H719" t="str">
            <v>41</v>
          </cell>
          <cell r="I719">
            <v>40</v>
          </cell>
          <cell r="J719">
            <v>20</v>
          </cell>
          <cell r="K719">
            <v>1</v>
          </cell>
          <cell r="L719">
            <v>11</v>
          </cell>
          <cell r="M719">
            <v>285</v>
          </cell>
          <cell r="N719">
            <v>3</v>
          </cell>
          <cell r="O719" t="str">
            <v>00</v>
          </cell>
          <cell r="P719">
            <v>6</v>
          </cell>
          <cell r="Q719">
            <v>4</v>
          </cell>
          <cell r="R719">
            <v>4</v>
          </cell>
          <cell r="S719">
            <v>1</v>
          </cell>
          <cell r="T719">
            <v>40</v>
          </cell>
          <cell r="V719">
            <v>0</v>
          </cell>
          <cell r="W719">
            <v>0</v>
          </cell>
          <cell r="X719" t="str">
            <v>IST Mamou</v>
          </cell>
          <cell r="Y719" t="str">
            <v>P4</v>
          </cell>
          <cell r="Z719" t="str">
            <v xml:space="preserve"> Intérieur</v>
          </cell>
          <cell r="AA719" t="str">
            <v>Sub.expl.Transfert (Bourses)</v>
          </cell>
          <cell r="AB719">
            <v>939600</v>
          </cell>
          <cell r="AC719">
            <v>939600</v>
          </cell>
        </row>
        <row r="720">
          <cell r="A720">
            <v>5437</v>
          </cell>
          <cell r="B720">
            <v>1</v>
          </cell>
          <cell r="C720">
            <v>1</v>
          </cell>
          <cell r="E720" t="str">
            <v>20</v>
          </cell>
          <cell r="F720">
            <v>11285300600</v>
          </cell>
          <cell r="G720">
            <v>4</v>
          </cell>
          <cell r="H720" t="str">
            <v>41</v>
          </cell>
          <cell r="I720">
            <v>90</v>
          </cell>
          <cell r="J720">
            <v>20</v>
          </cell>
          <cell r="K720">
            <v>1</v>
          </cell>
          <cell r="L720">
            <v>11</v>
          </cell>
          <cell r="M720">
            <v>285</v>
          </cell>
          <cell r="N720">
            <v>3</v>
          </cell>
          <cell r="O720" t="str">
            <v>00</v>
          </cell>
          <cell r="P720">
            <v>6</v>
          </cell>
          <cell r="Q720">
            <v>4</v>
          </cell>
          <cell r="R720">
            <v>4</v>
          </cell>
          <cell r="S720">
            <v>1</v>
          </cell>
          <cell r="T720">
            <v>90</v>
          </cell>
          <cell r="V720">
            <v>0</v>
          </cell>
          <cell r="W720">
            <v>0</v>
          </cell>
          <cell r="X720" t="str">
            <v>IST Mamou</v>
          </cell>
          <cell r="Y720" t="str">
            <v>P4</v>
          </cell>
          <cell r="Z720" t="str">
            <v xml:space="preserve"> Intérieur</v>
          </cell>
          <cell r="AA720" t="str">
            <v>Sub.expl. NV (Recher.format.)</v>
          </cell>
          <cell r="AB720">
            <v>342230</v>
          </cell>
          <cell r="AC720">
            <v>342230</v>
          </cell>
        </row>
        <row r="721">
          <cell r="A721">
            <v>6139</v>
          </cell>
          <cell r="B721">
            <v>1</v>
          </cell>
          <cell r="J721">
            <v>20</v>
          </cell>
          <cell r="K721">
            <v>1</v>
          </cell>
          <cell r="L721">
            <v>11</v>
          </cell>
          <cell r="M721">
            <v>290</v>
          </cell>
          <cell r="N721">
            <v>3</v>
          </cell>
          <cell r="Q721">
            <v>4</v>
          </cell>
          <cell r="R721">
            <v>4</v>
          </cell>
          <cell r="S721">
            <v>1</v>
          </cell>
          <cell r="W721">
            <v>0</v>
          </cell>
          <cell r="X721" t="str">
            <v>Inst Med Vet Dalaba</v>
          </cell>
          <cell r="AB721">
            <v>2723640</v>
          </cell>
          <cell r="AC721">
            <v>2723640</v>
          </cell>
        </row>
        <row r="722">
          <cell r="A722">
            <v>5438</v>
          </cell>
          <cell r="B722">
            <v>1</v>
          </cell>
          <cell r="C722">
            <v>1</v>
          </cell>
          <cell r="E722" t="str">
            <v>20</v>
          </cell>
          <cell r="F722">
            <v>11290300600</v>
          </cell>
          <cell r="G722">
            <v>4</v>
          </cell>
          <cell r="H722" t="str">
            <v>41</v>
          </cell>
          <cell r="I722">
            <v>20</v>
          </cell>
          <cell r="J722">
            <v>20</v>
          </cell>
          <cell r="K722">
            <v>1</v>
          </cell>
          <cell r="L722">
            <v>11</v>
          </cell>
          <cell r="M722">
            <v>290</v>
          </cell>
          <cell r="N722">
            <v>3</v>
          </cell>
          <cell r="O722" t="str">
            <v>00</v>
          </cell>
          <cell r="P722">
            <v>6</v>
          </cell>
          <cell r="Q722">
            <v>4</v>
          </cell>
          <cell r="R722">
            <v>4</v>
          </cell>
          <cell r="S722">
            <v>1</v>
          </cell>
          <cell r="T722">
            <v>20</v>
          </cell>
          <cell r="V722">
            <v>0</v>
          </cell>
          <cell r="W722">
            <v>0</v>
          </cell>
          <cell r="X722" t="str">
            <v>Inst Med Vet Dalaba</v>
          </cell>
          <cell r="Y722" t="str">
            <v>P4</v>
          </cell>
          <cell r="Z722" t="str">
            <v xml:space="preserve"> Intérieur</v>
          </cell>
          <cell r="AA722" t="str">
            <v>Sub.expl. Frais de personnel</v>
          </cell>
          <cell r="AB722">
            <v>389940</v>
          </cell>
          <cell r="AC722">
            <v>389940</v>
          </cell>
        </row>
        <row r="723">
          <cell r="A723">
            <v>5439</v>
          </cell>
          <cell r="B723">
            <v>1</v>
          </cell>
          <cell r="C723">
            <v>1</v>
          </cell>
          <cell r="E723" t="str">
            <v>20</v>
          </cell>
          <cell r="F723">
            <v>11290300600</v>
          </cell>
          <cell r="G723">
            <v>4</v>
          </cell>
          <cell r="H723" t="str">
            <v>41</v>
          </cell>
          <cell r="I723">
            <v>31</v>
          </cell>
          <cell r="J723">
            <v>20</v>
          </cell>
          <cell r="K723">
            <v>1</v>
          </cell>
          <cell r="L723">
            <v>11</v>
          </cell>
          <cell r="M723">
            <v>290</v>
          </cell>
          <cell r="N723">
            <v>3</v>
          </cell>
          <cell r="O723" t="str">
            <v>00</v>
          </cell>
          <cell r="P723">
            <v>6</v>
          </cell>
          <cell r="Q723">
            <v>4</v>
          </cell>
          <cell r="R723">
            <v>4</v>
          </cell>
          <cell r="S723">
            <v>1</v>
          </cell>
          <cell r="T723">
            <v>31</v>
          </cell>
          <cell r="V723">
            <v>0</v>
          </cell>
          <cell r="W723">
            <v>0</v>
          </cell>
          <cell r="X723" t="str">
            <v>Inst Med Vet Dalaba</v>
          </cell>
          <cell r="Y723" t="str">
            <v>P4</v>
          </cell>
          <cell r="Z723" t="str">
            <v xml:space="preserve"> Intérieur</v>
          </cell>
          <cell r="AA723" t="str">
            <v>Sub.expl. Fonct. (Fournit.conso)</v>
          </cell>
          <cell r="AB723">
            <v>340410</v>
          </cell>
          <cell r="AC723">
            <v>340410</v>
          </cell>
        </row>
        <row r="724">
          <cell r="A724">
            <v>5440</v>
          </cell>
          <cell r="B724">
            <v>1</v>
          </cell>
          <cell r="C724">
            <v>1</v>
          </cell>
          <cell r="E724" t="str">
            <v>20</v>
          </cell>
          <cell r="F724">
            <v>11290300600</v>
          </cell>
          <cell r="G724">
            <v>4</v>
          </cell>
          <cell r="H724" t="str">
            <v>41</v>
          </cell>
          <cell r="I724">
            <v>34</v>
          </cell>
          <cell r="J724">
            <v>20</v>
          </cell>
          <cell r="K724">
            <v>1</v>
          </cell>
          <cell r="L724">
            <v>11</v>
          </cell>
          <cell r="M724">
            <v>290</v>
          </cell>
          <cell r="N724">
            <v>3</v>
          </cell>
          <cell r="O724" t="str">
            <v>00</v>
          </cell>
          <cell r="P724">
            <v>6</v>
          </cell>
          <cell r="Q724">
            <v>4</v>
          </cell>
          <cell r="R724">
            <v>4</v>
          </cell>
          <cell r="S724">
            <v>1</v>
          </cell>
          <cell r="T724">
            <v>34</v>
          </cell>
          <cell r="V724">
            <v>0</v>
          </cell>
          <cell r="W724">
            <v>0</v>
          </cell>
          <cell r="X724" t="str">
            <v>Inst Med Vet Dalaba</v>
          </cell>
          <cell r="Y724" t="str">
            <v>P4</v>
          </cell>
          <cell r="Z724" t="str">
            <v xml:space="preserve"> Intérieur</v>
          </cell>
          <cell r="AA724" t="str">
            <v>Sub.expl. Fonct. (Conso div)</v>
          </cell>
          <cell r="AB724">
            <v>321720</v>
          </cell>
          <cell r="AC724">
            <v>321720</v>
          </cell>
        </row>
        <row r="725">
          <cell r="A725">
            <v>5441</v>
          </cell>
          <cell r="B725">
            <v>1</v>
          </cell>
          <cell r="C725">
            <v>1</v>
          </cell>
          <cell r="E725" t="str">
            <v>20</v>
          </cell>
          <cell r="F725">
            <v>11290300600</v>
          </cell>
          <cell r="G725">
            <v>4</v>
          </cell>
          <cell r="H725" t="str">
            <v>41</v>
          </cell>
          <cell r="I725">
            <v>37</v>
          </cell>
          <cell r="J725">
            <v>20</v>
          </cell>
          <cell r="K725">
            <v>1</v>
          </cell>
          <cell r="L725">
            <v>11</v>
          </cell>
          <cell r="M725">
            <v>290</v>
          </cell>
          <cell r="N725">
            <v>3</v>
          </cell>
          <cell r="O725" t="str">
            <v>00</v>
          </cell>
          <cell r="P725">
            <v>6</v>
          </cell>
          <cell r="Q725">
            <v>4</v>
          </cell>
          <cell r="R725">
            <v>4</v>
          </cell>
          <cell r="S725">
            <v>1</v>
          </cell>
          <cell r="T725">
            <v>37</v>
          </cell>
          <cell r="V725">
            <v>0</v>
          </cell>
          <cell r="W725">
            <v>0</v>
          </cell>
          <cell r="X725" t="str">
            <v>Inst Med Vet Dalaba</v>
          </cell>
          <cell r="Y725" t="str">
            <v>P4</v>
          </cell>
          <cell r="Z725" t="str">
            <v xml:space="preserve"> Intérieur</v>
          </cell>
          <cell r="AA725" t="str">
            <v>Sub.expl. Fonct. (Entret.immob)</v>
          </cell>
          <cell r="AB725">
            <v>136280</v>
          </cell>
          <cell r="AC725">
            <v>136280</v>
          </cell>
        </row>
        <row r="726">
          <cell r="A726">
            <v>5442</v>
          </cell>
          <cell r="B726">
            <v>1</v>
          </cell>
          <cell r="C726">
            <v>1</v>
          </cell>
          <cell r="E726" t="str">
            <v>20</v>
          </cell>
          <cell r="F726">
            <v>11290300600</v>
          </cell>
          <cell r="G726">
            <v>4</v>
          </cell>
          <cell r="H726" t="str">
            <v>41</v>
          </cell>
          <cell r="I726">
            <v>40</v>
          </cell>
          <cell r="J726">
            <v>20</v>
          </cell>
          <cell r="K726">
            <v>1</v>
          </cell>
          <cell r="L726">
            <v>11</v>
          </cell>
          <cell r="M726">
            <v>290</v>
          </cell>
          <cell r="N726">
            <v>3</v>
          </cell>
          <cell r="O726" t="str">
            <v>00</v>
          </cell>
          <cell r="P726">
            <v>6</v>
          </cell>
          <cell r="Q726">
            <v>4</v>
          </cell>
          <cell r="R726">
            <v>4</v>
          </cell>
          <cell r="S726">
            <v>1</v>
          </cell>
          <cell r="T726">
            <v>40</v>
          </cell>
          <cell r="V726">
            <v>0</v>
          </cell>
          <cell r="W726">
            <v>0</v>
          </cell>
          <cell r="X726" t="str">
            <v>Inst Med Vet Dalaba</v>
          </cell>
          <cell r="Y726" t="str">
            <v>P4</v>
          </cell>
          <cell r="Z726" t="str">
            <v xml:space="preserve"> Intérieur</v>
          </cell>
          <cell r="AA726" t="str">
            <v>Sub.expl.Transfert (Bourses)</v>
          </cell>
          <cell r="AB726">
            <v>1373700</v>
          </cell>
          <cell r="AC726">
            <v>1373700</v>
          </cell>
        </row>
        <row r="727">
          <cell r="A727">
            <v>5443</v>
          </cell>
          <cell r="B727">
            <v>1</v>
          </cell>
          <cell r="C727">
            <v>1</v>
          </cell>
          <cell r="E727" t="str">
            <v>20</v>
          </cell>
          <cell r="F727">
            <v>11290300600</v>
          </cell>
          <cell r="G727">
            <v>4</v>
          </cell>
          <cell r="H727" t="str">
            <v>41</v>
          </cell>
          <cell r="I727">
            <v>90</v>
          </cell>
          <cell r="J727">
            <v>20</v>
          </cell>
          <cell r="K727">
            <v>1</v>
          </cell>
          <cell r="L727">
            <v>11</v>
          </cell>
          <cell r="M727">
            <v>290</v>
          </cell>
          <cell r="N727">
            <v>3</v>
          </cell>
          <cell r="O727" t="str">
            <v>00</v>
          </cell>
          <cell r="P727">
            <v>6</v>
          </cell>
          <cell r="Q727">
            <v>4</v>
          </cell>
          <cell r="R727">
            <v>4</v>
          </cell>
          <cell r="S727">
            <v>1</v>
          </cell>
          <cell r="T727">
            <v>90</v>
          </cell>
          <cell r="V727">
            <v>0</v>
          </cell>
          <cell r="W727">
            <v>0</v>
          </cell>
          <cell r="X727" t="str">
            <v>Inst Med Vet Dalaba</v>
          </cell>
          <cell r="Y727" t="str">
            <v>P4</v>
          </cell>
          <cell r="Z727" t="str">
            <v xml:space="preserve"> Intérieur</v>
          </cell>
          <cell r="AA727" t="str">
            <v>Sub.expl. NV (Recher.format.)</v>
          </cell>
          <cell r="AB727">
            <v>161590</v>
          </cell>
          <cell r="AC727">
            <v>161590</v>
          </cell>
        </row>
        <row r="728">
          <cell r="A728">
            <v>5457</v>
          </cell>
          <cell r="B728">
            <v>1</v>
          </cell>
          <cell r="C728">
            <v>1</v>
          </cell>
          <cell r="E728" t="str">
            <v>20</v>
          </cell>
          <cell r="F728">
            <v>11299300600</v>
          </cell>
          <cell r="G728">
            <v>4</v>
          </cell>
          <cell r="H728" t="str">
            <v>41</v>
          </cell>
          <cell r="I728">
            <v>40</v>
          </cell>
          <cell r="J728">
            <v>20</v>
          </cell>
          <cell r="K728">
            <v>1</v>
          </cell>
          <cell r="L728">
            <v>11</v>
          </cell>
          <cell r="M728">
            <v>299</v>
          </cell>
          <cell r="N728">
            <v>3</v>
          </cell>
          <cell r="O728" t="str">
            <v>00</v>
          </cell>
          <cell r="P728">
            <v>6</v>
          </cell>
          <cell r="Q728">
            <v>4</v>
          </cell>
          <cell r="R728">
            <v>4</v>
          </cell>
          <cell r="S728">
            <v>1</v>
          </cell>
          <cell r="T728">
            <v>40</v>
          </cell>
          <cell r="V728">
            <v>0</v>
          </cell>
          <cell r="X728" t="str">
            <v>Autres instituts</v>
          </cell>
          <cell r="Y728" t="str">
            <v>P4</v>
          </cell>
          <cell r="Z728" t="str">
            <v xml:space="preserve"> Intérieur</v>
          </cell>
          <cell r="AA728" t="str">
            <v>Sub.expl.Transfert (Bourses)</v>
          </cell>
          <cell r="AB728">
            <v>0</v>
          </cell>
          <cell r="AC728">
            <v>0</v>
          </cell>
        </row>
        <row r="729">
          <cell r="A729">
            <v>6148</v>
          </cell>
          <cell r="B729">
            <v>1</v>
          </cell>
          <cell r="J729">
            <v>20</v>
          </cell>
          <cell r="K729">
            <v>1</v>
          </cell>
          <cell r="L729">
            <v>11</v>
          </cell>
          <cell r="M729">
            <v>299</v>
          </cell>
          <cell r="N729">
            <v>2</v>
          </cell>
          <cell r="Q729">
            <v>4</v>
          </cell>
          <cell r="R729">
            <v>4</v>
          </cell>
          <cell r="S729">
            <v>2</v>
          </cell>
          <cell r="X729" t="str">
            <v>Autres instituts</v>
          </cell>
        </row>
        <row r="730">
          <cell r="A730">
            <v>5456</v>
          </cell>
          <cell r="B730">
            <v>1</v>
          </cell>
          <cell r="C730">
            <v>1</v>
          </cell>
          <cell r="E730" t="str">
            <v>20</v>
          </cell>
          <cell r="F730">
            <v>11299200600</v>
          </cell>
          <cell r="G730">
            <v>4</v>
          </cell>
          <cell r="H730" t="str">
            <v>42</v>
          </cell>
          <cell r="I730">
            <v>90</v>
          </cell>
          <cell r="J730">
            <v>20</v>
          </cell>
          <cell r="K730">
            <v>1</v>
          </cell>
          <cell r="L730">
            <v>11</v>
          </cell>
          <cell r="M730">
            <v>299</v>
          </cell>
          <cell r="N730">
            <v>2</v>
          </cell>
          <cell r="O730" t="str">
            <v>00</v>
          </cell>
          <cell r="P730">
            <v>6</v>
          </cell>
          <cell r="Q730">
            <v>4</v>
          </cell>
          <cell r="R730">
            <v>4</v>
          </cell>
          <cell r="S730">
            <v>2</v>
          </cell>
          <cell r="T730">
            <v>90</v>
          </cell>
          <cell r="V730">
            <v>0</v>
          </cell>
          <cell r="X730" t="str">
            <v>Autres instituts</v>
          </cell>
          <cell r="Y730" t="str">
            <v>P4</v>
          </cell>
          <cell r="Z730" t="str">
            <v xml:space="preserve"> Conakry</v>
          </cell>
          <cell r="AA730" t="str">
            <v>Sub.d'équilibre Non ventilé</v>
          </cell>
          <cell r="AB730">
            <v>0</v>
          </cell>
          <cell r="AC730">
            <v>0</v>
          </cell>
        </row>
        <row r="731">
          <cell r="A731">
            <v>6149</v>
          </cell>
          <cell r="B731">
            <v>1</v>
          </cell>
          <cell r="J731">
            <v>20</v>
          </cell>
          <cell r="K731">
            <v>1</v>
          </cell>
          <cell r="L731">
            <v>12</v>
          </cell>
          <cell r="M731">
            <v>311</v>
          </cell>
          <cell r="N731">
            <v>2</v>
          </cell>
          <cell r="Q731">
            <v>4</v>
          </cell>
          <cell r="R731">
            <v>4</v>
          </cell>
          <cell r="S731">
            <v>2</v>
          </cell>
          <cell r="W731">
            <v>0</v>
          </cell>
          <cell r="X731" t="str">
            <v>CERESCOR</v>
          </cell>
        </row>
        <row r="732">
          <cell r="A732">
            <v>5460</v>
          </cell>
          <cell r="B732">
            <v>1</v>
          </cell>
          <cell r="C732">
            <v>1</v>
          </cell>
          <cell r="E732" t="str">
            <v>20</v>
          </cell>
          <cell r="F732">
            <v>12311200600</v>
          </cell>
          <cell r="G732">
            <v>4</v>
          </cell>
          <cell r="H732" t="str">
            <v>42</v>
          </cell>
          <cell r="I732">
            <v>90</v>
          </cell>
          <cell r="J732">
            <v>20</v>
          </cell>
          <cell r="K732">
            <v>1</v>
          </cell>
          <cell r="L732">
            <v>12</v>
          </cell>
          <cell r="M732">
            <v>311</v>
          </cell>
          <cell r="N732">
            <v>2</v>
          </cell>
          <cell r="O732" t="str">
            <v>00</v>
          </cell>
          <cell r="P732">
            <v>6</v>
          </cell>
          <cell r="Q732">
            <v>4</v>
          </cell>
          <cell r="R732">
            <v>4</v>
          </cell>
          <cell r="S732">
            <v>2</v>
          </cell>
          <cell r="T732">
            <v>90</v>
          </cell>
          <cell r="V732">
            <v>0</v>
          </cell>
          <cell r="W732">
            <v>0</v>
          </cell>
          <cell r="X732" t="str">
            <v>CERESCOR</v>
          </cell>
          <cell r="Y732" t="str">
            <v>P4</v>
          </cell>
          <cell r="Z732" t="str">
            <v xml:space="preserve"> Conakry</v>
          </cell>
          <cell r="AA732" t="str">
            <v>Sub.d'équilibre Non ventilé</v>
          </cell>
          <cell r="AB732">
            <v>619380</v>
          </cell>
          <cell r="AC732">
            <v>619380</v>
          </cell>
        </row>
        <row r="733">
          <cell r="A733">
            <v>6150</v>
          </cell>
          <cell r="B733">
            <v>1</v>
          </cell>
          <cell r="J733">
            <v>20</v>
          </cell>
          <cell r="K733">
            <v>1</v>
          </cell>
          <cell r="L733">
            <v>12</v>
          </cell>
          <cell r="M733">
            <v>312</v>
          </cell>
          <cell r="N733">
            <v>2</v>
          </cell>
          <cell r="Q733">
            <v>4</v>
          </cell>
          <cell r="R733">
            <v>4</v>
          </cell>
          <cell r="S733">
            <v>2</v>
          </cell>
          <cell r="W733">
            <v>0</v>
          </cell>
          <cell r="X733" t="str">
            <v>I nstitut Pasteur ( ex IRBAG)</v>
          </cell>
        </row>
        <row r="734">
          <cell r="A734">
            <v>5461</v>
          </cell>
          <cell r="B734">
            <v>1</v>
          </cell>
          <cell r="C734">
            <v>1</v>
          </cell>
          <cell r="E734" t="str">
            <v>20</v>
          </cell>
          <cell r="F734">
            <v>12312200600</v>
          </cell>
          <cell r="G734">
            <v>4</v>
          </cell>
          <cell r="H734" t="str">
            <v>42</v>
          </cell>
          <cell r="I734">
            <v>90</v>
          </cell>
          <cell r="J734">
            <v>20</v>
          </cell>
          <cell r="K734">
            <v>1</v>
          </cell>
          <cell r="L734">
            <v>12</v>
          </cell>
          <cell r="M734">
            <v>312</v>
          </cell>
          <cell r="N734">
            <v>2</v>
          </cell>
          <cell r="O734" t="str">
            <v>00</v>
          </cell>
          <cell r="P734">
            <v>6</v>
          </cell>
          <cell r="Q734">
            <v>4</v>
          </cell>
          <cell r="R734">
            <v>4</v>
          </cell>
          <cell r="S734">
            <v>2</v>
          </cell>
          <cell r="T734">
            <v>90</v>
          </cell>
          <cell r="V734">
            <v>0</v>
          </cell>
          <cell r="W734">
            <v>0</v>
          </cell>
          <cell r="X734" t="str">
            <v>Ins.Pasteur (exIRBAG)</v>
          </cell>
          <cell r="Y734" t="str">
            <v>P4</v>
          </cell>
          <cell r="Z734" t="str">
            <v xml:space="preserve"> Conakry</v>
          </cell>
          <cell r="AA734" t="str">
            <v>Sub.d'équilibre Non ventilé</v>
          </cell>
          <cell r="AB734">
            <v>920000</v>
          </cell>
          <cell r="AC734">
            <v>920000</v>
          </cell>
        </row>
        <row r="735">
          <cell r="A735">
            <v>6153</v>
          </cell>
          <cell r="B735">
            <v>1</v>
          </cell>
          <cell r="J735">
            <v>20</v>
          </cell>
          <cell r="K735">
            <v>1</v>
          </cell>
          <cell r="L735">
            <v>12</v>
          </cell>
          <cell r="M735">
            <v>315</v>
          </cell>
          <cell r="N735">
            <v>2</v>
          </cell>
          <cell r="Q735">
            <v>4</v>
          </cell>
          <cell r="R735">
            <v>4</v>
          </cell>
          <cell r="S735">
            <v>2</v>
          </cell>
          <cell r="W735">
            <v>0</v>
          </cell>
          <cell r="X735" t="str">
            <v>CENDID</v>
          </cell>
        </row>
        <row r="736">
          <cell r="A736">
            <v>5464</v>
          </cell>
          <cell r="B736">
            <v>1</v>
          </cell>
          <cell r="C736">
            <v>1</v>
          </cell>
          <cell r="E736" t="str">
            <v>20</v>
          </cell>
          <cell r="F736">
            <v>12315200600</v>
          </cell>
          <cell r="G736">
            <v>4</v>
          </cell>
          <cell r="H736" t="str">
            <v>42</v>
          </cell>
          <cell r="I736">
            <v>90</v>
          </cell>
          <cell r="J736">
            <v>20</v>
          </cell>
          <cell r="K736">
            <v>1</v>
          </cell>
          <cell r="L736">
            <v>12</v>
          </cell>
          <cell r="M736">
            <v>315</v>
          </cell>
          <cell r="N736">
            <v>2</v>
          </cell>
          <cell r="O736" t="str">
            <v>00</v>
          </cell>
          <cell r="P736">
            <v>6</v>
          </cell>
          <cell r="Q736">
            <v>4</v>
          </cell>
          <cell r="R736">
            <v>4</v>
          </cell>
          <cell r="S736">
            <v>2</v>
          </cell>
          <cell r="T736">
            <v>90</v>
          </cell>
          <cell r="V736">
            <v>0</v>
          </cell>
          <cell r="W736">
            <v>0</v>
          </cell>
          <cell r="X736" t="str">
            <v>CENDID</v>
          </cell>
          <cell r="Y736" t="str">
            <v>P4</v>
          </cell>
          <cell r="Z736" t="str">
            <v xml:space="preserve"> Conakry</v>
          </cell>
          <cell r="AA736" t="str">
            <v>Sub.d'équilibre Non ventilé</v>
          </cell>
          <cell r="AB736">
            <v>420000</v>
          </cell>
          <cell r="AC736">
            <v>420000</v>
          </cell>
        </row>
        <row r="737">
          <cell r="A737">
            <v>6154</v>
          </cell>
          <cell r="B737">
            <v>1</v>
          </cell>
          <cell r="J737">
            <v>20</v>
          </cell>
          <cell r="K737">
            <v>1</v>
          </cell>
          <cell r="L737">
            <v>12</v>
          </cell>
          <cell r="M737">
            <v>316</v>
          </cell>
          <cell r="N737">
            <v>2</v>
          </cell>
          <cell r="Q737">
            <v>4</v>
          </cell>
          <cell r="R737">
            <v>4</v>
          </cell>
          <cell r="S737">
            <v>2</v>
          </cell>
          <cell r="W737">
            <v>0</v>
          </cell>
          <cell r="X737" t="str">
            <v>CEDUST</v>
          </cell>
        </row>
        <row r="738">
          <cell r="A738">
            <v>5465</v>
          </cell>
          <cell r="B738">
            <v>1</v>
          </cell>
          <cell r="C738">
            <v>1</v>
          </cell>
          <cell r="E738" t="str">
            <v>20</v>
          </cell>
          <cell r="F738">
            <v>12316200600</v>
          </cell>
          <cell r="G738">
            <v>4</v>
          </cell>
          <cell r="H738" t="str">
            <v>42</v>
          </cell>
          <cell r="I738">
            <v>90</v>
          </cell>
          <cell r="J738">
            <v>20</v>
          </cell>
          <cell r="K738">
            <v>1</v>
          </cell>
          <cell r="L738">
            <v>12</v>
          </cell>
          <cell r="M738">
            <v>316</v>
          </cell>
          <cell r="N738">
            <v>2</v>
          </cell>
          <cell r="O738" t="str">
            <v>00</v>
          </cell>
          <cell r="P738">
            <v>6</v>
          </cell>
          <cell r="Q738">
            <v>4</v>
          </cell>
          <cell r="R738">
            <v>4</v>
          </cell>
          <cell r="S738">
            <v>2</v>
          </cell>
          <cell r="T738">
            <v>90</v>
          </cell>
          <cell r="V738">
            <v>0</v>
          </cell>
          <cell r="W738">
            <v>0</v>
          </cell>
          <cell r="X738" t="str">
            <v>CEDUST</v>
          </cell>
          <cell r="Y738" t="str">
            <v>P4</v>
          </cell>
          <cell r="Z738" t="str">
            <v xml:space="preserve"> Conakry</v>
          </cell>
          <cell r="AA738" t="str">
            <v>Sub.d'équilibre Non ventilé</v>
          </cell>
          <cell r="AB738">
            <v>408000</v>
          </cell>
          <cell r="AC738">
            <v>408000</v>
          </cell>
        </row>
        <row r="739">
          <cell r="A739">
            <v>6156</v>
          </cell>
          <cell r="B739">
            <v>1</v>
          </cell>
          <cell r="J739">
            <v>20</v>
          </cell>
          <cell r="K739">
            <v>1</v>
          </cell>
          <cell r="L739">
            <v>12</v>
          </cell>
          <cell r="M739">
            <v>318</v>
          </cell>
          <cell r="N739">
            <v>2</v>
          </cell>
          <cell r="Q739">
            <v>4</v>
          </cell>
          <cell r="R739">
            <v>4</v>
          </cell>
          <cell r="S739">
            <v>2</v>
          </cell>
          <cell r="W739">
            <v>0</v>
          </cell>
          <cell r="X739" t="str">
            <v>IRLA Inst.recherche linguistique appliqué</v>
          </cell>
        </row>
        <row r="740">
          <cell r="A740">
            <v>5467</v>
          </cell>
          <cell r="B740">
            <v>1</v>
          </cell>
          <cell r="C740">
            <v>1</v>
          </cell>
          <cell r="E740" t="str">
            <v>20</v>
          </cell>
          <cell r="F740">
            <v>12318200600</v>
          </cell>
          <cell r="G740">
            <v>4</v>
          </cell>
          <cell r="H740" t="str">
            <v>42</v>
          </cell>
          <cell r="I740">
            <v>90</v>
          </cell>
          <cell r="J740">
            <v>20</v>
          </cell>
          <cell r="K740">
            <v>1</v>
          </cell>
          <cell r="L740">
            <v>12</v>
          </cell>
          <cell r="M740">
            <v>318</v>
          </cell>
          <cell r="N740">
            <v>2</v>
          </cell>
          <cell r="O740" t="str">
            <v>00</v>
          </cell>
          <cell r="P740">
            <v>6</v>
          </cell>
          <cell r="Q740">
            <v>4</v>
          </cell>
          <cell r="R740">
            <v>4</v>
          </cell>
          <cell r="S740">
            <v>2</v>
          </cell>
          <cell r="T740">
            <v>90</v>
          </cell>
          <cell r="V740">
            <v>0</v>
          </cell>
          <cell r="W740">
            <v>0</v>
          </cell>
          <cell r="X740" t="str">
            <v>IRLA Inst.recherche linguistique appliqué</v>
          </cell>
          <cell r="Y740" t="str">
            <v>P4</v>
          </cell>
          <cell r="Z740" t="str">
            <v xml:space="preserve"> Conakry</v>
          </cell>
          <cell r="AA740" t="str">
            <v>Sub.d'équilibre Non ventilé</v>
          </cell>
          <cell r="AB740">
            <v>120000</v>
          </cell>
          <cell r="AC740">
            <v>120000</v>
          </cell>
        </row>
        <row r="741">
          <cell r="A741">
            <v>6158</v>
          </cell>
          <cell r="B741">
            <v>1</v>
          </cell>
          <cell r="J741">
            <v>20</v>
          </cell>
          <cell r="K741">
            <v>1</v>
          </cell>
          <cell r="L741">
            <v>12</v>
          </cell>
          <cell r="M741">
            <v>321</v>
          </cell>
          <cell r="N741">
            <v>2</v>
          </cell>
          <cell r="Q741">
            <v>4</v>
          </cell>
          <cell r="R741">
            <v>4</v>
          </cell>
          <cell r="S741">
            <v>2</v>
          </cell>
          <cell r="W741">
            <v>0</v>
          </cell>
          <cell r="X741" t="str">
            <v>LACONA</v>
          </cell>
        </row>
        <row r="742">
          <cell r="A742">
            <v>5469</v>
          </cell>
          <cell r="B742">
            <v>1</v>
          </cell>
          <cell r="C742">
            <v>1</v>
          </cell>
          <cell r="E742" t="str">
            <v>20</v>
          </cell>
          <cell r="F742">
            <v>12321200600</v>
          </cell>
          <cell r="G742">
            <v>4</v>
          </cell>
          <cell r="H742" t="str">
            <v>42</v>
          </cell>
          <cell r="I742">
            <v>90</v>
          </cell>
          <cell r="J742">
            <v>20</v>
          </cell>
          <cell r="K742">
            <v>1</v>
          </cell>
          <cell r="L742">
            <v>12</v>
          </cell>
          <cell r="M742">
            <v>321</v>
          </cell>
          <cell r="N742">
            <v>2</v>
          </cell>
          <cell r="O742" t="str">
            <v>00</v>
          </cell>
          <cell r="P742">
            <v>6</v>
          </cell>
          <cell r="Q742">
            <v>4</v>
          </cell>
          <cell r="R742">
            <v>4</v>
          </cell>
          <cell r="S742">
            <v>2</v>
          </cell>
          <cell r="T742">
            <v>90</v>
          </cell>
          <cell r="V742">
            <v>0</v>
          </cell>
          <cell r="W742">
            <v>0</v>
          </cell>
          <cell r="X742" t="str">
            <v>LACONA</v>
          </cell>
          <cell r="Y742" t="str">
            <v>P4</v>
          </cell>
          <cell r="Z742" t="str">
            <v xml:space="preserve"> Conakry</v>
          </cell>
          <cell r="AA742" t="str">
            <v>Sub.d'équilibre Non ventilé</v>
          </cell>
          <cell r="AB742">
            <v>132000</v>
          </cell>
          <cell r="AC742">
            <v>132000</v>
          </cell>
        </row>
        <row r="743">
          <cell r="A743">
            <v>6159</v>
          </cell>
          <cell r="B743">
            <v>1</v>
          </cell>
          <cell r="J743">
            <v>20</v>
          </cell>
          <cell r="K743">
            <v>1</v>
          </cell>
          <cell r="L743">
            <v>12</v>
          </cell>
          <cell r="M743">
            <v>322</v>
          </cell>
          <cell r="N743">
            <v>2</v>
          </cell>
          <cell r="Q743">
            <v>4</v>
          </cell>
          <cell r="R743">
            <v>4</v>
          </cell>
          <cell r="S743">
            <v>2</v>
          </cell>
          <cell r="W743">
            <v>0</v>
          </cell>
          <cell r="X743" t="str">
            <v>PERTEGUI</v>
          </cell>
        </row>
        <row r="744">
          <cell r="A744">
            <v>5470</v>
          </cell>
          <cell r="B744">
            <v>1</v>
          </cell>
          <cell r="C744">
            <v>1</v>
          </cell>
          <cell r="E744" t="str">
            <v>20</v>
          </cell>
          <cell r="F744">
            <v>12322200600</v>
          </cell>
          <cell r="G744">
            <v>4</v>
          </cell>
          <cell r="H744" t="str">
            <v>42</v>
          </cell>
          <cell r="I744">
            <v>90</v>
          </cell>
          <cell r="J744">
            <v>20</v>
          </cell>
          <cell r="K744">
            <v>1</v>
          </cell>
          <cell r="L744">
            <v>12</v>
          </cell>
          <cell r="M744">
            <v>322</v>
          </cell>
          <cell r="N744">
            <v>2</v>
          </cell>
          <cell r="O744" t="str">
            <v>00</v>
          </cell>
          <cell r="P744">
            <v>6</v>
          </cell>
          <cell r="Q744">
            <v>4</v>
          </cell>
          <cell r="R744">
            <v>4</v>
          </cell>
          <cell r="S744">
            <v>2</v>
          </cell>
          <cell r="T744">
            <v>90</v>
          </cell>
          <cell r="V744">
            <v>0</v>
          </cell>
          <cell r="W744">
            <v>0</v>
          </cell>
          <cell r="X744" t="str">
            <v>PERTEGUI</v>
          </cell>
          <cell r="Y744" t="str">
            <v>P4</v>
          </cell>
          <cell r="Z744" t="str">
            <v xml:space="preserve"> Conakry</v>
          </cell>
          <cell r="AA744" t="str">
            <v>Sub.d'équilibre Non ventilé</v>
          </cell>
          <cell r="AB744">
            <v>84000</v>
          </cell>
          <cell r="AC744">
            <v>84000</v>
          </cell>
        </row>
        <row r="745">
          <cell r="A745">
            <v>6160</v>
          </cell>
          <cell r="B745">
            <v>1</v>
          </cell>
          <cell r="J745">
            <v>20</v>
          </cell>
          <cell r="K745">
            <v>1</v>
          </cell>
          <cell r="L745">
            <v>12</v>
          </cell>
          <cell r="M745">
            <v>323</v>
          </cell>
          <cell r="N745">
            <v>2</v>
          </cell>
          <cell r="Q745">
            <v>4</v>
          </cell>
          <cell r="R745">
            <v>4</v>
          </cell>
          <cell r="S745">
            <v>2</v>
          </cell>
          <cell r="W745">
            <v>0</v>
          </cell>
          <cell r="X745" t="str">
            <v>CERPA</v>
          </cell>
        </row>
        <row r="746">
          <cell r="A746">
            <v>5471</v>
          </cell>
          <cell r="B746">
            <v>1</v>
          </cell>
          <cell r="C746">
            <v>1</v>
          </cell>
          <cell r="E746" t="str">
            <v>20</v>
          </cell>
          <cell r="F746">
            <v>12323200600</v>
          </cell>
          <cell r="G746">
            <v>4</v>
          </cell>
          <cell r="H746" t="str">
            <v>42</v>
          </cell>
          <cell r="I746">
            <v>90</v>
          </cell>
          <cell r="J746">
            <v>20</v>
          </cell>
          <cell r="K746">
            <v>1</v>
          </cell>
          <cell r="L746">
            <v>12</v>
          </cell>
          <cell r="M746">
            <v>323</v>
          </cell>
          <cell r="N746">
            <v>2</v>
          </cell>
          <cell r="O746" t="str">
            <v>00</v>
          </cell>
          <cell r="P746">
            <v>6</v>
          </cell>
          <cell r="Q746">
            <v>4</v>
          </cell>
          <cell r="R746">
            <v>4</v>
          </cell>
          <cell r="S746">
            <v>2</v>
          </cell>
          <cell r="T746">
            <v>90</v>
          </cell>
          <cell r="V746">
            <v>0</v>
          </cell>
          <cell r="W746">
            <v>0</v>
          </cell>
          <cell r="X746" t="str">
            <v>CERPA</v>
          </cell>
          <cell r="Y746" t="str">
            <v>P4</v>
          </cell>
          <cell r="Z746" t="str">
            <v xml:space="preserve"> Conakry</v>
          </cell>
          <cell r="AA746" t="str">
            <v>Sub.d'équilibre Non ventilé</v>
          </cell>
          <cell r="AB746">
            <v>96000</v>
          </cell>
          <cell r="AC746">
            <v>96000</v>
          </cell>
        </row>
        <row r="747">
          <cell r="A747">
            <v>6167</v>
          </cell>
          <cell r="B747">
            <v>1</v>
          </cell>
          <cell r="J747">
            <v>20</v>
          </cell>
          <cell r="K747">
            <v>1</v>
          </cell>
          <cell r="L747">
            <v>12</v>
          </cell>
          <cell r="M747">
            <v>330</v>
          </cell>
          <cell r="N747">
            <v>2</v>
          </cell>
          <cell r="Q747">
            <v>4</v>
          </cell>
          <cell r="R747">
            <v>4</v>
          </cell>
          <cell r="S747">
            <v>2</v>
          </cell>
          <cell r="W747">
            <v>0</v>
          </cell>
          <cell r="X747" t="str">
            <v xml:space="preserve">Serv Nl Prog MAB </v>
          </cell>
        </row>
        <row r="748">
          <cell r="A748">
            <v>5478</v>
          </cell>
          <cell r="B748">
            <v>1</v>
          </cell>
          <cell r="C748">
            <v>1</v>
          </cell>
          <cell r="E748" t="str">
            <v>20</v>
          </cell>
          <cell r="F748">
            <v>12330200600</v>
          </cell>
          <cell r="G748">
            <v>4</v>
          </cell>
          <cell r="H748" t="str">
            <v>42</v>
          </cell>
          <cell r="I748">
            <v>90</v>
          </cell>
          <cell r="J748">
            <v>20</v>
          </cell>
          <cell r="K748">
            <v>1</v>
          </cell>
          <cell r="L748">
            <v>12</v>
          </cell>
          <cell r="M748">
            <v>330</v>
          </cell>
          <cell r="N748">
            <v>2</v>
          </cell>
          <cell r="O748" t="str">
            <v>00</v>
          </cell>
          <cell r="P748">
            <v>6</v>
          </cell>
          <cell r="Q748">
            <v>4</v>
          </cell>
          <cell r="R748">
            <v>4</v>
          </cell>
          <cell r="S748">
            <v>2</v>
          </cell>
          <cell r="T748">
            <v>90</v>
          </cell>
          <cell r="V748">
            <v>0</v>
          </cell>
          <cell r="W748">
            <v>0</v>
          </cell>
          <cell r="X748" t="str">
            <v xml:space="preserve">Serv Nl Prog MAB </v>
          </cell>
          <cell r="Y748" t="str">
            <v>P4</v>
          </cell>
          <cell r="Z748" t="str">
            <v xml:space="preserve"> Conakry</v>
          </cell>
          <cell r="AA748" t="str">
            <v>Sub.d'équilibre Non ventilé</v>
          </cell>
          <cell r="AB748">
            <v>72000</v>
          </cell>
          <cell r="AC748">
            <v>72000</v>
          </cell>
        </row>
        <row r="749">
          <cell r="A749">
            <v>6168</v>
          </cell>
          <cell r="B749">
            <v>1</v>
          </cell>
          <cell r="J749">
            <v>20</v>
          </cell>
          <cell r="K749">
            <v>1</v>
          </cell>
          <cell r="L749">
            <v>12</v>
          </cell>
          <cell r="M749">
            <v>331</v>
          </cell>
          <cell r="N749">
            <v>2</v>
          </cell>
          <cell r="Q749">
            <v>4</v>
          </cell>
          <cell r="R749">
            <v>4</v>
          </cell>
          <cell r="S749">
            <v>2</v>
          </cell>
          <cell r="W749">
            <v>0</v>
          </cell>
          <cell r="X749" t="str">
            <v>Projet Rech Dechets compostés</v>
          </cell>
        </row>
        <row r="750">
          <cell r="A750">
            <v>5479</v>
          </cell>
          <cell r="B750">
            <v>1</v>
          </cell>
          <cell r="C750">
            <v>1</v>
          </cell>
          <cell r="E750" t="str">
            <v>20</v>
          </cell>
          <cell r="F750">
            <v>12331200600</v>
          </cell>
          <cell r="G750">
            <v>4</v>
          </cell>
          <cell r="H750" t="str">
            <v>42</v>
          </cell>
          <cell r="I750">
            <v>90</v>
          </cell>
          <cell r="J750">
            <v>20</v>
          </cell>
          <cell r="K750">
            <v>1</v>
          </cell>
          <cell r="L750">
            <v>12</v>
          </cell>
          <cell r="M750">
            <v>331</v>
          </cell>
          <cell r="N750">
            <v>2</v>
          </cell>
          <cell r="O750" t="str">
            <v>00</v>
          </cell>
          <cell r="P750">
            <v>6</v>
          </cell>
          <cell r="Q750">
            <v>4</v>
          </cell>
          <cell r="R750">
            <v>4</v>
          </cell>
          <cell r="S750">
            <v>2</v>
          </cell>
          <cell r="T750">
            <v>90</v>
          </cell>
          <cell r="V750">
            <v>0</v>
          </cell>
          <cell r="W750">
            <v>0</v>
          </cell>
          <cell r="X750" t="str">
            <v>Projet Rech Dechets compostés</v>
          </cell>
          <cell r="Y750" t="str">
            <v>P4</v>
          </cell>
          <cell r="Z750" t="str">
            <v xml:space="preserve"> Conakry</v>
          </cell>
          <cell r="AA750" t="str">
            <v>Sub.d'équilibre Non ventilé</v>
          </cell>
          <cell r="AB750">
            <v>84000</v>
          </cell>
          <cell r="AC750">
            <v>84000</v>
          </cell>
        </row>
        <row r="751">
          <cell r="A751">
            <v>6169</v>
          </cell>
          <cell r="B751">
            <v>1</v>
          </cell>
          <cell r="J751">
            <v>20</v>
          </cell>
          <cell r="K751">
            <v>1</v>
          </cell>
          <cell r="L751">
            <v>12</v>
          </cell>
          <cell r="M751">
            <v>332</v>
          </cell>
          <cell r="N751">
            <v>2</v>
          </cell>
          <cell r="Q751">
            <v>4</v>
          </cell>
          <cell r="R751">
            <v>4</v>
          </cell>
          <cell r="S751">
            <v>2</v>
          </cell>
          <cell r="X751" t="str">
            <v>Biblio Univers Centrale</v>
          </cell>
        </row>
        <row r="752">
          <cell r="A752">
            <v>5480</v>
          </cell>
          <cell r="B752">
            <v>1</v>
          </cell>
          <cell r="C752">
            <v>1</v>
          </cell>
          <cell r="E752" t="str">
            <v>20</v>
          </cell>
          <cell r="F752">
            <v>12332200600</v>
          </cell>
          <cell r="G752">
            <v>4</v>
          </cell>
          <cell r="H752" t="str">
            <v>42</v>
          </cell>
          <cell r="I752">
            <v>90</v>
          </cell>
          <cell r="J752">
            <v>20</v>
          </cell>
          <cell r="K752">
            <v>1</v>
          </cell>
          <cell r="L752">
            <v>12</v>
          </cell>
          <cell r="M752">
            <v>332</v>
          </cell>
          <cell r="N752">
            <v>2</v>
          </cell>
          <cell r="O752" t="str">
            <v>00</v>
          </cell>
          <cell r="P752">
            <v>6</v>
          </cell>
          <cell r="Q752">
            <v>4</v>
          </cell>
          <cell r="R752">
            <v>4</v>
          </cell>
          <cell r="S752">
            <v>2</v>
          </cell>
          <cell r="T752">
            <v>90</v>
          </cell>
          <cell r="V752">
            <v>0</v>
          </cell>
          <cell r="X752" t="str">
            <v>Biblio Univers Centrale</v>
          </cell>
          <cell r="Y752" t="str">
            <v>P4</v>
          </cell>
          <cell r="Z752" t="str">
            <v xml:space="preserve"> Conakry</v>
          </cell>
          <cell r="AA752" t="str">
            <v>Sub.d'équilibre Non ventilé</v>
          </cell>
          <cell r="AB752">
            <v>270000</v>
          </cell>
          <cell r="AC752">
            <v>270000</v>
          </cell>
        </row>
        <row r="753">
          <cell r="A753">
            <v>6170</v>
          </cell>
          <cell r="B753">
            <v>1</v>
          </cell>
          <cell r="J753">
            <v>20</v>
          </cell>
          <cell r="K753">
            <v>1</v>
          </cell>
          <cell r="L753">
            <v>12</v>
          </cell>
          <cell r="M753">
            <v>333</v>
          </cell>
          <cell r="N753">
            <v>2</v>
          </cell>
          <cell r="Q753">
            <v>4</v>
          </cell>
          <cell r="R753">
            <v>4</v>
          </cell>
          <cell r="S753">
            <v>2</v>
          </cell>
          <cell r="X753" t="str">
            <v>Reseau Internet Univ &amp; Scient</v>
          </cell>
        </row>
        <row r="754">
          <cell r="A754">
            <v>5481</v>
          </cell>
          <cell r="B754">
            <v>1</v>
          </cell>
          <cell r="C754">
            <v>1</v>
          </cell>
          <cell r="E754" t="str">
            <v>20</v>
          </cell>
          <cell r="F754">
            <v>12333200600</v>
          </cell>
          <cell r="G754">
            <v>4</v>
          </cell>
          <cell r="H754" t="str">
            <v>42</v>
          </cell>
          <cell r="I754">
            <v>90</v>
          </cell>
          <cell r="J754">
            <v>20</v>
          </cell>
          <cell r="K754">
            <v>1</v>
          </cell>
          <cell r="L754">
            <v>12</v>
          </cell>
          <cell r="M754">
            <v>333</v>
          </cell>
          <cell r="N754">
            <v>2</v>
          </cell>
          <cell r="O754" t="str">
            <v>00</v>
          </cell>
          <cell r="P754">
            <v>6</v>
          </cell>
          <cell r="Q754">
            <v>4</v>
          </cell>
          <cell r="R754">
            <v>4</v>
          </cell>
          <cell r="S754">
            <v>2</v>
          </cell>
          <cell r="T754">
            <v>90</v>
          </cell>
          <cell r="V754">
            <v>0</v>
          </cell>
          <cell r="X754" t="str">
            <v>Reseau Internet Univ &amp; Scient</v>
          </cell>
          <cell r="Y754" t="str">
            <v>P4</v>
          </cell>
          <cell r="Z754" t="str">
            <v xml:space="preserve"> Conakry</v>
          </cell>
          <cell r="AA754" t="str">
            <v>Sub.d'équilibre Non ventilé</v>
          </cell>
          <cell r="AB754">
            <v>240000</v>
          </cell>
          <cell r="AC754">
            <v>240000</v>
          </cell>
        </row>
        <row r="755">
          <cell r="A755">
            <v>6077</v>
          </cell>
          <cell r="B755">
            <v>1</v>
          </cell>
          <cell r="J755">
            <v>20</v>
          </cell>
          <cell r="K755">
            <v>1</v>
          </cell>
          <cell r="L755">
            <v>24</v>
          </cell>
          <cell r="M755">
            <v>250</v>
          </cell>
          <cell r="N755">
            <v>2</v>
          </cell>
          <cell r="Q755">
            <v>4</v>
          </cell>
          <cell r="R755">
            <v>4</v>
          </cell>
          <cell r="S755">
            <v>2</v>
          </cell>
          <cell r="W755">
            <v>0</v>
          </cell>
          <cell r="X755" t="str">
            <v>CNPG Centre nat. Perfection. à la gestion</v>
          </cell>
        </row>
        <row r="756">
          <cell r="A756">
            <v>5484</v>
          </cell>
          <cell r="B756">
            <v>1</v>
          </cell>
          <cell r="C756">
            <v>1</v>
          </cell>
          <cell r="E756" t="str">
            <v>20</v>
          </cell>
          <cell r="F756">
            <v>24250200600</v>
          </cell>
          <cell r="G756">
            <v>4</v>
          </cell>
          <cell r="H756" t="str">
            <v>42</v>
          </cell>
          <cell r="I756">
            <v>90</v>
          </cell>
          <cell r="J756">
            <v>20</v>
          </cell>
          <cell r="K756">
            <v>1</v>
          </cell>
          <cell r="L756">
            <v>24</v>
          </cell>
          <cell r="M756">
            <v>250</v>
          </cell>
          <cell r="N756">
            <v>2</v>
          </cell>
          <cell r="O756" t="str">
            <v>00</v>
          </cell>
          <cell r="P756">
            <v>6</v>
          </cell>
          <cell r="Q756">
            <v>4</v>
          </cell>
          <cell r="R756">
            <v>4</v>
          </cell>
          <cell r="S756">
            <v>2</v>
          </cell>
          <cell r="T756">
            <v>90</v>
          </cell>
          <cell r="V756">
            <v>1</v>
          </cell>
          <cell r="W756">
            <v>0</v>
          </cell>
          <cell r="X756" t="str">
            <v>CNPG Centre nat. Perfection. à la gestion</v>
          </cell>
          <cell r="Y756" t="str">
            <v>P4</v>
          </cell>
          <cell r="Z756" t="str">
            <v xml:space="preserve"> Conakry</v>
          </cell>
          <cell r="AA756" t="str">
            <v>Sub.d'équilibre Non ventilé</v>
          </cell>
          <cell r="AB756">
            <v>168760</v>
          </cell>
          <cell r="AC756">
            <v>168760</v>
          </cell>
        </row>
        <row r="757">
          <cell r="A757">
            <v>6151</v>
          </cell>
          <cell r="B757">
            <v>1</v>
          </cell>
          <cell r="J757">
            <v>20</v>
          </cell>
          <cell r="K757">
            <v>1</v>
          </cell>
          <cell r="L757">
            <v>12</v>
          </cell>
          <cell r="M757">
            <v>313</v>
          </cell>
          <cell r="N757">
            <v>3</v>
          </cell>
          <cell r="Q757">
            <v>4</v>
          </cell>
          <cell r="R757">
            <v>4</v>
          </cell>
          <cell r="S757">
            <v>2</v>
          </cell>
          <cell r="W757">
            <v>0</v>
          </cell>
          <cell r="X757" t="str">
            <v>IREB Boussou</v>
          </cell>
        </row>
        <row r="758">
          <cell r="A758">
            <v>5462</v>
          </cell>
          <cell r="B758">
            <v>1</v>
          </cell>
          <cell r="C758">
            <v>1</v>
          </cell>
          <cell r="E758" t="str">
            <v>20</v>
          </cell>
          <cell r="F758">
            <v>12313300600</v>
          </cell>
          <cell r="G758">
            <v>4</v>
          </cell>
          <cell r="H758" t="str">
            <v>42</v>
          </cell>
          <cell r="I758">
            <v>90</v>
          </cell>
          <cell r="J758">
            <v>20</v>
          </cell>
          <cell r="K758">
            <v>1</v>
          </cell>
          <cell r="L758">
            <v>12</v>
          </cell>
          <cell r="M758">
            <v>313</v>
          </cell>
          <cell r="N758">
            <v>3</v>
          </cell>
          <cell r="O758" t="str">
            <v>00</v>
          </cell>
          <cell r="P758">
            <v>6</v>
          </cell>
          <cell r="Q758">
            <v>4</v>
          </cell>
          <cell r="R758">
            <v>4</v>
          </cell>
          <cell r="S758">
            <v>2</v>
          </cell>
          <cell r="T758">
            <v>90</v>
          </cell>
          <cell r="V758">
            <v>0</v>
          </cell>
          <cell r="W758">
            <v>0</v>
          </cell>
          <cell r="X758" t="str">
            <v>IREB Boussou</v>
          </cell>
          <cell r="Y758" t="str">
            <v>P4</v>
          </cell>
          <cell r="Z758" t="str">
            <v xml:space="preserve"> Intérieur</v>
          </cell>
          <cell r="AA758" t="str">
            <v>Sub.d'équilibre Non ventilé</v>
          </cell>
          <cell r="AB758">
            <v>132000</v>
          </cell>
          <cell r="AC758">
            <v>132000</v>
          </cell>
        </row>
        <row r="759">
          <cell r="A759">
            <v>6152</v>
          </cell>
          <cell r="B759">
            <v>1</v>
          </cell>
          <cell r="J759">
            <v>20</v>
          </cell>
          <cell r="K759">
            <v>1</v>
          </cell>
          <cell r="L759">
            <v>12</v>
          </cell>
          <cell r="M759">
            <v>314</v>
          </cell>
          <cell r="N759">
            <v>3</v>
          </cell>
          <cell r="Q759">
            <v>4</v>
          </cell>
          <cell r="R759">
            <v>4</v>
          </cell>
          <cell r="S759">
            <v>2</v>
          </cell>
          <cell r="W759">
            <v>0</v>
          </cell>
          <cell r="X759" t="str">
            <v>CR Mont Limba</v>
          </cell>
        </row>
        <row r="760">
          <cell r="A760">
            <v>5463</v>
          </cell>
          <cell r="B760">
            <v>1</v>
          </cell>
          <cell r="C760">
            <v>1</v>
          </cell>
          <cell r="E760" t="str">
            <v>20</v>
          </cell>
          <cell r="F760">
            <v>12314300600</v>
          </cell>
          <cell r="G760">
            <v>4</v>
          </cell>
          <cell r="H760" t="str">
            <v>42</v>
          </cell>
          <cell r="I760">
            <v>90</v>
          </cell>
          <cell r="J760">
            <v>20</v>
          </cell>
          <cell r="K760">
            <v>1</v>
          </cell>
          <cell r="L760">
            <v>12</v>
          </cell>
          <cell r="M760">
            <v>314</v>
          </cell>
          <cell r="N760">
            <v>3</v>
          </cell>
          <cell r="O760" t="str">
            <v>00</v>
          </cell>
          <cell r="P760">
            <v>6</v>
          </cell>
          <cell r="Q760">
            <v>4</v>
          </cell>
          <cell r="R760">
            <v>4</v>
          </cell>
          <cell r="S760">
            <v>2</v>
          </cell>
          <cell r="T760">
            <v>90</v>
          </cell>
          <cell r="V760">
            <v>0</v>
          </cell>
          <cell r="W760">
            <v>0</v>
          </cell>
          <cell r="X760" t="str">
            <v>CR Mont Nimba</v>
          </cell>
          <cell r="Y760" t="str">
            <v>P4</v>
          </cell>
          <cell r="Z760" t="str">
            <v xml:space="preserve"> Intérieur</v>
          </cell>
          <cell r="AA760" t="str">
            <v>Sub.d'équilibre Non ventilé</v>
          </cell>
          <cell r="AB760">
            <v>120000</v>
          </cell>
          <cell r="AC760">
            <v>120000</v>
          </cell>
        </row>
        <row r="761">
          <cell r="A761">
            <v>6155</v>
          </cell>
          <cell r="B761">
            <v>1</v>
          </cell>
          <cell r="J761">
            <v>20</v>
          </cell>
          <cell r="K761">
            <v>1</v>
          </cell>
          <cell r="L761">
            <v>12</v>
          </cell>
          <cell r="M761">
            <v>317</v>
          </cell>
          <cell r="N761">
            <v>3</v>
          </cell>
          <cell r="Q761">
            <v>4</v>
          </cell>
          <cell r="R761">
            <v>4</v>
          </cell>
          <cell r="S761">
            <v>2</v>
          </cell>
          <cell r="W761">
            <v>0</v>
          </cell>
          <cell r="X761" t="str">
            <v>CDE Labé</v>
          </cell>
        </row>
        <row r="762">
          <cell r="A762">
            <v>5466</v>
          </cell>
          <cell r="B762">
            <v>1</v>
          </cell>
          <cell r="C762">
            <v>1</v>
          </cell>
          <cell r="E762" t="str">
            <v>20</v>
          </cell>
          <cell r="F762">
            <v>12317300600</v>
          </cell>
          <cell r="G762">
            <v>4</v>
          </cell>
          <cell r="H762" t="str">
            <v>42</v>
          </cell>
          <cell r="I762">
            <v>90</v>
          </cell>
          <cell r="J762">
            <v>20</v>
          </cell>
          <cell r="K762">
            <v>1</v>
          </cell>
          <cell r="L762">
            <v>12</v>
          </cell>
          <cell r="M762">
            <v>317</v>
          </cell>
          <cell r="N762">
            <v>3</v>
          </cell>
          <cell r="O762" t="str">
            <v>00</v>
          </cell>
          <cell r="P762">
            <v>6</v>
          </cell>
          <cell r="Q762">
            <v>4</v>
          </cell>
          <cell r="R762">
            <v>4</v>
          </cell>
          <cell r="S762">
            <v>2</v>
          </cell>
          <cell r="T762">
            <v>90</v>
          </cell>
          <cell r="V762">
            <v>0</v>
          </cell>
          <cell r="W762">
            <v>0</v>
          </cell>
          <cell r="X762" t="str">
            <v>CDE Labé</v>
          </cell>
          <cell r="Y762" t="str">
            <v>P4</v>
          </cell>
          <cell r="Z762" t="str">
            <v xml:space="preserve"> Intérieur</v>
          </cell>
          <cell r="AA762" t="str">
            <v>Sub.d'équilibre Non ventilé</v>
          </cell>
          <cell r="AB762">
            <v>84000</v>
          </cell>
          <cell r="AC762">
            <v>84000</v>
          </cell>
        </row>
        <row r="763">
          <cell r="A763">
            <v>6157</v>
          </cell>
          <cell r="B763">
            <v>1</v>
          </cell>
          <cell r="J763">
            <v>20</v>
          </cell>
          <cell r="K763">
            <v>1</v>
          </cell>
          <cell r="L763">
            <v>12</v>
          </cell>
          <cell r="M763">
            <v>319</v>
          </cell>
          <cell r="N763">
            <v>3</v>
          </cell>
          <cell r="Q763">
            <v>4</v>
          </cell>
          <cell r="R763">
            <v>4</v>
          </cell>
          <cell r="S763">
            <v>2</v>
          </cell>
          <cell r="W763">
            <v>0</v>
          </cell>
          <cell r="X763" t="str">
            <v>CDE N'Zérékoré</v>
          </cell>
        </row>
        <row r="764">
          <cell r="A764">
            <v>5468</v>
          </cell>
          <cell r="B764">
            <v>1</v>
          </cell>
          <cell r="C764">
            <v>1</v>
          </cell>
          <cell r="E764" t="str">
            <v>20</v>
          </cell>
          <cell r="F764">
            <v>12319300600</v>
          </cell>
          <cell r="G764">
            <v>4</v>
          </cell>
          <cell r="H764" t="str">
            <v>42</v>
          </cell>
          <cell r="I764">
            <v>90</v>
          </cell>
          <cell r="J764">
            <v>20</v>
          </cell>
          <cell r="K764">
            <v>1</v>
          </cell>
          <cell r="L764">
            <v>12</v>
          </cell>
          <cell r="M764">
            <v>319</v>
          </cell>
          <cell r="N764">
            <v>3</v>
          </cell>
          <cell r="O764" t="str">
            <v>00</v>
          </cell>
          <cell r="P764">
            <v>6</v>
          </cell>
          <cell r="Q764">
            <v>4</v>
          </cell>
          <cell r="R764">
            <v>4</v>
          </cell>
          <cell r="S764">
            <v>2</v>
          </cell>
          <cell r="T764">
            <v>90</v>
          </cell>
          <cell r="V764">
            <v>0</v>
          </cell>
          <cell r="W764">
            <v>0</v>
          </cell>
          <cell r="X764" t="str">
            <v>CDE N'Zérékoré</v>
          </cell>
          <cell r="Y764" t="str">
            <v>P4</v>
          </cell>
          <cell r="Z764" t="str">
            <v xml:space="preserve"> Intérieur</v>
          </cell>
          <cell r="AA764" t="str">
            <v>Sub.d'équilibre Non ventilé</v>
          </cell>
          <cell r="AB764">
            <v>108000</v>
          </cell>
          <cell r="AC764">
            <v>108000</v>
          </cell>
        </row>
        <row r="765">
          <cell r="A765">
            <v>6161</v>
          </cell>
          <cell r="B765">
            <v>1</v>
          </cell>
          <cell r="J765">
            <v>20</v>
          </cell>
          <cell r="K765">
            <v>1</v>
          </cell>
          <cell r="L765">
            <v>12</v>
          </cell>
          <cell r="M765">
            <v>324</v>
          </cell>
          <cell r="N765">
            <v>3</v>
          </cell>
          <cell r="Q765">
            <v>4</v>
          </cell>
          <cell r="R765">
            <v>4</v>
          </cell>
          <cell r="S765">
            <v>2</v>
          </cell>
          <cell r="W765">
            <v>0</v>
          </cell>
          <cell r="X765" t="str">
            <v>IR Aulacodes N'zérékoré</v>
          </cell>
        </row>
        <row r="766">
          <cell r="A766">
            <v>5472</v>
          </cell>
          <cell r="B766">
            <v>1</v>
          </cell>
          <cell r="C766">
            <v>1</v>
          </cell>
          <cell r="E766" t="str">
            <v>20</v>
          </cell>
          <cell r="F766">
            <v>12324300600</v>
          </cell>
          <cell r="G766">
            <v>4</v>
          </cell>
          <cell r="H766" t="str">
            <v>42</v>
          </cell>
          <cell r="I766">
            <v>90</v>
          </cell>
          <cell r="J766">
            <v>20</v>
          </cell>
          <cell r="K766">
            <v>1</v>
          </cell>
          <cell r="L766">
            <v>12</v>
          </cell>
          <cell r="M766">
            <v>324</v>
          </cell>
          <cell r="N766">
            <v>3</v>
          </cell>
          <cell r="O766" t="str">
            <v>00</v>
          </cell>
          <cell r="P766">
            <v>6</v>
          </cell>
          <cell r="Q766">
            <v>4</v>
          </cell>
          <cell r="R766">
            <v>4</v>
          </cell>
          <cell r="S766">
            <v>2</v>
          </cell>
          <cell r="T766">
            <v>90</v>
          </cell>
          <cell r="V766">
            <v>0</v>
          </cell>
          <cell r="W766">
            <v>0</v>
          </cell>
          <cell r="X766" t="str">
            <v>IR Aulacodes N'zérékoré</v>
          </cell>
          <cell r="Y766" t="str">
            <v>P4</v>
          </cell>
          <cell r="Z766" t="str">
            <v xml:space="preserve"> Intérieur</v>
          </cell>
          <cell r="AA766" t="str">
            <v>Sub.d'équilibre Non ventilé</v>
          </cell>
          <cell r="AB766">
            <v>500000</v>
          </cell>
          <cell r="AC766">
            <v>500000</v>
          </cell>
        </row>
        <row r="767">
          <cell r="A767">
            <v>6162</v>
          </cell>
          <cell r="B767">
            <v>1</v>
          </cell>
          <cell r="J767">
            <v>20</v>
          </cell>
          <cell r="K767">
            <v>1</v>
          </cell>
          <cell r="L767">
            <v>12</v>
          </cell>
          <cell r="M767">
            <v>325</v>
          </cell>
          <cell r="N767">
            <v>3</v>
          </cell>
          <cell r="Q767">
            <v>4</v>
          </cell>
          <cell r="R767">
            <v>4</v>
          </cell>
          <cell r="S767">
            <v>2</v>
          </cell>
          <cell r="W767">
            <v>0</v>
          </cell>
          <cell r="X767" t="str">
            <v>CRVPMédicinales Dubréka</v>
          </cell>
        </row>
        <row r="768">
          <cell r="A768">
            <v>5473</v>
          </cell>
          <cell r="B768">
            <v>1</v>
          </cell>
          <cell r="C768">
            <v>1</v>
          </cell>
          <cell r="E768" t="str">
            <v>20</v>
          </cell>
          <cell r="F768">
            <v>12325300600</v>
          </cell>
          <cell r="G768">
            <v>4</v>
          </cell>
          <cell r="H768" t="str">
            <v>42</v>
          </cell>
          <cell r="I768">
            <v>90</v>
          </cell>
          <cell r="J768">
            <v>20</v>
          </cell>
          <cell r="K768">
            <v>1</v>
          </cell>
          <cell r="L768">
            <v>12</v>
          </cell>
          <cell r="M768">
            <v>325</v>
          </cell>
          <cell r="N768">
            <v>3</v>
          </cell>
          <cell r="O768" t="str">
            <v>00</v>
          </cell>
          <cell r="P768">
            <v>6</v>
          </cell>
          <cell r="Q768">
            <v>4</v>
          </cell>
          <cell r="R768">
            <v>4</v>
          </cell>
          <cell r="S768">
            <v>2</v>
          </cell>
          <cell r="T768">
            <v>90</v>
          </cell>
          <cell r="V768">
            <v>0</v>
          </cell>
          <cell r="W768">
            <v>0</v>
          </cell>
          <cell r="X768" t="str">
            <v>CRVPMédicinales Dubréka</v>
          </cell>
          <cell r="Y768" t="str">
            <v>P4</v>
          </cell>
          <cell r="Z768" t="str">
            <v xml:space="preserve"> Intérieur</v>
          </cell>
          <cell r="AA768" t="str">
            <v>Sub.d'équilibre Non ventilé</v>
          </cell>
          <cell r="AB768">
            <v>400000</v>
          </cell>
          <cell r="AC768">
            <v>400000</v>
          </cell>
        </row>
        <row r="769">
          <cell r="A769">
            <v>6163</v>
          </cell>
          <cell r="B769">
            <v>1</v>
          </cell>
          <cell r="J769">
            <v>20</v>
          </cell>
          <cell r="K769">
            <v>1</v>
          </cell>
          <cell r="L769">
            <v>12</v>
          </cell>
          <cell r="M769">
            <v>326</v>
          </cell>
          <cell r="N769">
            <v>3</v>
          </cell>
          <cell r="Q769">
            <v>4</v>
          </cell>
          <cell r="R769">
            <v>4</v>
          </cell>
          <cell r="S769">
            <v>2</v>
          </cell>
          <cell r="W769">
            <v>0</v>
          </cell>
          <cell r="X769" t="str">
            <v>CDE Kankan</v>
          </cell>
        </row>
        <row r="770">
          <cell r="A770">
            <v>5474</v>
          </cell>
          <cell r="B770">
            <v>1</v>
          </cell>
          <cell r="C770">
            <v>1</v>
          </cell>
          <cell r="E770" t="str">
            <v>20</v>
          </cell>
          <cell r="F770">
            <v>12326300600</v>
          </cell>
          <cell r="G770">
            <v>4</v>
          </cell>
          <cell r="H770" t="str">
            <v>42</v>
          </cell>
          <cell r="I770">
            <v>90</v>
          </cell>
          <cell r="J770">
            <v>20</v>
          </cell>
          <cell r="K770">
            <v>1</v>
          </cell>
          <cell r="L770">
            <v>12</v>
          </cell>
          <cell r="M770">
            <v>326</v>
          </cell>
          <cell r="N770">
            <v>3</v>
          </cell>
          <cell r="O770" t="str">
            <v>00</v>
          </cell>
          <cell r="P770">
            <v>6</v>
          </cell>
          <cell r="Q770">
            <v>4</v>
          </cell>
          <cell r="R770">
            <v>4</v>
          </cell>
          <cell r="S770">
            <v>2</v>
          </cell>
          <cell r="T770">
            <v>90</v>
          </cell>
          <cell r="V770">
            <v>0</v>
          </cell>
          <cell r="W770">
            <v>0</v>
          </cell>
          <cell r="X770" t="str">
            <v>CDE Kankan</v>
          </cell>
          <cell r="Y770" t="str">
            <v>P4</v>
          </cell>
          <cell r="Z770" t="str">
            <v xml:space="preserve"> Intérieur</v>
          </cell>
          <cell r="AA770" t="str">
            <v>Sub.d'équilibre Non ventilé</v>
          </cell>
          <cell r="AB770">
            <v>84000</v>
          </cell>
          <cell r="AC770">
            <v>84000</v>
          </cell>
        </row>
        <row r="771">
          <cell r="A771">
            <v>6164</v>
          </cell>
          <cell r="B771">
            <v>1</v>
          </cell>
          <cell r="J771">
            <v>20</v>
          </cell>
          <cell r="K771">
            <v>1</v>
          </cell>
          <cell r="L771">
            <v>12</v>
          </cell>
          <cell r="M771">
            <v>327</v>
          </cell>
          <cell r="N771">
            <v>3</v>
          </cell>
          <cell r="Q771">
            <v>4</v>
          </cell>
          <cell r="R771">
            <v>4</v>
          </cell>
          <cell r="S771">
            <v>2</v>
          </cell>
          <cell r="W771">
            <v>0</v>
          </cell>
          <cell r="X771" t="str">
            <v>CDE Kindia</v>
          </cell>
        </row>
        <row r="772">
          <cell r="A772">
            <v>5475</v>
          </cell>
          <cell r="B772">
            <v>1</v>
          </cell>
          <cell r="C772">
            <v>1</v>
          </cell>
          <cell r="E772" t="str">
            <v>20</v>
          </cell>
          <cell r="F772">
            <v>12327300600</v>
          </cell>
          <cell r="G772">
            <v>4</v>
          </cell>
          <cell r="H772" t="str">
            <v>42</v>
          </cell>
          <cell r="I772">
            <v>90</v>
          </cell>
          <cell r="J772">
            <v>20</v>
          </cell>
          <cell r="K772">
            <v>1</v>
          </cell>
          <cell r="L772">
            <v>12</v>
          </cell>
          <cell r="M772">
            <v>327</v>
          </cell>
          <cell r="N772">
            <v>3</v>
          </cell>
          <cell r="O772" t="str">
            <v>00</v>
          </cell>
          <cell r="P772">
            <v>6</v>
          </cell>
          <cell r="Q772">
            <v>4</v>
          </cell>
          <cell r="R772">
            <v>4</v>
          </cell>
          <cell r="S772">
            <v>2</v>
          </cell>
          <cell r="T772">
            <v>90</v>
          </cell>
          <cell r="V772">
            <v>0</v>
          </cell>
          <cell r="W772">
            <v>0</v>
          </cell>
          <cell r="X772" t="str">
            <v>CDE Kindia</v>
          </cell>
          <cell r="Y772" t="str">
            <v>P4</v>
          </cell>
          <cell r="Z772" t="str">
            <v xml:space="preserve"> Intérieur</v>
          </cell>
          <cell r="AA772" t="str">
            <v>Sub.d'équilibre Non ventilé</v>
          </cell>
          <cell r="AB772">
            <v>84000</v>
          </cell>
          <cell r="AC772">
            <v>84000</v>
          </cell>
        </row>
        <row r="773">
          <cell r="A773">
            <v>6165</v>
          </cell>
          <cell r="B773">
            <v>1</v>
          </cell>
          <cell r="J773">
            <v>20</v>
          </cell>
          <cell r="K773">
            <v>1</v>
          </cell>
          <cell r="L773">
            <v>12</v>
          </cell>
          <cell r="M773">
            <v>328</v>
          </cell>
          <cell r="N773">
            <v>3</v>
          </cell>
          <cell r="Q773">
            <v>4</v>
          </cell>
          <cell r="R773">
            <v>4</v>
          </cell>
          <cell r="S773">
            <v>2</v>
          </cell>
          <cell r="W773">
            <v>0</v>
          </cell>
          <cell r="X773" t="str">
            <v>IRTAG ex Centre Nl de rech en T A</v>
          </cell>
        </row>
        <row r="774">
          <cell r="A774">
            <v>5476</v>
          </cell>
          <cell r="B774">
            <v>1</v>
          </cell>
          <cell r="C774">
            <v>1</v>
          </cell>
          <cell r="E774" t="str">
            <v>20</v>
          </cell>
          <cell r="F774">
            <v>12328300600</v>
          </cell>
          <cell r="G774">
            <v>4</v>
          </cell>
          <cell r="H774" t="str">
            <v>42</v>
          </cell>
          <cell r="I774">
            <v>90</v>
          </cell>
          <cell r="J774">
            <v>20</v>
          </cell>
          <cell r="K774">
            <v>1</v>
          </cell>
          <cell r="L774">
            <v>12</v>
          </cell>
          <cell r="M774">
            <v>328</v>
          </cell>
          <cell r="N774">
            <v>3</v>
          </cell>
          <cell r="O774" t="str">
            <v>00</v>
          </cell>
          <cell r="P774">
            <v>6</v>
          </cell>
          <cell r="Q774">
            <v>4</v>
          </cell>
          <cell r="R774">
            <v>4</v>
          </cell>
          <cell r="S774">
            <v>2</v>
          </cell>
          <cell r="T774">
            <v>90</v>
          </cell>
          <cell r="V774">
            <v>0</v>
          </cell>
          <cell r="W774">
            <v>0</v>
          </cell>
          <cell r="X774" t="str">
            <v>IRTAG ex Centre Nl de rech en T A</v>
          </cell>
          <cell r="Y774" t="str">
            <v>P4</v>
          </cell>
          <cell r="Z774" t="str">
            <v xml:space="preserve"> Intérieur</v>
          </cell>
          <cell r="AA774" t="str">
            <v>Sub.d'équilibre Non ventilé</v>
          </cell>
          <cell r="AB774">
            <v>120000</v>
          </cell>
          <cell r="AC774">
            <v>120000</v>
          </cell>
        </row>
        <row r="775">
          <cell r="A775">
            <v>6166</v>
          </cell>
          <cell r="B775">
            <v>1</v>
          </cell>
          <cell r="J775">
            <v>20</v>
          </cell>
          <cell r="K775">
            <v>1</v>
          </cell>
          <cell r="L775">
            <v>12</v>
          </cell>
          <cell r="M775">
            <v>329</v>
          </cell>
          <cell r="N775">
            <v>3</v>
          </cell>
          <cell r="Q775">
            <v>4</v>
          </cell>
          <cell r="R775">
            <v>4</v>
          </cell>
          <cell r="S775">
            <v>2</v>
          </cell>
          <cell r="W775">
            <v>0</v>
          </cell>
          <cell r="X775" t="str">
            <v>CIRITG N'Zérékoré ex Projet Rech Fièv LASSA</v>
          </cell>
        </row>
        <row r="776">
          <cell r="A776">
            <v>5477</v>
          </cell>
          <cell r="B776">
            <v>1</v>
          </cell>
          <cell r="C776">
            <v>1</v>
          </cell>
          <cell r="E776" t="str">
            <v>20</v>
          </cell>
          <cell r="F776">
            <v>12329300600</v>
          </cell>
          <cell r="G776">
            <v>4</v>
          </cell>
          <cell r="H776" t="str">
            <v>42</v>
          </cell>
          <cell r="I776">
            <v>90</v>
          </cell>
          <cell r="J776">
            <v>20</v>
          </cell>
          <cell r="K776">
            <v>1</v>
          </cell>
          <cell r="L776">
            <v>12</v>
          </cell>
          <cell r="M776">
            <v>329</v>
          </cell>
          <cell r="N776">
            <v>3</v>
          </cell>
          <cell r="O776" t="str">
            <v>00</v>
          </cell>
          <cell r="P776">
            <v>6</v>
          </cell>
          <cell r="Q776">
            <v>4</v>
          </cell>
          <cell r="R776">
            <v>4</v>
          </cell>
          <cell r="S776">
            <v>2</v>
          </cell>
          <cell r="T776">
            <v>90</v>
          </cell>
          <cell r="V776">
            <v>0</v>
          </cell>
          <cell r="W776">
            <v>0</v>
          </cell>
          <cell r="X776" t="str">
            <v>CIRITG N'Zérékoré ex Projet Rech Fièv LASSA</v>
          </cell>
          <cell r="Y776" t="str">
            <v>P4</v>
          </cell>
          <cell r="Z776" t="str">
            <v xml:space="preserve"> Intérieur</v>
          </cell>
          <cell r="AA776" t="str">
            <v>Sub.d'équilibre Non ventilé</v>
          </cell>
          <cell r="AB776">
            <v>360000</v>
          </cell>
          <cell r="AC776">
            <v>360000</v>
          </cell>
        </row>
        <row r="777">
          <cell r="A777">
            <v>5482</v>
          </cell>
          <cell r="B777">
            <v>1</v>
          </cell>
          <cell r="C777">
            <v>1</v>
          </cell>
          <cell r="E777" t="str">
            <v>20</v>
          </cell>
          <cell r="F777">
            <v>12336300600</v>
          </cell>
          <cell r="G777">
            <v>4</v>
          </cell>
          <cell r="H777" t="str">
            <v>42</v>
          </cell>
          <cell r="I777">
            <v>90</v>
          </cell>
          <cell r="J777">
            <v>20</v>
          </cell>
          <cell r="K777">
            <v>1</v>
          </cell>
          <cell r="L777">
            <v>12</v>
          </cell>
          <cell r="M777">
            <v>336</v>
          </cell>
          <cell r="N777">
            <v>3</v>
          </cell>
          <cell r="O777" t="str">
            <v>00</v>
          </cell>
          <cell r="P777">
            <v>6</v>
          </cell>
          <cell r="Q777">
            <v>4</v>
          </cell>
          <cell r="R777">
            <v>4</v>
          </cell>
          <cell r="S777">
            <v>2</v>
          </cell>
          <cell r="T777">
            <v>90</v>
          </cell>
          <cell r="V777">
            <v>0</v>
          </cell>
          <cell r="X777" t="str">
            <v>CRVAK Kankan (Autocades)</v>
          </cell>
          <cell r="Y777" t="str">
            <v>P4</v>
          </cell>
          <cell r="Z777" t="str">
            <v xml:space="preserve"> Conakry</v>
          </cell>
          <cell r="AA777" t="str">
            <v>Sub.d'équilibre Non ventilé</v>
          </cell>
          <cell r="AB777">
            <v>180000</v>
          </cell>
          <cell r="AC777">
            <v>180000</v>
          </cell>
        </row>
        <row r="778">
          <cell r="A778">
            <v>6073</v>
          </cell>
          <cell r="B778">
            <v>1</v>
          </cell>
          <cell r="J778">
            <v>20</v>
          </cell>
          <cell r="K778">
            <v>1</v>
          </cell>
          <cell r="L778">
            <v>12</v>
          </cell>
          <cell r="M778">
            <v>120</v>
          </cell>
          <cell r="N778">
            <v>9</v>
          </cell>
          <cell r="Q778">
            <v>4</v>
          </cell>
          <cell r="R778">
            <v>4</v>
          </cell>
          <cell r="S778">
            <v>2</v>
          </cell>
          <cell r="W778">
            <v>0</v>
          </cell>
          <cell r="X778" t="str">
            <v>OSSUG(Office des sports scolaires et universitaires de Guinée)</v>
          </cell>
        </row>
        <row r="779">
          <cell r="A779">
            <v>5458</v>
          </cell>
          <cell r="B779">
            <v>1</v>
          </cell>
          <cell r="C779">
            <v>1</v>
          </cell>
          <cell r="E779" t="str">
            <v>20</v>
          </cell>
          <cell r="F779">
            <v>12120900600</v>
          </cell>
          <cell r="G779">
            <v>4</v>
          </cell>
          <cell r="H779" t="str">
            <v>42</v>
          </cell>
          <cell r="I779">
            <v>90</v>
          </cell>
          <cell r="J779">
            <v>20</v>
          </cell>
          <cell r="K779">
            <v>1</v>
          </cell>
          <cell r="L779">
            <v>12</v>
          </cell>
          <cell r="M779">
            <v>120</v>
          </cell>
          <cell r="N779">
            <v>9</v>
          </cell>
          <cell r="O779" t="str">
            <v>00</v>
          </cell>
          <cell r="P779">
            <v>6</v>
          </cell>
          <cell r="Q779">
            <v>4</v>
          </cell>
          <cell r="R779">
            <v>4</v>
          </cell>
          <cell r="S779">
            <v>2</v>
          </cell>
          <cell r="T779">
            <v>90</v>
          </cell>
          <cell r="V779">
            <v>1</v>
          </cell>
          <cell r="W779">
            <v>0</v>
          </cell>
          <cell r="X779" t="str">
            <v>OSSUG(Office des sports scolaires et universitaires de Guinée)</v>
          </cell>
          <cell r="Y779" t="str">
            <v>P4</v>
          </cell>
          <cell r="Z779" t="str">
            <v xml:space="preserve"> Ens. NV</v>
          </cell>
          <cell r="AA779" t="str">
            <v>Sub.d'équilibre Non ventilé</v>
          </cell>
          <cell r="AB779">
            <v>35770</v>
          </cell>
          <cell r="AC779">
            <v>35770</v>
          </cell>
        </row>
        <row r="780">
          <cell r="A780">
            <v>6074</v>
          </cell>
          <cell r="B780">
            <v>1</v>
          </cell>
          <cell r="J780">
            <v>20</v>
          </cell>
          <cell r="K780">
            <v>1</v>
          </cell>
          <cell r="L780">
            <v>12</v>
          </cell>
          <cell r="M780">
            <v>130</v>
          </cell>
          <cell r="N780">
            <v>9</v>
          </cell>
          <cell r="Q780">
            <v>4</v>
          </cell>
          <cell r="R780">
            <v>4</v>
          </cell>
          <cell r="S780">
            <v>2</v>
          </cell>
          <cell r="W780">
            <v>0</v>
          </cell>
          <cell r="X780" t="str">
            <v>INRAP(Institut national de recherche et d'action pédagogique)</v>
          </cell>
        </row>
        <row r="781">
          <cell r="A781">
            <v>5459</v>
          </cell>
          <cell r="B781">
            <v>1</v>
          </cell>
          <cell r="C781">
            <v>1</v>
          </cell>
          <cell r="E781" t="str">
            <v>20</v>
          </cell>
          <cell r="F781">
            <v>12130900600</v>
          </cell>
          <cell r="G781">
            <v>4</v>
          </cell>
          <cell r="H781" t="str">
            <v>42</v>
          </cell>
          <cell r="I781">
            <v>90</v>
          </cell>
          <cell r="J781">
            <v>20</v>
          </cell>
          <cell r="K781">
            <v>1</v>
          </cell>
          <cell r="L781">
            <v>12</v>
          </cell>
          <cell r="M781">
            <v>130</v>
          </cell>
          <cell r="N781">
            <v>9</v>
          </cell>
          <cell r="O781" t="str">
            <v>00</v>
          </cell>
          <cell r="P781">
            <v>6</v>
          </cell>
          <cell r="Q781">
            <v>4</v>
          </cell>
          <cell r="R781">
            <v>4</v>
          </cell>
          <cell r="S781">
            <v>2</v>
          </cell>
          <cell r="T781">
            <v>90</v>
          </cell>
          <cell r="V781">
            <v>1</v>
          </cell>
          <cell r="W781">
            <v>0</v>
          </cell>
          <cell r="X781" t="str">
            <v>INRAP(Institut national de recherche et d'action pédagogique)</v>
          </cell>
          <cell r="Y781" t="str">
            <v>P4</v>
          </cell>
          <cell r="Z781" t="str">
            <v xml:space="preserve"> Ens. NV</v>
          </cell>
          <cell r="AA781" t="str">
            <v>Sub.d'équilibre Non ventilé</v>
          </cell>
          <cell r="AB781">
            <v>180620</v>
          </cell>
          <cell r="AC781">
            <v>180620</v>
          </cell>
        </row>
        <row r="782">
          <cell r="A782">
            <v>6076</v>
          </cell>
          <cell r="B782">
            <v>1</v>
          </cell>
          <cell r="J782">
            <v>20</v>
          </cell>
          <cell r="K782">
            <v>1</v>
          </cell>
          <cell r="L782">
            <v>24</v>
          </cell>
          <cell r="M782">
            <v>230</v>
          </cell>
          <cell r="N782">
            <v>9</v>
          </cell>
          <cell r="Q782">
            <v>4</v>
          </cell>
          <cell r="R782">
            <v>4</v>
          </cell>
          <cell r="S782">
            <v>2</v>
          </cell>
          <cell r="W782">
            <v>0</v>
          </cell>
          <cell r="X782" t="str">
            <v>O.N.F.P.P. Off.Nat.Format.Perfect.Professionnel</v>
          </cell>
        </row>
        <row r="783">
          <cell r="A783">
            <v>5483</v>
          </cell>
          <cell r="B783">
            <v>1</v>
          </cell>
          <cell r="C783">
            <v>1</v>
          </cell>
          <cell r="E783" t="str">
            <v>20</v>
          </cell>
          <cell r="F783">
            <v>24230900600</v>
          </cell>
          <cell r="G783">
            <v>4</v>
          </cell>
          <cell r="H783" t="str">
            <v>42</v>
          </cell>
          <cell r="I783">
            <v>90</v>
          </cell>
          <cell r="J783">
            <v>20</v>
          </cell>
          <cell r="K783">
            <v>1</v>
          </cell>
          <cell r="L783">
            <v>24</v>
          </cell>
          <cell r="M783">
            <v>230</v>
          </cell>
          <cell r="N783">
            <v>9</v>
          </cell>
          <cell r="O783" t="str">
            <v>00</v>
          </cell>
          <cell r="P783">
            <v>6</v>
          </cell>
          <cell r="Q783">
            <v>4</v>
          </cell>
          <cell r="R783">
            <v>4</v>
          </cell>
          <cell r="S783">
            <v>2</v>
          </cell>
          <cell r="T783">
            <v>90</v>
          </cell>
          <cell r="V783">
            <v>1</v>
          </cell>
          <cell r="W783">
            <v>0</v>
          </cell>
          <cell r="X783" t="str">
            <v>O.N.F.P.P. Off.Nat.Format.Perfect.Professionnel</v>
          </cell>
          <cell r="Y783" t="str">
            <v>P4</v>
          </cell>
          <cell r="Z783" t="str">
            <v xml:space="preserve"> Ens. NV</v>
          </cell>
          <cell r="AA783" t="str">
            <v>Sub.d'équilibre Non ventilé</v>
          </cell>
          <cell r="AB783">
            <v>202500</v>
          </cell>
          <cell r="AC783">
            <v>202500</v>
          </cell>
        </row>
        <row r="784">
          <cell r="A784">
            <v>6075</v>
          </cell>
          <cell r="B784">
            <v>1</v>
          </cell>
          <cell r="J784">
            <v>20</v>
          </cell>
          <cell r="K784">
            <v>1</v>
          </cell>
          <cell r="L784">
            <v>61</v>
          </cell>
          <cell r="M784">
            <v>140</v>
          </cell>
          <cell r="N784">
            <v>9</v>
          </cell>
          <cell r="Q784">
            <v>4</v>
          </cell>
          <cell r="R784">
            <v>4</v>
          </cell>
          <cell r="S784">
            <v>2</v>
          </cell>
          <cell r="W784">
            <v>0</v>
          </cell>
          <cell r="X784" t="str">
            <v>Appui à l'enseignement primaire et à la scolarisation de la jeune fille</v>
          </cell>
        </row>
        <row r="785">
          <cell r="A785">
            <v>5485</v>
          </cell>
          <cell r="B785">
            <v>1</v>
          </cell>
          <cell r="C785">
            <v>1</v>
          </cell>
          <cell r="E785" t="str">
            <v>20</v>
          </cell>
          <cell r="F785">
            <v>61140900700</v>
          </cell>
          <cell r="G785">
            <v>4</v>
          </cell>
          <cell r="H785" t="str">
            <v>42</v>
          </cell>
          <cell r="I785">
            <v>90</v>
          </cell>
          <cell r="J785">
            <v>20</v>
          </cell>
          <cell r="K785">
            <v>1</v>
          </cell>
          <cell r="L785">
            <v>61</v>
          </cell>
          <cell r="M785">
            <v>140</v>
          </cell>
          <cell r="N785">
            <v>9</v>
          </cell>
          <cell r="O785" t="str">
            <v>00</v>
          </cell>
          <cell r="P785">
            <v>7</v>
          </cell>
          <cell r="Q785">
            <v>4</v>
          </cell>
          <cell r="R785">
            <v>4</v>
          </cell>
          <cell r="S785">
            <v>2</v>
          </cell>
          <cell r="T785">
            <v>90</v>
          </cell>
          <cell r="V785">
            <v>1</v>
          </cell>
          <cell r="W785">
            <v>0</v>
          </cell>
          <cell r="X785" t="str">
            <v>Appui à l'enseignement primaire et à la scolarisation de la jeune fille</v>
          </cell>
          <cell r="Y785" t="str">
            <v>P1</v>
          </cell>
          <cell r="Z785" t="str">
            <v xml:space="preserve"> Ens. NV</v>
          </cell>
          <cell r="AA785" t="str">
            <v>Sub.d'équilibre Non ventilé</v>
          </cell>
          <cell r="AB785">
            <v>25600</v>
          </cell>
          <cell r="AC785">
            <v>25600</v>
          </cell>
        </row>
        <row r="786">
          <cell r="A786">
            <v>6173</v>
          </cell>
          <cell r="B786">
            <v>1</v>
          </cell>
          <cell r="J786">
            <v>20</v>
          </cell>
          <cell r="K786">
            <v>1</v>
          </cell>
          <cell r="L786">
            <v>75</v>
          </cell>
          <cell r="M786">
            <v>110</v>
          </cell>
          <cell r="N786">
            <v>4</v>
          </cell>
          <cell r="Q786">
            <v>4</v>
          </cell>
          <cell r="R786">
            <v>4</v>
          </cell>
          <cell r="S786">
            <v>3</v>
          </cell>
          <cell r="W786">
            <v>0</v>
          </cell>
          <cell r="X786" t="str">
            <v>Etudiants Complément bourses étranger</v>
          </cell>
        </row>
        <row r="787">
          <cell r="A787">
            <v>5486</v>
          </cell>
          <cell r="B787">
            <v>1</v>
          </cell>
          <cell r="C787">
            <v>1</v>
          </cell>
          <cell r="D787" t="str">
            <v>$</v>
          </cell>
          <cell r="E787" t="str">
            <v>20</v>
          </cell>
          <cell r="F787">
            <v>75110400600</v>
          </cell>
          <cell r="G787">
            <v>4</v>
          </cell>
          <cell r="H787" t="str">
            <v>43</v>
          </cell>
          <cell r="I787">
            <v>11</v>
          </cell>
          <cell r="J787">
            <v>20</v>
          </cell>
          <cell r="K787">
            <v>1</v>
          </cell>
          <cell r="L787">
            <v>75</v>
          </cell>
          <cell r="M787">
            <v>110</v>
          </cell>
          <cell r="N787">
            <v>4</v>
          </cell>
          <cell r="O787" t="str">
            <v>00</v>
          </cell>
          <cell r="P787">
            <v>6</v>
          </cell>
          <cell r="Q787">
            <v>4</v>
          </cell>
          <cell r="R787">
            <v>4</v>
          </cell>
          <cell r="S787">
            <v>3</v>
          </cell>
          <cell r="T787">
            <v>11</v>
          </cell>
          <cell r="V787">
            <v>0</v>
          </cell>
          <cell r="W787">
            <v>0</v>
          </cell>
          <cell r="X787" t="str">
            <v>Etudiants Complément bourses étranger</v>
          </cell>
          <cell r="Y787" t="str">
            <v>P4</v>
          </cell>
          <cell r="Z787" t="str">
            <v xml:space="preserve"> Etranger</v>
          </cell>
          <cell r="AA787" t="str">
            <v>Bourses titre courant</v>
          </cell>
          <cell r="AB787">
            <v>5420360</v>
          </cell>
          <cell r="AC787">
            <v>5420360</v>
          </cell>
        </row>
        <row r="788">
          <cell r="A788">
            <v>5487</v>
          </cell>
          <cell r="B788">
            <v>1</v>
          </cell>
          <cell r="C788">
            <v>1</v>
          </cell>
          <cell r="D788" t="str">
            <v>$</v>
          </cell>
          <cell r="E788" t="str">
            <v>20</v>
          </cell>
          <cell r="F788">
            <v>75110400600</v>
          </cell>
          <cell r="G788">
            <v>4</v>
          </cell>
          <cell r="H788" t="str">
            <v>43</v>
          </cell>
          <cell r="I788">
            <v>15</v>
          </cell>
          <cell r="J788">
            <v>20</v>
          </cell>
          <cell r="K788">
            <v>1</v>
          </cell>
          <cell r="L788">
            <v>75</v>
          </cell>
          <cell r="M788">
            <v>110</v>
          </cell>
          <cell r="N788">
            <v>4</v>
          </cell>
          <cell r="O788" t="str">
            <v>00</v>
          </cell>
          <cell r="P788">
            <v>6</v>
          </cell>
          <cell r="Q788">
            <v>4</v>
          </cell>
          <cell r="R788">
            <v>4</v>
          </cell>
          <cell r="S788">
            <v>3</v>
          </cell>
          <cell r="T788">
            <v>15</v>
          </cell>
          <cell r="V788">
            <v>0</v>
          </cell>
          <cell r="W788">
            <v>0</v>
          </cell>
          <cell r="X788" t="str">
            <v>Etudiants Complément bourses étranger</v>
          </cell>
          <cell r="Y788" t="str">
            <v>P4</v>
          </cell>
          <cell r="Z788" t="str">
            <v xml:space="preserve"> Etranger</v>
          </cell>
          <cell r="AA788" t="str">
            <v>Bourses arriérés</v>
          </cell>
          <cell r="AB788">
            <v>1466330</v>
          </cell>
          <cell r="AC788">
            <v>1466330</v>
          </cell>
        </row>
        <row r="789">
          <cell r="A789">
            <v>6174</v>
          </cell>
          <cell r="B789">
            <v>1</v>
          </cell>
          <cell r="J789">
            <v>20</v>
          </cell>
          <cell r="K789">
            <v>1</v>
          </cell>
          <cell r="L789">
            <v>75</v>
          </cell>
          <cell r="M789">
            <v>120</v>
          </cell>
          <cell r="N789">
            <v>4</v>
          </cell>
          <cell r="Q789">
            <v>4</v>
          </cell>
          <cell r="R789">
            <v>4</v>
          </cell>
          <cell r="S789">
            <v>3</v>
          </cell>
          <cell r="W789">
            <v>0</v>
          </cell>
          <cell r="X789" t="str">
            <v>Etudiants (nvelles) Bourses étranger</v>
          </cell>
        </row>
        <row r="790">
          <cell r="A790">
            <v>5488</v>
          </cell>
          <cell r="B790">
            <v>1</v>
          </cell>
          <cell r="C790">
            <v>1</v>
          </cell>
          <cell r="D790" t="str">
            <v>$</v>
          </cell>
          <cell r="E790" t="str">
            <v>20</v>
          </cell>
          <cell r="F790">
            <v>75120400600</v>
          </cell>
          <cell r="G790">
            <v>4</v>
          </cell>
          <cell r="H790" t="str">
            <v>43</v>
          </cell>
          <cell r="I790">
            <v>10</v>
          </cell>
          <cell r="J790">
            <v>20</v>
          </cell>
          <cell r="K790">
            <v>1</v>
          </cell>
          <cell r="L790">
            <v>75</v>
          </cell>
          <cell r="M790">
            <v>120</v>
          </cell>
          <cell r="N790">
            <v>4</v>
          </cell>
          <cell r="O790" t="str">
            <v>00</v>
          </cell>
          <cell r="P790">
            <v>6</v>
          </cell>
          <cell r="Q790">
            <v>4</v>
          </cell>
          <cell r="R790">
            <v>4</v>
          </cell>
          <cell r="S790">
            <v>3</v>
          </cell>
          <cell r="T790">
            <v>10</v>
          </cell>
          <cell r="V790">
            <v>0</v>
          </cell>
          <cell r="W790">
            <v>0</v>
          </cell>
          <cell r="X790" t="str">
            <v>Etudiants (nvelles) Bourses étranger</v>
          </cell>
          <cell r="Y790" t="str">
            <v>P4</v>
          </cell>
          <cell r="Z790" t="str">
            <v xml:space="preserve"> Etranger</v>
          </cell>
          <cell r="AA790" t="str">
            <v>Bourses</v>
          </cell>
          <cell r="AB790">
            <v>2429020</v>
          </cell>
          <cell r="AC790">
            <v>2429020</v>
          </cell>
        </row>
        <row r="791">
          <cell r="A791">
            <v>6175</v>
          </cell>
          <cell r="B791">
            <v>1</v>
          </cell>
          <cell r="J791">
            <v>20</v>
          </cell>
          <cell r="K791">
            <v>1</v>
          </cell>
          <cell r="L791">
            <v>75</v>
          </cell>
          <cell r="M791">
            <v>130</v>
          </cell>
          <cell r="N791">
            <v>4</v>
          </cell>
          <cell r="Q791">
            <v>4</v>
          </cell>
          <cell r="R791">
            <v>4</v>
          </cell>
          <cell r="S791">
            <v>3</v>
          </cell>
          <cell r="W791">
            <v>0</v>
          </cell>
          <cell r="X791" t="str">
            <v>Etudiants (Sécurité sociale)</v>
          </cell>
        </row>
        <row r="792">
          <cell r="A792">
            <v>5489</v>
          </cell>
          <cell r="B792">
            <v>1</v>
          </cell>
          <cell r="C792">
            <v>1</v>
          </cell>
          <cell r="D792" t="str">
            <v>$</v>
          </cell>
          <cell r="E792" t="str">
            <v>20</v>
          </cell>
          <cell r="F792">
            <v>75130400600</v>
          </cell>
          <cell r="G792">
            <v>4</v>
          </cell>
          <cell r="H792" t="str">
            <v>43</v>
          </cell>
          <cell r="I792">
            <v>10</v>
          </cell>
          <cell r="J792">
            <v>20</v>
          </cell>
          <cell r="K792">
            <v>1</v>
          </cell>
          <cell r="L792">
            <v>75</v>
          </cell>
          <cell r="M792">
            <v>130</v>
          </cell>
          <cell r="N792">
            <v>4</v>
          </cell>
          <cell r="O792" t="str">
            <v>00</v>
          </cell>
          <cell r="P792">
            <v>6</v>
          </cell>
          <cell r="Q792">
            <v>4</v>
          </cell>
          <cell r="R792">
            <v>4</v>
          </cell>
          <cell r="S792">
            <v>3</v>
          </cell>
          <cell r="T792">
            <v>10</v>
          </cell>
          <cell r="V792">
            <v>0</v>
          </cell>
          <cell r="W792">
            <v>0</v>
          </cell>
          <cell r="X792" t="str">
            <v>Etudiants (Sécurité sociale</v>
          </cell>
          <cell r="Y792" t="str">
            <v>P4</v>
          </cell>
          <cell r="Z792" t="str">
            <v xml:space="preserve"> Etranger</v>
          </cell>
          <cell r="AA792" t="str">
            <v>Bourses.</v>
          </cell>
          <cell r="AB792">
            <v>3764970</v>
          </cell>
          <cell r="AC792">
            <v>3764970</v>
          </cell>
        </row>
        <row r="793">
          <cell r="B793">
            <v>1</v>
          </cell>
          <cell r="C793">
            <v>1</v>
          </cell>
          <cell r="D793" t="str">
            <v>$</v>
          </cell>
          <cell r="E793" t="str">
            <v>20</v>
          </cell>
          <cell r="F793">
            <v>75135400600</v>
          </cell>
          <cell r="G793">
            <v>4</v>
          </cell>
          <cell r="H793" t="str">
            <v>43</v>
          </cell>
          <cell r="I793">
            <v>10</v>
          </cell>
          <cell r="J793">
            <v>20</v>
          </cell>
          <cell r="K793">
            <v>1</v>
          </cell>
          <cell r="L793">
            <v>75</v>
          </cell>
          <cell r="M793">
            <v>135</v>
          </cell>
          <cell r="N793">
            <v>4</v>
          </cell>
          <cell r="O793" t="str">
            <v>00</v>
          </cell>
          <cell r="P793">
            <v>6</v>
          </cell>
          <cell r="Q793">
            <v>4</v>
          </cell>
          <cell r="R793">
            <v>4</v>
          </cell>
          <cell r="S793">
            <v>3</v>
          </cell>
          <cell r="T793">
            <v>10</v>
          </cell>
          <cell r="V793">
            <v>0</v>
          </cell>
          <cell r="X793" t="str">
            <v>Etudiants (Transports nouveaux boursiers)</v>
          </cell>
          <cell r="Y793" t="str">
            <v>P4</v>
          </cell>
          <cell r="Z793" t="str">
            <v xml:space="preserve"> Etranger</v>
          </cell>
          <cell r="AA793" t="str">
            <v>Bourses.</v>
          </cell>
          <cell r="AB793">
            <v>0</v>
          </cell>
          <cell r="AC793">
            <v>0</v>
          </cell>
        </row>
        <row r="794">
          <cell r="B794">
            <v>1</v>
          </cell>
          <cell r="C794">
            <v>1</v>
          </cell>
          <cell r="D794" t="str">
            <v>$</v>
          </cell>
          <cell r="E794" t="str">
            <v>20</v>
          </cell>
          <cell r="F794">
            <v>75136400600</v>
          </cell>
          <cell r="G794">
            <v>4</v>
          </cell>
          <cell r="H794" t="str">
            <v>43</v>
          </cell>
          <cell r="I794">
            <v>10</v>
          </cell>
          <cell r="J794">
            <v>20</v>
          </cell>
          <cell r="K794">
            <v>1</v>
          </cell>
          <cell r="L794">
            <v>75</v>
          </cell>
          <cell r="M794">
            <v>136</v>
          </cell>
          <cell r="N794">
            <v>4</v>
          </cell>
          <cell r="O794" t="str">
            <v>00</v>
          </cell>
          <cell r="P794">
            <v>6</v>
          </cell>
          <cell r="Q794">
            <v>4</v>
          </cell>
          <cell r="R794">
            <v>4</v>
          </cell>
          <cell r="S794">
            <v>3</v>
          </cell>
          <cell r="T794">
            <v>10</v>
          </cell>
          <cell r="V794">
            <v>0</v>
          </cell>
          <cell r="X794" t="str">
            <v>Etudiants (Transports boursiers entrants définitifs)</v>
          </cell>
          <cell r="Y794" t="str">
            <v>P4</v>
          </cell>
          <cell r="Z794" t="str">
            <v xml:space="preserve"> Etranger</v>
          </cell>
          <cell r="AA794" t="str">
            <v>Bourses.</v>
          </cell>
          <cell r="AB794">
            <v>0</v>
          </cell>
          <cell r="AC794">
            <v>0</v>
          </cell>
        </row>
        <row r="795">
          <cell r="A795">
            <v>6176</v>
          </cell>
          <cell r="B795">
            <v>1</v>
          </cell>
          <cell r="J795">
            <v>20</v>
          </cell>
          <cell r="K795">
            <v>1</v>
          </cell>
          <cell r="L795">
            <v>75</v>
          </cell>
          <cell r="M795">
            <v>140</v>
          </cell>
          <cell r="N795">
            <v>4</v>
          </cell>
          <cell r="Q795">
            <v>4</v>
          </cell>
          <cell r="R795">
            <v>4</v>
          </cell>
          <cell r="S795">
            <v>3</v>
          </cell>
          <cell r="X795" t="str">
            <v>Primes Vacances</v>
          </cell>
        </row>
        <row r="796">
          <cell r="A796">
            <v>5490</v>
          </cell>
          <cell r="B796">
            <v>1</v>
          </cell>
          <cell r="C796">
            <v>1</v>
          </cell>
          <cell r="E796" t="str">
            <v>20</v>
          </cell>
          <cell r="F796">
            <v>75140400600</v>
          </cell>
          <cell r="G796">
            <v>4</v>
          </cell>
          <cell r="H796" t="str">
            <v>43</v>
          </cell>
          <cell r="I796">
            <v>10</v>
          </cell>
          <cell r="J796">
            <v>20</v>
          </cell>
          <cell r="K796">
            <v>1</v>
          </cell>
          <cell r="L796">
            <v>75</v>
          </cell>
          <cell r="M796">
            <v>140</v>
          </cell>
          <cell r="N796">
            <v>4</v>
          </cell>
          <cell r="O796" t="str">
            <v>00</v>
          </cell>
          <cell r="P796">
            <v>6</v>
          </cell>
          <cell r="Q796">
            <v>4</v>
          </cell>
          <cell r="R796">
            <v>4</v>
          </cell>
          <cell r="S796">
            <v>3</v>
          </cell>
          <cell r="T796">
            <v>10</v>
          </cell>
          <cell r="V796">
            <v>0</v>
          </cell>
          <cell r="X796" t="str">
            <v>Primes Vacances</v>
          </cell>
          <cell r="Y796" t="str">
            <v>P4</v>
          </cell>
          <cell r="Z796" t="str">
            <v xml:space="preserve"> Etranger</v>
          </cell>
          <cell r="AA796" t="str">
            <v>Bourses.</v>
          </cell>
          <cell r="AB796">
            <v>3653310</v>
          </cell>
          <cell r="AC796">
            <v>3653310</v>
          </cell>
        </row>
        <row r="797">
          <cell r="B797">
            <v>1</v>
          </cell>
          <cell r="C797">
            <v>1</v>
          </cell>
          <cell r="E797" t="str">
            <v>20</v>
          </cell>
          <cell r="F797">
            <v>75105900700</v>
          </cell>
          <cell r="G797">
            <v>4</v>
          </cell>
          <cell r="H797" t="str">
            <v>43</v>
          </cell>
          <cell r="I797">
            <v>21</v>
          </cell>
          <cell r="J797">
            <v>20</v>
          </cell>
          <cell r="K797">
            <v>1</v>
          </cell>
          <cell r="L797">
            <v>75</v>
          </cell>
          <cell r="M797">
            <v>105</v>
          </cell>
          <cell r="N797">
            <v>9</v>
          </cell>
          <cell r="O797" t="str">
            <v>00</v>
          </cell>
          <cell r="P797">
            <v>7</v>
          </cell>
          <cell r="Q797">
            <v>4</v>
          </cell>
          <cell r="R797">
            <v>4</v>
          </cell>
          <cell r="S797">
            <v>3</v>
          </cell>
          <cell r="T797">
            <v>21</v>
          </cell>
          <cell r="V797">
            <v>1</v>
          </cell>
          <cell r="X797" t="str">
            <v>Appui aux écoles professionnelles ( bourses)</v>
          </cell>
          <cell r="Y797" t="str">
            <v>P1</v>
          </cell>
          <cell r="Z797" t="str">
            <v xml:space="preserve"> Ens. NV</v>
          </cell>
          <cell r="AA797" t="str">
            <v>Bourses Elèves instituteurs</v>
          </cell>
          <cell r="AB797">
            <v>1181250</v>
          </cell>
          <cell r="AC797">
            <v>1181250</v>
          </cell>
        </row>
        <row r="798">
          <cell r="A798">
            <v>12474</v>
          </cell>
          <cell r="B798">
            <v>1</v>
          </cell>
          <cell r="D798" t="str">
            <v>I</v>
          </cell>
          <cell r="J798">
            <v>20</v>
          </cell>
          <cell r="K798">
            <v>2</v>
          </cell>
          <cell r="Q798">
            <v>5</v>
          </cell>
          <cell r="X798" t="str">
            <v>T5. INVESTISSEMENT/ DEP.EN CAPITAL DU BND</v>
          </cell>
          <cell r="AB798">
            <v>28105200</v>
          </cell>
          <cell r="AC798">
            <v>28105200</v>
          </cell>
        </row>
        <row r="799">
          <cell r="A799">
            <v>12476</v>
          </cell>
          <cell r="B799">
            <v>1</v>
          </cell>
          <cell r="J799">
            <v>20</v>
          </cell>
          <cell r="K799">
            <v>2</v>
          </cell>
          <cell r="N799">
            <v>9</v>
          </cell>
          <cell r="P799">
            <v>1</v>
          </cell>
          <cell r="Q799">
            <v>5</v>
          </cell>
          <cell r="X799" t="str">
            <v>Ressources propres</v>
          </cell>
          <cell r="Z799" t="str">
            <v>CPN</v>
          </cell>
          <cell r="AB799">
            <v>13737000</v>
          </cell>
          <cell r="AC799">
            <v>13737000</v>
          </cell>
        </row>
        <row r="800">
          <cell r="A800">
            <v>12478</v>
          </cell>
          <cell r="B800">
            <v>1</v>
          </cell>
          <cell r="J800">
            <v>20</v>
          </cell>
          <cell r="K800">
            <v>2</v>
          </cell>
          <cell r="N800">
            <v>9</v>
          </cell>
          <cell r="P800">
            <v>2</v>
          </cell>
          <cell r="Q800">
            <v>5</v>
          </cell>
          <cell r="X800" t="str">
            <v>Contributions à FINEX</v>
          </cell>
          <cell r="AB800">
            <v>5080000</v>
          </cell>
          <cell r="AC800">
            <v>5080000</v>
          </cell>
        </row>
        <row r="801">
          <cell r="A801">
            <v>12480</v>
          </cell>
          <cell r="B801">
            <v>1</v>
          </cell>
          <cell r="J801">
            <v>20</v>
          </cell>
          <cell r="K801">
            <v>2</v>
          </cell>
          <cell r="N801">
            <v>9</v>
          </cell>
          <cell r="P801">
            <v>3</v>
          </cell>
          <cell r="Q801">
            <v>5</v>
          </cell>
          <cell r="X801" t="str">
            <v>Fonds de contrepartie</v>
          </cell>
          <cell r="AB801">
            <v>0</v>
          </cell>
          <cell r="AC801">
            <v>0</v>
          </cell>
        </row>
        <row r="802">
          <cell r="A802">
            <v>12482</v>
          </cell>
          <cell r="B802">
            <v>1</v>
          </cell>
          <cell r="J802">
            <v>20</v>
          </cell>
          <cell r="K802">
            <v>2</v>
          </cell>
          <cell r="N802">
            <v>9</v>
          </cell>
          <cell r="P802">
            <v>8</v>
          </cell>
          <cell r="Q802">
            <v>5</v>
          </cell>
          <cell r="X802" t="str">
            <v>Initiative PPTE</v>
          </cell>
          <cell r="AB802">
            <v>9288200</v>
          </cell>
          <cell r="AC802">
            <v>9288200</v>
          </cell>
        </row>
        <row r="803">
          <cell r="B803">
            <v>1</v>
          </cell>
          <cell r="E803" t="str">
            <v>20 C</v>
          </cell>
          <cell r="F803">
            <v>42008900100</v>
          </cell>
          <cell r="G803">
            <v>5</v>
          </cell>
          <cell r="J803">
            <v>20</v>
          </cell>
          <cell r="K803">
            <v>2</v>
          </cell>
          <cell r="L803" t="str">
            <v>42</v>
          </cell>
          <cell r="M803" t="str">
            <v>008</v>
          </cell>
          <cell r="N803">
            <v>9</v>
          </cell>
          <cell r="O803" t="str">
            <v>00</v>
          </cell>
          <cell r="P803">
            <v>1</v>
          </cell>
          <cell r="Q803">
            <v>5</v>
          </cell>
          <cell r="X803" t="str">
            <v>Réhabilit. et Equip. des Universités</v>
          </cell>
          <cell r="Y803" t="str">
            <v>P4</v>
          </cell>
          <cell r="AB803">
            <v>2725000</v>
          </cell>
          <cell r="AC803">
            <v>2725000</v>
          </cell>
        </row>
        <row r="804">
          <cell r="B804">
            <v>1</v>
          </cell>
          <cell r="E804" t="str">
            <v>20 C</v>
          </cell>
          <cell r="F804">
            <v>42101900100</v>
          </cell>
          <cell r="G804">
            <v>5</v>
          </cell>
          <cell r="J804">
            <v>20</v>
          </cell>
          <cell r="K804">
            <v>2</v>
          </cell>
          <cell r="L804" t="str">
            <v>42</v>
          </cell>
          <cell r="M804" t="str">
            <v>101</v>
          </cell>
          <cell r="N804">
            <v>9</v>
          </cell>
          <cell r="O804" t="str">
            <v>00</v>
          </cell>
          <cell r="P804">
            <v>1</v>
          </cell>
          <cell r="Q804">
            <v>5</v>
          </cell>
          <cell r="X804" t="str">
            <v xml:space="preserve">Rénov. Institutions de Recherche </v>
          </cell>
          <cell r="Y804" t="str">
            <v>P4</v>
          </cell>
          <cell r="AB804">
            <v>821000</v>
          </cell>
          <cell r="AC804">
            <v>821000</v>
          </cell>
        </row>
        <row r="805">
          <cell r="B805">
            <v>1</v>
          </cell>
          <cell r="E805" t="str">
            <v>20 A</v>
          </cell>
          <cell r="F805">
            <v>42108900800</v>
          </cell>
          <cell r="G805">
            <v>5</v>
          </cell>
          <cell r="J805">
            <v>20</v>
          </cell>
          <cell r="K805">
            <v>2</v>
          </cell>
          <cell r="L805" t="str">
            <v>42</v>
          </cell>
          <cell r="M805" t="str">
            <v>108</v>
          </cell>
          <cell r="N805">
            <v>9</v>
          </cell>
          <cell r="O805" t="str">
            <v>00</v>
          </cell>
          <cell r="P805">
            <v>8</v>
          </cell>
          <cell r="Q805">
            <v>5</v>
          </cell>
          <cell r="X805" t="str">
            <v>Réhab/Const./Equip.salles classes Elem.</v>
          </cell>
          <cell r="Y805" t="str">
            <v>P1</v>
          </cell>
          <cell r="AB805">
            <v>9288200</v>
          </cell>
          <cell r="AC805">
            <v>9288200</v>
          </cell>
        </row>
        <row r="806">
          <cell r="B806">
            <v>1</v>
          </cell>
          <cell r="E806" t="str">
            <v>20 A</v>
          </cell>
          <cell r="F806">
            <v>42113900200</v>
          </cell>
          <cell r="G806">
            <v>5</v>
          </cell>
          <cell r="J806">
            <v>20</v>
          </cell>
          <cell r="K806">
            <v>2</v>
          </cell>
          <cell r="L806" t="str">
            <v>42</v>
          </cell>
          <cell r="M806" t="str">
            <v>113</v>
          </cell>
          <cell r="N806">
            <v>9</v>
          </cell>
          <cell r="O806" t="str">
            <v>00</v>
          </cell>
          <cell r="P806">
            <v>2</v>
          </cell>
          <cell r="Q806">
            <v>5</v>
          </cell>
          <cell r="X806" t="str">
            <v>Education Pour Tous (Eneign. PréUnivers.)</v>
          </cell>
          <cell r="Y806" t="str">
            <v>P1</v>
          </cell>
          <cell r="AB806">
            <v>1150000</v>
          </cell>
          <cell r="AC806">
            <v>1150000</v>
          </cell>
        </row>
        <row r="807">
          <cell r="B807">
            <v>1</v>
          </cell>
          <cell r="E807" t="str">
            <v>20 C</v>
          </cell>
          <cell r="F807">
            <v>42114900200</v>
          </cell>
          <cell r="G807">
            <v>5</v>
          </cell>
          <cell r="J807">
            <v>20</v>
          </cell>
          <cell r="K807">
            <v>2</v>
          </cell>
          <cell r="L807" t="str">
            <v>42</v>
          </cell>
          <cell r="M807" t="str">
            <v>114</v>
          </cell>
          <cell r="N807">
            <v>9</v>
          </cell>
          <cell r="O807" t="str">
            <v>00</v>
          </cell>
          <cell r="P807">
            <v>2</v>
          </cell>
          <cell r="Q807">
            <v>5</v>
          </cell>
          <cell r="X807" t="str">
            <v>Education Pour Tous (Enseign. Sup.)</v>
          </cell>
          <cell r="Y807" t="str">
            <v>P4</v>
          </cell>
          <cell r="AB807">
            <v>600000</v>
          </cell>
          <cell r="AC807">
            <v>600000</v>
          </cell>
        </row>
        <row r="808">
          <cell r="B808">
            <v>1</v>
          </cell>
          <cell r="E808">
            <v>20</v>
          </cell>
          <cell r="F808">
            <v>42115900200</v>
          </cell>
          <cell r="G808">
            <v>5</v>
          </cell>
          <cell r="J808" t="str">
            <v>20</v>
          </cell>
          <cell r="K808">
            <v>2</v>
          </cell>
          <cell r="L808">
            <v>42</v>
          </cell>
          <cell r="M808">
            <v>115</v>
          </cell>
          <cell r="N808">
            <v>9</v>
          </cell>
          <cell r="O808" t="str">
            <v>00</v>
          </cell>
          <cell r="P808">
            <v>2</v>
          </cell>
          <cell r="Q808">
            <v>5</v>
          </cell>
          <cell r="X808" t="str">
            <v>Education Pour Tous (Formation. prof.)</v>
          </cell>
          <cell r="Y808" t="str">
            <v>P3</v>
          </cell>
          <cell r="AB808">
            <v>300000</v>
          </cell>
          <cell r="AC808">
            <v>300000</v>
          </cell>
        </row>
        <row r="809">
          <cell r="B809">
            <v>1</v>
          </cell>
          <cell r="E809" t="str">
            <v>20 A</v>
          </cell>
          <cell r="F809">
            <v>42116900200</v>
          </cell>
          <cell r="G809">
            <v>5</v>
          </cell>
          <cell r="J809">
            <v>20</v>
          </cell>
          <cell r="K809">
            <v>2</v>
          </cell>
          <cell r="L809" t="str">
            <v>42</v>
          </cell>
          <cell r="M809" t="str">
            <v>116</v>
          </cell>
          <cell r="N809">
            <v>9</v>
          </cell>
          <cell r="O809" t="str">
            <v>00</v>
          </cell>
          <cell r="P809">
            <v>2</v>
          </cell>
          <cell r="Q809">
            <v>5</v>
          </cell>
          <cell r="X809" t="str">
            <v>Amélioration Qualité Enseignement</v>
          </cell>
          <cell r="Y809" t="str">
            <v>P1</v>
          </cell>
          <cell r="AB809">
            <v>740000</v>
          </cell>
          <cell r="AC809">
            <v>740000</v>
          </cell>
        </row>
        <row r="810">
          <cell r="B810">
            <v>1</v>
          </cell>
          <cell r="E810" t="str">
            <v>20 B</v>
          </cell>
          <cell r="F810">
            <v>42117900100</v>
          </cell>
          <cell r="G810">
            <v>5</v>
          </cell>
          <cell r="J810">
            <v>20</v>
          </cell>
          <cell r="K810">
            <v>2</v>
          </cell>
          <cell r="L810" t="str">
            <v>42</v>
          </cell>
          <cell r="M810" t="str">
            <v>117</v>
          </cell>
          <cell r="N810">
            <v>9</v>
          </cell>
          <cell r="O810" t="str">
            <v>00</v>
          </cell>
          <cell r="P810">
            <v>1</v>
          </cell>
          <cell r="Q810">
            <v>5</v>
          </cell>
          <cell r="X810" t="str">
            <v>Programme de réhabilitation des CFP</v>
          </cell>
          <cell r="Y810" t="str">
            <v>P3</v>
          </cell>
          <cell r="AB810">
            <v>800000</v>
          </cell>
          <cell r="AC810">
            <v>800000</v>
          </cell>
        </row>
        <row r="811">
          <cell r="B811">
            <v>1</v>
          </cell>
          <cell r="E811" t="str">
            <v>20 C</v>
          </cell>
          <cell r="F811">
            <v>42123900100</v>
          </cell>
          <cell r="G811">
            <v>5</v>
          </cell>
          <cell r="J811">
            <v>20</v>
          </cell>
          <cell r="K811">
            <v>2</v>
          </cell>
          <cell r="L811" t="str">
            <v>42</v>
          </cell>
          <cell r="M811" t="str">
            <v>123</v>
          </cell>
          <cell r="N811">
            <v>9</v>
          </cell>
          <cell r="O811" t="str">
            <v>00</v>
          </cell>
          <cell r="P811">
            <v>1</v>
          </cell>
          <cell r="Q811">
            <v>5</v>
          </cell>
          <cell r="X811" t="str">
            <v xml:space="preserve">Centres Universitaires Régionaux </v>
          </cell>
          <cell r="Y811" t="str">
            <v>P4</v>
          </cell>
          <cell r="AB811">
            <v>4000000</v>
          </cell>
          <cell r="AC811">
            <v>4000000</v>
          </cell>
        </row>
        <row r="812">
          <cell r="B812">
            <v>1</v>
          </cell>
          <cell r="E812" t="str">
            <v>20 A</v>
          </cell>
          <cell r="F812">
            <v>42124900100</v>
          </cell>
          <cell r="G812">
            <v>5</v>
          </cell>
          <cell r="J812">
            <v>20</v>
          </cell>
          <cell r="K812">
            <v>2</v>
          </cell>
          <cell r="L812" t="str">
            <v>42</v>
          </cell>
          <cell r="M812" t="str">
            <v>124</v>
          </cell>
          <cell r="N812">
            <v>9</v>
          </cell>
          <cell r="O812" t="str">
            <v>00</v>
          </cell>
          <cell r="P812">
            <v>1</v>
          </cell>
          <cell r="Q812">
            <v>5</v>
          </cell>
          <cell r="X812" t="str">
            <v>Construct.collège franco-arabe de Gbessia</v>
          </cell>
          <cell r="Y812" t="str">
            <v>P2</v>
          </cell>
          <cell r="AB812">
            <v>450000</v>
          </cell>
          <cell r="AC812">
            <v>450000</v>
          </cell>
        </row>
        <row r="813">
          <cell r="B813">
            <v>1</v>
          </cell>
          <cell r="E813" t="str">
            <v>20 A</v>
          </cell>
          <cell r="F813">
            <v>42130900200</v>
          </cell>
          <cell r="G813">
            <v>5</v>
          </cell>
          <cell r="J813">
            <v>20</v>
          </cell>
          <cell r="K813">
            <v>2</v>
          </cell>
          <cell r="L813" t="str">
            <v>42</v>
          </cell>
          <cell r="M813" t="str">
            <v>130</v>
          </cell>
          <cell r="N813">
            <v>9</v>
          </cell>
          <cell r="O813" t="str">
            <v>00</v>
          </cell>
          <cell r="P813">
            <v>2</v>
          </cell>
          <cell r="Q813">
            <v>5</v>
          </cell>
          <cell r="X813" t="str">
            <v>Construction/Equipements Collèges Ruraux</v>
          </cell>
          <cell r="Y813" t="str">
            <v>P2</v>
          </cell>
          <cell r="AB813">
            <v>500000</v>
          </cell>
          <cell r="AC813">
            <v>500000</v>
          </cell>
        </row>
        <row r="814">
          <cell r="B814">
            <v>1</v>
          </cell>
          <cell r="E814" t="str">
            <v>20 A</v>
          </cell>
          <cell r="F814">
            <v>42131900200</v>
          </cell>
          <cell r="G814">
            <v>5</v>
          </cell>
          <cell r="J814">
            <v>20</v>
          </cell>
          <cell r="K814">
            <v>2</v>
          </cell>
          <cell r="L814" t="str">
            <v>42</v>
          </cell>
          <cell r="M814" t="str">
            <v>131</v>
          </cell>
          <cell r="N814">
            <v>9</v>
          </cell>
          <cell r="O814" t="str">
            <v>00</v>
          </cell>
          <cell r="P814">
            <v>2</v>
          </cell>
          <cell r="Q814">
            <v>5</v>
          </cell>
          <cell r="X814" t="str">
            <v>Education III (BID)</v>
          </cell>
          <cell r="Y814" t="str">
            <v>P2</v>
          </cell>
          <cell r="AB814">
            <v>690000</v>
          </cell>
          <cell r="AC814">
            <v>690000</v>
          </cell>
        </row>
        <row r="815">
          <cell r="B815">
            <v>1</v>
          </cell>
          <cell r="E815" t="str">
            <v>20 C</v>
          </cell>
          <cell r="F815">
            <v>42132900200</v>
          </cell>
          <cell r="G815">
            <v>5</v>
          </cell>
          <cell r="J815">
            <v>20</v>
          </cell>
          <cell r="K815">
            <v>2</v>
          </cell>
          <cell r="L815" t="str">
            <v>42</v>
          </cell>
          <cell r="M815" t="str">
            <v>132</v>
          </cell>
          <cell r="N815">
            <v>9</v>
          </cell>
          <cell r="O815" t="str">
            <v>00</v>
          </cell>
          <cell r="P815">
            <v>2</v>
          </cell>
          <cell r="Q815">
            <v>5</v>
          </cell>
          <cell r="X815" t="str">
            <v>Centre de recherche environnementale (CERE)</v>
          </cell>
          <cell r="Y815" t="str">
            <v>P4</v>
          </cell>
          <cell r="AB815">
            <v>600000</v>
          </cell>
          <cell r="AC815">
            <v>600000</v>
          </cell>
        </row>
        <row r="816">
          <cell r="B816">
            <v>1</v>
          </cell>
          <cell r="E816" t="str">
            <v>20 C</v>
          </cell>
          <cell r="F816">
            <v>42135900100</v>
          </cell>
          <cell r="G816">
            <v>5</v>
          </cell>
          <cell r="J816">
            <v>20</v>
          </cell>
          <cell r="K816">
            <v>2</v>
          </cell>
          <cell r="L816" t="str">
            <v>42</v>
          </cell>
          <cell r="M816" t="str">
            <v>135</v>
          </cell>
          <cell r="N816">
            <v>9</v>
          </cell>
          <cell r="O816" t="str">
            <v>00</v>
          </cell>
          <cell r="P816">
            <v>1</v>
          </cell>
          <cell r="Q816">
            <v>5</v>
          </cell>
          <cell r="X816" t="str">
            <v>Const,/Rénovation Université GAN/ Sonfonia</v>
          </cell>
          <cell r="Y816" t="str">
            <v>P4</v>
          </cell>
          <cell r="AB816">
            <v>3341000</v>
          </cell>
          <cell r="AC816">
            <v>3341000</v>
          </cell>
        </row>
        <row r="817">
          <cell r="B817">
            <v>1</v>
          </cell>
          <cell r="E817" t="str">
            <v>20 A</v>
          </cell>
          <cell r="F817">
            <v>42136900200</v>
          </cell>
          <cell r="G817">
            <v>5</v>
          </cell>
          <cell r="J817">
            <v>20</v>
          </cell>
          <cell r="K817">
            <v>2</v>
          </cell>
          <cell r="L817" t="str">
            <v>42</v>
          </cell>
          <cell r="M817" t="str">
            <v>136</v>
          </cell>
          <cell r="N817">
            <v>9</v>
          </cell>
          <cell r="O817" t="str">
            <v>00</v>
          </cell>
          <cell r="P817">
            <v>2</v>
          </cell>
          <cell r="Q817">
            <v>5</v>
          </cell>
          <cell r="X817" t="str">
            <v>4ème Projet Education</v>
          </cell>
          <cell r="Y817" t="str">
            <v>P1</v>
          </cell>
          <cell r="AB817">
            <v>500000</v>
          </cell>
          <cell r="AC817">
            <v>500000</v>
          </cell>
        </row>
        <row r="818">
          <cell r="B818">
            <v>1</v>
          </cell>
          <cell r="E818" t="str">
            <v>20 B</v>
          </cell>
          <cell r="F818">
            <v>42139900100</v>
          </cell>
          <cell r="G818">
            <v>5</v>
          </cell>
          <cell r="J818">
            <v>20</v>
          </cell>
          <cell r="K818">
            <v>2</v>
          </cell>
          <cell r="L818" t="str">
            <v>42</v>
          </cell>
          <cell r="M818" t="str">
            <v>139</v>
          </cell>
          <cell r="N818">
            <v>9</v>
          </cell>
          <cell r="O818" t="str">
            <v>00</v>
          </cell>
          <cell r="P818">
            <v>1</v>
          </cell>
          <cell r="Q818">
            <v>5</v>
          </cell>
          <cell r="X818" t="str">
            <v>Ecole Nationale d'Agriculture E.N.A.E.</v>
          </cell>
          <cell r="Y818" t="str">
            <v>P3</v>
          </cell>
          <cell r="AB818">
            <v>1000000</v>
          </cell>
          <cell r="AC818">
            <v>1000000</v>
          </cell>
        </row>
        <row r="819">
          <cell r="B819">
            <v>1</v>
          </cell>
          <cell r="E819" t="str">
            <v>20 B</v>
          </cell>
          <cell r="F819">
            <v>42140900100</v>
          </cell>
          <cell r="G819">
            <v>5</v>
          </cell>
          <cell r="J819">
            <v>20</v>
          </cell>
          <cell r="K819">
            <v>2</v>
          </cell>
          <cell r="L819" t="str">
            <v>42</v>
          </cell>
          <cell r="M819" t="str">
            <v>140</v>
          </cell>
          <cell r="N819">
            <v>9</v>
          </cell>
          <cell r="O819" t="str">
            <v>00</v>
          </cell>
          <cell r="P819">
            <v>1</v>
          </cell>
          <cell r="Q819">
            <v>5</v>
          </cell>
          <cell r="X819" t="str">
            <v>Réhabilitation Ecoles de Santé Secondiare</v>
          </cell>
          <cell r="Y819" t="str">
            <v>P3</v>
          </cell>
          <cell r="AB819">
            <v>600000</v>
          </cell>
          <cell r="AC819">
            <v>600000</v>
          </cell>
        </row>
        <row r="820">
          <cell r="A820">
            <v>12484</v>
          </cell>
          <cell r="B820">
            <v>1</v>
          </cell>
          <cell r="J820">
            <v>20</v>
          </cell>
          <cell r="K820">
            <v>2</v>
          </cell>
          <cell r="N820">
            <v>9</v>
          </cell>
          <cell r="Q820">
            <v>5</v>
          </cell>
          <cell r="R820">
            <v>2</v>
          </cell>
          <cell r="X820" t="str">
            <v>Personnel / Traitements &amp; salaires</v>
          </cell>
          <cell r="AB820">
            <v>0</v>
          </cell>
          <cell r="AC820">
            <v>0</v>
          </cell>
        </row>
        <row r="821">
          <cell r="A821">
            <v>12486</v>
          </cell>
          <cell r="B821">
            <v>1</v>
          </cell>
          <cell r="J821">
            <v>20</v>
          </cell>
          <cell r="K821">
            <v>2</v>
          </cell>
          <cell r="N821">
            <v>9</v>
          </cell>
          <cell r="Q821">
            <v>5</v>
          </cell>
          <cell r="R821">
            <v>3</v>
          </cell>
          <cell r="X821" t="str">
            <v>Fonctionnement / Biens &amp; services</v>
          </cell>
          <cell r="AB821">
            <v>0</v>
          </cell>
          <cell r="AC821">
            <v>0</v>
          </cell>
        </row>
        <row r="822">
          <cell r="A822">
            <v>12488</v>
          </cell>
          <cell r="B822">
            <v>1</v>
          </cell>
          <cell r="J822">
            <v>20</v>
          </cell>
          <cell r="K822">
            <v>2</v>
          </cell>
          <cell r="N822">
            <v>9</v>
          </cell>
          <cell r="Q822">
            <v>5</v>
          </cell>
          <cell r="R822">
            <v>5</v>
          </cell>
          <cell r="X822" t="str">
            <v>Investissement et/ou non ventilé</v>
          </cell>
          <cell r="AB822">
            <v>0</v>
          </cell>
          <cell r="AC822">
            <v>0</v>
          </cell>
        </row>
        <row r="823">
          <cell r="A823">
            <v>6264</v>
          </cell>
          <cell r="B823">
            <v>1</v>
          </cell>
          <cell r="J823">
            <v>20</v>
          </cell>
          <cell r="K823">
            <v>1</v>
          </cell>
          <cell r="L823">
            <v>11</v>
          </cell>
          <cell r="M823">
            <v>110</v>
          </cell>
          <cell r="N823">
            <v>2</v>
          </cell>
          <cell r="Q823">
            <v>6</v>
          </cell>
          <cell r="R823">
            <v>6</v>
          </cell>
          <cell r="S823">
            <v>6</v>
          </cell>
          <cell r="W823">
            <v>0</v>
          </cell>
          <cell r="X823" t="str">
            <v>Universités</v>
          </cell>
          <cell r="AB823">
            <v>5270045</v>
          </cell>
          <cell r="AC823">
            <v>5270045</v>
          </cell>
        </row>
        <row r="824">
          <cell r="A824">
            <v>5711</v>
          </cell>
          <cell r="B824">
            <v>1</v>
          </cell>
          <cell r="E824" t="str">
            <v>20</v>
          </cell>
          <cell r="F824">
            <v>11110200600</v>
          </cell>
          <cell r="G824">
            <v>6</v>
          </cell>
          <cell r="H824" t="str">
            <v>66</v>
          </cell>
          <cell r="I824">
            <v>90</v>
          </cell>
          <cell r="J824">
            <v>20</v>
          </cell>
          <cell r="K824">
            <v>1</v>
          </cell>
          <cell r="L824">
            <v>11</v>
          </cell>
          <cell r="M824">
            <v>110</v>
          </cell>
          <cell r="N824">
            <v>2</v>
          </cell>
          <cell r="O824" t="str">
            <v>00</v>
          </cell>
          <cell r="P824">
            <v>6</v>
          </cell>
          <cell r="Q824">
            <v>6</v>
          </cell>
          <cell r="R824">
            <v>6</v>
          </cell>
          <cell r="S824">
            <v>6</v>
          </cell>
          <cell r="T824">
            <v>90</v>
          </cell>
          <cell r="V824">
            <v>0</v>
          </cell>
          <cell r="W824">
            <v>0</v>
          </cell>
          <cell r="X824" t="str">
            <v>Université Conakry</v>
          </cell>
          <cell r="Y824" t="str">
            <v>P4</v>
          </cell>
          <cell r="Z824" t="str">
            <v xml:space="preserve"> Conakry</v>
          </cell>
          <cell r="AA824" t="str">
            <v>Sub.capital (pour Investis.)</v>
          </cell>
          <cell r="AB824">
            <v>819219</v>
          </cell>
          <cell r="AC824">
            <v>819219</v>
          </cell>
        </row>
        <row r="825">
          <cell r="A825">
            <v>6265</v>
          </cell>
          <cell r="B825">
            <v>1</v>
          </cell>
          <cell r="J825">
            <v>20</v>
          </cell>
          <cell r="K825">
            <v>1</v>
          </cell>
          <cell r="L825">
            <v>11</v>
          </cell>
          <cell r="M825">
            <v>115</v>
          </cell>
          <cell r="N825">
            <v>2</v>
          </cell>
          <cell r="Q825">
            <v>6</v>
          </cell>
          <cell r="R825">
            <v>6</v>
          </cell>
          <cell r="S825">
            <v>6</v>
          </cell>
          <cell r="X825" t="str">
            <v>Université Sonfonia</v>
          </cell>
        </row>
        <row r="826">
          <cell r="A826">
            <v>5712</v>
          </cell>
          <cell r="B826">
            <v>1</v>
          </cell>
          <cell r="E826" t="str">
            <v>20</v>
          </cell>
          <cell r="F826">
            <v>11115200600</v>
          </cell>
          <cell r="G826">
            <v>6</v>
          </cell>
          <cell r="H826" t="str">
            <v>66</v>
          </cell>
          <cell r="I826">
            <v>90</v>
          </cell>
          <cell r="J826">
            <v>20</v>
          </cell>
          <cell r="K826">
            <v>1</v>
          </cell>
          <cell r="L826">
            <v>11</v>
          </cell>
          <cell r="M826">
            <v>115</v>
          </cell>
          <cell r="N826">
            <v>2</v>
          </cell>
          <cell r="O826" t="str">
            <v>00</v>
          </cell>
          <cell r="P826">
            <v>6</v>
          </cell>
          <cell r="Q826">
            <v>6</v>
          </cell>
          <cell r="R826">
            <v>6</v>
          </cell>
          <cell r="S826">
            <v>6</v>
          </cell>
          <cell r="T826">
            <v>90</v>
          </cell>
          <cell r="V826">
            <v>0</v>
          </cell>
          <cell r="X826" t="str">
            <v>Université Sonfonia</v>
          </cell>
          <cell r="Y826" t="str">
            <v>P4</v>
          </cell>
          <cell r="Z826" t="str">
            <v xml:space="preserve"> ConaLry</v>
          </cell>
          <cell r="AA826" t="str">
            <v>Sub.capital (pour Investis.)</v>
          </cell>
          <cell r="AB826">
            <v>890604</v>
          </cell>
          <cell r="AC826">
            <v>890604</v>
          </cell>
        </row>
        <row r="827">
          <cell r="B827">
            <v>1</v>
          </cell>
          <cell r="E827" t="str">
            <v>20</v>
          </cell>
          <cell r="F827">
            <v>11286200600</v>
          </cell>
          <cell r="G827">
            <v>6</v>
          </cell>
          <cell r="H827" t="str">
            <v>66</v>
          </cell>
          <cell r="I827">
            <v>90</v>
          </cell>
          <cell r="J827">
            <v>20</v>
          </cell>
          <cell r="K827">
            <v>1</v>
          </cell>
          <cell r="L827">
            <v>11</v>
          </cell>
          <cell r="M827">
            <v>286</v>
          </cell>
          <cell r="N827">
            <v>2</v>
          </cell>
          <cell r="O827" t="str">
            <v>00</v>
          </cell>
          <cell r="P827">
            <v>6</v>
          </cell>
          <cell r="Q827">
            <v>6</v>
          </cell>
          <cell r="R827">
            <v>6</v>
          </cell>
          <cell r="S827">
            <v>6</v>
          </cell>
          <cell r="T827">
            <v>90</v>
          </cell>
          <cell r="V827">
            <v>0</v>
          </cell>
          <cell r="X827" t="str">
            <v>Inst Itinérant lutte contre la drogue</v>
          </cell>
          <cell r="Y827" t="str">
            <v>P4</v>
          </cell>
          <cell r="Z827" t="str">
            <v xml:space="preserve"> Conakry</v>
          </cell>
          <cell r="AA827" t="str">
            <v>Sub.capital (pour Investis.)</v>
          </cell>
          <cell r="AB827">
            <v>150000</v>
          </cell>
          <cell r="AC827">
            <v>150000</v>
          </cell>
        </row>
        <row r="828">
          <cell r="A828">
            <v>6277</v>
          </cell>
          <cell r="B828">
            <v>1</v>
          </cell>
          <cell r="J828">
            <v>20</v>
          </cell>
          <cell r="K828">
            <v>1</v>
          </cell>
          <cell r="L828">
            <v>11</v>
          </cell>
          <cell r="M828">
            <v>291</v>
          </cell>
          <cell r="N828">
            <v>2</v>
          </cell>
          <cell r="Q828">
            <v>6</v>
          </cell>
          <cell r="R828">
            <v>6</v>
          </cell>
          <cell r="S828">
            <v>6</v>
          </cell>
          <cell r="X828" t="str">
            <v>ISFAD Inst sup form à distance</v>
          </cell>
        </row>
        <row r="829">
          <cell r="A829">
            <v>5724</v>
          </cell>
          <cell r="B829">
            <v>1</v>
          </cell>
          <cell r="E829" t="str">
            <v>20</v>
          </cell>
          <cell r="F829">
            <v>11291200600</v>
          </cell>
          <cell r="G829">
            <v>6</v>
          </cell>
          <cell r="H829" t="str">
            <v>66</v>
          </cell>
          <cell r="I829">
            <v>90</v>
          </cell>
          <cell r="J829">
            <v>20</v>
          </cell>
          <cell r="K829">
            <v>1</v>
          </cell>
          <cell r="L829">
            <v>11</v>
          </cell>
          <cell r="M829">
            <v>291</v>
          </cell>
          <cell r="N829">
            <v>2</v>
          </cell>
          <cell r="O829" t="str">
            <v>00</v>
          </cell>
          <cell r="P829">
            <v>6</v>
          </cell>
          <cell r="Q829">
            <v>6</v>
          </cell>
          <cell r="R829">
            <v>6</v>
          </cell>
          <cell r="S829">
            <v>6</v>
          </cell>
          <cell r="T829">
            <v>90</v>
          </cell>
          <cell r="V829">
            <v>0</v>
          </cell>
          <cell r="X829" t="str">
            <v>ISFAD Inst sup form à distance</v>
          </cell>
          <cell r="Y829" t="str">
            <v>P4</v>
          </cell>
          <cell r="Z829" t="str">
            <v xml:space="preserve"> Conakry</v>
          </cell>
          <cell r="AA829" t="str">
            <v>Sub.capital (pour Investis.)</v>
          </cell>
          <cell r="AB829">
            <v>258600</v>
          </cell>
          <cell r="AC829">
            <v>258600</v>
          </cell>
        </row>
        <row r="830">
          <cell r="A830">
            <v>5726</v>
          </cell>
          <cell r="B830">
            <v>1</v>
          </cell>
          <cell r="E830" t="str">
            <v>20</v>
          </cell>
          <cell r="F830">
            <v>11293200600</v>
          </cell>
          <cell r="G830">
            <v>6</v>
          </cell>
          <cell r="H830" t="str">
            <v>66</v>
          </cell>
          <cell r="I830">
            <v>90</v>
          </cell>
          <cell r="J830">
            <v>20</v>
          </cell>
          <cell r="K830">
            <v>1</v>
          </cell>
          <cell r="L830">
            <v>11</v>
          </cell>
          <cell r="M830">
            <v>293</v>
          </cell>
          <cell r="N830">
            <v>2</v>
          </cell>
          <cell r="O830" t="str">
            <v>00</v>
          </cell>
          <cell r="P830">
            <v>6</v>
          </cell>
          <cell r="Q830">
            <v>6</v>
          </cell>
          <cell r="R830">
            <v>6</v>
          </cell>
          <cell r="S830">
            <v>6</v>
          </cell>
          <cell r="T830">
            <v>90</v>
          </cell>
          <cell r="V830">
            <v>0</v>
          </cell>
          <cell r="X830" t="str">
            <v>Institut Sup.Information et Communication</v>
          </cell>
          <cell r="Y830" t="str">
            <v>P4</v>
          </cell>
          <cell r="Z830" t="str">
            <v xml:space="preserve"> Conakry</v>
          </cell>
          <cell r="AA830" t="str">
            <v>Sub.capital (pour Investis.)</v>
          </cell>
          <cell r="AB830">
            <v>47858</v>
          </cell>
          <cell r="AC830">
            <v>47858</v>
          </cell>
        </row>
        <row r="831">
          <cell r="B831">
            <v>1</v>
          </cell>
          <cell r="E831" t="str">
            <v>20</v>
          </cell>
          <cell r="F831">
            <v>11299200600</v>
          </cell>
          <cell r="G831">
            <v>6</v>
          </cell>
          <cell r="H831" t="str">
            <v>66</v>
          </cell>
          <cell r="I831">
            <v>90</v>
          </cell>
          <cell r="J831">
            <v>20</v>
          </cell>
          <cell r="K831">
            <v>1</v>
          </cell>
          <cell r="L831">
            <v>11</v>
          </cell>
          <cell r="M831">
            <v>299</v>
          </cell>
          <cell r="N831">
            <v>2</v>
          </cell>
          <cell r="O831" t="str">
            <v>00</v>
          </cell>
          <cell r="P831">
            <v>6</v>
          </cell>
          <cell r="Q831">
            <v>6</v>
          </cell>
          <cell r="R831">
            <v>6</v>
          </cell>
          <cell r="S831">
            <v>6</v>
          </cell>
          <cell r="T831">
            <v>90</v>
          </cell>
          <cell r="V831">
            <v>0</v>
          </cell>
          <cell r="X831" t="str">
            <v>Autres instituts</v>
          </cell>
          <cell r="Y831" t="str">
            <v>P4</v>
          </cell>
          <cell r="Z831" t="str">
            <v xml:space="preserve"> Conakry</v>
          </cell>
          <cell r="AA831" t="str">
            <v>Sub.capital (pour Investis.)</v>
          </cell>
          <cell r="AB831">
            <v>0</v>
          </cell>
          <cell r="AC831">
            <v>0</v>
          </cell>
        </row>
        <row r="832">
          <cell r="A832">
            <v>6266</v>
          </cell>
          <cell r="B832">
            <v>1</v>
          </cell>
          <cell r="J832">
            <v>20</v>
          </cell>
          <cell r="K832">
            <v>1</v>
          </cell>
          <cell r="L832">
            <v>11</v>
          </cell>
          <cell r="M832">
            <v>120</v>
          </cell>
          <cell r="N832">
            <v>3</v>
          </cell>
          <cell r="Q832">
            <v>6</v>
          </cell>
          <cell r="R832">
            <v>6</v>
          </cell>
          <cell r="S832">
            <v>6</v>
          </cell>
          <cell r="W832">
            <v>0</v>
          </cell>
          <cell r="X832" t="str">
            <v>Université Kankan</v>
          </cell>
        </row>
        <row r="833">
          <cell r="A833">
            <v>5713</v>
          </cell>
          <cell r="B833">
            <v>1</v>
          </cell>
          <cell r="E833" t="str">
            <v>20</v>
          </cell>
          <cell r="F833">
            <v>11120300600</v>
          </cell>
          <cell r="G833">
            <v>6</v>
          </cell>
          <cell r="H833" t="str">
            <v>66</v>
          </cell>
          <cell r="I833">
            <v>90</v>
          </cell>
          <cell r="J833">
            <v>20</v>
          </cell>
          <cell r="K833">
            <v>1</v>
          </cell>
          <cell r="L833">
            <v>11</v>
          </cell>
          <cell r="M833">
            <v>120</v>
          </cell>
          <cell r="N833">
            <v>3</v>
          </cell>
          <cell r="O833" t="str">
            <v>00</v>
          </cell>
          <cell r="P833">
            <v>6</v>
          </cell>
          <cell r="Q833">
            <v>6</v>
          </cell>
          <cell r="R833">
            <v>6</v>
          </cell>
          <cell r="S833">
            <v>6</v>
          </cell>
          <cell r="T833">
            <v>90</v>
          </cell>
          <cell r="V833">
            <v>0</v>
          </cell>
          <cell r="W833">
            <v>0</v>
          </cell>
          <cell r="X833" t="str">
            <v>Université Kankan</v>
          </cell>
          <cell r="Y833" t="str">
            <v>P4</v>
          </cell>
          <cell r="Z833" t="str">
            <v xml:space="preserve"> Intérieur</v>
          </cell>
          <cell r="AA833" t="str">
            <v>Sub.capital (pour Investis.)</v>
          </cell>
          <cell r="AB833">
            <v>667153</v>
          </cell>
          <cell r="AC833">
            <v>667153</v>
          </cell>
        </row>
        <row r="834">
          <cell r="A834">
            <v>6267</v>
          </cell>
          <cell r="B834">
            <v>1</v>
          </cell>
          <cell r="J834">
            <v>20</v>
          </cell>
          <cell r="K834">
            <v>1</v>
          </cell>
          <cell r="L834">
            <v>11</v>
          </cell>
          <cell r="M834">
            <v>210</v>
          </cell>
          <cell r="N834">
            <v>3</v>
          </cell>
          <cell r="Q834">
            <v>6</v>
          </cell>
          <cell r="R834">
            <v>6</v>
          </cell>
          <cell r="S834">
            <v>6</v>
          </cell>
          <cell r="W834">
            <v>0</v>
          </cell>
          <cell r="X834" t="str">
            <v>Institut Faranah</v>
          </cell>
        </row>
        <row r="835">
          <cell r="A835">
            <v>5714</v>
          </cell>
          <cell r="B835">
            <v>1</v>
          </cell>
          <cell r="E835" t="str">
            <v>20</v>
          </cell>
          <cell r="F835">
            <v>11210300600</v>
          </cell>
          <cell r="G835">
            <v>6</v>
          </cell>
          <cell r="H835" t="str">
            <v>66</v>
          </cell>
          <cell r="I835">
            <v>90</v>
          </cell>
          <cell r="J835">
            <v>20</v>
          </cell>
          <cell r="K835">
            <v>1</v>
          </cell>
          <cell r="L835">
            <v>11</v>
          </cell>
          <cell r="M835">
            <v>210</v>
          </cell>
          <cell r="N835">
            <v>3</v>
          </cell>
          <cell r="O835" t="str">
            <v>00</v>
          </cell>
          <cell r="P835">
            <v>6</v>
          </cell>
          <cell r="Q835">
            <v>6</v>
          </cell>
          <cell r="R835">
            <v>6</v>
          </cell>
          <cell r="S835">
            <v>6</v>
          </cell>
          <cell r="T835">
            <v>90</v>
          </cell>
          <cell r="V835">
            <v>0</v>
          </cell>
          <cell r="W835">
            <v>0</v>
          </cell>
          <cell r="X835" t="str">
            <v>Institut Faranah</v>
          </cell>
          <cell r="Y835" t="str">
            <v>P4</v>
          </cell>
          <cell r="Z835" t="str">
            <v xml:space="preserve"> Intérieur</v>
          </cell>
          <cell r="AA835" t="str">
            <v>Sub.capital (pour Investis.)</v>
          </cell>
          <cell r="AB835">
            <v>622539</v>
          </cell>
          <cell r="AC835">
            <v>622539</v>
          </cell>
        </row>
        <row r="836">
          <cell r="A836">
            <v>6268</v>
          </cell>
          <cell r="B836">
            <v>1</v>
          </cell>
          <cell r="J836">
            <v>20</v>
          </cell>
          <cell r="K836">
            <v>1</v>
          </cell>
          <cell r="L836">
            <v>11</v>
          </cell>
          <cell r="M836">
            <v>220</v>
          </cell>
          <cell r="N836">
            <v>3</v>
          </cell>
          <cell r="Q836">
            <v>6</v>
          </cell>
          <cell r="R836">
            <v>6</v>
          </cell>
          <cell r="S836">
            <v>6</v>
          </cell>
          <cell r="W836">
            <v>0</v>
          </cell>
          <cell r="X836" t="str">
            <v>Institut Manéah</v>
          </cell>
        </row>
        <row r="837">
          <cell r="A837">
            <v>5715</v>
          </cell>
          <cell r="B837">
            <v>1</v>
          </cell>
          <cell r="E837" t="str">
            <v>20</v>
          </cell>
          <cell r="F837">
            <v>11220300600</v>
          </cell>
          <cell r="G837">
            <v>6</v>
          </cell>
          <cell r="H837" t="str">
            <v>66</v>
          </cell>
          <cell r="I837">
            <v>90</v>
          </cell>
          <cell r="J837">
            <v>20</v>
          </cell>
          <cell r="K837">
            <v>1</v>
          </cell>
          <cell r="L837">
            <v>11</v>
          </cell>
          <cell r="M837">
            <v>220</v>
          </cell>
          <cell r="N837">
            <v>3</v>
          </cell>
          <cell r="O837" t="str">
            <v>00</v>
          </cell>
          <cell r="P837">
            <v>6</v>
          </cell>
          <cell r="Q837">
            <v>6</v>
          </cell>
          <cell r="R837">
            <v>6</v>
          </cell>
          <cell r="S837">
            <v>6</v>
          </cell>
          <cell r="T837">
            <v>90</v>
          </cell>
          <cell r="V837">
            <v>0</v>
          </cell>
          <cell r="W837">
            <v>0</v>
          </cell>
          <cell r="X837" t="str">
            <v>Institut Manéah</v>
          </cell>
          <cell r="Y837" t="str">
            <v>P4</v>
          </cell>
          <cell r="Z837" t="str">
            <v xml:space="preserve"> Intérieur</v>
          </cell>
          <cell r="AA837" t="str">
            <v>Sub.capital (pour Investis.)</v>
          </cell>
          <cell r="AB837">
            <v>295276</v>
          </cell>
          <cell r="AC837">
            <v>295276</v>
          </cell>
        </row>
        <row r="838">
          <cell r="A838">
            <v>6269</v>
          </cell>
          <cell r="B838">
            <v>1</v>
          </cell>
          <cell r="J838">
            <v>20</v>
          </cell>
          <cell r="K838">
            <v>1</v>
          </cell>
          <cell r="L838">
            <v>11</v>
          </cell>
          <cell r="M838">
            <v>230</v>
          </cell>
          <cell r="N838">
            <v>3</v>
          </cell>
          <cell r="Q838">
            <v>6</v>
          </cell>
          <cell r="R838">
            <v>6</v>
          </cell>
          <cell r="S838">
            <v>6</v>
          </cell>
          <cell r="W838">
            <v>0</v>
          </cell>
          <cell r="X838" t="str">
            <v>Institut Boké</v>
          </cell>
        </row>
        <row r="839">
          <cell r="A839">
            <v>5716</v>
          </cell>
          <cell r="B839">
            <v>1</v>
          </cell>
          <cell r="E839" t="str">
            <v>20</v>
          </cell>
          <cell r="F839">
            <v>11230300600</v>
          </cell>
          <cell r="G839">
            <v>6</v>
          </cell>
          <cell r="H839" t="str">
            <v>66</v>
          </cell>
          <cell r="I839">
            <v>90</v>
          </cell>
          <cell r="J839">
            <v>20</v>
          </cell>
          <cell r="K839">
            <v>1</v>
          </cell>
          <cell r="L839">
            <v>11</v>
          </cell>
          <cell r="M839">
            <v>230</v>
          </cell>
          <cell r="N839">
            <v>3</v>
          </cell>
          <cell r="O839" t="str">
            <v>00</v>
          </cell>
          <cell r="P839">
            <v>6</v>
          </cell>
          <cell r="Q839">
            <v>6</v>
          </cell>
          <cell r="R839">
            <v>6</v>
          </cell>
          <cell r="S839">
            <v>6</v>
          </cell>
          <cell r="T839">
            <v>90</v>
          </cell>
          <cell r="V839">
            <v>0</v>
          </cell>
          <cell r="W839">
            <v>0</v>
          </cell>
          <cell r="X839" t="str">
            <v>Institut Boké</v>
          </cell>
          <cell r="Y839" t="str">
            <v>P4</v>
          </cell>
          <cell r="Z839" t="str">
            <v xml:space="preserve"> Intérieur</v>
          </cell>
          <cell r="AA839" t="str">
            <v>Sub.capital (pour Investis.)</v>
          </cell>
          <cell r="AB839">
            <v>155058</v>
          </cell>
          <cell r="AC839">
            <v>155058</v>
          </cell>
        </row>
        <row r="840">
          <cell r="A840">
            <v>6270</v>
          </cell>
          <cell r="B840">
            <v>1</v>
          </cell>
          <cell r="J840">
            <v>20</v>
          </cell>
          <cell r="K840">
            <v>1</v>
          </cell>
          <cell r="L840">
            <v>11</v>
          </cell>
          <cell r="M840">
            <v>240</v>
          </cell>
          <cell r="N840">
            <v>3</v>
          </cell>
          <cell r="Q840">
            <v>6</v>
          </cell>
          <cell r="R840">
            <v>6</v>
          </cell>
          <cell r="S840">
            <v>6</v>
          </cell>
          <cell r="W840">
            <v>0</v>
          </cell>
          <cell r="X840" t="str">
            <v>Institut Labé</v>
          </cell>
        </row>
        <row r="841">
          <cell r="A841">
            <v>5717</v>
          </cell>
          <cell r="B841">
            <v>1</v>
          </cell>
          <cell r="E841" t="str">
            <v>20</v>
          </cell>
          <cell r="F841">
            <v>11240300600</v>
          </cell>
          <cell r="G841">
            <v>6</v>
          </cell>
          <cell r="H841" t="str">
            <v>66</v>
          </cell>
          <cell r="I841">
            <v>90</v>
          </cell>
          <cell r="J841">
            <v>20</v>
          </cell>
          <cell r="K841">
            <v>1</v>
          </cell>
          <cell r="L841">
            <v>11</v>
          </cell>
          <cell r="M841">
            <v>240</v>
          </cell>
          <cell r="N841">
            <v>3</v>
          </cell>
          <cell r="O841" t="str">
            <v>00</v>
          </cell>
          <cell r="P841">
            <v>6</v>
          </cell>
          <cell r="Q841">
            <v>6</v>
          </cell>
          <cell r="R841">
            <v>6</v>
          </cell>
          <cell r="S841">
            <v>6</v>
          </cell>
          <cell r="T841">
            <v>90</v>
          </cell>
          <cell r="V841">
            <v>0</v>
          </cell>
          <cell r="X841" t="str">
            <v>Institut Labé</v>
          </cell>
          <cell r="Y841" t="str">
            <v>P4</v>
          </cell>
          <cell r="Z841" t="str">
            <v xml:space="preserve"> Intérieur</v>
          </cell>
          <cell r="AA841" t="str">
            <v>Sub.capital (pour Investis.)</v>
          </cell>
          <cell r="AB841">
            <v>248400</v>
          </cell>
          <cell r="AC841">
            <v>248400</v>
          </cell>
        </row>
        <row r="842">
          <cell r="A842">
            <v>6271</v>
          </cell>
          <cell r="B842">
            <v>1</v>
          </cell>
          <cell r="J842">
            <v>20</v>
          </cell>
          <cell r="K842">
            <v>1</v>
          </cell>
          <cell r="L842">
            <v>11</v>
          </cell>
          <cell r="M842">
            <v>250</v>
          </cell>
          <cell r="N842">
            <v>3</v>
          </cell>
          <cell r="Q842">
            <v>6</v>
          </cell>
          <cell r="R842">
            <v>6</v>
          </cell>
          <cell r="S842">
            <v>6</v>
          </cell>
          <cell r="W842">
            <v>0</v>
          </cell>
          <cell r="X842" t="str">
            <v>Institut N'Zérékoré</v>
          </cell>
        </row>
        <row r="843">
          <cell r="A843">
            <v>5718</v>
          </cell>
          <cell r="B843">
            <v>1</v>
          </cell>
          <cell r="E843" t="str">
            <v>20</v>
          </cell>
          <cell r="F843">
            <v>11250300600</v>
          </cell>
          <cell r="G843">
            <v>6</v>
          </cell>
          <cell r="H843" t="str">
            <v>66</v>
          </cell>
          <cell r="I843">
            <v>90</v>
          </cell>
          <cell r="J843">
            <v>20</v>
          </cell>
          <cell r="K843">
            <v>1</v>
          </cell>
          <cell r="L843">
            <v>11</v>
          </cell>
          <cell r="M843">
            <v>250</v>
          </cell>
          <cell r="N843">
            <v>3</v>
          </cell>
          <cell r="O843" t="str">
            <v>00</v>
          </cell>
          <cell r="P843">
            <v>6</v>
          </cell>
          <cell r="Q843">
            <v>6</v>
          </cell>
          <cell r="R843">
            <v>6</v>
          </cell>
          <cell r="S843">
            <v>6</v>
          </cell>
          <cell r="T843">
            <v>90</v>
          </cell>
          <cell r="V843">
            <v>0</v>
          </cell>
          <cell r="X843" t="str">
            <v>Institut N'Zérékoré</v>
          </cell>
          <cell r="Y843" t="str">
            <v>P4</v>
          </cell>
          <cell r="Z843" t="str">
            <v xml:space="preserve"> Intérieur</v>
          </cell>
          <cell r="AA843" t="str">
            <v>Sub.capital (pour Investis.)</v>
          </cell>
          <cell r="AB843">
            <v>269525</v>
          </cell>
          <cell r="AC843">
            <v>269525</v>
          </cell>
        </row>
        <row r="844">
          <cell r="A844">
            <v>6272</v>
          </cell>
          <cell r="B844">
            <v>1</v>
          </cell>
          <cell r="J844">
            <v>20</v>
          </cell>
          <cell r="K844">
            <v>1</v>
          </cell>
          <cell r="L844">
            <v>11</v>
          </cell>
          <cell r="M844">
            <v>260</v>
          </cell>
          <cell r="N844">
            <v>3</v>
          </cell>
          <cell r="Q844">
            <v>6</v>
          </cell>
          <cell r="R844">
            <v>6</v>
          </cell>
          <cell r="S844">
            <v>6</v>
          </cell>
          <cell r="W844">
            <v>0</v>
          </cell>
          <cell r="X844" t="str">
            <v>Institut Sup Arts-Guinée</v>
          </cell>
        </row>
        <row r="845">
          <cell r="A845">
            <v>5719</v>
          </cell>
          <cell r="B845">
            <v>1</v>
          </cell>
          <cell r="E845" t="str">
            <v>20</v>
          </cell>
          <cell r="F845">
            <v>11260300600</v>
          </cell>
          <cell r="G845">
            <v>6</v>
          </cell>
          <cell r="H845" t="str">
            <v>66</v>
          </cell>
          <cell r="I845">
            <v>90</v>
          </cell>
          <cell r="J845">
            <v>20</v>
          </cell>
          <cell r="K845">
            <v>1</v>
          </cell>
          <cell r="L845">
            <v>11</v>
          </cell>
          <cell r="M845">
            <v>260</v>
          </cell>
          <cell r="N845">
            <v>3</v>
          </cell>
          <cell r="O845" t="str">
            <v>00</v>
          </cell>
          <cell r="P845">
            <v>6</v>
          </cell>
          <cell r="Q845">
            <v>6</v>
          </cell>
          <cell r="R845">
            <v>6</v>
          </cell>
          <cell r="S845">
            <v>6</v>
          </cell>
          <cell r="T845">
            <v>90</v>
          </cell>
          <cell r="V845">
            <v>0</v>
          </cell>
          <cell r="X845" t="str">
            <v>Institut Sup Arts-Guinée</v>
          </cell>
          <cell r="Y845" t="str">
            <v>P4</v>
          </cell>
          <cell r="Z845" t="str">
            <v xml:space="preserve"> Intérieur</v>
          </cell>
          <cell r="AA845" t="str">
            <v>Sub.capital (pour Investis.)</v>
          </cell>
          <cell r="AB845">
            <v>240120</v>
          </cell>
          <cell r="AC845">
            <v>240120</v>
          </cell>
        </row>
        <row r="846">
          <cell r="A846">
            <v>6273</v>
          </cell>
          <cell r="B846">
            <v>1</v>
          </cell>
          <cell r="J846">
            <v>20</v>
          </cell>
          <cell r="K846">
            <v>1</v>
          </cell>
          <cell r="L846">
            <v>11</v>
          </cell>
          <cell r="M846">
            <v>270</v>
          </cell>
          <cell r="N846">
            <v>3</v>
          </cell>
          <cell r="Q846">
            <v>6</v>
          </cell>
          <cell r="R846">
            <v>6</v>
          </cell>
          <cell r="S846">
            <v>6</v>
          </cell>
          <cell r="X846" t="str">
            <v>Ecole Préparatoire Grandes Institutions Ingenieurs Tech. Sup.</v>
          </cell>
        </row>
        <row r="847">
          <cell r="A847">
            <v>5720</v>
          </cell>
          <cell r="B847">
            <v>1</v>
          </cell>
          <cell r="E847" t="str">
            <v>20</v>
          </cell>
          <cell r="F847">
            <v>11270300600</v>
          </cell>
          <cell r="G847">
            <v>6</v>
          </cell>
          <cell r="H847" t="str">
            <v>66</v>
          </cell>
          <cell r="I847">
            <v>90</v>
          </cell>
          <cell r="J847">
            <v>20</v>
          </cell>
          <cell r="K847">
            <v>1</v>
          </cell>
          <cell r="L847">
            <v>11</v>
          </cell>
          <cell r="M847">
            <v>270</v>
          </cell>
          <cell r="N847">
            <v>3</v>
          </cell>
          <cell r="O847" t="str">
            <v>00</v>
          </cell>
          <cell r="P847">
            <v>6</v>
          </cell>
          <cell r="Q847">
            <v>6</v>
          </cell>
          <cell r="R847">
            <v>6</v>
          </cell>
          <cell r="S847">
            <v>6</v>
          </cell>
          <cell r="T847">
            <v>90</v>
          </cell>
          <cell r="V847">
            <v>0</v>
          </cell>
          <cell r="X847" t="str">
            <v>Ecole Préparatoire Grandes Institutions Ingenieurs Tech. Sup.</v>
          </cell>
          <cell r="Y847" t="str">
            <v>P4</v>
          </cell>
          <cell r="Z847" t="str">
            <v xml:space="preserve"> Intérieur</v>
          </cell>
          <cell r="AA847" t="str">
            <v>Sub.capital (pour Investis.)</v>
          </cell>
          <cell r="AB847">
            <v>277060</v>
          </cell>
          <cell r="AC847">
            <v>277060</v>
          </cell>
        </row>
        <row r="848">
          <cell r="A848">
            <v>6274</v>
          </cell>
          <cell r="B848">
            <v>1</v>
          </cell>
          <cell r="J848">
            <v>20</v>
          </cell>
          <cell r="K848">
            <v>1</v>
          </cell>
          <cell r="L848">
            <v>11</v>
          </cell>
          <cell r="M848">
            <v>280</v>
          </cell>
          <cell r="N848">
            <v>3</v>
          </cell>
          <cell r="Q848">
            <v>6</v>
          </cell>
          <cell r="R848">
            <v>6</v>
          </cell>
          <cell r="S848">
            <v>6</v>
          </cell>
          <cell r="X848" t="str">
            <v>INA Urbanisme</v>
          </cell>
        </row>
        <row r="849">
          <cell r="A849">
            <v>5721</v>
          </cell>
          <cell r="B849">
            <v>1</v>
          </cell>
          <cell r="E849" t="str">
            <v>20</v>
          </cell>
          <cell r="F849">
            <v>11281300600</v>
          </cell>
          <cell r="G849">
            <v>6</v>
          </cell>
          <cell r="H849" t="str">
            <v>66</v>
          </cell>
          <cell r="I849">
            <v>90</v>
          </cell>
          <cell r="J849">
            <v>20</v>
          </cell>
          <cell r="K849">
            <v>1</v>
          </cell>
          <cell r="L849">
            <v>11</v>
          </cell>
          <cell r="M849">
            <v>281</v>
          </cell>
          <cell r="N849">
            <v>3</v>
          </cell>
          <cell r="O849" t="str">
            <v>00</v>
          </cell>
          <cell r="P849">
            <v>6</v>
          </cell>
          <cell r="Q849">
            <v>6</v>
          </cell>
          <cell r="R849">
            <v>6</v>
          </cell>
          <cell r="S849">
            <v>6</v>
          </cell>
          <cell r="T849">
            <v>90</v>
          </cell>
          <cell r="V849">
            <v>0</v>
          </cell>
          <cell r="X849" t="str">
            <v>INA Urbanisme</v>
          </cell>
          <cell r="Y849" t="str">
            <v>P4</v>
          </cell>
          <cell r="Z849" t="str">
            <v xml:space="preserve"> Intérieur</v>
          </cell>
          <cell r="AA849" t="str">
            <v>Sub.capital (pour Investis.)</v>
          </cell>
          <cell r="AB849">
            <v>47113</v>
          </cell>
          <cell r="AC849">
            <v>47113</v>
          </cell>
        </row>
        <row r="850">
          <cell r="A850">
            <v>6275</v>
          </cell>
          <cell r="B850">
            <v>1</v>
          </cell>
          <cell r="J850">
            <v>20</v>
          </cell>
          <cell r="K850">
            <v>1</v>
          </cell>
          <cell r="L850">
            <v>11</v>
          </cell>
          <cell r="M850">
            <v>285</v>
          </cell>
          <cell r="N850">
            <v>3</v>
          </cell>
          <cell r="Q850">
            <v>6</v>
          </cell>
          <cell r="R850">
            <v>6</v>
          </cell>
          <cell r="S850">
            <v>6</v>
          </cell>
          <cell r="X850" t="str">
            <v>IST Mamou</v>
          </cell>
        </row>
        <row r="851">
          <cell r="A851">
            <v>5722</v>
          </cell>
          <cell r="B851">
            <v>1</v>
          </cell>
          <cell r="E851" t="str">
            <v>20</v>
          </cell>
          <cell r="F851">
            <v>11285300600</v>
          </cell>
          <cell r="G851">
            <v>6</v>
          </cell>
          <cell r="H851" t="str">
            <v>66</v>
          </cell>
          <cell r="I851">
            <v>90</v>
          </cell>
          <cell r="J851">
            <v>20</v>
          </cell>
          <cell r="K851">
            <v>1</v>
          </cell>
          <cell r="L851">
            <v>11</v>
          </cell>
          <cell r="M851">
            <v>285</v>
          </cell>
          <cell r="N851">
            <v>3</v>
          </cell>
          <cell r="O851" t="str">
            <v>00</v>
          </cell>
          <cell r="P851">
            <v>6</v>
          </cell>
          <cell r="Q851">
            <v>6</v>
          </cell>
          <cell r="R851">
            <v>6</v>
          </cell>
          <cell r="S851">
            <v>6</v>
          </cell>
          <cell r="T851">
            <v>90</v>
          </cell>
          <cell r="V851">
            <v>0</v>
          </cell>
          <cell r="X851" t="str">
            <v>IST Mamou</v>
          </cell>
          <cell r="Y851" t="str">
            <v>P4</v>
          </cell>
          <cell r="Z851" t="str">
            <v xml:space="preserve"> Intérieur</v>
          </cell>
          <cell r="AA851" t="str">
            <v>Sub.capital (pour Investis.)</v>
          </cell>
          <cell r="AB851">
            <v>115920</v>
          </cell>
          <cell r="AC851">
            <v>115920</v>
          </cell>
        </row>
        <row r="852">
          <cell r="A852">
            <v>6276</v>
          </cell>
          <cell r="B852">
            <v>1</v>
          </cell>
          <cell r="J852">
            <v>20</v>
          </cell>
          <cell r="K852">
            <v>1</v>
          </cell>
          <cell r="L852">
            <v>11</v>
          </cell>
          <cell r="M852">
            <v>290</v>
          </cell>
          <cell r="N852">
            <v>3</v>
          </cell>
          <cell r="Q852">
            <v>6</v>
          </cell>
          <cell r="R852">
            <v>6</v>
          </cell>
          <cell r="S852">
            <v>6</v>
          </cell>
          <cell r="X852" t="str">
            <v>Inst Med Vet Dalaba</v>
          </cell>
        </row>
        <row r="853">
          <cell r="A853">
            <v>5723</v>
          </cell>
          <cell r="B853">
            <v>1</v>
          </cell>
          <cell r="E853" t="str">
            <v>20</v>
          </cell>
          <cell r="F853">
            <v>11290300600</v>
          </cell>
          <cell r="G853">
            <v>6</v>
          </cell>
          <cell r="H853" t="str">
            <v>66</v>
          </cell>
          <cell r="I853">
            <v>90</v>
          </cell>
          <cell r="J853">
            <v>20</v>
          </cell>
          <cell r="K853">
            <v>1</v>
          </cell>
          <cell r="L853">
            <v>11</v>
          </cell>
          <cell r="M853">
            <v>290</v>
          </cell>
          <cell r="N853">
            <v>3</v>
          </cell>
          <cell r="O853" t="str">
            <v>00</v>
          </cell>
          <cell r="P853">
            <v>6</v>
          </cell>
          <cell r="Q853">
            <v>6</v>
          </cell>
          <cell r="R853">
            <v>6</v>
          </cell>
          <cell r="S853">
            <v>6</v>
          </cell>
          <cell r="T853">
            <v>90</v>
          </cell>
          <cell r="V853">
            <v>0</v>
          </cell>
          <cell r="X853" t="str">
            <v>Inst Med Vet Dalaba</v>
          </cell>
          <cell r="Y853" t="str">
            <v>P4</v>
          </cell>
          <cell r="Z853" t="str">
            <v xml:space="preserve"> Intérieur</v>
          </cell>
          <cell r="AA853" t="str">
            <v>Sub.capital (pour Investis.)</v>
          </cell>
          <cell r="AB853">
            <v>165600</v>
          </cell>
          <cell r="AC853">
            <v>165600</v>
          </cell>
        </row>
      </sheetData>
      <sheetData sheetId="7"/>
      <sheetData sheetId="8"/>
      <sheetData sheetId="9"/>
      <sheetData sheetId="10"/>
      <sheetData sheetId="11">
        <row r="2">
          <cell r="O2" t="str">
            <v>qté10</v>
          </cell>
          <cell r="W2" t="str">
            <v>can10</v>
          </cell>
          <cell r="AA2" t="str">
            <v>bail10</v>
          </cell>
          <cell r="AE2" t="str">
            <v>cpn10</v>
          </cell>
        </row>
        <row r="3">
          <cell r="W3">
            <v>253250682.18755436</v>
          </cell>
          <cell r="AA3">
            <v>249836682.56000882</v>
          </cell>
          <cell r="AE3">
            <v>3413999.6275455821</v>
          </cell>
        </row>
        <row r="4">
          <cell r="O4">
            <v>15</v>
          </cell>
          <cell r="W4">
            <v>24</v>
          </cell>
          <cell r="AA4">
            <v>29</v>
          </cell>
          <cell r="AE4">
            <v>34</v>
          </cell>
        </row>
        <row r="5">
          <cell r="B5" t="str">
            <v>B</v>
          </cell>
          <cell r="C5" t="str">
            <v>C</v>
          </cell>
          <cell r="D5" t="str">
            <v>D</v>
          </cell>
          <cell r="E5" t="str">
            <v>E</v>
          </cell>
          <cell r="F5" t="str">
            <v>F</v>
          </cell>
          <cell r="G5" t="str">
            <v>G</v>
          </cell>
          <cell r="H5" t="str">
            <v>H</v>
          </cell>
          <cell r="I5" t="str">
            <v>I</v>
          </cell>
          <cell r="J5" t="str">
            <v>J</v>
          </cell>
          <cell r="K5" t="str">
            <v>K</v>
          </cell>
          <cell r="L5" t="str">
            <v>L</v>
          </cell>
          <cell r="M5" t="str">
            <v>N</v>
          </cell>
          <cell r="N5" t="str">
            <v>O</v>
          </cell>
          <cell r="O5" t="str">
            <v>P</v>
          </cell>
          <cell r="P5" t="str">
            <v>Q</v>
          </cell>
          <cell r="Q5" t="str">
            <v>R</v>
          </cell>
          <cell r="R5" t="str">
            <v>S</v>
          </cell>
          <cell r="S5" t="str">
            <v>T</v>
          </cell>
          <cell r="T5" t="str">
            <v>U</v>
          </cell>
          <cell r="U5" t="str">
            <v>W</v>
          </cell>
          <cell r="V5" t="str">
            <v>X</v>
          </cell>
          <cell r="W5" t="str">
            <v>Y</v>
          </cell>
          <cell r="X5" t="str">
            <v>Z</v>
          </cell>
          <cell r="Y5" t="str">
            <v>AB</v>
          </cell>
          <cell r="Z5" t="str">
            <v>AC</v>
          </cell>
          <cell r="AA5" t="str">
            <v>AD</v>
          </cell>
          <cell r="AB5" t="str">
            <v>AE</v>
          </cell>
          <cell r="AC5" t="str">
            <v>AG</v>
          </cell>
          <cell r="AD5" t="str">
            <v>AH</v>
          </cell>
          <cell r="AE5" t="str">
            <v>AI</v>
          </cell>
          <cell r="AF5" t="str">
            <v>AJ</v>
          </cell>
          <cell r="AG5" t="str">
            <v>AK</v>
          </cell>
          <cell r="AH5" t="str">
            <v>AL</v>
          </cell>
        </row>
        <row r="7">
          <cell r="B7" t="str">
            <v>originede laprogrammation</v>
          </cell>
          <cell r="C7" t="str">
            <v>s/comp</v>
          </cell>
          <cell r="D7" t="str">
            <v>codeplan</v>
          </cell>
          <cell r="E7" t="str">
            <v>centrede coût</v>
          </cell>
          <cell r="F7" t="str">
            <v>centrede gestion</v>
          </cell>
          <cell r="G7" t="str">
            <v>nature dela dépense</v>
          </cell>
          <cell r="H7" t="str">
            <v>activité / nature</v>
          </cell>
          <cell r="I7" t="str">
            <v>responsabled'exécution</v>
          </cell>
          <cell r="J7" t="str">
            <v>agenced'exécution</v>
          </cell>
          <cell r="K7" t="str">
            <v>projet oubudget</v>
          </cell>
          <cell r="L7" t="str">
            <v>procédured'acquisition</v>
          </cell>
          <cell r="M7" t="str">
            <v>quantité2008</v>
          </cell>
          <cell r="N7" t="str">
            <v>quantité2009</v>
          </cell>
          <cell r="O7" t="str">
            <v>quantité2010</v>
          </cell>
          <cell r="P7" t="str">
            <v>quantitétotale</v>
          </cell>
          <cell r="Q7" t="str">
            <v>unité</v>
          </cell>
          <cell r="R7" t="str">
            <v>réf ducoûtstandard</v>
          </cell>
          <cell r="S7" t="str">
            <v>coûtunitaire</v>
          </cell>
          <cell r="T7" t="str">
            <v>%bailleur</v>
          </cell>
          <cell r="U7" t="str">
            <v>coût2008</v>
          </cell>
          <cell r="V7" t="str">
            <v>coût2009</v>
          </cell>
          <cell r="W7" t="str">
            <v>coût2010</v>
          </cell>
          <cell r="X7" t="str">
            <v>coûttotal</v>
          </cell>
          <cell r="Y7" t="str">
            <v>montantbailleur2008</v>
          </cell>
          <cell r="Z7" t="str">
            <v>montantbailleur2009</v>
          </cell>
          <cell r="AA7" t="str">
            <v>montantbailleur2010</v>
          </cell>
          <cell r="AB7" t="str">
            <v>montantbailleurtotal</v>
          </cell>
          <cell r="AC7" t="str">
            <v>montantCPN2008</v>
          </cell>
          <cell r="AD7" t="str">
            <v>montantCPN2009</v>
          </cell>
          <cell r="AE7" t="str">
            <v>montantCPN2010</v>
          </cell>
          <cell r="AF7" t="str">
            <v>montantCPNtotal</v>
          </cell>
          <cell r="AG7" t="str">
            <v>%communauté</v>
          </cell>
          <cell r="AH7" t="str">
            <v>montantcommunauté</v>
          </cell>
        </row>
        <row r="8">
          <cell r="B8" t="str">
            <v>ESRS</v>
          </cell>
          <cell r="C8" t="str">
            <v>B3E</v>
          </cell>
          <cell r="D8" t="str">
            <v>B3EY</v>
          </cell>
          <cell r="E8" t="str">
            <v>CERE</v>
          </cell>
          <cell r="F8" t="str">
            <v>CERE</v>
          </cell>
          <cell r="G8">
            <v>25</v>
          </cell>
          <cell r="H8" t="str">
            <v>CERE Mise en œuvre Phase II Honoraires</v>
          </cell>
          <cell r="J8" t="str">
            <v>SOGEMA</v>
          </cell>
          <cell r="K8" t="str">
            <v>ACDI</v>
          </cell>
          <cell r="P8">
            <v>0</v>
          </cell>
          <cell r="Q8" t="str">
            <v>forfait</v>
          </cell>
          <cell r="S8">
            <v>658550.61560000002</v>
          </cell>
          <cell r="T8">
            <v>1</v>
          </cell>
          <cell r="U8">
            <v>0</v>
          </cell>
          <cell r="V8">
            <v>0</v>
          </cell>
          <cell r="W8">
            <v>0</v>
          </cell>
          <cell r="X8">
            <v>0</v>
          </cell>
          <cell r="Y8">
            <v>0</v>
          </cell>
          <cell r="Z8">
            <v>0</v>
          </cell>
          <cell r="AA8">
            <v>0</v>
          </cell>
          <cell r="AB8">
            <v>0</v>
          </cell>
          <cell r="AC8">
            <v>0</v>
          </cell>
          <cell r="AD8">
            <v>0</v>
          </cell>
          <cell r="AE8">
            <v>0</v>
          </cell>
          <cell r="AF8">
            <v>0</v>
          </cell>
          <cell r="AG8">
            <v>0</v>
          </cell>
          <cell r="AH8">
            <v>0</v>
          </cell>
        </row>
        <row r="9">
          <cell r="B9" t="str">
            <v>ESRS</v>
          </cell>
          <cell r="C9" t="str">
            <v>B3E</v>
          </cell>
          <cell r="D9" t="str">
            <v>B3EY</v>
          </cell>
          <cell r="E9" t="str">
            <v>CERE</v>
          </cell>
          <cell r="F9" t="str">
            <v>CERE</v>
          </cell>
          <cell r="G9">
            <v>25</v>
          </cell>
          <cell r="H9" t="str">
            <v>CERE Mise en œuvre Phase II Honoraires</v>
          </cell>
          <cell r="J9" t="str">
            <v>SOGEMA</v>
          </cell>
          <cell r="K9" t="str">
            <v>ACDI</v>
          </cell>
          <cell r="M9">
            <v>1</v>
          </cell>
          <cell r="P9">
            <v>1</v>
          </cell>
          <cell r="Q9" t="str">
            <v>forfait</v>
          </cell>
          <cell r="S9">
            <v>570579.04671999998</v>
          </cell>
          <cell r="T9">
            <v>1</v>
          </cell>
          <cell r="U9">
            <v>570579.04671999998</v>
          </cell>
          <cell r="V9">
            <v>0</v>
          </cell>
          <cell r="W9">
            <v>0</v>
          </cell>
          <cell r="X9">
            <v>570579.04671999998</v>
          </cell>
          <cell r="Y9">
            <v>570579.04671999998</v>
          </cell>
          <cell r="Z9">
            <v>0</v>
          </cell>
          <cell r="AA9">
            <v>0</v>
          </cell>
          <cell r="AB9">
            <v>570579.04671999998</v>
          </cell>
          <cell r="AC9">
            <v>0</v>
          </cell>
          <cell r="AD9">
            <v>0</v>
          </cell>
          <cell r="AE9">
            <v>0</v>
          </cell>
          <cell r="AF9">
            <v>0</v>
          </cell>
          <cell r="AG9">
            <v>0</v>
          </cell>
          <cell r="AH9">
            <v>0</v>
          </cell>
        </row>
        <row r="10">
          <cell r="B10" t="str">
            <v>ESRS</v>
          </cell>
          <cell r="C10" t="str">
            <v>B3E</v>
          </cell>
          <cell r="D10" t="str">
            <v>B3EY</v>
          </cell>
          <cell r="E10" t="str">
            <v>CERE</v>
          </cell>
          <cell r="F10" t="str">
            <v>CERE</v>
          </cell>
          <cell r="G10">
            <v>15</v>
          </cell>
          <cell r="H10" t="str">
            <v>CERE Mise en œuvre Phase II Fonctionnement</v>
          </cell>
          <cell r="J10" t="str">
            <v>SOGEMA</v>
          </cell>
          <cell r="K10" t="str">
            <v>ACDI</v>
          </cell>
          <cell r="P10">
            <v>0</v>
          </cell>
          <cell r="Q10" t="str">
            <v>forfait</v>
          </cell>
          <cell r="S10">
            <v>1206511.6308800001</v>
          </cell>
          <cell r="T10">
            <v>1</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row>
        <row r="11">
          <cell r="B11" t="str">
            <v>ESRS</v>
          </cell>
          <cell r="C11" t="str">
            <v>B3E</v>
          </cell>
          <cell r="D11" t="str">
            <v>B3EY</v>
          </cell>
          <cell r="E11" t="str">
            <v>CERE</v>
          </cell>
          <cell r="F11" t="str">
            <v>CERE</v>
          </cell>
          <cell r="G11">
            <v>15</v>
          </cell>
          <cell r="H11" t="str">
            <v>CERE Mise en œuvre Phase II Fonctionnement</v>
          </cell>
          <cell r="J11" t="str">
            <v>SOGEMA</v>
          </cell>
          <cell r="K11" t="str">
            <v>ACDI</v>
          </cell>
          <cell r="M11">
            <v>1</v>
          </cell>
          <cell r="P11">
            <v>1</v>
          </cell>
          <cell r="Q11" t="str">
            <v>forfait</v>
          </cell>
          <cell r="S11">
            <v>761574.97180000006</v>
          </cell>
          <cell r="T11">
            <v>1</v>
          </cell>
          <cell r="U11">
            <v>761574.97180000006</v>
          </cell>
          <cell r="V11">
            <v>0</v>
          </cell>
          <cell r="W11">
            <v>0</v>
          </cell>
          <cell r="X11">
            <v>761574.97180000006</v>
          </cell>
          <cell r="Y11">
            <v>761574.97180000006</v>
          </cell>
          <cell r="Z11">
            <v>0</v>
          </cell>
          <cell r="AA11">
            <v>0</v>
          </cell>
          <cell r="AB11">
            <v>761574.97180000006</v>
          </cell>
          <cell r="AC11">
            <v>0</v>
          </cell>
          <cell r="AD11">
            <v>0</v>
          </cell>
          <cell r="AE11">
            <v>0</v>
          </cell>
          <cell r="AF11">
            <v>0</v>
          </cell>
          <cell r="AG11">
            <v>0</v>
          </cell>
          <cell r="AH11">
            <v>0</v>
          </cell>
        </row>
        <row r="12">
          <cell r="B12" t="str">
            <v>ST/EPU</v>
          </cell>
          <cell r="C12" t="str">
            <v>A1A</v>
          </cell>
          <cell r="D12" t="str">
            <v>A1AC</v>
          </cell>
          <cell r="E12" t="str">
            <v>EP/DABO</v>
          </cell>
          <cell r="G12">
            <v>22</v>
          </cell>
          <cell r="H12" t="str">
            <v>300 cl PME Construction classes, bureau, latrines et puits</v>
          </cell>
          <cell r="I12" t="str">
            <v>SNIES</v>
          </cell>
          <cell r="K12" t="str">
            <v>IDA</v>
          </cell>
          <cell r="L12" t="str">
            <v>AON</v>
          </cell>
          <cell r="P12">
            <v>0</v>
          </cell>
          <cell r="Q12" t="str">
            <v>cl</v>
          </cell>
          <cell r="S12">
            <v>60884.4</v>
          </cell>
          <cell r="T12">
            <v>0.8</v>
          </cell>
          <cell r="U12">
            <v>0</v>
          </cell>
          <cell r="V12">
            <v>0</v>
          </cell>
          <cell r="W12">
            <v>0</v>
          </cell>
          <cell r="X12">
            <v>0</v>
          </cell>
          <cell r="Y12">
            <v>0</v>
          </cell>
          <cell r="Z12">
            <v>0</v>
          </cell>
          <cell r="AA12">
            <v>0</v>
          </cell>
          <cell r="AB12">
            <v>0</v>
          </cell>
          <cell r="AC12">
            <v>0</v>
          </cell>
          <cell r="AD12">
            <v>0</v>
          </cell>
          <cell r="AE12">
            <v>0</v>
          </cell>
          <cell r="AF12">
            <v>0</v>
          </cell>
          <cell r="AG12">
            <v>0.1</v>
          </cell>
          <cell r="AH12">
            <v>0</v>
          </cell>
        </row>
        <row r="13">
          <cell r="B13" t="str">
            <v>ST/EPU</v>
          </cell>
          <cell r="C13" t="str">
            <v>A1A</v>
          </cell>
          <cell r="D13" t="str">
            <v>A1AC</v>
          </cell>
          <cell r="E13" t="str">
            <v>EP/KANK</v>
          </cell>
          <cell r="G13">
            <v>22</v>
          </cell>
          <cell r="H13" t="str">
            <v>300 cl PME Construction classes, bureau, latrines et puits</v>
          </cell>
          <cell r="I13" t="str">
            <v>SNIES</v>
          </cell>
          <cell r="K13" t="str">
            <v>IDA</v>
          </cell>
          <cell r="L13" t="str">
            <v>AON</v>
          </cell>
          <cell r="P13">
            <v>0</v>
          </cell>
          <cell r="Q13" t="str">
            <v>cl</v>
          </cell>
          <cell r="S13">
            <v>50046.791666666664</v>
          </cell>
          <cell r="T13">
            <v>0.8</v>
          </cell>
          <cell r="U13">
            <v>0</v>
          </cell>
          <cell r="V13">
            <v>0</v>
          </cell>
          <cell r="W13">
            <v>0</v>
          </cell>
          <cell r="X13">
            <v>0</v>
          </cell>
          <cell r="Y13">
            <v>0</v>
          </cell>
          <cell r="Z13">
            <v>0</v>
          </cell>
          <cell r="AA13">
            <v>0</v>
          </cell>
          <cell r="AB13">
            <v>0</v>
          </cell>
          <cell r="AC13">
            <v>0</v>
          </cell>
          <cell r="AD13">
            <v>0</v>
          </cell>
          <cell r="AE13">
            <v>0</v>
          </cell>
          <cell r="AF13">
            <v>0</v>
          </cell>
          <cell r="AG13">
            <v>0.1</v>
          </cell>
          <cell r="AH13">
            <v>0</v>
          </cell>
        </row>
        <row r="14">
          <cell r="B14" t="str">
            <v>ST/EPU</v>
          </cell>
          <cell r="C14" t="str">
            <v>A1A</v>
          </cell>
          <cell r="D14" t="str">
            <v>A1AC</v>
          </cell>
          <cell r="E14" t="str">
            <v>EP/MAND</v>
          </cell>
          <cell r="G14">
            <v>22</v>
          </cell>
          <cell r="H14" t="str">
            <v>300 cl PME Construction classes, bureau, latrines et puits</v>
          </cell>
          <cell r="I14" t="str">
            <v>SNIES</v>
          </cell>
          <cell r="K14" t="str">
            <v>IDA</v>
          </cell>
          <cell r="L14" t="str">
            <v>AON</v>
          </cell>
          <cell r="P14">
            <v>0</v>
          </cell>
          <cell r="Q14" t="str">
            <v>cl</v>
          </cell>
          <cell r="S14">
            <v>63594.238095238092</v>
          </cell>
          <cell r="T14">
            <v>0.8</v>
          </cell>
          <cell r="U14">
            <v>0</v>
          </cell>
          <cell r="V14">
            <v>0</v>
          </cell>
          <cell r="W14">
            <v>0</v>
          </cell>
          <cell r="X14">
            <v>0</v>
          </cell>
          <cell r="Y14">
            <v>0</v>
          </cell>
          <cell r="Z14">
            <v>0</v>
          </cell>
          <cell r="AA14">
            <v>0</v>
          </cell>
          <cell r="AB14">
            <v>0</v>
          </cell>
          <cell r="AC14">
            <v>0</v>
          </cell>
          <cell r="AD14">
            <v>0</v>
          </cell>
          <cell r="AE14">
            <v>0</v>
          </cell>
          <cell r="AF14">
            <v>0</v>
          </cell>
          <cell r="AG14">
            <v>0.1</v>
          </cell>
          <cell r="AH14">
            <v>0</v>
          </cell>
        </row>
        <row r="15">
          <cell r="B15" t="str">
            <v>ST/EPU</v>
          </cell>
          <cell r="C15" t="str">
            <v>A1A</v>
          </cell>
          <cell r="D15" t="str">
            <v>A1AC</v>
          </cell>
          <cell r="E15" t="str">
            <v>EP/GUEC</v>
          </cell>
          <cell r="G15">
            <v>22</v>
          </cell>
          <cell r="H15" t="str">
            <v>300 cl PME Construction classes, bureau, latrines et puits</v>
          </cell>
          <cell r="I15" t="str">
            <v>SNIES</v>
          </cell>
          <cell r="K15" t="str">
            <v>IDA</v>
          </cell>
          <cell r="L15" t="str">
            <v>AON</v>
          </cell>
          <cell r="P15">
            <v>0</v>
          </cell>
          <cell r="Q15" t="str">
            <v>cl</v>
          </cell>
          <cell r="S15">
            <v>72697.600000000006</v>
          </cell>
          <cell r="T15">
            <v>0.8</v>
          </cell>
          <cell r="U15">
            <v>0</v>
          </cell>
          <cell r="V15">
            <v>0</v>
          </cell>
          <cell r="W15">
            <v>0</v>
          </cell>
          <cell r="X15">
            <v>0</v>
          </cell>
          <cell r="Y15">
            <v>0</v>
          </cell>
          <cell r="Z15">
            <v>0</v>
          </cell>
          <cell r="AA15">
            <v>0</v>
          </cell>
          <cell r="AB15">
            <v>0</v>
          </cell>
          <cell r="AC15">
            <v>0</v>
          </cell>
          <cell r="AD15">
            <v>0</v>
          </cell>
          <cell r="AE15">
            <v>0</v>
          </cell>
          <cell r="AF15">
            <v>0</v>
          </cell>
          <cell r="AG15">
            <v>0.1</v>
          </cell>
          <cell r="AH15">
            <v>0</v>
          </cell>
        </row>
        <row r="16">
          <cell r="B16" t="str">
            <v>ST/EPU</v>
          </cell>
          <cell r="C16" t="str">
            <v>A1A</v>
          </cell>
          <cell r="D16" t="str">
            <v>A1AC</v>
          </cell>
          <cell r="E16" t="str">
            <v>EP/BEYL</v>
          </cell>
          <cell r="G16">
            <v>22</v>
          </cell>
          <cell r="H16" t="str">
            <v>300 cl PME Construction classes, bureau, latrines et puits</v>
          </cell>
          <cell r="I16" t="str">
            <v>SNIES</v>
          </cell>
          <cell r="K16" t="str">
            <v>IDA</v>
          </cell>
          <cell r="L16" t="str">
            <v>AON</v>
          </cell>
          <cell r="P16">
            <v>0</v>
          </cell>
          <cell r="Q16" t="str">
            <v>cl</v>
          </cell>
          <cell r="S16">
            <v>57133.291666666664</v>
          </cell>
          <cell r="T16">
            <v>0.8</v>
          </cell>
          <cell r="U16">
            <v>0</v>
          </cell>
          <cell r="V16">
            <v>0</v>
          </cell>
          <cell r="W16">
            <v>0</v>
          </cell>
          <cell r="X16">
            <v>0</v>
          </cell>
          <cell r="Y16">
            <v>0</v>
          </cell>
          <cell r="Z16">
            <v>0</v>
          </cell>
          <cell r="AA16">
            <v>0</v>
          </cell>
          <cell r="AB16">
            <v>0</v>
          </cell>
          <cell r="AC16">
            <v>0</v>
          </cell>
          <cell r="AD16">
            <v>0</v>
          </cell>
          <cell r="AE16">
            <v>0</v>
          </cell>
          <cell r="AF16">
            <v>0</v>
          </cell>
          <cell r="AG16">
            <v>0.1</v>
          </cell>
          <cell r="AH16">
            <v>0</v>
          </cell>
        </row>
        <row r="17">
          <cell r="B17" t="str">
            <v>ST/EPU</v>
          </cell>
          <cell r="C17" t="str">
            <v>A1A</v>
          </cell>
          <cell r="D17" t="str">
            <v>A1AC</v>
          </cell>
          <cell r="E17" t="str">
            <v>EP/MACE</v>
          </cell>
          <cell r="G17">
            <v>22</v>
          </cell>
          <cell r="H17" t="str">
            <v>300 cl PME Construction classes, bureau, latrines et puits</v>
          </cell>
          <cell r="I17" t="str">
            <v>SNIES</v>
          </cell>
          <cell r="K17" t="str">
            <v>IDA</v>
          </cell>
          <cell r="L17" t="str">
            <v>AON</v>
          </cell>
          <cell r="P17">
            <v>0</v>
          </cell>
          <cell r="Q17" t="str">
            <v>cl</v>
          </cell>
          <cell r="S17">
            <v>68610.393939393936</v>
          </cell>
          <cell r="T17">
            <v>0.8</v>
          </cell>
          <cell r="U17">
            <v>0</v>
          </cell>
          <cell r="V17">
            <v>0</v>
          </cell>
          <cell r="W17">
            <v>0</v>
          </cell>
          <cell r="X17">
            <v>0</v>
          </cell>
          <cell r="Y17">
            <v>0</v>
          </cell>
          <cell r="Z17">
            <v>0</v>
          </cell>
          <cell r="AA17">
            <v>0</v>
          </cell>
          <cell r="AB17">
            <v>0</v>
          </cell>
          <cell r="AC17">
            <v>0</v>
          </cell>
          <cell r="AD17">
            <v>0</v>
          </cell>
          <cell r="AE17">
            <v>0</v>
          </cell>
          <cell r="AF17">
            <v>0</v>
          </cell>
          <cell r="AG17">
            <v>0.1</v>
          </cell>
          <cell r="AH17">
            <v>0</v>
          </cell>
        </row>
        <row r="18">
          <cell r="B18" t="str">
            <v>ST/EPU</v>
          </cell>
          <cell r="C18" t="str">
            <v>A1A</v>
          </cell>
          <cell r="D18" t="str">
            <v>A1AC</v>
          </cell>
          <cell r="E18" t="str">
            <v>EP/FRIA</v>
          </cell>
          <cell r="G18">
            <v>22</v>
          </cell>
          <cell r="H18" t="str">
            <v>300 cl PME Construction classes, bureau, latrines et puits</v>
          </cell>
          <cell r="I18" t="str">
            <v>SNIES</v>
          </cell>
          <cell r="K18" t="str">
            <v>IDA</v>
          </cell>
          <cell r="L18" t="str">
            <v>AON</v>
          </cell>
          <cell r="P18">
            <v>0</v>
          </cell>
          <cell r="Q18" t="str">
            <v>cl</v>
          </cell>
          <cell r="S18">
            <v>51664</v>
          </cell>
          <cell r="T18">
            <v>0.8</v>
          </cell>
          <cell r="U18">
            <v>0</v>
          </cell>
          <cell r="V18">
            <v>0</v>
          </cell>
          <cell r="W18">
            <v>0</v>
          </cell>
          <cell r="X18">
            <v>0</v>
          </cell>
          <cell r="Y18">
            <v>0</v>
          </cell>
          <cell r="Z18">
            <v>0</v>
          </cell>
          <cell r="AA18">
            <v>0</v>
          </cell>
          <cell r="AB18">
            <v>0</v>
          </cell>
          <cell r="AC18">
            <v>0</v>
          </cell>
          <cell r="AD18">
            <v>0</v>
          </cell>
          <cell r="AE18">
            <v>0</v>
          </cell>
          <cell r="AF18">
            <v>0</v>
          </cell>
          <cell r="AG18">
            <v>0.1</v>
          </cell>
          <cell r="AH18">
            <v>0</v>
          </cell>
        </row>
        <row r="19">
          <cell r="B19" t="str">
            <v>ST/EPU</v>
          </cell>
          <cell r="C19" t="str">
            <v>A1A</v>
          </cell>
          <cell r="D19" t="str">
            <v>A1AC</v>
          </cell>
          <cell r="E19" t="str">
            <v>EP/BOFF</v>
          </cell>
          <cell r="G19">
            <v>22</v>
          </cell>
          <cell r="H19" t="str">
            <v>300 cl PME Construction classes, bureau, latrines et puits</v>
          </cell>
          <cell r="I19" t="str">
            <v>SNIES</v>
          </cell>
          <cell r="K19" t="str">
            <v>IDA</v>
          </cell>
          <cell r="L19" t="str">
            <v>AON</v>
          </cell>
          <cell r="P19">
            <v>0</v>
          </cell>
          <cell r="Q19" t="str">
            <v>cl</v>
          </cell>
          <cell r="S19">
            <v>63836.952380952382</v>
          </cell>
          <cell r="T19">
            <v>0.8</v>
          </cell>
          <cell r="U19">
            <v>0</v>
          </cell>
          <cell r="V19">
            <v>0</v>
          </cell>
          <cell r="W19">
            <v>0</v>
          </cell>
          <cell r="X19">
            <v>0</v>
          </cell>
          <cell r="Y19">
            <v>0</v>
          </cell>
          <cell r="Z19">
            <v>0</v>
          </cell>
          <cell r="AA19">
            <v>0</v>
          </cell>
          <cell r="AB19">
            <v>0</v>
          </cell>
          <cell r="AC19">
            <v>0</v>
          </cell>
          <cell r="AD19">
            <v>0</v>
          </cell>
          <cell r="AE19">
            <v>0</v>
          </cell>
          <cell r="AF19">
            <v>0</v>
          </cell>
          <cell r="AG19">
            <v>0.1</v>
          </cell>
          <cell r="AH19">
            <v>0</v>
          </cell>
        </row>
        <row r="20">
          <cell r="B20" t="str">
            <v>ST/EPU</v>
          </cell>
          <cell r="C20" t="str">
            <v>A1A</v>
          </cell>
          <cell r="D20" t="str">
            <v>A1AC</v>
          </cell>
          <cell r="E20" t="str">
            <v>EP/GAOU</v>
          </cell>
          <cell r="G20">
            <v>22</v>
          </cell>
          <cell r="H20" t="str">
            <v>300 cl PME Construction classes, bureau, latrines et puits</v>
          </cell>
          <cell r="I20" t="str">
            <v>SNIES</v>
          </cell>
          <cell r="K20" t="str">
            <v>IDA</v>
          </cell>
          <cell r="L20" t="str">
            <v>AON</v>
          </cell>
          <cell r="P20">
            <v>0</v>
          </cell>
          <cell r="Q20" t="str">
            <v>cl</v>
          </cell>
          <cell r="S20">
            <v>72492.111111111109</v>
          </cell>
          <cell r="T20">
            <v>0.8</v>
          </cell>
          <cell r="U20">
            <v>0</v>
          </cell>
          <cell r="V20">
            <v>0</v>
          </cell>
          <cell r="W20">
            <v>0</v>
          </cell>
          <cell r="X20">
            <v>0</v>
          </cell>
          <cell r="Y20">
            <v>0</v>
          </cell>
          <cell r="Z20">
            <v>0</v>
          </cell>
          <cell r="AA20">
            <v>0</v>
          </cell>
          <cell r="AB20">
            <v>0</v>
          </cell>
          <cell r="AC20">
            <v>0</v>
          </cell>
          <cell r="AD20">
            <v>0</v>
          </cell>
          <cell r="AE20">
            <v>0</v>
          </cell>
          <cell r="AF20">
            <v>0</v>
          </cell>
          <cell r="AG20">
            <v>0.1</v>
          </cell>
          <cell r="AH20">
            <v>0</v>
          </cell>
        </row>
        <row r="21">
          <cell r="B21" t="str">
            <v>ST/EPU</v>
          </cell>
          <cell r="C21" t="str">
            <v>A1A</v>
          </cell>
          <cell r="D21" t="str">
            <v>A1AC</v>
          </cell>
          <cell r="E21" t="str">
            <v>EP/PITA</v>
          </cell>
          <cell r="G21">
            <v>22</v>
          </cell>
          <cell r="H21" t="str">
            <v>300 cl PME Construction classes, bureau, latrines et puits</v>
          </cell>
          <cell r="I21" t="str">
            <v>SNIES</v>
          </cell>
          <cell r="K21" t="str">
            <v>IDA</v>
          </cell>
          <cell r="L21" t="str">
            <v>AON</v>
          </cell>
          <cell r="P21">
            <v>0</v>
          </cell>
          <cell r="Q21" t="str">
            <v>cl</v>
          </cell>
          <cell r="S21">
            <v>59911</v>
          </cell>
          <cell r="T21">
            <v>0.8</v>
          </cell>
          <cell r="U21">
            <v>0</v>
          </cell>
          <cell r="V21">
            <v>0</v>
          </cell>
          <cell r="W21">
            <v>0</v>
          </cell>
          <cell r="X21">
            <v>0</v>
          </cell>
          <cell r="Y21">
            <v>0</v>
          </cell>
          <cell r="Z21">
            <v>0</v>
          </cell>
          <cell r="AA21">
            <v>0</v>
          </cell>
          <cell r="AB21">
            <v>0</v>
          </cell>
          <cell r="AC21">
            <v>0</v>
          </cell>
          <cell r="AD21">
            <v>0</v>
          </cell>
          <cell r="AE21">
            <v>0</v>
          </cell>
          <cell r="AF21">
            <v>0</v>
          </cell>
          <cell r="AG21">
            <v>0.1</v>
          </cell>
          <cell r="AH21">
            <v>0</v>
          </cell>
        </row>
        <row r="22">
          <cell r="B22" t="str">
            <v>ST/EPU</v>
          </cell>
          <cell r="C22" t="str">
            <v>A1A</v>
          </cell>
          <cell r="D22" t="str">
            <v>A1AC</v>
          </cell>
          <cell r="E22" t="str">
            <v>EP/MAMO</v>
          </cell>
          <cell r="G22">
            <v>22</v>
          </cell>
          <cell r="H22" t="str">
            <v>300 cl PME Construction classes, bureau, latrines et puits</v>
          </cell>
          <cell r="I22" t="str">
            <v>SNIES</v>
          </cell>
          <cell r="K22" t="str">
            <v>IDA</v>
          </cell>
          <cell r="L22" t="str">
            <v>AON</v>
          </cell>
          <cell r="P22">
            <v>0</v>
          </cell>
          <cell r="Q22" t="str">
            <v>cl</v>
          </cell>
          <cell r="S22">
            <v>57245.111111111109</v>
          </cell>
          <cell r="T22">
            <v>0.8</v>
          </cell>
          <cell r="U22">
            <v>0</v>
          </cell>
          <cell r="V22">
            <v>0</v>
          </cell>
          <cell r="W22">
            <v>0</v>
          </cell>
          <cell r="X22">
            <v>0</v>
          </cell>
          <cell r="Y22">
            <v>0</v>
          </cell>
          <cell r="Z22">
            <v>0</v>
          </cell>
          <cell r="AA22">
            <v>0</v>
          </cell>
          <cell r="AB22">
            <v>0</v>
          </cell>
          <cell r="AC22">
            <v>0</v>
          </cell>
          <cell r="AD22">
            <v>0</v>
          </cell>
          <cell r="AE22">
            <v>0</v>
          </cell>
          <cell r="AF22">
            <v>0</v>
          </cell>
          <cell r="AG22">
            <v>0.1</v>
          </cell>
          <cell r="AH22">
            <v>0</v>
          </cell>
        </row>
        <row r="23">
          <cell r="B23" t="str">
            <v>ST/EPU</v>
          </cell>
          <cell r="C23" t="str">
            <v>A1A</v>
          </cell>
          <cell r="D23" t="str">
            <v>A1AC</v>
          </cell>
          <cell r="E23" t="str">
            <v>EP/KIND</v>
          </cell>
          <cell r="G23">
            <v>22</v>
          </cell>
          <cell r="H23" t="str">
            <v>300 cl PME Construction classes, bureau, latrines et puits</v>
          </cell>
          <cell r="I23" t="str">
            <v>SNIES</v>
          </cell>
          <cell r="K23" t="str">
            <v>IDA</v>
          </cell>
          <cell r="L23" t="str">
            <v>AON</v>
          </cell>
          <cell r="P23">
            <v>0</v>
          </cell>
          <cell r="Q23" t="str">
            <v>cl</v>
          </cell>
          <cell r="S23">
            <v>64210.619047619046</v>
          </cell>
          <cell r="T23">
            <v>0.8</v>
          </cell>
          <cell r="U23">
            <v>0</v>
          </cell>
          <cell r="V23">
            <v>0</v>
          </cell>
          <cell r="W23">
            <v>0</v>
          </cell>
          <cell r="X23">
            <v>0</v>
          </cell>
          <cell r="Y23">
            <v>0</v>
          </cell>
          <cell r="Z23">
            <v>0</v>
          </cell>
          <cell r="AA23">
            <v>0</v>
          </cell>
          <cell r="AB23">
            <v>0</v>
          </cell>
          <cell r="AC23">
            <v>0</v>
          </cell>
          <cell r="AD23">
            <v>0</v>
          </cell>
          <cell r="AE23">
            <v>0</v>
          </cell>
          <cell r="AF23">
            <v>0</v>
          </cell>
          <cell r="AG23">
            <v>0.1</v>
          </cell>
          <cell r="AH23">
            <v>0</v>
          </cell>
        </row>
        <row r="24">
          <cell r="B24" t="str">
            <v>ST/EPU</v>
          </cell>
          <cell r="C24" t="str">
            <v>A1A</v>
          </cell>
          <cell r="D24" t="str">
            <v>A1AC</v>
          </cell>
          <cell r="E24" t="str">
            <v>EP/FORE</v>
          </cell>
          <cell r="G24">
            <v>22</v>
          </cell>
          <cell r="H24" t="str">
            <v>300 cl PME Construction classes, bureau, latrines et puits</v>
          </cell>
          <cell r="I24" t="str">
            <v>SNIES</v>
          </cell>
          <cell r="K24" t="str">
            <v>IDA</v>
          </cell>
          <cell r="L24" t="str">
            <v>AON</v>
          </cell>
          <cell r="P24">
            <v>0</v>
          </cell>
          <cell r="Q24" t="str">
            <v>cl</v>
          </cell>
          <cell r="S24">
            <v>70847</v>
          </cell>
          <cell r="T24">
            <v>0.8</v>
          </cell>
          <cell r="U24">
            <v>0</v>
          </cell>
          <cell r="V24">
            <v>0</v>
          </cell>
          <cell r="W24">
            <v>0</v>
          </cell>
          <cell r="X24">
            <v>0</v>
          </cell>
          <cell r="Y24">
            <v>0</v>
          </cell>
          <cell r="Z24">
            <v>0</v>
          </cell>
          <cell r="AA24">
            <v>0</v>
          </cell>
          <cell r="AB24">
            <v>0</v>
          </cell>
          <cell r="AC24">
            <v>0</v>
          </cell>
          <cell r="AD24">
            <v>0</v>
          </cell>
          <cell r="AE24">
            <v>0</v>
          </cell>
          <cell r="AF24">
            <v>0</v>
          </cell>
          <cell r="AG24">
            <v>0.1</v>
          </cell>
          <cell r="AH24">
            <v>0</v>
          </cell>
        </row>
        <row r="25">
          <cell r="B25" t="str">
            <v>ST/EPU</v>
          </cell>
          <cell r="C25" t="str">
            <v>A1A</v>
          </cell>
          <cell r="D25" t="str">
            <v>A1AC</v>
          </cell>
          <cell r="E25" t="str">
            <v>EP/TOUG</v>
          </cell>
          <cell r="G25">
            <v>22</v>
          </cell>
          <cell r="H25" t="str">
            <v>300 cl PME Construction classes, bureau, latrines et puits</v>
          </cell>
          <cell r="I25" t="str">
            <v>SNIES</v>
          </cell>
          <cell r="K25" t="str">
            <v>IDA</v>
          </cell>
          <cell r="L25" t="str">
            <v>AON</v>
          </cell>
          <cell r="P25">
            <v>0</v>
          </cell>
          <cell r="Q25" t="str">
            <v>cl</v>
          </cell>
          <cell r="S25">
            <v>58920.166666666664</v>
          </cell>
          <cell r="T25">
            <v>0.8</v>
          </cell>
          <cell r="U25">
            <v>0</v>
          </cell>
          <cell r="V25">
            <v>0</v>
          </cell>
          <cell r="W25">
            <v>0</v>
          </cell>
          <cell r="X25">
            <v>0</v>
          </cell>
          <cell r="Y25">
            <v>0</v>
          </cell>
          <cell r="Z25">
            <v>0</v>
          </cell>
          <cell r="AA25">
            <v>0</v>
          </cell>
          <cell r="AB25">
            <v>0</v>
          </cell>
          <cell r="AC25">
            <v>0</v>
          </cell>
          <cell r="AD25">
            <v>0</v>
          </cell>
          <cell r="AE25">
            <v>0</v>
          </cell>
          <cell r="AF25">
            <v>0</v>
          </cell>
          <cell r="AG25">
            <v>0.1</v>
          </cell>
          <cell r="AH25">
            <v>0</v>
          </cell>
        </row>
        <row r="26">
          <cell r="B26" t="str">
            <v>ST/EPU</v>
          </cell>
          <cell r="C26" t="str">
            <v>A1A</v>
          </cell>
          <cell r="D26" t="str">
            <v>A1AC</v>
          </cell>
          <cell r="E26" t="str">
            <v>EP/MALI</v>
          </cell>
          <cell r="G26">
            <v>22</v>
          </cell>
          <cell r="H26" t="str">
            <v>300 cl PME Construction classes, bureau, latrines et puits</v>
          </cell>
          <cell r="I26" t="str">
            <v>SNIES</v>
          </cell>
          <cell r="K26" t="str">
            <v>IDA</v>
          </cell>
          <cell r="L26" t="str">
            <v>AON</v>
          </cell>
          <cell r="P26">
            <v>0</v>
          </cell>
          <cell r="Q26" t="str">
            <v>cl</v>
          </cell>
          <cell r="S26">
            <v>56148.133333333331</v>
          </cell>
          <cell r="T26">
            <v>0.8</v>
          </cell>
          <cell r="U26">
            <v>0</v>
          </cell>
          <cell r="V26">
            <v>0</v>
          </cell>
          <cell r="W26">
            <v>0</v>
          </cell>
          <cell r="X26">
            <v>0</v>
          </cell>
          <cell r="Y26">
            <v>0</v>
          </cell>
          <cell r="Z26">
            <v>0</v>
          </cell>
          <cell r="AA26">
            <v>0</v>
          </cell>
          <cell r="AB26">
            <v>0</v>
          </cell>
          <cell r="AC26">
            <v>0</v>
          </cell>
          <cell r="AD26">
            <v>0</v>
          </cell>
          <cell r="AE26">
            <v>0</v>
          </cell>
          <cell r="AF26">
            <v>0</v>
          </cell>
          <cell r="AG26">
            <v>0.1</v>
          </cell>
          <cell r="AH26">
            <v>0</v>
          </cell>
        </row>
        <row r="27">
          <cell r="B27" t="str">
            <v>ST/EPU</v>
          </cell>
          <cell r="C27" t="str">
            <v>A1A</v>
          </cell>
          <cell r="D27" t="str">
            <v>A1AC</v>
          </cell>
          <cell r="E27" t="str">
            <v>EP/DABO</v>
          </cell>
          <cell r="G27">
            <v>23</v>
          </cell>
          <cell r="H27" t="str">
            <v>300 cl PME  Mobilier</v>
          </cell>
          <cell r="I27" t="str">
            <v>SNIES</v>
          </cell>
          <cell r="K27" t="str">
            <v>IDA</v>
          </cell>
          <cell r="L27" t="str">
            <v>AON</v>
          </cell>
          <cell r="P27">
            <v>0</v>
          </cell>
          <cell r="Q27" t="str">
            <v>cl</v>
          </cell>
          <cell r="S27">
            <v>5982.66</v>
          </cell>
          <cell r="T27">
            <v>0.8</v>
          </cell>
          <cell r="U27">
            <v>0</v>
          </cell>
          <cell r="V27">
            <v>0</v>
          </cell>
          <cell r="W27">
            <v>0</v>
          </cell>
          <cell r="X27">
            <v>0</v>
          </cell>
          <cell r="Y27">
            <v>0</v>
          </cell>
          <cell r="Z27">
            <v>0</v>
          </cell>
          <cell r="AA27">
            <v>0</v>
          </cell>
          <cell r="AB27">
            <v>0</v>
          </cell>
          <cell r="AC27">
            <v>0</v>
          </cell>
          <cell r="AD27">
            <v>0</v>
          </cell>
          <cell r="AE27">
            <v>0</v>
          </cell>
          <cell r="AF27">
            <v>0</v>
          </cell>
          <cell r="AH27">
            <v>0</v>
          </cell>
        </row>
        <row r="28">
          <cell r="B28" t="str">
            <v>ST/EPU</v>
          </cell>
          <cell r="C28" t="str">
            <v>A1A</v>
          </cell>
          <cell r="D28" t="str">
            <v>A1AC</v>
          </cell>
          <cell r="E28" t="str">
            <v>EP/KANK</v>
          </cell>
          <cell r="G28">
            <v>23</v>
          </cell>
          <cell r="H28" t="str">
            <v>300 cl PME  Mobilier</v>
          </cell>
          <cell r="I28" t="str">
            <v>SNIES</v>
          </cell>
          <cell r="K28" t="str">
            <v>IDA</v>
          </cell>
          <cell r="L28" t="str">
            <v>AON</v>
          </cell>
          <cell r="P28">
            <v>0</v>
          </cell>
          <cell r="Q28" t="str">
            <v>cl</v>
          </cell>
          <cell r="S28">
            <v>5982.66</v>
          </cell>
          <cell r="T28">
            <v>0.8</v>
          </cell>
          <cell r="U28">
            <v>0</v>
          </cell>
          <cell r="V28">
            <v>0</v>
          </cell>
          <cell r="W28">
            <v>0</v>
          </cell>
          <cell r="X28">
            <v>0</v>
          </cell>
          <cell r="Y28">
            <v>0</v>
          </cell>
          <cell r="Z28">
            <v>0</v>
          </cell>
          <cell r="AA28">
            <v>0</v>
          </cell>
          <cell r="AB28">
            <v>0</v>
          </cell>
          <cell r="AC28">
            <v>0</v>
          </cell>
          <cell r="AD28">
            <v>0</v>
          </cell>
          <cell r="AE28">
            <v>0</v>
          </cell>
          <cell r="AF28">
            <v>0</v>
          </cell>
          <cell r="AH28">
            <v>0</v>
          </cell>
        </row>
        <row r="29">
          <cell r="B29" t="str">
            <v>ST/EPU</v>
          </cell>
          <cell r="C29" t="str">
            <v>A1A</v>
          </cell>
          <cell r="D29" t="str">
            <v>A1AC</v>
          </cell>
          <cell r="E29" t="str">
            <v>EP/MAND</v>
          </cell>
          <cell r="G29">
            <v>23</v>
          </cell>
          <cell r="H29" t="str">
            <v>300 cl PME  Mobilier</v>
          </cell>
          <cell r="I29" t="str">
            <v>SNIES</v>
          </cell>
          <cell r="K29" t="str">
            <v>IDA</v>
          </cell>
          <cell r="L29" t="str">
            <v>AON</v>
          </cell>
          <cell r="P29">
            <v>0</v>
          </cell>
          <cell r="Q29" t="str">
            <v>cl</v>
          </cell>
          <cell r="S29">
            <v>5982.66</v>
          </cell>
          <cell r="T29">
            <v>0.8</v>
          </cell>
          <cell r="U29">
            <v>0</v>
          </cell>
          <cell r="V29">
            <v>0</v>
          </cell>
          <cell r="W29">
            <v>0</v>
          </cell>
          <cell r="X29">
            <v>0</v>
          </cell>
          <cell r="Y29">
            <v>0</v>
          </cell>
          <cell r="Z29">
            <v>0</v>
          </cell>
          <cell r="AA29">
            <v>0</v>
          </cell>
          <cell r="AB29">
            <v>0</v>
          </cell>
          <cell r="AC29">
            <v>0</v>
          </cell>
          <cell r="AD29">
            <v>0</v>
          </cell>
          <cell r="AE29">
            <v>0</v>
          </cell>
          <cell r="AF29">
            <v>0</v>
          </cell>
          <cell r="AH29">
            <v>0</v>
          </cell>
        </row>
        <row r="30">
          <cell r="B30" t="str">
            <v>ST/EPU</v>
          </cell>
          <cell r="C30" t="str">
            <v>A1A</v>
          </cell>
          <cell r="D30" t="str">
            <v>A1AC</v>
          </cell>
          <cell r="E30" t="str">
            <v>EP/GUEC</v>
          </cell>
          <cell r="G30">
            <v>23</v>
          </cell>
          <cell r="H30" t="str">
            <v>300 cl PME  Mobilier</v>
          </cell>
          <cell r="I30" t="str">
            <v>SNIES</v>
          </cell>
          <cell r="K30" t="str">
            <v>IDA</v>
          </cell>
          <cell r="L30" t="str">
            <v>AON</v>
          </cell>
          <cell r="P30">
            <v>0</v>
          </cell>
          <cell r="Q30" t="str">
            <v>cl</v>
          </cell>
          <cell r="S30">
            <v>5982.66</v>
          </cell>
          <cell r="T30">
            <v>0.8</v>
          </cell>
          <cell r="U30">
            <v>0</v>
          </cell>
          <cell r="V30">
            <v>0</v>
          </cell>
          <cell r="W30">
            <v>0</v>
          </cell>
          <cell r="X30">
            <v>0</v>
          </cell>
          <cell r="Y30">
            <v>0</v>
          </cell>
          <cell r="Z30">
            <v>0</v>
          </cell>
          <cell r="AA30">
            <v>0</v>
          </cell>
          <cell r="AB30">
            <v>0</v>
          </cell>
          <cell r="AC30">
            <v>0</v>
          </cell>
          <cell r="AD30">
            <v>0</v>
          </cell>
          <cell r="AE30">
            <v>0</v>
          </cell>
          <cell r="AF30">
            <v>0</v>
          </cell>
          <cell r="AH30">
            <v>0</v>
          </cell>
        </row>
        <row r="31">
          <cell r="B31" t="str">
            <v>ST/EPU</v>
          </cell>
          <cell r="C31" t="str">
            <v>A1A</v>
          </cell>
          <cell r="D31" t="str">
            <v>A1AC</v>
          </cell>
          <cell r="E31" t="str">
            <v>EP/BEYL</v>
          </cell>
          <cell r="G31">
            <v>23</v>
          </cell>
          <cell r="H31" t="str">
            <v>300 cl PME  Mobilier</v>
          </cell>
          <cell r="I31" t="str">
            <v>SNIES</v>
          </cell>
          <cell r="K31" t="str">
            <v>IDA</v>
          </cell>
          <cell r="L31" t="str">
            <v>AON</v>
          </cell>
          <cell r="P31">
            <v>0</v>
          </cell>
          <cell r="Q31" t="str">
            <v>cl</v>
          </cell>
          <cell r="S31">
            <v>5982.66</v>
          </cell>
          <cell r="T31">
            <v>0.8</v>
          </cell>
          <cell r="U31">
            <v>0</v>
          </cell>
          <cell r="V31">
            <v>0</v>
          </cell>
          <cell r="W31">
            <v>0</v>
          </cell>
          <cell r="X31">
            <v>0</v>
          </cell>
          <cell r="Y31">
            <v>0</v>
          </cell>
          <cell r="Z31">
            <v>0</v>
          </cell>
          <cell r="AA31">
            <v>0</v>
          </cell>
          <cell r="AB31">
            <v>0</v>
          </cell>
          <cell r="AC31">
            <v>0</v>
          </cell>
          <cell r="AD31">
            <v>0</v>
          </cell>
          <cell r="AE31">
            <v>0</v>
          </cell>
          <cell r="AF31">
            <v>0</v>
          </cell>
          <cell r="AH31">
            <v>0</v>
          </cell>
        </row>
        <row r="32">
          <cell r="B32" t="str">
            <v>ST/EPU</v>
          </cell>
          <cell r="C32" t="str">
            <v>A1A</v>
          </cell>
          <cell r="D32" t="str">
            <v>A1AC</v>
          </cell>
          <cell r="E32" t="str">
            <v>EP/MACE</v>
          </cell>
          <cell r="G32">
            <v>23</v>
          </cell>
          <cell r="H32" t="str">
            <v>300 cl PME  Mobilier</v>
          </cell>
          <cell r="I32" t="str">
            <v>SNIES</v>
          </cell>
          <cell r="K32" t="str">
            <v>IDA</v>
          </cell>
          <cell r="L32" t="str">
            <v>AON</v>
          </cell>
          <cell r="P32">
            <v>0</v>
          </cell>
          <cell r="Q32" t="str">
            <v>cl</v>
          </cell>
          <cell r="S32">
            <v>5982.66</v>
          </cell>
          <cell r="T32">
            <v>0.8</v>
          </cell>
          <cell r="U32">
            <v>0</v>
          </cell>
          <cell r="V32">
            <v>0</v>
          </cell>
          <cell r="W32">
            <v>0</v>
          </cell>
          <cell r="X32">
            <v>0</v>
          </cell>
          <cell r="Y32">
            <v>0</v>
          </cell>
          <cell r="Z32">
            <v>0</v>
          </cell>
          <cell r="AA32">
            <v>0</v>
          </cell>
          <cell r="AB32">
            <v>0</v>
          </cell>
          <cell r="AC32">
            <v>0</v>
          </cell>
          <cell r="AD32">
            <v>0</v>
          </cell>
          <cell r="AE32">
            <v>0</v>
          </cell>
          <cell r="AF32">
            <v>0</v>
          </cell>
          <cell r="AH32">
            <v>0</v>
          </cell>
        </row>
        <row r="33">
          <cell r="B33" t="str">
            <v>ST/EPU</v>
          </cell>
          <cell r="C33" t="str">
            <v>A1A</v>
          </cell>
          <cell r="D33" t="str">
            <v>A1AC</v>
          </cell>
          <cell r="E33" t="str">
            <v>EP/FRIA</v>
          </cell>
          <cell r="G33">
            <v>23</v>
          </cell>
          <cell r="H33" t="str">
            <v>300 cl PME  Mobilier</v>
          </cell>
          <cell r="I33" t="str">
            <v>SNIES</v>
          </cell>
          <cell r="K33" t="str">
            <v>IDA</v>
          </cell>
          <cell r="L33" t="str">
            <v>AON</v>
          </cell>
          <cell r="P33">
            <v>0</v>
          </cell>
          <cell r="Q33" t="str">
            <v>cl</v>
          </cell>
          <cell r="S33">
            <v>5982.66</v>
          </cell>
          <cell r="T33">
            <v>0.8</v>
          </cell>
          <cell r="U33">
            <v>0</v>
          </cell>
          <cell r="V33">
            <v>0</v>
          </cell>
          <cell r="W33">
            <v>0</v>
          </cell>
          <cell r="X33">
            <v>0</v>
          </cell>
          <cell r="Y33">
            <v>0</v>
          </cell>
          <cell r="Z33">
            <v>0</v>
          </cell>
          <cell r="AA33">
            <v>0</v>
          </cell>
          <cell r="AB33">
            <v>0</v>
          </cell>
          <cell r="AC33">
            <v>0</v>
          </cell>
          <cell r="AD33">
            <v>0</v>
          </cell>
          <cell r="AE33">
            <v>0</v>
          </cell>
          <cell r="AF33">
            <v>0</v>
          </cell>
          <cell r="AH33">
            <v>0</v>
          </cell>
        </row>
        <row r="34">
          <cell r="B34" t="str">
            <v>ST/EPU</v>
          </cell>
          <cell r="C34" t="str">
            <v>A1A</v>
          </cell>
          <cell r="D34" t="str">
            <v>A1AC</v>
          </cell>
          <cell r="E34" t="str">
            <v>EP/BOFF</v>
          </cell>
          <cell r="G34">
            <v>23</v>
          </cell>
          <cell r="H34" t="str">
            <v>300 cl PME  Mobilier</v>
          </cell>
          <cell r="I34" t="str">
            <v>SNIES</v>
          </cell>
          <cell r="K34" t="str">
            <v>IDA</v>
          </cell>
          <cell r="L34" t="str">
            <v>AON</v>
          </cell>
          <cell r="P34">
            <v>0</v>
          </cell>
          <cell r="Q34" t="str">
            <v>cl</v>
          </cell>
          <cell r="S34">
            <v>5982.66</v>
          </cell>
          <cell r="T34">
            <v>0.8</v>
          </cell>
          <cell r="U34">
            <v>0</v>
          </cell>
          <cell r="V34">
            <v>0</v>
          </cell>
          <cell r="W34">
            <v>0</v>
          </cell>
          <cell r="X34">
            <v>0</v>
          </cell>
          <cell r="Y34">
            <v>0</v>
          </cell>
          <cell r="Z34">
            <v>0</v>
          </cell>
          <cell r="AA34">
            <v>0</v>
          </cell>
          <cell r="AB34">
            <v>0</v>
          </cell>
          <cell r="AC34">
            <v>0</v>
          </cell>
          <cell r="AD34">
            <v>0</v>
          </cell>
          <cell r="AE34">
            <v>0</v>
          </cell>
          <cell r="AF34">
            <v>0</v>
          </cell>
          <cell r="AH34">
            <v>0</v>
          </cell>
        </row>
        <row r="35">
          <cell r="B35" t="str">
            <v>ST/EPU</v>
          </cell>
          <cell r="C35" t="str">
            <v>A1A</v>
          </cell>
          <cell r="D35" t="str">
            <v>A1AC</v>
          </cell>
          <cell r="E35" t="str">
            <v>EP/GAOU</v>
          </cell>
          <cell r="G35">
            <v>23</v>
          </cell>
          <cell r="H35" t="str">
            <v>300 cl PME  Mobilier</v>
          </cell>
          <cell r="I35" t="str">
            <v>SNIES</v>
          </cell>
          <cell r="K35" t="str">
            <v>IDA</v>
          </cell>
          <cell r="L35" t="str">
            <v>AON</v>
          </cell>
          <cell r="P35">
            <v>0</v>
          </cell>
          <cell r="Q35" t="str">
            <v>cl</v>
          </cell>
          <cell r="S35">
            <v>5982.66</v>
          </cell>
          <cell r="T35">
            <v>0.8</v>
          </cell>
          <cell r="U35">
            <v>0</v>
          </cell>
          <cell r="V35">
            <v>0</v>
          </cell>
          <cell r="W35">
            <v>0</v>
          </cell>
          <cell r="X35">
            <v>0</v>
          </cell>
          <cell r="Y35">
            <v>0</v>
          </cell>
          <cell r="Z35">
            <v>0</v>
          </cell>
          <cell r="AA35">
            <v>0</v>
          </cell>
          <cell r="AB35">
            <v>0</v>
          </cell>
          <cell r="AC35">
            <v>0</v>
          </cell>
          <cell r="AD35">
            <v>0</v>
          </cell>
          <cell r="AE35">
            <v>0</v>
          </cell>
          <cell r="AF35">
            <v>0</v>
          </cell>
          <cell r="AH35">
            <v>0</v>
          </cell>
        </row>
        <row r="36">
          <cell r="B36" t="str">
            <v>ST/EPU</v>
          </cell>
          <cell r="C36" t="str">
            <v>A1A</v>
          </cell>
          <cell r="D36" t="str">
            <v>A1AC</v>
          </cell>
          <cell r="E36" t="str">
            <v>EP/PITA</v>
          </cell>
          <cell r="G36">
            <v>23</v>
          </cell>
          <cell r="H36" t="str">
            <v>300 cl PME  Mobilier</v>
          </cell>
          <cell r="I36" t="str">
            <v>SNIES</v>
          </cell>
          <cell r="K36" t="str">
            <v>IDA</v>
          </cell>
          <cell r="L36" t="str">
            <v>AON</v>
          </cell>
          <cell r="P36">
            <v>0</v>
          </cell>
          <cell r="Q36" t="str">
            <v>cl</v>
          </cell>
          <cell r="S36">
            <v>5982.66</v>
          </cell>
          <cell r="T36">
            <v>0.8</v>
          </cell>
          <cell r="U36">
            <v>0</v>
          </cell>
          <cell r="V36">
            <v>0</v>
          </cell>
          <cell r="W36">
            <v>0</v>
          </cell>
          <cell r="X36">
            <v>0</v>
          </cell>
          <cell r="Y36">
            <v>0</v>
          </cell>
          <cell r="Z36">
            <v>0</v>
          </cell>
          <cell r="AA36">
            <v>0</v>
          </cell>
          <cell r="AB36">
            <v>0</v>
          </cell>
          <cell r="AC36">
            <v>0</v>
          </cell>
          <cell r="AD36">
            <v>0</v>
          </cell>
          <cell r="AE36">
            <v>0</v>
          </cell>
          <cell r="AF36">
            <v>0</v>
          </cell>
          <cell r="AH36">
            <v>0</v>
          </cell>
        </row>
        <row r="37">
          <cell r="B37" t="str">
            <v>ST/EPU</v>
          </cell>
          <cell r="C37" t="str">
            <v>A1A</v>
          </cell>
          <cell r="D37" t="str">
            <v>A1AC</v>
          </cell>
          <cell r="E37" t="str">
            <v>EP/MAMO</v>
          </cell>
          <cell r="G37">
            <v>23</v>
          </cell>
          <cell r="H37" t="str">
            <v>300 cl PME  Mobilier</v>
          </cell>
          <cell r="I37" t="str">
            <v>SNIES</v>
          </cell>
          <cell r="K37" t="str">
            <v>IDA</v>
          </cell>
          <cell r="L37" t="str">
            <v>AON</v>
          </cell>
          <cell r="P37">
            <v>0</v>
          </cell>
          <cell r="Q37" t="str">
            <v>cl</v>
          </cell>
          <cell r="S37">
            <v>5982.66</v>
          </cell>
          <cell r="T37">
            <v>0.8</v>
          </cell>
          <cell r="U37">
            <v>0</v>
          </cell>
          <cell r="V37">
            <v>0</v>
          </cell>
          <cell r="W37">
            <v>0</v>
          </cell>
          <cell r="X37">
            <v>0</v>
          </cell>
          <cell r="Y37">
            <v>0</v>
          </cell>
          <cell r="Z37">
            <v>0</v>
          </cell>
          <cell r="AA37">
            <v>0</v>
          </cell>
          <cell r="AB37">
            <v>0</v>
          </cell>
          <cell r="AC37">
            <v>0</v>
          </cell>
          <cell r="AD37">
            <v>0</v>
          </cell>
          <cell r="AE37">
            <v>0</v>
          </cell>
          <cell r="AF37">
            <v>0</v>
          </cell>
          <cell r="AH37">
            <v>0</v>
          </cell>
        </row>
        <row r="38">
          <cell r="B38" t="str">
            <v>ST/EPU</v>
          </cell>
          <cell r="C38" t="str">
            <v>A1A</v>
          </cell>
          <cell r="D38" t="str">
            <v>A1AC</v>
          </cell>
          <cell r="E38" t="str">
            <v>EP/KIND</v>
          </cell>
          <cell r="G38">
            <v>23</v>
          </cell>
          <cell r="H38" t="str">
            <v>300 cl PME  Mobilier</v>
          </cell>
          <cell r="I38" t="str">
            <v>SNIES</v>
          </cell>
          <cell r="K38" t="str">
            <v>IDA</v>
          </cell>
          <cell r="L38" t="str">
            <v>AON</v>
          </cell>
          <cell r="P38">
            <v>0</v>
          </cell>
          <cell r="Q38" t="str">
            <v>cl</v>
          </cell>
          <cell r="S38">
            <v>5982.66</v>
          </cell>
          <cell r="T38">
            <v>0.8</v>
          </cell>
          <cell r="U38">
            <v>0</v>
          </cell>
          <cell r="V38">
            <v>0</v>
          </cell>
          <cell r="W38">
            <v>0</v>
          </cell>
          <cell r="X38">
            <v>0</v>
          </cell>
          <cell r="Y38">
            <v>0</v>
          </cell>
          <cell r="Z38">
            <v>0</v>
          </cell>
          <cell r="AA38">
            <v>0</v>
          </cell>
          <cell r="AB38">
            <v>0</v>
          </cell>
          <cell r="AC38">
            <v>0</v>
          </cell>
          <cell r="AD38">
            <v>0</v>
          </cell>
          <cell r="AE38">
            <v>0</v>
          </cell>
          <cell r="AF38">
            <v>0</v>
          </cell>
          <cell r="AH38">
            <v>0</v>
          </cell>
        </row>
        <row r="39">
          <cell r="B39" t="str">
            <v>ST/EPU</v>
          </cell>
          <cell r="C39" t="str">
            <v>A1A</v>
          </cell>
          <cell r="D39" t="str">
            <v>A1AC</v>
          </cell>
          <cell r="E39" t="str">
            <v>EP/FORE</v>
          </cell>
          <cell r="G39">
            <v>23</v>
          </cell>
          <cell r="H39" t="str">
            <v>300 cl PME  Mobilier</v>
          </cell>
          <cell r="I39" t="str">
            <v>SNIES</v>
          </cell>
          <cell r="K39" t="str">
            <v>IDA</v>
          </cell>
          <cell r="L39" t="str">
            <v>AON</v>
          </cell>
          <cell r="P39">
            <v>0</v>
          </cell>
          <cell r="Q39" t="str">
            <v>cl</v>
          </cell>
          <cell r="S39">
            <v>5982.66</v>
          </cell>
          <cell r="T39">
            <v>0.8</v>
          </cell>
          <cell r="U39">
            <v>0</v>
          </cell>
          <cell r="V39">
            <v>0</v>
          </cell>
          <cell r="W39">
            <v>0</v>
          </cell>
          <cell r="X39">
            <v>0</v>
          </cell>
          <cell r="Y39">
            <v>0</v>
          </cell>
          <cell r="Z39">
            <v>0</v>
          </cell>
          <cell r="AA39">
            <v>0</v>
          </cell>
          <cell r="AB39">
            <v>0</v>
          </cell>
          <cell r="AC39">
            <v>0</v>
          </cell>
          <cell r="AD39">
            <v>0</v>
          </cell>
          <cell r="AE39">
            <v>0</v>
          </cell>
          <cell r="AF39">
            <v>0</v>
          </cell>
          <cell r="AH39">
            <v>0</v>
          </cell>
        </row>
        <row r="40">
          <cell r="B40" t="str">
            <v>ST/EPU</v>
          </cell>
          <cell r="C40" t="str">
            <v>A1A</v>
          </cell>
          <cell r="D40" t="str">
            <v>A1AC</v>
          </cell>
          <cell r="E40" t="str">
            <v>EP/TOUG</v>
          </cell>
          <cell r="G40">
            <v>23</v>
          </cell>
          <cell r="H40" t="str">
            <v>300 cl PME  Mobilier</v>
          </cell>
          <cell r="I40" t="str">
            <v>SNIES</v>
          </cell>
          <cell r="K40" t="str">
            <v>IDA</v>
          </cell>
          <cell r="L40" t="str">
            <v>AON</v>
          </cell>
          <cell r="P40">
            <v>0</v>
          </cell>
          <cell r="Q40" t="str">
            <v>cl</v>
          </cell>
          <cell r="S40">
            <v>5982.66</v>
          </cell>
          <cell r="T40">
            <v>0.8</v>
          </cell>
          <cell r="U40">
            <v>0</v>
          </cell>
          <cell r="V40">
            <v>0</v>
          </cell>
          <cell r="W40">
            <v>0</v>
          </cell>
          <cell r="X40">
            <v>0</v>
          </cell>
          <cell r="Y40">
            <v>0</v>
          </cell>
          <cell r="Z40">
            <v>0</v>
          </cell>
          <cell r="AA40">
            <v>0</v>
          </cell>
          <cell r="AB40">
            <v>0</v>
          </cell>
          <cell r="AC40">
            <v>0</v>
          </cell>
          <cell r="AD40">
            <v>0</v>
          </cell>
          <cell r="AE40">
            <v>0</v>
          </cell>
          <cell r="AF40">
            <v>0</v>
          </cell>
          <cell r="AH40">
            <v>0</v>
          </cell>
        </row>
        <row r="41">
          <cell r="B41" t="str">
            <v>ST/EPU</v>
          </cell>
          <cell r="C41" t="str">
            <v>A1A</v>
          </cell>
          <cell r="D41" t="str">
            <v>A1AC</v>
          </cell>
          <cell r="E41" t="str">
            <v>EP/MALI</v>
          </cell>
          <cell r="G41">
            <v>23</v>
          </cell>
          <cell r="H41" t="str">
            <v>300 cl PME  Mobilier</v>
          </cell>
          <cell r="I41" t="str">
            <v>SNIES</v>
          </cell>
          <cell r="K41" t="str">
            <v>IDA</v>
          </cell>
          <cell r="L41" t="str">
            <v>AON</v>
          </cell>
          <cell r="P41">
            <v>0</v>
          </cell>
          <cell r="Q41" t="str">
            <v>cl</v>
          </cell>
          <cell r="S41">
            <v>5982.66</v>
          </cell>
          <cell r="T41">
            <v>0.8</v>
          </cell>
          <cell r="U41">
            <v>0</v>
          </cell>
          <cell r="V41">
            <v>0</v>
          </cell>
          <cell r="W41">
            <v>0</v>
          </cell>
          <cell r="X41">
            <v>0</v>
          </cell>
          <cell r="Y41">
            <v>0</v>
          </cell>
          <cell r="Z41">
            <v>0</v>
          </cell>
          <cell r="AA41">
            <v>0</v>
          </cell>
          <cell r="AB41">
            <v>0</v>
          </cell>
          <cell r="AC41">
            <v>0</v>
          </cell>
          <cell r="AD41">
            <v>0</v>
          </cell>
          <cell r="AE41">
            <v>0</v>
          </cell>
          <cell r="AF41">
            <v>0</v>
          </cell>
          <cell r="AH41">
            <v>0</v>
          </cell>
        </row>
        <row r="42">
          <cell r="B42" t="str">
            <v>ST/EPU</v>
          </cell>
          <cell r="C42" t="str">
            <v>A1D</v>
          </cell>
          <cell r="D42" t="str">
            <v>A1DA</v>
          </cell>
          <cell r="E42" t="str">
            <v>SNIES</v>
          </cell>
          <cell r="G42">
            <v>15</v>
          </cell>
          <cell r="H42" t="str">
            <v>300 cl ONG Mission C de suivi classes 100sites x 5 visites/sitex2sites/j</v>
          </cell>
          <cell r="I42" t="str">
            <v>SNIES</v>
          </cell>
          <cell r="K42" t="str">
            <v>IDA</v>
          </cell>
          <cell r="L42" t="str">
            <v>AUT</v>
          </cell>
          <cell r="P42">
            <v>0</v>
          </cell>
          <cell r="Q42" t="str">
            <v>pxj</v>
          </cell>
          <cell r="S42">
            <v>147.72</v>
          </cell>
          <cell r="T42">
            <v>0.9</v>
          </cell>
          <cell r="U42">
            <v>0</v>
          </cell>
          <cell r="V42">
            <v>0</v>
          </cell>
          <cell r="W42">
            <v>0</v>
          </cell>
          <cell r="X42">
            <v>0</v>
          </cell>
          <cell r="Y42">
            <v>0</v>
          </cell>
          <cell r="Z42">
            <v>0</v>
          </cell>
          <cell r="AA42">
            <v>0</v>
          </cell>
          <cell r="AB42">
            <v>0</v>
          </cell>
          <cell r="AC42">
            <v>0</v>
          </cell>
          <cell r="AD42">
            <v>0</v>
          </cell>
          <cell r="AE42">
            <v>0</v>
          </cell>
          <cell r="AF42">
            <v>0</v>
          </cell>
          <cell r="AH42">
            <v>0</v>
          </cell>
        </row>
        <row r="43">
          <cell r="B43" t="str">
            <v>ST/EPU</v>
          </cell>
          <cell r="C43" t="str">
            <v>A1D</v>
          </cell>
          <cell r="D43" t="str">
            <v>A1DA</v>
          </cell>
          <cell r="E43" t="str">
            <v>IRE/BOK</v>
          </cell>
          <cell r="G43">
            <v>15</v>
          </cell>
          <cell r="H43" t="str">
            <v>300 cl ONG Mission R de suivi classes 100sites x10 visites/sitex2sites/j</v>
          </cell>
          <cell r="I43" t="str">
            <v>SNIES</v>
          </cell>
          <cell r="K43" t="str">
            <v>IDA</v>
          </cell>
          <cell r="L43" t="str">
            <v>AUT</v>
          </cell>
          <cell r="P43">
            <v>0</v>
          </cell>
          <cell r="Q43" t="str">
            <v>pxj</v>
          </cell>
          <cell r="S43">
            <v>123.10000000000001</v>
          </cell>
          <cell r="T43">
            <v>0.9</v>
          </cell>
          <cell r="U43">
            <v>0</v>
          </cell>
          <cell r="V43">
            <v>0</v>
          </cell>
          <cell r="W43">
            <v>0</v>
          </cell>
          <cell r="X43">
            <v>0</v>
          </cell>
          <cell r="Y43">
            <v>0</v>
          </cell>
          <cell r="Z43">
            <v>0</v>
          </cell>
          <cell r="AA43">
            <v>0</v>
          </cell>
          <cell r="AB43">
            <v>0</v>
          </cell>
          <cell r="AC43">
            <v>0</v>
          </cell>
          <cell r="AD43">
            <v>0</v>
          </cell>
          <cell r="AE43">
            <v>0</v>
          </cell>
          <cell r="AF43">
            <v>0</v>
          </cell>
          <cell r="AH43">
            <v>0</v>
          </cell>
        </row>
        <row r="44">
          <cell r="B44" t="str">
            <v>ST/EPU</v>
          </cell>
          <cell r="C44" t="str">
            <v>A1D</v>
          </cell>
          <cell r="D44" t="str">
            <v>A1DA</v>
          </cell>
          <cell r="E44" t="str">
            <v>IRE/FAR</v>
          </cell>
          <cell r="G44">
            <v>15</v>
          </cell>
          <cell r="H44" t="str">
            <v>300 cl ONG Mission R de suivi classes 100sites x10 visites/sitex2sites/j</v>
          </cell>
          <cell r="I44" t="str">
            <v>SNIES</v>
          </cell>
          <cell r="K44" t="str">
            <v>IDA</v>
          </cell>
          <cell r="L44" t="str">
            <v>AUT</v>
          </cell>
          <cell r="P44">
            <v>0</v>
          </cell>
          <cell r="Q44" t="str">
            <v>pxj</v>
          </cell>
          <cell r="S44">
            <v>123.10000000000001</v>
          </cell>
          <cell r="T44">
            <v>0.9</v>
          </cell>
          <cell r="U44">
            <v>0</v>
          </cell>
          <cell r="V44">
            <v>0</v>
          </cell>
          <cell r="W44">
            <v>0</v>
          </cell>
          <cell r="X44">
            <v>0</v>
          </cell>
          <cell r="Y44">
            <v>0</v>
          </cell>
          <cell r="Z44">
            <v>0</v>
          </cell>
          <cell r="AA44">
            <v>0</v>
          </cell>
          <cell r="AB44">
            <v>0</v>
          </cell>
          <cell r="AC44">
            <v>0</v>
          </cell>
          <cell r="AD44">
            <v>0</v>
          </cell>
          <cell r="AE44">
            <v>0</v>
          </cell>
          <cell r="AF44">
            <v>0</v>
          </cell>
          <cell r="AH44">
            <v>0</v>
          </cell>
        </row>
        <row r="45">
          <cell r="B45" t="str">
            <v>ST/EPU</v>
          </cell>
          <cell r="C45" t="str">
            <v>A1D</v>
          </cell>
          <cell r="D45" t="str">
            <v>A1DA</v>
          </cell>
          <cell r="E45" t="str">
            <v>IRE/KAN</v>
          </cell>
          <cell r="G45">
            <v>15</v>
          </cell>
          <cell r="H45" t="str">
            <v>300 cl ONG Mission R de suivi classes 100sites x10 visites/sitex2sites/j</v>
          </cell>
          <cell r="I45" t="str">
            <v>SNIES</v>
          </cell>
          <cell r="K45" t="str">
            <v>IDA</v>
          </cell>
          <cell r="L45" t="str">
            <v>AUT</v>
          </cell>
          <cell r="P45">
            <v>0</v>
          </cell>
          <cell r="Q45" t="str">
            <v>pxj</v>
          </cell>
          <cell r="S45">
            <v>123.10000000000001</v>
          </cell>
          <cell r="T45">
            <v>0.9</v>
          </cell>
          <cell r="U45">
            <v>0</v>
          </cell>
          <cell r="V45">
            <v>0</v>
          </cell>
          <cell r="W45">
            <v>0</v>
          </cell>
          <cell r="X45">
            <v>0</v>
          </cell>
          <cell r="Y45">
            <v>0</v>
          </cell>
          <cell r="Z45">
            <v>0</v>
          </cell>
          <cell r="AA45">
            <v>0</v>
          </cell>
          <cell r="AB45">
            <v>0</v>
          </cell>
          <cell r="AC45">
            <v>0</v>
          </cell>
          <cell r="AD45">
            <v>0</v>
          </cell>
          <cell r="AE45">
            <v>0</v>
          </cell>
          <cell r="AF45">
            <v>0</v>
          </cell>
          <cell r="AH45">
            <v>0</v>
          </cell>
        </row>
        <row r="46">
          <cell r="B46" t="str">
            <v>ST/EPU</v>
          </cell>
          <cell r="C46" t="str">
            <v>A1D</v>
          </cell>
          <cell r="D46" t="str">
            <v>A1DA</v>
          </cell>
          <cell r="E46" t="str">
            <v>IRE/KIN</v>
          </cell>
          <cell r="G46">
            <v>15</v>
          </cell>
          <cell r="H46" t="str">
            <v>300 cl ONG Mission R de suivi classes 100sites x10 visites/sitex2sites/j</v>
          </cell>
          <cell r="I46" t="str">
            <v>SNIES</v>
          </cell>
          <cell r="K46" t="str">
            <v>IDA</v>
          </cell>
          <cell r="L46" t="str">
            <v>AUT</v>
          </cell>
          <cell r="P46">
            <v>0</v>
          </cell>
          <cell r="Q46" t="str">
            <v>pxj</v>
          </cell>
          <cell r="S46">
            <v>123.10000000000001</v>
          </cell>
          <cell r="T46">
            <v>0.9</v>
          </cell>
          <cell r="U46">
            <v>0</v>
          </cell>
          <cell r="V46">
            <v>0</v>
          </cell>
          <cell r="W46">
            <v>0</v>
          </cell>
          <cell r="X46">
            <v>0</v>
          </cell>
          <cell r="Y46">
            <v>0</v>
          </cell>
          <cell r="Z46">
            <v>0</v>
          </cell>
          <cell r="AA46">
            <v>0</v>
          </cell>
          <cell r="AB46">
            <v>0</v>
          </cell>
          <cell r="AC46">
            <v>0</v>
          </cell>
          <cell r="AD46">
            <v>0</v>
          </cell>
          <cell r="AE46">
            <v>0</v>
          </cell>
          <cell r="AF46">
            <v>0</v>
          </cell>
          <cell r="AH46">
            <v>0</v>
          </cell>
        </row>
        <row r="47">
          <cell r="B47" t="str">
            <v>ST/EPU</v>
          </cell>
          <cell r="C47" t="str">
            <v>A1D</v>
          </cell>
          <cell r="D47" t="str">
            <v>A1DA</v>
          </cell>
          <cell r="E47" t="str">
            <v>IRE/LAB</v>
          </cell>
          <cell r="G47">
            <v>15</v>
          </cell>
          <cell r="H47" t="str">
            <v>300 cl ONG Mission R de suivi classes 100sites x10 visites/sitex2sites/j</v>
          </cell>
          <cell r="I47" t="str">
            <v>SNIES</v>
          </cell>
          <cell r="K47" t="str">
            <v>IDA</v>
          </cell>
          <cell r="L47" t="str">
            <v>AUT</v>
          </cell>
          <cell r="P47">
            <v>0</v>
          </cell>
          <cell r="Q47" t="str">
            <v>pxj</v>
          </cell>
          <cell r="S47">
            <v>123.10000000000001</v>
          </cell>
          <cell r="T47">
            <v>0.9</v>
          </cell>
          <cell r="U47">
            <v>0</v>
          </cell>
          <cell r="V47">
            <v>0</v>
          </cell>
          <cell r="W47">
            <v>0</v>
          </cell>
          <cell r="X47">
            <v>0</v>
          </cell>
          <cell r="Y47">
            <v>0</v>
          </cell>
          <cell r="Z47">
            <v>0</v>
          </cell>
          <cell r="AA47">
            <v>0</v>
          </cell>
          <cell r="AB47">
            <v>0</v>
          </cell>
          <cell r="AC47">
            <v>0</v>
          </cell>
          <cell r="AD47">
            <v>0</v>
          </cell>
          <cell r="AE47">
            <v>0</v>
          </cell>
          <cell r="AF47">
            <v>0</v>
          </cell>
          <cell r="AH47">
            <v>0</v>
          </cell>
        </row>
        <row r="48">
          <cell r="B48" t="str">
            <v>ST/EPU</v>
          </cell>
          <cell r="C48" t="str">
            <v>A1D</v>
          </cell>
          <cell r="D48" t="str">
            <v>A1DA</v>
          </cell>
          <cell r="E48" t="str">
            <v>IRE/MAM</v>
          </cell>
          <cell r="G48">
            <v>15</v>
          </cell>
          <cell r="H48" t="str">
            <v>300 cl ONG Mission R de suivi classes 100sites x10 visites/sitex2sites/j</v>
          </cell>
          <cell r="I48" t="str">
            <v>SNIES</v>
          </cell>
          <cell r="K48" t="str">
            <v>IDA</v>
          </cell>
          <cell r="L48" t="str">
            <v>AUT</v>
          </cell>
          <cell r="P48">
            <v>0</v>
          </cell>
          <cell r="Q48" t="str">
            <v>pxj</v>
          </cell>
          <cell r="S48">
            <v>123.10000000000001</v>
          </cell>
          <cell r="T48">
            <v>0.9</v>
          </cell>
          <cell r="U48">
            <v>0</v>
          </cell>
          <cell r="V48">
            <v>0</v>
          </cell>
          <cell r="W48">
            <v>0</v>
          </cell>
          <cell r="X48">
            <v>0</v>
          </cell>
          <cell r="Y48">
            <v>0</v>
          </cell>
          <cell r="Z48">
            <v>0</v>
          </cell>
          <cell r="AA48">
            <v>0</v>
          </cell>
          <cell r="AB48">
            <v>0</v>
          </cell>
          <cell r="AC48">
            <v>0</v>
          </cell>
          <cell r="AD48">
            <v>0</v>
          </cell>
          <cell r="AE48">
            <v>0</v>
          </cell>
          <cell r="AF48">
            <v>0</v>
          </cell>
          <cell r="AH48">
            <v>0</v>
          </cell>
        </row>
        <row r="49">
          <cell r="B49" t="str">
            <v>ST/EPU</v>
          </cell>
          <cell r="C49" t="str">
            <v>A1D</v>
          </cell>
          <cell r="D49" t="str">
            <v>A1DA</v>
          </cell>
          <cell r="E49" t="str">
            <v>IRE/NZE</v>
          </cell>
          <cell r="G49">
            <v>15</v>
          </cell>
          <cell r="H49" t="str">
            <v>300 cl ONG Mission R de suivi classes 100sites x10 visites/sitex2sites/j</v>
          </cell>
          <cell r="I49" t="str">
            <v>SNIES</v>
          </cell>
          <cell r="K49" t="str">
            <v>IDA</v>
          </cell>
          <cell r="L49" t="str">
            <v>AUT</v>
          </cell>
          <cell r="P49">
            <v>0</v>
          </cell>
          <cell r="Q49" t="str">
            <v>pxj</v>
          </cell>
          <cell r="S49">
            <v>123.10000000000001</v>
          </cell>
          <cell r="T49">
            <v>0.9</v>
          </cell>
          <cell r="U49">
            <v>0</v>
          </cell>
          <cell r="V49">
            <v>0</v>
          </cell>
          <cell r="W49">
            <v>0</v>
          </cell>
          <cell r="X49">
            <v>0</v>
          </cell>
          <cell r="Y49">
            <v>0</v>
          </cell>
          <cell r="Z49">
            <v>0</v>
          </cell>
          <cell r="AA49">
            <v>0</v>
          </cell>
          <cell r="AB49">
            <v>0</v>
          </cell>
          <cell r="AC49">
            <v>0</v>
          </cell>
          <cell r="AD49">
            <v>0</v>
          </cell>
          <cell r="AE49">
            <v>0</v>
          </cell>
          <cell r="AF49">
            <v>0</v>
          </cell>
          <cell r="AH49">
            <v>0</v>
          </cell>
        </row>
        <row r="50">
          <cell r="B50" t="str">
            <v>ST/EPU</v>
          </cell>
          <cell r="C50" t="str">
            <v>A1D</v>
          </cell>
          <cell r="D50" t="str">
            <v>A1DA</v>
          </cell>
          <cell r="E50" t="str">
            <v>SNIES</v>
          </cell>
          <cell r="G50">
            <v>15</v>
          </cell>
          <cell r="H50" t="str">
            <v>120 cl CRD/PACV  Mission Centrale de suivi et de supervision</v>
          </cell>
          <cell r="I50" t="str">
            <v>SNIES</v>
          </cell>
          <cell r="K50" t="str">
            <v>IDA</v>
          </cell>
          <cell r="L50" t="str">
            <v>AUT</v>
          </cell>
          <cell r="P50">
            <v>0</v>
          </cell>
          <cell r="Q50" t="str">
            <v>pxj</v>
          </cell>
          <cell r="S50">
            <v>147.72</v>
          </cell>
          <cell r="T50">
            <v>0.9</v>
          </cell>
          <cell r="U50">
            <v>0</v>
          </cell>
          <cell r="V50">
            <v>0</v>
          </cell>
          <cell r="W50">
            <v>0</v>
          </cell>
          <cell r="X50">
            <v>0</v>
          </cell>
          <cell r="Y50">
            <v>0</v>
          </cell>
          <cell r="Z50">
            <v>0</v>
          </cell>
          <cell r="AA50">
            <v>0</v>
          </cell>
          <cell r="AB50">
            <v>0</v>
          </cell>
          <cell r="AC50">
            <v>0</v>
          </cell>
          <cell r="AD50">
            <v>0</v>
          </cell>
          <cell r="AE50">
            <v>0</v>
          </cell>
          <cell r="AF50">
            <v>0</v>
          </cell>
          <cell r="AH50">
            <v>0</v>
          </cell>
        </row>
        <row r="51">
          <cell r="B51" t="str">
            <v>ST/EPU</v>
          </cell>
          <cell r="C51" t="str">
            <v>A1D</v>
          </cell>
          <cell r="D51" t="str">
            <v>A1DA</v>
          </cell>
          <cell r="E51" t="str">
            <v>IRE/BOK</v>
          </cell>
          <cell r="G51">
            <v>15</v>
          </cell>
          <cell r="H51" t="str">
            <v>120 cl CRD/PACV Mission Régionale de suivi et de supervision</v>
          </cell>
          <cell r="I51" t="str">
            <v>SNIES</v>
          </cell>
          <cell r="K51" t="str">
            <v>IDA</v>
          </cell>
          <cell r="L51" t="str">
            <v>AUT</v>
          </cell>
          <cell r="P51">
            <v>0</v>
          </cell>
          <cell r="Q51" t="str">
            <v>pxj</v>
          </cell>
          <cell r="S51">
            <v>123.10000000000001</v>
          </cell>
          <cell r="T51">
            <v>0.9</v>
          </cell>
          <cell r="U51">
            <v>0</v>
          </cell>
          <cell r="V51">
            <v>0</v>
          </cell>
          <cell r="W51">
            <v>0</v>
          </cell>
          <cell r="X51">
            <v>0</v>
          </cell>
          <cell r="Y51">
            <v>0</v>
          </cell>
          <cell r="Z51">
            <v>0</v>
          </cell>
          <cell r="AA51">
            <v>0</v>
          </cell>
          <cell r="AB51">
            <v>0</v>
          </cell>
          <cell r="AC51">
            <v>0</v>
          </cell>
          <cell r="AD51">
            <v>0</v>
          </cell>
          <cell r="AE51">
            <v>0</v>
          </cell>
          <cell r="AF51">
            <v>0</v>
          </cell>
          <cell r="AH51">
            <v>0</v>
          </cell>
        </row>
        <row r="52">
          <cell r="B52" t="str">
            <v>ST/EPU</v>
          </cell>
          <cell r="C52" t="str">
            <v>A1D</v>
          </cell>
          <cell r="D52" t="str">
            <v>A1DA</v>
          </cell>
          <cell r="E52" t="str">
            <v>IRE/FAR</v>
          </cell>
          <cell r="G52">
            <v>15</v>
          </cell>
          <cell r="H52" t="str">
            <v>120 cl CRD/PACV Mission Régionale de suivi et de supervision</v>
          </cell>
          <cell r="I52" t="str">
            <v>SNIES</v>
          </cell>
          <cell r="K52" t="str">
            <v>IDA</v>
          </cell>
          <cell r="L52" t="str">
            <v>AUT</v>
          </cell>
          <cell r="P52">
            <v>0</v>
          </cell>
          <cell r="Q52" t="str">
            <v>pxj</v>
          </cell>
          <cell r="S52">
            <v>123.10000000000001</v>
          </cell>
          <cell r="T52">
            <v>0.9</v>
          </cell>
          <cell r="U52">
            <v>0</v>
          </cell>
          <cell r="V52">
            <v>0</v>
          </cell>
          <cell r="W52">
            <v>0</v>
          </cell>
          <cell r="X52">
            <v>0</v>
          </cell>
          <cell r="Y52">
            <v>0</v>
          </cell>
          <cell r="Z52">
            <v>0</v>
          </cell>
          <cell r="AA52">
            <v>0</v>
          </cell>
          <cell r="AB52">
            <v>0</v>
          </cell>
          <cell r="AC52">
            <v>0</v>
          </cell>
          <cell r="AD52">
            <v>0</v>
          </cell>
          <cell r="AE52">
            <v>0</v>
          </cell>
          <cell r="AF52">
            <v>0</v>
          </cell>
          <cell r="AH52">
            <v>0</v>
          </cell>
        </row>
        <row r="53">
          <cell r="B53" t="str">
            <v>ST/EPU</v>
          </cell>
          <cell r="C53" t="str">
            <v>A1D</v>
          </cell>
          <cell r="D53" t="str">
            <v>A1DA</v>
          </cell>
          <cell r="E53" t="str">
            <v>IRE/KAN</v>
          </cell>
          <cell r="G53">
            <v>15</v>
          </cell>
          <cell r="H53" t="str">
            <v>120 cl CRD/PACV Mission Régionale de suivi et de supervision</v>
          </cell>
          <cell r="I53" t="str">
            <v>SNIES</v>
          </cell>
          <cell r="K53" t="str">
            <v>IDA</v>
          </cell>
          <cell r="L53" t="str">
            <v>AUT</v>
          </cell>
          <cell r="P53">
            <v>0</v>
          </cell>
          <cell r="Q53" t="str">
            <v>pxj</v>
          </cell>
          <cell r="S53">
            <v>123.10000000000001</v>
          </cell>
          <cell r="T53">
            <v>0.9</v>
          </cell>
          <cell r="U53">
            <v>0</v>
          </cell>
          <cell r="V53">
            <v>0</v>
          </cell>
          <cell r="W53">
            <v>0</v>
          </cell>
          <cell r="X53">
            <v>0</v>
          </cell>
          <cell r="Y53">
            <v>0</v>
          </cell>
          <cell r="Z53">
            <v>0</v>
          </cell>
          <cell r="AA53">
            <v>0</v>
          </cell>
          <cell r="AB53">
            <v>0</v>
          </cell>
          <cell r="AC53">
            <v>0</v>
          </cell>
          <cell r="AD53">
            <v>0</v>
          </cell>
          <cell r="AE53">
            <v>0</v>
          </cell>
          <cell r="AF53">
            <v>0</v>
          </cell>
          <cell r="AH53">
            <v>0</v>
          </cell>
        </row>
        <row r="54">
          <cell r="B54" t="str">
            <v>ST/EPU</v>
          </cell>
          <cell r="C54" t="str">
            <v>A1D</v>
          </cell>
          <cell r="D54" t="str">
            <v>A1DA</v>
          </cell>
          <cell r="E54" t="str">
            <v>IRE/KIN</v>
          </cell>
          <cell r="G54">
            <v>15</v>
          </cell>
          <cell r="H54" t="str">
            <v>120 cl CRD/PACV Mission Régionale de suivi et de supervision</v>
          </cell>
          <cell r="I54" t="str">
            <v>SNIES</v>
          </cell>
          <cell r="K54" t="str">
            <v>IDA</v>
          </cell>
          <cell r="L54" t="str">
            <v>AUT</v>
          </cell>
          <cell r="P54">
            <v>0</v>
          </cell>
          <cell r="Q54" t="str">
            <v>pxj</v>
          </cell>
          <cell r="S54">
            <v>123.10000000000001</v>
          </cell>
          <cell r="T54">
            <v>0.9</v>
          </cell>
          <cell r="U54">
            <v>0</v>
          </cell>
          <cell r="V54">
            <v>0</v>
          </cell>
          <cell r="W54">
            <v>0</v>
          </cell>
          <cell r="X54">
            <v>0</v>
          </cell>
          <cell r="Y54">
            <v>0</v>
          </cell>
          <cell r="Z54">
            <v>0</v>
          </cell>
          <cell r="AA54">
            <v>0</v>
          </cell>
          <cell r="AB54">
            <v>0</v>
          </cell>
          <cell r="AC54">
            <v>0</v>
          </cell>
          <cell r="AD54">
            <v>0</v>
          </cell>
          <cell r="AE54">
            <v>0</v>
          </cell>
          <cell r="AF54">
            <v>0</v>
          </cell>
          <cell r="AH54">
            <v>0</v>
          </cell>
        </row>
        <row r="55">
          <cell r="B55" t="str">
            <v>ST/EPU</v>
          </cell>
          <cell r="C55" t="str">
            <v>A1D</v>
          </cell>
          <cell r="D55" t="str">
            <v>A1DA</v>
          </cell>
          <cell r="E55" t="str">
            <v>IRE/LAB</v>
          </cell>
          <cell r="G55">
            <v>15</v>
          </cell>
          <cell r="H55" t="str">
            <v>120 cl CRD/PACV Mission Régionale de suivi et de supervision</v>
          </cell>
          <cell r="I55" t="str">
            <v>SNIES</v>
          </cell>
          <cell r="K55" t="str">
            <v>IDA</v>
          </cell>
          <cell r="L55" t="str">
            <v>AUT</v>
          </cell>
          <cell r="P55">
            <v>0</v>
          </cell>
          <cell r="Q55" t="str">
            <v>pxj</v>
          </cell>
          <cell r="S55">
            <v>123.10000000000001</v>
          </cell>
          <cell r="T55">
            <v>0.9</v>
          </cell>
          <cell r="U55">
            <v>0</v>
          </cell>
          <cell r="V55">
            <v>0</v>
          </cell>
          <cell r="W55">
            <v>0</v>
          </cell>
          <cell r="X55">
            <v>0</v>
          </cell>
          <cell r="Y55">
            <v>0</v>
          </cell>
          <cell r="Z55">
            <v>0</v>
          </cell>
          <cell r="AA55">
            <v>0</v>
          </cell>
          <cell r="AB55">
            <v>0</v>
          </cell>
          <cell r="AC55">
            <v>0</v>
          </cell>
          <cell r="AD55">
            <v>0</v>
          </cell>
          <cell r="AE55">
            <v>0</v>
          </cell>
          <cell r="AF55">
            <v>0</v>
          </cell>
          <cell r="AH55">
            <v>0</v>
          </cell>
        </row>
        <row r="56">
          <cell r="B56" t="str">
            <v>ST/EPU</v>
          </cell>
          <cell r="C56" t="str">
            <v>A1D</v>
          </cell>
          <cell r="D56" t="str">
            <v>A1DA</v>
          </cell>
          <cell r="E56" t="str">
            <v>IRE/MAM</v>
          </cell>
          <cell r="G56">
            <v>15</v>
          </cell>
          <cell r="H56" t="str">
            <v>120 cl CRD/PACV Mission Régionale de suivi et de supervision</v>
          </cell>
          <cell r="I56" t="str">
            <v>SNIES</v>
          </cell>
          <cell r="K56" t="str">
            <v>IDA</v>
          </cell>
          <cell r="L56" t="str">
            <v>AUT</v>
          </cell>
          <cell r="P56">
            <v>0</v>
          </cell>
          <cell r="Q56" t="str">
            <v>pxj</v>
          </cell>
          <cell r="S56">
            <v>123.10000000000001</v>
          </cell>
          <cell r="T56">
            <v>0.9</v>
          </cell>
          <cell r="U56">
            <v>0</v>
          </cell>
          <cell r="V56">
            <v>0</v>
          </cell>
          <cell r="W56">
            <v>0</v>
          </cell>
          <cell r="X56">
            <v>0</v>
          </cell>
          <cell r="Y56">
            <v>0</v>
          </cell>
          <cell r="Z56">
            <v>0</v>
          </cell>
          <cell r="AA56">
            <v>0</v>
          </cell>
          <cell r="AB56">
            <v>0</v>
          </cell>
          <cell r="AC56">
            <v>0</v>
          </cell>
          <cell r="AD56">
            <v>0</v>
          </cell>
          <cell r="AE56">
            <v>0</v>
          </cell>
          <cell r="AF56">
            <v>0</v>
          </cell>
          <cell r="AH56">
            <v>0</v>
          </cell>
        </row>
        <row r="57">
          <cell r="B57" t="str">
            <v>ST/EPU</v>
          </cell>
          <cell r="C57" t="str">
            <v>A1D</v>
          </cell>
          <cell r="D57" t="str">
            <v>A1DA</v>
          </cell>
          <cell r="E57" t="str">
            <v>IRE/NZE</v>
          </cell>
          <cell r="G57">
            <v>15</v>
          </cell>
          <cell r="H57" t="str">
            <v>120 cl CRD/PACV Mission Régionale de suivi et de supervision</v>
          </cell>
          <cell r="I57" t="str">
            <v>SNIES</v>
          </cell>
          <cell r="K57" t="str">
            <v>IDA</v>
          </cell>
          <cell r="L57" t="str">
            <v>AUT</v>
          </cell>
          <cell r="P57">
            <v>0</v>
          </cell>
          <cell r="Q57" t="str">
            <v>pxj</v>
          </cell>
          <cell r="S57">
            <v>123.10000000000001</v>
          </cell>
          <cell r="T57">
            <v>0.9</v>
          </cell>
          <cell r="U57">
            <v>0</v>
          </cell>
          <cell r="V57">
            <v>0</v>
          </cell>
          <cell r="W57">
            <v>0</v>
          </cell>
          <cell r="X57">
            <v>0</v>
          </cell>
          <cell r="Y57">
            <v>0</v>
          </cell>
          <cell r="Z57">
            <v>0</v>
          </cell>
          <cell r="AA57">
            <v>0</v>
          </cell>
          <cell r="AB57">
            <v>0</v>
          </cell>
          <cell r="AC57">
            <v>0</v>
          </cell>
          <cell r="AD57">
            <v>0</v>
          </cell>
          <cell r="AE57">
            <v>0</v>
          </cell>
          <cell r="AF57">
            <v>0</v>
          </cell>
          <cell r="AH57">
            <v>0</v>
          </cell>
        </row>
        <row r="58">
          <cell r="B58" t="str">
            <v>ST/EPU</v>
          </cell>
          <cell r="C58" t="str">
            <v>A1D</v>
          </cell>
          <cell r="D58" t="str">
            <v>A1DA</v>
          </cell>
          <cell r="E58" t="str">
            <v>SNIES</v>
          </cell>
          <cell r="G58">
            <v>15</v>
          </cell>
          <cell r="H58" t="str">
            <v>300 cl PME Mission C de suivi classes 100 sitesx 5 visites/jx2sites/j</v>
          </cell>
          <cell r="I58" t="str">
            <v>SNIES</v>
          </cell>
          <cell r="K58" t="str">
            <v>IDA</v>
          </cell>
          <cell r="L58" t="str">
            <v>AUT</v>
          </cell>
          <cell r="P58">
            <v>0</v>
          </cell>
          <cell r="Q58" t="str">
            <v>pxj</v>
          </cell>
          <cell r="S58">
            <v>147.72</v>
          </cell>
          <cell r="T58">
            <v>0.9</v>
          </cell>
          <cell r="U58">
            <v>0</v>
          </cell>
          <cell r="V58">
            <v>0</v>
          </cell>
          <cell r="W58">
            <v>0</v>
          </cell>
          <cell r="X58">
            <v>0</v>
          </cell>
          <cell r="Y58">
            <v>0</v>
          </cell>
          <cell r="Z58">
            <v>0</v>
          </cell>
          <cell r="AA58">
            <v>0</v>
          </cell>
          <cell r="AB58">
            <v>0</v>
          </cell>
          <cell r="AC58">
            <v>0</v>
          </cell>
          <cell r="AD58">
            <v>0</v>
          </cell>
          <cell r="AE58">
            <v>0</v>
          </cell>
          <cell r="AF58">
            <v>0</v>
          </cell>
          <cell r="AH58">
            <v>0</v>
          </cell>
        </row>
        <row r="59">
          <cell r="B59" t="str">
            <v>ST/EPU</v>
          </cell>
          <cell r="C59" t="str">
            <v>A1D</v>
          </cell>
          <cell r="D59" t="str">
            <v>A1DA</v>
          </cell>
          <cell r="E59" t="str">
            <v>IRE/BOK</v>
          </cell>
          <cell r="G59">
            <v>15</v>
          </cell>
          <cell r="H59" t="str">
            <v>300 cl PME Mission R de suivi classes 17 sites x 25 visites/sitex2sites/j</v>
          </cell>
          <cell r="I59" t="str">
            <v>SNIES</v>
          </cell>
          <cell r="K59" t="str">
            <v>IDA</v>
          </cell>
          <cell r="L59" t="str">
            <v>AUT</v>
          </cell>
          <cell r="P59">
            <v>0</v>
          </cell>
          <cell r="Q59" t="str">
            <v>pxj</v>
          </cell>
          <cell r="S59">
            <v>123.10000000000001</v>
          </cell>
          <cell r="T59">
            <v>0.9</v>
          </cell>
          <cell r="U59">
            <v>0</v>
          </cell>
          <cell r="V59">
            <v>0</v>
          </cell>
          <cell r="W59">
            <v>0</v>
          </cell>
          <cell r="X59">
            <v>0</v>
          </cell>
          <cell r="Y59">
            <v>0</v>
          </cell>
          <cell r="Z59">
            <v>0</v>
          </cell>
          <cell r="AA59">
            <v>0</v>
          </cell>
          <cell r="AB59">
            <v>0</v>
          </cell>
          <cell r="AC59">
            <v>0</v>
          </cell>
          <cell r="AD59">
            <v>0</v>
          </cell>
          <cell r="AE59">
            <v>0</v>
          </cell>
          <cell r="AF59">
            <v>0</v>
          </cell>
          <cell r="AH59">
            <v>0</v>
          </cell>
        </row>
        <row r="60">
          <cell r="B60" t="str">
            <v>ST/EPU</v>
          </cell>
          <cell r="C60" t="str">
            <v>A1D</v>
          </cell>
          <cell r="D60" t="str">
            <v>A1DA</v>
          </cell>
          <cell r="E60" t="str">
            <v>IRE/FAR</v>
          </cell>
          <cell r="G60">
            <v>15</v>
          </cell>
          <cell r="H60" t="str">
            <v>300 cl PME Mission R de suivi classes 5 sites x 25 visites/sitex2sites/j</v>
          </cell>
          <cell r="I60" t="str">
            <v>SNIES</v>
          </cell>
          <cell r="K60" t="str">
            <v>IDA</v>
          </cell>
          <cell r="L60" t="str">
            <v>AUT</v>
          </cell>
          <cell r="P60">
            <v>0</v>
          </cell>
          <cell r="Q60" t="str">
            <v>pxj</v>
          </cell>
          <cell r="S60">
            <v>123.10000000000001</v>
          </cell>
          <cell r="T60">
            <v>0.9</v>
          </cell>
          <cell r="U60">
            <v>0</v>
          </cell>
          <cell r="V60">
            <v>0</v>
          </cell>
          <cell r="W60">
            <v>0</v>
          </cell>
          <cell r="X60">
            <v>0</v>
          </cell>
          <cell r="Y60">
            <v>0</v>
          </cell>
          <cell r="Z60">
            <v>0</v>
          </cell>
          <cell r="AA60">
            <v>0</v>
          </cell>
          <cell r="AB60">
            <v>0</v>
          </cell>
          <cell r="AC60">
            <v>0</v>
          </cell>
          <cell r="AD60">
            <v>0</v>
          </cell>
          <cell r="AE60">
            <v>0</v>
          </cell>
          <cell r="AF60">
            <v>0</v>
          </cell>
          <cell r="AH60">
            <v>0</v>
          </cell>
        </row>
        <row r="61">
          <cell r="B61" t="str">
            <v>ST/EPU</v>
          </cell>
          <cell r="C61" t="str">
            <v>A1D</v>
          </cell>
          <cell r="D61" t="str">
            <v>A1DA</v>
          </cell>
          <cell r="E61" t="str">
            <v>IRE/KAN</v>
          </cell>
          <cell r="G61">
            <v>15</v>
          </cell>
          <cell r="H61" t="str">
            <v>300 cl PME Mission R de suivi classes 15 sites x 25 visites/sitex2sites/j</v>
          </cell>
          <cell r="I61" t="str">
            <v>SNIES</v>
          </cell>
          <cell r="K61" t="str">
            <v>IDA</v>
          </cell>
          <cell r="L61" t="str">
            <v>AUT</v>
          </cell>
          <cell r="P61">
            <v>0</v>
          </cell>
          <cell r="Q61" t="str">
            <v>pxj</v>
          </cell>
          <cell r="S61">
            <v>123.10000000000001</v>
          </cell>
          <cell r="T61">
            <v>0.9</v>
          </cell>
          <cell r="U61">
            <v>0</v>
          </cell>
          <cell r="V61">
            <v>0</v>
          </cell>
          <cell r="W61">
            <v>0</v>
          </cell>
          <cell r="X61">
            <v>0</v>
          </cell>
          <cell r="Y61">
            <v>0</v>
          </cell>
          <cell r="Z61">
            <v>0</v>
          </cell>
          <cell r="AA61">
            <v>0</v>
          </cell>
          <cell r="AB61">
            <v>0</v>
          </cell>
          <cell r="AC61">
            <v>0</v>
          </cell>
          <cell r="AD61">
            <v>0</v>
          </cell>
          <cell r="AE61">
            <v>0</v>
          </cell>
          <cell r="AF61">
            <v>0</v>
          </cell>
          <cell r="AH61">
            <v>0</v>
          </cell>
        </row>
        <row r="62">
          <cell r="B62" t="str">
            <v>ST/EPU</v>
          </cell>
          <cell r="C62" t="str">
            <v>A1D</v>
          </cell>
          <cell r="D62" t="str">
            <v>A1DA</v>
          </cell>
          <cell r="E62" t="str">
            <v>IRE/KIN</v>
          </cell>
          <cell r="G62">
            <v>15</v>
          </cell>
          <cell r="H62" t="str">
            <v>300 cl PME Mission R de suivi classes 12 sites x 25 visites/sitex2sites/j</v>
          </cell>
          <cell r="I62" t="str">
            <v>SNIES</v>
          </cell>
          <cell r="K62" t="str">
            <v>IDA</v>
          </cell>
          <cell r="L62" t="str">
            <v>AUT</v>
          </cell>
          <cell r="P62">
            <v>0</v>
          </cell>
          <cell r="Q62" t="str">
            <v>pxj</v>
          </cell>
          <cell r="S62">
            <v>123.10000000000001</v>
          </cell>
          <cell r="T62">
            <v>0.9</v>
          </cell>
          <cell r="U62">
            <v>0</v>
          </cell>
          <cell r="V62">
            <v>0</v>
          </cell>
          <cell r="W62">
            <v>0</v>
          </cell>
          <cell r="X62">
            <v>0</v>
          </cell>
          <cell r="Y62">
            <v>0</v>
          </cell>
          <cell r="Z62">
            <v>0</v>
          </cell>
          <cell r="AA62">
            <v>0</v>
          </cell>
          <cell r="AB62">
            <v>0</v>
          </cell>
          <cell r="AC62">
            <v>0</v>
          </cell>
          <cell r="AD62">
            <v>0</v>
          </cell>
          <cell r="AE62">
            <v>0</v>
          </cell>
          <cell r="AF62">
            <v>0</v>
          </cell>
          <cell r="AH62">
            <v>0</v>
          </cell>
        </row>
        <row r="63">
          <cell r="B63" t="str">
            <v>ST/EPU</v>
          </cell>
          <cell r="C63" t="str">
            <v>A1D</v>
          </cell>
          <cell r="D63" t="str">
            <v>A1DA</v>
          </cell>
          <cell r="E63" t="str">
            <v>IRE/LAB</v>
          </cell>
          <cell r="G63">
            <v>15</v>
          </cell>
          <cell r="H63" t="str">
            <v>300 cl PME Mission R de suivi classes 11 sites x 25 visites/sitex2sites/j</v>
          </cell>
          <cell r="I63" t="str">
            <v>SNIES</v>
          </cell>
          <cell r="K63" t="str">
            <v>IDA</v>
          </cell>
          <cell r="L63" t="str">
            <v>AUT</v>
          </cell>
          <cell r="P63">
            <v>0</v>
          </cell>
          <cell r="Q63" t="str">
            <v>pxj</v>
          </cell>
          <cell r="S63">
            <v>123.10000000000001</v>
          </cell>
          <cell r="T63">
            <v>0.9</v>
          </cell>
          <cell r="U63">
            <v>0</v>
          </cell>
          <cell r="V63">
            <v>0</v>
          </cell>
          <cell r="W63">
            <v>0</v>
          </cell>
          <cell r="X63">
            <v>0</v>
          </cell>
          <cell r="Y63">
            <v>0</v>
          </cell>
          <cell r="Z63">
            <v>0</v>
          </cell>
          <cell r="AA63">
            <v>0</v>
          </cell>
          <cell r="AB63">
            <v>0</v>
          </cell>
          <cell r="AC63">
            <v>0</v>
          </cell>
          <cell r="AD63">
            <v>0</v>
          </cell>
          <cell r="AE63">
            <v>0</v>
          </cell>
          <cell r="AF63">
            <v>0</v>
          </cell>
          <cell r="AH63">
            <v>0</v>
          </cell>
        </row>
        <row r="64">
          <cell r="B64" t="str">
            <v>ST/EPU</v>
          </cell>
          <cell r="C64" t="str">
            <v>A1D</v>
          </cell>
          <cell r="D64" t="str">
            <v>A1DA</v>
          </cell>
          <cell r="E64" t="str">
            <v>IRE/MAM</v>
          </cell>
          <cell r="G64">
            <v>15</v>
          </cell>
          <cell r="H64" t="str">
            <v>300 cl PME Mission R de suivi classes 11 sites x 25 visites/sitex2sites/j</v>
          </cell>
          <cell r="I64" t="str">
            <v>SNIES</v>
          </cell>
          <cell r="K64" t="str">
            <v>IDA</v>
          </cell>
          <cell r="L64" t="str">
            <v>AUT</v>
          </cell>
          <cell r="P64">
            <v>0</v>
          </cell>
          <cell r="Q64" t="str">
            <v>pxj</v>
          </cell>
          <cell r="S64">
            <v>123.10000000000001</v>
          </cell>
          <cell r="T64">
            <v>0.9</v>
          </cell>
          <cell r="U64">
            <v>0</v>
          </cell>
          <cell r="V64">
            <v>0</v>
          </cell>
          <cell r="W64">
            <v>0</v>
          </cell>
          <cell r="X64">
            <v>0</v>
          </cell>
          <cell r="Y64">
            <v>0</v>
          </cell>
          <cell r="Z64">
            <v>0</v>
          </cell>
          <cell r="AA64">
            <v>0</v>
          </cell>
          <cell r="AB64">
            <v>0</v>
          </cell>
          <cell r="AC64">
            <v>0</v>
          </cell>
          <cell r="AD64">
            <v>0</v>
          </cell>
          <cell r="AE64">
            <v>0</v>
          </cell>
          <cell r="AF64">
            <v>0</v>
          </cell>
          <cell r="AH64">
            <v>0</v>
          </cell>
        </row>
        <row r="65">
          <cell r="B65" t="str">
            <v>ST/EPU</v>
          </cell>
          <cell r="C65" t="str">
            <v>A1D</v>
          </cell>
          <cell r="D65" t="str">
            <v>A1DA</v>
          </cell>
          <cell r="E65" t="str">
            <v>IRE/NZE</v>
          </cell>
          <cell r="G65">
            <v>15</v>
          </cell>
          <cell r="H65" t="str">
            <v>300 cl PME Mission R de suivi classes 29 sites x 25 visites/sitex2sites/j</v>
          </cell>
          <cell r="I65" t="str">
            <v>SNIES</v>
          </cell>
          <cell r="K65" t="str">
            <v>IDA</v>
          </cell>
          <cell r="L65" t="str">
            <v>AUT</v>
          </cell>
          <cell r="P65">
            <v>0</v>
          </cell>
          <cell r="Q65" t="str">
            <v>pxj</v>
          </cell>
          <cell r="S65">
            <v>123.10000000000001</v>
          </cell>
          <cell r="T65">
            <v>0.9</v>
          </cell>
          <cell r="U65">
            <v>0</v>
          </cell>
          <cell r="V65">
            <v>0</v>
          </cell>
          <cell r="W65">
            <v>0</v>
          </cell>
          <cell r="X65">
            <v>0</v>
          </cell>
          <cell r="Y65">
            <v>0</v>
          </cell>
          <cell r="Z65">
            <v>0</v>
          </cell>
          <cell r="AA65">
            <v>0</v>
          </cell>
          <cell r="AB65">
            <v>0</v>
          </cell>
          <cell r="AC65">
            <v>0</v>
          </cell>
          <cell r="AD65">
            <v>0</v>
          </cell>
          <cell r="AE65">
            <v>0</v>
          </cell>
          <cell r="AF65">
            <v>0</v>
          </cell>
          <cell r="AH65">
            <v>0</v>
          </cell>
        </row>
        <row r="66">
          <cell r="B66" t="str">
            <v>ST/EPU</v>
          </cell>
          <cell r="C66" t="str">
            <v>A1D</v>
          </cell>
          <cell r="D66" t="str">
            <v>A1DA</v>
          </cell>
          <cell r="E66" t="str">
            <v>IRE/BOK</v>
          </cell>
          <cell r="G66">
            <v>25</v>
          </cell>
          <cell r="H66" t="str">
            <v>Superviseurs de travaux (2)</v>
          </cell>
          <cell r="I66" t="str">
            <v>SNIES</v>
          </cell>
          <cell r="K66" t="str">
            <v>IDA</v>
          </cell>
          <cell r="L66" t="str">
            <v>AUT</v>
          </cell>
          <cell r="P66">
            <v>0</v>
          </cell>
          <cell r="Q66" t="str">
            <v>mois</v>
          </cell>
          <cell r="S66">
            <v>1536.288</v>
          </cell>
          <cell r="T66">
            <v>1</v>
          </cell>
          <cell r="U66">
            <v>0</v>
          </cell>
          <cell r="V66">
            <v>0</v>
          </cell>
          <cell r="W66">
            <v>0</v>
          </cell>
          <cell r="X66">
            <v>0</v>
          </cell>
          <cell r="Y66">
            <v>0</v>
          </cell>
          <cell r="Z66">
            <v>0</v>
          </cell>
          <cell r="AA66">
            <v>0</v>
          </cell>
          <cell r="AB66">
            <v>0</v>
          </cell>
          <cell r="AC66">
            <v>0</v>
          </cell>
          <cell r="AD66">
            <v>0</v>
          </cell>
          <cell r="AE66">
            <v>0</v>
          </cell>
          <cell r="AF66">
            <v>0</v>
          </cell>
          <cell r="AH66">
            <v>0</v>
          </cell>
        </row>
        <row r="67">
          <cell r="B67" t="str">
            <v>ST/EPU</v>
          </cell>
          <cell r="C67" t="str">
            <v>A1D</v>
          </cell>
          <cell r="D67" t="str">
            <v>A1DA</v>
          </cell>
          <cell r="E67" t="str">
            <v>IRE/FAR</v>
          </cell>
          <cell r="G67">
            <v>25</v>
          </cell>
          <cell r="H67" t="str">
            <v>Superviseurs de travaux (1)</v>
          </cell>
          <cell r="I67" t="str">
            <v>SNIES</v>
          </cell>
          <cell r="K67" t="str">
            <v>IDA</v>
          </cell>
          <cell r="L67" t="str">
            <v>AUT</v>
          </cell>
          <cell r="P67">
            <v>0</v>
          </cell>
          <cell r="Q67" t="str">
            <v>mois</v>
          </cell>
          <cell r="S67">
            <v>1536.288</v>
          </cell>
          <cell r="T67">
            <v>1</v>
          </cell>
          <cell r="U67">
            <v>0</v>
          </cell>
          <cell r="V67">
            <v>0</v>
          </cell>
          <cell r="W67">
            <v>0</v>
          </cell>
          <cell r="X67">
            <v>0</v>
          </cell>
          <cell r="Y67">
            <v>0</v>
          </cell>
          <cell r="Z67">
            <v>0</v>
          </cell>
          <cell r="AA67">
            <v>0</v>
          </cell>
          <cell r="AB67">
            <v>0</v>
          </cell>
          <cell r="AC67">
            <v>0</v>
          </cell>
          <cell r="AD67">
            <v>0</v>
          </cell>
          <cell r="AE67">
            <v>0</v>
          </cell>
          <cell r="AF67">
            <v>0</v>
          </cell>
          <cell r="AH67">
            <v>0</v>
          </cell>
        </row>
        <row r="68">
          <cell r="B68" t="str">
            <v>ST/EPU</v>
          </cell>
          <cell r="C68" t="str">
            <v>A1D</v>
          </cell>
          <cell r="D68" t="str">
            <v>A1DA</v>
          </cell>
          <cell r="E68" t="str">
            <v>IRE/KAN</v>
          </cell>
          <cell r="G68">
            <v>25</v>
          </cell>
          <cell r="H68" t="str">
            <v>Superviseurs de travaux (1)</v>
          </cell>
          <cell r="I68" t="str">
            <v>SNIES</v>
          </cell>
          <cell r="K68" t="str">
            <v>IDA</v>
          </cell>
          <cell r="L68" t="str">
            <v>AUT</v>
          </cell>
          <cell r="P68">
            <v>0</v>
          </cell>
          <cell r="Q68" t="str">
            <v>mois</v>
          </cell>
          <cell r="S68">
            <v>1536.288</v>
          </cell>
          <cell r="T68">
            <v>1</v>
          </cell>
          <cell r="U68">
            <v>0</v>
          </cell>
          <cell r="V68">
            <v>0</v>
          </cell>
          <cell r="W68">
            <v>0</v>
          </cell>
          <cell r="X68">
            <v>0</v>
          </cell>
          <cell r="Y68">
            <v>0</v>
          </cell>
          <cell r="Z68">
            <v>0</v>
          </cell>
          <cell r="AA68">
            <v>0</v>
          </cell>
          <cell r="AB68">
            <v>0</v>
          </cell>
          <cell r="AC68">
            <v>0</v>
          </cell>
          <cell r="AD68">
            <v>0</v>
          </cell>
          <cell r="AE68">
            <v>0</v>
          </cell>
          <cell r="AF68">
            <v>0</v>
          </cell>
          <cell r="AH68">
            <v>0</v>
          </cell>
        </row>
        <row r="69">
          <cell r="B69" t="str">
            <v>ST/EPU</v>
          </cell>
          <cell r="C69" t="str">
            <v>A1D</v>
          </cell>
          <cell r="D69" t="str">
            <v>A1DA</v>
          </cell>
          <cell r="E69" t="str">
            <v>IRE/KIN</v>
          </cell>
          <cell r="G69">
            <v>25</v>
          </cell>
          <cell r="H69" t="str">
            <v>Superviseurs de travaux (2)</v>
          </cell>
          <cell r="I69" t="str">
            <v>SNIES</v>
          </cell>
          <cell r="K69" t="str">
            <v>IDA</v>
          </cell>
          <cell r="L69" t="str">
            <v>AUT</v>
          </cell>
          <cell r="P69">
            <v>0</v>
          </cell>
          <cell r="Q69" t="str">
            <v>mois</v>
          </cell>
          <cell r="S69">
            <v>1536.288</v>
          </cell>
          <cell r="T69">
            <v>1</v>
          </cell>
          <cell r="U69">
            <v>0</v>
          </cell>
          <cell r="V69">
            <v>0</v>
          </cell>
          <cell r="W69">
            <v>0</v>
          </cell>
          <cell r="X69">
            <v>0</v>
          </cell>
          <cell r="Y69">
            <v>0</v>
          </cell>
          <cell r="Z69">
            <v>0</v>
          </cell>
          <cell r="AA69">
            <v>0</v>
          </cell>
          <cell r="AB69">
            <v>0</v>
          </cell>
          <cell r="AC69">
            <v>0</v>
          </cell>
          <cell r="AD69">
            <v>0</v>
          </cell>
          <cell r="AE69">
            <v>0</v>
          </cell>
          <cell r="AF69">
            <v>0</v>
          </cell>
          <cell r="AH69">
            <v>0</v>
          </cell>
        </row>
        <row r="70">
          <cell r="B70" t="str">
            <v>ST/EPU</v>
          </cell>
          <cell r="C70" t="str">
            <v>A1D</v>
          </cell>
          <cell r="D70" t="str">
            <v>A1DA</v>
          </cell>
          <cell r="E70" t="str">
            <v>IRE/LAB</v>
          </cell>
          <cell r="G70">
            <v>25</v>
          </cell>
          <cell r="H70" t="str">
            <v>Superviseurs de travaux (1)</v>
          </cell>
          <cell r="I70" t="str">
            <v>SNIES</v>
          </cell>
          <cell r="K70" t="str">
            <v>IDA</v>
          </cell>
          <cell r="L70" t="str">
            <v>AUT</v>
          </cell>
          <cell r="P70">
            <v>0</v>
          </cell>
          <cell r="Q70" t="str">
            <v>mois</v>
          </cell>
          <cell r="S70">
            <v>1536.288</v>
          </cell>
          <cell r="T70">
            <v>1</v>
          </cell>
          <cell r="U70">
            <v>0</v>
          </cell>
          <cell r="V70">
            <v>0</v>
          </cell>
          <cell r="W70">
            <v>0</v>
          </cell>
          <cell r="X70">
            <v>0</v>
          </cell>
          <cell r="Y70">
            <v>0</v>
          </cell>
          <cell r="Z70">
            <v>0</v>
          </cell>
          <cell r="AA70">
            <v>0</v>
          </cell>
          <cell r="AB70">
            <v>0</v>
          </cell>
          <cell r="AC70">
            <v>0</v>
          </cell>
          <cell r="AD70">
            <v>0</v>
          </cell>
          <cell r="AE70">
            <v>0</v>
          </cell>
          <cell r="AF70">
            <v>0</v>
          </cell>
          <cell r="AH70">
            <v>0</v>
          </cell>
        </row>
        <row r="71">
          <cell r="B71" t="str">
            <v>ST/EPU</v>
          </cell>
          <cell r="C71" t="str">
            <v>A1D</v>
          </cell>
          <cell r="D71" t="str">
            <v>A1DA</v>
          </cell>
          <cell r="E71" t="str">
            <v>IRE/MAM</v>
          </cell>
          <cell r="G71">
            <v>25</v>
          </cell>
          <cell r="H71" t="str">
            <v>Superviseurs de travaux (1)</v>
          </cell>
          <cell r="I71" t="str">
            <v>SNIES</v>
          </cell>
          <cell r="K71" t="str">
            <v>IDA</v>
          </cell>
          <cell r="L71" t="str">
            <v>AUT</v>
          </cell>
          <cell r="P71">
            <v>0</v>
          </cell>
          <cell r="Q71" t="str">
            <v>mois</v>
          </cell>
          <cell r="S71">
            <v>1536.288</v>
          </cell>
          <cell r="T71">
            <v>1</v>
          </cell>
          <cell r="U71">
            <v>0</v>
          </cell>
          <cell r="V71">
            <v>0</v>
          </cell>
          <cell r="W71">
            <v>0</v>
          </cell>
          <cell r="X71">
            <v>0</v>
          </cell>
          <cell r="Y71">
            <v>0</v>
          </cell>
          <cell r="Z71">
            <v>0</v>
          </cell>
          <cell r="AA71">
            <v>0</v>
          </cell>
          <cell r="AB71">
            <v>0</v>
          </cell>
          <cell r="AC71">
            <v>0</v>
          </cell>
          <cell r="AD71">
            <v>0</v>
          </cell>
          <cell r="AE71">
            <v>0</v>
          </cell>
          <cell r="AF71">
            <v>0</v>
          </cell>
          <cell r="AH71">
            <v>0</v>
          </cell>
        </row>
        <row r="72">
          <cell r="B72" t="str">
            <v>ST/EPU</v>
          </cell>
          <cell r="C72" t="str">
            <v>A1D</v>
          </cell>
          <cell r="D72" t="str">
            <v>A1DA</v>
          </cell>
          <cell r="E72" t="str">
            <v>IRE/NZE</v>
          </cell>
          <cell r="G72">
            <v>25</v>
          </cell>
          <cell r="H72" t="str">
            <v>Superviseurs de travaux (2)</v>
          </cell>
          <cell r="I72" t="str">
            <v>SNIES</v>
          </cell>
          <cell r="K72" t="str">
            <v>IDA</v>
          </cell>
          <cell r="L72" t="str">
            <v>AUT</v>
          </cell>
          <cell r="P72">
            <v>0</v>
          </cell>
          <cell r="Q72" t="str">
            <v>mois</v>
          </cell>
          <cell r="S72">
            <v>1536.288</v>
          </cell>
          <cell r="T72">
            <v>1</v>
          </cell>
          <cell r="U72">
            <v>0</v>
          </cell>
          <cell r="V72">
            <v>0</v>
          </cell>
          <cell r="W72">
            <v>0</v>
          </cell>
          <cell r="X72">
            <v>0</v>
          </cell>
          <cell r="Y72">
            <v>0</v>
          </cell>
          <cell r="Z72">
            <v>0</v>
          </cell>
          <cell r="AA72">
            <v>0</v>
          </cell>
          <cell r="AB72">
            <v>0</v>
          </cell>
          <cell r="AC72">
            <v>0</v>
          </cell>
          <cell r="AD72">
            <v>0</v>
          </cell>
          <cell r="AE72">
            <v>0</v>
          </cell>
          <cell r="AF72">
            <v>0</v>
          </cell>
          <cell r="AH72">
            <v>0</v>
          </cell>
        </row>
        <row r="73">
          <cell r="B73" t="str">
            <v>ST/EPU</v>
          </cell>
          <cell r="C73" t="str">
            <v>A1D</v>
          </cell>
          <cell r="D73" t="str">
            <v>A1DA</v>
          </cell>
          <cell r="E73" t="str">
            <v>SNIES</v>
          </cell>
          <cell r="G73">
            <v>25</v>
          </cell>
          <cell r="H73" t="str">
            <v>Ingénieur contractuel</v>
          </cell>
          <cell r="I73" t="str">
            <v>SNIES</v>
          </cell>
          <cell r="K73" t="str">
            <v>IDA</v>
          </cell>
          <cell r="L73" t="str">
            <v>AUT</v>
          </cell>
          <cell r="P73">
            <v>0</v>
          </cell>
          <cell r="Q73" t="str">
            <v>mois</v>
          </cell>
          <cell r="S73">
            <v>2043.4600000000003</v>
          </cell>
          <cell r="T73">
            <v>1</v>
          </cell>
          <cell r="U73">
            <v>0</v>
          </cell>
          <cell r="V73">
            <v>0</v>
          </cell>
          <cell r="W73">
            <v>0</v>
          </cell>
          <cell r="X73">
            <v>0</v>
          </cell>
          <cell r="Y73">
            <v>0</v>
          </cell>
          <cell r="Z73">
            <v>0</v>
          </cell>
          <cell r="AA73">
            <v>0</v>
          </cell>
          <cell r="AB73">
            <v>0</v>
          </cell>
          <cell r="AC73">
            <v>0</v>
          </cell>
          <cell r="AD73">
            <v>0</v>
          </cell>
          <cell r="AE73">
            <v>0</v>
          </cell>
          <cell r="AF73">
            <v>0</v>
          </cell>
          <cell r="AH73">
            <v>0</v>
          </cell>
        </row>
        <row r="74">
          <cell r="B74" t="str">
            <v>ST/EPU</v>
          </cell>
          <cell r="C74" t="str">
            <v>A1D</v>
          </cell>
          <cell r="D74" t="str">
            <v>A1DA</v>
          </cell>
          <cell r="E74" t="str">
            <v>SNIES</v>
          </cell>
          <cell r="G74">
            <v>25</v>
          </cell>
          <cell r="H74" t="str">
            <v>Architecte contractuel</v>
          </cell>
          <cell r="I74" t="str">
            <v>SNIES</v>
          </cell>
          <cell r="K74" t="str">
            <v>IDA</v>
          </cell>
          <cell r="L74" t="str">
            <v>AUT</v>
          </cell>
          <cell r="P74">
            <v>0</v>
          </cell>
          <cell r="Q74" t="str">
            <v>mois</v>
          </cell>
          <cell r="S74">
            <v>2043.4600000000003</v>
          </cell>
          <cell r="T74">
            <v>1</v>
          </cell>
          <cell r="U74">
            <v>0</v>
          </cell>
          <cell r="V74">
            <v>0</v>
          </cell>
          <cell r="W74">
            <v>0</v>
          </cell>
          <cell r="X74">
            <v>0</v>
          </cell>
          <cell r="Y74">
            <v>0</v>
          </cell>
          <cell r="Z74">
            <v>0</v>
          </cell>
          <cell r="AA74">
            <v>0</v>
          </cell>
          <cell r="AB74">
            <v>0</v>
          </cell>
          <cell r="AC74">
            <v>0</v>
          </cell>
          <cell r="AD74">
            <v>0</v>
          </cell>
          <cell r="AE74">
            <v>0</v>
          </cell>
          <cell r="AF74">
            <v>0</v>
          </cell>
          <cell r="AH74">
            <v>0</v>
          </cell>
        </row>
        <row r="75">
          <cell r="B75" t="str">
            <v>ST/EPU</v>
          </cell>
          <cell r="C75" t="str">
            <v>A1D</v>
          </cell>
          <cell r="D75" t="str">
            <v>A1DA</v>
          </cell>
          <cell r="E75" t="str">
            <v>SNIES</v>
          </cell>
          <cell r="G75">
            <v>25</v>
          </cell>
          <cell r="H75" t="str">
            <v>Secrétaire contractuelle</v>
          </cell>
          <cell r="I75" t="str">
            <v>SNIES</v>
          </cell>
          <cell r="K75" t="str">
            <v>IDA</v>
          </cell>
          <cell r="L75" t="str">
            <v>AUT</v>
          </cell>
          <cell r="P75">
            <v>0</v>
          </cell>
          <cell r="Q75" t="str">
            <v>mois</v>
          </cell>
          <cell r="S75">
            <v>517.0200000000001</v>
          </cell>
          <cell r="T75">
            <v>1</v>
          </cell>
          <cell r="U75">
            <v>0</v>
          </cell>
          <cell r="V75">
            <v>0</v>
          </cell>
          <cell r="W75">
            <v>0</v>
          </cell>
          <cell r="X75">
            <v>0</v>
          </cell>
          <cell r="Y75">
            <v>0</v>
          </cell>
          <cell r="Z75">
            <v>0</v>
          </cell>
          <cell r="AA75">
            <v>0</v>
          </cell>
          <cell r="AB75">
            <v>0</v>
          </cell>
          <cell r="AC75">
            <v>0</v>
          </cell>
          <cell r="AD75">
            <v>0</v>
          </cell>
          <cell r="AE75">
            <v>0</v>
          </cell>
          <cell r="AF75">
            <v>0</v>
          </cell>
          <cell r="AH75">
            <v>0</v>
          </cell>
        </row>
        <row r="76">
          <cell r="B76" t="str">
            <v>ST/EPU</v>
          </cell>
          <cell r="C76" t="str">
            <v>A1D</v>
          </cell>
          <cell r="D76" t="str">
            <v>A1DA</v>
          </cell>
          <cell r="E76" t="str">
            <v>SNIES</v>
          </cell>
          <cell r="G76">
            <v>15</v>
          </cell>
          <cell r="H76" t="str">
            <v>Fonctionnement additionnel yc dessinateur</v>
          </cell>
          <cell r="I76" t="str">
            <v>SNIES</v>
          </cell>
          <cell r="K76" t="str">
            <v>IDA</v>
          </cell>
          <cell r="L76" t="str">
            <v>AUT</v>
          </cell>
          <cell r="P76">
            <v>0</v>
          </cell>
          <cell r="Q76" t="str">
            <v>mois</v>
          </cell>
          <cell r="S76">
            <v>1969.6000000000001</v>
          </cell>
          <cell r="T76">
            <v>0.9</v>
          </cell>
          <cell r="U76">
            <v>0</v>
          </cell>
          <cell r="V76">
            <v>0</v>
          </cell>
          <cell r="W76">
            <v>0</v>
          </cell>
          <cell r="X76">
            <v>0</v>
          </cell>
          <cell r="Y76">
            <v>0</v>
          </cell>
          <cell r="Z76">
            <v>0</v>
          </cell>
          <cell r="AA76">
            <v>0</v>
          </cell>
          <cell r="AB76">
            <v>0</v>
          </cell>
          <cell r="AC76">
            <v>0</v>
          </cell>
          <cell r="AD76">
            <v>0</v>
          </cell>
          <cell r="AE76">
            <v>0</v>
          </cell>
          <cell r="AF76">
            <v>0</v>
          </cell>
          <cell r="AH76">
            <v>0</v>
          </cell>
        </row>
        <row r="77">
          <cell r="B77" t="str">
            <v>ST/EPU</v>
          </cell>
          <cell r="C77" t="str">
            <v>A1D</v>
          </cell>
          <cell r="D77" t="str">
            <v>A1DC</v>
          </cell>
          <cell r="E77" t="str">
            <v>SNIES</v>
          </cell>
          <cell r="G77">
            <v>25</v>
          </cell>
          <cell r="H77" t="str">
            <v>Appui spécialiste international génie civil</v>
          </cell>
          <cell r="I77" t="str">
            <v>SNIES</v>
          </cell>
          <cell r="K77" t="str">
            <v>IDA</v>
          </cell>
          <cell r="L77" t="str">
            <v>AUT</v>
          </cell>
          <cell r="P77">
            <v>0</v>
          </cell>
          <cell r="Q77" t="str">
            <v>mois</v>
          </cell>
          <cell r="S77">
            <v>147720</v>
          </cell>
          <cell r="T77">
            <v>1</v>
          </cell>
          <cell r="U77">
            <v>0</v>
          </cell>
          <cell r="V77">
            <v>0</v>
          </cell>
          <cell r="W77">
            <v>0</v>
          </cell>
          <cell r="X77">
            <v>0</v>
          </cell>
          <cell r="Y77">
            <v>0</v>
          </cell>
          <cell r="Z77">
            <v>0</v>
          </cell>
          <cell r="AA77">
            <v>0</v>
          </cell>
          <cell r="AB77">
            <v>0</v>
          </cell>
          <cell r="AC77">
            <v>0</v>
          </cell>
          <cell r="AD77">
            <v>0</v>
          </cell>
          <cell r="AE77">
            <v>0</v>
          </cell>
          <cell r="AF77">
            <v>0</v>
          </cell>
          <cell r="AH77">
            <v>0</v>
          </cell>
        </row>
        <row r="78">
          <cell r="B78" t="str">
            <v>ST/EPU</v>
          </cell>
          <cell r="C78" t="str">
            <v>A1D</v>
          </cell>
          <cell r="D78" t="str">
            <v>A1DC</v>
          </cell>
          <cell r="E78" t="str">
            <v>SNIES</v>
          </cell>
          <cell r="G78">
            <v>25</v>
          </cell>
          <cell r="H78" t="str">
            <v>Etude sur l'état et le coût de mise à niveau des infrastructures existantes</v>
          </cell>
          <cell r="I78" t="str">
            <v>SNIES</v>
          </cell>
          <cell r="K78" t="str">
            <v>IDA</v>
          </cell>
          <cell r="L78" t="str">
            <v>LR</v>
          </cell>
          <cell r="P78">
            <v>0</v>
          </cell>
          <cell r="Q78" t="str">
            <v>forfait</v>
          </cell>
          <cell r="S78">
            <v>34468</v>
          </cell>
          <cell r="T78">
            <v>1</v>
          </cell>
          <cell r="U78">
            <v>0</v>
          </cell>
          <cell r="V78">
            <v>0</v>
          </cell>
          <cell r="W78">
            <v>0</v>
          </cell>
          <cell r="X78">
            <v>0</v>
          </cell>
          <cell r="Y78">
            <v>0</v>
          </cell>
          <cell r="Z78">
            <v>0</v>
          </cell>
          <cell r="AA78">
            <v>0</v>
          </cell>
          <cell r="AB78">
            <v>0</v>
          </cell>
          <cell r="AC78">
            <v>0</v>
          </cell>
          <cell r="AD78">
            <v>0</v>
          </cell>
          <cell r="AE78">
            <v>0</v>
          </cell>
          <cell r="AF78">
            <v>0</v>
          </cell>
          <cell r="AH78">
            <v>0</v>
          </cell>
        </row>
        <row r="79">
          <cell r="B79" t="str">
            <v>ST/EPU</v>
          </cell>
          <cell r="C79" t="str">
            <v>A1D</v>
          </cell>
          <cell r="D79" t="str">
            <v>A1DC</v>
          </cell>
          <cell r="E79" t="str">
            <v>SNIES</v>
          </cell>
          <cell r="G79">
            <v>25</v>
          </cell>
          <cell r="H79" t="str">
            <v>Etude bilan sur les constructions scolaires</v>
          </cell>
          <cell r="I79" t="str">
            <v>SNIES</v>
          </cell>
          <cell r="K79" t="str">
            <v>IDA</v>
          </cell>
          <cell r="L79" t="str">
            <v>LR</v>
          </cell>
          <cell r="P79">
            <v>0</v>
          </cell>
          <cell r="Q79" t="str">
            <v>forfait</v>
          </cell>
          <cell r="S79">
            <v>73860</v>
          </cell>
          <cell r="T79">
            <v>1</v>
          </cell>
          <cell r="U79">
            <v>0</v>
          </cell>
          <cell r="V79">
            <v>0</v>
          </cell>
          <cell r="W79">
            <v>0</v>
          </cell>
          <cell r="X79">
            <v>0</v>
          </cell>
          <cell r="Y79">
            <v>0</v>
          </cell>
          <cell r="Z79">
            <v>0</v>
          </cell>
          <cell r="AA79">
            <v>0</v>
          </cell>
          <cell r="AB79">
            <v>0</v>
          </cell>
          <cell r="AC79">
            <v>0</v>
          </cell>
          <cell r="AD79">
            <v>0</v>
          </cell>
          <cell r="AE79">
            <v>0</v>
          </cell>
          <cell r="AF79">
            <v>0</v>
          </cell>
          <cell r="AH79">
            <v>0</v>
          </cell>
        </row>
        <row r="80">
          <cell r="B80" t="str">
            <v>ST/EPU</v>
          </cell>
          <cell r="C80" t="str">
            <v>A1B</v>
          </cell>
          <cell r="D80" t="str">
            <v>A1BA</v>
          </cell>
          <cell r="E80" t="str">
            <v>ES/RATO</v>
          </cell>
          <cell r="G80">
            <v>25</v>
          </cell>
          <cell r="H80" t="str">
            <v>7 Collèges Région Cky Etudes et suivi des travaux (3 collèges)</v>
          </cell>
          <cell r="I80" t="str">
            <v>SNIES</v>
          </cell>
          <cell r="K80" t="str">
            <v>IDA</v>
          </cell>
          <cell r="L80" t="str">
            <v>LR</v>
          </cell>
          <cell r="P80">
            <v>0</v>
          </cell>
          <cell r="Q80" t="str">
            <v>contrat</v>
          </cell>
          <cell r="S80">
            <v>1001285.25</v>
          </cell>
          <cell r="T80">
            <v>1</v>
          </cell>
          <cell r="U80">
            <v>0</v>
          </cell>
          <cell r="V80">
            <v>0</v>
          </cell>
          <cell r="W80">
            <v>0</v>
          </cell>
          <cell r="X80">
            <v>0</v>
          </cell>
          <cell r="Y80">
            <v>0</v>
          </cell>
          <cell r="Z80">
            <v>0</v>
          </cell>
          <cell r="AA80">
            <v>0</v>
          </cell>
          <cell r="AB80">
            <v>0</v>
          </cell>
          <cell r="AC80">
            <v>0</v>
          </cell>
          <cell r="AD80">
            <v>0</v>
          </cell>
          <cell r="AE80">
            <v>0</v>
          </cell>
          <cell r="AF80">
            <v>0</v>
          </cell>
          <cell r="AH80">
            <v>0</v>
          </cell>
        </row>
        <row r="81">
          <cell r="B81" t="str">
            <v>ST/EPU</v>
          </cell>
          <cell r="C81" t="str">
            <v>A1B</v>
          </cell>
          <cell r="D81" t="str">
            <v>A1BA</v>
          </cell>
          <cell r="E81" t="str">
            <v>ES/RATO</v>
          </cell>
          <cell r="G81">
            <v>22</v>
          </cell>
          <cell r="H81" t="str">
            <v>7 Collèges Région Cky Travaux de construction (3 collèges)</v>
          </cell>
          <cell r="I81" t="str">
            <v>SNIES</v>
          </cell>
          <cell r="K81" t="str">
            <v>IDA</v>
          </cell>
          <cell r="L81" t="str">
            <v>AON</v>
          </cell>
          <cell r="M81">
            <v>72</v>
          </cell>
          <cell r="P81">
            <v>72</v>
          </cell>
          <cell r="Q81" t="str">
            <v>cl coll</v>
          </cell>
          <cell r="S81">
            <v>82066.666666666672</v>
          </cell>
          <cell r="T81">
            <v>0.8</v>
          </cell>
          <cell r="U81">
            <v>5908800</v>
          </cell>
          <cell r="V81">
            <v>0</v>
          </cell>
          <cell r="W81">
            <v>0</v>
          </cell>
          <cell r="X81">
            <v>5908800</v>
          </cell>
          <cell r="Y81">
            <v>4727040</v>
          </cell>
          <cell r="Z81">
            <v>0</v>
          </cell>
          <cell r="AA81">
            <v>0</v>
          </cell>
          <cell r="AB81">
            <v>4727040</v>
          </cell>
          <cell r="AC81">
            <v>1181760</v>
          </cell>
          <cell r="AD81">
            <v>0</v>
          </cell>
          <cell r="AE81">
            <v>0</v>
          </cell>
          <cell r="AF81">
            <v>1181760</v>
          </cell>
          <cell r="AH81">
            <v>0</v>
          </cell>
        </row>
        <row r="82">
          <cell r="B82" t="str">
            <v>ST/EPU</v>
          </cell>
          <cell r="C82" t="str">
            <v>A1B</v>
          </cell>
          <cell r="D82" t="str">
            <v>A1BA</v>
          </cell>
          <cell r="E82" t="str">
            <v>ES/RATO</v>
          </cell>
          <cell r="G82">
            <v>23</v>
          </cell>
          <cell r="H82" t="str">
            <v>7 Collèges Région Cky Mobilier et équipements (3 collèges)</v>
          </cell>
          <cell r="I82" t="str">
            <v>SNIES</v>
          </cell>
          <cell r="K82" t="str">
            <v>IDA</v>
          </cell>
          <cell r="L82" t="str">
            <v>AOI</v>
          </cell>
          <cell r="M82">
            <v>3</v>
          </cell>
          <cell r="P82">
            <v>3</v>
          </cell>
          <cell r="Q82" t="str">
            <v>lot</v>
          </cell>
          <cell r="S82">
            <v>393920.00000000006</v>
          </cell>
          <cell r="T82">
            <v>1</v>
          </cell>
          <cell r="U82">
            <v>1181760.0000000002</v>
          </cell>
          <cell r="V82">
            <v>0</v>
          </cell>
          <cell r="W82">
            <v>0</v>
          </cell>
          <cell r="X82">
            <v>1181760.0000000002</v>
          </cell>
          <cell r="Y82">
            <v>1181760.0000000002</v>
          </cell>
          <cell r="Z82">
            <v>0</v>
          </cell>
          <cell r="AA82">
            <v>0</v>
          </cell>
          <cell r="AB82">
            <v>1181760.0000000002</v>
          </cell>
          <cell r="AC82">
            <v>0</v>
          </cell>
          <cell r="AD82">
            <v>0</v>
          </cell>
          <cell r="AE82">
            <v>0</v>
          </cell>
          <cell r="AF82">
            <v>0</v>
          </cell>
          <cell r="AH82">
            <v>0</v>
          </cell>
        </row>
        <row r="83">
          <cell r="B83" t="str">
            <v>ST/EPU</v>
          </cell>
          <cell r="C83" t="str">
            <v>A1B</v>
          </cell>
          <cell r="D83" t="str">
            <v>A1BA</v>
          </cell>
          <cell r="E83" t="str">
            <v>ES/RATO</v>
          </cell>
          <cell r="G83">
            <v>23</v>
          </cell>
          <cell r="H83" t="str">
            <v>7 Collèges Région Cky Ouvrages de bibliothèque (3 collèges)</v>
          </cell>
          <cell r="I83" t="str">
            <v>SNIES</v>
          </cell>
          <cell r="K83" t="str">
            <v>IDA</v>
          </cell>
          <cell r="L83" t="str">
            <v>AOI</v>
          </cell>
          <cell r="M83">
            <v>3</v>
          </cell>
          <cell r="P83">
            <v>3</v>
          </cell>
          <cell r="Q83" t="str">
            <v>lot</v>
          </cell>
          <cell r="S83">
            <v>98480.000000000015</v>
          </cell>
          <cell r="T83">
            <v>1</v>
          </cell>
          <cell r="U83">
            <v>295440.00000000006</v>
          </cell>
          <cell r="V83">
            <v>0</v>
          </cell>
          <cell r="W83">
            <v>0</v>
          </cell>
          <cell r="X83">
            <v>295440.00000000006</v>
          </cell>
          <cell r="Y83">
            <v>295440.00000000006</v>
          </cell>
          <cell r="Z83">
            <v>0</v>
          </cell>
          <cell r="AA83">
            <v>0</v>
          </cell>
          <cell r="AB83">
            <v>295440.00000000006</v>
          </cell>
          <cell r="AC83">
            <v>0</v>
          </cell>
          <cell r="AD83">
            <v>0</v>
          </cell>
          <cell r="AE83">
            <v>0</v>
          </cell>
          <cell r="AF83">
            <v>0</v>
          </cell>
          <cell r="AH83">
            <v>0</v>
          </cell>
        </row>
        <row r="84">
          <cell r="B84" t="str">
            <v>ST/EPU</v>
          </cell>
          <cell r="C84" t="str">
            <v>A1B</v>
          </cell>
          <cell r="D84" t="str">
            <v>A1BA</v>
          </cell>
          <cell r="E84" t="str">
            <v>ES/MATO</v>
          </cell>
          <cell r="G84">
            <v>25</v>
          </cell>
          <cell r="H84" t="str">
            <v>7 Collèges Région Cky Etudes et suivi des travaux  (2 collèges)</v>
          </cell>
          <cell r="I84" t="str">
            <v>SNIES</v>
          </cell>
          <cell r="K84" t="str">
            <v>IDA</v>
          </cell>
          <cell r="L84" t="str">
            <v>LR</v>
          </cell>
          <cell r="P84">
            <v>0</v>
          </cell>
          <cell r="Q84" t="str">
            <v>contrat</v>
          </cell>
          <cell r="S84">
            <v>1001285.25</v>
          </cell>
          <cell r="T84">
            <v>1</v>
          </cell>
          <cell r="U84">
            <v>0</v>
          </cell>
          <cell r="V84">
            <v>0</v>
          </cell>
          <cell r="W84">
            <v>0</v>
          </cell>
          <cell r="X84">
            <v>0</v>
          </cell>
          <cell r="Y84">
            <v>0</v>
          </cell>
          <cell r="Z84">
            <v>0</v>
          </cell>
          <cell r="AA84">
            <v>0</v>
          </cell>
          <cell r="AB84">
            <v>0</v>
          </cell>
          <cell r="AC84">
            <v>0</v>
          </cell>
          <cell r="AD84">
            <v>0</v>
          </cell>
          <cell r="AE84">
            <v>0</v>
          </cell>
          <cell r="AF84">
            <v>0</v>
          </cell>
          <cell r="AH84">
            <v>0</v>
          </cell>
        </row>
        <row r="85">
          <cell r="B85" t="str">
            <v>ST/EPU</v>
          </cell>
          <cell r="C85" t="str">
            <v>A1B</v>
          </cell>
          <cell r="D85" t="str">
            <v>A1BA</v>
          </cell>
          <cell r="E85" t="str">
            <v>ES/MATO</v>
          </cell>
          <cell r="G85">
            <v>22</v>
          </cell>
          <cell r="H85" t="str">
            <v>7 Collèges Région Cky Travaux de construction (2 collèges)</v>
          </cell>
          <cell r="I85" t="str">
            <v>SNIES</v>
          </cell>
          <cell r="K85" t="str">
            <v>IDA</v>
          </cell>
          <cell r="L85" t="str">
            <v>AON</v>
          </cell>
          <cell r="M85">
            <v>48</v>
          </cell>
          <cell r="P85">
            <v>48</v>
          </cell>
          <cell r="Q85" t="str">
            <v>cl coll</v>
          </cell>
          <cell r="S85">
            <v>82066.666666666672</v>
          </cell>
          <cell r="T85">
            <v>0.8</v>
          </cell>
          <cell r="U85">
            <v>3939200</v>
          </cell>
          <cell r="V85">
            <v>0</v>
          </cell>
          <cell r="W85">
            <v>0</v>
          </cell>
          <cell r="X85">
            <v>3939200</v>
          </cell>
          <cell r="Y85">
            <v>3151360</v>
          </cell>
          <cell r="Z85">
            <v>0</v>
          </cell>
          <cell r="AA85">
            <v>0</v>
          </cell>
          <cell r="AB85">
            <v>3151360</v>
          </cell>
          <cell r="AC85">
            <v>787840</v>
          </cell>
          <cell r="AD85">
            <v>0</v>
          </cell>
          <cell r="AE85">
            <v>0</v>
          </cell>
          <cell r="AF85">
            <v>787840</v>
          </cell>
          <cell r="AH85">
            <v>0</v>
          </cell>
        </row>
        <row r="86">
          <cell r="B86" t="str">
            <v>ST/EPU</v>
          </cell>
          <cell r="C86" t="str">
            <v>A1B</v>
          </cell>
          <cell r="D86" t="str">
            <v>A1BA</v>
          </cell>
          <cell r="E86" t="str">
            <v>ES/MATO</v>
          </cell>
          <cell r="G86">
            <v>23</v>
          </cell>
          <cell r="H86" t="str">
            <v>7 Collèges Région Cky Mobilier et équipements (2 collèges)</v>
          </cell>
          <cell r="I86" t="str">
            <v>SNIES</v>
          </cell>
          <cell r="K86" t="str">
            <v>IDA</v>
          </cell>
          <cell r="L86" t="str">
            <v>AOI</v>
          </cell>
          <cell r="M86">
            <v>2</v>
          </cell>
          <cell r="P86">
            <v>2</v>
          </cell>
          <cell r="Q86" t="str">
            <v>lot</v>
          </cell>
          <cell r="S86">
            <v>393920.00000000006</v>
          </cell>
          <cell r="T86">
            <v>1</v>
          </cell>
          <cell r="U86">
            <v>787840.00000000012</v>
          </cell>
          <cell r="V86">
            <v>0</v>
          </cell>
          <cell r="W86">
            <v>0</v>
          </cell>
          <cell r="X86">
            <v>787840.00000000012</v>
          </cell>
          <cell r="Y86">
            <v>787840.00000000012</v>
          </cell>
          <cell r="Z86">
            <v>0</v>
          </cell>
          <cell r="AA86">
            <v>0</v>
          </cell>
          <cell r="AB86">
            <v>787840.00000000012</v>
          </cell>
          <cell r="AC86">
            <v>0</v>
          </cell>
          <cell r="AD86">
            <v>0</v>
          </cell>
          <cell r="AE86">
            <v>0</v>
          </cell>
          <cell r="AF86">
            <v>0</v>
          </cell>
          <cell r="AH86">
            <v>0</v>
          </cell>
        </row>
        <row r="87">
          <cell r="B87" t="str">
            <v>ST/EPU</v>
          </cell>
          <cell r="C87" t="str">
            <v>A1B</v>
          </cell>
          <cell r="D87" t="str">
            <v>A1BA</v>
          </cell>
          <cell r="E87" t="str">
            <v>ES/MATO</v>
          </cell>
          <cell r="G87">
            <v>23</v>
          </cell>
          <cell r="H87" t="str">
            <v>7 Collèges Région Cky Ouvrages de bibliothèque (2 collèges)</v>
          </cell>
          <cell r="I87" t="str">
            <v>SNIES</v>
          </cell>
          <cell r="K87" t="str">
            <v>IDA</v>
          </cell>
          <cell r="L87" t="str">
            <v>AOI</v>
          </cell>
          <cell r="M87">
            <v>2</v>
          </cell>
          <cell r="P87">
            <v>2</v>
          </cell>
          <cell r="Q87" t="str">
            <v>lot</v>
          </cell>
          <cell r="S87">
            <v>98480.000000000015</v>
          </cell>
          <cell r="T87">
            <v>1</v>
          </cell>
          <cell r="U87">
            <v>196960.00000000003</v>
          </cell>
          <cell r="V87">
            <v>0</v>
          </cell>
          <cell r="W87">
            <v>0</v>
          </cell>
          <cell r="X87">
            <v>196960.00000000003</v>
          </cell>
          <cell r="Y87">
            <v>196960.00000000003</v>
          </cell>
          <cell r="Z87">
            <v>0</v>
          </cell>
          <cell r="AA87">
            <v>0</v>
          </cell>
          <cell r="AB87">
            <v>196960.00000000003</v>
          </cell>
          <cell r="AC87">
            <v>0</v>
          </cell>
          <cell r="AD87">
            <v>0</v>
          </cell>
          <cell r="AE87">
            <v>0</v>
          </cell>
          <cell r="AF87">
            <v>0</v>
          </cell>
          <cell r="AH87">
            <v>0</v>
          </cell>
        </row>
        <row r="88">
          <cell r="B88" t="str">
            <v>ST/EPU</v>
          </cell>
          <cell r="C88" t="str">
            <v>A1B</v>
          </cell>
          <cell r="D88" t="str">
            <v>A1BA</v>
          </cell>
          <cell r="E88" t="str">
            <v>ES/DUBR</v>
          </cell>
          <cell r="G88">
            <v>25</v>
          </cell>
          <cell r="H88" t="str">
            <v>7 Collèges Région Cky Etudes et suivi des travaux  (1 collège)</v>
          </cell>
          <cell r="I88" t="str">
            <v>SNIES</v>
          </cell>
          <cell r="K88" t="str">
            <v>IDA</v>
          </cell>
          <cell r="L88" t="str">
            <v>LR</v>
          </cell>
          <cell r="P88">
            <v>0</v>
          </cell>
          <cell r="Q88" t="str">
            <v>contrat</v>
          </cell>
          <cell r="S88">
            <v>1001285.25</v>
          </cell>
          <cell r="T88">
            <v>1</v>
          </cell>
          <cell r="U88">
            <v>0</v>
          </cell>
          <cell r="V88">
            <v>0</v>
          </cell>
          <cell r="W88">
            <v>0</v>
          </cell>
          <cell r="X88">
            <v>0</v>
          </cell>
          <cell r="Y88">
            <v>0</v>
          </cell>
          <cell r="Z88">
            <v>0</v>
          </cell>
          <cell r="AA88">
            <v>0</v>
          </cell>
          <cell r="AB88">
            <v>0</v>
          </cell>
          <cell r="AC88">
            <v>0</v>
          </cell>
          <cell r="AD88">
            <v>0</v>
          </cell>
          <cell r="AE88">
            <v>0</v>
          </cell>
          <cell r="AF88">
            <v>0</v>
          </cell>
          <cell r="AH88">
            <v>0</v>
          </cell>
        </row>
        <row r="89">
          <cell r="B89" t="str">
            <v>ST/EPU</v>
          </cell>
          <cell r="C89" t="str">
            <v>A1B</v>
          </cell>
          <cell r="D89" t="str">
            <v>A1BA</v>
          </cell>
          <cell r="E89" t="str">
            <v>ES/DUBR</v>
          </cell>
          <cell r="G89">
            <v>22</v>
          </cell>
          <cell r="H89" t="str">
            <v>7 Collèges Région Cky Travaux de construction (1 collège)</v>
          </cell>
          <cell r="I89" t="str">
            <v>SNIES</v>
          </cell>
          <cell r="K89" t="str">
            <v>IDA</v>
          </cell>
          <cell r="L89" t="str">
            <v>AON</v>
          </cell>
          <cell r="M89">
            <v>24</v>
          </cell>
          <cell r="P89">
            <v>24</v>
          </cell>
          <cell r="Q89" t="str">
            <v>cl coll</v>
          </cell>
          <cell r="S89">
            <v>82066.666666666672</v>
          </cell>
          <cell r="T89">
            <v>0.8</v>
          </cell>
          <cell r="U89">
            <v>1969600</v>
          </cell>
          <cell r="V89">
            <v>0</v>
          </cell>
          <cell r="W89">
            <v>0</v>
          </cell>
          <cell r="X89">
            <v>1969600</v>
          </cell>
          <cell r="Y89">
            <v>1575680</v>
          </cell>
          <cell r="Z89">
            <v>0</v>
          </cell>
          <cell r="AA89">
            <v>0</v>
          </cell>
          <cell r="AB89">
            <v>1575680</v>
          </cell>
          <cell r="AC89">
            <v>393920</v>
          </cell>
          <cell r="AD89">
            <v>0</v>
          </cell>
          <cell r="AE89">
            <v>0</v>
          </cell>
          <cell r="AF89">
            <v>393920</v>
          </cell>
          <cell r="AH89">
            <v>0</v>
          </cell>
        </row>
        <row r="90">
          <cell r="B90" t="str">
            <v>ST/EPU</v>
          </cell>
          <cell r="C90" t="str">
            <v>A1B</v>
          </cell>
          <cell r="D90" t="str">
            <v>A1BA</v>
          </cell>
          <cell r="E90" t="str">
            <v>ES/DUBR</v>
          </cell>
          <cell r="G90">
            <v>23</v>
          </cell>
          <cell r="H90" t="str">
            <v>7 Collèges Région Cky Mobilier et équipements (1 collège)</v>
          </cell>
          <cell r="I90" t="str">
            <v>SNIES</v>
          </cell>
          <cell r="K90" t="str">
            <v>IDA</v>
          </cell>
          <cell r="L90" t="str">
            <v>AOI</v>
          </cell>
          <cell r="M90">
            <v>1</v>
          </cell>
          <cell r="P90">
            <v>1</v>
          </cell>
          <cell r="Q90" t="str">
            <v>lot</v>
          </cell>
          <cell r="S90">
            <v>393920.00000000006</v>
          </cell>
          <cell r="T90">
            <v>1</v>
          </cell>
          <cell r="U90">
            <v>393920.00000000006</v>
          </cell>
          <cell r="V90">
            <v>0</v>
          </cell>
          <cell r="W90">
            <v>0</v>
          </cell>
          <cell r="X90">
            <v>393920.00000000006</v>
          </cell>
          <cell r="Y90">
            <v>393920.00000000006</v>
          </cell>
          <cell r="Z90">
            <v>0</v>
          </cell>
          <cell r="AA90">
            <v>0</v>
          </cell>
          <cell r="AB90">
            <v>393920.00000000006</v>
          </cell>
          <cell r="AC90">
            <v>0</v>
          </cell>
          <cell r="AD90">
            <v>0</v>
          </cell>
          <cell r="AE90">
            <v>0</v>
          </cell>
          <cell r="AF90">
            <v>0</v>
          </cell>
          <cell r="AH90">
            <v>0</v>
          </cell>
        </row>
        <row r="91">
          <cell r="B91" t="str">
            <v>ST/EPU</v>
          </cell>
          <cell r="C91" t="str">
            <v>A1B</v>
          </cell>
          <cell r="D91" t="str">
            <v>A1BA</v>
          </cell>
          <cell r="E91" t="str">
            <v>ES/DUBR</v>
          </cell>
          <cell r="G91">
            <v>23</v>
          </cell>
          <cell r="H91" t="str">
            <v>7 Collèges Région Cky Ouvrages de bibliothèque (1 collège)</v>
          </cell>
          <cell r="I91" t="str">
            <v>SNIES</v>
          </cell>
          <cell r="K91" t="str">
            <v>IDA</v>
          </cell>
          <cell r="L91" t="str">
            <v>AOI</v>
          </cell>
          <cell r="M91">
            <v>1</v>
          </cell>
          <cell r="P91">
            <v>1</v>
          </cell>
          <cell r="Q91" t="str">
            <v>lot</v>
          </cell>
          <cell r="S91">
            <v>98480.000000000015</v>
          </cell>
          <cell r="T91">
            <v>1</v>
          </cell>
          <cell r="U91">
            <v>98480.000000000015</v>
          </cell>
          <cell r="V91">
            <v>0</v>
          </cell>
          <cell r="W91">
            <v>0</v>
          </cell>
          <cell r="X91">
            <v>98480.000000000015</v>
          </cell>
          <cell r="Y91">
            <v>98480.000000000015</v>
          </cell>
          <cell r="Z91">
            <v>0</v>
          </cell>
          <cell r="AA91">
            <v>0</v>
          </cell>
          <cell r="AB91">
            <v>98480.000000000015</v>
          </cell>
          <cell r="AC91">
            <v>0</v>
          </cell>
          <cell r="AD91">
            <v>0</v>
          </cell>
          <cell r="AE91">
            <v>0</v>
          </cell>
          <cell r="AF91">
            <v>0</v>
          </cell>
          <cell r="AH91">
            <v>0</v>
          </cell>
        </row>
        <row r="92">
          <cell r="B92" t="str">
            <v>ST/EPU</v>
          </cell>
          <cell r="C92" t="str">
            <v>A1B</v>
          </cell>
          <cell r="D92" t="str">
            <v>A1BA</v>
          </cell>
          <cell r="E92" t="str">
            <v>ES/COYA</v>
          </cell>
          <cell r="G92">
            <v>25</v>
          </cell>
          <cell r="H92" t="str">
            <v>7 Collèges Région Cky Etudes et suivi des travaux  (1 collège)</v>
          </cell>
          <cell r="I92" t="str">
            <v>SNIES</v>
          </cell>
          <cell r="K92" t="str">
            <v>IDA</v>
          </cell>
          <cell r="L92" t="str">
            <v>LR</v>
          </cell>
          <cell r="P92">
            <v>0</v>
          </cell>
          <cell r="Q92" t="str">
            <v>contrat</v>
          </cell>
          <cell r="S92">
            <v>1001285.25</v>
          </cell>
          <cell r="T92">
            <v>1</v>
          </cell>
          <cell r="U92">
            <v>0</v>
          </cell>
          <cell r="V92">
            <v>0</v>
          </cell>
          <cell r="W92">
            <v>0</v>
          </cell>
          <cell r="X92">
            <v>0</v>
          </cell>
          <cell r="Y92">
            <v>0</v>
          </cell>
          <cell r="Z92">
            <v>0</v>
          </cell>
          <cell r="AA92">
            <v>0</v>
          </cell>
          <cell r="AB92">
            <v>0</v>
          </cell>
          <cell r="AC92">
            <v>0</v>
          </cell>
          <cell r="AD92">
            <v>0</v>
          </cell>
          <cell r="AE92">
            <v>0</v>
          </cell>
          <cell r="AF92">
            <v>0</v>
          </cell>
          <cell r="AH92">
            <v>0</v>
          </cell>
        </row>
        <row r="93">
          <cell r="B93" t="str">
            <v>ST/EPU</v>
          </cell>
          <cell r="C93" t="str">
            <v>A1B</v>
          </cell>
          <cell r="D93" t="str">
            <v>A1BA</v>
          </cell>
          <cell r="E93" t="str">
            <v>ES/COYA</v>
          </cell>
          <cell r="G93">
            <v>22</v>
          </cell>
          <cell r="H93" t="str">
            <v>7 Collèges Région Cky Travaux de construction (1 collège)</v>
          </cell>
          <cell r="I93" t="str">
            <v>SNIES</v>
          </cell>
          <cell r="K93" t="str">
            <v>IDA</v>
          </cell>
          <cell r="L93" t="str">
            <v>AON</v>
          </cell>
          <cell r="M93">
            <v>24</v>
          </cell>
          <cell r="P93">
            <v>24</v>
          </cell>
          <cell r="Q93" t="str">
            <v>cl coll</v>
          </cell>
          <cell r="S93">
            <v>82066.666666666672</v>
          </cell>
          <cell r="T93">
            <v>0.8</v>
          </cell>
          <cell r="U93">
            <v>1969600</v>
          </cell>
          <cell r="V93">
            <v>0</v>
          </cell>
          <cell r="W93">
            <v>0</v>
          </cell>
          <cell r="X93">
            <v>1969600</v>
          </cell>
          <cell r="Y93">
            <v>1575680</v>
          </cell>
          <cell r="Z93">
            <v>0</v>
          </cell>
          <cell r="AA93">
            <v>0</v>
          </cell>
          <cell r="AB93">
            <v>1575680</v>
          </cell>
          <cell r="AC93">
            <v>393920</v>
          </cell>
          <cell r="AD93">
            <v>0</v>
          </cell>
          <cell r="AE93">
            <v>0</v>
          </cell>
          <cell r="AF93">
            <v>393920</v>
          </cell>
          <cell r="AH93">
            <v>0</v>
          </cell>
        </row>
        <row r="94">
          <cell r="B94" t="str">
            <v>ST/EPU</v>
          </cell>
          <cell r="C94" t="str">
            <v>A1B</v>
          </cell>
          <cell r="D94" t="str">
            <v>A1BA</v>
          </cell>
          <cell r="E94" t="str">
            <v>ES/COYA</v>
          </cell>
          <cell r="G94">
            <v>23</v>
          </cell>
          <cell r="H94" t="str">
            <v>7 Collèges Région Cky Mobilier et équipements (1 collège)</v>
          </cell>
          <cell r="I94" t="str">
            <v>SNIES</v>
          </cell>
          <cell r="K94" t="str">
            <v>IDA</v>
          </cell>
          <cell r="L94" t="str">
            <v>AOI</v>
          </cell>
          <cell r="M94">
            <v>1</v>
          </cell>
          <cell r="P94">
            <v>1</v>
          </cell>
          <cell r="Q94" t="str">
            <v>lot</v>
          </cell>
          <cell r="S94">
            <v>393920.00000000006</v>
          </cell>
          <cell r="T94">
            <v>1</v>
          </cell>
          <cell r="U94">
            <v>393920.00000000006</v>
          </cell>
          <cell r="V94">
            <v>0</v>
          </cell>
          <cell r="W94">
            <v>0</v>
          </cell>
          <cell r="X94">
            <v>393920.00000000006</v>
          </cell>
          <cell r="Y94">
            <v>393920.00000000006</v>
          </cell>
          <cell r="Z94">
            <v>0</v>
          </cell>
          <cell r="AA94">
            <v>0</v>
          </cell>
          <cell r="AB94">
            <v>393920.00000000006</v>
          </cell>
          <cell r="AC94">
            <v>0</v>
          </cell>
          <cell r="AD94">
            <v>0</v>
          </cell>
          <cell r="AE94">
            <v>0</v>
          </cell>
          <cell r="AF94">
            <v>0</v>
          </cell>
          <cell r="AH94">
            <v>0</v>
          </cell>
        </row>
        <row r="95">
          <cell r="B95" t="str">
            <v>ST/EPU</v>
          </cell>
          <cell r="C95" t="str">
            <v>A1B</v>
          </cell>
          <cell r="D95" t="str">
            <v>A1BA</v>
          </cell>
          <cell r="E95" t="str">
            <v>ES/COYA</v>
          </cell>
          <cell r="G95">
            <v>23</v>
          </cell>
          <cell r="H95" t="str">
            <v>7 Collèges Région Cky Ouvrages de bibliothèque (1 collège)</v>
          </cell>
          <cell r="I95" t="str">
            <v>SNIES</v>
          </cell>
          <cell r="K95" t="str">
            <v>IDA</v>
          </cell>
          <cell r="L95" t="str">
            <v>AOI</v>
          </cell>
          <cell r="M95">
            <v>1</v>
          </cell>
          <cell r="P95">
            <v>1</v>
          </cell>
          <cell r="Q95" t="str">
            <v>lot</v>
          </cell>
          <cell r="S95">
            <v>98480.000000000015</v>
          </cell>
          <cell r="T95">
            <v>1</v>
          </cell>
          <cell r="U95">
            <v>98480.000000000015</v>
          </cell>
          <cell r="V95">
            <v>0</v>
          </cell>
          <cell r="W95">
            <v>0</v>
          </cell>
          <cell r="X95">
            <v>98480.000000000015</v>
          </cell>
          <cell r="Y95">
            <v>98480.000000000015</v>
          </cell>
          <cell r="Z95">
            <v>0</v>
          </cell>
          <cell r="AA95">
            <v>0</v>
          </cell>
          <cell r="AB95">
            <v>98480.000000000015</v>
          </cell>
          <cell r="AC95">
            <v>0</v>
          </cell>
          <cell r="AD95">
            <v>0</v>
          </cell>
          <cell r="AE95">
            <v>0</v>
          </cell>
          <cell r="AF95">
            <v>0</v>
          </cell>
          <cell r="AH95">
            <v>0</v>
          </cell>
        </row>
        <row r="96">
          <cell r="B96" t="str">
            <v>ST/EPU</v>
          </cell>
          <cell r="C96" t="str">
            <v>B4A</v>
          </cell>
          <cell r="D96" t="str">
            <v>B4AC</v>
          </cell>
          <cell r="E96" t="str">
            <v>DNEP-PE</v>
          </cell>
          <cell r="G96">
            <v>25</v>
          </cell>
          <cell r="H96" t="str">
            <v>TVE 70 CEC formation intensive éducatrices en français oral 10semx140éduc+30mon  SOLDE</v>
          </cell>
          <cell r="I96" t="str">
            <v>DNEP-PE</v>
          </cell>
          <cell r="K96" t="str">
            <v>IDA</v>
          </cell>
          <cell r="L96" t="str">
            <v>AUT</v>
          </cell>
          <cell r="P96">
            <v>0</v>
          </cell>
          <cell r="Q96" t="str">
            <v>forfait</v>
          </cell>
          <cell r="S96">
            <v>548729.64214523032</v>
          </cell>
          <cell r="T96">
            <v>1</v>
          </cell>
          <cell r="U96">
            <v>0</v>
          </cell>
          <cell r="V96">
            <v>0</v>
          </cell>
          <cell r="W96">
            <v>0</v>
          </cell>
          <cell r="X96">
            <v>0</v>
          </cell>
          <cell r="Y96">
            <v>0</v>
          </cell>
          <cell r="Z96">
            <v>0</v>
          </cell>
          <cell r="AA96">
            <v>0</v>
          </cell>
          <cell r="AB96">
            <v>0</v>
          </cell>
          <cell r="AC96">
            <v>0</v>
          </cell>
          <cell r="AD96">
            <v>0</v>
          </cell>
          <cell r="AE96">
            <v>0</v>
          </cell>
          <cell r="AF96">
            <v>0</v>
          </cell>
          <cell r="AH96">
            <v>0</v>
          </cell>
        </row>
        <row r="97">
          <cell r="B97" t="str">
            <v>ST/EPU</v>
          </cell>
          <cell r="C97" t="str">
            <v>B4A</v>
          </cell>
          <cell r="D97" t="str">
            <v>B4AB</v>
          </cell>
          <cell r="E97" t="str">
            <v>DNEP-PE</v>
          </cell>
          <cell r="G97">
            <v>23</v>
          </cell>
          <cell r="H97" t="str">
            <v>TVE 50 CEC livrets de suivi évaluation 8000 livrets</v>
          </cell>
          <cell r="I97" t="str">
            <v>DNEP-PE</v>
          </cell>
          <cell r="K97" t="str">
            <v>IDA</v>
          </cell>
          <cell r="L97" t="str">
            <v>COT</v>
          </cell>
          <cell r="P97">
            <v>0</v>
          </cell>
          <cell r="Q97" t="str">
            <v>lot</v>
          </cell>
          <cell r="S97">
            <v>83429.900332225909</v>
          </cell>
          <cell r="T97">
            <v>0.8</v>
          </cell>
          <cell r="U97">
            <v>0</v>
          </cell>
          <cell r="V97">
            <v>0</v>
          </cell>
          <cell r="W97">
            <v>0</v>
          </cell>
          <cell r="X97">
            <v>0</v>
          </cell>
          <cell r="Y97">
            <v>0</v>
          </cell>
          <cell r="Z97">
            <v>0</v>
          </cell>
          <cell r="AA97">
            <v>0</v>
          </cell>
          <cell r="AB97">
            <v>0</v>
          </cell>
          <cell r="AC97">
            <v>0</v>
          </cell>
          <cell r="AD97">
            <v>0</v>
          </cell>
          <cell r="AE97">
            <v>0</v>
          </cell>
          <cell r="AF97">
            <v>0</v>
          </cell>
          <cell r="AH97">
            <v>0</v>
          </cell>
        </row>
        <row r="98">
          <cell r="B98" t="str">
            <v>ST/EPU</v>
          </cell>
          <cell r="C98" t="str">
            <v>B4A</v>
          </cell>
          <cell r="D98" t="str">
            <v>B4AC</v>
          </cell>
          <cell r="E98" t="str">
            <v>DNEP-PE</v>
          </cell>
          <cell r="G98">
            <v>25</v>
          </cell>
          <cell r="H98" t="str">
            <v>SE formation encadreurs préfecture et CRD 6p+12px3j/an</v>
          </cell>
          <cell r="I98" t="str">
            <v>DNEP-PE</v>
          </cell>
          <cell r="K98" t="str">
            <v>IDA</v>
          </cell>
          <cell r="L98" t="str">
            <v>AUT</v>
          </cell>
          <cell r="P98">
            <v>0</v>
          </cell>
          <cell r="Q98" t="str">
            <v>pxj</v>
          </cell>
          <cell r="S98">
            <v>98.48</v>
          </cell>
          <cell r="T98">
            <v>1</v>
          </cell>
          <cell r="U98">
            <v>0</v>
          </cell>
          <cell r="V98">
            <v>0</v>
          </cell>
          <cell r="W98">
            <v>0</v>
          </cell>
          <cell r="X98">
            <v>0</v>
          </cell>
          <cell r="Y98">
            <v>0</v>
          </cell>
          <cell r="Z98">
            <v>0</v>
          </cell>
          <cell r="AA98">
            <v>0</v>
          </cell>
          <cell r="AB98">
            <v>0</v>
          </cell>
          <cell r="AC98">
            <v>0</v>
          </cell>
          <cell r="AD98">
            <v>0</v>
          </cell>
          <cell r="AE98">
            <v>0</v>
          </cell>
          <cell r="AF98">
            <v>0</v>
          </cell>
          <cell r="AH98">
            <v>0</v>
          </cell>
        </row>
        <row r="99">
          <cell r="B99" t="str">
            <v>ST/EPU</v>
          </cell>
          <cell r="C99" t="str">
            <v>B4A</v>
          </cell>
          <cell r="D99" t="str">
            <v>B4AD</v>
          </cell>
          <cell r="E99" t="str">
            <v>DNEP-PE</v>
          </cell>
          <cell r="G99">
            <v>15</v>
          </cell>
          <cell r="H99" t="str">
            <v>SE frais de fonctionnement des encadreurs CRD 12p</v>
          </cell>
          <cell r="I99" t="str">
            <v>DNEP-PE</v>
          </cell>
          <cell r="K99" t="str">
            <v>IDA</v>
          </cell>
          <cell r="L99" t="str">
            <v>AUT</v>
          </cell>
          <cell r="P99">
            <v>0</v>
          </cell>
          <cell r="Q99" t="str">
            <v>pxmois</v>
          </cell>
          <cell r="S99">
            <v>50</v>
          </cell>
          <cell r="T99">
            <v>0.9</v>
          </cell>
          <cell r="U99">
            <v>0</v>
          </cell>
          <cell r="V99">
            <v>0</v>
          </cell>
          <cell r="W99">
            <v>0</v>
          </cell>
          <cell r="X99">
            <v>0</v>
          </cell>
          <cell r="Y99">
            <v>0</v>
          </cell>
          <cell r="Z99">
            <v>0</v>
          </cell>
          <cell r="AA99">
            <v>0</v>
          </cell>
          <cell r="AB99">
            <v>0</v>
          </cell>
          <cell r="AC99">
            <v>0</v>
          </cell>
          <cell r="AD99">
            <v>0</v>
          </cell>
          <cell r="AE99">
            <v>0</v>
          </cell>
          <cell r="AF99">
            <v>0</v>
          </cell>
          <cell r="AH99">
            <v>0</v>
          </cell>
        </row>
        <row r="100">
          <cell r="B100" t="str">
            <v>ST/EPU</v>
          </cell>
          <cell r="C100" t="str">
            <v>B4A</v>
          </cell>
          <cell r="D100" t="str">
            <v>B4AA</v>
          </cell>
          <cell r="E100" t="str">
            <v>DNEP-PE</v>
          </cell>
          <cell r="G100">
            <v>15</v>
          </cell>
          <cell r="H100" t="str">
            <v>SE suivi travaux d'aménagement des CEC (MEPU/SNIES) 50CEC x 4visx 2 CEC/vis</v>
          </cell>
          <cell r="I100" t="str">
            <v>DNEP-PE</v>
          </cell>
          <cell r="K100" t="str">
            <v>IDA</v>
          </cell>
          <cell r="L100" t="str">
            <v>AUT</v>
          </cell>
          <cell r="P100">
            <v>0</v>
          </cell>
          <cell r="Q100" t="str">
            <v>pxj</v>
          </cell>
          <cell r="S100">
            <v>123.10000000000001</v>
          </cell>
          <cell r="T100">
            <v>0.9</v>
          </cell>
          <cell r="U100">
            <v>0</v>
          </cell>
          <cell r="V100">
            <v>0</v>
          </cell>
          <cell r="W100">
            <v>0</v>
          </cell>
          <cell r="X100">
            <v>0</v>
          </cell>
          <cell r="Y100">
            <v>0</v>
          </cell>
          <cell r="Z100">
            <v>0</v>
          </cell>
          <cell r="AA100">
            <v>0</v>
          </cell>
          <cell r="AB100">
            <v>0</v>
          </cell>
          <cell r="AC100">
            <v>0</v>
          </cell>
          <cell r="AD100">
            <v>0</v>
          </cell>
          <cell r="AE100">
            <v>0</v>
          </cell>
          <cell r="AF100">
            <v>0</v>
          </cell>
          <cell r="AH100">
            <v>0</v>
          </cell>
        </row>
        <row r="101">
          <cell r="B101" t="str">
            <v>ST/EPU</v>
          </cell>
          <cell r="C101" t="str">
            <v>B4A</v>
          </cell>
          <cell r="D101" t="str">
            <v>B4AA</v>
          </cell>
          <cell r="E101" t="str">
            <v>DNEP-PE</v>
          </cell>
          <cell r="G101">
            <v>25</v>
          </cell>
          <cell r="H101" t="str">
            <v>SE suivi évaluation du développement des enfants</v>
          </cell>
          <cell r="I101" t="str">
            <v>DNEP-PE</v>
          </cell>
          <cell r="K101" t="str">
            <v>IDA</v>
          </cell>
          <cell r="L101" t="str">
            <v>AUT</v>
          </cell>
          <cell r="P101">
            <v>0</v>
          </cell>
          <cell r="Q101" t="str">
            <v>forfait</v>
          </cell>
          <cell r="S101">
            <v>18000</v>
          </cell>
          <cell r="T101">
            <v>1</v>
          </cell>
          <cell r="U101">
            <v>0</v>
          </cell>
          <cell r="V101">
            <v>0</v>
          </cell>
          <cell r="W101">
            <v>0</v>
          </cell>
          <cell r="X101">
            <v>0</v>
          </cell>
          <cell r="Y101">
            <v>0</v>
          </cell>
          <cell r="Z101">
            <v>0</v>
          </cell>
          <cell r="AA101">
            <v>0</v>
          </cell>
          <cell r="AB101">
            <v>0</v>
          </cell>
          <cell r="AC101">
            <v>0</v>
          </cell>
          <cell r="AD101">
            <v>0</v>
          </cell>
          <cell r="AE101">
            <v>0</v>
          </cell>
          <cell r="AF101">
            <v>0</v>
          </cell>
          <cell r="AH101">
            <v>0</v>
          </cell>
        </row>
        <row r="102">
          <cell r="B102" t="str">
            <v>ST/EPU</v>
          </cell>
          <cell r="C102" t="str">
            <v>B4A</v>
          </cell>
          <cell r="D102" t="str">
            <v>B4AA</v>
          </cell>
          <cell r="E102" t="str">
            <v>DNEP-PE</v>
          </cell>
          <cell r="G102">
            <v>25</v>
          </cell>
          <cell r="H102" t="str">
            <v>SE évaluation du coût efficacité du modèle CEC</v>
          </cell>
          <cell r="I102" t="str">
            <v>DNEP-PE</v>
          </cell>
          <cell r="K102" t="str">
            <v>IDA</v>
          </cell>
          <cell r="L102" t="str">
            <v>LR</v>
          </cell>
          <cell r="P102">
            <v>0</v>
          </cell>
          <cell r="Q102" t="str">
            <v>forfait</v>
          </cell>
          <cell r="S102">
            <v>98480</v>
          </cell>
          <cell r="T102">
            <v>1</v>
          </cell>
          <cell r="U102">
            <v>0</v>
          </cell>
          <cell r="V102">
            <v>0</v>
          </cell>
          <cell r="W102">
            <v>0</v>
          </cell>
          <cell r="X102">
            <v>0</v>
          </cell>
          <cell r="Y102">
            <v>0</v>
          </cell>
          <cell r="Z102">
            <v>0</v>
          </cell>
          <cell r="AA102">
            <v>0</v>
          </cell>
          <cell r="AB102">
            <v>0</v>
          </cell>
          <cell r="AC102">
            <v>0</v>
          </cell>
          <cell r="AD102">
            <v>0</v>
          </cell>
          <cell r="AE102">
            <v>0</v>
          </cell>
          <cell r="AF102">
            <v>0</v>
          </cell>
          <cell r="AH102">
            <v>0</v>
          </cell>
        </row>
        <row r="103">
          <cell r="B103" t="str">
            <v>ST/EPU</v>
          </cell>
          <cell r="C103" t="str">
            <v>B1A</v>
          </cell>
          <cell r="D103" t="str">
            <v>B1AF</v>
          </cell>
          <cell r="E103" t="str">
            <v>DNEE</v>
          </cell>
          <cell r="G103">
            <v>15</v>
          </cell>
          <cell r="H103" t="str">
            <v>PTDE Mission de suivi des Coordinateurs Régionaux  2mis*3p*8*10j</v>
          </cell>
          <cell r="I103" t="str">
            <v>DNEE</v>
          </cell>
          <cell r="K103" t="str">
            <v>IDA</v>
          </cell>
          <cell r="L103" t="str">
            <v>AUT</v>
          </cell>
          <cell r="P103">
            <v>0</v>
          </cell>
          <cell r="Q103" t="str">
            <v>pxj</v>
          </cell>
          <cell r="S103">
            <v>123.10000000000001</v>
          </cell>
          <cell r="T103">
            <v>0.9</v>
          </cell>
          <cell r="U103">
            <v>0</v>
          </cell>
          <cell r="V103">
            <v>0</v>
          </cell>
          <cell r="W103">
            <v>0</v>
          </cell>
          <cell r="X103">
            <v>0</v>
          </cell>
          <cell r="Y103">
            <v>0</v>
          </cell>
          <cell r="Z103">
            <v>0</v>
          </cell>
          <cell r="AA103">
            <v>0</v>
          </cell>
          <cell r="AB103">
            <v>0</v>
          </cell>
          <cell r="AC103">
            <v>0</v>
          </cell>
          <cell r="AD103">
            <v>0</v>
          </cell>
          <cell r="AE103">
            <v>0</v>
          </cell>
          <cell r="AF103">
            <v>0</v>
          </cell>
          <cell r="AH103">
            <v>0</v>
          </cell>
        </row>
        <row r="104">
          <cell r="B104" t="str">
            <v>ST/EPU</v>
          </cell>
          <cell r="C104" t="str">
            <v>B1A</v>
          </cell>
          <cell r="D104" t="str">
            <v>B1AF</v>
          </cell>
          <cell r="E104" t="str">
            <v>DNEE</v>
          </cell>
          <cell r="G104">
            <v>25</v>
          </cell>
          <cell r="H104" t="str">
            <v>PTDE Form bénéf 2p x 3j x 7110 x 25% en 2007</v>
          </cell>
          <cell r="I104" t="str">
            <v>DNEE</v>
          </cell>
          <cell r="K104" t="str">
            <v>IDA</v>
          </cell>
          <cell r="L104" t="str">
            <v>AUT</v>
          </cell>
          <cell r="P104">
            <v>0</v>
          </cell>
          <cell r="Q104" t="str">
            <v>pxj</v>
          </cell>
          <cell r="S104">
            <v>19.696000000000002</v>
          </cell>
          <cell r="T104">
            <v>1</v>
          </cell>
          <cell r="U104">
            <v>0</v>
          </cell>
          <cell r="V104">
            <v>0</v>
          </cell>
          <cell r="W104">
            <v>0</v>
          </cell>
          <cell r="X104">
            <v>0</v>
          </cell>
          <cell r="Y104">
            <v>0</v>
          </cell>
          <cell r="Z104">
            <v>0</v>
          </cell>
          <cell r="AA104">
            <v>0</v>
          </cell>
          <cell r="AB104">
            <v>0</v>
          </cell>
          <cell r="AC104">
            <v>0</v>
          </cell>
          <cell r="AD104">
            <v>0</v>
          </cell>
          <cell r="AE104">
            <v>0</v>
          </cell>
          <cell r="AF104">
            <v>0</v>
          </cell>
          <cell r="AH104">
            <v>0</v>
          </cell>
        </row>
        <row r="105">
          <cell r="B105" t="str">
            <v>ST/EPU</v>
          </cell>
          <cell r="C105" t="str">
            <v>B1A</v>
          </cell>
          <cell r="D105" t="str">
            <v>B1AB</v>
          </cell>
          <cell r="E105" t="str">
            <v>EP/BEYL</v>
          </cell>
          <cell r="G105">
            <v>15</v>
          </cell>
          <cell r="H105" t="str">
            <v>PTDE Subventions pour 75% des écoles en 2007</v>
          </cell>
          <cell r="I105" t="str">
            <v>DNEE</v>
          </cell>
          <cell r="K105" t="str">
            <v>IDA</v>
          </cell>
          <cell r="L105" t="str">
            <v>AUT</v>
          </cell>
          <cell r="P105">
            <v>0</v>
          </cell>
          <cell r="Q105" t="str">
            <v>ens</v>
          </cell>
          <cell r="S105">
            <v>126442.90373981984</v>
          </cell>
          <cell r="T105">
            <v>1</v>
          </cell>
          <cell r="U105">
            <v>0</v>
          </cell>
          <cell r="V105">
            <v>0</v>
          </cell>
          <cell r="W105">
            <v>0</v>
          </cell>
          <cell r="X105">
            <v>0</v>
          </cell>
          <cell r="Y105">
            <v>0</v>
          </cell>
          <cell r="Z105">
            <v>0</v>
          </cell>
          <cell r="AA105">
            <v>0</v>
          </cell>
          <cell r="AB105">
            <v>0</v>
          </cell>
          <cell r="AC105">
            <v>0</v>
          </cell>
          <cell r="AD105">
            <v>0</v>
          </cell>
          <cell r="AE105">
            <v>0</v>
          </cell>
          <cell r="AF105">
            <v>0</v>
          </cell>
          <cell r="AH105">
            <v>0</v>
          </cell>
        </row>
        <row r="106">
          <cell r="B106" t="str">
            <v>ST/EPU</v>
          </cell>
          <cell r="C106" t="str">
            <v>B1A</v>
          </cell>
          <cell r="D106" t="str">
            <v>B1AB</v>
          </cell>
          <cell r="E106" t="str">
            <v>EP/BOFF</v>
          </cell>
          <cell r="G106">
            <v>15</v>
          </cell>
          <cell r="H106" t="str">
            <v>PTDE Subventions pour 75% des écoles en 2007</v>
          </cell>
          <cell r="I106" t="str">
            <v>DNEE</v>
          </cell>
          <cell r="K106" t="str">
            <v>IDA</v>
          </cell>
          <cell r="L106" t="str">
            <v>AUT</v>
          </cell>
          <cell r="P106">
            <v>0</v>
          </cell>
          <cell r="Q106" t="str">
            <v>ens</v>
          </cell>
          <cell r="S106">
            <v>313149.7862006636</v>
          </cell>
          <cell r="T106">
            <v>1</v>
          </cell>
          <cell r="U106">
            <v>0</v>
          </cell>
          <cell r="V106">
            <v>0</v>
          </cell>
          <cell r="W106">
            <v>0</v>
          </cell>
          <cell r="X106">
            <v>0</v>
          </cell>
          <cell r="Y106">
            <v>0</v>
          </cell>
          <cell r="Z106">
            <v>0</v>
          </cell>
          <cell r="AA106">
            <v>0</v>
          </cell>
          <cell r="AB106">
            <v>0</v>
          </cell>
          <cell r="AC106">
            <v>0</v>
          </cell>
          <cell r="AD106">
            <v>0</v>
          </cell>
          <cell r="AE106">
            <v>0</v>
          </cell>
          <cell r="AF106">
            <v>0</v>
          </cell>
          <cell r="AH106">
            <v>0</v>
          </cell>
        </row>
        <row r="107">
          <cell r="B107" t="str">
            <v>ST/EPU</v>
          </cell>
          <cell r="C107" t="str">
            <v>B1A</v>
          </cell>
          <cell r="D107" t="str">
            <v>B1AB</v>
          </cell>
          <cell r="E107" t="str">
            <v>EP/BOKE</v>
          </cell>
          <cell r="G107">
            <v>15</v>
          </cell>
          <cell r="H107" t="str">
            <v>PTDE Subventions pour 75% des écoles en 2007</v>
          </cell>
          <cell r="I107" t="str">
            <v>DNEE</v>
          </cell>
          <cell r="K107" t="str">
            <v>IDA</v>
          </cell>
          <cell r="L107" t="str">
            <v>AUT</v>
          </cell>
          <cell r="P107">
            <v>0</v>
          </cell>
          <cell r="Q107" t="str">
            <v>ens</v>
          </cell>
          <cell r="S107">
            <v>158945.97071107684</v>
          </cell>
          <cell r="T107">
            <v>1</v>
          </cell>
          <cell r="U107">
            <v>0</v>
          </cell>
          <cell r="V107">
            <v>0</v>
          </cell>
          <cell r="W107">
            <v>0</v>
          </cell>
          <cell r="X107">
            <v>0</v>
          </cell>
          <cell r="Y107">
            <v>0</v>
          </cell>
          <cell r="Z107">
            <v>0</v>
          </cell>
          <cell r="AA107">
            <v>0</v>
          </cell>
          <cell r="AB107">
            <v>0</v>
          </cell>
          <cell r="AC107">
            <v>0</v>
          </cell>
          <cell r="AD107">
            <v>0</v>
          </cell>
          <cell r="AE107">
            <v>0</v>
          </cell>
          <cell r="AF107">
            <v>0</v>
          </cell>
          <cell r="AH107">
            <v>0</v>
          </cell>
        </row>
        <row r="108">
          <cell r="B108" t="str">
            <v>ST/EPU</v>
          </cell>
          <cell r="C108" t="str">
            <v>B1A</v>
          </cell>
          <cell r="D108" t="str">
            <v>B1AB</v>
          </cell>
          <cell r="E108" t="str">
            <v>EP/COYA</v>
          </cell>
          <cell r="G108">
            <v>15</v>
          </cell>
          <cell r="H108" t="str">
            <v>PTDE Subventions pour 75% des écoles en 2007</v>
          </cell>
          <cell r="I108" t="str">
            <v>DNEE</v>
          </cell>
          <cell r="K108" t="str">
            <v>IDA</v>
          </cell>
          <cell r="L108" t="str">
            <v>AUT</v>
          </cell>
          <cell r="P108">
            <v>0</v>
          </cell>
          <cell r="Q108" t="str">
            <v>ens</v>
          </cell>
          <cell r="S108">
            <v>150780.13967683708</v>
          </cell>
          <cell r="T108">
            <v>1</v>
          </cell>
          <cell r="U108">
            <v>0</v>
          </cell>
          <cell r="V108">
            <v>0</v>
          </cell>
          <cell r="W108">
            <v>0</v>
          </cell>
          <cell r="X108">
            <v>0</v>
          </cell>
          <cell r="Y108">
            <v>0</v>
          </cell>
          <cell r="Z108">
            <v>0</v>
          </cell>
          <cell r="AA108">
            <v>0</v>
          </cell>
          <cell r="AB108">
            <v>0</v>
          </cell>
          <cell r="AC108">
            <v>0</v>
          </cell>
          <cell r="AD108">
            <v>0</v>
          </cell>
          <cell r="AE108">
            <v>0</v>
          </cell>
          <cell r="AF108">
            <v>0</v>
          </cell>
          <cell r="AH108">
            <v>0</v>
          </cell>
        </row>
        <row r="109">
          <cell r="B109" t="str">
            <v>ST/EPU</v>
          </cell>
          <cell r="C109" t="str">
            <v>B1A</v>
          </cell>
          <cell r="D109" t="str">
            <v>B1AB</v>
          </cell>
          <cell r="E109" t="str">
            <v>EP/DABO</v>
          </cell>
          <cell r="G109">
            <v>15</v>
          </cell>
          <cell r="H109" t="str">
            <v>PTDE Subventions pour 75% des écoles en 2007</v>
          </cell>
          <cell r="I109" t="str">
            <v>DNEE</v>
          </cell>
          <cell r="K109" t="str">
            <v>IDA</v>
          </cell>
          <cell r="L109" t="str">
            <v>AUT</v>
          </cell>
          <cell r="P109">
            <v>0</v>
          </cell>
          <cell r="Q109" t="str">
            <v>ens</v>
          </cell>
          <cell r="S109">
            <v>121613.33551885521</v>
          </cell>
          <cell r="T109">
            <v>1</v>
          </cell>
          <cell r="U109">
            <v>0</v>
          </cell>
          <cell r="V109">
            <v>0</v>
          </cell>
          <cell r="W109">
            <v>0</v>
          </cell>
          <cell r="X109">
            <v>0</v>
          </cell>
          <cell r="Y109">
            <v>0</v>
          </cell>
          <cell r="Z109">
            <v>0</v>
          </cell>
          <cell r="AA109">
            <v>0</v>
          </cell>
          <cell r="AB109">
            <v>0</v>
          </cell>
          <cell r="AC109">
            <v>0</v>
          </cell>
          <cell r="AD109">
            <v>0</v>
          </cell>
          <cell r="AE109">
            <v>0</v>
          </cell>
          <cell r="AF109">
            <v>0</v>
          </cell>
          <cell r="AH109">
            <v>0</v>
          </cell>
        </row>
        <row r="110">
          <cell r="B110" t="str">
            <v>ST/EPU</v>
          </cell>
          <cell r="C110" t="str">
            <v>B1A</v>
          </cell>
          <cell r="D110" t="str">
            <v>B1AB</v>
          </cell>
          <cell r="E110" t="str">
            <v>EP/DALA</v>
          </cell>
          <cell r="G110">
            <v>15</v>
          </cell>
          <cell r="H110" t="str">
            <v>PTDE Subventions pour 75% des écoles en 2007</v>
          </cell>
          <cell r="I110" t="str">
            <v>DNEE</v>
          </cell>
          <cell r="K110" t="str">
            <v>IDA</v>
          </cell>
          <cell r="L110" t="str">
            <v>AUT</v>
          </cell>
          <cell r="P110">
            <v>0</v>
          </cell>
          <cell r="Q110" t="str">
            <v>ens</v>
          </cell>
          <cell r="S110">
            <v>132241.29937162614</v>
          </cell>
          <cell r="T110">
            <v>1</v>
          </cell>
          <cell r="U110">
            <v>0</v>
          </cell>
          <cell r="V110">
            <v>0</v>
          </cell>
          <cell r="W110">
            <v>0</v>
          </cell>
          <cell r="X110">
            <v>0</v>
          </cell>
          <cell r="Y110">
            <v>0</v>
          </cell>
          <cell r="Z110">
            <v>0</v>
          </cell>
          <cell r="AA110">
            <v>0</v>
          </cell>
          <cell r="AB110">
            <v>0</v>
          </cell>
          <cell r="AC110">
            <v>0</v>
          </cell>
          <cell r="AD110">
            <v>0</v>
          </cell>
          <cell r="AE110">
            <v>0</v>
          </cell>
          <cell r="AF110">
            <v>0</v>
          </cell>
          <cell r="AH110">
            <v>0</v>
          </cell>
        </row>
        <row r="111">
          <cell r="B111" t="str">
            <v>ST/EPU</v>
          </cell>
          <cell r="C111" t="str">
            <v>B1A</v>
          </cell>
          <cell r="D111" t="str">
            <v>B1AB</v>
          </cell>
          <cell r="E111" t="str">
            <v>EP/DING</v>
          </cell>
          <cell r="G111">
            <v>15</v>
          </cell>
          <cell r="H111" t="str">
            <v>PTDE Subventions pour 75% des écoles en 2007</v>
          </cell>
          <cell r="I111" t="str">
            <v>DNEE</v>
          </cell>
          <cell r="K111" t="str">
            <v>IDA</v>
          </cell>
          <cell r="L111" t="str">
            <v>AUT</v>
          </cell>
          <cell r="P111">
            <v>0</v>
          </cell>
          <cell r="Q111" t="str">
            <v>ens</v>
          </cell>
          <cell r="S111">
            <v>94187.506933740806</v>
          </cell>
          <cell r="T111">
            <v>1</v>
          </cell>
          <cell r="U111">
            <v>0</v>
          </cell>
          <cell r="V111">
            <v>0</v>
          </cell>
          <cell r="W111">
            <v>0</v>
          </cell>
          <cell r="X111">
            <v>0</v>
          </cell>
          <cell r="Y111">
            <v>0</v>
          </cell>
          <cell r="Z111">
            <v>0</v>
          </cell>
          <cell r="AA111">
            <v>0</v>
          </cell>
          <cell r="AB111">
            <v>0</v>
          </cell>
          <cell r="AC111">
            <v>0</v>
          </cell>
          <cell r="AD111">
            <v>0</v>
          </cell>
          <cell r="AE111">
            <v>0</v>
          </cell>
          <cell r="AF111">
            <v>0</v>
          </cell>
          <cell r="AH111">
            <v>0</v>
          </cell>
        </row>
        <row r="112">
          <cell r="B112" t="str">
            <v>ST/EPU</v>
          </cell>
          <cell r="C112" t="str">
            <v>B1A</v>
          </cell>
          <cell r="D112" t="str">
            <v>B1AB</v>
          </cell>
          <cell r="E112" t="str">
            <v>EP/DIXI</v>
          </cell>
          <cell r="G112">
            <v>15</v>
          </cell>
          <cell r="H112" t="str">
            <v>PTDE Subventions pour 75% des écoles en 2007</v>
          </cell>
          <cell r="I112" t="str">
            <v>DNEE</v>
          </cell>
          <cell r="K112" t="str">
            <v>IDA</v>
          </cell>
          <cell r="L112" t="str">
            <v>AUT</v>
          </cell>
          <cell r="P112">
            <v>0</v>
          </cell>
          <cell r="Q112" t="str">
            <v>ens</v>
          </cell>
          <cell r="S112">
            <v>123121.20975979036</v>
          </cell>
          <cell r="T112">
            <v>1</v>
          </cell>
          <cell r="U112">
            <v>0</v>
          </cell>
          <cell r="V112">
            <v>0</v>
          </cell>
          <cell r="W112">
            <v>0</v>
          </cell>
          <cell r="X112">
            <v>0</v>
          </cell>
          <cell r="Y112">
            <v>0</v>
          </cell>
          <cell r="Z112">
            <v>0</v>
          </cell>
          <cell r="AA112">
            <v>0</v>
          </cell>
          <cell r="AB112">
            <v>0</v>
          </cell>
          <cell r="AC112">
            <v>0</v>
          </cell>
          <cell r="AD112">
            <v>0</v>
          </cell>
          <cell r="AE112">
            <v>0</v>
          </cell>
          <cell r="AF112">
            <v>0</v>
          </cell>
          <cell r="AH112">
            <v>0</v>
          </cell>
        </row>
        <row r="113">
          <cell r="B113" t="str">
            <v>ST/EPU</v>
          </cell>
          <cell r="C113" t="str">
            <v>B1A</v>
          </cell>
          <cell r="D113" t="str">
            <v>B1AB</v>
          </cell>
          <cell r="E113" t="str">
            <v>EP/DUBR</v>
          </cell>
          <cell r="G113">
            <v>15</v>
          </cell>
          <cell r="H113" t="str">
            <v>PTDE Subventions pour 75% des écoles en 2007</v>
          </cell>
          <cell r="I113" t="str">
            <v>DNEE</v>
          </cell>
          <cell r="K113" t="str">
            <v>IDA</v>
          </cell>
          <cell r="L113" t="str">
            <v>AUT</v>
          </cell>
          <cell r="P113">
            <v>0</v>
          </cell>
          <cell r="Q113" t="str">
            <v>ens</v>
          </cell>
          <cell r="S113">
            <v>147385.60153057802</v>
          </cell>
          <cell r="T113">
            <v>1</v>
          </cell>
          <cell r="U113">
            <v>0</v>
          </cell>
          <cell r="V113">
            <v>0</v>
          </cell>
          <cell r="W113">
            <v>0</v>
          </cell>
          <cell r="X113">
            <v>0</v>
          </cell>
          <cell r="Y113">
            <v>0</v>
          </cell>
          <cell r="Z113">
            <v>0</v>
          </cell>
          <cell r="AA113">
            <v>0</v>
          </cell>
          <cell r="AB113">
            <v>0</v>
          </cell>
          <cell r="AC113">
            <v>0</v>
          </cell>
          <cell r="AD113">
            <v>0</v>
          </cell>
          <cell r="AE113">
            <v>0</v>
          </cell>
          <cell r="AF113">
            <v>0</v>
          </cell>
          <cell r="AH113">
            <v>0</v>
          </cell>
        </row>
        <row r="114">
          <cell r="B114" t="str">
            <v>ST/EPU</v>
          </cell>
          <cell r="C114" t="str">
            <v>B1A</v>
          </cell>
          <cell r="D114" t="str">
            <v>B1AB</v>
          </cell>
          <cell r="E114" t="str">
            <v>EP/FARA</v>
          </cell>
          <cell r="G114">
            <v>15</v>
          </cell>
          <cell r="H114" t="str">
            <v>PTDE Subventions pour 75% des écoles en 2007</v>
          </cell>
          <cell r="I114" t="str">
            <v>DNEE</v>
          </cell>
          <cell r="K114" t="str">
            <v>IDA</v>
          </cell>
          <cell r="L114" t="str">
            <v>AUT</v>
          </cell>
          <cell r="P114">
            <v>0</v>
          </cell>
          <cell r="Q114" t="str">
            <v>ens</v>
          </cell>
          <cell r="S114">
            <v>179072.81384007365</v>
          </cell>
          <cell r="T114">
            <v>1</v>
          </cell>
          <cell r="U114">
            <v>0</v>
          </cell>
          <cell r="V114">
            <v>0</v>
          </cell>
          <cell r="W114">
            <v>0</v>
          </cell>
          <cell r="X114">
            <v>0</v>
          </cell>
          <cell r="Y114">
            <v>0</v>
          </cell>
          <cell r="Z114">
            <v>0</v>
          </cell>
          <cell r="AA114">
            <v>0</v>
          </cell>
          <cell r="AB114">
            <v>0</v>
          </cell>
          <cell r="AC114">
            <v>0</v>
          </cell>
          <cell r="AD114">
            <v>0</v>
          </cell>
          <cell r="AE114">
            <v>0</v>
          </cell>
          <cell r="AF114">
            <v>0</v>
          </cell>
          <cell r="AH114">
            <v>0</v>
          </cell>
        </row>
        <row r="115">
          <cell r="B115" t="str">
            <v>ST/EPU</v>
          </cell>
          <cell r="C115" t="str">
            <v>B1A</v>
          </cell>
          <cell r="D115" t="str">
            <v>B1AB</v>
          </cell>
          <cell r="E115" t="str">
            <v>EP/FORE</v>
          </cell>
          <cell r="G115">
            <v>15</v>
          </cell>
          <cell r="H115" t="str">
            <v>PTDE Subventions pour 75% des écoles en 2007</v>
          </cell>
          <cell r="I115" t="str">
            <v>DNEE</v>
          </cell>
          <cell r="K115" t="str">
            <v>IDA</v>
          </cell>
          <cell r="L115" t="str">
            <v>AUT</v>
          </cell>
          <cell r="P115">
            <v>0</v>
          </cell>
          <cell r="Q115" t="str">
            <v>ens</v>
          </cell>
          <cell r="S115">
            <v>155667.9832307843</v>
          </cell>
          <cell r="T115">
            <v>1</v>
          </cell>
          <cell r="U115">
            <v>0</v>
          </cell>
          <cell r="V115">
            <v>0</v>
          </cell>
          <cell r="W115">
            <v>0</v>
          </cell>
          <cell r="X115">
            <v>0</v>
          </cell>
          <cell r="Y115">
            <v>0</v>
          </cell>
          <cell r="Z115">
            <v>0</v>
          </cell>
          <cell r="AA115">
            <v>0</v>
          </cell>
          <cell r="AB115">
            <v>0</v>
          </cell>
          <cell r="AC115">
            <v>0</v>
          </cell>
          <cell r="AD115">
            <v>0</v>
          </cell>
          <cell r="AE115">
            <v>0</v>
          </cell>
          <cell r="AF115">
            <v>0</v>
          </cell>
          <cell r="AH115">
            <v>0</v>
          </cell>
        </row>
        <row r="116">
          <cell r="B116" t="str">
            <v>ST/EPU</v>
          </cell>
          <cell r="C116" t="str">
            <v>B1A</v>
          </cell>
          <cell r="D116" t="str">
            <v>B1AB</v>
          </cell>
          <cell r="E116" t="str">
            <v>EP/FRIA</v>
          </cell>
          <cell r="G116">
            <v>15</v>
          </cell>
          <cell r="H116" t="str">
            <v>PTDE Subventions pour 75% des écoles en 2007</v>
          </cell>
          <cell r="I116" t="str">
            <v>DNEE</v>
          </cell>
          <cell r="K116" t="str">
            <v>IDA</v>
          </cell>
          <cell r="L116" t="str">
            <v>AUT</v>
          </cell>
          <cell r="P116">
            <v>0</v>
          </cell>
          <cell r="Q116" t="str">
            <v>ens</v>
          </cell>
          <cell r="S116">
            <v>106804.11652455579</v>
          </cell>
          <cell r="T116">
            <v>1</v>
          </cell>
          <cell r="U116">
            <v>0</v>
          </cell>
          <cell r="V116">
            <v>0</v>
          </cell>
          <cell r="W116">
            <v>0</v>
          </cell>
          <cell r="X116">
            <v>0</v>
          </cell>
          <cell r="Y116">
            <v>0</v>
          </cell>
          <cell r="Z116">
            <v>0</v>
          </cell>
          <cell r="AA116">
            <v>0</v>
          </cell>
          <cell r="AB116">
            <v>0</v>
          </cell>
          <cell r="AC116">
            <v>0</v>
          </cell>
          <cell r="AD116">
            <v>0</v>
          </cell>
          <cell r="AE116">
            <v>0</v>
          </cell>
          <cell r="AF116">
            <v>0</v>
          </cell>
          <cell r="AH116">
            <v>0</v>
          </cell>
        </row>
        <row r="117">
          <cell r="B117" t="str">
            <v>ST/EPU</v>
          </cell>
          <cell r="C117" t="str">
            <v>B1A</v>
          </cell>
          <cell r="D117" t="str">
            <v>B1AB</v>
          </cell>
          <cell r="E117" t="str">
            <v>EP/GAOU</v>
          </cell>
          <cell r="G117">
            <v>15</v>
          </cell>
          <cell r="H117" t="str">
            <v>PTDE Subventions pour 75% des écoles en 2007</v>
          </cell>
          <cell r="I117" t="str">
            <v>DNEE</v>
          </cell>
          <cell r="K117" t="str">
            <v>IDA</v>
          </cell>
          <cell r="L117" t="str">
            <v>AUT</v>
          </cell>
          <cell r="P117">
            <v>0</v>
          </cell>
          <cell r="Q117" t="str">
            <v>ens</v>
          </cell>
          <cell r="S117">
            <v>88440.102218294618</v>
          </cell>
          <cell r="T117">
            <v>1</v>
          </cell>
          <cell r="U117">
            <v>0</v>
          </cell>
          <cell r="V117">
            <v>0</v>
          </cell>
          <cell r="W117">
            <v>0</v>
          </cell>
          <cell r="X117">
            <v>0</v>
          </cell>
          <cell r="Y117">
            <v>0</v>
          </cell>
          <cell r="Z117">
            <v>0</v>
          </cell>
          <cell r="AA117">
            <v>0</v>
          </cell>
          <cell r="AB117">
            <v>0</v>
          </cell>
          <cell r="AC117">
            <v>0</v>
          </cell>
          <cell r="AD117">
            <v>0</v>
          </cell>
          <cell r="AE117">
            <v>0</v>
          </cell>
          <cell r="AF117">
            <v>0</v>
          </cell>
          <cell r="AH117">
            <v>0</v>
          </cell>
        </row>
        <row r="118">
          <cell r="B118" t="str">
            <v>ST/EPU</v>
          </cell>
          <cell r="C118" t="str">
            <v>B1A</v>
          </cell>
          <cell r="D118" t="str">
            <v>B1AB</v>
          </cell>
          <cell r="E118" t="str">
            <v>EP/GUEC</v>
          </cell>
          <cell r="G118">
            <v>15</v>
          </cell>
          <cell r="H118" t="str">
            <v>PTDE Subventions pour 75% des écoles en 2007</v>
          </cell>
          <cell r="I118" t="str">
            <v>DNEE</v>
          </cell>
          <cell r="K118" t="str">
            <v>IDA</v>
          </cell>
          <cell r="L118" t="str">
            <v>AUT</v>
          </cell>
          <cell r="P118">
            <v>0</v>
          </cell>
          <cell r="Q118" t="str">
            <v>ens</v>
          </cell>
          <cell r="S118">
            <v>279000.44107263751</v>
          </cell>
          <cell r="T118">
            <v>1</v>
          </cell>
          <cell r="U118">
            <v>0</v>
          </cell>
          <cell r="V118">
            <v>0</v>
          </cell>
          <cell r="W118">
            <v>0</v>
          </cell>
          <cell r="X118">
            <v>0</v>
          </cell>
          <cell r="Y118">
            <v>0</v>
          </cell>
          <cell r="Z118">
            <v>0</v>
          </cell>
          <cell r="AA118">
            <v>0</v>
          </cell>
          <cell r="AB118">
            <v>0</v>
          </cell>
          <cell r="AC118">
            <v>0</v>
          </cell>
          <cell r="AD118">
            <v>0</v>
          </cell>
          <cell r="AE118">
            <v>0</v>
          </cell>
          <cell r="AF118">
            <v>0</v>
          </cell>
          <cell r="AH118">
            <v>0</v>
          </cell>
        </row>
        <row r="119">
          <cell r="B119" t="str">
            <v>ST/EPU</v>
          </cell>
          <cell r="C119" t="str">
            <v>B1A</v>
          </cell>
          <cell r="D119" t="str">
            <v>B1AB</v>
          </cell>
          <cell r="E119" t="str">
            <v>EP/KALO</v>
          </cell>
          <cell r="G119">
            <v>15</v>
          </cell>
          <cell r="H119" t="str">
            <v>PTDE Subventions pour 75% des écoles en 2007</v>
          </cell>
          <cell r="I119" t="str">
            <v>DNEE</v>
          </cell>
          <cell r="K119" t="str">
            <v>IDA</v>
          </cell>
          <cell r="L119" t="str">
            <v>AUT</v>
          </cell>
          <cell r="P119">
            <v>0</v>
          </cell>
          <cell r="Q119" t="str">
            <v>ens</v>
          </cell>
          <cell r="S119">
            <v>100153.444147873</v>
          </cell>
          <cell r="T119">
            <v>1</v>
          </cell>
          <cell r="U119">
            <v>0</v>
          </cell>
          <cell r="V119">
            <v>0</v>
          </cell>
          <cell r="W119">
            <v>0</v>
          </cell>
          <cell r="X119">
            <v>0</v>
          </cell>
          <cell r="Y119">
            <v>0</v>
          </cell>
          <cell r="Z119">
            <v>0</v>
          </cell>
          <cell r="AA119">
            <v>0</v>
          </cell>
          <cell r="AB119">
            <v>0</v>
          </cell>
          <cell r="AC119">
            <v>0</v>
          </cell>
          <cell r="AD119">
            <v>0</v>
          </cell>
          <cell r="AE119">
            <v>0</v>
          </cell>
          <cell r="AF119">
            <v>0</v>
          </cell>
          <cell r="AH119">
            <v>0</v>
          </cell>
        </row>
        <row r="120">
          <cell r="B120" t="str">
            <v>ST/EPU</v>
          </cell>
          <cell r="C120" t="str">
            <v>B1A</v>
          </cell>
          <cell r="D120" t="str">
            <v>B1AB</v>
          </cell>
          <cell r="E120" t="str">
            <v>EP/KANK</v>
          </cell>
          <cell r="G120">
            <v>15</v>
          </cell>
          <cell r="H120" t="str">
            <v>PTDE Subventions pour 75% des écoles en 2007</v>
          </cell>
          <cell r="I120" t="str">
            <v>DNEE</v>
          </cell>
          <cell r="K120" t="str">
            <v>IDA</v>
          </cell>
          <cell r="L120" t="str">
            <v>AUT</v>
          </cell>
          <cell r="P120">
            <v>0</v>
          </cell>
          <cell r="Q120" t="str">
            <v>ens</v>
          </cell>
          <cell r="S120">
            <v>280020.25939983991</v>
          </cell>
          <cell r="T120">
            <v>1</v>
          </cell>
          <cell r="U120">
            <v>0</v>
          </cell>
          <cell r="V120">
            <v>0</v>
          </cell>
          <cell r="W120">
            <v>0</v>
          </cell>
          <cell r="X120">
            <v>0</v>
          </cell>
          <cell r="Y120">
            <v>0</v>
          </cell>
          <cell r="Z120">
            <v>0</v>
          </cell>
          <cell r="AA120">
            <v>0</v>
          </cell>
          <cell r="AB120">
            <v>0</v>
          </cell>
          <cell r="AC120">
            <v>0</v>
          </cell>
          <cell r="AD120">
            <v>0</v>
          </cell>
          <cell r="AE120">
            <v>0</v>
          </cell>
          <cell r="AF120">
            <v>0</v>
          </cell>
          <cell r="AH120">
            <v>0</v>
          </cell>
        </row>
        <row r="121">
          <cell r="B121" t="str">
            <v>ST/EPU</v>
          </cell>
          <cell r="C121" t="str">
            <v>B1A</v>
          </cell>
          <cell r="D121" t="str">
            <v>B1AB</v>
          </cell>
          <cell r="E121" t="str">
            <v>EP/KERO</v>
          </cell>
          <cell r="G121">
            <v>15</v>
          </cell>
          <cell r="H121" t="str">
            <v>PTDE Subventions pour 75% des écoles en 2007</v>
          </cell>
          <cell r="I121" t="str">
            <v>DNEE</v>
          </cell>
          <cell r="K121" t="str">
            <v>IDA</v>
          </cell>
          <cell r="L121" t="str">
            <v>AUT</v>
          </cell>
          <cell r="P121">
            <v>0</v>
          </cell>
          <cell r="Q121" t="str">
            <v>ens</v>
          </cell>
          <cell r="S121">
            <v>102520.87955030716</v>
          </cell>
          <cell r="T121">
            <v>1</v>
          </cell>
          <cell r="U121">
            <v>0</v>
          </cell>
          <cell r="V121">
            <v>0</v>
          </cell>
          <cell r="W121">
            <v>0</v>
          </cell>
          <cell r="X121">
            <v>0</v>
          </cell>
          <cell r="Y121">
            <v>0</v>
          </cell>
          <cell r="Z121">
            <v>0</v>
          </cell>
          <cell r="AA121">
            <v>0</v>
          </cell>
          <cell r="AB121">
            <v>0</v>
          </cell>
          <cell r="AC121">
            <v>0</v>
          </cell>
          <cell r="AD121">
            <v>0</v>
          </cell>
          <cell r="AE121">
            <v>0</v>
          </cell>
          <cell r="AF121">
            <v>0</v>
          </cell>
          <cell r="AH121">
            <v>0</v>
          </cell>
        </row>
        <row r="122">
          <cell r="B122" t="str">
            <v>ST/EPU</v>
          </cell>
          <cell r="C122" t="str">
            <v>B1A</v>
          </cell>
          <cell r="D122" t="str">
            <v>B1AB</v>
          </cell>
          <cell r="E122" t="str">
            <v>EP/KIND</v>
          </cell>
          <cell r="G122">
            <v>15</v>
          </cell>
          <cell r="H122" t="str">
            <v>PTDE Subventions pour 75% des écoles en 2007</v>
          </cell>
          <cell r="I122" t="str">
            <v>DNEE</v>
          </cell>
          <cell r="K122" t="str">
            <v>IDA</v>
          </cell>
          <cell r="L122" t="str">
            <v>AUT</v>
          </cell>
          <cell r="P122">
            <v>0</v>
          </cell>
          <cell r="Q122" t="str">
            <v>ens</v>
          </cell>
          <cell r="S122">
            <v>341537.1577799978</v>
          </cell>
          <cell r="T122">
            <v>1</v>
          </cell>
          <cell r="U122">
            <v>0</v>
          </cell>
          <cell r="V122">
            <v>0</v>
          </cell>
          <cell r="W122">
            <v>0</v>
          </cell>
          <cell r="X122">
            <v>0</v>
          </cell>
          <cell r="Y122">
            <v>0</v>
          </cell>
          <cell r="Z122">
            <v>0</v>
          </cell>
          <cell r="AA122">
            <v>0</v>
          </cell>
          <cell r="AB122">
            <v>0</v>
          </cell>
          <cell r="AC122">
            <v>0</v>
          </cell>
          <cell r="AD122">
            <v>0</v>
          </cell>
          <cell r="AE122">
            <v>0</v>
          </cell>
          <cell r="AF122">
            <v>0</v>
          </cell>
          <cell r="AH122">
            <v>0</v>
          </cell>
        </row>
        <row r="123">
          <cell r="B123" t="str">
            <v>ST/EPU</v>
          </cell>
          <cell r="C123" t="str">
            <v>B1A</v>
          </cell>
          <cell r="D123" t="str">
            <v>B1AB</v>
          </cell>
          <cell r="E123" t="str">
            <v>EP/KISS</v>
          </cell>
          <cell r="G123">
            <v>15</v>
          </cell>
          <cell r="H123" t="str">
            <v>PTDE Subventions pour 75% des écoles en 2007</v>
          </cell>
          <cell r="I123" t="str">
            <v>DNEE</v>
          </cell>
          <cell r="K123" t="str">
            <v>IDA</v>
          </cell>
          <cell r="L123" t="str">
            <v>AUT</v>
          </cell>
          <cell r="P123">
            <v>0</v>
          </cell>
          <cell r="Q123" t="str">
            <v>ens</v>
          </cell>
          <cell r="S123">
            <v>280282.49839826347</v>
          </cell>
          <cell r="T123">
            <v>1</v>
          </cell>
          <cell r="U123">
            <v>0</v>
          </cell>
          <cell r="V123">
            <v>0</v>
          </cell>
          <cell r="W123">
            <v>0</v>
          </cell>
          <cell r="X123">
            <v>0</v>
          </cell>
          <cell r="Y123">
            <v>0</v>
          </cell>
          <cell r="Z123">
            <v>0</v>
          </cell>
          <cell r="AA123">
            <v>0</v>
          </cell>
          <cell r="AB123">
            <v>0</v>
          </cell>
          <cell r="AC123">
            <v>0</v>
          </cell>
          <cell r="AD123">
            <v>0</v>
          </cell>
          <cell r="AE123">
            <v>0</v>
          </cell>
          <cell r="AF123">
            <v>0</v>
          </cell>
          <cell r="AH123">
            <v>0</v>
          </cell>
        </row>
        <row r="124">
          <cell r="B124" t="str">
            <v>ST/EPU</v>
          </cell>
          <cell r="C124" t="str">
            <v>B1A</v>
          </cell>
          <cell r="D124" t="str">
            <v>B1AB</v>
          </cell>
          <cell r="E124" t="str">
            <v>EP/KOUB</v>
          </cell>
          <cell r="G124">
            <v>15</v>
          </cell>
          <cell r="H124" t="str">
            <v>PTDE Subventions pour 75% des écoles en 2007</v>
          </cell>
          <cell r="I124" t="str">
            <v>DNEE</v>
          </cell>
          <cell r="K124" t="str">
            <v>IDA</v>
          </cell>
          <cell r="L124" t="str">
            <v>AUT</v>
          </cell>
          <cell r="P124">
            <v>0</v>
          </cell>
          <cell r="Q124" t="str">
            <v>ens</v>
          </cell>
          <cell r="S124">
            <v>67526.54209402758</v>
          </cell>
          <cell r="T124">
            <v>1</v>
          </cell>
          <cell r="U124">
            <v>0</v>
          </cell>
          <cell r="V124">
            <v>0</v>
          </cell>
          <cell r="W124">
            <v>0</v>
          </cell>
          <cell r="X124">
            <v>0</v>
          </cell>
          <cell r="Y124">
            <v>0</v>
          </cell>
          <cell r="Z124">
            <v>0</v>
          </cell>
          <cell r="AA124">
            <v>0</v>
          </cell>
          <cell r="AB124">
            <v>0</v>
          </cell>
          <cell r="AC124">
            <v>0</v>
          </cell>
          <cell r="AD124">
            <v>0</v>
          </cell>
          <cell r="AE124">
            <v>0</v>
          </cell>
          <cell r="AF124">
            <v>0</v>
          </cell>
          <cell r="AH124">
            <v>0</v>
          </cell>
        </row>
        <row r="125">
          <cell r="B125" t="str">
            <v>ST/EPU</v>
          </cell>
          <cell r="C125" t="str">
            <v>B1A</v>
          </cell>
          <cell r="D125" t="str">
            <v>B1AB</v>
          </cell>
          <cell r="E125" t="str">
            <v>EP/KOUN</v>
          </cell>
          <cell r="G125">
            <v>15</v>
          </cell>
          <cell r="H125" t="str">
            <v>PTDE Subventions pour 75% des écoles en 2007</v>
          </cell>
          <cell r="I125" t="str">
            <v>DNEE</v>
          </cell>
          <cell r="K125" t="str">
            <v>IDA</v>
          </cell>
          <cell r="L125" t="str">
            <v>AUT</v>
          </cell>
          <cell r="P125">
            <v>0</v>
          </cell>
          <cell r="Q125" t="str">
            <v>ens</v>
          </cell>
          <cell r="S125">
            <v>77637.31236657461</v>
          </cell>
          <cell r="T125">
            <v>1</v>
          </cell>
          <cell r="U125">
            <v>0</v>
          </cell>
          <cell r="V125">
            <v>0</v>
          </cell>
          <cell r="W125">
            <v>0</v>
          </cell>
          <cell r="X125">
            <v>0</v>
          </cell>
          <cell r="Y125">
            <v>0</v>
          </cell>
          <cell r="Z125">
            <v>0</v>
          </cell>
          <cell r="AA125">
            <v>0</v>
          </cell>
          <cell r="AB125">
            <v>0</v>
          </cell>
          <cell r="AC125">
            <v>0</v>
          </cell>
          <cell r="AD125">
            <v>0</v>
          </cell>
          <cell r="AE125">
            <v>0</v>
          </cell>
          <cell r="AF125">
            <v>0</v>
          </cell>
          <cell r="AH125">
            <v>0</v>
          </cell>
        </row>
        <row r="126">
          <cell r="B126" t="str">
            <v>ST/EPU</v>
          </cell>
          <cell r="C126" t="str">
            <v>B1A</v>
          </cell>
          <cell r="D126" t="str">
            <v>B1AB</v>
          </cell>
          <cell r="E126" t="str">
            <v>EP/KOUR</v>
          </cell>
          <cell r="G126">
            <v>15</v>
          </cell>
          <cell r="H126" t="str">
            <v>PTDE Subventions pour 75% des écoles en 2007</v>
          </cell>
          <cell r="I126" t="str">
            <v>DNEE</v>
          </cell>
          <cell r="K126" t="str">
            <v>IDA</v>
          </cell>
          <cell r="L126" t="str">
            <v>AUT</v>
          </cell>
          <cell r="P126">
            <v>0</v>
          </cell>
          <cell r="Q126" t="str">
            <v>ens</v>
          </cell>
          <cell r="S126">
            <v>147917.36394404768</v>
          </cell>
          <cell r="T126">
            <v>1</v>
          </cell>
          <cell r="U126">
            <v>0</v>
          </cell>
          <cell r="V126">
            <v>0</v>
          </cell>
          <cell r="W126">
            <v>0</v>
          </cell>
          <cell r="X126">
            <v>0</v>
          </cell>
          <cell r="Y126">
            <v>0</v>
          </cell>
          <cell r="Z126">
            <v>0</v>
          </cell>
          <cell r="AA126">
            <v>0</v>
          </cell>
          <cell r="AB126">
            <v>0</v>
          </cell>
          <cell r="AC126">
            <v>0</v>
          </cell>
          <cell r="AD126">
            <v>0</v>
          </cell>
          <cell r="AE126">
            <v>0</v>
          </cell>
          <cell r="AF126">
            <v>0</v>
          </cell>
          <cell r="AH126">
            <v>0</v>
          </cell>
        </row>
        <row r="127">
          <cell r="B127" t="str">
            <v>ST/EPU</v>
          </cell>
          <cell r="C127" t="str">
            <v>B1A</v>
          </cell>
          <cell r="D127" t="str">
            <v>B1AB</v>
          </cell>
          <cell r="E127" t="str">
            <v>EP/LABE</v>
          </cell>
          <cell r="G127">
            <v>15</v>
          </cell>
          <cell r="H127" t="str">
            <v>PTDE Subventions pour 75% des écoles en 2007</v>
          </cell>
          <cell r="I127" t="str">
            <v>DNEE</v>
          </cell>
          <cell r="K127" t="str">
            <v>IDA</v>
          </cell>
          <cell r="L127" t="str">
            <v>AUT</v>
          </cell>
          <cell r="P127">
            <v>0</v>
          </cell>
          <cell r="Q127" t="str">
            <v>ens</v>
          </cell>
          <cell r="S127">
            <v>254218.85572162579</v>
          </cell>
          <cell r="T127">
            <v>1</v>
          </cell>
          <cell r="U127">
            <v>0</v>
          </cell>
          <cell r="V127">
            <v>0</v>
          </cell>
          <cell r="W127">
            <v>0</v>
          </cell>
          <cell r="X127">
            <v>0</v>
          </cell>
          <cell r="Y127">
            <v>0</v>
          </cell>
          <cell r="Z127">
            <v>0</v>
          </cell>
          <cell r="AA127">
            <v>0</v>
          </cell>
          <cell r="AB127">
            <v>0</v>
          </cell>
          <cell r="AC127">
            <v>0</v>
          </cell>
          <cell r="AD127">
            <v>0</v>
          </cell>
          <cell r="AE127">
            <v>0</v>
          </cell>
          <cell r="AF127">
            <v>0</v>
          </cell>
          <cell r="AH127">
            <v>0</v>
          </cell>
        </row>
        <row r="128">
          <cell r="B128" t="str">
            <v>ST/EPU</v>
          </cell>
          <cell r="C128" t="str">
            <v>B1A</v>
          </cell>
          <cell r="D128" t="str">
            <v>B1AB</v>
          </cell>
          <cell r="E128" t="str">
            <v>EP/LELO</v>
          </cell>
          <cell r="G128">
            <v>15</v>
          </cell>
          <cell r="H128" t="str">
            <v>PTDE Subventions pour 75% des écoles en 2007</v>
          </cell>
          <cell r="I128" t="str">
            <v>DNEE</v>
          </cell>
          <cell r="K128" t="str">
            <v>IDA</v>
          </cell>
          <cell r="L128" t="str">
            <v>AUT</v>
          </cell>
          <cell r="P128">
            <v>0</v>
          </cell>
          <cell r="Q128" t="str">
            <v>ens</v>
          </cell>
          <cell r="S128">
            <v>108384.83493171919</v>
          </cell>
          <cell r="T128">
            <v>1</v>
          </cell>
          <cell r="U128">
            <v>0</v>
          </cell>
          <cell r="V128">
            <v>0</v>
          </cell>
          <cell r="W128">
            <v>0</v>
          </cell>
          <cell r="X128">
            <v>0</v>
          </cell>
          <cell r="Y128">
            <v>0</v>
          </cell>
          <cell r="Z128">
            <v>0</v>
          </cell>
          <cell r="AA128">
            <v>0</v>
          </cell>
          <cell r="AB128">
            <v>0</v>
          </cell>
          <cell r="AC128">
            <v>0</v>
          </cell>
          <cell r="AD128">
            <v>0</v>
          </cell>
          <cell r="AE128">
            <v>0</v>
          </cell>
          <cell r="AF128">
            <v>0</v>
          </cell>
          <cell r="AH128">
            <v>0</v>
          </cell>
        </row>
        <row r="129">
          <cell r="B129" t="str">
            <v>ST/EPU</v>
          </cell>
          <cell r="C129" t="str">
            <v>B1A</v>
          </cell>
          <cell r="D129" t="str">
            <v>B1AB</v>
          </cell>
          <cell r="E129" t="str">
            <v>EP/LOLA</v>
          </cell>
          <cell r="G129">
            <v>15</v>
          </cell>
          <cell r="H129" t="str">
            <v>PTDE Subventions pour 75% des écoles en 2007</v>
          </cell>
          <cell r="I129" t="str">
            <v>DNEE</v>
          </cell>
          <cell r="K129" t="str">
            <v>IDA</v>
          </cell>
          <cell r="L129" t="str">
            <v>AUT</v>
          </cell>
          <cell r="P129">
            <v>0</v>
          </cell>
          <cell r="Q129" t="str">
            <v>ens</v>
          </cell>
          <cell r="S129">
            <v>173398.25329085565</v>
          </cell>
          <cell r="T129">
            <v>1</v>
          </cell>
          <cell r="U129">
            <v>0</v>
          </cell>
          <cell r="V129">
            <v>0</v>
          </cell>
          <cell r="W129">
            <v>0</v>
          </cell>
          <cell r="X129">
            <v>0</v>
          </cell>
          <cell r="Y129">
            <v>0</v>
          </cell>
          <cell r="Z129">
            <v>0</v>
          </cell>
          <cell r="AA129">
            <v>0</v>
          </cell>
          <cell r="AB129">
            <v>0</v>
          </cell>
          <cell r="AC129">
            <v>0</v>
          </cell>
          <cell r="AD129">
            <v>0</v>
          </cell>
          <cell r="AE129">
            <v>0</v>
          </cell>
          <cell r="AF129">
            <v>0</v>
          </cell>
          <cell r="AH129">
            <v>0</v>
          </cell>
        </row>
        <row r="130">
          <cell r="B130" t="str">
            <v>ST/EPU</v>
          </cell>
          <cell r="C130" t="str">
            <v>B1A</v>
          </cell>
          <cell r="D130" t="str">
            <v>B1AB</v>
          </cell>
          <cell r="E130" t="str">
            <v>EP/MACE</v>
          </cell>
          <cell r="G130">
            <v>15</v>
          </cell>
          <cell r="H130" t="str">
            <v>PTDE Subventions pour 75% des écoles en 2007</v>
          </cell>
          <cell r="I130" t="str">
            <v>DNEE</v>
          </cell>
          <cell r="K130" t="str">
            <v>IDA</v>
          </cell>
          <cell r="L130" t="str">
            <v>AUT</v>
          </cell>
          <cell r="P130">
            <v>0</v>
          </cell>
          <cell r="Q130" t="str">
            <v>ens</v>
          </cell>
          <cell r="S130">
            <v>248486.01983942525</v>
          </cell>
          <cell r="T130">
            <v>1</v>
          </cell>
          <cell r="U130">
            <v>0</v>
          </cell>
          <cell r="V130">
            <v>0</v>
          </cell>
          <cell r="W130">
            <v>0</v>
          </cell>
          <cell r="X130">
            <v>0</v>
          </cell>
          <cell r="Y130">
            <v>0</v>
          </cell>
          <cell r="Z130">
            <v>0</v>
          </cell>
          <cell r="AA130">
            <v>0</v>
          </cell>
          <cell r="AB130">
            <v>0</v>
          </cell>
          <cell r="AC130">
            <v>0</v>
          </cell>
          <cell r="AD130">
            <v>0</v>
          </cell>
          <cell r="AE130">
            <v>0</v>
          </cell>
          <cell r="AF130">
            <v>0</v>
          </cell>
          <cell r="AH130">
            <v>0</v>
          </cell>
        </row>
        <row r="131">
          <cell r="B131" t="str">
            <v>ST/EPU</v>
          </cell>
          <cell r="C131" t="str">
            <v>B1A</v>
          </cell>
          <cell r="D131" t="str">
            <v>B1AB</v>
          </cell>
          <cell r="E131" t="str">
            <v>EP/MALI</v>
          </cell>
          <cell r="G131">
            <v>15</v>
          </cell>
          <cell r="H131" t="str">
            <v>PTDE Subventions pour 75% des écoles en 2007</v>
          </cell>
          <cell r="I131" t="str">
            <v>DNEE</v>
          </cell>
          <cell r="K131" t="str">
            <v>IDA</v>
          </cell>
          <cell r="L131" t="str">
            <v>AUT</v>
          </cell>
          <cell r="P131">
            <v>0</v>
          </cell>
          <cell r="Q131" t="str">
            <v>ens</v>
          </cell>
          <cell r="S131">
            <v>145695.616874072</v>
          </cell>
          <cell r="T131">
            <v>1</v>
          </cell>
          <cell r="U131">
            <v>0</v>
          </cell>
          <cell r="V131">
            <v>0</v>
          </cell>
          <cell r="W131">
            <v>0</v>
          </cell>
          <cell r="X131">
            <v>0</v>
          </cell>
          <cell r="Y131">
            <v>0</v>
          </cell>
          <cell r="Z131">
            <v>0</v>
          </cell>
          <cell r="AA131">
            <v>0</v>
          </cell>
          <cell r="AB131">
            <v>0</v>
          </cell>
          <cell r="AC131">
            <v>0</v>
          </cell>
          <cell r="AD131">
            <v>0</v>
          </cell>
          <cell r="AE131">
            <v>0</v>
          </cell>
          <cell r="AF131">
            <v>0</v>
          </cell>
          <cell r="AH131">
            <v>0</v>
          </cell>
        </row>
        <row r="132">
          <cell r="B132" t="str">
            <v>ST/EPU</v>
          </cell>
          <cell r="C132" t="str">
            <v>B1A</v>
          </cell>
          <cell r="D132" t="str">
            <v>B1AB</v>
          </cell>
          <cell r="E132" t="str">
            <v>EP/MAMO</v>
          </cell>
          <cell r="G132">
            <v>15</v>
          </cell>
          <cell r="H132" t="str">
            <v>PTDE Subventions pour 75% des écoles en 2007</v>
          </cell>
          <cell r="I132" t="str">
            <v>DNEE</v>
          </cell>
          <cell r="K132" t="str">
            <v>IDA</v>
          </cell>
          <cell r="L132" t="str">
            <v>AUT</v>
          </cell>
          <cell r="P132">
            <v>0</v>
          </cell>
          <cell r="Q132" t="str">
            <v>ens</v>
          </cell>
          <cell r="S132">
            <v>300241.79994493368</v>
          </cell>
          <cell r="T132">
            <v>1</v>
          </cell>
          <cell r="U132">
            <v>0</v>
          </cell>
          <cell r="V132">
            <v>0</v>
          </cell>
          <cell r="W132">
            <v>0</v>
          </cell>
          <cell r="X132">
            <v>0</v>
          </cell>
          <cell r="Y132">
            <v>0</v>
          </cell>
          <cell r="Z132">
            <v>0</v>
          </cell>
          <cell r="AA132">
            <v>0</v>
          </cell>
          <cell r="AB132">
            <v>0</v>
          </cell>
          <cell r="AC132">
            <v>0</v>
          </cell>
          <cell r="AD132">
            <v>0</v>
          </cell>
          <cell r="AE132">
            <v>0</v>
          </cell>
          <cell r="AF132">
            <v>0</v>
          </cell>
          <cell r="AH132">
            <v>0</v>
          </cell>
        </row>
        <row r="133">
          <cell r="B133" t="str">
            <v>ST/EPU</v>
          </cell>
          <cell r="C133" t="str">
            <v>B1A</v>
          </cell>
          <cell r="D133" t="str">
            <v>B1AB</v>
          </cell>
          <cell r="E133" t="str">
            <v>EP/MAND</v>
          </cell>
          <cell r="G133">
            <v>15</v>
          </cell>
          <cell r="H133" t="str">
            <v>PTDE Subventions pour 75% des écoles en 2007</v>
          </cell>
          <cell r="I133" t="str">
            <v>DNEE</v>
          </cell>
          <cell r="K133" t="str">
            <v>IDA</v>
          </cell>
          <cell r="L133" t="str">
            <v>AUT</v>
          </cell>
          <cell r="P133">
            <v>0</v>
          </cell>
          <cell r="Q133" t="str">
            <v>ens</v>
          </cell>
          <cell r="S133">
            <v>97115.84241613523</v>
          </cell>
          <cell r="T133">
            <v>1</v>
          </cell>
          <cell r="U133">
            <v>0</v>
          </cell>
          <cell r="V133">
            <v>0</v>
          </cell>
          <cell r="W133">
            <v>0</v>
          </cell>
          <cell r="X133">
            <v>0</v>
          </cell>
          <cell r="Y133">
            <v>0</v>
          </cell>
          <cell r="Z133">
            <v>0</v>
          </cell>
          <cell r="AA133">
            <v>0</v>
          </cell>
          <cell r="AB133">
            <v>0</v>
          </cell>
          <cell r="AC133">
            <v>0</v>
          </cell>
          <cell r="AD133">
            <v>0</v>
          </cell>
          <cell r="AE133">
            <v>0</v>
          </cell>
          <cell r="AF133">
            <v>0</v>
          </cell>
          <cell r="AH133">
            <v>0</v>
          </cell>
        </row>
        <row r="134">
          <cell r="B134" t="str">
            <v>ST/EPU</v>
          </cell>
          <cell r="C134" t="str">
            <v>B1A</v>
          </cell>
          <cell r="D134" t="str">
            <v>B1AB</v>
          </cell>
          <cell r="E134" t="str">
            <v>EP/MATA</v>
          </cell>
          <cell r="G134">
            <v>15</v>
          </cell>
          <cell r="H134" t="str">
            <v>PTDE Subventions pour 75% des écoles en 2007</v>
          </cell>
          <cell r="I134" t="str">
            <v>DNEE</v>
          </cell>
          <cell r="K134" t="str">
            <v>IDA</v>
          </cell>
          <cell r="L134" t="str">
            <v>AUT</v>
          </cell>
          <cell r="P134">
            <v>0</v>
          </cell>
          <cell r="Q134" t="str">
            <v>ens</v>
          </cell>
          <cell r="S134">
            <v>170652.02822403275</v>
          </cell>
          <cell r="T134">
            <v>1</v>
          </cell>
          <cell r="U134">
            <v>0</v>
          </cell>
          <cell r="V134">
            <v>0</v>
          </cell>
          <cell r="W134">
            <v>0</v>
          </cell>
          <cell r="X134">
            <v>0</v>
          </cell>
          <cell r="Y134">
            <v>0</v>
          </cell>
          <cell r="Z134">
            <v>0</v>
          </cell>
          <cell r="AA134">
            <v>0</v>
          </cell>
          <cell r="AB134">
            <v>0</v>
          </cell>
          <cell r="AC134">
            <v>0</v>
          </cell>
          <cell r="AD134">
            <v>0</v>
          </cell>
          <cell r="AE134">
            <v>0</v>
          </cell>
          <cell r="AF134">
            <v>0</v>
          </cell>
          <cell r="AH134">
            <v>0</v>
          </cell>
        </row>
        <row r="135">
          <cell r="B135" t="str">
            <v>ST/EPU</v>
          </cell>
          <cell r="C135" t="str">
            <v>B1A</v>
          </cell>
          <cell r="D135" t="str">
            <v>B1AB</v>
          </cell>
          <cell r="E135" t="str">
            <v>EP/MATO</v>
          </cell>
          <cell r="G135">
            <v>15</v>
          </cell>
          <cell r="H135" t="str">
            <v>PTDE Subventions pour 75% des écoles en 2007</v>
          </cell>
          <cell r="I135" t="str">
            <v>DNEE</v>
          </cell>
          <cell r="K135" t="str">
            <v>IDA</v>
          </cell>
          <cell r="L135" t="str">
            <v>AUT</v>
          </cell>
          <cell r="P135">
            <v>0</v>
          </cell>
          <cell r="Q135" t="str">
            <v>ens</v>
          </cell>
          <cell r="S135">
            <v>348515.62890470924</v>
          </cell>
          <cell r="T135">
            <v>1</v>
          </cell>
          <cell r="U135">
            <v>0</v>
          </cell>
          <cell r="V135">
            <v>0</v>
          </cell>
          <cell r="W135">
            <v>0</v>
          </cell>
          <cell r="X135">
            <v>0</v>
          </cell>
          <cell r="Y135">
            <v>0</v>
          </cell>
          <cell r="Z135">
            <v>0</v>
          </cell>
          <cell r="AA135">
            <v>0</v>
          </cell>
          <cell r="AB135">
            <v>0</v>
          </cell>
          <cell r="AC135">
            <v>0</v>
          </cell>
          <cell r="AD135">
            <v>0</v>
          </cell>
          <cell r="AE135">
            <v>0</v>
          </cell>
          <cell r="AF135">
            <v>0</v>
          </cell>
          <cell r="AH135">
            <v>0</v>
          </cell>
        </row>
        <row r="136">
          <cell r="B136" t="str">
            <v>ST/EPU</v>
          </cell>
          <cell r="C136" t="str">
            <v>B1A</v>
          </cell>
          <cell r="D136" t="str">
            <v>B1AB</v>
          </cell>
          <cell r="E136" t="str">
            <v>EP/NZER</v>
          </cell>
          <cell r="G136">
            <v>15</v>
          </cell>
          <cell r="H136" t="str">
            <v>PTDE Subventions pour 75% des écoles en 2007</v>
          </cell>
          <cell r="I136" t="str">
            <v>DNEE</v>
          </cell>
          <cell r="K136" t="str">
            <v>IDA</v>
          </cell>
          <cell r="L136" t="str">
            <v>AUT</v>
          </cell>
          <cell r="P136">
            <v>0</v>
          </cell>
          <cell r="Q136" t="str">
            <v>ens</v>
          </cell>
          <cell r="S136">
            <v>399419.13226534188</v>
          </cell>
          <cell r="T136">
            <v>1</v>
          </cell>
          <cell r="U136">
            <v>0</v>
          </cell>
          <cell r="V136">
            <v>0</v>
          </cell>
          <cell r="W136">
            <v>0</v>
          </cell>
          <cell r="X136">
            <v>0</v>
          </cell>
          <cell r="Y136">
            <v>0</v>
          </cell>
          <cell r="Z136">
            <v>0</v>
          </cell>
          <cell r="AA136">
            <v>0</v>
          </cell>
          <cell r="AB136">
            <v>0</v>
          </cell>
          <cell r="AC136">
            <v>0</v>
          </cell>
          <cell r="AD136">
            <v>0</v>
          </cell>
          <cell r="AE136">
            <v>0</v>
          </cell>
          <cell r="AF136">
            <v>0</v>
          </cell>
          <cell r="AH136">
            <v>0</v>
          </cell>
        </row>
        <row r="137">
          <cell r="B137" t="str">
            <v>ST/EPU</v>
          </cell>
          <cell r="C137" t="str">
            <v>B1A</v>
          </cell>
          <cell r="D137" t="str">
            <v>B1AB</v>
          </cell>
          <cell r="E137" t="str">
            <v>EP/PITA</v>
          </cell>
          <cell r="G137">
            <v>15</v>
          </cell>
          <cell r="H137" t="str">
            <v>PTDE Subventions pour 75% des écoles en 2007</v>
          </cell>
          <cell r="I137" t="str">
            <v>DNEE</v>
          </cell>
          <cell r="K137" t="str">
            <v>IDA</v>
          </cell>
          <cell r="L137" t="str">
            <v>AUT</v>
          </cell>
          <cell r="P137">
            <v>0</v>
          </cell>
          <cell r="Q137" t="str">
            <v>ens</v>
          </cell>
          <cell r="S137">
            <v>195710.42140671436</v>
          </cell>
          <cell r="T137">
            <v>1</v>
          </cell>
          <cell r="U137">
            <v>0</v>
          </cell>
          <cell r="V137">
            <v>0</v>
          </cell>
          <cell r="W137">
            <v>0</v>
          </cell>
          <cell r="X137">
            <v>0</v>
          </cell>
          <cell r="Y137">
            <v>0</v>
          </cell>
          <cell r="Z137">
            <v>0</v>
          </cell>
          <cell r="AA137">
            <v>0</v>
          </cell>
          <cell r="AB137">
            <v>0</v>
          </cell>
          <cell r="AC137">
            <v>0</v>
          </cell>
          <cell r="AD137">
            <v>0</v>
          </cell>
          <cell r="AE137">
            <v>0</v>
          </cell>
          <cell r="AF137">
            <v>0</v>
          </cell>
          <cell r="AH137">
            <v>0</v>
          </cell>
        </row>
        <row r="138">
          <cell r="B138" t="str">
            <v>ST/EPU</v>
          </cell>
          <cell r="C138" t="str">
            <v>B1A</v>
          </cell>
          <cell r="D138" t="str">
            <v>B1AB</v>
          </cell>
          <cell r="E138" t="str">
            <v>EP/RATO</v>
          </cell>
          <cell r="G138">
            <v>15</v>
          </cell>
          <cell r="H138" t="str">
            <v>PTDE Subventions pour 75% des écoles en 2007</v>
          </cell>
          <cell r="I138" t="str">
            <v>DNEE</v>
          </cell>
          <cell r="K138" t="str">
            <v>IDA</v>
          </cell>
          <cell r="L138" t="str">
            <v>AUT</v>
          </cell>
          <cell r="P138">
            <v>0</v>
          </cell>
          <cell r="Q138" t="str">
            <v>ens</v>
          </cell>
          <cell r="S138">
            <v>201880.32228628689</v>
          </cell>
          <cell r="T138">
            <v>1</v>
          </cell>
          <cell r="U138">
            <v>0</v>
          </cell>
          <cell r="V138">
            <v>0</v>
          </cell>
          <cell r="W138">
            <v>0</v>
          </cell>
          <cell r="X138">
            <v>0</v>
          </cell>
          <cell r="Y138">
            <v>0</v>
          </cell>
          <cell r="Z138">
            <v>0</v>
          </cell>
          <cell r="AA138">
            <v>0</v>
          </cell>
          <cell r="AB138">
            <v>0</v>
          </cell>
          <cell r="AC138">
            <v>0</v>
          </cell>
          <cell r="AD138">
            <v>0</v>
          </cell>
          <cell r="AE138">
            <v>0</v>
          </cell>
          <cell r="AF138">
            <v>0</v>
          </cell>
          <cell r="AH138">
            <v>0</v>
          </cell>
        </row>
        <row r="139">
          <cell r="B139" t="str">
            <v>ST/EPU</v>
          </cell>
          <cell r="C139" t="str">
            <v>B1A</v>
          </cell>
          <cell r="D139" t="str">
            <v>B1AB</v>
          </cell>
          <cell r="E139" t="str">
            <v>EP/SIGU</v>
          </cell>
          <cell r="G139">
            <v>15</v>
          </cell>
          <cell r="H139" t="str">
            <v>PTDE Subventions pour 75% des écoles en 2007</v>
          </cell>
          <cell r="I139" t="str">
            <v>DNEE</v>
          </cell>
          <cell r="K139" t="str">
            <v>IDA</v>
          </cell>
          <cell r="L139" t="str">
            <v>AUT</v>
          </cell>
          <cell r="P139">
            <v>0</v>
          </cell>
          <cell r="Q139" t="str">
            <v>ens</v>
          </cell>
          <cell r="S139">
            <v>227521.46879879825</v>
          </cell>
          <cell r="T139">
            <v>1</v>
          </cell>
          <cell r="U139">
            <v>0</v>
          </cell>
          <cell r="V139">
            <v>0</v>
          </cell>
          <cell r="W139">
            <v>0</v>
          </cell>
          <cell r="X139">
            <v>0</v>
          </cell>
          <cell r="Y139">
            <v>0</v>
          </cell>
          <cell r="Z139">
            <v>0</v>
          </cell>
          <cell r="AA139">
            <v>0</v>
          </cell>
          <cell r="AB139">
            <v>0</v>
          </cell>
          <cell r="AC139">
            <v>0</v>
          </cell>
          <cell r="AD139">
            <v>0</v>
          </cell>
          <cell r="AE139">
            <v>0</v>
          </cell>
          <cell r="AF139">
            <v>0</v>
          </cell>
          <cell r="AH139">
            <v>0</v>
          </cell>
        </row>
        <row r="140">
          <cell r="B140" t="str">
            <v>ST/EPU</v>
          </cell>
          <cell r="C140" t="str">
            <v>B1A</v>
          </cell>
          <cell r="D140" t="str">
            <v>B1AB</v>
          </cell>
          <cell r="E140" t="str">
            <v>EP/TELE</v>
          </cell>
          <cell r="G140">
            <v>15</v>
          </cell>
          <cell r="H140" t="str">
            <v>PTDE Subventions pour 75% des écoles en 2007</v>
          </cell>
          <cell r="I140" t="str">
            <v>DNEE</v>
          </cell>
          <cell r="K140" t="str">
            <v>IDA</v>
          </cell>
          <cell r="L140" t="str">
            <v>AUT</v>
          </cell>
          <cell r="P140">
            <v>0</v>
          </cell>
          <cell r="Q140" t="str">
            <v>ens</v>
          </cell>
          <cell r="S140">
            <v>146992.24303294296</v>
          </cell>
          <cell r="T140">
            <v>1</v>
          </cell>
          <cell r="U140">
            <v>0</v>
          </cell>
          <cell r="V140">
            <v>0</v>
          </cell>
          <cell r="W140">
            <v>0</v>
          </cell>
          <cell r="X140">
            <v>0</v>
          </cell>
          <cell r="Y140">
            <v>0</v>
          </cell>
          <cell r="Z140">
            <v>0</v>
          </cell>
          <cell r="AA140">
            <v>0</v>
          </cell>
          <cell r="AB140">
            <v>0</v>
          </cell>
          <cell r="AC140">
            <v>0</v>
          </cell>
          <cell r="AD140">
            <v>0</v>
          </cell>
          <cell r="AE140">
            <v>0</v>
          </cell>
          <cell r="AF140">
            <v>0</v>
          </cell>
          <cell r="AH140">
            <v>0</v>
          </cell>
        </row>
        <row r="141">
          <cell r="B141" t="str">
            <v>ST/EPU</v>
          </cell>
          <cell r="C141" t="str">
            <v>B1A</v>
          </cell>
          <cell r="D141" t="str">
            <v>B1AB</v>
          </cell>
          <cell r="E141" t="str">
            <v>EP/TOUG</v>
          </cell>
          <cell r="G141">
            <v>15</v>
          </cell>
          <cell r="H141" t="str">
            <v>PTDE Subventions pour 75% des écoles en 2007</v>
          </cell>
          <cell r="I141" t="str">
            <v>DNEE</v>
          </cell>
          <cell r="K141" t="str">
            <v>IDA</v>
          </cell>
          <cell r="L141" t="str">
            <v>AUT</v>
          </cell>
          <cell r="P141">
            <v>0</v>
          </cell>
          <cell r="Q141" t="str">
            <v>ens</v>
          </cell>
          <cell r="S141">
            <v>128067.32864672082</v>
          </cell>
          <cell r="T141">
            <v>1</v>
          </cell>
          <cell r="U141">
            <v>0</v>
          </cell>
          <cell r="V141">
            <v>0</v>
          </cell>
          <cell r="W141">
            <v>0</v>
          </cell>
          <cell r="X141">
            <v>0</v>
          </cell>
          <cell r="Y141">
            <v>0</v>
          </cell>
          <cell r="Z141">
            <v>0</v>
          </cell>
          <cell r="AA141">
            <v>0</v>
          </cell>
          <cell r="AB141">
            <v>0</v>
          </cell>
          <cell r="AC141">
            <v>0</v>
          </cell>
          <cell r="AD141">
            <v>0</v>
          </cell>
          <cell r="AE141">
            <v>0</v>
          </cell>
          <cell r="AF141">
            <v>0</v>
          </cell>
          <cell r="AH141">
            <v>0</v>
          </cell>
        </row>
        <row r="142">
          <cell r="B142" t="str">
            <v>ST/EPU</v>
          </cell>
          <cell r="C142" t="str">
            <v>B1A</v>
          </cell>
          <cell r="D142" t="str">
            <v>B1AB</v>
          </cell>
          <cell r="E142" t="str">
            <v>EP/YOMO</v>
          </cell>
          <cell r="G142">
            <v>15</v>
          </cell>
          <cell r="H142" t="str">
            <v>PTDE Subventions pour 75% des écoles en 2007</v>
          </cell>
          <cell r="I142" t="str">
            <v>DNEE</v>
          </cell>
          <cell r="K142" t="str">
            <v>IDA</v>
          </cell>
          <cell r="L142" t="str">
            <v>AUT</v>
          </cell>
          <cell r="P142">
            <v>0</v>
          </cell>
          <cell r="Q142" t="str">
            <v>ens</v>
          </cell>
          <cell r="S142">
            <v>154342.21940542135</v>
          </cell>
          <cell r="T142">
            <v>1</v>
          </cell>
          <cell r="U142">
            <v>0</v>
          </cell>
          <cell r="V142">
            <v>0</v>
          </cell>
          <cell r="W142">
            <v>0</v>
          </cell>
          <cell r="X142">
            <v>0</v>
          </cell>
          <cell r="Y142">
            <v>0</v>
          </cell>
          <cell r="Z142">
            <v>0</v>
          </cell>
          <cell r="AA142">
            <v>0</v>
          </cell>
          <cell r="AB142">
            <v>0</v>
          </cell>
          <cell r="AC142">
            <v>0</v>
          </cell>
          <cell r="AD142">
            <v>0</v>
          </cell>
          <cell r="AE142">
            <v>0</v>
          </cell>
          <cell r="AF142">
            <v>0</v>
          </cell>
          <cell r="AH142">
            <v>0</v>
          </cell>
        </row>
        <row r="143">
          <cell r="B143" t="str">
            <v>ST/EPU</v>
          </cell>
          <cell r="C143" t="str">
            <v>C1E</v>
          </cell>
          <cell r="D143" t="str">
            <v>C1EC</v>
          </cell>
          <cell r="E143" t="str">
            <v>DSEE/BOKE</v>
          </cell>
          <cell r="G143">
            <v>15</v>
          </cell>
          <cell r="H143" t="str">
            <v>FONCT Subvention d'encadrement, gestion de la FCM et  suivi des PTDE</v>
          </cell>
          <cell r="I143" t="str">
            <v>DSEE</v>
          </cell>
          <cell r="K143" t="str">
            <v>IDA</v>
          </cell>
          <cell r="L143" t="str">
            <v>AUT</v>
          </cell>
          <cell r="P143">
            <v>0</v>
          </cell>
          <cell r="Q143" t="str">
            <v>Sfonct</v>
          </cell>
          <cell r="S143">
            <v>2462</v>
          </cell>
          <cell r="T143">
            <v>1</v>
          </cell>
          <cell r="U143">
            <v>0</v>
          </cell>
          <cell r="V143">
            <v>0</v>
          </cell>
          <cell r="W143">
            <v>0</v>
          </cell>
          <cell r="X143">
            <v>0</v>
          </cell>
          <cell r="Y143">
            <v>0</v>
          </cell>
          <cell r="Z143">
            <v>0</v>
          </cell>
          <cell r="AA143">
            <v>0</v>
          </cell>
          <cell r="AB143">
            <v>0</v>
          </cell>
          <cell r="AC143">
            <v>0</v>
          </cell>
          <cell r="AD143">
            <v>0</v>
          </cell>
          <cell r="AE143">
            <v>0</v>
          </cell>
          <cell r="AF143">
            <v>0</v>
          </cell>
          <cell r="AH143">
            <v>0</v>
          </cell>
        </row>
        <row r="144">
          <cell r="B144" t="str">
            <v>ST/EPU</v>
          </cell>
          <cell r="C144" t="str">
            <v>C1E</v>
          </cell>
          <cell r="D144" t="str">
            <v>C1EC</v>
          </cell>
          <cell r="E144" t="str">
            <v>DSEE/BOFF</v>
          </cell>
          <cell r="G144">
            <v>15</v>
          </cell>
          <cell r="H144" t="str">
            <v>FONCT Subvention d'encadrement, gestion de la FCM et  suivi des PTDE</v>
          </cell>
          <cell r="I144" t="str">
            <v>DSEE</v>
          </cell>
          <cell r="K144" t="str">
            <v>IDA</v>
          </cell>
          <cell r="L144" t="str">
            <v>AUT</v>
          </cell>
          <cell r="P144">
            <v>0</v>
          </cell>
          <cell r="Q144" t="str">
            <v>Sfonct</v>
          </cell>
          <cell r="S144">
            <v>2462</v>
          </cell>
          <cell r="T144">
            <v>1</v>
          </cell>
          <cell r="U144">
            <v>0</v>
          </cell>
          <cell r="V144">
            <v>0</v>
          </cell>
          <cell r="W144">
            <v>0</v>
          </cell>
          <cell r="X144">
            <v>0</v>
          </cell>
          <cell r="Y144">
            <v>0</v>
          </cell>
          <cell r="Z144">
            <v>0</v>
          </cell>
          <cell r="AA144">
            <v>0</v>
          </cell>
          <cell r="AB144">
            <v>0</v>
          </cell>
          <cell r="AC144">
            <v>0</v>
          </cell>
          <cell r="AD144">
            <v>0</v>
          </cell>
          <cell r="AE144">
            <v>0</v>
          </cell>
          <cell r="AF144">
            <v>0</v>
          </cell>
          <cell r="AH144">
            <v>0</v>
          </cell>
        </row>
        <row r="145">
          <cell r="B145" t="str">
            <v>ST/EPU</v>
          </cell>
          <cell r="C145" t="str">
            <v>C1E</v>
          </cell>
          <cell r="D145" t="str">
            <v>C1EC</v>
          </cell>
          <cell r="E145" t="str">
            <v>DSEE/FRIA</v>
          </cell>
          <cell r="G145">
            <v>15</v>
          </cell>
          <cell r="H145" t="str">
            <v>FONCT Subvention d'encadrement, gestion de la FCM et  suivi des PTDE</v>
          </cell>
          <cell r="I145" t="str">
            <v>DSEE</v>
          </cell>
          <cell r="K145" t="str">
            <v>IDA</v>
          </cell>
          <cell r="L145" t="str">
            <v>AUT</v>
          </cell>
          <cell r="P145">
            <v>0</v>
          </cell>
          <cell r="Q145" t="str">
            <v>Sfonct</v>
          </cell>
          <cell r="S145">
            <v>2462</v>
          </cell>
          <cell r="T145">
            <v>1</v>
          </cell>
          <cell r="U145">
            <v>0</v>
          </cell>
          <cell r="V145">
            <v>0</v>
          </cell>
          <cell r="W145">
            <v>0</v>
          </cell>
          <cell r="X145">
            <v>0</v>
          </cell>
          <cell r="Y145">
            <v>0</v>
          </cell>
          <cell r="Z145">
            <v>0</v>
          </cell>
          <cell r="AA145">
            <v>0</v>
          </cell>
          <cell r="AB145">
            <v>0</v>
          </cell>
          <cell r="AC145">
            <v>0</v>
          </cell>
          <cell r="AD145">
            <v>0</v>
          </cell>
          <cell r="AE145">
            <v>0</v>
          </cell>
          <cell r="AF145">
            <v>0</v>
          </cell>
          <cell r="AH145">
            <v>0</v>
          </cell>
        </row>
        <row r="146">
          <cell r="B146" t="str">
            <v>ST/EPU</v>
          </cell>
          <cell r="C146" t="str">
            <v>C1E</v>
          </cell>
          <cell r="D146" t="str">
            <v>C1EC</v>
          </cell>
          <cell r="E146" t="str">
            <v>DSEE/GAOU</v>
          </cell>
          <cell r="G146">
            <v>15</v>
          </cell>
          <cell r="H146" t="str">
            <v>FONCT Subvention d'encadrement, gestion de la FCM et  suivi des PTDE</v>
          </cell>
          <cell r="I146" t="str">
            <v>DSEE</v>
          </cell>
          <cell r="K146" t="str">
            <v>IDA</v>
          </cell>
          <cell r="L146" t="str">
            <v>AUT</v>
          </cell>
          <cell r="P146">
            <v>0</v>
          </cell>
          <cell r="Q146" t="str">
            <v>Sfonct</v>
          </cell>
          <cell r="S146">
            <v>2462</v>
          </cell>
          <cell r="T146">
            <v>1</v>
          </cell>
          <cell r="U146">
            <v>0</v>
          </cell>
          <cell r="V146">
            <v>0</v>
          </cell>
          <cell r="W146">
            <v>0</v>
          </cell>
          <cell r="X146">
            <v>0</v>
          </cell>
          <cell r="Y146">
            <v>0</v>
          </cell>
          <cell r="Z146">
            <v>0</v>
          </cell>
          <cell r="AA146">
            <v>0</v>
          </cell>
          <cell r="AB146">
            <v>0</v>
          </cell>
          <cell r="AC146">
            <v>0</v>
          </cell>
          <cell r="AD146">
            <v>0</v>
          </cell>
          <cell r="AE146">
            <v>0</v>
          </cell>
          <cell r="AF146">
            <v>0</v>
          </cell>
          <cell r="AH146">
            <v>0</v>
          </cell>
        </row>
        <row r="147">
          <cell r="B147" t="str">
            <v>ST/EPU</v>
          </cell>
          <cell r="C147" t="str">
            <v>C1E</v>
          </cell>
          <cell r="D147" t="str">
            <v>C1EC</v>
          </cell>
          <cell r="E147" t="str">
            <v>DSEE/KOUN</v>
          </cell>
          <cell r="G147">
            <v>15</v>
          </cell>
          <cell r="H147" t="str">
            <v>FONCT Subvention d'encadrement, gestion de la FCM et  suivi des PTDE</v>
          </cell>
          <cell r="I147" t="str">
            <v>DSEE</v>
          </cell>
          <cell r="K147" t="str">
            <v>IDA</v>
          </cell>
          <cell r="L147" t="str">
            <v>AUT</v>
          </cell>
          <cell r="P147">
            <v>0</v>
          </cell>
          <cell r="Q147" t="str">
            <v>Sfonct</v>
          </cell>
          <cell r="S147">
            <v>2462</v>
          </cell>
          <cell r="T147">
            <v>1</v>
          </cell>
          <cell r="U147">
            <v>0</v>
          </cell>
          <cell r="V147">
            <v>0</v>
          </cell>
          <cell r="W147">
            <v>0</v>
          </cell>
          <cell r="X147">
            <v>0</v>
          </cell>
          <cell r="Y147">
            <v>0</v>
          </cell>
          <cell r="Z147">
            <v>0</v>
          </cell>
          <cell r="AA147">
            <v>0</v>
          </cell>
          <cell r="AB147">
            <v>0</v>
          </cell>
          <cell r="AC147">
            <v>0</v>
          </cell>
          <cell r="AD147">
            <v>0</v>
          </cell>
          <cell r="AE147">
            <v>0</v>
          </cell>
          <cell r="AF147">
            <v>0</v>
          </cell>
          <cell r="AH147">
            <v>0</v>
          </cell>
        </row>
        <row r="148">
          <cell r="B148" t="str">
            <v>ST/EPU</v>
          </cell>
          <cell r="C148" t="str">
            <v>C1E</v>
          </cell>
          <cell r="D148" t="str">
            <v>C1EC</v>
          </cell>
          <cell r="E148" t="str">
            <v>DSEE/DIXI</v>
          </cell>
          <cell r="G148">
            <v>15</v>
          </cell>
          <cell r="H148" t="str">
            <v>FONCT Subvention d'encadrement, gestion de la FCM et  suivi des PTDE</v>
          </cell>
          <cell r="I148" t="str">
            <v>DSEE</v>
          </cell>
          <cell r="K148" t="str">
            <v>IDA</v>
          </cell>
          <cell r="L148" t="str">
            <v>AUT</v>
          </cell>
          <cell r="P148">
            <v>0</v>
          </cell>
          <cell r="Q148" t="str">
            <v>Sfonct</v>
          </cell>
          <cell r="S148">
            <v>2462</v>
          </cell>
          <cell r="T148">
            <v>1</v>
          </cell>
          <cell r="U148">
            <v>0</v>
          </cell>
          <cell r="V148">
            <v>0</v>
          </cell>
          <cell r="W148">
            <v>0</v>
          </cell>
          <cell r="X148">
            <v>0</v>
          </cell>
          <cell r="Y148">
            <v>0</v>
          </cell>
          <cell r="Z148">
            <v>0</v>
          </cell>
          <cell r="AA148">
            <v>0</v>
          </cell>
          <cell r="AB148">
            <v>0</v>
          </cell>
          <cell r="AC148">
            <v>0</v>
          </cell>
          <cell r="AD148">
            <v>0</v>
          </cell>
          <cell r="AE148">
            <v>0</v>
          </cell>
          <cell r="AF148">
            <v>0</v>
          </cell>
          <cell r="AH148">
            <v>0</v>
          </cell>
        </row>
        <row r="149">
          <cell r="B149" t="str">
            <v>ST/EPU</v>
          </cell>
          <cell r="C149" t="str">
            <v>C1E</v>
          </cell>
          <cell r="D149" t="str">
            <v>C1EC</v>
          </cell>
          <cell r="E149" t="str">
            <v>DSEE/KALO</v>
          </cell>
          <cell r="G149">
            <v>15</v>
          </cell>
          <cell r="H149" t="str">
            <v>FONCT Subvention d'encadrement, gestion de la FCM et  suivi des PTDE</v>
          </cell>
          <cell r="I149" t="str">
            <v>DSEE</v>
          </cell>
          <cell r="K149" t="str">
            <v>IDA</v>
          </cell>
          <cell r="L149" t="str">
            <v>AUT</v>
          </cell>
          <cell r="P149">
            <v>0</v>
          </cell>
          <cell r="Q149" t="str">
            <v>Sfonct</v>
          </cell>
          <cell r="S149">
            <v>2462</v>
          </cell>
          <cell r="T149">
            <v>1</v>
          </cell>
          <cell r="U149">
            <v>0</v>
          </cell>
          <cell r="V149">
            <v>0</v>
          </cell>
          <cell r="W149">
            <v>0</v>
          </cell>
          <cell r="X149">
            <v>0</v>
          </cell>
          <cell r="Y149">
            <v>0</v>
          </cell>
          <cell r="Z149">
            <v>0</v>
          </cell>
          <cell r="AA149">
            <v>0</v>
          </cell>
          <cell r="AB149">
            <v>0</v>
          </cell>
          <cell r="AC149">
            <v>0</v>
          </cell>
          <cell r="AD149">
            <v>0</v>
          </cell>
          <cell r="AE149">
            <v>0</v>
          </cell>
          <cell r="AF149">
            <v>0</v>
          </cell>
          <cell r="AH149">
            <v>0</v>
          </cell>
        </row>
        <row r="150">
          <cell r="B150" t="str">
            <v>ST/EPU</v>
          </cell>
          <cell r="C150" t="str">
            <v>C1E</v>
          </cell>
          <cell r="D150" t="str">
            <v>C1EC</v>
          </cell>
          <cell r="E150" t="str">
            <v>DSEE/MATA</v>
          </cell>
          <cell r="G150">
            <v>15</v>
          </cell>
          <cell r="H150" t="str">
            <v>FONCT Subvention d'encadrement, gestion de la FCM et  suivi des PTDE</v>
          </cell>
          <cell r="I150" t="str">
            <v>DSEE</v>
          </cell>
          <cell r="K150" t="str">
            <v>IDA</v>
          </cell>
          <cell r="L150" t="str">
            <v>AUT</v>
          </cell>
          <cell r="P150">
            <v>0</v>
          </cell>
          <cell r="Q150" t="str">
            <v>Sfonct</v>
          </cell>
          <cell r="S150">
            <v>2462</v>
          </cell>
          <cell r="T150">
            <v>1</v>
          </cell>
          <cell r="U150">
            <v>0</v>
          </cell>
          <cell r="V150">
            <v>0</v>
          </cell>
          <cell r="W150">
            <v>0</v>
          </cell>
          <cell r="X150">
            <v>0</v>
          </cell>
          <cell r="Y150">
            <v>0</v>
          </cell>
          <cell r="Z150">
            <v>0</v>
          </cell>
          <cell r="AA150">
            <v>0</v>
          </cell>
          <cell r="AB150">
            <v>0</v>
          </cell>
          <cell r="AC150">
            <v>0</v>
          </cell>
          <cell r="AD150">
            <v>0</v>
          </cell>
          <cell r="AE150">
            <v>0</v>
          </cell>
          <cell r="AF150">
            <v>0</v>
          </cell>
          <cell r="AH150">
            <v>0</v>
          </cell>
        </row>
        <row r="151">
          <cell r="B151" t="str">
            <v>ST/EPU</v>
          </cell>
          <cell r="C151" t="str">
            <v>C1E</v>
          </cell>
          <cell r="D151" t="str">
            <v>C1EC</v>
          </cell>
          <cell r="E151" t="str">
            <v>DSEE/MATO</v>
          </cell>
          <cell r="G151">
            <v>15</v>
          </cell>
          <cell r="H151" t="str">
            <v>FONCT Subvention d'encadrement, gestion de la FCM et  suivi des PTDE</v>
          </cell>
          <cell r="I151" t="str">
            <v>DSEE</v>
          </cell>
          <cell r="K151" t="str">
            <v>IDA</v>
          </cell>
          <cell r="L151" t="str">
            <v>AUT</v>
          </cell>
          <cell r="P151">
            <v>0</v>
          </cell>
          <cell r="Q151" t="str">
            <v>Sfonct</v>
          </cell>
          <cell r="S151">
            <v>2462</v>
          </cell>
          <cell r="T151">
            <v>1</v>
          </cell>
          <cell r="U151">
            <v>0</v>
          </cell>
          <cell r="V151">
            <v>0</v>
          </cell>
          <cell r="W151">
            <v>0</v>
          </cell>
          <cell r="X151">
            <v>0</v>
          </cell>
          <cell r="Y151">
            <v>0</v>
          </cell>
          <cell r="Z151">
            <v>0</v>
          </cell>
          <cell r="AA151">
            <v>0</v>
          </cell>
          <cell r="AB151">
            <v>0</v>
          </cell>
          <cell r="AC151">
            <v>0</v>
          </cell>
          <cell r="AD151">
            <v>0</v>
          </cell>
          <cell r="AE151">
            <v>0</v>
          </cell>
          <cell r="AF151">
            <v>0</v>
          </cell>
          <cell r="AH151">
            <v>0</v>
          </cell>
        </row>
        <row r="152">
          <cell r="B152" t="str">
            <v>ST/EPU</v>
          </cell>
          <cell r="C152" t="str">
            <v>C1E</v>
          </cell>
          <cell r="D152" t="str">
            <v>C1EC</v>
          </cell>
          <cell r="E152" t="str">
            <v>DSEE/RATO</v>
          </cell>
          <cell r="G152">
            <v>15</v>
          </cell>
          <cell r="H152" t="str">
            <v>FONCT Subvention d'encadrement, gestion de la FCM et  suivi des PTDE</v>
          </cell>
          <cell r="I152" t="str">
            <v>DSEE</v>
          </cell>
          <cell r="K152" t="str">
            <v>IDA</v>
          </cell>
          <cell r="L152" t="str">
            <v>AUT</v>
          </cell>
          <cell r="P152">
            <v>0</v>
          </cell>
          <cell r="Q152" t="str">
            <v>Sfonct</v>
          </cell>
          <cell r="S152">
            <v>2462</v>
          </cell>
          <cell r="T152">
            <v>1</v>
          </cell>
          <cell r="U152">
            <v>0</v>
          </cell>
          <cell r="V152">
            <v>0</v>
          </cell>
          <cell r="W152">
            <v>0</v>
          </cell>
          <cell r="X152">
            <v>0</v>
          </cell>
          <cell r="Y152">
            <v>0</v>
          </cell>
          <cell r="Z152">
            <v>0</v>
          </cell>
          <cell r="AA152">
            <v>0</v>
          </cell>
          <cell r="AB152">
            <v>0</v>
          </cell>
          <cell r="AC152">
            <v>0</v>
          </cell>
          <cell r="AD152">
            <v>0</v>
          </cell>
          <cell r="AE152">
            <v>0</v>
          </cell>
          <cell r="AF152">
            <v>0</v>
          </cell>
          <cell r="AH152">
            <v>0</v>
          </cell>
        </row>
        <row r="153">
          <cell r="B153" t="str">
            <v>ST/EPU</v>
          </cell>
          <cell r="C153" t="str">
            <v>C1E</v>
          </cell>
          <cell r="D153" t="str">
            <v>C1EC</v>
          </cell>
          <cell r="E153" t="str">
            <v>DSEE/DABO</v>
          </cell>
          <cell r="G153">
            <v>15</v>
          </cell>
          <cell r="H153" t="str">
            <v>FONCT Subvention d'encadrement, gestion de la FCM et  suivi des PTDE</v>
          </cell>
          <cell r="I153" t="str">
            <v>DSEE</v>
          </cell>
          <cell r="K153" t="str">
            <v>IDA</v>
          </cell>
          <cell r="L153" t="str">
            <v>AUT</v>
          </cell>
          <cell r="P153">
            <v>0</v>
          </cell>
          <cell r="Q153" t="str">
            <v>Sfonct</v>
          </cell>
          <cell r="S153">
            <v>2462</v>
          </cell>
          <cell r="T153">
            <v>1</v>
          </cell>
          <cell r="U153">
            <v>0</v>
          </cell>
          <cell r="V153">
            <v>0</v>
          </cell>
          <cell r="W153">
            <v>0</v>
          </cell>
          <cell r="X153">
            <v>0</v>
          </cell>
          <cell r="Y153">
            <v>0</v>
          </cell>
          <cell r="Z153">
            <v>0</v>
          </cell>
          <cell r="AA153">
            <v>0</v>
          </cell>
          <cell r="AB153">
            <v>0</v>
          </cell>
          <cell r="AC153">
            <v>0</v>
          </cell>
          <cell r="AD153">
            <v>0</v>
          </cell>
          <cell r="AE153">
            <v>0</v>
          </cell>
          <cell r="AF153">
            <v>0</v>
          </cell>
          <cell r="AH153">
            <v>0</v>
          </cell>
        </row>
        <row r="154">
          <cell r="B154" t="str">
            <v>ST/EPU</v>
          </cell>
          <cell r="C154" t="str">
            <v>C1E</v>
          </cell>
          <cell r="D154" t="str">
            <v>C1EC</v>
          </cell>
          <cell r="E154" t="str">
            <v>DSEE/DING</v>
          </cell>
          <cell r="G154">
            <v>15</v>
          </cell>
          <cell r="H154" t="str">
            <v>FONCT Subvention d'encadrement, gestion de la FCM et  suivi des PTDE</v>
          </cell>
          <cell r="I154" t="str">
            <v>DSEE</v>
          </cell>
          <cell r="K154" t="str">
            <v>IDA</v>
          </cell>
          <cell r="L154" t="str">
            <v>AUT</v>
          </cell>
          <cell r="P154">
            <v>0</v>
          </cell>
          <cell r="Q154" t="str">
            <v>Sfonct</v>
          </cell>
          <cell r="S154">
            <v>2462</v>
          </cell>
          <cell r="T154">
            <v>1</v>
          </cell>
          <cell r="U154">
            <v>0</v>
          </cell>
          <cell r="V154">
            <v>0</v>
          </cell>
          <cell r="W154">
            <v>0</v>
          </cell>
          <cell r="X154">
            <v>0</v>
          </cell>
          <cell r="Y154">
            <v>0</v>
          </cell>
          <cell r="Z154">
            <v>0</v>
          </cell>
          <cell r="AA154">
            <v>0</v>
          </cell>
          <cell r="AB154">
            <v>0</v>
          </cell>
          <cell r="AC154">
            <v>0</v>
          </cell>
          <cell r="AD154">
            <v>0</v>
          </cell>
          <cell r="AE154">
            <v>0</v>
          </cell>
          <cell r="AF154">
            <v>0</v>
          </cell>
          <cell r="AH154">
            <v>0</v>
          </cell>
        </row>
        <row r="155">
          <cell r="B155" t="str">
            <v>ST/EPU</v>
          </cell>
          <cell r="C155" t="str">
            <v>C1E</v>
          </cell>
          <cell r="D155" t="str">
            <v>C1EC</v>
          </cell>
          <cell r="E155" t="str">
            <v>DSEE/FARA</v>
          </cell>
          <cell r="G155">
            <v>15</v>
          </cell>
          <cell r="H155" t="str">
            <v>FONCT Subvention d'encadrement, gestion de la FCM et  suivi des PTDE</v>
          </cell>
          <cell r="I155" t="str">
            <v>DSEE</v>
          </cell>
          <cell r="K155" t="str">
            <v>IDA</v>
          </cell>
          <cell r="L155" t="str">
            <v>AUT</v>
          </cell>
          <cell r="P155">
            <v>0</v>
          </cell>
          <cell r="Q155" t="str">
            <v>Sfonct</v>
          </cell>
          <cell r="S155">
            <v>2462</v>
          </cell>
          <cell r="T155">
            <v>1</v>
          </cell>
          <cell r="U155">
            <v>0</v>
          </cell>
          <cell r="V155">
            <v>0</v>
          </cell>
          <cell r="W155">
            <v>0</v>
          </cell>
          <cell r="X155">
            <v>0</v>
          </cell>
          <cell r="Y155">
            <v>0</v>
          </cell>
          <cell r="Z155">
            <v>0</v>
          </cell>
          <cell r="AA155">
            <v>0</v>
          </cell>
          <cell r="AB155">
            <v>0</v>
          </cell>
          <cell r="AC155">
            <v>0</v>
          </cell>
          <cell r="AD155">
            <v>0</v>
          </cell>
          <cell r="AE155">
            <v>0</v>
          </cell>
          <cell r="AF155">
            <v>0</v>
          </cell>
          <cell r="AH155">
            <v>0</v>
          </cell>
        </row>
        <row r="156">
          <cell r="B156" t="str">
            <v>ST/EPU</v>
          </cell>
          <cell r="C156" t="str">
            <v>C1E</v>
          </cell>
          <cell r="D156" t="str">
            <v>C1EC</v>
          </cell>
          <cell r="E156" t="str">
            <v>DSEE/KISS</v>
          </cell>
          <cell r="G156">
            <v>15</v>
          </cell>
          <cell r="H156" t="str">
            <v>FONCT Subvention d'encadrement, gestion de la FCM et  suivi des PTDE</v>
          </cell>
          <cell r="I156" t="str">
            <v>DSEE</v>
          </cell>
          <cell r="K156" t="str">
            <v>IDA</v>
          </cell>
          <cell r="L156" t="str">
            <v>AUT</v>
          </cell>
          <cell r="P156">
            <v>0</v>
          </cell>
          <cell r="Q156" t="str">
            <v>Sfonct</v>
          </cell>
          <cell r="S156">
            <v>2462</v>
          </cell>
          <cell r="T156">
            <v>1</v>
          </cell>
          <cell r="U156">
            <v>0</v>
          </cell>
          <cell r="V156">
            <v>0</v>
          </cell>
          <cell r="W156">
            <v>0</v>
          </cell>
          <cell r="X156">
            <v>0</v>
          </cell>
          <cell r="Y156">
            <v>0</v>
          </cell>
          <cell r="Z156">
            <v>0</v>
          </cell>
          <cell r="AA156">
            <v>0</v>
          </cell>
          <cell r="AB156">
            <v>0</v>
          </cell>
          <cell r="AC156">
            <v>0</v>
          </cell>
          <cell r="AD156">
            <v>0</v>
          </cell>
          <cell r="AE156">
            <v>0</v>
          </cell>
          <cell r="AF156">
            <v>0</v>
          </cell>
          <cell r="AH156">
            <v>0</v>
          </cell>
        </row>
        <row r="157">
          <cell r="B157" t="str">
            <v>ST/EPU</v>
          </cell>
          <cell r="C157" t="str">
            <v>C1E</v>
          </cell>
          <cell r="D157" t="str">
            <v>C1EC</v>
          </cell>
          <cell r="E157" t="str">
            <v>DSEE/KANK</v>
          </cell>
          <cell r="G157">
            <v>15</v>
          </cell>
          <cell r="H157" t="str">
            <v>FONCT Subvention d'encadrement, gestion de la FCM et  suivi des PTDE</v>
          </cell>
          <cell r="I157" t="str">
            <v>DSEE</v>
          </cell>
          <cell r="K157" t="str">
            <v>IDA</v>
          </cell>
          <cell r="L157" t="str">
            <v>AUT</v>
          </cell>
          <cell r="P157">
            <v>0</v>
          </cell>
          <cell r="Q157" t="str">
            <v>Sfonct</v>
          </cell>
          <cell r="S157">
            <v>2462</v>
          </cell>
          <cell r="T157">
            <v>1</v>
          </cell>
          <cell r="U157">
            <v>0</v>
          </cell>
          <cell r="V157">
            <v>0</v>
          </cell>
          <cell r="W157">
            <v>0</v>
          </cell>
          <cell r="X157">
            <v>0</v>
          </cell>
          <cell r="Y157">
            <v>0</v>
          </cell>
          <cell r="Z157">
            <v>0</v>
          </cell>
          <cell r="AA157">
            <v>0</v>
          </cell>
          <cell r="AB157">
            <v>0</v>
          </cell>
          <cell r="AC157">
            <v>0</v>
          </cell>
          <cell r="AD157">
            <v>0</v>
          </cell>
          <cell r="AE157">
            <v>0</v>
          </cell>
          <cell r="AF157">
            <v>0</v>
          </cell>
          <cell r="AH157">
            <v>0</v>
          </cell>
        </row>
        <row r="158">
          <cell r="B158" t="str">
            <v>ST/EPU</v>
          </cell>
          <cell r="C158" t="str">
            <v>C1E</v>
          </cell>
          <cell r="D158" t="str">
            <v>C1EC</v>
          </cell>
          <cell r="E158" t="str">
            <v>DSEE/KERO</v>
          </cell>
          <cell r="G158">
            <v>15</v>
          </cell>
          <cell r="H158" t="str">
            <v>FONCT Subvention d'encadrement, gestion de la FCM et  suivi des PTDE</v>
          </cell>
          <cell r="I158" t="str">
            <v>DSEE</v>
          </cell>
          <cell r="K158" t="str">
            <v>IDA</v>
          </cell>
          <cell r="L158" t="str">
            <v>AUT</v>
          </cell>
          <cell r="P158">
            <v>0</v>
          </cell>
          <cell r="Q158" t="str">
            <v>Sfonct</v>
          </cell>
          <cell r="S158">
            <v>2462</v>
          </cell>
          <cell r="T158">
            <v>1</v>
          </cell>
          <cell r="U158">
            <v>0</v>
          </cell>
          <cell r="V158">
            <v>0</v>
          </cell>
          <cell r="W158">
            <v>0</v>
          </cell>
          <cell r="X158">
            <v>0</v>
          </cell>
          <cell r="Y158">
            <v>0</v>
          </cell>
          <cell r="Z158">
            <v>0</v>
          </cell>
          <cell r="AA158">
            <v>0</v>
          </cell>
          <cell r="AB158">
            <v>0</v>
          </cell>
          <cell r="AC158">
            <v>0</v>
          </cell>
          <cell r="AD158">
            <v>0</v>
          </cell>
          <cell r="AE158">
            <v>0</v>
          </cell>
          <cell r="AF158">
            <v>0</v>
          </cell>
          <cell r="AH158">
            <v>0</v>
          </cell>
        </row>
        <row r="159">
          <cell r="B159" t="str">
            <v>ST/EPU</v>
          </cell>
          <cell r="C159" t="str">
            <v>C1E</v>
          </cell>
          <cell r="D159" t="str">
            <v>C1EC</v>
          </cell>
          <cell r="E159" t="str">
            <v>DSEE/KOUR</v>
          </cell>
          <cell r="G159">
            <v>15</v>
          </cell>
          <cell r="H159" t="str">
            <v>FONCT Subvention d'encadrement, gestion de la FCM et  suivi des PTDE</v>
          </cell>
          <cell r="I159" t="str">
            <v>DSEE</v>
          </cell>
          <cell r="K159" t="str">
            <v>IDA</v>
          </cell>
          <cell r="L159" t="str">
            <v>AUT</v>
          </cell>
          <cell r="P159">
            <v>0</v>
          </cell>
          <cell r="Q159" t="str">
            <v>Sfonct</v>
          </cell>
          <cell r="S159">
            <v>2462</v>
          </cell>
          <cell r="T159">
            <v>1</v>
          </cell>
          <cell r="U159">
            <v>0</v>
          </cell>
          <cell r="V159">
            <v>0</v>
          </cell>
          <cell r="W159">
            <v>0</v>
          </cell>
          <cell r="X159">
            <v>0</v>
          </cell>
          <cell r="Y159">
            <v>0</v>
          </cell>
          <cell r="Z159">
            <v>0</v>
          </cell>
          <cell r="AA159">
            <v>0</v>
          </cell>
          <cell r="AB159">
            <v>0</v>
          </cell>
          <cell r="AC159">
            <v>0</v>
          </cell>
          <cell r="AD159">
            <v>0</v>
          </cell>
          <cell r="AE159">
            <v>0</v>
          </cell>
          <cell r="AF159">
            <v>0</v>
          </cell>
          <cell r="AH159">
            <v>0</v>
          </cell>
        </row>
        <row r="160">
          <cell r="B160" t="str">
            <v>ST/EPU</v>
          </cell>
          <cell r="C160" t="str">
            <v>C1E</v>
          </cell>
          <cell r="D160" t="str">
            <v>C1EC</v>
          </cell>
          <cell r="E160" t="str">
            <v>DSEE/MAND</v>
          </cell>
          <cell r="G160">
            <v>15</v>
          </cell>
          <cell r="H160" t="str">
            <v>FONCT Subvention d'encadrement, gestion de la FCM et  suivi des PTDE</v>
          </cell>
          <cell r="I160" t="str">
            <v>DSEE</v>
          </cell>
          <cell r="K160" t="str">
            <v>IDA</v>
          </cell>
          <cell r="L160" t="str">
            <v>AUT</v>
          </cell>
          <cell r="P160">
            <v>0</v>
          </cell>
          <cell r="Q160" t="str">
            <v>Sfonct</v>
          </cell>
          <cell r="S160">
            <v>2462</v>
          </cell>
          <cell r="T160">
            <v>1</v>
          </cell>
          <cell r="U160">
            <v>0</v>
          </cell>
          <cell r="V160">
            <v>0</v>
          </cell>
          <cell r="W160">
            <v>0</v>
          </cell>
          <cell r="X160">
            <v>0</v>
          </cell>
          <cell r="Y160">
            <v>0</v>
          </cell>
          <cell r="Z160">
            <v>0</v>
          </cell>
          <cell r="AA160">
            <v>0</v>
          </cell>
          <cell r="AB160">
            <v>0</v>
          </cell>
          <cell r="AC160">
            <v>0</v>
          </cell>
          <cell r="AD160">
            <v>0</v>
          </cell>
          <cell r="AE160">
            <v>0</v>
          </cell>
          <cell r="AF160">
            <v>0</v>
          </cell>
          <cell r="AH160">
            <v>0</v>
          </cell>
        </row>
        <row r="161">
          <cell r="B161" t="str">
            <v>ST/EPU</v>
          </cell>
          <cell r="C161" t="str">
            <v>C1E</v>
          </cell>
          <cell r="D161" t="str">
            <v>C1EC</v>
          </cell>
          <cell r="E161" t="str">
            <v>DSEE/SIGU</v>
          </cell>
          <cell r="G161">
            <v>15</v>
          </cell>
          <cell r="H161" t="str">
            <v>FONCT Subvention d'encadrement, gestion de la FCM et  suivi des PTDE</v>
          </cell>
          <cell r="I161" t="str">
            <v>DSEE</v>
          </cell>
          <cell r="K161" t="str">
            <v>IDA</v>
          </cell>
          <cell r="L161" t="str">
            <v>AUT</v>
          </cell>
          <cell r="P161">
            <v>0</v>
          </cell>
          <cell r="Q161" t="str">
            <v>Sfonct</v>
          </cell>
          <cell r="S161">
            <v>2462</v>
          </cell>
          <cell r="T161">
            <v>1</v>
          </cell>
          <cell r="U161">
            <v>0</v>
          </cell>
          <cell r="V161">
            <v>0</v>
          </cell>
          <cell r="W161">
            <v>0</v>
          </cell>
          <cell r="X161">
            <v>0</v>
          </cell>
          <cell r="Y161">
            <v>0</v>
          </cell>
          <cell r="Z161">
            <v>0</v>
          </cell>
          <cell r="AA161">
            <v>0</v>
          </cell>
          <cell r="AB161">
            <v>0</v>
          </cell>
          <cell r="AC161">
            <v>0</v>
          </cell>
          <cell r="AD161">
            <v>0</v>
          </cell>
          <cell r="AE161">
            <v>0</v>
          </cell>
          <cell r="AF161">
            <v>0</v>
          </cell>
          <cell r="AH161">
            <v>0</v>
          </cell>
        </row>
        <row r="162">
          <cell r="B162" t="str">
            <v>ST/EPU</v>
          </cell>
          <cell r="C162" t="str">
            <v>C1E</v>
          </cell>
          <cell r="D162" t="str">
            <v>C1EC</v>
          </cell>
          <cell r="E162" t="str">
            <v>DSEE/COYA</v>
          </cell>
          <cell r="G162">
            <v>15</v>
          </cell>
          <cell r="H162" t="str">
            <v>FONCT Subvention d'encadrement, gestion de la FCM et  suivi des PTDE</v>
          </cell>
          <cell r="I162" t="str">
            <v>DSEE</v>
          </cell>
          <cell r="K162" t="str">
            <v>IDA</v>
          </cell>
          <cell r="L162" t="str">
            <v>AUT</v>
          </cell>
          <cell r="P162">
            <v>0</v>
          </cell>
          <cell r="Q162" t="str">
            <v>Sfonct</v>
          </cell>
          <cell r="S162">
            <v>2462</v>
          </cell>
          <cell r="T162">
            <v>1</v>
          </cell>
          <cell r="U162">
            <v>0</v>
          </cell>
          <cell r="V162">
            <v>0</v>
          </cell>
          <cell r="W162">
            <v>0</v>
          </cell>
          <cell r="X162">
            <v>0</v>
          </cell>
          <cell r="Y162">
            <v>0</v>
          </cell>
          <cell r="Z162">
            <v>0</v>
          </cell>
          <cell r="AA162">
            <v>0</v>
          </cell>
          <cell r="AB162">
            <v>0</v>
          </cell>
          <cell r="AC162">
            <v>0</v>
          </cell>
          <cell r="AD162">
            <v>0</v>
          </cell>
          <cell r="AE162">
            <v>0</v>
          </cell>
          <cell r="AF162">
            <v>0</v>
          </cell>
          <cell r="AH162">
            <v>0</v>
          </cell>
        </row>
        <row r="163">
          <cell r="B163" t="str">
            <v>ST/EPU</v>
          </cell>
          <cell r="C163" t="str">
            <v>C1E</v>
          </cell>
          <cell r="D163" t="str">
            <v>C1EC</v>
          </cell>
          <cell r="E163" t="str">
            <v>DSEE/DUBR</v>
          </cell>
          <cell r="G163">
            <v>15</v>
          </cell>
          <cell r="H163" t="str">
            <v>FONCT Subvention d'encadrement, gestion de la FCM et  suivi des PTDE</v>
          </cell>
          <cell r="I163" t="str">
            <v>DSEE</v>
          </cell>
          <cell r="K163" t="str">
            <v>IDA</v>
          </cell>
          <cell r="L163" t="str">
            <v>AUT</v>
          </cell>
          <cell r="P163">
            <v>0</v>
          </cell>
          <cell r="Q163" t="str">
            <v>Sfonct</v>
          </cell>
          <cell r="S163">
            <v>2462</v>
          </cell>
          <cell r="T163">
            <v>1</v>
          </cell>
          <cell r="U163">
            <v>0</v>
          </cell>
          <cell r="V163">
            <v>0</v>
          </cell>
          <cell r="W163">
            <v>0</v>
          </cell>
          <cell r="X163">
            <v>0</v>
          </cell>
          <cell r="Y163">
            <v>0</v>
          </cell>
          <cell r="Z163">
            <v>0</v>
          </cell>
          <cell r="AA163">
            <v>0</v>
          </cell>
          <cell r="AB163">
            <v>0</v>
          </cell>
          <cell r="AC163">
            <v>0</v>
          </cell>
          <cell r="AD163">
            <v>0</v>
          </cell>
          <cell r="AE163">
            <v>0</v>
          </cell>
          <cell r="AF163">
            <v>0</v>
          </cell>
          <cell r="AH163">
            <v>0</v>
          </cell>
        </row>
        <row r="164">
          <cell r="B164" t="str">
            <v>ST/EPU</v>
          </cell>
          <cell r="C164" t="str">
            <v>C1E</v>
          </cell>
          <cell r="D164" t="str">
            <v>C1EC</v>
          </cell>
          <cell r="E164" t="str">
            <v>DSEE/FORE</v>
          </cell>
          <cell r="G164">
            <v>15</v>
          </cell>
          <cell r="H164" t="str">
            <v>FONCT Subvention d'encadrement, gestion de la FCM et  suivi des PTDE</v>
          </cell>
          <cell r="I164" t="str">
            <v>DSEE</v>
          </cell>
          <cell r="K164" t="str">
            <v>IDA</v>
          </cell>
          <cell r="L164" t="str">
            <v>AUT</v>
          </cell>
          <cell r="P164">
            <v>0</v>
          </cell>
          <cell r="Q164" t="str">
            <v>Sfonct</v>
          </cell>
          <cell r="S164">
            <v>2462</v>
          </cell>
          <cell r="T164">
            <v>1</v>
          </cell>
          <cell r="U164">
            <v>0</v>
          </cell>
          <cell r="V164">
            <v>0</v>
          </cell>
          <cell r="W164">
            <v>0</v>
          </cell>
          <cell r="X164">
            <v>0</v>
          </cell>
          <cell r="Y164">
            <v>0</v>
          </cell>
          <cell r="Z164">
            <v>0</v>
          </cell>
          <cell r="AA164">
            <v>0</v>
          </cell>
          <cell r="AB164">
            <v>0</v>
          </cell>
          <cell r="AC164">
            <v>0</v>
          </cell>
          <cell r="AD164">
            <v>0</v>
          </cell>
          <cell r="AE164">
            <v>0</v>
          </cell>
          <cell r="AF164">
            <v>0</v>
          </cell>
          <cell r="AH164">
            <v>0</v>
          </cell>
        </row>
        <row r="165">
          <cell r="B165" t="str">
            <v>ST/EPU</v>
          </cell>
          <cell r="C165" t="str">
            <v>C1E</v>
          </cell>
          <cell r="D165" t="str">
            <v>C1EC</v>
          </cell>
          <cell r="E165" t="str">
            <v>DSEE/KIND</v>
          </cell>
          <cell r="G165">
            <v>15</v>
          </cell>
          <cell r="H165" t="str">
            <v>FONCT Subvention d'encadrement, gestion de la FCM et  suivi des PTDE</v>
          </cell>
          <cell r="I165" t="str">
            <v>DSEE</v>
          </cell>
          <cell r="K165" t="str">
            <v>IDA</v>
          </cell>
          <cell r="L165" t="str">
            <v>AUT</v>
          </cell>
          <cell r="P165">
            <v>0</v>
          </cell>
          <cell r="Q165" t="str">
            <v>Sfonct</v>
          </cell>
          <cell r="S165">
            <v>2462</v>
          </cell>
          <cell r="T165">
            <v>1</v>
          </cell>
          <cell r="U165">
            <v>0</v>
          </cell>
          <cell r="V165">
            <v>0</v>
          </cell>
          <cell r="W165">
            <v>0</v>
          </cell>
          <cell r="X165">
            <v>0</v>
          </cell>
          <cell r="Y165">
            <v>0</v>
          </cell>
          <cell r="Z165">
            <v>0</v>
          </cell>
          <cell r="AA165">
            <v>0</v>
          </cell>
          <cell r="AB165">
            <v>0</v>
          </cell>
          <cell r="AC165">
            <v>0</v>
          </cell>
          <cell r="AD165">
            <v>0</v>
          </cell>
          <cell r="AE165">
            <v>0</v>
          </cell>
          <cell r="AF165">
            <v>0</v>
          </cell>
          <cell r="AH165">
            <v>0</v>
          </cell>
        </row>
        <row r="166">
          <cell r="B166" t="str">
            <v>ST/EPU</v>
          </cell>
          <cell r="C166" t="str">
            <v>C1E</v>
          </cell>
          <cell r="D166" t="str">
            <v>C1EC</v>
          </cell>
          <cell r="E166" t="str">
            <v>DSEE/TELE</v>
          </cell>
          <cell r="G166">
            <v>15</v>
          </cell>
          <cell r="H166" t="str">
            <v>FONCT Subvention d'encadrement, gestion de la FCM et  suivi des PTDE</v>
          </cell>
          <cell r="I166" t="str">
            <v>DSEE</v>
          </cell>
          <cell r="K166" t="str">
            <v>IDA</v>
          </cell>
          <cell r="L166" t="str">
            <v>AUT</v>
          </cell>
          <cell r="P166">
            <v>0</v>
          </cell>
          <cell r="Q166" t="str">
            <v>Sfonct</v>
          </cell>
          <cell r="S166">
            <v>2462</v>
          </cell>
          <cell r="T166">
            <v>1</v>
          </cell>
          <cell r="U166">
            <v>0</v>
          </cell>
          <cell r="V166">
            <v>0</v>
          </cell>
          <cell r="W166">
            <v>0</v>
          </cell>
          <cell r="X166">
            <v>0</v>
          </cell>
          <cell r="Y166">
            <v>0</v>
          </cell>
          <cell r="Z166">
            <v>0</v>
          </cell>
          <cell r="AA166">
            <v>0</v>
          </cell>
          <cell r="AB166">
            <v>0</v>
          </cell>
          <cell r="AC166">
            <v>0</v>
          </cell>
          <cell r="AD166">
            <v>0</v>
          </cell>
          <cell r="AE166">
            <v>0</v>
          </cell>
          <cell r="AF166">
            <v>0</v>
          </cell>
          <cell r="AH166">
            <v>0</v>
          </cell>
        </row>
        <row r="167">
          <cell r="B167" t="str">
            <v>ST/EPU</v>
          </cell>
          <cell r="C167" t="str">
            <v>C1E</v>
          </cell>
          <cell r="D167" t="str">
            <v>C1EC</v>
          </cell>
          <cell r="E167" t="str">
            <v>DSEE/KOUB</v>
          </cell>
          <cell r="G167">
            <v>15</v>
          </cell>
          <cell r="H167" t="str">
            <v>FONCT Subvention d'encadrement, gestion de la FCM et  suivi des PTDE</v>
          </cell>
          <cell r="I167" t="str">
            <v>DSEE</v>
          </cell>
          <cell r="K167" t="str">
            <v>IDA</v>
          </cell>
          <cell r="L167" t="str">
            <v>AUT</v>
          </cell>
          <cell r="P167">
            <v>0</v>
          </cell>
          <cell r="Q167" t="str">
            <v>Sfonct</v>
          </cell>
          <cell r="S167">
            <v>2462</v>
          </cell>
          <cell r="T167">
            <v>1</v>
          </cell>
          <cell r="U167">
            <v>0</v>
          </cell>
          <cell r="V167">
            <v>0</v>
          </cell>
          <cell r="W167">
            <v>0</v>
          </cell>
          <cell r="X167">
            <v>0</v>
          </cell>
          <cell r="Y167">
            <v>0</v>
          </cell>
          <cell r="Z167">
            <v>0</v>
          </cell>
          <cell r="AA167">
            <v>0</v>
          </cell>
          <cell r="AB167">
            <v>0</v>
          </cell>
          <cell r="AC167">
            <v>0</v>
          </cell>
          <cell r="AD167">
            <v>0</v>
          </cell>
          <cell r="AE167">
            <v>0</v>
          </cell>
          <cell r="AF167">
            <v>0</v>
          </cell>
          <cell r="AH167">
            <v>0</v>
          </cell>
        </row>
        <row r="168">
          <cell r="B168" t="str">
            <v>ST/EPU</v>
          </cell>
          <cell r="C168" t="str">
            <v>C1E</v>
          </cell>
          <cell r="D168" t="str">
            <v>C1EC</v>
          </cell>
          <cell r="E168" t="str">
            <v>DSEE/LABE</v>
          </cell>
          <cell r="G168">
            <v>15</v>
          </cell>
          <cell r="H168" t="str">
            <v>FONCT Subvention d'encadrement, gestion de la FCM et  suivi des PTDE</v>
          </cell>
          <cell r="I168" t="str">
            <v>DSEE</v>
          </cell>
          <cell r="K168" t="str">
            <v>IDA</v>
          </cell>
          <cell r="L168" t="str">
            <v>AUT</v>
          </cell>
          <cell r="P168">
            <v>0</v>
          </cell>
          <cell r="Q168" t="str">
            <v>Sfonct</v>
          </cell>
          <cell r="S168">
            <v>2462</v>
          </cell>
          <cell r="T168">
            <v>1</v>
          </cell>
          <cell r="U168">
            <v>0</v>
          </cell>
          <cell r="V168">
            <v>0</v>
          </cell>
          <cell r="W168">
            <v>0</v>
          </cell>
          <cell r="X168">
            <v>0</v>
          </cell>
          <cell r="Y168">
            <v>0</v>
          </cell>
          <cell r="Z168">
            <v>0</v>
          </cell>
          <cell r="AA168">
            <v>0</v>
          </cell>
          <cell r="AB168">
            <v>0</v>
          </cell>
          <cell r="AC168">
            <v>0</v>
          </cell>
          <cell r="AD168">
            <v>0</v>
          </cell>
          <cell r="AE168">
            <v>0</v>
          </cell>
          <cell r="AF168">
            <v>0</v>
          </cell>
          <cell r="AH168">
            <v>0</v>
          </cell>
        </row>
        <row r="169">
          <cell r="B169" t="str">
            <v>ST/EPU</v>
          </cell>
          <cell r="C169" t="str">
            <v>C1E</v>
          </cell>
          <cell r="D169" t="str">
            <v>C1EC</v>
          </cell>
          <cell r="E169" t="str">
            <v>DSEE/LELO</v>
          </cell>
          <cell r="G169">
            <v>15</v>
          </cell>
          <cell r="H169" t="str">
            <v>FONCT Subvention d'encadrement, gestion de la FCM et  suivi des PTDE</v>
          </cell>
          <cell r="I169" t="str">
            <v>DSEE</v>
          </cell>
          <cell r="K169" t="str">
            <v>IDA</v>
          </cell>
          <cell r="L169" t="str">
            <v>AUT</v>
          </cell>
          <cell r="P169">
            <v>0</v>
          </cell>
          <cell r="Q169" t="str">
            <v>Sfonct</v>
          </cell>
          <cell r="S169">
            <v>2462</v>
          </cell>
          <cell r="T169">
            <v>1</v>
          </cell>
          <cell r="U169">
            <v>0</v>
          </cell>
          <cell r="V169">
            <v>0</v>
          </cell>
          <cell r="W169">
            <v>0</v>
          </cell>
          <cell r="X169">
            <v>0</v>
          </cell>
          <cell r="Y169">
            <v>0</v>
          </cell>
          <cell r="Z169">
            <v>0</v>
          </cell>
          <cell r="AA169">
            <v>0</v>
          </cell>
          <cell r="AB169">
            <v>0</v>
          </cell>
          <cell r="AC169">
            <v>0</v>
          </cell>
          <cell r="AD169">
            <v>0</v>
          </cell>
          <cell r="AE169">
            <v>0</v>
          </cell>
          <cell r="AF169">
            <v>0</v>
          </cell>
          <cell r="AH169">
            <v>0</v>
          </cell>
        </row>
        <row r="170">
          <cell r="B170" t="str">
            <v>ST/EPU</v>
          </cell>
          <cell r="C170" t="str">
            <v>C1E</v>
          </cell>
          <cell r="D170" t="str">
            <v>C1EC</v>
          </cell>
          <cell r="E170" t="str">
            <v>DSEE/MALI</v>
          </cell>
          <cell r="G170">
            <v>15</v>
          </cell>
          <cell r="H170" t="str">
            <v>FONCT Subvention d'encadrement, gestion de la FCM et  suivi des PTDE</v>
          </cell>
          <cell r="I170" t="str">
            <v>DSEE</v>
          </cell>
          <cell r="K170" t="str">
            <v>IDA</v>
          </cell>
          <cell r="L170" t="str">
            <v>AUT</v>
          </cell>
          <cell r="P170">
            <v>0</v>
          </cell>
          <cell r="Q170" t="str">
            <v>Sfonct</v>
          </cell>
          <cell r="S170">
            <v>2462</v>
          </cell>
          <cell r="T170">
            <v>1</v>
          </cell>
          <cell r="U170">
            <v>0</v>
          </cell>
          <cell r="V170">
            <v>0</v>
          </cell>
          <cell r="W170">
            <v>0</v>
          </cell>
          <cell r="X170">
            <v>0</v>
          </cell>
          <cell r="Y170">
            <v>0</v>
          </cell>
          <cell r="Z170">
            <v>0</v>
          </cell>
          <cell r="AA170">
            <v>0</v>
          </cell>
          <cell r="AB170">
            <v>0</v>
          </cell>
          <cell r="AC170">
            <v>0</v>
          </cell>
          <cell r="AD170">
            <v>0</v>
          </cell>
          <cell r="AE170">
            <v>0</v>
          </cell>
          <cell r="AF170">
            <v>0</v>
          </cell>
          <cell r="AH170">
            <v>0</v>
          </cell>
        </row>
        <row r="171">
          <cell r="B171" t="str">
            <v>ST/EPU</v>
          </cell>
          <cell r="C171" t="str">
            <v>C1E</v>
          </cell>
          <cell r="D171" t="str">
            <v>C1EC</v>
          </cell>
          <cell r="E171" t="str">
            <v>DSEE/TOUG</v>
          </cell>
          <cell r="G171">
            <v>15</v>
          </cell>
          <cell r="H171" t="str">
            <v>FONCT Subvention d'encadrement, gestion de la FCM et  suivi des PTDE</v>
          </cell>
          <cell r="I171" t="str">
            <v>DSEE</v>
          </cell>
          <cell r="K171" t="str">
            <v>IDA</v>
          </cell>
          <cell r="L171" t="str">
            <v>AUT</v>
          </cell>
          <cell r="P171">
            <v>0</v>
          </cell>
          <cell r="Q171" t="str">
            <v>Sfonct</v>
          </cell>
          <cell r="S171">
            <v>2462</v>
          </cell>
          <cell r="T171">
            <v>1</v>
          </cell>
          <cell r="U171">
            <v>0</v>
          </cell>
          <cell r="V171">
            <v>0</v>
          </cell>
          <cell r="W171">
            <v>0</v>
          </cell>
          <cell r="X171">
            <v>0</v>
          </cell>
          <cell r="Y171">
            <v>0</v>
          </cell>
          <cell r="Z171">
            <v>0</v>
          </cell>
          <cell r="AA171">
            <v>0</v>
          </cell>
          <cell r="AB171">
            <v>0</v>
          </cell>
          <cell r="AC171">
            <v>0</v>
          </cell>
          <cell r="AD171">
            <v>0</v>
          </cell>
          <cell r="AE171">
            <v>0</v>
          </cell>
          <cell r="AF171">
            <v>0</v>
          </cell>
          <cell r="AH171">
            <v>0</v>
          </cell>
        </row>
        <row r="172">
          <cell r="B172" t="str">
            <v>ST/EPU</v>
          </cell>
          <cell r="C172" t="str">
            <v>C1E</v>
          </cell>
          <cell r="D172" t="str">
            <v>C1EC</v>
          </cell>
          <cell r="E172" t="str">
            <v>DSEE/DALA</v>
          </cell>
          <cell r="G172">
            <v>15</v>
          </cell>
          <cell r="H172" t="str">
            <v>FONCT Subvention d'encadrement, gestion de la FCM et  suivi des PTDE</v>
          </cell>
          <cell r="I172" t="str">
            <v>DSEE</v>
          </cell>
          <cell r="K172" t="str">
            <v>IDA</v>
          </cell>
          <cell r="L172" t="str">
            <v>AUT</v>
          </cell>
          <cell r="P172">
            <v>0</v>
          </cell>
          <cell r="Q172" t="str">
            <v>Sfonct</v>
          </cell>
          <cell r="S172">
            <v>2462</v>
          </cell>
          <cell r="T172">
            <v>1</v>
          </cell>
          <cell r="U172">
            <v>0</v>
          </cell>
          <cell r="V172">
            <v>0</v>
          </cell>
          <cell r="W172">
            <v>0</v>
          </cell>
          <cell r="X172">
            <v>0</v>
          </cell>
          <cell r="Y172">
            <v>0</v>
          </cell>
          <cell r="Z172">
            <v>0</v>
          </cell>
          <cell r="AA172">
            <v>0</v>
          </cell>
          <cell r="AB172">
            <v>0</v>
          </cell>
          <cell r="AC172">
            <v>0</v>
          </cell>
          <cell r="AD172">
            <v>0</v>
          </cell>
          <cell r="AE172">
            <v>0</v>
          </cell>
          <cell r="AF172">
            <v>0</v>
          </cell>
          <cell r="AH172">
            <v>0</v>
          </cell>
        </row>
        <row r="173">
          <cell r="B173" t="str">
            <v>ST/EPU</v>
          </cell>
          <cell r="C173" t="str">
            <v>C1E</v>
          </cell>
          <cell r="D173" t="str">
            <v>C1EC</v>
          </cell>
          <cell r="E173" t="str">
            <v>DSEE/MAMO</v>
          </cell>
          <cell r="G173">
            <v>15</v>
          </cell>
          <cell r="H173" t="str">
            <v>FONCT Subvention d'encadrement, gestion de la FCM et  suivi des PTDE</v>
          </cell>
          <cell r="I173" t="str">
            <v>DSEE</v>
          </cell>
          <cell r="K173" t="str">
            <v>IDA</v>
          </cell>
          <cell r="L173" t="str">
            <v>AUT</v>
          </cell>
          <cell r="P173">
            <v>0</v>
          </cell>
          <cell r="Q173" t="str">
            <v>Sfonct</v>
          </cell>
          <cell r="S173">
            <v>2462</v>
          </cell>
          <cell r="T173">
            <v>1</v>
          </cell>
          <cell r="U173">
            <v>0</v>
          </cell>
          <cell r="V173">
            <v>0</v>
          </cell>
          <cell r="W173">
            <v>0</v>
          </cell>
          <cell r="X173">
            <v>0</v>
          </cell>
          <cell r="Y173">
            <v>0</v>
          </cell>
          <cell r="Z173">
            <v>0</v>
          </cell>
          <cell r="AA173">
            <v>0</v>
          </cell>
          <cell r="AB173">
            <v>0</v>
          </cell>
          <cell r="AC173">
            <v>0</v>
          </cell>
          <cell r="AD173">
            <v>0</v>
          </cell>
          <cell r="AE173">
            <v>0</v>
          </cell>
          <cell r="AF173">
            <v>0</v>
          </cell>
          <cell r="AH173">
            <v>0</v>
          </cell>
        </row>
        <row r="174">
          <cell r="B174" t="str">
            <v>ST/EPU</v>
          </cell>
          <cell r="C174" t="str">
            <v>C1E</v>
          </cell>
          <cell r="D174" t="str">
            <v>C1EC</v>
          </cell>
          <cell r="E174" t="str">
            <v>DSEE/PITA</v>
          </cell>
          <cell r="G174">
            <v>15</v>
          </cell>
          <cell r="H174" t="str">
            <v>FONCT Subvention d'encadrement, gestion de la FCM et  suivi des PTDE</v>
          </cell>
          <cell r="I174" t="str">
            <v>DSEE</v>
          </cell>
          <cell r="K174" t="str">
            <v>IDA</v>
          </cell>
          <cell r="L174" t="str">
            <v>AUT</v>
          </cell>
          <cell r="P174">
            <v>0</v>
          </cell>
          <cell r="Q174" t="str">
            <v>Sfonct</v>
          </cell>
          <cell r="S174">
            <v>2462</v>
          </cell>
          <cell r="T174">
            <v>1</v>
          </cell>
          <cell r="U174">
            <v>0</v>
          </cell>
          <cell r="V174">
            <v>0</v>
          </cell>
          <cell r="W174">
            <v>0</v>
          </cell>
          <cell r="X174">
            <v>0</v>
          </cell>
          <cell r="Y174">
            <v>0</v>
          </cell>
          <cell r="Z174">
            <v>0</v>
          </cell>
          <cell r="AA174">
            <v>0</v>
          </cell>
          <cell r="AB174">
            <v>0</v>
          </cell>
          <cell r="AC174">
            <v>0</v>
          </cell>
          <cell r="AD174">
            <v>0</v>
          </cell>
          <cell r="AE174">
            <v>0</v>
          </cell>
          <cell r="AF174">
            <v>0</v>
          </cell>
          <cell r="AH174">
            <v>0</v>
          </cell>
        </row>
        <row r="175">
          <cell r="B175" t="str">
            <v>ST/EPU</v>
          </cell>
          <cell r="C175" t="str">
            <v>C1E</v>
          </cell>
          <cell r="D175" t="str">
            <v>C1EC</v>
          </cell>
          <cell r="E175" t="str">
            <v>DSEE/BEYL</v>
          </cell>
          <cell r="G175">
            <v>15</v>
          </cell>
          <cell r="H175" t="str">
            <v>FONCT Subvention d'encadrement, gestion de la FCM et  suivi des PTDE</v>
          </cell>
          <cell r="I175" t="str">
            <v>DSEE</v>
          </cell>
          <cell r="K175" t="str">
            <v>IDA</v>
          </cell>
          <cell r="L175" t="str">
            <v>AUT</v>
          </cell>
          <cell r="P175">
            <v>0</v>
          </cell>
          <cell r="Q175" t="str">
            <v>Sfonct</v>
          </cell>
          <cell r="S175">
            <v>2462</v>
          </cell>
          <cell r="T175">
            <v>1</v>
          </cell>
          <cell r="U175">
            <v>0</v>
          </cell>
          <cell r="V175">
            <v>0</v>
          </cell>
          <cell r="W175">
            <v>0</v>
          </cell>
          <cell r="X175">
            <v>0</v>
          </cell>
          <cell r="Y175">
            <v>0</v>
          </cell>
          <cell r="Z175">
            <v>0</v>
          </cell>
          <cell r="AA175">
            <v>0</v>
          </cell>
          <cell r="AB175">
            <v>0</v>
          </cell>
          <cell r="AC175">
            <v>0</v>
          </cell>
          <cell r="AD175">
            <v>0</v>
          </cell>
          <cell r="AE175">
            <v>0</v>
          </cell>
          <cell r="AF175">
            <v>0</v>
          </cell>
          <cell r="AH175">
            <v>0</v>
          </cell>
        </row>
        <row r="176">
          <cell r="B176" t="str">
            <v>ST/EPU</v>
          </cell>
          <cell r="C176" t="str">
            <v>C1E</v>
          </cell>
          <cell r="D176" t="str">
            <v>C1EC</v>
          </cell>
          <cell r="E176" t="str">
            <v>DSEE/GUEC</v>
          </cell>
          <cell r="G176">
            <v>15</v>
          </cell>
          <cell r="H176" t="str">
            <v>FONCT Subvention d'encadrement, gestion de la FCM et  suivi des PTDE</v>
          </cell>
          <cell r="I176" t="str">
            <v>DSEE</v>
          </cell>
          <cell r="K176" t="str">
            <v>IDA</v>
          </cell>
          <cell r="L176" t="str">
            <v>AUT</v>
          </cell>
          <cell r="P176">
            <v>0</v>
          </cell>
          <cell r="Q176" t="str">
            <v>Sfonct</v>
          </cell>
          <cell r="S176">
            <v>2462</v>
          </cell>
          <cell r="T176">
            <v>1</v>
          </cell>
          <cell r="U176">
            <v>0</v>
          </cell>
          <cell r="V176">
            <v>0</v>
          </cell>
          <cell r="W176">
            <v>0</v>
          </cell>
          <cell r="X176">
            <v>0</v>
          </cell>
          <cell r="Y176">
            <v>0</v>
          </cell>
          <cell r="Z176">
            <v>0</v>
          </cell>
          <cell r="AA176">
            <v>0</v>
          </cell>
          <cell r="AB176">
            <v>0</v>
          </cell>
          <cell r="AC176">
            <v>0</v>
          </cell>
          <cell r="AD176">
            <v>0</v>
          </cell>
          <cell r="AE176">
            <v>0</v>
          </cell>
          <cell r="AF176">
            <v>0</v>
          </cell>
          <cell r="AH176">
            <v>0</v>
          </cell>
        </row>
        <row r="177">
          <cell r="B177" t="str">
            <v>ST/EPU</v>
          </cell>
          <cell r="C177" t="str">
            <v>C1E</v>
          </cell>
          <cell r="D177" t="str">
            <v>C1EC</v>
          </cell>
          <cell r="E177" t="str">
            <v>DSEE/LOLA</v>
          </cell>
          <cell r="G177">
            <v>15</v>
          </cell>
          <cell r="H177" t="str">
            <v>FONCT Subvention d'encadrement, gestion de la FCM et  suivi des PTDE</v>
          </cell>
          <cell r="I177" t="str">
            <v>DSEE</v>
          </cell>
          <cell r="K177" t="str">
            <v>IDA</v>
          </cell>
          <cell r="L177" t="str">
            <v>AUT</v>
          </cell>
          <cell r="P177">
            <v>0</v>
          </cell>
          <cell r="Q177" t="str">
            <v>Sfonct</v>
          </cell>
          <cell r="S177">
            <v>2462</v>
          </cell>
          <cell r="T177">
            <v>1</v>
          </cell>
          <cell r="U177">
            <v>0</v>
          </cell>
          <cell r="V177">
            <v>0</v>
          </cell>
          <cell r="W177">
            <v>0</v>
          </cell>
          <cell r="X177">
            <v>0</v>
          </cell>
          <cell r="Y177">
            <v>0</v>
          </cell>
          <cell r="Z177">
            <v>0</v>
          </cell>
          <cell r="AA177">
            <v>0</v>
          </cell>
          <cell r="AB177">
            <v>0</v>
          </cell>
          <cell r="AC177">
            <v>0</v>
          </cell>
          <cell r="AD177">
            <v>0</v>
          </cell>
          <cell r="AE177">
            <v>0</v>
          </cell>
          <cell r="AF177">
            <v>0</v>
          </cell>
          <cell r="AH177">
            <v>0</v>
          </cell>
        </row>
        <row r="178">
          <cell r="B178" t="str">
            <v>ST/EPU</v>
          </cell>
          <cell r="C178" t="str">
            <v>C1E</v>
          </cell>
          <cell r="D178" t="str">
            <v>C1EC</v>
          </cell>
          <cell r="E178" t="str">
            <v>DSEE/MACE</v>
          </cell>
          <cell r="G178">
            <v>15</v>
          </cell>
          <cell r="H178" t="str">
            <v>FONCT Subvention d'encadrement, gestion de la FCM et  suivi des PTDE</v>
          </cell>
          <cell r="I178" t="str">
            <v>DSEE</v>
          </cell>
          <cell r="K178" t="str">
            <v>IDA</v>
          </cell>
          <cell r="L178" t="str">
            <v>AUT</v>
          </cell>
          <cell r="P178">
            <v>0</v>
          </cell>
          <cell r="Q178" t="str">
            <v>Sfonct</v>
          </cell>
          <cell r="S178">
            <v>2462</v>
          </cell>
          <cell r="T178">
            <v>1</v>
          </cell>
          <cell r="U178">
            <v>0</v>
          </cell>
          <cell r="V178">
            <v>0</v>
          </cell>
          <cell r="W178">
            <v>0</v>
          </cell>
          <cell r="X178">
            <v>0</v>
          </cell>
          <cell r="Y178">
            <v>0</v>
          </cell>
          <cell r="Z178">
            <v>0</v>
          </cell>
          <cell r="AA178">
            <v>0</v>
          </cell>
          <cell r="AB178">
            <v>0</v>
          </cell>
          <cell r="AC178">
            <v>0</v>
          </cell>
          <cell r="AD178">
            <v>0</v>
          </cell>
          <cell r="AE178">
            <v>0</v>
          </cell>
          <cell r="AF178">
            <v>0</v>
          </cell>
          <cell r="AH178">
            <v>0</v>
          </cell>
        </row>
        <row r="179">
          <cell r="B179" t="str">
            <v>ST/EPU</v>
          </cell>
          <cell r="C179" t="str">
            <v>C1E</v>
          </cell>
          <cell r="D179" t="str">
            <v>C1EC</v>
          </cell>
          <cell r="E179" t="str">
            <v>DSEE/NZER</v>
          </cell>
          <cell r="G179">
            <v>15</v>
          </cell>
          <cell r="H179" t="str">
            <v>FONCT Subvention d'encadrement, gestion de la FCM et  suivi des PTDE</v>
          </cell>
          <cell r="I179" t="str">
            <v>DSEE</v>
          </cell>
          <cell r="K179" t="str">
            <v>IDA</v>
          </cell>
          <cell r="L179" t="str">
            <v>AUT</v>
          </cell>
          <cell r="P179">
            <v>0</v>
          </cell>
          <cell r="Q179" t="str">
            <v>Sfonct</v>
          </cell>
          <cell r="S179">
            <v>2462</v>
          </cell>
          <cell r="T179">
            <v>1</v>
          </cell>
          <cell r="U179">
            <v>0</v>
          </cell>
          <cell r="V179">
            <v>0</v>
          </cell>
          <cell r="W179">
            <v>0</v>
          </cell>
          <cell r="X179">
            <v>0</v>
          </cell>
          <cell r="Y179">
            <v>0</v>
          </cell>
          <cell r="Z179">
            <v>0</v>
          </cell>
          <cell r="AA179">
            <v>0</v>
          </cell>
          <cell r="AB179">
            <v>0</v>
          </cell>
          <cell r="AC179">
            <v>0</v>
          </cell>
          <cell r="AD179">
            <v>0</v>
          </cell>
          <cell r="AE179">
            <v>0</v>
          </cell>
          <cell r="AF179">
            <v>0</v>
          </cell>
          <cell r="AH179">
            <v>0</v>
          </cell>
        </row>
        <row r="180">
          <cell r="B180" t="str">
            <v>ST/EPU</v>
          </cell>
          <cell r="C180" t="str">
            <v>C1E</v>
          </cell>
          <cell r="D180" t="str">
            <v>C1EC</v>
          </cell>
          <cell r="E180" t="str">
            <v>DSEE/YOMO</v>
          </cell>
          <cell r="G180">
            <v>15</v>
          </cell>
          <cell r="H180" t="str">
            <v>FONCT Subvention d'encadrement, gestion de la FCM et  suivi des PTDE</v>
          </cell>
          <cell r="I180" t="str">
            <v>DSEE</v>
          </cell>
          <cell r="K180" t="str">
            <v>IDA</v>
          </cell>
          <cell r="L180" t="str">
            <v>AUT</v>
          </cell>
          <cell r="P180">
            <v>0</v>
          </cell>
          <cell r="Q180" t="str">
            <v>Sfonct</v>
          </cell>
          <cell r="S180">
            <v>2462</v>
          </cell>
          <cell r="T180">
            <v>1</v>
          </cell>
          <cell r="U180">
            <v>0</v>
          </cell>
          <cell r="V180">
            <v>0</v>
          </cell>
          <cell r="W180">
            <v>0</v>
          </cell>
          <cell r="X180">
            <v>0</v>
          </cell>
          <cell r="Y180">
            <v>0</v>
          </cell>
          <cell r="Z180">
            <v>0</v>
          </cell>
          <cell r="AA180">
            <v>0</v>
          </cell>
          <cell r="AB180">
            <v>0</v>
          </cell>
          <cell r="AC180">
            <v>0</v>
          </cell>
          <cell r="AD180">
            <v>0</v>
          </cell>
          <cell r="AE180">
            <v>0</v>
          </cell>
          <cell r="AF180">
            <v>0</v>
          </cell>
          <cell r="AH180">
            <v>0</v>
          </cell>
        </row>
        <row r="181">
          <cell r="B181" t="str">
            <v>ST/EPU</v>
          </cell>
          <cell r="C181" t="str">
            <v>B1A</v>
          </cell>
          <cell r="D181" t="str">
            <v>B1AE</v>
          </cell>
          <cell r="E181" t="str">
            <v>DSEE/BOKE</v>
          </cell>
          <cell r="G181">
            <v>15</v>
          </cell>
          <cell r="H181" t="str">
            <v xml:space="preserve">FORM CONT Subv form continue des maîtres en DSEE </v>
          </cell>
          <cell r="I181" t="str">
            <v>DNEE</v>
          </cell>
          <cell r="K181" t="str">
            <v>IDA</v>
          </cell>
          <cell r="L181" t="str">
            <v>AUT</v>
          </cell>
          <cell r="P181">
            <v>0</v>
          </cell>
          <cell r="Q181" t="str">
            <v>Sform</v>
          </cell>
          <cell r="S181">
            <v>2954.4</v>
          </cell>
          <cell r="T181">
            <v>1</v>
          </cell>
          <cell r="U181">
            <v>0</v>
          </cell>
          <cell r="V181">
            <v>0</v>
          </cell>
          <cell r="W181">
            <v>0</v>
          </cell>
          <cell r="X181">
            <v>0</v>
          </cell>
          <cell r="Y181">
            <v>0</v>
          </cell>
          <cell r="Z181">
            <v>0</v>
          </cell>
          <cell r="AA181">
            <v>0</v>
          </cell>
          <cell r="AB181">
            <v>0</v>
          </cell>
          <cell r="AC181">
            <v>0</v>
          </cell>
          <cell r="AD181">
            <v>0</v>
          </cell>
          <cell r="AE181">
            <v>0</v>
          </cell>
          <cell r="AF181">
            <v>0</v>
          </cell>
          <cell r="AH181">
            <v>0</v>
          </cell>
        </row>
        <row r="182">
          <cell r="B182" t="str">
            <v>ST/EPU</v>
          </cell>
          <cell r="C182" t="str">
            <v>B1A</v>
          </cell>
          <cell r="D182" t="str">
            <v>B1AE</v>
          </cell>
          <cell r="E182" t="str">
            <v>DSEE/BOFF</v>
          </cell>
          <cell r="G182">
            <v>15</v>
          </cell>
          <cell r="H182" t="str">
            <v xml:space="preserve">FORM CONT Subv form continue des maîtres en DSEE </v>
          </cell>
          <cell r="I182" t="str">
            <v>DNEE</v>
          </cell>
          <cell r="K182" t="str">
            <v>IDA</v>
          </cell>
          <cell r="L182" t="str">
            <v>AUT</v>
          </cell>
          <cell r="P182">
            <v>0</v>
          </cell>
          <cell r="Q182" t="str">
            <v>Sform</v>
          </cell>
          <cell r="S182">
            <v>2954.4</v>
          </cell>
          <cell r="T182">
            <v>1</v>
          </cell>
          <cell r="U182">
            <v>0</v>
          </cell>
          <cell r="V182">
            <v>0</v>
          </cell>
          <cell r="W182">
            <v>0</v>
          </cell>
          <cell r="X182">
            <v>0</v>
          </cell>
          <cell r="Y182">
            <v>0</v>
          </cell>
          <cell r="Z182">
            <v>0</v>
          </cell>
          <cell r="AA182">
            <v>0</v>
          </cell>
          <cell r="AB182">
            <v>0</v>
          </cell>
          <cell r="AC182">
            <v>0</v>
          </cell>
          <cell r="AD182">
            <v>0</v>
          </cell>
          <cell r="AE182">
            <v>0</v>
          </cell>
          <cell r="AF182">
            <v>0</v>
          </cell>
          <cell r="AH182">
            <v>0</v>
          </cell>
        </row>
        <row r="183">
          <cell r="B183" t="str">
            <v>ST/EPU</v>
          </cell>
          <cell r="C183" t="str">
            <v>B1A</v>
          </cell>
          <cell r="D183" t="str">
            <v>B1AE</v>
          </cell>
          <cell r="E183" t="str">
            <v>DSEE/FRIA</v>
          </cell>
          <cell r="G183">
            <v>15</v>
          </cell>
          <cell r="H183" t="str">
            <v xml:space="preserve">FORM CONT Subv form continue des maîtres en DSEE </v>
          </cell>
          <cell r="I183" t="str">
            <v>DNEE</v>
          </cell>
          <cell r="K183" t="str">
            <v>IDA</v>
          </cell>
          <cell r="L183" t="str">
            <v>AUT</v>
          </cell>
          <cell r="P183">
            <v>0</v>
          </cell>
          <cell r="Q183" t="str">
            <v>Sform</v>
          </cell>
          <cell r="S183">
            <v>2954.4</v>
          </cell>
          <cell r="T183">
            <v>1</v>
          </cell>
          <cell r="U183">
            <v>0</v>
          </cell>
          <cell r="V183">
            <v>0</v>
          </cell>
          <cell r="W183">
            <v>0</v>
          </cell>
          <cell r="X183">
            <v>0</v>
          </cell>
          <cell r="Y183">
            <v>0</v>
          </cell>
          <cell r="Z183">
            <v>0</v>
          </cell>
          <cell r="AA183">
            <v>0</v>
          </cell>
          <cell r="AB183">
            <v>0</v>
          </cell>
          <cell r="AC183">
            <v>0</v>
          </cell>
          <cell r="AD183">
            <v>0</v>
          </cell>
          <cell r="AE183">
            <v>0</v>
          </cell>
          <cell r="AF183">
            <v>0</v>
          </cell>
          <cell r="AH183">
            <v>0</v>
          </cell>
        </row>
        <row r="184">
          <cell r="B184" t="str">
            <v>ST/EPU</v>
          </cell>
          <cell r="C184" t="str">
            <v>B1A</v>
          </cell>
          <cell r="D184" t="str">
            <v>B1AE</v>
          </cell>
          <cell r="E184" t="str">
            <v>DSEE/GAOU</v>
          </cell>
          <cell r="G184">
            <v>15</v>
          </cell>
          <cell r="H184" t="str">
            <v xml:space="preserve">FORM CONT Subv form continue des maîtres en DSEE </v>
          </cell>
          <cell r="I184" t="str">
            <v>DNEE</v>
          </cell>
          <cell r="K184" t="str">
            <v>IDA</v>
          </cell>
          <cell r="L184" t="str">
            <v>AUT</v>
          </cell>
          <cell r="P184">
            <v>0</v>
          </cell>
          <cell r="Q184" t="str">
            <v>Sform</v>
          </cell>
          <cell r="S184">
            <v>2954.4</v>
          </cell>
          <cell r="T184">
            <v>1</v>
          </cell>
          <cell r="U184">
            <v>0</v>
          </cell>
          <cell r="V184">
            <v>0</v>
          </cell>
          <cell r="W184">
            <v>0</v>
          </cell>
          <cell r="X184">
            <v>0</v>
          </cell>
          <cell r="Y184">
            <v>0</v>
          </cell>
          <cell r="Z184">
            <v>0</v>
          </cell>
          <cell r="AA184">
            <v>0</v>
          </cell>
          <cell r="AB184">
            <v>0</v>
          </cell>
          <cell r="AC184">
            <v>0</v>
          </cell>
          <cell r="AD184">
            <v>0</v>
          </cell>
          <cell r="AE184">
            <v>0</v>
          </cell>
          <cell r="AF184">
            <v>0</v>
          </cell>
          <cell r="AH184">
            <v>0</v>
          </cell>
        </row>
        <row r="185">
          <cell r="B185" t="str">
            <v>ST/EPU</v>
          </cell>
          <cell r="C185" t="str">
            <v>B1A</v>
          </cell>
          <cell r="D185" t="str">
            <v>B1AE</v>
          </cell>
          <cell r="E185" t="str">
            <v>DSEE/KOUN</v>
          </cell>
          <cell r="G185">
            <v>15</v>
          </cell>
          <cell r="H185" t="str">
            <v xml:space="preserve">FORM CONT Subv form continue des maîtres en DSEE </v>
          </cell>
          <cell r="I185" t="str">
            <v>DNEE</v>
          </cell>
          <cell r="K185" t="str">
            <v>IDA</v>
          </cell>
          <cell r="L185" t="str">
            <v>AUT</v>
          </cell>
          <cell r="P185">
            <v>0</v>
          </cell>
          <cell r="Q185" t="str">
            <v>Sform</v>
          </cell>
          <cell r="S185">
            <v>2954.4</v>
          </cell>
          <cell r="T185">
            <v>1</v>
          </cell>
          <cell r="U185">
            <v>0</v>
          </cell>
          <cell r="V185">
            <v>0</v>
          </cell>
          <cell r="W185">
            <v>0</v>
          </cell>
          <cell r="X185">
            <v>0</v>
          </cell>
          <cell r="Y185">
            <v>0</v>
          </cell>
          <cell r="Z185">
            <v>0</v>
          </cell>
          <cell r="AA185">
            <v>0</v>
          </cell>
          <cell r="AB185">
            <v>0</v>
          </cell>
          <cell r="AC185">
            <v>0</v>
          </cell>
          <cell r="AD185">
            <v>0</v>
          </cell>
          <cell r="AE185">
            <v>0</v>
          </cell>
          <cell r="AF185">
            <v>0</v>
          </cell>
          <cell r="AH185">
            <v>0</v>
          </cell>
        </row>
        <row r="186">
          <cell r="B186" t="str">
            <v>ST/EPU</v>
          </cell>
          <cell r="C186" t="str">
            <v>B1A</v>
          </cell>
          <cell r="D186" t="str">
            <v>B1AE</v>
          </cell>
          <cell r="E186" t="str">
            <v>DSEE/DIXI</v>
          </cell>
          <cell r="G186">
            <v>15</v>
          </cell>
          <cell r="H186" t="str">
            <v xml:space="preserve">FORM CONT Subv form continue des maîtres en DSEE </v>
          </cell>
          <cell r="I186" t="str">
            <v>DNEE</v>
          </cell>
          <cell r="K186" t="str">
            <v>IDA</v>
          </cell>
          <cell r="L186" t="str">
            <v>AUT</v>
          </cell>
          <cell r="P186">
            <v>0</v>
          </cell>
          <cell r="Q186" t="str">
            <v>Sform</v>
          </cell>
          <cell r="S186">
            <v>2954.4</v>
          </cell>
          <cell r="T186">
            <v>1</v>
          </cell>
          <cell r="U186">
            <v>0</v>
          </cell>
          <cell r="V186">
            <v>0</v>
          </cell>
          <cell r="W186">
            <v>0</v>
          </cell>
          <cell r="X186">
            <v>0</v>
          </cell>
          <cell r="Y186">
            <v>0</v>
          </cell>
          <cell r="Z186">
            <v>0</v>
          </cell>
          <cell r="AA186">
            <v>0</v>
          </cell>
          <cell r="AB186">
            <v>0</v>
          </cell>
          <cell r="AC186">
            <v>0</v>
          </cell>
          <cell r="AD186">
            <v>0</v>
          </cell>
          <cell r="AE186">
            <v>0</v>
          </cell>
          <cell r="AF186">
            <v>0</v>
          </cell>
          <cell r="AH186">
            <v>0</v>
          </cell>
        </row>
        <row r="187">
          <cell r="B187" t="str">
            <v>ST/EPU</v>
          </cell>
          <cell r="C187" t="str">
            <v>B1A</v>
          </cell>
          <cell r="D187" t="str">
            <v>B1AE</v>
          </cell>
          <cell r="E187" t="str">
            <v>DSEE/KALO</v>
          </cell>
          <cell r="G187">
            <v>15</v>
          </cell>
          <cell r="H187" t="str">
            <v xml:space="preserve">FORM CONT Subv form continue des maîtres en DSEE </v>
          </cell>
          <cell r="I187" t="str">
            <v>DNEE</v>
          </cell>
          <cell r="K187" t="str">
            <v>IDA</v>
          </cell>
          <cell r="L187" t="str">
            <v>AUT</v>
          </cell>
          <cell r="P187">
            <v>0</v>
          </cell>
          <cell r="Q187" t="str">
            <v>Sform</v>
          </cell>
          <cell r="S187">
            <v>2954.4</v>
          </cell>
          <cell r="T187">
            <v>1</v>
          </cell>
          <cell r="U187">
            <v>0</v>
          </cell>
          <cell r="V187">
            <v>0</v>
          </cell>
          <cell r="W187">
            <v>0</v>
          </cell>
          <cell r="X187">
            <v>0</v>
          </cell>
          <cell r="Y187">
            <v>0</v>
          </cell>
          <cell r="Z187">
            <v>0</v>
          </cell>
          <cell r="AA187">
            <v>0</v>
          </cell>
          <cell r="AB187">
            <v>0</v>
          </cell>
          <cell r="AC187">
            <v>0</v>
          </cell>
          <cell r="AD187">
            <v>0</v>
          </cell>
          <cell r="AE187">
            <v>0</v>
          </cell>
          <cell r="AF187">
            <v>0</v>
          </cell>
          <cell r="AH187">
            <v>0</v>
          </cell>
        </row>
        <row r="188">
          <cell r="B188" t="str">
            <v>ST/EPU</v>
          </cell>
          <cell r="C188" t="str">
            <v>B1A</v>
          </cell>
          <cell r="D188" t="str">
            <v>B1AE</v>
          </cell>
          <cell r="E188" t="str">
            <v>DSEE/MATA</v>
          </cell>
          <cell r="G188">
            <v>15</v>
          </cell>
          <cell r="H188" t="str">
            <v xml:space="preserve">FORM CONT Subv form continue des maîtres en DSEE </v>
          </cell>
          <cell r="I188" t="str">
            <v>DNEE</v>
          </cell>
          <cell r="K188" t="str">
            <v>IDA</v>
          </cell>
          <cell r="L188" t="str">
            <v>AUT</v>
          </cell>
          <cell r="P188">
            <v>0</v>
          </cell>
          <cell r="Q188" t="str">
            <v>Sform</v>
          </cell>
          <cell r="S188">
            <v>2954.4</v>
          </cell>
          <cell r="T188">
            <v>1</v>
          </cell>
          <cell r="U188">
            <v>0</v>
          </cell>
          <cell r="V188">
            <v>0</v>
          </cell>
          <cell r="W188">
            <v>0</v>
          </cell>
          <cell r="X188">
            <v>0</v>
          </cell>
          <cell r="Y188">
            <v>0</v>
          </cell>
          <cell r="Z188">
            <v>0</v>
          </cell>
          <cell r="AA188">
            <v>0</v>
          </cell>
          <cell r="AB188">
            <v>0</v>
          </cell>
          <cell r="AC188">
            <v>0</v>
          </cell>
          <cell r="AD188">
            <v>0</v>
          </cell>
          <cell r="AE188">
            <v>0</v>
          </cell>
          <cell r="AF188">
            <v>0</v>
          </cell>
          <cell r="AH188">
            <v>0</v>
          </cell>
        </row>
        <row r="189">
          <cell r="B189" t="str">
            <v>ST/EPU</v>
          </cell>
          <cell r="C189" t="str">
            <v>B1A</v>
          </cell>
          <cell r="D189" t="str">
            <v>B1AE</v>
          </cell>
          <cell r="E189" t="str">
            <v>DSEE/MATO</v>
          </cell>
          <cell r="G189">
            <v>15</v>
          </cell>
          <cell r="H189" t="str">
            <v xml:space="preserve">FORM CONT Subv form continue des maîtres en DSEE </v>
          </cell>
          <cell r="I189" t="str">
            <v>DNEE</v>
          </cell>
          <cell r="K189" t="str">
            <v>IDA</v>
          </cell>
          <cell r="L189" t="str">
            <v>AUT</v>
          </cell>
          <cell r="P189">
            <v>0</v>
          </cell>
          <cell r="Q189" t="str">
            <v>Sform</v>
          </cell>
          <cell r="S189">
            <v>2954.4</v>
          </cell>
          <cell r="T189">
            <v>1</v>
          </cell>
          <cell r="U189">
            <v>0</v>
          </cell>
          <cell r="V189">
            <v>0</v>
          </cell>
          <cell r="W189">
            <v>0</v>
          </cell>
          <cell r="X189">
            <v>0</v>
          </cell>
          <cell r="Y189">
            <v>0</v>
          </cell>
          <cell r="Z189">
            <v>0</v>
          </cell>
          <cell r="AA189">
            <v>0</v>
          </cell>
          <cell r="AB189">
            <v>0</v>
          </cell>
          <cell r="AC189">
            <v>0</v>
          </cell>
          <cell r="AD189">
            <v>0</v>
          </cell>
          <cell r="AE189">
            <v>0</v>
          </cell>
          <cell r="AF189">
            <v>0</v>
          </cell>
          <cell r="AH189">
            <v>0</v>
          </cell>
        </row>
        <row r="190">
          <cell r="B190" t="str">
            <v>ST/EPU</v>
          </cell>
          <cell r="C190" t="str">
            <v>B1A</v>
          </cell>
          <cell r="D190" t="str">
            <v>B1AE</v>
          </cell>
          <cell r="E190" t="str">
            <v>DSEE/RATO</v>
          </cell>
          <cell r="G190">
            <v>15</v>
          </cell>
          <cell r="H190" t="str">
            <v xml:space="preserve">FORM CONT Subv form continue des maîtres en DSEE </v>
          </cell>
          <cell r="I190" t="str">
            <v>DNEE</v>
          </cell>
          <cell r="K190" t="str">
            <v>IDA</v>
          </cell>
          <cell r="L190" t="str">
            <v>AUT</v>
          </cell>
          <cell r="P190">
            <v>0</v>
          </cell>
          <cell r="Q190" t="str">
            <v>Sform</v>
          </cell>
          <cell r="S190">
            <v>2954.4</v>
          </cell>
          <cell r="T190">
            <v>1</v>
          </cell>
          <cell r="U190">
            <v>0</v>
          </cell>
          <cell r="V190">
            <v>0</v>
          </cell>
          <cell r="W190">
            <v>0</v>
          </cell>
          <cell r="X190">
            <v>0</v>
          </cell>
          <cell r="Y190">
            <v>0</v>
          </cell>
          <cell r="Z190">
            <v>0</v>
          </cell>
          <cell r="AA190">
            <v>0</v>
          </cell>
          <cell r="AB190">
            <v>0</v>
          </cell>
          <cell r="AC190">
            <v>0</v>
          </cell>
          <cell r="AD190">
            <v>0</v>
          </cell>
          <cell r="AE190">
            <v>0</v>
          </cell>
          <cell r="AF190">
            <v>0</v>
          </cell>
          <cell r="AH190">
            <v>0</v>
          </cell>
        </row>
        <row r="191">
          <cell r="B191" t="str">
            <v>ST/EPU</v>
          </cell>
          <cell r="C191" t="str">
            <v>B1A</v>
          </cell>
          <cell r="D191" t="str">
            <v>B1AE</v>
          </cell>
          <cell r="E191" t="str">
            <v>DSEE/DABO</v>
          </cell>
          <cell r="G191">
            <v>15</v>
          </cell>
          <cell r="H191" t="str">
            <v xml:space="preserve">FORM CONT Subv form continue des maîtres en DSEE </v>
          </cell>
          <cell r="I191" t="str">
            <v>DNEE</v>
          </cell>
          <cell r="K191" t="str">
            <v>IDA</v>
          </cell>
          <cell r="L191" t="str">
            <v>AUT</v>
          </cell>
          <cell r="P191">
            <v>0</v>
          </cell>
          <cell r="Q191" t="str">
            <v>Sform</v>
          </cell>
          <cell r="S191">
            <v>2954.4</v>
          </cell>
          <cell r="T191">
            <v>1</v>
          </cell>
          <cell r="U191">
            <v>0</v>
          </cell>
          <cell r="V191">
            <v>0</v>
          </cell>
          <cell r="W191">
            <v>0</v>
          </cell>
          <cell r="X191">
            <v>0</v>
          </cell>
          <cell r="Y191">
            <v>0</v>
          </cell>
          <cell r="Z191">
            <v>0</v>
          </cell>
          <cell r="AA191">
            <v>0</v>
          </cell>
          <cell r="AB191">
            <v>0</v>
          </cell>
          <cell r="AC191">
            <v>0</v>
          </cell>
          <cell r="AD191">
            <v>0</v>
          </cell>
          <cell r="AE191">
            <v>0</v>
          </cell>
          <cell r="AF191">
            <v>0</v>
          </cell>
          <cell r="AH191">
            <v>0</v>
          </cell>
        </row>
        <row r="192">
          <cell r="B192" t="str">
            <v>ST/EPU</v>
          </cell>
          <cell r="C192" t="str">
            <v>B1A</v>
          </cell>
          <cell r="D192" t="str">
            <v>B1AE</v>
          </cell>
          <cell r="E192" t="str">
            <v>DSEE/DING</v>
          </cell>
          <cell r="G192">
            <v>15</v>
          </cell>
          <cell r="H192" t="str">
            <v xml:space="preserve">FORM CONT Subv form continue des maîtres en DSEE </v>
          </cell>
          <cell r="I192" t="str">
            <v>DNEE</v>
          </cell>
          <cell r="K192" t="str">
            <v>IDA</v>
          </cell>
          <cell r="L192" t="str">
            <v>AUT</v>
          </cell>
          <cell r="P192">
            <v>0</v>
          </cell>
          <cell r="Q192" t="str">
            <v>Sform</v>
          </cell>
          <cell r="S192">
            <v>2954.4</v>
          </cell>
          <cell r="T192">
            <v>1</v>
          </cell>
          <cell r="U192">
            <v>0</v>
          </cell>
          <cell r="V192">
            <v>0</v>
          </cell>
          <cell r="W192">
            <v>0</v>
          </cell>
          <cell r="X192">
            <v>0</v>
          </cell>
          <cell r="Y192">
            <v>0</v>
          </cell>
          <cell r="Z192">
            <v>0</v>
          </cell>
          <cell r="AA192">
            <v>0</v>
          </cell>
          <cell r="AB192">
            <v>0</v>
          </cell>
          <cell r="AC192">
            <v>0</v>
          </cell>
          <cell r="AD192">
            <v>0</v>
          </cell>
          <cell r="AE192">
            <v>0</v>
          </cell>
          <cell r="AF192">
            <v>0</v>
          </cell>
          <cell r="AH192">
            <v>0</v>
          </cell>
        </row>
        <row r="193">
          <cell r="B193" t="str">
            <v>ST/EPU</v>
          </cell>
          <cell r="C193" t="str">
            <v>B1A</v>
          </cell>
          <cell r="D193" t="str">
            <v>B1AE</v>
          </cell>
          <cell r="E193" t="str">
            <v>DSEE/FARA</v>
          </cell>
          <cell r="G193">
            <v>15</v>
          </cell>
          <cell r="H193" t="str">
            <v xml:space="preserve">FORM CONT Subv form continue des maîtres en DSEE </v>
          </cell>
          <cell r="I193" t="str">
            <v>DNEE</v>
          </cell>
          <cell r="K193" t="str">
            <v>IDA</v>
          </cell>
          <cell r="L193" t="str">
            <v>AUT</v>
          </cell>
          <cell r="P193">
            <v>0</v>
          </cell>
          <cell r="Q193" t="str">
            <v>Sform</v>
          </cell>
          <cell r="S193">
            <v>2954.4</v>
          </cell>
          <cell r="T193">
            <v>1</v>
          </cell>
          <cell r="U193">
            <v>0</v>
          </cell>
          <cell r="V193">
            <v>0</v>
          </cell>
          <cell r="W193">
            <v>0</v>
          </cell>
          <cell r="X193">
            <v>0</v>
          </cell>
          <cell r="Y193">
            <v>0</v>
          </cell>
          <cell r="Z193">
            <v>0</v>
          </cell>
          <cell r="AA193">
            <v>0</v>
          </cell>
          <cell r="AB193">
            <v>0</v>
          </cell>
          <cell r="AC193">
            <v>0</v>
          </cell>
          <cell r="AD193">
            <v>0</v>
          </cell>
          <cell r="AE193">
            <v>0</v>
          </cell>
          <cell r="AF193">
            <v>0</v>
          </cell>
          <cell r="AH193">
            <v>0</v>
          </cell>
        </row>
        <row r="194">
          <cell r="B194" t="str">
            <v>ST/EPU</v>
          </cell>
          <cell r="C194" t="str">
            <v>B1A</v>
          </cell>
          <cell r="D194" t="str">
            <v>B1AE</v>
          </cell>
          <cell r="E194" t="str">
            <v>DSEE/KISS</v>
          </cell>
          <cell r="G194">
            <v>15</v>
          </cell>
          <cell r="H194" t="str">
            <v xml:space="preserve">FORM CONT Subv form continue des maîtres en DSEE </v>
          </cell>
          <cell r="I194" t="str">
            <v>DNEE</v>
          </cell>
          <cell r="K194" t="str">
            <v>IDA</v>
          </cell>
          <cell r="L194" t="str">
            <v>AUT</v>
          </cell>
          <cell r="P194">
            <v>0</v>
          </cell>
          <cell r="Q194" t="str">
            <v>Sform</v>
          </cell>
          <cell r="S194">
            <v>2954.4</v>
          </cell>
          <cell r="T194">
            <v>1</v>
          </cell>
          <cell r="U194">
            <v>0</v>
          </cell>
          <cell r="V194">
            <v>0</v>
          </cell>
          <cell r="W194">
            <v>0</v>
          </cell>
          <cell r="X194">
            <v>0</v>
          </cell>
          <cell r="Y194">
            <v>0</v>
          </cell>
          <cell r="Z194">
            <v>0</v>
          </cell>
          <cell r="AA194">
            <v>0</v>
          </cell>
          <cell r="AB194">
            <v>0</v>
          </cell>
          <cell r="AC194">
            <v>0</v>
          </cell>
          <cell r="AD194">
            <v>0</v>
          </cell>
          <cell r="AE194">
            <v>0</v>
          </cell>
          <cell r="AF194">
            <v>0</v>
          </cell>
          <cell r="AH194">
            <v>0</v>
          </cell>
        </row>
        <row r="195">
          <cell r="B195" t="str">
            <v>ST/EPU</v>
          </cell>
          <cell r="C195" t="str">
            <v>B1A</v>
          </cell>
          <cell r="D195" t="str">
            <v>B1AE</v>
          </cell>
          <cell r="E195" t="str">
            <v>DSEE/KANK</v>
          </cell>
          <cell r="G195">
            <v>15</v>
          </cell>
          <cell r="H195" t="str">
            <v xml:space="preserve">FORM CONT Subv form continue des maîtres en DSEE </v>
          </cell>
          <cell r="I195" t="str">
            <v>DNEE</v>
          </cell>
          <cell r="K195" t="str">
            <v>IDA</v>
          </cell>
          <cell r="L195" t="str">
            <v>AUT</v>
          </cell>
          <cell r="P195">
            <v>0</v>
          </cell>
          <cell r="Q195" t="str">
            <v>Sform</v>
          </cell>
          <cell r="S195">
            <v>2954.4</v>
          </cell>
          <cell r="T195">
            <v>1</v>
          </cell>
          <cell r="U195">
            <v>0</v>
          </cell>
          <cell r="V195">
            <v>0</v>
          </cell>
          <cell r="W195">
            <v>0</v>
          </cell>
          <cell r="X195">
            <v>0</v>
          </cell>
          <cell r="Y195">
            <v>0</v>
          </cell>
          <cell r="Z195">
            <v>0</v>
          </cell>
          <cell r="AA195">
            <v>0</v>
          </cell>
          <cell r="AB195">
            <v>0</v>
          </cell>
          <cell r="AC195">
            <v>0</v>
          </cell>
          <cell r="AD195">
            <v>0</v>
          </cell>
          <cell r="AE195">
            <v>0</v>
          </cell>
          <cell r="AF195">
            <v>0</v>
          </cell>
          <cell r="AH195">
            <v>0</v>
          </cell>
        </row>
        <row r="196">
          <cell r="B196" t="str">
            <v>ST/EPU</v>
          </cell>
          <cell r="C196" t="str">
            <v>B1A</v>
          </cell>
          <cell r="D196" t="str">
            <v>B1AE</v>
          </cell>
          <cell r="E196" t="str">
            <v>DSEE/KERO</v>
          </cell>
          <cell r="G196">
            <v>15</v>
          </cell>
          <cell r="H196" t="str">
            <v xml:space="preserve">FORM CONT Subv form continue des maîtres en DSEE </v>
          </cell>
          <cell r="I196" t="str">
            <v>DNEE</v>
          </cell>
          <cell r="K196" t="str">
            <v>IDA</v>
          </cell>
          <cell r="L196" t="str">
            <v>AUT</v>
          </cell>
          <cell r="P196">
            <v>0</v>
          </cell>
          <cell r="Q196" t="str">
            <v>Sform</v>
          </cell>
          <cell r="S196">
            <v>2954.4</v>
          </cell>
          <cell r="T196">
            <v>1</v>
          </cell>
          <cell r="U196">
            <v>0</v>
          </cell>
          <cell r="V196">
            <v>0</v>
          </cell>
          <cell r="W196">
            <v>0</v>
          </cell>
          <cell r="X196">
            <v>0</v>
          </cell>
          <cell r="Y196">
            <v>0</v>
          </cell>
          <cell r="Z196">
            <v>0</v>
          </cell>
          <cell r="AA196">
            <v>0</v>
          </cell>
          <cell r="AB196">
            <v>0</v>
          </cell>
          <cell r="AC196">
            <v>0</v>
          </cell>
          <cell r="AD196">
            <v>0</v>
          </cell>
          <cell r="AE196">
            <v>0</v>
          </cell>
          <cell r="AF196">
            <v>0</v>
          </cell>
          <cell r="AH196">
            <v>0</v>
          </cell>
        </row>
        <row r="197">
          <cell r="B197" t="str">
            <v>ST/EPU</v>
          </cell>
          <cell r="C197" t="str">
            <v>B1A</v>
          </cell>
          <cell r="D197" t="str">
            <v>B1AE</v>
          </cell>
          <cell r="E197" t="str">
            <v>DSEE/KOUR</v>
          </cell>
          <cell r="G197">
            <v>15</v>
          </cell>
          <cell r="H197" t="str">
            <v xml:space="preserve">FORM CONT Subv form continue des maîtres en DSEE </v>
          </cell>
          <cell r="I197" t="str">
            <v>DNEE</v>
          </cell>
          <cell r="K197" t="str">
            <v>IDA</v>
          </cell>
          <cell r="L197" t="str">
            <v>AUT</v>
          </cell>
          <cell r="P197">
            <v>0</v>
          </cell>
          <cell r="Q197" t="str">
            <v>Sform</v>
          </cell>
          <cell r="S197">
            <v>2954.4</v>
          </cell>
          <cell r="T197">
            <v>1</v>
          </cell>
          <cell r="U197">
            <v>0</v>
          </cell>
          <cell r="V197">
            <v>0</v>
          </cell>
          <cell r="W197">
            <v>0</v>
          </cell>
          <cell r="X197">
            <v>0</v>
          </cell>
          <cell r="Y197">
            <v>0</v>
          </cell>
          <cell r="Z197">
            <v>0</v>
          </cell>
          <cell r="AA197">
            <v>0</v>
          </cell>
          <cell r="AB197">
            <v>0</v>
          </cell>
          <cell r="AC197">
            <v>0</v>
          </cell>
          <cell r="AD197">
            <v>0</v>
          </cell>
          <cell r="AE197">
            <v>0</v>
          </cell>
          <cell r="AF197">
            <v>0</v>
          </cell>
          <cell r="AH197">
            <v>0</v>
          </cell>
        </row>
        <row r="198">
          <cell r="B198" t="str">
            <v>ST/EPU</v>
          </cell>
          <cell r="C198" t="str">
            <v>B1A</v>
          </cell>
          <cell r="D198" t="str">
            <v>B1AE</v>
          </cell>
          <cell r="E198" t="str">
            <v>DSEE/MAND</v>
          </cell>
          <cell r="G198">
            <v>15</v>
          </cell>
          <cell r="H198" t="str">
            <v xml:space="preserve">FORM CONT Subv form continue des maîtres en DSEE </v>
          </cell>
          <cell r="I198" t="str">
            <v>DNEE</v>
          </cell>
          <cell r="K198" t="str">
            <v>IDA</v>
          </cell>
          <cell r="L198" t="str">
            <v>AUT</v>
          </cell>
          <cell r="P198">
            <v>0</v>
          </cell>
          <cell r="Q198" t="str">
            <v>Sform</v>
          </cell>
          <cell r="S198">
            <v>2954.4</v>
          </cell>
          <cell r="T198">
            <v>1</v>
          </cell>
          <cell r="U198">
            <v>0</v>
          </cell>
          <cell r="V198">
            <v>0</v>
          </cell>
          <cell r="W198">
            <v>0</v>
          </cell>
          <cell r="X198">
            <v>0</v>
          </cell>
          <cell r="Y198">
            <v>0</v>
          </cell>
          <cell r="Z198">
            <v>0</v>
          </cell>
          <cell r="AA198">
            <v>0</v>
          </cell>
          <cell r="AB198">
            <v>0</v>
          </cell>
          <cell r="AC198">
            <v>0</v>
          </cell>
          <cell r="AD198">
            <v>0</v>
          </cell>
          <cell r="AE198">
            <v>0</v>
          </cell>
          <cell r="AF198">
            <v>0</v>
          </cell>
          <cell r="AH198">
            <v>0</v>
          </cell>
        </row>
        <row r="199">
          <cell r="B199" t="str">
            <v>ST/EPU</v>
          </cell>
          <cell r="C199" t="str">
            <v>B1A</v>
          </cell>
          <cell r="D199" t="str">
            <v>B1AE</v>
          </cell>
          <cell r="E199" t="str">
            <v>DSEE/SIGU</v>
          </cell>
          <cell r="G199">
            <v>15</v>
          </cell>
          <cell r="H199" t="str">
            <v xml:space="preserve">FORM CONT Subv form continue des maîtres en DSEE </v>
          </cell>
          <cell r="I199" t="str">
            <v>DNEE</v>
          </cell>
          <cell r="K199" t="str">
            <v>IDA</v>
          </cell>
          <cell r="L199" t="str">
            <v>AUT</v>
          </cell>
          <cell r="P199">
            <v>0</v>
          </cell>
          <cell r="Q199" t="str">
            <v>Sform</v>
          </cell>
          <cell r="S199">
            <v>2954.4</v>
          </cell>
          <cell r="T199">
            <v>1</v>
          </cell>
          <cell r="U199">
            <v>0</v>
          </cell>
          <cell r="V199">
            <v>0</v>
          </cell>
          <cell r="W199">
            <v>0</v>
          </cell>
          <cell r="X199">
            <v>0</v>
          </cell>
          <cell r="Y199">
            <v>0</v>
          </cell>
          <cell r="Z199">
            <v>0</v>
          </cell>
          <cell r="AA199">
            <v>0</v>
          </cell>
          <cell r="AB199">
            <v>0</v>
          </cell>
          <cell r="AC199">
            <v>0</v>
          </cell>
          <cell r="AD199">
            <v>0</v>
          </cell>
          <cell r="AE199">
            <v>0</v>
          </cell>
          <cell r="AF199">
            <v>0</v>
          </cell>
          <cell r="AH199">
            <v>0</v>
          </cell>
        </row>
        <row r="200">
          <cell r="B200" t="str">
            <v>ST/EPU</v>
          </cell>
          <cell r="C200" t="str">
            <v>B1A</v>
          </cell>
          <cell r="D200" t="str">
            <v>B1AE</v>
          </cell>
          <cell r="E200" t="str">
            <v>DSEE/COYA</v>
          </cell>
          <cell r="G200">
            <v>15</v>
          </cell>
          <cell r="H200" t="str">
            <v xml:space="preserve">FORM CONT Subv form continue des maîtres en DSEE </v>
          </cell>
          <cell r="I200" t="str">
            <v>DNEE</v>
          </cell>
          <cell r="K200" t="str">
            <v>IDA</v>
          </cell>
          <cell r="L200" t="str">
            <v>AUT</v>
          </cell>
          <cell r="P200">
            <v>0</v>
          </cell>
          <cell r="Q200" t="str">
            <v>Sform</v>
          </cell>
          <cell r="S200">
            <v>2954.4</v>
          </cell>
          <cell r="T200">
            <v>1</v>
          </cell>
          <cell r="U200">
            <v>0</v>
          </cell>
          <cell r="V200">
            <v>0</v>
          </cell>
          <cell r="W200">
            <v>0</v>
          </cell>
          <cell r="X200">
            <v>0</v>
          </cell>
          <cell r="Y200">
            <v>0</v>
          </cell>
          <cell r="Z200">
            <v>0</v>
          </cell>
          <cell r="AA200">
            <v>0</v>
          </cell>
          <cell r="AB200">
            <v>0</v>
          </cell>
          <cell r="AC200">
            <v>0</v>
          </cell>
          <cell r="AD200">
            <v>0</v>
          </cell>
          <cell r="AE200">
            <v>0</v>
          </cell>
          <cell r="AF200">
            <v>0</v>
          </cell>
          <cell r="AH200">
            <v>0</v>
          </cell>
        </row>
        <row r="201">
          <cell r="B201" t="str">
            <v>ST/EPU</v>
          </cell>
          <cell r="C201" t="str">
            <v>B1A</v>
          </cell>
          <cell r="D201" t="str">
            <v>B1AE</v>
          </cell>
          <cell r="E201" t="str">
            <v>DSEE/DUBR</v>
          </cell>
          <cell r="G201">
            <v>15</v>
          </cell>
          <cell r="H201" t="str">
            <v xml:space="preserve">FORM CONT Subv form continue des maîtres en DSEE </v>
          </cell>
          <cell r="I201" t="str">
            <v>DNEE</v>
          </cell>
          <cell r="K201" t="str">
            <v>IDA</v>
          </cell>
          <cell r="L201" t="str">
            <v>AUT</v>
          </cell>
          <cell r="P201">
            <v>0</v>
          </cell>
          <cell r="Q201" t="str">
            <v>Sform</v>
          </cell>
          <cell r="S201">
            <v>2954.4</v>
          </cell>
          <cell r="T201">
            <v>1</v>
          </cell>
          <cell r="U201">
            <v>0</v>
          </cell>
          <cell r="V201">
            <v>0</v>
          </cell>
          <cell r="W201">
            <v>0</v>
          </cell>
          <cell r="X201">
            <v>0</v>
          </cell>
          <cell r="Y201">
            <v>0</v>
          </cell>
          <cell r="Z201">
            <v>0</v>
          </cell>
          <cell r="AA201">
            <v>0</v>
          </cell>
          <cell r="AB201">
            <v>0</v>
          </cell>
          <cell r="AC201">
            <v>0</v>
          </cell>
          <cell r="AD201">
            <v>0</v>
          </cell>
          <cell r="AE201">
            <v>0</v>
          </cell>
          <cell r="AF201">
            <v>0</v>
          </cell>
          <cell r="AH201">
            <v>0</v>
          </cell>
        </row>
        <row r="202">
          <cell r="B202" t="str">
            <v>ST/EPU</v>
          </cell>
          <cell r="C202" t="str">
            <v>B1A</v>
          </cell>
          <cell r="D202" t="str">
            <v>B1AE</v>
          </cell>
          <cell r="E202" t="str">
            <v>DSEE/FORE</v>
          </cell>
          <cell r="G202">
            <v>15</v>
          </cell>
          <cell r="H202" t="str">
            <v xml:space="preserve">FORM CONT Subv form continue des maîtres en DSEE </v>
          </cell>
          <cell r="I202" t="str">
            <v>DNEE</v>
          </cell>
          <cell r="K202" t="str">
            <v>IDA</v>
          </cell>
          <cell r="L202" t="str">
            <v>AUT</v>
          </cell>
          <cell r="P202">
            <v>0</v>
          </cell>
          <cell r="Q202" t="str">
            <v>Sform</v>
          </cell>
          <cell r="S202">
            <v>2954.4</v>
          </cell>
          <cell r="T202">
            <v>1</v>
          </cell>
          <cell r="U202">
            <v>0</v>
          </cell>
          <cell r="V202">
            <v>0</v>
          </cell>
          <cell r="W202">
            <v>0</v>
          </cell>
          <cell r="X202">
            <v>0</v>
          </cell>
          <cell r="Y202">
            <v>0</v>
          </cell>
          <cell r="Z202">
            <v>0</v>
          </cell>
          <cell r="AA202">
            <v>0</v>
          </cell>
          <cell r="AB202">
            <v>0</v>
          </cell>
          <cell r="AC202">
            <v>0</v>
          </cell>
          <cell r="AD202">
            <v>0</v>
          </cell>
          <cell r="AE202">
            <v>0</v>
          </cell>
          <cell r="AF202">
            <v>0</v>
          </cell>
          <cell r="AH202">
            <v>0</v>
          </cell>
        </row>
        <row r="203">
          <cell r="B203" t="str">
            <v>ST/EPU</v>
          </cell>
          <cell r="C203" t="str">
            <v>B1A</v>
          </cell>
          <cell r="D203" t="str">
            <v>B1AE</v>
          </cell>
          <cell r="E203" t="str">
            <v>DSEE/KIND</v>
          </cell>
          <cell r="G203">
            <v>15</v>
          </cell>
          <cell r="H203" t="str">
            <v xml:space="preserve">FORM CONT Subv form continue des maîtres en DSEE </v>
          </cell>
          <cell r="I203" t="str">
            <v>DNEE</v>
          </cell>
          <cell r="K203" t="str">
            <v>IDA</v>
          </cell>
          <cell r="L203" t="str">
            <v>AUT</v>
          </cell>
          <cell r="P203">
            <v>0</v>
          </cell>
          <cell r="Q203" t="str">
            <v>Sform</v>
          </cell>
          <cell r="S203">
            <v>2954.4</v>
          </cell>
          <cell r="T203">
            <v>1</v>
          </cell>
          <cell r="U203">
            <v>0</v>
          </cell>
          <cell r="V203">
            <v>0</v>
          </cell>
          <cell r="W203">
            <v>0</v>
          </cell>
          <cell r="X203">
            <v>0</v>
          </cell>
          <cell r="Y203">
            <v>0</v>
          </cell>
          <cell r="Z203">
            <v>0</v>
          </cell>
          <cell r="AA203">
            <v>0</v>
          </cell>
          <cell r="AB203">
            <v>0</v>
          </cell>
          <cell r="AC203">
            <v>0</v>
          </cell>
          <cell r="AD203">
            <v>0</v>
          </cell>
          <cell r="AE203">
            <v>0</v>
          </cell>
          <cell r="AF203">
            <v>0</v>
          </cell>
          <cell r="AH203">
            <v>0</v>
          </cell>
        </row>
        <row r="204">
          <cell r="B204" t="str">
            <v>ST/EPU</v>
          </cell>
          <cell r="C204" t="str">
            <v>B1A</v>
          </cell>
          <cell r="D204" t="str">
            <v>B1AE</v>
          </cell>
          <cell r="E204" t="str">
            <v>DSEE/TELE</v>
          </cell>
          <cell r="G204">
            <v>15</v>
          </cell>
          <cell r="H204" t="str">
            <v xml:space="preserve">FORM CONT Subv form continue des maîtres en DSEE </v>
          </cell>
          <cell r="I204" t="str">
            <v>DNEE</v>
          </cell>
          <cell r="K204" t="str">
            <v>IDA</v>
          </cell>
          <cell r="L204" t="str">
            <v>AUT</v>
          </cell>
          <cell r="P204">
            <v>0</v>
          </cell>
          <cell r="Q204" t="str">
            <v>Sform</v>
          </cell>
          <cell r="S204">
            <v>2954.4</v>
          </cell>
          <cell r="T204">
            <v>1</v>
          </cell>
          <cell r="U204">
            <v>0</v>
          </cell>
          <cell r="V204">
            <v>0</v>
          </cell>
          <cell r="W204">
            <v>0</v>
          </cell>
          <cell r="X204">
            <v>0</v>
          </cell>
          <cell r="Y204">
            <v>0</v>
          </cell>
          <cell r="Z204">
            <v>0</v>
          </cell>
          <cell r="AA204">
            <v>0</v>
          </cell>
          <cell r="AB204">
            <v>0</v>
          </cell>
          <cell r="AC204">
            <v>0</v>
          </cell>
          <cell r="AD204">
            <v>0</v>
          </cell>
          <cell r="AE204">
            <v>0</v>
          </cell>
          <cell r="AF204">
            <v>0</v>
          </cell>
          <cell r="AH204">
            <v>0</v>
          </cell>
        </row>
        <row r="205">
          <cell r="B205" t="str">
            <v>ST/EPU</v>
          </cell>
          <cell r="C205" t="str">
            <v>B1A</v>
          </cell>
          <cell r="D205" t="str">
            <v>B1AE</v>
          </cell>
          <cell r="E205" t="str">
            <v>DSEE/KOUB</v>
          </cell>
          <cell r="G205">
            <v>15</v>
          </cell>
          <cell r="H205" t="str">
            <v xml:space="preserve">FORM CONT Subv form continue des maîtres en DSEE </v>
          </cell>
          <cell r="I205" t="str">
            <v>DNEE</v>
          </cell>
          <cell r="K205" t="str">
            <v>IDA</v>
          </cell>
          <cell r="L205" t="str">
            <v>AUT</v>
          </cell>
          <cell r="P205">
            <v>0</v>
          </cell>
          <cell r="Q205" t="str">
            <v>Sform</v>
          </cell>
          <cell r="S205">
            <v>2954.4</v>
          </cell>
          <cell r="T205">
            <v>1</v>
          </cell>
          <cell r="U205">
            <v>0</v>
          </cell>
          <cell r="V205">
            <v>0</v>
          </cell>
          <cell r="W205">
            <v>0</v>
          </cell>
          <cell r="X205">
            <v>0</v>
          </cell>
          <cell r="Y205">
            <v>0</v>
          </cell>
          <cell r="Z205">
            <v>0</v>
          </cell>
          <cell r="AA205">
            <v>0</v>
          </cell>
          <cell r="AB205">
            <v>0</v>
          </cell>
          <cell r="AC205">
            <v>0</v>
          </cell>
          <cell r="AD205">
            <v>0</v>
          </cell>
          <cell r="AE205">
            <v>0</v>
          </cell>
          <cell r="AF205">
            <v>0</v>
          </cell>
          <cell r="AH205">
            <v>0</v>
          </cell>
        </row>
        <row r="206">
          <cell r="B206" t="str">
            <v>ST/EPU</v>
          </cell>
          <cell r="C206" t="str">
            <v>B1A</v>
          </cell>
          <cell r="D206" t="str">
            <v>B1AE</v>
          </cell>
          <cell r="E206" t="str">
            <v>DSEE/LABE</v>
          </cell>
          <cell r="G206">
            <v>15</v>
          </cell>
          <cell r="H206" t="str">
            <v xml:space="preserve">FORM CONT Subv form continue des maîtres en DSEE </v>
          </cell>
          <cell r="I206" t="str">
            <v>DNEE</v>
          </cell>
          <cell r="K206" t="str">
            <v>IDA</v>
          </cell>
          <cell r="L206" t="str">
            <v>AUT</v>
          </cell>
          <cell r="P206">
            <v>0</v>
          </cell>
          <cell r="Q206" t="str">
            <v>Sform</v>
          </cell>
          <cell r="S206">
            <v>2954.4</v>
          </cell>
          <cell r="T206">
            <v>1</v>
          </cell>
          <cell r="U206">
            <v>0</v>
          </cell>
          <cell r="V206">
            <v>0</v>
          </cell>
          <cell r="W206">
            <v>0</v>
          </cell>
          <cell r="X206">
            <v>0</v>
          </cell>
          <cell r="Y206">
            <v>0</v>
          </cell>
          <cell r="Z206">
            <v>0</v>
          </cell>
          <cell r="AA206">
            <v>0</v>
          </cell>
          <cell r="AB206">
            <v>0</v>
          </cell>
          <cell r="AC206">
            <v>0</v>
          </cell>
          <cell r="AD206">
            <v>0</v>
          </cell>
          <cell r="AE206">
            <v>0</v>
          </cell>
          <cell r="AF206">
            <v>0</v>
          </cell>
          <cell r="AH206">
            <v>0</v>
          </cell>
        </row>
        <row r="207">
          <cell r="B207" t="str">
            <v>ST/EPU</v>
          </cell>
          <cell r="C207" t="str">
            <v>B1A</v>
          </cell>
          <cell r="D207" t="str">
            <v>B1AE</v>
          </cell>
          <cell r="E207" t="str">
            <v>DSEE/LELO</v>
          </cell>
          <cell r="G207">
            <v>15</v>
          </cell>
          <cell r="H207" t="str">
            <v xml:space="preserve">FORM CONT Subv form continue des maîtres en DSEE </v>
          </cell>
          <cell r="I207" t="str">
            <v>DNEE</v>
          </cell>
          <cell r="K207" t="str">
            <v>IDA</v>
          </cell>
          <cell r="L207" t="str">
            <v>AUT</v>
          </cell>
          <cell r="P207">
            <v>0</v>
          </cell>
          <cell r="Q207" t="str">
            <v>Sform</v>
          </cell>
          <cell r="S207">
            <v>2954.4</v>
          </cell>
          <cell r="T207">
            <v>1</v>
          </cell>
          <cell r="U207">
            <v>0</v>
          </cell>
          <cell r="V207">
            <v>0</v>
          </cell>
          <cell r="W207">
            <v>0</v>
          </cell>
          <cell r="X207">
            <v>0</v>
          </cell>
          <cell r="Y207">
            <v>0</v>
          </cell>
          <cell r="Z207">
            <v>0</v>
          </cell>
          <cell r="AA207">
            <v>0</v>
          </cell>
          <cell r="AB207">
            <v>0</v>
          </cell>
          <cell r="AC207">
            <v>0</v>
          </cell>
          <cell r="AD207">
            <v>0</v>
          </cell>
          <cell r="AE207">
            <v>0</v>
          </cell>
          <cell r="AF207">
            <v>0</v>
          </cell>
          <cell r="AH207">
            <v>0</v>
          </cell>
        </row>
        <row r="208">
          <cell r="B208" t="str">
            <v>ST/EPU</v>
          </cell>
          <cell r="C208" t="str">
            <v>B1A</v>
          </cell>
          <cell r="D208" t="str">
            <v>B1AE</v>
          </cell>
          <cell r="E208" t="str">
            <v>DSEE/MALI</v>
          </cell>
          <cell r="G208">
            <v>15</v>
          </cell>
          <cell r="H208" t="str">
            <v xml:space="preserve">FORM CONT Subv form continue des maîtres en DSEE </v>
          </cell>
          <cell r="I208" t="str">
            <v>DNEE</v>
          </cell>
          <cell r="K208" t="str">
            <v>IDA</v>
          </cell>
          <cell r="L208" t="str">
            <v>AUT</v>
          </cell>
          <cell r="P208">
            <v>0</v>
          </cell>
          <cell r="Q208" t="str">
            <v>Sform</v>
          </cell>
          <cell r="S208">
            <v>2954.4</v>
          </cell>
          <cell r="T208">
            <v>1</v>
          </cell>
          <cell r="U208">
            <v>0</v>
          </cell>
          <cell r="V208">
            <v>0</v>
          </cell>
          <cell r="W208">
            <v>0</v>
          </cell>
          <cell r="X208">
            <v>0</v>
          </cell>
          <cell r="Y208">
            <v>0</v>
          </cell>
          <cell r="Z208">
            <v>0</v>
          </cell>
          <cell r="AA208">
            <v>0</v>
          </cell>
          <cell r="AB208">
            <v>0</v>
          </cell>
          <cell r="AC208">
            <v>0</v>
          </cell>
          <cell r="AD208">
            <v>0</v>
          </cell>
          <cell r="AE208">
            <v>0</v>
          </cell>
          <cell r="AF208">
            <v>0</v>
          </cell>
          <cell r="AH208">
            <v>0</v>
          </cell>
        </row>
        <row r="209">
          <cell r="B209" t="str">
            <v>ST/EPU</v>
          </cell>
          <cell r="C209" t="str">
            <v>B1A</v>
          </cell>
          <cell r="D209" t="str">
            <v>B1AE</v>
          </cell>
          <cell r="E209" t="str">
            <v>DSEE/TOUG</v>
          </cell>
          <cell r="G209">
            <v>15</v>
          </cell>
          <cell r="H209" t="str">
            <v xml:space="preserve">FORM CONT Subv form continue des maîtres en DSEE </v>
          </cell>
          <cell r="I209" t="str">
            <v>DNEE</v>
          </cell>
          <cell r="K209" t="str">
            <v>IDA</v>
          </cell>
          <cell r="L209" t="str">
            <v>AUT</v>
          </cell>
          <cell r="P209">
            <v>0</v>
          </cell>
          <cell r="Q209" t="str">
            <v>Sform</v>
          </cell>
          <cell r="S209">
            <v>2954.4</v>
          </cell>
          <cell r="T209">
            <v>1</v>
          </cell>
          <cell r="U209">
            <v>0</v>
          </cell>
          <cell r="V209">
            <v>0</v>
          </cell>
          <cell r="W209">
            <v>0</v>
          </cell>
          <cell r="X209">
            <v>0</v>
          </cell>
          <cell r="Y209">
            <v>0</v>
          </cell>
          <cell r="Z209">
            <v>0</v>
          </cell>
          <cell r="AA209">
            <v>0</v>
          </cell>
          <cell r="AB209">
            <v>0</v>
          </cell>
          <cell r="AC209">
            <v>0</v>
          </cell>
          <cell r="AD209">
            <v>0</v>
          </cell>
          <cell r="AE209">
            <v>0</v>
          </cell>
          <cell r="AF209">
            <v>0</v>
          </cell>
          <cell r="AH209">
            <v>0</v>
          </cell>
        </row>
        <row r="210">
          <cell r="B210" t="str">
            <v>ST/EPU</v>
          </cell>
          <cell r="C210" t="str">
            <v>B1A</v>
          </cell>
          <cell r="D210" t="str">
            <v>B1AE</v>
          </cell>
          <cell r="E210" t="str">
            <v>DSEE/DALA</v>
          </cell>
          <cell r="G210">
            <v>15</v>
          </cell>
          <cell r="H210" t="str">
            <v xml:space="preserve">FORM CONT Subv form continue des maîtres en DSEE </v>
          </cell>
          <cell r="I210" t="str">
            <v>DNEE</v>
          </cell>
          <cell r="K210" t="str">
            <v>IDA</v>
          </cell>
          <cell r="L210" t="str">
            <v>AUT</v>
          </cell>
          <cell r="P210">
            <v>0</v>
          </cell>
          <cell r="Q210" t="str">
            <v>Sform</v>
          </cell>
          <cell r="S210">
            <v>2954.4</v>
          </cell>
          <cell r="T210">
            <v>1</v>
          </cell>
          <cell r="U210">
            <v>0</v>
          </cell>
          <cell r="V210">
            <v>0</v>
          </cell>
          <cell r="W210">
            <v>0</v>
          </cell>
          <cell r="X210">
            <v>0</v>
          </cell>
          <cell r="Y210">
            <v>0</v>
          </cell>
          <cell r="Z210">
            <v>0</v>
          </cell>
          <cell r="AA210">
            <v>0</v>
          </cell>
          <cell r="AB210">
            <v>0</v>
          </cell>
          <cell r="AC210">
            <v>0</v>
          </cell>
          <cell r="AD210">
            <v>0</v>
          </cell>
          <cell r="AE210">
            <v>0</v>
          </cell>
          <cell r="AF210">
            <v>0</v>
          </cell>
          <cell r="AH210">
            <v>0</v>
          </cell>
        </row>
        <row r="211">
          <cell r="B211" t="str">
            <v>ST/EPU</v>
          </cell>
          <cell r="C211" t="str">
            <v>B1A</v>
          </cell>
          <cell r="D211" t="str">
            <v>B1AE</v>
          </cell>
          <cell r="E211" t="str">
            <v>DSEE/MAMO</v>
          </cell>
          <cell r="G211">
            <v>15</v>
          </cell>
          <cell r="H211" t="str">
            <v xml:space="preserve">FORM CONT Subv form continue des maîtres en DSEE </v>
          </cell>
          <cell r="I211" t="str">
            <v>DNEE</v>
          </cell>
          <cell r="K211" t="str">
            <v>IDA</v>
          </cell>
          <cell r="L211" t="str">
            <v>AUT</v>
          </cell>
          <cell r="P211">
            <v>0</v>
          </cell>
          <cell r="Q211" t="str">
            <v>Sform</v>
          </cell>
          <cell r="S211">
            <v>2954.4</v>
          </cell>
          <cell r="T211">
            <v>1</v>
          </cell>
          <cell r="U211">
            <v>0</v>
          </cell>
          <cell r="V211">
            <v>0</v>
          </cell>
          <cell r="W211">
            <v>0</v>
          </cell>
          <cell r="X211">
            <v>0</v>
          </cell>
          <cell r="Y211">
            <v>0</v>
          </cell>
          <cell r="Z211">
            <v>0</v>
          </cell>
          <cell r="AA211">
            <v>0</v>
          </cell>
          <cell r="AB211">
            <v>0</v>
          </cell>
          <cell r="AC211">
            <v>0</v>
          </cell>
          <cell r="AD211">
            <v>0</v>
          </cell>
          <cell r="AE211">
            <v>0</v>
          </cell>
          <cell r="AF211">
            <v>0</v>
          </cell>
          <cell r="AH211">
            <v>0</v>
          </cell>
        </row>
        <row r="212">
          <cell r="B212" t="str">
            <v>ST/EPU</v>
          </cell>
          <cell r="C212" t="str">
            <v>B1A</v>
          </cell>
          <cell r="D212" t="str">
            <v>B1AE</v>
          </cell>
          <cell r="E212" t="str">
            <v>DSEE/PITA</v>
          </cell>
          <cell r="G212">
            <v>15</v>
          </cell>
          <cell r="H212" t="str">
            <v xml:space="preserve">FORM CONT Subv form continue des maîtres en DSEE </v>
          </cell>
          <cell r="I212" t="str">
            <v>DNEE</v>
          </cell>
          <cell r="K212" t="str">
            <v>IDA</v>
          </cell>
          <cell r="L212" t="str">
            <v>AUT</v>
          </cell>
          <cell r="P212">
            <v>0</v>
          </cell>
          <cell r="Q212" t="str">
            <v>Sform</v>
          </cell>
          <cell r="S212">
            <v>2954.4</v>
          </cell>
          <cell r="T212">
            <v>1</v>
          </cell>
          <cell r="U212">
            <v>0</v>
          </cell>
          <cell r="V212">
            <v>0</v>
          </cell>
          <cell r="W212">
            <v>0</v>
          </cell>
          <cell r="X212">
            <v>0</v>
          </cell>
          <cell r="Y212">
            <v>0</v>
          </cell>
          <cell r="Z212">
            <v>0</v>
          </cell>
          <cell r="AA212">
            <v>0</v>
          </cell>
          <cell r="AB212">
            <v>0</v>
          </cell>
          <cell r="AC212">
            <v>0</v>
          </cell>
          <cell r="AD212">
            <v>0</v>
          </cell>
          <cell r="AE212">
            <v>0</v>
          </cell>
          <cell r="AF212">
            <v>0</v>
          </cell>
          <cell r="AH212">
            <v>0</v>
          </cell>
        </row>
        <row r="213">
          <cell r="B213" t="str">
            <v>ST/EPU</v>
          </cell>
          <cell r="C213" t="str">
            <v>B1A</v>
          </cell>
          <cell r="D213" t="str">
            <v>B1AE</v>
          </cell>
          <cell r="E213" t="str">
            <v>DSEE/BEYL</v>
          </cell>
          <cell r="G213">
            <v>15</v>
          </cell>
          <cell r="H213" t="str">
            <v xml:space="preserve">FORM CONT Subv form continue des maîtres en DSEE </v>
          </cell>
          <cell r="I213" t="str">
            <v>DNEE</v>
          </cell>
          <cell r="K213" t="str">
            <v>IDA</v>
          </cell>
          <cell r="L213" t="str">
            <v>AUT</v>
          </cell>
          <cell r="P213">
            <v>0</v>
          </cell>
          <cell r="Q213" t="str">
            <v>Sform</v>
          </cell>
          <cell r="S213">
            <v>2954.4</v>
          </cell>
          <cell r="T213">
            <v>1</v>
          </cell>
          <cell r="U213">
            <v>0</v>
          </cell>
          <cell r="V213">
            <v>0</v>
          </cell>
          <cell r="W213">
            <v>0</v>
          </cell>
          <cell r="X213">
            <v>0</v>
          </cell>
          <cell r="Y213">
            <v>0</v>
          </cell>
          <cell r="Z213">
            <v>0</v>
          </cell>
          <cell r="AA213">
            <v>0</v>
          </cell>
          <cell r="AB213">
            <v>0</v>
          </cell>
          <cell r="AC213">
            <v>0</v>
          </cell>
          <cell r="AD213">
            <v>0</v>
          </cell>
          <cell r="AE213">
            <v>0</v>
          </cell>
          <cell r="AF213">
            <v>0</v>
          </cell>
          <cell r="AH213">
            <v>0</v>
          </cell>
        </row>
        <row r="214">
          <cell r="B214" t="str">
            <v>ST/EPU</v>
          </cell>
          <cell r="C214" t="str">
            <v>B1A</v>
          </cell>
          <cell r="D214" t="str">
            <v>B1AE</v>
          </cell>
          <cell r="E214" t="str">
            <v>DSEE/GUEC</v>
          </cell>
          <cell r="G214">
            <v>15</v>
          </cell>
          <cell r="H214" t="str">
            <v xml:space="preserve">FORM CONT Subv form continue des maîtres en DSEE </v>
          </cell>
          <cell r="I214" t="str">
            <v>DNEE</v>
          </cell>
          <cell r="K214" t="str">
            <v>IDA</v>
          </cell>
          <cell r="L214" t="str">
            <v>AUT</v>
          </cell>
          <cell r="P214">
            <v>0</v>
          </cell>
          <cell r="Q214" t="str">
            <v>Sform</v>
          </cell>
          <cell r="S214">
            <v>2954.4</v>
          </cell>
          <cell r="T214">
            <v>1</v>
          </cell>
          <cell r="U214">
            <v>0</v>
          </cell>
          <cell r="V214">
            <v>0</v>
          </cell>
          <cell r="W214">
            <v>0</v>
          </cell>
          <cell r="X214">
            <v>0</v>
          </cell>
          <cell r="Y214">
            <v>0</v>
          </cell>
          <cell r="Z214">
            <v>0</v>
          </cell>
          <cell r="AA214">
            <v>0</v>
          </cell>
          <cell r="AB214">
            <v>0</v>
          </cell>
          <cell r="AC214">
            <v>0</v>
          </cell>
          <cell r="AD214">
            <v>0</v>
          </cell>
          <cell r="AE214">
            <v>0</v>
          </cell>
          <cell r="AF214">
            <v>0</v>
          </cell>
          <cell r="AH214">
            <v>0</v>
          </cell>
        </row>
        <row r="215">
          <cell r="B215" t="str">
            <v>ST/EPU</v>
          </cell>
          <cell r="C215" t="str">
            <v>B1A</v>
          </cell>
          <cell r="D215" t="str">
            <v>B1AE</v>
          </cell>
          <cell r="E215" t="str">
            <v>DSEE/LOLA</v>
          </cell>
          <cell r="G215">
            <v>15</v>
          </cell>
          <cell r="H215" t="str">
            <v xml:space="preserve">FORM CONT Subv form continue des maîtres en DSEE </v>
          </cell>
          <cell r="I215" t="str">
            <v>DNEE</v>
          </cell>
          <cell r="K215" t="str">
            <v>IDA</v>
          </cell>
          <cell r="L215" t="str">
            <v>AUT</v>
          </cell>
          <cell r="P215">
            <v>0</v>
          </cell>
          <cell r="Q215" t="str">
            <v>Sform</v>
          </cell>
          <cell r="S215">
            <v>2954.4</v>
          </cell>
          <cell r="T215">
            <v>1</v>
          </cell>
          <cell r="U215">
            <v>0</v>
          </cell>
          <cell r="V215">
            <v>0</v>
          </cell>
          <cell r="W215">
            <v>0</v>
          </cell>
          <cell r="X215">
            <v>0</v>
          </cell>
          <cell r="Y215">
            <v>0</v>
          </cell>
          <cell r="Z215">
            <v>0</v>
          </cell>
          <cell r="AA215">
            <v>0</v>
          </cell>
          <cell r="AB215">
            <v>0</v>
          </cell>
          <cell r="AC215">
            <v>0</v>
          </cell>
          <cell r="AD215">
            <v>0</v>
          </cell>
          <cell r="AE215">
            <v>0</v>
          </cell>
          <cell r="AF215">
            <v>0</v>
          </cell>
          <cell r="AH215">
            <v>0</v>
          </cell>
        </row>
        <row r="216">
          <cell r="B216" t="str">
            <v>ST/EPU</v>
          </cell>
          <cell r="C216" t="str">
            <v>B1A</v>
          </cell>
          <cell r="D216" t="str">
            <v>B1AE</v>
          </cell>
          <cell r="E216" t="str">
            <v>DSEE/MACE</v>
          </cell>
          <cell r="G216">
            <v>15</v>
          </cell>
          <cell r="H216" t="str">
            <v xml:space="preserve">FORM CONT Subv form continue des maîtres en DSEE </v>
          </cell>
          <cell r="I216" t="str">
            <v>DNEE</v>
          </cell>
          <cell r="K216" t="str">
            <v>IDA</v>
          </cell>
          <cell r="L216" t="str">
            <v>AUT</v>
          </cell>
          <cell r="P216">
            <v>0</v>
          </cell>
          <cell r="Q216" t="str">
            <v>Sform</v>
          </cell>
          <cell r="S216">
            <v>2954.4</v>
          </cell>
          <cell r="T216">
            <v>1</v>
          </cell>
          <cell r="U216">
            <v>0</v>
          </cell>
          <cell r="V216">
            <v>0</v>
          </cell>
          <cell r="W216">
            <v>0</v>
          </cell>
          <cell r="X216">
            <v>0</v>
          </cell>
          <cell r="Y216">
            <v>0</v>
          </cell>
          <cell r="Z216">
            <v>0</v>
          </cell>
          <cell r="AA216">
            <v>0</v>
          </cell>
          <cell r="AB216">
            <v>0</v>
          </cell>
          <cell r="AC216">
            <v>0</v>
          </cell>
          <cell r="AD216">
            <v>0</v>
          </cell>
          <cell r="AE216">
            <v>0</v>
          </cell>
          <cell r="AF216">
            <v>0</v>
          </cell>
          <cell r="AH216">
            <v>0</v>
          </cell>
        </row>
        <row r="217">
          <cell r="B217" t="str">
            <v>ST/EPU</v>
          </cell>
          <cell r="C217" t="str">
            <v>B1A</v>
          </cell>
          <cell r="D217" t="str">
            <v>B1AE</v>
          </cell>
          <cell r="E217" t="str">
            <v>DSEE/NZER</v>
          </cell>
          <cell r="G217">
            <v>15</v>
          </cell>
          <cell r="H217" t="str">
            <v xml:space="preserve">FORM CONT Subv form continue des maîtres en DSEE </v>
          </cell>
          <cell r="I217" t="str">
            <v>DNEE</v>
          </cell>
          <cell r="K217" t="str">
            <v>IDA</v>
          </cell>
          <cell r="L217" t="str">
            <v>AUT</v>
          </cell>
          <cell r="P217">
            <v>0</v>
          </cell>
          <cell r="Q217" t="str">
            <v>Sform</v>
          </cell>
          <cell r="S217">
            <v>2954.4</v>
          </cell>
          <cell r="T217">
            <v>1</v>
          </cell>
          <cell r="U217">
            <v>0</v>
          </cell>
          <cell r="V217">
            <v>0</v>
          </cell>
          <cell r="W217">
            <v>0</v>
          </cell>
          <cell r="X217">
            <v>0</v>
          </cell>
          <cell r="Y217">
            <v>0</v>
          </cell>
          <cell r="Z217">
            <v>0</v>
          </cell>
          <cell r="AA217">
            <v>0</v>
          </cell>
          <cell r="AB217">
            <v>0</v>
          </cell>
          <cell r="AC217">
            <v>0</v>
          </cell>
          <cell r="AD217">
            <v>0</v>
          </cell>
          <cell r="AE217">
            <v>0</v>
          </cell>
          <cell r="AF217">
            <v>0</v>
          </cell>
          <cell r="AH217">
            <v>0</v>
          </cell>
        </row>
        <row r="218">
          <cell r="B218" t="str">
            <v>ST/EPU</v>
          </cell>
          <cell r="C218" t="str">
            <v>B1A</v>
          </cell>
          <cell r="D218" t="str">
            <v>B1AE</v>
          </cell>
          <cell r="E218" t="str">
            <v>DSEE/YOMO</v>
          </cell>
          <cell r="G218">
            <v>15</v>
          </cell>
          <cell r="H218" t="str">
            <v xml:space="preserve">FORM CONT Subv form continue des maîtres en DSEE </v>
          </cell>
          <cell r="I218" t="str">
            <v>DNEE</v>
          </cell>
          <cell r="K218" t="str">
            <v>IDA</v>
          </cell>
          <cell r="L218" t="str">
            <v>AUT</v>
          </cell>
          <cell r="P218">
            <v>0</v>
          </cell>
          <cell r="Q218" t="str">
            <v>Sform</v>
          </cell>
          <cell r="S218">
            <v>2954.4</v>
          </cell>
          <cell r="T218">
            <v>1</v>
          </cell>
          <cell r="U218">
            <v>0</v>
          </cell>
          <cell r="V218">
            <v>0</v>
          </cell>
          <cell r="W218">
            <v>0</v>
          </cell>
          <cell r="X218">
            <v>0</v>
          </cell>
          <cell r="Y218">
            <v>0</v>
          </cell>
          <cell r="Z218">
            <v>0</v>
          </cell>
          <cell r="AA218">
            <v>0</v>
          </cell>
          <cell r="AB218">
            <v>0</v>
          </cell>
          <cell r="AC218">
            <v>0</v>
          </cell>
          <cell r="AD218">
            <v>0</v>
          </cell>
          <cell r="AE218">
            <v>0</v>
          </cell>
          <cell r="AF218">
            <v>0</v>
          </cell>
          <cell r="AH218">
            <v>0</v>
          </cell>
        </row>
        <row r="219">
          <cell r="B219" t="str">
            <v>ST/EPU</v>
          </cell>
          <cell r="C219" t="str">
            <v>C1D</v>
          </cell>
          <cell r="D219" t="str">
            <v>C1DD</v>
          </cell>
          <cell r="E219" t="str">
            <v>DPE/BOKE</v>
          </cell>
          <cell r="G219">
            <v>15</v>
          </cell>
          <cell r="H219" t="str">
            <v>FORM CONT Mission DPE d'élaboration et suivi plans de form des DSEE 3j</v>
          </cell>
          <cell r="I219" t="str">
            <v>DPE</v>
          </cell>
          <cell r="K219" t="str">
            <v>IDA</v>
          </cell>
          <cell r="L219" t="str">
            <v>AUT</v>
          </cell>
          <cell r="P219">
            <v>0</v>
          </cell>
          <cell r="Q219" t="str">
            <v>pxj</v>
          </cell>
          <cell r="S219">
            <v>98.48</v>
          </cell>
          <cell r="T219">
            <v>0.9</v>
          </cell>
          <cell r="U219">
            <v>0</v>
          </cell>
          <cell r="V219">
            <v>0</v>
          </cell>
          <cell r="W219">
            <v>0</v>
          </cell>
          <cell r="X219">
            <v>0</v>
          </cell>
          <cell r="Y219">
            <v>0</v>
          </cell>
          <cell r="Z219">
            <v>0</v>
          </cell>
          <cell r="AA219">
            <v>0</v>
          </cell>
          <cell r="AB219">
            <v>0</v>
          </cell>
          <cell r="AC219">
            <v>0</v>
          </cell>
          <cell r="AD219">
            <v>0</v>
          </cell>
          <cell r="AE219">
            <v>0</v>
          </cell>
          <cell r="AF219">
            <v>0</v>
          </cell>
          <cell r="AH219">
            <v>0</v>
          </cell>
        </row>
        <row r="220">
          <cell r="B220" t="str">
            <v>ST/EPU</v>
          </cell>
          <cell r="C220" t="str">
            <v>C1D</v>
          </cell>
          <cell r="D220" t="str">
            <v>C1DD</v>
          </cell>
          <cell r="E220" t="str">
            <v>DPE/BOFF</v>
          </cell>
          <cell r="G220">
            <v>15</v>
          </cell>
          <cell r="H220" t="str">
            <v>FORM CONT Mission DPE d'élaboration et suivi plans de form des DSEE 3j</v>
          </cell>
          <cell r="I220" t="str">
            <v>DPE</v>
          </cell>
          <cell r="K220" t="str">
            <v>IDA</v>
          </cell>
          <cell r="L220" t="str">
            <v>AUT</v>
          </cell>
          <cell r="P220">
            <v>0</v>
          </cell>
          <cell r="Q220" t="str">
            <v>pxj</v>
          </cell>
          <cell r="S220">
            <v>98.48</v>
          </cell>
          <cell r="T220">
            <v>0.9</v>
          </cell>
          <cell r="U220">
            <v>0</v>
          </cell>
          <cell r="V220">
            <v>0</v>
          </cell>
          <cell r="W220">
            <v>0</v>
          </cell>
          <cell r="X220">
            <v>0</v>
          </cell>
          <cell r="Y220">
            <v>0</v>
          </cell>
          <cell r="Z220">
            <v>0</v>
          </cell>
          <cell r="AA220">
            <v>0</v>
          </cell>
          <cell r="AB220">
            <v>0</v>
          </cell>
          <cell r="AC220">
            <v>0</v>
          </cell>
          <cell r="AD220">
            <v>0</v>
          </cell>
          <cell r="AE220">
            <v>0</v>
          </cell>
          <cell r="AF220">
            <v>0</v>
          </cell>
          <cell r="AH220">
            <v>0</v>
          </cell>
        </row>
        <row r="221">
          <cell r="B221" t="str">
            <v>ST/EPU</v>
          </cell>
          <cell r="C221" t="str">
            <v>C1D</v>
          </cell>
          <cell r="D221" t="str">
            <v>C1DD</v>
          </cell>
          <cell r="E221" t="str">
            <v>DPE/FRIA</v>
          </cell>
          <cell r="G221">
            <v>15</v>
          </cell>
          <cell r="H221" t="str">
            <v>FORM CONT Mission DPE d'élaboration et suivi plans de form des DSEE 3j</v>
          </cell>
          <cell r="I221" t="str">
            <v>DPE</v>
          </cell>
          <cell r="K221" t="str">
            <v>IDA</v>
          </cell>
          <cell r="L221" t="str">
            <v>AUT</v>
          </cell>
          <cell r="P221">
            <v>0</v>
          </cell>
          <cell r="Q221" t="str">
            <v>pxj</v>
          </cell>
          <cell r="S221">
            <v>98.48</v>
          </cell>
          <cell r="T221">
            <v>0.9</v>
          </cell>
          <cell r="U221">
            <v>0</v>
          </cell>
          <cell r="V221">
            <v>0</v>
          </cell>
          <cell r="W221">
            <v>0</v>
          </cell>
          <cell r="X221">
            <v>0</v>
          </cell>
          <cell r="Y221">
            <v>0</v>
          </cell>
          <cell r="Z221">
            <v>0</v>
          </cell>
          <cell r="AA221">
            <v>0</v>
          </cell>
          <cell r="AB221">
            <v>0</v>
          </cell>
          <cell r="AC221">
            <v>0</v>
          </cell>
          <cell r="AD221">
            <v>0</v>
          </cell>
          <cell r="AE221">
            <v>0</v>
          </cell>
          <cell r="AF221">
            <v>0</v>
          </cell>
          <cell r="AH221">
            <v>0</v>
          </cell>
        </row>
        <row r="222">
          <cell r="B222" t="str">
            <v>ST/EPU</v>
          </cell>
          <cell r="C222" t="str">
            <v>C1D</v>
          </cell>
          <cell r="D222" t="str">
            <v>C1DD</v>
          </cell>
          <cell r="E222" t="str">
            <v>DPE/GAOU</v>
          </cell>
          <cell r="G222">
            <v>15</v>
          </cell>
          <cell r="H222" t="str">
            <v>FORM CONT Mission DPE d'élaboration et suivi plans de form des DSEE 3j</v>
          </cell>
          <cell r="I222" t="str">
            <v>DPE</v>
          </cell>
          <cell r="K222" t="str">
            <v>IDA</v>
          </cell>
          <cell r="L222" t="str">
            <v>AUT</v>
          </cell>
          <cell r="P222">
            <v>0</v>
          </cell>
          <cell r="Q222" t="str">
            <v>pxj</v>
          </cell>
          <cell r="S222">
            <v>98.48</v>
          </cell>
          <cell r="T222">
            <v>0.9</v>
          </cell>
          <cell r="U222">
            <v>0</v>
          </cell>
          <cell r="V222">
            <v>0</v>
          </cell>
          <cell r="W222">
            <v>0</v>
          </cell>
          <cell r="X222">
            <v>0</v>
          </cell>
          <cell r="Y222">
            <v>0</v>
          </cell>
          <cell r="Z222">
            <v>0</v>
          </cell>
          <cell r="AA222">
            <v>0</v>
          </cell>
          <cell r="AB222">
            <v>0</v>
          </cell>
          <cell r="AC222">
            <v>0</v>
          </cell>
          <cell r="AD222">
            <v>0</v>
          </cell>
          <cell r="AE222">
            <v>0</v>
          </cell>
          <cell r="AF222">
            <v>0</v>
          </cell>
          <cell r="AH222">
            <v>0</v>
          </cell>
        </row>
        <row r="223">
          <cell r="B223" t="str">
            <v>ST/EPU</v>
          </cell>
          <cell r="C223" t="str">
            <v>C1D</v>
          </cell>
          <cell r="D223" t="str">
            <v>C1DD</v>
          </cell>
          <cell r="E223" t="str">
            <v>DPE/KOUN</v>
          </cell>
          <cell r="G223">
            <v>15</v>
          </cell>
          <cell r="H223" t="str">
            <v>FORM CONT Mission DPE d'élaboration et suivi plans de form des DSEE 3j</v>
          </cell>
          <cell r="I223" t="str">
            <v>DPE</v>
          </cell>
          <cell r="K223" t="str">
            <v>IDA</v>
          </cell>
          <cell r="L223" t="str">
            <v>AUT</v>
          </cell>
          <cell r="P223">
            <v>0</v>
          </cell>
          <cell r="Q223" t="str">
            <v>pxj</v>
          </cell>
          <cell r="S223">
            <v>98.48</v>
          </cell>
          <cell r="T223">
            <v>0.9</v>
          </cell>
          <cell r="U223">
            <v>0</v>
          </cell>
          <cell r="V223">
            <v>0</v>
          </cell>
          <cell r="W223">
            <v>0</v>
          </cell>
          <cell r="X223">
            <v>0</v>
          </cell>
          <cell r="Y223">
            <v>0</v>
          </cell>
          <cell r="Z223">
            <v>0</v>
          </cell>
          <cell r="AA223">
            <v>0</v>
          </cell>
          <cell r="AB223">
            <v>0</v>
          </cell>
          <cell r="AC223">
            <v>0</v>
          </cell>
          <cell r="AD223">
            <v>0</v>
          </cell>
          <cell r="AE223">
            <v>0</v>
          </cell>
          <cell r="AF223">
            <v>0</v>
          </cell>
          <cell r="AH223">
            <v>0</v>
          </cell>
        </row>
        <row r="224">
          <cell r="B224" t="str">
            <v>ST/EPU</v>
          </cell>
          <cell r="C224" t="str">
            <v>C1D</v>
          </cell>
          <cell r="D224" t="str">
            <v>C1DD</v>
          </cell>
          <cell r="E224" t="str">
            <v>DPE/DIXI</v>
          </cell>
          <cell r="G224">
            <v>15</v>
          </cell>
          <cell r="H224" t="str">
            <v>FORM CONT Mission DPE d'élaboration et suivi plans de form des DSEE 3j</v>
          </cell>
          <cell r="I224" t="str">
            <v>DPE</v>
          </cell>
          <cell r="K224" t="str">
            <v>IDA</v>
          </cell>
          <cell r="L224" t="str">
            <v>AUT</v>
          </cell>
          <cell r="P224">
            <v>0</v>
          </cell>
          <cell r="Q224" t="str">
            <v>pxj</v>
          </cell>
          <cell r="S224">
            <v>98.48</v>
          </cell>
          <cell r="T224">
            <v>0.9</v>
          </cell>
          <cell r="U224">
            <v>0</v>
          </cell>
          <cell r="V224">
            <v>0</v>
          </cell>
          <cell r="W224">
            <v>0</v>
          </cell>
          <cell r="X224">
            <v>0</v>
          </cell>
          <cell r="Y224">
            <v>0</v>
          </cell>
          <cell r="Z224">
            <v>0</v>
          </cell>
          <cell r="AA224">
            <v>0</v>
          </cell>
          <cell r="AB224">
            <v>0</v>
          </cell>
          <cell r="AC224">
            <v>0</v>
          </cell>
          <cell r="AD224">
            <v>0</v>
          </cell>
          <cell r="AE224">
            <v>0</v>
          </cell>
          <cell r="AF224">
            <v>0</v>
          </cell>
          <cell r="AH224">
            <v>0</v>
          </cell>
        </row>
        <row r="225">
          <cell r="B225" t="str">
            <v>ST/EPU</v>
          </cell>
          <cell r="C225" t="str">
            <v>C1D</v>
          </cell>
          <cell r="D225" t="str">
            <v>C1DD</v>
          </cell>
          <cell r="E225" t="str">
            <v>DPE/KALO</v>
          </cell>
          <cell r="G225">
            <v>15</v>
          </cell>
          <cell r="H225" t="str">
            <v>FORM CONT Mission DPE d'élaboration et suivi plans de form des DSEE 3j</v>
          </cell>
          <cell r="I225" t="str">
            <v>DPE</v>
          </cell>
          <cell r="K225" t="str">
            <v>IDA</v>
          </cell>
          <cell r="L225" t="str">
            <v>AUT</v>
          </cell>
          <cell r="P225">
            <v>0</v>
          </cell>
          <cell r="Q225" t="str">
            <v>pxj</v>
          </cell>
          <cell r="S225">
            <v>98.48</v>
          </cell>
          <cell r="T225">
            <v>0.9</v>
          </cell>
          <cell r="U225">
            <v>0</v>
          </cell>
          <cell r="V225">
            <v>0</v>
          </cell>
          <cell r="W225">
            <v>0</v>
          </cell>
          <cell r="X225">
            <v>0</v>
          </cell>
          <cell r="Y225">
            <v>0</v>
          </cell>
          <cell r="Z225">
            <v>0</v>
          </cell>
          <cell r="AA225">
            <v>0</v>
          </cell>
          <cell r="AB225">
            <v>0</v>
          </cell>
          <cell r="AC225">
            <v>0</v>
          </cell>
          <cell r="AD225">
            <v>0</v>
          </cell>
          <cell r="AE225">
            <v>0</v>
          </cell>
          <cell r="AF225">
            <v>0</v>
          </cell>
          <cell r="AH225">
            <v>0</v>
          </cell>
        </row>
        <row r="226">
          <cell r="B226" t="str">
            <v>ST/EPU</v>
          </cell>
          <cell r="C226" t="str">
            <v>C1D</v>
          </cell>
          <cell r="D226" t="str">
            <v>C1DD</v>
          </cell>
          <cell r="E226" t="str">
            <v>DPE/MATA</v>
          </cell>
          <cell r="G226">
            <v>15</v>
          </cell>
          <cell r="H226" t="str">
            <v>FORM CONT Mission DPE d'élaboration et suivi plans de form des DSEE 3j</v>
          </cell>
          <cell r="I226" t="str">
            <v>DPE</v>
          </cell>
          <cell r="K226" t="str">
            <v>IDA</v>
          </cell>
          <cell r="L226" t="str">
            <v>AUT</v>
          </cell>
          <cell r="P226">
            <v>0</v>
          </cell>
          <cell r="Q226" t="str">
            <v>pxj</v>
          </cell>
          <cell r="S226">
            <v>98.48</v>
          </cell>
          <cell r="T226">
            <v>0.9</v>
          </cell>
          <cell r="U226">
            <v>0</v>
          </cell>
          <cell r="V226">
            <v>0</v>
          </cell>
          <cell r="W226">
            <v>0</v>
          </cell>
          <cell r="X226">
            <v>0</v>
          </cell>
          <cell r="Y226">
            <v>0</v>
          </cell>
          <cell r="Z226">
            <v>0</v>
          </cell>
          <cell r="AA226">
            <v>0</v>
          </cell>
          <cell r="AB226">
            <v>0</v>
          </cell>
          <cell r="AC226">
            <v>0</v>
          </cell>
          <cell r="AD226">
            <v>0</v>
          </cell>
          <cell r="AE226">
            <v>0</v>
          </cell>
          <cell r="AF226">
            <v>0</v>
          </cell>
          <cell r="AH226">
            <v>0</v>
          </cell>
        </row>
        <row r="227">
          <cell r="B227" t="str">
            <v>ST/EPU</v>
          </cell>
          <cell r="C227" t="str">
            <v>C1D</v>
          </cell>
          <cell r="D227" t="str">
            <v>C1DD</v>
          </cell>
          <cell r="E227" t="str">
            <v>DPE/MATO</v>
          </cell>
          <cell r="G227">
            <v>15</v>
          </cell>
          <cell r="H227" t="str">
            <v>FORM CONT Mission DPE d'élaboration et suivi plans de form des DSEE 3j</v>
          </cell>
          <cell r="I227" t="str">
            <v>DPE</v>
          </cell>
          <cell r="K227" t="str">
            <v>IDA</v>
          </cell>
          <cell r="L227" t="str">
            <v>AUT</v>
          </cell>
          <cell r="P227">
            <v>0</v>
          </cell>
          <cell r="Q227" t="str">
            <v>pxj</v>
          </cell>
          <cell r="S227">
            <v>98.48</v>
          </cell>
          <cell r="T227">
            <v>0.9</v>
          </cell>
          <cell r="U227">
            <v>0</v>
          </cell>
          <cell r="V227">
            <v>0</v>
          </cell>
          <cell r="W227">
            <v>0</v>
          </cell>
          <cell r="X227">
            <v>0</v>
          </cell>
          <cell r="Y227">
            <v>0</v>
          </cell>
          <cell r="Z227">
            <v>0</v>
          </cell>
          <cell r="AA227">
            <v>0</v>
          </cell>
          <cell r="AB227">
            <v>0</v>
          </cell>
          <cell r="AC227">
            <v>0</v>
          </cell>
          <cell r="AD227">
            <v>0</v>
          </cell>
          <cell r="AE227">
            <v>0</v>
          </cell>
          <cell r="AF227">
            <v>0</v>
          </cell>
          <cell r="AH227">
            <v>0</v>
          </cell>
        </row>
        <row r="228">
          <cell r="B228" t="str">
            <v>ST/EPU</v>
          </cell>
          <cell r="C228" t="str">
            <v>C1D</v>
          </cell>
          <cell r="D228" t="str">
            <v>C1DD</v>
          </cell>
          <cell r="E228" t="str">
            <v>DPE/RATO</v>
          </cell>
          <cell r="G228">
            <v>15</v>
          </cell>
          <cell r="H228" t="str">
            <v>FORM CONT Mission DPE d'élaboration et suivi plans de form des DSEE 3j</v>
          </cell>
          <cell r="I228" t="str">
            <v>DPE</v>
          </cell>
          <cell r="K228" t="str">
            <v>IDA</v>
          </cell>
          <cell r="L228" t="str">
            <v>AUT</v>
          </cell>
          <cell r="P228">
            <v>0</v>
          </cell>
          <cell r="Q228" t="str">
            <v>pxj</v>
          </cell>
          <cell r="S228">
            <v>98.48</v>
          </cell>
          <cell r="T228">
            <v>0.9</v>
          </cell>
          <cell r="U228">
            <v>0</v>
          </cell>
          <cell r="V228">
            <v>0</v>
          </cell>
          <cell r="W228">
            <v>0</v>
          </cell>
          <cell r="X228">
            <v>0</v>
          </cell>
          <cell r="Y228">
            <v>0</v>
          </cell>
          <cell r="Z228">
            <v>0</v>
          </cell>
          <cell r="AA228">
            <v>0</v>
          </cell>
          <cell r="AB228">
            <v>0</v>
          </cell>
          <cell r="AC228">
            <v>0</v>
          </cell>
          <cell r="AD228">
            <v>0</v>
          </cell>
          <cell r="AE228">
            <v>0</v>
          </cell>
          <cell r="AF228">
            <v>0</v>
          </cell>
          <cell r="AH228">
            <v>0</v>
          </cell>
        </row>
        <row r="229">
          <cell r="B229" t="str">
            <v>ST/EPU</v>
          </cell>
          <cell r="C229" t="str">
            <v>C1D</v>
          </cell>
          <cell r="D229" t="str">
            <v>C1DD</v>
          </cell>
          <cell r="E229" t="str">
            <v>DPE/DABO</v>
          </cell>
          <cell r="G229">
            <v>15</v>
          </cell>
          <cell r="H229" t="str">
            <v>FORM CONT Mission DPE d'élaboration et suivi plans de form des DSEE 3j</v>
          </cell>
          <cell r="I229" t="str">
            <v>DPE</v>
          </cell>
          <cell r="K229" t="str">
            <v>IDA</v>
          </cell>
          <cell r="L229" t="str">
            <v>AUT</v>
          </cell>
          <cell r="P229">
            <v>0</v>
          </cell>
          <cell r="Q229" t="str">
            <v>pxj</v>
          </cell>
          <cell r="S229">
            <v>98.48</v>
          </cell>
          <cell r="T229">
            <v>0.9</v>
          </cell>
          <cell r="U229">
            <v>0</v>
          </cell>
          <cell r="V229">
            <v>0</v>
          </cell>
          <cell r="W229">
            <v>0</v>
          </cell>
          <cell r="X229">
            <v>0</v>
          </cell>
          <cell r="Y229">
            <v>0</v>
          </cell>
          <cell r="Z229">
            <v>0</v>
          </cell>
          <cell r="AA229">
            <v>0</v>
          </cell>
          <cell r="AB229">
            <v>0</v>
          </cell>
          <cell r="AC229">
            <v>0</v>
          </cell>
          <cell r="AD229">
            <v>0</v>
          </cell>
          <cell r="AE229">
            <v>0</v>
          </cell>
          <cell r="AF229">
            <v>0</v>
          </cell>
          <cell r="AH229">
            <v>0</v>
          </cell>
        </row>
        <row r="230">
          <cell r="B230" t="str">
            <v>ST/EPU</v>
          </cell>
          <cell r="C230" t="str">
            <v>C1D</v>
          </cell>
          <cell r="D230" t="str">
            <v>C1DD</v>
          </cell>
          <cell r="E230" t="str">
            <v>DPE/DING</v>
          </cell>
          <cell r="G230">
            <v>15</v>
          </cell>
          <cell r="H230" t="str">
            <v>FORM CONT Mission DPE d'élaboration et suivi plans de form des DSEE 3j</v>
          </cell>
          <cell r="I230" t="str">
            <v>DPE</v>
          </cell>
          <cell r="K230" t="str">
            <v>IDA</v>
          </cell>
          <cell r="L230" t="str">
            <v>AUT</v>
          </cell>
          <cell r="P230">
            <v>0</v>
          </cell>
          <cell r="Q230" t="str">
            <v>pxj</v>
          </cell>
          <cell r="S230">
            <v>98.48</v>
          </cell>
          <cell r="T230">
            <v>0.9</v>
          </cell>
          <cell r="U230">
            <v>0</v>
          </cell>
          <cell r="V230">
            <v>0</v>
          </cell>
          <cell r="W230">
            <v>0</v>
          </cell>
          <cell r="X230">
            <v>0</v>
          </cell>
          <cell r="Y230">
            <v>0</v>
          </cell>
          <cell r="Z230">
            <v>0</v>
          </cell>
          <cell r="AA230">
            <v>0</v>
          </cell>
          <cell r="AB230">
            <v>0</v>
          </cell>
          <cell r="AC230">
            <v>0</v>
          </cell>
          <cell r="AD230">
            <v>0</v>
          </cell>
          <cell r="AE230">
            <v>0</v>
          </cell>
          <cell r="AF230">
            <v>0</v>
          </cell>
          <cell r="AH230">
            <v>0</v>
          </cell>
        </row>
        <row r="231">
          <cell r="B231" t="str">
            <v>ST/EPU</v>
          </cell>
          <cell r="C231" t="str">
            <v>C1D</v>
          </cell>
          <cell r="D231" t="str">
            <v>C1DD</v>
          </cell>
          <cell r="E231" t="str">
            <v>DPE/FARA</v>
          </cell>
          <cell r="G231">
            <v>15</v>
          </cell>
          <cell r="H231" t="str">
            <v>FORM CONT Mission DPE d'élaboration et suivi plans de form des DSEE 3j</v>
          </cell>
          <cell r="I231" t="str">
            <v>DPE</v>
          </cell>
          <cell r="K231" t="str">
            <v>IDA</v>
          </cell>
          <cell r="L231" t="str">
            <v>AUT</v>
          </cell>
          <cell r="P231">
            <v>0</v>
          </cell>
          <cell r="Q231" t="str">
            <v>pxj</v>
          </cell>
          <cell r="S231">
            <v>98.48</v>
          </cell>
          <cell r="T231">
            <v>0.9</v>
          </cell>
          <cell r="U231">
            <v>0</v>
          </cell>
          <cell r="V231">
            <v>0</v>
          </cell>
          <cell r="W231">
            <v>0</v>
          </cell>
          <cell r="X231">
            <v>0</v>
          </cell>
          <cell r="Y231">
            <v>0</v>
          </cell>
          <cell r="Z231">
            <v>0</v>
          </cell>
          <cell r="AA231">
            <v>0</v>
          </cell>
          <cell r="AB231">
            <v>0</v>
          </cell>
          <cell r="AC231">
            <v>0</v>
          </cell>
          <cell r="AD231">
            <v>0</v>
          </cell>
          <cell r="AE231">
            <v>0</v>
          </cell>
          <cell r="AF231">
            <v>0</v>
          </cell>
          <cell r="AH231">
            <v>0</v>
          </cell>
        </row>
        <row r="232">
          <cell r="B232" t="str">
            <v>ST/EPU</v>
          </cell>
          <cell r="C232" t="str">
            <v>C1D</v>
          </cell>
          <cell r="D232" t="str">
            <v>C1DD</v>
          </cell>
          <cell r="E232" t="str">
            <v>DPE/KISS</v>
          </cell>
          <cell r="G232">
            <v>15</v>
          </cell>
          <cell r="H232" t="str">
            <v>FORM CONT Mission DPE d'élaboration et suivi plans de form des DSEE 3j</v>
          </cell>
          <cell r="I232" t="str">
            <v>DPE</v>
          </cell>
          <cell r="K232" t="str">
            <v>IDA</v>
          </cell>
          <cell r="L232" t="str">
            <v>AUT</v>
          </cell>
          <cell r="P232">
            <v>0</v>
          </cell>
          <cell r="Q232" t="str">
            <v>pxj</v>
          </cell>
          <cell r="S232">
            <v>98.48</v>
          </cell>
          <cell r="T232">
            <v>0.9</v>
          </cell>
          <cell r="U232">
            <v>0</v>
          </cell>
          <cell r="V232">
            <v>0</v>
          </cell>
          <cell r="W232">
            <v>0</v>
          </cell>
          <cell r="X232">
            <v>0</v>
          </cell>
          <cell r="Y232">
            <v>0</v>
          </cell>
          <cell r="Z232">
            <v>0</v>
          </cell>
          <cell r="AA232">
            <v>0</v>
          </cell>
          <cell r="AB232">
            <v>0</v>
          </cell>
          <cell r="AC232">
            <v>0</v>
          </cell>
          <cell r="AD232">
            <v>0</v>
          </cell>
          <cell r="AE232">
            <v>0</v>
          </cell>
          <cell r="AF232">
            <v>0</v>
          </cell>
          <cell r="AH232">
            <v>0</v>
          </cell>
        </row>
        <row r="233">
          <cell r="B233" t="str">
            <v>ST/EPU</v>
          </cell>
          <cell r="C233" t="str">
            <v>C1D</v>
          </cell>
          <cell r="D233" t="str">
            <v>C1DD</v>
          </cell>
          <cell r="E233" t="str">
            <v>DPE/KANK</v>
          </cell>
          <cell r="G233">
            <v>15</v>
          </cell>
          <cell r="H233" t="str">
            <v>FORM CONT Mission DPE d'élaboration et suivi plans de form des DSEE 3j</v>
          </cell>
          <cell r="I233" t="str">
            <v>DPE</v>
          </cell>
          <cell r="K233" t="str">
            <v>IDA</v>
          </cell>
          <cell r="L233" t="str">
            <v>AUT</v>
          </cell>
          <cell r="P233">
            <v>0</v>
          </cell>
          <cell r="Q233" t="str">
            <v>pxj</v>
          </cell>
          <cell r="S233">
            <v>98.48</v>
          </cell>
          <cell r="T233">
            <v>0.9</v>
          </cell>
          <cell r="U233">
            <v>0</v>
          </cell>
          <cell r="V233">
            <v>0</v>
          </cell>
          <cell r="W233">
            <v>0</v>
          </cell>
          <cell r="X233">
            <v>0</v>
          </cell>
          <cell r="Y233">
            <v>0</v>
          </cell>
          <cell r="Z233">
            <v>0</v>
          </cell>
          <cell r="AA233">
            <v>0</v>
          </cell>
          <cell r="AB233">
            <v>0</v>
          </cell>
          <cell r="AC233">
            <v>0</v>
          </cell>
          <cell r="AD233">
            <v>0</v>
          </cell>
          <cell r="AE233">
            <v>0</v>
          </cell>
          <cell r="AF233">
            <v>0</v>
          </cell>
          <cell r="AH233">
            <v>0</v>
          </cell>
        </row>
        <row r="234">
          <cell r="B234" t="str">
            <v>ST/EPU</v>
          </cell>
          <cell r="C234" t="str">
            <v>C1D</v>
          </cell>
          <cell r="D234" t="str">
            <v>C1DD</v>
          </cell>
          <cell r="E234" t="str">
            <v>DPE/KERO</v>
          </cell>
          <cell r="G234">
            <v>15</v>
          </cell>
          <cell r="H234" t="str">
            <v>FORM CONT Mission DPE d'élaboration et suivi plans de form des DSEE 3j</v>
          </cell>
          <cell r="I234" t="str">
            <v>DPE</v>
          </cell>
          <cell r="K234" t="str">
            <v>IDA</v>
          </cell>
          <cell r="L234" t="str">
            <v>AUT</v>
          </cell>
          <cell r="P234">
            <v>0</v>
          </cell>
          <cell r="Q234" t="str">
            <v>pxj</v>
          </cell>
          <cell r="S234">
            <v>98.48</v>
          </cell>
          <cell r="T234">
            <v>0.9</v>
          </cell>
          <cell r="U234">
            <v>0</v>
          </cell>
          <cell r="V234">
            <v>0</v>
          </cell>
          <cell r="W234">
            <v>0</v>
          </cell>
          <cell r="X234">
            <v>0</v>
          </cell>
          <cell r="Y234">
            <v>0</v>
          </cell>
          <cell r="Z234">
            <v>0</v>
          </cell>
          <cell r="AA234">
            <v>0</v>
          </cell>
          <cell r="AB234">
            <v>0</v>
          </cell>
          <cell r="AC234">
            <v>0</v>
          </cell>
          <cell r="AD234">
            <v>0</v>
          </cell>
          <cell r="AE234">
            <v>0</v>
          </cell>
          <cell r="AF234">
            <v>0</v>
          </cell>
          <cell r="AH234">
            <v>0</v>
          </cell>
        </row>
        <row r="235">
          <cell r="B235" t="str">
            <v>ST/EPU</v>
          </cell>
          <cell r="C235" t="str">
            <v>C1D</v>
          </cell>
          <cell r="D235" t="str">
            <v>C1DD</v>
          </cell>
          <cell r="E235" t="str">
            <v>DPE/KOUR</v>
          </cell>
          <cell r="G235">
            <v>15</v>
          </cell>
          <cell r="H235" t="str">
            <v>FORM CONT Mission DPE d'élaboration et suivi plans de form des DSEE 3j</v>
          </cell>
          <cell r="I235" t="str">
            <v>DPE</v>
          </cell>
          <cell r="K235" t="str">
            <v>IDA</v>
          </cell>
          <cell r="L235" t="str">
            <v>AUT</v>
          </cell>
          <cell r="P235">
            <v>0</v>
          </cell>
          <cell r="Q235" t="str">
            <v>pxj</v>
          </cell>
          <cell r="S235">
            <v>98.48</v>
          </cell>
          <cell r="T235">
            <v>0.9</v>
          </cell>
          <cell r="U235">
            <v>0</v>
          </cell>
          <cell r="V235">
            <v>0</v>
          </cell>
          <cell r="W235">
            <v>0</v>
          </cell>
          <cell r="X235">
            <v>0</v>
          </cell>
          <cell r="Y235">
            <v>0</v>
          </cell>
          <cell r="Z235">
            <v>0</v>
          </cell>
          <cell r="AA235">
            <v>0</v>
          </cell>
          <cell r="AB235">
            <v>0</v>
          </cell>
          <cell r="AC235">
            <v>0</v>
          </cell>
          <cell r="AD235">
            <v>0</v>
          </cell>
          <cell r="AE235">
            <v>0</v>
          </cell>
          <cell r="AF235">
            <v>0</v>
          </cell>
          <cell r="AH235">
            <v>0</v>
          </cell>
        </row>
        <row r="236">
          <cell r="B236" t="str">
            <v>ST/EPU</v>
          </cell>
          <cell r="C236" t="str">
            <v>C1D</v>
          </cell>
          <cell r="D236" t="str">
            <v>C1DD</v>
          </cell>
          <cell r="E236" t="str">
            <v>DPE/MAND</v>
          </cell>
          <cell r="G236">
            <v>15</v>
          </cell>
          <cell r="H236" t="str">
            <v>FORM CONT Mission DPE d'élaboration et suivi plans de form des DSEE 3j</v>
          </cell>
          <cell r="I236" t="str">
            <v>DPE</v>
          </cell>
          <cell r="K236" t="str">
            <v>IDA</v>
          </cell>
          <cell r="L236" t="str">
            <v>AUT</v>
          </cell>
          <cell r="P236">
            <v>0</v>
          </cell>
          <cell r="Q236" t="str">
            <v>pxj</v>
          </cell>
          <cell r="S236">
            <v>98.48</v>
          </cell>
          <cell r="T236">
            <v>0.9</v>
          </cell>
          <cell r="U236">
            <v>0</v>
          </cell>
          <cell r="V236">
            <v>0</v>
          </cell>
          <cell r="W236">
            <v>0</v>
          </cell>
          <cell r="X236">
            <v>0</v>
          </cell>
          <cell r="Y236">
            <v>0</v>
          </cell>
          <cell r="Z236">
            <v>0</v>
          </cell>
          <cell r="AA236">
            <v>0</v>
          </cell>
          <cell r="AB236">
            <v>0</v>
          </cell>
          <cell r="AC236">
            <v>0</v>
          </cell>
          <cell r="AD236">
            <v>0</v>
          </cell>
          <cell r="AE236">
            <v>0</v>
          </cell>
          <cell r="AF236">
            <v>0</v>
          </cell>
          <cell r="AH236">
            <v>0</v>
          </cell>
        </row>
        <row r="237">
          <cell r="B237" t="str">
            <v>ST/EPU</v>
          </cell>
          <cell r="C237" t="str">
            <v>C1D</v>
          </cell>
          <cell r="D237" t="str">
            <v>C1DD</v>
          </cell>
          <cell r="E237" t="str">
            <v>DPE/SIGU</v>
          </cell>
          <cell r="G237">
            <v>15</v>
          </cell>
          <cell r="H237" t="str">
            <v>FORM CONT Mission DPE d'élaboration et suivi plans de form des DSEE 3j</v>
          </cell>
          <cell r="I237" t="str">
            <v>DPE</v>
          </cell>
          <cell r="K237" t="str">
            <v>IDA</v>
          </cell>
          <cell r="L237" t="str">
            <v>AUT</v>
          </cell>
          <cell r="P237">
            <v>0</v>
          </cell>
          <cell r="Q237" t="str">
            <v>pxj</v>
          </cell>
          <cell r="S237">
            <v>98.48</v>
          </cell>
          <cell r="T237">
            <v>0.9</v>
          </cell>
          <cell r="U237">
            <v>0</v>
          </cell>
          <cell r="V237">
            <v>0</v>
          </cell>
          <cell r="W237">
            <v>0</v>
          </cell>
          <cell r="X237">
            <v>0</v>
          </cell>
          <cell r="Y237">
            <v>0</v>
          </cell>
          <cell r="Z237">
            <v>0</v>
          </cell>
          <cell r="AA237">
            <v>0</v>
          </cell>
          <cell r="AB237">
            <v>0</v>
          </cell>
          <cell r="AC237">
            <v>0</v>
          </cell>
          <cell r="AD237">
            <v>0</v>
          </cell>
          <cell r="AE237">
            <v>0</v>
          </cell>
          <cell r="AF237">
            <v>0</v>
          </cell>
          <cell r="AH237">
            <v>0</v>
          </cell>
        </row>
        <row r="238">
          <cell r="B238" t="str">
            <v>ST/EPU</v>
          </cell>
          <cell r="C238" t="str">
            <v>C1D</v>
          </cell>
          <cell r="D238" t="str">
            <v>C1DD</v>
          </cell>
          <cell r="E238" t="str">
            <v>DPE/COYA</v>
          </cell>
          <cell r="G238">
            <v>15</v>
          </cell>
          <cell r="H238" t="str">
            <v>FORM CONT Mission DPE d'élaboration et suivi plans de form des DSEE 3j</v>
          </cell>
          <cell r="I238" t="str">
            <v>DPE</v>
          </cell>
          <cell r="K238" t="str">
            <v>IDA</v>
          </cell>
          <cell r="L238" t="str">
            <v>AUT</v>
          </cell>
          <cell r="P238">
            <v>0</v>
          </cell>
          <cell r="Q238" t="str">
            <v>pxj</v>
          </cell>
          <cell r="S238">
            <v>98.48</v>
          </cell>
          <cell r="T238">
            <v>0.9</v>
          </cell>
          <cell r="U238">
            <v>0</v>
          </cell>
          <cell r="V238">
            <v>0</v>
          </cell>
          <cell r="W238">
            <v>0</v>
          </cell>
          <cell r="X238">
            <v>0</v>
          </cell>
          <cell r="Y238">
            <v>0</v>
          </cell>
          <cell r="Z238">
            <v>0</v>
          </cell>
          <cell r="AA238">
            <v>0</v>
          </cell>
          <cell r="AB238">
            <v>0</v>
          </cell>
          <cell r="AC238">
            <v>0</v>
          </cell>
          <cell r="AD238">
            <v>0</v>
          </cell>
          <cell r="AE238">
            <v>0</v>
          </cell>
          <cell r="AF238">
            <v>0</v>
          </cell>
          <cell r="AH238">
            <v>0</v>
          </cell>
        </row>
        <row r="239">
          <cell r="B239" t="str">
            <v>ST/EPU</v>
          </cell>
          <cell r="C239" t="str">
            <v>C1D</v>
          </cell>
          <cell r="D239" t="str">
            <v>C1DD</v>
          </cell>
          <cell r="E239" t="str">
            <v>DPE/DUBR</v>
          </cell>
          <cell r="G239">
            <v>15</v>
          </cell>
          <cell r="H239" t="str">
            <v>FORM CONT Mission DPE d'élaboration et suivi plans de form des DSEE 3j</v>
          </cell>
          <cell r="I239" t="str">
            <v>DPE</v>
          </cell>
          <cell r="K239" t="str">
            <v>IDA</v>
          </cell>
          <cell r="L239" t="str">
            <v>AUT</v>
          </cell>
          <cell r="P239">
            <v>0</v>
          </cell>
          <cell r="Q239" t="str">
            <v>pxj</v>
          </cell>
          <cell r="S239">
            <v>98.48</v>
          </cell>
          <cell r="T239">
            <v>0.9</v>
          </cell>
          <cell r="U239">
            <v>0</v>
          </cell>
          <cell r="V239">
            <v>0</v>
          </cell>
          <cell r="W239">
            <v>0</v>
          </cell>
          <cell r="X239">
            <v>0</v>
          </cell>
          <cell r="Y239">
            <v>0</v>
          </cell>
          <cell r="Z239">
            <v>0</v>
          </cell>
          <cell r="AA239">
            <v>0</v>
          </cell>
          <cell r="AB239">
            <v>0</v>
          </cell>
          <cell r="AC239">
            <v>0</v>
          </cell>
          <cell r="AD239">
            <v>0</v>
          </cell>
          <cell r="AE239">
            <v>0</v>
          </cell>
          <cell r="AF239">
            <v>0</v>
          </cell>
          <cell r="AH239">
            <v>0</v>
          </cell>
        </row>
        <row r="240">
          <cell r="B240" t="str">
            <v>ST/EPU</v>
          </cell>
          <cell r="C240" t="str">
            <v>C1D</v>
          </cell>
          <cell r="D240" t="str">
            <v>C1DD</v>
          </cell>
          <cell r="E240" t="str">
            <v>DPE/FORE</v>
          </cell>
          <cell r="G240">
            <v>15</v>
          </cell>
          <cell r="H240" t="str">
            <v>FORM CONT Mission DPE d'élaboration et suivi plans de form des DSEE 3j</v>
          </cell>
          <cell r="I240" t="str">
            <v>DPE</v>
          </cell>
          <cell r="K240" t="str">
            <v>IDA</v>
          </cell>
          <cell r="L240" t="str">
            <v>AUT</v>
          </cell>
          <cell r="P240">
            <v>0</v>
          </cell>
          <cell r="Q240" t="str">
            <v>pxj</v>
          </cell>
          <cell r="S240">
            <v>98.48</v>
          </cell>
          <cell r="T240">
            <v>0.9</v>
          </cell>
          <cell r="U240">
            <v>0</v>
          </cell>
          <cell r="V240">
            <v>0</v>
          </cell>
          <cell r="W240">
            <v>0</v>
          </cell>
          <cell r="X240">
            <v>0</v>
          </cell>
          <cell r="Y240">
            <v>0</v>
          </cell>
          <cell r="Z240">
            <v>0</v>
          </cell>
          <cell r="AA240">
            <v>0</v>
          </cell>
          <cell r="AB240">
            <v>0</v>
          </cell>
          <cell r="AC240">
            <v>0</v>
          </cell>
          <cell r="AD240">
            <v>0</v>
          </cell>
          <cell r="AE240">
            <v>0</v>
          </cell>
          <cell r="AF240">
            <v>0</v>
          </cell>
          <cell r="AH240">
            <v>0</v>
          </cell>
        </row>
        <row r="241">
          <cell r="B241" t="str">
            <v>ST/EPU</v>
          </cell>
          <cell r="C241" t="str">
            <v>C1D</v>
          </cell>
          <cell r="D241" t="str">
            <v>C1DD</v>
          </cell>
          <cell r="E241" t="str">
            <v>DPE/KIND</v>
          </cell>
          <cell r="G241">
            <v>15</v>
          </cell>
          <cell r="H241" t="str">
            <v>FORM CONT Mission DPE d'élaboration et suivi plans de form des DSEE 3j</v>
          </cell>
          <cell r="I241" t="str">
            <v>DPE</v>
          </cell>
          <cell r="K241" t="str">
            <v>IDA</v>
          </cell>
          <cell r="L241" t="str">
            <v>AUT</v>
          </cell>
          <cell r="P241">
            <v>0</v>
          </cell>
          <cell r="Q241" t="str">
            <v>pxj</v>
          </cell>
          <cell r="S241">
            <v>98.48</v>
          </cell>
          <cell r="T241">
            <v>0.9</v>
          </cell>
          <cell r="U241">
            <v>0</v>
          </cell>
          <cell r="V241">
            <v>0</v>
          </cell>
          <cell r="W241">
            <v>0</v>
          </cell>
          <cell r="X241">
            <v>0</v>
          </cell>
          <cell r="Y241">
            <v>0</v>
          </cell>
          <cell r="Z241">
            <v>0</v>
          </cell>
          <cell r="AA241">
            <v>0</v>
          </cell>
          <cell r="AB241">
            <v>0</v>
          </cell>
          <cell r="AC241">
            <v>0</v>
          </cell>
          <cell r="AD241">
            <v>0</v>
          </cell>
          <cell r="AE241">
            <v>0</v>
          </cell>
          <cell r="AF241">
            <v>0</v>
          </cell>
          <cell r="AH241">
            <v>0</v>
          </cell>
        </row>
        <row r="242">
          <cell r="B242" t="str">
            <v>ST/EPU</v>
          </cell>
          <cell r="C242" t="str">
            <v>C1D</v>
          </cell>
          <cell r="D242" t="str">
            <v>C1DD</v>
          </cell>
          <cell r="E242" t="str">
            <v>DPE/TELE</v>
          </cell>
          <cell r="G242">
            <v>15</v>
          </cell>
          <cell r="H242" t="str">
            <v>FORM CONT Mission DPE d'élaboration et suivi plans de form des DSEE 3j</v>
          </cell>
          <cell r="I242" t="str">
            <v>DPE</v>
          </cell>
          <cell r="K242" t="str">
            <v>IDA</v>
          </cell>
          <cell r="L242" t="str">
            <v>AUT</v>
          </cell>
          <cell r="P242">
            <v>0</v>
          </cell>
          <cell r="Q242" t="str">
            <v>pxj</v>
          </cell>
          <cell r="S242">
            <v>98.48</v>
          </cell>
          <cell r="T242">
            <v>0.9</v>
          </cell>
          <cell r="U242">
            <v>0</v>
          </cell>
          <cell r="V242">
            <v>0</v>
          </cell>
          <cell r="W242">
            <v>0</v>
          </cell>
          <cell r="X242">
            <v>0</v>
          </cell>
          <cell r="Y242">
            <v>0</v>
          </cell>
          <cell r="Z242">
            <v>0</v>
          </cell>
          <cell r="AA242">
            <v>0</v>
          </cell>
          <cell r="AB242">
            <v>0</v>
          </cell>
          <cell r="AC242">
            <v>0</v>
          </cell>
          <cell r="AD242">
            <v>0</v>
          </cell>
          <cell r="AE242">
            <v>0</v>
          </cell>
          <cell r="AF242">
            <v>0</v>
          </cell>
          <cell r="AH242">
            <v>0</v>
          </cell>
        </row>
        <row r="243">
          <cell r="B243" t="str">
            <v>ST/EPU</v>
          </cell>
          <cell r="C243" t="str">
            <v>C1D</v>
          </cell>
          <cell r="D243" t="str">
            <v>C1DD</v>
          </cell>
          <cell r="E243" t="str">
            <v>DPE/KOUB</v>
          </cell>
          <cell r="G243">
            <v>15</v>
          </cell>
          <cell r="H243" t="str">
            <v>FORM CONT Mission DPE d'élaboration et suivi plans de form des DSEE 3j</v>
          </cell>
          <cell r="I243" t="str">
            <v>DPE</v>
          </cell>
          <cell r="K243" t="str">
            <v>IDA</v>
          </cell>
          <cell r="L243" t="str">
            <v>AUT</v>
          </cell>
          <cell r="P243">
            <v>0</v>
          </cell>
          <cell r="Q243" t="str">
            <v>pxj</v>
          </cell>
          <cell r="S243">
            <v>98.48</v>
          </cell>
          <cell r="T243">
            <v>0.9</v>
          </cell>
          <cell r="U243">
            <v>0</v>
          </cell>
          <cell r="V243">
            <v>0</v>
          </cell>
          <cell r="W243">
            <v>0</v>
          </cell>
          <cell r="X243">
            <v>0</v>
          </cell>
          <cell r="Y243">
            <v>0</v>
          </cell>
          <cell r="Z243">
            <v>0</v>
          </cell>
          <cell r="AA243">
            <v>0</v>
          </cell>
          <cell r="AB243">
            <v>0</v>
          </cell>
          <cell r="AC243">
            <v>0</v>
          </cell>
          <cell r="AD243">
            <v>0</v>
          </cell>
          <cell r="AE243">
            <v>0</v>
          </cell>
          <cell r="AF243">
            <v>0</v>
          </cell>
          <cell r="AH243">
            <v>0</v>
          </cell>
        </row>
        <row r="244">
          <cell r="B244" t="str">
            <v>ST/EPU</v>
          </cell>
          <cell r="C244" t="str">
            <v>C1D</v>
          </cell>
          <cell r="D244" t="str">
            <v>C1DD</v>
          </cell>
          <cell r="E244" t="str">
            <v>DPE/LABE</v>
          </cell>
          <cell r="G244">
            <v>15</v>
          </cell>
          <cell r="H244" t="str">
            <v>FORM CONT Mission DPE d'élaboration et suivi plans de form des DSEE 3j</v>
          </cell>
          <cell r="I244" t="str">
            <v>DPE</v>
          </cell>
          <cell r="K244" t="str">
            <v>IDA</v>
          </cell>
          <cell r="L244" t="str">
            <v>AUT</v>
          </cell>
          <cell r="P244">
            <v>0</v>
          </cell>
          <cell r="Q244" t="str">
            <v>pxj</v>
          </cell>
          <cell r="S244">
            <v>98.48</v>
          </cell>
          <cell r="T244">
            <v>0.9</v>
          </cell>
          <cell r="U244">
            <v>0</v>
          </cell>
          <cell r="V244">
            <v>0</v>
          </cell>
          <cell r="W244">
            <v>0</v>
          </cell>
          <cell r="X244">
            <v>0</v>
          </cell>
          <cell r="Y244">
            <v>0</v>
          </cell>
          <cell r="Z244">
            <v>0</v>
          </cell>
          <cell r="AA244">
            <v>0</v>
          </cell>
          <cell r="AB244">
            <v>0</v>
          </cell>
          <cell r="AC244">
            <v>0</v>
          </cell>
          <cell r="AD244">
            <v>0</v>
          </cell>
          <cell r="AE244">
            <v>0</v>
          </cell>
          <cell r="AF244">
            <v>0</v>
          </cell>
          <cell r="AH244">
            <v>0</v>
          </cell>
        </row>
        <row r="245">
          <cell r="B245" t="str">
            <v>ST/EPU</v>
          </cell>
          <cell r="C245" t="str">
            <v>C1D</v>
          </cell>
          <cell r="D245" t="str">
            <v>C1DD</v>
          </cell>
          <cell r="E245" t="str">
            <v>DPE/LELO</v>
          </cell>
          <cell r="G245">
            <v>15</v>
          </cell>
          <cell r="H245" t="str">
            <v>FORM CONT Mission DPE d'élaboration et suivi plans de form des DSEE 3j</v>
          </cell>
          <cell r="I245" t="str">
            <v>DPE</v>
          </cell>
          <cell r="K245" t="str">
            <v>IDA</v>
          </cell>
          <cell r="L245" t="str">
            <v>AUT</v>
          </cell>
          <cell r="P245">
            <v>0</v>
          </cell>
          <cell r="Q245" t="str">
            <v>pxj</v>
          </cell>
          <cell r="S245">
            <v>98.48</v>
          </cell>
          <cell r="T245">
            <v>0.9</v>
          </cell>
          <cell r="U245">
            <v>0</v>
          </cell>
          <cell r="V245">
            <v>0</v>
          </cell>
          <cell r="W245">
            <v>0</v>
          </cell>
          <cell r="X245">
            <v>0</v>
          </cell>
          <cell r="Y245">
            <v>0</v>
          </cell>
          <cell r="Z245">
            <v>0</v>
          </cell>
          <cell r="AA245">
            <v>0</v>
          </cell>
          <cell r="AB245">
            <v>0</v>
          </cell>
          <cell r="AC245">
            <v>0</v>
          </cell>
          <cell r="AD245">
            <v>0</v>
          </cell>
          <cell r="AE245">
            <v>0</v>
          </cell>
          <cell r="AF245">
            <v>0</v>
          </cell>
          <cell r="AH245">
            <v>0</v>
          </cell>
        </row>
        <row r="246">
          <cell r="B246" t="str">
            <v>ST/EPU</v>
          </cell>
          <cell r="C246" t="str">
            <v>C1D</v>
          </cell>
          <cell r="D246" t="str">
            <v>C1DD</v>
          </cell>
          <cell r="E246" t="str">
            <v>DPE/MALI</v>
          </cell>
          <cell r="G246">
            <v>15</v>
          </cell>
          <cell r="H246" t="str">
            <v>FORM CONT Mission DPE d'élaboration et suivi plans de form des DSEE 3j</v>
          </cell>
          <cell r="I246" t="str">
            <v>DPE</v>
          </cell>
          <cell r="K246" t="str">
            <v>IDA</v>
          </cell>
          <cell r="L246" t="str">
            <v>AUT</v>
          </cell>
          <cell r="P246">
            <v>0</v>
          </cell>
          <cell r="Q246" t="str">
            <v>pxj</v>
          </cell>
          <cell r="S246">
            <v>98.48</v>
          </cell>
          <cell r="T246">
            <v>0.9</v>
          </cell>
          <cell r="U246">
            <v>0</v>
          </cell>
          <cell r="V246">
            <v>0</v>
          </cell>
          <cell r="W246">
            <v>0</v>
          </cell>
          <cell r="X246">
            <v>0</v>
          </cell>
          <cell r="Y246">
            <v>0</v>
          </cell>
          <cell r="Z246">
            <v>0</v>
          </cell>
          <cell r="AA246">
            <v>0</v>
          </cell>
          <cell r="AB246">
            <v>0</v>
          </cell>
          <cell r="AC246">
            <v>0</v>
          </cell>
          <cell r="AD246">
            <v>0</v>
          </cell>
          <cell r="AE246">
            <v>0</v>
          </cell>
          <cell r="AF246">
            <v>0</v>
          </cell>
          <cell r="AH246">
            <v>0</v>
          </cell>
        </row>
        <row r="247">
          <cell r="B247" t="str">
            <v>ST/EPU</v>
          </cell>
          <cell r="C247" t="str">
            <v>C1D</v>
          </cell>
          <cell r="D247" t="str">
            <v>C1DD</v>
          </cell>
          <cell r="E247" t="str">
            <v>DPE/TOUG</v>
          </cell>
          <cell r="G247">
            <v>15</v>
          </cell>
          <cell r="H247" t="str">
            <v>FORM CONT Mission DPE d'élaboration et suivi plans de form des DSEE 3j</v>
          </cell>
          <cell r="I247" t="str">
            <v>DPE</v>
          </cell>
          <cell r="K247" t="str">
            <v>IDA</v>
          </cell>
          <cell r="L247" t="str">
            <v>AUT</v>
          </cell>
          <cell r="P247">
            <v>0</v>
          </cell>
          <cell r="Q247" t="str">
            <v>pxj</v>
          </cell>
          <cell r="S247">
            <v>98.48</v>
          </cell>
          <cell r="T247">
            <v>0.9</v>
          </cell>
          <cell r="U247">
            <v>0</v>
          </cell>
          <cell r="V247">
            <v>0</v>
          </cell>
          <cell r="W247">
            <v>0</v>
          </cell>
          <cell r="X247">
            <v>0</v>
          </cell>
          <cell r="Y247">
            <v>0</v>
          </cell>
          <cell r="Z247">
            <v>0</v>
          </cell>
          <cell r="AA247">
            <v>0</v>
          </cell>
          <cell r="AB247">
            <v>0</v>
          </cell>
          <cell r="AC247">
            <v>0</v>
          </cell>
          <cell r="AD247">
            <v>0</v>
          </cell>
          <cell r="AE247">
            <v>0</v>
          </cell>
          <cell r="AF247">
            <v>0</v>
          </cell>
          <cell r="AH247">
            <v>0</v>
          </cell>
        </row>
        <row r="248">
          <cell r="B248" t="str">
            <v>ST/EPU</v>
          </cell>
          <cell r="C248" t="str">
            <v>C1D</v>
          </cell>
          <cell r="D248" t="str">
            <v>C1DD</v>
          </cell>
          <cell r="E248" t="str">
            <v>DPE/DALA</v>
          </cell>
          <cell r="G248">
            <v>15</v>
          </cell>
          <cell r="H248" t="str">
            <v>FORM CONT Mission DPE d'élaboration et suivi plans de form des DSEE 3j</v>
          </cell>
          <cell r="I248" t="str">
            <v>DPE</v>
          </cell>
          <cell r="K248" t="str">
            <v>IDA</v>
          </cell>
          <cell r="L248" t="str">
            <v>AUT</v>
          </cell>
          <cell r="P248">
            <v>0</v>
          </cell>
          <cell r="Q248" t="str">
            <v>pxj</v>
          </cell>
          <cell r="S248">
            <v>98.48</v>
          </cell>
          <cell r="T248">
            <v>0.9</v>
          </cell>
          <cell r="U248">
            <v>0</v>
          </cell>
          <cell r="V248">
            <v>0</v>
          </cell>
          <cell r="W248">
            <v>0</v>
          </cell>
          <cell r="X248">
            <v>0</v>
          </cell>
          <cell r="Y248">
            <v>0</v>
          </cell>
          <cell r="Z248">
            <v>0</v>
          </cell>
          <cell r="AA248">
            <v>0</v>
          </cell>
          <cell r="AB248">
            <v>0</v>
          </cell>
          <cell r="AC248">
            <v>0</v>
          </cell>
          <cell r="AD248">
            <v>0</v>
          </cell>
          <cell r="AE248">
            <v>0</v>
          </cell>
          <cell r="AF248">
            <v>0</v>
          </cell>
          <cell r="AH248">
            <v>0</v>
          </cell>
        </row>
        <row r="249">
          <cell r="B249" t="str">
            <v>ST/EPU</v>
          </cell>
          <cell r="C249" t="str">
            <v>C1D</v>
          </cell>
          <cell r="D249" t="str">
            <v>C1DD</v>
          </cell>
          <cell r="E249" t="str">
            <v>DPE/MAMO</v>
          </cell>
          <cell r="G249">
            <v>15</v>
          </cell>
          <cell r="H249" t="str">
            <v>FORM CONT Mission DPE d'élaboration et suivi plans de form des DSEE 3j</v>
          </cell>
          <cell r="I249" t="str">
            <v>DPE</v>
          </cell>
          <cell r="K249" t="str">
            <v>IDA</v>
          </cell>
          <cell r="L249" t="str">
            <v>AUT</v>
          </cell>
          <cell r="P249">
            <v>0</v>
          </cell>
          <cell r="Q249" t="str">
            <v>pxj</v>
          </cell>
          <cell r="S249">
            <v>98.48</v>
          </cell>
          <cell r="T249">
            <v>0.9</v>
          </cell>
          <cell r="U249">
            <v>0</v>
          </cell>
          <cell r="V249">
            <v>0</v>
          </cell>
          <cell r="W249">
            <v>0</v>
          </cell>
          <cell r="X249">
            <v>0</v>
          </cell>
          <cell r="Y249">
            <v>0</v>
          </cell>
          <cell r="Z249">
            <v>0</v>
          </cell>
          <cell r="AA249">
            <v>0</v>
          </cell>
          <cell r="AB249">
            <v>0</v>
          </cell>
          <cell r="AC249">
            <v>0</v>
          </cell>
          <cell r="AD249">
            <v>0</v>
          </cell>
          <cell r="AE249">
            <v>0</v>
          </cell>
          <cell r="AF249">
            <v>0</v>
          </cell>
          <cell r="AH249">
            <v>0</v>
          </cell>
        </row>
        <row r="250">
          <cell r="B250" t="str">
            <v>ST/EPU</v>
          </cell>
          <cell r="C250" t="str">
            <v>C1D</v>
          </cell>
          <cell r="D250" t="str">
            <v>C1DD</v>
          </cell>
          <cell r="E250" t="str">
            <v>DPE/PITA</v>
          </cell>
          <cell r="G250">
            <v>15</v>
          </cell>
          <cell r="H250" t="str">
            <v>FORM CONT Mission DPE d'élaboration et suivi plans de form des DSEE 3j</v>
          </cell>
          <cell r="I250" t="str">
            <v>DPE</v>
          </cell>
          <cell r="K250" t="str">
            <v>IDA</v>
          </cell>
          <cell r="L250" t="str">
            <v>AUT</v>
          </cell>
          <cell r="P250">
            <v>0</v>
          </cell>
          <cell r="Q250" t="str">
            <v>pxj</v>
          </cell>
          <cell r="S250">
            <v>98.48</v>
          </cell>
          <cell r="T250">
            <v>0.9</v>
          </cell>
          <cell r="U250">
            <v>0</v>
          </cell>
          <cell r="V250">
            <v>0</v>
          </cell>
          <cell r="W250">
            <v>0</v>
          </cell>
          <cell r="X250">
            <v>0</v>
          </cell>
          <cell r="Y250">
            <v>0</v>
          </cell>
          <cell r="Z250">
            <v>0</v>
          </cell>
          <cell r="AA250">
            <v>0</v>
          </cell>
          <cell r="AB250">
            <v>0</v>
          </cell>
          <cell r="AC250">
            <v>0</v>
          </cell>
          <cell r="AD250">
            <v>0</v>
          </cell>
          <cell r="AE250">
            <v>0</v>
          </cell>
          <cell r="AF250">
            <v>0</v>
          </cell>
          <cell r="AH250">
            <v>0</v>
          </cell>
        </row>
        <row r="251">
          <cell r="B251" t="str">
            <v>ST/EPU</v>
          </cell>
          <cell r="C251" t="str">
            <v>C1D</v>
          </cell>
          <cell r="D251" t="str">
            <v>C1DD</v>
          </cell>
          <cell r="E251" t="str">
            <v>DPE/BEYL</v>
          </cell>
          <cell r="G251">
            <v>15</v>
          </cell>
          <cell r="H251" t="str">
            <v>FORM CONT Mission DPE d'élaboration et suivi plans de form des DSEE 3j</v>
          </cell>
          <cell r="I251" t="str">
            <v>DPE</v>
          </cell>
          <cell r="K251" t="str">
            <v>IDA</v>
          </cell>
          <cell r="L251" t="str">
            <v>AUT</v>
          </cell>
          <cell r="P251">
            <v>0</v>
          </cell>
          <cell r="Q251" t="str">
            <v>pxj</v>
          </cell>
          <cell r="S251">
            <v>98.48</v>
          </cell>
          <cell r="T251">
            <v>0.9</v>
          </cell>
          <cell r="U251">
            <v>0</v>
          </cell>
          <cell r="V251">
            <v>0</v>
          </cell>
          <cell r="W251">
            <v>0</v>
          </cell>
          <cell r="X251">
            <v>0</v>
          </cell>
          <cell r="Y251">
            <v>0</v>
          </cell>
          <cell r="Z251">
            <v>0</v>
          </cell>
          <cell r="AA251">
            <v>0</v>
          </cell>
          <cell r="AB251">
            <v>0</v>
          </cell>
          <cell r="AC251">
            <v>0</v>
          </cell>
          <cell r="AD251">
            <v>0</v>
          </cell>
          <cell r="AE251">
            <v>0</v>
          </cell>
          <cell r="AF251">
            <v>0</v>
          </cell>
          <cell r="AH251">
            <v>0</v>
          </cell>
        </row>
        <row r="252">
          <cell r="B252" t="str">
            <v>ST/EPU</v>
          </cell>
          <cell r="C252" t="str">
            <v>C1D</v>
          </cell>
          <cell r="D252" t="str">
            <v>C1DD</v>
          </cell>
          <cell r="E252" t="str">
            <v>DPE/GUEC</v>
          </cell>
          <cell r="G252">
            <v>15</v>
          </cell>
          <cell r="H252" t="str">
            <v>FORM CONT Mission DPE d'élaboration et suivi plans de form des DSEE 3j</v>
          </cell>
          <cell r="I252" t="str">
            <v>DPE</v>
          </cell>
          <cell r="K252" t="str">
            <v>IDA</v>
          </cell>
          <cell r="L252" t="str">
            <v>AUT</v>
          </cell>
          <cell r="P252">
            <v>0</v>
          </cell>
          <cell r="Q252" t="str">
            <v>pxj</v>
          </cell>
          <cell r="S252">
            <v>98.48</v>
          </cell>
          <cell r="T252">
            <v>0.9</v>
          </cell>
          <cell r="U252">
            <v>0</v>
          </cell>
          <cell r="V252">
            <v>0</v>
          </cell>
          <cell r="W252">
            <v>0</v>
          </cell>
          <cell r="X252">
            <v>0</v>
          </cell>
          <cell r="Y252">
            <v>0</v>
          </cell>
          <cell r="Z252">
            <v>0</v>
          </cell>
          <cell r="AA252">
            <v>0</v>
          </cell>
          <cell r="AB252">
            <v>0</v>
          </cell>
          <cell r="AC252">
            <v>0</v>
          </cell>
          <cell r="AD252">
            <v>0</v>
          </cell>
          <cell r="AE252">
            <v>0</v>
          </cell>
          <cell r="AF252">
            <v>0</v>
          </cell>
          <cell r="AH252">
            <v>0</v>
          </cell>
        </row>
        <row r="253">
          <cell r="B253" t="str">
            <v>ST/EPU</v>
          </cell>
          <cell r="C253" t="str">
            <v>C1D</v>
          </cell>
          <cell r="D253" t="str">
            <v>C1DD</v>
          </cell>
          <cell r="E253" t="str">
            <v>DPE/LOLA</v>
          </cell>
          <cell r="G253">
            <v>15</v>
          </cell>
          <cell r="H253" t="str">
            <v>FORM CONT Mission DPE d'élaboration et suivi plans de form des DSEE 3j</v>
          </cell>
          <cell r="I253" t="str">
            <v>DPE</v>
          </cell>
          <cell r="K253" t="str">
            <v>IDA</v>
          </cell>
          <cell r="L253" t="str">
            <v>AUT</v>
          </cell>
          <cell r="P253">
            <v>0</v>
          </cell>
          <cell r="Q253" t="str">
            <v>pxj</v>
          </cell>
          <cell r="S253">
            <v>98.48</v>
          </cell>
          <cell r="T253">
            <v>0.9</v>
          </cell>
          <cell r="U253">
            <v>0</v>
          </cell>
          <cell r="V253">
            <v>0</v>
          </cell>
          <cell r="W253">
            <v>0</v>
          </cell>
          <cell r="X253">
            <v>0</v>
          </cell>
          <cell r="Y253">
            <v>0</v>
          </cell>
          <cell r="Z253">
            <v>0</v>
          </cell>
          <cell r="AA253">
            <v>0</v>
          </cell>
          <cell r="AB253">
            <v>0</v>
          </cell>
          <cell r="AC253">
            <v>0</v>
          </cell>
          <cell r="AD253">
            <v>0</v>
          </cell>
          <cell r="AE253">
            <v>0</v>
          </cell>
          <cell r="AF253">
            <v>0</v>
          </cell>
          <cell r="AH253">
            <v>0</v>
          </cell>
        </row>
        <row r="254">
          <cell r="B254" t="str">
            <v>ST/EPU</v>
          </cell>
          <cell r="C254" t="str">
            <v>C1D</v>
          </cell>
          <cell r="D254" t="str">
            <v>C1DD</v>
          </cell>
          <cell r="E254" t="str">
            <v>DPE/MACE</v>
          </cell>
          <cell r="G254">
            <v>15</v>
          </cell>
          <cell r="H254" t="str">
            <v>FORM CONT Mission DPE d'élaboration et suivi plans de form des DSEE 3j</v>
          </cell>
          <cell r="I254" t="str">
            <v>DPE</v>
          </cell>
          <cell r="K254" t="str">
            <v>IDA</v>
          </cell>
          <cell r="L254" t="str">
            <v>AUT</v>
          </cell>
          <cell r="P254">
            <v>0</v>
          </cell>
          <cell r="Q254" t="str">
            <v>pxj</v>
          </cell>
          <cell r="S254">
            <v>98.48</v>
          </cell>
          <cell r="T254">
            <v>0.9</v>
          </cell>
          <cell r="U254">
            <v>0</v>
          </cell>
          <cell r="V254">
            <v>0</v>
          </cell>
          <cell r="W254">
            <v>0</v>
          </cell>
          <cell r="X254">
            <v>0</v>
          </cell>
          <cell r="Y254">
            <v>0</v>
          </cell>
          <cell r="Z254">
            <v>0</v>
          </cell>
          <cell r="AA254">
            <v>0</v>
          </cell>
          <cell r="AB254">
            <v>0</v>
          </cell>
          <cell r="AC254">
            <v>0</v>
          </cell>
          <cell r="AD254">
            <v>0</v>
          </cell>
          <cell r="AE254">
            <v>0</v>
          </cell>
          <cell r="AF254">
            <v>0</v>
          </cell>
          <cell r="AH254">
            <v>0</v>
          </cell>
        </row>
        <row r="255">
          <cell r="B255" t="str">
            <v>ST/EPU</v>
          </cell>
          <cell r="C255" t="str">
            <v>C1D</v>
          </cell>
          <cell r="D255" t="str">
            <v>C1DD</v>
          </cell>
          <cell r="E255" t="str">
            <v>DPE/NZER</v>
          </cell>
          <cell r="G255">
            <v>15</v>
          </cell>
          <cell r="H255" t="str">
            <v>FORM CONT Mission DPE d'élaboration et suivi plans de form des DSEE 3j</v>
          </cell>
          <cell r="I255" t="str">
            <v>DPE</v>
          </cell>
          <cell r="K255" t="str">
            <v>IDA</v>
          </cell>
          <cell r="L255" t="str">
            <v>AUT</v>
          </cell>
          <cell r="P255">
            <v>0</v>
          </cell>
          <cell r="Q255" t="str">
            <v>pxj</v>
          </cell>
          <cell r="S255">
            <v>98.48</v>
          </cell>
          <cell r="T255">
            <v>0.9</v>
          </cell>
          <cell r="U255">
            <v>0</v>
          </cell>
          <cell r="V255">
            <v>0</v>
          </cell>
          <cell r="W255">
            <v>0</v>
          </cell>
          <cell r="X255">
            <v>0</v>
          </cell>
          <cell r="Y255">
            <v>0</v>
          </cell>
          <cell r="Z255">
            <v>0</v>
          </cell>
          <cell r="AA255">
            <v>0</v>
          </cell>
          <cell r="AB255">
            <v>0</v>
          </cell>
          <cell r="AC255">
            <v>0</v>
          </cell>
          <cell r="AD255">
            <v>0</v>
          </cell>
          <cell r="AE255">
            <v>0</v>
          </cell>
          <cell r="AF255">
            <v>0</v>
          </cell>
          <cell r="AH255">
            <v>0</v>
          </cell>
        </row>
        <row r="256">
          <cell r="B256" t="str">
            <v>ST/EPU</v>
          </cell>
          <cell r="C256" t="str">
            <v>C1D</v>
          </cell>
          <cell r="D256" t="str">
            <v>C1DD</v>
          </cell>
          <cell r="E256" t="str">
            <v>DPE/YOMO</v>
          </cell>
          <cell r="G256">
            <v>15</v>
          </cell>
          <cell r="H256" t="str">
            <v>FORM CONT Mission DPE d'élaboration et suivi plans de form des DSEE 3j</v>
          </cell>
          <cell r="I256" t="str">
            <v>DPE</v>
          </cell>
          <cell r="K256" t="str">
            <v>IDA</v>
          </cell>
          <cell r="L256" t="str">
            <v>AUT</v>
          </cell>
          <cell r="P256">
            <v>0</v>
          </cell>
          <cell r="Q256" t="str">
            <v>pxj</v>
          </cell>
          <cell r="S256">
            <v>98.48</v>
          </cell>
          <cell r="T256">
            <v>0.9</v>
          </cell>
          <cell r="U256">
            <v>0</v>
          </cell>
          <cell r="V256">
            <v>0</v>
          </cell>
          <cell r="W256">
            <v>0</v>
          </cell>
          <cell r="X256">
            <v>0</v>
          </cell>
          <cell r="Y256">
            <v>0</v>
          </cell>
          <cell r="Z256">
            <v>0</v>
          </cell>
          <cell r="AA256">
            <v>0</v>
          </cell>
          <cell r="AB256">
            <v>0</v>
          </cell>
          <cell r="AC256">
            <v>0</v>
          </cell>
          <cell r="AD256">
            <v>0</v>
          </cell>
          <cell r="AE256">
            <v>0</v>
          </cell>
          <cell r="AF256">
            <v>0</v>
          </cell>
          <cell r="AH256">
            <v>0</v>
          </cell>
        </row>
        <row r="257">
          <cell r="B257" t="str">
            <v>ST/EPU</v>
          </cell>
          <cell r="C257" t="str">
            <v>B1A</v>
          </cell>
          <cell r="D257" t="str">
            <v>B1AF</v>
          </cell>
          <cell r="E257" t="str">
            <v>DNEE</v>
          </cell>
          <cell r="G257">
            <v>25</v>
          </cell>
          <cell r="H257" t="str">
            <v>GEST SUBV At semestriel synthèse et programmation activités 2fois x (2px8IRE + 6CN) x 5j</v>
          </cell>
          <cell r="I257" t="str">
            <v>DNEE</v>
          </cell>
          <cell r="K257" t="str">
            <v>IDA</v>
          </cell>
          <cell r="L257" t="str">
            <v>AUT</v>
          </cell>
          <cell r="P257">
            <v>0</v>
          </cell>
          <cell r="Q257" t="str">
            <v>pxj</v>
          </cell>
          <cell r="S257">
            <v>147.72</v>
          </cell>
          <cell r="T257">
            <v>1</v>
          </cell>
          <cell r="U257">
            <v>0</v>
          </cell>
          <cell r="V257">
            <v>0</v>
          </cell>
          <cell r="W257">
            <v>0</v>
          </cell>
          <cell r="X257">
            <v>0</v>
          </cell>
          <cell r="Y257">
            <v>0</v>
          </cell>
          <cell r="Z257">
            <v>0</v>
          </cell>
          <cell r="AA257">
            <v>0</v>
          </cell>
          <cell r="AB257">
            <v>0</v>
          </cell>
          <cell r="AC257">
            <v>0</v>
          </cell>
          <cell r="AD257">
            <v>0</v>
          </cell>
          <cell r="AE257">
            <v>0</v>
          </cell>
          <cell r="AF257">
            <v>0</v>
          </cell>
          <cell r="AH257">
            <v>0</v>
          </cell>
        </row>
        <row r="258">
          <cell r="B258" t="str">
            <v>ST/EPU</v>
          </cell>
          <cell r="C258" t="str">
            <v>B1A</v>
          </cell>
          <cell r="D258" t="str">
            <v>B1AF</v>
          </cell>
          <cell r="E258" t="str">
            <v>DNEE</v>
          </cell>
          <cell r="G258">
            <v>15</v>
          </cell>
          <cell r="H258" t="str">
            <v>GEST SUBV Mission de supervision des activités 2 fois (5pxj x 8IRE)</v>
          </cell>
          <cell r="I258" t="str">
            <v>DNEE</v>
          </cell>
          <cell r="K258" t="str">
            <v>IDA</v>
          </cell>
          <cell r="L258" t="str">
            <v>AUT</v>
          </cell>
          <cell r="P258">
            <v>0</v>
          </cell>
          <cell r="Q258" t="str">
            <v>pxj</v>
          </cell>
          <cell r="S258">
            <v>147.72</v>
          </cell>
          <cell r="T258">
            <v>0.9</v>
          </cell>
          <cell r="U258">
            <v>0</v>
          </cell>
          <cell r="V258">
            <v>0</v>
          </cell>
          <cell r="W258">
            <v>0</v>
          </cell>
          <cell r="X258">
            <v>0</v>
          </cell>
          <cell r="Y258">
            <v>0</v>
          </cell>
          <cell r="Z258">
            <v>0</v>
          </cell>
          <cell r="AA258">
            <v>0</v>
          </cell>
          <cell r="AB258">
            <v>0</v>
          </cell>
          <cell r="AC258">
            <v>0</v>
          </cell>
          <cell r="AD258">
            <v>0</v>
          </cell>
          <cell r="AE258">
            <v>0</v>
          </cell>
          <cell r="AF258">
            <v>0</v>
          </cell>
          <cell r="AH258">
            <v>0</v>
          </cell>
        </row>
        <row r="259">
          <cell r="B259" t="str">
            <v>ST/EPU</v>
          </cell>
          <cell r="C259" t="str">
            <v>B1A</v>
          </cell>
          <cell r="D259" t="str">
            <v>B1AF</v>
          </cell>
          <cell r="E259" t="str">
            <v>DNEE</v>
          </cell>
          <cell r="G259">
            <v>15</v>
          </cell>
          <cell r="H259" t="str">
            <v>GEST SUBV Fonctionnement des équipements du PAREEG</v>
          </cell>
          <cell r="I259" t="str">
            <v>DNEE</v>
          </cell>
          <cell r="K259" t="str">
            <v>IDA</v>
          </cell>
          <cell r="L259" t="str">
            <v>AUT</v>
          </cell>
          <cell r="P259">
            <v>0</v>
          </cell>
          <cell r="Q259" t="str">
            <v>mois</v>
          </cell>
          <cell r="S259">
            <v>3693.0000000000005</v>
          </cell>
          <cell r="T259">
            <v>0.9</v>
          </cell>
          <cell r="U259">
            <v>0</v>
          </cell>
          <cell r="V259">
            <v>0</v>
          </cell>
          <cell r="W259">
            <v>0</v>
          </cell>
          <cell r="X259">
            <v>0</v>
          </cell>
          <cell r="Y259">
            <v>0</v>
          </cell>
          <cell r="Z259">
            <v>0</v>
          </cell>
          <cell r="AA259">
            <v>0</v>
          </cell>
          <cell r="AB259">
            <v>0</v>
          </cell>
          <cell r="AC259">
            <v>0</v>
          </cell>
          <cell r="AD259">
            <v>0</v>
          </cell>
          <cell r="AE259">
            <v>0</v>
          </cell>
          <cell r="AF259">
            <v>0</v>
          </cell>
          <cell r="AH259">
            <v>0</v>
          </cell>
        </row>
        <row r="260">
          <cell r="B260" t="str">
            <v>ST/EPU</v>
          </cell>
          <cell r="C260" t="str">
            <v>B1A</v>
          </cell>
          <cell r="D260" t="str">
            <v>B1AF</v>
          </cell>
          <cell r="E260" t="str">
            <v>DNEE</v>
          </cell>
          <cell r="G260">
            <v>15</v>
          </cell>
          <cell r="H260" t="str">
            <v>GEST SUBV Location bureaux PAREEG</v>
          </cell>
          <cell r="I260" t="str">
            <v>DNEE</v>
          </cell>
          <cell r="K260" t="str">
            <v>IDA</v>
          </cell>
          <cell r="L260" t="str">
            <v>AUT</v>
          </cell>
          <cell r="P260">
            <v>0</v>
          </cell>
          <cell r="Q260" t="str">
            <v>mois</v>
          </cell>
          <cell r="S260">
            <v>10258.333333333336</v>
          </cell>
          <cell r="T260">
            <v>0.9</v>
          </cell>
          <cell r="U260">
            <v>0</v>
          </cell>
          <cell r="V260">
            <v>0</v>
          </cell>
          <cell r="W260">
            <v>0</v>
          </cell>
          <cell r="X260">
            <v>0</v>
          </cell>
          <cell r="Y260">
            <v>0</v>
          </cell>
          <cell r="Z260">
            <v>0</v>
          </cell>
          <cell r="AA260">
            <v>0</v>
          </cell>
          <cell r="AB260">
            <v>0</v>
          </cell>
          <cell r="AC260">
            <v>0</v>
          </cell>
          <cell r="AD260">
            <v>0</v>
          </cell>
          <cell r="AE260">
            <v>0</v>
          </cell>
          <cell r="AF260">
            <v>0</v>
          </cell>
          <cell r="AH260">
            <v>0</v>
          </cell>
        </row>
        <row r="261">
          <cell r="B261" t="str">
            <v>ST/EPU</v>
          </cell>
          <cell r="C261" t="str">
            <v>B1A</v>
          </cell>
          <cell r="D261" t="str">
            <v>B1AG</v>
          </cell>
          <cell r="E261" t="str">
            <v>DNEE</v>
          </cell>
          <cell r="G261">
            <v>25</v>
          </cell>
          <cell r="H261" t="str">
            <v>GEST SUBV Missions des consultants 2007</v>
          </cell>
          <cell r="I261" t="str">
            <v>DNEE</v>
          </cell>
          <cell r="K261" t="str">
            <v>IDA</v>
          </cell>
          <cell r="L261" t="str">
            <v>LR</v>
          </cell>
          <cell r="P261">
            <v>0</v>
          </cell>
          <cell r="Q261" t="str">
            <v>forfait</v>
          </cell>
          <cell r="S261">
            <v>344680</v>
          </cell>
          <cell r="T261">
            <v>1</v>
          </cell>
          <cell r="U261">
            <v>0</v>
          </cell>
          <cell r="V261">
            <v>0</v>
          </cell>
          <cell r="W261">
            <v>0</v>
          </cell>
          <cell r="X261">
            <v>0</v>
          </cell>
          <cell r="Y261">
            <v>0</v>
          </cell>
          <cell r="Z261">
            <v>0</v>
          </cell>
          <cell r="AA261">
            <v>0</v>
          </cell>
          <cell r="AB261">
            <v>0</v>
          </cell>
          <cell r="AC261">
            <v>0</v>
          </cell>
          <cell r="AD261">
            <v>0</v>
          </cell>
          <cell r="AE261">
            <v>0</v>
          </cell>
          <cell r="AF261">
            <v>0</v>
          </cell>
          <cell r="AH261">
            <v>0</v>
          </cell>
        </row>
        <row r="262">
          <cell r="B262" t="str">
            <v>ST/EPU</v>
          </cell>
          <cell r="C262" t="str">
            <v>B1D</v>
          </cell>
          <cell r="D262" t="str">
            <v>B1DA</v>
          </cell>
          <cell r="E262" t="str">
            <v>INRAP</v>
          </cell>
          <cell r="G262">
            <v>25</v>
          </cell>
          <cell r="H262" t="str">
            <v>APC Bilan d'état sur l'expérimentation de l'approche curriculaire en lecture</v>
          </cell>
          <cell r="I262" t="str">
            <v>INRAP</v>
          </cell>
          <cell r="K262" t="str">
            <v>IDA</v>
          </cell>
          <cell r="L262" t="str">
            <v>LR</v>
          </cell>
          <cell r="P262">
            <v>0</v>
          </cell>
          <cell r="Q262" t="str">
            <v>forfait</v>
          </cell>
          <cell r="S262">
            <v>73860</v>
          </cell>
          <cell r="T262">
            <v>1</v>
          </cell>
          <cell r="U262">
            <v>0</v>
          </cell>
          <cell r="V262">
            <v>0</v>
          </cell>
          <cell r="W262">
            <v>0</v>
          </cell>
          <cell r="X262">
            <v>0</v>
          </cell>
          <cell r="Y262">
            <v>0</v>
          </cell>
          <cell r="Z262">
            <v>0</v>
          </cell>
          <cell r="AA262">
            <v>0</v>
          </cell>
          <cell r="AB262">
            <v>0</v>
          </cell>
          <cell r="AC262">
            <v>0</v>
          </cell>
          <cell r="AD262">
            <v>0</v>
          </cell>
          <cell r="AE262">
            <v>0</v>
          </cell>
          <cell r="AF262">
            <v>0</v>
          </cell>
          <cell r="AH262">
            <v>0</v>
          </cell>
        </row>
        <row r="263">
          <cell r="B263" t="str">
            <v>ST/EPU</v>
          </cell>
          <cell r="C263" t="str">
            <v>B1D</v>
          </cell>
          <cell r="D263" t="str">
            <v>B1DA</v>
          </cell>
          <cell r="E263" t="str">
            <v>INRAP</v>
          </cell>
          <cell r="G263">
            <v>25</v>
          </cell>
          <cell r="H263" t="str">
            <v>APC Bilan diagnostic de la réforme curriculaire (APC)</v>
          </cell>
          <cell r="I263" t="str">
            <v>INRAP</v>
          </cell>
          <cell r="K263" t="str">
            <v>IDA</v>
          </cell>
          <cell r="L263" t="str">
            <v>LR</v>
          </cell>
          <cell r="P263">
            <v>0</v>
          </cell>
          <cell r="Q263" t="str">
            <v>forfait</v>
          </cell>
          <cell r="S263">
            <v>147720</v>
          </cell>
          <cell r="T263">
            <v>1</v>
          </cell>
          <cell r="U263">
            <v>0</v>
          </cell>
          <cell r="V263">
            <v>0</v>
          </cell>
          <cell r="W263">
            <v>0</v>
          </cell>
          <cell r="X263">
            <v>0</v>
          </cell>
          <cell r="Y263">
            <v>0</v>
          </cell>
          <cell r="Z263">
            <v>0</v>
          </cell>
          <cell r="AA263">
            <v>0</v>
          </cell>
          <cell r="AB263">
            <v>0</v>
          </cell>
          <cell r="AC263">
            <v>0</v>
          </cell>
          <cell r="AD263">
            <v>0</v>
          </cell>
          <cell r="AE263">
            <v>0</v>
          </cell>
          <cell r="AF263">
            <v>0</v>
          </cell>
          <cell r="AH263">
            <v>0</v>
          </cell>
        </row>
        <row r="264">
          <cell r="B264" t="str">
            <v>ST/EPU</v>
          </cell>
          <cell r="C264" t="str">
            <v>B1D</v>
          </cell>
          <cell r="D264" t="str">
            <v>B1DA</v>
          </cell>
          <cell r="E264" t="str">
            <v>INRAP</v>
          </cell>
          <cell r="G264">
            <v>25</v>
          </cell>
          <cell r="H264" t="str">
            <v>APC Contrat de partenariat avec institution spécialisée en approche/compétences</v>
          </cell>
          <cell r="I264" t="str">
            <v>INRAP</v>
          </cell>
          <cell r="K264" t="str">
            <v>IDA</v>
          </cell>
          <cell r="L264" t="str">
            <v>LR</v>
          </cell>
          <cell r="P264">
            <v>0</v>
          </cell>
          <cell r="Q264" t="str">
            <v>mission</v>
          </cell>
          <cell r="S264">
            <v>108328.00000000001</v>
          </cell>
          <cell r="T264">
            <v>1</v>
          </cell>
          <cell r="U264">
            <v>0</v>
          </cell>
          <cell r="V264">
            <v>0</v>
          </cell>
          <cell r="W264">
            <v>0</v>
          </cell>
          <cell r="X264">
            <v>0</v>
          </cell>
          <cell r="Y264">
            <v>0</v>
          </cell>
          <cell r="Z264">
            <v>0</v>
          </cell>
          <cell r="AA264">
            <v>0</v>
          </cell>
          <cell r="AB264">
            <v>0</v>
          </cell>
          <cell r="AC264">
            <v>0</v>
          </cell>
          <cell r="AD264">
            <v>0</v>
          </cell>
          <cell r="AE264">
            <v>0</v>
          </cell>
          <cell r="AF264">
            <v>0</v>
          </cell>
          <cell r="AH264">
            <v>0</v>
          </cell>
        </row>
        <row r="265">
          <cell r="B265" t="str">
            <v>ST/EPU</v>
          </cell>
          <cell r="C265" t="str">
            <v>B1D</v>
          </cell>
          <cell r="D265" t="str">
            <v>B1DA</v>
          </cell>
          <cell r="E265" t="str">
            <v>INRAP</v>
          </cell>
          <cell r="G265">
            <v>25</v>
          </cell>
          <cell r="H265" t="str">
            <v>APC 2èT &amp; 3èT 06/07  Missions C de suivi 114 CE&amp;CP&amp;CM x 1j x 2T</v>
          </cell>
          <cell r="I265" t="str">
            <v>INRAP</v>
          </cell>
          <cell r="K265" t="str">
            <v>IDA</v>
          </cell>
          <cell r="L265" t="str">
            <v>AUT</v>
          </cell>
          <cell r="P265">
            <v>0</v>
          </cell>
          <cell r="Q265" t="str">
            <v>pxj</v>
          </cell>
          <cell r="S265">
            <v>147.72</v>
          </cell>
          <cell r="T265">
            <v>1</v>
          </cell>
          <cell r="U265">
            <v>0</v>
          </cell>
          <cell r="V265">
            <v>0</v>
          </cell>
          <cell r="W265">
            <v>0</v>
          </cell>
          <cell r="X265">
            <v>0</v>
          </cell>
          <cell r="Y265">
            <v>0</v>
          </cell>
          <cell r="Z265">
            <v>0</v>
          </cell>
          <cell r="AA265">
            <v>0</v>
          </cell>
          <cell r="AB265">
            <v>0</v>
          </cell>
          <cell r="AC265">
            <v>0</v>
          </cell>
          <cell r="AD265">
            <v>0</v>
          </cell>
          <cell r="AE265">
            <v>0</v>
          </cell>
          <cell r="AF265">
            <v>0</v>
          </cell>
          <cell r="AH265">
            <v>0</v>
          </cell>
        </row>
        <row r="266">
          <cell r="B266" t="str">
            <v>ST/EPU</v>
          </cell>
          <cell r="C266" t="str">
            <v>B1D</v>
          </cell>
          <cell r="D266" t="str">
            <v>B1DA</v>
          </cell>
          <cell r="E266" t="str">
            <v>INRAP</v>
          </cell>
          <cell r="G266">
            <v>25</v>
          </cell>
          <cell r="H266" t="str">
            <v>APC 2èT &amp; 3èT 06/07  Missions R de suivi 114 CE&amp;CP&amp;CM x 1j x 2T</v>
          </cell>
          <cell r="I266" t="str">
            <v>INRAP</v>
          </cell>
          <cell r="K266" t="str">
            <v>IDA</v>
          </cell>
          <cell r="L266" t="str">
            <v>AUT</v>
          </cell>
          <cell r="P266">
            <v>0</v>
          </cell>
          <cell r="Q266" t="str">
            <v>pxj</v>
          </cell>
          <cell r="S266">
            <v>123.10000000000001</v>
          </cell>
          <cell r="T266">
            <v>1</v>
          </cell>
          <cell r="U266">
            <v>0</v>
          </cell>
          <cell r="V266">
            <v>0</v>
          </cell>
          <cell r="W266">
            <v>0</v>
          </cell>
          <cell r="X266">
            <v>0</v>
          </cell>
          <cell r="Y266">
            <v>0</v>
          </cell>
          <cell r="Z266">
            <v>0</v>
          </cell>
          <cell r="AA266">
            <v>0</v>
          </cell>
          <cell r="AB266">
            <v>0</v>
          </cell>
          <cell r="AC266">
            <v>0</v>
          </cell>
          <cell r="AD266">
            <v>0</v>
          </cell>
          <cell r="AE266">
            <v>0</v>
          </cell>
          <cell r="AF266">
            <v>0</v>
          </cell>
          <cell r="AH266">
            <v>0</v>
          </cell>
        </row>
        <row r="267">
          <cell r="B267" t="str">
            <v>ST/EPU</v>
          </cell>
          <cell r="C267" t="str">
            <v>B1D</v>
          </cell>
          <cell r="D267" t="str">
            <v>B1DA</v>
          </cell>
          <cell r="E267" t="str">
            <v>INRAP</v>
          </cell>
          <cell r="G267">
            <v>25</v>
          </cell>
          <cell r="H267" t="str">
            <v>APC 1erT 07/08          Missions C de suivi 114 CE&amp;CP&amp;CM x 1j x 1T</v>
          </cell>
          <cell r="I267" t="str">
            <v>INRAP</v>
          </cell>
          <cell r="K267" t="str">
            <v>IDA</v>
          </cell>
          <cell r="L267" t="str">
            <v>AUT</v>
          </cell>
          <cell r="P267">
            <v>0</v>
          </cell>
          <cell r="Q267" t="str">
            <v>pxj</v>
          </cell>
          <cell r="S267">
            <v>147.72</v>
          </cell>
          <cell r="T267">
            <v>1</v>
          </cell>
          <cell r="U267">
            <v>0</v>
          </cell>
          <cell r="V267">
            <v>0</v>
          </cell>
          <cell r="W267">
            <v>0</v>
          </cell>
          <cell r="X267">
            <v>0</v>
          </cell>
          <cell r="Y267">
            <v>0</v>
          </cell>
          <cell r="Z267">
            <v>0</v>
          </cell>
          <cell r="AA267">
            <v>0</v>
          </cell>
          <cell r="AB267">
            <v>0</v>
          </cell>
          <cell r="AC267">
            <v>0</v>
          </cell>
          <cell r="AD267">
            <v>0</v>
          </cell>
          <cell r="AE267">
            <v>0</v>
          </cell>
          <cell r="AF267">
            <v>0</v>
          </cell>
          <cell r="AH267">
            <v>0</v>
          </cell>
        </row>
        <row r="268">
          <cell r="B268" t="str">
            <v>ST/EPU</v>
          </cell>
          <cell r="C268" t="str">
            <v>B1D</v>
          </cell>
          <cell r="D268" t="str">
            <v>B1DA</v>
          </cell>
          <cell r="E268" t="str">
            <v>INRAP</v>
          </cell>
          <cell r="G268">
            <v>25</v>
          </cell>
          <cell r="H268" t="str">
            <v>APC 1erT 07/08          Missions R de suivi 114 CE&amp;CP&amp;CM x 1j x 1T</v>
          </cell>
          <cell r="I268" t="str">
            <v>INRAP</v>
          </cell>
          <cell r="K268" t="str">
            <v>IDA</v>
          </cell>
          <cell r="L268" t="str">
            <v>AUT</v>
          </cell>
          <cell r="P268">
            <v>0</v>
          </cell>
          <cell r="Q268" t="str">
            <v>pxj</v>
          </cell>
          <cell r="S268">
            <v>123.10000000000001</v>
          </cell>
          <cell r="T268">
            <v>1</v>
          </cell>
          <cell r="U268">
            <v>0</v>
          </cell>
          <cell r="V268">
            <v>0</v>
          </cell>
          <cell r="W268">
            <v>0</v>
          </cell>
          <cell r="X268">
            <v>0</v>
          </cell>
          <cell r="Y268">
            <v>0</v>
          </cell>
          <cell r="Z268">
            <v>0</v>
          </cell>
          <cell r="AA268">
            <v>0</v>
          </cell>
          <cell r="AB268">
            <v>0</v>
          </cell>
          <cell r="AC268">
            <v>0</v>
          </cell>
          <cell r="AD268">
            <v>0</v>
          </cell>
          <cell r="AE268">
            <v>0</v>
          </cell>
          <cell r="AF268">
            <v>0</v>
          </cell>
          <cell r="AH268">
            <v>0</v>
          </cell>
        </row>
        <row r="269">
          <cell r="B269" t="str">
            <v>ST/EPU</v>
          </cell>
          <cell r="C269" t="str">
            <v>B1D</v>
          </cell>
          <cell r="D269" t="str">
            <v>B1DB</v>
          </cell>
          <cell r="E269" t="str">
            <v>INRAP</v>
          </cell>
          <cell r="G269">
            <v>25</v>
          </cell>
          <cell r="H269" t="str">
            <v>PC Elaboration supports didactiques pour introduction de langues maternelles au CP</v>
          </cell>
          <cell r="I269" t="str">
            <v>INRAP</v>
          </cell>
          <cell r="K269" t="str">
            <v>IDA</v>
          </cell>
          <cell r="L269" t="str">
            <v>AUT</v>
          </cell>
          <cell r="P269">
            <v>0</v>
          </cell>
          <cell r="Q269" t="str">
            <v>forfait</v>
          </cell>
          <cell r="S269">
            <v>246200.00000000003</v>
          </cell>
          <cell r="T269">
            <v>1</v>
          </cell>
          <cell r="U269">
            <v>0</v>
          </cell>
          <cell r="V269">
            <v>0</v>
          </cell>
          <cell r="W269">
            <v>0</v>
          </cell>
          <cell r="X269">
            <v>0</v>
          </cell>
          <cell r="Y269">
            <v>0</v>
          </cell>
          <cell r="Z269">
            <v>0</v>
          </cell>
          <cell r="AA269">
            <v>0</v>
          </cell>
          <cell r="AB269">
            <v>0</v>
          </cell>
          <cell r="AC269">
            <v>0</v>
          </cell>
          <cell r="AD269">
            <v>0</v>
          </cell>
          <cell r="AE269">
            <v>0</v>
          </cell>
          <cell r="AF269">
            <v>0</v>
          </cell>
          <cell r="AH269">
            <v>0</v>
          </cell>
        </row>
        <row r="270">
          <cell r="B270" t="str">
            <v>ST/EPU</v>
          </cell>
          <cell r="C270" t="str">
            <v>B1D</v>
          </cell>
          <cell r="D270" t="str">
            <v>B1DB</v>
          </cell>
          <cell r="E270" t="str">
            <v>INRAP</v>
          </cell>
          <cell r="G270">
            <v>25</v>
          </cell>
          <cell r="H270" t="str">
            <v>PC At élab stratégie sensibilisat parents d'élèves, enseignants et autorités</v>
          </cell>
          <cell r="I270" t="str">
            <v>INRAP</v>
          </cell>
          <cell r="K270" t="str">
            <v>IDA</v>
          </cell>
          <cell r="L270" t="str">
            <v>AUT</v>
          </cell>
          <cell r="P270">
            <v>0</v>
          </cell>
          <cell r="Q270" t="str">
            <v>pxj</v>
          </cell>
          <cell r="S270">
            <v>147.72</v>
          </cell>
          <cell r="T270">
            <v>1</v>
          </cell>
          <cell r="U270">
            <v>0</v>
          </cell>
          <cell r="V270">
            <v>0</v>
          </cell>
          <cell r="W270">
            <v>0</v>
          </cell>
          <cell r="X270">
            <v>0</v>
          </cell>
          <cell r="Y270">
            <v>0</v>
          </cell>
          <cell r="Z270">
            <v>0</v>
          </cell>
          <cell r="AA270">
            <v>0</v>
          </cell>
          <cell r="AB270">
            <v>0</v>
          </cell>
          <cell r="AC270">
            <v>0</v>
          </cell>
          <cell r="AD270">
            <v>0</v>
          </cell>
          <cell r="AE270">
            <v>0</v>
          </cell>
          <cell r="AF270">
            <v>0</v>
          </cell>
          <cell r="AH270">
            <v>0</v>
          </cell>
        </row>
        <row r="271">
          <cell r="B271" t="str">
            <v>ST/EPU</v>
          </cell>
          <cell r="C271" t="str">
            <v>B1B</v>
          </cell>
          <cell r="D271" t="str">
            <v>B1BA</v>
          </cell>
          <cell r="E271" t="str">
            <v>ES/NZER</v>
          </cell>
          <cell r="G271">
            <v>23</v>
          </cell>
          <cell r="H271" t="str">
            <v>Ouvrages pour la bibliothèque du Lycée de Koulé Nzérékoré</v>
          </cell>
          <cell r="I271" t="str">
            <v>DNES</v>
          </cell>
          <cell r="K271" t="str">
            <v>IDA</v>
          </cell>
          <cell r="L271" t="str">
            <v>COT</v>
          </cell>
          <cell r="P271">
            <v>0</v>
          </cell>
          <cell r="Q271" t="str">
            <v>lot</v>
          </cell>
          <cell r="S271">
            <v>147720</v>
          </cell>
          <cell r="T271">
            <v>1</v>
          </cell>
          <cell r="U271">
            <v>0</v>
          </cell>
          <cell r="V271">
            <v>0</v>
          </cell>
          <cell r="W271">
            <v>0</v>
          </cell>
          <cell r="X271">
            <v>0</v>
          </cell>
          <cell r="Y271">
            <v>0</v>
          </cell>
          <cell r="Z271">
            <v>0</v>
          </cell>
          <cell r="AA271">
            <v>0</v>
          </cell>
          <cell r="AB271">
            <v>0</v>
          </cell>
          <cell r="AC271">
            <v>0</v>
          </cell>
          <cell r="AD271">
            <v>0</v>
          </cell>
          <cell r="AE271">
            <v>0</v>
          </cell>
          <cell r="AF271">
            <v>0</v>
          </cell>
          <cell r="AH271">
            <v>0</v>
          </cell>
        </row>
        <row r="272">
          <cell r="B272" t="str">
            <v>ST/EPU</v>
          </cell>
          <cell r="C272" t="str">
            <v>B1D</v>
          </cell>
          <cell r="D272" t="str">
            <v>B1DD</v>
          </cell>
          <cell r="E272" t="str">
            <v>INRAP</v>
          </cell>
          <cell r="G272">
            <v>25</v>
          </cell>
          <cell r="H272" t="str">
            <v>EIR Radio nationale   352 émissions = 11880 mn en 06/07 x 1 radio</v>
          </cell>
          <cell r="I272" t="str">
            <v>INRAP</v>
          </cell>
          <cell r="K272" t="str">
            <v>IDA</v>
          </cell>
          <cell r="L272" t="str">
            <v>AUT</v>
          </cell>
          <cell r="P272">
            <v>0</v>
          </cell>
          <cell r="Q272" t="str">
            <v>mn</v>
          </cell>
          <cell r="S272">
            <v>9.3478879924062657</v>
          </cell>
          <cell r="T272">
            <v>1</v>
          </cell>
          <cell r="U272">
            <v>0</v>
          </cell>
          <cell r="V272">
            <v>0</v>
          </cell>
          <cell r="W272">
            <v>0</v>
          </cell>
          <cell r="X272">
            <v>0</v>
          </cell>
          <cell r="Y272">
            <v>0</v>
          </cell>
          <cell r="Z272">
            <v>0</v>
          </cell>
          <cell r="AA272">
            <v>0</v>
          </cell>
          <cell r="AB272">
            <v>0</v>
          </cell>
          <cell r="AC272">
            <v>0</v>
          </cell>
          <cell r="AD272">
            <v>0</v>
          </cell>
          <cell r="AE272">
            <v>0</v>
          </cell>
          <cell r="AF272">
            <v>0</v>
          </cell>
          <cell r="AH272">
            <v>0</v>
          </cell>
        </row>
        <row r="273">
          <cell r="B273" t="str">
            <v>ST/EPU</v>
          </cell>
          <cell r="C273" t="str">
            <v>B1D</v>
          </cell>
          <cell r="D273" t="str">
            <v>B1DD</v>
          </cell>
          <cell r="E273" t="str">
            <v>INRAP</v>
          </cell>
          <cell r="G273">
            <v>25</v>
          </cell>
          <cell r="H273" t="str">
            <v>EIR Radio rurales      352 émissions = 11880 mn en 06/07 x 4 radios</v>
          </cell>
          <cell r="I273" t="str">
            <v>INRAP</v>
          </cell>
          <cell r="K273" t="str">
            <v>IDA</v>
          </cell>
          <cell r="L273" t="str">
            <v>AUT</v>
          </cell>
          <cell r="P273">
            <v>0</v>
          </cell>
          <cell r="Q273" t="str">
            <v>mn</v>
          </cell>
          <cell r="S273">
            <v>5.8424299952539149</v>
          </cell>
          <cell r="T273">
            <v>1</v>
          </cell>
          <cell r="U273">
            <v>0</v>
          </cell>
          <cell r="V273">
            <v>0</v>
          </cell>
          <cell r="W273">
            <v>0</v>
          </cell>
          <cell r="X273">
            <v>0</v>
          </cell>
          <cell r="Y273">
            <v>0</v>
          </cell>
          <cell r="Z273">
            <v>0</v>
          </cell>
          <cell r="AA273">
            <v>0</v>
          </cell>
          <cell r="AB273">
            <v>0</v>
          </cell>
          <cell r="AC273">
            <v>0</v>
          </cell>
          <cell r="AD273">
            <v>0</v>
          </cell>
          <cell r="AE273">
            <v>0</v>
          </cell>
          <cell r="AF273">
            <v>0</v>
          </cell>
          <cell r="AH273">
            <v>0</v>
          </cell>
        </row>
        <row r="274">
          <cell r="B274" t="str">
            <v>ST/EPU</v>
          </cell>
          <cell r="C274" t="str">
            <v>B1L</v>
          </cell>
          <cell r="D274" t="str">
            <v>B1LB</v>
          </cell>
          <cell r="E274" t="str">
            <v>SINDA</v>
          </cell>
          <cell r="G274">
            <v>15</v>
          </cell>
          <cell r="H274" t="str">
            <v>L'Educateur : Reproduction de la revue 24p x 500 ex / trim</v>
          </cell>
          <cell r="I274" t="str">
            <v>SINDA</v>
          </cell>
          <cell r="K274" t="str">
            <v>IDA</v>
          </cell>
          <cell r="L274" t="str">
            <v>COT</v>
          </cell>
          <cell r="P274">
            <v>0</v>
          </cell>
          <cell r="Q274" t="str">
            <v>ex</v>
          </cell>
          <cell r="S274">
            <v>4.9240000000000004</v>
          </cell>
          <cell r="T274">
            <v>0.9</v>
          </cell>
          <cell r="U274">
            <v>0</v>
          </cell>
          <cell r="V274">
            <v>0</v>
          </cell>
          <cell r="W274">
            <v>0</v>
          </cell>
          <cell r="X274">
            <v>0</v>
          </cell>
          <cell r="Y274">
            <v>0</v>
          </cell>
          <cell r="Z274">
            <v>0</v>
          </cell>
          <cell r="AA274">
            <v>0</v>
          </cell>
          <cell r="AB274">
            <v>0</v>
          </cell>
          <cell r="AC274">
            <v>0</v>
          </cell>
          <cell r="AD274">
            <v>0</v>
          </cell>
          <cell r="AE274">
            <v>0</v>
          </cell>
          <cell r="AF274">
            <v>0</v>
          </cell>
          <cell r="AH274">
            <v>0</v>
          </cell>
        </row>
        <row r="275">
          <cell r="B275" t="str">
            <v>ST/EPU</v>
          </cell>
          <cell r="C275" t="str">
            <v>B1E</v>
          </cell>
          <cell r="D275" t="str">
            <v>B1EA</v>
          </cell>
          <cell r="E275" t="str">
            <v>CNCESE</v>
          </cell>
          <cell r="G275">
            <v>25</v>
          </cell>
          <cell r="H275" t="str">
            <v>ACT CUR LECT Test annuel de lecture en 4èA</v>
          </cell>
          <cell r="I275" t="str">
            <v>CNCESE</v>
          </cell>
          <cell r="K275" t="str">
            <v>IDA</v>
          </cell>
          <cell r="L275" t="str">
            <v>AUT</v>
          </cell>
          <cell r="P275">
            <v>0</v>
          </cell>
          <cell r="Q275" t="str">
            <v>forfait</v>
          </cell>
          <cell r="S275">
            <v>147720</v>
          </cell>
          <cell r="T275">
            <v>1</v>
          </cell>
          <cell r="U275">
            <v>0</v>
          </cell>
          <cell r="V275">
            <v>0</v>
          </cell>
          <cell r="W275">
            <v>0</v>
          </cell>
          <cell r="X275">
            <v>0</v>
          </cell>
          <cell r="Y275">
            <v>0</v>
          </cell>
          <cell r="Z275">
            <v>0</v>
          </cell>
          <cell r="AA275">
            <v>0</v>
          </cell>
          <cell r="AB275">
            <v>0</v>
          </cell>
          <cell r="AC275">
            <v>0</v>
          </cell>
          <cell r="AD275">
            <v>0</v>
          </cell>
          <cell r="AE275">
            <v>0</v>
          </cell>
          <cell r="AF275">
            <v>0</v>
          </cell>
          <cell r="AH275">
            <v>0</v>
          </cell>
        </row>
        <row r="276">
          <cell r="B276" t="str">
            <v>ST/EPU</v>
          </cell>
          <cell r="C276" t="str">
            <v>B1D</v>
          </cell>
          <cell r="D276" t="str">
            <v>B1DA</v>
          </cell>
          <cell r="E276" t="str">
            <v>INRAP</v>
          </cell>
          <cell r="G276">
            <v>25</v>
          </cell>
          <cell r="H276" t="str">
            <v>ACT CUR LECT Evaluation / actualisation du curriculum de lecture</v>
          </cell>
          <cell r="I276" t="str">
            <v>INRAP</v>
          </cell>
          <cell r="K276" t="str">
            <v>IDA</v>
          </cell>
          <cell r="L276" t="str">
            <v>AUT</v>
          </cell>
          <cell r="P276">
            <v>0</v>
          </cell>
          <cell r="Q276" t="str">
            <v>forfait</v>
          </cell>
          <cell r="S276">
            <v>123100.00000000001</v>
          </cell>
          <cell r="T276">
            <v>1</v>
          </cell>
          <cell r="U276">
            <v>0</v>
          </cell>
          <cell r="V276">
            <v>0</v>
          </cell>
          <cell r="W276">
            <v>0</v>
          </cell>
          <cell r="X276">
            <v>0</v>
          </cell>
          <cell r="Y276">
            <v>0</v>
          </cell>
          <cell r="Z276">
            <v>0</v>
          </cell>
          <cell r="AA276">
            <v>0</v>
          </cell>
          <cell r="AB276">
            <v>0</v>
          </cell>
          <cell r="AC276">
            <v>0</v>
          </cell>
          <cell r="AD276">
            <v>0</v>
          </cell>
          <cell r="AE276">
            <v>0</v>
          </cell>
          <cell r="AF276">
            <v>0</v>
          </cell>
          <cell r="AH276">
            <v>0</v>
          </cell>
        </row>
        <row r="277">
          <cell r="B277" t="str">
            <v>ST/EPU</v>
          </cell>
          <cell r="C277" t="str">
            <v>B1E</v>
          </cell>
          <cell r="D277" t="str">
            <v>B1ED</v>
          </cell>
          <cell r="E277" t="str">
            <v>CNCESE</v>
          </cell>
          <cell r="G277">
            <v>25</v>
          </cell>
          <cell r="H277" t="str">
            <v xml:space="preserve">EVAL Evaluation externe des subventions du PAREEG </v>
          </cell>
          <cell r="I277" t="str">
            <v>CNCESE</v>
          </cell>
          <cell r="K277" t="str">
            <v>IDA</v>
          </cell>
          <cell r="L277" t="str">
            <v>AUT</v>
          </cell>
          <cell r="P277">
            <v>0</v>
          </cell>
          <cell r="Q277" t="str">
            <v>forfait</v>
          </cell>
          <cell r="S277">
            <v>172340</v>
          </cell>
          <cell r="T277">
            <v>1</v>
          </cell>
          <cell r="U277">
            <v>0</v>
          </cell>
          <cell r="V277">
            <v>0</v>
          </cell>
          <cell r="W277">
            <v>0</v>
          </cell>
          <cell r="X277">
            <v>0</v>
          </cell>
          <cell r="Y277">
            <v>0</v>
          </cell>
          <cell r="Z277">
            <v>0</v>
          </cell>
          <cell r="AA277">
            <v>0</v>
          </cell>
          <cell r="AB277">
            <v>0</v>
          </cell>
          <cell r="AC277">
            <v>0</v>
          </cell>
          <cell r="AD277">
            <v>0</v>
          </cell>
          <cell r="AE277">
            <v>0</v>
          </cell>
          <cell r="AF277">
            <v>0</v>
          </cell>
          <cell r="AH277">
            <v>0</v>
          </cell>
        </row>
        <row r="278">
          <cell r="B278" t="str">
            <v>ST/EPU</v>
          </cell>
          <cell r="C278" t="str">
            <v>B1E</v>
          </cell>
          <cell r="D278" t="str">
            <v>B1ED</v>
          </cell>
          <cell r="E278" t="str">
            <v>CNCESE</v>
          </cell>
          <cell r="G278">
            <v>25</v>
          </cell>
          <cell r="H278" t="str">
            <v>EVAL Evaluation externe des alphabétisés                                                                              juin 07</v>
          </cell>
          <cell r="I278" t="str">
            <v>CNCESE</v>
          </cell>
          <cell r="K278" t="str">
            <v>IDA</v>
          </cell>
          <cell r="L278" t="str">
            <v>AUT</v>
          </cell>
          <cell r="P278">
            <v>0</v>
          </cell>
          <cell r="Q278" t="str">
            <v>forfait</v>
          </cell>
          <cell r="S278">
            <v>172340</v>
          </cell>
          <cell r="T278">
            <v>1</v>
          </cell>
          <cell r="U278">
            <v>0</v>
          </cell>
          <cell r="V278">
            <v>0</v>
          </cell>
          <cell r="W278">
            <v>0</v>
          </cell>
          <cell r="X278">
            <v>0</v>
          </cell>
          <cell r="Y278">
            <v>0</v>
          </cell>
          <cell r="Z278">
            <v>0</v>
          </cell>
          <cell r="AA278">
            <v>0</v>
          </cell>
          <cell r="AB278">
            <v>0</v>
          </cell>
          <cell r="AC278">
            <v>0</v>
          </cell>
          <cell r="AD278">
            <v>0</v>
          </cell>
          <cell r="AE278">
            <v>0</v>
          </cell>
          <cell r="AF278">
            <v>0</v>
          </cell>
          <cell r="AH278">
            <v>0</v>
          </cell>
        </row>
        <row r="279">
          <cell r="B279" t="str">
            <v>ST/EPU</v>
          </cell>
          <cell r="C279" t="str">
            <v>B1E</v>
          </cell>
          <cell r="D279" t="str">
            <v>B1ED</v>
          </cell>
          <cell r="E279" t="str">
            <v>CNCESE</v>
          </cell>
          <cell r="G279">
            <v>15</v>
          </cell>
          <cell r="H279" t="str">
            <v xml:space="preserve">EVAL Diffusions des résultats des évaluations (sté civile, parents, personnel éduc..)  </v>
          </cell>
          <cell r="I279" t="str">
            <v>CNCESE</v>
          </cell>
          <cell r="K279" t="str">
            <v>IDA</v>
          </cell>
          <cell r="L279" t="str">
            <v>AUT</v>
          </cell>
          <cell r="P279">
            <v>0</v>
          </cell>
          <cell r="Q279" t="str">
            <v>forfait</v>
          </cell>
          <cell r="S279">
            <v>93556</v>
          </cell>
          <cell r="T279">
            <v>0.9</v>
          </cell>
          <cell r="U279">
            <v>0</v>
          </cell>
          <cell r="V279">
            <v>0</v>
          </cell>
          <cell r="W279">
            <v>0</v>
          </cell>
          <cell r="X279">
            <v>0</v>
          </cell>
          <cell r="Y279">
            <v>0</v>
          </cell>
          <cell r="Z279">
            <v>0</v>
          </cell>
          <cell r="AA279">
            <v>0</v>
          </cell>
          <cell r="AB279">
            <v>0</v>
          </cell>
          <cell r="AC279">
            <v>0</v>
          </cell>
          <cell r="AD279">
            <v>0</v>
          </cell>
          <cell r="AE279">
            <v>0</v>
          </cell>
          <cell r="AF279">
            <v>0</v>
          </cell>
          <cell r="AH279">
            <v>0</v>
          </cell>
        </row>
        <row r="280">
          <cell r="B280" t="str">
            <v>ST/EPU</v>
          </cell>
          <cell r="C280" t="str">
            <v>C1B</v>
          </cell>
          <cell r="D280" t="str">
            <v>C1BD</v>
          </cell>
          <cell r="E280" t="str">
            <v>IGE</v>
          </cell>
          <cell r="G280">
            <v>25</v>
          </cell>
          <cell r="H280" t="str">
            <v xml:space="preserve">TEMPS ENS Spécialiste temps effectif d'enseignement </v>
          </cell>
          <cell r="I280" t="str">
            <v>IGE</v>
          </cell>
          <cell r="K280" t="str">
            <v>IDA</v>
          </cell>
          <cell r="L280" t="str">
            <v>LR</v>
          </cell>
          <cell r="P280">
            <v>0</v>
          </cell>
          <cell r="Q280" t="str">
            <v>forfait</v>
          </cell>
          <cell r="S280">
            <v>98480.000000000015</v>
          </cell>
          <cell r="T280">
            <v>1</v>
          </cell>
          <cell r="U280">
            <v>0</v>
          </cell>
          <cell r="V280">
            <v>0</v>
          </cell>
          <cell r="W280">
            <v>0</v>
          </cell>
          <cell r="X280">
            <v>0</v>
          </cell>
          <cell r="Y280">
            <v>0</v>
          </cell>
          <cell r="Z280">
            <v>0</v>
          </cell>
          <cell r="AA280">
            <v>0</v>
          </cell>
          <cell r="AB280">
            <v>0</v>
          </cell>
          <cell r="AC280">
            <v>0</v>
          </cell>
          <cell r="AD280">
            <v>0</v>
          </cell>
          <cell r="AE280">
            <v>0</v>
          </cell>
          <cell r="AF280">
            <v>0</v>
          </cell>
          <cell r="AH280">
            <v>0</v>
          </cell>
        </row>
        <row r="281">
          <cell r="B281" t="str">
            <v>ST/EPU</v>
          </cell>
          <cell r="C281" t="str">
            <v>C1B</v>
          </cell>
          <cell r="D281" t="str">
            <v>C1BD</v>
          </cell>
          <cell r="E281" t="str">
            <v>IGE</v>
          </cell>
          <cell r="G281">
            <v>25</v>
          </cell>
          <cell r="H281" t="str">
            <v xml:space="preserve">TEMPS ENS Elaboration des fiches d'enquête/observation  5p x 5j </v>
          </cell>
          <cell r="I281" t="str">
            <v>IGE</v>
          </cell>
          <cell r="K281" t="str">
            <v>IDA</v>
          </cell>
          <cell r="L281" t="str">
            <v>AUT</v>
          </cell>
          <cell r="P281">
            <v>0</v>
          </cell>
          <cell r="Q281" t="str">
            <v>pxj</v>
          </cell>
          <cell r="S281">
            <v>147.72</v>
          </cell>
          <cell r="T281">
            <v>1</v>
          </cell>
          <cell r="U281">
            <v>0</v>
          </cell>
          <cell r="V281">
            <v>0</v>
          </cell>
          <cell r="W281">
            <v>0</v>
          </cell>
          <cell r="X281">
            <v>0</v>
          </cell>
          <cell r="Y281">
            <v>0</v>
          </cell>
          <cell r="Z281">
            <v>0</v>
          </cell>
          <cell r="AA281">
            <v>0</v>
          </cell>
          <cell r="AB281">
            <v>0</v>
          </cell>
          <cell r="AC281">
            <v>0</v>
          </cell>
          <cell r="AD281">
            <v>0</v>
          </cell>
          <cell r="AE281">
            <v>0</v>
          </cell>
          <cell r="AF281">
            <v>0</v>
          </cell>
          <cell r="AH281">
            <v>0</v>
          </cell>
        </row>
        <row r="282">
          <cell r="B282" t="str">
            <v>ST/EPU</v>
          </cell>
          <cell r="C282" t="str">
            <v>C1B</v>
          </cell>
          <cell r="D282" t="str">
            <v>C1BD</v>
          </cell>
          <cell r="E282" t="str">
            <v>IGE</v>
          </cell>
          <cell r="G282">
            <v>15</v>
          </cell>
          <cell r="H282" t="str">
            <v>TEMPS ENS Reproduction des fiches 120 étbts x 30 fiches x 5 pages</v>
          </cell>
          <cell r="I282" t="str">
            <v>IGE</v>
          </cell>
          <cell r="K282" t="str">
            <v>IDA</v>
          </cell>
          <cell r="L282" t="str">
            <v>COT</v>
          </cell>
          <cell r="P282">
            <v>0</v>
          </cell>
          <cell r="Q282" t="str">
            <v>ex</v>
          </cell>
          <cell r="S282">
            <v>0.5842429995253916</v>
          </cell>
          <cell r="T282">
            <v>0.9</v>
          </cell>
          <cell r="U282">
            <v>0</v>
          </cell>
          <cell r="V282">
            <v>0</v>
          </cell>
          <cell r="W282">
            <v>0</v>
          </cell>
          <cell r="X282">
            <v>0</v>
          </cell>
          <cell r="Y282">
            <v>0</v>
          </cell>
          <cell r="Z282">
            <v>0</v>
          </cell>
          <cell r="AA282">
            <v>0</v>
          </cell>
          <cell r="AB282">
            <v>0</v>
          </cell>
          <cell r="AC282">
            <v>0</v>
          </cell>
          <cell r="AD282">
            <v>0</v>
          </cell>
          <cell r="AE282">
            <v>0</v>
          </cell>
          <cell r="AF282">
            <v>0</v>
          </cell>
          <cell r="AH282">
            <v>0</v>
          </cell>
        </row>
        <row r="283">
          <cell r="B283" t="str">
            <v>ST/EPU</v>
          </cell>
          <cell r="C283" t="str">
            <v>C1B</v>
          </cell>
          <cell r="D283" t="str">
            <v>C1BD</v>
          </cell>
          <cell r="E283" t="str">
            <v>IGE</v>
          </cell>
          <cell r="G283">
            <v>25</v>
          </cell>
          <cell r="H283" t="str">
            <v xml:space="preserve">TEMPS ENS Formation des 12 enquêteurs+ 3 superviseurs x 3j </v>
          </cell>
          <cell r="I283" t="str">
            <v>IGE</v>
          </cell>
          <cell r="K283" t="str">
            <v>IDA</v>
          </cell>
          <cell r="L283" t="str">
            <v>AUT</v>
          </cell>
          <cell r="P283">
            <v>0</v>
          </cell>
          <cell r="Q283" t="str">
            <v>pxj</v>
          </cell>
          <cell r="S283">
            <v>147.72</v>
          </cell>
          <cell r="T283">
            <v>1</v>
          </cell>
          <cell r="U283">
            <v>0</v>
          </cell>
          <cell r="V283">
            <v>0</v>
          </cell>
          <cell r="W283">
            <v>0</v>
          </cell>
          <cell r="X283">
            <v>0</v>
          </cell>
          <cell r="Y283">
            <v>0</v>
          </cell>
          <cell r="Z283">
            <v>0</v>
          </cell>
          <cell r="AA283">
            <v>0</v>
          </cell>
          <cell r="AB283">
            <v>0</v>
          </cell>
          <cell r="AC283">
            <v>0</v>
          </cell>
          <cell r="AD283">
            <v>0</v>
          </cell>
          <cell r="AE283">
            <v>0</v>
          </cell>
          <cell r="AF283">
            <v>0</v>
          </cell>
          <cell r="AH283">
            <v>0</v>
          </cell>
        </row>
        <row r="284">
          <cell r="B284" t="str">
            <v>ST/EPU</v>
          </cell>
          <cell r="C284" t="str">
            <v>C1B</v>
          </cell>
          <cell r="D284" t="str">
            <v>C1BD</v>
          </cell>
          <cell r="E284" t="str">
            <v>IGE</v>
          </cell>
          <cell r="G284">
            <v>25</v>
          </cell>
          <cell r="H284" t="str">
            <v>TEMPS ENS Enquêtes dans les étbts  120 x 3 passages</v>
          </cell>
          <cell r="I284" t="str">
            <v>IGE</v>
          </cell>
          <cell r="K284" t="str">
            <v>IDA</v>
          </cell>
          <cell r="L284" t="str">
            <v>AUT</v>
          </cell>
          <cell r="P284">
            <v>0</v>
          </cell>
          <cell r="Q284" t="str">
            <v>pxj</v>
          </cell>
          <cell r="S284">
            <v>147.72</v>
          </cell>
          <cell r="T284">
            <v>1</v>
          </cell>
          <cell r="U284">
            <v>0</v>
          </cell>
          <cell r="V284">
            <v>0</v>
          </cell>
          <cell r="W284">
            <v>0</v>
          </cell>
          <cell r="X284">
            <v>0</v>
          </cell>
          <cell r="Y284">
            <v>0</v>
          </cell>
          <cell r="Z284">
            <v>0</v>
          </cell>
          <cell r="AA284">
            <v>0</v>
          </cell>
          <cell r="AB284">
            <v>0</v>
          </cell>
          <cell r="AC284">
            <v>0</v>
          </cell>
          <cell r="AD284">
            <v>0</v>
          </cell>
          <cell r="AE284">
            <v>0</v>
          </cell>
          <cell r="AF284">
            <v>0</v>
          </cell>
          <cell r="AH284">
            <v>0</v>
          </cell>
        </row>
        <row r="285">
          <cell r="B285" t="str">
            <v>ST/EPU</v>
          </cell>
          <cell r="C285" t="str">
            <v>C1B</v>
          </cell>
          <cell r="D285" t="str">
            <v>C1BD</v>
          </cell>
          <cell r="E285" t="str">
            <v>IGE</v>
          </cell>
          <cell r="G285">
            <v>25</v>
          </cell>
          <cell r="H285" t="str">
            <v>TEMPS ENS Saisie, traitement et analyse des données  3p x 20j</v>
          </cell>
          <cell r="I285" t="str">
            <v>IGE</v>
          </cell>
          <cell r="K285" t="str">
            <v>IDA</v>
          </cell>
          <cell r="L285" t="str">
            <v>AUT</v>
          </cell>
          <cell r="P285">
            <v>0</v>
          </cell>
          <cell r="Q285" t="str">
            <v>pxj</v>
          </cell>
          <cell r="S285">
            <v>147.72</v>
          </cell>
          <cell r="T285">
            <v>1</v>
          </cell>
          <cell r="U285">
            <v>0</v>
          </cell>
          <cell r="V285">
            <v>0</v>
          </cell>
          <cell r="W285">
            <v>0</v>
          </cell>
          <cell r="X285">
            <v>0</v>
          </cell>
          <cell r="Y285">
            <v>0</v>
          </cell>
          <cell r="Z285">
            <v>0</v>
          </cell>
          <cell r="AA285">
            <v>0</v>
          </cell>
          <cell r="AB285">
            <v>0</v>
          </cell>
          <cell r="AC285">
            <v>0</v>
          </cell>
          <cell r="AD285">
            <v>0</v>
          </cell>
          <cell r="AE285">
            <v>0</v>
          </cell>
          <cell r="AF285">
            <v>0</v>
          </cell>
          <cell r="AH285">
            <v>0</v>
          </cell>
        </row>
        <row r="286">
          <cell r="B286" t="str">
            <v>ST/EPU</v>
          </cell>
          <cell r="C286" t="str">
            <v>C1B</v>
          </cell>
          <cell r="D286" t="str">
            <v>C1BD</v>
          </cell>
          <cell r="E286" t="str">
            <v>IGE</v>
          </cell>
          <cell r="G286">
            <v>25</v>
          </cell>
          <cell r="H286" t="str">
            <v xml:space="preserve">TEMPS ENS At de validation 40p x 1j  </v>
          </cell>
          <cell r="I286" t="str">
            <v>IGE</v>
          </cell>
          <cell r="K286" t="str">
            <v>IDA</v>
          </cell>
          <cell r="L286" t="str">
            <v>AUT</v>
          </cell>
          <cell r="P286">
            <v>0</v>
          </cell>
          <cell r="Q286" t="str">
            <v>pxj</v>
          </cell>
          <cell r="S286">
            <v>147.72</v>
          </cell>
          <cell r="T286">
            <v>1</v>
          </cell>
          <cell r="U286">
            <v>0</v>
          </cell>
          <cell r="V286">
            <v>0</v>
          </cell>
          <cell r="W286">
            <v>0</v>
          </cell>
          <cell r="X286">
            <v>0</v>
          </cell>
          <cell r="Y286">
            <v>0</v>
          </cell>
          <cell r="Z286">
            <v>0</v>
          </cell>
          <cell r="AA286">
            <v>0</v>
          </cell>
          <cell r="AB286">
            <v>0</v>
          </cell>
          <cell r="AC286">
            <v>0</v>
          </cell>
          <cell r="AD286">
            <v>0</v>
          </cell>
          <cell r="AE286">
            <v>0</v>
          </cell>
          <cell r="AF286">
            <v>0</v>
          </cell>
          <cell r="AH286">
            <v>0</v>
          </cell>
        </row>
        <row r="287">
          <cell r="B287" t="str">
            <v>ST/EPU</v>
          </cell>
          <cell r="C287" t="str">
            <v>C1B</v>
          </cell>
          <cell r="D287" t="str">
            <v>C1BD</v>
          </cell>
          <cell r="E287" t="str">
            <v>IGE</v>
          </cell>
          <cell r="G287">
            <v>15</v>
          </cell>
          <cell r="H287" t="str">
            <v xml:space="preserve">TEMPS ENS Reproduction et diffusion du rapport     30pages x 500ex </v>
          </cell>
          <cell r="I287" t="str">
            <v>IGE</v>
          </cell>
          <cell r="K287" t="str">
            <v>IDA</v>
          </cell>
          <cell r="L287" t="str">
            <v>COT</v>
          </cell>
          <cell r="P287">
            <v>0</v>
          </cell>
          <cell r="Q287" t="str">
            <v>ex</v>
          </cell>
          <cell r="S287">
            <v>4.2065495965828195</v>
          </cell>
          <cell r="T287">
            <v>0.9</v>
          </cell>
          <cell r="U287">
            <v>0</v>
          </cell>
          <cell r="V287">
            <v>0</v>
          </cell>
          <cell r="W287">
            <v>0</v>
          </cell>
          <cell r="X287">
            <v>0</v>
          </cell>
          <cell r="Y287">
            <v>0</v>
          </cell>
          <cell r="Z287">
            <v>0</v>
          </cell>
          <cell r="AA287">
            <v>0</v>
          </cell>
          <cell r="AB287">
            <v>0</v>
          </cell>
          <cell r="AC287">
            <v>0</v>
          </cell>
          <cell r="AD287">
            <v>0</v>
          </cell>
          <cell r="AE287">
            <v>0</v>
          </cell>
          <cell r="AF287">
            <v>0</v>
          </cell>
          <cell r="AH287">
            <v>0</v>
          </cell>
        </row>
        <row r="288">
          <cell r="B288" t="str">
            <v>ST/EPU</v>
          </cell>
          <cell r="C288" t="str">
            <v>B1E</v>
          </cell>
          <cell r="D288" t="str">
            <v>B1EE</v>
          </cell>
          <cell r="E288" t="str">
            <v>CNCESE</v>
          </cell>
          <cell r="G288">
            <v>25</v>
          </cell>
          <cell r="H288" t="str">
            <v xml:space="preserve">CNCESE Supervision spécialistes en évaluation systémique (E. Barrier)                  </v>
          </cell>
          <cell r="I288" t="str">
            <v>CNCESE</v>
          </cell>
          <cell r="K288" t="str">
            <v>IDA</v>
          </cell>
          <cell r="L288" t="str">
            <v>LR</v>
          </cell>
          <cell r="P288">
            <v>0</v>
          </cell>
          <cell r="Q288" t="str">
            <v>forfait</v>
          </cell>
          <cell r="S288">
            <v>196960.00000000003</v>
          </cell>
          <cell r="T288">
            <v>1</v>
          </cell>
          <cell r="U288">
            <v>0</v>
          </cell>
          <cell r="V288">
            <v>0</v>
          </cell>
          <cell r="W288">
            <v>0</v>
          </cell>
          <cell r="X288">
            <v>0</v>
          </cell>
          <cell r="Y288">
            <v>0</v>
          </cell>
          <cell r="Z288">
            <v>0</v>
          </cell>
          <cell r="AA288">
            <v>0</v>
          </cell>
          <cell r="AB288">
            <v>0</v>
          </cell>
          <cell r="AC288">
            <v>0</v>
          </cell>
          <cell r="AD288">
            <v>0</v>
          </cell>
          <cell r="AE288">
            <v>0</v>
          </cell>
          <cell r="AF288">
            <v>0</v>
          </cell>
          <cell r="AH288">
            <v>0</v>
          </cell>
        </row>
        <row r="289">
          <cell r="B289" t="str">
            <v>ST/EPU</v>
          </cell>
          <cell r="C289" t="str">
            <v>B1E</v>
          </cell>
          <cell r="D289" t="str">
            <v>B1EE</v>
          </cell>
          <cell r="E289" t="str">
            <v>CNCESE</v>
          </cell>
          <cell r="G289">
            <v>15</v>
          </cell>
          <cell r="H289" t="str">
            <v>CNCESE Abonnement mensuel internet</v>
          </cell>
          <cell r="I289" t="str">
            <v>CNCESE</v>
          </cell>
          <cell r="K289" t="str">
            <v>IDA</v>
          </cell>
          <cell r="L289" t="str">
            <v>AUT</v>
          </cell>
          <cell r="P289">
            <v>0</v>
          </cell>
          <cell r="Q289" t="str">
            <v>ex</v>
          </cell>
          <cell r="S289">
            <v>408.97009966777409</v>
          </cell>
          <cell r="T289">
            <v>0.9</v>
          </cell>
          <cell r="U289">
            <v>0</v>
          </cell>
          <cell r="V289">
            <v>0</v>
          </cell>
          <cell r="W289">
            <v>0</v>
          </cell>
          <cell r="X289">
            <v>0</v>
          </cell>
          <cell r="Y289">
            <v>0</v>
          </cell>
          <cell r="Z289">
            <v>0</v>
          </cell>
          <cell r="AA289">
            <v>0</v>
          </cell>
          <cell r="AB289">
            <v>0</v>
          </cell>
          <cell r="AC289">
            <v>0</v>
          </cell>
          <cell r="AD289">
            <v>0</v>
          </cell>
          <cell r="AE289">
            <v>0</v>
          </cell>
          <cell r="AF289">
            <v>0</v>
          </cell>
          <cell r="AH289">
            <v>0</v>
          </cell>
        </row>
        <row r="290">
          <cell r="B290" t="str">
            <v>ST/EPU</v>
          </cell>
          <cell r="C290" t="str">
            <v>B1A</v>
          </cell>
          <cell r="D290" t="str">
            <v>B1AA</v>
          </cell>
          <cell r="E290" t="str">
            <v>EP/BEYL</v>
          </cell>
          <cell r="G290">
            <v>23</v>
          </cell>
          <cell r="H290" t="str">
            <v>EP manuels français, calc, sobs, hgéo, icm pour élèves prim pub et privé : environ</v>
          </cell>
          <cell r="I290" t="str">
            <v>DNEE</v>
          </cell>
          <cell r="K290" t="str">
            <v>IDA</v>
          </cell>
          <cell r="L290" t="str">
            <v>AOI</v>
          </cell>
          <cell r="P290">
            <v>0</v>
          </cell>
          <cell r="Q290" t="str">
            <v>manuel</v>
          </cell>
          <cell r="S290">
            <v>6.0583388097868989</v>
          </cell>
          <cell r="T290">
            <v>1</v>
          </cell>
          <cell r="U290">
            <v>0</v>
          </cell>
          <cell r="V290">
            <v>0</v>
          </cell>
          <cell r="W290">
            <v>0</v>
          </cell>
          <cell r="X290">
            <v>0</v>
          </cell>
          <cell r="Y290">
            <v>0</v>
          </cell>
          <cell r="Z290">
            <v>0</v>
          </cell>
          <cell r="AA290">
            <v>0</v>
          </cell>
          <cell r="AB290">
            <v>0</v>
          </cell>
          <cell r="AC290">
            <v>0</v>
          </cell>
          <cell r="AD290">
            <v>0</v>
          </cell>
          <cell r="AE290">
            <v>0</v>
          </cell>
          <cell r="AF290">
            <v>0</v>
          </cell>
          <cell r="AH290">
            <v>0</v>
          </cell>
        </row>
        <row r="291">
          <cell r="B291" t="str">
            <v>ST/EPU</v>
          </cell>
          <cell r="C291" t="str">
            <v>B1A</v>
          </cell>
          <cell r="D291" t="str">
            <v>B1AA</v>
          </cell>
          <cell r="E291" t="str">
            <v>EP/BOFF</v>
          </cell>
          <cell r="G291">
            <v>23</v>
          </cell>
          <cell r="H291" t="str">
            <v>EP manuels français, calc, sobs, hgéo, icm pour élèves prim pub et privé : environ</v>
          </cell>
          <cell r="I291" t="str">
            <v>DNEE</v>
          </cell>
          <cell r="K291" t="str">
            <v>IDA</v>
          </cell>
          <cell r="L291" t="str">
            <v>AOI</v>
          </cell>
          <cell r="P291">
            <v>0</v>
          </cell>
          <cell r="Q291" t="str">
            <v>manuel</v>
          </cell>
          <cell r="S291">
            <v>6.0583388097868989</v>
          </cell>
          <cell r="T291">
            <v>1</v>
          </cell>
          <cell r="U291">
            <v>0</v>
          </cell>
          <cell r="V291">
            <v>0</v>
          </cell>
          <cell r="W291">
            <v>0</v>
          </cell>
          <cell r="X291">
            <v>0</v>
          </cell>
          <cell r="Y291">
            <v>0</v>
          </cell>
          <cell r="Z291">
            <v>0</v>
          </cell>
          <cell r="AA291">
            <v>0</v>
          </cell>
          <cell r="AB291">
            <v>0</v>
          </cell>
          <cell r="AC291">
            <v>0</v>
          </cell>
          <cell r="AD291">
            <v>0</v>
          </cell>
          <cell r="AE291">
            <v>0</v>
          </cell>
          <cell r="AF291">
            <v>0</v>
          </cell>
          <cell r="AH291">
            <v>0</v>
          </cell>
        </row>
        <row r="292">
          <cell r="B292" t="str">
            <v>ST/EPU</v>
          </cell>
          <cell r="C292" t="str">
            <v>B1A</v>
          </cell>
          <cell r="D292" t="str">
            <v>B1AA</v>
          </cell>
          <cell r="E292" t="str">
            <v>EP/BOKE</v>
          </cell>
          <cell r="G292">
            <v>23</v>
          </cell>
          <cell r="H292" t="str">
            <v>EP manuels français, calc, sobs, hgéo, icm pour élèves prim pub et privé : environ</v>
          </cell>
          <cell r="I292" t="str">
            <v>DNEE</v>
          </cell>
          <cell r="K292" t="str">
            <v>IDA</v>
          </cell>
          <cell r="L292" t="str">
            <v>AOI</v>
          </cell>
          <cell r="P292">
            <v>0</v>
          </cell>
          <cell r="Q292" t="str">
            <v>manuel</v>
          </cell>
          <cell r="S292">
            <v>6.0583388097868989</v>
          </cell>
          <cell r="T292">
            <v>1</v>
          </cell>
          <cell r="U292">
            <v>0</v>
          </cell>
          <cell r="V292">
            <v>0</v>
          </cell>
          <cell r="W292">
            <v>0</v>
          </cell>
          <cell r="X292">
            <v>0</v>
          </cell>
          <cell r="Y292">
            <v>0</v>
          </cell>
          <cell r="Z292">
            <v>0</v>
          </cell>
          <cell r="AA292">
            <v>0</v>
          </cell>
          <cell r="AB292">
            <v>0</v>
          </cell>
          <cell r="AC292">
            <v>0</v>
          </cell>
          <cell r="AD292">
            <v>0</v>
          </cell>
          <cell r="AE292">
            <v>0</v>
          </cell>
          <cell r="AF292">
            <v>0</v>
          </cell>
          <cell r="AH292">
            <v>0</v>
          </cell>
        </row>
        <row r="293">
          <cell r="B293" t="str">
            <v>ST/EPU</v>
          </cell>
          <cell r="C293" t="str">
            <v>B1A</v>
          </cell>
          <cell r="D293" t="str">
            <v>B1AA</v>
          </cell>
          <cell r="E293" t="str">
            <v>EP/COYA</v>
          </cell>
          <cell r="G293">
            <v>23</v>
          </cell>
          <cell r="H293" t="str">
            <v>EP manuels français, calc, sobs, hgéo, icm pour élèves prim pub et privé : environ</v>
          </cell>
          <cell r="I293" t="str">
            <v>DNEE</v>
          </cell>
          <cell r="K293" t="str">
            <v>IDA</v>
          </cell>
          <cell r="L293" t="str">
            <v>AOI</v>
          </cell>
          <cell r="P293">
            <v>0</v>
          </cell>
          <cell r="Q293" t="str">
            <v>manuel</v>
          </cell>
          <cell r="S293">
            <v>6.0583388097868989</v>
          </cell>
          <cell r="T293">
            <v>1</v>
          </cell>
          <cell r="U293">
            <v>0</v>
          </cell>
          <cell r="V293">
            <v>0</v>
          </cell>
          <cell r="W293">
            <v>0</v>
          </cell>
          <cell r="X293">
            <v>0</v>
          </cell>
          <cell r="Y293">
            <v>0</v>
          </cell>
          <cell r="Z293">
            <v>0</v>
          </cell>
          <cell r="AA293">
            <v>0</v>
          </cell>
          <cell r="AB293">
            <v>0</v>
          </cell>
          <cell r="AC293">
            <v>0</v>
          </cell>
          <cell r="AD293">
            <v>0</v>
          </cell>
          <cell r="AE293">
            <v>0</v>
          </cell>
          <cell r="AF293">
            <v>0</v>
          </cell>
          <cell r="AH293">
            <v>0</v>
          </cell>
        </row>
        <row r="294">
          <cell r="B294" t="str">
            <v>ST/EPU</v>
          </cell>
          <cell r="C294" t="str">
            <v>B1A</v>
          </cell>
          <cell r="D294" t="str">
            <v>B1AA</v>
          </cell>
          <cell r="E294" t="str">
            <v>EP/DABO</v>
          </cell>
          <cell r="G294">
            <v>23</v>
          </cell>
          <cell r="H294" t="str">
            <v>EP manuels français, calc, sobs, hgéo, icm pour élèves prim pub et privé : environ</v>
          </cell>
          <cell r="I294" t="str">
            <v>DNEE</v>
          </cell>
          <cell r="K294" t="str">
            <v>IDA</v>
          </cell>
          <cell r="L294" t="str">
            <v>AOI</v>
          </cell>
          <cell r="P294">
            <v>0</v>
          </cell>
          <cell r="Q294" t="str">
            <v>manuel</v>
          </cell>
          <cell r="S294">
            <v>6.0583388097868989</v>
          </cell>
          <cell r="T294">
            <v>1</v>
          </cell>
          <cell r="U294">
            <v>0</v>
          </cell>
          <cell r="V294">
            <v>0</v>
          </cell>
          <cell r="W294">
            <v>0</v>
          </cell>
          <cell r="X294">
            <v>0</v>
          </cell>
          <cell r="Y294">
            <v>0</v>
          </cell>
          <cell r="Z294">
            <v>0</v>
          </cell>
          <cell r="AA294">
            <v>0</v>
          </cell>
          <cell r="AB294">
            <v>0</v>
          </cell>
          <cell r="AC294">
            <v>0</v>
          </cell>
          <cell r="AD294">
            <v>0</v>
          </cell>
          <cell r="AE294">
            <v>0</v>
          </cell>
          <cell r="AF294">
            <v>0</v>
          </cell>
          <cell r="AH294">
            <v>0</v>
          </cell>
        </row>
        <row r="295">
          <cell r="B295" t="str">
            <v>ST/EPU</v>
          </cell>
          <cell r="C295" t="str">
            <v>B1A</v>
          </cell>
          <cell r="D295" t="str">
            <v>B1AA</v>
          </cell>
          <cell r="E295" t="str">
            <v>EP/DALA</v>
          </cell>
          <cell r="G295">
            <v>23</v>
          </cell>
          <cell r="H295" t="str">
            <v>EP manuels français, calc, sobs, hgéo, icm pour élèves prim pub et privé : environ</v>
          </cell>
          <cell r="I295" t="str">
            <v>DNEE</v>
          </cell>
          <cell r="K295" t="str">
            <v>IDA</v>
          </cell>
          <cell r="L295" t="str">
            <v>AOI</v>
          </cell>
          <cell r="P295">
            <v>0</v>
          </cell>
          <cell r="Q295" t="str">
            <v>manuel</v>
          </cell>
          <cell r="S295">
            <v>6.0583388097868989</v>
          </cell>
          <cell r="T295">
            <v>1</v>
          </cell>
          <cell r="U295">
            <v>0</v>
          </cell>
          <cell r="V295">
            <v>0</v>
          </cell>
          <cell r="W295">
            <v>0</v>
          </cell>
          <cell r="X295">
            <v>0</v>
          </cell>
          <cell r="Y295">
            <v>0</v>
          </cell>
          <cell r="Z295">
            <v>0</v>
          </cell>
          <cell r="AA295">
            <v>0</v>
          </cell>
          <cell r="AB295">
            <v>0</v>
          </cell>
          <cell r="AC295">
            <v>0</v>
          </cell>
          <cell r="AD295">
            <v>0</v>
          </cell>
          <cell r="AE295">
            <v>0</v>
          </cell>
          <cell r="AF295">
            <v>0</v>
          </cell>
          <cell r="AH295">
            <v>0</v>
          </cell>
        </row>
        <row r="296">
          <cell r="B296" t="str">
            <v>ST/EPU</v>
          </cell>
          <cell r="C296" t="str">
            <v>B1A</v>
          </cell>
          <cell r="D296" t="str">
            <v>B1AA</v>
          </cell>
          <cell r="E296" t="str">
            <v>EP/DING</v>
          </cell>
          <cell r="G296">
            <v>23</v>
          </cell>
          <cell r="H296" t="str">
            <v>EP manuels français, calc, sobs, hgéo, icm pour élèves prim pub et privé : environ</v>
          </cell>
          <cell r="I296" t="str">
            <v>DNEE</v>
          </cell>
          <cell r="K296" t="str">
            <v>IDA</v>
          </cell>
          <cell r="L296" t="str">
            <v>AOI</v>
          </cell>
          <cell r="P296">
            <v>0</v>
          </cell>
          <cell r="Q296" t="str">
            <v>manuel</v>
          </cell>
          <cell r="S296">
            <v>6.0583388097868989</v>
          </cell>
          <cell r="T296">
            <v>1</v>
          </cell>
          <cell r="U296">
            <v>0</v>
          </cell>
          <cell r="V296">
            <v>0</v>
          </cell>
          <cell r="W296">
            <v>0</v>
          </cell>
          <cell r="X296">
            <v>0</v>
          </cell>
          <cell r="Y296">
            <v>0</v>
          </cell>
          <cell r="Z296">
            <v>0</v>
          </cell>
          <cell r="AA296">
            <v>0</v>
          </cell>
          <cell r="AB296">
            <v>0</v>
          </cell>
          <cell r="AC296">
            <v>0</v>
          </cell>
          <cell r="AD296">
            <v>0</v>
          </cell>
          <cell r="AE296">
            <v>0</v>
          </cell>
          <cell r="AF296">
            <v>0</v>
          </cell>
          <cell r="AH296">
            <v>0</v>
          </cell>
        </row>
        <row r="297">
          <cell r="B297" t="str">
            <v>ST/EPU</v>
          </cell>
          <cell r="C297" t="str">
            <v>B1A</v>
          </cell>
          <cell r="D297" t="str">
            <v>B1AA</v>
          </cell>
          <cell r="E297" t="str">
            <v>EP/DIXI</v>
          </cell>
          <cell r="G297">
            <v>23</v>
          </cell>
          <cell r="H297" t="str">
            <v>EP manuels français, calc, sobs, hgéo, icm pour élèves prim pub et privé : environ</v>
          </cell>
          <cell r="I297" t="str">
            <v>DNEE</v>
          </cell>
          <cell r="K297" t="str">
            <v>IDA</v>
          </cell>
          <cell r="L297" t="str">
            <v>AOI</v>
          </cell>
          <cell r="P297">
            <v>0</v>
          </cell>
          <cell r="Q297" t="str">
            <v>manuel</v>
          </cell>
          <cell r="S297">
            <v>6.0583388097868989</v>
          </cell>
          <cell r="T297">
            <v>1</v>
          </cell>
          <cell r="U297">
            <v>0</v>
          </cell>
          <cell r="V297">
            <v>0</v>
          </cell>
          <cell r="W297">
            <v>0</v>
          </cell>
          <cell r="X297">
            <v>0</v>
          </cell>
          <cell r="Y297">
            <v>0</v>
          </cell>
          <cell r="Z297">
            <v>0</v>
          </cell>
          <cell r="AA297">
            <v>0</v>
          </cell>
          <cell r="AB297">
            <v>0</v>
          </cell>
          <cell r="AC297">
            <v>0</v>
          </cell>
          <cell r="AD297">
            <v>0</v>
          </cell>
          <cell r="AE297">
            <v>0</v>
          </cell>
          <cell r="AF297">
            <v>0</v>
          </cell>
          <cell r="AH297">
            <v>0</v>
          </cell>
        </row>
        <row r="298">
          <cell r="B298" t="str">
            <v>ST/EPU</v>
          </cell>
          <cell r="C298" t="str">
            <v>B1A</v>
          </cell>
          <cell r="D298" t="str">
            <v>B1AA</v>
          </cell>
          <cell r="E298" t="str">
            <v>EP/DUBR</v>
          </cell>
          <cell r="G298">
            <v>23</v>
          </cell>
          <cell r="H298" t="str">
            <v>EP manuels français, calc, sobs, hgéo, icm pour élèves prim pub et privé : environ</v>
          </cell>
          <cell r="I298" t="str">
            <v>DNEE</v>
          </cell>
          <cell r="K298" t="str">
            <v>IDA</v>
          </cell>
          <cell r="L298" t="str">
            <v>AOI</v>
          </cell>
          <cell r="P298">
            <v>0</v>
          </cell>
          <cell r="Q298" t="str">
            <v>manuel</v>
          </cell>
          <cell r="S298">
            <v>6.0583388097868989</v>
          </cell>
          <cell r="T298">
            <v>1</v>
          </cell>
          <cell r="U298">
            <v>0</v>
          </cell>
          <cell r="V298">
            <v>0</v>
          </cell>
          <cell r="W298">
            <v>0</v>
          </cell>
          <cell r="X298">
            <v>0</v>
          </cell>
          <cell r="Y298">
            <v>0</v>
          </cell>
          <cell r="Z298">
            <v>0</v>
          </cell>
          <cell r="AA298">
            <v>0</v>
          </cell>
          <cell r="AB298">
            <v>0</v>
          </cell>
          <cell r="AC298">
            <v>0</v>
          </cell>
          <cell r="AD298">
            <v>0</v>
          </cell>
          <cell r="AE298">
            <v>0</v>
          </cell>
          <cell r="AF298">
            <v>0</v>
          </cell>
          <cell r="AH298">
            <v>0</v>
          </cell>
        </row>
        <row r="299">
          <cell r="B299" t="str">
            <v>ST/EPU</v>
          </cell>
          <cell r="C299" t="str">
            <v>B1A</v>
          </cell>
          <cell r="D299" t="str">
            <v>B1AA</v>
          </cell>
          <cell r="E299" t="str">
            <v>EP/FARA</v>
          </cell>
          <cell r="G299">
            <v>23</v>
          </cell>
          <cell r="H299" t="str">
            <v>EP manuels français, calc, sobs, hgéo, icm pour élèves prim pub et privé : environ</v>
          </cell>
          <cell r="I299" t="str">
            <v>DNEE</v>
          </cell>
          <cell r="K299" t="str">
            <v>IDA</v>
          </cell>
          <cell r="L299" t="str">
            <v>AOI</v>
          </cell>
          <cell r="P299">
            <v>0</v>
          </cell>
          <cell r="Q299" t="str">
            <v>manuel</v>
          </cell>
          <cell r="S299">
            <v>6.0583388097868989</v>
          </cell>
          <cell r="T299">
            <v>1</v>
          </cell>
          <cell r="U299">
            <v>0</v>
          </cell>
          <cell r="V299">
            <v>0</v>
          </cell>
          <cell r="W299">
            <v>0</v>
          </cell>
          <cell r="X299">
            <v>0</v>
          </cell>
          <cell r="Y299">
            <v>0</v>
          </cell>
          <cell r="Z299">
            <v>0</v>
          </cell>
          <cell r="AA299">
            <v>0</v>
          </cell>
          <cell r="AB299">
            <v>0</v>
          </cell>
          <cell r="AC299">
            <v>0</v>
          </cell>
          <cell r="AD299">
            <v>0</v>
          </cell>
          <cell r="AE299">
            <v>0</v>
          </cell>
          <cell r="AF299">
            <v>0</v>
          </cell>
          <cell r="AH299">
            <v>0</v>
          </cell>
        </row>
        <row r="300">
          <cell r="B300" t="str">
            <v>ST/EPU</v>
          </cell>
          <cell r="C300" t="str">
            <v>B1A</v>
          </cell>
          <cell r="D300" t="str">
            <v>B1AA</v>
          </cell>
          <cell r="E300" t="str">
            <v>EP/FORE</v>
          </cell>
          <cell r="G300">
            <v>23</v>
          </cell>
          <cell r="H300" t="str">
            <v>EP manuels français, calc, sobs, hgéo, icm pour élèves prim pub et privé : environ</v>
          </cell>
          <cell r="I300" t="str">
            <v>DNEE</v>
          </cell>
          <cell r="K300" t="str">
            <v>IDA</v>
          </cell>
          <cell r="L300" t="str">
            <v>AOI</v>
          </cell>
          <cell r="P300">
            <v>0</v>
          </cell>
          <cell r="Q300" t="str">
            <v>manuel</v>
          </cell>
          <cell r="S300">
            <v>6.0583388097868989</v>
          </cell>
          <cell r="T300">
            <v>1</v>
          </cell>
          <cell r="U300">
            <v>0</v>
          </cell>
          <cell r="V300">
            <v>0</v>
          </cell>
          <cell r="W300">
            <v>0</v>
          </cell>
          <cell r="X300">
            <v>0</v>
          </cell>
          <cell r="Y300">
            <v>0</v>
          </cell>
          <cell r="Z300">
            <v>0</v>
          </cell>
          <cell r="AA300">
            <v>0</v>
          </cell>
          <cell r="AB300">
            <v>0</v>
          </cell>
          <cell r="AC300">
            <v>0</v>
          </cell>
          <cell r="AD300">
            <v>0</v>
          </cell>
          <cell r="AE300">
            <v>0</v>
          </cell>
          <cell r="AF300">
            <v>0</v>
          </cell>
          <cell r="AH300">
            <v>0</v>
          </cell>
        </row>
        <row r="301">
          <cell r="B301" t="str">
            <v>ST/EPU</v>
          </cell>
          <cell r="C301" t="str">
            <v>B1A</v>
          </cell>
          <cell r="D301" t="str">
            <v>B1AA</v>
          </cell>
          <cell r="E301" t="str">
            <v>EP/FRIA</v>
          </cell>
          <cell r="G301">
            <v>23</v>
          </cell>
          <cell r="H301" t="str">
            <v>EP manuels français, calc, sobs, hgéo, icm pour élèves prim pub et privé : environ</v>
          </cell>
          <cell r="I301" t="str">
            <v>DNEE</v>
          </cell>
          <cell r="K301" t="str">
            <v>IDA</v>
          </cell>
          <cell r="L301" t="str">
            <v>AOI</v>
          </cell>
          <cell r="P301">
            <v>0</v>
          </cell>
          <cell r="Q301" t="str">
            <v>manuel</v>
          </cell>
          <cell r="S301">
            <v>6.0583388097868989</v>
          </cell>
          <cell r="T301">
            <v>1</v>
          </cell>
          <cell r="U301">
            <v>0</v>
          </cell>
          <cell r="V301">
            <v>0</v>
          </cell>
          <cell r="W301">
            <v>0</v>
          </cell>
          <cell r="X301">
            <v>0</v>
          </cell>
          <cell r="Y301">
            <v>0</v>
          </cell>
          <cell r="Z301">
            <v>0</v>
          </cell>
          <cell r="AA301">
            <v>0</v>
          </cell>
          <cell r="AB301">
            <v>0</v>
          </cell>
          <cell r="AC301">
            <v>0</v>
          </cell>
          <cell r="AD301">
            <v>0</v>
          </cell>
          <cell r="AE301">
            <v>0</v>
          </cell>
          <cell r="AF301">
            <v>0</v>
          </cell>
          <cell r="AH301">
            <v>0</v>
          </cell>
        </row>
        <row r="302">
          <cell r="B302" t="str">
            <v>ST/EPU</v>
          </cell>
          <cell r="C302" t="str">
            <v>B1A</v>
          </cell>
          <cell r="D302" t="str">
            <v>B1AA</v>
          </cell>
          <cell r="E302" t="str">
            <v>EP/GAOU</v>
          </cell>
          <cell r="G302">
            <v>23</v>
          </cell>
          <cell r="H302" t="str">
            <v>EP manuels français, calc, sobs, hgéo, icm pour élèves prim pub et privé : environ</v>
          </cell>
          <cell r="I302" t="str">
            <v>DNEE</v>
          </cell>
          <cell r="K302" t="str">
            <v>IDA</v>
          </cell>
          <cell r="L302" t="str">
            <v>AOI</v>
          </cell>
          <cell r="P302">
            <v>0</v>
          </cell>
          <cell r="Q302" t="str">
            <v>manuel</v>
          </cell>
          <cell r="S302">
            <v>6.0583388097868989</v>
          </cell>
          <cell r="T302">
            <v>1</v>
          </cell>
          <cell r="U302">
            <v>0</v>
          </cell>
          <cell r="V302">
            <v>0</v>
          </cell>
          <cell r="W302">
            <v>0</v>
          </cell>
          <cell r="X302">
            <v>0</v>
          </cell>
          <cell r="Y302">
            <v>0</v>
          </cell>
          <cell r="Z302">
            <v>0</v>
          </cell>
          <cell r="AA302">
            <v>0</v>
          </cell>
          <cell r="AB302">
            <v>0</v>
          </cell>
          <cell r="AC302">
            <v>0</v>
          </cell>
          <cell r="AD302">
            <v>0</v>
          </cell>
          <cell r="AE302">
            <v>0</v>
          </cell>
          <cell r="AF302">
            <v>0</v>
          </cell>
          <cell r="AH302">
            <v>0</v>
          </cell>
        </row>
        <row r="303">
          <cell r="B303" t="str">
            <v>ST/EPU</v>
          </cell>
          <cell r="C303" t="str">
            <v>B1A</v>
          </cell>
          <cell r="D303" t="str">
            <v>B1AA</v>
          </cell>
          <cell r="E303" t="str">
            <v>EP/GUEC</v>
          </cell>
          <cell r="G303">
            <v>23</v>
          </cell>
          <cell r="H303" t="str">
            <v>EP manuels français, calc, sobs, hgéo, icm pour élèves prim pub et privé : environ</v>
          </cell>
          <cell r="I303" t="str">
            <v>DNEE</v>
          </cell>
          <cell r="K303" t="str">
            <v>IDA</v>
          </cell>
          <cell r="L303" t="str">
            <v>AOI</v>
          </cell>
          <cell r="P303">
            <v>0</v>
          </cell>
          <cell r="Q303" t="str">
            <v>manuel</v>
          </cell>
          <cell r="S303">
            <v>6.0583388097868989</v>
          </cell>
          <cell r="T303">
            <v>1</v>
          </cell>
          <cell r="U303">
            <v>0</v>
          </cell>
          <cell r="V303">
            <v>0</v>
          </cell>
          <cell r="W303">
            <v>0</v>
          </cell>
          <cell r="X303">
            <v>0</v>
          </cell>
          <cell r="Y303">
            <v>0</v>
          </cell>
          <cell r="Z303">
            <v>0</v>
          </cell>
          <cell r="AA303">
            <v>0</v>
          </cell>
          <cell r="AB303">
            <v>0</v>
          </cell>
          <cell r="AC303">
            <v>0</v>
          </cell>
          <cell r="AD303">
            <v>0</v>
          </cell>
          <cell r="AE303">
            <v>0</v>
          </cell>
          <cell r="AF303">
            <v>0</v>
          </cell>
          <cell r="AH303">
            <v>0</v>
          </cell>
        </row>
        <row r="304">
          <cell r="B304" t="str">
            <v>ST/EPU</v>
          </cell>
          <cell r="C304" t="str">
            <v>B1A</v>
          </cell>
          <cell r="D304" t="str">
            <v>B1AA</v>
          </cell>
          <cell r="E304" t="str">
            <v>EP/KALO</v>
          </cell>
          <cell r="G304">
            <v>23</v>
          </cell>
          <cell r="H304" t="str">
            <v>EP manuels français, calc, sobs, hgéo, icm pour élèves prim pub et privé : environ</v>
          </cell>
          <cell r="I304" t="str">
            <v>DNEE</v>
          </cell>
          <cell r="K304" t="str">
            <v>IDA</v>
          </cell>
          <cell r="L304" t="str">
            <v>AOI</v>
          </cell>
          <cell r="P304">
            <v>0</v>
          </cell>
          <cell r="Q304" t="str">
            <v>manuel</v>
          </cell>
          <cell r="S304">
            <v>6.0583388097868989</v>
          </cell>
          <cell r="T304">
            <v>1</v>
          </cell>
          <cell r="U304">
            <v>0</v>
          </cell>
          <cell r="V304">
            <v>0</v>
          </cell>
          <cell r="W304">
            <v>0</v>
          </cell>
          <cell r="X304">
            <v>0</v>
          </cell>
          <cell r="Y304">
            <v>0</v>
          </cell>
          <cell r="Z304">
            <v>0</v>
          </cell>
          <cell r="AA304">
            <v>0</v>
          </cell>
          <cell r="AB304">
            <v>0</v>
          </cell>
          <cell r="AC304">
            <v>0</v>
          </cell>
          <cell r="AD304">
            <v>0</v>
          </cell>
          <cell r="AE304">
            <v>0</v>
          </cell>
          <cell r="AF304">
            <v>0</v>
          </cell>
          <cell r="AH304">
            <v>0</v>
          </cell>
        </row>
        <row r="305">
          <cell r="B305" t="str">
            <v>ST/EPU</v>
          </cell>
          <cell r="C305" t="str">
            <v>B1A</v>
          </cell>
          <cell r="D305" t="str">
            <v>B1AA</v>
          </cell>
          <cell r="E305" t="str">
            <v>EP/KANK</v>
          </cell>
          <cell r="G305">
            <v>23</v>
          </cell>
          <cell r="H305" t="str">
            <v>EP manuels français, calc, sobs, hgéo, icm pour élèves prim pub et privé : environ</v>
          </cell>
          <cell r="I305" t="str">
            <v>DNEE</v>
          </cell>
          <cell r="K305" t="str">
            <v>IDA</v>
          </cell>
          <cell r="L305" t="str">
            <v>AOI</v>
          </cell>
          <cell r="P305">
            <v>0</v>
          </cell>
          <cell r="Q305" t="str">
            <v>manuel</v>
          </cell>
          <cell r="S305">
            <v>6.0583388097868989</v>
          </cell>
          <cell r="T305">
            <v>1</v>
          </cell>
          <cell r="U305">
            <v>0</v>
          </cell>
          <cell r="V305">
            <v>0</v>
          </cell>
          <cell r="W305">
            <v>0</v>
          </cell>
          <cell r="X305">
            <v>0</v>
          </cell>
          <cell r="Y305">
            <v>0</v>
          </cell>
          <cell r="Z305">
            <v>0</v>
          </cell>
          <cell r="AA305">
            <v>0</v>
          </cell>
          <cell r="AB305">
            <v>0</v>
          </cell>
          <cell r="AC305">
            <v>0</v>
          </cell>
          <cell r="AD305">
            <v>0</v>
          </cell>
          <cell r="AE305">
            <v>0</v>
          </cell>
          <cell r="AF305">
            <v>0</v>
          </cell>
          <cell r="AH305">
            <v>0</v>
          </cell>
        </row>
        <row r="306">
          <cell r="B306" t="str">
            <v>ST/EPU</v>
          </cell>
          <cell r="C306" t="str">
            <v>B1A</v>
          </cell>
          <cell r="D306" t="str">
            <v>B1AA</v>
          </cell>
          <cell r="E306" t="str">
            <v>EP/KERO</v>
          </cell>
          <cell r="G306">
            <v>23</v>
          </cell>
          <cell r="H306" t="str">
            <v>EP manuels français, calc, sobs, hgéo, icm pour élèves prim pub et privé : environ</v>
          </cell>
          <cell r="I306" t="str">
            <v>DNEE</v>
          </cell>
          <cell r="K306" t="str">
            <v>IDA</v>
          </cell>
          <cell r="L306" t="str">
            <v>AOI</v>
          </cell>
          <cell r="P306">
            <v>0</v>
          </cell>
          <cell r="Q306" t="str">
            <v>manuel</v>
          </cell>
          <cell r="S306">
            <v>6.0583388097868989</v>
          </cell>
          <cell r="T306">
            <v>1</v>
          </cell>
          <cell r="U306">
            <v>0</v>
          </cell>
          <cell r="V306">
            <v>0</v>
          </cell>
          <cell r="W306">
            <v>0</v>
          </cell>
          <cell r="X306">
            <v>0</v>
          </cell>
          <cell r="Y306">
            <v>0</v>
          </cell>
          <cell r="Z306">
            <v>0</v>
          </cell>
          <cell r="AA306">
            <v>0</v>
          </cell>
          <cell r="AB306">
            <v>0</v>
          </cell>
          <cell r="AC306">
            <v>0</v>
          </cell>
          <cell r="AD306">
            <v>0</v>
          </cell>
          <cell r="AE306">
            <v>0</v>
          </cell>
          <cell r="AF306">
            <v>0</v>
          </cell>
          <cell r="AH306">
            <v>0</v>
          </cell>
        </row>
        <row r="307">
          <cell r="B307" t="str">
            <v>ST/EPU</v>
          </cell>
          <cell r="C307" t="str">
            <v>B1A</v>
          </cell>
          <cell r="D307" t="str">
            <v>B1AA</v>
          </cell>
          <cell r="E307" t="str">
            <v>EP/KIND</v>
          </cell>
          <cell r="G307">
            <v>23</v>
          </cell>
          <cell r="H307" t="str">
            <v>EP manuels français, calc, sobs, hgéo, icm pour élèves prim pub et privé : environ</v>
          </cell>
          <cell r="I307" t="str">
            <v>DNEE</v>
          </cell>
          <cell r="K307" t="str">
            <v>IDA</v>
          </cell>
          <cell r="L307" t="str">
            <v>AOI</v>
          </cell>
          <cell r="P307">
            <v>0</v>
          </cell>
          <cell r="Q307" t="str">
            <v>manuel</v>
          </cell>
          <cell r="S307">
            <v>6.0583388097868989</v>
          </cell>
          <cell r="T307">
            <v>1</v>
          </cell>
          <cell r="U307">
            <v>0</v>
          </cell>
          <cell r="V307">
            <v>0</v>
          </cell>
          <cell r="W307">
            <v>0</v>
          </cell>
          <cell r="X307">
            <v>0</v>
          </cell>
          <cell r="Y307">
            <v>0</v>
          </cell>
          <cell r="Z307">
            <v>0</v>
          </cell>
          <cell r="AA307">
            <v>0</v>
          </cell>
          <cell r="AB307">
            <v>0</v>
          </cell>
          <cell r="AC307">
            <v>0</v>
          </cell>
          <cell r="AD307">
            <v>0</v>
          </cell>
          <cell r="AE307">
            <v>0</v>
          </cell>
          <cell r="AF307">
            <v>0</v>
          </cell>
          <cell r="AH307">
            <v>0</v>
          </cell>
        </row>
        <row r="308">
          <cell r="B308" t="str">
            <v>ST/EPU</v>
          </cell>
          <cell r="C308" t="str">
            <v>B1A</v>
          </cell>
          <cell r="D308" t="str">
            <v>B1AA</v>
          </cell>
          <cell r="E308" t="str">
            <v>EP/KISS</v>
          </cell>
          <cell r="G308">
            <v>23</v>
          </cell>
          <cell r="H308" t="str">
            <v>EP manuels français, calc, sobs, hgéo, icm pour élèves prim pub et privé : environ</v>
          </cell>
          <cell r="I308" t="str">
            <v>DNEE</v>
          </cell>
          <cell r="K308" t="str">
            <v>IDA</v>
          </cell>
          <cell r="L308" t="str">
            <v>AOI</v>
          </cell>
          <cell r="P308">
            <v>0</v>
          </cell>
          <cell r="Q308" t="str">
            <v>manuel</v>
          </cell>
          <cell r="S308">
            <v>6.0583388097868989</v>
          </cell>
          <cell r="T308">
            <v>1</v>
          </cell>
          <cell r="U308">
            <v>0</v>
          </cell>
          <cell r="V308">
            <v>0</v>
          </cell>
          <cell r="W308">
            <v>0</v>
          </cell>
          <cell r="X308">
            <v>0</v>
          </cell>
          <cell r="Y308">
            <v>0</v>
          </cell>
          <cell r="Z308">
            <v>0</v>
          </cell>
          <cell r="AA308">
            <v>0</v>
          </cell>
          <cell r="AB308">
            <v>0</v>
          </cell>
          <cell r="AC308">
            <v>0</v>
          </cell>
          <cell r="AD308">
            <v>0</v>
          </cell>
          <cell r="AE308">
            <v>0</v>
          </cell>
          <cell r="AF308">
            <v>0</v>
          </cell>
          <cell r="AH308">
            <v>0</v>
          </cell>
        </row>
        <row r="309">
          <cell r="B309" t="str">
            <v>ST/EPU</v>
          </cell>
          <cell r="C309" t="str">
            <v>B1A</v>
          </cell>
          <cell r="D309" t="str">
            <v>B1AA</v>
          </cell>
          <cell r="E309" t="str">
            <v>EP/KOUB</v>
          </cell>
          <cell r="G309">
            <v>23</v>
          </cell>
          <cell r="H309" t="str">
            <v>EP manuels français, calc, sobs, hgéo, icm pour élèves prim pub et privé : environ</v>
          </cell>
          <cell r="I309" t="str">
            <v>DNEE</v>
          </cell>
          <cell r="K309" t="str">
            <v>IDA</v>
          </cell>
          <cell r="L309" t="str">
            <v>AOI</v>
          </cell>
          <cell r="P309">
            <v>0</v>
          </cell>
          <cell r="Q309" t="str">
            <v>manuel</v>
          </cell>
          <cell r="S309">
            <v>6.0583388097868989</v>
          </cell>
          <cell r="T309">
            <v>1</v>
          </cell>
          <cell r="U309">
            <v>0</v>
          </cell>
          <cell r="V309">
            <v>0</v>
          </cell>
          <cell r="W309">
            <v>0</v>
          </cell>
          <cell r="X309">
            <v>0</v>
          </cell>
          <cell r="Y309">
            <v>0</v>
          </cell>
          <cell r="Z309">
            <v>0</v>
          </cell>
          <cell r="AA309">
            <v>0</v>
          </cell>
          <cell r="AB309">
            <v>0</v>
          </cell>
          <cell r="AC309">
            <v>0</v>
          </cell>
          <cell r="AD309">
            <v>0</v>
          </cell>
          <cell r="AE309">
            <v>0</v>
          </cell>
          <cell r="AF309">
            <v>0</v>
          </cell>
          <cell r="AH309">
            <v>0</v>
          </cell>
        </row>
        <row r="310">
          <cell r="B310" t="str">
            <v>ST/EPU</v>
          </cell>
          <cell r="C310" t="str">
            <v>B1A</v>
          </cell>
          <cell r="D310" t="str">
            <v>B1AA</v>
          </cell>
          <cell r="E310" t="str">
            <v>EP/KOUN</v>
          </cell>
          <cell r="G310">
            <v>23</v>
          </cell>
          <cell r="H310" t="str">
            <v>EP manuels français, calc, sobs, hgéo, icm pour élèves prim pub et privé : environ</v>
          </cell>
          <cell r="I310" t="str">
            <v>DNEE</v>
          </cell>
          <cell r="K310" t="str">
            <v>IDA</v>
          </cell>
          <cell r="L310" t="str">
            <v>AOI</v>
          </cell>
          <cell r="P310">
            <v>0</v>
          </cell>
          <cell r="Q310" t="str">
            <v>manuel</v>
          </cell>
          <cell r="S310">
            <v>6.0583388097868989</v>
          </cell>
          <cell r="T310">
            <v>1</v>
          </cell>
          <cell r="U310">
            <v>0</v>
          </cell>
          <cell r="V310">
            <v>0</v>
          </cell>
          <cell r="W310">
            <v>0</v>
          </cell>
          <cell r="X310">
            <v>0</v>
          </cell>
          <cell r="Y310">
            <v>0</v>
          </cell>
          <cell r="Z310">
            <v>0</v>
          </cell>
          <cell r="AA310">
            <v>0</v>
          </cell>
          <cell r="AB310">
            <v>0</v>
          </cell>
          <cell r="AC310">
            <v>0</v>
          </cell>
          <cell r="AD310">
            <v>0</v>
          </cell>
          <cell r="AE310">
            <v>0</v>
          </cell>
          <cell r="AF310">
            <v>0</v>
          </cell>
          <cell r="AH310">
            <v>0</v>
          </cell>
        </row>
        <row r="311">
          <cell r="B311" t="str">
            <v>ST/EPU</v>
          </cell>
          <cell r="C311" t="str">
            <v>B1A</v>
          </cell>
          <cell r="D311" t="str">
            <v>B1AA</v>
          </cell>
          <cell r="E311" t="str">
            <v>EP/KOUR</v>
          </cell>
          <cell r="G311">
            <v>23</v>
          </cell>
          <cell r="H311" t="str">
            <v>EP manuels français, calc, sobs, hgéo, icm pour élèves prim pub et privé : environ</v>
          </cell>
          <cell r="I311" t="str">
            <v>DNEE</v>
          </cell>
          <cell r="K311" t="str">
            <v>IDA</v>
          </cell>
          <cell r="L311" t="str">
            <v>AOI</v>
          </cell>
          <cell r="P311">
            <v>0</v>
          </cell>
          <cell r="Q311" t="str">
            <v>manuel</v>
          </cell>
          <cell r="S311">
            <v>6.0583388097868989</v>
          </cell>
          <cell r="T311">
            <v>1</v>
          </cell>
          <cell r="U311">
            <v>0</v>
          </cell>
          <cell r="V311">
            <v>0</v>
          </cell>
          <cell r="W311">
            <v>0</v>
          </cell>
          <cell r="X311">
            <v>0</v>
          </cell>
          <cell r="Y311">
            <v>0</v>
          </cell>
          <cell r="Z311">
            <v>0</v>
          </cell>
          <cell r="AA311">
            <v>0</v>
          </cell>
          <cell r="AB311">
            <v>0</v>
          </cell>
          <cell r="AC311">
            <v>0</v>
          </cell>
          <cell r="AD311">
            <v>0</v>
          </cell>
          <cell r="AE311">
            <v>0</v>
          </cell>
          <cell r="AF311">
            <v>0</v>
          </cell>
          <cell r="AH311">
            <v>0</v>
          </cell>
        </row>
        <row r="312">
          <cell r="B312" t="str">
            <v>ST/EPU</v>
          </cell>
          <cell r="C312" t="str">
            <v>B1A</v>
          </cell>
          <cell r="D312" t="str">
            <v>B1AA</v>
          </cell>
          <cell r="E312" t="str">
            <v>EP/LABE</v>
          </cell>
          <cell r="G312">
            <v>23</v>
          </cell>
          <cell r="H312" t="str">
            <v>EP manuels français, calc, sobs, hgéo, icm pour élèves prim pub et privé : environ</v>
          </cell>
          <cell r="I312" t="str">
            <v>DNEE</v>
          </cell>
          <cell r="K312" t="str">
            <v>IDA</v>
          </cell>
          <cell r="L312" t="str">
            <v>AOI</v>
          </cell>
          <cell r="P312">
            <v>0</v>
          </cell>
          <cell r="Q312" t="str">
            <v>manuel</v>
          </cell>
          <cell r="S312">
            <v>6.0583388097868989</v>
          </cell>
          <cell r="T312">
            <v>1</v>
          </cell>
          <cell r="U312">
            <v>0</v>
          </cell>
          <cell r="V312">
            <v>0</v>
          </cell>
          <cell r="W312">
            <v>0</v>
          </cell>
          <cell r="X312">
            <v>0</v>
          </cell>
          <cell r="Y312">
            <v>0</v>
          </cell>
          <cell r="Z312">
            <v>0</v>
          </cell>
          <cell r="AA312">
            <v>0</v>
          </cell>
          <cell r="AB312">
            <v>0</v>
          </cell>
          <cell r="AC312">
            <v>0</v>
          </cell>
          <cell r="AD312">
            <v>0</v>
          </cell>
          <cell r="AE312">
            <v>0</v>
          </cell>
          <cell r="AF312">
            <v>0</v>
          </cell>
          <cell r="AH312">
            <v>0</v>
          </cell>
        </row>
        <row r="313">
          <cell r="B313" t="str">
            <v>ST/EPU</v>
          </cell>
          <cell r="C313" t="str">
            <v>B1A</v>
          </cell>
          <cell r="D313" t="str">
            <v>B1AA</v>
          </cell>
          <cell r="E313" t="str">
            <v>EP/LELO</v>
          </cell>
          <cell r="G313">
            <v>23</v>
          </cell>
          <cell r="H313" t="str">
            <v>EP manuels français, calc, sobs, hgéo, icm pour élèves prim pub et privé : environ</v>
          </cell>
          <cell r="I313" t="str">
            <v>DNEE</v>
          </cell>
          <cell r="K313" t="str">
            <v>IDA</v>
          </cell>
          <cell r="L313" t="str">
            <v>AOI</v>
          </cell>
          <cell r="P313">
            <v>0</v>
          </cell>
          <cell r="Q313" t="str">
            <v>manuel</v>
          </cell>
          <cell r="S313">
            <v>6.0583388097868989</v>
          </cell>
          <cell r="T313">
            <v>1</v>
          </cell>
          <cell r="U313">
            <v>0</v>
          </cell>
          <cell r="V313">
            <v>0</v>
          </cell>
          <cell r="W313">
            <v>0</v>
          </cell>
          <cell r="X313">
            <v>0</v>
          </cell>
          <cell r="Y313">
            <v>0</v>
          </cell>
          <cell r="Z313">
            <v>0</v>
          </cell>
          <cell r="AA313">
            <v>0</v>
          </cell>
          <cell r="AB313">
            <v>0</v>
          </cell>
          <cell r="AC313">
            <v>0</v>
          </cell>
          <cell r="AD313">
            <v>0</v>
          </cell>
          <cell r="AE313">
            <v>0</v>
          </cell>
          <cell r="AF313">
            <v>0</v>
          </cell>
          <cell r="AH313">
            <v>0</v>
          </cell>
        </row>
        <row r="314">
          <cell r="B314" t="str">
            <v>ST/EPU</v>
          </cell>
          <cell r="C314" t="str">
            <v>B1A</v>
          </cell>
          <cell r="D314" t="str">
            <v>B1AA</v>
          </cell>
          <cell r="E314" t="str">
            <v>EP/LOLA</v>
          </cell>
          <cell r="G314">
            <v>23</v>
          </cell>
          <cell r="H314" t="str">
            <v>EP manuels français, calc, sobs, hgéo, icm pour élèves prim pub et privé : environ</v>
          </cell>
          <cell r="I314" t="str">
            <v>DNEE</v>
          </cell>
          <cell r="K314" t="str">
            <v>IDA</v>
          </cell>
          <cell r="L314" t="str">
            <v>AOI</v>
          </cell>
          <cell r="P314">
            <v>0</v>
          </cell>
          <cell r="Q314" t="str">
            <v>manuel</v>
          </cell>
          <cell r="S314">
            <v>6.0583388097868989</v>
          </cell>
          <cell r="T314">
            <v>1</v>
          </cell>
          <cell r="U314">
            <v>0</v>
          </cell>
          <cell r="V314">
            <v>0</v>
          </cell>
          <cell r="W314">
            <v>0</v>
          </cell>
          <cell r="X314">
            <v>0</v>
          </cell>
          <cell r="Y314">
            <v>0</v>
          </cell>
          <cell r="Z314">
            <v>0</v>
          </cell>
          <cell r="AA314">
            <v>0</v>
          </cell>
          <cell r="AB314">
            <v>0</v>
          </cell>
          <cell r="AC314">
            <v>0</v>
          </cell>
          <cell r="AD314">
            <v>0</v>
          </cell>
          <cell r="AE314">
            <v>0</v>
          </cell>
          <cell r="AF314">
            <v>0</v>
          </cell>
          <cell r="AH314">
            <v>0</v>
          </cell>
        </row>
        <row r="315">
          <cell r="B315" t="str">
            <v>ST/EPU</v>
          </cell>
          <cell r="C315" t="str">
            <v>B1A</v>
          </cell>
          <cell r="D315" t="str">
            <v>B1AA</v>
          </cell>
          <cell r="E315" t="str">
            <v>EP/MACE</v>
          </cell>
          <cell r="G315">
            <v>23</v>
          </cell>
          <cell r="H315" t="str">
            <v>EP manuels français, calc, sobs, hgéo, icm pour élèves prim pub et privé : environ</v>
          </cell>
          <cell r="I315" t="str">
            <v>DNEE</v>
          </cell>
          <cell r="K315" t="str">
            <v>IDA</v>
          </cell>
          <cell r="L315" t="str">
            <v>AOI</v>
          </cell>
          <cell r="P315">
            <v>0</v>
          </cell>
          <cell r="Q315" t="str">
            <v>manuel</v>
          </cell>
          <cell r="S315">
            <v>6.0583388097868989</v>
          </cell>
          <cell r="T315">
            <v>1</v>
          </cell>
          <cell r="U315">
            <v>0</v>
          </cell>
          <cell r="V315">
            <v>0</v>
          </cell>
          <cell r="W315">
            <v>0</v>
          </cell>
          <cell r="X315">
            <v>0</v>
          </cell>
          <cell r="Y315">
            <v>0</v>
          </cell>
          <cell r="Z315">
            <v>0</v>
          </cell>
          <cell r="AA315">
            <v>0</v>
          </cell>
          <cell r="AB315">
            <v>0</v>
          </cell>
          <cell r="AC315">
            <v>0</v>
          </cell>
          <cell r="AD315">
            <v>0</v>
          </cell>
          <cell r="AE315">
            <v>0</v>
          </cell>
          <cell r="AF315">
            <v>0</v>
          </cell>
          <cell r="AH315">
            <v>0</v>
          </cell>
        </row>
        <row r="316">
          <cell r="B316" t="str">
            <v>ST/EPU</v>
          </cell>
          <cell r="C316" t="str">
            <v>B1A</v>
          </cell>
          <cell r="D316" t="str">
            <v>B1AA</v>
          </cell>
          <cell r="E316" t="str">
            <v>EP/MALI</v>
          </cell>
          <cell r="G316">
            <v>23</v>
          </cell>
          <cell r="H316" t="str">
            <v>EP manuels français, calc, sobs, hgéo, icm pour élèves prim pub et privé : environ</v>
          </cell>
          <cell r="I316" t="str">
            <v>DNEE</v>
          </cell>
          <cell r="K316" t="str">
            <v>IDA</v>
          </cell>
          <cell r="L316" t="str">
            <v>AOI</v>
          </cell>
          <cell r="P316">
            <v>0</v>
          </cell>
          <cell r="Q316" t="str">
            <v>manuel</v>
          </cell>
          <cell r="S316">
            <v>6.0583388097868989</v>
          </cell>
          <cell r="T316">
            <v>1</v>
          </cell>
          <cell r="U316">
            <v>0</v>
          </cell>
          <cell r="V316">
            <v>0</v>
          </cell>
          <cell r="W316">
            <v>0</v>
          </cell>
          <cell r="X316">
            <v>0</v>
          </cell>
          <cell r="Y316">
            <v>0</v>
          </cell>
          <cell r="Z316">
            <v>0</v>
          </cell>
          <cell r="AA316">
            <v>0</v>
          </cell>
          <cell r="AB316">
            <v>0</v>
          </cell>
          <cell r="AC316">
            <v>0</v>
          </cell>
          <cell r="AD316">
            <v>0</v>
          </cell>
          <cell r="AE316">
            <v>0</v>
          </cell>
          <cell r="AF316">
            <v>0</v>
          </cell>
          <cell r="AH316">
            <v>0</v>
          </cell>
        </row>
        <row r="317">
          <cell r="B317" t="str">
            <v>ST/EPU</v>
          </cell>
          <cell r="C317" t="str">
            <v>B1A</v>
          </cell>
          <cell r="D317" t="str">
            <v>B1AA</v>
          </cell>
          <cell r="E317" t="str">
            <v>EP/MAMO</v>
          </cell>
          <cell r="G317">
            <v>23</v>
          </cell>
          <cell r="H317" t="str">
            <v>EP manuels français, calc, sobs, hgéo, icm pour élèves prim pub et privé : environ</v>
          </cell>
          <cell r="I317" t="str">
            <v>DNEE</v>
          </cell>
          <cell r="K317" t="str">
            <v>IDA</v>
          </cell>
          <cell r="L317" t="str">
            <v>AOI</v>
          </cell>
          <cell r="P317">
            <v>0</v>
          </cell>
          <cell r="Q317" t="str">
            <v>manuel</v>
          </cell>
          <cell r="S317">
            <v>6.0583388097868989</v>
          </cell>
          <cell r="T317">
            <v>1</v>
          </cell>
          <cell r="U317">
            <v>0</v>
          </cell>
          <cell r="V317">
            <v>0</v>
          </cell>
          <cell r="W317">
            <v>0</v>
          </cell>
          <cell r="X317">
            <v>0</v>
          </cell>
          <cell r="Y317">
            <v>0</v>
          </cell>
          <cell r="Z317">
            <v>0</v>
          </cell>
          <cell r="AA317">
            <v>0</v>
          </cell>
          <cell r="AB317">
            <v>0</v>
          </cell>
          <cell r="AC317">
            <v>0</v>
          </cell>
          <cell r="AD317">
            <v>0</v>
          </cell>
          <cell r="AE317">
            <v>0</v>
          </cell>
          <cell r="AF317">
            <v>0</v>
          </cell>
          <cell r="AH317">
            <v>0</v>
          </cell>
        </row>
        <row r="318">
          <cell r="B318" t="str">
            <v>ST/EPU</v>
          </cell>
          <cell r="C318" t="str">
            <v>B1A</v>
          </cell>
          <cell r="D318" t="str">
            <v>B1AA</v>
          </cell>
          <cell r="E318" t="str">
            <v>EP/MAND</v>
          </cell>
          <cell r="G318">
            <v>23</v>
          </cell>
          <cell r="H318" t="str">
            <v>EP manuels français, calc, sobs, hgéo, icm pour élèves prim pub et privé : environ</v>
          </cell>
          <cell r="I318" t="str">
            <v>DNEE</v>
          </cell>
          <cell r="K318" t="str">
            <v>IDA</v>
          </cell>
          <cell r="L318" t="str">
            <v>AOI</v>
          </cell>
          <cell r="P318">
            <v>0</v>
          </cell>
          <cell r="Q318" t="str">
            <v>manuel</v>
          </cell>
          <cell r="S318">
            <v>6.0583388097868989</v>
          </cell>
          <cell r="T318">
            <v>1</v>
          </cell>
          <cell r="U318">
            <v>0</v>
          </cell>
          <cell r="V318">
            <v>0</v>
          </cell>
          <cell r="W318">
            <v>0</v>
          </cell>
          <cell r="X318">
            <v>0</v>
          </cell>
          <cell r="Y318">
            <v>0</v>
          </cell>
          <cell r="Z318">
            <v>0</v>
          </cell>
          <cell r="AA318">
            <v>0</v>
          </cell>
          <cell r="AB318">
            <v>0</v>
          </cell>
          <cell r="AC318">
            <v>0</v>
          </cell>
          <cell r="AD318">
            <v>0</v>
          </cell>
          <cell r="AE318">
            <v>0</v>
          </cell>
          <cell r="AF318">
            <v>0</v>
          </cell>
          <cell r="AH318">
            <v>0</v>
          </cell>
        </row>
        <row r="319">
          <cell r="B319" t="str">
            <v>ST/EPU</v>
          </cell>
          <cell r="C319" t="str">
            <v>B1A</v>
          </cell>
          <cell r="D319" t="str">
            <v>B1AA</v>
          </cell>
          <cell r="E319" t="str">
            <v>EP/MATA</v>
          </cell>
          <cell r="G319">
            <v>23</v>
          </cell>
          <cell r="H319" t="str">
            <v>EP manuels français, calc, sobs, hgéo, icm pour élèves prim pub et privé : environ</v>
          </cell>
          <cell r="I319" t="str">
            <v>DNEE</v>
          </cell>
          <cell r="K319" t="str">
            <v>IDA</v>
          </cell>
          <cell r="L319" t="str">
            <v>AOI</v>
          </cell>
          <cell r="P319">
            <v>0</v>
          </cell>
          <cell r="Q319" t="str">
            <v>manuel</v>
          </cell>
          <cell r="S319">
            <v>6.0583388097868989</v>
          </cell>
          <cell r="T319">
            <v>1</v>
          </cell>
          <cell r="U319">
            <v>0</v>
          </cell>
          <cell r="V319">
            <v>0</v>
          </cell>
          <cell r="W319">
            <v>0</v>
          </cell>
          <cell r="X319">
            <v>0</v>
          </cell>
          <cell r="Y319">
            <v>0</v>
          </cell>
          <cell r="Z319">
            <v>0</v>
          </cell>
          <cell r="AA319">
            <v>0</v>
          </cell>
          <cell r="AB319">
            <v>0</v>
          </cell>
          <cell r="AC319">
            <v>0</v>
          </cell>
          <cell r="AD319">
            <v>0</v>
          </cell>
          <cell r="AE319">
            <v>0</v>
          </cell>
          <cell r="AF319">
            <v>0</v>
          </cell>
          <cell r="AH319">
            <v>0</v>
          </cell>
        </row>
        <row r="320">
          <cell r="B320" t="str">
            <v>ST/EPU</v>
          </cell>
          <cell r="C320" t="str">
            <v>B1A</v>
          </cell>
          <cell r="D320" t="str">
            <v>B1AA</v>
          </cell>
          <cell r="E320" t="str">
            <v>EP/MATO</v>
          </cell>
          <cell r="G320">
            <v>23</v>
          </cell>
          <cell r="H320" t="str">
            <v>EP manuels français, calc, sobs, hgéo, icm pour élèves prim pub et privé : environ</v>
          </cell>
          <cell r="I320" t="str">
            <v>DNEE</v>
          </cell>
          <cell r="K320" t="str">
            <v>IDA</v>
          </cell>
          <cell r="L320" t="str">
            <v>AOI</v>
          </cell>
          <cell r="P320">
            <v>0</v>
          </cell>
          <cell r="Q320" t="str">
            <v>manuel</v>
          </cell>
          <cell r="S320">
            <v>6.0583388097868989</v>
          </cell>
          <cell r="T320">
            <v>1</v>
          </cell>
          <cell r="U320">
            <v>0</v>
          </cell>
          <cell r="V320">
            <v>0</v>
          </cell>
          <cell r="W320">
            <v>0</v>
          </cell>
          <cell r="X320">
            <v>0</v>
          </cell>
          <cell r="Y320">
            <v>0</v>
          </cell>
          <cell r="Z320">
            <v>0</v>
          </cell>
          <cell r="AA320">
            <v>0</v>
          </cell>
          <cell r="AB320">
            <v>0</v>
          </cell>
          <cell r="AC320">
            <v>0</v>
          </cell>
          <cell r="AD320">
            <v>0</v>
          </cell>
          <cell r="AE320">
            <v>0</v>
          </cell>
          <cell r="AF320">
            <v>0</v>
          </cell>
          <cell r="AH320">
            <v>0</v>
          </cell>
        </row>
        <row r="321">
          <cell r="B321" t="str">
            <v>ST/EPU</v>
          </cell>
          <cell r="C321" t="str">
            <v>B1A</v>
          </cell>
          <cell r="D321" t="str">
            <v>B1AA</v>
          </cell>
          <cell r="E321" t="str">
            <v>EP/NZER</v>
          </cell>
          <cell r="G321">
            <v>23</v>
          </cell>
          <cell r="H321" t="str">
            <v>EP manuels français, calc, sobs, hgéo, icm pour élèves prim pub et privé : environ</v>
          </cell>
          <cell r="I321" t="str">
            <v>DNEE</v>
          </cell>
          <cell r="K321" t="str">
            <v>IDA</v>
          </cell>
          <cell r="L321" t="str">
            <v>AOI</v>
          </cell>
          <cell r="P321">
            <v>0</v>
          </cell>
          <cell r="Q321" t="str">
            <v>manuel</v>
          </cell>
          <cell r="S321">
            <v>6.0583388097868989</v>
          </cell>
          <cell r="T321">
            <v>1</v>
          </cell>
          <cell r="U321">
            <v>0</v>
          </cell>
          <cell r="V321">
            <v>0</v>
          </cell>
          <cell r="W321">
            <v>0</v>
          </cell>
          <cell r="X321">
            <v>0</v>
          </cell>
          <cell r="Y321">
            <v>0</v>
          </cell>
          <cell r="Z321">
            <v>0</v>
          </cell>
          <cell r="AA321">
            <v>0</v>
          </cell>
          <cell r="AB321">
            <v>0</v>
          </cell>
          <cell r="AC321">
            <v>0</v>
          </cell>
          <cell r="AD321">
            <v>0</v>
          </cell>
          <cell r="AE321">
            <v>0</v>
          </cell>
          <cell r="AF321">
            <v>0</v>
          </cell>
          <cell r="AH321">
            <v>0</v>
          </cell>
        </row>
        <row r="322">
          <cell r="B322" t="str">
            <v>ST/EPU</v>
          </cell>
          <cell r="C322" t="str">
            <v>B1A</v>
          </cell>
          <cell r="D322" t="str">
            <v>B1AA</v>
          </cell>
          <cell r="E322" t="str">
            <v>EP/PITA</v>
          </cell>
          <cell r="G322">
            <v>23</v>
          </cell>
          <cell r="H322" t="str">
            <v>EP manuels français, calc, sobs, hgéo, icm pour élèves prim pub et privé : environ</v>
          </cell>
          <cell r="I322" t="str">
            <v>DNEE</v>
          </cell>
          <cell r="K322" t="str">
            <v>IDA</v>
          </cell>
          <cell r="L322" t="str">
            <v>AOI</v>
          </cell>
          <cell r="P322">
            <v>0</v>
          </cell>
          <cell r="Q322" t="str">
            <v>manuel</v>
          </cell>
          <cell r="S322">
            <v>6.0583388097868989</v>
          </cell>
          <cell r="T322">
            <v>1</v>
          </cell>
          <cell r="U322">
            <v>0</v>
          </cell>
          <cell r="V322">
            <v>0</v>
          </cell>
          <cell r="W322">
            <v>0</v>
          </cell>
          <cell r="X322">
            <v>0</v>
          </cell>
          <cell r="Y322">
            <v>0</v>
          </cell>
          <cell r="Z322">
            <v>0</v>
          </cell>
          <cell r="AA322">
            <v>0</v>
          </cell>
          <cell r="AB322">
            <v>0</v>
          </cell>
          <cell r="AC322">
            <v>0</v>
          </cell>
          <cell r="AD322">
            <v>0</v>
          </cell>
          <cell r="AE322">
            <v>0</v>
          </cell>
          <cell r="AF322">
            <v>0</v>
          </cell>
          <cell r="AH322">
            <v>0</v>
          </cell>
        </row>
        <row r="323">
          <cell r="B323" t="str">
            <v>ST/EPU</v>
          </cell>
          <cell r="C323" t="str">
            <v>B1A</v>
          </cell>
          <cell r="D323" t="str">
            <v>B1AA</v>
          </cell>
          <cell r="E323" t="str">
            <v>EP/RATO</v>
          </cell>
          <cell r="G323">
            <v>23</v>
          </cell>
          <cell r="H323" t="str">
            <v>EP manuels français, calc, sobs, hgéo, icm pour élèves prim pub et privé : environ</v>
          </cell>
          <cell r="I323" t="str">
            <v>DNEE</v>
          </cell>
          <cell r="K323" t="str">
            <v>IDA</v>
          </cell>
          <cell r="L323" t="str">
            <v>AOI</v>
          </cell>
          <cell r="P323">
            <v>0</v>
          </cell>
          <cell r="Q323" t="str">
            <v>manuel</v>
          </cell>
          <cell r="S323">
            <v>6.0583388097868989</v>
          </cell>
          <cell r="T323">
            <v>1</v>
          </cell>
          <cell r="U323">
            <v>0</v>
          </cell>
          <cell r="V323">
            <v>0</v>
          </cell>
          <cell r="W323">
            <v>0</v>
          </cell>
          <cell r="X323">
            <v>0</v>
          </cell>
          <cell r="Y323">
            <v>0</v>
          </cell>
          <cell r="Z323">
            <v>0</v>
          </cell>
          <cell r="AA323">
            <v>0</v>
          </cell>
          <cell r="AB323">
            <v>0</v>
          </cell>
          <cell r="AC323">
            <v>0</v>
          </cell>
          <cell r="AD323">
            <v>0</v>
          </cell>
          <cell r="AE323">
            <v>0</v>
          </cell>
          <cell r="AF323">
            <v>0</v>
          </cell>
          <cell r="AH323">
            <v>0</v>
          </cell>
        </row>
        <row r="324">
          <cell r="B324" t="str">
            <v>ST/EPU</v>
          </cell>
          <cell r="C324" t="str">
            <v>B1A</v>
          </cell>
          <cell r="D324" t="str">
            <v>B1AA</v>
          </cell>
          <cell r="E324" t="str">
            <v>EP/SIGU</v>
          </cell>
          <cell r="G324">
            <v>23</v>
          </cell>
          <cell r="H324" t="str">
            <v>EP manuels français, calc, sobs, hgéo, icm pour élèves prim pub et privé : environ</v>
          </cell>
          <cell r="I324" t="str">
            <v>DNEE</v>
          </cell>
          <cell r="K324" t="str">
            <v>IDA</v>
          </cell>
          <cell r="L324" t="str">
            <v>AOI</v>
          </cell>
          <cell r="P324">
            <v>0</v>
          </cell>
          <cell r="Q324" t="str">
            <v>manuel</v>
          </cell>
          <cell r="S324">
            <v>6.0583388097868989</v>
          </cell>
          <cell r="T324">
            <v>1</v>
          </cell>
          <cell r="U324">
            <v>0</v>
          </cell>
          <cell r="V324">
            <v>0</v>
          </cell>
          <cell r="W324">
            <v>0</v>
          </cell>
          <cell r="X324">
            <v>0</v>
          </cell>
          <cell r="Y324">
            <v>0</v>
          </cell>
          <cell r="Z324">
            <v>0</v>
          </cell>
          <cell r="AA324">
            <v>0</v>
          </cell>
          <cell r="AB324">
            <v>0</v>
          </cell>
          <cell r="AC324">
            <v>0</v>
          </cell>
          <cell r="AD324">
            <v>0</v>
          </cell>
          <cell r="AE324">
            <v>0</v>
          </cell>
          <cell r="AF324">
            <v>0</v>
          </cell>
          <cell r="AH324">
            <v>0</v>
          </cell>
        </row>
        <row r="325">
          <cell r="B325" t="str">
            <v>ST/EPU</v>
          </cell>
          <cell r="C325" t="str">
            <v>B1A</v>
          </cell>
          <cell r="D325" t="str">
            <v>B1AA</v>
          </cell>
          <cell r="E325" t="str">
            <v>EP/TELE</v>
          </cell>
          <cell r="G325">
            <v>23</v>
          </cell>
          <cell r="H325" t="str">
            <v>EP manuels français, calc, sobs, hgéo, icm pour élèves prim pub et privé : environ</v>
          </cell>
          <cell r="I325" t="str">
            <v>DNEE</v>
          </cell>
          <cell r="K325" t="str">
            <v>IDA</v>
          </cell>
          <cell r="L325" t="str">
            <v>AOI</v>
          </cell>
          <cell r="P325">
            <v>0</v>
          </cell>
          <cell r="Q325" t="str">
            <v>manuel</v>
          </cell>
          <cell r="S325">
            <v>6.0583388097868989</v>
          </cell>
          <cell r="T325">
            <v>1</v>
          </cell>
          <cell r="U325">
            <v>0</v>
          </cell>
          <cell r="V325">
            <v>0</v>
          </cell>
          <cell r="W325">
            <v>0</v>
          </cell>
          <cell r="X325">
            <v>0</v>
          </cell>
          <cell r="Y325">
            <v>0</v>
          </cell>
          <cell r="Z325">
            <v>0</v>
          </cell>
          <cell r="AA325">
            <v>0</v>
          </cell>
          <cell r="AB325">
            <v>0</v>
          </cell>
          <cell r="AC325">
            <v>0</v>
          </cell>
          <cell r="AD325">
            <v>0</v>
          </cell>
          <cell r="AE325">
            <v>0</v>
          </cell>
          <cell r="AF325">
            <v>0</v>
          </cell>
          <cell r="AH325">
            <v>0</v>
          </cell>
        </row>
        <row r="326">
          <cell r="B326" t="str">
            <v>ST/EPU</v>
          </cell>
          <cell r="C326" t="str">
            <v>B1A</v>
          </cell>
          <cell r="D326" t="str">
            <v>B1AA</v>
          </cell>
          <cell r="E326" t="str">
            <v>EP/TOUG</v>
          </cell>
          <cell r="G326">
            <v>23</v>
          </cell>
          <cell r="H326" t="str">
            <v>EP manuels français, calc, sobs, hgéo, icm pour élèves prim pub et privé : environ</v>
          </cell>
          <cell r="I326" t="str">
            <v>DNEE</v>
          </cell>
          <cell r="K326" t="str">
            <v>IDA</v>
          </cell>
          <cell r="L326" t="str">
            <v>AOI</v>
          </cell>
          <cell r="P326">
            <v>0</v>
          </cell>
          <cell r="Q326" t="str">
            <v>manuel</v>
          </cell>
          <cell r="S326">
            <v>6.0583388097868989</v>
          </cell>
          <cell r="T326">
            <v>1</v>
          </cell>
          <cell r="U326">
            <v>0</v>
          </cell>
          <cell r="V326">
            <v>0</v>
          </cell>
          <cell r="W326">
            <v>0</v>
          </cell>
          <cell r="X326">
            <v>0</v>
          </cell>
          <cell r="Y326">
            <v>0</v>
          </cell>
          <cell r="Z326">
            <v>0</v>
          </cell>
          <cell r="AA326">
            <v>0</v>
          </cell>
          <cell r="AB326">
            <v>0</v>
          </cell>
          <cell r="AC326">
            <v>0</v>
          </cell>
          <cell r="AD326">
            <v>0</v>
          </cell>
          <cell r="AE326">
            <v>0</v>
          </cell>
          <cell r="AF326">
            <v>0</v>
          </cell>
          <cell r="AH326">
            <v>0</v>
          </cell>
        </row>
        <row r="327">
          <cell r="B327" t="str">
            <v>ST/EPU</v>
          </cell>
          <cell r="C327" t="str">
            <v>B1A</v>
          </cell>
          <cell r="D327" t="str">
            <v>B1AA</v>
          </cell>
          <cell r="E327" t="str">
            <v>EP/YOMO</v>
          </cell>
          <cell r="G327">
            <v>23</v>
          </cell>
          <cell r="H327" t="str">
            <v>EP manuels français, calc, sobs, hgéo, icm pour élèves prim pub et privé : environ</v>
          </cell>
          <cell r="I327" t="str">
            <v>DNEE</v>
          </cell>
          <cell r="K327" t="str">
            <v>IDA</v>
          </cell>
          <cell r="L327" t="str">
            <v>AOI</v>
          </cell>
          <cell r="P327">
            <v>0</v>
          </cell>
          <cell r="Q327" t="str">
            <v>manuel</v>
          </cell>
          <cell r="S327">
            <v>6.0583388097868989</v>
          </cell>
          <cell r="T327">
            <v>1</v>
          </cell>
          <cell r="U327">
            <v>0</v>
          </cell>
          <cell r="V327">
            <v>0</v>
          </cell>
          <cell r="W327">
            <v>0</v>
          </cell>
          <cell r="X327">
            <v>0</v>
          </cell>
          <cell r="Y327">
            <v>0</v>
          </cell>
          <cell r="Z327">
            <v>0</v>
          </cell>
          <cell r="AA327">
            <v>0</v>
          </cell>
          <cell r="AB327">
            <v>0</v>
          </cell>
          <cell r="AC327">
            <v>0</v>
          </cell>
          <cell r="AD327">
            <v>0</v>
          </cell>
          <cell r="AE327">
            <v>0</v>
          </cell>
          <cell r="AF327">
            <v>0</v>
          </cell>
          <cell r="AH327">
            <v>0</v>
          </cell>
        </row>
        <row r="328">
          <cell r="B328" t="str">
            <v>ST/EPU</v>
          </cell>
          <cell r="C328" t="str">
            <v>B1A</v>
          </cell>
          <cell r="D328" t="str">
            <v>B1AA</v>
          </cell>
          <cell r="E328" t="str">
            <v>EP/BEYL</v>
          </cell>
          <cell r="G328">
            <v>23</v>
          </cell>
          <cell r="H328" t="str">
            <v>EP guides français, calc, sobs, hgéo, icm pour maîtres prim pub et privé : environ</v>
          </cell>
          <cell r="I328" t="str">
            <v>DNEE</v>
          </cell>
          <cell r="K328" t="str">
            <v>IDA</v>
          </cell>
          <cell r="L328" t="str">
            <v>AOI</v>
          </cell>
          <cell r="P328">
            <v>0</v>
          </cell>
          <cell r="Q328" t="str">
            <v>guide</v>
          </cell>
          <cell r="S328">
            <v>9.7283089230769235</v>
          </cell>
          <cell r="T328">
            <v>1</v>
          </cell>
          <cell r="U328">
            <v>0</v>
          </cell>
          <cell r="V328">
            <v>0</v>
          </cell>
          <cell r="W328">
            <v>0</v>
          </cell>
          <cell r="X328">
            <v>0</v>
          </cell>
          <cell r="Y328">
            <v>0</v>
          </cell>
          <cell r="Z328">
            <v>0</v>
          </cell>
          <cell r="AA328">
            <v>0</v>
          </cell>
          <cell r="AB328">
            <v>0</v>
          </cell>
          <cell r="AC328">
            <v>0</v>
          </cell>
          <cell r="AD328">
            <v>0</v>
          </cell>
          <cell r="AE328">
            <v>0</v>
          </cell>
          <cell r="AF328">
            <v>0</v>
          </cell>
          <cell r="AH328">
            <v>0</v>
          </cell>
        </row>
        <row r="329">
          <cell r="B329" t="str">
            <v>ST/EPU</v>
          </cell>
          <cell r="C329" t="str">
            <v>B1A</v>
          </cell>
          <cell r="D329" t="str">
            <v>B1AA</v>
          </cell>
          <cell r="E329" t="str">
            <v>EP/BOFF</v>
          </cell>
          <cell r="G329">
            <v>23</v>
          </cell>
          <cell r="H329" t="str">
            <v>EP guides français, calc, sobs, hgéo, icm pour maîtres prim pub et privé : environ</v>
          </cell>
          <cell r="I329" t="str">
            <v>DNEE</v>
          </cell>
          <cell r="K329" t="str">
            <v>IDA</v>
          </cell>
          <cell r="L329" t="str">
            <v>AOI</v>
          </cell>
          <cell r="P329">
            <v>0</v>
          </cell>
          <cell r="Q329" t="str">
            <v>guide</v>
          </cell>
          <cell r="S329">
            <v>9.7283089230769235</v>
          </cell>
          <cell r="T329">
            <v>1</v>
          </cell>
          <cell r="U329">
            <v>0</v>
          </cell>
          <cell r="V329">
            <v>0</v>
          </cell>
          <cell r="W329">
            <v>0</v>
          </cell>
          <cell r="X329">
            <v>0</v>
          </cell>
          <cell r="Y329">
            <v>0</v>
          </cell>
          <cell r="Z329">
            <v>0</v>
          </cell>
          <cell r="AA329">
            <v>0</v>
          </cell>
          <cell r="AB329">
            <v>0</v>
          </cell>
          <cell r="AC329">
            <v>0</v>
          </cell>
          <cell r="AD329">
            <v>0</v>
          </cell>
          <cell r="AE329">
            <v>0</v>
          </cell>
          <cell r="AF329">
            <v>0</v>
          </cell>
          <cell r="AH329">
            <v>0</v>
          </cell>
        </row>
        <row r="330">
          <cell r="B330" t="str">
            <v>ST/EPU</v>
          </cell>
          <cell r="C330" t="str">
            <v>B1A</v>
          </cell>
          <cell r="D330" t="str">
            <v>B1AA</v>
          </cell>
          <cell r="E330" t="str">
            <v>EP/BOKE</v>
          </cell>
          <cell r="G330">
            <v>23</v>
          </cell>
          <cell r="H330" t="str">
            <v>EP guides français, calc, sobs, hgéo, icm pour maîtres prim pub et privé : environ</v>
          </cell>
          <cell r="I330" t="str">
            <v>DNEE</v>
          </cell>
          <cell r="K330" t="str">
            <v>IDA</v>
          </cell>
          <cell r="L330" t="str">
            <v>AOI</v>
          </cell>
          <cell r="P330">
            <v>0</v>
          </cell>
          <cell r="Q330" t="str">
            <v>guide</v>
          </cell>
          <cell r="S330">
            <v>9.7283089230769235</v>
          </cell>
          <cell r="T330">
            <v>1</v>
          </cell>
          <cell r="U330">
            <v>0</v>
          </cell>
          <cell r="V330">
            <v>0</v>
          </cell>
          <cell r="W330">
            <v>0</v>
          </cell>
          <cell r="X330">
            <v>0</v>
          </cell>
          <cell r="Y330">
            <v>0</v>
          </cell>
          <cell r="Z330">
            <v>0</v>
          </cell>
          <cell r="AA330">
            <v>0</v>
          </cell>
          <cell r="AB330">
            <v>0</v>
          </cell>
          <cell r="AC330">
            <v>0</v>
          </cell>
          <cell r="AD330">
            <v>0</v>
          </cell>
          <cell r="AE330">
            <v>0</v>
          </cell>
          <cell r="AF330">
            <v>0</v>
          </cell>
          <cell r="AH330">
            <v>0</v>
          </cell>
        </row>
        <row r="331">
          <cell r="B331" t="str">
            <v>ST/EPU</v>
          </cell>
          <cell r="C331" t="str">
            <v>B1A</v>
          </cell>
          <cell r="D331" t="str">
            <v>B1AA</v>
          </cell>
          <cell r="E331" t="str">
            <v>EP/COYA</v>
          </cell>
          <cell r="G331">
            <v>23</v>
          </cell>
          <cell r="H331" t="str">
            <v>EP guides français, calc, sobs, hgéo, icm pour maîtres prim pub et privé : environ</v>
          </cell>
          <cell r="I331" t="str">
            <v>DNEE</v>
          </cell>
          <cell r="K331" t="str">
            <v>IDA</v>
          </cell>
          <cell r="L331" t="str">
            <v>AOI</v>
          </cell>
          <cell r="P331">
            <v>0</v>
          </cell>
          <cell r="Q331" t="str">
            <v>guide</v>
          </cell>
          <cell r="S331">
            <v>9.7283089230769235</v>
          </cell>
          <cell r="T331">
            <v>1</v>
          </cell>
          <cell r="U331">
            <v>0</v>
          </cell>
          <cell r="V331">
            <v>0</v>
          </cell>
          <cell r="W331">
            <v>0</v>
          </cell>
          <cell r="X331">
            <v>0</v>
          </cell>
          <cell r="Y331">
            <v>0</v>
          </cell>
          <cell r="Z331">
            <v>0</v>
          </cell>
          <cell r="AA331">
            <v>0</v>
          </cell>
          <cell r="AB331">
            <v>0</v>
          </cell>
          <cell r="AC331">
            <v>0</v>
          </cell>
          <cell r="AD331">
            <v>0</v>
          </cell>
          <cell r="AE331">
            <v>0</v>
          </cell>
          <cell r="AF331">
            <v>0</v>
          </cell>
          <cell r="AH331">
            <v>0</v>
          </cell>
        </row>
        <row r="332">
          <cell r="B332" t="str">
            <v>ST/EPU</v>
          </cell>
          <cell r="C332" t="str">
            <v>B1A</v>
          </cell>
          <cell r="D332" t="str">
            <v>B1AA</v>
          </cell>
          <cell r="E332" t="str">
            <v>EP/DABO</v>
          </cell>
          <cell r="G332">
            <v>23</v>
          </cell>
          <cell r="H332" t="str">
            <v>EP guides français, calc, sobs, hgéo, icm pour maîtres prim pub et privé : environ</v>
          </cell>
          <cell r="I332" t="str">
            <v>DNEE</v>
          </cell>
          <cell r="K332" t="str">
            <v>IDA</v>
          </cell>
          <cell r="L332" t="str">
            <v>AOI</v>
          </cell>
          <cell r="P332">
            <v>0</v>
          </cell>
          <cell r="Q332" t="str">
            <v>guide</v>
          </cell>
          <cell r="S332">
            <v>9.7283089230769235</v>
          </cell>
          <cell r="T332">
            <v>1</v>
          </cell>
          <cell r="U332">
            <v>0</v>
          </cell>
          <cell r="V332">
            <v>0</v>
          </cell>
          <cell r="W332">
            <v>0</v>
          </cell>
          <cell r="X332">
            <v>0</v>
          </cell>
          <cell r="Y332">
            <v>0</v>
          </cell>
          <cell r="Z332">
            <v>0</v>
          </cell>
          <cell r="AA332">
            <v>0</v>
          </cell>
          <cell r="AB332">
            <v>0</v>
          </cell>
          <cell r="AC332">
            <v>0</v>
          </cell>
          <cell r="AD332">
            <v>0</v>
          </cell>
          <cell r="AE332">
            <v>0</v>
          </cell>
          <cell r="AF332">
            <v>0</v>
          </cell>
          <cell r="AH332">
            <v>0</v>
          </cell>
        </row>
        <row r="333">
          <cell r="B333" t="str">
            <v>ST/EPU</v>
          </cell>
          <cell r="C333" t="str">
            <v>B1A</v>
          </cell>
          <cell r="D333" t="str">
            <v>B1AA</v>
          </cell>
          <cell r="E333" t="str">
            <v>EP/DALA</v>
          </cell>
          <cell r="G333">
            <v>23</v>
          </cell>
          <cell r="H333" t="str">
            <v>EP guides français, calc, sobs, hgéo, icm pour maîtres prim pub et privé : environ</v>
          </cell>
          <cell r="I333" t="str">
            <v>DNEE</v>
          </cell>
          <cell r="K333" t="str">
            <v>IDA</v>
          </cell>
          <cell r="L333" t="str">
            <v>AOI</v>
          </cell>
          <cell r="P333">
            <v>0</v>
          </cell>
          <cell r="Q333" t="str">
            <v>guide</v>
          </cell>
          <cell r="S333">
            <v>9.7283089230769235</v>
          </cell>
          <cell r="T333">
            <v>1</v>
          </cell>
          <cell r="U333">
            <v>0</v>
          </cell>
          <cell r="V333">
            <v>0</v>
          </cell>
          <cell r="W333">
            <v>0</v>
          </cell>
          <cell r="X333">
            <v>0</v>
          </cell>
          <cell r="Y333">
            <v>0</v>
          </cell>
          <cell r="Z333">
            <v>0</v>
          </cell>
          <cell r="AA333">
            <v>0</v>
          </cell>
          <cell r="AB333">
            <v>0</v>
          </cell>
          <cell r="AC333">
            <v>0</v>
          </cell>
          <cell r="AD333">
            <v>0</v>
          </cell>
          <cell r="AE333">
            <v>0</v>
          </cell>
          <cell r="AF333">
            <v>0</v>
          </cell>
          <cell r="AH333">
            <v>0</v>
          </cell>
        </row>
        <row r="334">
          <cell r="B334" t="str">
            <v>ST/EPU</v>
          </cell>
          <cell r="C334" t="str">
            <v>B1A</v>
          </cell>
          <cell r="D334" t="str">
            <v>B1AA</v>
          </cell>
          <cell r="E334" t="str">
            <v>EP/DING</v>
          </cell>
          <cell r="G334">
            <v>23</v>
          </cell>
          <cell r="H334" t="str">
            <v>EP guides français, calc, sobs, hgéo, icm pour maîtres prim pub et privé : environ</v>
          </cell>
          <cell r="I334" t="str">
            <v>DNEE</v>
          </cell>
          <cell r="K334" t="str">
            <v>IDA</v>
          </cell>
          <cell r="L334" t="str">
            <v>AOI</v>
          </cell>
          <cell r="P334">
            <v>0</v>
          </cell>
          <cell r="Q334" t="str">
            <v>guide</v>
          </cell>
          <cell r="S334">
            <v>9.7283089230769235</v>
          </cell>
          <cell r="T334">
            <v>1</v>
          </cell>
          <cell r="U334">
            <v>0</v>
          </cell>
          <cell r="V334">
            <v>0</v>
          </cell>
          <cell r="W334">
            <v>0</v>
          </cell>
          <cell r="X334">
            <v>0</v>
          </cell>
          <cell r="Y334">
            <v>0</v>
          </cell>
          <cell r="Z334">
            <v>0</v>
          </cell>
          <cell r="AA334">
            <v>0</v>
          </cell>
          <cell r="AB334">
            <v>0</v>
          </cell>
          <cell r="AC334">
            <v>0</v>
          </cell>
          <cell r="AD334">
            <v>0</v>
          </cell>
          <cell r="AE334">
            <v>0</v>
          </cell>
          <cell r="AF334">
            <v>0</v>
          </cell>
          <cell r="AH334">
            <v>0</v>
          </cell>
        </row>
        <row r="335">
          <cell r="B335" t="str">
            <v>ST/EPU</v>
          </cell>
          <cell r="C335" t="str">
            <v>B1A</v>
          </cell>
          <cell r="D335" t="str">
            <v>B1AA</v>
          </cell>
          <cell r="E335" t="str">
            <v>EP/DIXI</v>
          </cell>
          <cell r="G335">
            <v>23</v>
          </cell>
          <cell r="H335" t="str">
            <v>EP guides français, calc, sobs, hgéo, icm pour maîtres prim pub et privé : environ</v>
          </cell>
          <cell r="I335" t="str">
            <v>DNEE</v>
          </cell>
          <cell r="K335" t="str">
            <v>IDA</v>
          </cell>
          <cell r="L335" t="str">
            <v>AOI</v>
          </cell>
          <cell r="P335">
            <v>0</v>
          </cell>
          <cell r="Q335" t="str">
            <v>guide</v>
          </cell>
          <cell r="S335">
            <v>9.7283089230769235</v>
          </cell>
          <cell r="T335">
            <v>1</v>
          </cell>
          <cell r="U335">
            <v>0</v>
          </cell>
          <cell r="V335">
            <v>0</v>
          </cell>
          <cell r="W335">
            <v>0</v>
          </cell>
          <cell r="X335">
            <v>0</v>
          </cell>
          <cell r="Y335">
            <v>0</v>
          </cell>
          <cell r="Z335">
            <v>0</v>
          </cell>
          <cell r="AA335">
            <v>0</v>
          </cell>
          <cell r="AB335">
            <v>0</v>
          </cell>
          <cell r="AC335">
            <v>0</v>
          </cell>
          <cell r="AD335">
            <v>0</v>
          </cell>
          <cell r="AE335">
            <v>0</v>
          </cell>
          <cell r="AF335">
            <v>0</v>
          </cell>
          <cell r="AH335">
            <v>0</v>
          </cell>
        </row>
        <row r="336">
          <cell r="B336" t="str">
            <v>ST/EPU</v>
          </cell>
          <cell r="C336" t="str">
            <v>B1A</v>
          </cell>
          <cell r="D336" t="str">
            <v>B1AA</v>
          </cell>
          <cell r="E336" t="str">
            <v>EP/DUBR</v>
          </cell>
          <cell r="G336">
            <v>23</v>
          </cell>
          <cell r="H336" t="str">
            <v>EP guides français, calc, sobs, hgéo, icm pour maîtres prim pub et privé : environ</v>
          </cell>
          <cell r="I336" t="str">
            <v>DNEE</v>
          </cell>
          <cell r="K336" t="str">
            <v>IDA</v>
          </cell>
          <cell r="L336" t="str">
            <v>AOI</v>
          </cell>
          <cell r="P336">
            <v>0</v>
          </cell>
          <cell r="Q336" t="str">
            <v>guide</v>
          </cell>
          <cell r="S336">
            <v>9.7283089230769235</v>
          </cell>
          <cell r="T336">
            <v>1</v>
          </cell>
          <cell r="U336">
            <v>0</v>
          </cell>
          <cell r="V336">
            <v>0</v>
          </cell>
          <cell r="W336">
            <v>0</v>
          </cell>
          <cell r="X336">
            <v>0</v>
          </cell>
          <cell r="Y336">
            <v>0</v>
          </cell>
          <cell r="Z336">
            <v>0</v>
          </cell>
          <cell r="AA336">
            <v>0</v>
          </cell>
          <cell r="AB336">
            <v>0</v>
          </cell>
          <cell r="AC336">
            <v>0</v>
          </cell>
          <cell r="AD336">
            <v>0</v>
          </cell>
          <cell r="AE336">
            <v>0</v>
          </cell>
          <cell r="AF336">
            <v>0</v>
          </cell>
          <cell r="AH336">
            <v>0</v>
          </cell>
        </row>
        <row r="337">
          <cell r="B337" t="str">
            <v>ST/EPU</v>
          </cell>
          <cell r="C337" t="str">
            <v>B1A</v>
          </cell>
          <cell r="D337" t="str">
            <v>B1AA</v>
          </cell>
          <cell r="E337" t="str">
            <v>EP/FARA</v>
          </cell>
          <cell r="G337">
            <v>23</v>
          </cell>
          <cell r="H337" t="str">
            <v>EP guides français, calc, sobs, hgéo, icm pour maîtres prim pub et privé : environ</v>
          </cell>
          <cell r="I337" t="str">
            <v>DNEE</v>
          </cell>
          <cell r="K337" t="str">
            <v>IDA</v>
          </cell>
          <cell r="L337" t="str">
            <v>AOI</v>
          </cell>
          <cell r="P337">
            <v>0</v>
          </cell>
          <cell r="Q337" t="str">
            <v>guide</v>
          </cell>
          <cell r="S337">
            <v>9.7283089230769235</v>
          </cell>
          <cell r="T337">
            <v>1</v>
          </cell>
          <cell r="U337">
            <v>0</v>
          </cell>
          <cell r="V337">
            <v>0</v>
          </cell>
          <cell r="W337">
            <v>0</v>
          </cell>
          <cell r="X337">
            <v>0</v>
          </cell>
          <cell r="Y337">
            <v>0</v>
          </cell>
          <cell r="Z337">
            <v>0</v>
          </cell>
          <cell r="AA337">
            <v>0</v>
          </cell>
          <cell r="AB337">
            <v>0</v>
          </cell>
          <cell r="AC337">
            <v>0</v>
          </cell>
          <cell r="AD337">
            <v>0</v>
          </cell>
          <cell r="AE337">
            <v>0</v>
          </cell>
          <cell r="AF337">
            <v>0</v>
          </cell>
          <cell r="AH337">
            <v>0</v>
          </cell>
        </row>
        <row r="338">
          <cell r="B338" t="str">
            <v>ST/EPU</v>
          </cell>
          <cell r="C338" t="str">
            <v>B1A</v>
          </cell>
          <cell r="D338" t="str">
            <v>B1AA</v>
          </cell>
          <cell r="E338" t="str">
            <v>EP/FORE</v>
          </cell>
          <cell r="G338">
            <v>23</v>
          </cell>
          <cell r="H338" t="str">
            <v>EP guides français, calc, sobs, hgéo, icm pour maîtres prim pub et privé : environ</v>
          </cell>
          <cell r="I338" t="str">
            <v>DNEE</v>
          </cell>
          <cell r="K338" t="str">
            <v>IDA</v>
          </cell>
          <cell r="L338" t="str">
            <v>AOI</v>
          </cell>
          <cell r="P338">
            <v>0</v>
          </cell>
          <cell r="Q338" t="str">
            <v>guide</v>
          </cell>
          <cell r="S338">
            <v>9.7283089230769235</v>
          </cell>
          <cell r="T338">
            <v>1</v>
          </cell>
          <cell r="U338">
            <v>0</v>
          </cell>
          <cell r="V338">
            <v>0</v>
          </cell>
          <cell r="W338">
            <v>0</v>
          </cell>
          <cell r="X338">
            <v>0</v>
          </cell>
          <cell r="Y338">
            <v>0</v>
          </cell>
          <cell r="Z338">
            <v>0</v>
          </cell>
          <cell r="AA338">
            <v>0</v>
          </cell>
          <cell r="AB338">
            <v>0</v>
          </cell>
          <cell r="AC338">
            <v>0</v>
          </cell>
          <cell r="AD338">
            <v>0</v>
          </cell>
          <cell r="AE338">
            <v>0</v>
          </cell>
          <cell r="AF338">
            <v>0</v>
          </cell>
          <cell r="AH338">
            <v>0</v>
          </cell>
        </row>
        <row r="339">
          <cell r="B339" t="str">
            <v>ST/EPU</v>
          </cell>
          <cell r="C339" t="str">
            <v>B1A</v>
          </cell>
          <cell r="D339" t="str">
            <v>B1AA</v>
          </cell>
          <cell r="E339" t="str">
            <v>EP/FRIA</v>
          </cell>
          <cell r="G339">
            <v>23</v>
          </cell>
          <cell r="H339" t="str">
            <v>EP guides français, calc, sobs, hgéo, icm pour maîtres prim pub et privé : environ</v>
          </cell>
          <cell r="I339" t="str">
            <v>DNEE</v>
          </cell>
          <cell r="K339" t="str">
            <v>IDA</v>
          </cell>
          <cell r="L339" t="str">
            <v>AOI</v>
          </cell>
          <cell r="P339">
            <v>0</v>
          </cell>
          <cell r="Q339" t="str">
            <v>guide</v>
          </cell>
          <cell r="S339">
            <v>9.7283089230769235</v>
          </cell>
          <cell r="T339">
            <v>1</v>
          </cell>
          <cell r="U339">
            <v>0</v>
          </cell>
          <cell r="V339">
            <v>0</v>
          </cell>
          <cell r="W339">
            <v>0</v>
          </cell>
          <cell r="X339">
            <v>0</v>
          </cell>
          <cell r="Y339">
            <v>0</v>
          </cell>
          <cell r="Z339">
            <v>0</v>
          </cell>
          <cell r="AA339">
            <v>0</v>
          </cell>
          <cell r="AB339">
            <v>0</v>
          </cell>
          <cell r="AC339">
            <v>0</v>
          </cell>
          <cell r="AD339">
            <v>0</v>
          </cell>
          <cell r="AE339">
            <v>0</v>
          </cell>
          <cell r="AF339">
            <v>0</v>
          </cell>
          <cell r="AH339">
            <v>0</v>
          </cell>
        </row>
        <row r="340">
          <cell r="B340" t="str">
            <v>ST/EPU</v>
          </cell>
          <cell r="C340" t="str">
            <v>B1A</v>
          </cell>
          <cell r="D340" t="str">
            <v>B1AA</v>
          </cell>
          <cell r="E340" t="str">
            <v>EP/GAOU</v>
          </cell>
          <cell r="G340">
            <v>23</v>
          </cell>
          <cell r="H340" t="str">
            <v>EP guides français, calc, sobs, hgéo, icm pour maîtres prim pub et privé : environ</v>
          </cell>
          <cell r="I340" t="str">
            <v>DNEE</v>
          </cell>
          <cell r="K340" t="str">
            <v>IDA</v>
          </cell>
          <cell r="L340" t="str">
            <v>AOI</v>
          </cell>
          <cell r="P340">
            <v>0</v>
          </cell>
          <cell r="Q340" t="str">
            <v>guide</v>
          </cell>
          <cell r="S340">
            <v>9.7283089230769235</v>
          </cell>
          <cell r="T340">
            <v>1</v>
          </cell>
          <cell r="U340">
            <v>0</v>
          </cell>
          <cell r="V340">
            <v>0</v>
          </cell>
          <cell r="W340">
            <v>0</v>
          </cell>
          <cell r="X340">
            <v>0</v>
          </cell>
          <cell r="Y340">
            <v>0</v>
          </cell>
          <cell r="Z340">
            <v>0</v>
          </cell>
          <cell r="AA340">
            <v>0</v>
          </cell>
          <cell r="AB340">
            <v>0</v>
          </cell>
          <cell r="AC340">
            <v>0</v>
          </cell>
          <cell r="AD340">
            <v>0</v>
          </cell>
          <cell r="AE340">
            <v>0</v>
          </cell>
          <cell r="AF340">
            <v>0</v>
          </cell>
          <cell r="AH340">
            <v>0</v>
          </cell>
        </row>
        <row r="341">
          <cell r="B341" t="str">
            <v>ST/EPU</v>
          </cell>
          <cell r="C341" t="str">
            <v>B1A</v>
          </cell>
          <cell r="D341" t="str">
            <v>B1AA</v>
          </cell>
          <cell r="E341" t="str">
            <v>EP/GUEC</v>
          </cell>
          <cell r="G341">
            <v>23</v>
          </cell>
          <cell r="H341" t="str">
            <v>EP guides français, calc, sobs, hgéo, icm pour maîtres prim pub et privé : environ</v>
          </cell>
          <cell r="I341" t="str">
            <v>DNEE</v>
          </cell>
          <cell r="K341" t="str">
            <v>IDA</v>
          </cell>
          <cell r="L341" t="str">
            <v>AOI</v>
          </cell>
          <cell r="P341">
            <v>0</v>
          </cell>
          <cell r="Q341" t="str">
            <v>guide</v>
          </cell>
          <cell r="S341">
            <v>9.7283089230769235</v>
          </cell>
          <cell r="T341">
            <v>1</v>
          </cell>
          <cell r="U341">
            <v>0</v>
          </cell>
          <cell r="V341">
            <v>0</v>
          </cell>
          <cell r="W341">
            <v>0</v>
          </cell>
          <cell r="X341">
            <v>0</v>
          </cell>
          <cell r="Y341">
            <v>0</v>
          </cell>
          <cell r="Z341">
            <v>0</v>
          </cell>
          <cell r="AA341">
            <v>0</v>
          </cell>
          <cell r="AB341">
            <v>0</v>
          </cell>
          <cell r="AC341">
            <v>0</v>
          </cell>
          <cell r="AD341">
            <v>0</v>
          </cell>
          <cell r="AE341">
            <v>0</v>
          </cell>
          <cell r="AF341">
            <v>0</v>
          </cell>
          <cell r="AH341">
            <v>0</v>
          </cell>
        </row>
        <row r="342">
          <cell r="B342" t="str">
            <v>ST/EPU</v>
          </cell>
          <cell r="C342" t="str">
            <v>B1A</v>
          </cell>
          <cell r="D342" t="str">
            <v>B1AA</v>
          </cell>
          <cell r="E342" t="str">
            <v>EP/KALO</v>
          </cell>
          <cell r="G342">
            <v>23</v>
          </cell>
          <cell r="H342" t="str">
            <v>EP guides français, calc, sobs, hgéo, icm pour maîtres prim pub et privé : environ</v>
          </cell>
          <cell r="I342" t="str">
            <v>DNEE</v>
          </cell>
          <cell r="K342" t="str">
            <v>IDA</v>
          </cell>
          <cell r="L342" t="str">
            <v>AOI</v>
          </cell>
          <cell r="P342">
            <v>0</v>
          </cell>
          <cell r="Q342" t="str">
            <v>guide</v>
          </cell>
          <cell r="S342">
            <v>9.7283089230769235</v>
          </cell>
          <cell r="T342">
            <v>1</v>
          </cell>
          <cell r="U342">
            <v>0</v>
          </cell>
          <cell r="V342">
            <v>0</v>
          </cell>
          <cell r="W342">
            <v>0</v>
          </cell>
          <cell r="X342">
            <v>0</v>
          </cell>
          <cell r="Y342">
            <v>0</v>
          </cell>
          <cell r="Z342">
            <v>0</v>
          </cell>
          <cell r="AA342">
            <v>0</v>
          </cell>
          <cell r="AB342">
            <v>0</v>
          </cell>
          <cell r="AC342">
            <v>0</v>
          </cell>
          <cell r="AD342">
            <v>0</v>
          </cell>
          <cell r="AE342">
            <v>0</v>
          </cell>
          <cell r="AF342">
            <v>0</v>
          </cell>
          <cell r="AH342">
            <v>0</v>
          </cell>
        </row>
        <row r="343">
          <cell r="B343" t="str">
            <v>ST/EPU</v>
          </cell>
          <cell r="C343" t="str">
            <v>B1A</v>
          </cell>
          <cell r="D343" t="str">
            <v>B1AA</v>
          </cell>
          <cell r="E343" t="str">
            <v>EP/KANK</v>
          </cell>
          <cell r="G343">
            <v>23</v>
          </cell>
          <cell r="H343" t="str">
            <v>EP guides français, calc, sobs, hgéo, icm pour maîtres prim pub et privé : environ</v>
          </cell>
          <cell r="I343" t="str">
            <v>DNEE</v>
          </cell>
          <cell r="K343" t="str">
            <v>IDA</v>
          </cell>
          <cell r="L343" t="str">
            <v>AOI</v>
          </cell>
          <cell r="P343">
            <v>0</v>
          </cell>
          <cell r="Q343" t="str">
            <v>guide</v>
          </cell>
          <cell r="S343">
            <v>9.7283089230769235</v>
          </cell>
          <cell r="T343">
            <v>1</v>
          </cell>
          <cell r="U343">
            <v>0</v>
          </cell>
          <cell r="V343">
            <v>0</v>
          </cell>
          <cell r="W343">
            <v>0</v>
          </cell>
          <cell r="X343">
            <v>0</v>
          </cell>
          <cell r="Y343">
            <v>0</v>
          </cell>
          <cell r="Z343">
            <v>0</v>
          </cell>
          <cell r="AA343">
            <v>0</v>
          </cell>
          <cell r="AB343">
            <v>0</v>
          </cell>
          <cell r="AC343">
            <v>0</v>
          </cell>
          <cell r="AD343">
            <v>0</v>
          </cell>
          <cell r="AE343">
            <v>0</v>
          </cell>
          <cell r="AF343">
            <v>0</v>
          </cell>
          <cell r="AH343">
            <v>0</v>
          </cell>
        </row>
        <row r="344">
          <cell r="B344" t="str">
            <v>ST/EPU</v>
          </cell>
          <cell r="C344" t="str">
            <v>B1A</v>
          </cell>
          <cell r="D344" t="str">
            <v>B1AA</v>
          </cell>
          <cell r="E344" t="str">
            <v>EP/KERO</v>
          </cell>
          <cell r="G344">
            <v>23</v>
          </cell>
          <cell r="H344" t="str">
            <v>EP guides français, calc, sobs, hgéo, icm pour maîtres prim pub et privé : environ</v>
          </cell>
          <cell r="I344" t="str">
            <v>DNEE</v>
          </cell>
          <cell r="K344" t="str">
            <v>IDA</v>
          </cell>
          <cell r="L344" t="str">
            <v>AOI</v>
          </cell>
          <cell r="P344">
            <v>0</v>
          </cell>
          <cell r="Q344" t="str">
            <v>guide</v>
          </cell>
          <cell r="S344">
            <v>9.7283089230769235</v>
          </cell>
          <cell r="T344">
            <v>1</v>
          </cell>
          <cell r="U344">
            <v>0</v>
          </cell>
          <cell r="V344">
            <v>0</v>
          </cell>
          <cell r="W344">
            <v>0</v>
          </cell>
          <cell r="X344">
            <v>0</v>
          </cell>
          <cell r="Y344">
            <v>0</v>
          </cell>
          <cell r="Z344">
            <v>0</v>
          </cell>
          <cell r="AA344">
            <v>0</v>
          </cell>
          <cell r="AB344">
            <v>0</v>
          </cell>
          <cell r="AC344">
            <v>0</v>
          </cell>
          <cell r="AD344">
            <v>0</v>
          </cell>
          <cell r="AE344">
            <v>0</v>
          </cell>
          <cell r="AF344">
            <v>0</v>
          </cell>
          <cell r="AH344">
            <v>0</v>
          </cell>
        </row>
        <row r="345">
          <cell r="B345" t="str">
            <v>ST/EPU</v>
          </cell>
          <cell r="C345" t="str">
            <v>B1A</v>
          </cell>
          <cell r="D345" t="str">
            <v>B1AA</v>
          </cell>
          <cell r="E345" t="str">
            <v>EP/KIND</v>
          </cell>
          <cell r="G345">
            <v>23</v>
          </cell>
          <cell r="H345" t="str">
            <v>EP guides français, calc, sobs, hgéo, icm pour maîtres prim pub et privé : environ</v>
          </cell>
          <cell r="I345" t="str">
            <v>DNEE</v>
          </cell>
          <cell r="K345" t="str">
            <v>IDA</v>
          </cell>
          <cell r="L345" t="str">
            <v>AOI</v>
          </cell>
          <cell r="P345">
            <v>0</v>
          </cell>
          <cell r="Q345" t="str">
            <v>guide</v>
          </cell>
          <cell r="S345">
            <v>9.7283089230769235</v>
          </cell>
          <cell r="T345">
            <v>1</v>
          </cell>
          <cell r="U345">
            <v>0</v>
          </cell>
          <cell r="V345">
            <v>0</v>
          </cell>
          <cell r="W345">
            <v>0</v>
          </cell>
          <cell r="X345">
            <v>0</v>
          </cell>
          <cell r="Y345">
            <v>0</v>
          </cell>
          <cell r="Z345">
            <v>0</v>
          </cell>
          <cell r="AA345">
            <v>0</v>
          </cell>
          <cell r="AB345">
            <v>0</v>
          </cell>
          <cell r="AC345">
            <v>0</v>
          </cell>
          <cell r="AD345">
            <v>0</v>
          </cell>
          <cell r="AE345">
            <v>0</v>
          </cell>
          <cell r="AF345">
            <v>0</v>
          </cell>
          <cell r="AH345">
            <v>0</v>
          </cell>
        </row>
        <row r="346">
          <cell r="B346" t="str">
            <v>ST/EPU</v>
          </cell>
          <cell r="C346" t="str">
            <v>B1A</v>
          </cell>
          <cell r="D346" t="str">
            <v>B1AA</v>
          </cell>
          <cell r="E346" t="str">
            <v>EP/KISS</v>
          </cell>
          <cell r="G346">
            <v>23</v>
          </cell>
          <cell r="H346" t="str">
            <v>EP guides français, calc, sobs, hgéo, icm pour maîtres prim pub et privé : environ</v>
          </cell>
          <cell r="I346" t="str">
            <v>DNEE</v>
          </cell>
          <cell r="K346" t="str">
            <v>IDA</v>
          </cell>
          <cell r="L346" t="str">
            <v>AOI</v>
          </cell>
          <cell r="P346">
            <v>0</v>
          </cell>
          <cell r="Q346" t="str">
            <v>guide</v>
          </cell>
          <cell r="S346">
            <v>9.7283089230769235</v>
          </cell>
          <cell r="T346">
            <v>1</v>
          </cell>
          <cell r="U346">
            <v>0</v>
          </cell>
          <cell r="V346">
            <v>0</v>
          </cell>
          <cell r="W346">
            <v>0</v>
          </cell>
          <cell r="X346">
            <v>0</v>
          </cell>
          <cell r="Y346">
            <v>0</v>
          </cell>
          <cell r="Z346">
            <v>0</v>
          </cell>
          <cell r="AA346">
            <v>0</v>
          </cell>
          <cell r="AB346">
            <v>0</v>
          </cell>
          <cell r="AC346">
            <v>0</v>
          </cell>
          <cell r="AD346">
            <v>0</v>
          </cell>
          <cell r="AE346">
            <v>0</v>
          </cell>
          <cell r="AF346">
            <v>0</v>
          </cell>
          <cell r="AH346">
            <v>0</v>
          </cell>
        </row>
        <row r="347">
          <cell r="B347" t="str">
            <v>ST/EPU</v>
          </cell>
          <cell r="C347" t="str">
            <v>B1A</v>
          </cell>
          <cell r="D347" t="str">
            <v>B1AA</v>
          </cell>
          <cell r="E347" t="str">
            <v>EP/KOUB</v>
          </cell>
          <cell r="G347">
            <v>23</v>
          </cell>
          <cell r="H347" t="str">
            <v>EP guides français, calc, sobs, hgéo, icm pour maîtres prim pub et privé : environ</v>
          </cell>
          <cell r="I347" t="str">
            <v>DNEE</v>
          </cell>
          <cell r="K347" t="str">
            <v>IDA</v>
          </cell>
          <cell r="L347" t="str">
            <v>AOI</v>
          </cell>
          <cell r="P347">
            <v>0</v>
          </cell>
          <cell r="Q347" t="str">
            <v>guide</v>
          </cell>
          <cell r="S347">
            <v>9.7283089230769235</v>
          </cell>
          <cell r="T347">
            <v>1</v>
          </cell>
          <cell r="U347">
            <v>0</v>
          </cell>
          <cell r="V347">
            <v>0</v>
          </cell>
          <cell r="W347">
            <v>0</v>
          </cell>
          <cell r="X347">
            <v>0</v>
          </cell>
          <cell r="Y347">
            <v>0</v>
          </cell>
          <cell r="Z347">
            <v>0</v>
          </cell>
          <cell r="AA347">
            <v>0</v>
          </cell>
          <cell r="AB347">
            <v>0</v>
          </cell>
          <cell r="AC347">
            <v>0</v>
          </cell>
          <cell r="AD347">
            <v>0</v>
          </cell>
          <cell r="AE347">
            <v>0</v>
          </cell>
          <cell r="AF347">
            <v>0</v>
          </cell>
          <cell r="AH347">
            <v>0</v>
          </cell>
        </row>
        <row r="348">
          <cell r="B348" t="str">
            <v>ST/EPU</v>
          </cell>
          <cell r="C348" t="str">
            <v>B1A</v>
          </cell>
          <cell r="D348" t="str">
            <v>B1AA</v>
          </cell>
          <cell r="E348" t="str">
            <v>EP/KOUN</v>
          </cell>
          <cell r="G348">
            <v>23</v>
          </cell>
          <cell r="H348" t="str">
            <v>EP guides français, calc, sobs, hgéo, icm pour maîtres prim pub et privé : environ</v>
          </cell>
          <cell r="I348" t="str">
            <v>DNEE</v>
          </cell>
          <cell r="K348" t="str">
            <v>IDA</v>
          </cell>
          <cell r="L348" t="str">
            <v>AOI</v>
          </cell>
          <cell r="P348">
            <v>0</v>
          </cell>
          <cell r="Q348" t="str">
            <v>guide</v>
          </cell>
          <cell r="S348">
            <v>9.7283089230769235</v>
          </cell>
          <cell r="T348">
            <v>1</v>
          </cell>
          <cell r="U348">
            <v>0</v>
          </cell>
          <cell r="V348">
            <v>0</v>
          </cell>
          <cell r="W348">
            <v>0</v>
          </cell>
          <cell r="X348">
            <v>0</v>
          </cell>
          <cell r="Y348">
            <v>0</v>
          </cell>
          <cell r="Z348">
            <v>0</v>
          </cell>
          <cell r="AA348">
            <v>0</v>
          </cell>
          <cell r="AB348">
            <v>0</v>
          </cell>
          <cell r="AC348">
            <v>0</v>
          </cell>
          <cell r="AD348">
            <v>0</v>
          </cell>
          <cell r="AE348">
            <v>0</v>
          </cell>
          <cell r="AF348">
            <v>0</v>
          </cell>
          <cell r="AH348">
            <v>0</v>
          </cell>
        </row>
        <row r="349">
          <cell r="B349" t="str">
            <v>ST/EPU</v>
          </cell>
          <cell r="C349" t="str">
            <v>B1A</v>
          </cell>
          <cell r="D349" t="str">
            <v>B1AA</v>
          </cell>
          <cell r="E349" t="str">
            <v>EP/KOUR</v>
          </cell>
          <cell r="G349">
            <v>23</v>
          </cell>
          <cell r="H349" t="str">
            <v>EP guides français, calc, sobs, hgéo, icm pour maîtres prim pub et privé : environ</v>
          </cell>
          <cell r="I349" t="str">
            <v>DNEE</v>
          </cell>
          <cell r="K349" t="str">
            <v>IDA</v>
          </cell>
          <cell r="L349" t="str">
            <v>AOI</v>
          </cell>
          <cell r="P349">
            <v>0</v>
          </cell>
          <cell r="Q349" t="str">
            <v>guide</v>
          </cell>
          <cell r="S349">
            <v>9.7283089230769235</v>
          </cell>
          <cell r="T349">
            <v>1</v>
          </cell>
          <cell r="U349">
            <v>0</v>
          </cell>
          <cell r="V349">
            <v>0</v>
          </cell>
          <cell r="W349">
            <v>0</v>
          </cell>
          <cell r="X349">
            <v>0</v>
          </cell>
          <cell r="Y349">
            <v>0</v>
          </cell>
          <cell r="Z349">
            <v>0</v>
          </cell>
          <cell r="AA349">
            <v>0</v>
          </cell>
          <cell r="AB349">
            <v>0</v>
          </cell>
          <cell r="AC349">
            <v>0</v>
          </cell>
          <cell r="AD349">
            <v>0</v>
          </cell>
          <cell r="AE349">
            <v>0</v>
          </cell>
          <cell r="AF349">
            <v>0</v>
          </cell>
          <cell r="AH349">
            <v>0</v>
          </cell>
        </row>
        <row r="350">
          <cell r="B350" t="str">
            <v>ST/EPU</v>
          </cell>
          <cell r="C350" t="str">
            <v>B1A</v>
          </cell>
          <cell r="D350" t="str">
            <v>B1AA</v>
          </cell>
          <cell r="E350" t="str">
            <v>EP/LABE</v>
          </cell>
          <cell r="G350">
            <v>23</v>
          </cell>
          <cell r="H350" t="str">
            <v>EP guides français, calc, sobs, hgéo, icm pour maîtres prim pub et privé : environ</v>
          </cell>
          <cell r="I350" t="str">
            <v>DNEE</v>
          </cell>
          <cell r="K350" t="str">
            <v>IDA</v>
          </cell>
          <cell r="L350" t="str">
            <v>AOI</v>
          </cell>
          <cell r="P350">
            <v>0</v>
          </cell>
          <cell r="Q350" t="str">
            <v>guide</v>
          </cell>
          <cell r="S350">
            <v>9.7283089230769235</v>
          </cell>
          <cell r="T350">
            <v>1</v>
          </cell>
          <cell r="U350">
            <v>0</v>
          </cell>
          <cell r="V350">
            <v>0</v>
          </cell>
          <cell r="W350">
            <v>0</v>
          </cell>
          <cell r="X350">
            <v>0</v>
          </cell>
          <cell r="Y350">
            <v>0</v>
          </cell>
          <cell r="Z350">
            <v>0</v>
          </cell>
          <cell r="AA350">
            <v>0</v>
          </cell>
          <cell r="AB350">
            <v>0</v>
          </cell>
          <cell r="AC350">
            <v>0</v>
          </cell>
          <cell r="AD350">
            <v>0</v>
          </cell>
          <cell r="AE350">
            <v>0</v>
          </cell>
          <cell r="AF350">
            <v>0</v>
          </cell>
          <cell r="AH350">
            <v>0</v>
          </cell>
        </row>
        <row r="351">
          <cell r="B351" t="str">
            <v>ST/EPU</v>
          </cell>
          <cell r="C351" t="str">
            <v>B1A</v>
          </cell>
          <cell r="D351" t="str">
            <v>B1AA</v>
          </cell>
          <cell r="E351" t="str">
            <v>EP/LELO</v>
          </cell>
          <cell r="G351">
            <v>23</v>
          </cell>
          <cell r="H351" t="str">
            <v>EP guides français, calc, sobs, hgéo, icm pour maîtres prim pub et privé : environ</v>
          </cell>
          <cell r="I351" t="str">
            <v>DNEE</v>
          </cell>
          <cell r="K351" t="str">
            <v>IDA</v>
          </cell>
          <cell r="L351" t="str">
            <v>AOI</v>
          </cell>
          <cell r="P351">
            <v>0</v>
          </cell>
          <cell r="Q351" t="str">
            <v>guide</v>
          </cell>
          <cell r="S351">
            <v>9.7283089230769235</v>
          </cell>
          <cell r="T351">
            <v>1</v>
          </cell>
          <cell r="U351">
            <v>0</v>
          </cell>
          <cell r="V351">
            <v>0</v>
          </cell>
          <cell r="W351">
            <v>0</v>
          </cell>
          <cell r="X351">
            <v>0</v>
          </cell>
          <cell r="Y351">
            <v>0</v>
          </cell>
          <cell r="Z351">
            <v>0</v>
          </cell>
          <cell r="AA351">
            <v>0</v>
          </cell>
          <cell r="AB351">
            <v>0</v>
          </cell>
          <cell r="AC351">
            <v>0</v>
          </cell>
          <cell r="AD351">
            <v>0</v>
          </cell>
          <cell r="AE351">
            <v>0</v>
          </cell>
          <cell r="AF351">
            <v>0</v>
          </cell>
          <cell r="AH351">
            <v>0</v>
          </cell>
        </row>
        <row r="352">
          <cell r="B352" t="str">
            <v>ST/EPU</v>
          </cell>
          <cell r="C352" t="str">
            <v>B1A</v>
          </cell>
          <cell r="D352" t="str">
            <v>B1AA</v>
          </cell>
          <cell r="E352" t="str">
            <v>EP/LOLA</v>
          </cell>
          <cell r="G352">
            <v>23</v>
          </cell>
          <cell r="H352" t="str">
            <v>EP guides français, calc, sobs, hgéo, icm pour maîtres prim pub et privé : environ</v>
          </cell>
          <cell r="I352" t="str">
            <v>DNEE</v>
          </cell>
          <cell r="K352" t="str">
            <v>IDA</v>
          </cell>
          <cell r="L352" t="str">
            <v>AOI</v>
          </cell>
          <cell r="P352">
            <v>0</v>
          </cell>
          <cell r="Q352" t="str">
            <v>guide</v>
          </cell>
          <cell r="S352">
            <v>9.7283089230769235</v>
          </cell>
          <cell r="T352">
            <v>1</v>
          </cell>
          <cell r="U352">
            <v>0</v>
          </cell>
          <cell r="V352">
            <v>0</v>
          </cell>
          <cell r="W352">
            <v>0</v>
          </cell>
          <cell r="X352">
            <v>0</v>
          </cell>
          <cell r="Y352">
            <v>0</v>
          </cell>
          <cell r="Z352">
            <v>0</v>
          </cell>
          <cell r="AA352">
            <v>0</v>
          </cell>
          <cell r="AB352">
            <v>0</v>
          </cell>
          <cell r="AC352">
            <v>0</v>
          </cell>
          <cell r="AD352">
            <v>0</v>
          </cell>
          <cell r="AE352">
            <v>0</v>
          </cell>
          <cell r="AF352">
            <v>0</v>
          </cell>
          <cell r="AH352">
            <v>0</v>
          </cell>
        </row>
        <row r="353">
          <cell r="B353" t="str">
            <v>ST/EPU</v>
          </cell>
          <cell r="C353" t="str">
            <v>B1A</v>
          </cell>
          <cell r="D353" t="str">
            <v>B1AA</v>
          </cell>
          <cell r="E353" t="str">
            <v>EP/MACE</v>
          </cell>
          <cell r="G353">
            <v>23</v>
          </cell>
          <cell r="H353" t="str">
            <v>EP guides français, calc, sobs, hgéo, icm pour maîtres prim pub et privé : environ</v>
          </cell>
          <cell r="I353" t="str">
            <v>DNEE</v>
          </cell>
          <cell r="K353" t="str">
            <v>IDA</v>
          </cell>
          <cell r="L353" t="str">
            <v>AOI</v>
          </cell>
          <cell r="P353">
            <v>0</v>
          </cell>
          <cell r="Q353" t="str">
            <v>guide</v>
          </cell>
          <cell r="S353">
            <v>9.7283089230769235</v>
          </cell>
          <cell r="T353">
            <v>1</v>
          </cell>
          <cell r="U353">
            <v>0</v>
          </cell>
          <cell r="V353">
            <v>0</v>
          </cell>
          <cell r="W353">
            <v>0</v>
          </cell>
          <cell r="X353">
            <v>0</v>
          </cell>
          <cell r="Y353">
            <v>0</v>
          </cell>
          <cell r="Z353">
            <v>0</v>
          </cell>
          <cell r="AA353">
            <v>0</v>
          </cell>
          <cell r="AB353">
            <v>0</v>
          </cell>
          <cell r="AC353">
            <v>0</v>
          </cell>
          <cell r="AD353">
            <v>0</v>
          </cell>
          <cell r="AE353">
            <v>0</v>
          </cell>
          <cell r="AF353">
            <v>0</v>
          </cell>
          <cell r="AH353">
            <v>0</v>
          </cell>
        </row>
        <row r="354">
          <cell r="B354" t="str">
            <v>ST/EPU</v>
          </cell>
          <cell r="C354" t="str">
            <v>B1A</v>
          </cell>
          <cell r="D354" t="str">
            <v>B1AA</v>
          </cell>
          <cell r="E354" t="str">
            <v>EP/MALI</v>
          </cell>
          <cell r="G354">
            <v>23</v>
          </cell>
          <cell r="H354" t="str">
            <v>EP guides français, calc, sobs, hgéo, icm pour maîtres prim pub et privé : environ</v>
          </cell>
          <cell r="I354" t="str">
            <v>DNEE</v>
          </cell>
          <cell r="K354" t="str">
            <v>IDA</v>
          </cell>
          <cell r="L354" t="str">
            <v>AOI</v>
          </cell>
          <cell r="P354">
            <v>0</v>
          </cell>
          <cell r="Q354" t="str">
            <v>guide</v>
          </cell>
          <cell r="S354">
            <v>9.7283089230769235</v>
          </cell>
          <cell r="T354">
            <v>1</v>
          </cell>
          <cell r="U354">
            <v>0</v>
          </cell>
          <cell r="V354">
            <v>0</v>
          </cell>
          <cell r="W354">
            <v>0</v>
          </cell>
          <cell r="X354">
            <v>0</v>
          </cell>
          <cell r="Y354">
            <v>0</v>
          </cell>
          <cell r="Z354">
            <v>0</v>
          </cell>
          <cell r="AA354">
            <v>0</v>
          </cell>
          <cell r="AB354">
            <v>0</v>
          </cell>
          <cell r="AC354">
            <v>0</v>
          </cell>
          <cell r="AD354">
            <v>0</v>
          </cell>
          <cell r="AE354">
            <v>0</v>
          </cell>
          <cell r="AF354">
            <v>0</v>
          </cell>
          <cell r="AH354">
            <v>0</v>
          </cell>
        </row>
        <row r="355">
          <cell r="B355" t="str">
            <v>ST/EPU</v>
          </cell>
          <cell r="C355" t="str">
            <v>B1A</v>
          </cell>
          <cell r="D355" t="str">
            <v>B1AA</v>
          </cell>
          <cell r="E355" t="str">
            <v>EP/MAMO</v>
          </cell>
          <cell r="G355">
            <v>23</v>
          </cell>
          <cell r="H355" t="str">
            <v>EP guides français, calc, sobs, hgéo, icm pour maîtres prim pub et privé : environ</v>
          </cell>
          <cell r="I355" t="str">
            <v>DNEE</v>
          </cell>
          <cell r="K355" t="str">
            <v>IDA</v>
          </cell>
          <cell r="L355" t="str">
            <v>AOI</v>
          </cell>
          <cell r="P355">
            <v>0</v>
          </cell>
          <cell r="Q355" t="str">
            <v>guide</v>
          </cell>
          <cell r="S355">
            <v>9.7283089230769235</v>
          </cell>
          <cell r="T355">
            <v>1</v>
          </cell>
          <cell r="U355">
            <v>0</v>
          </cell>
          <cell r="V355">
            <v>0</v>
          </cell>
          <cell r="W355">
            <v>0</v>
          </cell>
          <cell r="X355">
            <v>0</v>
          </cell>
          <cell r="Y355">
            <v>0</v>
          </cell>
          <cell r="Z355">
            <v>0</v>
          </cell>
          <cell r="AA355">
            <v>0</v>
          </cell>
          <cell r="AB355">
            <v>0</v>
          </cell>
          <cell r="AC355">
            <v>0</v>
          </cell>
          <cell r="AD355">
            <v>0</v>
          </cell>
          <cell r="AE355">
            <v>0</v>
          </cell>
          <cell r="AF355">
            <v>0</v>
          </cell>
          <cell r="AH355">
            <v>0</v>
          </cell>
        </row>
        <row r="356">
          <cell r="B356" t="str">
            <v>ST/EPU</v>
          </cell>
          <cell r="C356" t="str">
            <v>B1A</v>
          </cell>
          <cell r="D356" t="str">
            <v>B1AA</v>
          </cell>
          <cell r="E356" t="str">
            <v>EP/MAND</v>
          </cell>
          <cell r="G356">
            <v>23</v>
          </cell>
          <cell r="H356" t="str">
            <v>EP guides français, calc, sobs, hgéo, icm pour maîtres prim pub et privé : environ</v>
          </cell>
          <cell r="I356" t="str">
            <v>DNEE</v>
          </cell>
          <cell r="K356" t="str">
            <v>IDA</v>
          </cell>
          <cell r="L356" t="str">
            <v>AOI</v>
          </cell>
          <cell r="P356">
            <v>0</v>
          </cell>
          <cell r="Q356" t="str">
            <v>guide</v>
          </cell>
          <cell r="S356">
            <v>9.7283089230769235</v>
          </cell>
          <cell r="T356">
            <v>1</v>
          </cell>
          <cell r="U356">
            <v>0</v>
          </cell>
          <cell r="V356">
            <v>0</v>
          </cell>
          <cell r="W356">
            <v>0</v>
          </cell>
          <cell r="X356">
            <v>0</v>
          </cell>
          <cell r="Y356">
            <v>0</v>
          </cell>
          <cell r="Z356">
            <v>0</v>
          </cell>
          <cell r="AA356">
            <v>0</v>
          </cell>
          <cell r="AB356">
            <v>0</v>
          </cell>
          <cell r="AC356">
            <v>0</v>
          </cell>
          <cell r="AD356">
            <v>0</v>
          </cell>
          <cell r="AE356">
            <v>0</v>
          </cell>
          <cell r="AF356">
            <v>0</v>
          </cell>
          <cell r="AH356">
            <v>0</v>
          </cell>
        </row>
        <row r="357">
          <cell r="B357" t="str">
            <v>ST/EPU</v>
          </cell>
          <cell r="C357" t="str">
            <v>B1A</v>
          </cell>
          <cell r="D357" t="str">
            <v>B1AA</v>
          </cell>
          <cell r="E357" t="str">
            <v>EP/MATA</v>
          </cell>
          <cell r="G357">
            <v>23</v>
          </cell>
          <cell r="H357" t="str">
            <v>EP guides français, calc, sobs, hgéo, icm pour maîtres prim pub et privé : environ</v>
          </cell>
          <cell r="I357" t="str">
            <v>DNEE</v>
          </cell>
          <cell r="K357" t="str">
            <v>IDA</v>
          </cell>
          <cell r="L357" t="str">
            <v>AOI</v>
          </cell>
          <cell r="P357">
            <v>0</v>
          </cell>
          <cell r="Q357" t="str">
            <v>guide</v>
          </cell>
          <cell r="S357">
            <v>9.7283089230769235</v>
          </cell>
          <cell r="T357">
            <v>1</v>
          </cell>
          <cell r="U357">
            <v>0</v>
          </cell>
          <cell r="V357">
            <v>0</v>
          </cell>
          <cell r="W357">
            <v>0</v>
          </cell>
          <cell r="X357">
            <v>0</v>
          </cell>
          <cell r="Y357">
            <v>0</v>
          </cell>
          <cell r="Z357">
            <v>0</v>
          </cell>
          <cell r="AA357">
            <v>0</v>
          </cell>
          <cell r="AB357">
            <v>0</v>
          </cell>
          <cell r="AC357">
            <v>0</v>
          </cell>
          <cell r="AD357">
            <v>0</v>
          </cell>
          <cell r="AE357">
            <v>0</v>
          </cell>
          <cell r="AF357">
            <v>0</v>
          </cell>
          <cell r="AH357">
            <v>0</v>
          </cell>
        </row>
        <row r="358">
          <cell r="B358" t="str">
            <v>ST/EPU</v>
          </cell>
          <cell r="C358" t="str">
            <v>B1A</v>
          </cell>
          <cell r="D358" t="str">
            <v>B1AA</v>
          </cell>
          <cell r="E358" t="str">
            <v>EP/MATO</v>
          </cell>
          <cell r="G358">
            <v>23</v>
          </cell>
          <cell r="H358" t="str">
            <v>EP guides français, calc, sobs, hgéo, icm pour maîtres prim pub et privé : environ</v>
          </cell>
          <cell r="I358" t="str">
            <v>DNEE</v>
          </cell>
          <cell r="K358" t="str">
            <v>IDA</v>
          </cell>
          <cell r="L358" t="str">
            <v>AOI</v>
          </cell>
          <cell r="P358">
            <v>0</v>
          </cell>
          <cell r="Q358" t="str">
            <v>guide</v>
          </cell>
          <cell r="S358">
            <v>9.7283089230769235</v>
          </cell>
          <cell r="T358">
            <v>1</v>
          </cell>
          <cell r="U358">
            <v>0</v>
          </cell>
          <cell r="V358">
            <v>0</v>
          </cell>
          <cell r="W358">
            <v>0</v>
          </cell>
          <cell r="X358">
            <v>0</v>
          </cell>
          <cell r="Y358">
            <v>0</v>
          </cell>
          <cell r="Z358">
            <v>0</v>
          </cell>
          <cell r="AA358">
            <v>0</v>
          </cell>
          <cell r="AB358">
            <v>0</v>
          </cell>
          <cell r="AC358">
            <v>0</v>
          </cell>
          <cell r="AD358">
            <v>0</v>
          </cell>
          <cell r="AE358">
            <v>0</v>
          </cell>
          <cell r="AF358">
            <v>0</v>
          </cell>
          <cell r="AH358">
            <v>0</v>
          </cell>
        </row>
        <row r="359">
          <cell r="B359" t="str">
            <v>ST/EPU</v>
          </cell>
          <cell r="C359" t="str">
            <v>B1A</v>
          </cell>
          <cell r="D359" t="str">
            <v>B1AA</v>
          </cell>
          <cell r="E359" t="str">
            <v>EP/NZER</v>
          </cell>
          <cell r="G359">
            <v>23</v>
          </cell>
          <cell r="H359" t="str">
            <v>EP guides français, calc, sobs, hgéo, icm pour maîtres prim pub et privé : environ</v>
          </cell>
          <cell r="I359" t="str">
            <v>DNEE</v>
          </cell>
          <cell r="K359" t="str">
            <v>IDA</v>
          </cell>
          <cell r="L359" t="str">
            <v>AOI</v>
          </cell>
          <cell r="P359">
            <v>0</v>
          </cell>
          <cell r="Q359" t="str">
            <v>guide</v>
          </cell>
          <cell r="S359">
            <v>9.7283089230769235</v>
          </cell>
          <cell r="T359">
            <v>1</v>
          </cell>
          <cell r="U359">
            <v>0</v>
          </cell>
          <cell r="V359">
            <v>0</v>
          </cell>
          <cell r="W359">
            <v>0</v>
          </cell>
          <cell r="X359">
            <v>0</v>
          </cell>
          <cell r="Y359">
            <v>0</v>
          </cell>
          <cell r="Z359">
            <v>0</v>
          </cell>
          <cell r="AA359">
            <v>0</v>
          </cell>
          <cell r="AB359">
            <v>0</v>
          </cell>
          <cell r="AC359">
            <v>0</v>
          </cell>
          <cell r="AD359">
            <v>0</v>
          </cell>
          <cell r="AE359">
            <v>0</v>
          </cell>
          <cell r="AF359">
            <v>0</v>
          </cell>
          <cell r="AH359">
            <v>0</v>
          </cell>
        </row>
        <row r="360">
          <cell r="B360" t="str">
            <v>ST/EPU</v>
          </cell>
          <cell r="C360" t="str">
            <v>B1A</v>
          </cell>
          <cell r="D360" t="str">
            <v>B1AA</v>
          </cell>
          <cell r="E360" t="str">
            <v>EP/PITA</v>
          </cell>
          <cell r="G360">
            <v>23</v>
          </cell>
          <cell r="H360" t="str">
            <v>EP guides français, calc, sobs, hgéo, icm pour maîtres prim pub et privé : environ</v>
          </cell>
          <cell r="I360" t="str">
            <v>DNEE</v>
          </cell>
          <cell r="K360" t="str">
            <v>IDA</v>
          </cell>
          <cell r="L360" t="str">
            <v>AOI</v>
          </cell>
          <cell r="P360">
            <v>0</v>
          </cell>
          <cell r="Q360" t="str">
            <v>guide</v>
          </cell>
          <cell r="S360">
            <v>9.7283089230769235</v>
          </cell>
          <cell r="T360">
            <v>1</v>
          </cell>
          <cell r="U360">
            <v>0</v>
          </cell>
          <cell r="V360">
            <v>0</v>
          </cell>
          <cell r="W360">
            <v>0</v>
          </cell>
          <cell r="X360">
            <v>0</v>
          </cell>
          <cell r="Y360">
            <v>0</v>
          </cell>
          <cell r="Z360">
            <v>0</v>
          </cell>
          <cell r="AA360">
            <v>0</v>
          </cell>
          <cell r="AB360">
            <v>0</v>
          </cell>
          <cell r="AC360">
            <v>0</v>
          </cell>
          <cell r="AD360">
            <v>0</v>
          </cell>
          <cell r="AE360">
            <v>0</v>
          </cell>
          <cell r="AF360">
            <v>0</v>
          </cell>
          <cell r="AH360">
            <v>0</v>
          </cell>
        </row>
        <row r="361">
          <cell r="B361" t="str">
            <v>ST/EPU</v>
          </cell>
          <cell r="C361" t="str">
            <v>B1A</v>
          </cell>
          <cell r="D361" t="str">
            <v>B1AA</v>
          </cell>
          <cell r="E361" t="str">
            <v>EP/RATO</v>
          </cell>
          <cell r="G361">
            <v>23</v>
          </cell>
          <cell r="H361" t="str">
            <v>EP guides français, calc, sobs, hgéo, icm pour maîtres prim pub et privé : environ</v>
          </cell>
          <cell r="I361" t="str">
            <v>DNEE</v>
          </cell>
          <cell r="K361" t="str">
            <v>IDA</v>
          </cell>
          <cell r="L361" t="str">
            <v>AOI</v>
          </cell>
          <cell r="P361">
            <v>0</v>
          </cell>
          <cell r="Q361" t="str">
            <v>guide</v>
          </cell>
          <cell r="S361">
            <v>9.7283089230769235</v>
          </cell>
          <cell r="T361">
            <v>1</v>
          </cell>
          <cell r="U361">
            <v>0</v>
          </cell>
          <cell r="V361">
            <v>0</v>
          </cell>
          <cell r="W361">
            <v>0</v>
          </cell>
          <cell r="X361">
            <v>0</v>
          </cell>
          <cell r="Y361">
            <v>0</v>
          </cell>
          <cell r="Z361">
            <v>0</v>
          </cell>
          <cell r="AA361">
            <v>0</v>
          </cell>
          <cell r="AB361">
            <v>0</v>
          </cell>
          <cell r="AC361">
            <v>0</v>
          </cell>
          <cell r="AD361">
            <v>0</v>
          </cell>
          <cell r="AE361">
            <v>0</v>
          </cell>
          <cell r="AF361">
            <v>0</v>
          </cell>
          <cell r="AH361">
            <v>0</v>
          </cell>
        </row>
        <row r="362">
          <cell r="B362" t="str">
            <v>ST/EPU</v>
          </cell>
          <cell r="C362" t="str">
            <v>B1A</v>
          </cell>
          <cell r="D362" t="str">
            <v>B1AA</v>
          </cell>
          <cell r="E362" t="str">
            <v>EP/SIGU</v>
          </cell>
          <cell r="G362">
            <v>23</v>
          </cell>
          <cell r="H362" t="str">
            <v>EP guides français, calc, sobs, hgéo, icm pour maîtres prim pub et privé : environ</v>
          </cell>
          <cell r="I362" t="str">
            <v>DNEE</v>
          </cell>
          <cell r="K362" t="str">
            <v>IDA</v>
          </cell>
          <cell r="L362" t="str">
            <v>AOI</v>
          </cell>
          <cell r="P362">
            <v>0</v>
          </cell>
          <cell r="Q362" t="str">
            <v>guide</v>
          </cell>
          <cell r="S362">
            <v>9.7283089230769235</v>
          </cell>
          <cell r="T362">
            <v>1</v>
          </cell>
          <cell r="U362">
            <v>0</v>
          </cell>
          <cell r="V362">
            <v>0</v>
          </cell>
          <cell r="W362">
            <v>0</v>
          </cell>
          <cell r="X362">
            <v>0</v>
          </cell>
          <cell r="Y362">
            <v>0</v>
          </cell>
          <cell r="Z362">
            <v>0</v>
          </cell>
          <cell r="AA362">
            <v>0</v>
          </cell>
          <cell r="AB362">
            <v>0</v>
          </cell>
          <cell r="AC362">
            <v>0</v>
          </cell>
          <cell r="AD362">
            <v>0</v>
          </cell>
          <cell r="AE362">
            <v>0</v>
          </cell>
          <cell r="AF362">
            <v>0</v>
          </cell>
          <cell r="AH362">
            <v>0</v>
          </cell>
        </row>
        <row r="363">
          <cell r="B363" t="str">
            <v>ST/EPU</v>
          </cell>
          <cell r="C363" t="str">
            <v>B1A</v>
          </cell>
          <cell r="D363" t="str">
            <v>B1AA</v>
          </cell>
          <cell r="E363" t="str">
            <v>EP/TELE</v>
          </cell>
          <cell r="G363">
            <v>23</v>
          </cell>
          <cell r="H363" t="str">
            <v>EP guides français, calc, sobs, hgéo, icm pour maîtres prim pub et privé : environ</v>
          </cell>
          <cell r="I363" t="str">
            <v>DNEE</v>
          </cell>
          <cell r="K363" t="str">
            <v>IDA</v>
          </cell>
          <cell r="L363" t="str">
            <v>AOI</v>
          </cell>
          <cell r="P363">
            <v>0</v>
          </cell>
          <cell r="Q363" t="str">
            <v>guide</v>
          </cell>
          <cell r="S363">
            <v>9.7283089230769235</v>
          </cell>
          <cell r="T363">
            <v>1</v>
          </cell>
          <cell r="U363">
            <v>0</v>
          </cell>
          <cell r="V363">
            <v>0</v>
          </cell>
          <cell r="W363">
            <v>0</v>
          </cell>
          <cell r="X363">
            <v>0</v>
          </cell>
          <cell r="Y363">
            <v>0</v>
          </cell>
          <cell r="Z363">
            <v>0</v>
          </cell>
          <cell r="AA363">
            <v>0</v>
          </cell>
          <cell r="AB363">
            <v>0</v>
          </cell>
          <cell r="AC363">
            <v>0</v>
          </cell>
          <cell r="AD363">
            <v>0</v>
          </cell>
          <cell r="AE363">
            <v>0</v>
          </cell>
          <cell r="AF363">
            <v>0</v>
          </cell>
          <cell r="AH363">
            <v>0</v>
          </cell>
        </row>
        <row r="364">
          <cell r="B364" t="str">
            <v>ST/EPU</v>
          </cell>
          <cell r="C364" t="str">
            <v>B1A</v>
          </cell>
          <cell r="D364" t="str">
            <v>B1AA</v>
          </cell>
          <cell r="E364" t="str">
            <v>EP/TOUG</v>
          </cell>
          <cell r="G364">
            <v>23</v>
          </cell>
          <cell r="H364" t="str">
            <v>EP guides français, calc, sobs, hgéo, icm pour maîtres prim pub et privé : environ</v>
          </cell>
          <cell r="I364" t="str">
            <v>DNEE</v>
          </cell>
          <cell r="K364" t="str">
            <v>IDA</v>
          </cell>
          <cell r="L364" t="str">
            <v>AOI</v>
          </cell>
          <cell r="P364">
            <v>0</v>
          </cell>
          <cell r="Q364" t="str">
            <v>guide</v>
          </cell>
          <cell r="S364">
            <v>9.7283089230769235</v>
          </cell>
          <cell r="T364">
            <v>1</v>
          </cell>
          <cell r="U364">
            <v>0</v>
          </cell>
          <cell r="V364">
            <v>0</v>
          </cell>
          <cell r="W364">
            <v>0</v>
          </cell>
          <cell r="X364">
            <v>0</v>
          </cell>
          <cell r="Y364">
            <v>0</v>
          </cell>
          <cell r="Z364">
            <v>0</v>
          </cell>
          <cell r="AA364">
            <v>0</v>
          </cell>
          <cell r="AB364">
            <v>0</v>
          </cell>
          <cell r="AC364">
            <v>0</v>
          </cell>
          <cell r="AD364">
            <v>0</v>
          </cell>
          <cell r="AE364">
            <v>0</v>
          </cell>
          <cell r="AF364">
            <v>0</v>
          </cell>
          <cell r="AH364">
            <v>0</v>
          </cell>
        </row>
        <row r="365">
          <cell r="B365" t="str">
            <v>ST/EPU</v>
          </cell>
          <cell r="C365" t="str">
            <v>B1A</v>
          </cell>
          <cell r="D365" t="str">
            <v>B1AA</v>
          </cell>
          <cell r="E365" t="str">
            <v>EP/YOMO</v>
          </cell>
          <cell r="G365">
            <v>23</v>
          </cell>
          <cell r="H365" t="str">
            <v>EP guides français, calc, sobs, hgéo, icm pour maîtres prim pub et privé : environ</v>
          </cell>
          <cell r="I365" t="str">
            <v>DNEE</v>
          </cell>
          <cell r="K365" t="str">
            <v>IDA</v>
          </cell>
          <cell r="L365" t="str">
            <v>AOI</v>
          </cell>
          <cell r="P365">
            <v>0</v>
          </cell>
          <cell r="Q365" t="str">
            <v>guide</v>
          </cell>
          <cell r="S365">
            <v>9.7283089230769235</v>
          </cell>
          <cell r="T365">
            <v>1</v>
          </cell>
          <cell r="U365">
            <v>0</v>
          </cell>
          <cell r="V365">
            <v>0</v>
          </cell>
          <cell r="W365">
            <v>0</v>
          </cell>
          <cell r="X365">
            <v>0</v>
          </cell>
          <cell r="Y365">
            <v>0</v>
          </cell>
          <cell r="Z365">
            <v>0</v>
          </cell>
          <cell r="AA365">
            <v>0</v>
          </cell>
          <cell r="AB365">
            <v>0</v>
          </cell>
          <cell r="AC365">
            <v>0</v>
          </cell>
          <cell r="AD365">
            <v>0</v>
          </cell>
          <cell r="AE365">
            <v>0</v>
          </cell>
          <cell r="AF365">
            <v>0</v>
          </cell>
          <cell r="AH365">
            <v>0</v>
          </cell>
        </row>
        <row r="366">
          <cell r="B366" t="str">
            <v>ST/EPU</v>
          </cell>
          <cell r="C366" t="str">
            <v>B1A</v>
          </cell>
          <cell r="D366" t="str">
            <v>B1AA</v>
          </cell>
          <cell r="E366" t="str">
            <v>EP/BEYL</v>
          </cell>
          <cell r="G366">
            <v>23</v>
          </cell>
          <cell r="H366" t="str">
            <v>EP cahiers multimédia 5è et 6èA pour élèves prim pub et privé : environ</v>
          </cell>
          <cell r="I366" t="str">
            <v>DNEE</v>
          </cell>
          <cell r="K366" t="str">
            <v>IDA</v>
          </cell>
          <cell r="L366" t="str">
            <v>AOI</v>
          </cell>
          <cell r="P366">
            <v>0</v>
          </cell>
          <cell r="Q366" t="str">
            <v>cahier</v>
          </cell>
          <cell r="S366">
            <v>5.9088000000000003</v>
          </cell>
          <cell r="T366">
            <v>1</v>
          </cell>
          <cell r="U366">
            <v>0</v>
          </cell>
          <cell r="V366">
            <v>0</v>
          </cell>
          <cell r="W366">
            <v>0</v>
          </cell>
          <cell r="X366">
            <v>0</v>
          </cell>
          <cell r="Y366">
            <v>0</v>
          </cell>
          <cell r="Z366">
            <v>0</v>
          </cell>
          <cell r="AA366">
            <v>0</v>
          </cell>
          <cell r="AB366">
            <v>0</v>
          </cell>
          <cell r="AC366">
            <v>0</v>
          </cell>
          <cell r="AD366">
            <v>0</v>
          </cell>
          <cell r="AE366">
            <v>0</v>
          </cell>
          <cell r="AF366">
            <v>0</v>
          </cell>
          <cell r="AH366">
            <v>0</v>
          </cell>
        </row>
        <row r="367">
          <cell r="B367" t="str">
            <v>ST/EPU</v>
          </cell>
          <cell r="C367" t="str">
            <v>B1A</v>
          </cell>
          <cell r="D367" t="str">
            <v>B1AA</v>
          </cell>
          <cell r="E367" t="str">
            <v>EP/BOFF</v>
          </cell>
          <cell r="G367">
            <v>23</v>
          </cell>
          <cell r="H367" t="str">
            <v>EP cahiers multimédia 5è et 6èA pour élèves prim pub et privé : environ</v>
          </cell>
          <cell r="I367" t="str">
            <v>DNEE</v>
          </cell>
          <cell r="K367" t="str">
            <v>IDA</v>
          </cell>
          <cell r="L367" t="str">
            <v>AOI</v>
          </cell>
          <cell r="P367">
            <v>0</v>
          </cell>
          <cell r="Q367" t="str">
            <v>cahier</v>
          </cell>
          <cell r="S367">
            <v>5.9088000000000003</v>
          </cell>
          <cell r="T367">
            <v>1</v>
          </cell>
          <cell r="U367">
            <v>0</v>
          </cell>
          <cell r="V367">
            <v>0</v>
          </cell>
          <cell r="W367">
            <v>0</v>
          </cell>
          <cell r="X367">
            <v>0</v>
          </cell>
          <cell r="Y367">
            <v>0</v>
          </cell>
          <cell r="Z367">
            <v>0</v>
          </cell>
          <cell r="AA367">
            <v>0</v>
          </cell>
          <cell r="AB367">
            <v>0</v>
          </cell>
          <cell r="AC367">
            <v>0</v>
          </cell>
          <cell r="AD367">
            <v>0</v>
          </cell>
          <cell r="AE367">
            <v>0</v>
          </cell>
          <cell r="AF367">
            <v>0</v>
          </cell>
          <cell r="AH367">
            <v>0</v>
          </cell>
        </row>
        <row r="368">
          <cell r="B368" t="str">
            <v>ST/EPU</v>
          </cell>
          <cell r="C368" t="str">
            <v>B1A</v>
          </cell>
          <cell r="D368" t="str">
            <v>B1AA</v>
          </cell>
          <cell r="E368" t="str">
            <v>EP/BOKE</v>
          </cell>
          <cell r="G368">
            <v>23</v>
          </cell>
          <cell r="H368" t="str">
            <v>EP cahiers multimédia 5è et 6èA pour élèves prim pub et privé : environ</v>
          </cell>
          <cell r="I368" t="str">
            <v>DNEE</v>
          </cell>
          <cell r="K368" t="str">
            <v>IDA</v>
          </cell>
          <cell r="L368" t="str">
            <v>AOI</v>
          </cell>
          <cell r="P368">
            <v>0</v>
          </cell>
          <cell r="Q368" t="str">
            <v>cahier</v>
          </cell>
          <cell r="S368">
            <v>5.9088000000000003</v>
          </cell>
          <cell r="T368">
            <v>1</v>
          </cell>
          <cell r="U368">
            <v>0</v>
          </cell>
          <cell r="V368">
            <v>0</v>
          </cell>
          <cell r="W368">
            <v>0</v>
          </cell>
          <cell r="X368">
            <v>0</v>
          </cell>
          <cell r="Y368">
            <v>0</v>
          </cell>
          <cell r="Z368">
            <v>0</v>
          </cell>
          <cell r="AA368">
            <v>0</v>
          </cell>
          <cell r="AB368">
            <v>0</v>
          </cell>
          <cell r="AC368">
            <v>0</v>
          </cell>
          <cell r="AD368">
            <v>0</v>
          </cell>
          <cell r="AE368">
            <v>0</v>
          </cell>
          <cell r="AF368">
            <v>0</v>
          </cell>
          <cell r="AH368">
            <v>0</v>
          </cell>
        </row>
        <row r="369">
          <cell r="B369" t="str">
            <v>ST/EPU</v>
          </cell>
          <cell r="C369" t="str">
            <v>B1A</v>
          </cell>
          <cell r="D369" t="str">
            <v>B1AA</v>
          </cell>
          <cell r="E369" t="str">
            <v>EP/COYA</v>
          </cell>
          <cell r="G369">
            <v>23</v>
          </cell>
          <cell r="H369" t="str">
            <v>EP cahiers multimédia 5è et 6èA pour élèves prim pub et privé : environ</v>
          </cell>
          <cell r="I369" t="str">
            <v>DNEE</v>
          </cell>
          <cell r="K369" t="str">
            <v>IDA</v>
          </cell>
          <cell r="L369" t="str">
            <v>AOI</v>
          </cell>
          <cell r="P369">
            <v>0</v>
          </cell>
          <cell r="Q369" t="str">
            <v>cahier</v>
          </cell>
          <cell r="S369">
            <v>5.9088000000000003</v>
          </cell>
          <cell r="T369">
            <v>1</v>
          </cell>
          <cell r="U369">
            <v>0</v>
          </cell>
          <cell r="V369">
            <v>0</v>
          </cell>
          <cell r="W369">
            <v>0</v>
          </cell>
          <cell r="X369">
            <v>0</v>
          </cell>
          <cell r="Y369">
            <v>0</v>
          </cell>
          <cell r="Z369">
            <v>0</v>
          </cell>
          <cell r="AA369">
            <v>0</v>
          </cell>
          <cell r="AB369">
            <v>0</v>
          </cell>
          <cell r="AC369">
            <v>0</v>
          </cell>
          <cell r="AD369">
            <v>0</v>
          </cell>
          <cell r="AE369">
            <v>0</v>
          </cell>
          <cell r="AF369">
            <v>0</v>
          </cell>
          <cell r="AH369">
            <v>0</v>
          </cell>
        </row>
        <row r="370">
          <cell r="B370" t="str">
            <v>ST/EPU</v>
          </cell>
          <cell r="C370" t="str">
            <v>B1A</v>
          </cell>
          <cell r="D370" t="str">
            <v>B1AA</v>
          </cell>
          <cell r="E370" t="str">
            <v>EP/DABO</v>
          </cell>
          <cell r="G370">
            <v>23</v>
          </cell>
          <cell r="H370" t="str">
            <v>EP cahiers multimédia 5è et 6èA pour élèves prim pub et privé : environ</v>
          </cell>
          <cell r="I370" t="str">
            <v>DNEE</v>
          </cell>
          <cell r="K370" t="str">
            <v>IDA</v>
          </cell>
          <cell r="L370" t="str">
            <v>AOI</v>
          </cell>
          <cell r="P370">
            <v>0</v>
          </cell>
          <cell r="Q370" t="str">
            <v>cahier</v>
          </cell>
          <cell r="S370">
            <v>5.9088000000000003</v>
          </cell>
          <cell r="T370">
            <v>1</v>
          </cell>
          <cell r="U370">
            <v>0</v>
          </cell>
          <cell r="V370">
            <v>0</v>
          </cell>
          <cell r="W370">
            <v>0</v>
          </cell>
          <cell r="X370">
            <v>0</v>
          </cell>
          <cell r="Y370">
            <v>0</v>
          </cell>
          <cell r="Z370">
            <v>0</v>
          </cell>
          <cell r="AA370">
            <v>0</v>
          </cell>
          <cell r="AB370">
            <v>0</v>
          </cell>
          <cell r="AC370">
            <v>0</v>
          </cell>
          <cell r="AD370">
            <v>0</v>
          </cell>
          <cell r="AE370">
            <v>0</v>
          </cell>
          <cell r="AF370">
            <v>0</v>
          </cell>
          <cell r="AH370">
            <v>0</v>
          </cell>
        </row>
        <row r="371">
          <cell r="B371" t="str">
            <v>ST/EPU</v>
          </cell>
          <cell r="C371" t="str">
            <v>B1A</v>
          </cell>
          <cell r="D371" t="str">
            <v>B1AA</v>
          </cell>
          <cell r="E371" t="str">
            <v>EP/DALA</v>
          </cell>
          <cell r="G371">
            <v>23</v>
          </cell>
          <cell r="H371" t="str">
            <v>EP cahiers multimédia 5è et 6èA pour élèves prim pub et privé : environ</v>
          </cell>
          <cell r="I371" t="str">
            <v>DNEE</v>
          </cell>
          <cell r="K371" t="str">
            <v>IDA</v>
          </cell>
          <cell r="L371" t="str">
            <v>AOI</v>
          </cell>
          <cell r="P371">
            <v>0</v>
          </cell>
          <cell r="Q371" t="str">
            <v>cahier</v>
          </cell>
          <cell r="S371">
            <v>5.9088000000000003</v>
          </cell>
          <cell r="T371">
            <v>1</v>
          </cell>
          <cell r="U371">
            <v>0</v>
          </cell>
          <cell r="V371">
            <v>0</v>
          </cell>
          <cell r="W371">
            <v>0</v>
          </cell>
          <cell r="X371">
            <v>0</v>
          </cell>
          <cell r="Y371">
            <v>0</v>
          </cell>
          <cell r="Z371">
            <v>0</v>
          </cell>
          <cell r="AA371">
            <v>0</v>
          </cell>
          <cell r="AB371">
            <v>0</v>
          </cell>
          <cell r="AC371">
            <v>0</v>
          </cell>
          <cell r="AD371">
            <v>0</v>
          </cell>
          <cell r="AE371">
            <v>0</v>
          </cell>
          <cell r="AF371">
            <v>0</v>
          </cell>
          <cell r="AH371">
            <v>0</v>
          </cell>
        </row>
        <row r="372">
          <cell r="B372" t="str">
            <v>ST/EPU</v>
          </cell>
          <cell r="C372" t="str">
            <v>B1A</v>
          </cell>
          <cell r="D372" t="str">
            <v>B1AA</v>
          </cell>
          <cell r="E372" t="str">
            <v>EP/DING</v>
          </cell>
          <cell r="G372">
            <v>23</v>
          </cell>
          <cell r="H372" t="str">
            <v>EP cahiers multimédia 5è et 6èA pour élèves prim pub et privé : environ</v>
          </cell>
          <cell r="I372" t="str">
            <v>DNEE</v>
          </cell>
          <cell r="K372" t="str">
            <v>IDA</v>
          </cell>
          <cell r="L372" t="str">
            <v>AOI</v>
          </cell>
          <cell r="P372">
            <v>0</v>
          </cell>
          <cell r="Q372" t="str">
            <v>cahier</v>
          </cell>
          <cell r="S372">
            <v>5.9088000000000003</v>
          </cell>
          <cell r="T372">
            <v>1</v>
          </cell>
          <cell r="U372">
            <v>0</v>
          </cell>
          <cell r="V372">
            <v>0</v>
          </cell>
          <cell r="W372">
            <v>0</v>
          </cell>
          <cell r="X372">
            <v>0</v>
          </cell>
          <cell r="Y372">
            <v>0</v>
          </cell>
          <cell r="Z372">
            <v>0</v>
          </cell>
          <cell r="AA372">
            <v>0</v>
          </cell>
          <cell r="AB372">
            <v>0</v>
          </cell>
          <cell r="AC372">
            <v>0</v>
          </cell>
          <cell r="AD372">
            <v>0</v>
          </cell>
          <cell r="AE372">
            <v>0</v>
          </cell>
          <cell r="AF372">
            <v>0</v>
          </cell>
          <cell r="AH372">
            <v>0</v>
          </cell>
        </row>
        <row r="373">
          <cell r="B373" t="str">
            <v>ST/EPU</v>
          </cell>
          <cell r="C373" t="str">
            <v>B1A</v>
          </cell>
          <cell r="D373" t="str">
            <v>B1AA</v>
          </cell>
          <cell r="E373" t="str">
            <v>EP/DIXI</v>
          </cell>
          <cell r="G373">
            <v>23</v>
          </cell>
          <cell r="H373" t="str">
            <v>EP cahiers multimédia 5è et 6èA pour élèves prim pub et privé : environ</v>
          </cell>
          <cell r="I373" t="str">
            <v>DNEE</v>
          </cell>
          <cell r="K373" t="str">
            <v>IDA</v>
          </cell>
          <cell r="L373" t="str">
            <v>AOI</v>
          </cell>
          <cell r="P373">
            <v>0</v>
          </cell>
          <cell r="Q373" t="str">
            <v>cahier</v>
          </cell>
          <cell r="S373">
            <v>5.9088000000000003</v>
          </cell>
          <cell r="T373">
            <v>1</v>
          </cell>
          <cell r="U373">
            <v>0</v>
          </cell>
          <cell r="V373">
            <v>0</v>
          </cell>
          <cell r="W373">
            <v>0</v>
          </cell>
          <cell r="X373">
            <v>0</v>
          </cell>
          <cell r="Y373">
            <v>0</v>
          </cell>
          <cell r="Z373">
            <v>0</v>
          </cell>
          <cell r="AA373">
            <v>0</v>
          </cell>
          <cell r="AB373">
            <v>0</v>
          </cell>
          <cell r="AC373">
            <v>0</v>
          </cell>
          <cell r="AD373">
            <v>0</v>
          </cell>
          <cell r="AE373">
            <v>0</v>
          </cell>
          <cell r="AF373">
            <v>0</v>
          </cell>
          <cell r="AH373">
            <v>0</v>
          </cell>
        </row>
        <row r="374">
          <cell r="B374" t="str">
            <v>ST/EPU</v>
          </cell>
          <cell r="C374" t="str">
            <v>B1A</v>
          </cell>
          <cell r="D374" t="str">
            <v>B1AA</v>
          </cell>
          <cell r="E374" t="str">
            <v>EP/DUBR</v>
          </cell>
          <cell r="G374">
            <v>23</v>
          </cell>
          <cell r="H374" t="str">
            <v>EP cahiers multimédia 5è et 6èA pour élèves prim pub et privé : environ</v>
          </cell>
          <cell r="I374" t="str">
            <v>DNEE</v>
          </cell>
          <cell r="K374" t="str">
            <v>IDA</v>
          </cell>
          <cell r="L374" t="str">
            <v>AOI</v>
          </cell>
          <cell r="P374">
            <v>0</v>
          </cell>
          <cell r="Q374" t="str">
            <v>cahier</v>
          </cell>
          <cell r="S374">
            <v>5.9088000000000003</v>
          </cell>
          <cell r="T374">
            <v>1</v>
          </cell>
          <cell r="U374">
            <v>0</v>
          </cell>
          <cell r="V374">
            <v>0</v>
          </cell>
          <cell r="W374">
            <v>0</v>
          </cell>
          <cell r="X374">
            <v>0</v>
          </cell>
          <cell r="Y374">
            <v>0</v>
          </cell>
          <cell r="Z374">
            <v>0</v>
          </cell>
          <cell r="AA374">
            <v>0</v>
          </cell>
          <cell r="AB374">
            <v>0</v>
          </cell>
          <cell r="AC374">
            <v>0</v>
          </cell>
          <cell r="AD374">
            <v>0</v>
          </cell>
          <cell r="AE374">
            <v>0</v>
          </cell>
          <cell r="AF374">
            <v>0</v>
          </cell>
          <cell r="AH374">
            <v>0</v>
          </cell>
        </row>
        <row r="375">
          <cell r="B375" t="str">
            <v>ST/EPU</v>
          </cell>
          <cell r="C375" t="str">
            <v>B1A</v>
          </cell>
          <cell r="D375" t="str">
            <v>B1AA</v>
          </cell>
          <cell r="E375" t="str">
            <v>EP/FARA</v>
          </cell>
          <cell r="G375">
            <v>23</v>
          </cell>
          <cell r="H375" t="str">
            <v>EP cahiers multimédia 5è et 6èA pour élèves prim pub et privé : environ</v>
          </cell>
          <cell r="I375" t="str">
            <v>DNEE</v>
          </cell>
          <cell r="K375" t="str">
            <v>IDA</v>
          </cell>
          <cell r="L375" t="str">
            <v>AOI</v>
          </cell>
          <cell r="P375">
            <v>0</v>
          </cell>
          <cell r="Q375" t="str">
            <v>cahier</v>
          </cell>
          <cell r="S375">
            <v>5.9088000000000003</v>
          </cell>
          <cell r="T375">
            <v>1</v>
          </cell>
          <cell r="U375">
            <v>0</v>
          </cell>
          <cell r="V375">
            <v>0</v>
          </cell>
          <cell r="W375">
            <v>0</v>
          </cell>
          <cell r="X375">
            <v>0</v>
          </cell>
          <cell r="Y375">
            <v>0</v>
          </cell>
          <cell r="Z375">
            <v>0</v>
          </cell>
          <cell r="AA375">
            <v>0</v>
          </cell>
          <cell r="AB375">
            <v>0</v>
          </cell>
          <cell r="AC375">
            <v>0</v>
          </cell>
          <cell r="AD375">
            <v>0</v>
          </cell>
          <cell r="AE375">
            <v>0</v>
          </cell>
          <cell r="AF375">
            <v>0</v>
          </cell>
          <cell r="AH375">
            <v>0</v>
          </cell>
        </row>
        <row r="376">
          <cell r="B376" t="str">
            <v>ST/EPU</v>
          </cell>
          <cell r="C376" t="str">
            <v>B1A</v>
          </cell>
          <cell r="D376" t="str">
            <v>B1AA</v>
          </cell>
          <cell r="E376" t="str">
            <v>EP/FORE</v>
          </cell>
          <cell r="G376">
            <v>23</v>
          </cell>
          <cell r="H376" t="str">
            <v>EP cahiers multimédia 5è et 6èA pour élèves prim pub et privé : environ</v>
          </cell>
          <cell r="I376" t="str">
            <v>DNEE</v>
          </cell>
          <cell r="K376" t="str">
            <v>IDA</v>
          </cell>
          <cell r="L376" t="str">
            <v>AOI</v>
          </cell>
          <cell r="P376">
            <v>0</v>
          </cell>
          <cell r="Q376" t="str">
            <v>cahier</v>
          </cell>
          <cell r="S376">
            <v>5.9088000000000003</v>
          </cell>
          <cell r="T376">
            <v>1</v>
          </cell>
          <cell r="U376">
            <v>0</v>
          </cell>
          <cell r="V376">
            <v>0</v>
          </cell>
          <cell r="W376">
            <v>0</v>
          </cell>
          <cell r="X376">
            <v>0</v>
          </cell>
          <cell r="Y376">
            <v>0</v>
          </cell>
          <cell r="Z376">
            <v>0</v>
          </cell>
          <cell r="AA376">
            <v>0</v>
          </cell>
          <cell r="AB376">
            <v>0</v>
          </cell>
          <cell r="AC376">
            <v>0</v>
          </cell>
          <cell r="AD376">
            <v>0</v>
          </cell>
          <cell r="AE376">
            <v>0</v>
          </cell>
          <cell r="AF376">
            <v>0</v>
          </cell>
          <cell r="AH376">
            <v>0</v>
          </cell>
        </row>
        <row r="377">
          <cell r="B377" t="str">
            <v>ST/EPU</v>
          </cell>
          <cell r="C377" t="str">
            <v>B1A</v>
          </cell>
          <cell r="D377" t="str">
            <v>B1AA</v>
          </cell>
          <cell r="E377" t="str">
            <v>EP/FRIA</v>
          </cell>
          <cell r="G377">
            <v>23</v>
          </cell>
          <cell r="H377" t="str">
            <v>EP cahiers multimédia 5è et 6èA pour élèves prim pub et privé : environ</v>
          </cell>
          <cell r="I377" t="str">
            <v>DNEE</v>
          </cell>
          <cell r="K377" t="str">
            <v>IDA</v>
          </cell>
          <cell r="L377" t="str">
            <v>AOI</v>
          </cell>
          <cell r="P377">
            <v>0</v>
          </cell>
          <cell r="Q377" t="str">
            <v>cahier</v>
          </cell>
          <cell r="S377">
            <v>5.9088000000000003</v>
          </cell>
          <cell r="T377">
            <v>1</v>
          </cell>
          <cell r="U377">
            <v>0</v>
          </cell>
          <cell r="V377">
            <v>0</v>
          </cell>
          <cell r="W377">
            <v>0</v>
          </cell>
          <cell r="X377">
            <v>0</v>
          </cell>
          <cell r="Y377">
            <v>0</v>
          </cell>
          <cell r="Z377">
            <v>0</v>
          </cell>
          <cell r="AA377">
            <v>0</v>
          </cell>
          <cell r="AB377">
            <v>0</v>
          </cell>
          <cell r="AC377">
            <v>0</v>
          </cell>
          <cell r="AD377">
            <v>0</v>
          </cell>
          <cell r="AE377">
            <v>0</v>
          </cell>
          <cell r="AF377">
            <v>0</v>
          </cell>
          <cell r="AH377">
            <v>0</v>
          </cell>
        </row>
        <row r="378">
          <cell r="B378" t="str">
            <v>ST/EPU</v>
          </cell>
          <cell r="C378" t="str">
            <v>B1A</v>
          </cell>
          <cell r="D378" t="str">
            <v>B1AA</v>
          </cell>
          <cell r="E378" t="str">
            <v>EP/GAOU</v>
          </cell>
          <cell r="G378">
            <v>23</v>
          </cell>
          <cell r="H378" t="str">
            <v>EP cahiers multimédia 5è et 6èA pour élèves prim pub et privé : environ</v>
          </cell>
          <cell r="I378" t="str">
            <v>DNEE</v>
          </cell>
          <cell r="K378" t="str">
            <v>IDA</v>
          </cell>
          <cell r="L378" t="str">
            <v>AOI</v>
          </cell>
          <cell r="P378">
            <v>0</v>
          </cell>
          <cell r="Q378" t="str">
            <v>cahier</v>
          </cell>
          <cell r="S378">
            <v>5.9088000000000003</v>
          </cell>
          <cell r="T378">
            <v>1</v>
          </cell>
          <cell r="U378">
            <v>0</v>
          </cell>
          <cell r="V378">
            <v>0</v>
          </cell>
          <cell r="W378">
            <v>0</v>
          </cell>
          <cell r="X378">
            <v>0</v>
          </cell>
          <cell r="Y378">
            <v>0</v>
          </cell>
          <cell r="Z378">
            <v>0</v>
          </cell>
          <cell r="AA378">
            <v>0</v>
          </cell>
          <cell r="AB378">
            <v>0</v>
          </cell>
          <cell r="AC378">
            <v>0</v>
          </cell>
          <cell r="AD378">
            <v>0</v>
          </cell>
          <cell r="AE378">
            <v>0</v>
          </cell>
          <cell r="AF378">
            <v>0</v>
          </cell>
          <cell r="AH378">
            <v>0</v>
          </cell>
        </row>
        <row r="379">
          <cell r="B379" t="str">
            <v>ST/EPU</v>
          </cell>
          <cell r="C379" t="str">
            <v>B1A</v>
          </cell>
          <cell r="D379" t="str">
            <v>B1AA</v>
          </cell>
          <cell r="E379" t="str">
            <v>EP/GUEC</v>
          </cell>
          <cell r="G379">
            <v>23</v>
          </cell>
          <cell r="H379" t="str">
            <v>EP cahiers multimédia 5è et 6èA pour élèves prim pub et privé : environ</v>
          </cell>
          <cell r="I379" t="str">
            <v>DNEE</v>
          </cell>
          <cell r="K379" t="str">
            <v>IDA</v>
          </cell>
          <cell r="L379" t="str">
            <v>AOI</v>
          </cell>
          <cell r="P379">
            <v>0</v>
          </cell>
          <cell r="Q379" t="str">
            <v>cahier</v>
          </cell>
          <cell r="S379">
            <v>5.9088000000000003</v>
          </cell>
          <cell r="T379">
            <v>1</v>
          </cell>
          <cell r="U379">
            <v>0</v>
          </cell>
          <cell r="V379">
            <v>0</v>
          </cell>
          <cell r="W379">
            <v>0</v>
          </cell>
          <cell r="X379">
            <v>0</v>
          </cell>
          <cell r="Y379">
            <v>0</v>
          </cell>
          <cell r="Z379">
            <v>0</v>
          </cell>
          <cell r="AA379">
            <v>0</v>
          </cell>
          <cell r="AB379">
            <v>0</v>
          </cell>
          <cell r="AC379">
            <v>0</v>
          </cell>
          <cell r="AD379">
            <v>0</v>
          </cell>
          <cell r="AE379">
            <v>0</v>
          </cell>
          <cell r="AF379">
            <v>0</v>
          </cell>
          <cell r="AH379">
            <v>0</v>
          </cell>
        </row>
        <row r="380">
          <cell r="B380" t="str">
            <v>ST/EPU</v>
          </cell>
          <cell r="C380" t="str">
            <v>B1A</v>
          </cell>
          <cell r="D380" t="str">
            <v>B1AA</v>
          </cell>
          <cell r="E380" t="str">
            <v>EP/KALO</v>
          </cell>
          <cell r="G380">
            <v>23</v>
          </cell>
          <cell r="H380" t="str">
            <v>EP cahiers multimédia 5è et 6èA pour élèves prim pub et privé : environ</v>
          </cell>
          <cell r="I380" t="str">
            <v>DNEE</v>
          </cell>
          <cell r="K380" t="str">
            <v>IDA</v>
          </cell>
          <cell r="L380" t="str">
            <v>AOI</v>
          </cell>
          <cell r="P380">
            <v>0</v>
          </cell>
          <cell r="Q380" t="str">
            <v>cahier</v>
          </cell>
          <cell r="S380">
            <v>5.9088000000000003</v>
          </cell>
          <cell r="T380">
            <v>1</v>
          </cell>
          <cell r="U380">
            <v>0</v>
          </cell>
          <cell r="V380">
            <v>0</v>
          </cell>
          <cell r="W380">
            <v>0</v>
          </cell>
          <cell r="X380">
            <v>0</v>
          </cell>
          <cell r="Y380">
            <v>0</v>
          </cell>
          <cell r="Z380">
            <v>0</v>
          </cell>
          <cell r="AA380">
            <v>0</v>
          </cell>
          <cell r="AB380">
            <v>0</v>
          </cell>
          <cell r="AC380">
            <v>0</v>
          </cell>
          <cell r="AD380">
            <v>0</v>
          </cell>
          <cell r="AE380">
            <v>0</v>
          </cell>
          <cell r="AF380">
            <v>0</v>
          </cell>
          <cell r="AH380">
            <v>0</v>
          </cell>
        </row>
        <row r="381">
          <cell r="B381" t="str">
            <v>ST/EPU</v>
          </cell>
          <cell r="C381" t="str">
            <v>B1A</v>
          </cell>
          <cell r="D381" t="str">
            <v>B1AA</v>
          </cell>
          <cell r="E381" t="str">
            <v>EP/KANK</v>
          </cell>
          <cell r="G381">
            <v>23</v>
          </cell>
          <cell r="H381" t="str">
            <v>EP cahiers multimédia 5è et 6èA pour élèves prim pub et privé : environ</v>
          </cell>
          <cell r="I381" t="str">
            <v>DNEE</v>
          </cell>
          <cell r="K381" t="str">
            <v>IDA</v>
          </cell>
          <cell r="L381" t="str">
            <v>AOI</v>
          </cell>
          <cell r="P381">
            <v>0</v>
          </cell>
          <cell r="Q381" t="str">
            <v>cahier</v>
          </cell>
          <cell r="S381">
            <v>5.9088000000000003</v>
          </cell>
          <cell r="T381">
            <v>1</v>
          </cell>
          <cell r="U381">
            <v>0</v>
          </cell>
          <cell r="V381">
            <v>0</v>
          </cell>
          <cell r="W381">
            <v>0</v>
          </cell>
          <cell r="X381">
            <v>0</v>
          </cell>
          <cell r="Y381">
            <v>0</v>
          </cell>
          <cell r="Z381">
            <v>0</v>
          </cell>
          <cell r="AA381">
            <v>0</v>
          </cell>
          <cell r="AB381">
            <v>0</v>
          </cell>
          <cell r="AC381">
            <v>0</v>
          </cell>
          <cell r="AD381">
            <v>0</v>
          </cell>
          <cell r="AE381">
            <v>0</v>
          </cell>
          <cell r="AF381">
            <v>0</v>
          </cell>
          <cell r="AH381">
            <v>0</v>
          </cell>
        </row>
        <row r="382">
          <cell r="B382" t="str">
            <v>ST/EPU</v>
          </cell>
          <cell r="C382" t="str">
            <v>B1A</v>
          </cell>
          <cell r="D382" t="str">
            <v>B1AA</v>
          </cell>
          <cell r="E382" t="str">
            <v>EP/KERO</v>
          </cell>
          <cell r="G382">
            <v>23</v>
          </cell>
          <cell r="H382" t="str">
            <v>EP cahiers multimédia 5è et 6èA pour élèves prim pub et privé : environ</v>
          </cell>
          <cell r="I382" t="str">
            <v>DNEE</v>
          </cell>
          <cell r="K382" t="str">
            <v>IDA</v>
          </cell>
          <cell r="L382" t="str">
            <v>AOI</v>
          </cell>
          <cell r="P382">
            <v>0</v>
          </cell>
          <cell r="Q382" t="str">
            <v>cahier</v>
          </cell>
          <cell r="S382">
            <v>5.9088000000000003</v>
          </cell>
          <cell r="T382">
            <v>1</v>
          </cell>
          <cell r="U382">
            <v>0</v>
          </cell>
          <cell r="V382">
            <v>0</v>
          </cell>
          <cell r="W382">
            <v>0</v>
          </cell>
          <cell r="X382">
            <v>0</v>
          </cell>
          <cell r="Y382">
            <v>0</v>
          </cell>
          <cell r="Z382">
            <v>0</v>
          </cell>
          <cell r="AA382">
            <v>0</v>
          </cell>
          <cell r="AB382">
            <v>0</v>
          </cell>
          <cell r="AC382">
            <v>0</v>
          </cell>
          <cell r="AD382">
            <v>0</v>
          </cell>
          <cell r="AE382">
            <v>0</v>
          </cell>
          <cell r="AF382">
            <v>0</v>
          </cell>
          <cell r="AH382">
            <v>0</v>
          </cell>
        </row>
        <row r="383">
          <cell r="B383" t="str">
            <v>ST/EPU</v>
          </cell>
          <cell r="C383" t="str">
            <v>B1A</v>
          </cell>
          <cell r="D383" t="str">
            <v>B1AA</v>
          </cell>
          <cell r="E383" t="str">
            <v>EP/KIND</v>
          </cell>
          <cell r="G383">
            <v>23</v>
          </cell>
          <cell r="H383" t="str">
            <v>EP cahiers multimédia 5è et 6èA pour élèves prim pub et privé : environ</v>
          </cell>
          <cell r="I383" t="str">
            <v>DNEE</v>
          </cell>
          <cell r="K383" t="str">
            <v>IDA</v>
          </cell>
          <cell r="L383" t="str">
            <v>AOI</v>
          </cell>
          <cell r="P383">
            <v>0</v>
          </cell>
          <cell r="Q383" t="str">
            <v>cahier</v>
          </cell>
          <cell r="S383">
            <v>5.9088000000000003</v>
          </cell>
          <cell r="T383">
            <v>1</v>
          </cell>
          <cell r="U383">
            <v>0</v>
          </cell>
          <cell r="V383">
            <v>0</v>
          </cell>
          <cell r="W383">
            <v>0</v>
          </cell>
          <cell r="X383">
            <v>0</v>
          </cell>
          <cell r="Y383">
            <v>0</v>
          </cell>
          <cell r="Z383">
            <v>0</v>
          </cell>
          <cell r="AA383">
            <v>0</v>
          </cell>
          <cell r="AB383">
            <v>0</v>
          </cell>
          <cell r="AC383">
            <v>0</v>
          </cell>
          <cell r="AD383">
            <v>0</v>
          </cell>
          <cell r="AE383">
            <v>0</v>
          </cell>
          <cell r="AF383">
            <v>0</v>
          </cell>
          <cell r="AH383">
            <v>0</v>
          </cell>
        </row>
        <row r="384">
          <cell r="B384" t="str">
            <v>ST/EPU</v>
          </cell>
          <cell r="C384" t="str">
            <v>B1A</v>
          </cell>
          <cell r="D384" t="str">
            <v>B1AA</v>
          </cell>
          <cell r="E384" t="str">
            <v>EP/KISS</v>
          </cell>
          <cell r="G384">
            <v>23</v>
          </cell>
          <cell r="H384" t="str">
            <v>EP cahiers multimédia 5è et 6èA pour élèves prim pub et privé : environ</v>
          </cell>
          <cell r="I384" t="str">
            <v>DNEE</v>
          </cell>
          <cell r="K384" t="str">
            <v>IDA</v>
          </cell>
          <cell r="L384" t="str">
            <v>AOI</v>
          </cell>
          <cell r="P384">
            <v>0</v>
          </cell>
          <cell r="Q384" t="str">
            <v>cahier</v>
          </cell>
          <cell r="S384">
            <v>5.9088000000000003</v>
          </cell>
          <cell r="T384">
            <v>1</v>
          </cell>
          <cell r="U384">
            <v>0</v>
          </cell>
          <cell r="V384">
            <v>0</v>
          </cell>
          <cell r="W384">
            <v>0</v>
          </cell>
          <cell r="X384">
            <v>0</v>
          </cell>
          <cell r="Y384">
            <v>0</v>
          </cell>
          <cell r="Z384">
            <v>0</v>
          </cell>
          <cell r="AA384">
            <v>0</v>
          </cell>
          <cell r="AB384">
            <v>0</v>
          </cell>
          <cell r="AC384">
            <v>0</v>
          </cell>
          <cell r="AD384">
            <v>0</v>
          </cell>
          <cell r="AE384">
            <v>0</v>
          </cell>
          <cell r="AF384">
            <v>0</v>
          </cell>
          <cell r="AH384">
            <v>0</v>
          </cell>
        </row>
        <row r="385">
          <cell r="B385" t="str">
            <v>ST/EPU</v>
          </cell>
          <cell r="C385" t="str">
            <v>B1A</v>
          </cell>
          <cell r="D385" t="str">
            <v>B1AA</v>
          </cell>
          <cell r="E385" t="str">
            <v>EP/KOUB</v>
          </cell>
          <cell r="G385">
            <v>23</v>
          </cell>
          <cell r="H385" t="str">
            <v>EP cahiers multimédia 5è et 6èA pour élèves prim pub et privé : environ</v>
          </cell>
          <cell r="I385" t="str">
            <v>DNEE</v>
          </cell>
          <cell r="K385" t="str">
            <v>IDA</v>
          </cell>
          <cell r="L385" t="str">
            <v>AOI</v>
          </cell>
          <cell r="P385">
            <v>0</v>
          </cell>
          <cell r="Q385" t="str">
            <v>cahier</v>
          </cell>
          <cell r="S385">
            <v>5.9088000000000003</v>
          </cell>
          <cell r="T385">
            <v>1</v>
          </cell>
          <cell r="U385">
            <v>0</v>
          </cell>
          <cell r="V385">
            <v>0</v>
          </cell>
          <cell r="W385">
            <v>0</v>
          </cell>
          <cell r="X385">
            <v>0</v>
          </cell>
          <cell r="Y385">
            <v>0</v>
          </cell>
          <cell r="Z385">
            <v>0</v>
          </cell>
          <cell r="AA385">
            <v>0</v>
          </cell>
          <cell r="AB385">
            <v>0</v>
          </cell>
          <cell r="AC385">
            <v>0</v>
          </cell>
          <cell r="AD385">
            <v>0</v>
          </cell>
          <cell r="AE385">
            <v>0</v>
          </cell>
          <cell r="AF385">
            <v>0</v>
          </cell>
          <cell r="AH385">
            <v>0</v>
          </cell>
        </row>
        <row r="386">
          <cell r="B386" t="str">
            <v>ST/EPU</v>
          </cell>
          <cell r="C386" t="str">
            <v>B1A</v>
          </cell>
          <cell r="D386" t="str">
            <v>B1AA</v>
          </cell>
          <cell r="E386" t="str">
            <v>EP/KOUN</v>
          </cell>
          <cell r="G386">
            <v>23</v>
          </cell>
          <cell r="H386" t="str">
            <v>EP cahiers multimédia 5è et 6èA pour élèves prim pub et privé : environ</v>
          </cell>
          <cell r="I386" t="str">
            <v>DNEE</v>
          </cell>
          <cell r="K386" t="str">
            <v>IDA</v>
          </cell>
          <cell r="L386" t="str">
            <v>AOI</v>
          </cell>
          <cell r="P386">
            <v>0</v>
          </cell>
          <cell r="Q386" t="str">
            <v>cahier</v>
          </cell>
          <cell r="S386">
            <v>5.9088000000000003</v>
          </cell>
          <cell r="T386">
            <v>1</v>
          </cell>
          <cell r="U386">
            <v>0</v>
          </cell>
          <cell r="V386">
            <v>0</v>
          </cell>
          <cell r="W386">
            <v>0</v>
          </cell>
          <cell r="X386">
            <v>0</v>
          </cell>
          <cell r="Y386">
            <v>0</v>
          </cell>
          <cell r="Z386">
            <v>0</v>
          </cell>
          <cell r="AA386">
            <v>0</v>
          </cell>
          <cell r="AB386">
            <v>0</v>
          </cell>
          <cell r="AC386">
            <v>0</v>
          </cell>
          <cell r="AD386">
            <v>0</v>
          </cell>
          <cell r="AE386">
            <v>0</v>
          </cell>
          <cell r="AF386">
            <v>0</v>
          </cell>
          <cell r="AH386">
            <v>0</v>
          </cell>
        </row>
        <row r="387">
          <cell r="B387" t="str">
            <v>ST/EPU</v>
          </cell>
          <cell r="C387" t="str">
            <v>B1A</v>
          </cell>
          <cell r="D387" t="str">
            <v>B1AA</v>
          </cell>
          <cell r="E387" t="str">
            <v>EP/KOUR</v>
          </cell>
          <cell r="G387">
            <v>23</v>
          </cell>
          <cell r="H387" t="str">
            <v>EP cahiers multimédia 5è et 6èA pour élèves prim pub et privé : environ</v>
          </cell>
          <cell r="I387" t="str">
            <v>DNEE</v>
          </cell>
          <cell r="K387" t="str">
            <v>IDA</v>
          </cell>
          <cell r="L387" t="str">
            <v>AOI</v>
          </cell>
          <cell r="P387">
            <v>0</v>
          </cell>
          <cell r="Q387" t="str">
            <v>cahier</v>
          </cell>
          <cell r="S387">
            <v>5.9088000000000003</v>
          </cell>
          <cell r="T387">
            <v>1</v>
          </cell>
          <cell r="U387">
            <v>0</v>
          </cell>
          <cell r="V387">
            <v>0</v>
          </cell>
          <cell r="W387">
            <v>0</v>
          </cell>
          <cell r="X387">
            <v>0</v>
          </cell>
          <cell r="Y387">
            <v>0</v>
          </cell>
          <cell r="Z387">
            <v>0</v>
          </cell>
          <cell r="AA387">
            <v>0</v>
          </cell>
          <cell r="AB387">
            <v>0</v>
          </cell>
          <cell r="AC387">
            <v>0</v>
          </cell>
          <cell r="AD387">
            <v>0</v>
          </cell>
          <cell r="AE387">
            <v>0</v>
          </cell>
          <cell r="AF387">
            <v>0</v>
          </cell>
          <cell r="AH387">
            <v>0</v>
          </cell>
        </row>
        <row r="388">
          <cell r="B388" t="str">
            <v>ST/EPU</v>
          </cell>
          <cell r="C388" t="str">
            <v>B1A</v>
          </cell>
          <cell r="D388" t="str">
            <v>B1AA</v>
          </cell>
          <cell r="E388" t="str">
            <v>EP/LABE</v>
          </cell>
          <cell r="G388">
            <v>23</v>
          </cell>
          <cell r="H388" t="str">
            <v>EP cahiers multimédia 5è et 6èA pour élèves prim pub et privé : environ</v>
          </cell>
          <cell r="I388" t="str">
            <v>DNEE</v>
          </cell>
          <cell r="K388" t="str">
            <v>IDA</v>
          </cell>
          <cell r="L388" t="str">
            <v>AOI</v>
          </cell>
          <cell r="P388">
            <v>0</v>
          </cell>
          <cell r="Q388" t="str">
            <v>cahier</v>
          </cell>
          <cell r="S388">
            <v>5.9088000000000003</v>
          </cell>
          <cell r="T388">
            <v>1</v>
          </cell>
          <cell r="U388">
            <v>0</v>
          </cell>
          <cell r="V388">
            <v>0</v>
          </cell>
          <cell r="W388">
            <v>0</v>
          </cell>
          <cell r="X388">
            <v>0</v>
          </cell>
          <cell r="Y388">
            <v>0</v>
          </cell>
          <cell r="Z388">
            <v>0</v>
          </cell>
          <cell r="AA388">
            <v>0</v>
          </cell>
          <cell r="AB388">
            <v>0</v>
          </cell>
          <cell r="AC388">
            <v>0</v>
          </cell>
          <cell r="AD388">
            <v>0</v>
          </cell>
          <cell r="AE388">
            <v>0</v>
          </cell>
          <cell r="AF388">
            <v>0</v>
          </cell>
          <cell r="AH388">
            <v>0</v>
          </cell>
        </row>
        <row r="389">
          <cell r="B389" t="str">
            <v>ST/EPU</v>
          </cell>
          <cell r="C389" t="str">
            <v>B1A</v>
          </cell>
          <cell r="D389" t="str">
            <v>B1AA</v>
          </cell>
          <cell r="E389" t="str">
            <v>EP/LELO</v>
          </cell>
          <cell r="G389">
            <v>23</v>
          </cell>
          <cell r="H389" t="str">
            <v>EP cahiers multimédia 5è et 6èA pour élèves prim pub et privé : environ</v>
          </cell>
          <cell r="I389" t="str">
            <v>DNEE</v>
          </cell>
          <cell r="K389" t="str">
            <v>IDA</v>
          </cell>
          <cell r="L389" t="str">
            <v>AOI</v>
          </cell>
          <cell r="P389">
            <v>0</v>
          </cell>
          <cell r="Q389" t="str">
            <v>cahier</v>
          </cell>
          <cell r="S389">
            <v>5.9088000000000003</v>
          </cell>
          <cell r="T389">
            <v>1</v>
          </cell>
          <cell r="U389">
            <v>0</v>
          </cell>
          <cell r="V389">
            <v>0</v>
          </cell>
          <cell r="W389">
            <v>0</v>
          </cell>
          <cell r="X389">
            <v>0</v>
          </cell>
          <cell r="Y389">
            <v>0</v>
          </cell>
          <cell r="Z389">
            <v>0</v>
          </cell>
          <cell r="AA389">
            <v>0</v>
          </cell>
          <cell r="AB389">
            <v>0</v>
          </cell>
          <cell r="AC389">
            <v>0</v>
          </cell>
          <cell r="AD389">
            <v>0</v>
          </cell>
          <cell r="AE389">
            <v>0</v>
          </cell>
          <cell r="AF389">
            <v>0</v>
          </cell>
          <cell r="AH389">
            <v>0</v>
          </cell>
        </row>
        <row r="390">
          <cell r="B390" t="str">
            <v>ST/EPU</v>
          </cell>
          <cell r="C390" t="str">
            <v>B1A</v>
          </cell>
          <cell r="D390" t="str">
            <v>B1AA</v>
          </cell>
          <cell r="E390" t="str">
            <v>EP/LOLA</v>
          </cell>
          <cell r="G390">
            <v>23</v>
          </cell>
          <cell r="H390" t="str">
            <v>EP cahiers multimédia 5è et 6èA pour élèves prim pub et privé : environ</v>
          </cell>
          <cell r="I390" t="str">
            <v>DNEE</v>
          </cell>
          <cell r="K390" t="str">
            <v>IDA</v>
          </cell>
          <cell r="L390" t="str">
            <v>AOI</v>
          </cell>
          <cell r="P390">
            <v>0</v>
          </cell>
          <cell r="Q390" t="str">
            <v>cahier</v>
          </cell>
          <cell r="S390">
            <v>5.9088000000000003</v>
          </cell>
          <cell r="T390">
            <v>1</v>
          </cell>
          <cell r="U390">
            <v>0</v>
          </cell>
          <cell r="V390">
            <v>0</v>
          </cell>
          <cell r="W390">
            <v>0</v>
          </cell>
          <cell r="X390">
            <v>0</v>
          </cell>
          <cell r="Y390">
            <v>0</v>
          </cell>
          <cell r="Z390">
            <v>0</v>
          </cell>
          <cell r="AA390">
            <v>0</v>
          </cell>
          <cell r="AB390">
            <v>0</v>
          </cell>
          <cell r="AC390">
            <v>0</v>
          </cell>
          <cell r="AD390">
            <v>0</v>
          </cell>
          <cell r="AE390">
            <v>0</v>
          </cell>
          <cell r="AF390">
            <v>0</v>
          </cell>
          <cell r="AH390">
            <v>0</v>
          </cell>
        </row>
        <row r="391">
          <cell r="B391" t="str">
            <v>ST/EPU</v>
          </cell>
          <cell r="C391" t="str">
            <v>B1A</v>
          </cell>
          <cell r="D391" t="str">
            <v>B1AA</v>
          </cell>
          <cell r="E391" t="str">
            <v>EP/MACE</v>
          </cell>
          <cell r="G391">
            <v>23</v>
          </cell>
          <cell r="H391" t="str">
            <v>EP cahiers multimédia 5è et 6èA pour élèves prim pub et privé : environ</v>
          </cell>
          <cell r="I391" t="str">
            <v>DNEE</v>
          </cell>
          <cell r="K391" t="str">
            <v>IDA</v>
          </cell>
          <cell r="L391" t="str">
            <v>AOI</v>
          </cell>
          <cell r="P391">
            <v>0</v>
          </cell>
          <cell r="Q391" t="str">
            <v>cahier</v>
          </cell>
          <cell r="S391">
            <v>5.9088000000000003</v>
          </cell>
          <cell r="T391">
            <v>1</v>
          </cell>
          <cell r="U391">
            <v>0</v>
          </cell>
          <cell r="V391">
            <v>0</v>
          </cell>
          <cell r="W391">
            <v>0</v>
          </cell>
          <cell r="X391">
            <v>0</v>
          </cell>
          <cell r="Y391">
            <v>0</v>
          </cell>
          <cell r="Z391">
            <v>0</v>
          </cell>
          <cell r="AA391">
            <v>0</v>
          </cell>
          <cell r="AB391">
            <v>0</v>
          </cell>
          <cell r="AC391">
            <v>0</v>
          </cell>
          <cell r="AD391">
            <v>0</v>
          </cell>
          <cell r="AE391">
            <v>0</v>
          </cell>
          <cell r="AF391">
            <v>0</v>
          </cell>
          <cell r="AH391">
            <v>0</v>
          </cell>
        </row>
        <row r="392">
          <cell r="B392" t="str">
            <v>ST/EPU</v>
          </cell>
          <cell r="C392" t="str">
            <v>B1A</v>
          </cell>
          <cell r="D392" t="str">
            <v>B1AA</v>
          </cell>
          <cell r="E392" t="str">
            <v>EP/MALI</v>
          </cell>
          <cell r="G392">
            <v>23</v>
          </cell>
          <cell r="H392" t="str">
            <v>EP cahiers multimédia 5è et 6èA pour élèves prim pub et privé : environ</v>
          </cell>
          <cell r="I392" t="str">
            <v>DNEE</v>
          </cell>
          <cell r="K392" t="str">
            <v>IDA</v>
          </cell>
          <cell r="L392" t="str">
            <v>AOI</v>
          </cell>
          <cell r="P392">
            <v>0</v>
          </cell>
          <cell r="Q392" t="str">
            <v>cahier</v>
          </cell>
          <cell r="S392">
            <v>5.9088000000000003</v>
          </cell>
          <cell r="T392">
            <v>1</v>
          </cell>
          <cell r="U392">
            <v>0</v>
          </cell>
          <cell r="V392">
            <v>0</v>
          </cell>
          <cell r="W392">
            <v>0</v>
          </cell>
          <cell r="X392">
            <v>0</v>
          </cell>
          <cell r="Y392">
            <v>0</v>
          </cell>
          <cell r="Z392">
            <v>0</v>
          </cell>
          <cell r="AA392">
            <v>0</v>
          </cell>
          <cell r="AB392">
            <v>0</v>
          </cell>
          <cell r="AC392">
            <v>0</v>
          </cell>
          <cell r="AD392">
            <v>0</v>
          </cell>
          <cell r="AE392">
            <v>0</v>
          </cell>
          <cell r="AF392">
            <v>0</v>
          </cell>
          <cell r="AH392">
            <v>0</v>
          </cell>
        </row>
        <row r="393">
          <cell r="B393" t="str">
            <v>ST/EPU</v>
          </cell>
          <cell r="C393" t="str">
            <v>B1A</v>
          </cell>
          <cell r="D393" t="str">
            <v>B1AA</v>
          </cell>
          <cell r="E393" t="str">
            <v>EP/MAMO</v>
          </cell>
          <cell r="G393">
            <v>23</v>
          </cell>
          <cell r="H393" t="str">
            <v>EP cahiers multimédia 5è et 6èA pour élèves prim pub et privé : environ</v>
          </cell>
          <cell r="I393" t="str">
            <v>DNEE</v>
          </cell>
          <cell r="K393" t="str">
            <v>IDA</v>
          </cell>
          <cell r="L393" t="str">
            <v>AOI</v>
          </cell>
          <cell r="P393">
            <v>0</v>
          </cell>
          <cell r="Q393" t="str">
            <v>cahier</v>
          </cell>
          <cell r="S393">
            <v>5.9088000000000003</v>
          </cell>
          <cell r="T393">
            <v>1</v>
          </cell>
          <cell r="U393">
            <v>0</v>
          </cell>
          <cell r="V393">
            <v>0</v>
          </cell>
          <cell r="W393">
            <v>0</v>
          </cell>
          <cell r="X393">
            <v>0</v>
          </cell>
          <cell r="Y393">
            <v>0</v>
          </cell>
          <cell r="Z393">
            <v>0</v>
          </cell>
          <cell r="AA393">
            <v>0</v>
          </cell>
          <cell r="AB393">
            <v>0</v>
          </cell>
          <cell r="AC393">
            <v>0</v>
          </cell>
          <cell r="AD393">
            <v>0</v>
          </cell>
          <cell r="AE393">
            <v>0</v>
          </cell>
          <cell r="AF393">
            <v>0</v>
          </cell>
          <cell r="AH393">
            <v>0</v>
          </cell>
        </row>
        <row r="394">
          <cell r="B394" t="str">
            <v>ST/EPU</v>
          </cell>
          <cell r="C394" t="str">
            <v>B1A</v>
          </cell>
          <cell r="D394" t="str">
            <v>B1AA</v>
          </cell>
          <cell r="E394" t="str">
            <v>EP/MAND</v>
          </cell>
          <cell r="G394">
            <v>23</v>
          </cell>
          <cell r="H394" t="str">
            <v>EP cahiers multimédia 5è et 6èA pour élèves prim pub et privé : environ</v>
          </cell>
          <cell r="I394" t="str">
            <v>DNEE</v>
          </cell>
          <cell r="K394" t="str">
            <v>IDA</v>
          </cell>
          <cell r="L394" t="str">
            <v>AOI</v>
          </cell>
          <cell r="P394">
            <v>0</v>
          </cell>
          <cell r="Q394" t="str">
            <v>cahier</v>
          </cell>
          <cell r="S394">
            <v>5.9088000000000003</v>
          </cell>
          <cell r="T394">
            <v>1</v>
          </cell>
          <cell r="U394">
            <v>0</v>
          </cell>
          <cell r="V394">
            <v>0</v>
          </cell>
          <cell r="W394">
            <v>0</v>
          </cell>
          <cell r="X394">
            <v>0</v>
          </cell>
          <cell r="Y394">
            <v>0</v>
          </cell>
          <cell r="Z394">
            <v>0</v>
          </cell>
          <cell r="AA394">
            <v>0</v>
          </cell>
          <cell r="AB394">
            <v>0</v>
          </cell>
          <cell r="AC394">
            <v>0</v>
          </cell>
          <cell r="AD394">
            <v>0</v>
          </cell>
          <cell r="AE394">
            <v>0</v>
          </cell>
          <cell r="AF394">
            <v>0</v>
          </cell>
          <cell r="AH394">
            <v>0</v>
          </cell>
        </row>
        <row r="395">
          <cell r="B395" t="str">
            <v>ST/EPU</v>
          </cell>
          <cell r="C395" t="str">
            <v>B1A</v>
          </cell>
          <cell r="D395" t="str">
            <v>B1AA</v>
          </cell>
          <cell r="E395" t="str">
            <v>EP/MATA</v>
          </cell>
          <cell r="G395">
            <v>23</v>
          </cell>
          <cell r="H395" t="str">
            <v>EP cahiers multimédia 5è et 6èA pour élèves prim pub et privé : environ</v>
          </cell>
          <cell r="I395" t="str">
            <v>DNEE</v>
          </cell>
          <cell r="K395" t="str">
            <v>IDA</v>
          </cell>
          <cell r="L395" t="str">
            <v>AOI</v>
          </cell>
          <cell r="P395">
            <v>0</v>
          </cell>
          <cell r="Q395" t="str">
            <v>cahier</v>
          </cell>
          <cell r="S395">
            <v>5.9088000000000003</v>
          </cell>
          <cell r="T395">
            <v>1</v>
          </cell>
          <cell r="U395">
            <v>0</v>
          </cell>
          <cell r="V395">
            <v>0</v>
          </cell>
          <cell r="W395">
            <v>0</v>
          </cell>
          <cell r="X395">
            <v>0</v>
          </cell>
          <cell r="Y395">
            <v>0</v>
          </cell>
          <cell r="Z395">
            <v>0</v>
          </cell>
          <cell r="AA395">
            <v>0</v>
          </cell>
          <cell r="AB395">
            <v>0</v>
          </cell>
          <cell r="AC395">
            <v>0</v>
          </cell>
          <cell r="AD395">
            <v>0</v>
          </cell>
          <cell r="AE395">
            <v>0</v>
          </cell>
          <cell r="AF395">
            <v>0</v>
          </cell>
          <cell r="AH395">
            <v>0</v>
          </cell>
        </row>
        <row r="396">
          <cell r="B396" t="str">
            <v>ST/EPU</v>
          </cell>
          <cell r="C396" t="str">
            <v>B1A</v>
          </cell>
          <cell r="D396" t="str">
            <v>B1AA</v>
          </cell>
          <cell r="E396" t="str">
            <v>EP/MATO</v>
          </cell>
          <cell r="G396">
            <v>23</v>
          </cell>
          <cell r="H396" t="str">
            <v>EP cahiers multimédia 5è et 6èA pour élèves prim pub et privé : environ</v>
          </cell>
          <cell r="I396" t="str">
            <v>DNEE</v>
          </cell>
          <cell r="K396" t="str">
            <v>IDA</v>
          </cell>
          <cell r="L396" t="str">
            <v>AOI</v>
          </cell>
          <cell r="P396">
            <v>0</v>
          </cell>
          <cell r="Q396" t="str">
            <v>cahier</v>
          </cell>
          <cell r="S396">
            <v>5.9088000000000003</v>
          </cell>
          <cell r="T396">
            <v>1</v>
          </cell>
          <cell r="U396">
            <v>0</v>
          </cell>
          <cell r="V396">
            <v>0</v>
          </cell>
          <cell r="W396">
            <v>0</v>
          </cell>
          <cell r="X396">
            <v>0</v>
          </cell>
          <cell r="Y396">
            <v>0</v>
          </cell>
          <cell r="Z396">
            <v>0</v>
          </cell>
          <cell r="AA396">
            <v>0</v>
          </cell>
          <cell r="AB396">
            <v>0</v>
          </cell>
          <cell r="AC396">
            <v>0</v>
          </cell>
          <cell r="AD396">
            <v>0</v>
          </cell>
          <cell r="AE396">
            <v>0</v>
          </cell>
          <cell r="AF396">
            <v>0</v>
          </cell>
          <cell r="AH396">
            <v>0</v>
          </cell>
        </row>
        <row r="397">
          <cell r="B397" t="str">
            <v>ST/EPU</v>
          </cell>
          <cell r="C397" t="str">
            <v>B1A</v>
          </cell>
          <cell r="D397" t="str">
            <v>B1AA</v>
          </cell>
          <cell r="E397" t="str">
            <v>EP/NZER</v>
          </cell>
          <cell r="G397">
            <v>23</v>
          </cell>
          <cell r="H397" t="str">
            <v>EP cahiers multimédia 5è et 6èA pour élèves prim pub et privé : environ</v>
          </cell>
          <cell r="I397" t="str">
            <v>DNEE</v>
          </cell>
          <cell r="K397" t="str">
            <v>IDA</v>
          </cell>
          <cell r="L397" t="str">
            <v>AOI</v>
          </cell>
          <cell r="P397">
            <v>0</v>
          </cell>
          <cell r="Q397" t="str">
            <v>cahier</v>
          </cell>
          <cell r="S397">
            <v>5.9088000000000003</v>
          </cell>
          <cell r="T397">
            <v>1</v>
          </cell>
          <cell r="U397">
            <v>0</v>
          </cell>
          <cell r="V397">
            <v>0</v>
          </cell>
          <cell r="W397">
            <v>0</v>
          </cell>
          <cell r="X397">
            <v>0</v>
          </cell>
          <cell r="Y397">
            <v>0</v>
          </cell>
          <cell r="Z397">
            <v>0</v>
          </cell>
          <cell r="AA397">
            <v>0</v>
          </cell>
          <cell r="AB397">
            <v>0</v>
          </cell>
          <cell r="AC397">
            <v>0</v>
          </cell>
          <cell r="AD397">
            <v>0</v>
          </cell>
          <cell r="AE397">
            <v>0</v>
          </cell>
          <cell r="AF397">
            <v>0</v>
          </cell>
          <cell r="AH397">
            <v>0</v>
          </cell>
        </row>
        <row r="398">
          <cell r="B398" t="str">
            <v>ST/EPU</v>
          </cell>
          <cell r="C398" t="str">
            <v>B1A</v>
          </cell>
          <cell r="D398" t="str">
            <v>B1AA</v>
          </cell>
          <cell r="E398" t="str">
            <v>EP/PITA</v>
          </cell>
          <cell r="G398">
            <v>23</v>
          </cell>
          <cell r="H398" t="str">
            <v>EP cahiers multimédia 5è et 6èA pour élèves prim pub et privé : environ</v>
          </cell>
          <cell r="I398" t="str">
            <v>DNEE</v>
          </cell>
          <cell r="K398" t="str">
            <v>IDA</v>
          </cell>
          <cell r="L398" t="str">
            <v>AOI</v>
          </cell>
          <cell r="P398">
            <v>0</v>
          </cell>
          <cell r="Q398" t="str">
            <v>cahier</v>
          </cell>
          <cell r="S398">
            <v>5.9088000000000003</v>
          </cell>
          <cell r="T398">
            <v>1</v>
          </cell>
          <cell r="U398">
            <v>0</v>
          </cell>
          <cell r="V398">
            <v>0</v>
          </cell>
          <cell r="W398">
            <v>0</v>
          </cell>
          <cell r="X398">
            <v>0</v>
          </cell>
          <cell r="Y398">
            <v>0</v>
          </cell>
          <cell r="Z398">
            <v>0</v>
          </cell>
          <cell r="AA398">
            <v>0</v>
          </cell>
          <cell r="AB398">
            <v>0</v>
          </cell>
          <cell r="AC398">
            <v>0</v>
          </cell>
          <cell r="AD398">
            <v>0</v>
          </cell>
          <cell r="AE398">
            <v>0</v>
          </cell>
          <cell r="AF398">
            <v>0</v>
          </cell>
          <cell r="AH398">
            <v>0</v>
          </cell>
        </row>
        <row r="399">
          <cell r="B399" t="str">
            <v>ST/EPU</v>
          </cell>
          <cell r="C399" t="str">
            <v>B1A</v>
          </cell>
          <cell r="D399" t="str">
            <v>B1AA</v>
          </cell>
          <cell r="E399" t="str">
            <v>EP/RATO</v>
          </cell>
          <cell r="G399">
            <v>23</v>
          </cell>
          <cell r="H399" t="str">
            <v>EP cahiers multimédia 5è et 6èA pour élèves prim pub et privé : environ</v>
          </cell>
          <cell r="I399" t="str">
            <v>DNEE</v>
          </cell>
          <cell r="K399" t="str">
            <v>IDA</v>
          </cell>
          <cell r="L399" t="str">
            <v>AOI</v>
          </cell>
          <cell r="P399">
            <v>0</v>
          </cell>
          <cell r="Q399" t="str">
            <v>cahier</v>
          </cell>
          <cell r="S399">
            <v>5.9088000000000003</v>
          </cell>
          <cell r="T399">
            <v>1</v>
          </cell>
          <cell r="U399">
            <v>0</v>
          </cell>
          <cell r="V399">
            <v>0</v>
          </cell>
          <cell r="W399">
            <v>0</v>
          </cell>
          <cell r="X399">
            <v>0</v>
          </cell>
          <cell r="Y399">
            <v>0</v>
          </cell>
          <cell r="Z399">
            <v>0</v>
          </cell>
          <cell r="AA399">
            <v>0</v>
          </cell>
          <cell r="AB399">
            <v>0</v>
          </cell>
          <cell r="AC399">
            <v>0</v>
          </cell>
          <cell r="AD399">
            <v>0</v>
          </cell>
          <cell r="AE399">
            <v>0</v>
          </cell>
          <cell r="AF399">
            <v>0</v>
          </cell>
          <cell r="AH399">
            <v>0</v>
          </cell>
        </row>
        <row r="400">
          <cell r="B400" t="str">
            <v>ST/EPU</v>
          </cell>
          <cell r="C400" t="str">
            <v>B1A</v>
          </cell>
          <cell r="D400" t="str">
            <v>B1AA</v>
          </cell>
          <cell r="E400" t="str">
            <v>EP/SIGU</v>
          </cell>
          <cell r="G400">
            <v>23</v>
          </cell>
          <cell r="H400" t="str">
            <v>EP cahiers multimédia 5è et 6èA pour élèves prim pub et privé : environ</v>
          </cell>
          <cell r="I400" t="str">
            <v>DNEE</v>
          </cell>
          <cell r="K400" t="str">
            <v>IDA</v>
          </cell>
          <cell r="L400" t="str">
            <v>AOI</v>
          </cell>
          <cell r="P400">
            <v>0</v>
          </cell>
          <cell r="Q400" t="str">
            <v>cahier</v>
          </cell>
          <cell r="S400">
            <v>5.9088000000000003</v>
          </cell>
          <cell r="T400">
            <v>1</v>
          </cell>
          <cell r="U400">
            <v>0</v>
          </cell>
          <cell r="V400">
            <v>0</v>
          </cell>
          <cell r="W400">
            <v>0</v>
          </cell>
          <cell r="X400">
            <v>0</v>
          </cell>
          <cell r="Y400">
            <v>0</v>
          </cell>
          <cell r="Z400">
            <v>0</v>
          </cell>
          <cell r="AA400">
            <v>0</v>
          </cell>
          <cell r="AB400">
            <v>0</v>
          </cell>
          <cell r="AC400">
            <v>0</v>
          </cell>
          <cell r="AD400">
            <v>0</v>
          </cell>
          <cell r="AE400">
            <v>0</v>
          </cell>
          <cell r="AF400">
            <v>0</v>
          </cell>
          <cell r="AH400">
            <v>0</v>
          </cell>
        </row>
        <row r="401">
          <cell r="B401" t="str">
            <v>ST/EPU</v>
          </cell>
          <cell r="C401" t="str">
            <v>B1A</v>
          </cell>
          <cell r="D401" t="str">
            <v>B1AA</v>
          </cell>
          <cell r="E401" t="str">
            <v>EP/TELE</v>
          </cell>
          <cell r="G401">
            <v>23</v>
          </cell>
          <cell r="H401" t="str">
            <v>EP cahiers multimédia 5è et 6èA pour élèves prim pub et privé : environ</v>
          </cell>
          <cell r="I401" t="str">
            <v>DNEE</v>
          </cell>
          <cell r="K401" t="str">
            <v>IDA</v>
          </cell>
          <cell r="L401" t="str">
            <v>AOI</v>
          </cell>
          <cell r="P401">
            <v>0</v>
          </cell>
          <cell r="Q401" t="str">
            <v>cahier</v>
          </cell>
          <cell r="S401">
            <v>5.9088000000000003</v>
          </cell>
          <cell r="T401">
            <v>1</v>
          </cell>
          <cell r="U401">
            <v>0</v>
          </cell>
          <cell r="V401">
            <v>0</v>
          </cell>
          <cell r="W401">
            <v>0</v>
          </cell>
          <cell r="X401">
            <v>0</v>
          </cell>
          <cell r="Y401">
            <v>0</v>
          </cell>
          <cell r="Z401">
            <v>0</v>
          </cell>
          <cell r="AA401">
            <v>0</v>
          </cell>
          <cell r="AB401">
            <v>0</v>
          </cell>
          <cell r="AC401">
            <v>0</v>
          </cell>
          <cell r="AD401">
            <v>0</v>
          </cell>
          <cell r="AE401">
            <v>0</v>
          </cell>
          <cell r="AF401">
            <v>0</v>
          </cell>
          <cell r="AH401">
            <v>0</v>
          </cell>
        </row>
        <row r="402">
          <cell r="B402" t="str">
            <v>ST/EPU</v>
          </cell>
          <cell r="C402" t="str">
            <v>B1A</v>
          </cell>
          <cell r="D402" t="str">
            <v>B1AA</v>
          </cell>
          <cell r="E402" t="str">
            <v>EP/TOUG</v>
          </cell>
          <cell r="G402">
            <v>23</v>
          </cell>
          <cell r="H402" t="str">
            <v>EP cahiers multimédia 5è et 6èA pour élèves prim pub et privé : environ</v>
          </cell>
          <cell r="I402" t="str">
            <v>DNEE</v>
          </cell>
          <cell r="K402" t="str">
            <v>IDA</v>
          </cell>
          <cell r="L402" t="str">
            <v>AOI</v>
          </cell>
          <cell r="P402">
            <v>0</v>
          </cell>
          <cell r="Q402" t="str">
            <v>cahier</v>
          </cell>
          <cell r="S402">
            <v>5.9088000000000003</v>
          </cell>
          <cell r="T402">
            <v>1</v>
          </cell>
          <cell r="U402">
            <v>0</v>
          </cell>
          <cell r="V402">
            <v>0</v>
          </cell>
          <cell r="W402">
            <v>0</v>
          </cell>
          <cell r="X402">
            <v>0</v>
          </cell>
          <cell r="Y402">
            <v>0</v>
          </cell>
          <cell r="Z402">
            <v>0</v>
          </cell>
          <cell r="AA402">
            <v>0</v>
          </cell>
          <cell r="AB402">
            <v>0</v>
          </cell>
          <cell r="AC402">
            <v>0</v>
          </cell>
          <cell r="AD402">
            <v>0</v>
          </cell>
          <cell r="AE402">
            <v>0</v>
          </cell>
          <cell r="AF402">
            <v>0</v>
          </cell>
          <cell r="AH402">
            <v>0</v>
          </cell>
        </row>
        <row r="403">
          <cell r="B403" t="str">
            <v>ST/EPU</v>
          </cell>
          <cell r="C403" t="str">
            <v>B1A</v>
          </cell>
          <cell r="D403" t="str">
            <v>B1AA</v>
          </cell>
          <cell r="E403" t="str">
            <v>EP/YOMO</v>
          </cell>
          <cell r="G403">
            <v>23</v>
          </cell>
          <cell r="H403" t="str">
            <v>EP cahiers multimédia 5è et 6èA pour élèves prim pub et privé : environ</v>
          </cell>
          <cell r="I403" t="str">
            <v>DNEE</v>
          </cell>
          <cell r="K403" t="str">
            <v>IDA</v>
          </cell>
          <cell r="L403" t="str">
            <v>AOI</v>
          </cell>
          <cell r="P403">
            <v>0</v>
          </cell>
          <cell r="Q403" t="str">
            <v>cahier</v>
          </cell>
          <cell r="S403">
            <v>5.9088000000000003</v>
          </cell>
          <cell r="T403">
            <v>1</v>
          </cell>
          <cell r="U403">
            <v>0</v>
          </cell>
          <cell r="V403">
            <v>0</v>
          </cell>
          <cell r="W403">
            <v>0</v>
          </cell>
          <cell r="X403">
            <v>0</v>
          </cell>
          <cell r="Y403">
            <v>0</v>
          </cell>
          <cell r="Z403">
            <v>0</v>
          </cell>
          <cell r="AA403">
            <v>0</v>
          </cell>
          <cell r="AB403">
            <v>0</v>
          </cell>
          <cell r="AC403">
            <v>0</v>
          </cell>
          <cell r="AD403">
            <v>0</v>
          </cell>
          <cell r="AE403">
            <v>0</v>
          </cell>
          <cell r="AF403">
            <v>0</v>
          </cell>
          <cell r="AH403">
            <v>0</v>
          </cell>
        </row>
        <row r="404">
          <cell r="B404" t="str">
            <v>ST/EPU</v>
          </cell>
          <cell r="C404" t="str">
            <v>B1B</v>
          </cell>
          <cell r="D404" t="str">
            <v>B1BA</v>
          </cell>
          <cell r="E404" t="str">
            <v>ES/BEYL</v>
          </cell>
          <cell r="G404">
            <v>23</v>
          </cell>
          <cell r="H404" t="str">
            <v>ES manuels français, math, phys, snat  pour élèves collèges pub et privé : environ</v>
          </cell>
          <cell r="I404" t="str">
            <v>DNES</v>
          </cell>
          <cell r="K404" t="str">
            <v>IDA</v>
          </cell>
          <cell r="L404" t="str">
            <v>AOI</v>
          </cell>
          <cell r="P404">
            <v>0</v>
          </cell>
          <cell r="Q404" t="str">
            <v>manuel</v>
          </cell>
          <cell r="S404">
            <v>12.98705</v>
          </cell>
          <cell r="T404">
            <v>1</v>
          </cell>
          <cell r="U404">
            <v>0</v>
          </cell>
          <cell r="V404">
            <v>0</v>
          </cell>
          <cell r="W404">
            <v>0</v>
          </cell>
          <cell r="X404">
            <v>0</v>
          </cell>
          <cell r="Y404">
            <v>0</v>
          </cell>
          <cell r="Z404">
            <v>0</v>
          </cell>
          <cell r="AA404">
            <v>0</v>
          </cell>
          <cell r="AB404">
            <v>0</v>
          </cell>
          <cell r="AC404">
            <v>0</v>
          </cell>
          <cell r="AD404">
            <v>0</v>
          </cell>
          <cell r="AE404">
            <v>0</v>
          </cell>
          <cell r="AF404">
            <v>0</v>
          </cell>
          <cell r="AH404">
            <v>0</v>
          </cell>
        </row>
        <row r="405">
          <cell r="B405" t="str">
            <v>ST/EPU</v>
          </cell>
          <cell r="C405" t="str">
            <v>B1B</v>
          </cell>
          <cell r="D405" t="str">
            <v>B1BA</v>
          </cell>
          <cell r="E405" t="str">
            <v>ES/BOFF</v>
          </cell>
          <cell r="G405">
            <v>23</v>
          </cell>
          <cell r="H405" t="str">
            <v>ES manuels français, math, phys, snat  pour élèves collèges pub et privé : environ</v>
          </cell>
          <cell r="I405" t="str">
            <v>DNES</v>
          </cell>
          <cell r="K405" t="str">
            <v>IDA</v>
          </cell>
          <cell r="L405" t="str">
            <v>AOI</v>
          </cell>
          <cell r="P405">
            <v>0</v>
          </cell>
          <cell r="Q405" t="str">
            <v>manuel</v>
          </cell>
          <cell r="S405">
            <v>12.98705</v>
          </cell>
          <cell r="T405">
            <v>1</v>
          </cell>
          <cell r="U405">
            <v>0</v>
          </cell>
          <cell r="V405">
            <v>0</v>
          </cell>
          <cell r="W405">
            <v>0</v>
          </cell>
          <cell r="X405">
            <v>0</v>
          </cell>
          <cell r="Y405">
            <v>0</v>
          </cell>
          <cell r="Z405">
            <v>0</v>
          </cell>
          <cell r="AA405">
            <v>0</v>
          </cell>
          <cell r="AB405">
            <v>0</v>
          </cell>
          <cell r="AC405">
            <v>0</v>
          </cell>
          <cell r="AD405">
            <v>0</v>
          </cell>
          <cell r="AE405">
            <v>0</v>
          </cell>
          <cell r="AF405">
            <v>0</v>
          </cell>
          <cell r="AH405">
            <v>0</v>
          </cell>
        </row>
        <row r="406">
          <cell r="B406" t="str">
            <v>ST/EPU</v>
          </cell>
          <cell r="C406" t="str">
            <v>B1B</v>
          </cell>
          <cell r="D406" t="str">
            <v>B1BA</v>
          </cell>
          <cell r="E406" t="str">
            <v>ES/BOKE</v>
          </cell>
          <cell r="G406">
            <v>23</v>
          </cell>
          <cell r="H406" t="str">
            <v>ES manuels français, math, phys, snat  pour élèves collèges pub et privé : environ</v>
          </cell>
          <cell r="I406" t="str">
            <v>DNES</v>
          </cell>
          <cell r="K406" t="str">
            <v>IDA</v>
          </cell>
          <cell r="L406" t="str">
            <v>AOI</v>
          </cell>
          <cell r="P406">
            <v>0</v>
          </cell>
          <cell r="Q406" t="str">
            <v>manuel</v>
          </cell>
          <cell r="S406">
            <v>12.98705</v>
          </cell>
          <cell r="T406">
            <v>1</v>
          </cell>
          <cell r="U406">
            <v>0</v>
          </cell>
          <cell r="V406">
            <v>0</v>
          </cell>
          <cell r="W406">
            <v>0</v>
          </cell>
          <cell r="X406">
            <v>0</v>
          </cell>
          <cell r="Y406">
            <v>0</v>
          </cell>
          <cell r="Z406">
            <v>0</v>
          </cell>
          <cell r="AA406">
            <v>0</v>
          </cell>
          <cell r="AB406">
            <v>0</v>
          </cell>
          <cell r="AC406">
            <v>0</v>
          </cell>
          <cell r="AD406">
            <v>0</v>
          </cell>
          <cell r="AE406">
            <v>0</v>
          </cell>
          <cell r="AF406">
            <v>0</v>
          </cell>
          <cell r="AH406">
            <v>0</v>
          </cell>
        </row>
        <row r="407">
          <cell r="B407" t="str">
            <v>ST/EPU</v>
          </cell>
          <cell r="C407" t="str">
            <v>B1B</v>
          </cell>
          <cell r="D407" t="str">
            <v>B1BA</v>
          </cell>
          <cell r="E407" t="str">
            <v>ES/COYA</v>
          </cell>
          <cell r="G407">
            <v>23</v>
          </cell>
          <cell r="H407" t="str">
            <v>ES manuels français, math, phys, snat  pour élèves collèges pub et privé : environ</v>
          </cell>
          <cell r="I407" t="str">
            <v>DNES</v>
          </cell>
          <cell r="K407" t="str">
            <v>IDA</v>
          </cell>
          <cell r="L407" t="str">
            <v>AOI</v>
          </cell>
          <cell r="P407">
            <v>0</v>
          </cell>
          <cell r="Q407" t="str">
            <v>manuel</v>
          </cell>
          <cell r="S407">
            <v>12.98705</v>
          </cell>
          <cell r="T407">
            <v>1</v>
          </cell>
          <cell r="U407">
            <v>0</v>
          </cell>
          <cell r="V407">
            <v>0</v>
          </cell>
          <cell r="W407">
            <v>0</v>
          </cell>
          <cell r="X407">
            <v>0</v>
          </cell>
          <cell r="Y407">
            <v>0</v>
          </cell>
          <cell r="Z407">
            <v>0</v>
          </cell>
          <cell r="AA407">
            <v>0</v>
          </cell>
          <cell r="AB407">
            <v>0</v>
          </cell>
          <cell r="AC407">
            <v>0</v>
          </cell>
          <cell r="AD407">
            <v>0</v>
          </cell>
          <cell r="AE407">
            <v>0</v>
          </cell>
          <cell r="AF407">
            <v>0</v>
          </cell>
          <cell r="AH407">
            <v>0</v>
          </cell>
        </row>
        <row r="408">
          <cell r="B408" t="str">
            <v>ST/EPU</v>
          </cell>
          <cell r="C408" t="str">
            <v>B1B</v>
          </cell>
          <cell r="D408" t="str">
            <v>B1BA</v>
          </cell>
          <cell r="E408" t="str">
            <v>ES/DABO</v>
          </cell>
          <cell r="G408">
            <v>23</v>
          </cell>
          <cell r="H408" t="str">
            <v>ES manuels français, math, phys, snat  pour élèves collèges pub et privé : environ</v>
          </cell>
          <cell r="I408" t="str">
            <v>DNES</v>
          </cell>
          <cell r="K408" t="str">
            <v>IDA</v>
          </cell>
          <cell r="L408" t="str">
            <v>AOI</v>
          </cell>
          <cell r="P408">
            <v>0</v>
          </cell>
          <cell r="Q408" t="str">
            <v>manuel</v>
          </cell>
          <cell r="S408">
            <v>12.98705</v>
          </cell>
          <cell r="T408">
            <v>1</v>
          </cell>
          <cell r="U408">
            <v>0</v>
          </cell>
          <cell r="V408">
            <v>0</v>
          </cell>
          <cell r="W408">
            <v>0</v>
          </cell>
          <cell r="X408">
            <v>0</v>
          </cell>
          <cell r="Y408">
            <v>0</v>
          </cell>
          <cell r="Z408">
            <v>0</v>
          </cell>
          <cell r="AA408">
            <v>0</v>
          </cell>
          <cell r="AB408">
            <v>0</v>
          </cell>
          <cell r="AC408">
            <v>0</v>
          </cell>
          <cell r="AD408">
            <v>0</v>
          </cell>
          <cell r="AE408">
            <v>0</v>
          </cell>
          <cell r="AF408">
            <v>0</v>
          </cell>
          <cell r="AH408">
            <v>0</v>
          </cell>
        </row>
        <row r="409">
          <cell r="B409" t="str">
            <v>ST/EPU</v>
          </cell>
          <cell r="C409" t="str">
            <v>B1B</v>
          </cell>
          <cell r="D409" t="str">
            <v>B1BA</v>
          </cell>
          <cell r="E409" t="str">
            <v>ES/DALA</v>
          </cell>
          <cell r="G409">
            <v>23</v>
          </cell>
          <cell r="H409" t="str">
            <v>ES manuels français, math, phys, snat  pour élèves collèges pub et privé : environ</v>
          </cell>
          <cell r="I409" t="str">
            <v>DNES</v>
          </cell>
          <cell r="K409" t="str">
            <v>IDA</v>
          </cell>
          <cell r="L409" t="str">
            <v>AOI</v>
          </cell>
          <cell r="P409">
            <v>0</v>
          </cell>
          <cell r="Q409" t="str">
            <v>manuel</v>
          </cell>
          <cell r="S409">
            <v>12.98705</v>
          </cell>
          <cell r="T409">
            <v>1</v>
          </cell>
          <cell r="U409">
            <v>0</v>
          </cell>
          <cell r="V409">
            <v>0</v>
          </cell>
          <cell r="W409">
            <v>0</v>
          </cell>
          <cell r="X409">
            <v>0</v>
          </cell>
          <cell r="Y409">
            <v>0</v>
          </cell>
          <cell r="Z409">
            <v>0</v>
          </cell>
          <cell r="AA409">
            <v>0</v>
          </cell>
          <cell r="AB409">
            <v>0</v>
          </cell>
          <cell r="AC409">
            <v>0</v>
          </cell>
          <cell r="AD409">
            <v>0</v>
          </cell>
          <cell r="AE409">
            <v>0</v>
          </cell>
          <cell r="AF409">
            <v>0</v>
          </cell>
          <cell r="AH409">
            <v>0</v>
          </cell>
        </row>
        <row r="410">
          <cell r="B410" t="str">
            <v>ST/EPU</v>
          </cell>
          <cell r="C410" t="str">
            <v>B1B</v>
          </cell>
          <cell r="D410" t="str">
            <v>B1BA</v>
          </cell>
          <cell r="E410" t="str">
            <v>ES/DING</v>
          </cell>
          <cell r="G410">
            <v>23</v>
          </cell>
          <cell r="H410" t="str">
            <v>ES manuels français, math, phys, snat  pour élèves collèges pub et privé : environ</v>
          </cell>
          <cell r="I410" t="str">
            <v>DNES</v>
          </cell>
          <cell r="K410" t="str">
            <v>IDA</v>
          </cell>
          <cell r="L410" t="str">
            <v>AOI</v>
          </cell>
          <cell r="P410">
            <v>0</v>
          </cell>
          <cell r="Q410" t="str">
            <v>manuel</v>
          </cell>
          <cell r="S410">
            <v>12.98705</v>
          </cell>
          <cell r="T410">
            <v>1</v>
          </cell>
          <cell r="U410">
            <v>0</v>
          </cell>
          <cell r="V410">
            <v>0</v>
          </cell>
          <cell r="W410">
            <v>0</v>
          </cell>
          <cell r="X410">
            <v>0</v>
          </cell>
          <cell r="Y410">
            <v>0</v>
          </cell>
          <cell r="Z410">
            <v>0</v>
          </cell>
          <cell r="AA410">
            <v>0</v>
          </cell>
          <cell r="AB410">
            <v>0</v>
          </cell>
          <cell r="AC410">
            <v>0</v>
          </cell>
          <cell r="AD410">
            <v>0</v>
          </cell>
          <cell r="AE410">
            <v>0</v>
          </cell>
          <cell r="AF410">
            <v>0</v>
          </cell>
          <cell r="AH410">
            <v>0</v>
          </cell>
        </row>
        <row r="411">
          <cell r="B411" t="str">
            <v>ST/EPU</v>
          </cell>
          <cell r="C411" t="str">
            <v>B1B</v>
          </cell>
          <cell r="D411" t="str">
            <v>B1BA</v>
          </cell>
          <cell r="E411" t="str">
            <v>ES/DIXI</v>
          </cell>
          <cell r="G411">
            <v>23</v>
          </cell>
          <cell r="H411" t="str">
            <v>ES manuels français, math, phys, snat  pour élèves collèges pub et privé : environ</v>
          </cell>
          <cell r="I411" t="str">
            <v>DNES</v>
          </cell>
          <cell r="K411" t="str">
            <v>IDA</v>
          </cell>
          <cell r="L411" t="str">
            <v>AOI</v>
          </cell>
          <cell r="P411">
            <v>0</v>
          </cell>
          <cell r="Q411" t="str">
            <v>manuel</v>
          </cell>
          <cell r="S411">
            <v>12.98705</v>
          </cell>
          <cell r="T411">
            <v>1</v>
          </cell>
          <cell r="U411">
            <v>0</v>
          </cell>
          <cell r="V411">
            <v>0</v>
          </cell>
          <cell r="W411">
            <v>0</v>
          </cell>
          <cell r="X411">
            <v>0</v>
          </cell>
          <cell r="Y411">
            <v>0</v>
          </cell>
          <cell r="Z411">
            <v>0</v>
          </cell>
          <cell r="AA411">
            <v>0</v>
          </cell>
          <cell r="AB411">
            <v>0</v>
          </cell>
          <cell r="AC411">
            <v>0</v>
          </cell>
          <cell r="AD411">
            <v>0</v>
          </cell>
          <cell r="AE411">
            <v>0</v>
          </cell>
          <cell r="AF411">
            <v>0</v>
          </cell>
          <cell r="AH411">
            <v>0</v>
          </cell>
        </row>
        <row r="412">
          <cell r="B412" t="str">
            <v>ST/EPU</v>
          </cell>
          <cell r="C412" t="str">
            <v>B1B</v>
          </cell>
          <cell r="D412" t="str">
            <v>B1BA</v>
          </cell>
          <cell r="E412" t="str">
            <v>ES/DUBR</v>
          </cell>
          <cell r="G412">
            <v>23</v>
          </cell>
          <cell r="H412" t="str">
            <v>ES manuels français, math, phys, snat  pour élèves collèges pub et privé : environ</v>
          </cell>
          <cell r="I412" t="str">
            <v>DNES</v>
          </cell>
          <cell r="K412" t="str">
            <v>IDA</v>
          </cell>
          <cell r="L412" t="str">
            <v>AOI</v>
          </cell>
          <cell r="P412">
            <v>0</v>
          </cell>
          <cell r="Q412" t="str">
            <v>manuel</v>
          </cell>
          <cell r="S412">
            <v>12.98705</v>
          </cell>
          <cell r="T412">
            <v>1</v>
          </cell>
          <cell r="U412">
            <v>0</v>
          </cell>
          <cell r="V412">
            <v>0</v>
          </cell>
          <cell r="W412">
            <v>0</v>
          </cell>
          <cell r="X412">
            <v>0</v>
          </cell>
          <cell r="Y412">
            <v>0</v>
          </cell>
          <cell r="Z412">
            <v>0</v>
          </cell>
          <cell r="AA412">
            <v>0</v>
          </cell>
          <cell r="AB412">
            <v>0</v>
          </cell>
          <cell r="AC412">
            <v>0</v>
          </cell>
          <cell r="AD412">
            <v>0</v>
          </cell>
          <cell r="AE412">
            <v>0</v>
          </cell>
          <cell r="AF412">
            <v>0</v>
          </cell>
          <cell r="AH412">
            <v>0</v>
          </cell>
        </row>
        <row r="413">
          <cell r="B413" t="str">
            <v>ST/EPU</v>
          </cell>
          <cell r="C413" t="str">
            <v>B1B</v>
          </cell>
          <cell r="D413" t="str">
            <v>B1BA</v>
          </cell>
          <cell r="E413" t="str">
            <v>ES/FARA</v>
          </cell>
          <cell r="G413">
            <v>23</v>
          </cell>
          <cell r="H413" t="str">
            <v>ES manuels français, math, phys, snat  pour élèves collèges pub et privé : environ</v>
          </cell>
          <cell r="I413" t="str">
            <v>DNES</v>
          </cell>
          <cell r="K413" t="str">
            <v>IDA</v>
          </cell>
          <cell r="L413" t="str">
            <v>AOI</v>
          </cell>
          <cell r="P413">
            <v>0</v>
          </cell>
          <cell r="Q413" t="str">
            <v>manuel</v>
          </cell>
          <cell r="S413">
            <v>12.98705</v>
          </cell>
          <cell r="T413">
            <v>1</v>
          </cell>
          <cell r="U413">
            <v>0</v>
          </cell>
          <cell r="V413">
            <v>0</v>
          </cell>
          <cell r="W413">
            <v>0</v>
          </cell>
          <cell r="X413">
            <v>0</v>
          </cell>
          <cell r="Y413">
            <v>0</v>
          </cell>
          <cell r="Z413">
            <v>0</v>
          </cell>
          <cell r="AA413">
            <v>0</v>
          </cell>
          <cell r="AB413">
            <v>0</v>
          </cell>
          <cell r="AC413">
            <v>0</v>
          </cell>
          <cell r="AD413">
            <v>0</v>
          </cell>
          <cell r="AE413">
            <v>0</v>
          </cell>
          <cell r="AF413">
            <v>0</v>
          </cell>
          <cell r="AH413">
            <v>0</v>
          </cell>
        </row>
        <row r="414">
          <cell r="B414" t="str">
            <v>ST/EPU</v>
          </cell>
          <cell r="C414" t="str">
            <v>B1B</v>
          </cell>
          <cell r="D414" t="str">
            <v>B1BA</v>
          </cell>
          <cell r="E414" t="str">
            <v>ES/FORE</v>
          </cell>
          <cell r="G414">
            <v>23</v>
          </cell>
          <cell r="H414" t="str">
            <v>ES manuels français, math, phys, snat  pour élèves collèges pub et privé : environ</v>
          </cell>
          <cell r="I414" t="str">
            <v>DNES</v>
          </cell>
          <cell r="K414" t="str">
            <v>IDA</v>
          </cell>
          <cell r="L414" t="str">
            <v>AOI</v>
          </cell>
          <cell r="P414">
            <v>0</v>
          </cell>
          <cell r="Q414" t="str">
            <v>manuel</v>
          </cell>
          <cell r="S414">
            <v>12.98705</v>
          </cell>
          <cell r="T414">
            <v>1</v>
          </cell>
          <cell r="U414">
            <v>0</v>
          </cell>
          <cell r="V414">
            <v>0</v>
          </cell>
          <cell r="W414">
            <v>0</v>
          </cell>
          <cell r="X414">
            <v>0</v>
          </cell>
          <cell r="Y414">
            <v>0</v>
          </cell>
          <cell r="Z414">
            <v>0</v>
          </cell>
          <cell r="AA414">
            <v>0</v>
          </cell>
          <cell r="AB414">
            <v>0</v>
          </cell>
          <cell r="AC414">
            <v>0</v>
          </cell>
          <cell r="AD414">
            <v>0</v>
          </cell>
          <cell r="AE414">
            <v>0</v>
          </cell>
          <cell r="AF414">
            <v>0</v>
          </cell>
          <cell r="AH414">
            <v>0</v>
          </cell>
        </row>
        <row r="415">
          <cell r="B415" t="str">
            <v>ST/EPU</v>
          </cell>
          <cell r="C415" t="str">
            <v>B1B</v>
          </cell>
          <cell r="D415" t="str">
            <v>B1BA</v>
          </cell>
          <cell r="E415" t="str">
            <v>ES/FRIA</v>
          </cell>
          <cell r="G415">
            <v>23</v>
          </cell>
          <cell r="H415" t="str">
            <v>ES manuels français, math, phys, snat  pour élèves collèges pub et privé : environ</v>
          </cell>
          <cell r="I415" t="str">
            <v>DNES</v>
          </cell>
          <cell r="K415" t="str">
            <v>IDA</v>
          </cell>
          <cell r="L415" t="str">
            <v>AOI</v>
          </cell>
          <cell r="P415">
            <v>0</v>
          </cell>
          <cell r="Q415" t="str">
            <v>manuel</v>
          </cell>
          <cell r="S415">
            <v>12.98705</v>
          </cell>
          <cell r="T415">
            <v>1</v>
          </cell>
          <cell r="U415">
            <v>0</v>
          </cell>
          <cell r="V415">
            <v>0</v>
          </cell>
          <cell r="W415">
            <v>0</v>
          </cell>
          <cell r="X415">
            <v>0</v>
          </cell>
          <cell r="Y415">
            <v>0</v>
          </cell>
          <cell r="Z415">
            <v>0</v>
          </cell>
          <cell r="AA415">
            <v>0</v>
          </cell>
          <cell r="AB415">
            <v>0</v>
          </cell>
          <cell r="AC415">
            <v>0</v>
          </cell>
          <cell r="AD415">
            <v>0</v>
          </cell>
          <cell r="AE415">
            <v>0</v>
          </cell>
          <cell r="AF415">
            <v>0</v>
          </cell>
          <cell r="AH415">
            <v>0</v>
          </cell>
        </row>
        <row r="416">
          <cell r="B416" t="str">
            <v>ST/EPU</v>
          </cell>
          <cell r="C416" t="str">
            <v>B1B</v>
          </cell>
          <cell r="D416" t="str">
            <v>B1BA</v>
          </cell>
          <cell r="E416" t="str">
            <v>ES/GAOU</v>
          </cell>
          <cell r="G416">
            <v>23</v>
          </cell>
          <cell r="H416" t="str">
            <v>ES manuels français, math, phys, snat  pour élèves collèges pub et privé : environ</v>
          </cell>
          <cell r="I416" t="str">
            <v>DNES</v>
          </cell>
          <cell r="K416" t="str">
            <v>IDA</v>
          </cell>
          <cell r="L416" t="str">
            <v>AOI</v>
          </cell>
          <cell r="P416">
            <v>0</v>
          </cell>
          <cell r="Q416" t="str">
            <v>manuel</v>
          </cell>
          <cell r="S416">
            <v>12.98705</v>
          </cell>
          <cell r="T416">
            <v>1</v>
          </cell>
          <cell r="U416">
            <v>0</v>
          </cell>
          <cell r="V416">
            <v>0</v>
          </cell>
          <cell r="W416">
            <v>0</v>
          </cell>
          <cell r="X416">
            <v>0</v>
          </cell>
          <cell r="Y416">
            <v>0</v>
          </cell>
          <cell r="Z416">
            <v>0</v>
          </cell>
          <cell r="AA416">
            <v>0</v>
          </cell>
          <cell r="AB416">
            <v>0</v>
          </cell>
          <cell r="AC416">
            <v>0</v>
          </cell>
          <cell r="AD416">
            <v>0</v>
          </cell>
          <cell r="AE416">
            <v>0</v>
          </cell>
          <cell r="AF416">
            <v>0</v>
          </cell>
          <cell r="AH416">
            <v>0</v>
          </cell>
        </row>
        <row r="417">
          <cell r="B417" t="str">
            <v>ST/EPU</v>
          </cell>
          <cell r="C417" t="str">
            <v>B1B</v>
          </cell>
          <cell r="D417" t="str">
            <v>B1BA</v>
          </cell>
          <cell r="E417" t="str">
            <v>ES/GUEC</v>
          </cell>
          <cell r="G417">
            <v>23</v>
          </cell>
          <cell r="H417" t="str">
            <v>ES manuels français, math, phys, snat  pour élèves collèges pub et privé : environ</v>
          </cell>
          <cell r="I417" t="str">
            <v>DNES</v>
          </cell>
          <cell r="K417" t="str">
            <v>IDA</v>
          </cell>
          <cell r="L417" t="str">
            <v>AOI</v>
          </cell>
          <cell r="P417">
            <v>0</v>
          </cell>
          <cell r="Q417" t="str">
            <v>manuel</v>
          </cell>
          <cell r="S417">
            <v>12.98705</v>
          </cell>
          <cell r="T417">
            <v>1</v>
          </cell>
          <cell r="U417">
            <v>0</v>
          </cell>
          <cell r="V417">
            <v>0</v>
          </cell>
          <cell r="W417">
            <v>0</v>
          </cell>
          <cell r="X417">
            <v>0</v>
          </cell>
          <cell r="Y417">
            <v>0</v>
          </cell>
          <cell r="Z417">
            <v>0</v>
          </cell>
          <cell r="AA417">
            <v>0</v>
          </cell>
          <cell r="AB417">
            <v>0</v>
          </cell>
          <cell r="AC417">
            <v>0</v>
          </cell>
          <cell r="AD417">
            <v>0</v>
          </cell>
          <cell r="AE417">
            <v>0</v>
          </cell>
          <cell r="AF417">
            <v>0</v>
          </cell>
          <cell r="AH417">
            <v>0</v>
          </cell>
        </row>
        <row r="418">
          <cell r="B418" t="str">
            <v>ST/EPU</v>
          </cell>
          <cell r="C418" t="str">
            <v>B1B</v>
          </cell>
          <cell r="D418" t="str">
            <v>B1BA</v>
          </cell>
          <cell r="E418" t="str">
            <v>ES/KALO</v>
          </cell>
          <cell r="G418">
            <v>23</v>
          </cell>
          <cell r="H418" t="str">
            <v>ES manuels français, math, phys, snat  pour élèves collèges pub et privé : environ</v>
          </cell>
          <cell r="I418" t="str">
            <v>DNES</v>
          </cell>
          <cell r="K418" t="str">
            <v>IDA</v>
          </cell>
          <cell r="L418" t="str">
            <v>AOI</v>
          </cell>
          <cell r="P418">
            <v>0</v>
          </cell>
          <cell r="Q418" t="str">
            <v>manuel</v>
          </cell>
          <cell r="S418">
            <v>12.98705</v>
          </cell>
          <cell r="T418">
            <v>1</v>
          </cell>
          <cell r="U418">
            <v>0</v>
          </cell>
          <cell r="V418">
            <v>0</v>
          </cell>
          <cell r="W418">
            <v>0</v>
          </cell>
          <cell r="X418">
            <v>0</v>
          </cell>
          <cell r="Y418">
            <v>0</v>
          </cell>
          <cell r="Z418">
            <v>0</v>
          </cell>
          <cell r="AA418">
            <v>0</v>
          </cell>
          <cell r="AB418">
            <v>0</v>
          </cell>
          <cell r="AC418">
            <v>0</v>
          </cell>
          <cell r="AD418">
            <v>0</v>
          </cell>
          <cell r="AE418">
            <v>0</v>
          </cell>
          <cell r="AF418">
            <v>0</v>
          </cell>
          <cell r="AH418">
            <v>0</v>
          </cell>
        </row>
        <row r="419">
          <cell r="B419" t="str">
            <v>ST/EPU</v>
          </cell>
          <cell r="C419" t="str">
            <v>B1B</v>
          </cell>
          <cell r="D419" t="str">
            <v>B1BA</v>
          </cell>
          <cell r="E419" t="str">
            <v>ES/KANK</v>
          </cell>
          <cell r="G419">
            <v>23</v>
          </cell>
          <cell r="H419" t="str">
            <v>ES manuels français, math, phys, snat  pour élèves collèges pub et privé : environ</v>
          </cell>
          <cell r="I419" t="str">
            <v>DNES</v>
          </cell>
          <cell r="K419" t="str">
            <v>IDA</v>
          </cell>
          <cell r="L419" t="str">
            <v>AOI</v>
          </cell>
          <cell r="P419">
            <v>0</v>
          </cell>
          <cell r="Q419" t="str">
            <v>manuel</v>
          </cell>
          <cell r="S419">
            <v>12.98705</v>
          </cell>
          <cell r="T419">
            <v>1</v>
          </cell>
          <cell r="U419">
            <v>0</v>
          </cell>
          <cell r="V419">
            <v>0</v>
          </cell>
          <cell r="W419">
            <v>0</v>
          </cell>
          <cell r="X419">
            <v>0</v>
          </cell>
          <cell r="Y419">
            <v>0</v>
          </cell>
          <cell r="Z419">
            <v>0</v>
          </cell>
          <cell r="AA419">
            <v>0</v>
          </cell>
          <cell r="AB419">
            <v>0</v>
          </cell>
          <cell r="AC419">
            <v>0</v>
          </cell>
          <cell r="AD419">
            <v>0</v>
          </cell>
          <cell r="AE419">
            <v>0</v>
          </cell>
          <cell r="AF419">
            <v>0</v>
          </cell>
          <cell r="AH419">
            <v>0</v>
          </cell>
        </row>
        <row r="420">
          <cell r="B420" t="str">
            <v>ST/EPU</v>
          </cell>
          <cell r="C420" t="str">
            <v>B1B</v>
          </cell>
          <cell r="D420" t="str">
            <v>B1BA</v>
          </cell>
          <cell r="E420" t="str">
            <v>ES/KERO</v>
          </cell>
          <cell r="G420">
            <v>23</v>
          </cell>
          <cell r="H420" t="str">
            <v>ES manuels français, math, phys, snat  pour élèves collèges pub et privé : environ</v>
          </cell>
          <cell r="I420" t="str">
            <v>DNES</v>
          </cell>
          <cell r="K420" t="str">
            <v>IDA</v>
          </cell>
          <cell r="L420" t="str">
            <v>AOI</v>
          </cell>
          <cell r="P420">
            <v>0</v>
          </cell>
          <cell r="Q420" t="str">
            <v>manuel</v>
          </cell>
          <cell r="S420">
            <v>12.98705</v>
          </cell>
          <cell r="T420">
            <v>1</v>
          </cell>
          <cell r="U420">
            <v>0</v>
          </cell>
          <cell r="V420">
            <v>0</v>
          </cell>
          <cell r="W420">
            <v>0</v>
          </cell>
          <cell r="X420">
            <v>0</v>
          </cell>
          <cell r="Y420">
            <v>0</v>
          </cell>
          <cell r="Z420">
            <v>0</v>
          </cell>
          <cell r="AA420">
            <v>0</v>
          </cell>
          <cell r="AB420">
            <v>0</v>
          </cell>
          <cell r="AC420">
            <v>0</v>
          </cell>
          <cell r="AD420">
            <v>0</v>
          </cell>
          <cell r="AE420">
            <v>0</v>
          </cell>
          <cell r="AF420">
            <v>0</v>
          </cell>
          <cell r="AH420">
            <v>0</v>
          </cell>
        </row>
        <row r="421">
          <cell r="B421" t="str">
            <v>ST/EPU</v>
          </cell>
          <cell r="C421" t="str">
            <v>B1B</v>
          </cell>
          <cell r="D421" t="str">
            <v>B1BA</v>
          </cell>
          <cell r="E421" t="str">
            <v>ES/KIND</v>
          </cell>
          <cell r="G421">
            <v>23</v>
          </cell>
          <cell r="H421" t="str">
            <v>ES manuels français, math, phys, snat  pour élèves collèges pub et privé : environ</v>
          </cell>
          <cell r="I421" t="str">
            <v>DNES</v>
          </cell>
          <cell r="K421" t="str">
            <v>IDA</v>
          </cell>
          <cell r="L421" t="str">
            <v>AOI</v>
          </cell>
          <cell r="P421">
            <v>0</v>
          </cell>
          <cell r="Q421" t="str">
            <v>manuel</v>
          </cell>
          <cell r="S421">
            <v>12.98705</v>
          </cell>
          <cell r="T421">
            <v>1</v>
          </cell>
          <cell r="U421">
            <v>0</v>
          </cell>
          <cell r="V421">
            <v>0</v>
          </cell>
          <cell r="W421">
            <v>0</v>
          </cell>
          <cell r="X421">
            <v>0</v>
          </cell>
          <cell r="Y421">
            <v>0</v>
          </cell>
          <cell r="Z421">
            <v>0</v>
          </cell>
          <cell r="AA421">
            <v>0</v>
          </cell>
          <cell r="AB421">
            <v>0</v>
          </cell>
          <cell r="AC421">
            <v>0</v>
          </cell>
          <cell r="AD421">
            <v>0</v>
          </cell>
          <cell r="AE421">
            <v>0</v>
          </cell>
          <cell r="AF421">
            <v>0</v>
          </cell>
          <cell r="AH421">
            <v>0</v>
          </cell>
        </row>
        <row r="422">
          <cell r="B422" t="str">
            <v>ST/EPU</v>
          </cell>
          <cell r="C422" t="str">
            <v>B1B</v>
          </cell>
          <cell r="D422" t="str">
            <v>B1BA</v>
          </cell>
          <cell r="E422" t="str">
            <v>ES/KISS</v>
          </cell>
          <cell r="G422">
            <v>23</v>
          </cell>
          <cell r="H422" t="str">
            <v>ES manuels français, math, phys, snat  pour élèves collèges pub et privé : environ</v>
          </cell>
          <cell r="I422" t="str">
            <v>DNES</v>
          </cell>
          <cell r="K422" t="str">
            <v>IDA</v>
          </cell>
          <cell r="L422" t="str">
            <v>AOI</v>
          </cell>
          <cell r="P422">
            <v>0</v>
          </cell>
          <cell r="Q422" t="str">
            <v>manuel</v>
          </cell>
          <cell r="S422">
            <v>12.98705</v>
          </cell>
          <cell r="T422">
            <v>1</v>
          </cell>
          <cell r="U422">
            <v>0</v>
          </cell>
          <cell r="V422">
            <v>0</v>
          </cell>
          <cell r="W422">
            <v>0</v>
          </cell>
          <cell r="X422">
            <v>0</v>
          </cell>
          <cell r="Y422">
            <v>0</v>
          </cell>
          <cell r="Z422">
            <v>0</v>
          </cell>
          <cell r="AA422">
            <v>0</v>
          </cell>
          <cell r="AB422">
            <v>0</v>
          </cell>
          <cell r="AC422">
            <v>0</v>
          </cell>
          <cell r="AD422">
            <v>0</v>
          </cell>
          <cell r="AE422">
            <v>0</v>
          </cell>
          <cell r="AF422">
            <v>0</v>
          </cell>
          <cell r="AH422">
            <v>0</v>
          </cell>
        </row>
        <row r="423">
          <cell r="B423" t="str">
            <v>ST/EPU</v>
          </cell>
          <cell r="C423" t="str">
            <v>B1B</v>
          </cell>
          <cell r="D423" t="str">
            <v>B1BA</v>
          </cell>
          <cell r="E423" t="str">
            <v>ES/KOUB</v>
          </cell>
          <cell r="G423">
            <v>23</v>
          </cell>
          <cell r="H423" t="str">
            <v>ES manuels français, math, phys, snat  pour élèves collèges pub et privé : environ</v>
          </cell>
          <cell r="I423" t="str">
            <v>DNES</v>
          </cell>
          <cell r="K423" t="str">
            <v>IDA</v>
          </cell>
          <cell r="L423" t="str">
            <v>AOI</v>
          </cell>
          <cell r="P423">
            <v>0</v>
          </cell>
          <cell r="Q423" t="str">
            <v>manuel</v>
          </cell>
          <cell r="S423">
            <v>12.98705</v>
          </cell>
          <cell r="T423">
            <v>1</v>
          </cell>
          <cell r="U423">
            <v>0</v>
          </cell>
          <cell r="V423">
            <v>0</v>
          </cell>
          <cell r="W423">
            <v>0</v>
          </cell>
          <cell r="X423">
            <v>0</v>
          </cell>
          <cell r="Y423">
            <v>0</v>
          </cell>
          <cell r="Z423">
            <v>0</v>
          </cell>
          <cell r="AA423">
            <v>0</v>
          </cell>
          <cell r="AB423">
            <v>0</v>
          </cell>
          <cell r="AC423">
            <v>0</v>
          </cell>
          <cell r="AD423">
            <v>0</v>
          </cell>
          <cell r="AE423">
            <v>0</v>
          </cell>
          <cell r="AF423">
            <v>0</v>
          </cell>
          <cell r="AH423">
            <v>0</v>
          </cell>
        </row>
        <row r="424">
          <cell r="B424" t="str">
            <v>ST/EPU</v>
          </cell>
          <cell r="C424" t="str">
            <v>B1B</v>
          </cell>
          <cell r="D424" t="str">
            <v>B1BA</v>
          </cell>
          <cell r="E424" t="str">
            <v>ES/KOUN</v>
          </cell>
          <cell r="G424">
            <v>23</v>
          </cell>
          <cell r="H424" t="str">
            <v>ES manuels français, math, phys, snat  pour élèves collèges pub et privé : environ</v>
          </cell>
          <cell r="I424" t="str">
            <v>DNES</v>
          </cell>
          <cell r="K424" t="str">
            <v>IDA</v>
          </cell>
          <cell r="L424" t="str">
            <v>AOI</v>
          </cell>
          <cell r="P424">
            <v>0</v>
          </cell>
          <cell r="Q424" t="str">
            <v>manuel</v>
          </cell>
          <cell r="S424">
            <v>12.98705</v>
          </cell>
          <cell r="T424">
            <v>1</v>
          </cell>
          <cell r="U424">
            <v>0</v>
          </cell>
          <cell r="V424">
            <v>0</v>
          </cell>
          <cell r="W424">
            <v>0</v>
          </cell>
          <cell r="X424">
            <v>0</v>
          </cell>
          <cell r="Y424">
            <v>0</v>
          </cell>
          <cell r="Z424">
            <v>0</v>
          </cell>
          <cell r="AA424">
            <v>0</v>
          </cell>
          <cell r="AB424">
            <v>0</v>
          </cell>
          <cell r="AC424">
            <v>0</v>
          </cell>
          <cell r="AD424">
            <v>0</v>
          </cell>
          <cell r="AE424">
            <v>0</v>
          </cell>
          <cell r="AF424">
            <v>0</v>
          </cell>
          <cell r="AH424">
            <v>0</v>
          </cell>
        </row>
        <row r="425">
          <cell r="B425" t="str">
            <v>ST/EPU</v>
          </cell>
          <cell r="C425" t="str">
            <v>B1B</v>
          </cell>
          <cell r="D425" t="str">
            <v>B1BA</v>
          </cell>
          <cell r="E425" t="str">
            <v>ES/KOUR</v>
          </cell>
          <cell r="G425">
            <v>23</v>
          </cell>
          <cell r="H425" t="str">
            <v>ES manuels français, math, phys, snat  pour élèves collèges pub et privé : environ</v>
          </cell>
          <cell r="I425" t="str">
            <v>DNES</v>
          </cell>
          <cell r="K425" t="str">
            <v>IDA</v>
          </cell>
          <cell r="L425" t="str">
            <v>AOI</v>
          </cell>
          <cell r="P425">
            <v>0</v>
          </cell>
          <cell r="Q425" t="str">
            <v>manuel</v>
          </cell>
          <cell r="S425">
            <v>12.98705</v>
          </cell>
          <cell r="T425">
            <v>1</v>
          </cell>
          <cell r="U425">
            <v>0</v>
          </cell>
          <cell r="V425">
            <v>0</v>
          </cell>
          <cell r="W425">
            <v>0</v>
          </cell>
          <cell r="X425">
            <v>0</v>
          </cell>
          <cell r="Y425">
            <v>0</v>
          </cell>
          <cell r="Z425">
            <v>0</v>
          </cell>
          <cell r="AA425">
            <v>0</v>
          </cell>
          <cell r="AB425">
            <v>0</v>
          </cell>
          <cell r="AC425">
            <v>0</v>
          </cell>
          <cell r="AD425">
            <v>0</v>
          </cell>
          <cell r="AE425">
            <v>0</v>
          </cell>
          <cell r="AF425">
            <v>0</v>
          </cell>
          <cell r="AH425">
            <v>0</v>
          </cell>
        </row>
        <row r="426">
          <cell r="B426" t="str">
            <v>ST/EPU</v>
          </cell>
          <cell r="C426" t="str">
            <v>B1B</v>
          </cell>
          <cell r="D426" t="str">
            <v>B1BA</v>
          </cell>
          <cell r="E426" t="str">
            <v>ES/LABE</v>
          </cell>
          <cell r="G426">
            <v>23</v>
          </cell>
          <cell r="H426" t="str">
            <v>ES manuels français, math, phys, snat  pour élèves collèges pub et privé : environ</v>
          </cell>
          <cell r="I426" t="str">
            <v>DNES</v>
          </cell>
          <cell r="K426" t="str">
            <v>IDA</v>
          </cell>
          <cell r="L426" t="str">
            <v>AOI</v>
          </cell>
          <cell r="P426">
            <v>0</v>
          </cell>
          <cell r="Q426" t="str">
            <v>manuel</v>
          </cell>
          <cell r="S426">
            <v>12.98705</v>
          </cell>
          <cell r="T426">
            <v>1</v>
          </cell>
          <cell r="U426">
            <v>0</v>
          </cell>
          <cell r="V426">
            <v>0</v>
          </cell>
          <cell r="W426">
            <v>0</v>
          </cell>
          <cell r="X426">
            <v>0</v>
          </cell>
          <cell r="Y426">
            <v>0</v>
          </cell>
          <cell r="Z426">
            <v>0</v>
          </cell>
          <cell r="AA426">
            <v>0</v>
          </cell>
          <cell r="AB426">
            <v>0</v>
          </cell>
          <cell r="AC426">
            <v>0</v>
          </cell>
          <cell r="AD426">
            <v>0</v>
          </cell>
          <cell r="AE426">
            <v>0</v>
          </cell>
          <cell r="AF426">
            <v>0</v>
          </cell>
          <cell r="AH426">
            <v>0</v>
          </cell>
        </row>
        <row r="427">
          <cell r="B427" t="str">
            <v>ST/EPU</v>
          </cell>
          <cell r="C427" t="str">
            <v>B1B</v>
          </cell>
          <cell r="D427" t="str">
            <v>B1BA</v>
          </cell>
          <cell r="E427" t="str">
            <v>ES/LELO</v>
          </cell>
          <cell r="G427">
            <v>23</v>
          </cell>
          <cell r="H427" t="str">
            <v>ES manuels français, math, phys, snat  pour élèves collèges pub et privé : environ</v>
          </cell>
          <cell r="I427" t="str">
            <v>DNES</v>
          </cell>
          <cell r="K427" t="str">
            <v>IDA</v>
          </cell>
          <cell r="L427" t="str">
            <v>AOI</v>
          </cell>
          <cell r="P427">
            <v>0</v>
          </cell>
          <cell r="Q427" t="str">
            <v>manuel</v>
          </cell>
          <cell r="S427">
            <v>12.98705</v>
          </cell>
          <cell r="T427">
            <v>1</v>
          </cell>
          <cell r="U427">
            <v>0</v>
          </cell>
          <cell r="V427">
            <v>0</v>
          </cell>
          <cell r="W427">
            <v>0</v>
          </cell>
          <cell r="X427">
            <v>0</v>
          </cell>
          <cell r="Y427">
            <v>0</v>
          </cell>
          <cell r="Z427">
            <v>0</v>
          </cell>
          <cell r="AA427">
            <v>0</v>
          </cell>
          <cell r="AB427">
            <v>0</v>
          </cell>
          <cell r="AC427">
            <v>0</v>
          </cell>
          <cell r="AD427">
            <v>0</v>
          </cell>
          <cell r="AE427">
            <v>0</v>
          </cell>
          <cell r="AF427">
            <v>0</v>
          </cell>
          <cell r="AH427">
            <v>0</v>
          </cell>
        </row>
        <row r="428">
          <cell r="B428" t="str">
            <v>ST/EPU</v>
          </cell>
          <cell r="C428" t="str">
            <v>B1B</v>
          </cell>
          <cell r="D428" t="str">
            <v>B1BA</v>
          </cell>
          <cell r="E428" t="str">
            <v>ES/LOLA</v>
          </cell>
          <cell r="G428">
            <v>23</v>
          </cell>
          <cell r="H428" t="str">
            <v>ES manuels français, math, phys, snat  pour élèves collèges pub et privé : environ</v>
          </cell>
          <cell r="I428" t="str">
            <v>DNES</v>
          </cell>
          <cell r="K428" t="str">
            <v>IDA</v>
          </cell>
          <cell r="L428" t="str">
            <v>AOI</v>
          </cell>
          <cell r="P428">
            <v>0</v>
          </cell>
          <cell r="Q428" t="str">
            <v>manuel</v>
          </cell>
          <cell r="S428">
            <v>12.98705</v>
          </cell>
          <cell r="T428">
            <v>1</v>
          </cell>
          <cell r="U428">
            <v>0</v>
          </cell>
          <cell r="V428">
            <v>0</v>
          </cell>
          <cell r="W428">
            <v>0</v>
          </cell>
          <cell r="X428">
            <v>0</v>
          </cell>
          <cell r="Y428">
            <v>0</v>
          </cell>
          <cell r="Z428">
            <v>0</v>
          </cell>
          <cell r="AA428">
            <v>0</v>
          </cell>
          <cell r="AB428">
            <v>0</v>
          </cell>
          <cell r="AC428">
            <v>0</v>
          </cell>
          <cell r="AD428">
            <v>0</v>
          </cell>
          <cell r="AE428">
            <v>0</v>
          </cell>
          <cell r="AF428">
            <v>0</v>
          </cell>
          <cell r="AH428">
            <v>0</v>
          </cell>
        </row>
        <row r="429">
          <cell r="B429" t="str">
            <v>ST/EPU</v>
          </cell>
          <cell r="C429" t="str">
            <v>B1B</v>
          </cell>
          <cell r="D429" t="str">
            <v>B1BA</v>
          </cell>
          <cell r="E429" t="str">
            <v>ES/MACE</v>
          </cell>
          <cell r="G429">
            <v>23</v>
          </cell>
          <cell r="H429" t="str">
            <v>ES manuels français, math, phys, snat  pour élèves collèges pub et privé : environ</v>
          </cell>
          <cell r="I429" t="str">
            <v>DNES</v>
          </cell>
          <cell r="K429" t="str">
            <v>IDA</v>
          </cell>
          <cell r="L429" t="str">
            <v>AOI</v>
          </cell>
          <cell r="P429">
            <v>0</v>
          </cell>
          <cell r="Q429" t="str">
            <v>manuel</v>
          </cell>
          <cell r="S429">
            <v>12.98705</v>
          </cell>
          <cell r="T429">
            <v>1</v>
          </cell>
          <cell r="U429">
            <v>0</v>
          </cell>
          <cell r="V429">
            <v>0</v>
          </cell>
          <cell r="W429">
            <v>0</v>
          </cell>
          <cell r="X429">
            <v>0</v>
          </cell>
          <cell r="Y429">
            <v>0</v>
          </cell>
          <cell r="Z429">
            <v>0</v>
          </cell>
          <cell r="AA429">
            <v>0</v>
          </cell>
          <cell r="AB429">
            <v>0</v>
          </cell>
          <cell r="AC429">
            <v>0</v>
          </cell>
          <cell r="AD429">
            <v>0</v>
          </cell>
          <cell r="AE429">
            <v>0</v>
          </cell>
          <cell r="AF429">
            <v>0</v>
          </cell>
          <cell r="AH429">
            <v>0</v>
          </cell>
        </row>
        <row r="430">
          <cell r="B430" t="str">
            <v>ST/EPU</v>
          </cell>
          <cell r="C430" t="str">
            <v>B1B</v>
          </cell>
          <cell r="D430" t="str">
            <v>B1BA</v>
          </cell>
          <cell r="E430" t="str">
            <v>ES/MALI</v>
          </cell>
          <cell r="G430">
            <v>23</v>
          </cell>
          <cell r="H430" t="str">
            <v>ES manuels français, math, phys, snat  pour élèves collèges pub et privé : environ</v>
          </cell>
          <cell r="I430" t="str">
            <v>DNES</v>
          </cell>
          <cell r="K430" t="str">
            <v>IDA</v>
          </cell>
          <cell r="L430" t="str">
            <v>AOI</v>
          </cell>
          <cell r="P430">
            <v>0</v>
          </cell>
          <cell r="Q430" t="str">
            <v>manuel</v>
          </cell>
          <cell r="S430">
            <v>12.98705</v>
          </cell>
          <cell r="T430">
            <v>1</v>
          </cell>
          <cell r="U430">
            <v>0</v>
          </cell>
          <cell r="V430">
            <v>0</v>
          </cell>
          <cell r="W430">
            <v>0</v>
          </cell>
          <cell r="X430">
            <v>0</v>
          </cell>
          <cell r="Y430">
            <v>0</v>
          </cell>
          <cell r="Z430">
            <v>0</v>
          </cell>
          <cell r="AA430">
            <v>0</v>
          </cell>
          <cell r="AB430">
            <v>0</v>
          </cell>
          <cell r="AC430">
            <v>0</v>
          </cell>
          <cell r="AD430">
            <v>0</v>
          </cell>
          <cell r="AE430">
            <v>0</v>
          </cell>
          <cell r="AF430">
            <v>0</v>
          </cell>
          <cell r="AH430">
            <v>0</v>
          </cell>
        </row>
        <row r="431">
          <cell r="B431" t="str">
            <v>ST/EPU</v>
          </cell>
          <cell r="C431" t="str">
            <v>B1B</v>
          </cell>
          <cell r="D431" t="str">
            <v>B1BA</v>
          </cell>
          <cell r="E431" t="str">
            <v>ES/MAMO</v>
          </cell>
          <cell r="G431">
            <v>23</v>
          </cell>
          <cell r="H431" t="str">
            <v>ES manuels français, math, phys, snat  pour élèves collèges pub et privé : environ</v>
          </cell>
          <cell r="I431" t="str">
            <v>DNES</v>
          </cell>
          <cell r="K431" t="str">
            <v>IDA</v>
          </cell>
          <cell r="L431" t="str">
            <v>AOI</v>
          </cell>
          <cell r="P431">
            <v>0</v>
          </cell>
          <cell r="Q431" t="str">
            <v>manuel</v>
          </cell>
          <cell r="S431">
            <v>12.98705</v>
          </cell>
          <cell r="T431">
            <v>1</v>
          </cell>
          <cell r="U431">
            <v>0</v>
          </cell>
          <cell r="V431">
            <v>0</v>
          </cell>
          <cell r="W431">
            <v>0</v>
          </cell>
          <cell r="X431">
            <v>0</v>
          </cell>
          <cell r="Y431">
            <v>0</v>
          </cell>
          <cell r="Z431">
            <v>0</v>
          </cell>
          <cell r="AA431">
            <v>0</v>
          </cell>
          <cell r="AB431">
            <v>0</v>
          </cell>
          <cell r="AC431">
            <v>0</v>
          </cell>
          <cell r="AD431">
            <v>0</v>
          </cell>
          <cell r="AE431">
            <v>0</v>
          </cell>
          <cell r="AF431">
            <v>0</v>
          </cell>
          <cell r="AH431">
            <v>0</v>
          </cell>
        </row>
        <row r="432">
          <cell r="B432" t="str">
            <v>ST/EPU</v>
          </cell>
          <cell r="C432" t="str">
            <v>B1B</v>
          </cell>
          <cell r="D432" t="str">
            <v>B1BA</v>
          </cell>
          <cell r="E432" t="str">
            <v>ES/MAND</v>
          </cell>
          <cell r="G432">
            <v>23</v>
          </cell>
          <cell r="H432" t="str">
            <v>ES manuels français, math, phys, snat  pour élèves collèges pub et privé : environ</v>
          </cell>
          <cell r="I432" t="str">
            <v>DNES</v>
          </cell>
          <cell r="K432" t="str">
            <v>IDA</v>
          </cell>
          <cell r="L432" t="str">
            <v>AOI</v>
          </cell>
          <cell r="P432">
            <v>0</v>
          </cell>
          <cell r="Q432" t="str">
            <v>manuel</v>
          </cell>
          <cell r="S432">
            <v>12.98705</v>
          </cell>
          <cell r="T432">
            <v>1</v>
          </cell>
          <cell r="U432">
            <v>0</v>
          </cell>
          <cell r="V432">
            <v>0</v>
          </cell>
          <cell r="W432">
            <v>0</v>
          </cell>
          <cell r="X432">
            <v>0</v>
          </cell>
          <cell r="Y432">
            <v>0</v>
          </cell>
          <cell r="Z432">
            <v>0</v>
          </cell>
          <cell r="AA432">
            <v>0</v>
          </cell>
          <cell r="AB432">
            <v>0</v>
          </cell>
          <cell r="AC432">
            <v>0</v>
          </cell>
          <cell r="AD432">
            <v>0</v>
          </cell>
          <cell r="AE432">
            <v>0</v>
          </cell>
          <cell r="AF432">
            <v>0</v>
          </cell>
          <cell r="AH432">
            <v>0</v>
          </cell>
        </row>
        <row r="433">
          <cell r="B433" t="str">
            <v>ST/EPU</v>
          </cell>
          <cell r="C433" t="str">
            <v>B1B</v>
          </cell>
          <cell r="D433" t="str">
            <v>B1BA</v>
          </cell>
          <cell r="E433" t="str">
            <v>ES/MATA</v>
          </cell>
          <cell r="G433">
            <v>23</v>
          </cell>
          <cell r="H433" t="str">
            <v>ES manuels français, math, phys, snat  pour élèves collèges pub et privé : environ</v>
          </cell>
          <cell r="I433" t="str">
            <v>DNES</v>
          </cell>
          <cell r="K433" t="str">
            <v>IDA</v>
          </cell>
          <cell r="L433" t="str">
            <v>AOI</v>
          </cell>
          <cell r="P433">
            <v>0</v>
          </cell>
          <cell r="Q433" t="str">
            <v>manuel</v>
          </cell>
          <cell r="S433">
            <v>12.98705</v>
          </cell>
          <cell r="T433">
            <v>1</v>
          </cell>
          <cell r="U433">
            <v>0</v>
          </cell>
          <cell r="V433">
            <v>0</v>
          </cell>
          <cell r="W433">
            <v>0</v>
          </cell>
          <cell r="X433">
            <v>0</v>
          </cell>
          <cell r="Y433">
            <v>0</v>
          </cell>
          <cell r="Z433">
            <v>0</v>
          </cell>
          <cell r="AA433">
            <v>0</v>
          </cell>
          <cell r="AB433">
            <v>0</v>
          </cell>
          <cell r="AC433">
            <v>0</v>
          </cell>
          <cell r="AD433">
            <v>0</v>
          </cell>
          <cell r="AE433">
            <v>0</v>
          </cell>
          <cell r="AF433">
            <v>0</v>
          </cell>
          <cell r="AH433">
            <v>0</v>
          </cell>
        </row>
        <row r="434">
          <cell r="B434" t="str">
            <v>ST/EPU</v>
          </cell>
          <cell r="C434" t="str">
            <v>B1B</v>
          </cell>
          <cell r="D434" t="str">
            <v>B1BA</v>
          </cell>
          <cell r="E434" t="str">
            <v>ES/MATO</v>
          </cell>
          <cell r="G434">
            <v>23</v>
          </cell>
          <cell r="H434" t="str">
            <v>ES manuels français, math, phys, snat  pour élèves collèges pub et privé : environ</v>
          </cell>
          <cell r="I434" t="str">
            <v>DNES</v>
          </cell>
          <cell r="K434" t="str">
            <v>IDA</v>
          </cell>
          <cell r="L434" t="str">
            <v>AOI</v>
          </cell>
          <cell r="P434">
            <v>0</v>
          </cell>
          <cell r="Q434" t="str">
            <v>manuel</v>
          </cell>
          <cell r="S434">
            <v>12.98705</v>
          </cell>
          <cell r="T434">
            <v>1</v>
          </cell>
          <cell r="U434">
            <v>0</v>
          </cell>
          <cell r="V434">
            <v>0</v>
          </cell>
          <cell r="W434">
            <v>0</v>
          </cell>
          <cell r="X434">
            <v>0</v>
          </cell>
          <cell r="Y434">
            <v>0</v>
          </cell>
          <cell r="Z434">
            <v>0</v>
          </cell>
          <cell r="AA434">
            <v>0</v>
          </cell>
          <cell r="AB434">
            <v>0</v>
          </cell>
          <cell r="AC434">
            <v>0</v>
          </cell>
          <cell r="AD434">
            <v>0</v>
          </cell>
          <cell r="AE434">
            <v>0</v>
          </cell>
          <cell r="AF434">
            <v>0</v>
          </cell>
          <cell r="AH434">
            <v>0</v>
          </cell>
        </row>
        <row r="435">
          <cell r="B435" t="str">
            <v>ST/EPU</v>
          </cell>
          <cell r="C435" t="str">
            <v>B1B</v>
          </cell>
          <cell r="D435" t="str">
            <v>B1BA</v>
          </cell>
          <cell r="E435" t="str">
            <v>ES/NZER</v>
          </cell>
          <cell r="G435">
            <v>23</v>
          </cell>
          <cell r="H435" t="str">
            <v>ES manuels français, math, phys, snat  pour élèves collèges pub et privé : environ</v>
          </cell>
          <cell r="I435" t="str">
            <v>DNES</v>
          </cell>
          <cell r="K435" t="str">
            <v>IDA</v>
          </cell>
          <cell r="L435" t="str">
            <v>AOI</v>
          </cell>
          <cell r="P435">
            <v>0</v>
          </cell>
          <cell r="Q435" t="str">
            <v>manuel</v>
          </cell>
          <cell r="S435">
            <v>12.98705</v>
          </cell>
          <cell r="T435">
            <v>1</v>
          </cell>
          <cell r="U435">
            <v>0</v>
          </cell>
          <cell r="V435">
            <v>0</v>
          </cell>
          <cell r="W435">
            <v>0</v>
          </cell>
          <cell r="X435">
            <v>0</v>
          </cell>
          <cell r="Y435">
            <v>0</v>
          </cell>
          <cell r="Z435">
            <v>0</v>
          </cell>
          <cell r="AA435">
            <v>0</v>
          </cell>
          <cell r="AB435">
            <v>0</v>
          </cell>
          <cell r="AC435">
            <v>0</v>
          </cell>
          <cell r="AD435">
            <v>0</v>
          </cell>
          <cell r="AE435">
            <v>0</v>
          </cell>
          <cell r="AF435">
            <v>0</v>
          </cell>
          <cell r="AH435">
            <v>0</v>
          </cell>
        </row>
        <row r="436">
          <cell r="B436" t="str">
            <v>ST/EPU</v>
          </cell>
          <cell r="C436" t="str">
            <v>B1B</v>
          </cell>
          <cell r="D436" t="str">
            <v>B1BA</v>
          </cell>
          <cell r="E436" t="str">
            <v>ES/PITA</v>
          </cell>
          <cell r="G436">
            <v>23</v>
          </cell>
          <cell r="H436" t="str">
            <v>ES manuels français, math, phys, snat  pour élèves collèges pub et privé : environ</v>
          </cell>
          <cell r="I436" t="str">
            <v>DNES</v>
          </cell>
          <cell r="K436" t="str">
            <v>IDA</v>
          </cell>
          <cell r="L436" t="str">
            <v>AOI</v>
          </cell>
          <cell r="P436">
            <v>0</v>
          </cell>
          <cell r="Q436" t="str">
            <v>manuel</v>
          </cell>
          <cell r="S436">
            <v>12.98705</v>
          </cell>
          <cell r="T436">
            <v>1</v>
          </cell>
          <cell r="U436">
            <v>0</v>
          </cell>
          <cell r="V436">
            <v>0</v>
          </cell>
          <cell r="W436">
            <v>0</v>
          </cell>
          <cell r="X436">
            <v>0</v>
          </cell>
          <cell r="Y436">
            <v>0</v>
          </cell>
          <cell r="Z436">
            <v>0</v>
          </cell>
          <cell r="AA436">
            <v>0</v>
          </cell>
          <cell r="AB436">
            <v>0</v>
          </cell>
          <cell r="AC436">
            <v>0</v>
          </cell>
          <cell r="AD436">
            <v>0</v>
          </cell>
          <cell r="AE436">
            <v>0</v>
          </cell>
          <cell r="AF436">
            <v>0</v>
          </cell>
          <cell r="AH436">
            <v>0</v>
          </cell>
        </row>
        <row r="437">
          <cell r="B437" t="str">
            <v>ST/EPU</v>
          </cell>
          <cell r="C437" t="str">
            <v>B1B</v>
          </cell>
          <cell r="D437" t="str">
            <v>B1BA</v>
          </cell>
          <cell r="E437" t="str">
            <v>ES/RATO</v>
          </cell>
          <cell r="G437">
            <v>23</v>
          </cell>
          <cell r="H437" t="str">
            <v>ES manuels français, math, phys, snat  pour élèves collèges pub et privé : environ</v>
          </cell>
          <cell r="I437" t="str">
            <v>DNES</v>
          </cell>
          <cell r="K437" t="str">
            <v>IDA</v>
          </cell>
          <cell r="L437" t="str">
            <v>AOI</v>
          </cell>
          <cell r="P437">
            <v>0</v>
          </cell>
          <cell r="Q437" t="str">
            <v>manuel</v>
          </cell>
          <cell r="S437">
            <v>12.98705</v>
          </cell>
          <cell r="T437">
            <v>1</v>
          </cell>
          <cell r="U437">
            <v>0</v>
          </cell>
          <cell r="V437">
            <v>0</v>
          </cell>
          <cell r="W437">
            <v>0</v>
          </cell>
          <cell r="X437">
            <v>0</v>
          </cell>
          <cell r="Y437">
            <v>0</v>
          </cell>
          <cell r="Z437">
            <v>0</v>
          </cell>
          <cell r="AA437">
            <v>0</v>
          </cell>
          <cell r="AB437">
            <v>0</v>
          </cell>
          <cell r="AC437">
            <v>0</v>
          </cell>
          <cell r="AD437">
            <v>0</v>
          </cell>
          <cell r="AE437">
            <v>0</v>
          </cell>
          <cell r="AF437">
            <v>0</v>
          </cell>
          <cell r="AH437">
            <v>0</v>
          </cell>
        </row>
        <row r="438">
          <cell r="B438" t="str">
            <v>ST/EPU</v>
          </cell>
          <cell r="C438" t="str">
            <v>B1B</v>
          </cell>
          <cell r="D438" t="str">
            <v>B1BA</v>
          </cell>
          <cell r="E438" t="str">
            <v>ES/SIGU</v>
          </cell>
          <cell r="G438">
            <v>23</v>
          </cell>
          <cell r="H438" t="str">
            <v>ES manuels français, math, phys, snat  pour élèves collèges pub et privé : environ</v>
          </cell>
          <cell r="I438" t="str">
            <v>DNES</v>
          </cell>
          <cell r="K438" t="str">
            <v>IDA</v>
          </cell>
          <cell r="L438" t="str">
            <v>AOI</v>
          </cell>
          <cell r="P438">
            <v>0</v>
          </cell>
          <cell r="Q438" t="str">
            <v>manuel</v>
          </cell>
          <cell r="S438">
            <v>12.98705</v>
          </cell>
          <cell r="T438">
            <v>1</v>
          </cell>
          <cell r="U438">
            <v>0</v>
          </cell>
          <cell r="V438">
            <v>0</v>
          </cell>
          <cell r="W438">
            <v>0</v>
          </cell>
          <cell r="X438">
            <v>0</v>
          </cell>
          <cell r="Y438">
            <v>0</v>
          </cell>
          <cell r="Z438">
            <v>0</v>
          </cell>
          <cell r="AA438">
            <v>0</v>
          </cell>
          <cell r="AB438">
            <v>0</v>
          </cell>
          <cell r="AC438">
            <v>0</v>
          </cell>
          <cell r="AD438">
            <v>0</v>
          </cell>
          <cell r="AE438">
            <v>0</v>
          </cell>
          <cell r="AF438">
            <v>0</v>
          </cell>
          <cell r="AH438">
            <v>0</v>
          </cell>
        </row>
        <row r="439">
          <cell r="B439" t="str">
            <v>ST/EPU</v>
          </cell>
          <cell r="C439" t="str">
            <v>B1B</v>
          </cell>
          <cell r="D439" t="str">
            <v>B1BA</v>
          </cell>
          <cell r="E439" t="str">
            <v>ES/TELE</v>
          </cell>
          <cell r="G439">
            <v>23</v>
          </cell>
          <cell r="H439" t="str">
            <v>ES manuels français, math, phys, snat  pour élèves collèges pub et privé : environ</v>
          </cell>
          <cell r="I439" t="str">
            <v>DNES</v>
          </cell>
          <cell r="K439" t="str">
            <v>IDA</v>
          </cell>
          <cell r="L439" t="str">
            <v>AOI</v>
          </cell>
          <cell r="P439">
            <v>0</v>
          </cell>
          <cell r="Q439" t="str">
            <v>manuel</v>
          </cell>
          <cell r="S439">
            <v>12.98705</v>
          </cell>
          <cell r="T439">
            <v>1</v>
          </cell>
          <cell r="U439">
            <v>0</v>
          </cell>
          <cell r="V439">
            <v>0</v>
          </cell>
          <cell r="W439">
            <v>0</v>
          </cell>
          <cell r="X439">
            <v>0</v>
          </cell>
          <cell r="Y439">
            <v>0</v>
          </cell>
          <cell r="Z439">
            <v>0</v>
          </cell>
          <cell r="AA439">
            <v>0</v>
          </cell>
          <cell r="AB439">
            <v>0</v>
          </cell>
          <cell r="AC439">
            <v>0</v>
          </cell>
          <cell r="AD439">
            <v>0</v>
          </cell>
          <cell r="AE439">
            <v>0</v>
          </cell>
          <cell r="AF439">
            <v>0</v>
          </cell>
          <cell r="AH439">
            <v>0</v>
          </cell>
        </row>
        <row r="440">
          <cell r="B440" t="str">
            <v>ST/EPU</v>
          </cell>
          <cell r="C440" t="str">
            <v>B1B</v>
          </cell>
          <cell r="D440" t="str">
            <v>B1BA</v>
          </cell>
          <cell r="E440" t="str">
            <v>ES/TOUG</v>
          </cell>
          <cell r="G440">
            <v>23</v>
          </cell>
          <cell r="H440" t="str">
            <v>ES manuels français, math, phys, snat  pour élèves collèges pub et privé : environ</v>
          </cell>
          <cell r="I440" t="str">
            <v>DNES</v>
          </cell>
          <cell r="K440" t="str">
            <v>IDA</v>
          </cell>
          <cell r="L440" t="str">
            <v>AOI</v>
          </cell>
          <cell r="P440">
            <v>0</v>
          </cell>
          <cell r="Q440" t="str">
            <v>manuel</v>
          </cell>
          <cell r="S440">
            <v>12.98705</v>
          </cell>
          <cell r="T440">
            <v>1</v>
          </cell>
          <cell r="U440">
            <v>0</v>
          </cell>
          <cell r="V440">
            <v>0</v>
          </cell>
          <cell r="W440">
            <v>0</v>
          </cell>
          <cell r="X440">
            <v>0</v>
          </cell>
          <cell r="Y440">
            <v>0</v>
          </cell>
          <cell r="Z440">
            <v>0</v>
          </cell>
          <cell r="AA440">
            <v>0</v>
          </cell>
          <cell r="AB440">
            <v>0</v>
          </cell>
          <cell r="AC440">
            <v>0</v>
          </cell>
          <cell r="AD440">
            <v>0</v>
          </cell>
          <cell r="AE440">
            <v>0</v>
          </cell>
          <cell r="AF440">
            <v>0</v>
          </cell>
          <cell r="AH440">
            <v>0</v>
          </cell>
        </row>
        <row r="441">
          <cell r="B441" t="str">
            <v>ST/EPU</v>
          </cell>
          <cell r="C441" t="str">
            <v>B1B</v>
          </cell>
          <cell r="D441" t="str">
            <v>B1BA</v>
          </cell>
          <cell r="E441" t="str">
            <v>ES/YOMO</v>
          </cell>
          <cell r="G441">
            <v>23</v>
          </cell>
          <cell r="H441" t="str">
            <v>ES manuels français, math, phys, snat  pour élèves collèges pub et privé : environ</v>
          </cell>
          <cell r="I441" t="str">
            <v>DNES</v>
          </cell>
          <cell r="K441" t="str">
            <v>IDA</v>
          </cell>
          <cell r="L441" t="str">
            <v>AOI</v>
          </cell>
          <cell r="P441">
            <v>0</v>
          </cell>
          <cell r="Q441" t="str">
            <v>manuel</v>
          </cell>
          <cell r="S441">
            <v>12.98705</v>
          </cell>
          <cell r="T441">
            <v>1</v>
          </cell>
          <cell r="U441">
            <v>0</v>
          </cell>
          <cell r="V441">
            <v>0</v>
          </cell>
          <cell r="W441">
            <v>0</v>
          </cell>
          <cell r="X441">
            <v>0</v>
          </cell>
          <cell r="Y441">
            <v>0</v>
          </cell>
          <cell r="Z441">
            <v>0</v>
          </cell>
          <cell r="AA441">
            <v>0</v>
          </cell>
          <cell r="AB441">
            <v>0</v>
          </cell>
          <cell r="AC441">
            <v>0</v>
          </cell>
          <cell r="AD441">
            <v>0</v>
          </cell>
          <cell r="AE441">
            <v>0</v>
          </cell>
          <cell r="AF441">
            <v>0</v>
          </cell>
          <cell r="AH441">
            <v>0</v>
          </cell>
        </row>
        <row r="442">
          <cell r="B442" t="str">
            <v>ST/EPU</v>
          </cell>
          <cell r="C442" t="str">
            <v>B1B</v>
          </cell>
          <cell r="D442" t="str">
            <v>B1BA</v>
          </cell>
          <cell r="E442" t="str">
            <v>ES/BEYL</v>
          </cell>
          <cell r="G442">
            <v>23</v>
          </cell>
          <cell r="H442" t="str">
            <v>ES guides math, phys, snat  pour prof collèges pub et privé : environ</v>
          </cell>
          <cell r="I442" t="str">
            <v>DNES</v>
          </cell>
          <cell r="K442" t="str">
            <v>IDA</v>
          </cell>
          <cell r="L442" t="str">
            <v>AOI</v>
          </cell>
          <cell r="P442">
            <v>0</v>
          </cell>
          <cell r="Q442" t="str">
            <v>guide</v>
          </cell>
          <cell r="S442">
            <v>12.686307230769231</v>
          </cell>
          <cell r="T442">
            <v>1</v>
          </cell>
          <cell r="U442">
            <v>0</v>
          </cell>
          <cell r="V442">
            <v>0</v>
          </cell>
          <cell r="W442">
            <v>0</v>
          </cell>
          <cell r="X442">
            <v>0</v>
          </cell>
          <cell r="Y442">
            <v>0</v>
          </cell>
          <cell r="Z442">
            <v>0</v>
          </cell>
          <cell r="AA442">
            <v>0</v>
          </cell>
          <cell r="AB442">
            <v>0</v>
          </cell>
          <cell r="AC442">
            <v>0</v>
          </cell>
          <cell r="AD442">
            <v>0</v>
          </cell>
          <cell r="AE442">
            <v>0</v>
          </cell>
          <cell r="AF442">
            <v>0</v>
          </cell>
          <cell r="AH442">
            <v>0</v>
          </cell>
        </row>
        <row r="443">
          <cell r="B443" t="str">
            <v>ST/EPU</v>
          </cell>
          <cell r="C443" t="str">
            <v>B1B</v>
          </cell>
          <cell r="D443" t="str">
            <v>B1BA</v>
          </cell>
          <cell r="E443" t="str">
            <v>ES/BOFF</v>
          </cell>
          <cell r="G443">
            <v>23</v>
          </cell>
          <cell r="H443" t="str">
            <v>ES guides math, phys, snat  pour prof collèges pub et privé : environ</v>
          </cell>
          <cell r="I443" t="str">
            <v>DNES</v>
          </cell>
          <cell r="K443" t="str">
            <v>IDA</v>
          </cell>
          <cell r="L443" t="str">
            <v>AOI</v>
          </cell>
          <cell r="P443">
            <v>0</v>
          </cell>
          <cell r="Q443" t="str">
            <v>guide</v>
          </cell>
          <cell r="S443">
            <v>12.686307230769231</v>
          </cell>
          <cell r="T443">
            <v>1</v>
          </cell>
          <cell r="U443">
            <v>0</v>
          </cell>
          <cell r="V443">
            <v>0</v>
          </cell>
          <cell r="W443">
            <v>0</v>
          </cell>
          <cell r="X443">
            <v>0</v>
          </cell>
          <cell r="Y443">
            <v>0</v>
          </cell>
          <cell r="Z443">
            <v>0</v>
          </cell>
          <cell r="AA443">
            <v>0</v>
          </cell>
          <cell r="AB443">
            <v>0</v>
          </cell>
          <cell r="AC443">
            <v>0</v>
          </cell>
          <cell r="AD443">
            <v>0</v>
          </cell>
          <cell r="AE443">
            <v>0</v>
          </cell>
          <cell r="AF443">
            <v>0</v>
          </cell>
          <cell r="AH443">
            <v>0</v>
          </cell>
        </row>
        <row r="444">
          <cell r="B444" t="str">
            <v>ST/EPU</v>
          </cell>
          <cell r="C444" t="str">
            <v>B1B</v>
          </cell>
          <cell r="D444" t="str">
            <v>B1BA</v>
          </cell>
          <cell r="E444" t="str">
            <v>ES/BOKE</v>
          </cell>
          <cell r="G444">
            <v>23</v>
          </cell>
          <cell r="H444" t="str">
            <v>ES guides math, phys, snat  pour prof collèges pub et privé : environ</v>
          </cell>
          <cell r="I444" t="str">
            <v>DNES</v>
          </cell>
          <cell r="K444" t="str">
            <v>IDA</v>
          </cell>
          <cell r="L444" t="str">
            <v>AOI</v>
          </cell>
          <cell r="P444">
            <v>0</v>
          </cell>
          <cell r="Q444" t="str">
            <v>guide</v>
          </cell>
          <cell r="S444">
            <v>12.686307230769231</v>
          </cell>
          <cell r="T444">
            <v>1</v>
          </cell>
          <cell r="U444">
            <v>0</v>
          </cell>
          <cell r="V444">
            <v>0</v>
          </cell>
          <cell r="W444">
            <v>0</v>
          </cell>
          <cell r="X444">
            <v>0</v>
          </cell>
          <cell r="Y444">
            <v>0</v>
          </cell>
          <cell r="Z444">
            <v>0</v>
          </cell>
          <cell r="AA444">
            <v>0</v>
          </cell>
          <cell r="AB444">
            <v>0</v>
          </cell>
          <cell r="AC444">
            <v>0</v>
          </cell>
          <cell r="AD444">
            <v>0</v>
          </cell>
          <cell r="AE444">
            <v>0</v>
          </cell>
          <cell r="AF444">
            <v>0</v>
          </cell>
          <cell r="AH444">
            <v>0</v>
          </cell>
        </row>
        <row r="445">
          <cell r="B445" t="str">
            <v>ST/EPU</v>
          </cell>
          <cell r="C445" t="str">
            <v>B1B</v>
          </cell>
          <cell r="D445" t="str">
            <v>B1BA</v>
          </cell>
          <cell r="E445" t="str">
            <v>ES/COYA</v>
          </cell>
          <cell r="G445">
            <v>23</v>
          </cell>
          <cell r="H445" t="str">
            <v>ES guides math, phys, snat  pour prof collèges pub et privé : environ</v>
          </cell>
          <cell r="I445" t="str">
            <v>DNES</v>
          </cell>
          <cell r="K445" t="str">
            <v>IDA</v>
          </cell>
          <cell r="L445" t="str">
            <v>AOI</v>
          </cell>
          <cell r="P445">
            <v>0</v>
          </cell>
          <cell r="Q445" t="str">
            <v>guide</v>
          </cell>
          <cell r="S445">
            <v>12.686307230769231</v>
          </cell>
          <cell r="T445">
            <v>1</v>
          </cell>
          <cell r="U445">
            <v>0</v>
          </cell>
          <cell r="V445">
            <v>0</v>
          </cell>
          <cell r="W445">
            <v>0</v>
          </cell>
          <cell r="X445">
            <v>0</v>
          </cell>
          <cell r="Y445">
            <v>0</v>
          </cell>
          <cell r="Z445">
            <v>0</v>
          </cell>
          <cell r="AA445">
            <v>0</v>
          </cell>
          <cell r="AB445">
            <v>0</v>
          </cell>
          <cell r="AC445">
            <v>0</v>
          </cell>
          <cell r="AD445">
            <v>0</v>
          </cell>
          <cell r="AE445">
            <v>0</v>
          </cell>
          <cell r="AF445">
            <v>0</v>
          </cell>
          <cell r="AH445">
            <v>0</v>
          </cell>
        </row>
        <row r="446">
          <cell r="B446" t="str">
            <v>ST/EPU</v>
          </cell>
          <cell r="C446" t="str">
            <v>B1B</v>
          </cell>
          <cell r="D446" t="str">
            <v>B1BA</v>
          </cell>
          <cell r="E446" t="str">
            <v>ES/DABO</v>
          </cell>
          <cell r="G446">
            <v>23</v>
          </cell>
          <cell r="H446" t="str">
            <v>ES guides math, phys, snat  pour prof collèges pub et privé : environ</v>
          </cell>
          <cell r="I446" t="str">
            <v>DNES</v>
          </cell>
          <cell r="K446" t="str">
            <v>IDA</v>
          </cell>
          <cell r="L446" t="str">
            <v>AOI</v>
          </cell>
          <cell r="P446">
            <v>0</v>
          </cell>
          <cell r="Q446" t="str">
            <v>guide</v>
          </cell>
          <cell r="S446">
            <v>12.686307230769231</v>
          </cell>
          <cell r="T446">
            <v>1</v>
          </cell>
          <cell r="U446">
            <v>0</v>
          </cell>
          <cell r="V446">
            <v>0</v>
          </cell>
          <cell r="W446">
            <v>0</v>
          </cell>
          <cell r="X446">
            <v>0</v>
          </cell>
          <cell r="Y446">
            <v>0</v>
          </cell>
          <cell r="Z446">
            <v>0</v>
          </cell>
          <cell r="AA446">
            <v>0</v>
          </cell>
          <cell r="AB446">
            <v>0</v>
          </cell>
          <cell r="AC446">
            <v>0</v>
          </cell>
          <cell r="AD446">
            <v>0</v>
          </cell>
          <cell r="AE446">
            <v>0</v>
          </cell>
          <cell r="AF446">
            <v>0</v>
          </cell>
          <cell r="AH446">
            <v>0</v>
          </cell>
        </row>
        <row r="447">
          <cell r="B447" t="str">
            <v>ST/EPU</v>
          </cell>
          <cell r="C447" t="str">
            <v>B1B</v>
          </cell>
          <cell r="D447" t="str">
            <v>B1BA</v>
          </cell>
          <cell r="E447" t="str">
            <v>ES/DALA</v>
          </cell>
          <cell r="G447">
            <v>23</v>
          </cell>
          <cell r="H447" t="str">
            <v>ES guides math, phys, snat  pour prof collèges pub et privé : environ</v>
          </cell>
          <cell r="I447" t="str">
            <v>DNES</v>
          </cell>
          <cell r="K447" t="str">
            <v>IDA</v>
          </cell>
          <cell r="L447" t="str">
            <v>AOI</v>
          </cell>
          <cell r="P447">
            <v>0</v>
          </cell>
          <cell r="Q447" t="str">
            <v>guide</v>
          </cell>
          <cell r="S447">
            <v>12.686307230769231</v>
          </cell>
          <cell r="T447">
            <v>1</v>
          </cell>
          <cell r="U447">
            <v>0</v>
          </cell>
          <cell r="V447">
            <v>0</v>
          </cell>
          <cell r="W447">
            <v>0</v>
          </cell>
          <cell r="X447">
            <v>0</v>
          </cell>
          <cell r="Y447">
            <v>0</v>
          </cell>
          <cell r="Z447">
            <v>0</v>
          </cell>
          <cell r="AA447">
            <v>0</v>
          </cell>
          <cell r="AB447">
            <v>0</v>
          </cell>
          <cell r="AC447">
            <v>0</v>
          </cell>
          <cell r="AD447">
            <v>0</v>
          </cell>
          <cell r="AE447">
            <v>0</v>
          </cell>
          <cell r="AF447">
            <v>0</v>
          </cell>
          <cell r="AH447">
            <v>0</v>
          </cell>
        </row>
        <row r="448">
          <cell r="B448" t="str">
            <v>ST/EPU</v>
          </cell>
          <cell r="C448" t="str">
            <v>B1B</v>
          </cell>
          <cell r="D448" t="str">
            <v>B1BA</v>
          </cell>
          <cell r="E448" t="str">
            <v>ES/DING</v>
          </cell>
          <cell r="G448">
            <v>23</v>
          </cell>
          <cell r="H448" t="str">
            <v>ES guides math, phys, snat  pour prof collèges pub et privé : environ</v>
          </cell>
          <cell r="I448" t="str">
            <v>DNES</v>
          </cell>
          <cell r="K448" t="str">
            <v>IDA</v>
          </cell>
          <cell r="L448" t="str">
            <v>AOI</v>
          </cell>
          <cell r="P448">
            <v>0</v>
          </cell>
          <cell r="Q448" t="str">
            <v>guide</v>
          </cell>
          <cell r="S448">
            <v>12.686307230769231</v>
          </cell>
          <cell r="T448">
            <v>1</v>
          </cell>
          <cell r="U448">
            <v>0</v>
          </cell>
          <cell r="V448">
            <v>0</v>
          </cell>
          <cell r="W448">
            <v>0</v>
          </cell>
          <cell r="X448">
            <v>0</v>
          </cell>
          <cell r="Y448">
            <v>0</v>
          </cell>
          <cell r="Z448">
            <v>0</v>
          </cell>
          <cell r="AA448">
            <v>0</v>
          </cell>
          <cell r="AB448">
            <v>0</v>
          </cell>
          <cell r="AC448">
            <v>0</v>
          </cell>
          <cell r="AD448">
            <v>0</v>
          </cell>
          <cell r="AE448">
            <v>0</v>
          </cell>
          <cell r="AF448">
            <v>0</v>
          </cell>
          <cell r="AH448">
            <v>0</v>
          </cell>
        </row>
        <row r="449">
          <cell r="B449" t="str">
            <v>ST/EPU</v>
          </cell>
          <cell r="C449" t="str">
            <v>B1B</v>
          </cell>
          <cell r="D449" t="str">
            <v>B1BA</v>
          </cell>
          <cell r="E449" t="str">
            <v>ES/DIXI</v>
          </cell>
          <cell r="G449">
            <v>23</v>
          </cell>
          <cell r="H449" t="str">
            <v>ES guides math, phys, snat  pour prof collèges pub et privé : environ</v>
          </cell>
          <cell r="I449" t="str">
            <v>DNES</v>
          </cell>
          <cell r="K449" t="str">
            <v>IDA</v>
          </cell>
          <cell r="L449" t="str">
            <v>AOI</v>
          </cell>
          <cell r="P449">
            <v>0</v>
          </cell>
          <cell r="Q449" t="str">
            <v>guide</v>
          </cell>
          <cell r="S449">
            <v>12.686307230769231</v>
          </cell>
          <cell r="T449">
            <v>1</v>
          </cell>
          <cell r="U449">
            <v>0</v>
          </cell>
          <cell r="V449">
            <v>0</v>
          </cell>
          <cell r="W449">
            <v>0</v>
          </cell>
          <cell r="X449">
            <v>0</v>
          </cell>
          <cell r="Y449">
            <v>0</v>
          </cell>
          <cell r="Z449">
            <v>0</v>
          </cell>
          <cell r="AA449">
            <v>0</v>
          </cell>
          <cell r="AB449">
            <v>0</v>
          </cell>
          <cell r="AC449">
            <v>0</v>
          </cell>
          <cell r="AD449">
            <v>0</v>
          </cell>
          <cell r="AE449">
            <v>0</v>
          </cell>
          <cell r="AF449">
            <v>0</v>
          </cell>
          <cell r="AH449">
            <v>0</v>
          </cell>
        </row>
        <row r="450">
          <cell r="B450" t="str">
            <v>ST/EPU</v>
          </cell>
          <cell r="C450" t="str">
            <v>B1B</v>
          </cell>
          <cell r="D450" t="str">
            <v>B1BA</v>
          </cell>
          <cell r="E450" t="str">
            <v>ES/DUBR</v>
          </cell>
          <cell r="G450">
            <v>23</v>
          </cell>
          <cell r="H450" t="str">
            <v>ES guides math, phys, snat  pour prof collèges pub et privé : environ</v>
          </cell>
          <cell r="I450" t="str">
            <v>DNES</v>
          </cell>
          <cell r="K450" t="str">
            <v>IDA</v>
          </cell>
          <cell r="L450" t="str">
            <v>AOI</v>
          </cell>
          <cell r="P450">
            <v>0</v>
          </cell>
          <cell r="Q450" t="str">
            <v>guide</v>
          </cell>
          <cell r="S450">
            <v>12.686307230769231</v>
          </cell>
          <cell r="T450">
            <v>1</v>
          </cell>
          <cell r="U450">
            <v>0</v>
          </cell>
          <cell r="V450">
            <v>0</v>
          </cell>
          <cell r="W450">
            <v>0</v>
          </cell>
          <cell r="X450">
            <v>0</v>
          </cell>
          <cell r="Y450">
            <v>0</v>
          </cell>
          <cell r="Z450">
            <v>0</v>
          </cell>
          <cell r="AA450">
            <v>0</v>
          </cell>
          <cell r="AB450">
            <v>0</v>
          </cell>
          <cell r="AC450">
            <v>0</v>
          </cell>
          <cell r="AD450">
            <v>0</v>
          </cell>
          <cell r="AE450">
            <v>0</v>
          </cell>
          <cell r="AF450">
            <v>0</v>
          </cell>
          <cell r="AH450">
            <v>0</v>
          </cell>
        </row>
        <row r="451">
          <cell r="B451" t="str">
            <v>ST/EPU</v>
          </cell>
          <cell r="C451" t="str">
            <v>B1B</v>
          </cell>
          <cell r="D451" t="str">
            <v>B1BA</v>
          </cell>
          <cell r="E451" t="str">
            <v>ES/FARA</v>
          </cell>
          <cell r="G451">
            <v>23</v>
          </cell>
          <cell r="H451" t="str">
            <v>ES guides math, phys, snat  pour prof collèges pub et privé : environ</v>
          </cell>
          <cell r="I451" t="str">
            <v>DNES</v>
          </cell>
          <cell r="K451" t="str">
            <v>IDA</v>
          </cell>
          <cell r="L451" t="str">
            <v>AOI</v>
          </cell>
          <cell r="P451">
            <v>0</v>
          </cell>
          <cell r="Q451" t="str">
            <v>guide</v>
          </cell>
          <cell r="S451">
            <v>12.686307230769231</v>
          </cell>
          <cell r="T451">
            <v>1</v>
          </cell>
          <cell r="U451">
            <v>0</v>
          </cell>
          <cell r="V451">
            <v>0</v>
          </cell>
          <cell r="W451">
            <v>0</v>
          </cell>
          <cell r="X451">
            <v>0</v>
          </cell>
          <cell r="Y451">
            <v>0</v>
          </cell>
          <cell r="Z451">
            <v>0</v>
          </cell>
          <cell r="AA451">
            <v>0</v>
          </cell>
          <cell r="AB451">
            <v>0</v>
          </cell>
          <cell r="AC451">
            <v>0</v>
          </cell>
          <cell r="AD451">
            <v>0</v>
          </cell>
          <cell r="AE451">
            <v>0</v>
          </cell>
          <cell r="AF451">
            <v>0</v>
          </cell>
          <cell r="AH451">
            <v>0</v>
          </cell>
        </row>
        <row r="452">
          <cell r="B452" t="str">
            <v>ST/EPU</v>
          </cell>
          <cell r="C452" t="str">
            <v>B1B</v>
          </cell>
          <cell r="D452" t="str">
            <v>B1BA</v>
          </cell>
          <cell r="E452" t="str">
            <v>ES/FORE</v>
          </cell>
          <cell r="G452">
            <v>23</v>
          </cell>
          <cell r="H452" t="str">
            <v>ES guides math, phys, snat  pour prof collèges pub et privé : environ</v>
          </cell>
          <cell r="I452" t="str">
            <v>DNES</v>
          </cell>
          <cell r="K452" t="str">
            <v>IDA</v>
          </cell>
          <cell r="L452" t="str">
            <v>AOI</v>
          </cell>
          <cell r="P452">
            <v>0</v>
          </cell>
          <cell r="Q452" t="str">
            <v>guide</v>
          </cell>
          <cell r="S452">
            <v>12.686307230769231</v>
          </cell>
          <cell r="T452">
            <v>1</v>
          </cell>
          <cell r="U452">
            <v>0</v>
          </cell>
          <cell r="V452">
            <v>0</v>
          </cell>
          <cell r="W452">
            <v>0</v>
          </cell>
          <cell r="X452">
            <v>0</v>
          </cell>
          <cell r="Y452">
            <v>0</v>
          </cell>
          <cell r="Z452">
            <v>0</v>
          </cell>
          <cell r="AA452">
            <v>0</v>
          </cell>
          <cell r="AB452">
            <v>0</v>
          </cell>
          <cell r="AC452">
            <v>0</v>
          </cell>
          <cell r="AD452">
            <v>0</v>
          </cell>
          <cell r="AE452">
            <v>0</v>
          </cell>
          <cell r="AF452">
            <v>0</v>
          </cell>
          <cell r="AH452">
            <v>0</v>
          </cell>
        </row>
        <row r="453">
          <cell r="B453" t="str">
            <v>ST/EPU</v>
          </cell>
          <cell r="C453" t="str">
            <v>B1B</v>
          </cell>
          <cell r="D453" t="str">
            <v>B1BA</v>
          </cell>
          <cell r="E453" t="str">
            <v>ES/FRIA</v>
          </cell>
          <cell r="G453">
            <v>23</v>
          </cell>
          <cell r="H453" t="str">
            <v>ES guides math, phys, snat  pour prof collèges pub et privé : environ</v>
          </cell>
          <cell r="I453" t="str">
            <v>DNES</v>
          </cell>
          <cell r="K453" t="str">
            <v>IDA</v>
          </cell>
          <cell r="L453" t="str">
            <v>AOI</v>
          </cell>
          <cell r="P453">
            <v>0</v>
          </cell>
          <cell r="Q453" t="str">
            <v>guide</v>
          </cell>
          <cell r="S453">
            <v>12.686307230769231</v>
          </cell>
          <cell r="T453">
            <v>1</v>
          </cell>
          <cell r="U453">
            <v>0</v>
          </cell>
          <cell r="V453">
            <v>0</v>
          </cell>
          <cell r="W453">
            <v>0</v>
          </cell>
          <cell r="X453">
            <v>0</v>
          </cell>
          <cell r="Y453">
            <v>0</v>
          </cell>
          <cell r="Z453">
            <v>0</v>
          </cell>
          <cell r="AA453">
            <v>0</v>
          </cell>
          <cell r="AB453">
            <v>0</v>
          </cell>
          <cell r="AC453">
            <v>0</v>
          </cell>
          <cell r="AD453">
            <v>0</v>
          </cell>
          <cell r="AE453">
            <v>0</v>
          </cell>
          <cell r="AF453">
            <v>0</v>
          </cell>
          <cell r="AH453">
            <v>0</v>
          </cell>
        </row>
        <row r="454">
          <cell r="B454" t="str">
            <v>ST/EPU</v>
          </cell>
          <cell r="C454" t="str">
            <v>B1B</v>
          </cell>
          <cell r="D454" t="str">
            <v>B1BA</v>
          </cell>
          <cell r="E454" t="str">
            <v>ES/GAOU</v>
          </cell>
          <cell r="G454">
            <v>23</v>
          </cell>
          <cell r="H454" t="str">
            <v>ES guides math, phys, snat  pour prof collèges pub et privé : environ</v>
          </cell>
          <cell r="I454" t="str">
            <v>DNES</v>
          </cell>
          <cell r="K454" t="str">
            <v>IDA</v>
          </cell>
          <cell r="L454" t="str">
            <v>AOI</v>
          </cell>
          <cell r="P454">
            <v>0</v>
          </cell>
          <cell r="Q454" t="str">
            <v>guide</v>
          </cell>
          <cell r="S454">
            <v>12.686307230769231</v>
          </cell>
          <cell r="T454">
            <v>1</v>
          </cell>
          <cell r="U454">
            <v>0</v>
          </cell>
          <cell r="V454">
            <v>0</v>
          </cell>
          <cell r="W454">
            <v>0</v>
          </cell>
          <cell r="X454">
            <v>0</v>
          </cell>
          <cell r="Y454">
            <v>0</v>
          </cell>
          <cell r="Z454">
            <v>0</v>
          </cell>
          <cell r="AA454">
            <v>0</v>
          </cell>
          <cell r="AB454">
            <v>0</v>
          </cell>
          <cell r="AC454">
            <v>0</v>
          </cell>
          <cell r="AD454">
            <v>0</v>
          </cell>
          <cell r="AE454">
            <v>0</v>
          </cell>
          <cell r="AF454">
            <v>0</v>
          </cell>
          <cell r="AH454">
            <v>0</v>
          </cell>
        </row>
        <row r="455">
          <cell r="B455" t="str">
            <v>ST/EPU</v>
          </cell>
          <cell r="C455" t="str">
            <v>B1B</v>
          </cell>
          <cell r="D455" t="str">
            <v>B1BA</v>
          </cell>
          <cell r="E455" t="str">
            <v>ES/GUEC</v>
          </cell>
          <cell r="G455">
            <v>23</v>
          </cell>
          <cell r="H455" t="str">
            <v>ES guides math, phys, snat  pour prof collèges pub et privé : environ</v>
          </cell>
          <cell r="I455" t="str">
            <v>DNES</v>
          </cell>
          <cell r="K455" t="str">
            <v>IDA</v>
          </cell>
          <cell r="L455" t="str">
            <v>AOI</v>
          </cell>
          <cell r="P455">
            <v>0</v>
          </cell>
          <cell r="Q455" t="str">
            <v>guide</v>
          </cell>
          <cell r="S455">
            <v>12.686307230769231</v>
          </cell>
          <cell r="T455">
            <v>1</v>
          </cell>
          <cell r="U455">
            <v>0</v>
          </cell>
          <cell r="V455">
            <v>0</v>
          </cell>
          <cell r="W455">
            <v>0</v>
          </cell>
          <cell r="X455">
            <v>0</v>
          </cell>
          <cell r="Y455">
            <v>0</v>
          </cell>
          <cell r="Z455">
            <v>0</v>
          </cell>
          <cell r="AA455">
            <v>0</v>
          </cell>
          <cell r="AB455">
            <v>0</v>
          </cell>
          <cell r="AC455">
            <v>0</v>
          </cell>
          <cell r="AD455">
            <v>0</v>
          </cell>
          <cell r="AE455">
            <v>0</v>
          </cell>
          <cell r="AF455">
            <v>0</v>
          </cell>
          <cell r="AH455">
            <v>0</v>
          </cell>
        </row>
        <row r="456">
          <cell r="B456" t="str">
            <v>ST/EPU</v>
          </cell>
          <cell r="C456" t="str">
            <v>B1B</v>
          </cell>
          <cell r="D456" t="str">
            <v>B1BA</v>
          </cell>
          <cell r="E456" t="str">
            <v>ES/KALO</v>
          </cell>
          <cell r="G456">
            <v>23</v>
          </cell>
          <cell r="H456" t="str">
            <v>ES guides math, phys, snat  pour prof collèges pub et privé : environ</v>
          </cell>
          <cell r="I456" t="str">
            <v>DNES</v>
          </cell>
          <cell r="K456" t="str">
            <v>IDA</v>
          </cell>
          <cell r="L456" t="str">
            <v>AOI</v>
          </cell>
          <cell r="P456">
            <v>0</v>
          </cell>
          <cell r="Q456" t="str">
            <v>guide</v>
          </cell>
          <cell r="S456">
            <v>12.686307230769231</v>
          </cell>
          <cell r="T456">
            <v>1</v>
          </cell>
          <cell r="U456">
            <v>0</v>
          </cell>
          <cell r="V456">
            <v>0</v>
          </cell>
          <cell r="W456">
            <v>0</v>
          </cell>
          <cell r="X456">
            <v>0</v>
          </cell>
          <cell r="Y456">
            <v>0</v>
          </cell>
          <cell r="Z456">
            <v>0</v>
          </cell>
          <cell r="AA456">
            <v>0</v>
          </cell>
          <cell r="AB456">
            <v>0</v>
          </cell>
          <cell r="AC456">
            <v>0</v>
          </cell>
          <cell r="AD456">
            <v>0</v>
          </cell>
          <cell r="AE456">
            <v>0</v>
          </cell>
          <cell r="AF456">
            <v>0</v>
          </cell>
          <cell r="AH456">
            <v>0</v>
          </cell>
        </row>
        <row r="457">
          <cell r="B457" t="str">
            <v>ST/EPU</v>
          </cell>
          <cell r="C457" t="str">
            <v>B1B</v>
          </cell>
          <cell r="D457" t="str">
            <v>B1BA</v>
          </cell>
          <cell r="E457" t="str">
            <v>ES/KANK</v>
          </cell>
          <cell r="G457">
            <v>23</v>
          </cell>
          <cell r="H457" t="str">
            <v>ES guides math, phys, snat  pour prof collèges pub et privé : environ</v>
          </cell>
          <cell r="I457" t="str">
            <v>DNES</v>
          </cell>
          <cell r="K457" t="str">
            <v>IDA</v>
          </cell>
          <cell r="L457" t="str">
            <v>AOI</v>
          </cell>
          <cell r="P457">
            <v>0</v>
          </cell>
          <cell r="Q457" t="str">
            <v>guide</v>
          </cell>
          <cell r="S457">
            <v>12.686307230769231</v>
          </cell>
          <cell r="T457">
            <v>1</v>
          </cell>
          <cell r="U457">
            <v>0</v>
          </cell>
          <cell r="V457">
            <v>0</v>
          </cell>
          <cell r="W457">
            <v>0</v>
          </cell>
          <cell r="X457">
            <v>0</v>
          </cell>
          <cell r="Y457">
            <v>0</v>
          </cell>
          <cell r="Z457">
            <v>0</v>
          </cell>
          <cell r="AA457">
            <v>0</v>
          </cell>
          <cell r="AB457">
            <v>0</v>
          </cell>
          <cell r="AC457">
            <v>0</v>
          </cell>
          <cell r="AD457">
            <v>0</v>
          </cell>
          <cell r="AE457">
            <v>0</v>
          </cell>
          <cell r="AF457">
            <v>0</v>
          </cell>
          <cell r="AH457">
            <v>0</v>
          </cell>
        </row>
        <row r="458">
          <cell r="B458" t="str">
            <v>ST/EPU</v>
          </cell>
          <cell r="C458" t="str">
            <v>B1B</v>
          </cell>
          <cell r="D458" t="str">
            <v>B1BA</v>
          </cell>
          <cell r="E458" t="str">
            <v>ES/KERO</v>
          </cell>
          <cell r="G458">
            <v>23</v>
          </cell>
          <cell r="H458" t="str">
            <v>ES guides math, phys, snat  pour prof collèges pub et privé : environ</v>
          </cell>
          <cell r="I458" t="str">
            <v>DNES</v>
          </cell>
          <cell r="K458" t="str">
            <v>IDA</v>
          </cell>
          <cell r="L458" t="str">
            <v>AOI</v>
          </cell>
          <cell r="P458">
            <v>0</v>
          </cell>
          <cell r="Q458" t="str">
            <v>guide</v>
          </cell>
          <cell r="S458">
            <v>12.686307230769231</v>
          </cell>
          <cell r="T458">
            <v>1</v>
          </cell>
          <cell r="U458">
            <v>0</v>
          </cell>
          <cell r="V458">
            <v>0</v>
          </cell>
          <cell r="W458">
            <v>0</v>
          </cell>
          <cell r="X458">
            <v>0</v>
          </cell>
          <cell r="Y458">
            <v>0</v>
          </cell>
          <cell r="Z458">
            <v>0</v>
          </cell>
          <cell r="AA458">
            <v>0</v>
          </cell>
          <cell r="AB458">
            <v>0</v>
          </cell>
          <cell r="AC458">
            <v>0</v>
          </cell>
          <cell r="AD458">
            <v>0</v>
          </cell>
          <cell r="AE458">
            <v>0</v>
          </cell>
          <cell r="AF458">
            <v>0</v>
          </cell>
          <cell r="AH458">
            <v>0</v>
          </cell>
        </row>
        <row r="459">
          <cell r="B459" t="str">
            <v>ST/EPU</v>
          </cell>
          <cell r="C459" t="str">
            <v>B1B</v>
          </cell>
          <cell r="D459" t="str">
            <v>B1BA</v>
          </cell>
          <cell r="E459" t="str">
            <v>ES/KIND</v>
          </cell>
          <cell r="G459">
            <v>23</v>
          </cell>
          <cell r="H459" t="str">
            <v>ES guides math, phys, snat  pour prof collèges pub et privé : environ</v>
          </cell>
          <cell r="I459" t="str">
            <v>DNES</v>
          </cell>
          <cell r="K459" t="str">
            <v>IDA</v>
          </cell>
          <cell r="L459" t="str">
            <v>AOI</v>
          </cell>
          <cell r="P459">
            <v>0</v>
          </cell>
          <cell r="Q459" t="str">
            <v>guide</v>
          </cell>
          <cell r="S459">
            <v>12.686307230769231</v>
          </cell>
          <cell r="T459">
            <v>1</v>
          </cell>
          <cell r="U459">
            <v>0</v>
          </cell>
          <cell r="V459">
            <v>0</v>
          </cell>
          <cell r="W459">
            <v>0</v>
          </cell>
          <cell r="X459">
            <v>0</v>
          </cell>
          <cell r="Y459">
            <v>0</v>
          </cell>
          <cell r="Z459">
            <v>0</v>
          </cell>
          <cell r="AA459">
            <v>0</v>
          </cell>
          <cell r="AB459">
            <v>0</v>
          </cell>
          <cell r="AC459">
            <v>0</v>
          </cell>
          <cell r="AD459">
            <v>0</v>
          </cell>
          <cell r="AE459">
            <v>0</v>
          </cell>
          <cell r="AF459">
            <v>0</v>
          </cell>
          <cell r="AH459">
            <v>0</v>
          </cell>
        </row>
        <row r="460">
          <cell r="B460" t="str">
            <v>ST/EPU</v>
          </cell>
          <cell r="C460" t="str">
            <v>B1B</v>
          </cell>
          <cell r="D460" t="str">
            <v>B1BA</v>
          </cell>
          <cell r="E460" t="str">
            <v>ES/KISS</v>
          </cell>
          <cell r="G460">
            <v>23</v>
          </cell>
          <cell r="H460" t="str">
            <v>ES guides math, phys, snat  pour prof collèges pub et privé : environ</v>
          </cell>
          <cell r="I460" t="str">
            <v>DNES</v>
          </cell>
          <cell r="K460" t="str">
            <v>IDA</v>
          </cell>
          <cell r="L460" t="str">
            <v>AOI</v>
          </cell>
          <cell r="P460">
            <v>0</v>
          </cell>
          <cell r="Q460" t="str">
            <v>guide</v>
          </cell>
          <cell r="S460">
            <v>12.686307230769231</v>
          </cell>
          <cell r="T460">
            <v>1</v>
          </cell>
          <cell r="U460">
            <v>0</v>
          </cell>
          <cell r="V460">
            <v>0</v>
          </cell>
          <cell r="W460">
            <v>0</v>
          </cell>
          <cell r="X460">
            <v>0</v>
          </cell>
          <cell r="Y460">
            <v>0</v>
          </cell>
          <cell r="Z460">
            <v>0</v>
          </cell>
          <cell r="AA460">
            <v>0</v>
          </cell>
          <cell r="AB460">
            <v>0</v>
          </cell>
          <cell r="AC460">
            <v>0</v>
          </cell>
          <cell r="AD460">
            <v>0</v>
          </cell>
          <cell r="AE460">
            <v>0</v>
          </cell>
          <cell r="AF460">
            <v>0</v>
          </cell>
          <cell r="AH460">
            <v>0</v>
          </cell>
        </row>
        <row r="461">
          <cell r="B461" t="str">
            <v>ST/EPU</v>
          </cell>
          <cell r="C461" t="str">
            <v>B1B</v>
          </cell>
          <cell r="D461" t="str">
            <v>B1BA</v>
          </cell>
          <cell r="E461" t="str">
            <v>ES/KOUB</v>
          </cell>
          <cell r="G461">
            <v>23</v>
          </cell>
          <cell r="H461" t="str">
            <v>ES guides math, phys, snat  pour prof collèges pub et privé : environ</v>
          </cell>
          <cell r="I461" t="str">
            <v>DNES</v>
          </cell>
          <cell r="K461" t="str">
            <v>IDA</v>
          </cell>
          <cell r="L461" t="str">
            <v>AOI</v>
          </cell>
          <cell r="P461">
            <v>0</v>
          </cell>
          <cell r="Q461" t="str">
            <v>guide</v>
          </cell>
          <cell r="S461">
            <v>12.686307230769231</v>
          </cell>
          <cell r="T461">
            <v>1</v>
          </cell>
          <cell r="U461">
            <v>0</v>
          </cell>
          <cell r="V461">
            <v>0</v>
          </cell>
          <cell r="W461">
            <v>0</v>
          </cell>
          <cell r="X461">
            <v>0</v>
          </cell>
          <cell r="Y461">
            <v>0</v>
          </cell>
          <cell r="Z461">
            <v>0</v>
          </cell>
          <cell r="AA461">
            <v>0</v>
          </cell>
          <cell r="AB461">
            <v>0</v>
          </cell>
          <cell r="AC461">
            <v>0</v>
          </cell>
          <cell r="AD461">
            <v>0</v>
          </cell>
          <cell r="AE461">
            <v>0</v>
          </cell>
          <cell r="AF461">
            <v>0</v>
          </cell>
          <cell r="AH461">
            <v>0</v>
          </cell>
        </row>
        <row r="462">
          <cell r="B462" t="str">
            <v>ST/EPU</v>
          </cell>
          <cell r="C462" t="str">
            <v>B1B</v>
          </cell>
          <cell r="D462" t="str">
            <v>B1BA</v>
          </cell>
          <cell r="E462" t="str">
            <v>ES/KOUN</v>
          </cell>
          <cell r="G462">
            <v>23</v>
          </cell>
          <cell r="H462" t="str">
            <v>ES guides math, phys, snat  pour prof collèges pub et privé : environ</v>
          </cell>
          <cell r="I462" t="str">
            <v>DNES</v>
          </cell>
          <cell r="K462" t="str">
            <v>IDA</v>
          </cell>
          <cell r="L462" t="str">
            <v>AOI</v>
          </cell>
          <cell r="P462">
            <v>0</v>
          </cell>
          <cell r="Q462" t="str">
            <v>guide</v>
          </cell>
          <cell r="S462">
            <v>12.686307230769231</v>
          </cell>
          <cell r="T462">
            <v>1</v>
          </cell>
          <cell r="U462">
            <v>0</v>
          </cell>
          <cell r="V462">
            <v>0</v>
          </cell>
          <cell r="W462">
            <v>0</v>
          </cell>
          <cell r="X462">
            <v>0</v>
          </cell>
          <cell r="Y462">
            <v>0</v>
          </cell>
          <cell r="Z462">
            <v>0</v>
          </cell>
          <cell r="AA462">
            <v>0</v>
          </cell>
          <cell r="AB462">
            <v>0</v>
          </cell>
          <cell r="AC462">
            <v>0</v>
          </cell>
          <cell r="AD462">
            <v>0</v>
          </cell>
          <cell r="AE462">
            <v>0</v>
          </cell>
          <cell r="AF462">
            <v>0</v>
          </cell>
          <cell r="AH462">
            <v>0</v>
          </cell>
        </row>
        <row r="463">
          <cell r="B463" t="str">
            <v>ST/EPU</v>
          </cell>
          <cell r="C463" t="str">
            <v>B1B</v>
          </cell>
          <cell r="D463" t="str">
            <v>B1BA</v>
          </cell>
          <cell r="E463" t="str">
            <v>ES/KOUR</v>
          </cell>
          <cell r="G463">
            <v>23</v>
          </cell>
          <cell r="H463" t="str">
            <v>ES guides math, phys, snat  pour prof collèges pub et privé : environ</v>
          </cell>
          <cell r="I463" t="str">
            <v>DNES</v>
          </cell>
          <cell r="K463" t="str">
            <v>IDA</v>
          </cell>
          <cell r="L463" t="str">
            <v>AOI</v>
          </cell>
          <cell r="P463">
            <v>0</v>
          </cell>
          <cell r="Q463" t="str">
            <v>guide</v>
          </cell>
          <cell r="S463">
            <v>12.686307230769231</v>
          </cell>
          <cell r="T463">
            <v>1</v>
          </cell>
          <cell r="U463">
            <v>0</v>
          </cell>
          <cell r="V463">
            <v>0</v>
          </cell>
          <cell r="W463">
            <v>0</v>
          </cell>
          <cell r="X463">
            <v>0</v>
          </cell>
          <cell r="Y463">
            <v>0</v>
          </cell>
          <cell r="Z463">
            <v>0</v>
          </cell>
          <cell r="AA463">
            <v>0</v>
          </cell>
          <cell r="AB463">
            <v>0</v>
          </cell>
          <cell r="AC463">
            <v>0</v>
          </cell>
          <cell r="AD463">
            <v>0</v>
          </cell>
          <cell r="AE463">
            <v>0</v>
          </cell>
          <cell r="AF463">
            <v>0</v>
          </cell>
          <cell r="AH463">
            <v>0</v>
          </cell>
        </row>
        <row r="464">
          <cell r="B464" t="str">
            <v>ST/EPU</v>
          </cell>
          <cell r="C464" t="str">
            <v>B1B</v>
          </cell>
          <cell r="D464" t="str">
            <v>B1BA</v>
          </cell>
          <cell r="E464" t="str">
            <v>ES/LABE</v>
          </cell>
          <cell r="G464">
            <v>23</v>
          </cell>
          <cell r="H464" t="str">
            <v>ES guides math, phys, snat  pour prof collèges pub et privé : environ</v>
          </cell>
          <cell r="I464" t="str">
            <v>DNES</v>
          </cell>
          <cell r="K464" t="str">
            <v>IDA</v>
          </cell>
          <cell r="L464" t="str">
            <v>AOI</v>
          </cell>
          <cell r="P464">
            <v>0</v>
          </cell>
          <cell r="Q464" t="str">
            <v>guide</v>
          </cell>
          <cell r="S464">
            <v>12.686307230769231</v>
          </cell>
          <cell r="T464">
            <v>1</v>
          </cell>
          <cell r="U464">
            <v>0</v>
          </cell>
          <cell r="V464">
            <v>0</v>
          </cell>
          <cell r="W464">
            <v>0</v>
          </cell>
          <cell r="X464">
            <v>0</v>
          </cell>
          <cell r="Y464">
            <v>0</v>
          </cell>
          <cell r="Z464">
            <v>0</v>
          </cell>
          <cell r="AA464">
            <v>0</v>
          </cell>
          <cell r="AB464">
            <v>0</v>
          </cell>
          <cell r="AC464">
            <v>0</v>
          </cell>
          <cell r="AD464">
            <v>0</v>
          </cell>
          <cell r="AE464">
            <v>0</v>
          </cell>
          <cell r="AF464">
            <v>0</v>
          </cell>
          <cell r="AH464">
            <v>0</v>
          </cell>
        </row>
        <row r="465">
          <cell r="B465" t="str">
            <v>ST/EPU</v>
          </cell>
          <cell r="C465" t="str">
            <v>B1B</v>
          </cell>
          <cell r="D465" t="str">
            <v>B1BA</v>
          </cell>
          <cell r="E465" t="str">
            <v>ES/LELO</v>
          </cell>
          <cell r="G465">
            <v>23</v>
          </cell>
          <cell r="H465" t="str">
            <v>ES guides math, phys, snat  pour prof collèges pub et privé : environ</v>
          </cell>
          <cell r="I465" t="str">
            <v>DNES</v>
          </cell>
          <cell r="K465" t="str">
            <v>IDA</v>
          </cell>
          <cell r="L465" t="str">
            <v>AOI</v>
          </cell>
          <cell r="P465">
            <v>0</v>
          </cell>
          <cell r="Q465" t="str">
            <v>guide</v>
          </cell>
          <cell r="S465">
            <v>12.686307230769231</v>
          </cell>
          <cell r="T465">
            <v>1</v>
          </cell>
          <cell r="U465">
            <v>0</v>
          </cell>
          <cell r="V465">
            <v>0</v>
          </cell>
          <cell r="W465">
            <v>0</v>
          </cell>
          <cell r="X465">
            <v>0</v>
          </cell>
          <cell r="Y465">
            <v>0</v>
          </cell>
          <cell r="Z465">
            <v>0</v>
          </cell>
          <cell r="AA465">
            <v>0</v>
          </cell>
          <cell r="AB465">
            <v>0</v>
          </cell>
          <cell r="AC465">
            <v>0</v>
          </cell>
          <cell r="AD465">
            <v>0</v>
          </cell>
          <cell r="AE465">
            <v>0</v>
          </cell>
          <cell r="AF465">
            <v>0</v>
          </cell>
          <cell r="AH465">
            <v>0</v>
          </cell>
        </row>
        <row r="466">
          <cell r="B466" t="str">
            <v>ST/EPU</v>
          </cell>
          <cell r="C466" t="str">
            <v>B1B</v>
          </cell>
          <cell r="D466" t="str">
            <v>B1BA</v>
          </cell>
          <cell r="E466" t="str">
            <v>ES/LOLA</v>
          </cell>
          <cell r="G466">
            <v>23</v>
          </cell>
          <cell r="H466" t="str">
            <v>ES guides math, phys, snat  pour prof collèges pub et privé : environ</v>
          </cell>
          <cell r="I466" t="str">
            <v>DNES</v>
          </cell>
          <cell r="K466" t="str">
            <v>IDA</v>
          </cell>
          <cell r="L466" t="str">
            <v>AOI</v>
          </cell>
          <cell r="P466">
            <v>0</v>
          </cell>
          <cell r="Q466" t="str">
            <v>guide</v>
          </cell>
          <cell r="S466">
            <v>12.686307230769231</v>
          </cell>
          <cell r="T466">
            <v>1</v>
          </cell>
          <cell r="U466">
            <v>0</v>
          </cell>
          <cell r="V466">
            <v>0</v>
          </cell>
          <cell r="W466">
            <v>0</v>
          </cell>
          <cell r="X466">
            <v>0</v>
          </cell>
          <cell r="Y466">
            <v>0</v>
          </cell>
          <cell r="Z466">
            <v>0</v>
          </cell>
          <cell r="AA466">
            <v>0</v>
          </cell>
          <cell r="AB466">
            <v>0</v>
          </cell>
          <cell r="AC466">
            <v>0</v>
          </cell>
          <cell r="AD466">
            <v>0</v>
          </cell>
          <cell r="AE466">
            <v>0</v>
          </cell>
          <cell r="AF466">
            <v>0</v>
          </cell>
          <cell r="AH466">
            <v>0</v>
          </cell>
        </row>
        <row r="467">
          <cell r="B467" t="str">
            <v>ST/EPU</v>
          </cell>
          <cell r="C467" t="str">
            <v>B1B</v>
          </cell>
          <cell r="D467" t="str">
            <v>B1BA</v>
          </cell>
          <cell r="E467" t="str">
            <v>ES/MACE</v>
          </cell>
          <cell r="G467">
            <v>23</v>
          </cell>
          <cell r="H467" t="str">
            <v>ES guides math, phys, snat  pour prof collèges pub et privé : environ</v>
          </cell>
          <cell r="I467" t="str">
            <v>DNES</v>
          </cell>
          <cell r="K467" t="str">
            <v>IDA</v>
          </cell>
          <cell r="L467" t="str">
            <v>AOI</v>
          </cell>
          <cell r="P467">
            <v>0</v>
          </cell>
          <cell r="Q467" t="str">
            <v>guide</v>
          </cell>
          <cell r="S467">
            <v>12.686307230769231</v>
          </cell>
          <cell r="T467">
            <v>1</v>
          </cell>
          <cell r="U467">
            <v>0</v>
          </cell>
          <cell r="V467">
            <v>0</v>
          </cell>
          <cell r="W467">
            <v>0</v>
          </cell>
          <cell r="X467">
            <v>0</v>
          </cell>
          <cell r="Y467">
            <v>0</v>
          </cell>
          <cell r="Z467">
            <v>0</v>
          </cell>
          <cell r="AA467">
            <v>0</v>
          </cell>
          <cell r="AB467">
            <v>0</v>
          </cell>
          <cell r="AC467">
            <v>0</v>
          </cell>
          <cell r="AD467">
            <v>0</v>
          </cell>
          <cell r="AE467">
            <v>0</v>
          </cell>
          <cell r="AF467">
            <v>0</v>
          </cell>
          <cell r="AH467">
            <v>0</v>
          </cell>
        </row>
        <row r="468">
          <cell r="B468" t="str">
            <v>ST/EPU</v>
          </cell>
          <cell r="C468" t="str">
            <v>B1B</v>
          </cell>
          <cell r="D468" t="str">
            <v>B1BA</v>
          </cell>
          <cell r="E468" t="str">
            <v>ES/MALI</v>
          </cell>
          <cell r="G468">
            <v>23</v>
          </cell>
          <cell r="H468" t="str">
            <v>ES guides math, phys, snat  pour prof collèges pub et privé : environ</v>
          </cell>
          <cell r="I468" t="str">
            <v>DNES</v>
          </cell>
          <cell r="K468" t="str">
            <v>IDA</v>
          </cell>
          <cell r="L468" t="str">
            <v>AOI</v>
          </cell>
          <cell r="P468">
            <v>0</v>
          </cell>
          <cell r="Q468" t="str">
            <v>guide</v>
          </cell>
          <cell r="S468">
            <v>12.686307230769231</v>
          </cell>
          <cell r="T468">
            <v>1</v>
          </cell>
          <cell r="U468">
            <v>0</v>
          </cell>
          <cell r="V468">
            <v>0</v>
          </cell>
          <cell r="W468">
            <v>0</v>
          </cell>
          <cell r="X468">
            <v>0</v>
          </cell>
          <cell r="Y468">
            <v>0</v>
          </cell>
          <cell r="Z468">
            <v>0</v>
          </cell>
          <cell r="AA468">
            <v>0</v>
          </cell>
          <cell r="AB468">
            <v>0</v>
          </cell>
          <cell r="AC468">
            <v>0</v>
          </cell>
          <cell r="AD468">
            <v>0</v>
          </cell>
          <cell r="AE468">
            <v>0</v>
          </cell>
          <cell r="AF468">
            <v>0</v>
          </cell>
          <cell r="AH468">
            <v>0</v>
          </cell>
        </row>
        <row r="469">
          <cell r="B469" t="str">
            <v>ST/EPU</v>
          </cell>
          <cell r="C469" t="str">
            <v>B1B</v>
          </cell>
          <cell r="D469" t="str">
            <v>B1BA</v>
          </cell>
          <cell r="E469" t="str">
            <v>ES/MAMO</v>
          </cell>
          <cell r="G469">
            <v>23</v>
          </cell>
          <cell r="H469" t="str">
            <v>ES guides math, phys, snat  pour prof collèges pub et privé : environ</v>
          </cell>
          <cell r="I469" t="str">
            <v>DNES</v>
          </cell>
          <cell r="K469" t="str">
            <v>IDA</v>
          </cell>
          <cell r="L469" t="str">
            <v>AOI</v>
          </cell>
          <cell r="P469">
            <v>0</v>
          </cell>
          <cell r="Q469" t="str">
            <v>guide</v>
          </cell>
          <cell r="S469">
            <v>12.686307230769231</v>
          </cell>
          <cell r="T469">
            <v>1</v>
          </cell>
          <cell r="U469">
            <v>0</v>
          </cell>
          <cell r="V469">
            <v>0</v>
          </cell>
          <cell r="W469">
            <v>0</v>
          </cell>
          <cell r="X469">
            <v>0</v>
          </cell>
          <cell r="Y469">
            <v>0</v>
          </cell>
          <cell r="Z469">
            <v>0</v>
          </cell>
          <cell r="AA469">
            <v>0</v>
          </cell>
          <cell r="AB469">
            <v>0</v>
          </cell>
          <cell r="AC469">
            <v>0</v>
          </cell>
          <cell r="AD469">
            <v>0</v>
          </cell>
          <cell r="AE469">
            <v>0</v>
          </cell>
          <cell r="AF469">
            <v>0</v>
          </cell>
          <cell r="AH469">
            <v>0</v>
          </cell>
        </row>
        <row r="470">
          <cell r="B470" t="str">
            <v>ST/EPU</v>
          </cell>
          <cell r="C470" t="str">
            <v>B1B</v>
          </cell>
          <cell r="D470" t="str">
            <v>B1BA</v>
          </cell>
          <cell r="E470" t="str">
            <v>ES/MAND</v>
          </cell>
          <cell r="G470">
            <v>23</v>
          </cell>
          <cell r="H470" t="str">
            <v>ES guides math, phys, snat  pour prof collèges pub et privé : environ</v>
          </cell>
          <cell r="I470" t="str">
            <v>DNES</v>
          </cell>
          <cell r="K470" t="str">
            <v>IDA</v>
          </cell>
          <cell r="L470" t="str">
            <v>AOI</v>
          </cell>
          <cell r="P470">
            <v>0</v>
          </cell>
          <cell r="Q470" t="str">
            <v>guide</v>
          </cell>
          <cell r="S470">
            <v>12.686307230769231</v>
          </cell>
          <cell r="T470">
            <v>1</v>
          </cell>
          <cell r="U470">
            <v>0</v>
          </cell>
          <cell r="V470">
            <v>0</v>
          </cell>
          <cell r="W470">
            <v>0</v>
          </cell>
          <cell r="X470">
            <v>0</v>
          </cell>
          <cell r="Y470">
            <v>0</v>
          </cell>
          <cell r="Z470">
            <v>0</v>
          </cell>
          <cell r="AA470">
            <v>0</v>
          </cell>
          <cell r="AB470">
            <v>0</v>
          </cell>
          <cell r="AC470">
            <v>0</v>
          </cell>
          <cell r="AD470">
            <v>0</v>
          </cell>
          <cell r="AE470">
            <v>0</v>
          </cell>
          <cell r="AF470">
            <v>0</v>
          </cell>
          <cell r="AH470">
            <v>0</v>
          </cell>
        </row>
        <row r="471">
          <cell r="B471" t="str">
            <v>ST/EPU</v>
          </cell>
          <cell r="C471" t="str">
            <v>B1B</v>
          </cell>
          <cell r="D471" t="str">
            <v>B1BA</v>
          </cell>
          <cell r="E471" t="str">
            <v>ES/MATA</v>
          </cell>
          <cell r="G471">
            <v>23</v>
          </cell>
          <cell r="H471" t="str">
            <v>ES guides math, phys, snat  pour prof collèges pub et privé : environ</v>
          </cell>
          <cell r="I471" t="str">
            <v>DNES</v>
          </cell>
          <cell r="K471" t="str">
            <v>IDA</v>
          </cell>
          <cell r="L471" t="str">
            <v>AOI</v>
          </cell>
          <cell r="P471">
            <v>0</v>
          </cell>
          <cell r="Q471" t="str">
            <v>guide</v>
          </cell>
          <cell r="S471">
            <v>12.686307230769231</v>
          </cell>
          <cell r="T471">
            <v>1</v>
          </cell>
          <cell r="U471">
            <v>0</v>
          </cell>
          <cell r="V471">
            <v>0</v>
          </cell>
          <cell r="W471">
            <v>0</v>
          </cell>
          <cell r="X471">
            <v>0</v>
          </cell>
          <cell r="Y471">
            <v>0</v>
          </cell>
          <cell r="Z471">
            <v>0</v>
          </cell>
          <cell r="AA471">
            <v>0</v>
          </cell>
          <cell r="AB471">
            <v>0</v>
          </cell>
          <cell r="AC471">
            <v>0</v>
          </cell>
          <cell r="AD471">
            <v>0</v>
          </cell>
          <cell r="AE471">
            <v>0</v>
          </cell>
          <cell r="AF471">
            <v>0</v>
          </cell>
          <cell r="AH471">
            <v>0</v>
          </cell>
        </row>
        <row r="472">
          <cell r="B472" t="str">
            <v>ST/EPU</v>
          </cell>
          <cell r="C472" t="str">
            <v>B1B</v>
          </cell>
          <cell r="D472" t="str">
            <v>B1BA</v>
          </cell>
          <cell r="E472" t="str">
            <v>ES/MATO</v>
          </cell>
          <cell r="G472">
            <v>23</v>
          </cell>
          <cell r="H472" t="str">
            <v>ES guides math, phys, snat  pour prof collèges pub et privé : environ</v>
          </cell>
          <cell r="I472" t="str">
            <v>DNES</v>
          </cell>
          <cell r="K472" t="str">
            <v>IDA</v>
          </cell>
          <cell r="L472" t="str">
            <v>AOI</v>
          </cell>
          <cell r="P472">
            <v>0</v>
          </cell>
          <cell r="Q472" t="str">
            <v>guide</v>
          </cell>
          <cell r="S472">
            <v>12.686307230769231</v>
          </cell>
          <cell r="T472">
            <v>1</v>
          </cell>
          <cell r="U472">
            <v>0</v>
          </cell>
          <cell r="V472">
            <v>0</v>
          </cell>
          <cell r="W472">
            <v>0</v>
          </cell>
          <cell r="X472">
            <v>0</v>
          </cell>
          <cell r="Y472">
            <v>0</v>
          </cell>
          <cell r="Z472">
            <v>0</v>
          </cell>
          <cell r="AA472">
            <v>0</v>
          </cell>
          <cell r="AB472">
            <v>0</v>
          </cell>
          <cell r="AC472">
            <v>0</v>
          </cell>
          <cell r="AD472">
            <v>0</v>
          </cell>
          <cell r="AE472">
            <v>0</v>
          </cell>
          <cell r="AF472">
            <v>0</v>
          </cell>
          <cell r="AH472">
            <v>0</v>
          </cell>
        </row>
        <row r="473">
          <cell r="B473" t="str">
            <v>ST/EPU</v>
          </cell>
          <cell r="C473" t="str">
            <v>B1B</v>
          </cell>
          <cell r="D473" t="str">
            <v>B1BA</v>
          </cell>
          <cell r="E473" t="str">
            <v>ES/NZER</v>
          </cell>
          <cell r="G473">
            <v>23</v>
          </cell>
          <cell r="H473" t="str">
            <v>ES guides math, phys, snat  pour prof collèges pub et privé : environ</v>
          </cell>
          <cell r="I473" t="str">
            <v>DNES</v>
          </cell>
          <cell r="K473" t="str">
            <v>IDA</v>
          </cell>
          <cell r="L473" t="str">
            <v>AOI</v>
          </cell>
          <cell r="P473">
            <v>0</v>
          </cell>
          <cell r="Q473" t="str">
            <v>guide</v>
          </cell>
          <cell r="S473">
            <v>12.686307230769231</v>
          </cell>
          <cell r="T473">
            <v>1</v>
          </cell>
          <cell r="U473">
            <v>0</v>
          </cell>
          <cell r="V473">
            <v>0</v>
          </cell>
          <cell r="W473">
            <v>0</v>
          </cell>
          <cell r="X473">
            <v>0</v>
          </cell>
          <cell r="Y473">
            <v>0</v>
          </cell>
          <cell r="Z473">
            <v>0</v>
          </cell>
          <cell r="AA473">
            <v>0</v>
          </cell>
          <cell r="AB473">
            <v>0</v>
          </cell>
          <cell r="AC473">
            <v>0</v>
          </cell>
          <cell r="AD473">
            <v>0</v>
          </cell>
          <cell r="AE473">
            <v>0</v>
          </cell>
          <cell r="AF473">
            <v>0</v>
          </cell>
          <cell r="AH473">
            <v>0</v>
          </cell>
        </row>
        <row r="474">
          <cell r="B474" t="str">
            <v>ST/EPU</v>
          </cell>
          <cell r="C474" t="str">
            <v>B1B</v>
          </cell>
          <cell r="D474" t="str">
            <v>B1BA</v>
          </cell>
          <cell r="E474" t="str">
            <v>ES/PITA</v>
          </cell>
          <cell r="G474">
            <v>23</v>
          </cell>
          <cell r="H474" t="str">
            <v>ES guides math, phys, snat  pour prof collèges pub et privé : environ</v>
          </cell>
          <cell r="I474" t="str">
            <v>DNES</v>
          </cell>
          <cell r="K474" t="str">
            <v>IDA</v>
          </cell>
          <cell r="L474" t="str">
            <v>AOI</v>
          </cell>
          <cell r="P474">
            <v>0</v>
          </cell>
          <cell r="Q474" t="str">
            <v>guide</v>
          </cell>
          <cell r="S474">
            <v>12.686307230769231</v>
          </cell>
          <cell r="T474">
            <v>1</v>
          </cell>
          <cell r="U474">
            <v>0</v>
          </cell>
          <cell r="V474">
            <v>0</v>
          </cell>
          <cell r="W474">
            <v>0</v>
          </cell>
          <cell r="X474">
            <v>0</v>
          </cell>
          <cell r="Y474">
            <v>0</v>
          </cell>
          <cell r="Z474">
            <v>0</v>
          </cell>
          <cell r="AA474">
            <v>0</v>
          </cell>
          <cell r="AB474">
            <v>0</v>
          </cell>
          <cell r="AC474">
            <v>0</v>
          </cell>
          <cell r="AD474">
            <v>0</v>
          </cell>
          <cell r="AE474">
            <v>0</v>
          </cell>
          <cell r="AF474">
            <v>0</v>
          </cell>
          <cell r="AH474">
            <v>0</v>
          </cell>
        </row>
        <row r="475">
          <cell r="B475" t="str">
            <v>ST/EPU</v>
          </cell>
          <cell r="C475" t="str">
            <v>B1B</v>
          </cell>
          <cell r="D475" t="str">
            <v>B1BA</v>
          </cell>
          <cell r="E475" t="str">
            <v>ES/RATO</v>
          </cell>
          <cell r="G475">
            <v>23</v>
          </cell>
          <cell r="H475" t="str">
            <v>ES guides math, phys, snat  pour prof collèges pub et privé : environ</v>
          </cell>
          <cell r="I475" t="str">
            <v>DNES</v>
          </cell>
          <cell r="K475" t="str">
            <v>IDA</v>
          </cell>
          <cell r="L475" t="str">
            <v>AOI</v>
          </cell>
          <cell r="P475">
            <v>0</v>
          </cell>
          <cell r="Q475" t="str">
            <v>guide</v>
          </cell>
          <cell r="S475">
            <v>12.686307230769231</v>
          </cell>
          <cell r="T475">
            <v>1</v>
          </cell>
          <cell r="U475">
            <v>0</v>
          </cell>
          <cell r="V475">
            <v>0</v>
          </cell>
          <cell r="W475">
            <v>0</v>
          </cell>
          <cell r="X475">
            <v>0</v>
          </cell>
          <cell r="Y475">
            <v>0</v>
          </cell>
          <cell r="Z475">
            <v>0</v>
          </cell>
          <cell r="AA475">
            <v>0</v>
          </cell>
          <cell r="AB475">
            <v>0</v>
          </cell>
          <cell r="AC475">
            <v>0</v>
          </cell>
          <cell r="AD475">
            <v>0</v>
          </cell>
          <cell r="AE475">
            <v>0</v>
          </cell>
          <cell r="AF475">
            <v>0</v>
          </cell>
          <cell r="AH475">
            <v>0</v>
          </cell>
        </row>
        <row r="476">
          <cell r="B476" t="str">
            <v>ST/EPU</v>
          </cell>
          <cell r="C476" t="str">
            <v>B1B</v>
          </cell>
          <cell r="D476" t="str">
            <v>B1BA</v>
          </cell>
          <cell r="E476" t="str">
            <v>ES/SIGU</v>
          </cell>
          <cell r="G476">
            <v>23</v>
          </cell>
          <cell r="H476" t="str">
            <v>ES guides math, phys, snat  pour prof collèges pub et privé : environ</v>
          </cell>
          <cell r="I476" t="str">
            <v>DNES</v>
          </cell>
          <cell r="K476" t="str">
            <v>IDA</v>
          </cell>
          <cell r="L476" t="str">
            <v>AOI</v>
          </cell>
          <cell r="P476">
            <v>0</v>
          </cell>
          <cell r="Q476" t="str">
            <v>guide</v>
          </cell>
          <cell r="S476">
            <v>12.686307230769231</v>
          </cell>
          <cell r="T476">
            <v>1</v>
          </cell>
          <cell r="U476">
            <v>0</v>
          </cell>
          <cell r="V476">
            <v>0</v>
          </cell>
          <cell r="W476">
            <v>0</v>
          </cell>
          <cell r="X476">
            <v>0</v>
          </cell>
          <cell r="Y476">
            <v>0</v>
          </cell>
          <cell r="Z476">
            <v>0</v>
          </cell>
          <cell r="AA476">
            <v>0</v>
          </cell>
          <cell r="AB476">
            <v>0</v>
          </cell>
          <cell r="AC476">
            <v>0</v>
          </cell>
          <cell r="AD476">
            <v>0</v>
          </cell>
          <cell r="AE476">
            <v>0</v>
          </cell>
          <cell r="AF476">
            <v>0</v>
          </cell>
          <cell r="AH476">
            <v>0</v>
          </cell>
        </row>
        <row r="477">
          <cell r="B477" t="str">
            <v>ST/EPU</v>
          </cell>
          <cell r="C477" t="str">
            <v>B1B</v>
          </cell>
          <cell r="D477" t="str">
            <v>B1BA</v>
          </cell>
          <cell r="E477" t="str">
            <v>ES/TELE</v>
          </cell>
          <cell r="G477">
            <v>23</v>
          </cell>
          <cell r="H477" t="str">
            <v>ES guides math, phys, snat  pour prof collèges pub et privé : environ</v>
          </cell>
          <cell r="I477" t="str">
            <v>DNES</v>
          </cell>
          <cell r="K477" t="str">
            <v>IDA</v>
          </cell>
          <cell r="L477" t="str">
            <v>AOI</v>
          </cell>
          <cell r="P477">
            <v>0</v>
          </cell>
          <cell r="Q477" t="str">
            <v>guide</v>
          </cell>
          <cell r="S477">
            <v>12.686307230769231</v>
          </cell>
          <cell r="T477">
            <v>1</v>
          </cell>
          <cell r="U477">
            <v>0</v>
          </cell>
          <cell r="V477">
            <v>0</v>
          </cell>
          <cell r="W477">
            <v>0</v>
          </cell>
          <cell r="X477">
            <v>0</v>
          </cell>
          <cell r="Y477">
            <v>0</v>
          </cell>
          <cell r="Z477">
            <v>0</v>
          </cell>
          <cell r="AA477">
            <v>0</v>
          </cell>
          <cell r="AB477">
            <v>0</v>
          </cell>
          <cell r="AC477">
            <v>0</v>
          </cell>
          <cell r="AD477">
            <v>0</v>
          </cell>
          <cell r="AE477">
            <v>0</v>
          </cell>
          <cell r="AF477">
            <v>0</v>
          </cell>
          <cell r="AH477">
            <v>0</v>
          </cell>
        </row>
        <row r="478">
          <cell r="B478" t="str">
            <v>ST/EPU</v>
          </cell>
          <cell r="C478" t="str">
            <v>B1B</v>
          </cell>
          <cell r="D478" t="str">
            <v>B1BA</v>
          </cell>
          <cell r="E478" t="str">
            <v>ES/TOUG</v>
          </cell>
          <cell r="G478">
            <v>23</v>
          </cell>
          <cell r="H478" t="str">
            <v>ES guides math, phys, snat  pour prof collèges pub et privé : environ</v>
          </cell>
          <cell r="I478" t="str">
            <v>DNES</v>
          </cell>
          <cell r="K478" t="str">
            <v>IDA</v>
          </cell>
          <cell r="L478" t="str">
            <v>AOI</v>
          </cell>
          <cell r="P478">
            <v>0</v>
          </cell>
          <cell r="Q478" t="str">
            <v>guide</v>
          </cell>
          <cell r="S478">
            <v>12.686307230769231</v>
          </cell>
          <cell r="T478">
            <v>1</v>
          </cell>
          <cell r="U478">
            <v>0</v>
          </cell>
          <cell r="V478">
            <v>0</v>
          </cell>
          <cell r="W478">
            <v>0</v>
          </cell>
          <cell r="X478">
            <v>0</v>
          </cell>
          <cell r="Y478">
            <v>0</v>
          </cell>
          <cell r="Z478">
            <v>0</v>
          </cell>
          <cell r="AA478">
            <v>0</v>
          </cell>
          <cell r="AB478">
            <v>0</v>
          </cell>
          <cell r="AC478">
            <v>0</v>
          </cell>
          <cell r="AD478">
            <v>0</v>
          </cell>
          <cell r="AE478">
            <v>0</v>
          </cell>
          <cell r="AF478">
            <v>0</v>
          </cell>
          <cell r="AH478">
            <v>0</v>
          </cell>
        </row>
        <row r="479">
          <cell r="B479" t="str">
            <v>ST/EPU</v>
          </cell>
          <cell r="C479" t="str">
            <v>B1B</v>
          </cell>
          <cell r="D479" t="str">
            <v>B1BA</v>
          </cell>
          <cell r="E479" t="str">
            <v>ES/YOMO</v>
          </cell>
          <cell r="G479">
            <v>23</v>
          </cell>
          <cell r="H479" t="str">
            <v>ES guides math, phys, snat  pour prof collèges pub et privé : environ</v>
          </cell>
          <cell r="I479" t="str">
            <v>DNES</v>
          </cell>
          <cell r="K479" t="str">
            <v>IDA</v>
          </cell>
          <cell r="L479" t="str">
            <v>AOI</v>
          </cell>
          <cell r="P479">
            <v>0</v>
          </cell>
          <cell r="Q479" t="str">
            <v>guide</v>
          </cell>
          <cell r="S479">
            <v>12.686307230769231</v>
          </cell>
          <cell r="T479">
            <v>1</v>
          </cell>
          <cell r="U479">
            <v>0</v>
          </cell>
          <cell r="V479">
            <v>0</v>
          </cell>
          <cell r="W479">
            <v>0</v>
          </cell>
          <cell r="X479">
            <v>0</v>
          </cell>
          <cell r="Y479">
            <v>0</v>
          </cell>
          <cell r="Z479">
            <v>0</v>
          </cell>
          <cell r="AA479">
            <v>0</v>
          </cell>
          <cell r="AB479">
            <v>0</v>
          </cell>
          <cell r="AC479">
            <v>0</v>
          </cell>
          <cell r="AD479">
            <v>0</v>
          </cell>
          <cell r="AE479">
            <v>0</v>
          </cell>
          <cell r="AF479">
            <v>0</v>
          </cell>
          <cell r="AH479">
            <v>0</v>
          </cell>
        </row>
        <row r="480">
          <cell r="B480" t="str">
            <v>ST/EPU</v>
          </cell>
          <cell r="C480" t="str">
            <v>B1A</v>
          </cell>
          <cell r="D480" t="str">
            <v>B1AA</v>
          </cell>
          <cell r="E480" t="str">
            <v>DNEE</v>
          </cell>
          <cell r="G480">
            <v>25</v>
          </cell>
          <cell r="H480" t="str">
            <v>Form form (DSEE, CPMF) à l'util manuels prim  450 p x 3j</v>
          </cell>
          <cell r="I480" t="str">
            <v>DNEE</v>
          </cell>
          <cell r="K480" t="str">
            <v>IDA</v>
          </cell>
          <cell r="L480" t="str">
            <v>AUT</v>
          </cell>
          <cell r="P480">
            <v>0</v>
          </cell>
          <cell r="Q480" t="str">
            <v>pxj</v>
          </cell>
          <cell r="S480">
            <v>98.48</v>
          </cell>
          <cell r="T480">
            <v>1</v>
          </cell>
          <cell r="U480">
            <v>0</v>
          </cell>
          <cell r="V480">
            <v>0</v>
          </cell>
          <cell r="W480">
            <v>0</v>
          </cell>
          <cell r="X480">
            <v>0</v>
          </cell>
          <cell r="Y480">
            <v>0</v>
          </cell>
          <cell r="Z480">
            <v>0</v>
          </cell>
          <cell r="AA480">
            <v>0</v>
          </cell>
          <cell r="AB480">
            <v>0</v>
          </cell>
          <cell r="AC480">
            <v>0</v>
          </cell>
          <cell r="AD480">
            <v>0</v>
          </cell>
          <cell r="AE480">
            <v>0</v>
          </cell>
          <cell r="AF480">
            <v>0</v>
          </cell>
          <cell r="AH480">
            <v>0</v>
          </cell>
        </row>
        <row r="481">
          <cell r="B481" t="str">
            <v>ST/EPU</v>
          </cell>
          <cell r="C481" t="str">
            <v>B1A</v>
          </cell>
          <cell r="D481" t="str">
            <v>B1AA</v>
          </cell>
          <cell r="E481" t="str">
            <v>DNEE</v>
          </cell>
          <cell r="G481">
            <v>25</v>
          </cell>
          <cell r="H481" t="str">
            <v>Actualisation du fichier de suivi des stocks des manuels</v>
          </cell>
          <cell r="I481" t="str">
            <v>DNEE</v>
          </cell>
          <cell r="K481" t="str">
            <v>IDA</v>
          </cell>
          <cell r="L481" t="str">
            <v>AUT</v>
          </cell>
          <cell r="P481">
            <v>0</v>
          </cell>
          <cell r="Q481" t="str">
            <v>forfait</v>
          </cell>
          <cell r="S481">
            <v>49240.000000000007</v>
          </cell>
          <cell r="T481">
            <v>1</v>
          </cell>
          <cell r="U481">
            <v>0</v>
          </cell>
          <cell r="V481">
            <v>0</v>
          </cell>
          <cell r="W481">
            <v>0</v>
          </cell>
          <cell r="X481">
            <v>0</v>
          </cell>
          <cell r="Y481">
            <v>0</v>
          </cell>
          <cell r="Z481">
            <v>0</v>
          </cell>
          <cell r="AA481">
            <v>0</v>
          </cell>
          <cell r="AB481">
            <v>0</v>
          </cell>
          <cell r="AC481">
            <v>0</v>
          </cell>
          <cell r="AD481">
            <v>0</v>
          </cell>
          <cell r="AE481">
            <v>0</v>
          </cell>
          <cell r="AF481">
            <v>0</v>
          </cell>
          <cell r="AH481">
            <v>0</v>
          </cell>
        </row>
        <row r="482">
          <cell r="B482" t="str">
            <v>ST/EPU</v>
          </cell>
          <cell r="C482" t="str">
            <v>B1A</v>
          </cell>
          <cell r="D482" t="str">
            <v>B1AA</v>
          </cell>
          <cell r="E482" t="str">
            <v>DNEE</v>
          </cell>
          <cell r="G482">
            <v>25</v>
          </cell>
          <cell r="H482" t="str">
            <v>Elaboration Manuel des procédures de gestion des manuels scolaires</v>
          </cell>
          <cell r="I482" t="str">
            <v>DNEE</v>
          </cell>
          <cell r="K482" t="str">
            <v>IDA</v>
          </cell>
          <cell r="L482" t="str">
            <v>LR</v>
          </cell>
          <cell r="P482">
            <v>0</v>
          </cell>
          <cell r="Q482" t="str">
            <v>forfait</v>
          </cell>
          <cell r="S482">
            <v>73860</v>
          </cell>
          <cell r="T482">
            <v>1</v>
          </cell>
          <cell r="U482">
            <v>0</v>
          </cell>
          <cell r="V482">
            <v>0</v>
          </cell>
          <cell r="W482">
            <v>0</v>
          </cell>
          <cell r="X482">
            <v>0</v>
          </cell>
          <cell r="Y482">
            <v>0</v>
          </cell>
          <cell r="Z482">
            <v>0</v>
          </cell>
          <cell r="AA482">
            <v>0</v>
          </cell>
          <cell r="AB482">
            <v>0</v>
          </cell>
          <cell r="AC482">
            <v>0</v>
          </cell>
          <cell r="AD482">
            <v>0</v>
          </cell>
          <cell r="AE482">
            <v>0</v>
          </cell>
          <cell r="AF482">
            <v>0</v>
          </cell>
          <cell r="AH482">
            <v>0</v>
          </cell>
        </row>
        <row r="483">
          <cell r="B483" t="str">
            <v>ST/EPU</v>
          </cell>
          <cell r="C483" t="str">
            <v>C1E</v>
          </cell>
          <cell r="D483" t="str">
            <v>C1ED</v>
          </cell>
          <cell r="E483" t="str">
            <v>DSEE/BOKE</v>
          </cell>
          <cell r="G483">
            <v>25</v>
          </cell>
          <cell r="H483" t="str">
            <v>Sensibilisation pour la dynamisation ou la mise en place des COGES</v>
          </cell>
          <cell r="I483" t="str">
            <v>DSEE</v>
          </cell>
          <cell r="K483" t="str">
            <v>IDA</v>
          </cell>
          <cell r="L483" t="str">
            <v>LR</v>
          </cell>
          <cell r="P483">
            <v>0</v>
          </cell>
          <cell r="Q483" t="str">
            <v>forfait</v>
          </cell>
          <cell r="S483">
            <v>19436.842105263157</v>
          </cell>
          <cell r="T483">
            <v>1</v>
          </cell>
          <cell r="U483">
            <v>0</v>
          </cell>
          <cell r="V483">
            <v>0</v>
          </cell>
          <cell r="W483">
            <v>0</v>
          </cell>
          <cell r="X483">
            <v>0</v>
          </cell>
          <cell r="Y483">
            <v>0</v>
          </cell>
          <cell r="Z483">
            <v>0</v>
          </cell>
          <cell r="AA483">
            <v>0</v>
          </cell>
          <cell r="AB483">
            <v>0</v>
          </cell>
          <cell r="AC483">
            <v>0</v>
          </cell>
          <cell r="AD483">
            <v>0</v>
          </cell>
          <cell r="AE483">
            <v>0</v>
          </cell>
          <cell r="AF483">
            <v>0</v>
          </cell>
          <cell r="AH483">
            <v>0</v>
          </cell>
        </row>
        <row r="484">
          <cell r="B484" t="str">
            <v>ST/EPU</v>
          </cell>
          <cell r="C484" t="str">
            <v>C1E</v>
          </cell>
          <cell r="D484" t="str">
            <v>C1ED</v>
          </cell>
          <cell r="E484" t="str">
            <v>DSEE/BOFF</v>
          </cell>
          <cell r="G484">
            <v>25</v>
          </cell>
          <cell r="H484" t="str">
            <v>Sensibilisation pour la dynamisation ou la mise en place des COGES</v>
          </cell>
          <cell r="I484" t="str">
            <v>DSEE</v>
          </cell>
          <cell r="K484" t="str">
            <v>IDA</v>
          </cell>
          <cell r="L484" t="str">
            <v>LR</v>
          </cell>
          <cell r="P484">
            <v>0</v>
          </cell>
          <cell r="Q484" t="str">
            <v>forfait</v>
          </cell>
          <cell r="S484">
            <v>19436.842105263157</v>
          </cell>
          <cell r="T484">
            <v>1</v>
          </cell>
          <cell r="U484">
            <v>0</v>
          </cell>
          <cell r="V484">
            <v>0</v>
          </cell>
          <cell r="W484">
            <v>0</v>
          </cell>
          <cell r="X484">
            <v>0</v>
          </cell>
          <cell r="Y484">
            <v>0</v>
          </cell>
          <cell r="Z484">
            <v>0</v>
          </cell>
          <cell r="AA484">
            <v>0</v>
          </cell>
          <cell r="AB484">
            <v>0</v>
          </cell>
          <cell r="AC484">
            <v>0</v>
          </cell>
          <cell r="AD484">
            <v>0</v>
          </cell>
          <cell r="AE484">
            <v>0</v>
          </cell>
          <cell r="AF484">
            <v>0</v>
          </cell>
          <cell r="AH484">
            <v>0</v>
          </cell>
        </row>
        <row r="485">
          <cell r="B485" t="str">
            <v>ST/EPU</v>
          </cell>
          <cell r="C485" t="str">
            <v>C1E</v>
          </cell>
          <cell r="D485" t="str">
            <v>C1ED</v>
          </cell>
          <cell r="E485" t="str">
            <v>DSEE/FRIA</v>
          </cell>
          <cell r="G485">
            <v>25</v>
          </cell>
          <cell r="H485" t="str">
            <v>Sensibilisation pour la dynamisation ou la mise en place des COGES</v>
          </cell>
          <cell r="I485" t="str">
            <v>DSEE</v>
          </cell>
          <cell r="K485" t="str">
            <v>IDA</v>
          </cell>
          <cell r="L485" t="str">
            <v>LR</v>
          </cell>
          <cell r="P485">
            <v>0</v>
          </cell>
          <cell r="Q485" t="str">
            <v>forfait</v>
          </cell>
          <cell r="S485">
            <v>19436.842105263157</v>
          </cell>
          <cell r="T485">
            <v>1</v>
          </cell>
          <cell r="U485">
            <v>0</v>
          </cell>
          <cell r="V485">
            <v>0</v>
          </cell>
          <cell r="W485">
            <v>0</v>
          </cell>
          <cell r="X485">
            <v>0</v>
          </cell>
          <cell r="Y485">
            <v>0</v>
          </cell>
          <cell r="Z485">
            <v>0</v>
          </cell>
          <cell r="AA485">
            <v>0</v>
          </cell>
          <cell r="AB485">
            <v>0</v>
          </cell>
          <cell r="AC485">
            <v>0</v>
          </cell>
          <cell r="AD485">
            <v>0</v>
          </cell>
          <cell r="AE485">
            <v>0</v>
          </cell>
          <cell r="AF485">
            <v>0</v>
          </cell>
          <cell r="AH485">
            <v>0</v>
          </cell>
        </row>
        <row r="486">
          <cell r="B486" t="str">
            <v>ST/EPU</v>
          </cell>
          <cell r="C486" t="str">
            <v>C1E</v>
          </cell>
          <cell r="D486" t="str">
            <v>C1ED</v>
          </cell>
          <cell r="E486" t="str">
            <v>DSEE/GAOU</v>
          </cell>
          <cell r="G486">
            <v>25</v>
          </cell>
          <cell r="H486" t="str">
            <v>Sensibilisation pour la dynamisation ou la mise en place des COGES</v>
          </cell>
          <cell r="I486" t="str">
            <v>DSEE</v>
          </cell>
          <cell r="K486" t="str">
            <v>IDA</v>
          </cell>
          <cell r="L486" t="str">
            <v>LR</v>
          </cell>
          <cell r="P486">
            <v>0</v>
          </cell>
          <cell r="Q486" t="str">
            <v>forfait</v>
          </cell>
          <cell r="S486">
            <v>19436.842105263157</v>
          </cell>
          <cell r="T486">
            <v>1</v>
          </cell>
          <cell r="U486">
            <v>0</v>
          </cell>
          <cell r="V486">
            <v>0</v>
          </cell>
          <cell r="W486">
            <v>0</v>
          </cell>
          <cell r="X486">
            <v>0</v>
          </cell>
          <cell r="Y486">
            <v>0</v>
          </cell>
          <cell r="Z486">
            <v>0</v>
          </cell>
          <cell r="AA486">
            <v>0</v>
          </cell>
          <cell r="AB486">
            <v>0</v>
          </cell>
          <cell r="AC486">
            <v>0</v>
          </cell>
          <cell r="AD486">
            <v>0</v>
          </cell>
          <cell r="AE486">
            <v>0</v>
          </cell>
          <cell r="AF486">
            <v>0</v>
          </cell>
          <cell r="AH486">
            <v>0</v>
          </cell>
        </row>
        <row r="487">
          <cell r="B487" t="str">
            <v>ST/EPU</v>
          </cell>
          <cell r="C487" t="str">
            <v>C1E</v>
          </cell>
          <cell r="D487" t="str">
            <v>C1ED</v>
          </cell>
          <cell r="E487" t="str">
            <v>DSEE/KOUN</v>
          </cell>
          <cell r="G487">
            <v>25</v>
          </cell>
          <cell r="H487" t="str">
            <v>Sensibilisation pour la dynamisation ou la mise en place des COGES</v>
          </cell>
          <cell r="I487" t="str">
            <v>DSEE</v>
          </cell>
          <cell r="K487" t="str">
            <v>IDA</v>
          </cell>
          <cell r="L487" t="str">
            <v>LR</v>
          </cell>
          <cell r="P487">
            <v>0</v>
          </cell>
          <cell r="Q487" t="str">
            <v>forfait</v>
          </cell>
          <cell r="S487">
            <v>19436.842105263157</v>
          </cell>
          <cell r="T487">
            <v>1</v>
          </cell>
          <cell r="U487">
            <v>0</v>
          </cell>
          <cell r="V487">
            <v>0</v>
          </cell>
          <cell r="W487">
            <v>0</v>
          </cell>
          <cell r="X487">
            <v>0</v>
          </cell>
          <cell r="Y487">
            <v>0</v>
          </cell>
          <cell r="Z487">
            <v>0</v>
          </cell>
          <cell r="AA487">
            <v>0</v>
          </cell>
          <cell r="AB487">
            <v>0</v>
          </cell>
          <cell r="AC487">
            <v>0</v>
          </cell>
          <cell r="AD487">
            <v>0</v>
          </cell>
          <cell r="AE487">
            <v>0</v>
          </cell>
          <cell r="AF487">
            <v>0</v>
          </cell>
          <cell r="AH487">
            <v>0</v>
          </cell>
        </row>
        <row r="488">
          <cell r="B488" t="str">
            <v>ST/EPU</v>
          </cell>
          <cell r="C488" t="str">
            <v>C1E</v>
          </cell>
          <cell r="D488" t="str">
            <v>C1ED</v>
          </cell>
          <cell r="E488" t="str">
            <v>DSEE/DIXI</v>
          </cell>
          <cell r="G488">
            <v>25</v>
          </cell>
          <cell r="H488" t="str">
            <v>Sensibilisation pour la dynamisation ou la mise en place des COGES</v>
          </cell>
          <cell r="I488" t="str">
            <v>DSEE</v>
          </cell>
          <cell r="K488" t="str">
            <v>IDA</v>
          </cell>
          <cell r="L488" t="str">
            <v>LR</v>
          </cell>
          <cell r="P488">
            <v>0</v>
          </cell>
          <cell r="Q488" t="str">
            <v>forfait</v>
          </cell>
          <cell r="S488">
            <v>19436.842105263157</v>
          </cell>
          <cell r="T488">
            <v>1</v>
          </cell>
          <cell r="U488">
            <v>0</v>
          </cell>
          <cell r="V488">
            <v>0</v>
          </cell>
          <cell r="W488">
            <v>0</v>
          </cell>
          <cell r="X488">
            <v>0</v>
          </cell>
          <cell r="Y488">
            <v>0</v>
          </cell>
          <cell r="Z488">
            <v>0</v>
          </cell>
          <cell r="AA488">
            <v>0</v>
          </cell>
          <cell r="AB488">
            <v>0</v>
          </cell>
          <cell r="AC488">
            <v>0</v>
          </cell>
          <cell r="AD488">
            <v>0</v>
          </cell>
          <cell r="AE488">
            <v>0</v>
          </cell>
          <cell r="AF488">
            <v>0</v>
          </cell>
          <cell r="AH488">
            <v>0</v>
          </cell>
        </row>
        <row r="489">
          <cell r="B489" t="str">
            <v>ST/EPU</v>
          </cell>
          <cell r="C489" t="str">
            <v>C1E</v>
          </cell>
          <cell r="D489" t="str">
            <v>C1ED</v>
          </cell>
          <cell r="E489" t="str">
            <v>DSEE/KALO</v>
          </cell>
          <cell r="G489">
            <v>25</v>
          </cell>
          <cell r="H489" t="str">
            <v>Sensibilisation pour la dynamisation ou la mise en place des COGES</v>
          </cell>
          <cell r="I489" t="str">
            <v>DSEE</v>
          </cell>
          <cell r="K489" t="str">
            <v>IDA</v>
          </cell>
          <cell r="L489" t="str">
            <v>LR</v>
          </cell>
          <cell r="P489">
            <v>0</v>
          </cell>
          <cell r="Q489" t="str">
            <v>forfait</v>
          </cell>
          <cell r="S489">
            <v>19436.842105263157</v>
          </cell>
          <cell r="T489">
            <v>1</v>
          </cell>
          <cell r="U489">
            <v>0</v>
          </cell>
          <cell r="V489">
            <v>0</v>
          </cell>
          <cell r="W489">
            <v>0</v>
          </cell>
          <cell r="X489">
            <v>0</v>
          </cell>
          <cell r="Y489">
            <v>0</v>
          </cell>
          <cell r="Z489">
            <v>0</v>
          </cell>
          <cell r="AA489">
            <v>0</v>
          </cell>
          <cell r="AB489">
            <v>0</v>
          </cell>
          <cell r="AC489">
            <v>0</v>
          </cell>
          <cell r="AD489">
            <v>0</v>
          </cell>
          <cell r="AE489">
            <v>0</v>
          </cell>
          <cell r="AF489">
            <v>0</v>
          </cell>
          <cell r="AH489">
            <v>0</v>
          </cell>
        </row>
        <row r="490">
          <cell r="B490" t="str">
            <v>ST/EPU</v>
          </cell>
          <cell r="C490" t="str">
            <v>C1E</v>
          </cell>
          <cell r="D490" t="str">
            <v>C1ED</v>
          </cell>
          <cell r="E490" t="str">
            <v>DSEE/MATA</v>
          </cell>
          <cell r="G490">
            <v>25</v>
          </cell>
          <cell r="H490" t="str">
            <v>Sensibilisation pour la dynamisation ou la mise en place des COGES</v>
          </cell>
          <cell r="I490" t="str">
            <v>DSEE</v>
          </cell>
          <cell r="K490" t="str">
            <v>IDA</v>
          </cell>
          <cell r="L490" t="str">
            <v>LR</v>
          </cell>
          <cell r="P490">
            <v>0</v>
          </cell>
          <cell r="Q490" t="str">
            <v>forfait</v>
          </cell>
          <cell r="S490">
            <v>19436.842105263157</v>
          </cell>
          <cell r="T490">
            <v>1</v>
          </cell>
          <cell r="U490">
            <v>0</v>
          </cell>
          <cell r="V490">
            <v>0</v>
          </cell>
          <cell r="W490">
            <v>0</v>
          </cell>
          <cell r="X490">
            <v>0</v>
          </cell>
          <cell r="Y490">
            <v>0</v>
          </cell>
          <cell r="Z490">
            <v>0</v>
          </cell>
          <cell r="AA490">
            <v>0</v>
          </cell>
          <cell r="AB490">
            <v>0</v>
          </cell>
          <cell r="AC490">
            <v>0</v>
          </cell>
          <cell r="AD490">
            <v>0</v>
          </cell>
          <cell r="AE490">
            <v>0</v>
          </cell>
          <cell r="AF490">
            <v>0</v>
          </cell>
          <cell r="AH490">
            <v>0</v>
          </cell>
        </row>
        <row r="491">
          <cell r="B491" t="str">
            <v>ST/EPU</v>
          </cell>
          <cell r="C491" t="str">
            <v>C1E</v>
          </cell>
          <cell r="D491" t="str">
            <v>C1ED</v>
          </cell>
          <cell r="E491" t="str">
            <v>DSEE/MATO</v>
          </cell>
          <cell r="G491">
            <v>25</v>
          </cell>
          <cell r="H491" t="str">
            <v>Sensibilisation pour la dynamisation ou la mise en place des COGES</v>
          </cell>
          <cell r="I491" t="str">
            <v>DSEE</v>
          </cell>
          <cell r="K491" t="str">
            <v>IDA</v>
          </cell>
          <cell r="L491" t="str">
            <v>LR</v>
          </cell>
          <cell r="P491">
            <v>0</v>
          </cell>
          <cell r="Q491" t="str">
            <v>forfait</v>
          </cell>
          <cell r="S491">
            <v>19436.842105263157</v>
          </cell>
          <cell r="T491">
            <v>1</v>
          </cell>
          <cell r="U491">
            <v>0</v>
          </cell>
          <cell r="V491">
            <v>0</v>
          </cell>
          <cell r="W491">
            <v>0</v>
          </cell>
          <cell r="X491">
            <v>0</v>
          </cell>
          <cell r="Y491">
            <v>0</v>
          </cell>
          <cell r="Z491">
            <v>0</v>
          </cell>
          <cell r="AA491">
            <v>0</v>
          </cell>
          <cell r="AB491">
            <v>0</v>
          </cell>
          <cell r="AC491">
            <v>0</v>
          </cell>
          <cell r="AD491">
            <v>0</v>
          </cell>
          <cell r="AE491">
            <v>0</v>
          </cell>
          <cell r="AF491">
            <v>0</v>
          </cell>
          <cell r="AH491">
            <v>0</v>
          </cell>
        </row>
        <row r="492">
          <cell r="B492" t="str">
            <v>ST/EPU</v>
          </cell>
          <cell r="C492" t="str">
            <v>C1E</v>
          </cell>
          <cell r="D492" t="str">
            <v>C1ED</v>
          </cell>
          <cell r="E492" t="str">
            <v>DSEE/RATO</v>
          </cell>
          <cell r="G492">
            <v>25</v>
          </cell>
          <cell r="H492" t="str">
            <v>Sensibilisation pour la dynamisation ou la mise en place des COGES</v>
          </cell>
          <cell r="I492" t="str">
            <v>DSEE</v>
          </cell>
          <cell r="K492" t="str">
            <v>IDA</v>
          </cell>
          <cell r="L492" t="str">
            <v>LR</v>
          </cell>
          <cell r="P492">
            <v>0</v>
          </cell>
          <cell r="Q492" t="str">
            <v>forfait</v>
          </cell>
          <cell r="S492">
            <v>19436.842105263157</v>
          </cell>
          <cell r="T492">
            <v>1</v>
          </cell>
          <cell r="U492">
            <v>0</v>
          </cell>
          <cell r="V492">
            <v>0</v>
          </cell>
          <cell r="W492">
            <v>0</v>
          </cell>
          <cell r="X492">
            <v>0</v>
          </cell>
          <cell r="Y492">
            <v>0</v>
          </cell>
          <cell r="Z492">
            <v>0</v>
          </cell>
          <cell r="AA492">
            <v>0</v>
          </cell>
          <cell r="AB492">
            <v>0</v>
          </cell>
          <cell r="AC492">
            <v>0</v>
          </cell>
          <cell r="AD492">
            <v>0</v>
          </cell>
          <cell r="AE492">
            <v>0</v>
          </cell>
          <cell r="AF492">
            <v>0</v>
          </cell>
          <cell r="AH492">
            <v>0</v>
          </cell>
        </row>
        <row r="493">
          <cell r="B493" t="str">
            <v>ST/EPU</v>
          </cell>
          <cell r="C493" t="str">
            <v>C1E</v>
          </cell>
          <cell r="D493" t="str">
            <v>C1ED</v>
          </cell>
          <cell r="E493" t="str">
            <v>DSEE/DABO</v>
          </cell>
          <cell r="G493">
            <v>25</v>
          </cell>
          <cell r="H493" t="str">
            <v>Sensibilisation pour la dynamisation ou la mise en place des COGES</v>
          </cell>
          <cell r="I493" t="str">
            <v>DSEE</v>
          </cell>
          <cell r="K493" t="str">
            <v>IDA</v>
          </cell>
          <cell r="L493" t="str">
            <v>LR</v>
          </cell>
          <cell r="P493">
            <v>0</v>
          </cell>
          <cell r="Q493" t="str">
            <v>forfait</v>
          </cell>
          <cell r="S493">
            <v>19436.842105263157</v>
          </cell>
          <cell r="T493">
            <v>1</v>
          </cell>
          <cell r="U493">
            <v>0</v>
          </cell>
          <cell r="V493">
            <v>0</v>
          </cell>
          <cell r="W493">
            <v>0</v>
          </cell>
          <cell r="X493">
            <v>0</v>
          </cell>
          <cell r="Y493">
            <v>0</v>
          </cell>
          <cell r="Z493">
            <v>0</v>
          </cell>
          <cell r="AA493">
            <v>0</v>
          </cell>
          <cell r="AB493">
            <v>0</v>
          </cell>
          <cell r="AC493">
            <v>0</v>
          </cell>
          <cell r="AD493">
            <v>0</v>
          </cell>
          <cell r="AE493">
            <v>0</v>
          </cell>
          <cell r="AF493">
            <v>0</v>
          </cell>
          <cell r="AH493">
            <v>0</v>
          </cell>
        </row>
        <row r="494">
          <cell r="B494" t="str">
            <v>ST/EPU</v>
          </cell>
          <cell r="C494" t="str">
            <v>C1E</v>
          </cell>
          <cell r="D494" t="str">
            <v>C1ED</v>
          </cell>
          <cell r="E494" t="str">
            <v>DSEE/DING</v>
          </cell>
          <cell r="G494">
            <v>25</v>
          </cell>
          <cell r="H494" t="str">
            <v>Sensibilisation pour la dynamisation ou la mise en place des COGES</v>
          </cell>
          <cell r="I494" t="str">
            <v>DSEE</v>
          </cell>
          <cell r="K494" t="str">
            <v>IDA</v>
          </cell>
          <cell r="L494" t="str">
            <v>LR</v>
          </cell>
          <cell r="P494">
            <v>0</v>
          </cell>
          <cell r="Q494" t="str">
            <v>forfait</v>
          </cell>
          <cell r="S494">
            <v>19436.842105263157</v>
          </cell>
          <cell r="T494">
            <v>1</v>
          </cell>
          <cell r="U494">
            <v>0</v>
          </cell>
          <cell r="V494">
            <v>0</v>
          </cell>
          <cell r="W494">
            <v>0</v>
          </cell>
          <cell r="X494">
            <v>0</v>
          </cell>
          <cell r="Y494">
            <v>0</v>
          </cell>
          <cell r="Z494">
            <v>0</v>
          </cell>
          <cell r="AA494">
            <v>0</v>
          </cell>
          <cell r="AB494">
            <v>0</v>
          </cell>
          <cell r="AC494">
            <v>0</v>
          </cell>
          <cell r="AD494">
            <v>0</v>
          </cell>
          <cell r="AE494">
            <v>0</v>
          </cell>
          <cell r="AF494">
            <v>0</v>
          </cell>
          <cell r="AH494">
            <v>0</v>
          </cell>
        </row>
        <row r="495">
          <cell r="B495" t="str">
            <v>ST/EPU</v>
          </cell>
          <cell r="C495" t="str">
            <v>C1E</v>
          </cell>
          <cell r="D495" t="str">
            <v>C1ED</v>
          </cell>
          <cell r="E495" t="str">
            <v>DSEE/FARA</v>
          </cell>
          <cell r="G495">
            <v>25</v>
          </cell>
          <cell r="H495" t="str">
            <v>Sensibilisation pour la dynamisation ou la mise en place des COGES</v>
          </cell>
          <cell r="I495" t="str">
            <v>DSEE</v>
          </cell>
          <cell r="K495" t="str">
            <v>IDA</v>
          </cell>
          <cell r="L495" t="str">
            <v>LR</v>
          </cell>
          <cell r="P495">
            <v>0</v>
          </cell>
          <cell r="Q495" t="str">
            <v>forfait</v>
          </cell>
          <cell r="S495">
            <v>19436.842105263157</v>
          </cell>
          <cell r="T495">
            <v>1</v>
          </cell>
          <cell r="U495">
            <v>0</v>
          </cell>
          <cell r="V495">
            <v>0</v>
          </cell>
          <cell r="W495">
            <v>0</v>
          </cell>
          <cell r="X495">
            <v>0</v>
          </cell>
          <cell r="Y495">
            <v>0</v>
          </cell>
          <cell r="Z495">
            <v>0</v>
          </cell>
          <cell r="AA495">
            <v>0</v>
          </cell>
          <cell r="AB495">
            <v>0</v>
          </cell>
          <cell r="AC495">
            <v>0</v>
          </cell>
          <cell r="AD495">
            <v>0</v>
          </cell>
          <cell r="AE495">
            <v>0</v>
          </cell>
          <cell r="AF495">
            <v>0</v>
          </cell>
          <cell r="AH495">
            <v>0</v>
          </cell>
        </row>
        <row r="496">
          <cell r="B496" t="str">
            <v>ST/EPU</v>
          </cell>
          <cell r="C496" t="str">
            <v>C1E</v>
          </cell>
          <cell r="D496" t="str">
            <v>C1ED</v>
          </cell>
          <cell r="E496" t="str">
            <v>DSEE/KISS</v>
          </cell>
          <cell r="G496">
            <v>25</v>
          </cell>
          <cell r="H496" t="str">
            <v>Sensibilisation pour la dynamisation ou la mise en place des COGES</v>
          </cell>
          <cell r="I496" t="str">
            <v>DSEE</v>
          </cell>
          <cell r="K496" t="str">
            <v>IDA</v>
          </cell>
          <cell r="L496" t="str">
            <v>LR</v>
          </cell>
          <cell r="P496">
            <v>0</v>
          </cell>
          <cell r="Q496" t="str">
            <v>forfait</v>
          </cell>
          <cell r="S496">
            <v>19436.842105263157</v>
          </cell>
          <cell r="T496">
            <v>1</v>
          </cell>
          <cell r="U496">
            <v>0</v>
          </cell>
          <cell r="V496">
            <v>0</v>
          </cell>
          <cell r="W496">
            <v>0</v>
          </cell>
          <cell r="X496">
            <v>0</v>
          </cell>
          <cell r="Y496">
            <v>0</v>
          </cell>
          <cell r="Z496">
            <v>0</v>
          </cell>
          <cell r="AA496">
            <v>0</v>
          </cell>
          <cell r="AB496">
            <v>0</v>
          </cell>
          <cell r="AC496">
            <v>0</v>
          </cell>
          <cell r="AD496">
            <v>0</v>
          </cell>
          <cell r="AE496">
            <v>0</v>
          </cell>
          <cell r="AF496">
            <v>0</v>
          </cell>
          <cell r="AH496">
            <v>0</v>
          </cell>
        </row>
        <row r="497">
          <cell r="B497" t="str">
            <v>ST/EPU</v>
          </cell>
          <cell r="C497" t="str">
            <v>C1E</v>
          </cell>
          <cell r="D497" t="str">
            <v>C1ED</v>
          </cell>
          <cell r="E497" t="str">
            <v>DSEE/KANK</v>
          </cell>
          <cell r="G497">
            <v>25</v>
          </cell>
          <cell r="H497" t="str">
            <v>Sensibilisation pour la dynamisation ou la mise en place des COGES</v>
          </cell>
          <cell r="I497" t="str">
            <v>DSEE</v>
          </cell>
          <cell r="K497" t="str">
            <v>IDA</v>
          </cell>
          <cell r="L497" t="str">
            <v>LR</v>
          </cell>
          <cell r="P497">
            <v>0</v>
          </cell>
          <cell r="Q497" t="str">
            <v>forfait</v>
          </cell>
          <cell r="S497">
            <v>19436.842105263157</v>
          </cell>
          <cell r="T497">
            <v>1</v>
          </cell>
          <cell r="U497">
            <v>0</v>
          </cell>
          <cell r="V497">
            <v>0</v>
          </cell>
          <cell r="W497">
            <v>0</v>
          </cell>
          <cell r="X497">
            <v>0</v>
          </cell>
          <cell r="Y497">
            <v>0</v>
          </cell>
          <cell r="Z497">
            <v>0</v>
          </cell>
          <cell r="AA497">
            <v>0</v>
          </cell>
          <cell r="AB497">
            <v>0</v>
          </cell>
          <cell r="AC497">
            <v>0</v>
          </cell>
          <cell r="AD497">
            <v>0</v>
          </cell>
          <cell r="AE497">
            <v>0</v>
          </cell>
          <cell r="AF497">
            <v>0</v>
          </cell>
          <cell r="AH497">
            <v>0</v>
          </cell>
        </row>
        <row r="498">
          <cell r="B498" t="str">
            <v>ST/EPU</v>
          </cell>
          <cell r="C498" t="str">
            <v>C1E</v>
          </cell>
          <cell r="D498" t="str">
            <v>C1ED</v>
          </cell>
          <cell r="E498" t="str">
            <v>DSEE/KERO</v>
          </cell>
          <cell r="G498">
            <v>25</v>
          </cell>
          <cell r="H498" t="str">
            <v>Sensibilisation pour la dynamisation ou la mise en place des COGES</v>
          </cell>
          <cell r="I498" t="str">
            <v>DSEE</v>
          </cell>
          <cell r="K498" t="str">
            <v>IDA</v>
          </cell>
          <cell r="L498" t="str">
            <v>LR</v>
          </cell>
          <cell r="P498">
            <v>0</v>
          </cell>
          <cell r="Q498" t="str">
            <v>forfait</v>
          </cell>
          <cell r="S498">
            <v>19436.842105263157</v>
          </cell>
          <cell r="T498">
            <v>1</v>
          </cell>
          <cell r="U498">
            <v>0</v>
          </cell>
          <cell r="V498">
            <v>0</v>
          </cell>
          <cell r="W498">
            <v>0</v>
          </cell>
          <cell r="X498">
            <v>0</v>
          </cell>
          <cell r="Y498">
            <v>0</v>
          </cell>
          <cell r="Z498">
            <v>0</v>
          </cell>
          <cell r="AA498">
            <v>0</v>
          </cell>
          <cell r="AB498">
            <v>0</v>
          </cell>
          <cell r="AC498">
            <v>0</v>
          </cell>
          <cell r="AD498">
            <v>0</v>
          </cell>
          <cell r="AE498">
            <v>0</v>
          </cell>
          <cell r="AF498">
            <v>0</v>
          </cell>
          <cell r="AH498">
            <v>0</v>
          </cell>
        </row>
        <row r="499">
          <cell r="B499" t="str">
            <v>ST/EPU</v>
          </cell>
          <cell r="C499" t="str">
            <v>C1E</v>
          </cell>
          <cell r="D499" t="str">
            <v>C1ED</v>
          </cell>
          <cell r="E499" t="str">
            <v>DSEE/KOUR</v>
          </cell>
          <cell r="G499">
            <v>25</v>
          </cell>
          <cell r="H499" t="str">
            <v>Sensibilisation pour la dynamisation ou la mise en place des COGES</v>
          </cell>
          <cell r="I499" t="str">
            <v>DSEE</v>
          </cell>
          <cell r="K499" t="str">
            <v>IDA</v>
          </cell>
          <cell r="L499" t="str">
            <v>LR</v>
          </cell>
          <cell r="P499">
            <v>0</v>
          </cell>
          <cell r="Q499" t="str">
            <v>forfait</v>
          </cell>
          <cell r="S499">
            <v>19436.842105263157</v>
          </cell>
          <cell r="T499">
            <v>1</v>
          </cell>
          <cell r="U499">
            <v>0</v>
          </cell>
          <cell r="V499">
            <v>0</v>
          </cell>
          <cell r="W499">
            <v>0</v>
          </cell>
          <cell r="X499">
            <v>0</v>
          </cell>
          <cell r="Y499">
            <v>0</v>
          </cell>
          <cell r="Z499">
            <v>0</v>
          </cell>
          <cell r="AA499">
            <v>0</v>
          </cell>
          <cell r="AB499">
            <v>0</v>
          </cell>
          <cell r="AC499">
            <v>0</v>
          </cell>
          <cell r="AD499">
            <v>0</v>
          </cell>
          <cell r="AE499">
            <v>0</v>
          </cell>
          <cell r="AF499">
            <v>0</v>
          </cell>
          <cell r="AH499">
            <v>0</v>
          </cell>
        </row>
        <row r="500">
          <cell r="B500" t="str">
            <v>ST/EPU</v>
          </cell>
          <cell r="C500" t="str">
            <v>C1E</v>
          </cell>
          <cell r="D500" t="str">
            <v>C1ED</v>
          </cell>
          <cell r="E500" t="str">
            <v>DSEE/MAND</v>
          </cell>
          <cell r="G500">
            <v>25</v>
          </cell>
          <cell r="H500" t="str">
            <v>Sensibilisation pour la dynamisation ou la mise en place des COGES</v>
          </cell>
          <cell r="I500" t="str">
            <v>DSEE</v>
          </cell>
          <cell r="K500" t="str">
            <v>IDA</v>
          </cell>
          <cell r="L500" t="str">
            <v>LR</v>
          </cell>
          <cell r="P500">
            <v>0</v>
          </cell>
          <cell r="Q500" t="str">
            <v>forfait</v>
          </cell>
          <cell r="S500">
            <v>19436.842105263157</v>
          </cell>
          <cell r="T500">
            <v>1</v>
          </cell>
          <cell r="U500">
            <v>0</v>
          </cell>
          <cell r="V500">
            <v>0</v>
          </cell>
          <cell r="W500">
            <v>0</v>
          </cell>
          <cell r="X500">
            <v>0</v>
          </cell>
          <cell r="Y500">
            <v>0</v>
          </cell>
          <cell r="Z500">
            <v>0</v>
          </cell>
          <cell r="AA500">
            <v>0</v>
          </cell>
          <cell r="AB500">
            <v>0</v>
          </cell>
          <cell r="AC500">
            <v>0</v>
          </cell>
          <cell r="AD500">
            <v>0</v>
          </cell>
          <cell r="AE500">
            <v>0</v>
          </cell>
          <cell r="AF500">
            <v>0</v>
          </cell>
          <cell r="AH500">
            <v>0</v>
          </cell>
        </row>
        <row r="501">
          <cell r="B501" t="str">
            <v>ST/EPU</v>
          </cell>
          <cell r="C501" t="str">
            <v>C1E</v>
          </cell>
          <cell r="D501" t="str">
            <v>C1ED</v>
          </cell>
          <cell r="E501" t="str">
            <v>DSEE/SIGU</v>
          </cell>
          <cell r="G501">
            <v>25</v>
          </cell>
          <cell r="H501" t="str">
            <v>Sensibilisation pour la dynamisation ou la mise en place des COGES</v>
          </cell>
          <cell r="I501" t="str">
            <v>DSEE</v>
          </cell>
          <cell r="K501" t="str">
            <v>IDA</v>
          </cell>
          <cell r="L501" t="str">
            <v>LR</v>
          </cell>
          <cell r="P501">
            <v>0</v>
          </cell>
          <cell r="Q501" t="str">
            <v>forfait</v>
          </cell>
          <cell r="S501">
            <v>19436.842105263157</v>
          </cell>
          <cell r="T501">
            <v>1</v>
          </cell>
          <cell r="U501">
            <v>0</v>
          </cell>
          <cell r="V501">
            <v>0</v>
          </cell>
          <cell r="W501">
            <v>0</v>
          </cell>
          <cell r="X501">
            <v>0</v>
          </cell>
          <cell r="Y501">
            <v>0</v>
          </cell>
          <cell r="Z501">
            <v>0</v>
          </cell>
          <cell r="AA501">
            <v>0</v>
          </cell>
          <cell r="AB501">
            <v>0</v>
          </cell>
          <cell r="AC501">
            <v>0</v>
          </cell>
          <cell r="AD501">
            <v>0</v>
          </cell>
          <cell r="AE501">
            <v>0</v>
          </cell>
          <cell r="AF501">
            <v>0</v>
          </cell>
          <cell r="AH501">
            <v>0</v>
          </cell>
        </row>
        <row r="502">
          <cell r="B502" t="str">
            <v>ST/EPU</v>
          </cell>
          <cell r="C502" t="str">
            <v>C1E</v>
          </cell>
          <cell r="D502" t="str">
            <v>C1ED</v>
          </cell>
          <cell r="E502" t="str">
            <v>DSEE/COYA</v>
          </cell>
          <cell r="G502">
            <v>25</v>
          </cell>
          <cell r="H502" t="str">
            <v>Sensibilisation pour la dynamisation ou la mise en place des COGES</v>
          </cell>
          <cell r="I502" t="str">
            <v>DSEE</v>
          </cell>
          <cell r="K502" t="str">
            <v>IDA</v>
          </cell>
          <cell r="L502" t="str">
            <v>LR</v>
          </cell>
          <cell r="P502">
            <v>0</v>
          </cell>
          <cell r="Q502" t="str">
            <v>forfait</v>
          </cell>
          <cell r="S502">
            <v>19436.842105263157</v>
          </cell>
          <cell r="T502">
            <v>1</v>
          </cell>
          <cell r="U502">
            <v>0</v>
          </cell>
          <cell r="V502">
            <v>0</v>
          </cell>
          <cell r="W502">
            <v>0</v>
          </cell>
          <cell r="X502">
            <v>0</v>
          </cell>
          <cell r="Y502">
            <v>0</v>
          </cell>
          <cell r="Z502">
            <v>0</v>
          </cell>
          <cell r="AA502">
            <v>0</v>
          </cell>
          <cell r="AB502">
            <v>0</v>
          </cell>
          <cell r="AC502">
            <v>0</v>
          </cell>
          <cell r="AD502">
            <v>0</v>
          </cell>
          <cell r="AE502">
            <v>0</v>
          </cell>
          <cell r="AF502">
            <v>0</v>
          </cell>
          <cell r="AH502">
            <v>0</v>
          </cell>
        </row>
        <row r="503">
          <cell r="B503" t="str">
            <v>ST/EPU</v>
          </cell>
          <cell r="C503" t="str">
            <v>C1E</v>
          </cell>
          <cell r="D503" t="str">
            <v>C1ED</v>
          </cell>
          <cell r="E503" t="str">
            <v>DSEE/DUBR</v>
          </cell>
          <cell r="G503">
            <v>25</v>
          </cell>
          <cell r="H503" t="str">
            <v>Sensibilisation pour la dynamisation ou la mise en place des COGES</v>
          </cell>
          <cell r="I503" t="str">
            <v>DSEE</v>
          </cell>
          <cell r="K503" t="str">
            <v>IDA</v>
          </cell>
          <cell r="L503" t="str">
            <v>LR</v>
          </cell>
          <cell r="P503">
            <v>0</v>
          </cell>
          <cell r="Q503" t="str">
            <v>forfait</v>
          </cell>
          <cell r="S503">
            <v>19436.842105263157</v>
          </cell>
          <cell r="T503">
            <v>1</v>
          </cell>
          <cell r="U503">
            <v>0</v>
          </cell>
          <cell r="V503">
            <v>0</v>
          </cell>
          <cell r="W503">
            <v>0</v>
          </cell>
          <cell r="X503">
            <v>0</v>
          </cell>
          <cell r="Y503">
            <v>0</v>
          </cell>
          <cell r="Z503">
            <v>0</v>
          </cell>
          <cell r="AA503">
            <v>0</v>
          </cell>
          <cell r="AB503">
            <v>0</v>
          </cell>
          <cell r="AC503">
            <v>0</v>
          </cell>
          <cell r="AD503">
            <v>0</v>
          </cell>
          <cell r="AE503">
            <v>0</v>
          </cell>
          <cell r="AF503">
            <v>0</v>
          </cell>
          <cell r="AH503">
            <v>0</v>
          </cell>
        </row>
        <row r="504">
          <cell r="B504" t="str">
            <v>ST/EPU</v>
          </cell>
          <cell r="C504" t="str">
            <v>C1E</v>
          </cell>
          <cell r="D504" t="str">
            <v>C1ED</v>
          </cell>
          <cell r="E504" t="str">
            <v>DSEE/FORE</v>
          </cell>
          <cell r="G504">
            <v>25</v>
          </cell>
          <cell r="H504" t="str">
            <v>Sensibilisation pour la dynamisation ou la mise en place des COGES</v>
          </cell>
          <cell r="I504" t="str">
            <v>DSEE</v>
          </cell>
          <cell r="K504" t="str">
            <v>IDA</v>
          </cell>
          <cell r="L504" t="str">
            <v>LR</v>
          </cell>
          <cell r="P504">
            <v>0</v>
          </cell>
          <cell r="Q504" t="str">
            <v>forfait</v>
          </cell>
          <cell r="S504">
            <v>19436.842105263157</v>
          </cell>
          <cell r="T504">
            <v>1</v>
          </cell>
          <cell r="U504">
            <v>0</v>
          </cell>
          <cell r="V504">
            <v>0</v>
          </cell>
          <cell r="W504">
            <v>0</v>
          </cell>
          <cell r="X504">
            <v>0</v>
          </cell>
          <cell r="Y504">
            <v>0</v>
          </cell>
          <cell r="Z504">
            <v>0</v>
          </cell>
          <cell r="AA504">
            <v>0</v>
          </cell>
          <cell r="AB504">
            <v>0</v>
          </cell>
          <cell r="AC504">
            <v>0</v>
          </cell>
          <cell r="AD504">
            <v>0</v>
          </cell>
          <cell r="AE504">
            <v>0</v>
          </cell>
          <cell r="AF504">
            <v>0</v>
          </cell>
          <cell r="AH504">
            <v>0</v>
          </cell>
        </row>
        <row r="505">
          <cell r="B505" t="str">
            <v>ST/EPU</v>
          </cell>
          <cell r="C505" t="str">
            <v>C1E</v>
          </cell>
          <cell r="D505" t="str">
            <v>C1ED</v>
          </cell>
          <cell r="E505" t="str">
            <v>DSEE/KIND</v>
          </cell>
          <cell r="G505">
            <v>25</v>
          </cell>
          <cell r="H505" t="str">
            <v>Sensibilisation pour la dynamisation ou la mise en place des COGES</v>
          </cell>
          <cell r="I505" t="str">
            <v>DSEE</v>
          </cell>
          <cell r="K505" t="str">
            <v>IDA</v>
          </cell>
          <cell r="L505" t="str">
            <v>LR</v>
          </cell>
          <cell r="P505">
            <v>0</v>
          </cell>
          <cell r="Q505" t="str">
            <v>forfait</v>
          </cell>
          <cell r="S505">
            <v>19436.842105263157</v>
          </cell>
          <cell r="T505">
            <v>1</v>
          </cell>
          <cell r="U505">
            <v>0</v>
          </cell>
          <cell r="V505">
            <v>0</v>
          </cell>
          <cell r="W505">
            <v>0</v>
          </cell>
          <cell r="X505">
            <v>0</v>
          </cell>
          <cell r="Y505">
            <v>0</v>
          </cell>
          <cell r="Z505">
            <v>0</v>
          </cell>
          <cell r="AA505">
            <v>0</v>
          </cell>
          <cell r="AB505">
            <v>0</v>
          </cell>
          <cell r="AC505">
            <v>0</v>
          </cell>
          <cell r="AD505">
            <v>0</v>
          </cell>
          <cell r="AE505">
            <v>0</v>
          </cell>
          <cell r="AF505">
            <v>0</v>
          </cell>
          <cell r="AH505">
            <v>0</v>
          </cell>
        </row>
        <row r="506">
          <cell r="B506" t="str">
            <v>ST/EPU</v>
          </cell>
          <cell r="C506" t="str">
            <v>C1E</v>
          </cell>
          <cell r="D506" t="str">
            <v>C1ED</v>
          </cell>
          <cell r="E506" t="str">
            <v>DSEE/TELE</v>
          </cell>
          <cell r="G506">
            <v>25</v>
          </cell>
          <cell r="H506" t="str">
            <v>Sensibilisation pour la dynamisation ou la mise en place des COGES</v>
          </cell>
          <cell r="I506" t="str">
            <v>DSEE</v>
          </cell>
          <cell r="K506" t="str">
            <v>IDA</v>
          </cell>
          <cell r="L506" t="str">
            <v>LR</v>
          </cell>
          <cell r="P506">
            <v>0</v>
          </cell>
          <cell r="Q506" t="str">
            <v>forfait</v>
          </cell>
          <cell r="S506">
            <v>19436.842105263157</v>
          </cell>
          <cell r="T506">
            <v>1</v>
          </cell>
          <cell r="U506">
            <v>0</v>
          </cell>
          <cell r="V506">
            <v>0</v>
          </cell>
          <cell r="W506">
            <v>0</v>
          </cell>
          <cell r="X506">
            <v>0</v>
          </cell>
          <cell r="Y506">
            <v>0</v>
          </cell>
          <cell r="Z506">
            <v>0</v>
          </cell>
          <cell r="AA506">
            <v>0</v>
          </cell>
          <cell r="AB506">
            <v>0</v>
          </cell>
          <cell r="AC506">
            <v>0</v>
          </cell>
          <cell r="AD506">
            <v>0</v>
          </cell>
          <cell r="AE506">
            <v>0</v>
          </cell>
          <cell r="AF506">
            <v>0</v>
          </cell>
          <cell r="AH506">
            <v>0</v>
          </cell>
        </row>
        <row r="507">
          <cell r="B507" t="str">
            <v>ST/EPU</v>
          </cell>
          <cell r="C507" t="str">
            <v>C1E</v>
          </cell>
          <cell r="D507" t="str">
            <v>C1ED</v>
          </cell>
          <cell r="E507" t="str">
            <v>DSEE/KOUB</v>
          </cell>
          <cell r="G507">
            <v>25</v>
          </cell>
          <cell r="H507" t="str">
            <v>Sensibilisation pour la dynamisation ou la mise en place des COGES</v>
          </cell>
          <cell r="I507" t="str">
            <v>DSEE</v>
          </cell>
          <cell r="K507" t="str">
            <v>IDA</v>
          </cell>
          <cell r="L507" t="str">
            <v>LR</v>
          </cell>
          <cell r="P507">
            <v>0</v>
          </cell>
          <cell r="Q507" t="str">
            <v>forfait</v>
          </cell>
          <cell r="S507">
            <v>19436.842105263157</v>
          </cell>
          <cell r="T507">
            <v>1</v>
          </cell>
          <cell r="U507">
            <v>0</v>
          </cell>
          <cell r="V507">
            <v>0</v>
          </cell>
          <cell r="W507">
            <v>0</v>
          </cell>
          <cell r="X507">
            <v>0</v>
          </cell>
          <cell r="Y507">
            <v>0</v>
          </cell>
          <cell r="Z507">
            <v>0</v>
          </cell>
          <cell r="AA507">
            <v>0</v>
          </cell>
          <cell r="AB507">
            <v>0</v>
          </cell>
          <cell r="AC507">
            <v>0</v>
          </cell>
          <cell r="AD507">
            <v>0</v>
          </cell>
          <cell r="AE507">
            <v>0</v>
          </cell>
          <cell r="AF507">
            <v>0</v>
          </cell>
          <cell r="AH507">
            <v>0</v>
          </cell>
        </row>
        <row r="508">
          <cell r="B508" t="str">
            <v>ST/EPU</v>
          </cell>
          <cell r="C508" t="str">
            <v>C1E</v>
          </cell>
          <cell r="D508" t="str">
            <v>C1ED</v>
          </cell>
          <cell r="E508" t="str">
            <v>DSEE/LABE</v>
          </cell>
          <cell r="G508">
            <v>25</v>
          </cell>
          <cell r="H508" t="str">
            <v>Sensibilisation pour la dynamisation ou la mise en place des COGES</v>
          </cell>
          <cell r="I508" t="str">
            <v>DSEE</v>
          </cell>
          <cell r="K508" t="str">
            <v>IDA</v>
          </cell>
          <cell r="L508" t="str">
            <v>LR</v>
          </cell>
          <cell r="P508">
            <v>0</v>
          </cell>
          <cell r="Q508" t="str">
            <v>forfait</v>
          </cell>
          <cell r="S508">
            <v>19436.842105263157</v>
          </cell>
          <cell r="T508">
            <v>1</v>
          </cell>
          <cell r="U508">
            <v>0</v>
          </cell>
          <cell r="V508">
            <v>0</v>
          </cell>
          <cell r="W508">
            <v>0</v>
          </cell>
          <cell r="X508">
            <v>0</v>
          </cell>
          <cell r="Y508">
            <v>0</v>
          </cell>
          <cell r="Z508">
            <v>0</v>
          </cell>
          <cell r="AA508">
            <v>0</v>
          </cell>
          <cell r="AB508">
            <v>0</v>
          </cell>
          <cell r="AC508">
            <v>0</v>
          </cell>
          <cell r="AD508">
            <v>0</v>
          </cell>
          <cell r="AE508">
            <v>0</v>
          </cell>
          <cell r="AF508">
            <v>0</v>
          </cell>
          <cell r="AH508">
            <v>0</v>
          </cell>
        </row>
        <row r="509">
          <cell r="B509" t="str">
            <v>ST/EPU</v>
          </cell>
          <cell r="C509" t="str">
            <v>C1E</v>
          </cell>
          <cell r="D509" t="str">
            <v>C1ED</v>
          </cell>
          <cell r="E509" t="str">
            <v>DSEE/LELO</v>
          </cell>
          <cell r="G509">
            <v>25</v>
          </cell>
          <cell r="H509" t="str">
            <v>Sensibilisation pour la dynamisation ou la mise en place des COGES</v>
          </cell>
          <cell r="I509" t="str">
            <v>DSEE</v>
          </cell>
          <cell r="K509" t="str">
            <v>IDA</v>
          </cell>
          <cell r="L509" t="str">
            <v>LR</v>
          </cell>
          <cell r="P509">
            <v>0</v>
          </cell>
          <cell r="Q509" t="str">
            <v>forfait</v>
          </cell>
          <cell r="S509">
            <v>19436.842105263157</v>
          </cell>
          <cell r="T509">
            <v>1</v>
          </cell>
          <cell r="U509">
            <v>0</v>
          </cell>
          <cell r="V509">
            <v>0</v>
          </cell>
          <cell r="W509">
            <v>0</v>
          </cell>
          <cell r="X509">
            <v>0</v>
          </cell>
          <cell r="Y509">
            <v>0</v>
          </cell>
          <cell r="Z509">
            <v>0</v>
          </cell>
          <cell r="AA509">
            <v>0</v>
          </cell>
          <cell r="AB509">
            <v>0</v>
          </cell>
          <cell r="AC509">
            <v>0</v>
          </cell>
          <cell r="AD509">
            <v>0</v>
          </cell>
          <cell r="AE509">
            <v>0</v>
          </cell>
          <cell r="AF509">
            <v>0</v>
          </cell>
          <cell r="AH509">
            <v>0</v>
          </cell>
        </row>
        <row r="510">
          <cell r="B510" t="str">
            <v>ST/EPU</v>
          </cell>
          <cell r="C510" t="str">
            <v>C1E</v>
          </cell>
          <cell r="D510" t="str">
            <v>C1ED</v>
          </cell>
          <cell r="E510" t="str">
            <v>DSEE/MALI</v>
          </cell>
          <cell r="G510">
            <v>25</v>
          </cell>
          <cell r="H510" t="str">
            <v>Sensibilisation pour la dynamisation ou la mise en place des COGES</v>
          </cell>
          <cell r="I510" t="str">
            <v>DSEE</v>
          </cell>
          <cell r="K510" t="str">
            <v>IDA</v>
          </cell>
          <cell r="L510" t="str">
            <v>LR</v>
          </cell>
          <cell r="P510">
            <v>0</v>
          </cell>
          <cell r="Q510" t="str">
            <v>forfait</v>
          </cell>
          <cell r="S510">
            <v>19436.842105263157</v>
          </cell>
          <cell r="T510">
            <v>1</v>
          </cell>
          <cell r="U510">
            <v>0</v>
          </cell>
          <cell r="V510">
            <v>0</v>
          </cell>
          <cell r="W510">
            <v>0</v>
          </cell>
          <cell r="X510">
            <v>0</v>
          </cell>
          <cell r="Y510">
            <v>0</v>
          </cell>
          <cell r="Z510">
            <v>0</v>
          </cell>
          <cell r="AA510">
            <v>0</v>
          </cell>
          <cell r="AB510">
            <v>0</v>
          </cell>
          <cell r="AC510">
            <v>0</v>
          </cell>
          <cell r="AD510">
            <v>0</v>
          </cell>
          <cell r="AE510">
            <v>0</v>
          </cell>
          <cell r="AF510">
            <v>0</v>
          </cell>
          <cell r="AH510">
            <v>0</v>
          </cell>
        </row>
        <row r="511">
          <cell r="B511" t="str">
            <v>ST/EPU</v>
          </cell>
          <cell r="C511" t="str">
            <v>C1E</v>
          </cell>
          <cell r="D511" t="str">
            <v>C1ED</v>
          </cell>
          <cell r="E511" t="str">
            <v>DSEE/TOUG</v>
          </cell>
          <cell r="G511">
            <v>25</v>
          </cell>
          <cell r="H511" t="str">
            <v>Sensibilisation pour la dynamisation ou la mise en place des COGES</v>
          </cell>
          <cell r="I511" t="str">
            <v>DSEE</v>
          </cell>
          <cell r="K511" t="str">
            <v>IDA</v>
          </cell>
          <cell r="L511" t="str">
            <v>LR</v>
          </cell>
          <cell r="P511">
            <v>0</v>
          </cell>
          <cell r="Q511" t="str">
            <v>forfait</v>
          </cell>
          <cell r="S511">
            <v>19436.842105263157</v>
          </cell>
          <cell r="T511">
            <v>1</v>
          </cell>
          <cell r="U511">
            <v>0</v>
          </cell>
          <cell r="V511">
            <v>0</v>
          </cell>
          <cell r="W511">
            <v>0</v>
          </cell>
          <cell r="X511">
            <v>0</v>
          </cell>
          <cell r="Y511">
            <v>0</v>
          </cell>
          <cell r="Z511">
            <v>0</v>
          </cell>
          <cell r="AA511">
            <v>0</v>
          </cell>
          <cell r="AB511">
            <v>0</v>
          </cell>
          <cell r="AC511">
            <v>0</v>
          </cell>
          <cell r="AD511">
            <v>0</v>
          </cell>
          <cell r="AE511">
            <v>0</v>
          </cell>
          <cell r="AF511">
            <v>0</v>
          </cell>
          <cell r="AH511">
            <v>0</v>
          </cell>
        </row>
        <row r="512">
          <cell r="B512" t="str">
            <v>ST/EPU</v>
          </cell>
          <cell r="C512" t="str">
            <v>C1E</v>
          </cell>
          <cell r="D512" t="str">
            <v>C1ED</v>
          </cell>
          <cell r="E512" t="str">
            <v>DSEE/DALA</v>
          </cell>
          <cell r="G512">
            <v>25</v>
          </cell>
          <cell r="H512" t="str">
            <v>Sensibilisation pour la dynamisation ou la mise en place des COGES</v>
          </cell>
          <cell r="I512" t="str">
            <v>DSEE</v>
          </cell>
          <cell r="K512" t="str">
            <v>IDA</v>
          </cell>
          <cell r="L512" t="str">
            <v>LR</v>
          </cell>
          <cell r="P512">
            <v>0</v>
          </cell>
          <cell r="Q512" t="str">
            <v>forfait</v>
          </cell>
          <cell r="S512">
            <v>19436.842105263157</v>
          </cell>
          <cell r="T512">
            <v>1</v>
          </cell>
          <cell r="U512">
            <v>0</v>
          </cell>
          <cell r="V512">
            <v>0</v>
          </cell>
          <cell r="W512">
            <v>0</v>
          </cell>
          <cell r="X512">
            <v>0</v>
          </cell>
          <cell r="Y512">
            <v>0</v>
          </cell>
          <cell r="Z512">
            <v>0</v>
          </cell>
          <cell r="AA512">
            <v>0</v>
          </cell>
          <cell r="AB512">
            <v>0</v>
          </cell>
          <cell r="AC512">
            <v>0</v>
          </cell>
          <cell r="AD512">
            <v>0</v>
          </cell>
          <cell r="AE512">
            <v>0</v>
          </cell>
          <cell r="AF512">
            <v>0</v>
          </cell>
          <cell r="AH512">
            <v>0</v>
          </cell>
        </row>
        <row r="513">
          <cell r="B513" t="str">
            <v>ST/EPU</v>
          </cell>
          <cell r="C513" t="str">
            <v>C1E</v>
          </cell>
          <cell r="D513" t="str">
            <v>C1ED</v>
          </cell>
          <cell r="E513" t="str">
            <v>DSEE/MAMO</v>
          </cell>
          <cell r="G513">
            <v>25</v>
          </cell>
          <cell r="H513" t="str">
            <v>Sensibilisation pour la dynamisation ou la mise en place des COGES</v>
          </cell>
          <cell r="I513" t="str">
            <v>DSEE</v>
          </cell>
          <cell r="K513" t="str">
            <v>IDA</v>
          </cell>
          <cell r="L513" t="str">
            <v>LR</v>
          </cell>
          <cell r="P513">
            <v>0</v>
          </cell>
          <cell r="Q513" t="str">
            <v>forfait</v>
          </cell>
          <cell r="S513">
            <v>19436.842105263157</v>
          </cell>
          <cell r="T513">
            <v>1</v>
          </cell>
          <cell r="U513">
            <v>0</v>
          </cell>
          <cell r="V513">
            <v>0</v>
          </cell>
          <cell r="W513">
            <v>0</v>
          </cell>
          <cell r="X513">
            <v>0</v>
          </cell>
          <cell r="Y513">
            <v>0</v>
          </cell>
          <cell r="Z513">
            <v>0</v>
          </cell>
          <cell r="AA513">
            <v>0</v>
          </cell>
          <cell r="AB513">
            <v>0</v>
          </cell>
          <cell r="AC513">
            <v>0</v>
          </cell>
          <cell r="AD513">
            <v>0</v>
          </cell>
          <cell r="AE513">
            <v>0</v>
          </cell>
          <cell r="AF513">
            <v>0</v>
          </cell>
          <cell r="AH513">
            <v>0</v>
          </cell>
        </row>
        <row r="514">
          <cell r="B514" t="str">
            <v>ST/EPU</v>
          </cell>
          <cell r="C514" t="str">
            <v>C1E</v>
          </cell>
          <cell r="D514" t="str">
            <v>C1ED</v>
          </cell>
          <cell r="E514" t="str">
            <v>DSEE/PITA</v>
          </cell>
          <cell r="G514">
            <v>25</v>
          </cell>
          <cell r="H514" t="str">
            <v>Sensibilisation pour la dynamisation ou la mise en place des COGES</v>
          </cell>
          <cell r="I514" t="str">
            <v>DSEE</v>
          </cell>
          <cell r="K514" t="str">
            <v>IDA</v>
          </cell>
          <cell r="L514" t="str">
            <v>LR</v>
          </cell>
          <cell r="P514">
            <v>0</v>
          </cell>
          <cell r="Q514" t="str">
            <v>forfait</v>
          </cell>
          <cell r="S514">
            <v>19436.842105263157</v>
          </cell>
          <cell r="T514">
            <v>1</v>
          </cell>
          <cell r="U514">
            <v>0</v>
          </cell>
          <cell r="V514">
            <v>0</v>
          </cell>
          <cell r="W514">
            <v>0</v>
          </cell>
          <cell r="X514">
            <v>0</v>
          </cell>
          <cell r="Y514">
            <v>0</v>
          </cell>
          <cell r="Z514">
            <v>0</v>
          </cell>
          <cell r="AA514">
            <v>0</v>
          </cell>
          <cell r="AB514">
            <v>0</v>
          </cell>
          <cell r="AC514">
            <v>0</v>
          </cell>
          <cell r="AD514">
            <v>0</v>
          </cell>
          <cell r="AE514">
            <v>0</v>
          </cell>
          <cell r="AF514">
            <v>0</v>
          </cell>
          <cell r="AH514">
            <v>0</v>
          </cell>
        </row>
        <row r="515">
          <cell r="B515" t="str">
            <v>ST/EPU</v>
          </cell>
          <cell r="C515" t="str">
            <v>C1E</v>
          </cell>
          <cell r="D515" t="str">
            <v>C1ED</v>
          </cell>
          <cell r="E515" t="str">
            <v>DSEE/BEYL</v>
          </cell>
          <cell r="G515">
            <v>25</v>
          </cell>
          <cell r="H515" t="str">
            <v>Sensibilisation pour la dynamisation ou la mise en place des COGES</v>
          </cell>
          <cell r="I515" t="str">
            <v>DSEE</v>
          </cell>
          <cell r="K515" t="str">
            <v>IDA</v>
          </cell>
          <cell r="L515" t="str">
            <v>LR</v>
          </cell>
          <cell r="P515">
            <v>0</v>
          </cell>
          <cell r="Q515" t="str">
            <v>forfait</v>
          </cell>
          <cell r="S515">
            <v>19436.842105263157</v>
          </cell>
          <cell r="T515">
            <v>1</v>
          </cell>
          <cell r="U515">
            <v>0</v>
          </cell>
          <cell r="V515">
            <v>0</v>
          </cell>
          <cell r="W515">
            <v>0</v>
          </cell>
          <cell r="X515">
            <v>0</v>
          </cell>
          <cell r="Y515">
            <v>0</v>
          </cell>
          <cell r="Z515">
            <v>0</v>
          </cell>
          <cell r="AA515">
            <v>0</v>
          </cell>
          <cell r="AB515">
            <v>0</v>
          </cell>
          <cell r="AC515">
            <v>0</v>
          </cell>
          <cell r="AD515">
            <v>0</v>
          </cell>
          <cell r="AE515">
            <v>0</v>
          </cell>
          <cell r="AF515">
            <v>0</v>
          </cell>
          <cell r="AH515">
            <v>0</v>
          </cell>
        </row>
        <row r="516">
          <cell r="B516" t="str">
            <v>ST/EPU</v>
          </cell>
          <cell r="C516" t="str">
            <v>C1E</v>
          </cell>
          <cell r="D516" t="str">
            <v>C1ED</v>
          </cell>
          <cell r="E516" t="str">
            <v>DSEE/GUEC</v>
          </cell>
          <cell r="G516">
            <v>25</v>
          </cell>
          <cell r="H516" t="str">
            <v>Sensibilisation pour la dynamisation ou la mise en place des COGES</v>
          </cell>
          <cell r="I516" t="str">
            <v>DSEE</v>
          </cell>
          <cell r="K516" t="str">
            <v>IDA</v>
          </cell>
          <cell r="L516" t="str">
            <v>LR</v>
          </cell>
          <cell r="P516">
            <v>0</v>
          </cell>
          <cell r="Q516" t="str">
            <v>forfait</v>
          </cell>
          <cell r="S516">
            <v>19436.842105263157</v>
          </cell>
          <cell r="T516">
            <v>1</v>
          </cell>
          <cell r="U516">
            <v>0</v>
          </cell>
          <cell r="V516">
            <v>0</v>
          </cell>
          <cell r="W516">
            <v>0</v>
          </cell>
          <cell r="X516">
            <v>0</v>
          </cell>
          <cell r="Y516">
            <v>0</v>
          </cell>
          <cell r="Z516">
            <v>0</v>
          </cell>
          <cell r="AA516">
            <v>0</v>
          </cell>
          <cell r="AB516">
            <v>0</v>
          </cell>
          <cell r="AC516">
            <v>0</v>
          </cell>
          <cell r="AD516">
            <v>0</v>
          </cell>
          <cell r="AE516">
            <v>0</v>
          </cell>
          <cell r="AF516">
            <v>0</v>
          </cell>
          <cell r="AH516">
            <v>0</v>
          </cell>
        </row>
        <row r="517">
          <cell r="B517" t="str">
            <v>ST/EPU</v>
          </cell>
          <cell r="C517" t="str">
            <v>C1E</v>
          </cell>
          <cell r="D517" t="str">
            <v>C1ED</v>
          </cell>
          <cell r="E517" t="str">
            <v>DSEE/LOLA</v>
          </cell>
          <cell r="G517">
            <v>25</v>
          </cell>
          <cell r="H517" t="str">
            <v>Sensibilisation pour la dynamisation ou la mise en place des COGES</v>
          </cell>
          <cell r="I517" t="str">
            <v>DSEE</v>
          </cell>
          <cell r="K517" t="str">
            <v>IDA</v>
          </cell>
          <cell r="L517" t="str">
            <v>LR</v>
          </cell>
          <cell r="P517">
            <v>0</v>
          </cell>
          <cell r="Q517" t="str">
            <v>forfait</v>
          </cell>
          <cell r="S517">
            <v>19436.842105263157</v>
          </cell>
          <cell r="T517">
            <v>1</v>
          </cell>
          <cell r="U517">
            <v>0</v>
          </cell>
          <cell r="V517">
            <v>0</v>
          </cell>
          <cell r="W517">
            <v>0</v>
          </cell>
          <cell r="X517">
            <v>0</v>
          </cell>
          <cell r="Y517">
            <v>0</v>
          </cell>
          <cell r="Z517">
            <v>0</v>
          </cell>
          <cell r="AA517">
            <v>0</v>
          </cell>
          <cell r="AB517">
            <v>0</v>
          </cell>
          <cell r="AC517">
            <v>0</v>
          </cell>
          <cell r="AD517">
            <v>0</v>
          </cell>
          <cell r="AE517">
            <v>0</v>
          </cell>
          <cell r="AF517">
            <v>0</v>
          </cell>
          <cell r="AH517">
            <v>0</v>
          </cell>
        </row>
        <row r="518">
          <cell r="B518" t="str">
            <v>ST/EPU</v>
          </cell>
          <cell r="C518" t="str">
            <v>C1E</v>
          </cell>
          <cell r="D518" t="str">
            <v>C1ED</v>
          </cell>
          <cell r="E518" t="str">
            <v>DSEE/MACE</v>
          </cell>
          <cell r="G518">
            <v>25</v>
          </cell>
          <cell r="H518" t="str">
            <v>Sensibilisation pour la dynamisation ou la mise en place des COGES</v>
          </cell>
          <cell r="I518" t="str">
            <v>DSEE</v>
          </cell>
          <cell r="K518" t="str">
            <v>IDA</v>
          </cell>
          <cell r="L518" t="str">
            <v>LR</v>
          </cell>
          <cell r="P518">
            <v>0</v>
          </cell>
          <cell r="Q518" t="str">
            <v>forfait</v>
          </cell>
          <cell r="S518">
            <v>19436.842105263157</v>
          </cell>
          <cell r="T518">
            <v>1</v>
          </cell>
          <cell r="U518">
            <v>0</v>
          </cell>
          <cell r="V518">
            <v>0</v>
          </cell>
          <cell r="W518">
            <v>0</v>
          </cell>
          <cell r="X518">
            <v>0</v>
          </cell>
          <cell r="Y518">
            <v>0</v>
          </cell>
          <cell r="Z518">
            <v>0</v>
          </cell>
          <cell r="AA518">
            <v>0</v>
          </cell>
          <cell r="AB518">
            <v>0</v>
          </cell>
          <cell r="AC518">
            <v>0</v>
          </cell>
          <cell r="AD518">
            <v>0</v>
          </cell>
          <cell r="AE518">
            <v>0</v>
          </cell>
          <cell r="AF518">
            <v>0</v>
          </cell>
          <cell r="AH518">
            <v>0</v>
          </cell>
        </row>
        <row r="519">
          <cell r="B519" t="str">
            <v>ST/EPU</v>
          </cell>
          <cell r="C519" t="str">
            <v>C1E</v>
          </cell>
          <cell r="D519" t="str">
            <v>C1ED</v>
          </cell>
          <cell r="E519" t="str">
            <v>DSEE/NZER</v>
          </cell>
          <cell r="G519">
            <v>25</v>
          </cell>
          <cell r="H519" t="str">
            <v>Sensibilisation pour la dynamisation ou la mise en place des COGES</v>
          </cell>
          <cell r="I519" t="str">
            <v>DSEE</v>
          </cell>
          <cell r="K519" t="str">
            <v>IDA</v>
          </cell>
          <cell r="L519" t="str">
            <v>LR</v>
          </cell>
          <cell r="P519">
            <v>0</v>
          </cell>
          <cell r="Q519" t="str">
            <v>forfait</v>
          </cell>
          <cell r="S519">
            <v>19436.842105263157</v>
          </cell>
          <cell r="T519">
            <v>1</v>
          </cell>
          <cell r="U519">
            <v>0</v>
          </cell>
          <cell r="V519">
            <v>0</v>
          </cell>
          <cell r="W519">
            <v>0</v>
          </cell>
          <cell r="X519">
            <v>0</v>
          </cell>
          <cell r="Y519">
            <v>0</v>
          </cell>
          <cell r="Z519">
            <v>0</v>
          </cell>
          <cell r="AA519">
            <v>0</v>
          </cell>
          <cell r="AB519">
            <v>0</v>
          </cell>
          <cell r="AC519">
            <v>0</v>
          </cell>
          <cell r="AD519">
            <v>0</v>
          </cell>
          <cell r="AE519">
            <v>0</v>
          </cell>
          <cell r="AF519">
            <v>0</v>
          </cell>
          <cell r="AH519">
            <v>0</v>
          </cell>
        </row>
        <row r="520">
          <cell r="B520" t="str">
            <v>ST/EPU</v>
          </cell>
          <cell r="C520" t="str">
            <v>C1E</v>
          </cell>
          <cell r="D520" t="str">
            <v>C1ED</v>
          </cell>
          <cell r="E520" t="str">
            <v>DSEE/YOMO</v>
          </cell>
          <cell r="G520">
            <v>25</v>
          </cell>
          <cell r="H520" t="str">
            <v>Sensibilisation pour la dynamisation ou la mise en place des COGES</v>
          </cell>
          <cell r="I520" t="str">
            <v>DSEE</v>
          </cell>
          <cell r="K520" t="str">
            <v>IDA</v>
          </cell>
          <cell r="L520" t="str">
            <v>LR</v>
          </cell>
          <cell r="P520">
            <v>0</v>
          </cell>
          <cell r="Q520" t="str">
            <v>forfait</v>
          </cell>
          <cell r="S520">
            <v>19436.842105263157</v>
          </cell>
          <cell r="T520">
            <v>1</v>
          </cell>
          <cell r="U520">
            <v>0</v>
          </cell>
          <cell r="V520">
            <v>0</v>
          </cell>
          <cell r="W520">
            <v>0</v>
          </cell>
          <cell r="X520">
            <v>0</v>
          </cell>
          <cell r="Y520">
            <v>0</v>
          </cell>
          <cell r="Z520">
            <v>0</v>
          </cell>
          <cell r="AA520">
            <v>0</v>
          </cell>
          <cell r="AB520">
            <v>0</v>
          </cell>
          <cell r="AC520">
            <v>0</v>
          </cell>
          <cell r="AD520">
            <v>0</v>
          </cell>
          <cell r="AE520">
            <v>0</v>
          </cell>
          <cell r="AF520">
            <v>0</v>
          </cell>
          <cell r="AH520">
            <v>0</v>
          </cell>
        </row>
        <row r="521">
          <cell r="B521" t="str">
            <v>ST/EPU</v>
          </cell>
          <cell r="C521" t="str">
            <v>C1L</v>
          </cell>
          <cell r="D521" t="str">
            <v>C1LA</v>
          </cell>
          <cell r="E521" t="str">
            <v>SSU</v>
          </cell>
          <cell r="G521">
            <v>15</v>
          </cell>
          <cell r="H521" t="str">
            <v>SSU Mission C de supervision</v>
          </cell>
          <cell r="I521" t="str">
            <v>SG/MEPU-EC</v>
          </cell>
          <cell r="K521" t="str">
            <v>IDA</v>
          </cell>
          <cell r="L521" t="str">
            <v>AUT</v>
          </cell>
          <cell r="P521">
            <v>0</v>
          </cell>
          <cell r="Q521" t="str">
            <v>pxj</v>
          </cell>
          <cell r="S521">
            <v>147.72</v>
          </cell>
          <cell r="T521">
            <v>0.9</v>
          </cell>
          <cell r="U521">
            <v>0</v>
          </cell>
          <cell r="V521">
            <v>0</v>
          </cell>
          <cell r="W521">
            <v>0</v>
          </cell>
          <cell r="X521">
            <v>0</v>
          </cell>
          <cell r="Y521">
            <v>0</v>
          </cell>
          <cell r="Z521">
            <v>0</v>
          </cell>
          <cell r="AA521">
            <v>0</v>
          </cell>
          <cell r="AB521">
            <v>0</v>
          </cell>
          <cell r="AC521">
            <v>0</v>
          </cell>
          <cell r="AD521">
            <v>0</v>
          </cell>
          <cell r="AE521">
            <v>0</v>
          </cell>
          <cell r="AF521">
            <v>0</v>
          </cell>
          <cell r="AH521">
            <v>0</v>
          </cell>
        </row>
        <row r="522">
          <cell r="B522" t="str">
            <v>ST/EPU</v>
          </cell>
          <cell r="C522" t="str">
            <v>C1C</v>
          </cell>
          <cell r="D522" t="str">
            <v>C1CH</v>
          </cell>
          <cell r="E522" t="str">
            <v>IRE/BOK</v>
          </cell>
          <cell r="G522">
            <v>15</v>
          </cell>
          <cell r="H522" t="str">
            <v>SSU Mission R &amp; P de supervision</v>
          </cell>
          <cell r="I522" t="str">
            <v>IRE</v>
          </cell>
          <cell r="K522" t="str">
            <v>IDA</v>
          </cell>
          <cell r="L522" t="str">
            <v>AUT</v>
          </cell>
          <cell r="P522">
            <v>0</v>
          </cell>
          <cell r="Q522" t="str">
            <v>pxj</v>
          </cell>
          <cell r="S522">
            <v>98.48</v>
          </cell>
          <cell r="T522">
            <v>0.9</v>
          </cell>
          <cell r="U522">
            <v>0</v>
          </cell>
          <cell r="V522">
            <v>0</v>
          </cell>
          <cell r="W522">
            <v>0</v>
          </cell>
          <cell r="X522">
            <v>0</v>
          </cell>
          <cell r="Y522">
            <v>0</v>
          </cell>
          <cell r="Z522">
            <v>0</v>
          </cell>
          <cell r="AA522">
            <v>0</v>
          </cell>
          <cell r="AB522">
            <v>0</v>
          </cell>
          <cell r="AC522">
            <v>0</v>
          </cell>
          <cell r="AD522">
            <v>0</v>
          </cell>
          <cell r="AE522">
            <v>0</v>
          </cell>
          <cell r="AF522">
            <v>0</v>
          </cell>
          <cell r="AH522">
            <v>0</v>
          </cell>
        </row>
        <row r="523">
          <cell r="B523" t="str">
            <v>ST/EPU</v>
          </cell>
          <cell r="C523" t="str">
            <v>C1C</v>
          </cell>
          <cell r="D523" t="str">
            <v>C1CH</v>
          </cell>
          <cell r="E523" t="str">
            <v>IRE/CKY</v>
          </cell>
          <cell r="G523">
            <v>15</v>
          </cell>
          <cell r="H523" t="str">
            <v>SSU Mission R &amp; P de supervision</v>
          </cell>
          <cell r="I523" t="str">
            <v>IRE</v>
          </cell>
          <cell r="K523" t="str">
            <v>IDA</v>
          </cell>
          <cell r="L523" t="str">
            <v>AUT</v>
          </cell>
          <cell r="P523">
            <v>0</v>
          </cell>
          <cell r="Q523" t="str">
            <v>pxj</v>
          </cell>
          <cell r="S523">
            <v>98.48</v>
          </cell>
          <cell r="T523">
            <v>0.9</v>
          </cell>
          <cell r="U523">
            <v>0</v>
          </cell>
          <cell r="V523">
            <v>0</v>
          </cell>
          <cell r="W523">
            <v>0</v>
          </cell>
          <cell r="X523">
            <v>0</v>
          </cell>
          <cell r="Y523">
            <v>0</v>
          </cell>
          <cell r="Z523">
            <v>0</v>
          </cell>
          <cell r="AA523">
            <v>0</v>
          </cell>
          <cell r="AB523">
            <v>0</v>
          </cell>
          <cell r="AC523">
            <v>0</v>
          </cell>
          <cell r="AD523">
            <v>0</v>
          </cell>
          <cell r="AE523">
            <v>0</v>
          </cell>
          <cell r="AF523">
            <v>0</v>
          </cell>
          <cell r="AH523">
            <v>0</v>
          </cell>
        </row>
        <row r="524">
          <cell r="B524" t="str">
            <v>ST/EPU</v>
          </cell>
          <cell r="C524" t="str">
            <v>C1C</v>
          </cell>
          <cell r="D524" t="str">
            <v>C1CH</v>
          </cell>
          <cell r="E524" t="str">
            <v>IRE/FAR</v>
          </cell>
          <cell r="G524">
            <v>15</v>
          </cell>
          <cell r="H524" t="str">
            <v>SSU Mission R &amp; P de supervision</v>
          </cell>
          <cell r="I524" t="str">
            <v>IRE</v>
          </cell>
          <cell r="K524" t="str">
            <v>IDA</v>
          </cell>
          <cell r="L524" t="str">
            <v>AUT</v>
          </cell>
          <cell r="P524">
            <v>0</v>
          </cell>
          <cell r="Q524" t="str">
            <v>pxj</v>
          </cell>
          <cell r="S524">
            <v>98.48</v>
          </cell>
          <cell r="T524">
            <v>0.9</v>
          </cell>
          <cell r="U524">
            <v>0</v>
          </cell>
          <cell r="V524">
            <v>0</v>
          </cell>
          <cell r="W524">
            <v>0</v>
          </cell>
          <cell r="X524">
            <v>0</v>
          </cell>
          <cell r="Y524">
            <v>0</v>
          </cell>
          <cell r="Z524">
            <v>0</v>
          </cell>
          <cell r="AA524">
            <v>0</v>
          </cell>
          <cell r="AB524">
            <v>0</v>
          </cell>
          <cell r="AC524">
            <v>0</v>
          </cell>
          <cell r="AD524">
            <v>0</v>
          </cell>
          <cell r="AE524">
            <v>0</v>
          </cell>
          <cell r="AF524">
            <v>0</v>
          </cell>
          <cell r="AH524">
            <v>0</v>
          </cell>
        </row>
        <row r="525">
          <cell r="B525" t="str">
            <v>ST/EPU</v>
          </cell>
          <cell r="C525" t="str">
            <v>C1C</v>
          </cell>
          <cell r="D525" t="str">
            <v>C1CH</v>
          </cell>
          <cell r="E525" t="str">
            <v>IRE/KAN</v>
          </cell>
          <cell r="G525">
            <v>15</v>
          </cell>
          <cell r="H525" t="str">
            <v>SSU Mission R &amp; P de supervision</v>
          </cell>
          <cell r="I525" t="str">
            <v>IRE</v>
          </cell>
          <cell r="K525" t="str">
            <v>IDA</v>
          </cell>
          <cell r="L525" t="str">
            <v>AUT</v>
          </cell>
          <cell r="P525">
            <v>0</v>
          </cell>
          <cell r="Q525" t="str">
            <v>pxj</v>
          </cell>
          <cell r="S525">
            <v>98.48</v>
          </cell>
          <cell r="T525">
            <v>0.9</v>
          </cell>
          <cell r="U525">
            <v>0</v>
          </cell>
          <cell r="V525">
            <v>0</v>
          </cell>
          <cell r="W525">
            <v>0</v>
          </cell>
          <cell r="X525">
            <v>0</v>
          </cell>
          <cell r="Y525">
            <v>0</v>
          </cell>
          <cell r="Z525">
            <v>0</v>
          </cell>
          <cell r="AA525">
            <v>0</v>
          </cell>
          <cell r="AB525">
            <v>0</v>
          </cell>
          <cell r="AC525">
            <v>0</v>
          </cell>
          <cell r="AD525">
            <v>0</v>
          </cell>
          <cell r="AE525">
            <v>0</v>
          </cell>
          <cell r="AF525">
            <v>0</v>
          </cell>
          <cell r="AH525">
            <v>0</v>
          </cell>
        </row>
        <row r="526">
          <cell r="B526" t="str">
            <v>ST/EPU</v>
          </cell>
          <cell r="C526" t="str">
            <v>C1C</v>
          </cell>
          <cell r="D526" t="str">
            <v>C1CH</v>
          </cell>
          <cell r="E526" t="str">
            <v>IRE/KIN</v>
          </cell>
          <cell r="G526">
            <v>15</v>
          </cell>
          <cell r="H526" t="str">
            <v>SSU Mission R &amp; P de supervision</v>
          </cell>
          <cell r="I526" t="str">
            <v>IRE</v>
          </cell>
          <cell r="K526" t="str">
            <v>IDA</v>
          </cell>
          <cell r="L526" t="str">
            <v>AUT</v>
          </cell>
          <cell r="P526">
            <v>0</v>
          </cell>
          <cell r="Q526" t="str">
            <v>pxj</v>
          </cell>
          <cell r="S526">
            <v>98.48</v>
          </cell>
          <cell r="T526">
            <v>0.9</v>
          </cell>
          <cell r="U526">
            <v>0</v>
          </cell>
          <cell r="V526">
            <v>0</v>
          </cell>
          <cell r="W526">
            <v>0</v>
          </cell>
          <cell r="X526">
            <v>0</v>
          </cell>
          <cell r="Y526">
            <v>0</v>
          </cell>
          <cell r="Z526">
            <v>0</v>
          </cell>
          <cell r="AA526">
            <v>0</v>
          </cell>
          <cell r="AB526">
            <v>0</v>
          </cell>
          <cell r="AC526">
            <v>0</v>
          </cell>
          <cell r="AD526">
            <v>0</v>
          </cell>
          <cell r="AE526">
            <v>0</v>
          </cell>
          <cell r="AF526">
            <v>0</v>
          </cell>
          <cell r="AH526">
            <v>0</v>
          </cell>
        </row>
        <row r="527">
          <cell r="B527" t="str">
            <v>ST/EPU</v>
          </cell>
          <cell r="C527" t="str">
            <v>C1C</v>
          </cell>
          <cell r="D527" t="str">
            <v>C1CH</v>
          </cell>
          <cell r="E527" t="str">
            <v>IRE/LAB</v>
          </cell>
          <cell r="G527">
            <v>15</v>
          </cell>
          <cell r="H527" t="str">
            <v>SSU Mission R &amp; P de supervision</v>
          </cell>
          <cell r="I527" t="str">
            <v>IRE</v>
          </cell>
          <cell r="K527" t="str">
            <v>IDA</v>
          </cell>
          <cell r="L527" t="str">
            <v>AUT</v>
          </cell>
          <cell r="P527">
            <v>0</v>
          </cell>
          <cell r="Q527" t="str">
            <v>pxj</v>
          </cell>
          <cell r="S527">
            <v>98.48</v>
          </cell>
          <cell r="T527">
            <v>0.9</v>
          </cell>
          <cell r="U527">
            <v>0</v>
          </cell>
          <cell r="V527">
            <v>0</v>
          </cell>
          <cell r="W527">
            <v>0</v>
          </cell>
          <cell r="X527">
            <v>0</v>
          </cell>
          <cell r="Y527">
            <v>0</v>
          </cell>
          <cell r="Z527">
            <v>0</v>
          </cell>
          <cell r="AA527">
            <v>0</v>
          </cell>
          <cell r="AB527">
            <v>0</v>
          </cell>
          <cell r="AC527">
            <v>0</v>
          </cell>
          <cell r="AD527">
            <v>0</v>
          </cell>
          <cell r="AE527">
            <v>0</v>
          </cell>
          <cell r="AF527">
            <v>0</v>
          </cell>
          <cell r="AH527">
            <v>0</v>
          </cell>
        </row>
        <row r="528">
          <cell r="B528" t="str">
            <v>ST/EPU</v>
          </cell>
          <cell r="C528" t="str">
            <v>C1C</v>
          </cell>
          <cell r="D528" t="str">
            <v>C1CH</v>
          </cell>
          <cell r="E528" t="str">
            <v>IRE/MAM</v>
          </cell>
          <cell r="G528">
            <v>15</v>
          </cell>
          <cell r="H528" t="str">
            <v>SSU Mission R &amp; P de supervision</v>
          </cell>
          <cell r="I528" t="str">
            <v>IRE</v>
          </cell>
          <cell r="K528" t="str">
            <v>IDA</v>
          </cell>
          <cell r="L528" t="str">
            <v>AUT</v>
          </cell>
          <cell r="P528">
            <v>0</v>
          </cell>
          <cell r="Q528" t="str">
            <v>pxj</v>
          </cell>
          <cell r="S528">
            <v>98.48</v>
          </cell>
          <cell r="T528">
            <v>0.9</v>
          </cell>
          <cell r="U528">
            <v>0</v>
          </cell>
          <cell r="V528">
            <v>0</v>
          </cell>
          <cell r="W528">
            <v>0</v>
          </cell>
          <cell r="X528">
            <v>0</v>
          </cell>
          <cell r="Y528">
            <v>0</v>
          </cell>
          <cell r="Z528">
            <v>0</v>
          </cell>
          <cell r="AA528">
            <v>0</v>
          </cell>
          <cell r="AB528">
            <v>0</v>
          </cell>
          <cell r="AC528">
            <v>0</v>
          </cell>
          <cell r="AD528">
            <v>0</v>
          </cell>
          <cell r="AE528">
            <v>0</v>
          </cell>
          <cell r="AF528">
            <v>0</v>
          </cell>
          <cell r="AH528">
            <v>0</v>
          </cell>
        </row>
        <row r="529">
          <cell r="B529" t="str">
            <v>ST/EPU</v>
          </cell>
          <cell r="C529" t="str">
            <v>C1C</v>
          </cell>
          <cell r="D529" t="str">
            <v>C1CH</v>
          </cell>
          <cell r="E529" t="str">
            <v>IRE/NZE</v>
          </cell>
          <cell r="G529">
            <v>15</v>
          </cell>
          <cell r="H529" t="str">
            <v>SSU Mission R &amp; P de supervision</v>
          </cell>
          <cell r="I529" t="str">
            <v>IRE</v>
          </cell>
          <cell r="K529" t="str">
            <v>IDA</v>
          </cell>
          <cell r="L529" t="str">
            <v>AUT</v>
          </cell>
          <cell r="P529">
            <v>0</v>
          </cell>
          <cell r="Q529" t="str">
            <v>pxj</v>
          </cell>
          <cell r="S529">
            <v>98.48</v>
          </cell>
          <cell r="T529">
            <v>0.9</v>
          </cell>
          <cell r="U529">
            <v>0</v>
          </cell>
          <cell r="V529">
            <v>0</v>
          </cell>
          <cell r="W529">
            <v>0</v>
          </cell>
          <cell r="X529">
            <v>0</v>
          </cell>
          <cell r="Y529">
            <v>0</v>
          </cell>
          <cell r="Z529">
            <v>0</v>
          </cell>
          <cell r="AA529">
            <v>0</v>
          </cell>
          <cell r="AB529">
            <v>0</v>
          </cell>
          <cell r="AC529">
            <v>0</v>
          </cell>
          <cell r="AD529">
            <v>0</v>
          </cell>
          <cell r="AE529">
            <v>0</v>
          </cell>
          <cell r="AF529">
            <v>0</v>
          </cell>
          <cell r="AH529">
            <v>0</v>
          </cell>
        </row>
        <row r="530">
          <cell r="B530" t="str">
            <v>ST/EPU</v>
          </cell>
          <cell r="C530" t="str">
            <v>B1B</v>
          </cell>
          <cell r="D530" t="str">
            <v>B1BB</v>
          </cell>
          <cell r="E530" t="str">
            <v>DNES</v>
          </cell>
          <cell r="G530">
            <v>25</v>
          </cell>
          <cell r="H530" t="str">
            <v>Evaluation externe des Projets d'Etablissement (PARPES)</v>
          </cell>
          <cell r="I530" t="str">
            <v>DNES</v>
          </cell>
          <cell r="K530" t="str">
            <v>IDA</v>
          </cell>
          <cell r="L530" t="str">
            <v>LR</v>
          </cell>
          <cell r="P530">
            <v>0</v>
          </cell>
          <cell r="Q530" t="str">
            <v>forfait</v>
          </cell>
          <cell r="S530">
            <v>73860</v>
          </cell>
          <cell r="T530">
            <v>1</v>
          </cell>
          <cell r="U530">
            <v>0</v>
          </cell>
          <cell r="V530">
            <v>0</v>
          </cell>
          <cell r="W530">
            <v>0</v>
          </cell>
          <cell r="X530">
            <v>0</v>
          </cell>
          <cell r="Y530">
            <v>0</v>
          </cell>
          <cell r="Z530">
            <v>0</v>
          </cell>
          <cell r="AA530">
            <v>0</v>
          </cell>
          <cell r="AB530">
            <v>0</v>
          </cell>
          <cell r="AC530">
            <v>0</v>
          </cell>
          <cell r="AD530">
            <v>0</v>
          </cell>
          <cell r="AE530">
            <v>0</v>
          </cell>
          <cell r="AF530">
            <v>0</v>
          </cell>
          <cell r="AH530">
            <v>0</v>
          </cell>
        </row>
        <row r="531">
          <cell r="B531" t="str">
            <v>ST/EPU</v>
          </cell>
          <cell r="C531" t="str">
            <v>B3C</v>
          </cell>
          <cell r="D531" t="str">
            <v>B3CD</v>
          </cell>
          <cell r="E531" t="str">
            <v>ISSEG</v>
          </cell>
          <cell r="G531">
            <v>25</v>
          </cell>
          <cell r="H531" t="str">
            <v>ISSEG Frais d'organisation du concours de recrutement</v>
          </cell>
          <cell r="I531" t="str">
            <v>ISSEG</v>
          </cell>
          <cell r="K531" t="str">
            <v>IDA</v>
          </cell>
          <cell r="L531" t="str">
            <v>AUT</v>
          </cell>
          <cell r="P531">
            <v>0</v>
          </cell>
          <cell r="Q531" t="str">
            <v>forfait</v>
          </cell>
          <cell r="S531">
            <v>26000</v>
          </cell>
          <cell r="T531">
            <v>1</v>
          </cell>
          <cell r="U531">
            <v>0</v>
          </cell>
          <cell r="V531">
            <v>0</v>
          </cell>
          <cell r="W531">
            <v>0</v>
          </cell>
          <cell r="X531">
            <v>0</v>
          </cell>
          <cell r="Y531">
            <v>0</v>
          </cell>
          <cell r="Z531">
            <v>0</v>
          </cell>
          <cell r="AA531">
            <v>0</v>
          </cell>
          <cell r="AB531">
            <v>0</v>
          </cell>
          <cell r="AC531">
            <v>0</v>
          </cell>
          <cell r="AD531">
            <v>0</v>
          </cell>
          <cell r="AE531">
            <v>0</v>
          </cell>
          <cell r="AF531">
            <v>0</v>
          </cell>
          <cell r="AH531">
            <v>0</v>
          </cell>
        </row>
        <row r="532">
          <cell r="B532" t="str">
            <v>ST/EPU</v>
          </cell>
          <cell r="C532" t="str">
            <v>B3C</v>
          </cell>
          <cell r="D532" t="str">
            <v>B3CD</v>
          </cell>
          <cell r="E532" t="str">
            <v>ISSEG</v>
          </cell>
          <cell r="G532">
            <v>25</v>
          </cell>
          <cell r="H532" t="str">
            <v>ISSEG Mallettes pédagogiques des stagiaires (11PEN +45CPMF)</v>
          </cell>
          <cell r="I532" t="str">
            <v>ISSEG</v>
          </cell>
          <cell r="K532" t="str">
            <v>IDA</v>
          </cell>
          <cell r="L532" t="str">
            <v>AUT</v>
          </cell>
          <cell r="P532">
            <v>0</v>
          </cell>
          <cell r="Q532" t="str">
            <v>forfait</v>
          </cell>
          <cell r="S532">
            <v>35058.880000000005</v>
          </cell>
          <cell r="T532">
            <v>1</v>
          </cell>
          <cell r="U532">
            <v>0</v>
          </cell>
          <cell r="V532">
            <v>0</v>
          </cell>
          <cell r="W532">
            <v>0</v>
          </cell>
          <cell r="X532">
            <v>0</v>
          </cell>
          <cell r="Y532">
            <v>0</v>
          </cell>
          <cell r="Z532">
            <v>0</v>
          </cell>
          <cell r="AA532">
            <v>0</v>
          </cell>
          <cell r="AB532">
            <v>0</v>
          </cell>
          <cell r="AC532">
            <v>0</v>
          </cell>
          <cell r="AD532">
            <v>0</v>
          </cell>
          <cell r="AE532">
            <v>0</v>
          </cell>
          <cell r="AF532">
            <v>0</v>
          </cell>
          <cell r="AH532">
            <v>0</v>
          </cell>
        </row>
        <row r="533">
          <cell r="B533" t="str">
            <v>ST/EPU</v>
          </cell>
          <cell r="C533" t="str">
            <v>B3C</v>
          </cell>
          <cell r="D533" t="str">
            <v>B3CD</v>
          </cell>
          <cell r="E533" t="str">
            <v>ISSEG</v>
          </cell>
          <cell r="G533">
            <v>25</v>
          </cell>
          <cell r="H533" t="str">
            <v>ISSEG Frais de formation des stagiaires (11PEN +45CPMF)</v>
          </cell>
          <cell r="I533" t="str">
            <v>ISSEG</v>
          </cell>
          <cell r="K533" t="str">
            <v>IDA</v>
          </cell>
          <cell r="L533" t="str">
            <v>AUT</v>
          </cell>
          <cell r="P533">
            <v>0</v>
          </cell>
          <cell r="Q533" t="str">
            <v>forfait</v>
          </cell>
          <cell r="S533">
            <v>58595.600000000006</v>
          </cell>
          <cell r="T533">
            <v>1</v>
          </cell>
          <cell r="U533">
            <v>0</v>
          </cell>
          <cell r="V533">
            <v>0</v>
          </cell>
          <cell r="W533">
            <v>0</v>
          </cell>
          <cell r="X533">
            <v>0</v>
          </cell>
          <cell r="Y533">
            <v>0</v>
          </cell>
          <cell r="Z533">
            <v>0</v>
          </cell>
          <cell r="AA533">
            <v>0</v>
          </cell>
          <cell r="AB533">
            <v>0</v>
          </cell>
          <cell r="AC533">
            <v>0</v>
          </cell>
          <cell r="AD533">
            <v>0</v>
          </cell>
          <cell r="AE533">
            <v>0</v>
          </cell>
          <cell r="AF533">
            <v>0</v>
          </cell>
          <cell r="AH533">
            <v>0</v>
          </cell>
        </row>
        <row r="534">
          <cell r="B534" t="str">
            <v>ST/EPU</v>
          </cell>
          <cell r="C534" t="str">
            <v>B1B</v>
          </cell>
          <cell r="D534" t="str">
            <v>B1BF</v>
          </cell>
          <cell r="E534" t="str">
            <v>DNES</v>
          </cell>
          <cell r="G534">
            <v>15</v>
          </cell>
          <cell r="H534" t="str">
            <v>DNES Location bureaux (PARPES)</v>
          </cell>
          <cell r="I534" t="str">
            <v>DNES</v>
          </cell>
          <cell r="K534" t="str">
            <v>IDA</v>
          </cell>
          <cell r="L534" t="str">
            <v>AUT</v>
          </cell>
          <cell r="P534">
            <v>0</v>
          </cell>
          <cell r="Q534" t="str">
            <v>mois</v>
          </cell>
          <cell r="S534">
            <v>9437.6666666666679</v>
          </cell>
          <cell r="T534">
            <v>0.9</v>
          </cell>
          <cell r="U534">
            <v>0</v>
          </cell>
          <cell r="V534">
            <v>0</v>
          </cell>
          <cell r="W534">
            <v>0</v>
          </cell>
          <cell r="X534">
            <v>0</v>
          </cell>
          <cell r="Y534">
            <v>0</v>
          </cell>
          <cell r="Z534">
            <v>0</v>
          </cell>
          <cell r="AA534">
            <v>0</v>
          </cell>
          <cell r="AB534">
            <v>0</v>
          </cell>
          <cell r="AC534">
            <v>0</v>
          </cell>
          <cell r="AD534">
            <v>0</v>
          </cell>
          <cell r="AE534">
            <v>0</v>
          </cell>
          <cell r="AF534">
            <v>0</v>
          </cell>
          <cell r="AH534">
            <v>0</v>
          </cell>
        </row>
        <row r="535">
          <cell r="B535" t="str">
            <v>ST/EPU</v>
          </cell>
          <cell r="C535" t="str">
            <v>B1H</v>
          </cell>
          <cell r="D535" t="str">
            <v>B1HB</v>
          </cell>
          <cell r="E535" t="str">
            <v>SAA</v>
          </cell>
          <cell r="G535">
            <v>12</v>
          </cell>
          <cell r="H535" t="str">
            <v>ALPHA   Financement des sous projets d'alphabétisation  IIZ DVV  (environ 14)   avenant 190.000  usd</v>
          </cell>
          <cell r="I535" t="str">
            <v>SNA</v>
          </cell>
          <cell r="K535" t="str">
            <v>IDA</v>
          </cell>
          <cell r="L535" t="str">
            <v>AUT</v>
          </cell>
          <cell r="P535">
            <v>0</v>
          </cell>
          <cell r="Q535" t="str">
            <v>avenant</v>
          </cell>
          <cell r="S535">
            <v>935560.00000000012</v>
          </cell>
          <cell r="T535">
            <v>1</v>
          </cell>
          <cell r="U535">
            <v>0</v>
          </cell>
          <cell r="V535">
            <v>0</v>
          </cell>
          <cell r="W535">
            <v>0</v>
          </cell>
          <cell r="X535">
            <v>0</v>
          </cell>
          <cell r="Y535">
            <v>0</v>
          </cell>
          <cell r="Z535">
            <v>0</v>
          </cell>
          <cell r="AA535">
            <v>0</v>
          </cell>
          <cell r="AB535">
            <v>0</v>
          </cell>
          <cell r="AC535">
            <v>0</v>
          </cell>
          <cell r="AD535">
            <v>0</v>
          </cell>
          <cell r="AE535">
            <v>0</v>
          </cell>
          <cell r="AF535">
            <v>0</v>
          </cell>
          <cell r="AH535">
            <v>0</v>
          </cell>
        </row>
        <row r="536">
          <cell r="B536" t="str">
            <v>ST/EPU</v>
          </cell>
          <cell r="C536" t="str">
            <v>B1H</v>
          </cell>
          <cell r="D536" t="str">
            <v>B1HA</v>
          </cell>
          <cell r="E536" t="str">
            <v>SAA</v>
          </cell>
          <cell r="G536">
            <v>25</v>
          </cell>
          <cell r="H536" t="str">
            <v xml:space="preserve">ALPHA Missions Centrales de suivi  2visites /projet/an x 2pers                                  </v>
          </cell>
          <cell r="I536" t="str">
            <v>SNA</v>
          </cell>
          <cell r="K536" t="str">
            <v>IDA</v>
          </cell>
          <cell r="L536" t="str">
            <v>AUT</v>
          </cell>
          <cell r="P536">
            <v>0</v>
          </cell>
          <cell r="Q536" t="str">
            <v>pxj</v>
          </cell>
          <cell r="S536">
            <v>147.72</v>
          </cell>
          <cell r="T536">
            <v>1</v>
          </cell>
          <cell r="U536">
            <v>0</v>
          </cell>
          <cell r="V536">
            <v>0</v>
          </cell>
          <cell r="W536">
            <v>0</v>
          </cell>
          <cell r="X536">
            <v>0</v>
          </cell>
          <cell r="Y536">
            <v>0</v>
          </cell>
          <cell r="Z536">
            <v>0</v>
          </cell>
          <cell r="AA536">
            <v>0</v>
          </cell>
          <cell r="AB536">
            <v>0</v>
          </cell>
          <cell r="AC536">
            <v>0</v>
          </cell>
          <cell r="AD536">
            <v>0</v>
          </cell>
          <cell r="AE536">
            <v>0</v>
          </cell>
          <cell r="AF536">
            <v>0</v>
          </cell>
          <cell r="AH536">
            <v>0</v>
          </cell>
        </row>
        <row r="537">
          <cell r="B537" t="str">
            <v>ST/EPU</v>
          </cell>
          <cell r="C537" t="str">
            <v>B1H</v>
          </cell>
          <cell r="D537" t="str">
            <v>B1HA</v>
          </cell>
          <cell r="E537" t="str">
            <v>SAA</v>
          </cell>
          <cell r="G537">
            <v>25</v>
          </cell>
          <cell r="H537" t="str">
            <v xml:space="preserve">ALPHA Missions Préfectorales de suivi  4visites /projet/an                                  </v>
          </cell>
          <cell r="I537" t="str">
            <v>SNA</v>
          </cell>
          <cell r="K537" t="str">
            <v>IDA</v>
          </cell>
          <cell r="L537" t="str">
            <v>AUT</v>
          </cell>
          <cell r="P537">
            <v>0</v>
          </cell>
          <cell r="Q537" t="str">
            <v>pxj</v>
          </cell>
          <cell r="S537">
            <v>98.48</v>
          </cell>
          <cell r="T537">
            <v>1</v>
          </cell>
          <cell r="U537">
            <v>0</v>
          </cell>
          <cell r="V537">
            <v>0</v>
          </cell>
          <cell r="W537">
            <v>0</v>
          </cell>
          <cell r="X537">
            <v>0</v>
          </cell>
          <cell r="Y537">
            <v>0</v>
          </cell>
          <cell r="Z537">
            <v>0</v>
          </cell>
          <cell r="AA537">
            <v>0</v>
          </cell>
          <cell r="AB537">
            <v>0</v>
          </cell>
          <cell r="AC537">
            <v>0</v>
          </cell>
          <cell r="AD537">
            <v>0</v>
          </cell>
          <cell r="AE537">
            <v>0</v>
          </cell>
          <cell r="AF537">
            <v>0</v>
          </cell>
          <cell r="AH537">
            <v>0</v>
          </cell>
        </row>
        <row r="538">
          <cell r="B538" t="str">
            <v>ST/EPU</v>
          </cell>
          <cell r="C538" t="str">
            <v>C1K</v>
          </cell>
          <cell r="D538" t="str">
            <v>C1KB</v>
          </cell>
          <cell r="E538" t="str">
            <v>DRH</v>
          </cell>
          <cell r="G538">
            <v>25</v>
          </cell>
          <cell r="H538" t="str">
            <v>Informaticien contractuel pour la DRH</v>
          </cell>
          <cell r="I538" t="str">
            <v>DRH</v>
          </cell>
          <cell r="K538" t="str">
            <v>IDA</v>
          </cell>
          <cell r="L538" t="str">
            <v>LR</v>
          </cell>
          <cell r="P538">
            <v>0</v>
          </cell>
          <cell r="Q538" t="str">
            <v>pxm</v>
          </cell>
          <cell r="S538">
            <v>7386.0000000000009</v>
          </cell>
          <cell r="T538">
            <v>1</v>
          </cell>
          <cell r="U538">
            <v>0</v>
          </cell>
          <cell r="V538">
            <v>0</v>
          </cell>
          <cell r="W538">
            <v>0</v>
          </cell>
          <cell r="X538">
            <v>0</v>
          </cell>
          <cell r="Y538">
            <v>0</v>
          </cell>
          <cell r="Z538">
            <v>0</v>
          </cell>
          <cell r="AA538">
            <v>0</v>
          </cell>
          <cell r="AB538">
            <v>0</v>
          </cell>
          <cell r="AC538">
            <v>0</v>
          </cell>
          <cell r="AD538">
            <v>0</v>
          </cell>
          <cell r="AE538">
            <v>0</v>
          </cell>
          <cell r="AF538">
            <v>0</v>
          </cell>
          <cell r="AH538">
            <v>0</v>
          </cell>
        </row>
        <row r="539">
          <cell r="B539" t="str">
            <v>ST/EPU</v>
          </cell>
          <cell r="C539" t="str">
            <v>C1K</v>
          </cell>
          <cell r="D539" t="str">
            <v>C1KB</v>
          </cell>
          <cell r="E539" t="str">
            <v>DRH</v>
          </cell>
          <cell r="G539">
            <v>25</v>
          </cell>
          <cell r="H539" t="str">
            <v xml:space="preserve">Consultant inform pour développement et implantation du syst dans IRE/DEV  </v>
          </cell>
          <cell r="I539" t="str">
            <v>DRH</v>
          </cell>
          <cell r="K539" t="str">
            <v>IDA</v>
          </cell>
          <cell r="L539" t="str">
            <v>LR</v>
          </cell>
          <cell r="P539">
            <v>0</v>
          </cell>
          <cell r="Q539" t="str">
            <v>forfait</v>
          </cell>
          <cell r="S539">
            <v>27082.000000000004</v>
          </cell>
          <cell r="T539">
            <v>1</v>
          </cell>
          <cell r="U539">
            <v>0</v>
          </cell>
          <cell r="V539">
            <v>0</v>
          </cell>
          <cell r="W539">
            <v>0</v>
          </cell>
          <cell r="X539">
            <v>0</v>
          </cell>
          <cell r="Y539">
            <v>0</v>
          </cell>
          <cell r="Z539">
            <v>0</v>
          </cell>
          <cell r="AA539">
            <v>0</v>
          </cell>
          <cell r="AB539">
            <v>0</v>
          </cell>
          <cell r="AC539">
            <v>0</v>
          </cell>
          <cell r="AD539">
            <v>0</v>
          </cell>
          <cell r="AE539">
            <v>0</v>
          </cell>
          <cell r="AF539">
            <v>0</v>
          </cell>
          <cell r="AH539">
            <v>0</v>
          </cell>
        </row>
        <row r="540">
          <cell r="B540" t="str">
            <v>ST/EPU</v>
          </cell>
          <cell r="C540" t="str">
            <v>C1K</v>
          </cell>
          <cell r="D540" t="str">
            <v>C1KB</v>
          </cell>
          <cell r="E540" t="str">
            <v>DRH</v>
          </cell>
          <cell r="G540">
            <v>25</v>
          </cell>
          <cell r="H540" t="str">
            <v xml:space="preserve">Formation des gestionnaires des RH des IRE à l'utilisation du logiciel 8 x3p x 5j </v>
          </cell>
          <cell r="I540" t="str">
            <v>DRH</v>
          </cell>
          <cell r="K540" t="str">
            <v>IDA</v>
          </cell>
          <cell r="L540" t="str">
            <v>AUT</v>
          </cell>
          <cell r="P540">
            <v>0</v>
          </cell>
          <cell r="Q540" t="str">
            <v>form</v>
          </cell>
          <cell r="S540">
            <v>14772.000000000002</v>
          </cell>
          <cell r="T540">
            <v>1</v>
          </cell>
          <cell r="U540">
            <v>0</v>
          </cell>
          <cell r="V540">
            <v>0</v>
          </cell>
          <cell r="W540">
            <v>0</v>
          </cell>
          <cell r="X540">
            <v>0</v>
          </cell>
          <cell r="Y540">
            <v>0</v>
          </cell>
          <cell r="Z540">
            <v>0</v>
          </cell>
          <cell r="AA540">
            <v>0</v>
          </cell>
          <cell r="AB540">
            <v>0</v>
          </cell>
          <cell r="AC540">
            <v>0</v>
          </cell>
          <cell r="AD540">
            <v>0</v>
          </cell>
          <cell r="AE540">
            <v>0</v>
          </cell>
          <cell r="AF540">
            <v>0</v>
          </cell>
          <cell r="AH540">
            <v>0</v>
          </cell>
        </row>
        <row r="541">
          <cell r="B541" t="str">
            <v>ST/EPU</v>
          </cell>
          <cell r="C541" t="str">
            <v>C1K</v>
          </cell>
          <cell r="D541" t="str">
            <v>C1KB</v>
          </cell>
          <cell r="E541" t="str">
            <v>DRH</v>
          </cell>
          <cell r="G541">
            <v>25</v>
          </cell>
          <cell r="H541" t="str">
            <v xml:space="preserve">Formation des gestionnaires des RH des IRE à l'utilisation du logiciel 8 x3p x 5j </v>
          </cell>
          <cell r="I541" t="str">
            <v>DRH</v>
          </cell>
          <cell r="K541" t="str">
            <v>IDA</v>
          </cell>
          <cell r="L541" t="str">
            <v>AUT</v>
          </cell>
          <cell r="P541">
            <v>0</v>
          </cell>
          <cell r="Q541" t="str">
            <v>form</v>
          </cell>
          <cell r="S541">
            <v>14772.000000000002</v>
          </cell>
          <cell r="T541">
            <v>1</v>
          </cell>
          <cell r="U541">
            <v>0</v>
          </cell>
          <cell r="V541">
            <v>0</v>
          </cell>
          <cell r="W541">
            <v>0</v>
          </cell>
          <cell r="X541">
            <v>0</v>
          </cell>
          <cell r="Y541">
            <v>0</v>
          </cell>
          <cell r="Z541">
            <v>0</v>
          </cell>
          <cell r="AA541">
            <v>0</v>
          </cell>
          <cell r="AB541">
            <v>0</v>
          </cell>
          <cell r="AC541">
            <v>0</v>
          </cell>
          <cell r="AD541">
            <v>0</v>
          </cell>
          <cell r="AE541">
            <v>0</v>
          </cell>
          <cell r="AF541">
            <v>0</v>
          </cell>
          <cell r="AH541">
            <v>0</v>
          </cell>
        </row>
        <row r="542">
          <cell r="B542" t="str">
            <v>ST/EPU</v>
          </cell>
          <cell r="C542" t="str">
            <v>C1K</v>
          </cell>
          <cell r="D542" t="str">
            <v>C1KB</v>
          </cell>
          <cell r="E542" t="str">
            <v>DRH</v>
          </cell>
          <cell r="G542">
            <v>15</v>
          </cell>
          <cell r="H542" t="str">
            <v>Mission C d'appui-conseil et formation gestionnaires des RH des IRE</v>
          </cell>
          <cell r="I542" t="str">
            <v>DRH</v>
          </cell>
          <cell r="K542" t="str">
            <v>IDA</v>
          </cell>
          <cell r="L542" t="str">
            <v>AUT</v>
          </cell>
          <cell r="P542">
            <v>0</v>
          </cell>
          <cell r="Q542" t="str">
            <v>pxj</v>
          </cell>
          <cell r="S542">
            <v>147.72</v>
          </cell>
          <cell r="T542">
            <v>0.9</v>
          </cell>
          <cell r="U542">
            <v>0</v>
          </cell>
          <cell r="V542">
            <v>0</v>
          </cell>
          <cell r="W542">
            <v>0</v>
          </cell>
          <cell r="X542">
            <v>0</v>
          </cell>
          <cell r="Y542">
            <v>0</v>
          </cell>
          <cell r="Z542">
            <v>0</v>
          </cell>
          <cell r="AA542">
            <v>0</v>
          </cell>
          <cell r="AB542">
            <v>0</v>
          </cell>
          <cell r="AC542">
            <v>0</v>
          </cell>
          <cell r="AD542">
            <v>0</v>
          </cell>
          <cell r="AE542">
            <v>0</v>
          </cell>
          <cell r="AF542">
            <v>0</v>
          </cell>
          <cell r="AH542">
            <v>0</v>
          </cell>
        </row>
        <row r="543">
          <cell r="B543" t="str">
            <v>ST/EPU</v>
          </cell>
          <cell r="C543" t="str">
            <v>C1K</v>
          </cell>
          <cell r="D543" t="str">
            <v>C1KB</v>
          </cell>
          <cell r="E543" t="str">
            <v>DRH</v>
          </cell>
          <cell r="G543">
            <v>15</v>
          </cell>
          <cell r="H543" t="str">
            <v>Mise à jour des bases régionales en coll avec les DSEE (carb, frais de mission)</v>
          </cell>
          <cell r="I543" t="str">
            <v>DRH</v>
          </cell>
          <cell r="K543" t="str">
            <v>IDA</v>
          </cell>
          <cell r="L543" t="str">
            <v>AUT</v>
          </cell>
          <cell r="P543">
            <v>0</v>
          </cell>
          <cell r="Q543" t="str">
            <v>forfait</v>
          </cell>
          <cell r="S543">
            <v>14772.000000000002</v>
          </cell>
          <cell r="T543">
            <v>0.9</v>
          </cell>
          <cell r="U543">
            <v>0</v>
          </cell>
          <cell r="V543">
            <v>0</v>
          </cell>
          <cell r="W543">
            <v>0</v>
          </cell>
          <cell r="X543">
            <v>0</v>
          </cell>
          <cell r="Y543">
            <v>0</v>
          </cell>
          <cell r="Z543">
            <v>0</v>
          </cell>
          <cell r="AA543">
            <v>0</v>
          </cell>
          <cell r="AB543">
            <v>0</v>
          </cell>
          <cell r="AC543">
            <v>0</v>
          </cell>
          <cell r="AD543">
            <v>0</v>
          </cell>
          <cell r="AE543">
            <v>0</v>
          </cell>
          <cell r="AF543">
            <v>0</v>
          </cell>
          <cell r="AH543">
            <v>0</v>
          </cell>
        </row>
        <row r="544">
          <cell r="B544" t="str">
            <v>ST/EPU</v>
          </cell>
          <cell r="C544" t="str">
            <v>C1F</v>
          </cell>
          <cell r="D544" t="str">
            <v>C1FB</v>
          </cell>
          <cell r="E544" t="str">
            <v>IRE/BOK</v>
          </cell>
          <cell r="G544">
            <v>23</v>
          </cell>
          <cell r="H544" t="str">
            <v>Alimentation photovoltaique pour mat informatique</v>
          </cell>
          <cell r="I544" t="str">
            <v>SNIES</v>
          </cell>
          <cell r="K544" t="str">
            <v>IDA</v>
          </cell>
          <cell r="L544" t="str">
            <v>AOI</v>
          </cell>
          <cell r="P544">
            <v>0</v>
          </cell>
          <cell r="Q544" t="str">
            <v>lot</v>
          </cell>
          <cell r="S544">
            <v>43085</v>
          </cell>
          <cell r="T544">
            <v>1</v>
          </cell>
          <cell r="U544">
            <v>0</v>
          </cell>
          <cell r="V544">
            <v>0</v>
          </cell>
          <cell r="W544">
            <v>0</v>
          </cell>
          <cell r="X544">
            <v>0</v>
          </cell>
          <cell r="Y544">
            <v>0</v>
          </cell>
          <cell r="Z544">
            <v>0</v>
          </cell>
          <cell r="AA544">
            <v>0</v>
          </cell>
          <cell r="AB544">
            <v>0</v>
          </cell>
          <cell r="AC544">
            <v>0</v>
          </cell>
          <cell r="AD544">
            <v>0</v>
          </cell>
          <cell r="AE544">
            <v>0</v>
          </cell>
          <cell r="AF544">
            <v>0</v>
          </cell>
          <cell r="AH544">
            <v>0</v>
          </cell>
        </row>
        <row r="545">
          <cell r="B545" t="str">
            <v>ST/EPU</v>
          </cell>
          <cell r="C545" t="str">
            <v>C1F</v>
          </cell>
          <cell r="D545" t="str">
            <v>C1FB</v>
          </cell>
          <cell r="E545" t="str">
            <v>IRE/FAR</v>
          </cell>
          <cell r="G545">
            <v>23</v>
          </cell>
          <cell r="H545" t="str">
            <v>Alimentation photovoltaique pour mat informatique</v>
          </cell>
          <cell r="I545" t="str">
            <v>SNIES</v>
          </cell>
          <cell r="K545" t="str">
            <v>IDA</v>
          </cell>
          <cell r="L545" t="str">
            <v>AOI</v>
          </cell>
          <cell r="P545">
            <v>0</v>
          </cell>
          <cell r="Q545" t="str">
            <v>lot</v>
          </cell>
          <cell r="S545">
            <v>43085</v>
          </cell>
          <cell r="T545">
            <v>1</v>
          </cell>
          <cell r="U545">
            <v>0</v>
          </cell>
          <cell r="V545">
            <v>0</v>
          </cell>
          <cell r="W545">
            <v>0</v>
          </cell>
          <cell r="X545">
            <v>0</v>
          </cell>
          <cell r="Y545">
            <v>0</v>
          </cell>
          <cell r="Z545">
            <v>0</v>
          </cell>
          <cell r="AA545">
            <v>0</v>
          </cell>
          <cell r="AB545">
            <v>0</v>
          </cell>
          <cell r="AC545">
            <v>0</v>
          </cell>
          <cell r="AD545">
            <v>0</v>
          </cell>
          <cell r="AE545">
            <v>0</v>
          </cell>
          <cell r="AF545">
            <v>0</v>
          </cell>
          <cell r="AH545">
            <v>0</v>
          </cell>
        </row>
        <row r="546">
          <cell r="B546" t="str">
            <v>ST/EPU</v>
          </cell>
          <cell r="C546" t="str">
            <v>C1F</v>
          </cell>
          <cell r="D546" t="str">
            <v>C1FB</v>
          </cell>
          <cell r="E546" t="str">
            <v>IRE/KAN</v>
          </cell>
          <cell r="G546">
            <v>23</v>
          </cell>
          <cell r="H546" t="str">
            <v>Alimentation photovoltaique pour mat informatique</v>
          </cell>
          <cell r="I546" t="str">
            <v>SNIES</v>
          </cell>
          <cell r="K546" t="str">
            <v>IDA</v>
          </cell>
          <cell r="L546" t="str">
            <v>AOI</v>
          </cell>
          <cell r="P546">
            <v>0</v>
          </cell>
          <cell r="Q546" t="str">
            <v>lot</v>
          </cell>
          <cell r="S546">
            <v>43085</v>
          </cell>
          <cell r="T546">
            <v>1</v>
          </cell>
          <cell r="U546">
            <v>0</v>
          </cell>
          <cell r="V546">
            <v>0</v>
          </cell>
          <cell r="W546">
            <v>0</v>
          </cell>
          <cell r="X546">
            <v>0</v>
          </cell>
          <cell r="Y546">
            <v>0</v>
          </cell>
          <cell r="Z546">
            <v>0</v>
          </cell>
          <cell r="AA546">
            <v>0</v>
          </cell>
          <cell r="AB546">
            <v>0</v>
          </cell>
          <cell r="AC546">
            <v>0</v>
          </cell>
          <cell r="AD546">
            <v>0</v>
          </cell>
          <cell r="AE546">
            <v>0</v>
          </cell>
          <cell r="AF546">
            <v>0</v>
          </cell>
          <cell r="AH546">
            <v>0</v>
          </cell>
        </row>
        <row r="547">
          <cell r="B547" t="str">
            <v>ST/EPU</v>
          </cell>
          <cell r="C547" t="str">
            <v>C1F</v>
          </cell>
          <cell r="D547" t="str">
            <v>C1FB</v>
          </cell>
          <cell r="E547" t="str">
            <v>IRE/KIN</v>
          </cell>
          <cell r="G547">
            <v>23</v>
          </cell>
          <cell r="H547" t="str">
            <v>Alimentation photovoltaique pour mat informatique</v>
          </cell>
          <cell r="I547" t="str">
            <v>SNIES</v>
          </cell>
          <cell r="K547" t="str">
            <v>IDA</v>
          </cell>
          <cell r="L547" t="str">
            <v>AOI</v>
          </cell>
          <cell r="P547">
            <v>0</v>
          </cell>
          <cell r="Q547" t="str">
            <v>lot</v>
          </cell>
          <cell r="S547">
            <v>43085</v>
          </cell>
          <cell r="T547">
            <v>1</v>
          </cell>
          <cell r="U547">
            <v>0</v>
          </cell>
          <cell r="V547">
            <v>0</v>
          </cell>
          <cell r="W547">
            <v>0</v>
          </cell>
          <cell r="X547">
            <v>0</v>
          </cell>
          <cell r="Y547">
            <v>0</v>
          </cell>
          <cell r="Z547">
            <v>0</v>
          </cell>
          <cell r="AA547">
            <v>0</v>
          </cell>
          <cell r="AB547">
            <v>0</v>
          </cell>
          <cell r="AC547">
            <v>0</v>
          </cell>
          <cell r="AD547">
            <v>0</v>
          </cell>
          <cell r="AE547">
            <v>0</v>
          </cell>
          <cell r="AF547">
            <v>0</v>
          </cell>
          <cell r="AH547">
            <v>0</v>
          </cell>
        </row>
        <row r="548">
          <cell r="B548" t="str">
            <v>ST/EPU</v>
          </cell>
          <cell r="C548" t="str">
            <v>C1F</v>
          </cell>
          <cell r="D548" t="str">
            <v>C1FB</v>
          </cell>
          <cell r="E548" t="str">
            <v>IRE/LAB</v>
          </cell>
          <cell r="G548">
            <v>23</v>
          </cell>
          <cell r="H548" t="str">
            <v>Alimentation photovoltaique pour mat informatique</v>
          </cell>
          <cell r="I548" t="str">
            <v>SNIES</v>
          </cell>
          <cell r="K548" t="str">
            <v>IDA</v>
          </cell>
          <cell r="L548" t="str">
            <v>AOI</v>
          </cell>
          <cell r="P548">
            <v>0</v>
          </cell>
          <cell r="Q548" t="str">
            <v>lot</v>
          </cell>
          <cell r="S548">
            <v>43085</v>
          </cell>
          <cell r="T548">
            <v>1</v>
          </cell>
          <cell r="U548">
            <v>0</v>
          </cell>
          <cell r="V548">
            <v>0</v>
          </cell>
          <cell r="W548">
            <v>0</v>
          </cell>
          <cell r="X548">
            <v>0</v>
          </cell>
          <cell r="Y548">
            <v>0</v>
          </cell>
          <cell r="Z548">
            <v>0</v>
          </cell>
          <cell r="AA548">
            <v>0</v>
          </cell>
          <cell r="AB548">
            <v>0</v>
          </cell>
          <cell r="AC548">
            <v>0</v>
          </cell>
          <cell r="AD548">
            <v>0</v>
          </cell>
          <cell r="AE548">
            <v>0</v>
          </cell>
          <cell r="AF548">
            <v>0</v>
          </cell>
          <cell r="AH548">
            <v>0</v>
          </cell>
        </row>
        <row r="549">
          <cell r="B549" t="str">
            <v>ST/EPU</v>
          </cell>
          <cell r="C549" t="str">
            <v>C1F</v>
          </cell>
          <cell r="D549" t="str">
            <v>C1FB</v>
          </cell>
          <cell r="E549" t="str">
            <v>IRE/MAM</v>
          </cell>
          <cell r="G549">
            <v>23</v>
          </cell>
          <cell r="H549" t="str">
            <v>Alimentation photovoltaique pour mat informatique</v>
          </cell>
          <cell r="I549" t="str">
            <v>SNIES</v>
          </cell>
          <cell r="K549" t="str">
            <v>IDA</v>
          </cell>
          <cell r="L549" t="str">
            <v>AOI</v>
          </cell>
          <cell r="P549">
            <v>0</v>
          </cell>
          <cell r="Q549" t="str">
            <v>lot</v>
          </cell>
          <cell r="S549">
            <v>43085</v>
          </cell>
          <cell r="T549">
            <v>1</v>
          </cell>
          <cell r="U549">
            <v>0</v>
          </cell>
          <cell r="V549">
            <v>0</v>
          </cell>
          <cell r="W549">
            <v>0</v>
          </cell>
          <cell r="X549">
            <v>0</v>
          </cell>
          <cell r="Y549">
            <v>0</v>
          </cell>
          <cell r="Z549">
            <v>0</v>
          </cell>
          <cell r="AA549">
            <v>0</v>
          </cell>
          <cell r="AB549">
            <v>0</v>
          </cell>
          <cell r="AC549">
            <v>0</v>
          </cell>
          <cell r="AD549">
            <v>0</v>
          </cell>
          <cell r="AE549">
            <v>0</v>
          </cell>
          <cell r="AF549">
            <v>0</v>
          </cell>
          <cell r="AH549">
            <v>0</v>
          </cell>
        </row>
        <row r="550">
          <cell r="B550" t="str">
            <v>ST/EPU</v>
          </cell>
          <cell r="C550" t="str">
            <v>C1F</v>
          </cell>
          <cell r="D550" t="str">
            <v>C1FB</v>
          </cell>
          <cell r="E550" t="str">
            <v>IRE/NZE</v>
          </cell>
          <cell r="G550">
            <v>23</v>
          </cell>
          <cell r="H550" t="str">
            <v>Alimentation photovoltaique pour mat informatique</v>
          </cell>
          <cell r="I550" t="str">
            <v>SNIES</v>
          </cell>
          <cell r="K550" t="str">
            <v>IDA</v>
          </cell>
          <cell r="L550" t="str">
            <v>AOI</v>
          </cell>
          <cell r="P550">
            <v>0</v>
          </cell>
          <cell r="Q550" t="str">
            <v>lot</v>
          </cell>
          <cell r="S550">
            <v>43085</v>
          </cell>
          <cell r="T550">
            <v>1</v>
          </cell>
          <cell r="U550">
            <v>0</v>
          </cell>
          <cell r="V550">
            <v>0</v>
          </cell>
          <cell r="W550">
            <v>0</v>
          </cell>
          <cell r="X550">
            <v>0</v>
          </cell>
          <cell r="Y550">
            <v>0</v>
          </cell>
          <cell r="Z550">
            <v>0</v>
          </cell>
          <cell r="AA550">
            <v>0</v>
          </cell>
          <cell r="AB550">
            <v>0</v>
          </cell>
          <cell r="AC550">
            <v>0</v>
          </cell>
          <cell r="AD550">
            <v>0</v>
          </cell>
          <cell r="AE550">
            <v>0</v>
          </cell>
          <cell r="AF550">
            <v>0</v>
          </cell>
          <cell r="AH550">
            <v>0</v>
          </cell>
        </row>
        <row r="551">
          <cell r="B551" t="str">
            <v>ST/EPU</v>
          </cell>
          <cell r="C551" t="str">
            <v>C1F</v>
          </cell>
          <cell r="D551" t="str">
            <v>C1FB</v>
          </cell>
          <cell r="E551" t="str">
            <v>IRE/BOK</v>
          </cell>
          <cell r="G551">
            <v>23</v>
          </cell>
          <cell r="H551" t="str">
            <v>Véhicules 4x4 de service pour IRE</v>
          </cell>
          <cell r="I551" t="str">
            <v>SNIES</v>
          </cell>
          <cell r="K551" t="str">
            <v>IDA</v>
          </cell>
          <cell r="L551" t="str">
            <v>AOI</v>
          </cell>
          <cell r="P551">
            <v>0</v>
          </cell>
          <cell r="Q551" t="str">
            <v>u</v>
          </cell>
          <cell r="S551">
            <v>147720</v>
          </cell>
          <cell r="T551">
            <v>1</v>
          </cell>
          <cell r="U551">
            <v>0</v>
          </cell>
          <cell r="V551">
            <v>0</v>
          </cell>
          <cell r="W551">
            <v>0</v>
          </cell>
          <cell r="X551">
            <v>0</v>
          </cell>
          <cell r="Y551">
            <v>0</v>
          </cell>
          <cell r="Z551">
            <v>0</v>
          </cell>
          <cell r="AA551">
            <v>0</v>
          </cell>
          <cell r="AB551">
            <v>0</v>
          </cell>
          <cell r="AC551">
            <v>0</v>
          </cell>
          <cell r="AD551">
            <v>0</v>
          </cell>
          <cell r="AE551">
            <v>0</v>
          </cell>
          <cell r="AF551">
            <v>0</v>
          </cell>
          <cell r="AH551">
            <v>0</v>
          </cell>
        </row>
        <row r="552">
          <cell r="B552" t="str">
            <v>ST/EPU</v>
          </cell>
          <cell r="C552" t="str">
            <v>C1F</v>
          </cell>
          <cell r="D552" t="str">
            <v>C1FB</v>
          </cell>
          <cell r="E552" t="str">
            <v>IRE/CKY</v>
          </cell>
          <cell r="G552">
            <v>23</v>
          </cell>
          <cell r="H552" t="str">
            <v>Véhicules 4x4 de service pour IRE</v>
          </cell>
          <cell r="I552" t="str">
            <v>SNIES</v>
          </cell>
          <cell r="K552" t="str">
            <v>IDA</v>
          </cell>
          <cell r="L552" t="str">
            <v>AOI</v>
          </cell>
          <cell r="P552">
            <v>0</v>
          </cell>
          <cell r="Q552" t="str">
            <v>u</v>
          </cell>
          <cell r="S552">
            <v>147720</v>
          </cell>
          <cell r="T552">
            <v>1</v>
          </cell>
          <cell r="U552">
            <v>0</v>
          </cell>
          <cell r="V552">
            <v>0</v>
          </cell>
          <cell r="W552">
            <v>0</v>
          </cell>
          <cell r="X552">
            <v>0</v>
          </cell>
          <cell r="Y552">
            <v>0</v>
          </cell>
          <cell r="Z552">
            <v>0</v>
          </cell>
          <cell r="AA552">
            <v>0</v>
          </cell>
          <cell r="AB552">
            <v>0</v>
          </cell>
          <cell r="AC552">
            <v>0</v>
          </cell>
          <cell r="AD552">
            <v>0</v>
          </cell>
          <cell r="AE552">
            <v>0</v>
          </cell>
          <cell r="AF552">
            <v>0</v>
          </cell>
          <cell r="AH552">
            <v>0</v>
          </cell>
        </row>
        <row r="553">
          <cell r="B553" t="str">
            <v>ST/EPU</v>
          </cell>
          <cell r="C553" t="str">
            <v>C1F</v>
          </cell>
          <cell r="D553" t="str">
            <v>C1FB</v>
          </cell>
          <cell r="E553" t="str">
            <v>IRE/FAR</v>
          </cell>
          <cell r="G553">
            <v>23</v>
          </cell>
          <cell r="H553" t="str">
            <v>Véhicules 4x4 de service pour IRE</v>
          </cell>
          <cell r="I553" t="str">
            <v>SNIES</v>
          </cell>
          <cell r="K553" t="str">
            <v>IDA</v>
          </cell>
          <cell r="L553" t="str">
            <v>AOI</v>
          </cell>
          <cell r="P553">
            <v>0</v>
          </cell>
          <cell r="Q553" t="str">
            <v>u</v>
          </cell>
          <cell r="S553">
            <v>147720</v>
          </cell>
          <cell r="T553">
            <v>1</v>
          </cell>
          <cell r="U553">
            <v>0</v>
          </cell>
          <cell r="V553">
            <v>0</v>
          </cell>
          <cell r="W553">
            <v>0</v>
          </cell>
          <cell r="X553">
            <v>0</v>
          </cell>
          <cell r="Y553">
            <v>0</v>
          </cell>
          <cell r="Z553">
            <v>0</v>
          </cell>
          <cell r="AA553">
            <v>0</v>
          </cell>
          <cell r="AB553">
            <v>0</v>
          </cell>
          <cell r="AC553">
            <v>0</v>
          </cell>
          <cell r="AD553">
            <v>0</v>
          </cell>
          <cell r="AE553">
            <v>0</v>
          </cell>
          <cell r="AF553">
            <v>0</v>
          </cell>
          <cell r="AH553">
            <v>0</v>
          </cell>
        </row>
        <row r="554">
          <cell r="B554" t="str">
            <v>ST/EPU</v>
          </cell>
          <cell r="C554" t="str">
            <v>C1F</v>
          </cell>
          <cell r="D554" t="str">
            <v>C1FB</v>
          </cell>
          <cell r="E554" t="str">
            <v>IRE/KAN</v>
          </cell>
          <cell r="G554">
            <v>23</v>
          </cell>
          <cell r="H554" t="str">
            <v>Véhicules 4x4 de service pour IRE</v>
          </cell>
          <cell r="I554" t="str">
            <v>SNIES</v>
          </cell>
          <cell r="K554" t="str">
            <v>IDA</v>
          </cell>
          <cell r="L554" t="str">
            <v>AOI</v>
          </cell>
          <cell r="P554">
            <v>0</v>
          </cell>
          <cell r="Q554" t="str">
            <v>u</v>
          </cell>
          <cell r="S554">
            <v>147720</v>
          </cell>
          <cell r="T554">
            <v>1</v>
          </cell>
          <cell r="U554">
            <v>0</v>
          </cell>
          <cell r="V554">
            <v>0</v>
          </cell>
          <cell r="W554">
            <v>0</v>
          </cell>
          <cell r="X554">
            <v>0</v>
          </cell>
          <cell r="Y554">
            <v>0</v>
          </cell>
          <cell r="Z554">
            <v>0</v>
          </cell>
          <cell r="AA554">
            <v>0</v>
          </cell>
          <cell r="AB554">
            <v>0</v>
          </cell>
          <cell r="AC554">
            <v>0</v>
          </cell>
          <cell r="AD554">
            <v>0</v>
          </cell>
          <cell r="AE554">
            <v>0</v>
          </cell>
          <cell r="AF554">
            <v>0</v>
          </cell>
          <cell r="AH554">
            <v>0</v>
          </cell>
        </row>
        <row r="555">
          <cell r="B555" t="str">
            <v>ST/EPU</v>
          </cell>
          <cell r="C555" t="str">
            <v>C1F</v>
          </cell>
          <cell r="D555" t="str">
            <v>C1FB</v>
          </cell>
          <cell r="E555" t="str">
            <v>IRE/KIN</v>
          </cell>
          <cell r="G555">
            <v>23</v>
          </cell>
          <cell r="H555" t="str">
            <v>Véhicules 4x4 de service pour IRE</v>
          </cell>
          <cell r="I555" t="str">
            <v>SNIES</v>
          </cell>
          <cell r="K555" t="str">
            <v>IDA</v>
          </cell>
          <cell r="L555" t="str">
            <v>AOI</v>
          </cell>
          <cell r="P555">
            <v>0</v>
          </cell>
          <cell r="Q555" t="str">
            <v>u</v>
          </cell>
          <cell r="S555">
            <v>147720</v>
          </cell>
          <cell r="T555">
            <v>1</v>
          </cell>
          <cell r="U555">
            <v>0</v>
          </cell>
          <cell r="V555">
            <v>0</v>
          </cell>
          <cell r="W555">
            <v>0</v>
          </cell>
          <cell r="X555">
            <v>0</v>
          </cell>
          <cell r="Y555">
            <v>0</v>
          </cell>
          <cell r="Z555">
            <v>0</v>
          </cell>
          <cell r="AA555">
            <v>0</v>
          </cell>
          <cell r="AB555">
            <v>0</v>
          </cell>
          <cell r="AC555">
            <v>0</v>
          </cell>
          <cell r="AD555">
            <v>0</v>
          </cell>
          <cell r="AE555">
            <v>0</v>
          </cell>
          <cell r="AF555">
            <v>0</v>
          </cell>
          <cell r="AH555">
            <v>0</v>
          </cell>
        </row>
        <row r="556">
          <cell r="B556" t="str">
            <v>ST/EPU</v>
          </cell>
          <cell r="C556" t="str">
            <v>C1F</v>
          </cell>
          <cell r="D556" t="str">
            <v>C1FB</v>
          </cell>
          <cell r="E556" t="str">
            <v>IRE/LAB</v>
          </cell>
          <cell r="G556">
            <v>23</v>
          </cell>
          <cell r="H556" t="str">
            <v>Véhicules 4x4 de service pour IRE</v>
          </cell>
          <cell r="I556" t="str">
            <v>SNIES</v>
          </cell>
          <cell r="K556" t="str">
            <v>IDA</v>
          </cell>
          <cell r="L556" t="str">
            <v>AOI</v>
          </cell>
          <cell r="P556">
            <v>0</v>
          </cell>
          <cell r="Q556" t="str">
            <v>u</v>
          </cell>
          <cell r="S556">
            <v>147720</v>
          </cell>
          <cell r="T556">
            <v>1</v>
          </cell>
          <cell r="U556">
            <v>0</v>
          </cell>
          <cell r="V556">
            <v>0</v>
          </cell>
          <cell r="W556">
            <v>0</v>
          </cell>
          <cell r="X556">
            <v>0</v>
          </cell>
          <cell r="Y556">
            <v>0</v>
          </cell>
          <cell r="Z556">
            <v>0</v>
          </cell>
          <cell r="AA556">
            <v>0</v>
          </cell>
          <cell r="AB556">
            <v>0</v>
          </cell>
          <cell r="AC556">
            <v>0</v>
          </cell>
          <cell r="AD556">
            <v>0</v>
          </cell>
          <cell r="AE556">
            <v>0</v>
          </cell>
          <cell r="AF556">
            <v>0</v>
          </cell>
          <cell r="AH556">
            <v>0</v>
          </cell>
        </row>
        <row r="557">
          <cell r="B557" t="str">
            <v>ST/EPU</v>
          </cell>
          <cell r="C557" t="str">
            <v>C1F</v>
          </cell>
          <cell r="D557" t="str">
            <v>C1FB</v>
          </cell>
          <cell r="E557" t="str">
            <v>IRE/MAM</v>
          </cell>
          <cell r="G557">
            <v>23</v>
          </cell>
          <cell r="H557" t="str">
            <v>Véhicules 4x4 de service pour IRE</v>
          </cell>
          <cell r="I557" t="str">
            <v>SNIES</v>
          </cell>
          <cell r="K557" t="str">
            <v>IDA</v>
          </cell>
          <cell r="L557" t="str">
            <v>AOI</v>
          </cell>
          <cell r="P557">
            <v>0</v>
          </cell>
          <cell r="Q557" t="str">
            <v>u</v>
          </cell>
          <cell r="S557">
            <v>147720</v>
          </cell>
          <cell r="T557">
            <v>1</v>
          </cell>
          <cell r="U557">
            <v>0</v>
          </cell>
          <cell r="V557">
            <v>0</v>
          </cell>
          <cell r="W557">
            <v>0</v>
          </cell>
          <cell r="X557">
            <v>0</v>
          </cell>
          <cell r="Y557">
            <v>0</v>
          </cell>
          <cell r="Z557">
            <v>0</v>
          </cell>
          <cell r="AA557">
            <v>0</v>
          </cell>
          <cell r="AB557">
            <v>0</v>
          </cell>
          <cell r="AC557">
            <v>0</v>
          </cell>
          <cell r="AD557">
            <v>0</v>
          </cell>
          <cell r="AE557">
            <v>0</v>
          </cell>
          <cell r="AF557">
            <v>0</v>
          </cell>
          <cell r="AH557">
            <v>0</v>
          </cell>
        </row>
        <row r="558">
          <cell r="B558" t="str">
            <v>ST/EPU</v>
          </cell>
          <cell r="C558" t="str">
            <v>C1F</v>
          </cell>
          <cell r="D558" t="str">
            <v>C1FB</v>
          </cell>
          <cell r="E558" t="str">
            <v>IRE/NZE</v>
          </cell>
          <cell r="G558">
            <v>23</v>
          </cell>
          <cell r="H558" t="str">
            <v>Véhicules 4x4 de service pour IRE</v>
          </cell>
          <cell r="I558" t="str">
            <v>SNIES</v>
          </cell>
          <cell r="K558" t="str">
            <v>IDA</v>
          </cell>
          <cell r="L558" t="str">
            <v>AOI</v>
          </cell>
          <cell r="P558">
            <v>0</v>
          </cell>
          <cell r="Q558" t="str">
            <v>u</v>
          </cell>
          <cell r="S558">
            <v>147720</v>
          </cell>
          <cell r="T558">
            <v>1</v>
          </cell>
          <cell r="U558">
            <v>0</v>
          </cell>
          <cell r="V558">
            <v>0</v>
          </cell>
          <cell r="W558">
            <v>0</v>
          </cell>
          <cell r="X558">
            <v>0</v>
          </cell>
          <cell r="Y558">
            <v>0</v>
          </cell>
          <cell r="Z558">
            <v>0</v>
          </cell>
          <cell r="AA558">
            <v>0</v>
          </cell>
          <cell r="AB558">
            <v>0</v>
          </cell>
          <cell r="AC558">
            <v>0</v>
          </cell>
          <cell r="AD558">
            <v>0</v>
          </cell>
          <cell r="AE558">
            <v>0</v>
          </cell>
          <cell r="AF558">
            <v>0</v>
          </cell>
          <cell r="AH558">
            <v>0</v>
          </cell>
        </row>
        <row r="559">
          <cell r="B559" t="str">
            <v>ST/EPU</v>
          </cell>
          <cell r="C559" t="str">
            <v>C1M</v>
          </cell>
          <cell r="D559" t="str">
            <v>C1MA</v>
          </cell>
          <cell r="E559" t="str">
            <v>CN/PEPT</v>
          </cell>
          <cell r="G559">
            <v>23</v>
          </cell>
          <cell r="H559" t="str">
            <v>Véhicules 4x4 de service pour CN/PEPT</v>
          </cell>
          <cell r="I559" t="str">
            <v>ST/MEPU</v>
          </cell>
          <cell r="K559" t="str">
            <v>IDA</v>
          </cell>
          <cell r="L559" t="str">
            <v>AOI</v>
          </cell>
          <cell r="P559">
            <v>0</v>
          </cell>
          <cell r="Q559" t="str">
            <v>u</v>
          </cell>
          <cell r="S559">
            <v>147720</v>
          </cell>
          <cell r="T559">
            <v>1</v>
          </cell>
          <cell r="U559">
            <v>0</v>
          </cell>
          <cell r="V559">
            <v>0</v>
          </cell>
          <cell r="W559">
            <v>0</v>
          </cell>
          <cell r="X559">
            <v>0</v>
          </cell>
          <cell r="Y559">
            <v>0</v>
          </cell>
          <cell r="Z559">
            <v>0</v>
          </cell>
          <cell r="AA559">
            <v>0</v>
          </cell>
          <cell r="AB559">
            <v>0</v>
          </cell>
          <cell r="AC559">
            <v>0</v>
          </cell>
          <cell r="AD559">
            <v>0</v>
          </cell>
          <cell r="AE559">
            <v>0</v>
          </cell>
          <cell r="AF559">
            <v>0</v>
          </cell>
          <cell r="AH559">
            <v>0</v>
          </cell>
        </row>
        <row r="560">
          <cell r="B560" t="str">
            <v>ST/EPU</v>
          </cell>
          <cell r="C560" t="str">
            <v>C1M</v>
          </cell>
          <cell r="D560" t="str">
            <v>C1MA</v>
          </cell>
          <cell r="E560" t="str">
            <v>SINDA/MEPU</v>
          </cell>
          <cell r="G560">
            <v>15</v>
          </cell>
          <cell r="H560" t="str">
            <v>Production bulletin trimestriel / EPT    20p x 3000 ex</v>
          </cell>
          <cell r="I560" t="str">
            <v>ST/MEPU</v>
          </cell>
          <cell r="K560" t="str">
            <v>IDA</v>
          </cell>
          <cell r="L560" t="str">
            <v>COT</v>
          </cell>
          <cell r="P560">
            <v>0</v>
          </cell>
          <cell r="Q560" t="str">
            <v>u</v>
          </cell>
          <cell r="S560">
            <v>1.9696000000000002</v>
          </cell>
          <cell r="T560">
            <v>0.9</v>
          </cell>
          <cell r="U560">
            <v>0</v>
          </cell>
          <cell r="V560">
            <v>0</v>
          </cell>
          <cell r="W560">
            <v>0</v>
          </cell>
          <cell r="X560">
            <v>0</v>
          </cell>
          <cell r="Y560">
            <v>0</v>
          </cell>
          <cell r="Z560">
            <v>0</v>
          </cell>
          <cell r="AA560">
            <v>0</v>
          </cell>
          <cell r="AB560">
            <v>0</v>
          </cell>
          <cell r="AC560">
            <v>0</v>
          </cell>
          <cell r="AD560">
            <v>0</v>
          </cell>
          <cell r="AE560">
            <v>0</v>
          </cell>
          <cell r="AF560">
            <v>0</v>
          </cell>
          <cell r="AH560">
            <v>0</v>
          </cell>
        </row>
        <row r="561">
          <cell r="B561" t="str">
            <v>ST/EPU</v>
          </cell>
          <cell r="C561" t="str">
            <v>C1M</v>
          </cell>
          <cell r="D561" t="str">
            <v>C1MA</v>
          </cell>
          <cell r="E561" t="str">
            <v>SINDA/MEPU</v>
          </cell>
          <cell r="G561">
            <v>25</v>
          </cell>
          <cell r="H561" t="str">
            <v xml:space="preserve">Production vidéo sur EPT </v>
          </cell>
          <cell r="I561" t="str">
            <v>ST/MEPU</v>
          </cell>
          <cell r="K561" t="str">
            <v>IDA</v>
          </cell>
          <cell r="L561" t="str">
            <v>AUT</v>
          </cell>
          <cell r="P561">
            <v>0</v>
          </cell>
          <cell r="Q561" t="str">
            <v>u</v>
          </cell>
          <cell r="S561">
            <v>14772.000000000002</v>
          </cell>
          <cell r="T561">
            <v>1</v>
          </cell>
          <cell r="U561">
            <v>0</v>
          </cell>
          <cell r="V561">
            <v>0</v>
          </cell>
          <cell r="W561">
            <v>0</v>
          </cell>
          <cell r="X561">
            <v>0</v>
          </cell>
          <cell r="Y561">
            <v>0</v>
          </cell>
          <cell r="Z561">
            <v>0</v>
          </cell>
          <cell r="AA561">
            <v>0</v>
          </cell>
          <cell r="AB561">
            <v>0</v>
          </cell>
          <cell r="AC561">
            <v>0</v>
          </cell>
          <cell r="AD561">
            <v>0</v>
          </cell>
          <cell r="AE561">
            <v>0</v>
          </cell>
          <cell r="AF561">
            <v>0</v>
          </cell>
          <cell r="AH561">
            <v>0</v>
          </cell>
        </row>
        <row r="562">
          <cell r="B562" t="str">
            <v>ST/EPU</v>
          </cell>
          <cell r="C562" t="str">
            <v>C1L</v>
          </cell>
          <cell r="D562" t="str">
            <v>C1LA</v>
          </cell>
          <cell r="E562" t="str">
            <v>SINDA/MEPU</v>
          </cell>
          <cell r="G562">
            <v>25</v>
          </cell>
          <cell r="H562" t="str">
            <v>Elaboration d'un plan de communication de l'information au sein du secteur</v>
          </cell>
          <cell r="I562" t="str">
            <v>SG/MEPU-EC</v>
          </cell>
          <cell r="K562" t="str">
            <v>IDA</v>
          </cell>
          <cell r="L562" t="str">
            <v>LR</v>
          </cell>
          <cell r="P562">
            <v>0</v>
          </cell>
          <cell r="Q562" t="str">
            <v>u</v>
          </cell>
          <cell r="S562">
            <v>73860</v>
          </cell>
          <cell r="T562">
            <v>1</v>
          </cell>
          <cell r="U562">
            <v>0</v>
          </cell>
          <cell r="V562">
            <v>0</v>
          </cell>
          <cell r="W562">
            <v>0</v>
          </cell>
          <cell r="X562">
            <v>0</v>
          </cell>
          <cell r="Y562">
            <v>0</v>
          </cell>
          <cell r="Z562">
            <v>0</v>
          </cell>
          <cell r="AA562">
            <v>0</v>
          </cell>
          <cell r="AB562">
            <v>0</v>
          </cell>
          <cell r="AC562">
            <v>0</v>
          </cell>
          <cell r="AD562">
            <v>0</v>
          </cell>
          <cell r="AE562">
            <v>0</v>
          </cell>
          <cell r="AF562">
            <v>0</v>
          </cell>
          <cell r="AH562">
            <v>0</v>
          </cell>
        </row>
        <row r="563">
          <cell r="B563" t="str">
            <v>ST/EPU</v>
          </cell>
          <cell r="C563" t="str">
            <v>C1I</v>
          </cell>
          <cell r="D563" t="str">
            <v>C1IA</v>
          </cell>
          <cell r="E563" t="str">
            <v>SSP</v>
          </cell>
          <cell r="G563">
            <v>15</v>
          </cell>
          <cell r="H563" t="str">
            <v>C SCOL Mission C de suivi du fonctionnement et de formation des CRPE et CPPE</v>
          </cell>
          <cell r="I563" t="str">
            <v>SSP</v>
          </cell>
          <cell r="K563" t="str">
            <v>IDA</v>
          </cell>
          <cell r="L563" t="str">
            <v>AUT</v>
          </cell>
          <cell r="P563">
            <v>0</v>
          </cell>
          <cell r="Q563" t="str">
            <v>pxj</v>
          </cell>
          <cell r="S563">
            <v>147.72</v>
          </cell>
          <cell r="T563">
            <v>0.9</v>
          </cell>
          <cell r="U563">
            <v>0</v>
          </cell>
          <cell r="V563">
            <v>0</v>
          </cell>
          <cell r="W563">
            <v>0</v>
          </cell>
          <cell r="X563">
            <v>0</v>
          </cell>
          <cell r="Y563">
            <v>0</v>
          </cell>
          <cell r="Z563">
            <v>0</v>
          </cell>
          <cell r="AA563">
            <v>0</v>
          </cell>
          <cell r="AB563">
            <v>0</v>
          </cell>
          <cell r="AC563">
            <v>0</v>
          </cell>
          <cell r="AD563">
            <v>0</v>
          </cell>
          <cell r="AE563">
            <v>0</v>
          </cell>
          <cell r="AF563">
            <v>0</v>
          </cell>
          <cell r="AH563">
            <v>0</v>
          </cell>
        </row>
        <row r="564">
          <cell r="B564" t="str">
            <v>ST/EPU</v>
          </cell>
          <cell r="C564" t="str">
            <v>C1I</v>
          </cell>
          <cell r="D564" t="str">
            <v>C1IA</v>
          </cell>
          <cell r="E564" t="str">
            <v>SSP</v>
          </cell>
          <cell r="G564">
            <v>25</v>
          </cell>
          <cell r="H564" t="str">
            <v>C SCOL Fournitures pour production rapport carte scolaire</v>
          </cell>
          <cell r="I564" t="str">
            <v>SSP</v>
          </cell>
          <cell r="K564" t="str">
            <v>IDA</v>
          </cell>
          <cell r="L564" t="str">
            <v>AUT</v>
          </cell>
          <cell r="P564">
            <v>0</v>
          </cell>
          <cell r="Q564" t="str">
            <v>lot</v>
          </cell>
          <cell r="S564">
            <v>1244.4375889890839</v>
          </cell>
          <cell r="T564">
            <v>1</v>
          </cell>
          <cell r="U564">
            <v>0</v>
          </cell>
          <cell r="V564">
            <v>0</v>
          </cell>
          <cell r="W564">
            <v>0</v>
          </cell>
          <cell r="X564">
            <v>0</v>
          </cell>
          <cell r="Y564">
            <v>0</v>
          </cell>
          <cell r="Z564">
            <v>0</v>
          </cell>
          <cell r="AA564">
            <v>0</v>
          </cell>
          <cell r="AB564">
            <v>0</v>
          </cell>
          <cell r="AC564">
            <v>0</v>
          </cell>
          <cell r="AD564">
            <v>0</v>
          </cell>
          <cell r="AE564">
            <v>0</v>
          </cell>
          <cell r="AF564">
            <v>0</v>
          </cell>
          <cell r="AH564">
            <v>0</v>
          </cell>
        </row>
        <row r="565">
          <cell r="B565" t="str">
            <v>ST/EPU</v>
          </cell>
          <cell r="C565" t="str">
            <v>C1I</v>
          </cell>
          <cell r="D565" t="str">
            <v>C1IA</v>
          </cell>
          <cell r="E565" t="str">
            <v>SSP</v>
          </cell>
          <cell r="G565">
            <v>25</v>
          </cell>
          <cell r="H565" t="str">
            <v>C SCOL Impression fiches d'enquête 7000 écoles</v>
          </cell>
          <cell r="I565" t="str">
            <v>SSP</v>
          </cell>
          <cell r="K565" t="str">
            <v>IDA</v>
          </cell>
          <cell r="L565" t="str">
            <v>COT</v>
          </cell>
          <cell r="P565">
            <v>0</v>
          </cell>
          <cell r="Q565" t="str">
            <v>fiche</v>
          </cell>
          <cell r="S565">
            <v>1.4772000000000001</v>
          </cell>
          <cell r="T565">
            <v>1</v>
          </cell>
          <cell r="U565">
            <v>0</v>
          </cell>
          <cell r="V565">
            <v>0</v>
          </cell>
          <cell r="W565">
            <v>0</v>
          </cell>
          <cell r="X565">
            <v>0</v>
          </cell>
          <cell r="Y565">
            <v>0</v>
          </cell>
          <cell r="Z565">
            <v>0</v>
          </cell>
          <cell r="AA565">
            <v>0</v>
          </cell>
          <cell r="AB565">
            <v>0</v>
          </cell>
          <cell r="AC565">
            <v>0</v>
          </cell>
          <cell r="AD565">
            <v>0</v>
          </cell>
          <cell r="AE565">
            <v>0</v>
          </cell>
          <cell r="AF565">
            <v>0</v>
          </cell>
          <cell r="AH565">
            <v>0</v>
          </cell>
        </row>
        <row r="566">
          <cell r="B566" t="str">
            <v>ST/EPU</v>
          </cell>
          <cell r="C566" t="str">
            <v>C1I</v>
          </cell>
          <cell r="D566" t="str">
            <v>C1IA</v>
          </cell>
          <cell r="E566" t="str">
            <v>SSP</v>
          </cell>
          <cell r="G566">
            <v>25</v>
          </cell>
          <cell r="H566" t="str">
            <v>C SCOL Impression fiches d'enquête investissement 7000 écoles</v>
          </cell>
          <cell r="I566" t="str">
            <v>SSP</v>
          </cell>
          <cell r="K566" t="str">
            <v>IDA</v>
          </cell>
          <cell r="L566" t="str">
            <v>COT</v>
          </cell>
          <cell r="P566">
            <v>0</v>
          </cell>
          <cell r="Q566" t="str">
            <v>fiche</v>
          </cell>
          <cell r="S566">
            <v>1.4772000000000001</v>
          </cell>
          <cell r="T566">
            <v>1</v>
          </cell>
          <cell r="U566">
            <v>0</v>
          </cell>
          <cell r="V566">
            <v>0</v>
          </cell>
          <cell r="W566">
            <v>0</v>
          </cell>
          <cell r="X566">
            <v>0</v>
          </cell>
          <cell r="Y566">
            <v>0</v>
          </cell>
          <cell r="Z566">
            <v>0</v>
          </cell>
          <cell r="AA566">
            <v>0</v>
          </cell>
          <cell r="AB566">
            <v>0</v>
          </cell>
          <cell r="AC566">
            <v>0</v>
          </cell>
          <cell r="AD566">
            <v>0</v>
          </cell>
          <cell r="AE566">
            <v>0</v>
          </cell>
          <cell r="AF566">
            <v>0</v>
          </cell>
          <cell r="AH566">
            <v>0</v>
          </cell>
        </row>
        <row r="567">
          <cell r="B567" t="str">
            <v>ST/EPU</v>
          </cell>
          <cell r="C567" t="str">
            <v>C1I</v>
          </cell>
          <cell r="D567" t="str">
            <v>C1IA</v>
          </cell>
          <cell r="E567" t="str">
            <v>SSP</v>
          </cell>
          <cell r="G567">
            <v>25</v>
          </cell>
          <cell r="H567" t="str">
            <v>C SCOL Per diem enquêteurs 38 DPE / DCE x 2 cadres x 5j</v>
          </cell>
          <cell r="I567" t="str">
            <v>SSP</v>
          </cell>
          <cell r="K567" t="str">
            <v>IDA</v>
          </cell>
          <cell r="L567" t="str">
            <v>AUT</v>
          </cell>
          <cell r="P567">
            <v>0</v>
          </cell>
          <cell r="Q567" t="str">
            <v>u</v>
          </cell>
          <cell r="S567">
            <v>14.772000000000002</v>
          </cell>
          <cell r="T567">
            <v>1</v>
          </cell>
          <cell r="U567">
            <v>0</v>
          </cell>
          <cell r="V567">
            <v>0</v>
          </cell>
          <cell r="W567">
            <v>0</v>
          </cell>
          <cell r="X567">
            <v>0</v>
          </cell>
          <cell r="Y567">
            <v>0</v>
          </cell>
          <cell r="Z567">
            <v>0</v>
          </cell>
          <cell r="AA567">
            <v>0</v>
          </cell>
          <cell r="AB567">
            <v>0</v>
          </cell>
          <cell r="AC567">
            <v>0</v>
          </cell>
          <cell r="AD567">
            <v>0</v>
          </cell>
          <cell r="AE567">
            <v>0</v>
          </cell>
          <cell r="AF567">
            <v>0</v>
          </cell>
          <cell r="AH567">
            <v>0</v>
          </cell>
        </row>
        <row r="568">
          <cell r="B568" t="str">
            <v>ST/EPU</v>
          </cell>
          <cell r="C568" t="str">
            <v>C1I</v>
          </cell>
          <cell r="D568" t="str">
            <v>C1IA</v>
          </cell>
          <cell r="E568" t="str">
            <v>SSP</v>
          </cell>
          <cell r="G568">
            <v>25</v>
          </cell>
          <cell r="H568" t="str">
            <v>C SCOL Carburant enquêteurs</v>
          </cell>
          <cell r="I568" t="str">
            <v>SSP</v>
          </cell>
          <cell r="K568" t="str">
            <v>IDA</v>
          </cell>
          <cell r="L568" t="str">
            <v>AUT</v>
          </cell>
          <cell r="P568">
            <v>0</v>
          </cell>
          <cell r="Q568" t="str">
            <v>l</v>
          </cell>
          <cell r="S568">
            <v>4.9240000000000004</v>
          </cell>
          <cell r="T568">
            <v>1</v>
          </cell>
          <cell r="U568">
            <v>0</v>
          </cell>
          <cell r="V568">
            <v>0</v>
          </cell>
          <cell r="W568">
            <v>0</v>
          </cell>
          <cell r="X568">
            <v>0</v>
          </cell>
          <cell r="Y568">
            <v>0</v>
          </cell>
          <cell r="Z568">
            <v>0</v>
          </cell>
          <cell r="AA568">
            <v>0</v>
          </cell>
          <cell r="AB568">
            <v>0</v>
          </cell>
          <cell r="AC568">
            <v>0</v>
          </cell>
          <cell r="AD568">
            <v>0</v>
          </cell>
          <cell r="AE568">
            <v>0</v>
          </cell>
          <cell r="AF568">
            <v>0</v>
          </cell>
          <cell r="AH568">
            <v>0</v>
          </cell>
        </row>
        <row r="569">
          <cell r="B569" t="str">
            <v>ST/EPU</v>
          </cell>
          <cell r="C569" t="str">
            <v>C1I</v>
          </cell>
          <cell r="D569" t="str">
            <v>C1IA</v>
          </cell>
          <cell r="E569" t="str">
            <v>SSP</v>
          </cell>
          <cell r="G569">
            <v>25</v>
          </cell>
          <cell r="H569" t="str">
            <v>C SCOL Saisie informatique 28000 fiches</v>
          </cell>
          <cell r="I569" t="str">
            <v>SSP</v>
          </cell>
          <cell r="K569" t="str">
            <v>IDA</v>
          </cell>
          <cell r="L569" t="str">
            <v>AUT</v>
          </cell>
          <cell r="P569">
            <v>0</v>
          </cell>
          <cell r="Q569" t="str">
            <v>fiche</v>
          </cell>
          <cell r="S569">
            <v>0.5842429995253916</v>
          </cell>
          <cell r="T569">
            <v>1</v>
          </cell>
          <cell r="U569">
            <v>0</v>
          </cell>
          <cell r="V569">
            <v>0</v>
          </cell>
          <cell r="W569">
            <v>0</v>
          </cell>
          <cell r="X569">
            <v>0</v>
          </cell>
          <cell r="Y569">
            <v>0</v>
          </cell>
          <cell r="Z569">
            <v>0</v>
          </cell>
          <cell r="AA569">
            <v>0</v>
          </cell>
          <cell r="AB569">
            <v>0</v>
          </cell>
          <cell r="AC569">
            <v>0</v>
          </cell>
          <cell r="AD569">
            <v>0</v>
          </cell>
          <cell r="AE569">
            <v>0</v>
          </cell>
          <cell r="AF569">
            <v>0</v>
          </cell>
          <cell r="AH569">
            <v>0</v>
          </cell>
        </row>
        <row r="570">
          <cell r="B570" t="str">
            <v>ST/EPU</v>
          </cell>
          <cell r="C570" t="str">
            <v>C1I</v>
          </cell>
          <cell r="D570" t="str">
            <v>C1IB</v>
          </cell>
          <cell r="E570" t="str">
            <v>SSP</v>
          </cell>
          <cell r="G570">
            <v>25</v>
          </cell>
          <cell r="H570" t="str">
            <v xml:space="preserve">STAT Informaticien contractuel pour le SSP                         </v>
          </cell>
          <cell r="I570" t="str">
            <v>SSP</v>
          </cell>
          <cell r="K570" t="str">
            <v>IDA</v>
          </cell>
          <cell r="L570" t="str">
            <v>LR</v>
          </cell>
          <cell r="P570">
            <v>0</v>
          </cell>
          <cell r="Q570" t="str">
            <v>pxm</v>
          </cell>
          <cell r="S570">
            <v>7386.0000000000009</v>
          </cell>
          <cell r="T570">
            <v>1</v>
          </cell>
          <cell r="U570">
            <v>0</v>
          </cell>
          <cell r="V570">
            <v>0</v>
          </cell>
          <cell r="W570">
            <v>0</v>
          </cell>
          <cell r="X570">
            <v>0</v>
          </cell>
          <cell r="Y570">
            <v>0</v>
          </cell>
          <cell r="Z570">
            <v>0</v>
          </cell>
          <cell r="AA570">
            <v>0</v>
          </cell>
          <cell r="AB570">
            <v>0</v>
          </cell>
          <cell r="AC570">
            <v>0</v>
          </cell>
          <cell r="AD570">
            <v>0</v>
          </cell>
          <cell r="AE570">
            <v>0</v>
          </cell>
          <cell r="AF570">
            <v>0</v>
          </cell>
          <cell r="AH570">
            <v>0</v>
          </cell>
        </row>
        <row r="571">
          <cell r="B571" t="str">
            <v>ST/EPU</v>
          </cell>
          <cell r="C571" t="str">
            <v>C1I</v>
          </cell>
          <cell r="D571" t="str">
            <v>C1IB</v>
          </cell>
          <cell r="E571" t="str">
            <v>SSP</v>
          </cell>
          <cell r="G571">
            <v>23</v>
          </cell>
          <cell r="H571" t="str">
            <v>STAT Impression fiches d'enquête 4fiches x 7000 éc et coll</v>
          </cell>
          <cell r="I571" t="str">
            <v>SSP</v>
          </cell>
          <cell r="K571" t="str">
            <v>IDA</v>
          </cell>
          <cell r="L571" t="str">
            <v>COT</v>
          </cell>
          <cell r="P571">
            <v>0</v>
          </cell>
          <cell r="Q571" t="str">
            <v>u</v>
          </cell>
          <cell r="S571">
            <v>0.49240000000000006</v>
          </cell>
          <cell r="T571">
            <v>0.8</v>
          </cell>
          <cell r="U571">
            <v>0</v>
          </cell>
          <cell r="V571">
            <v>0</v>
          </cell>
          <cell r="W571">
            <v>0</v>
          </cell>
          <cell r="X571">
            <v>0</v>
          </cell>
          <cell r="Y571">
            <v>0</v>
          </cell>
          <cell r="Z571">
            <v>0</v>
          </cell>
          <cell r="AA571">
            <v>0</v>
          </cell>
          <cell r="AB571">
            <v>0</v>
          </cell>
          <cell r="AC571">
            <v>0</v>
          </cell>
          <cell r="AD571">
            <v>0</v>
          </cell>
          <cell r="AE571">
            <v>0</v>
          </cell>
          <cell r="AF571">
            <v>0</v>
          </cell>
          <cell r="AH571">
            <v>0</v>
          </cell>
        </row>
        <row r="572">
          <cell r="B572" t="str">
            <v>ST/EPU</v>
          </cell>
          <cell r="C572" t="str">
            <v>C1I</v>
          </cell>
          <cell r="D572" t="str">
            <v>C1IB</v>
          </cell>
          <cell r="E572" t="str">
            <v>SSP</v>
          </cell>
          <cell r="G572">
            <v>25</v>
          </cell>
          <cell r="H572" t="str">
            <v>STAT Atelier régionaux de formation  100px1j</v>
          </cell>
          <cell r="I572" t="str">
            <v>SSP</v>
          </cell>
          <cell r="K572" t="str">
            <v>IDA</v>
          </cell>
          <cell r="L572" t="str">
            <v>AUT</v>
          </cell>
          <cell r="P572">
            <v>0</v>
          </cell>
          <cell r="Q572" t="str">
            <v>pxj</v>
          </cell>
          <cell r="S572">
            <v>123.10000000000001</v>
          </cell>
          <cell r="T572">
            <v>1</v>
          </cell>
          <cell r="U572">
            <v>0</v>
          </cell>
          <cell r="V572">
            <v>0</v>
          </cell>
          <cell r="W572">
            <v>0</v>
          </cell>
          <cell r="X572">
            <v>0</v>
          </cell>
          <cell r="Y572">
            <v>0</v>
          </cell>
          <cell r="Z572">
            <v>0</v>
          </cell>
          <cell r="AA572">
            <v>0</v>
          </cell>
          <cell r="AB572">
            <v>0</v>
          </cell>
          <cell r="AC572">
            <v>0</v>
          </cell>
          <cell r="AD572">
            <v>0</v>
          </cell>
          <cell r="AE572">
            <v>0</v>
          </cell>
          <cell r="AF572">
            <v>0</v>
          </cell>
          <cell r="AH572">
            <v>0</v>
          </cell>
        </row>
        <row r="573">
          <cell r="B573" t="str">
            <v>ST/EPU</v>
          </cell>
          <cell r="C573" t="str">
            <v>C1I</v>
          </cell>
          <cell r="D573" t="str">
            <v>C1IB</v>
          </cell>
          <cell r="E573" t="str">
            <v>SSP</v>
          </cell>
          <cell r="G573">
            <v>25</v>
          </cell>
          <cell r="H573" t="str">
            <v>STAT Atelier de form saisie et apurement de l'enq stat 100px1j</v>
          </cell>
          <cell r="I573" t="str">
            <v>SSP</v>
          </cell>
          <cell r="K573" t="str">
            <v>IDA</v>
          </cell>
          <cell r="L573" t="str">
            <v>AUT</v>
          </cell>
          <cell r="P573">
            <v>0</v>
          </cell>
          <cell r="Q573" t="str">
            <v>pxj</v>
          </cell>
          <cell r="S573">
            <v>123.10000000000001</v>
          </cell>
          <cell r="T573">
            <v>1</v>
          </cell>
          <cell r="U573">
            <v>0</v>
          </cell>
          <cell r="V573">
            <v>0</v>
          </cell>
          <cell r="W573">
            <v>0</v>
          </cell>
          <cell r="X573">
            <v>0</v>
          </cell>
          <cell r="Y573">
            <v>0</v>
          </cell>
          <cell r="Z573">
            <v>0</v>
          </cell>
          <cell r="AA573">
            <v>0</v>
          </cell>
          <cell r="AB573">
            <v>0</v>
          </cell>
          <cell r="AC573">
            <v>0</v>
          </cell>
          <cell r="AD573">
            <v>0</v>
          </cell>
          <cell r="AE573">
            <v>0</v>
          </cell>
          <cell r="AF573">
            <v>0</v>
          </cell>
          <cell r="AH573">
            <v>0</v>
          </cell>
        </row>
        <row r="574">
          <cell r="B574" t="str">
            <v>ST/EPU</v>
          </cell>
          <cell r="C574" t="str">
            <v>C1I</v>
          </cell>
          <cell r="D574" t="str">
            <v>C1IB</v>
          </cell>
          <cell r="E574" t="str">
            <v>SSP</v>
          </cell>
          <cell r="G574">
            <v>23</v>
          </cell>
          <cell r="H574" t="str">
            <v>STAT Impression des annuaires stat (prim et sec)  250p x (200prim +100sec)</v>
          </cell>
          <cell r="I574" t="str">
            <v>SSP</v>
          </cell>
          <cell r="K574" t="str">
            <v>IDA</v>
          </cell>
          <cell r="L574" t="str">
            <v>COT</v>
          </cell>
          <cell r="P574">
            <v>0</v>
          </cell>
          <cell r="Q574" t="str">
            <v>u</v>
          </cell>
          <cell r="S574">
            <v>29.544000000000004</v>
          </cell>
          <cell r="T574">
            <v>0.8</v>
          </cell>
          <cell r="U574">
            <v>0</v>
          </cell>
          <cell r="V574">
            <v>0</v>
          </cell>
          <cell r="W574">
            <v>0</v>
          </cell>
          <cell r="X574">
            <v>0</v>
          </cell>
          <cell r="Y574">
            <v>0</v>
          </cell>
          <cell r="Z574">
            <v>0</v>
          </cell>
          <cell r="AA574">
            <v>0</v>
          </cell>
          <cell r="AB574">
            <v>0</v>
          </cell>
          <cell r="AC574">
            <v>0</v>
          </cell>
          <cell r="AD574">
            <v>0</v>
          </cell>
          <cell r="AE574">
            <v>0</v>
          </cell>
          <cell r="AF574">
            <v>0</v>
          </cell>
          <cell r="AH574">
            <v>0</v>
          </cell>
        </row>
        <row r="575">
          <cell r="B575" t="str">
            <v>ST/EPU</v>
          </cell>
          <cell r="C575" t="str">
            <v>C1I</v>
          </cell>
          <cell r="D575" t="str">
            <v>C1IB</v>
          </cell>
          <cell r="E575" t="str">
            <v>SSP</v>
          </cell>
          <cell r="G575">
            <v>23</v>
          </cell>
          <cell r="H575" t="str">
            <v>STAT Impression des dépliants (prim et sec) 3p (2000prim+1000sec)</v>
          </cell>
          <cell r="I575" t="str">
            <v>SSP</v>
          </cell>
          <cell r="K575" t="str">
            <v>IDA</v>
          </cell>
          <cell r="L575" t="str">
            <v>COT</v>
          </cell>
          <cell r="P575">
            <v>0</v>
          </cell>
          <cell r="Q575" t="str">
            <v>u</v>
          </cell>
          <cell r="S575">
            <v>4.9240000000000004</v>
          </cell>
          <cell r="T575">
            <v>0.8</v>
          </cell>
          <cell r="U575">
            <v>0</v>
          </cell>
          <cell r="V575">
            <v>0</v>
          </cell>
          <cell r="W575">
            <v>0</v>
          </cell>
          <cell r="X575">
            <v>0</v>
          </cell>
          <cell r="Y575">
            <v>0</v>
          </cell>
          <cell r="Z575">
            <v>0</v>
          </cell>
          <cell r="AA575">
            <v>0</v>
          </cell>
          <cell r="AB575">
            <v>0</v>
          </cell>
          <cell r="AC575">
            <v>0</v>
          </cell>
          <cell r="AD575">
            <v>0</v>
          </cell>
          <cell r="AE575">
            <v>0</v>
          </cell>
          <cell r="AF575">
            <v>0</v>
          </cell>
          <cell r="AH575">
            <v>0</v>
          </cell>
        </row>
        <row r="576">
          <cell r="B576" t="str">
            <v>ST/EPU</v>
          </cell>
          <cell r="C576" t="str">
            <v>C1I</v>
          </cell>
          <cell r="D576" t="str">
            <v>C1IB</v>
          </cell>
          <cell r="E576" t="str">
            <v>SSP</v>
          </cell>
          <cell r="G576">
            <v>25</v>
          </cell>
          <cell r="H576" t="str">
            <v>STAT Atelier élaboration partie analytique 20px12j</v>
          </cell>
          <cell r="I576" t="str">
            <v>SSP</v>
          </cell>
          <cell r="K576" t="str">
            <v>IDA</v>
          </cell>
          <cell r="L576" t="str">
            <v>AUT</v>
          </cell>
          <cell r="P576">
            <v>0</v>
          </cell>
          <cell r="Q576" t="str">
            <v>pxj</v>
          </cell>
          <cell r="S576">
            <v>147.72</v>
          </cell>
          <cell r="T576">
            <v>1</v>
          </cell>
          <cell r="U576">
            <v>0</v>
          </cell>
          <cell r="V576">
            <v>0</v>
          </cell>
          <cell r="W576">
            <v>0</v>
          </cell>
          <cell r="X576">
            <v>0</v>
          </cell>
          <cell r="Y576">
            <v>0</v>
          </cell>
          <cell r="Z576">
            <v>0</v>
          </cell>
          <cell r="AA576">
            <v>0</v>
          </cell>
          <cell r="AB576">
            <v>0</v>
          </cell>
          <cell r="AC576">
            <v>0</v>
          </cell>
          <cell r="AD576">
            <v>0</v>
          </cell>
          <cell r="AE576">
            <v>0</v>
          </cell>
          <cell r="AF576">
            <v>0</v>
          </cell>
          <cell r="AH576">
            <v>0</v>
          </cell>
        </row>
        <row r="577">
          <cell r="B577" t="str">
            <v>ST/EPU</v>
          </cell>
          <cell r="C577" t="str">
            <v>C1I</v>
          </cell>
          <cell r="D577" t="str">
            <v>C1IB</v>
          </cell>
          <cell r="E577" t="str">
            <v>SSP</v>
          </cell>
          <cell r="G577">
            <v>15</v>
          </cell>
          <cell r="H577" t="str">
            <v>STAT Maintenance des équipements informatiques</v>
          </cell>
          <cell r="I577" t="str">
            <v>SSP</v>
          </cell>
          <cell r="K577" t="str">
            <v>IDA</v>
          </cell>
          <cell r="L577" t="str">
            <v>AUT</v>
          </cell>
          <cell r="P577">
            <v>0</v>
          </cell>
          <cell r="Q577" t="str">
            <v>contrat</v>
          </cell>
          <cell r="S577">
            <v>4924</v>
          </cell>
          <cell r="T577">
            <v>0.9</v>
          </cell>
          <cell r="U577">
            <v>0</v>
          </cell>
          <cell r="V577">
            <v>0</v>
          </cell>
          <cell r="W577">
            <v>0</v>
          </cell>
          <cell r="X577">
            <v>0</v>
          </cell>
          <cell r="Y577">
            <v>0</v>
          </cell>
          <cell r="Z577">
            <v>0</v>
          </cell>
          <cell r="AA577">
            <v>0</v>
          </cell>
          <cell r="AB577">
            <v>0</v>
          </cell>
          <cell r="AC577">
            <v>0</v>
          </cell>
          <cell r="AD577">
            <v>0</v>
          </cell>
          <cell r="AE577">
            <v>0</v>
          </cell>
          <cell r="AF577">
            <v>0</v>
          </cell>
          <cell r="AH577">
            <v>0</v>
          </cell>
        </row>
        <row r="578">
          <cell r="B578" t="str">
            <v>ST/EPU</v>
          </cell>
          <cell r="C578" t="str">
            <v>C1H</v>
          </cell>
          <cell r="D578" t="str">
            <v>C1HA</v>
          </cell>
          <cell r="E578" t="str">
            <v>C CDMT</v>
          </cell>
          <cell r="G578">
            <v>25</v>
          </cell>
          <cell r="H578" t="str">
            <v>CDMT Appui à l'actualisation du RESEN et au cadrage financier</v>
          </cell>
          <cell r="I578" t="str">
            <v>C/CDMT</v>
          </cell>
          <cell r="K578" t="str">
            <v>IDA</v>
          </cell>
          <cell r="L578" t="str">
            <v>LR</v>
          </cell>
          <cell r="P578">
            <v>0</v>
          </cell>
          <cell r="Q578" t="str">
            <v>forfait</v>
          </cell>
          <cell r="S578">
            <v>29544.000000000004</v>
          </cell>
          <cell r="T578">
            <v>1</v>
          </cell>
          <cell r="U578">
            <v>0</v>
          </cell>
          <cell r="V578">
            <v>0</v>
          </cell>
          <cell r="W578">
            <v>0</v>
          </cell>
          <cell r="X578">
            <v>0</v>
          </cell>
          <cell r="Y578">
            <v>0</v>
          </cell>
          <cell r="Z578">
            <v>0</v>
          </cell>
          <cell r="AA578">
            <v>0</v>
          </cell>
          <cell r="AB578">
            <v>0</v>
          </cell>
          <cell r="AC578">
            <v>0</v>
          </cell>
          <cell r="AD578">
            <v>0</v>
          </cell>
          <cell r="AE578">
            <v>0</v>
          </cell>
          <cell r="AF578">
            <v>0</v>
          </cell>
          <cell r="AH578">
            <v>0</v>
          </cell>
        </row>
        <row r="579">
          <cell r="B579" t="str">
            <v>ST/EPU</v>
          </cell>
          <cell r="C579" t="str">
            <v>C1H</v>
          </cell>
          <cell r="D579" t="str">
            <v>C1HA</v>
          </cell>
          <cell r="E579" t="str">
            <v>C CDMT</v>
          </cell>
          <cell r="G579">
            <v>25</v>
          </cell>
          <cell r="H579" t="str">
            <v>CDMT Revue dépenses publiques de l'éducation 2003 à 2005</v>
          </cell>
          <cell r="I579" t="str">
            <v>C/CDMT</v>
          </cell>
          <cell r="K579" t="str">
            <v>IDA</v>
          </cell>
          <cell r="L579" t="str">
            <v>LR</v>
          </cell>
          <cell r="P579">
            <v>0</v>
          </cell>
          <cell r="Q579" t="str">
            <v>forfait</v>
          </cell>
          <cell r="S579">
            <v>295440</v>
          </cell>
          <cell r="T579">
            <v>1</v>
          </cell>
          <cell r="U579">
            <v>0</v>
          </cell>
          <cell r="V579">
            <v>0</v>
          </cell>
          <cell r="W579">
            <v>0</v>
          </cell>
          <cell r="X579">
            <v>0</v>
          </cell>
          <cell r="Y579">
            <v>0</v>
          </cell>
          <cell r="Z579">
            <v>0</v>
          </cell>
          <cell r="AA579">
            <v>0</v>
          </cell>
          <cell r="AB579">
            <v>0</v>
          </cell>
          <cell r="AC579">
            <v>0</v>
          </cell>
          <cell r="AD579">
            <v>0</v>
          </cell>
          <cell r="AE579">
            <v>0</v>
          </cell>
          <cell r="AF579">
            <v>0</v>
          </cell>
          <cell r="AH579">
            <v>0</v>
          </cell>
        </row>
        <row r="580">
          <cell r="B580" t="str">
            <v>ST/EPU</v>
          </cell>
          <cell r="C580" t="str">
            <v>C1H</v>
          </cell>
          <cell r="D580" t="str">
            <v>C1HA</v>
          </cell>
          <cell r="E580" t="str">
            <v>C CDMT</v>
          </cell>
          <cell r="G580">
            <v>15</v>
          </cell>
          <cell r="H580" t="str">
            <v>CDMT Appui au fonctionnement de la Cellule (tél, internet et consommables bureau)</v>
          </cell>
          <cell r="I580" t="str">
            <v>C/CDMT</v>
          </cell>
          <cell r="K580" t="str">
            <v>IDA</v>
          </cell>
          <cell r="L580" t="str">
            <v>AUT</v>
          </cell>
          <cell r="P580">
            <v>0</v>
          </cell>
          <cell r="Q580" t="str">
            <v>mois</v>
          </cell>
          <cell r="S580">
            <v>1752.7289985761747</v>
          </cell>
          <cell r="T580">
            <v>0.9</v>
          </cell>
          <cell r="U580">
            <v>0</v>
          </cell>
          <cell r="V580">
            <v>0</v>
          </cell>
          <cell r="W580">
            <v>0</v>
          </cell>
          <cell r="X580">
            <v>0</v>
          </cell>
          <cell r="Y580">
            <v>0</v>
          </cell>
          <cell r="Z580">
            <v>0</v>
          </cell>
          <cell r="AA580">
            <v>0</v>
          </cell>
          <cell r="AB580">
            <v>0</v>
          </cell>
          <cell r="AC580">
            <v>0</v>
          </cell>
          <cell r="AD580">
            <v>0</v>
          </cell>
          <cell r="AE580">
            <v>0</v>
          </cell>
          <cell r="AF580">
            <v>0</v>
          </cell>
          <cell r="AH580">
            <v>0</v>
          </cell>
        </row>
        <row r="581">
          <cell r="B581" t="str">
            <v>ST/EPU</v>
          </cell>
          <cell r="C581" t="str">
            <v>C1M</v>
          </cell>
          <cell r="D581" t="str">
            <v>C1MA</v>
          </cell>
          <cell r="E581" t="str">
            <v>CN/PEPT</v>
          </cell>
          <cell r="G581">
            <v>15</v>
          </cell>
          <cell r="H581" t="str">
            <v>PEPT2 Ateliers de concertation et de décision (harmonisation stratégies et procédures internes….)</v>
          </cell>
          <cell r="I581" t="str">
            <v>ST/MEPU</v>
          </cell>
          <cell r="K581" t="str">
            <v>IDA</v>
          </cell>
          <cell r="L581" t="str">
            <v>AUT</v>
          </cell>
          <cell r="P581">
            <v>0</v>
          </cell>
          <cell r="Q581" t="str">
            <v>pxj</v>
          </cell>
          <cell r="S581">
            <v>147.72</v>
          </cell>
          <cell r="T581">
            <v>0.9</v>
          </cell>
          <cell r="U581">
            <v>0</v>
          </cell>
          <cell r="V581">
            <v>0</v>
          </cell>
          <cell r="W581">
            <v>0</v>
          </cell>
          <cell r="X581">
            <v>0</v>
          </cell>
          <cell r="Y581">
            <v>0</v>
          </cell>
          <cell r="Z581">
            <v>0</v>
          </cell>
          <cell r="AA581">
            <v>0</v>
          </cell>
          <cell r="AB581">
            <v>0</v>
          </cell>
          <cell r="AC581">
            <v>0</v>
          </cell>
          <cell r="AD581">
            <v>0</v>
          </cell>
          <cell r="AE581">
            <v>0</v>
          </cell>
          <cell r="AF581">
            <v>0</v>
          </cell>
          <cell r="AH581">
            <v>0</v>
          </cell>
        </row>
        <row r="582">
          <cell r="B582" t="str">
            <v>ST/EPU</v>
          </cell>
          <cell r="C582" t="str">
            <v>C1M</v>
          </cell>
          <cell r="D582" t="str">
            <v>C1MA</v>
          </cell>
          <cell r="E582" t="str">
            <v>CN/PEPT</v>
          </cell>
          <cell r="G582">
            <v>25</v>
          </cell>
          <cell r="H582" t="str">
            <v>PEPT2 Informaticien : développement module gestion activités EPT tous bailleurs</v>
          </cell>
          <cell r="I582" t="str">
            <v>ST/MEPU</v>
          </cell>
          <cell r="K582" t="str">
            <v>IDA</v>
          </cell>
          <cell r="L582" t="str">
            <v>LR</v>
          </cell>
          <cell r="P582">
            <v>0</v>
          </cell>
          <cell r="Q582" t="str">
            <v>contrat</v>
          </cell>
          <cell r="S582">
            <v>59088.000000000007</v>
          </cell>
          <cell r="T582">
            <v>1</v>
          </cell>
          <cell r="U582">
            <v>0</v>
          </cell>
          <cell r="V582">
            <v>0</v>
          </cell>
          <cell r="W582">
            <v>0</v>
          </cell>
          <cell r="X582">
            <v>0</v>
          </cell>
          <cell r="Y582">
            <v>0</v>
          </cell>
          <cell r="Z582">
            <v>0</v>
          </cell>
          <cell r="AA582">
            <v>0</v>
          </cell>
          <cell r="AB582">
            <v>0</v>
          </cell>
          <cell r="AC582">
            <v>0</v>
          </cell>
          <cell r="AD582">
            <v>0</v>
          </cell>
          <cell r="AE582">
            <v>0</v>
          </cell>
          <cell r="AF582">
            <v>0</v>
          </cell>
          <cell r="AH582">
            <v>0</v>
          </cell>
        </row>
        <row r="583">
          <cell r="B583" t="str">
            <v>ST/EPU</v>
          </cell>
          <cell r="C583" t="str">
            <v>C1M</v>
          </cell>
          <cell r="D583" t="str">
            <v>C1MA</v>
          </cell>
          <cell r="E583" t="str">
            <v>CN/PEPT</v>
          </cell>
          <cell r="G583">
            <v>25</v>
          </cell>
          <cell r="H583" t="str">
            <v>PEPT2 Spécialistes et études préparatoires PEPT 2</v>
          </cell>
          <cell r="I583" t="str">
            <v>ST/MEPU</v>
          </cell>
          <cell r="K583" t="str">
            <v>IDA</v>
          </cell>
          <cell r="L583" t="str">
            <v>LR</v>
          </cell>
          <cell r="P583">
            <v>0</v>
          </cell>
          <cell r="Q583" t="str">
            <v>forfait</v>
          </cell>
          <cell r="S583">
            <v>1477200</v>
          </cell>
          <cell r="T583">
            <v>1</v>
          </cell>
          <cell r="U583">
            <v>0</v>
          </cell>
          <cell r="V583">
            <v>0</v>
          </cell>
          <cell r="W583">
            <v>0</v>
          </cell>
          <cell r="X583">
            <v>0</v>
          </cell>
          <cell r="Y583">
            <v>0</v>
          </cell>
          <cell r="Z583">
            <v>0</v>
          </cell>
          <cell r="AA583">
            <v>0</v>
          </cell>
          <cell r="AB583">
            <v>0</v>
          </cell>
          <cell r="AC583">
            <v>0</v>
          </cell>
          <cell r="AD583">
            <v>0</v>
          </cell>
          <cell r="AE583">
            <v>0</v>
          </cell>
          <cell r="AF583">
            <v>0</v>
          </cell>
          <cell r="AH583">
            <v>0</v>
          </cell>
        </row>
        <row r="584">
          <cell r="B584" t="str">
            <v>ST/EPU</v>
          </cell>
          <cell r="C584" t="str">
            <v>C1L</v>
          </cell>
          <cell r="D584" t="str">
            <v>C1LA</v>
          </cell>
          <cell r="E584" t="str">
            <v>C AUDIT</v>
          </cell>
          <cell r="G584">
            <v>15</v>
          </cell>
          <cell r="H584" t="str">
            <v>C AUDIT Mission de contrôle et de suivi semestriel des 46 SAAF x 2vis x2j /an</v>
          </cell>
          <cell r="I584" t="str">
            <v>SG/MEPU-EC</v>
          </cell>
          <cell r="K584" t="str">
            <v>IDA</v>
          </cell>
          <cell r="L584" t="str">
            <v>AUT</v>
          </cell>
          <cell r="P584">
            <v>0</v>
          </cell>
          <cell r="Q584" t="str">
            <v>pxj</v>
          </cell>
          <cell r="S584">
            <v>147.72</v>
          </cell>
          <cell r="T584">
            <v>0.9</v>
          </cell>
          <cell r="U584">
            <v>0</v>
          </cell>
          <cell r="V584">
            <v>0</v>
          </cell>
          <cell r="W584">
            <v>0</v>
          </cell>
          <cell r="X584">
            <v>0</v>
          </cell>
          <cell r="Y584">
            <v>0</v>
          </cell>
          <cell r="Z584">
            <v>0</v>
          </cell>
          <cell r="AA584">
            <v>0</v>
          </cell>
          <cell r="AB584">
            <v>0</v>
          </cell>
          <cell r="AC584">
            <v>0</v>
          </cell>
          <cell r="AD584">
            <v>0</v>
          </cell>
          <cell r="AE584">
            <v>0</v>
          </cell>
          <cell r="AF584">
            <v>0</v>
          </cell>
          <cell r="AH584">
            <v>0</v>
          </cell>
        </row>
        <row r="585">
          <cell r="B585" t="str">
            <v>ST/EPU</v>
          </cell>
          <cell r="C585" t="str">
            <v>C1L</v>
          </cell>
          <cell r="D585" t="str">
            <v>C1LA</v>
          </cell>
          <cell r="E585" t="str">
            <v>C AUDIT</v>
          </cell>
          <cell r="G585">
            <v>15</v>
          </cell>
          <cell r="H585" t="str">
            <v>C AUDIT Fonctionnement de la Cellule  yc production rapports</v>
          </cell>
          <cell r="I585" t="str">
            <v>SG/MEPU-EC</v>
          </cell>
          <cell r="K585" t="str">
            <v>IDA</v>
          </cell>
          <cell r="L585" t="str">
            <v>AUT</v>
          </cell>
          <cell r="P585">
            <v>0</v>
          </cell>
          <cell r="Q585" t="str">
            <v>mois</v>
          </cell>
          <cell r="S585">
            <v>1168.485999050783</v>
          </cell>
          <cell r="T585">
            <v>0.9</v>
          </cell>
          <cell r="U585">
            <v>0</v>
          </cell>
          <cell r="V585">
            <v>0</v>
          </cell>
          <cell r="W585">
            <v>0</v>
          </cell>
          <cell r="X585">
            <v>0</v>
          </cell>
          <cell r="Y585">
            <v>0</v>
          </cell>
          <cell r="Z585">
            <v>0</v>
          </cell>
          <cell r="AA585">
            <v>0</v>
          </cell>
          <cell r="AB585">
            <v>0</v>
          </cell>
          <cell r="AC585">
            <v>0</v>
          </cell>
          <cell r="AD585">
            <v>0</v>
          </cell>
          <cell r="AE585">
            <v>0</v>
          </cell>
          <cell r="AF585">
            <v>0</v>
          </cell>
          <cell r="AH585">
            <v>0</v>
          </cell>
        </row>
        <row r="586">
          <cell r="B586" t="str">
            <v>ST/EPU</v>
          </cell>
          <cell r="C586" t="str">
            <v>C1L</v>
          </cell>
          <cell r="D586" t="str">
            <v>C1LA</v>
          </cell>
          <cell r="E586" t="str">
            <v>C AUDIT</v>
          </cell>
          <cell r="G586">
            <v>23</v>
          </cell>
          <cell r="H586" t="str">
            <v xml:space="preserve">C AUDIT Equipement informatique et bureautique de la Cellule </v>
          </cell>
          <cell r="I586" t="str">
            <v>SG/MEPU-EC</v>
          </cell>
          <cell r="K586" t="str">
            <v>IDA</v>
          </cell>
          <cell r="L586" t="str">
            <v>AOI</v>
          </cell>
          <cell r="P586">
            <v>0</v>
          </cell>
          <cell r="Q586" t="str">
            <v>lot</v>
          </cell>
          <cell r="S586">
            <v>123100.00000000001</v>
          </cell>
          <cell r="T586">
            <v>1</v>
          </cell>
          <cell r="U586">
            <v>0</v>
          </cell>
          <cell r="V586">
            <v>0</v>
          </cell>
          <cell r="W586">
            <v>0</v>
          </cell>
          <cell r="X586">
            <v>0</v>
          </cell>
          <cell r="Y586">
            <v>0</v>
          </cell>
          <cell r="Z586">
            <v>0</v>
          </cell>
          <cell r="AA586">
            <v>0</v>
          </cell>
          <cell r="AB586">
            <v>0</v>
          </cell>
          <cell r="AC586">
            <v>0</v>
          </cell>
          <cell r="AD586">
            <v>0</v>
          </cell>
          <cell r="AE586">
            <v>0</v>
          </cell>
          <cell r="AF586">
            <v>0</v>
          </cell>
          <cell r="AH586">
            <v>0</v>
          </cell>
        </row>
        <row r="587">
          <cell r="B587" t="str">
            <v>ST/EPU</v>
          </cell>
          <cell r="C587" t="str">
            <v>C1J</v>
          </cell>
          <cell r="D587" t="str">
            <v>C1JA</v>
          </cell>
          <cell r="E587" t="str">
            <v>DAAF</v>
          </cell>
          <cell r="G587">
            <v>15</v>
          </cell>
          <cell r="H587" t="str">
            <v>DAAF Mission de suivi et appui  aux SAAF  46SAAF x 2vis x2j /an</v>
          </cell>
          <cell r="I587" t="str">
            <v>DAAF</v>
          </cell>
          <cell r="K587" t="str">
            <v>IDA</v>
          </cell>
          <cell r="L587" t="str">
            <v>AUT</v>
          </cell>
          <cell r="P587">
            <v>0</v>
          </cell>
          <cell r="Q587" t="str">
            <v>pxj</v>
          </cell>
          <cell r="S587">
            <v>147.72</v>
          </cell>
          <cell r="T587">
            <v>0.9</v>
          </cell>
          <cell r="U587">
            <v>0</v>
          </cell>
          <cell r="V587">
            <v>0</v>
          </cell>
          <cell r="W587">
            <v>0</v>
          </cell>
          <cell r="X587">
            <v>0</v>
          </cell>
          <cell r="Y587">
            <v>0</v>
          </cell>
          <cell r="Z587">
            <v>0</v>
          </cell>
          <cell r="AA587">
            <v>0</v>
          </cell>
          <cell r="AB587">
            <v>0</v>
          </cell>
          <cell r="AC587">
            <v>0</v>
          </cell>
          <cell r="AD587">
            <v>0</v>
          </cell>
          <cell r="AE587">
            <v>0</v>
          </cell>
          <cell r="AF587">
            <v>0</v>
          </cell>
          <cell r="AH587">
            <v>0</v>
          </cell>
        </row>
        <row r="588">
          <cell r="B588" t="str">
            <v>ST/EPU</v>
          </cell>
          <cell r="C588" t="str">
            <v>C1M</v>
          </cell>
          <cell r="D588" t="str">
            <v>C1MB</v>
          </cell>
          <cell r="E588" t="str">
            <v>ST/MEPU</v>
          </cell>
          <cell r="G588">
            <v>25</v>
          </cell>
          <cell r="H588" t="str">
            <v>ST/MEPU Spécialiste en communication : Journaliste éducation</v>
          </cell>
          <cell r="I588" t="str">
            <v>ST/MEPU</v>
          </cell>
          <cell r="K588" t="str">
            <v>IDA</v>
          </cell>
          <cell r="L588" t="str">
            <v>LR</v>
          </cell>
          <cell r="P588">
            <v>0</v>
          </cell>
          <cell r="Q588" t="str">
            <v>forfait</v>
          </cell>
          <cell r="S588">
            <v>49240.000000000007</v>
          </cell>
          <cell r="T588">
            <v>1</v>
          </cell>
          <cell r="U588">
            <v>0</v>
          </cell>
          <cell r="V588">
            <v>0</v>
          </cell>
          <cell r="W588">
            <v>0</v>
          </cell>
          <cell r="X588">
            <v>0</v>
          </cell>
          <cell r="Y588">
            <v>0</v>
          </cell>
          <cell r="Z588">
            <v>0</v>
          </cell>
          <cell r="AA588">
            <v>0</v>
          </cell>
          <cell r="AB588">
            <v>0</v>
          </cell>
          <cell r="AC588">
            <v>0</v>
          </cell>
          <cell r="AD588">
            <v>0</v>
          </cell>
          <cell r="AE588">
            <v>0</v>
          </cell>
          <cell r="AF588">
            <v>0</v>
          </cell>
          <cell r="AH588">
            <v>0</v>
          </cell>
        </row>
        <row r="589">
          <cell r="B589" t="str">
            <v>ST/EPU</v>
          </cell>
          <cell r="C589" t="str">
            <v>C1M</v>
          </cell>
          <cell r="D589" t="str">
            <v>C1MB</v>
          </cell>
          <cell r="E589" t="str">
            <v>ST/MEPU</v>
          </cell>
          <cell r="G589">
            <v>25</v>
          </cell>
          <cell r="H589" t="str">
            <v>ST/MEPU Emissions radio télé</v>
          </cell>
          <cell r="I589" t="str">
            <v>ST/MEPU</v>
          </cell>
          <cell r="K589" t="str">
            <v>IDA</v>
          </cell>
          <cell r="L589" t="str">
            <v>AUT</v>
          </cell>
          <cell r="P589">
            <v>0</v>
          </cell>
          <cell r="Q589" t="str">
            <v>forfait</v>
          </cell>
          <cell r="S589">
            <v>8179.4019933554819</v>
          </cell>
          <cell r="T589">
            <v>1</v>
          </cell>
          <cell r="U589">
            <v>0</v>
          </cell>
          <cell r="V589">
            <v>0</v>
          </cell>
          <cell r="W589">
            <v>0</v>
          </cell>
          <cell r="X589">
            <v>0</v>
          </cell>
          <cell r="Y589">
            <v>0</v>
          </cell>
          <cell r="Z589">
            <v>0</v>
          </cell>
          <cell r="AA589">
            <v>0</v>
          </cell>
          <cell r="AB589">
            <v>0</v>
          </cell>
          <cell r="AC589">
            <v>0</v>
          </cell>
          <cell r="AD589">
            <v>0</v>
          </cell>
          <cell r="AE589">
            <v>0</v>
          </cell>
          <cell r="AF589">
            <v>0</v>
          </cell>
          <cell r="AH589">
            <v>0</v>
          </cell>
        </row>
        <row r="590">
          <cell r="B590" t="str">
            <v>ST/EPU</v>
          </cell>
          <cell r="C590" t="str">
            <v>C1M</v>
          </cell>
          <cell r="D590" t="str">
            <v>C1MB</v>
          </cell>
          <cell r="E590" t="str">
            <v>ST/MEPU</v>
          </cell>
          <cell r="G590">
            <v>25</v>
          </cell>
          <cell r="H590" t="str">
            <v>ST/MEPU Publications dans la presse</v>
          </cell>
          <cell r="I590" t="str">
            <v>ST/MEPU</v>
          </cell>
          <cell r="K590" t="str">
            <v>IDA</v>
          </cell>
          <cell r="L590" t="str">
            <v>AUT</v>
          </cell>
          <cell r="P590">
            <v>0</v>
          </cell>
          <cell r="Q590" t="str">
            <v>forfait</v>
          </cell>
          <cell r="S590">
            <v>14021.831988609398</v>
          </cell>
          <cell r="T590">
            <v>1</v>
          </cell>
          <cell r="U590">
            <v>0</v>
          </cell>
          <cell r="V590">
            <v>0</v>
          </cell>
          <cell r="W590">
            <v>0</v>
          </cell>
          <cell r="X590">
            <v>0</v>
          </cell>
          <cell r="Y590">
            <v>0</v>
          </cell>
          <cell r="Z590">
            <v>0</v>
          </cell>
          <cell r="AA590">
            <v>0</v>
          </cell>
          <cell r="AB590">
            <v>0</v>
          </cell>
          <cell r="AC590">
            <v>0</v>
          </cell>
          <cell r="AD590">
            <v>0</v>
          </cell>
          <cell r="AE590">
            <v>0</v>
          </cell>
          <cell r="AF590">
            <v>0</v>
          </cell>
          <cell r="AH590">
            <v>0</v>
          </cell>
        </row>
        <row r="591">
          <cell r="B591" t="str">
            <v>ST/EPU</v>
          </cell>
          <cell r="C591" t="str">
            <v>C1M</v>
          </cell>
          <cell r="D591" t="str">
            <v>C1MB</v>
          </cell>
          <cell r="E591" t="str">
            <v>ST/MEPU</v>
          </cell>
          <cell r="G591">
            <v>15</v>
          </cell>
          <cell r="H591" t="str">
            <v>ST/MEPU Reproduction documents</v>
          </cell>
          <cell r="I591" t="str">
            <v>ST/MEPU</v>
          </cell>
          <cell r="K591" t="str">
            <v>IDA</v>
          </cell>
          <cell r="L591" t="str">
            <v>AUT</v>
          </cell>
          <cell r="P591">
            <v>0</v>
          </cell>
          <cell r="Q591" t="str">
            <v>forfait</v>
          </cell>
          <cell r="S591">
            <v>23369.719981015664</v>
          </cell>
          <cell r="T591">
            <v>0.9</v>
          </cell>
          <cell r="U591">
            <v>0</v>
          </cell>
          <cell r="V591">
            <v>0</v>
          </cell>
          <cell r="W591">
            <v>0</v>
          </cell>
          <cell r="X591">
            <v>0</v>
          </cell>
          <cell r="Y591">
            <v>0</v>
          </cell>
          <cell r="Z591">
            <v>0</v>
          </cell>
          <cell r="AA591">
            <v>0</v>
          </cell>
          <cell r="AB591">
            <v>0</v>
          </cell>
          <cell r="AC591">
            <v>0</v>
          </cell>
          <cell r="AD591">
            <v>0</v>
          </cell>
          <cell r="AE591">
            <v>0</v>
          </cell>
          <cell r="AF591">
            <v>0</v>
          </cell>
          <cell r="AH591">
            <v>0</v>
          </cell>
        </row>
        <row r="592">
          <cell r="B592" t="str">
            <v>ST/EPU</v>
          </cell>
          <cell r="C592" t="str">
            <v>C1M</v>
          </cell>
          <cell r="D592" t="str">
            <v>C1MB</v>
          </cell>
          <cell r="E592" t="str">
            <v>ST/MEPU</v>
          </cell>
          <cell r="G592">
            <v>25</v>
          </cell>
          <cell r="H592" t="str">
            <v xml:space="preserve">ST/MEPU Form  diverses à l'extérieur </v>
          </cell>
          <cell r="I592" t="str">
            <v>ST/MEPU</v>
          </cell>
          <cell r="K592" t="str">
            <v>IDA</v>
          </cell>
          <cell r="L592" t="str">
            <v>AUT</v>
          </cell>
          <cell r="P592">
            <v>0</v>
          </cell>
          <cell r="Q592" t="str">
            <v>forfait</v>
          </cell>
          <cell r="S592">
            <v>273774.40000000002</v>
          </cell>
          <cell r="T592">
            <v>1</v>
          </cell>
          <cell r="U592">
            <v>0</v>
          </cell>
          <cell r="V592">
            <v>0</v>
          </cell>
          <cell r="W592">
            <v>0</v>
          </cell>
          <cell r="X592">
            <v>0</v>
          </cell>
          <cell r="Y592">
            <v>0</v>
          </cell>
          <cell r="Z592">
            <v>0</v>
          </cell>
          <cell r="AA592">
            <v>0</v>
          </cell>
          <cell r="AB592">
            <v>0</v>
          </cell>
          <cell r="AC592">
            <v>0</v>
          </cell>
          <cell r="AD592">
            <v>0</v>
          </cell>
          <cell r="AE592">
            <v>0</v>
          </cell>
          <cell r="AF592">
            <v>0</v>
          </cell>
          <cell r="AH592">
            <v>0</v>
          </cell>
        </row>
        <row r="593">
          <cell r="B593" t="str">
            <v>ST/EPU</v>
          </cell>
          <cell r="C593" t="str">
            <v>C1M</v>
          </cell>
          <cell r="D593" t="str">
            <v>C1MB</v>
          </cell>
          <cell r="E593" t="str">
            <v>ST/MEPU</v>
          </cell>
          <cell r="G593">
            <v>25</v>
          </cell>
          <cell r="H593" t="str">
            <v>ST/MEPU Ateliers internationaux et régionaux (RESEN, AGEPA…)</v>
          </cell>
          <cell r="I593" t="str">
            <v>ST/MEPU</v>
          </cell>
          <cell r="K593" t="str">
            <v>IDA</v>
          </cell>
          <cell r="L593" t="str">
            <v>AUT</v>
          </cell>
          <cell r="P593">
            <v>0</v>
          </cell>
          <cell r="Q593" t="str">
            <v>u</v>
          </cell>
          <cell r="S593">
            <v>73860</v>
          </cell>
          <cell r="T593">
            <v>1</v>
          </cell>
          <cell r="U593">
            <v>0</v>
          </cell>
          <cell r="V593">
            <v>0</v>
          </cell>
          <cell r="W593">
            <v>0</v>
          </cell>
          <cell r="X593">
            <v>0</v>
          </cell>
          <cell r="Y593">
            <v>0</v>
          </cell>
          <cell r="Z593">
            <v>0</v>
          </cell>
          <cell r="AA593">
            <v>0</v>
          </cell>
          <cell r="AB593">
            <v>0</v>
          </cell>
          <cell r="AC593">
            <v>0</v>
          </cell>
          <cell r="AD593">
            <v>0</v>
          </cell>
          <cell r="AE593">
            <v>0</v>
          </cell>
          <cell r="AF593">
            <v>0</v>
          </cell>
          <cell r="AH593">
            <v>0</v>
          </cell>
        </row>
        <row r="594">
          <cell r="B594" t="str">
            <v>ST/EPU</v>
          </cell>
          <cell r="C594" t="str">
            <v>C1M</v>
          </cell>
          <cell r="D594" t="str">
            <v>C1MB</v>
          </cell>
          <cell r="E594" t="str">
            <v>ST/MEPU</v>
          </cell>
          <cell r="G594">
            <v>25</v>
          </cell>
          <cell r="H594" t="str">
            <v>ST/MEPU Ateliers sur procédures gestion coordination programme</v>
          </cell>
          <cell r="I594" t="str">
            <v>ST/MEPU</v>
          </cell>
          <cell r="K594" t="str">
            <v>IDA</v>
          </cell>
          <cell r="L594" t="str">
            <v>AUT</v>
          </cell>
          <cell r="P594">
            <v>0</v>
          </cell>
          <cell r="Q594" t="str">
            <v>pxj</v>
          </cell>
          <cell r="S594">
            <v>147.72</v>
          </cell>
          <cell r="T594">
            <v>1</v>
          </cell>
          <cell r="U594">
            <v>0</v>
          </cell>
          <cell r="V594">
            <v>0</v>
          </cell>
          <cell r="W594">
            <v>0</v>
          </cell>
          <cell r="X594">
            <v>0</v>
          </cell>
          <cell r="Y594">
            <v>0</v>
          </cell>
          <cell r="Z594">
            <v>0</v>
          </cell>
          <cell r="AA594">
            <v>0</v>
          </cell>
          <cell r="AB594">
            <v>0</v>
          </cell>
          <cell r="AC594">
            <v>0</v>
          </cell>
          <cell r="AD594">
            <v>0</v>
          </cell>
          <cell r="AE594">
            <v>0</v>
          </cell>
          <cell r="AF594">
            <v>0</v>
          </cell>
          <cell r="AH594">
            <v>0</v>
          </cell>
        </row>
        <row r="595">
          <cell r="B595" t="str">
            <v>ST/EPU</v>
          </cell>
          <cell r="C595" t="str">
            <v>C1M</v>
          </cell>
          <cell r="D595" t="str">
            <v>C1MB</v>
          </cell>
          <cell r="E595" t="str">
            <v>ST/MEPU</v>
          </cell>
          <cell r="G595">
            <v>25</v>
          </cell>
          <cell r="H595" t="str">
            <v>ST/MEPU Prorogation audit du PEPT1 sur 2 périodes</v>
          </cell>
          <cell r="I595" t="str">
            <v>ST/MEPU</v>
          </cell>
          <cell r="K595" t="str">
            <v>IDA</v>
          </cell>
          <cell r="L595" t="str">
            <v>LR</v>
          </cell>
          <cell r="P595">
            <v>0</v>
          </cell>
          <cell r="Q595" t="str">
            <v>u</v>
          </cell>
          <cell r="S595">
            <v>152644</v>
          </cell>
          <cell r="T595">
            <v>1</v>
          </cell>
          <cell r="U595">
            <v>0</v>
          </cell>
          <cell r="V595">
            <v>0</v>
          </cell>
          <cell r="W595">
            <v>0</v>
          </cell>
          <cell r="X595">
            <v>0</v>
          </cell>
          <cell r="Y595">
            <v>0</v>
          </cell>
          <cell r="Z595">
            <v>0</v>
          </cell>
          <cell r="AA595">
            <v>0</v>
          </cell>
          <cell r="AB595">
            <v>0</v>
          </cell>
          <cell r="AC595">
            <v>0</v>
          </cell>
          <cell r="AD595">
            <v>0</v>
          </cell>
          <cell r="AE595">
            <v>0</v>
          </cell>
          <cell r="AF595">
            <v>0</v>
          </cell>
          <cell r="AH595">
            <v>0</v>
          </cell>
        </row>
        <row r="596">
          <cell r="B596" t="str">
            <v>ST/EPU</v>
          </cell>
          <cell r="C596" t="str">
            <v>C1M</v>
          </cell>
          <cell r="D596" t="str">
            <v>C1MB</v>
          </cell>
          <cell r="E596" t="str">
            <v>ST/MEPU</v>
          </cell>
          <cell r="G596">
            <v>25</v>
          </cell>
          <cell r="H596" t="str">
            <v>ST/MEPU Assistance techn TomPro</v>
          </cell>
          <cell r="I596" t="str">
            <v>ST/MEPU</v>
          </cell>
          <cell r="K596" t="str">
            <v>IDA</v>
          </cell>
          <cell r="L596" t="str">
            <v>LR</v>
          </cell>
          <cell r="P596">
            <v>0</v>
          </cell>
          <cell r="Q596" t="str">
            <v>u</v>
          </cell>
          <cell r="S596">
            <v>59088.000000000007</v>
          </cell>
          <cell r="T596">
            <v>1</v>
          </cell>
          <cell r="U596">
            <v>0</v>
          </cell>
          <cell r="V596">
            <v>0</v>
          </cell>
          <cell r="W596">
            <v>0</v>
          </cell>
          <cell r="X596">
            <v>0</v>
          </cell>
          <cell r="Y596">
            <v>0</v>
          </cell>
          <cell r="Z596">
            <v>0</v>
          </cell>
          <cell r="AA596">
            <v>0</v>
          </cell>
          <cell r="AB596">
            <v>0</v>
          </cell>
          <cell r="AC596">
            <v>0</v>
          </cell>
          <cell r="AD596">
            <v>0</v>
          </cell>
          <cell r="AE596">
            <v>0</v>
          </cell>
          <cell r="AF596">
            <v>0</v>
          </cell>
          <cell r="AH596">
            <v>0</v>
          </cell>
        </row>
        <row r="597">
          <cell r="B597" t="str">
            <v>ST/EPU</v>
          </cell>
          <cell r="C597" t="str">
            <v>C1M</v>
          </cell>
          <cell r="D597" t="str">
            <v>C1MB</v>
          </cell>
          <cell r="E597" t="str">
            <v>ST/MEPU</v>
          </cell>
          <cell r="G597">
            <v>25</v>
          </cell>
          <cell r="H597" t="str">
            <v>ST/MEPU Services de consultants pour élaboration du rapport d'achèvement</v>
          </cell>
          <cell r="I597" t="str">
            <v>ST/MEPU</v>
          </cell>
          <cell r="K597" t="str">
            <v>IDA</v>
          </cell>
          <cell r="L597" t="str">
            <v>LR</v>
          </cell>
          <cell r="P597">
            <v>0</v>
          </cell>
          <cell r="Q597" t="str">
            <v>u</v>
          </cell>
          <cell r="S597">
            <v>344680</v>
          </cell>
          <cell r="T597">
            <v>1</v>
          </cell>
          <cell r="U597">
            <v>0</v>
          </cell>
          <cell r="V597">
            <v>0</v>
          </cell>
          <cell r="W597">
            <v>0</v>
          </cell>
          <cell r="X597">
            <v>0</v>
          </cell>
          <cell r="Y597">
            <v>0</v>
          </cell>
          <cell r="Z597">
            <v>0</v>
          </cell>
          <cell r="AA597">
            <v>0</v>
          </cell>
          <cell r="AB597">
            <v>0</v>
          </cell>
          <cell r="AC597">
            <v>0</v>
          </cell>
          <cell r="AD597">
            <v>0</v>
          </cell>
          <cell r="AE597">
            <v>0</v>
          </cell>
          <cell r="AF597">
            <v>0</v>
          </cell>
          <cell r="AH597">
            <v>0</v>
          </cell>
        </row>
        <row r="598">
          <cell r="B598" t="str">
            <v>ST/EPU</v>
          </cell>
          <cell r="C598" t="str">
            <v>C1M</v>
          </cell>
          <cell r="D598" t="str">
            <v>C1MB</v>
          </cell>
          <cell r="E598" t="str">
            <v>ST/MEPU</v>
          </cell>
          <cell r="G598">
            <v>15</v>
          </cell>
          <cell r="H598" t="str">
            <v>ST/MEPU Missions Washington</v>
          </cell>
          <cell r="I598" t="str">
            <v>ST/MEPU</v>
          </cell>
          <cell r="K598" t="str">
            <v>IDA</v>
          </cell>
          <cell r="L598" t="str">
            <v>AUT</v>
          </cell>
          <cell r="P598">
            <v>0</v>
          </cell>
          <cell r="Q598" t="str">
            <v>u</v>
          </cell>
          <cell r="S598">
            <v>118176.00000000001</v>
          </cell>
          <cell r="T598">
            <v>0.9</v>
          </cell>
          <cell r="U598">
            <v>0</v>
          </cell>
          <cell r="V598">
            <v>0</v>
          </cell>
          <cell r="W598">
            <v>0</v>
          </cell>
          <cell r="X598">
            <v>0</v>
          </cell>
          <cell r="Y598">
            <v>0</v>
          </cell>
          <cell r="Z598">
            <v>0</v>
          </cell>
          <cell r="AA598">
            <v>0</v>
          </cell>
          <cell r="AB598">
            <v>0</v>
          </cell>
          <cell r="AC598">
            <v>0</v>
          </cell>
          <cell r="AD598">
            <v>0</v>
          </cell>
          <cell r="AE598">
            <v>0</v>
          </cell>
          <cell r="AF598">
            <v>0</v>
          </cell>
          <cell r="AH598">
            <v>0</v>
          </cell>
        </row>
        <row r="599">
          <cell r="B599" t="str">
            <v>ST/EPU</v>
          </cell>
          <cell r="C599" t="str">
            <v>C1M</v>
          </cell>
          <cell r="D599" t="str">
            <v>C1MB</v>
          </cell>
          <cell r="E599" t="str">
            <v>ST/MEPU</v>
          </cell>
          <cell r="G599">
            <v>15</v>
          </cell>
          <cell r="H599" t="str">
            <v>ST/MEPU Salaires contractuels</v>
          </cell>
          <cell r="I599" t="str">
            <v>ST/MEPU</v>
          </cell>
          <cell r="K599" t="str">
            <v>IDA</v>
          </cell>
          <cell r="L599" t="str">
            <v>AUT</v>
          </cell>
          <cell r="P599">
            <v>0</v>
          </cell>
          <cell r="Q599" t="str">
            <v>mois</v>
          </cell>
          <cell r="S599">
            <v>34468</v>
          </cell>
          <cell r="T599">
            <v>0.9</v>
          </cell>
          <cell r="U599">
            <v>0</v>
          </cell>
          <cell r="V599">
            <v>0</v>
          </cell>
          <cell r="W599">
            <v>0</v>
          </cell>
          <cell r="X599">
            <v>0</v>
          </cell>
          <cell r="Y599">
            <v>0</v>
          </cell>
          <cell r="Z599">
            <v>0</v>
          </cell>
          <cell r="AA599">
            <v>0</v>
          </cell>
          <cell r="AB599">
            <v>0</v>
          </cell>
          <cell r="AC599">
            <v>0</v>
          </cell>
          <cell r="AD599">
            <v>0</v>
          </cell>
          <cell r="AE599">
            <v>0</v>
          </cell>
          <cell r="AF599">
            <v>0</v>
          </cell>
          <cell r="AH599">
            <v>0</v>
          </cell>
        </row>
        <row r="600">
          <cell r="B600" t="str">
            <v>ST/EPU</v>
          </cell>
          <cell r="C600" t="str">
            <v>C1M</v>
          </cell>
          <cell r="D600" t="str">
            <v>C1MB</v>
          </cell>
          <cell r="E600" t="str">
            <v>ST/MEPU</v>
          </cell>
          <cell r="G600">
            <v>15</v>
          </cell>
          <cell r="H600" t="str">
            <v>ST/MEPU Missions sur terrain : 20j/mois</v>
          </cell>
          <cell r="I600" t="str">
            <v>ST/MEPU</v>
          </cell>
          <cell r="K600" t="str">
            <v>IDA</v>
          </cell>
          <cell r="L600" t="str">
            <v>AUT</v>
          </cell>
          <cell r="P600">
            <v>0</v>
          </cell>
          <cell r="Q600" t="str">
            <v>pxj</v>
          </cell>
          <cell r="S600">
            <v>147.72</v>
          </cell>
          <cell r="T600">
            <v>0.9</v>
          </cell>
          <cell r="U600">
            <v>0</v>
          </cell>
          <cell r="V600">
            <v>0</v>
          </cell>
          <cell r="W600">
            <v>0</v>
          </cell>
          <cell r="X600">
            <v>0</v>
          </cell>
          <cell r="Y600">
            <v>0</v>
          </cell>
          <cell r="Z600">
            <v>0</v>
          </cell>
          <cell r="AA600">
            <v>0</v>
          </cell>
          <cell r="AB600">
            <v>0</v>
          </cell>
          <cell r="AC600">
            <v>0</v>
          </cell>
          <cell r="AD600">
            <v>0</v>
          </cell>
          <cell r="AE600">
            <v>0</v>
          </cell>
          <cell r="AF600">
            <v>0</v>
          </cell>
          <cell r="AH600">
            <v>0</v>
          </cell>
        </row>
        <row r="601">
          <cell r="B601" t="str">
            <v>ST/EPU</v>
          </cell>
          <cell r="C601" t="str">
            <v>C1M</v>
          </cell>
          <cell r="D601" t="str">
            <v>C1MB</v>
          </cell>
          <cell r="E601" t="str">
            <v>ST/MEPU</v>
          </cell>
          <cell r="G601">
            <v>15</v>
          </cell>
          <cell r="H601" t="str">
            <v>ST/MEPU Services extérieurs</v>
          </cell>
          <cell r="I601" t="str">
            <v>ST/MEPU</v>
          </cell>
          <cell r="K601" t="str">
            <v>IDA</v>
          </cell>
          <cell r="L601" t="str">
            <v>AUT</v>
          </cell>
          <cell r="P601">
            <v>0</v>
          </cell>
          <cell r="Q601" t="str">
            <v>mois</v>
          </cell>
          <cell r="S601">
            <v>71398</v>
          </cell>
          <cell r="T601">
            <v>0.9</v>
          </cell>
          <cell r="U601">
            <v>0</v>
          </cell>
          <cell r="V601">
            <v>0</v>
          </cell>
          <cell r="W601">
            <v>0</v>
          </cell>
          <cell r="X601">
            <v>0</v>
          </cell>
          <cell r="Y601">
            <v>0</v>
          </cell>
          <cell r="Z601">
            <v>0</v>
          </cell>
          <cell r="AA601">
            <v>0</v>
          </cell>
          <cell r="AB601">
            <v>0</v>
          </cell>
          <cell r="AC601">
            <v>0</v>
          </cell>
          <cell r="AD601">
            <v>0</v>
          </cell>
          <cell r="AE601">
            <v>0</v>
          </cell>
          <cell r="AF601">
            <v>0</v>
          </cell>
          <cell r="AH601">
            <v>0</v>
          </cell>
        </row>
        <row r="602">
          <cell r="B602" t="str">
            <v>ST/EPU</v>
          </cell>
          <cell r="C602" t="str">
            <v>C1M</v>
          </cell>
          <cell r="D602" t="str">
            <v>C1MB</v>
          </cell>
          <cell r="E602" t="str">
            <v>ST/MEPU</v>
          </cell>
          <cell r="G602">
            <v>15</v>
          </cell>
          <cell r="H602" t="str">
            <v>ST/MEPU Fournitures et consommables</v>
          </cell>
          <cell r="I602" t="str">
            <v>ST/MEPU</v>
          </cell>
          <cell r="K602" t="str">
            <v>IDA</v>
          </cell>
          <cell r="L602" t="str">
            <v>COT</v>
          </cell>
          <cell r="P602">
            <v>0</v>
          </cell>
          <cell r="Q602" t="str">
            <v>mois</v>
          </cell>
          <cell r="S602">
            <v>12310.000000000002</v>
          </cell>
          <cell r="T602">
            <v>0.9</v>
          </cell>
          <cell r="U602">
            <v>0</v>
          </cell>
          <cell r="V602">
            <v>0</v>
          </cell>
          <cell r="W602">
            <v>0</v>
          </cell>
          <cell r="X602">
            <v>0</v>
          </cell>
          <cell r="Y602">
            <v>0</v>
          </cell>
          <cell r="Z602">
            <v>0</v>
          </cell>
          <cell r="AA602">
            <v>0</v>
          </cell>
          <cell r="AB602">
            <v>0</v>
          </cell>
          <cell r="AC602">
            <v>0</v>
          </cell>
          <cell r="AD602">
            <v>0</v>
          </cell>
          <cell r="AE602">
            <v>0</v>
          </cell>
          <cell r="AF602">
            <v>0</v>
          </cell>
          <cell r="AH602">
            <v>0</v>
          </cell>
        </row>
        <row r="603">
          <cell r="B603" t="str">
            <v>ST/EPU</v>
          </cell>
          <cell r="C603" t="str">
            <v>C1M</v>
          </cell>
          <cell r="D603" t="str">
            <v>C1MB</v>
          </cell>
          <cell r="E603" t="str">
            <v>ST/MEPU</v>
          </cell>
          <cell r="G603">
            <v>15</v>
          </cell>
          <cell r="H603" t="str">
            <v>ST/MEPU Assurances véhicules</v>
          </cell>
          <cell r="I603" t="str">
            <v>ST/MEPU</v>
          </cell>
          <cell r="K603" t="str">
            <v>IDA</v>
          </cell>
          <cell r="L603" t="str">
            <v>AUT</v>
          </cell>
          <cell r="P603">
            <v>0</v>
          </cell>
          <cell r="Q603" t="str">
            <v>mois</v>
          </cell>
          <cell r="S603">
            <v>36930</v>
          </cell>
          <cell r="T603">
            <v>0.9</v>
          </cell>
          <cell r="U603">
            <v>0</v>
          </cell>
          <cell r="V603">
            <v>0</v>
          </cell>
          <cell r="W603">
            <v>0</v>
          </cell>
          <cell r="X603">
            <v>0</v>
          </cell>
          <cell r="Y603">
            <v>0</v>
          </cell>
          <cell r="Z603">
            <v>0</v>
          </cell>
          <cell r="AA603">
            <v>0</v>
          </cell>
          <cell r="AB603">
            <v>0</v>
          </cell>
          <cell r="AC603">
            <v>0</v>
          </cell>
          <cell r="AD603">
            <v>0</v>
          </cell>
          <cell r="AE603">
            <v>0</v>
          </cell>
          <cell r="AF603">
            <v>0</v>
          </cell>
          <cell r="AH603">
            <v>0</v>
          </cell>
        </row>
        <row r="604">
          <cell r="B604" t="str">
            <v>ST/ETFP</v>
          </cell>
          <cell r="C604" t="str">
            <v>A2A</v>
          </cell>
          <cell r="D604" t="str">
            <v>A2AA</v>
          </cell>
          <cell r="E604" t="str">
            <v>ENI BOK</v>
          </cell>
          <cell r="G604">
            <v>23</v>
          </cell>
          <cell r="H604" t="str">
            <v>ENI BOK Mobilier et équipements complémentaires</v>
          </cell>
          <cell r="I604" t="str">
            <v>SNIEM</v>
          </cell>
          <cell r="K604" t="str">
            <v>IDA</v>
          </cell>
          <cell r="L604" t="str">
            <v>AOI</v>
          </cell>
          <cell r="P604">
            <v>0</v>
          </cell>
          <cell r="Q604" t="str">
            <v>forfait</v>
          </cell>
          <cell r="S604">
            <v>374662.23600000003</v>
          </cell>
          <cell r="T604">
            <v>1</v>
          </cell>
          <cell r="U604">
            <v>0</v>
          </cell>
          <cell r="V604">
            <v>0</v>
          </cell>
          <cell r="W604">
            <v>0</v>
          </cell>
          <cell r="X604">
            <v>0</v>
          </cell>
          <cell r="Y604">
            <v>0</v>
          </cell>
          <cell r="Z604">
            <v>0</v>
          </cell>
          <cell r="AA604">
            <v>0</v>
          </cell>
          <cell r="AB604">
            <v>0</v>
          </cell>
          <cell r="AC604">
            <v>0</v>
          </cell>
          <cell r="AD604">
            <v>0</v>
          </cell>
          <cell r="AE604">
            <v>0</v>
          </cell>
          <cell r="AF604">
            <v>0</v>
          </cell>
          <cell r="AH604">
            <v>0</v>
          </cell>
        </row>
        <row r="605">
          <cell r="B605" t="str">
            <v>ST/ETFP</v>
          </cell>
          <cell r="C605" t="str">
            <v>A2A</v>
          </cell>
          <cell r="D605" t="str">
            <v>A2AA</v>
          </cell>
          <cell r="E605" t="str">
            <v>ENI DUB</v>
          </cell>
          <cell r="G605">
            <v>23</v>
          </cell>
          <cell r="H605" t="str">
            <v>ENI DUB Mobilier et équipements complémentaires</v>
          </cell>
          <cell r="I605" t="str">
            <v>SNIEM</v>
          </cell>
          <cell r="K605" t="str">
            <v>IDA</v>
          </cell>
          <cell r="L605" t="str">
            <v>AOI</v>
          </cell>
          <cell r="P605">
            <v>0</v>
          </cell>
          <cell r="Q605" t="str">
            <v>forfait</v>
          </cell>
          <cell r="S605">
            <v>374662.23600000003</v>
          </cell>
          <cell r="T605">
            <v>1</v>
          </cell>
          <cell r="U605">
            <v>0</v>
          </cell>
          <cell r="V605">
            <v>0</v>
          </cell>
          <cell r="W605">
            <v>0</v>
          </cell>
          <cell r="X605">
            <v>0</v>
          </cell>
          <cell r="Y605">
            <v>0</v>
          </cell>
          <cell r="Z605">
            <v>0</v>
          </cell>
          <cell r="AA605">
            <v>0</v>
          </cell>
          <cell r="AB605">
            <v>0</v>
          </cell>
          <cell r="AC605">
            <v>0</v>
          </cell>
          <cell r="AD605">
            <v>0</v>
          </cell>
          <cell r="AE605">
            <v>0</v>
          </cell>
          <cell r="AF605">
            <v>0</v>
          </cell>
          <cell r="AH605">
            <v>0</v>
          </cell>
        </row>
        <row r="606">
          <cell r="B606" t="str">
            <v>ST/ETFP</v>
          </cell>
          <cell r="C606" t="str">
            <v>A2A</v>
          </cell>
          <cell r="D606" t="str">
            <v>A2AA</v>
          </cell>
          <cell r="E606" t="str">
            <v>ENI CKY</v>
          </cell>
          <cell r="G606">
            <v>23</v>
          </cell>
          <cell r="H606" t="str">
            <v>ENI CKY Mobilier et équipements complémentaires</v>
          </cell>
          <cell r="I606" t="str">
            <v>SNIEM</v>
          </cell>
          <cell r="K606" t="str">
            <v>IDA</v>
          </cell>
          <cell r="L606" t="str">
            <v>AOI</v>
          </cell>
          <cell r="P606">
            <v>0</v>
          </cell>
          <cell r="Q606" t="str">
            <v>forfait</v>
          </cell>
          <cell r="S606">
            <v>374662.23600000003</v>
          </cell>
          <cell r="T606">
            <v>1</v>
          </cell>
          <cell r="U606">
            <v>0</v>
          </cell>
          <cell r="V606">
            <v>0</v>
          </cell>
          <cell r="W606">
            <v>0</v>
          </cell>
          <cell r="X606">
            <v>0</v>
          </cell>
          <cell r="Y606">
            <v>0</v>
          </cell>
          <cell r="Z606">
            <v>0</v>
          </cell>
          <cell r="AA606">
            <v>0</v>
          </cell>
          <cell r="AB606">
            <v>0</v>
          </cell>
          <cell r="AC606">
            <v>0</v>
          </cell>
          <cell r="AD606">
            <v>0</v>
          </cell>
          <cell r="AE606">
            <v>0</v>
          </cell>
          <cell r="AF606">
            <v>0</v>
          </cell>
          <cell r="AH606">
            <v>0</v>
          </cell>
        </row>
        <row r="607">
          <cell r="B607" t="str">
            <v>ST/ETFP</v>
          </cell>
          <cell r="C607" t="str">
            <v>A2A</v>
          </cell>
          <cell r="D607" t="str">
            <v>A2AA</v>
          </cell>
          <cell r="E607" t="str">
            <v>ENI KIN</v>
          </cell>
          <cell r="G607">
            <v>23</v>
          </cell>
          <cell r="H607" t="str">
            <v>ENI KIN Mobilier et équipements complémentaires</v>
          </cell>
          <cell r="I607" t="str">
            <v>SNIEM</v>
          </cell>
          <cell r="K607" t="str">
            <v>IDA</v>
          </cell>
          <cell r="L607" t="str">
            <v>AOI</v>
          </cell>
          <cell r="P607">
            <v>0</v>
          </cell>
          <cell r="Q607" t="str">
            <v>forfait</v>
          </cell>
          <cell r="S607">
            <v>374662.23600000003</v>
          </cell>
          <cell r="T607">
            <v>1</v>
          </cell>
          <cell r="U607">
            <v>0</v>
          </cell>
          <cell r="V607">
            <v>0</v>
          </cell>
          <cell r="W607">
            <v>0</v>
          </cell>
          <cell r="X607">
            <v>0</v>
          </cell>
          <cell r="Y607">
            <v>0</v>
          </cell>
          <cell r="Z607">
            <v>0</v>
          </cell>
          <cell r="AA607">
            <v>0</v>
          </cell>
          <cell r="AB607">
            <v>0</v>
          </cell>
          <cell r="AC607">
            <v>0</v>
          </cell>
          <cell r="AD607">
            <v>0</v>
          </cell>
          <cell r="AE607">
            <v>0</v>
          </cell>
          <cell r="AF607">
            <v>0</v>
          </cell>
          <cell r="AH607">
            <v>0</v>
          </cell>
        </row>
        <row r="608">
          <cell r="B608" t="str">
            <v>ST/ETFP</v>
          </cell>
          <cell r="C608" t="str">
            <v>A2A</v>
          </cell>
          <cell r="D608" t="str">
            <v>A2AA</v>
          </cell>
          <cell r="E608" t="str">
            <v>ENI LAB</v>
          </cell>
          <cell r="G608">
            <v>23</v>
          </cell>
          <cell r="H608" t="str">
            <v>ENI LAB Mobilier et équipements complémentaires</v>
          </cell>
          <cell r="I608" t="str">
            <v>SNIEM</v>
          </cell>
          <cell r="K608" t="str">
            <v>IDA</v>
          </cell>
          <cell r="L608" t="str">
            <v>AOI</v>
          </cell>
          <cell r="P608">
            <v>0</v>
          </cell>
          <cell r="Q608" t="str">
            <v>forfait</v>
          </cell>
          <cell r="S608">
            <v>374662.23600000003</v>
          </cell>
          <cell r="T608">
            <v>1</v>
          </cell>
          <cell r="U608">
            <v>0</v>
          </cell>
          <cell r="V608">
            <v>0</v>
          </cell>
          <cell r="W608">
            <v>0</v>
          </cell>
          <cell r="X608">
            <v>0</v>
          </cell>
          <cell r="Y608">
            <v>0</v>
          </cell>
          <cell r="Z608">
            <v>0</v>
          </cell>
          <cell r="AA608">
            <v>0</v>
          </cell>
          <cell r="AB608">
            <v>0</v>
          </cell>
          <cell r="AC608">
            <v>0</v>
          </cell>
          <cell r="AD608">
            <v>0</v>
          </cell>
          <cell r="AE608">
            <v>0</v>
          </cell>
          <cell r="AF608">
            <v>0</v>
          </cell>
          <cell r="AH608">
            <v>0</v>
          </cell>
        </row>
        <row r="609">
          <cell r="B609" t="str">
            <v>ST/ETFP</v>
          </cell>
          <cell r="C609" t="str">
            <v>A2A</v>
          </cell>
          <cell r="D609" t="str">
            <v>A2AA</v>
          </cell>
          <cell r="E609" t="str">
            <v>ENI KAN</v>
          </cell>
          <cell r="G609">
            <v>23</v>
          </cell>
          <cell r="H609" t="str">
            <v>ENI KAN Mobilier et équipements complémentaires</v>
          </cell>
          <cell r="I609" t="str">
            <v>SNIEM</v>
          </cell>
          <cell r="K609" t="str">
            <v>IDA</v>
          </cell>
          <cell r="L609" t="str">
            <v>AOI</v>
          </cell>
          <cell r="P609">
            <v>0</v>
          </cell>
          <cell r="Q609" t="str">
            <v>forfait</v>
          </cell>
          <cell r="S609">
            <v>374662.23600000003</v>
          </cell>
          <cell r="T609">
            <v>1</v>
          </cell>
          <cell r="U609">
            <v>0</v>
          </cell>
          <cell r="V609">
            <v>0</v>
          </cell>
          <cell r="W609">
            <v>0</v>
          </cell>
          <cell r="X609">
            <v>0</v>
          </cell>
          <cell r="Y609">
            <v>0</v>
          </cell>
          <cell r="Z609">
            <v>0</v>
          </cell>
          <cell r="AA609">
            <v>0</v>
          </cell>
          <cell r="AB609">
            <v>0</v>
          </cell>
          <cell r="AC609">
            <v>0</v>
          </cell>
          <cell r="AD609">
            <v>0</v>
          </cell>
          <cell r="AE609">
            <v>0</v>
          </cell>
          <cell r="AF609">
            <v>0</v>
          </cell>
          <cell r="AH609">
            <v>0</v>
          </cell>
        </row>
        <row r="610">
          <cell r="B610" t="str">
            <v>ST/ETFP</v>
          </cell>
          <cell r="C610" t="str">
            <v>A2A</v>
          </cell>
          <cell r="D610" t="str">
            <v>A2AA</v>
          </cell>
          <cell r="E610" t="str">
            <v>ENI FAR</v>
          </cell>
          <cell r="G610">
            <v>23</v>
          </cell>
          <cell r="H610" t="str">
            <v>ENI FAR Mobilier et équipements complémentaires</v>
          </cell>
          <cell r="I610" t="str">
            <v>SNIEM</v>
          </cell>
          <cell r="K610" t="str">
            <v>IDA</v>
          </cell>
          <cell r="L610" t="str">
            <v>AOI</v>
          </cell>
          <cell r="P610">
            <v>0</v>
          </cell>
          <cell r="Q610" t="str">
            <v>forfait</v>
          </cell>
          <cell r="S610">
            <v>374662.23600000003</v>
          </cell>
          <cell r="T610">
            <v>1</v>
          </cell>
          <cell r="U610">
            <v>0</v>
          </cell>
          <cell r="V610">
            <v>0</v>
          </cell>
          <cell r="W610">
            <v>0</v>
          </cell>
          <cell r="X610">
            <v>0</v>
          </cell>
          <cell r="Y610">
            <v>0</v>
          </cell>
          <cell r="Z610">
            <v>0</v>
          </cell>
          <cell r="AA610">
            <v>0</v>
          </cell>
          <cell r="AB610">
            <v>0</v>
          </cell>
          <cell r="AC610">
            <v>0</v>
          </cell>
          <cell r="AD610">
            <v>0</v>
          </cell>
          <cell r="AE610">
            <v>0</v>
          </cell>
          <cell r="AF610">
            <v>0</v>
          </cell>
          <cell r="AH610">
            <v>0</v>
          </cell>
        </row>
        <row r="611">
          <cell r="B611" t="str">
            <v>ST/ETFP</v>
          </cell>
          <cell r="C611" t="str">
            <v>A2A</v>
          </cell>
          <cell r="D611" t="str">
            <v>A2AA</v>
          </cell>
          <cell r="E611" t="str">
            <v>ENI NZE</v>
          </cell>
          <cell r="G611">
            <v>23</v>
          </cell>
          <cell r="H611" t="str">
            <v>ENI NZE Mobilier et équipements complémentaires</v>
          </cell>
          <cell r="I611" t="str">
            <v>SNIEM</v>
          </cell>
          <cell r="K611" t="str">
            <v>IDA</v>
          </cell>
          <cell r="L611" t="str">
            <v>AOI</v>
          </cell>
          <cell r="P611">
            <v>0</v>
          </cell>
          <cell r="Q611" t="str">
            <v>forfait</v>
          </cell>
          <cell r="S611">
            <v>374662.23600000003</v>
          </cell>
          <cell r="T611">
            <v>1</v>
          </cell>
          <cell r="U611">
            <v>0</v>
          </cell>
          <cell r="V611">
            <v>0</v>
          </cell>
          <cell r="W611">
            <v>0</v>
          </cell>
          <cell r="X611">
            <v>0</v>
          </cell>
          <cell r="Y611">
            <v>0</v>
          </cell>
          <cell r="Z611">
            <v>0</v>
          </cell>
          <cell r="AA611">
            <v>0</v>
          </cell>
          <cell r="AB611">
            <v>0</v>
          </cell>
          <cell r="AC611">
            <v>0</v>
          </cell>
          <cell r="AD611">
            <v>0</v>
          </cell>
          <cell r="AE611">
            <v>0</v>
          </cell>
          <cell r="AF611">
            <v>0</v>
          </cell>
          <cell r="AH611">
            <v>0</v>
          </cell>
        </row>
        <row r="612">
          <cell r="B612" t="str">
            <v>ST/ETFP</v>
          </cell>
          <cell r="C612" t="str">
            <v>A2A</v>
          </cell>
          <cell r="D612" t="str">
            <v>A2AA</v>
          </cell>
          <cell r="E612" t="str">
            <v>ENI BOK</v>
          </cell>
          <cell r="G612">
            <v>23</v>
          </cell>
          <cell r="H612" t="str">
            <v>ENI BOK Livres de référence: 136 titres x 10exempl</v>
          </cell>
          <cell r="I612" t="str">
            <v>SNIEM</v>
          </cell>
          <cell r="K612" t="str">
            <v>IDA</v>
          </cell>
          <cell r="L612" t="str">
            <v>AOI</v>
          </cell>
          <cell r="P612">
            <v>0</v>
          </cell>
          <cell r="Q612" t="str">
            <v>u</v>
          </cell>
          <cell r="S612">
            <v>123.10000000000001</v>
          </cell>
          <cell r="T612">
            <v>1</v>
          </cell>
          <cell r="U612">
            <v>0</v>
          </cell>
          <cell r="V612">
            <v>0</v>
          </cell>
          <cell r="W612">
            <v>0</v>
          </cell>
          <cell r="X612">
            <v>0</v>
          </cell>
          <cell r="Y612">
            <v>0</v>
          </cell>
          <cell r="Z612">
            <v>0</v>
          </cell>
          <cell r="AA612">
            <v>0</v>
          </cell>
          <cell r="AB612">
            <v>0</v>
          </cell>
          <cell r="AC612">
            <v>0</v>
          </cell>
          <cell r="AD612">
            <v>0</v>
          </cell>
          <cell r="AE612">
            <v>0</v>
          </cell>
          <cell r="AF612">
            <v>0</v>
          </cell>
          <cell r="AH612">
            <v>0</v>
          </cell>
        </row>
        <row r="613">
          <cell r="B613" t="str">
            <v>ST/ETFP</v>
          </cell>
          <cell r="C613" t="str">
            <v>A2A</v>
          </cell>
          <cell r="D613" t="str">
            <v>A2AA</v>
          </cell>
          <cell r="E613" t="str">
            <v>ENI DUB</v>
          </cell>
          <cell r="G613">
            <v>23</v>
          </cell>
          <cell r="H613" t="str">
            <v>ENI DUB Livres de référence: 136 titres x 10exempl</v>
          </cell>
          <cell r="I613" t="str">
            <v>SNIEM</v>
          </cell>
          <cell r="K613" t="str">
            <v>IDA</v>
          </cell>
          <cell r="L613" t="str">
            <v>AOI</v>
          </cell>
          <cell r="P613">
            <v>0</v>
          </cell>
          <cell r="Q613" t="str">
            <v>u</v>
          </cell>
          <cell r="S613">
            <v>123.10000000000001</v>
          </cell>
          <cell r="T613">
            <v>1</v>
          </cell>
          <cell r="U613">
            <v>0</v>
          </cell>
          <cell r="V613">
            <v>0</v>
          </cell>
          <cell r="W613">
            <v>0</v>
          </cell>
          <cell r="X613">
            <v>0</v>
          </cell>
          <cell r="Y613">
            <v>0</v>
          </cell>
          <cell r="Z613">
            <v>0</v>
          </cell>
          <cell r="AA613">
            <v>0</v>
          </cell>
          <cell r="AB613">
            <v>0</v>
          </cell>
          <cell r="AC613">
            <v>0</v>
          </cell>
          <cell r="AD613">
            <v>0</v>
          </cell>
          <cell r="AE613">
            <v>0</v>
          </cell>
          <cell r="AF613">
            <v>0</v>
          </cell>
          <cell r="AH613">
            <v>0</v>
          </cell>
        </row>
        <row r="614">
          <cell r="B614" t="str">
            <v>ST/ETFP</v>
          </cell>
          <cell r="C614" t="str">
            <v>A2A</v>
          </cell>
          <cell r="D614" t="str">
            <v>A2AA</v>
          </cell>
          <cell r="E614" t="str">
            <v>ENI CKY</v>
          </cell>
          <cell r="G614">
            <v>23</v>
          </cell>
          <cell r="H614" t="str">
            <v>ENI CKY Livres de référence: 136 titres x 10exempl</v>
          </cell>
          <cell r="I614" t="str">
            <v>SNIEM</v>
          </cell>
          <cell r="K614" t="str">
            <v>IDA</v>
          </cell>
          <cell r="L614" t="str">
            <v>AOI</v>
          </cell>
          <cell r="P614">
            <v>0</v>
          </cell>
          <cell r="Q614" t="str">
            <v>u</v>
          </cell>
          <cell r="S614">
            <v>123.10000000000001</v>
          </cell>
          <cell r="T614">
            <v>1</v>
          </cell>
          <cell r="U614">
            <v>0</v>
          </cell>
          <cell r="V614">
            <v>0</v>
          </cell>
          <cell r="W614">
            <v>0</v>
          </cell>
          <cell r="X614">
            <v>0</v>
          </cell>
          <cell r="Y614">
            <v>0</v>
          </cell>
          <cell r="Z614">
            <v>0</v>
          </cell>
          <cell r="AA614">
            <v>0</v>
          </cell>
          <cell r="AB614">
            <v>0</v>
          </cell>
          <cell r="AC614">
            <v>0</v>
          </cell>
          <cell r="AD614">
            <v>0</v>
          </cell>
          <cell r="AE614">
            <v>0</v>
          </cell>
          <cell r="AF614">
            <v>0</v>
          </cell>
          <cell r="AH614">
            <v>0</v>
          </cell>
        </row>
        <row r="615">
          <cell r="B615" t="str">
            <v>ST/ETFP</v>
          </cell>
          <cell r="C615" t="str">
            <v>A2A</v>
          </cell>
          <cell r="D615" t="str">
            <v>A2AA</v>
          </cell>
          <cell r="E615" t="str">
            <v>ENI KIN</v>
          </cell>
          <cell r="G615">
            <v>23</v>
          </cell>
          <cell r="H615" t="str">
            <v>ENI KIN Livres de référence: 136 titres x 10exempl</v>
          </cell>
          <cell r="I615" t="str">
            <v>SNIEM</v>
          </cell>
          <cell r="K615" t="str">
            <v>IDA</v>
          </cell>
          <cell r="L615" t="str">
            <v>AOI</v>
          </cell>
          <cell r="P615">
            <v>0</v>
          </cell>
          <cell r="Q615" t="str">
            <v>u</v>
          </cell>
          <cell r="S615">
            <v>123.10000000000001</v>
          </cell>
          <cell r="T615">
            <v>1</v>
          </cell>
          <cell r="U615">
            <v>0</v>
          </cell>
          <cell r="V615">
            <v>0</v>
          </cell>
          <cell r="W615">
            <v>0</v>
          </cell>
          <cell r="X615">
            <v>0</v>
          </cell>
          <cell r="Y615">
            <v>0</v>
          </cell>
          <cell r="Z615">
            <v>0</v>
          </cell>
          <cell r="AA615">
            <v>0</v>
          </cell>
          <cell r="AB615">
            <v>0</v>
          </cell>
          <cell r="AC615">
            <v>0</v>
          </cell>
          <cell r="AD615">
            <v>0</v>
          </cell>
          <cell r="AE615">
            <v>0</v>
          </cell>
          <cell r="AF615">
            <v>0</v>
          </cell>
          <cell r="AH615">
            <v>0</v>
          </cell>
        </row>
        <row r="616">
          <cell r="B616" t="str">
            <v>ST/ETFP</v>
          </cell>
          <cell r="C616" t="str">
            <v>A2A</v>
          </cell>
          <cell r="D616" t="str">
            <v>A2AA</v>
          </cell>
          <cell r="E616" t="str">
            <v>ENI LAB</v>
          </cell>
          <cell r="G616">
            <v>23</v>
          </cell>
          <cell r="H616" t="str">
            <v>ENI LAB Livres de référence: 136 titres x 10exempl</v>
          </cell>
          <cell r="I616" t="str">
            <v>SNIEM</v>
          </cell>
          <cell r="K616" t="str">
            <v>IDA</v>
          </cell>
          <cell r="L616" t="str">
            <v>AOI</v>
          </cell>
          <cell r="P616">
            <v>0</v>
          </cell>
          <cell r="Q616" t="str">
            <v>u</v>
          </cell>
          <cell r="S616">
            <v>123.10000000000001</v>
          </cell>
          <cell r="T616">
            <v>1</v>
          </cell>
          <cell r="U616">
            <v>0</v>
          </cell>
          <cell r="V616">
            <v>0</v>
          </cell>
          <cell r="W616">
            <v>0</v>
          </cell>
          <cell r="X616">
            <v>0</v>
          </cell>
          <cell r="Y616">
            <v>0</v>
          </cell>
          <cell r="Z616">
            <v>0</v>
          </cell>
          <cell r="AA616">
            <v>0</v>
          </cell>
          <cell r="AB616">
            <v>0</v>
          </cell>
          <cell r="AC616">
            <v>0</v>
          </cell>
          <cell r="AD616">
            <v>0</v>
          </cell>
          <cell r="AE616">
            <v>0</v>
          </cell>
          <cell r="AF616">
            <v>0</v>
          </cell>
          <cell r="AH616">
            <v>0</v>
          </cell>
        </row>
        <row r="617">
          <cell r="B617" t="str">
            <v>ST/ETFP</v>
          </cell>
          <cell r="C617" t="str">
            <v>A2A</v>
          </cell>
          <cell r="D617" t="str">
            <v>A2AA</v>
          </cell>
          <cell r="E617" t="str">
            <v>ENI KAN</v>
          </cell>
          <cell r="G617">
            <v>23</v>
          </cell>
          <cell r="H617" t="str">
            <v>ENI KAN Livres de référence: 136 titres x 10exempl</v>
          </cell>
          <cell r="I617" t="str">
            <v>SNIEM</v>
          </cell>
          <cell r="K617" t="str">
            <v>IDA</v>
          </cell>
          <cell r="L617" t="str">
            <v>AOI</v>
          </cell>
          <cell r="P617">
            <v>0</v>
          </cell>
          <cell r="Q617" t="str">
            <v>u</v>
          </cell>
          <cell r="S617">
            <v>123.10000000000001</v>
          </cell>
          <cell r="T617">
            <v>1</v>
          </cell>
          <cell r="U617">
            <v>0</v>
          </cell>
          <cell r="V617">
            <v>0</v>
          </cell>
          <cell r="W617">
            <v>0</v>
          </cell>
          <cell r="X617">
            <v>0</v>
          </cell>
          <cell r="Y617">
            <v>0</v>
          </cell>
          <cell r="Z617">
            <v>0</v>
          </cell>
          <cell r="AA617">
            <v>0</v>
          </cell>
          <cell r="AB617">
            <v>0</v>
          </cell>
          <cell r="AC617">
            <v>0</v>
          </cell>
          <cell r="AD617">
            <v>0</v>
          </cell>
          <cell r="AE617">
            <v>0</v>
          </cell>
          <cell r="AF617">
            <v>0</v>
          </cell>
          <cell r="AH617">
            <v>0</v>
          </cell>
        </row>
        <row r="618">
          <cell r="B618" t="str">
            <v>ST/ETFP</v>
          </cell>
          <cell r="C618" t="str">
            <v>A2A</v>
          </cell>
          <cell r="D618" t="str">
            <v>A2AA</v>
          </cell>
          <cell r="E618" t="str">
            <v>ENI FAR</v>
          </cell>
          <cell r="G618">
            <v>23</v>
          </cell>
          <cell r="H618" t="str">
            <v>ENI FAR Livres de référence: 136 titres x 10exempl</v>
          </cell>
          <cell r="I618" t="str">
            <v>SNIEM</v>
          </cell>
          <cell r="K618" t="str">
            <v>IDA</v>
          </cell>
          <cell r="L618" t="str">
            <v>AOI</v>
          </cell>
          <cell r="P618">
            <v>0</v>
          </cell>
          <cell r="Q618" t="str">
            <v>u</v>
          </cell>
          <cell r="S618">
            <v>123.10000000000001</v>
          </cell>
          <cell r="T618">
            <v>1</v>
          </cell>
          <cell r="U618">
            <v>0</v>
          </cell>
          <cell r="V618">
            <v>0</v>
          </cell>
          <cell r="W618">
            <v>0</v>
          </cell>
          <cell r="X618">
            <v>0</v>
          </cell>
          <cell r="Y618">
            <v>0</v>
          </cell>
          <cell r="Z618">
            <v>0</v>
          </cell>
          <cell r="AA618">
            <v>0</v>
          </cell>
          <cell r="AB618">
            <v>0</v>
          </cell>
          <cell r="AC618">
            <v>0</v>
          </cell>
          <cell r="AD618">
            <v>0</v>
          </cell>
          <cell r="AE618">
            <v>0</v>
          </cell>
          <cell r="AF618">
            <v>0</v>
          </cell>
          <cell r="AH618">
            <v>0</v>
          </cell>
        </row>
        <row r="619">
          <cell r="B619" t="str">
            <v>ST/ETFP</v>
          </cell>
          <cell r="C619" t="str">
            <v>A2A</v>
          </cell>
          <cell r="D619" t="str">
            <v>A2AA</v>
          </cell>
          <cell r="E619" t="str">
            <v>ENI NZE</v>
          </cell>
          <cell r="G619">
            <v>23</v>
          </cell>
          <cell r="H619" t="str">
            <v>ENI NZE Livres de référence: 136 titres x 10exempl</v>
          </cell>
          <cell r="I619" t="str">
            <v>SNIEM</v>
          </cell>
          <cell r="K619" t="str">
            <v>IDA</v>
          </cell>
          <cell r="L619" t="str">
            <v>AOI</v>
          </cell>
          <cell r="P619">
            <v>0</v>
          </cell>
          <cell r="Q619" t="str">
            <v>u</v>
          </cell>
          <cell r="S619">
            <v>123.10000000000001</v>
          </cell>
          <cell r="T619">
            <v>1</v>
          </cell>
          <cell r="U619">
            <v>0</v>
          </cell>
          <cell r="V619">
            <v>0</v>
          </cell>
          <cell r="W619">
            <v>0</v>
          </cell>
          <cell r="X619">
            <v>0</v>
          </cell>
          <cell r="Y619">
            <v>0</v>
          </cell>
          <cell r="Z619">
            <v>0</v>
          </cell>
          <cell r="AA619">
            <v>0</v>
          </cell>
          <cell r="AB619">
            <v>0</v>
          </cell>
          <cell r="AC619">
            <v>0</v>
          </cell>
          <cell r="AD619">
            <v>0</v>
          </cell>
          <cell r="AE619">
            <v>0</v>
          </cell>
          <cell r="AF619">
            <v>0</v>
          </cell>
          <cell r="AH619">
            <v>0</v>
          </cell>
        </row>
        <row r="620">
          <cell r="B620" t="str">
            <v>ST/ETFP</v>
          </cell>
          <cell r="C620" t="str">
            <v>A2A</v>
          </cell>
          <cell r="D620" t="str">
            <v>A2AA</v>
          </cell>
          <cell r="E620" t="str">
            <v>DNFPP</v>
          </cell>
          <cell r="G620">
            <v>23</v>
          </cell>
          <cell r="H620" t="str">
            <v>DNFPP Livres de référence: 136 titres x 10exempl</v>
          </cell>
          <cell r="I620" t="str">
            <v>SNIEM</v>
          </cell>
          <cell r="K620" t="str">
            <v>IDA</v>
          </cell>
          <cell r="L620" t="str">
            <v>AOI</v>
          </cell>
          <cell r="P620">
            <v>0</v>
          </cell>
          <cell r="Q620" t="str">
            <v>u</v>
          </cell>
          <cell r="S620">
            <v>123.10000000000001</v>
          </cell>
          <cell r="T620">
            <v>1</v>
          </cell>
          <cell r="U620">
            <v>0</v>
          </cell>
          <cell r="V620">
            <v>0</v>
          </cell>
          <cell r="W620">
            <v>0</v>
          </cell>
          <cell r="X620">
            <v>0</v>
          </cell>
          <cell r="Y620">
            <v>0</v>
          </cell>
          <cell r="Z620">
            <v>0</v>
          </cell>
          <cell r="AA620">
            <v>0</v>
          </cell>
          <cell r="AB620">
            <v>0</v>
          </cell>
          <cell r="AC620">
            <v>0</v>
          </cell>
          <cell r="AD620">
            <v>0</v>
          </cell>
          <cell r="AE620">
            <v>0</v>
          </cell>
          <cell r="AF620">
            <v>0</v>
          </cell>
          <cell r="AH620">
            <v>0</v>
          </cell>
        </row>
        <row r="621">
          <cell r="B621" t="str">
            <v>ST/ETFP</v>
          </cell>
          <cell r="C621" t="str">
            <v>A2A</v>
          </cell>
          <cell r="D621" t="str">
            <v>A2AA</v>
          </cell>
          <cell r="E621" t="str">
            <v>INRAP</v>
          </cell>
          <cell r="G621">
            <v>23</v>
          </cell>
          <cell r="H621" t="str">
            <v>INRAP Livres de référence: 135 titres x 10exempl</v>
          </cell>
          <cell r="I621" t="str">
            <v>SNIEM</v>
          </cell>
          <cell r="K621" t="str">
            <v>IDA</v>
          </cell>
          <cell r="L621" t="str">
            <v>AOI</v>
          </cell>
          <cell r="P621">
            <v>0</v>
          </cell>
          <cell r="Q621" t="str">
            <v>u</v>
          </cell>
          <cell r="S621">
            <v>123.10000000000001</v>
          </cell>
          <cell r="T621">
            <v>1</v>
          </cell>
          <cell r="U621">
            <v>0</v>
          </cell>
          <cell r="V621">
            <v>0</v>
          </cell>
          <cell r="W621">
            <v>0</v>
          </cell>
          <cell r="X621">
            <v>0</v>
          </cell>
          <cell r="Y621">
            <v>0</v>
          </cell>
          <cell r="Z621">
            <v>0</v>
          </cell>
          <cell r="AA621">
            <v>0</v>
          </cell>
          <cell r="AB621">
            <v>0</v>
          </cell>
          <cell r="AC621">
            <v>0</v>
          </cell>
          <cell r="AD621">
            <v>0</v>
          </cell>
          <cell r="AE621">
            <v>0</v>
          </cell>
          <cell r="AF621">
            <v>0</v>
          </cell>
          <cell r="AH621">
            <v>0</v>
          </cell>
        </row>
        <row r="622">
          <cell r="B622" t="str">
            <v>ST/ETFP</v>
          </cell>
          <cell r="C622" t="str">
            <v>A2A</v>
          </cell>
          <cell r="D622" t="str">
            <v>A2AA</v>
          </cell>
          <cell r="E622" t="str">
            <v>ISSEG</v>
          </cell>
          <cell r="G622">
            <v>23</v>
          </cell>
          <cell r="H622" t="str">
            <v>ISSEG Livres de référence: 136 titres x 10exempl</v>
          </cell>
          <cell r="I622" t="str">
            <v>SNIEM</v>
          </cell>
          <cell r="K622" t="str">
            <v>IDA</v>
          </cell>
          <cell r="L622" t="str">
            <v>AOI</v>
          </cell>
          <cell r="P622">
            <v>0</v>
          </cell>
          <cell r="Q622" t="str">
            <v>u</v>
          </cell>
          <cell r="S622">
            <v>123.10000000000001</v>
          </cell>
          <cell r="T622">
            <v>1</v>
          </cell>
          <cell r="U622">
            <v>0</v>
          </cell>
          <cell r="V622">
            <v>0</v>
          </cell>
          <cell r="W622">
            <v>0</v>
          </cell>
          <cell r="X622">
            <v>0</v>
          </cell>
          <cell r="Y622">
            <v>0</v>
          </cell>
          <cell r="Z622">
            <v>0</v>
          </cell>
          <cell r="AA622">
            <v>0</v>
          </cell>
          <cell r="AB622">
            <v>0</v>
          </cell>
          <cell r="AC622">
            <v>0</v>
          </cell>
          <cell r="AD622">
            <v>0</v>
          </cell>
          <cell r="AE622">
            <v>0</v>
          </cell>
          <cell r="AF622">
            <v>0</v>
          </cell>
          <cell r="AH622">
            <v>0</v>
          </cell>
        </row>
        <row r="623">
          <cell r="B623" t="str">
            <v>ST/ETFP</v>
          </cell>
          <cell r="C623" t="str">
            <v>A2A</v>
          </cell>
          <cell r="D623" t="str">
            <v>A2AA</v>
          </cell>
          <cell r="E623" t="str">
            <v>ENI BOK</v>
          </cell>
          <cell r="G623">
            <v>23</v>
          </cell>
          <cell r="H623" t="str">
            <v>ENI BOK Mallettes pédagogiques pour les élèves maîtres entrants</v>
          </cell>
          <cell r="I623" t="str">
            <v>SNIEM</v>
          </cell>
          <cell r="K623" t="str">
            <v>IDA</v>
          </cell>
          <cell r="L623" t="str">
            <v>AOI</v>
          </cell>
          <cell r="P623">
            <v>0</v>
          </cell>
          <cell r="Q623" t="str">
            <v>forfait</v>
          </cell>
          <cell r="S623">
            <v>34075.311000000002</v>
          </cell>
          <cell r="T623">
            <v>1</v>
          </cell>
          <cell r="U623">
            <v>0</v>
          </cell>
          <cell r="V623">
            <v>0</v>
          </cell>
          <cell r="W623">
            <v>0</v>
          </cell>
          <cell r="X623">
            <v>0</v>
          </cell>
          <cell r="Y623">
            <v>0</v>
          </cell>
          <cell r="Z623">
            <v>0</v>
          </cell>
          <cell r="AA623">
            <v>0</v>
          </cell>
          <cell r="AB623">
            <v>0</v>
          </cell>
          <cell r="AC623">
            <v>0</v>
          </cell>
          <cell r="AD623">
            <v>0</v>
          </cell>
          <cell r="AE623">
            <v>0</v>
          </cell>
          <cell r="AF623">
            <v>0</v>
          </cell>
          <cell r="AH623">
            <v>0</v>
          </cell>
        </row>
        <row r="624">
          <cell r="B624" t="str">
            <v>ST/ETFP</v>
          </cell>
          <cell r="C624" t="str">
            <v>A2A</v>
          </cell>
          <cell r="D624" t="str">
            <v>A2AA</v>
          </cell>
          <cell r="E624" t="str">
            <v>ENI DUB</v>
          </cell>
          <cell r="G624">
            <v>23</v>
          </cell>
          <cell r="H624" t="str">
            <v>ENI DUB Mallettes pédagogiques pour les élèves maîtres entrants</v>
          </cell>
          <cell r="I624" t="str">
            <v>SNIEM</v>
          </cell>
          <cell r="K624" t="str">
            <v>IDA</v>
          </cell>
          <cell r="L624" t="str">
            <v>AOI</v>
          </cell>
          <cell r="P624">
            <v>0</v>
          </cell>
          <cell r="Q624" t="str">
            <v>forfait</v>
          </cell>
          <cell r="S624">
            <v>34075.311000000002</v>
          </cell>
          <cell r="T624">
            <v>1</v>
          </cell>
          <cell r="U624">
            <v>0</v>
          </cell>
          <cell r="V624">
            <v>0</v>
          </cell>
          <cell r="W624">
            <v>0</v>
          </cell>
          <cell r="X624">
            <v>0</v>
          </cell>
          <cell r="Y624">
            <v>0</v>
          </cell>
          <cell r="Z624">
            <v>0</v>
          </cell>
          <cell r="AA624">
            <v>0</v>
          </cell>
          <cell r="AB624">
            <v>0</v>
          </cell>
          <cell r="AC624">
            <v>0</v>
          </cell>
          <cell r="AD624">
            <v>0</v>
          </cell>
          <cell r="AE624">
            <v>0</v>
          </cell>
          <cell r="AF624">
            <v>0</v>
          </cell>
          <cell r="AH624">
            <v>0</v>
          </cell>
        </row>
        <row r="625">
          <cell r="B625" t="str">
            <v>ST/ETFP</v>
          </cell>
          <cell r="C625" t="str">
            <v>A2A</v>
          </cell>
          <cell r="D625" t="str">
            <v>A2AA</v>
          </cell>
          <cell r="E625" t="str">
            <v>ENI CKY</v>
          </cell>
          <cell r="G625">
            <v>23</v>
          </cell>
          <cell r="H625" t="str">
            <v>ENI CKY Mallettes pédagogiques pour les élèves maîtres entrants</v>
          </cell>
          <cell r="I625" t="str">
            <v>SNIEM</v>
          </cell>
          <cell r="K625" t="str">
            <v>IDA</v>
          </cell>
          <cell r="L625" t="str">
            <v>AOI</v>
          </cell>
          <cell r="P625">
            <v>0</v>
          </cell>
          <cell r="Q625" t="str">
            <v>forfait</v>
          </cell>
          <cell r="S625">
            <v>34075.311000000002</v>
          </cell>
          <cell r="T625">
            <v>1</v>
          </cell>
          <cell r="U625">
            <v>0</v>
          </cell>
          <cell r="V625">
            <v>0</v>
          </cell>
          <cell r="W625">
            <v>0</v>
          </cell>
          <cell r="X625">
            <v>0</v>
          </cell>
          <cell r="Y625">
            <v>0</v>
          </cell>
          <cell r="Z625">
            <v>0</v>
          </cell>
          <cell r="AA625">
            <v>0</v>
          </cell>
          <cell r="AB625">
            <v>0</v>
          </cell>
          <cell r="AC625">
            <v>0</v>
          </cell>
          <cell r="AD625">
            <v>0</v>
          </cell>
          <cell r="AE625">
            <v>0</v>
          </cell>
          <cell r="AF625">
            <v>0</v>
          </cell>
          <cell r="AH625">
            <v>0</v>
          </cell>
        </row>
        <row r="626">
          <cell r="B626" t="str">
            <v>ST/ETFP</v>
          </cell>
          <cell r="C626" t="str">
            <v>A2A</v>
          </cell>
          <cell r="D626" t="str">
            <v>A2AA</v>
          </cell>
          <cell r="E626" t="str">
            <v>ENI KIN</v>
          </cell>
          <cell r="G626">
            <v>23</v>
          </cell>
          <cell r="H626" t="str">
            <v>ENI KIN Mallettes pédagogiques pour les élèves maîtres entrants</v>
          </cell>
          <cell r="I626" t="str">
            <v>SNIEM</v>
          </cell>
          <cell r="K626" t="str">
            <v>IDA</v>
          </cell>
          <cell r="L626" t="str">
            <v>AOI</v>
          </cell>
          <cell r="P626">
            <v>0</v>
          </cell>
          <cell r="Q626" t="str">
            <v>forfait</v>
          </cell>
          <cell r="S626">
            <v>34075.311000000002</v>
          </cell>
          <cell r="T626">
            <v>1</v>
          </cell>
          <cell r="U626">
            <v>0</v>
          </cell>
          <cell r="V626">
            <v>0</v>
          </cell>
          <cell r="W626">
            <v>0</v>
          </cell>
          <cell r="X626">
            <v>0</v>
          </cell>
          <cell r="Y626">
            <v>0</v>
          </cell>
          <cell r="Z626">
            <v>0</v>
          </cell>
          <cell r="AA626">
            <v>0</v>
          </cell>
          <cell r="AB626">
            <v>0</v>
          </cell>
          <cell r="AC626">
            <v>0</v>
          </cell>
          <cell r="AD626">
            <v>0</v>
          </cell>
          <cell r="AE626">
            <v>0</v>
          </cell>
          <cell r="AF626">
            <v>0</v>
          </cell>
          <cell r="AH626">
            <v>0</v>
          </cell>
        </row>
        <row r="627">
          <cell r="B627" t="str">
            <v>ST/ETFP</v>
          </cell>
          <cell r="C627" t="str">
            <v>A2A</v>
          </cell>
          <cell r="D627" t="str">
            <v>A2AA</v>
          </cell>
          <cell r="E627" t="str">
            <v>ENI LAB</v>
          </cell>
          <cell r="G627">
            <v>23</v>
          </cell>
          <cell r="H627" t="str">
            <v>ENI LAB Mallettes pédagogiques pour les élèves maîtres entrants</v>
          </cell>
          <cell r="I627" t="str">
            <v>SNIEM</v>
          </cell>
          <cell r="K627" t="str">
            <v>IDA</v>
          </cell>
          <cell r="L627" t="str">
            <v>AOI</v>
          </cell>
          <cell r="P627">
            <v>0</v>
          </cell>
          <cell r="Q627" t="str">
            <v>forfait</v>
          </cell>
          <cell r="S627">
            <v>34075.311000000002</v>
          </cell>
          <cell r="T627">
            <v>1</v>
          </cell>
          <cell r="U627">
            <v>0</v>
          </cell>
          <cell r="V627">
            <v>0</v>
          </cell>
          <cell r="W627">
            <v>0</v>
          </cell>
          <cell r="X627">
            <v>0</v>
          </cell>
          <cell r="Y627">
            <v>0</v>
          </cell>
          <cell r="Z627">
            <v>0</v>
          </cell>
          <cell r="AA627">
            <v>0</v>
          </cell>
          <cell r="AB627">
            <v>0</v>
          </cell>
          <cell r="AC627">
            <v>0</v>
          </cell>
          <cell r="AD627">
            <v>0</v>
          </cell>
          <cell r="AE627">
            <v>0</v>
          </cell>
          <cell r="AF627">
            <v>0</v>
          </cell>
          <cell r="AH627">
            <v>0</v>
          </cell>
        </row>
        <row r="628">
          <cell r="B628" t="str">
            <v>ST/ETFP</v>
          </cell>
          <cell r="C628" t="str">
            <v>A2A</v>
          </cell>
          <cell r="D628" t="str">
            <v>A2AA</v>
          </cell>
          <cell r="E628" t="str">
            <v>ENI KAN</v>
          </cell>
          <cell r="G628">
            <v>23</v>
          </cell>
          <cell r="H628" t="str">
            <v>ENI KAN Mallettes pédagogiques pour les élèves maîtres entrants</v>
          </cell>
          <cell r="I628" t="str">
            <v>SNIEM</v>
          </cell>
          <cell r="K628" t="str">
            <v>IDA</v>
          </cell>
          <cell r="L628" t="str">
            <v>AOI</v>
          </cell>
          <cell r="P628">
            <v>0</v>
          </cell>
          <cell r="Q628" t="str">
            <v>forfait</v>
          </cell>
          <cell r="S628">
            <v>34075.311000000002</v>
          </cell>
          <cell r="T628">
            <v>1</v>
          </cell>
          <cell r="U628">
            <v>0</v>
          </cell>
          <cell r="V628">
            <v>0</v>
          </cell>
          <cell r="W628">
            <v>0</v>
          </cell>
          <cell r="X628">
            <v>0</v>
          </cell>
          <cell r="Y628">
            <v>0</v>
          </cell>
          <cell r="Z628">
            <v>0</v>
          </cell>
          <cell r="AA628">
            <v>0</v>
          </cell>
          <cell r="AB628">
            <v>0</v>
          </cell>
          <cell r="AC628">
            <v>0</v>
          </cell>
          <cell r="AD628">
            <v>0</v>
          </cell>
          <cell r="AE628">
            <v>0</v>
          </cell>
          <cell r="AF628">
            <v>0</v>
          </cell>
          <cell r="AH628">
            <v>0</v>
          </cell>
        </row>
        <row r="629">
          <cell r="B629" t="str">
            <v>ST/ETFP</v>
          </cell>
          <cell r="C629" t="str">
            <v>A2A</v>
          </cell>
          <cell r="D629" t="str">
            <v>A2AA</v>
          </cell>
          <cell r="E629" t="str">
            <v>ENI FAR</v>
          </cell>
          <cell r="G629">
            <v>23</v>
          </cell>
          <cell r="H629" t="str">
            <v>ENI FAR Mallettes pédagogiques pour les élèves maîtres entrants</v>
          </cell>
          <cell r="I629" t="str">
            <v>SNIEM</v>
          </cell>
          <cell r="K629" t="str">
            <v>IDA</v>
          </cell>
          <cell r="L629" t="str">
            <v>AOI</v>
          </cell>
          <cell r="P629">
            <v>0</v>
          </cell>
          <cell r="Q629" t="str">
            <v>forfait</v>
          </cell>
          <cell r="S629">
            <v>34075.311000000002</v>
          </cell>
          <cell r="T629">
            <v>1</v>
          </cell>
          <cell r="U629">
            <v>0</v>
          </cell>
          <cell r="V629">
            <v>0</v>
          </cell>
          <cell r="W629">
            <v>0</v>
          </cell>
          <cell r="X629">
            <v>0</v>
          </cell>
          <cell r="Y629">
            <v>0</v>
          </cell>
          <cell r="Z629">
            <v>0</v>
          </cell>
          <cell r="AA629">
            <v>0</v>
          </cell>
          <cell r="AB629">
            <v>0</v>
          </cell>
          <cell r="AC629">
            <v>0</v>
          </cell>
          <cell r="AD629">
            <v>0</v>
          </cell>
          <cell r="AE629">
            <v>0</v>
          </cell>
          <cell r="AF629">
            <v>0</v>
          </cell>
          <cell r="AH629">
            <v>0</v>
          </cell>
        </row>
        <row r="630">
          <cell r="B630" t="str">
            <v>ST/ETFP</v>
          </cell>
          <cell r="C630" t="str">
            <v>A2A</v>
          </cell>
          <cell r="D630" t="str">
            <v>A2AA</v>
          </cell>
          <cell r="E630" t="str">
            <v>ENI NZE</v>
          </cell>
          <cell r="G630">
            <v>23</v>
          </cell>
          <cell r="H630" t="str">
            <v>ENI NZE Mallettes pédagogiques pour les élèves maîtres entrants</v>
          </cell>
          <cell r="I630" t="str">
            <v>SNIEM</v>
          </cell>
          <cell r="K630" t="str">
            <v>IDA</v>
          </cell>
          <cell r="L630" t="str">
            <v>AOI</v>
          </cell>
          <cell r="P630">
            <v>0</v>
          </cell>
          <cell r="Q630" t="str">
            <v>forfait</v>
          </cell>
          <cell r="S630">
            <v>34075.311000000002</v>
          </cell>
          <cell r="T630">
            <v>1</v>
          </cell>
          <cell r="U630">
            <v>0</v>
          </cell>
          <cell r="V630">
            <v>0</v>
          </cell>
          <cell r="W630">
            <v>0</v>
          </cell>
          <cell r="X630">
            <v>0</v>
          </cell>
          <cell r="Y630">
            <v>0</v>
          </cell>
          <cell r="Z630">
            <v>0</v>
          </cell>
          <cell r="AA630">
            <v>0</v>
          </cell>
          <cell r="AB630">
            <v>0</v>
          </cell>
          <cell r="AC630">
            <v>0</v>
          </cell>
          <cell r="AD630">
            <v>0</v>
          </cell>
          <cell r="AE630">
            <v>0</v>
          </cell>
          <cell r="AF630">
            <v>0</v>
          </cell>
          <cell r="AH630">
            <v>0</v>
          </cell>
        </row>
        <row r="631">
          <cell r="B631" t="str">
            <v>ST/ETFP</v>
          </cell>
          <cell r="C631" t="str">
            <v>A2C</v>
          </cell>
          <cell r="D631" t="str">
            <v>A2CC</v>
          </cell>
          <cell r="E631" t="str">
            <v>SNIEM</v>
          </cell>
          <cell r="G631">
            <v>25</v>
          </cell>
          <cell r="H631" t="str">
            <v>BET travaux complémentaires</v>
          </cell>
          <cell r="I631" t="str">
            <v>SNIEM</v>
          </cell>
          <cell r="K631" t="str">
            <v>IDA</v>
          </cell>
          <cell r="L631" t="str">
            <v>LR</v>
          </cell>
          <cell r="P631">
            <v>0</v>
          </cell>
          <cell r="Q631">
            <v>0.08</v>
          </cell>
          <cell r="S631">
            <v>296606.98800000001</v>
          </cell>
          <cell r="T631">
            <v>1</v>
          </cell>
          <cell r="U631">
            <v>0</v>
          </cell>
          <cell r="V631">
            <v>0</v>
          </cell>
          <cell r="W631">
            <v>0</v>
          </cell>
          <cell r="X631">
            <v>0</v>
          </cell>
          <cell r="Y631">
            <v>0</v>
          </cell>
          <cell r="Z631">
            <v>0</v>
          </cell>
          <cell r="AA631">
            <v>0</v>
          </cell>
          <cell r="AB631">
            <v>0</v>
          </cell>
          <cell r="AC631">
            <v>0</v>
          </cell>
          <cell r="AD631">
            <v>0</v>
          </cell>
          <cell r="AE631">
            <v>0</v>
          </cell>
          <cell r="AF631">
            <v>0</v>
          </cell>
          <cell r="AH631">
            <v>0</v>
          </cell>
        </row>
        <row r="632">
          <cell r="B632" t="str">
            <v>ST/ETFP</v>
          </cell>
          <cell r="C632" t="str">
            <v>A2A</v>
          </cell>
          <cell r="D632" t="str">
            <v>A2AA</v>
          </cell>
          <cell r="E632" t="str">
            <v>ENI BOK</v>
          </cell>
          <cell r="G632">
            <v>22</v>
          </cell>
          <cell r="H632" t="str">
            <v>ENI BOK Travaux complémentaires</v>
          </cell>
          <cell r="I632" t="str">
            <v>SNIEM</v>
          </cell>
          <cell r="K632" t="str">
            <v>IDA</v>
          </cell>
          <cell r="L632" t="str">
            <v>AON</v>
          </cell>
          <cell r="P632">
            <v>0</v>
          </cell>
          <cell r="Q632" t="str">
            <v>lot</v>
          </cell>
          <cell r="S632">
            <v>552226.48315140209</v>
          </cell>
          <cell r="T632">
            <v>0.8</v>
          </cell>
          <cell r="U632">
            <v>0</v>
          </cell>
          <cell r="V632">
            <v>0</v>
          </cell>
          <cell r="W632">
            <v>0</v>
          </cell>
          <cell r="X632">
            <v>0</v>
          </cell>
          <cell r="Y632">
            <v>0</v>
          </cell>
          <cell r="Z632">
            <v>0</v>
          </cell>
          <cell r="AA632">
            <v>0</v>
          </cell>
          <cell r="AB632">
            <v>0</v>
          </cell>
          <cell r="AC632">
            <v>0</v>
          </cell>
          <cell r="AD632">
            <v>0</v>
          </cell>
          <cell r="AE632">
            <v>0</v>
          </cell>
          <cell r="AF632">
            <v>0</v>
          </cell>
          <cell r="AH632">
            <v>0</v>
          </cell>
        </row>
        <row r="633">
          <cell r="B633" t="str">
            <v>ST/ETFP</v>
          </cell>
          <cell r="C633" t="str">
            <v>A2A</v>
          </cell>
          <cell r="D633" t="str">
            <v>A2AA</v>
          </cell>
          <cell r="E633" t="str">
            <v>ENI DUB</v>
          </cell>
          <cell r="G633">
            <v>22</v>
          </cell>
          <cell r="H633" t="str">
            <v>ENI CKY Travaux complémentaires</v>
          </cell>
          <cell r="I633" t="str">
            <v>SNIEM</v>
          </cell>
          <cell r="K633" t="str">
            <v>IDA</v>
          </cell>
          <cell r="L633" t="str">
            <v>AON</v>
          </cell>
          <cell r="P633">
            <v>0</v>
          </cell>
          <cell r="Q633" t="str">
            <v>lot</v>
          </cell>
          <cell r="S633">
            <v>35054.579971523475</v>
          </cell>
          <cell r="T633">
            <v>0.8</v>
          </cell>
          <cell r="U633">
            <v>0</v>
          </cell>
          <cell r="V633">
            <v>0</v>
          </cell>
          <cell r="W633">
            <v>0</v>
          </cell>
          <cell r="X633">
            <v>0</v>
          </cell>
          <cell r="Y633">
            <v>0</v>
          </cell>
          <cell r="Z633">
            <v>0</v>
          </cell>
          <cell r="AA633">
            <v>0</v>
          </cell>
          <cell r="AB633">
            <v>0</v>
          </cell>
          <cell r="AC633">
            <v>0</v>
          </cell>
          <cell r="AD633">
            <v>0</v>
          </cell>
          <cell r="AE633">
            <v>0</v>
          </cell>
          <cell r="AF633">
            <v>0</v>
          </cell>
          <cell r="AH633">
            <v>0</v>
          </cell>
        </row>
        <row r="634">
          <cell r="B634" t="str">
            <v>ST/ETFP</v>
          </cell>
          <cell r="C634" t="str">
            <v>A2A</v>
          </cell>
          <cell r="D634" t="str">
            <v>A2AA</v>
          </cell>
          <cell r="E634" t="str">
            <v>ENI CKY</v>
          </cell>
          <cell r="G634">
            <v>22</v>
          </cell>
          <cell r="H634" t="str">
            <v>ENI DUB Travaux complémentaires</v>
          </cell>
          <cell r="I634" t="str">
            <v>SNIEM</v>
          </cell>
          <cell r="K634" t="str">
            <v>IDA</v>
          </cell>
          <cell r="L634" t="str">
            <v>AON</v>
          </cell>
          <cell r="P634">
            <v>0</v>
          </cell>
          <cell r="Q634" t="str">
            <v>lot</v>
          </cell>
          <cell r="S634">
            <v>552226.48315140209</v>
          </cell>
          <cell r="T634">
            <v>0.8</v>
          </cell>
          <cell r="U634">
            <v>0</v>
          </cell>
          <cell r="V634">
            <v>0</v>
          </cell>
          <cell r="W634">
            <v>0</v>
          </cell>
          <cell r="X634">
            <v>0</v>
          </cell>
          <cell r="Y634">
            <v>0</v>
          </cell>
          <cell r="Z634">
            <v>0</v>
          </cell>
          <cell r="AA634">
            <v>0</v>
          </cell>
          <cell r="AB634">
            <v>0</v>
          </cell>
          <cell r="AC634">
            <v>0</v>
          </cell>
          <cell r="AD634">
            <v>0</v>
          </cell>
          <cell r="AE634">
            <v>0</v>
          </cell>
          <cell r="AF634">
            <v>0</v>
          </cell>
          <cell r="AH634">
            <v>0</v>
          </cell>
        </row>
        <row r="635">
          <cell r="B635" t="str">
            <v>ST/ETFP</v>
          </cell>
          <cell r="C635" t="str">
            <v>A2A</v>
          </cell>
          <cell r="D635" t="str">
            <v>A2AA</v>
          </cell>
          <cell r="E635" t="str">
            <v>ENI KIN</v>
          </cell>
          <cell r="G635">
            <v>22</v>
          </cell>
          <cell r="H635" t="str">
            <v>ENI FAR Travaux complémentaires</v>
          </cell>
          <cell r="I635" t="str">
            <v>SNIEM</v>
          </cell>
          <cell r="K635" t="str">
            <v>IDA</v>
          </cell>
          <cell r="L635" t="str">
            <v>AON</v>
          </cell>
          <cell r="P635">
            <v>0</v>
          </cell>
          <cell r="Q635" t="str">
            <v>lot</v>
          </cell>
          <cell r="S635">
            <v>552226.48315140209</v>
          </cell>
          <cell r="T635">
            <v>0.8</v>
          </cell>
          <cell r="U635">
            <v>0</v>
          </cell>
          <cell r="V635">
            <v>0</v>
          </cell>
          <cell r="W635">
            <v>0</v>
          </cell>
          <cell r="X635">
            <v>0</v>
          </cell>
          <cell r="Y635">
            <v>0</v>
          </cell>
          <cell r="Z635">
            <v>0</v>
          </cell>
          <cell r="AA635">
            <v>0</v>
          </cell>
          <cell r="AB635">
            <v>0</v>
          </cell>
          <cell r="AC635">
            <v>0</v>
          </cell>
          <cell r="AD635">
            <v>0</v>
          </cell>
          <cell r="AE635">
            <v>0</v>
          </cell>
          <cell r="AF635">
            <v>0</v>
          </cell>
          <cell r="AH635">
            <v>0</v>
          </cell>
        </row>
        <row r="636">
          <cell r="B636" t="str">
            <v>ST/ETFP</v>
          </cell>
          <cell r="C636" t="str">
            <v>A2A</v>
          </cell>
          <cell r="D636" t="str">
            <v>A2AA</v>
          </cell>
          <cell r="E636" t="str">
            <v>ENI LAB</v>
          </cell>
          <cell r="G636">
            <v>22</v>
          </cell>
          <cell r="H636" t="str">
            <v>ENI KAN Travaux complémentaires</v>
          </cell>
          <cell r="I636" t="str">
            <v>SNIEM</v>
          </cell>
          <cell r="K636" t="str">
            <v>IDA</v>
          </cell>
          <cell r="L636" t="str">
            <v>AON</v>
          </cell>
          <cell r="P636">
            <v>0</v>
          </cell>
          <cell r="Q636" t="str">
            <v>lot</v>
          </cell>
          <cell r="S636">
            <v>344701.28981490247</v>
          </cell>
          <cell r="T636">
            <v>0.8</v>
          </cell>
          <cell r="U636">
            <v>0</v>
          </cell>
          <cell r="V636">
            <v>0</v>
          </cell>
          <cell r="W636">
            <v>0</v>
          </cell>
          <cell r="X636">
            <v>0</v>
          </cell>
          <cell r="Y636">
            <v>0</v>
          </cell>
          <cell r="Z636">
            <v>0</v>
          </cell>
          <cell r="AA636">
            <v>0</v>
          </cell>
          <cell r="AB636">
            <v>0</v>
          </cell>
          <cell r="AC636">
            <v>0</v>
          </cell>
          <cell r="AD636">
            <v>0</v>
          </cell>
          <cell r="AE636">
            <v>0</v>
          </cell>
          <cell r="AF636">
            <v>0</v>
          </cell>
          <cell r="AH636">
            <v>0</v>
          </cell>
        </row>
        <row r="637">
          <cell r="B637" t="str">
            <v>ST/ETFP</v>
          </cell>
          <cell r="C637" t="str">
            <v>A2A</v>
          </cell>
          <cell r="D637" t="str">
            <v>A2AA</v>
          </cell>
          <cell r="E637" t="str">
            <v>ENI KAN</v>
          </cell>
          <cell r="G637">
            <v>22</v>
          </cell>
          <cell r="H637" t="str">
            <v>ENI KIN Travaux complémentaires</v>
          </cell>
          <cell r="I637" t="str">
            <v>SNIEM</v>
          </cell>
          <cell r="K637" t="str">
            <v>IDA</v>
          </cell>
          <cell r="L637" t="str">
            <v>AON</v>
          </cell>
          <cell r="P637">
            <v>0</v>
          </cell>
          <cell r="Q637" t="str">
            <v>lot</v>
          </cell>
          <cell r="S637">
            <v>344701.28981490247</v>
          </cell>
          <cell r="T637">
            <v>0.8</v>
          </cell>
          <cell r="U637">
            <v>0</v>
          </cell>
          <cell r="V637">
            <v>0</v>
          </cell>
          <cell r="W637">
            <v>0</v>
          </cell>
          <cell r="X637">
            <v>0</v>
          </cell>
          <cell r="Y637">
            <v>0</v>
          </cell>
          <cell r="Z637">
            <v>0</v>
          </cell>
          <cell r="AA637">
            <v>0</v>
          </cell>
          <cell r="AB637">
            <v>0</v>
          </cell>
          <cell r="AC637">
            <v>0</v>
          </cell>
          <cell r="AD637">
            <v>0</v>
          </cell>
          <cell r="AE637">
            <v>0</v>
          </cell>
          <cell r="AF637">
            <v>0</v>
          </cell>
          <cell r="AH637">
            <v>0</v>
          </cell>
        </row>
        <row r="638">
          <cell r="B638" t="str">
            <v>ST/ETFP</v>
          </cell>
          <cell r="C638" t="str">
            <v>A2A</v>
          </cell>
          <cell r="D638" t="str">
            <v>A2AA</v>
          </cell>
          <cell r="E638" t="str">
            <v>ENI FAR</v>
          </cell>
          <cell r="G638">
            <v>22</v>
          </cell>
          <cell r="H638" t="str">
            <v>ENI LAB Travaux complémentaires</v>
          </cell>
          <cell r="I638" t="str">
            <v>SNIEM</v>
          </cell>
          <cell r="K638" t="str">
            <v>IDA</v>
          </cell>
          <cell r="L638" t="str">
            <v>AON</v>
          </cell>
          <cell r="P638">
            <v>0</v>
          </cell>
          <cell r="Q638" t="str">
            <v>lot</v>
          </cell>
          <cell r="S638">
            <v>412006.08336022805</v>
          </cell>
          <cell r="T638">
            <v>0.8</v>
          </cell>
          <cell r="U638">
            <v>0</v>
          </cell>
          <cell r="V638">
            <v>0</v>
          </cell>
          <cell r="W638">
            <v>0</v>
          </cell>
          <cell r="X638">
            <v>0</v>
          </cell>
          <cell r="Y638">
            <v>0</v>
          </cell>
          <cell r="Z638">
            <v>0</v>
          </cell>
          <cell r="AA638">
            <v>0</v>
          </cell>
          <cell r="AB638">
            <v>0</v>
          </cell>
          <cell r="AC638">
            <v>0</v>
          </cell>
          <cell r="AD638">
            <v>0</v>
          </cell>
          <cell r="AE638">
            <v>0</v>
          </cell>
          <cell r="AF638">
            <v>0</v>
          </cell>
          <cell r="AH638">
            <v>0</v>
          </cell>
        </row>
        <row r="639">
          <cell r="B639" t="str">
            <v>ST/ETFP</v>
          </cell>
          <cell r="C639" t="str">
            <v>A2A</v>
          </cell>
          <cell r="D639" t="str">
            <v>A2AA</v>
          </cell>
          <cell r="E639" t="str">
            <v>ENI NZE</v>
          </cell>
          <cell r="G639">
            <v>22</v>
          </cell>
          <cell r="H639" t="str">
            <v>ENI NZE Travaux complémentaires</v>
          </cell>
          <cell r="I639" t="str">
            <v>SNIEM</v>
          </cell>
          <cell r="K639" t="str">
            <v>IDA</v>
          </cell>
          <cell r="L639" t="str">
            <v>AON</v>
          </cell>
          <cell r="P639">
            <v>0</v>
          </cell>
          <cell r="Q639" t="str">
            <v>lot</v>
          </cell>
          <cell r="S639">
            <v>914457.14285714435</v>
          </cell>
          <cell r="T639">
            <v>0.8</v>
          </cell>
          <cell r="U639">
            <v>0</v>
          </cell>
          <cell r="V639">
            <v>0</v>
          </cell>
          <cell r="W639">
            <v>0</v>
          </cell>
          <cell r="X639">
            <v>0</v>
          </cell>
          <cell r="Y639">
            <v>0</v>
          </cell>
          <cell r="Z639">
            <v>0</v>
          </cell>
          <cell r="AA639">
            <v>0</v>
          </cell>
          <cell r="AB639">
            <v>0</v>
          </cell>
          <cell r="AC639">
            <v>0</v>
          </cell>
          <cell r="AD639">
            <v>0</v>
          </cell>
          <cell r="AE639">
            <v>0</v>
          </cell>
          <cell r="AF639">
            <v>0</v>
          </cell>
          <cell r="AH639">
            <v>0</v>
          </cell>
        </row>
        <row r="640">
          <cell r="B640" t="str">
            <v>ST/ETFP</v>
          </cell>
          <cell r="C640" t="str">
            <v>B2A</v>
          </cell>
          <cell r="D640" t="str">
            <v>B2AA</v>
          </cell>
          <cell r="E640" t="str">
            <v>DNETFP</v>
          </cell>
          <cell r="G640">
            <v>25</v>
          </cell>
          <cell r="H640" t="str">
            <v>Etudes sur la formation professionnelle dual et post primaire</v>
          </cell>
          <cell r="I640" t="str">
            <v>DNETFP</v>
          </cell>
          <cell r="K640" t="str">
            <v>IDA</v>
          </cell>
          <cell r="L640" t="str">
            <v>LR</v>
          </cell>
          <cell r="P640">
            <v>0</v>
          </cell>
          <cell r="Q640" t="str">
            <v>forfait</v>
          </cell>
          <cell r="S640">
            <v>984800.00000000012</v>
          </cell>
          <cell r="T640">
            <v>1</v>
          </cell>
          <cell r="U640">
            <v>0</v>
          </cell>
          <cell r="V640">
            <v>0</v>
          </cell>
          <cell r="W640">
            <v>0</v>
          </cell>
          <cell r="X640">
            <v>0</v>
          </cell>
          <cell r="Y640">
            <v>0</v>
          </cell>
          <cell r="Z640">
            <v>0</v>
          </cell>
          <cell r="AA640">
            <v>0</v>
          </cell>
          <cell r="AB640">
            <v>0</v>
          </cell>
          <cell r="AC640">
            <v>0</v>
          </cell>
          <cell r="AD640">
            <v>0</v>
          </cell>
          <cell r="AE640">
            <v>0</v>
          </cell>
          <cell r="AF640">
            <v>0</v>
          </cell>
          <cell r="AH640">
            <v>0</v>
          </cell>
        </row>
        <row r="641">
          <cell r="B641" t="str">
            <v>ST/ETFP</v>
          </cell>
          <cell r="C641" t="str">
            <v>B2B</v>
          </cell>
          <cell r="D641" t="str">
            <v>B2BB</v>
          </cell>
          <cell r="E641" t="str">
            <v>DNFPPP</v>
          </cell>
          <cell r="G641">
            <v>15</v>
          </cell>
          <cell r="H641" t="str">
            <v xml:space="preserve">ENI Supervision du recrutement dans 8 ENI x 2px15j /an </v>
          </cell>
          <cell r="I641" t="str">
            <v>DNFPPP</v>
          </cell>
          <cell r="K641" t="str">
            <v>IDA</v>
          </cell>
          <cell r="L641" t="str">
            <v>AUT</v>
          </cell>
          <cell r="P641">
            <v>0</v>
          </cell>
          <cell r="Q641" t="str">
            <v>pxj</v>
          </cell>
          <cell r="S641">
            <v>147.72</v>
          </cell>
          <cell r="T641">
            <v>0.9</v>
          </cell>
          <cell r="U641">
            <v>0</v>
          </cell>
          <cell r="V641">
            <v>0</v>
          </cell>
          <cell r="W641">
            <v>0</v>
          </cell>
          <cell r="X641">
            <v>0</v>
          </cell>
          <cell r="Y641">
            <v>0</v>
          </cell>
          <cell r="Z641">
            <v>0</v>
          </cell>
          <cell r="AA641">
            <v>0</v>
          </cell>
          <cell r="AB641">
            <v>0</v>
          </cell>
          <cell r="AC641">
            <v>0</v>
          </cell>
          <cell r="AD641">
            <v>0</v>
          </cell>
          <cell r="AE641">
            <v>0</v>
          </cell>
          <cell r="AF641">
            <v>0</v>
          </cell>
          <cell r="AH641">
            <v>0</v>
          </cell>
        </row>
        <row r="642">
          <cell r="B642" t="str">
            <v>ST/ETFP</v>
          </cell>
          <cell r="C642" t="str">
            <v>B2B</v>
          </cell>
          <cell r="D642" t="str">
            <v>B2BB</v>
          </cell>
          <cell r="E642" t="str">
            <v>DNFPPP</v>
          </cell>
          <cell r="G642">
            <v>25</v>
          </cell>
          <cell r="H642" t="str">
            <v xml:space="preserve">ENI Insertion publicitaire de 3 articles dans 5 journaux /an </v>
          </cell>
          <cell r="I642" t="str">
            <v>DNFPPP</v>
          </cell>
          <cell r="K642" t="str">
            <v>IDA</v>
          </cell>
          <cell r="L642" t="str">
            <v>AUT</v>
          </cell>
          <cell r="P642">
            <v>0</v>
          </cell>
          <cell r="Q642" t="str">
            <v>u</v>
          </cell>
          <cell r="S642">
            <v>1200</v>
          </cell>
          <cell r="T642">
            <v>1</v>
          </cell>
          <cell r="U642">
            <v>0</v>
          </cell>
          <cell r="V642">
            <v>0</v>
          </cell>
          <cell r="W642">
            <v>0</v>
          </cell>
          <cell r="X642">
            <v>0</v>
          </cell>
          <cell r="Y642">
            <v>0</v>
          </cell>
          <cell r="Z642">
            <v>0</v>
          </cell>
          <cell r="AA642">
            <v>0</v>
          </cell>
          <cell r="AB642">
            <v>0</v>
          </cell>
          <cell r="AC642">
            <v>0</v>
          </cell>
          <cell r="AD642">
            <v>0</v>
          </cell>
          <cell r="AE642">
            <v>0</v>
          </cell>
          <cell r="AF642">
            <v>0</v>
          </cell>
          <cell r="AH642">
            <v>0</v>
          </cell>
        </row>
        <row r="643">
          <cell r="B643" t="str">
            <v>ST/ETFP</v>
          </cell>
          <cell r="C643" t="str">
            <v>B2B</v>
          </cell>
          <cell r="D643" t="str">
            <v>B2BB</v>
          </cell>
          <cell r="E643" t="str">
            <v>DNFPPP</v>
          </cell>
          <cell r="G643">
            <v>25</v>
          </cell>
          <cell r="H643" t="str">
            <v xml:space="preserve">ENI Spots publicitaires 3 / an   </v>
          </cell>
          <cell r="I643" t="str">
            <v>DNFPPP</v>
          </cell>
          <cell r="K643" t="str">
            <v>IDA</v>
          </cell>
          <cell r="L643" t="str">
            <v>AUT</v>
          </cell>
          <cell r="P643">
            <v>0</v>
          </cell>
          <cell r="Q643" t="str">
            <v>spot</v>
          </cell>
          <cell r="S643">
            <v>7000</v>
          </cell>
          <cell r="T643">
            <v>1</v>
          </cell>
          <cell r="U643">
            <v>0</v>
          </cell>
          <cell r="V643">
            <v>0</v>
          </cell>
          <cell r="W643">
            <v>0</v>
          </cell>
          <cell r="X643">
            <v>0</v>
          </cell>
          <cell r="Y643">
            <v>0</v>
          </cell>
          <cell r="Z643">
            <v>0</v>
          </cell>
          <cell r="AA643">
            <v>0</v>
          </cell>
          <cell r="AB643">
            <v>0</v>
          </cell>
          <cell r="AC643">
            <v>0</v>
          </cell>
          <cell r="AD643">
            <v>0</v>
          </cell>
          <cell r="AE643">
            <v>0</v>
          </cell>
          <cell r="AF643">
            <v>0</v>
          </cell>
          <cell r="AH643">
            <v>0</v>
          </cell>
        </row>
        <row r="644">
          <cell r="B644" t="str">
            <v>ST/ETFP</v>
          </cell>
          <cell r="C644" t="str">
            <v>B2B</v>
          </cell>
          <cell r="D644" t="str">
            <v>B2BB</v>
          </cell>
          <cell r="E644" t="str">
            <v>DNFPPP</v>
          </cell>
          <cell r="G644">
            <v>25</v>
          </cell>
          <cell r="H644" t="str">
            <v xml:space="preserve">ENI Journées portes ouvertes sur les 8 ENI    </v>
          </cell>
          <cell r="I644" t="str">
            <v>DNFPPP</v>
          </cell>
          <cell r="K644" t="str">
            <v>IDA</v>
          </cell>
          <cell r="L644" t="str">
            <v>AUT</v>
          </cell>
          <cell r="P644">
            <v>0</v>
          </cell>
          <cell r="Q644" t="str">
            <v>u</v>
          </cell>
          <cell r="S644">
            <v>2500</v>
          </cell>
          <cell r="T644">
            <v>1</v>
          </cell>
          <cell r="U644">
            <v>0</v>
          </cell>
          <cell r="V644">
            <v>0</v>
          </cell>
          <cell r="W644">
            <v>0</v>
          </cell>
          <cell r="X644">
            <v>0</v>
          </cell>
          <cell r="Y644">
            <v>0</v>
          </cell>
          <cell r="Z644">
            <v>0</v>
          </cell>
          <cell r="AA644">
            <v>0</v>
          </cell>
          <cell r="AB644">
            <v>0</v>
          </cell>
          <cell r="AC644">
            <v>0</v>
          </cell>
          <cell r="AD644">
            <v>0</v>
          </cell>
          <cell r="AE644">
            <v>0</v>
          </cell>
          <cell r="AF644">
            <v>0</v>
          </cell>
          <cell r="AH644">
            <v>0</v>
          </cell>
        </row>
        <row r="645">
          <cell r="B645" t="str">
            <v>ST/ETFP</v>
          </cell>
          <cell r="C645" t="str">
            <v>B2B</v>
          </cell>
          <cell r="D645" t="str">
            <v>B2BB</v>
          </cell>
          <cell r="E645" t="str">
            <v>DNFPPP</v>
          </cell>
          <cell r="G645">
            <v>25</v>
          </cell>
          <cell r="H645" t="str">
            <v xml:space="preserve">ENI Appui aux radios rurales et communautaires   </v>
          </cell>
          <cell r="I645" t="str">
            <v>DNFPPP</v>
          </cell>
          <cell r="K645" t="str">
            <v>IDA</v>
          </cell>
          <cell r="L645" t="str">
            <v>AUT</v>
          </cell>
          <cell r="P645">
            <v>0</v>
          </cell>
          <cell r="Q645" t="str">
            <v>radio</v>
          </cell>
          <cell r="S645">
            <v>1000</v>
          </cell>
          <cell r="T645">
            <v>1</v>
          </cell>
          <cell r="U645">
            <v>0</v>
          </cell>
          <cell r="V645">
            <v>0</v>
          </cell>
          <cell r="W645">
            <v>0</v>
          </cell>
          <cell r="X645">
            <v>0</v>
          </cell>
          <cell r="Y645">
            <v>0</v>
          </cell>
          <cell r="Z645">
            <v>0</v>
          </cell>
          <cell r="AA645">
            <v>0</v>
          </cell>
          <cell r="AB645">
            <v>0</v>
          </cell>
          <cell r="AC645">
            <v>0</v>
          </cell>
          <cell r="AD645">
            <v>0</v>
          </cell>
          <cell r="AE645">
            <v>0</v>
          </cell>
          <cell r="AF645">
            <v>0</v>
          </cell>
          <cell r="AH645">
            <v>0</v>
          </cell>
        </row>
        <row r="646">
          <cell r="B646" t="str">
            <v>ST/ETFP</v>
          </cell>
          <cell r="C646" t="str">
            <v>B2B</v>
          </cell>
          <cell r="D646" t="str">
            <v>B2BB</v>
          </cell>
          <cell r="E646" t="str">
            <v>DNFPPP</v>
          </cell>
          <cell r="G646">
            <v>25</v>
          </cell>
          <cell r="H646" t="str">
            <v xml:space="preserve">ENI Confection de 2 types d'affiches publicitaires en 3000 ex   </v>
          </cell>
          <cell r="I646" t="str">
            <v>DNFPPP</v>
          </cell>
          <cell r="K646" t="str">
            <v>IDA</v>
          </cell>
          <cell r="L646" t="str">
            <v>COT</v>
          </cell>
          <cell r="P646">
            <v>0</v>
          </cell>
          <cell r="Q646" t="str">
            <v>u</v>
          </cell>
          <cell r="S646">
            <v>5</v>
          </cell>
          <cell r="T646">
            <v>1</v>
          </cell>
          <cell r="U646">
            <v>0</v>
          </cell>
          <cell r="V646">
            <v>0</v>
          </cell>
          <cell r="W646">
            <v>0</v>
          </cell>
          <cell r="X646">
            <v>0</v>
          </cell>
          <cell r="Y646">
            <v>0</v>
          </cell>
          <cell r="Z646">
            <v>0</v>
          </cell>
          <cell r="AA646">
            <v>0</v>
          </cell>
          <cell r="AB646">
            <v>0</v>
          </cell>
          <cell r="AC646">
            <v>0</v>
          </cell>
          <cell r="AD646">
            <v>0</v>
          </cell>
          <cell r="AE646">
            <v>0</v>
          </cell>
          <cell r="AF646">
            <v>0</v>
          </cell>
          <cell r="AH646">
            <v>0</v>
          </cell>
        </row>
        <row r="647">
          <cell r="B647" t="str">
            <v>ST/ETFP</v>
          </cell>
          <cell r="C647" t="str">
            <v>B2B</v>
          </cell>
          <cell r="D647" t="str">
            <v>B2BB</v>
          </cell>
          <cell r="E647" t="str">
            <v>DNFPPP</v>
          </cell>
          <cell r="G647">
            <v>25</v>
          </cell>
          <cell r="H647" t="str">
            <v>ENI Confection de 2000 dépliants / an publicitaires</v>
          </cell>
          <cell r="I647" t="str">
            <v>DNFPPP</v>
          </cell>
          <cell r="K647" t="str">
            <v>IDA</v>
          </cell>
          <cell r="L647" t="str">
            <v>COT</v>
          </cell>
          <cell r="P647">
            <v>0</v>
          </cell>
          <cell r="Q647" t="str">
            <v>u</v>
          </cell>
          <cell r="S647">
            <v>3</v>
          </cell>
          <cell r="T647">
            <v>1</v>
          </cell>
          <cell r="U647">
            <v>0</v>
          </cell>
          <cell r="V647">
            <v>0</v>
          </cell>
          <cell r="W647">
            <v>0</v>
          </cell>
          <cell r="X647">
            <v>0</v>
          </cell>
          <cell r="Y647">
            <v>0</v>
          </cell>
          <cell r="Z647">
            <v>0</v>
          </cell>
          <cell r="AA647">
            <v>0</v>
          </cell>
          <cell r="AB647">
            <v>0</v>
          </cell>
          <cell r="AC647">
            <v>0</v>
          </cell>
          <cell r="AD647">
            <v>0</v>
          </cell>
          <cell r="AE647">
            <v>0</v>
          </cell>
          <cell r="AF647">
            <v>0</v>
          </cell>
          <cell r="AH647">
            <v>0</v>
          </cell>
        </row>
        <row r="648">
          <cell r="B648" t="str">
            <v>ST/ETFP</v>
          </cell>
          <cell r="C648" t="str">
            <v>B2B</v>
          </cell>
          <cell r="D648" t="str">
            <v>B2BB</v>
          </cell>
          <cell r="E648" t="str">
            <v>DNFPPP</v>
          </cell>
          <cell r="G648">
            <v>15</v>
          </cell>
          <cell r="H648" t="str">
            <v xml:space="preserve">ENI Mission C de supervision de la formation en institution 6pxj/ENI/an               </v>
          </cell>
          <cell r="I648" t="str">
            <v>DNFPPP</v>
          </cell>
          <cell r="K648" t="str">
            <v>IDA</v>
          </cell>
          <cell r="L648" t="str">
            <v>AUT</v>
          </cell>
          <cell r="P648">
            <v>0</v>
          </cell>
          <cell r="Q648" t="str">
            <v>pxj</v>
          </cell>
          <cell r="S648">
            <v>147.72</v>
          </cell>
          <cell r="T648">
            <v>0.9</v>
          </cell>
          <cell r="U648">
            <v>0</v>
          </cell>
          <cell r="V648">
            <v>0</v>
          </cell>
          <cell r="W648">
            <v>0</v>
          </cell>
          <cell r="X648">
            <v>0</v>
          </cell>
          <cell r="Y648">
            <v>0</v>
          </cell>
          <cell r="Z648">
            <v>0</v>
          </cell>
          <cell r="AA648">
            <v>0</v>
          </cell>
          <cell r="AB648">
            <v>0</v>
          </cell>
          <cell r="AC648">
            <v>0</v>
          </cell>
          <cell r="AD648">
            <v>0</v>
          </cell>
          <cell r="AE648">
            <v>0</v>
          </cell>
          <cell r="AF648">
            <v>0</v>
          </cell>
          <cell r="AH648">
            <v>0</v>
          </cell>
        </row>
        <row r="649">
          <cell r="B649" t="str">
            <v>ST/ETFP</v>
          </cell>
          <cell r="C649" t="str">
            <v>B2B</v>
          </cell>
          <cell r="D649" t="str">
            <v>B2BB</v>
          </cell>
          <cell r="E649" t="str">
            <v>ENI BOK</v>
          </cell>
          <cell r="G649">
            <v>25</v>
          </cell>
          <cell r="H649" t="str">
            <v xml:space="preserve">ENI Carburant groupe électrogène (96l/moisx8ENI)                                                    </v>
          </cell>
          <cell r="I649" t="str">
            <v>DNFPPP</v>
          </cell>
          <cell r="K649" t="str">
            <v>IDA</v>
          </cell>
          <cell r="L649" t="str">
            <v>AUT</v>
          </cell>
          <cell r="P649">
            <v>0</v>
          </cell>
          <cell r="Q649" t="str">
            <v>litres</v>
          </cell>
          <cell r="S649">
            <v>4.9240000000000004</v>
          </cell>
          <cell r="T649">
            <v>1</v>
          </cell>
          <cell r="U649">
            <v>0</v>
          </cell>
          <cell r="V649">
            <v>0</v>
          </cell>
          <cell r="W649">
            <v>0</v>
          </cell>
          <cell r="X649">
            <v>0</v>
          </cell>
          <cell r="Y649">
            <v>0</v>
          </cell>
          <cell r="Z649">
            <v>0</v>
          </cell>
          <cell r="AA649">
            <v>0</v>
          </cell>
          <cell r="AB649">
            <v>0</v>
          </cell>
          <cell r="AC649">
            <v>0</v>
          </cell>
          <cell r="AD649">
            <v>0</v>
          </cell>
          <cell r="AE649">
            <v>0</v>
          </cell>
          <cell r="AF649">
            <v>0</v>
          </cell>
          <cell r="AH649">
            <v>0</v>
          </cell>
        </row>
        <row r="650">
          <cell r="B650" t="str">
            <v>ST/ETFP</v>
          </cell>
          <cell r="C650" t="str">
            <v>B2B</v>
          </cell>
          <cell r="D650" t="str">
            <v>B2BB</v>
          </cell>
          <cell r="E650" t="str">
            <v>ENI CKY</v>
          </cell>
          <cell r="G650">
            <v>25</v>
          </cell>
          <cell r="H650" t="str">
            <v xml:space="preserve">ENI Carburant groupe électrogène (96l/moisx8ENI)                                                    </v>
          </cell>
          <cell r="I650" t="str">
            <v>DNFPPP</v>
          </cell>
          <cell r="K650" t="str">
            <v>IDA</v>
          </cell>
          <cell r="L650" t="str">
            <v>AUT</v>
          </cell>
          <cell r="P650">
            <v>0</v>
          </cell>
          <cell r="Q650" t="str">
            <v>litres</v>
          </cell>
          <cell r="S650">
            <v>4.9240000000000004</v>
          </cell>
          <cell r="T650">
            <v>1</v>
          </cell>
          <cell r="U650">
            <v>0</v>
          </cell>
          <cell r="V650">
            <v>0</v>
          </cell>
          <cell r="W650">
            <v>0</v>
          </cell>
          <cell r="X650">
            <v>0</v>
          </cell>
          <cell r="Y650">
            <v>0</v>
          </cell>
          <cell r="Z650">
            <v>0</v>
          </cell>
          <cell r="AA650">
            <v>0</v>
          </cell>
          <cell r="AB650">
            <v>0</v>
          </cell>
          <cell r="AC650">
            <v>0</v>
          </cell>
          <cell r="AD650">
            <v>0</v>
          </cell>
          <cell r="AE650">
            <v>0</v>
          </cell>
          <cell r="AF650">
            <v>0</v>
          </cell>
          <cell r="AH650">
            <v>0</v>
          </cell>
        </row>
        <row r="651">
          <cell r="B651" t="str">
            <v>ST/ETFP</v>
          </cell>
          <cell r="C651" t="str">
            <v>B2B</v>
          </cell>
          <cell r="D651" t="str">
            <v>B2BB</v>
          </cell>
          <cell r="E651" t="str">
            <v>ENI DUB</v>
          </cell>
          <cell r="G651">
            <v>25</v>
          </cell>
          <cell r="H651" t="str">
            <v xml:space="preserve">ENI Carburant groupe électrogène (96l/moisx8ENI)                                                    </v>
          </cell>
          <cell r="I651" t="str">
            <v>DNFPPP</v>
          </cell>
          <cell r="K651" t="str">
            <v>IDA</v>
          </cell>
          <cell r="L651" t="str">
            <v>AUT</v>
          </cell>
          <cell r="P651">
            <v>0</v>
          </cell>
          <cell r="Q651" t="str">
            <v>litres</v>
          </cell>
          <cell r="S651">
            <v>4.9240000000000004</v>
          </cell>
          <cell r="T651">
            <v>1</v>
          </cell>
          <cell r="U651">
            <v>0</v>
          </cell>
          <cell r="V651">
            <v>0</v>
          </cell>
          <cell r="W651">
            <v>0</v>
          </cell>
          <cell r="X651">
            <v>0</v>
          </cell>
          <cell r="Y651">
            <v>0</v>
          </cell>
          <cell r="Z651">
            <v>0</v>
          </cell>
          <cell r="AA651">
            <v>0</v>
          </cell>
          <cell r="AB651">
            <v>0</v>
          </cell>
          <cell r="AC651">
            <v>0</v>
          </cell>
          <cell r="AD651">
            <v>0</v>
          </cell>
          <cell r="AE651">
            <v>0</v>
          </cell>
          <cell r="AF651">
            <v>0</v>
          </cell>
          <cell r="AH651">
            <v>0</v>
          </cell>
        </row>
        <row r="652">
          <cell r="B652" t="str">
            <v>ST/ETFP</v>
          </cell>
          <cell r="C652" t="str">
            <v>B2B</v>
          </cell>
          <cell r="D652" t="str">
            <v>B2BB</v>
          </cell>
          <cell r="E652" t="str">
            <v>ENI FAR</v>
          </cell>
          <cell r="G652">
            <v>25</v>
          </cell>
          <cell r="H652" t="str">
            <v xml:space="preserve">ENI Carburant groupe électrogène (96l/moisx8ENI)                                                    </v>
          </cell>
          <cell r="I652" t="str">
            <v>DNFPPP</v>
          </cell>
          <cell r="K652" t="str">
            <v>IDA</v>
          </cell>
          <cell r="L652" t="str">
            <v>AUT</v>
          </cell>
          <cell r="P652">
            <v>0</v>
          </cell>
          <cell r="Q652" t="str">
            <v>litres</v>
          </cell>
          <cell r="S652">
            <v>4.9240000000000004</v>
          </cell>
          <cell r="T652">
            <v>1</v>
          </cell>
          <cell r="U652">
            <v>0</v>
          </cell>
          <cell r="V652">
            <v>0</v>
          </cell>
          <cell r="W652">
            <v>0</v>
          </cell>
          <cell r="X652">
            <v>0</v>
          </cell>
          <cell r="Y652">
            <v>0</v>
          </cell>
          <cell r="Z652">
            <v>0</v>
          </cell>
          <cell r="AA652">
            <v>0</v>
          </cell>
          <cell r="AB652">
            <v>0</v>
          </cell>
          <cell r="AC652">
            <v>0</v>
          </cell>
          <cell r="AD652">
            <v>0</v>
          </cell>
          <cell r="AE652">
            <v>0</v>
          </cell>
          <cell r="AF652">
            <v>0</v>
          </cell>
          <cell r="AH652">
            <v>0</v>
          </cell>
        </row>
        <row r="653">
          <cell r="B653" t="str">
            <v>ST/ETFP</v>
          </cell>
          <cell r="C653" t="str">
            <v>B2B</v>
          </cell>
          <cell r="D653" t="str">
            <v>B2BB</v>
          </cell>
          <cell r="E653" t="str">
            <v>ENI KAN</v>
          </cell>
          <cell r="G653">
            <v>25</v>
          </cell>
          <cell r="H653" t="str">
            <v xml:space="preserve">ENI Carburant groupe électrogène (96l/moisx8ENI)                                                    </v>
          </cell>
          <cell r="I653" t="str">
            <v>DNFPPP</v>
          </cell>
          <cell r="K653" t="str">
            <v>IDA</v>
          </cell>
          <cell r="L653" t="str">
            <v>AUT</v>
          </cell>
          <cell r="P653">
            <v>0</v>
          </cell>
          <cell r="Q653" t="str">
            <v>litres</v>
          </cell>
          <cell r="S653">
            <v>4.9240000000000004</v>
          </cell>
          <cell r="T653">
            <v>1</v>
          </cell>
          <cell r="U653">
            <v>0</v>
          </cell>
          <cell r="V653">
            <v>0</v>
          </cell>
          <cell r="W653">
            <v>0</v>
          </cell>
          <cell r="X653">
            <v>0</v>
          </cell>
          <cell r="Y653">
            <v>0</v>
          </cell>
          <cell r="Z653">
            <v>0</v>
          </cell>
          <cell r="AA653">
            <v>0</v>
          </cell>
          <cell r="AB653">
            <v>0</v>
          </cell>
          <cell r="AC653">
            <v>0</v>
          </cell>
          <cell r="AD653">
            <v>0</v>
          </cell>
          <cell r="AE653">
            <v>0</v>
          </cell>
          <cell r="AF653">
            <v>0</v>
          </cell>
          <cell r="AH653">
            <v>0</v>
          </cell>
        </row>
        <row r="654">
          <cell r="B654" t="str">
            <v>ST/ETFP</v>
          </cell>
          <cell r="C654" t="str">
            <v>B2B</v>
          </cell>
          <cell r="D654" t="str">
            <v>B2BB</v>
          </cell>
          <cell r="E654" t="str">
            <v>ENI KIN</v>
          </cell>
          <cell r="G654">
            <v>25</v>
          </cell>
          <cell r="H654" t="str">
            <v xml:space="preserve">ENI Carburant groupe électrogène (96l/moisx8ENI)                                                    </v>
          </cell>
          <cell r="I654" t="str">
            <v>DNFPPP</v>
          </cell>
          <cell r="K654" t="str">
            <v>IDA</v>
          </cell>
          <cell r="L654" t="str">
            <v>AUT</v>
          </cell>
          <cell r="P654">
            <v>0</v>
          </cell>
          <cell r="Q654" t="str">
            <v>litres</v>
          </cell>
          <cell r="S654">
            <v>4.9240000000000004</v>
          </cell>
          <cell r="T654">
            <v>1</v>
          </cell>
          <cell r="U654">
            <v>0</v>
          </cell>
          <cell r="V654">
            <v>0</v>
          </cell>
          <cell r="W654">
            <v>0</v>
          </cell>
          <cell r="X654">
            <v>0</v>
          </cell>
          <cell r="Y654">
            <v>0</v>
          </cell>
          <cell r="Z654">
            <v>0</v>
          </cell>
          <cell r="AA654">
            <v>0</v>
          </cell>
          <cell r="AB654">
            <v>0</v>
          </cell>
          <cell r="AC654">
            <v>0</v>
          </cell>
          <cell r="AD654">
            <v>0</v>
          </cell>
          <cell r="AE654">
            <v>0</v>
          </cell>
          <cell r="AF654">
            <v>0</v>
          </cell>
          <cell r="AH654">
            <v>0</v>
          </cell>
        </row>
        <row r="655">
          <cell r="B655" t="str">
            <v>ST/ETFP</v>
          </cell>
          <cell r="C655" t="str">
            <v>B2B</v>
          </cell>
          <cell r="D655" t="str">
            <v>B2BB</v>
          </cell>
          <cell r="E655" t="str">
            <v>ENI LAB</v>
          </cell>
          <cell r="G655">
            <v>25</v>
          </cell>
          <cell r="H655" t="str">
            <v xml:space="preserve">ENI Carburant groupe électrogène (96l/moisx8ENI)                                                    </v>
          </cell>
          <cell r="I655" t="str">
            <v>DNFPPP</v>
          </cell>
          <cell r="K655" t="str">
            <v>IDA</v>
          </cell>
          <cell r="L655" t="str">
            <v>AUT</v>
          </cell>
          <cell r="P655">
            <v>0</v>
          </cell>
          <cell r="Q655" t="str">
            <v>litres</v>
          </cell>
          <cell r="S655">
            <v>4.9240000000000004</v>
          </cell>
          <cell r="T655">
            <v>1</v>
          </cell>
          <cell r="U655">
            <v>0</v>
          </cell>
          <cell r="V655">
            <v>0</v>
          </cell>
          <cell r="W655">
            <v>0</v>
          </cell>
          <cell r="X655">
            <v>0</v>
          </cell>
          <cell r="Y655">
            <v>0</v>
          </cell>
          <cell r="Z655">
            <v>0</v>
          </cell>
          <cell r="AA655">
            <v>0</v>
          </cell>
          <cell r="AB655">
            <v>0</v>
          </cell>
          <cell r="AC655">
            <v>0</v>
          </cell>
          <cell r="AD655">
            <v>0</v>
          </cell>
          <cell r="AE655">
            <v>0</v>
          </cell>
          <cell r="AF655">
            <v>0</v>
          </cell>
          <cell r="AH655">
            <v>0</v>
          </cell>
        </row>
        <row r="656">
          <cell r="B656" t="str">
            <v>ST/ETFP</v>
          </cell>
          <cell r="C656" t="str">
            <v>B2B</v>
          </cell>
          <cell r="D656" t="str">
            <v>B2BB</v>
          </cell>
          <cell r="E656" t="str">
            <v>ENI NZE</v>
          </cell>
          <cell r="G656">
            <v>25</v>
          </cell>
          <cell r="H656" t="str">
            <v xml:space="preserve">ENI Carburant groupe électrogène (96l/moisx8ENI)                                                    </v>
          </cell>
          <cell r="I656" t="str">
            <v>DNFPPP</v>
          </cell>
          <cell r="K656" t="str">
            <v>IDA</v>
          </cell>
          <cell r="L656" t="str">
            <v>AUT</v>
          </cell>
          <cell r="P656">
            <v>0</v>
          </cell>
          <cell r="Q656" t="str">
            <v>litres</v>
          </cell>
          <cell r="S656">
            <v>4.9240000000000004</v>
          </cell>
          <cell r="T656">
            <v>1</v>
          </cell>
          <cell r="U656">
            <v>0</v>
          </cell>
          <cell r="V656">
            <v>0</v>
          </cell>
          <cell r="W656">
            <v>0</v>
          </cell>
          <cell r="X656">
            <v>0</v>
          </cell>
          <cell r="Y656">
            <v>0</v>
          </cell>
          <cell r="Z656">
            <v>0</v>
          </cell>
          <cell r="AA656">
            <v>0</v>
          </cell>
          <cell r="AB656">
            <v>0</v>
          </cell>
          <cell r="AC656">
            <v>0</v>
          </cell>
          <cell r="AD656">
            <v>0</v>
          </cell>
          <cell r="AE656">
            <v>0</v>
          </cell>
          <cell r="AF656">
            <v>0</v>
          </cell>
          <cell r="AH656">
            <v>0</v>
          </cell>
        </row>
        <row r="657">
          <cell r="B657" t="str">
            <v>ST/ETFP</v>
          </cell>
          <cell r="C657" t="str">
            <v>B2B</v>
          </cell>
          <cell r="D657" t="str">
            <v>B2BB</v>
          </cell>
          <cell r="E657" t="str">
            <v>ENI BOK</v>
          </cell>
          <cell r="G657">
            <v>25</v>
          </cell>
          <cell r="H657" t="str">
            <v xml:space="preserve">ENI Subvention fonctionnemt additionnel 8 ENI  (2500él x 20 USD/él/an)           </v>
          </cell>
          <cell r="I657" t="str">
            <v>DNFPPP</v>
          </cell>
          <cell r="K657" t="str">
            <v>IDA</v>
          </cell>
          <cell r="L657" t="str">
            <v>AUT</v>
          </cell>
          <cell r="P657">
            <v>0</v>
          </cell>
          <cell r="Q657" t="str">
            <v>él/maître</v>
          </cell>
          <cell r="S657">
            <v>98.48</v>
          </cell>
          <cell r="T657">
            <v>1</v>
          </cell>
          <cell r="U657">
            <v>0</v>
          </cell>
          <cell r="V657">
            <v>0</v>
          </cell>
          <cell r="W657">
            <v>0</v>
          </cell>
          <cell r="X657">
            <v>0</v>
          </cell>
          <cell r="Y657">
            <v>0</v>
          </cell>
          <cell r="Z657">
            <v>0</v>
          </cell>
          <cell r="AA657">
            <v>0</v>
          </cell>
          <cell r="AB657">
            <v>0</v>
          </cell>
          <cell r="AC657">
            <v>0</v>
          </cell>
          <cell r="AD657">
            <v>0</v>
          </cell>
          <cell r="AE657">
            <v>0</v>
          </cell>
          <cell r="AF657">
            <v>0</v>
          </cell>
          <cell r="AH657">
            <v>0</v>
          </cell>
        </row>
        <row r="658">
          <cell r="B658" t="str">
            <v>ST/ETFP</v>
          </cell>
          <cell r="C658" t="str">
            <v>B2B</v>
          </cell>
          <cell r="D658" t="str">
            <v>B2BB</v>
          </cell>
          <cell r="E658" t="str">
            <v>ENI CKY</v>
          </cell>
          <cell r="G658">
            <v>25</v>
          </cell>
          <cell r="H658" t="str">
            <v xml:space="preserve">ENI Subvention fonctionnemt additionnel 8 ENI  (2500él x 20 USD/él/an)           </v>
          </cell>
          <cell r="I658" t="str">
            <v>DNFPPP</v>
          </cell>
          <cell r="K658" t="str">
            <v>IDA</v>
          </cell>
          <cell r="L658" t="str">
            <v>AUT</v>
          </cell>
          <cell r="P658">
            <v>0</v>
          </cell>
          <cell r="Q658" t="str">
            <v>él/maître</v>
          </cell>
          <cell r="S658">
            <v>98.48</v>
          </cell>
          <cell r="T658">
            <v>1</v>
          </cell>
          <cell r="U658">
            <v>0</v>
          </cell>
          <cell r="V658">
            <v>0</v>
          </cell>
          <cell r="W658">
            <v>0</v>
          </cell>
          <cell r="X658">
            <v>0</v>
          </cell>
          <cell r="Y658">
            <v>0</v>
          </cell>
          <cell r="Z658">
            <v>0</v>
          </cell>
          <cell r="AA658">
            <v>0</v>
          </cell>
          <cell r="AB658">
            <v>0</v>
          </cell>
          <cell r="AC658">
            <v>0</v>
          </cell>
          <cell r="AD658">
            <v>0</v>
          </cell>
          <cell r="AE658">
            <v>0</v>
          </cell>
          <cell r="AF658">
            <v>0</v>
          </cell>
          <cell r="AH658">
            <v>0</v>
          </cell>
        </row>
        <row r="659">
          <cell r="B659" t="str">
            <v>ST/ETFP</v>
          </cell>
          <cell r="C659" t="str">
            <v>B2B</v>
          </cell>
          <cell r="D659" t="str">
            <v>B2BB</v>
          </cell>
          <cell r="E659" t="str">
            <v>ENI DUB</v>
          </cell>
          <cell r="G659">
            <v>25</v>
          </cell>
          <cell r="H659" t="str">
            <v xml:space="preserve">ENI Subvention fonctionnemt additionnel 8 ENI  (2500él x 20 USD/él/an)           </v>
          </cell>
          <cell r="I659" t="str">
            <v>DNFPPP</v>
          </cell>
          <cell r="K659" t="str">
            <v>IDA</v>
          </cell>
          <cell r="L659" t="str">
            <v>AUT</v>
          </cell>
          <cell r="P659">
            <v>0</v>
          </cell>
          <cell r="Q659" t="str">
            <v>él/maître</v>
          </cell>
          <cell r="S659">
            <v>98.48</v>
          </cell>
          <cell r="T659">
            <v>1</v>
          </cell>
          <cell r="U659">
            <v>0</v>
          </cell>
          <cell r="V659">
            <v>0</v>
          </cell>
          <cell r="W659">
            <v>0</v>
          </cell>
          <cell r="X659">
            <v>0</v>
          </cell>
          <cell r="Y659">
            <v>0</v>
          </cell>
          <cell r="Z659">
            <v>0</v>
          </cell>
          <cell r="AA659">
            <v>0</v>
          </cell>
          <cell r="AB659">
            <v>0</v>
          </cell>
          <cell r="AC659">
            <v>0</v>
          </cell>
          <cell r="AD659">
            <v>0</v>
          </cell>
          <cell r="AE659">
            <v>0</v>
          </cell>
          <cell r="AF659">
            <v>0</v>
          </cell>
          <cell r="AH659">
            <v>0</v>
          </cell>
        </row>
        <row r="660">
          <cell r="B660" t="str">
            <v>ST/ETFP</v>
          </cell>
          <cell r="C660" t="str">
            <v>B2B</v>
          </cell>
          <cell r="D660" t="str">
            <v>B2BB</v>
          </cell>
          <cell r="E660" t="str">
            <v>ENI FAR</v>
          </cell>
          <cell r="G660">
            <v>25</v>
          </cell>
          <cell r="H660" t="str">
            <v xml:space="preserve">ENI Subvention fonctionnemt additionnel 8 ENI  (2500él x 20 USD/él/an)           </v>
          </cell>
          <cell r="I660" t="str">
            <v>DNFPPP</v>
          </cell>
          <cell r="K660" t="str">
            <v>IDA</v>
          </cell>
          <cell r="L660" t="str">
            <v>AUT</v>
          </cell>
          <cell r="P660">
            <v>0</v>
          </cell>
          <cell r="Q660" t="str">
            <v>él/maître</v>
          </cell>
          <cell r="S660">
            <v>98.48</v>
          </cell>
          <cell r="T660">
            <v>1</v>
          </cell>
          <cell r="U660">
            <v>0</v>
          </cell>
          <cell r="V660">
            <v>0</v>
          </cell>
          <cell r="W660">
            <v>0</v>
          </cell>
          <cell r="X660">
            <v>0</v>
          </cell>
          <cell r="Y660">
            <v>0</v>
          </cell>
          <cell r="Z660">
            <v>0</v>
          </cell>
          <cell r="AA660">
            <v>0</v>
          </cell>
          <cell r="AB660">
            <v>0</v>
          </cell>
          <cell r="AC660">
            <v>0</v>
          </cell>
          <cell r="AD660">
            <v>0</v>
          </cell>
          <cell r="AE660">
            <v>0</v>
          </cell>
          <cell r="AF660">
            <v>0</v>
          </cell>
          <cell r="AH660">
            <v>0</v>
          </cell>
        </row>
        <row r="661">
          <cell r="B661" t="str">
            <v>ST/ETFP</v>
          </cell>
          <cell r="C661" t="str">
            <v>B2B</v>
          </cell>
          <cell r="D661" t="str">
            <v>B2BB</v>
          </cell>
          <cell r="E661" t="str">
            <v>ENI KAN</v>
          </cell>
          <cell r="G661">
            <v>25</v>
          </cell>
          <cell r="H661" t="str">
            <v xml:space="preserve">ENI Subvention fonctionnemt additionnel 8 ENI  (2500él x 20 USD/él/an)           </v>
          </cell>
          <cell r="I661" t="str">
            <v>DNFPPP</v>
          </cell>
          <cell r="K661" t="str">
            <v>IDA</v>
          </cell>
          <cell r="L661" t="str">
            <v>AUT</v>
          </cell>
          <cell r="P661">
            <v>0</v>
          </cell>
          <cell r="Q661" t="str">
            <v>él/maître</v>
          </cell>
          <cell r="S661">
            <v>98.48</v>
          </cell>
          <cell r="T661">
            <v>1</v>
          </cell>
          <cell r="U661">
            <v>0</v>
          </cell>
          <cell r="V661">
            <v>0</v>
          </cell>
          <cell r="W661">
            <v>0</v>
          </cell>
          <cell r="X661">
            <v>0</v>
          </cell>
          <cell r="Y661">
            <v>0</v>
          </cell>
          <cell r="Z661">
            <v>0</v>
          </cell>
          <cell r="AA661">
            <v>0</v>
          </cell>
          <cell r="AB661">
            <v>0</v>
          </cell>
          <cell r="AC661">
            <v>0</v>
          </cell>
          <cell r="AD661">
            <v>0</v>
          </cell>
          <cell r="AE661">
            <v>0</v>
          </cell>
          <cell r="AF661">
            <v>0</v>
          </cell>
          <cell r="AH661">
            <v>0</v>
          </cell>
        </row>
        <row r="662">
          <cell r="B662" t="str">
            <v>ST/ETFP</v>
          </cell>
          <cell r="C662" t="str">
            <v>B2B</v>
          </cell>
          <cell r="D662" t="str">
            <v>B2BB</v>
          </cell>
          <cell r="E662" t="str">
            <v>ENI KIN</v>
          </cell>
          <cell r="G662">
            <v>25</v>
          </cell>
          <cell r="H662" t="str">
            <v xml:space="preserve">ENI Subvention fonctionnemt additionnel 8 ENI  (2500él x 20 USD/él/an)           </v>
          </cell>
          <cell r="I662" t="str">
            <v>DNFPPP</v>
          </cell>
          <cell r="K662" t="str">
            <v>IDA</v>
          </cell>
          <cell r="L662" t="str">
            <v>AUT</v>
          </cell>
          <cell r="P662">
            <v>0</v>
          </cell>
          <cell r="Q662" t="str">
            <v>él/maître</v>
          </cell>
          <cell r="S662">
            <v>98.48</v>
          </cell>
          <cell r="T662">
            <v>1</v>
          </cell>
          <cell r="U662">
            <v>0</v>
          </cell>
          <cell r="V662">
            <v>0</v>
          </cell>
          <cell r="W662">
            <v>0</v>
          </cell>
          <cell r="X662">
            <v>0</v>
          </cell>
          <cell r="Y662">
            <v>0</v>
          </cell>
          <cell r="Z662">
            <v>0</v>
          </cell>
          <cell r="AA662">
            <v>0</v>
          </cell>
          <cell r="AB662">
            <v>0</v>
          </cell>
          <cell r="AC662">
            <v>0</v>
          </cell>
          <cell r="AD662">
            <v>0</v>
          </cell>
          <cell r="AE662">
            <v>0</v>
          </cell>
          <cell r="AF662">
            <v>0</v>
          </cell>
          <cell r="AH662">
            <v>0</v>
          </cell>
        </row>
        <row r="663">
          <cell r="B663" t="str">
            <v>ST/ETFP</v>
          </cell>
          <cell r="C663" t="str">
            <v>B2B</v>
          </cell>
          <cell r="D663" t="str">
            <v>B2BB</v>
          </cell>
          <cell r="E663" t="str">
            <v>ENI LAB</v>
          </cell>
          <cell r="G663">
            <v>25</v>
          </cell>
          <cell r="H663" t="str">
            <v xml:space="preserve">ENI Subvention fonctionnemt additionnel 8 ENI  (2500él x 20 USD/él/an)           </v>
          </cell>
          <cell r="I663" t="str">
            <v>DNFPPP</v>
          </cell>
          <cell r="K663" t="str">
            <v>IDA</v>
          </cell>
          <cell r="L663" t="str">
            <v>AUT</v>
          </cell>
          <cell r="P663">
            <v>0</v>
          </cell>
          <cell r="Q663" t="str">
            <v>él/maître</v>
          </cell>
          <cell r="S663">
            <v>98.48</v>
          </cell>
          <cell r="T663">
            <v>1</v>
          </cell>
          <cell r="U663">
            <v>0</v>
          </cell>
          <cell r="V663">
            <v>0</v>
          </cell>
          <cell r="W663">
            <v>0</v>
          </cell>
          <cell r="X663">
            <v>0</v>
          </cell>
          <cell r="Y663">
            <v>0</v>
          </cell>
          <cell r="Z663">
            <v>0</v>
          </cell>
          <cell r="AA663">
            <v>0</v>
          </cell>
          <cell r="AB663">
            <v>0</v>
          </cell>
          <cell r="AC663">
            <v>0</v>
          </cell>
          <cell r="AD663">
            <v>0</v>
          </cell>
          <cell r="AE663">
            <v>0</v>
          </cell>
          <cell r="AF663">
            <v>0</v>
          </cell>
          <cell r="AH663">
            <v>0</v>
          </cell>
        </row>
        <row r="664">
          <cell r="B664" t="str">
            <v>ST/ETFP</v>
          </cell>
          <cell r="C664" t="str">
            <v>B2B</v>
          </cell>
          <cell r="D664" t="str">
            <v>B2BB</v>
          </cell>
          <cell r="E664" t="str">
            <v>ENI NZE</v>
          </cell>
          <cell r="G664">
            <v>25</v>
          </cell>
          <cell r="H664" t="str">
            <v xml:space="preserve">ENI Subvention fonctionnemt additionnel 8 ENI  (2500él x 20 USD/él/an)           </v>
          </cell>
          <cell r="I664" t="str">
            <v>DNFPPP</v>
          </cell>
          <cell r="K664" t="str">
            <v>IDA</v>
          </cell>
          <cell r="L664" t="str">
            <v>AUT</v>
          </cell>
          <cell r="P664">
            <v>0</v>
          </cell>
          <cell r="Q664" t="str">
            <v>él/maître</v>
          </cell>
          <cell r="S664">
            <v>98.48</v>
          </cell>
          <cell r="T664">
            <v>1</v>
          </cell>
          <cell r="U664">
            <v>0</v>
          </cell>
          <cell r="V664">
            <v>0</v>
          </cell>
          <cell r="W664">
            <v>0</v>
          </cell>
          <cell r="X664">
            <v>0</v>
          </cell>
          <cell r="Y664">
            <v>0</v>
          </cell>
          <cell r="Z664">
            <v>0</v>
          </cell>
          <cell r="AA664">
            <v>0</v>
          </cell>
          <cell r="AB664">
            <v>0</v>
          </cell>
          <cell r="AC664">
            <v>0</v>
          </cell>
          <cell r="AD664">
            <v>0</v>
          </cell>
          <cell r="AE664">
            <v>0</v>
          </cell>
          <cell r="AF664">
            <v>0</v>
          </cell>
          <cell r="AH664">
            <v>0</v>
          </cell>
        </row>
        <row r="665">
          <cell r="B665" t="str">
            <v>ST/ETFP</v>
          </cell>
          <cell r="C665" t="str">
            <v>B2B</v>
          </cell>
          <cell r="D665" t="str">
            <v>B2BC</v>
          </cell>
          <cell r="E665" t="str">
            <v>ENI BOK</v>
          </cell>
          <cell r="G665">
            <v>25</v>
          </cell>
          <cell r="H665" t="str">
            <v xml:space="preserve">ENI Indemnité 150  PEN pour 3 mois de session de vacances/an </v>
          </cell>
          <cell r="I665" t="str">
            <v>DNFPPP</v>
          </cell>
          <cell r="K665" t="str">
            <v>IDA</v>
          </cell>
          <cell r="L665" t="str">
            <v>AUT</v>
          </cell>
          <cell r="P665">
            <v>0</v>
          </cell>
          <cell r="Q665" t="str">
            <v>pxm</v>
          </cell>
          <cell r="S665">
            <v>285</v>
          </cell>
          <cell r="T665">
            <v>1</v>
          </cell>
          <cell r="U665">
            <v>0</v>
          </cell>
          <cell r="V665">
            <v>0</v>
          </cell>
          <cell r="W665">
            <v>0</v>
          </cell>
          <cell r="X665">
            <v>0</v>
          </cell>
          <cell r="Y665">
            <v>0</v>
          </cell>
          <cell r="Z665">
            <v>0</v>
          </cell>
          <cell r="AA665">
            <v>0</v>
          </cell>
          <cell r="AB665">
            <v>0</v>
          </cell>
          <cell r="AC665">
            <v>0</v>
          </cell>
          <cell r="AD665">
            <v>0</v>
          </cell>
          <cell r="AE665">
            <v>0</v>
          </cell>
          <cell r="AF665">
            <v>0</v>
          </cell>
          <cell r="AH665">
            <v>0</v>
          </cell>
        </row>
        <row r="666">
          <cell r="B666" t="str">
            <v>ST/ETFP</v>
          </cell>
          <cell r="C666" t="str">
            <v>B2B</v>
          </cell>
          <cell r="D666" t="str">
            <v>B2BC</v>
          </cell>
          <cell r="E666" t="str">
            <v>ENI CKY</v>
          </cell>
          <cell r="G666">
            <v>25</v>
          </cell>
          <cell r="H666" t="str">
            <v xml:space="preserve">ENI Indemnité 150  PEN pour 3 mois de session de vacances/an </v>
          </cell>
          <cell r="I666" t="str">
            <v>DNFPPP</v>
          </cell>
          <cell r="K666" t="str">
            <v>IDA</v>
          </cell>
          <cell r="L666" t="str">
            <v>AUT</v>
          </cell>
          <cell r="P666">
            <v>0</v>
          </cell>
          <cell r="Q666" t="str">
            <v>pxm</v>
          </cell>
          <cell r="S666">
            <v>285</v>
          </cell>
          <cell r="T666">
            <v>1</v>
          </cell>
          <cell r="U666">
            <v>0</v>
          </cell>
          <cell r="V666">
            <v>0</v>
          </cell>
          <cell r="W666">
            <v>0</v>
          </cell>
          <cell r="X666">
            <v>0</v>
          </cell>
          <cell r="Y666">
            <v>0</v>
          </cell>
          <cell r="Z666">
            <v>0</v>
          </cell>
          <cell r="AA666">
            <v>0</v>
          </cell>
          <cell r="AB666">
            <v>0</v>
          </cell>
          <cell r="AC666">
            <v>0</v>
          </cell>
          <cell r="AD666">
            <v>0</v>
          </cell>
          <cell r="AE666">
            <v>0</v>
          </cell>
          <cell r="AF666">
            <v>0</v>
          </cell>
          <cell r="AH666">
            <v>0</v>
          </cell>
        </row>
        <row r="667">
          <cell r="B667" t="str">
            <v>ST/ETFP</v>
          </cell>
          <cell r="C667" t="str">
            <v>B2B</v>
          </cell>
          <cell r="D667" t="str">
            <v>B2BC</v>
          </cell>
          <cell r="E667" t="str">
            <v>ENI DUB</v>
          </cell>
          <cell r="G667">
            <v>25</v>
          </cell>
          <cell r="H667" t="str">
            <v xml:space="preserve">ENI Indemnité 150  PEN pour 3 mois de session de vacances/an </v>
          </cell>
          <cell r="I667" t="str">
            <v>DNFPPP</v>
          </cell>
          <cell r="K667" t="str">
            <v>IDA</v>
          </cell>
          <cell r="L667" t="str">
            <v>AUT</v>
          </cell>
          <cell r="P667">
            <v>0</v>
          </cell>
          <cell r="Q667" t="str">
            <v>pxm</v>
          </cell>
          <cell r="S667">
            <v>285</v>
          </cell>
          <cell r="T667">
            <v>1</v>
          </cell>
          <cell r="U667">
            <v>0</v>
          </cell>
          <cell r="V667">
            <v>0</v>
          </cell>
          <cell r="W667">
            <v>0</v>
          </cell>
          <cell r="X667">
            <v>0</v>
          </cell>
          <cell r="Y667">
            <v>0</v>
          </cell>
          <cell r="Z667">
            <v>0</v>
          </cell>
          <cell r="AA667">
            <v>0</v>
          </cell>
          <cell r="AB667">
            <v>0</v>
          </cell>
          <cell r="AC667">
            <v>0</v>
          </cell>
          <cell r="AD667">
            <v>0</v>
          </cell>
          <cell r="AE667">
            <v>0</v>
          </cell>
          <cell r="AF667">
            <v>0</v>
          </cell>
          <cell r="AH667">
            <v>0</v>
          </cell>
        </row>
        <row r="668">
          <cell r="B668" t="str">
            <v>ST/ETFP</v>
          </cell>
          <cell r="C668" t="str">
            <v>B2B</v>
          </cell>
          <cell r="D668" t="str">
            <v>B2BC</v>
          </cell>
          <cell r="E668" t="str">
            <v>ENI FAR</v>
          </cell>
          <cell r="G668">
            <v>25</v>
          </cell>
          <cell r="H668" t="str">
            <v xml:space="preserve">ENI Indemnité 150  PEN pour 3 mois de session de vacances/an </v>
          </cell>
          <cell r="I668" t="str">
            <v>DNFPPP</v>
          </cell>
          <cell r="K668" t="str">
            <v>IDA</v>
          </cell>
          <cell r="L668" t="str">
            <v>AUT</v>
          </cell>
          <cell r="P668">
            <v>0</v>
          </cell>
          <cell r="Q668" t="str">
            <v>pxm</v>
          </cell>
          <cell r="S668">
            <v>285</v>
          </cell>
          <cell r="T668">
            <v>1</v>
          </cell>
          <cell r="U668">
            <v>0</v>
          </cell>
          <cell r="V668">
            <v>0</v>
          </cell>
          <cell r="W668">
            <v>0</v>
          </cell>
          <cell r="X668">
            <v>0</v>
          </cell>
          <cell r="Y668">
            <v>0</v>
          </cell>
          <cell r="Z668">
            <v>0</v>
          </cell>
          <cell r="AA668">
            <v>0</v>
          </cell>
          <cell r="AB668">
            <v>0</v>
          </cell>
          <cell r="AC668">
            <v>0</v>
          </cell>
          <cell r="AD668">
            <v>0</v>
          </cell>
          <cell r="AE668">
            <v>0</v>
          </cell>
          <cell r="AF668">
            <v>0</v>
          </cell>
          <cell r="AH668">
            <v>0</v>
          </cell>
        </row>
        <row r="669">
          <cell r="B669" t="str">
            <v>ST/ETFP</v>
          </cell>
          <cell r="C669" t="str">
            <v>B2B</v>
          </cell>
          <cell r="D669" t="str">
            <v>B2BC</v>
          </cell>
          <cell r="E669" t="str">
            <v>ENI KAN</v>
          </cell>
          <cell r="G669">
            <v>25</v>
          </cell>
          <cell r="H669" t="str">
            <v xml:space="preserve">ENI Indemnité 150  PEN pour 3 mois de session de vacances/an </v>
          </cell>
          <cell r="I669" t="str">
            <v>DNFPPP</v>
          </cell>
          <cell r="K669" t="str">
            <v>IDA</v>
          </cell>
          <cell r="L669" t="str">
            <v>AUT</v>
          </cell>
          <cell r="P669">
            <v>0</v>
          </cell>
          <cell r="Q669" t="str">
            <v>pxm</v>
          </cell>
          <cell r="S669">
            <v>285</v>
          </cell>
          <cell r="T669">
            <v>1</v>
          </cell>
          <cell r="U669">
            <v>0</v>
          </cell>
          <cell r="V669">
            <v>0</v>
          </cell>
          <cell r="W669">
            <v>0</v>
          </cell>
          <cell r="X669">
            <v>0</v>
          </cell>
          <cell r="Y669">
            <v>0</v>
          </cell>
          <cell r="Z669">
            <v>0</v>
          </cell>
          <cell r="AA669">
            <v>0</v>
          </cell>
          <cell r="AB669">
            <v>0</v>
          </cell>
          <cell r="AC669">
            <v>0</v>
          </cell>
          <cell r="AD669">
            <v>0</v>
          </cell>
          <cell r="AE669">
            <v>0</v>
          </cell>
          <cell r="AF669">
            <v>0</v>
          </cell>
          <cell r="AH669">
            <v>0</v>
          </cell>
        </row>
        <row r="670">
          <cell r="B670" t="str">
            <v>ST/ETFP</v>
          </cell>
          <cell r="C670" t="str">
            <v>B2B</v>
          </cell>
          <cell r="D670" t="str">
            <v>B2BC</v>
          </cell>
          <cell r="E670" t="str">
            <v>ENI KIN</v>
          </cell>
          <cell r="G670">
            <v>25</v>
          </cell>
          <cell r="H670" t="str">
            <v xml:space="preserve">ENI Indemnité 150  PEN pour 3 mois de session de vacances/an </v>
          </cell>
          <cell r="I670" t="str">
            <v>DNFPPP</v>
          </cell>
          <cell r="K670" t="str">
            <v>IDA</v>
          </cell>
          <cell r="L670" t="str">
            <v>AUT</v>
          </cell>
          <cell r="P670">
            <v>0</v>
          </cell>
          <cell r="Q670" t="str">
            <v>pxm</v>
          </cell>
          <cell r="S670">
            <v>285</v>
          </cell>
          <cell r="T670">
            <v>1</v>
          </cell>
          <cell r="U670">
            <v>0</v>
          </cell>
          <cell r="V670">
            <v>0</v>
          </cell>
          <cell r="W670">
            <v>0</v>
          </cell>
          <cell r="X670">
            <v>0</v>
          </cell>
          <cell r="Y670">
            <v>0</v>
          </cell>
          <cell r="Z670">
            <v>0</v>
          </cell>
          <cell r="AA670">
            <v>0</v>
          </cell>
          <cell r="AB670">
            <v>0</v>
          </cell>
          <cell r="AC670">
            <v>0</v>
          </cell>
          <cell r="AD670">
            <v>0</v>
          </cell>
          <cell r="AE670">
            <v>0</v>
          </cell>
          <cell r="AF670">
            <v>0</v>
          </cell>
          <cell r="AH670">
            <v>0</v>
          </cell>
        </row>
        <row r="671">
          <cell r="B671" t="str">
            <v>ST/ETFP</v>
          </cell>
          <cell r="C671" t="str">
            <v>B2B</v>
          </cell>
          <cell r="D671" t="str">
            <v>B2BC</v>
          </cell>
          <cell r="E671" t="str">
            <v>ENI LAB</v>
          </cell>
          <cell r="G671">
            <v>25</v>
          </cell>
          <cell r="H671" t="str">
            <v xml:space="preserve">ENI Indemnité 150  PEN pour 3 mois de session de vacances/an </v>
          </cell>
          <cell r="I671" t="str">
            <v>DNFPPP</v>
          </cell>
          <cell r="K671" t="str">
            <v>IDA</v>
          </cell>
          <cell r="L671" t="str">
            <v>AUT</v>
          </cell>
          <cell r="P671">
            <v>0</v>
          </cell>
          <cell r="Q671" t="str">
            <v>pxm</v>
          </cell>
          <cell r="S671">
            <v>285</v>
          </cell>
          <cell r="T671">
            <v>1</v>
          </cell>
          <cell r="U671">
            <v>0</v>
          </cell>
          <cell r="V671">
            <v>0</v>
          </cell>
          <cell r="W671">
            <v>0</v>
          </cell>
          <cell r="X671">
            <v>0</v>
          </cell>
          <cell r="Y671">
            <v>0</v>
          </cell>
          <cell r="Z671">
            <v>0</v>
          </cell>
          <cell r="AA671">
            <v>0</v>
          </cell>
          <cell r="AB671">
            <v>0</v>
          </cell>
          <cell r="AC671">
            <v>0</v>
          </cell>
          <cell r="AD671">
            <v>0</v>
          </cell>
          <cell r="AE671">
            <v>0</v>
          </cell>
          <cell r="AF671">
            <v>0</v>
          </cell>
          <cell r="AH671">
            <v>0</v>
          </cell>
        </row>
        <row r="672">
          <cell r="B672" t="str">
            <v>ST/ETFP</v>
          </cell>
          <cell r="C672" t="str">
            <v>B2B</v>
          </cell>
          <cell r="D672" t="str">
            <v>B2BC</v>
          </cell>
          <cell r="E672" t="str">
            <v>ENI NZE</v>
          </cell>
          <cell r="G672">
            <v>25</v>
          </cell>
          <cell r="H672" t="str">
            <v xml:space="preserve">ENI Indemnité 150  PEN pour 3 mois de session de vacances/an </v>
          </cell>
          <cell r="I672" t="str">
            <v>DNFPPP</v>
          </cell>
          <cell r="K672" t="str">
            <v>IDA</v>
          </cell>
          <cell r="L672" t="str">
            <v>AUT</v>
          </cell>
          <cell r="P672">
            <v>0</v>
          </cell>
          <cell r="Q672" t="str">
            <v>pxm</v>
          </cell>
          <cell r="S672">
            <v>285</v>
          </cell>
          <cell r="T672">
            <v>1</v>
          </cell>
          <cell r="U672">
            <v>0</v>
          </cell>
          <cell r="V672">
            <v>0</v>
          </cell>
          <cell r="W672">
            <v>0</v>
          </cell>
          <cell r="X672">
            <v>0</v>
          </cell>
          <cell r="Y672">
            <v>0</v>
          </cell>
          <cell r="Z672">
            <v>0</v>
          </cell>
          <cell r="AA672">
            <v>0</v>
          </cell>
          <cell r="AB672">
            <v>0</v>
          </cell>
          <cell r="AC672">
            <v>0</v>
          </cell>
          <cell r="AD672">
            <v>0</v>
          </cell>
          <cell r="AE672">
            <v>0</v>
          </cell>
          <cell r="AF672">
            <v>0</v>
          </cell>
          <cell r="AH672">
            <v>0</v>
          </cell>
        </row>
        <row r="673">
          <cell r="B673" t="str">
            <v>ST/ETFP</v>
          </cell>
          <cell r="C673" t="str">
            <v>B2B</v>
          </cell>
          <cell r="D673" t="str">
            <v>B2BC</v>
          </cell>
          <cell r="E673" t="str">
            <v>ENI BOK</v>
          </cell>
          <cell r="G673">
            <v>25</v>
          </cell>
          <cell r="H673" t="str">
            <v xml:space="preserve">ENI Classes de vacances 3 classes pour 8 ENI   </v>
          </cell>
          <cell r="I673" t="str">
            <v>DNFPPP</v>
          </cell>
          <cell r="K673" t="str">
            <v>IDA</v>
          </cell>
          <cell r="L673" t="str">
            <v>AUT</v>
          </cell>
          <cell r="P673">
            <v>0</v>
          </cell>
          <cell r="Q673" t="str">
            <v>classe</v>
          </cell>
          <cell r="S673">
            <v>1200</v>
          </cell>
          <cell r="T673">
            <v>1</v>
          </cell>
          <cell r="U673">
            <v>0</v>
          </cell>
          <cell r="V673">
            <v>0</v>
          </cell>
          <cell r="W673">
            <v>0</v>
          </cell>
          <cell r="X673">
            <v>0</v>
          </cell>
          <cell r="Y673">
            <v>0</v>
          </cell>
          <cell r="Z673">
            <v>0</v>
          </cell>
          <cell r="AA673">
            <v>0</v>
          </cell>
          <cell r="AB673">
            <v>0</v>
          </cell>
          <cell r="AC673">
            <v>0</v>
          </cell>
          <cell r="AD673">
            <v>0</v>
          </cell>
          <cell r="AE673">
            <v>0</v>
          </cell>
          <cell r="AF673">
            <v>0</v>
          </cell>
          <cell r="AH673">
            <v>0</v>
          </cell>
        </row>
        <row r="674">
          <cell r="B674" t="str">
            <v>ST/ETFP</v>
          </cell>
          <cell r="C674" t="str">
            <v>B2B</v>
          </cell>
          <cell r="D674" t="str">
            <v>B2BC</v>
          </cell>
          <cell r="E674" t="str">
            <v>ENI CKY</v>
          </cell>
          <cell r="G674">
            <v>25</v>
          </cell>
          <cell r="H674" t="str">
            <v xml:space="preserve">ENI Classes de vacances 3 classes pour 8 ENI   </v>
          </cell>
          <cell r="I674" t="str">
            <v>DNFPPP</v>
          </cell>
          <cell r="K674" t="str">
            <v>IDA</v>
          </cell>
          <cell r="L674" t="str">
            <v>AUT</v>
          </cell>
          <cell r="P674">
            <v>0</v>
          </cell>
          <cell r="Q674" t="str">
            <v>classe</v>
          </cell>
          <cell r="S674">
            <v>1200</v>
          </cell>
          <cell r="T674">
            <v>1</v>
          </cell>
          <cell r="U674">
            <v>0</v>
          </cell>
          <cell r="V674">
            <v>0</v>
          </cell>
          <cell r="W674">
            <v>0</v>
          </cell>
          <cell r="X674">
            <v>0</v>
          </cell>
          <cell r="Y674">
            <v>0</v>
          </cell>
          <cell r="Z674">
            <v>0</v>
          </cell>
          <cell r="AA674">
            <v>0</v>
          </cell>
          <cell r="AB674">
            <v>0</v>
          </cell>
          <cell r="AC674">
            <v>0</v>
          </cell>
          <cell r="AD674">
            <v>0</v>
          </cell>
          <cell r="AE674">
            <v>0</v>
          </cell>
          <cell r="AF674">
            <v>0</v>
          </cell>
          <cell r="AH674">
            <v>0</v>
          </cell>
        </row>
        <row r="675">
          <cell r="B675" t="str">
            <v>ST/ETFP</v>
          </cell>
          <cell r="C675" t="str">
            <v>B2B</v>
          </cell>
          <cell r="D675" t="str">
            <v>B2BC</v>
          </cell>
          <cell r="E675" t="str">
            <v>ENI DUB</v>
          </cell>
          <cell r="G675">
            <v>25</v>
          </cell>
          <cell r="H675" t="str">
            <v xml:space="preserve">ENI Classes de vacances 3 classes pour 8 ENI   </v>
          </cell>
          <cell r="I675" t="str">
            <v>DNFPPP</v>
          </cell>
          <cell r="K675" t="str">
            <v>IDA</v>
          </cell>
          <cell r="L675" t="str">
            <v>AUT</v>
          </cell>
          <cell r="P675">
            <v>0</v>
          </cell>
          <cell r="Q675" t="str">
            <v>classe</v>
          </cell>
          <cell r="S675">
            <v>1200</v>
          </cell>
          <cell r="T675">
            <v>1</v>
          </cell>
          <cell r="U675">
            <v>0</v>
          </cell>
          <cell r="V675">
            <v>0</v>
          </cell>
          <cell r="W675">
            <v>0</v>
          </cell>
          <cell r="X675">
            <v>0</v>
          </cell>
          <cell r="Y675">
            <v>0</v>
          </cell>
          <cell r="Z675">
            <v>0</v>
          </cell>
          <cell r="AA675">
            <v>0</v>
          </cell>
          <cell r="AB675">
            <v>0</v>
          </cell>
          <cell r="AC675">
            <v>0</v>
          </cell>
          <cell r="AD675">
            <v>0</v>
          </cell>
          <cell r="AE675">
            <v>0</v>
          </cell>
          <cell r="AF675">
            <v>0</v>
          </cell>
          <cell r="AH675">
            <v>0</v>
          </cell>
        </row>
        <row r="676">
          <cell r="B676" t="str">
            <v>ST/ETFP</v>
          </cell>
          <cell r="C676" t="str">
            <v>B2B</v>
          </cell>
          <cell r="D676" t="str">
            <v>B2BC</v>
          </cell>
          <cell r="E676" t="str">
            <v>ENI FAR</v>
          </cell>
          <cell r="G676">
            <v>25</v>
          </cell>
          <cell r="H676" t="str">
            <v xml:space="preserve">ENI Classes de vacances 3 classes pour 8 ENI   </v>
          </cell>
          <cell r="I676" t="str">
            <v>DNFPPP</v>
          </cell>
          <cell r="K676" t="str">
            <v>IDA</v>
          </cell>
          <cell r="L676" t="str">
            <v>AUT</v>
          </cell>
          <cell r="P676">
            <v>0</v>
          </cell>
          <cell r="Q676" t="str">
            <v>classe</v>
          </cell>
          <cell r="S676">
            <v>1200</v>
          </cell>
          <cell r="T676">
            <v>1</v>
          </cell>
          <cell r="U676">
            <v>0</v>
          </cell>
          <cell r="V676">
            <v>0</v>
          </cell>
          <cell r="W676">
            <v>0</v>
          </cell>
          <cell r="X676">
            <v>0</v>
          </cell>
          <cell r="Y676">
            <v>0</v>
          </cell>
          <cell r="Z676">
            <v>0</v>
          </cell>
          <cell r="AA676">
            <v>0</v>
          </cell>
          <cell r="AB676">
            <v>0</v>
          </cell>
          <cell r="AC676">
            <v>0</v>
          </cell>
          <cell r="AD676">
            <v>0</v>
          </cell>
          <cell r="AE676">
            <v>0</v>
          </cell>
          <cell r="AF676">
            <v>0</v>
          </cell>
          <cell r="AH676">
            <v>0</v>
          </cell>
        </row>
        <row r="677">
          <cell r="B677" t="str">
            <v>ST/ETFP</v>
          </cell>
          <cell r="C677" t="str">
            <v>B2B</v>
          </cell>
          <cell r="D677" t="str">
            <v>B2BC</v>
          </cell>
          <cell r="E677" t="str">
            <v>ENI KAN</v>
          </cell>
          <cell r="G677">
            <v>25</v>
          </cell>
          <cell r="H677" t="str">
            <v xml:space="preserve">ENI Classes de vacances 3 classes pour 8 ENI   </v>
          </cell>
          <cell r="I677" t="str">
            <v>DNFPPP</v>
          </cell>
          <cell r="K677" t="str">
            <v>IDA</v>
          </cell>
          <cell r="L677" t="str">
            <v>AUT</v>
          </cell>
          <cell r="P677">
            <v>0</v>
          </cell>
          <cell r="Q677" t="str">
            <v>classe</v>
          </cell>
          <cell r="S677">
            <v>1200</v>
          </cell>
          <cell r="T677">
            <v>1</v>
          </cell>
          <cell r="U677">
            <v>0</v>
          </cell>
          <cell r="V677">
            <v>0</v>
          </cell>
          <cell r="W677">
            <v>0</v>
          </cell>
          <cell r="X677">
            <v>0</v>
          </cell>
          <cell r="Y677">
            <v>0</v>
          </cell>
          <cell r="Z677">
            <v>0</v>
          </cell>
          <cell r="AA677">
            <v>0</v>
          </cell>
          <cell r="AB677">
            <v>0</v>
          </cell>
          <cell r="AC677">
            <v>0</v>
          </cell>
          <cell r="AD677">
            <v>0</v>
          </cell>
          <cell r="AE677">
            <v>0</v>
          </cell>
          <cell r="AF677">
            <v>0</v>
          </cell>
          <cell r="AH677">
            <v>0</v>
          </cell>
        </row>
        <row r="678">
          <cell r="B678" t="str">
            <v>ST/ETFP</v>
          </cell>
          <cell r="C678" t="str">
            <v>B2B</v>
          </cell>
          <cell r="D678" t="str">
            <v>B2BC</v>
          </cell>
          <cell r="E678" t="str">
            <v>ENI KIN</v>
          </cell>
          <cell r="G678">
            <v>25</v>
          </cell>
          <cell r="H678" t="str">
            <v xml:space="preserve">ENI Classes de vacances 3 classes pour 8 ENI   </v>
          </cell>
          <cell r="I678" t="str">
            <v>DNFPPP</v>
          </cell>
          <cell r="K678" t="str">
            <v>IDA</v>
          </cell>
          <cell r="L678" t="str">
            <v>AUT</v>
          </cell>
          <cell r="P678">
            <v>0</v>
          </cell>
          <cell r="Q678" t="str">
            <v>classe</v>
          </cell>
          <cell r="S678">
            <v>1200</v>
          </cell>
          <cell r="T678">
            <v>1</v>
          </cell>
          <cell r="U678">
            <v>0</v>
          </cell>
          <cell r="V678">
            <v>0</v>
          </cell>
          <cell r="W678">
            <v>0</v>
          </cell>
          <cell r="X678">
            <v>0</v>
          </cell>
          <cell r="Y678">
            <v>0</v>
          </cell>
          <cell r="Z678">
            <v>0</v>
          </cell>
          <cell r="AA678">
            <v>0</v>
          </cell>
          <cell r="AB678">
            <v>0</v>
          </cell>
          <cell r="AC678">
            <v>0</v>
          </cell>
          <cell r="AD678">
            <v>0</v>
          </cell>
          <cell r="AE678">
            <v>0</v>
          </cell>
          <cell r="AF678">
            <v>0</v>
          </cell>
          <cell r="AH678">
            <v>0</v>
          </cell>
        </row>
        <row r="679">
          <cell r="B679" t="str">
            <v>ST/ETFP</v>
          </cell>
          <cell r="C679" t="str">
            <v>B2B</v>
          </cell>
          <cell r="D679" t="str">
            <v>B2BC</v>
          </cell>
          <cell r="E679" t="str">
            <v>ENI LAB</v>
          </cell>
          <cell r="G679">
            <v>25</v>
          </cell>
          <cell r="H679" t="str">
            <v xml:space="preserve">ENI Classes de vacances 3 classes pour 8 ENI   </v>
          </cell>
          <cell r="I679" t="str">
            <v>DNFPPP</v>
          </cell>
          <cell r="K679" t="str">
            <v>IDA</v>
          </cell>
          <cell r="L679" t="str">
            <v>AUT</v>
          </cell>
          <cell r="P679">
            <v>0</v>
          </cell>
          <cell r="Q679" t="str">
            <v>classe</v>
          </cell>
          <cell r="S679">
            <v>1200</v>
          </cell>
          <cell r="T679">
            <v>1</v>
          </cell>
          <cell r="U679">
            <v>0</v>
          </cell>
          <cell r="V679">
            <v>0</v>
          </cell>
          <cell r="W679">
            <v>0</v>
          </cell>
          <cell r="X679">
            <v>0</v>
          </cell>
          <cell r="Y679">
            <v>0</v>
          </cell>
          <cell r="Z679">
            <v>0</v>
          </cell>
          <cell r="AA679">
            <v>0</v>
          </cell>
          <cell r="AB679">
            <v>0</v>
          </cell>
          <cell r="AC679">
            <v>0</v>
          </cell>
          <cell r="AD679">
            <v>0</v>
          </cell>
          <cell r="AE679">
            <v>0</v>
          </cell>
          <cell r="AF679">
            <v>0</v>
          </cell>
          <cell r="AH679">
            <v>0</v>
          </cell>
        </row>
        <row r="680">
          <cell r="B680" t="str">
            <v>ST/ETFP</v>
          </cell>
          <cell r="C680" t="str">
            <v>B2B</v>
          </cell>
          <cell r="D680" t="str">
            <v>B2BC</v>
          </cell>
          <cell r="E680" t="str">
            <v>ENI NZE</v>
          </cell>
          <cell r="G680">
            <v>25</v>
          </cell>
          <cell r="H680" t="str">
            <v xml:space="preserve">ENI Classes de vacances 3 classes pour 8 ENI   </v>
          </cell>
          <cell r="I680" t="str">
            <v>DNFPPP</v>
          </cell>
          <cell r="K680" t="str">
            <v>IDA</v>
          </cell>
          <cell r="L680" t="str">
            <v>AUT</v>
          </cell>
          <cell r="P680">
            <v>0</v>
          </cell>
          <cell r="Q680" t="str">
            <v>classe</v>
          </cell>
          <cell r="S680">
            <v>1200</v>
          </cell>
          <cell r="T680">
            <v>1</v>
          </cell>
          <cell r="U680">
            <v>0</v>
          </cell>
          <cell r="V680">
            <v>0</v>
          </cell>
          <cell r="W680">
            <v>0</v>
          </cell>
          <cell r="X680">
            <v>0</v>
          </cell>
          <cell r="Y680">
            <v>0</v>
          </cell>
          <cell r="Z680">
            <v>0</v>
          </cell>
          <cell r="AA680">
            <v>0</v>
          </cell>
          <cell r="AB680">
            <v>0</v>
          </cell>
          <cell r="AC680">
            <v>0</v>
          </cell>
          <cell r="AD680">
            <v>0</v>
          </cell>
          <cell r="AE680">
            <v>0</v>
          </cell>
          <cell r="AF680">
            <v>0</v>
          </cell>
          <cell r="AH680">
            <v>0</v>
          </cell>
        </row>
        <row r="681">
          <cell r="B681" t="str">
            <v>ST/ETFP</v>
          </cell>
          <cell r="C681" t="str">
            <v>B2B</v>
          </cell>
          <cell r="D681" t="str">
            <v>B2BC</v>
          </cell>
          <cell r="E681" t="str">
            <v>ENI BOK</v>
          </cell>
          <cell r="G681">
            <v>25</v>
          </cell>
          <cell r="H681" t="str">
            <v xml:space="preserve">ENI Frais de fourniture individuelle trimestrielle de 100 superv CPMF  </v>
          </cell>
          <cell r="I681" t="str">
            <v>DNFPPP</v>
          </cell>
          <cell r="K681" t="str">
            <v>IDA</v>
          </cell>
          <cell r="L681" t="str">
            <v>AUT</v>
          </cell>
          <cell r="P681">
            <v>0</v>
          </cell>
          <cell r="Q681" t="str">
            <v>u</v>
          </cell>
          <cell r="S681">
            <v>80</v>
          </cell>
          <cell r="T681">
            <v>1</v>
          </cell>
          <cell r="U681">
            <v>0</v>
          </cell>
          <cell r="V681">
            <v>0</v>
          </cell>
          <cell r="W681">
            <v>0</v>
          </cell>
          <cell r="X681">
            <v>0</v>
          </cell>
          <cell r="Y681">
            <v>0</v>
          </cell>
          <cell r="Z681">
            <v>0</v>
          </cell>
          <cell r="AA681">
            <v>0</v>
          </cell>
          <cell r="AB681">
            <v>0</v>
          </cell>
          <cell r="AC681">
            <v>0</v>
          </cell>
          <cell r="AD681">
            <v>0</v>
          </cell>
          <cell r="AE681">
            <v>0</v>
          </cell>
          <cell r="AF681">
            <v>0</v>
          </cell>
          <cell r="AH681">
            <v>0</v>
          </cell>
        </row>
        <row r="682">
          <cell r="B682" t="str">
            <v>ST/ETFP</v>
          </cell>
          <cell r="C682" t="str">
            <v>B2B</v>
          </cell>
          <cell r="D682" t="str">
            <v>B2BC</v>
          </cell>
          <cell r="E682" t="str">
            <v>ENI CKY</v>
          </cell>
          <cell r="G682">
            <v>25</v>
          </cell>
          <cell r="H682" t="str">
            <v xml:space="preserve">ENI Frais de fourniture individuelle trimestrielle de 100 superv CPMF  </v>
          </cell>
          <cell r="I682" t="str">
            <v>DNFPPP</v>
          </cell>
          <cell r="K682" t="str">
            <v>IDA</v>
          </cell>
          <cell r="L682" t="str">
            <v>AUT</v>
          </cell>
          <cell r="P682">
            <v>0</v>
          </cell>
          <cell r="Q682" t="str">
            <v>u</v>
          </cell>
          <cell r="S682">
            <v>80</v>
          </cell>
          <cell r="T682">
            <v>1</v>
          </cell>
          <cell r="U682">
            <v>0</v>
          </cell>
          <cell r="V682">
            <v>0</v>
          </cell>
          <cell r="W682">
            <v>0</v>
          </cell>
          <cell r="X682">
            <v>0</v>
          </cell>
          <cell r="Y682">
            <v>0</v>
          </cell>
          <cell r="Z682">
            <v>0</v>
          </cell>
          <cell r="AA682">
            <v>0</v>
          </cell>
          <cell r="AB682">
            <v>0</v>
          </cell>
          <cell r="AC682">
            <v>0</v>
          </cell>
          <cell r="AD682">
            <v>0</v>
          </cell>
          <cell r="AE682">
            <v>0</v>
          </cell>
          <cell r="AF682">
            <v>0</v>
          </cell>
          <cell r="AH682">
            <v>0</v>
          </cell>
        </row>
        <row r="683">
          <cell r="B683" t="str">
            <v>ST/ETFP</v>
          </cell>
          <cell r="C683" t="str">
            <v>B2B</v>
          </cell>
          <cell r="D683" t="str">
            <v>B2BC</v>
          </cell>
          <cell r="E683" t="str">
            <v>ENI DUB</v>
          </cell>
          <cell r="G683">
            <v>25</v>
          </cell>
          <cell r="H683" t="str">
            <v xml:space="preserve">ENI Frais de fourniture individuelle trimestrielle de 100 superv CPMF  </v>
          </cell>
          <cell r="I683" t="str">
            <v>DNFPPP</v>
          </cell>
          <cell r="K683" t="str">
            <v>IDA</v>
          </cell>
          <cell r="L683" t="str">
            <v>AUT</v>
          </cell>
          <cell r="P683">
            <v>0</v>
          </cell>
          <cell r="Q683" t="str">
            <v>u</v>
          </cell>
          <cell r="S683">
            <v>80</v>
          </cell>
          <cell r="T683">
            <v>1</v>
          </cell>
          <cell r="U683">
            <v>0</v>
          </cell>
          <cell r="V683">
            <v>0</v>
          </cell>
          <cell r="W683">
            <v>0</v>
          </cell>
          <cell r="X683">
            <v>0</v>
          </cell>
          <cell r="Y683">
            <v>0</v>
          </cell>
          <cell r="Z683">
            <v>0</v>
          </cell>
          <cell r="AA683">
            <v>0</v>
          </cell>
          <cell r="AB683">
            <v>0</v>
          </cell>
          <cell r="AC683">
            <v>0</v>
          </cell>
          <cell r="AD683">
            <v>0</v>
          </cell>
          <cell r="AE683">
            <v>0</v>
          </cell>
          <cell r="AF683">
            <v>0</v>
          </cell>
          <cell r="AH683">
            <v>0</v>
          </cell>
        </row>
        <row r="684">
          <cell r="B684" t="str">
            <v>ST/ETFP</v>
          </cell>
          <cell r="C684" t="str">
            <v>B2B</v>
          </cell>
          <cell r="D684" t="str">
            <v>B2BC</v>
          </cell>
          <cell r="E684" t="str">
            <v>ENI FAR</v>
          </cell>
          <cell r="G684">
            <v>25</v>
          </cell>
          <cell r="H684" t="str">
            <v xml:space="preserve">ENI Frais de fourniture individuelle trimestrielle de 100 superv CPMF  </v>
          </cell>
          <cell r="I684" t="str">
            <v>DNFPPP</v>
          </cell>
          <cell r="K684" t="str">
            <v>IDA</v>
          </cell>
          <cell r="L684" t="str">
            <v>AUT</v>
          </cell>
          <cell r="P684">
            <v>0</v>
          </cell>
          <cell r="Q684" t="str">
            <v>u</v>
          </cell>
          <cell r="S684">
            <v>80</v>
          </cell>
          <cell r="T684">
            <v>1</v>
          </cell>
          <cell r="U684">
            <v>0</v>
          </cell>
          <cell r="V684">
            <v>0</v>
          </cell>
          <cell r="W684">
            <v>0</v>
          </cell>
          <cell r="X684">
            <v>0</v>
          </cell>
          <cell r="Y684">
            <v>0</v>
          </cell>
          <cell r="Z684">
            <v>0</v>
          </cell>
          <cell r="AA684">
            <v>0</v>
          </cell>
          <cell r="AB684">
            <v>0</v>
          </cell>
          <cell r="AC684">
            <v>0</v>
          </cell>
          <cell r="AD684">
            <v>0</v>
          </cell>
          <cell r="AE684">
            <v>0</v>
          </cell>
          <cell r="AF684">
            <v>0</v>
          </cell>
          <cell r="AH684">
            <v>0</v>
          </cell>
        </row>
        <row r="685">
          <cell r="B685" t="str">
            <v>ST/ETFP</v>
          </cell>
          <cell r="C685" t="str">
            <v>B2B</v>
          </cell>
          <cell r="D685" t="str">
            <v>B2BC</v>
          </cell>
          <cell r="E685" t="str">
            <v>ENI KAN</v>
          </cell>
          <cell r="G685">
            <v>25</v>
          </cell>
          <cell r="H685" t="str">
            <v xml:space="preserve">ENI Frais de fourniture individuelle trimestrielle de 100 superv CPMF  </v>
          </cell>
          <cell r="I685" t="str">
            <v>DNFPPP</v>
          </cell>
          <cell r="K685" t="str">
            <v>IDA</v>
          </cell>
          <cell r="L685" t="str">
            <v>AUT</v>
          </cell>
          <cell r="P685">
            <v>0</v>
          </cell>
          <cell r="Q685" t="str">
            <v>u</v>
          </cell>
          <cell r="S685">
            <v>80</v>
          </cell>
          <cell r="T685">
            <v>1</v>
          </cell>
          <cell r="U685">
            <v>0</v>
          </cell>
          <cell r="V685">
            <v>0</v>
          </cell>
          <cell r="W685">
            <v>0</v>
          </cell>
          <cell r="X685">
            <v>0</v>
          </cell>
          <cell r="Y685">
            <v>0</v>
          </cell>
          <cell r="Z685">
            <v>0</v>
          </cell>
          <cell r="AA685">
            <v>0</v>
          </cell>
          <cell r="AB685">
            <v>0</v>
          </cell>
          <cell r="AC685">
            <v>0</v>
          </cell>
          <cell r="AD685">
            <v>0</v>
          </cell>
          <cell r="AE685">
            <v>0</v>
          </cell>
          <cell r="AF685">
            <v>0</v>
          </cell>
          <cell r="AH685">
            <v>0</v>
          </cell>
        </row>
        <row r="686">
          <cell r="B686" t="str">
            <v>ST/ETFP</v>
          </cell>
          <cell r="C686" t="str">
            <v>B2B</v>
          </cell>
          <cell r="D686" t="str">
            <v>B2BC</v>
          </cell>
          <cell r="E686" t="str">
            <v>ENI KIN</v>
          </cell>
          <cell r="G686">
            <v>25</v>
          </cell>
          <cell r="H686" t="str">
            <v xml:space="preserve">ENI Frais de fourniture individuelle trimestrielle de 100 superv CPMF  </v>
          </cell>
          <cell r="I686" t="str">
            <v>DNFPPP</v>
          </cell>
          <cell r="K686" t="str">
            <v>IDA</v>
          </cell>
          <cell r="L686" t="str">
            <v>AUT</v>
          </cell>
          <cell r="P686">
            <v>0</v>
          </cell>
          <cell r="Q686" t="str">
            <v>u</v>
          </cell>
          <cell r="S686">
            <v>80</v>
          </cell>
          <cell r="T686">
            <v>1</v>
          </cell>
          <cell r="U686">
            <v>0</v>
          </cell>
          <cell r="V686">
            <v>0</v>
          </cell>
          <cell r="W686">
            <v>0</v>
          </cell>
          <cell r="X686">
            <v>0</v>
          </cell>
          <cell r="Y686">
            <v>0</v>
          </cell>
          <cell r="Z686">
            <v>0</v>
          </cell>
          <cell r="AA686">
            <v>0</v>
          </cell>
          <cell r="AB686">
            <v>0</v>
          </cell>
          <cell r="AC686">
            <v>0</v>
          </cell>
          <cell r="AD686">
            <v>0</v>
          </cell>
          <cell r="AE686">
            <v>0</v>
          </cell>
          <cell r="AF686">
            <v>0</v>
          </cell>
          <cell r="AH686">
            <v>0</v>
          </cell>
        </row>
        <row r="687">
          <cell r="B687" t="str">
            <v>ST/ETFP</v>
          </cell>
          <cell r="C687" t="str">
            <v>B2B</v>
          </cell>
          <cell r="D687" t="str">
            <v>B2BC</v>
          </cell>
          <cell r="E687" t="str">
            <v>ENI LAB</v>
          </cell>
          <cell r="G687">
            <v>25</v>
          </cell>
          <cell r="H687" t="str">
            <v xml:space="preserve">ENI Frais de fourniture individuelle trimestrielle de 100 superv CPMF  </v>
          </cell>
          <cell r="I687" t="str">
            <v>DNFPPP</v>
          </cell>
          <cell r="K687" t="str">
            <v>IDA</v>
          </cell>
          <cell r="L687" t="str">
            <v>AUT</v>
          </cell>
          <cell r="P687">
            <v>0</v>
          </cell>
          <cell r="Q687" t="str">
            <v>u</v>
          </cell>
          <cell r="S687">
            <v>80</v>
          </cell>
          <cell r="T687">
            <v>1</v>
          </cell>
          <cell r="U687">
            <v>0</v>
          </cell>
          <cell r="V687">
            <v>0</v>
          </cell>
          <cell r="W687">
            <v>0</v>
          </cell>
          <cell r="X687">
            <v>0</v>
          </cell>
          <cell r="Y687">
            <v>0</v>
          </cell>
          <cell r="Z687">
            <v>0</v>
          </cell>
          <cell r="AA687">
            <v>0</v>
          </cell>
          <cell r="AB687">
            <v>0</v>
          </cell>
          <cell r="AC687">
            <v>0</v>
          </cell>
          <cell r="AD687">
            <v>0</v>
          </cell>
          <cell r="AE687">
            <v>0</v>
          </cell>
          <cell r="AF687">
            <v>0</v>
          </cell>
          <cell r="AH687">
            <v>0</v>
          </cell>
        </row>
        <row r="688">
          <cell r="B688" t="str">
            <v>ST/ETFP</v>
          </cell>
          <cell r="C688" t="str">
            <v>B2B</v>
          </cell>
          <cell r="D688" t="str">
            <v>B2BC</v>
          </cell>
          <cell r="E688" t="str">
            <v>ENI NZE</v>
          </cell>
          <cell r="G688">
            <v>25</v>
          </cell>
          <cell r="H688" t="str">
            <v xml:space="preserve">ENI Frais de fourniture individuelle trimestrielle de 100 superv CPMF  </v>
          </cell>
          <cell r="I688" t="str">
            <v>DNFPPP</v>
          </cell>
          <cell r="K688" t="str">
            <v>IDA</v>
          </cell>
          <cell r="L688" t="str">
            <v>AUT</v>
          </cell>
          <cell r="P688">
            <v>0</v>
          </cell>
          <cell r="Q688" t="str">
            <v>u</v>
          </cell>
          <cell r="S688">
            <v>80</v>
          </cell>
          <cell r="T688">
            <v>1</v>
          </cell>
          <cell r="U688">
            <v>0</v>
          </cell>
          <cell r="V688">
            <v>0</v>
          </cell>
          <cell r="W688">
            <v>0</v>
          </cell>
          <cell r="X688">
            <v>0</v>
          </cell>
          <cell r="Y688">
            <v>0</v>
          </cell>
          <cell r="Z688">
            <v>0</v>
          </cell>
          <cell r="AA688">
            <v>0</v>
          </cell>
          <cell r="AB688">
            <v>0</v>
          </cell>
          <cell r="AC688">
            <v>0</v>
          </cell>
          <cell r="AD688">
            <v>0</v>
          </cell>
          <cell r="AE688">
            <v>0</v>
          </cell>
          <cell r="AF688">
            <v>0</v>
          </cell>
          <cell r="AH688">
            <v>0</v>
          </cell>
        </row>
        <row r="689">
          <cell r="B689" t="str">
            <v>ST/ETFP</v>
          </cell>
          <cell r="C689" t="str">
            <v>B2B</v>
          </cell>
          <cell r="D689" t="str">
            <v>B2BC</v>
          </cell>
          <cell r="E689" t="str">
            <v>ENI BOK</v>
          </cell>
          <cell r="G689">
            <v>25</v>
          </cell>
          <cell r="H689" t="str">
            <v xml:space="preserve">ENI Supervision pédag élèves maîtres carburant (100l/trimx116motos)   </v>
          </cell>
          <cell r="I689" t="str">
            <v>DNFPPP</v>
          </cell>
          <cell r="K689" t="str">
            <v>IDA</v>
          </cell>
          <cell r="L689" t="str">
            <v>COT</v>
          </cell>
          <cell r="P689">
            <v>0</v>
          </cell>
          <cell r="Q689" t="str">
            <v>litres</v>
          </cell>
          <cell r="S689">
            <v>4.9240000000000004</v>
          </cell>
          <cell r="T689">
            <v>1</v>
          </cell>
          <cell r="U689">
            <v>0</v>
          </cell>
          <cell r="V689">
            <v>0</v>
          </cell>
          <cell r="W689">
            <v>0</v>
          </cell>
          <cell r="X689">
            <v>0</v>
          </cell>
          <cell r="Y689">
            <v>0</v>
          </cell>
          <cell r="Z689">
            <v>0</v>
          </cell>
          <cell r="AA689">
            <v>0</v>
          </cell>
          <cell r="AB689">
            <v>0</v>
          </cell>
          <cell r="AC689">
            <v>0</v>
          </cell>
          <cell r="AD689">
            <v>0</v>
          </cell>
          <cell r="AE689">
            <v>0</v>
          </cell>
          <cell r="AF689">
            <v>0</v>
          </cell>
          <cell r="AH689">
            <v>0</v>
          </cell>
        </row>
        <row r="690">
          <cell r="B690" t="str">
            <v>ST/ETFP</v>
          </cell>
          <cell r="C690" t="str">
            <v>B2B</v>
          </cell>
          <cell r="D690" t="str">
            <v>B2BC</v>
          </cell>
          <cell r="E690" t="str">
            <v>ENI CKY</v>
          </cell>
          <cell r="G690">
            <v>25</v>
          </cell>
          <cell r="H690" t="str">
            <v xml:space="preserve">ENI Supervision pédag élèves maîtres carburant (100l/trimx116motos)   </v>
          </cell>
          <cell r="I690" t="str">
            <v>DNFPPP</v>
          </cell>
          <cell r="K690" t="str">
            <v>IDA</v>
          </cell>
          <cell r="L690" t="str">
            <v>COT</v>
          </cell>
          <cell r="P690">
            <v>0</v>
          </cell>
          <cell r="Q690" t="str">
            <v>litres</v>
          </cell>
          <cell r="S690">
            <v>4.9240000000000004</v>
          </cell>
          <cell r="T690">
            <v>1</v>
          </cell>
          <cell r="U690">
            <v>0</v>
          </cell>
          <cell r="V690">
            <v>0</v>
          </cell>
          <cell r="W690">
            <v>0</v>
          </cell>
          <cell r="X690">
            <v>0</v>
          </cell>
          <cell r="Y690">
            <v>0</v>
          </cell>
          <cell r="Z690">
            <v>0</v>
          </cell>
          <cell r="AA690">
            <v>0</v>
          </cell>
          <cell r="AB690">
            <v>0</v>
          </cell>
          <cell r="AC690">
            <v>0</v>
          </cell>
          <cell r="AD690">
            <v>0</v>
          </cell>
          <cell r="AE690">
            <v>0</v>
          </cell>
          <cell r="AF690">
            <v>0</v>
          </cell>
          <cell r="AH690">
            <v>0</v>
          </cell>
        </row>
        <row r="691">
          <cell r="B691" t="str">
            <v>ST/ETFP</v>
          </cell>
          <cell r="C691" t="str">
            <v>B2B</v>
          </cell>
          <cell r="D691" t="str">
            <v>B2BC</v>
          </cell>
          <cell r="E691" t="str">
            <v>ENI DUB</v>
          </cell>
          <cell r="G691">
            <v>25</v>
          </cell>
          <cell r="H691" t="str">
            <v xml:space="preserve">ENI Supervision pédag élèves maîtres carburant (100l/trimx116motos)   </v>
          </cell>
          <cell r="I691" t="str">
            <v>DNFPPP</v>
          </cell>
          <cell r="K691" t="str">
            <v>IDA</v>
          </cell>
          <cell r="L691" t="str">
            <v>COT</v>
          </cell>
          <cell r="P691">
            <v>0</v>
          </cell>
          <cell r="Q691" t="str">
            <v>litres</v>
          </cell>
          <cell r="S691">
            <v>4.9240000000000004</v>
          </cell>
          <cell r="T691">
            <v>1</v>
          </cell>
          <cell r="U691">
            <v>0</v>
          </cell>
          <cell r="V691">
            <v>0</v>
          </cell>
          <cell r="W691">
            <v>0</v>
          </cell>
          <cell r="X691">
            <v>0</v>
          </cell>
          <cell r="Y691">
            <v>0</v>
          </cell>
          <cell r="Z691">
            <v>0</v>
          </cell>
          <cell r="AA691">
            <v>0</v>
          </cell>
          <cell r="AB691">
            <v>0</v>
          </cell>
          <cell r="AC691">
            <v>0</v>
          </cell>
          <cell r="AD691">
            <v>0</v>
          </cell>
          <cell r="AE691">
            <v>0</v>
          </cell>
          <cell r="AF691">
            <v>0</v>
          </cell>
          <cell r="AH691">
            <v>0</v>
          </cell>
        </row>
        <row r="692">
          <cell r="B692" t="str">
            <v>ST/ETFP</v>
          </cell>
          <cell r="C692" t="str">
            <v>B2B</v>
          </cell>
          <cell r="D692" t="str">
            <v>B2BC</v>
          </cell>
          <cell r="E692" t="str">
            <v>ENI FAR</v>
          </cell>
          <cell r="G692">
            <v>25</v>
          </cell>
          <cell r="H692" t="str">
            <v xml:space="preserve">ENI Supervision pédag élèves maîtres carburant (100l/trimx116motos)   </v>
          </cell>
          <cell r="I692" t="str">
            <v>DNFPPP</v>
          </cell>
          <cell r="K692" t="str">
            <v>IDA</v>
          </cell>
          <cell r="L692" t="str">
            <v>COT</v>
          </cell>
          <cell r="P692">
            <v>0</v>
          </cell>
          <cell r="Q692" t="str">
            <v>litres</v>
          </cell>
          <cell r="S692">
            <v>4.9240000000000004</v>
          </cell>
          <cell r="T692">
            <v>1</v>
          </cell>
          <cell r="U692">
            <v>0</v>
          </cell>
          <cell r="V692">
            <v>0</v>
          </cell>
          <cell r="W692">
            <v>0</v>
          </cell>
          <cell r="X692">
            <v>0</v>
          </cell>
          <cell r="Y692">
            <v>0</v>
          </cell>
          <cell r="Z692">
            <v>0</v>
          </cell>
          <cell r="AA692">
            <v>0</v>
          </cell>
          <cell r="AB692">
            <v>0</v>
          </cell>
          <cell r="AC692">
            <v>0</v>
          </cell>
          <cell r="AD692">
            <v>0</v>
          </cell>
          <cell r="AE692">
            <v>0</v>
          </cell>
          <cell r="AF692">
            <v>0</v>
          </cell>
          <cell r="AH692">
            <v>0</v>
          </cell>
        </row>
        <row r="693">
          <cell r="B693" t="str">
            <v>ST/ETFP</v>
          </cell>
          <cell r="C693" t="str">
            <v>B2B</v>
          </cell>
          <cell r="D693" t="str">
            <v>B2BC</v>
          </cell>
          <cell r="E693" t="str">
            <v>ENI KAN</v>
          </cell>
          <cell r="G693">
            <v>25</v>
          </cell>
          <cell r="H693" t="str">
            <v xml:space="preserve">ENI Supervision pédag élèves maîtres carburant (100l/trimx116motos)   </v>
          </cell>
          <cell r="I693" t="str">
            <v>DNFPPP</v>
          </cell>
          <cell r="K693" t="str">
            <v>IDA</v>
          </cell>
          <cell r="L693" t="str">
            <v>COT</v>
          </cell>
          <cell r="P693">
            <v>0</v>
          </cell>
          <cell r="Q693" t="str">
            <v>litres</v>
          </cell>
          <cell r="S693">
            <v>4.9240000000000004</v>
          </cell>
          <cell r="T693">
            <v>1</v>
          </cell>
          <cell r="U693">
            <v>0</v>
          </cell>
          <cell r="V693">
            <v>0</v>
          </cell>
          <cell r="W693">
            <v>0</v>
          </cell>
          <cell r="X693">
            <v>0</v>
          </cell>
          <cell r="Y693">
            <v>0</v>
          </cell>
          <cell r="Z693">
            <v>0</v>
          </cell>
          <cell r="AA693">
            <v>0</v>
          </cell>
          <cell r="AB693">
            <v>0</v>
          </cell>
          <cell r="AC693">
            <v>0</v>
          </cell>
          <cell r="AD693">
            <v>0</v>
          </cell>
          <cell r="AE693">
            <v>0</v>
          </cell>
          <cell r="AF693">
            <v>0</v>
          </cell>
          <cell r="AH693">
            <v>0</v>
          </cell>
        </row>
        <row r="694">
          <cell r="B694" t="str">
            <v>ST/ETFP</v>
          </cell>
          <cell r="C694" t="str">
            <v>B2B</v>
          </cell>
          <cell r="D694" t="str">
            <v>B2BC</v>
          </cell>
          <cell r="E694" t="str">
            <v>ENI KIN</v>
          </cell>
          <cell r="G694">
            <v>25</v>
          </cell>
          <cell r="H694" t="str">
            <v xml:space="preserve">ENI Supervision pédag élèves maîtres carburant (100l/trimx116motos)   </v>
          </cell>
          <cell r="I694" t="str">
            <v>DNFPPP</v>
          </cell>
          <cell r="K694" t="str">
            <v>IDA</v>
          </cell>
          <cell r="L694" t="str">
            <v>COT</v>
          </cell>
          <cell r="P694">
            <v>0</v>
          </cell>
          <cell r="Q694" t="str">
            <v>litres</v>
          </cell>
          <cell r="S694">
            <v>4.9240000000000004</v>
          </cell>
          <cell r="T694">
            <v>1</v>
          </cell>
          <cell r="U694">
            <v>0</v>
          </cell>
          <cell r="V694">
            <v>0</v>
          </cell>
          <cell r="W694">
            <v>0</v>
          </cell>
          <cell r="X694">
            <v>0</v>
          </cell>
          <cell r="Y694">
            <v>0</v>
          </cell>
          <cell r="Z694">
            <v>0</v>
          </cell>
          <cell r="AA694">
            <v>0</v>
          </cell>
          <cell r="AB694">
            <v>0</v>
          </cell>
          <cell r="AC694">
            <v>0</v>
          </cell>
          <cell r="AD694">
            <v>0</v>
          </cell>
          <cell r="AE694">
            <v>0</v>
          </cell>
          <cell r="AF694">
            <v>0</v>
          </cell>
          <cell r="AH694">
            <v>0</v>
          </cell>
        </row>
        <row r="695">
          <cell r="B695" t="str">
            <v>ST/ETFP</v>
          </cell>
          <cell r="C695" t="str">
            <v>B2B</v>
          </cell>
          <cell r="D695" t="str">
            <v>B2BC</v>
          </cell>
          <cell r="E695" t="str">
            <v>ENI LAB</v>
          </cell>
          <cell r="G695">
            <v>25</v>
          </cell>
          <cell r="H695" t="str">
            <v xml:space="preserve">ENI Supervision pédag élèves maîtres carburant (100l/trimx116motos)   </v>
          </cell>
          <cell r="I695" t="str">
            <v>DNFPPP</v>
          </cell>
          <cell r="K695" t="str">
            <v>IDA</v>
          </cell>
          <cell r="L695" t="str">
            <v>COT</v>
          </cell>
          <cell r="P695">
            <v>0</v>
          </cell>
          <cell r="Q695" t="str">
            <v>litres</v>
          </cell>
          <cell r="S695">
            <v>4.9240000000000004</v>
          </cell>
          <cell r="T695">
            <v>1</v>
          </cell>
          <cell r="U695">
            <v>0</v>
          </cell>
          <cell r="V695">
            <v>0</v>
          </cell>
          <cell r="W695">
            <v>0</v>
          </cell>
          <cell r="X695">
            <v>0</v>
          </cell>
          <cell r="Y695">
            <v>0</v>
          </cell>
          <cell r="Z695">
            <v>0</v>
          </cell>
          <cell r="AA695">
            <v>0</v>
          </cell>
          <cell r="AB695">
            <v>0</v>
          </cell>
          <cell r="AC695">
            <v>0</v>
          </cell>
          <cell r="AD695">
            <v>0</v>
          </cell>
          <cell r="AE695">
            <v>0</v>
          </cell>
          <cell r="AF695">
            <v>0</v>
          </cell>
          <cell r="AH695">
            <v>0</v>
          </cell>
        </row>
        <row r="696">
          <cell r="B696" t="str">
            <v>ST/ETFP</v>
          </cell>
          <cell r="C696" t="str">
            <v>B2B</v>
          </cell>
          <cell r="D696" t="str">
            <v>B2BC</v>
          </cell>
          <cell r="E696" t="str">
            <v>ENI NZE</v>
          </cell>
          <cell r="G696">
            <v>25</v>
          </cell>
          <cell r="H696" t="str">
            <v xml:space="preserve">ENI Supervision pédag élèves maîtres carburant (100l/trimx116motos)   </v>
          </cell>
          <cell r="I696" t="str">
            <v>DNFPPP</v>
          </cell>
          <cell r="K696" t="str">
            <v>IDA</v>
          </cell>
          <cell r="L696" t="str">
            <v>COT</v>
          </cell>
          <cell r="P696">
            <v>0</v>
          </cell>
          <cell r="Q696" t="str">
            <v>litres</v>
          </cell>
          <cell r="S696">
            <v>4.9240000000000004</v>
          </cell>
          <cell r="T696">
            <v>1</v>
          </cell>
          <cell r="U696">
            <v>0</v>
          </cell>
          <cell r="V696">
            <v>0</v>
          </cell>
          <cell r="W696">
            <v>0</v>
          </cell>
          <cell r="X696">
            <v>0</v>
          </cell>
          <cell r="Y696">
            <v>0</v>
          </cell>
          <cell r="Z696">
            <v>0</v>
          </cell>
          <cell r="AA696">
            <v>0</v>
          </cell>
          <cell r="AB696">
            <v>0</v>
          </cell>
          <cell r="AC696">
            <v>0</v>
          </cell>
          <cell r="AD696">
            <v>0</v>
          </cell>
          <cell r="AE696">
            <v>0</v>
          </cell>
          <cell r="AF696">
            <v>0</v>
          </cell>
          <cell r="AH696">
            <v>0</v>
          </cell>
        </row>
        <row r="697">
          <cell r="B697" t="str">
            <v>ST/ETFP</v>
          </cell>
          <cell r="C697" t="str">
            <v>B2B</v>
          </cell>
          <cell r="D697" t="str">
            <v>B2BC</v>
          </cell>
          <cell r="E697" t="str">
            <v>ENI BOK</v>
          </cell>
          <cell r="G697">
            <v>15</v>
          </cell>
          <cell r="H697" t="str">
            <v xml:space="preserve">ENI Mission de suivi de proximité 225él x 1vis x2vis/j                                                       </v>
          </cell>
          <cell r="I697" t="str">
            <v>DNFPPP</v>
          </cell>
          <cell r="K697" t="str">
            <v>IDA</v>
          </cell>
          <cell r="L697" t="str">
            <v>AUT</v>
          </cell>
          <cell r="P697">
            <v>0</v>
          </cell>
          <cell r="Q697" t="str">
            <v>pxj</v>
          </cell>
          <cell r="S697">
            <v>98.48</v>
          </cell>
          <cell r="T697">
            <v>0.9</v>
          </cell>
          <cell r="U697">
            <v>0</v>
          </cell>
          <cell r="V697">
            <v>0</v>
          </cell>
          <cell r="W697">
            <v>0</v>
          </cell>
          <cell r="X697">
            <v>0</v>
          </cell>
          <cell r="Y697">
            <v>0</v>
          </cell>
          <cell r="Z697">
            <v>0</v>
          </cell>
          <cell r="AA697">
            <v>0</v>
          </cell>
          <cell r="AB697">
            <v>0</v>
          </cell>
          <cell r="AC697">
            <v>0</v>
          </cell>
          <cell r="AD697">
            <v>0</v>
          </cell>
          <cell r="AE697">
            <v>0</v>
          </cell>
          <cell r="AF697">
            <v>0</v>
          </cell>
          <cell r="AH697">
            <v>0</v>
          </cell>
        </row>
        <row r="698">
          <cell r="B698" t="str">
            <v>ST/ETFP</v>
          </cell>
          <cell r="C698" t="str">
            <v>B2B</v>
          </cell>
          <cell r="D698" t="str">
            <v>B2BC</v>
          </cell>
          <cell r="E698" t="str">
            <v>ENI CKY</v>
          </cell>
          <cell r="G698">
            <v>15</v>
          </cell>
          <cell r="H698" t="str">
            <v xml:space="preserve">ENI Mission de suivi de proximité 225él x 1vis x2vis/j                                                       </v>
          </cell>
          <cell r="I698" t="str">
            <v>DNFPPP</v>
          </cell>
          <cell r="K698" t="str">
            <v>IDA</v>
          </cell>
          <cell r="L698" t="str">
            <v>AUT</v>
          </cell>
          <cell r="P698">
            <v>0</v>
          </cell>
          <cell r="Q698" t="str">
            <v>pxj</v>
          </cell>
          <cell r="S698">
            <v>98.48</v>
          </cell>
          <cell r="T698">
            <v>0.9</v>
          </cell>
          <cell r="U698">
            <v>0</v>
          </cell>
          <cell r="V698">
            <v>0</v>
          </cell>
          <cell r="W698">
            <v>0</v>
          </cell>
          <cell r="X698">
            <v>0</v>
          </cell>
          <cell r="Y698">
            <v>0</v>
          </cell>
          <cell r="Z698">
            <v>0</v>
          </cell>
          <cell r="AA698">
            <v>0</v>
          </cell>
          <cell r="AB698">
            <v>0</v>
          </cell>
          <cell r="AC698">
            <v>0</v>
          </cell>
          <cell r="AD698">
            <v>0</v>
          </cell>
          <cell r="AE698">
            <v>0</v>
          </cell>
          <cell r="AF698">
            <v>0</v>
          </cell>
          <cell r="AH698">
            <v>0</v>
          </cell>
        </row>
        <row r="699">
          <cell r="B699" t="str">
            <v>ST/ETFP</v>
          </cell>
          <cell r="C699" t="str">
            <v>B2B</v>
          </cell>
          <cell r="D699" t="str">
            <v>B2BC</v>
          </cell>
          <cell r="E699" t="str">
            <v>ENI DUB</v>
          </cell>
          <cell r="G699">
            <v>15</v>
          </cell>
          <cell r="H699" t="str">
            <v xml:space="preserve">ENI Mission de suivi de proximité 225él x 1vis x2vis/j                                                       </v>
          </cell>
          <cell r="I699" t="str">
            <v>DNFPPP</v>
          </cell>
          <cell r="K699" t="str">
            <v>IDA</v>
          </cell>
          <cell r="L699" t="str">
            <v>AUT</v>
          </cell>
          <cell r="P699">
            <v>0</v>
          </cell>
          <cell r="Q699" t="str">
            <v>pxj</v>
          </cell>
          <cell r="S699">
            <v>98.48</v>
          </cell>
          <cell r="T699">
            <v>0.9</v>
          </cell>
          <cell r="U699">
            <v>0</v>
          </cell>
          <cell r="V699">
            <v>0</v>
          </cell>
          <cell r="W699">
            <v>0</v>
          </cell>
          <cell r="X699">
            <v>0</v>
          </cell>
          <cell r="Y699">
            <v>0</v>
          </cell>
          <cell r="Z699">
            <v>0</v>
          </cell>
          <cell r="AA699">
            <v>0</v>
          </cell>
          <cell r="AB699">
            <v>0</v>
          </cell>
          <cell r="AC699">
            <v>0</v>
          </cell>
          <cell r="AD699">
            <v>0</v>
          </cell>
          <cell r="AE699">
            <v>0</v>
          </cell>
          <cell r="AF699">
            <v>0</v>
          </cell>
          <cell r="AH699">
            <v>0</v>
          </cell>
        </row>
        <row r="700">
          <cell r="B700" t="str">
            <v>ST/ETFP</v>
          </cell>
          <cell r="C700" t="str">
            <v>B2B</v>
          </cell>
          <cell r="D700" t="str">
            <v>B2BC</v>
          </cell>
          <cell r="E700" t="str">
            <v>ENI FAR</v>
          </cell>
          <cell r="G700">
            <v>15</v>
          </cell>
          <cell r="H700" t="str">
            <v xml:space="preserve">ENI Mission de suivi de proximité 225él x 1vis x2vis/j                                                       </v>
          </cell>
          <cell r="I700" t="str">
            <v>DNFPPP</v>
          </cell>
          <cell r="K700" t="str">
            <v>IDA</v>
          </cell>
          <cell r="L700" t="str">
            <v>AUT</v>
          </cell>
          <cell r="P700">
            <v>0</v>
          </cell>
          <cell r="Q700" t="str">
            <v>pxj</v>
          </cell>
          <cell r="S700">
            <v>98.48</v>
          </cell>
          <cell r="T700">
            <v>0.9</v>
          </cell>
          <cell r="U700">
            <v>0</v>
          </cell>
          <cell r="V700">
            <v>0</v>
          </cell>
          <cell r="W700">
            <v>0</v>
          </cell>
          <cell r="X700">
            <v>0</v>
          </cell>
          <cell r="Y700">
            <v>0</v>
          </cell>
          <cell r="Z700">
            <v>0</v>
          </cell>
          <cell r="AA700">
            <v>0</v>
          </cell>
          <cell r="AB700">
            <v>0</v>
          </cell>
          <cell r="AC700">
            <v>0</v>
          </cell>
          <cell r="AD700">
            <v>0</v>
          </cell>
          <cell r="AE700">
            <v>0</v>
          </cell>
          <cell r="AF700">
            <v>0</v>
          </cell>
          <cell r="AH700">
            <v>0</v>
          </cell>
        </row>
        <row r="701">
          <cell r="B701" t="str">
            <v>ST/ETFP</v>
          </cell>
          <cell r="C701" t="str">
            <v>B2B</v>
          </cell>
          <cell r="D701" t="str">
            <v>B2BC</v>
          </cell>
          <cell r="E701" t="str">
            <v>ENI KAN</v>
          </cell>
          <cell r="G701">
            <v>15</v>
          </cell>
          <cell r="H701" t="str">
            <v xml:space="preserve">ENI Mission de suivi de proximité 225él x 1vis x2vis/j                                                       </v>
          </cell>
          <cell r="I701" t="str">
            <v>DNFPPP</v>
          </cell>
          <cell r="K701" t="str">
            <v>IDA</v>
          </cell>
          <cell r="L701" t="str">
            <v>AUT</v>
          </cell>
          <cell r="P701">
            <v>0</v>
          </cell>
          <cell r="Q701" t="str">
            <v>pxj</v>
          </cell>
          <cell r="S701">
            <v>98.48</v>
          </cell>
          <cell r="T701">
            <v>0.9</v>
          </cell>
          <cell r="U701">
            <v>0</v>
          </cell>
          <cell r="V701">
            <v>0</v>
          </cell>
          <cell r="W701">
            <v>0</v>
          </cell>
          <cell r="X701">
            <v>0</v>
          </cell>
          <cell r="Y701">
            <v>0</v>
          </cell>
          <cell r="Z701">
            <v>0</v>
          </cell>
          <cell r="AA701">
            <v>0</v>
          </cell>
          <cell r="AB701">
            <v>0</v>
          </cell>
          <cell r="AC701">
            <v>0</v>
          </cell>
          <cell r="AD701">
            <v>0</v>
          </cell>
          <cell r="AE701">
            <v>0</v>
          </cell>
          <cell r="AF701">
            <v>0</v>
          </cell>
          <cell r="AH701">
            <v>0</v>
          </cell>
        </row>
        <row r="702">
          <cell r="B702" t="str">
            <v>ST/ETFP</v>
          </cell>
          <cell r="C702" t="str">
            <v>B2B</v>
          </cell>
          <cell r="D702" t="str">
            <v>B2BC</v>
          </cell>
          <cell r="E702" t="str">
            <v>ENI KIN</v>
          </cell>
          <cell r="G702">
            <v>15</v>
          </cell>
          <cell r="H702" t="str">
            <v xml:space="preserve">ENI Mission de suivi de proximité 225él x 1vis x2vis/j                                                       </v>
          </cell>
          <cell r="I702" t="str">
            <v>DNFPPP</v>
          </cell>
          <cell r="K702" t="str">
            <v>IDA</v>
          </cell>
          <cell r="L702" t="str">
            <v>AUT</v>
          </cell>
          <cell r="P702">
            <v>0</v>
          </cell>
          <cell r="Q702" t="str">
            <v>pxj</v>
          </cell>
          <cell r="S702">
            <v>98.48</v>
          </cell>
          <cell r="T702">
            <v>0.9</v>
          </cell>
          <cell r="U702">
            <v>0</v>
          </cell>
          <cell r="V702">
            <v>0</v>
          </cell>
          <cell r="W702">
            <v>0</v>
          </cell>
          <cell r="X702">
            <v>0</v>
          </cell>
          <cell r="Y702">
            <v>0</v>
          </cell>
          <cell r="Z702">
            <v>0</v>
          </cell>
          <cell r="AA702">
            <v>0</v>
          </cell>
          <cell r="AB702">
            <v>0</v>
          </cell>
          <cell r="AC702">
            <v>0</v>
          </cell>
          <cell r="AD702">
            <v>0</v>
          </cell>
          <cell r="AE702">
            <v>0</v>
          </cell>
          <cell r="AF702">
            <v>0</v>
          </cell>
          <cell r="AH702">
            <v>0</v>
          </cell>
        </row>
        <row r="703">
          <cell r="B703" t="str">
            <v>ST/ETFP</v>
          </cell>
          <cell r="C703" t="str">
            <v>B2B</v>
          </cell>
          <cell r="D703" t="str">
            <v>B2BC</v>
          </cell>
          <cell r="E703" t="str">
            <v>ENI LAB</v>
          </cell>
          <cell r="G703">
            <v>15</v>
          </cell>
          <cell r="H703" t="str">
            <v xml:space="preserve">ENI Mission de suivi de proximité 225él x 1vis x2vis/j                                                       </v>
          </cell>
          <cell r="I703" t="str">
            <v>DNFPPP</v>
          </cell>
          <cell r="K703" t="str">
            <v>IDA</v>
          </cell>
          <cell r="L703" t="str">
            <v>AUT</v>
          </cell>
          <cell r="P703">
            <v>0</v>
          </cell>
          <cell r="Q703" t="str">
            <v>pxj</v>
          </cell>
          <cell r="S703">
            <v>98.48</v>
          </cell>
          <cell r="T703">
            <v>0.9</v>
          </cell>
          <cell r="U703">
            <v>0</v>
          </cell>
          <cell r="V703">
            <v>0</v>
          </cell>
          <cell r="W703">
            <v>0</v>
          </cell>
          <cell r="X703">
            <v>0</v>
          </cell>
          <cell r="Y703">
            <v>0</v>
          </cell>
          <cell r="Z703">
            <v>0</v>
          </cell>
          <cell r="AA703">
            <v>0</v>
          </cell>
          <cell r="AB703">
            <v>0</v>
          </cell>
          <cell r="AC703">
            <v>0</v>
          </cell>
          <cell r="AD703">
            <v>0</v>
          </cell>
          <cell r="AE703">
            <v>0</v>
          </cell>
          <cell r="AF703">
            <v>0</v>
          </cell>
          <cell r="AH703">
            <v>0</v>
          </cell>
        </row>
        <row r="704">
          <cell r="B704" t="str">
            <v>ST/ETFP</v>
          </cell>
          <cell r="C704" t="str">
            <v>B2B</v>
          </cell>
          <cell r="D704" t="str">
            <v>B2BC</v>
          </cell>
          <cell r="E704" t="str">
            <v>ENI NZE</v>
          </cell>
          <cell r="G704">
            <v>15</v>
          </cell>
          <cell r="H704" t="str">
            <v xml:space="preserve">ENI Mission de suivi de proximité 225él x 1vis x2vis/j                                                       </v>
          </cell>
          <cell r="I704" t="str">
            <v>DNFPPP</v>
          </cell>
          <cell r="K704" t="str">
            <v>IDA</v>
          </cell>
          <cell r="L704" t="str">
            <v>AUT</v>
          </cell>
          <cell r="P704">
            <v>0</v>
          </cell>
          <cell r="Q704" t="str">
            <v>pxj</v>
          </cell>
          <cell r="S704">
            <v>98.48</v>
          </cell>
          <cell r="T704">
            <v>0.9</v>
          </cell>
          <cell r="U704">
            <v>0</v>
          </cell>
          <cell r="V704">
            <v>0</v>
          </cell>
          <cell r="W704">
            <v>0</v>
          </cell>
          <cell r="X704">
            <v>0</v>
          </cell>
          <cell r="Y704">
            <v>0</v>
          </cell>
          <cell r="Z704">
            <v>0</v>
          </cell>
          <cell r="AA704">
            <v>0</v>
          </cell>
          <cell r="AB704">
            <v>0</v>
          </cell>
          <cell r="AC704">
            <v>0</v>
          </cell>
          <cell r="AD704">
            <v>0</v>
          </cell>
          <cell r="AE704">
            <v>0</v>
          </cell>
          <cell r="AF704">
            <v>0</v>
          </cell>
          <cell r="AH704">
            <v>0</v>
          </cell>
        </row>
        <row r="705">
          <cell r="B705" t="str">
            <v>ST/ETFP</v>
          </cell>
          <cell r="C705" t="str">
            <v>B2B</v>
          </cell>
          <cell r="D705" t="str">
            <v>B2BB</v>
          </cell>
          <cell r="E705" t="str">
            <v>DNFPPP</v>
          </cell>
          <cell r="G705">
            <v>25</v>
          </cell>
          <cell r="H705" t="str">
            <v xml:space="preserve">Publication de "Ma classe" (4 publications par an)   </v>
          </cell>
          <cell r="I705" t="str">
            <v>DNFPPP</v>
          </cell>
          <cell r="K705" t="str">
            <v>IDA</v>
          </cell>
          <cell r="L705" t="str">
            <v>COT</v>
          </cell>
          <cell r="P705">
            <v>0</v>
          </cell>
          <cell r="Q705" t="str">
            <v>publ</v>
          </cell>
          <cell r="S705">
            <v>9347.8879924062639</v>
          </cell>
          <cell r="T705">
            <v>1</v>
          </cell>
          <cell r="U705">
            <v>0</v>
          </cell>
          <cell r="V705">
            <v>0</v>
          </cell>
          <cell r="W705">
            <v>0</v>
          </cell>
          <cell r="X705">
            <v>0</v>
          </cell>
          <cell r="Y705">
            <v>0</v>
          </cell>
          <cell r="Z705">
            <v>0</v>
          </cell>
          <cell r="AA705">
            <v>0</v>
          </cell>
          <cell r="AB705">
            <v>0</v>
          </cell>
          <cell r="AC705">
            <v>0</v>
          </cell>
          <cell r="AD705">
            <v>0</v>
          </cell>
          <cell r="AE705">
            <v>0</v>
          </cell>
          <cell r="AF705">
            <v>0</v>
          </cell>
          <cell r="AH705">
            <v>0</v>
          </cell>
        </row>
        <row r="706">
          <cell r="B706" t="str">
            <v>ST/ETFP</v>
          </cell>
          <cell r="C706" t="str">
            <v>B2B</v>
          </cell>
          <cell r="D706" t="str">
            <v>B2BA</v>
          </cell>
          <cell r="E706" t="str">
            <v>DNFPPP</v>
          </cell>
          <cell r="G706">
            <v>23</v>
          </cell>
          <cell r="H706" t="str">
            <v>ENI Comité scientifique de validation des modules de formation Assist nationale</v>
          </cell>
          <cell r="I706" t="str">
            <v>DNFPPP</v>
          </cell>
          <cell r="K706" t="str">
            <v>IDA</v>
          </cell>
          <cell r="L706" t="str">
            <v>AUT</v>
          </cell>
          <cell r="P706">
            <v>0</v>
          </cell>
          <cell r="Q706" t="str">
            <v>forfait</v>
          </cell>
          <cell r="S706">
            <v>73860</v>
          </cell>
          <cell r="T706">
            <v>0.8</v>
          </cell>
          <cell r="U706">
            <v>0</v>
          </cell>
          <cell r="V706">
            <v>0</v>
          </cell>
          <cell r="W706">
            <v>0</v>
          </cell>
          <cell r="X706">
            <v>0</v>
          </cell>
          <cell r="Y706">
            <v>0</v>
          </cell>
          <cell r="Z706">
            <v>0</v>
          </cell>
          <cell r="AA706">
            <v>0</v>
          </cell>
          <cell r="AB706">
            <v>0</v>
          </cell>
          <cell r="AC706">
            <v>0</v>
          </cell>
          <cell r="AD706">
            <v>0</v>
          </cell>
          <cell r="AE706">
            <v>0</v>
          </cell>
          <cell r="AF706">
            <v>0</v>
          </cell>
          <cell r="AH706">
            <v>0</v>
          </cell>
        </row>
        <row r="707">
          <cell r="B707" t="str">
            <v>ST/ETFP</v>
          </cell>
          <cell r="C707" t="str">
            <v>B2B</v>
          </cell>
          <cell r="D707" t="str">
            <v>B2BA</v>
          </cell>
          <cell r="E707" t="str">
            <v>DNFPPP</v>
          </cell>
          <cell r="G707">
            <v>25</v>
          </cell>
          <cell r="H707" t="str">
            <v>ENI Comité scientifique de validation des modules de formation Assist internationale</v>
          </cell>
          <cell r="I707" t="str">
            <v>DNFPPP</v>
          </cell>
          <cell r="K707" t="str">
            <v>IDA</v>
          </cell>
          <cell r="L707" t="str">
            <v>LR</v>
          </cell>
          <cell r="P707">
            <v>0</v>
          </cell>
          <cell r="Q707" t="str">
            <v>forfait</v>
          </cell>
          <cell r="S707">
            <v>246200.00000000003</v>
          </cell>
          <cell r="T707">
            <v>1</v>
          </cell>
          <cell r="U707">
            <v>0</v>
          </cell>
          <cell r="V707">
            <v>0</v>
          </cell>
          <cell r="W707">
            <v>0</v>
          </cell>
          <cell r="X707">
            <v>0</v>
          </cell>
          <cell r="Y707">
            <v>0</v>
          </cell>
          <cell r="Z707">
            <v>0</v>
          </cell>
          <cell r="AA707">
            <v>0</v>
          </cell>
          <cell r="AB707">
            <v>0</v>
          </cell>
          <cell r="AC707">
            <v>0</v>
          </cell>
          <cell r="AD707">
            <v>0</v>
          </cell>
          <cell r="AE707">
            <v>0</v>
          </cell>
          <cell r="AF707">
            <v>0</v>
          </cell>
          <cell r="AH707">
            <v>0</v>
          </cell>
        </row>
        <row r="708">
          <cell r="B708" t="str">
            <v>ST/ETFP</v>
          </cell>
          <cell r="C708" t="str">
            <v>B2B</v>
          </cell>
          <cell r="D708" t="str">
            <v>B2BA</v>
          </cell>
          <cell r="E708" t="str">
            <v>DNFPPP</v>
          </cell>
          <cell r="G708">
            <v>23</v>
          </cell>
          <cell r="H708" t="str">
            <v xml:space="preserve">ENI Reprod modules format 23 mod x100 pages x 200 ex  </v>
          </cell>
          <cell r="I708" t="str">
            <v>DNFPPP</v>
          </cell>
          <cell r="K708" t="str">
            <v>IDA</v>
          </cell>
          <cell r="L708" t="str">
            <v>COT</v>
          </cell>
          <cell r="P708">
            <v>0</v>
          </cell>
          <cell r="Q708" t="str">
            <v>ex</v>
          </cell>
          <cell r="S708">
            <v>11.68485999050783</v>
          </cell>
          <cell r="T708">
            <v>0.8</v>
          </cell>
          <cell r="U708">
            <v>0</v>
          </cell>
          <cell r="V708">
            <v>0</v>
          </cell>
          <cell r="W708">
            <v>0</v>
          </cell>
          <cell r="X708">
            <v>0</v>
          </cell>
          <cell r="Y708">
            <v>0</v>
          </cell>
          <cell r="Z708">
            <v>0</v>
          </cell>
          <cell r="AA708">
            <v>0</v>
          </cell>
          <cell r="AB708">
            <v>0</v>
          </cell>
          <cell r="AC708">
            <v>0</v>
          </cell>
          <cell r="AD708">
            <v>0</v>
          </cell>
          <cell r="AE708">
            <v>0</v>
          </cell>
          <cell r="AF708">
            <v>0</v>
          </cell>
          <cell r="AH708">
            <v>0</v>
          </cell>
        </row>
        <row r="709">
          <cell r="B709" t="str">
            <v>ST/ETFP</v>
          </cell>
          <cell r="C709" t="str">
            <v>B2B</v>
          </cell>
          <cell r="D709" t="str">
            <v>B2BD</v>
          </cell>
          <cell r="E709" t="str">
            <v>DNFPPP</v>
          </cell>
          <cell r="G709">
            <v>23</v>
          </cell>
          <cell r="H709" t="str">
            <v>ENI Séminaires de formation des PEN aux nouveaux modules</v>
          </cell>
          <cell r="I709" t="str">
            <v>DNFPPP</v>
          </cell>
          <cell r="K709" t="str">
            <v>IDA</v>
          </cell>
          <cell r="L709" t="str">
            <v>AUT</v>
          </cell>
          <cell r="P709">
            <v>0</v>
          </cell>
          <cell r="Q709" t="str">
            <v>forfait</v>
          </cell>
          <cell r="S709">
            <v>49240.000000000007</v>
          </cell>
          <cell r="T709">
            <v>0.8</v>
          </cell>
          <cell r="U709">
            <v>0</v>
          </cell>
          <cell r="V709">
            <v>0</v>
          </cell>
          <cell r="W709">
            <v>0</v>
          </cell>
          <cell r="X709">
            <v>0</v>
          </cell>
          <cell r="Y709">
            <v>0</v>
          </cell>
          <cell r="Z709">
            <v>0</v>
          </cell>
          <cell r="AA709">
            <v>0</v>
          </cell>
          <cell r="AB709">
            <v>0</v>
          </cell>
          <cell r="AC709">
            <v>0</v>
          </cell>
          <cell r="AD709">
            <v>0</v>
          </cell>
          <cell r="AE709">
            <v>0</v>
          </cell>
          <cell r="AF709">
            <v>0</v>
          </cell>
          <cell r="AH709">
            <v>0</v>
          </cell>
        </row>
        <row r="710">
          <cell r="B710" t="str">
            <v>ST/ETFP</v>
          </cell>
          <cell r="C710" t="str">
            <v>B2B</v>
          </cell>
          <cell r="D710" t="str">
            <v>B2BB</v>
          </cell>
          <cell r="E710" t="str">
            <v>DNFPPP</v>
          </cell>
          <cell r="G710">
            <v>25</v>
          </cell>
          <cell r="H710" t="str">
            <v>ENI Evaluation des apprentissages des élèves maîtres Experts internationaux</v>
          </cell>
          <cell r="I710" t="str">
            <v>DNFPPP</v>
          </cell>
          <cell r="K710" t="str">
            <v>IDA</v>
          </cell>
          <cell r="L710" t="str">
            <v>LR</v>
          </cell>
          <cell r="P710">
            <v>0</v>
          </cell>
          <cell r="Q710" t="str">
            <v>forfait</v>
          </cell>
          <cell r="S710">
            <v>196960.00000000003</v>
          </cell>
          <cell r="T710">
            <v>1</v>
          </cell>
          <cell r="U710">
            <v>0</v>
          </cell>
          <cell r="V710">
            <v>0</v>
          </cell>
          <cell r="W710">
            <v>0</v>
          </cell>
          <cell r="X710">
            <v>0</v>
          </cell>
          <cell r="Y710">
            <v>0</v>
          </cell>
          <cell r="Z710">
            <v>0</v>
          </cell>
          <cell r="AA710">
            <v>0</v>
          </cell>
          <cell r="AB710">
            <v>0</v>
          </cell>
          <cell r="AC710">
            <v>0</v>
          </cell>
          <cell r="AD710">
            <v>0</v>
          </cell>
          <cell r="AE710">
            <v>0</v>
          </cell>
          <cell r="AF710">
            <v>0</v>
          </cell>
          <cell r="AH710">
            <v>0</v>
          </cell>
        </row>
        <row r="711">
          <cell r="B711" t="str">
            <v>ST/ETFP</v>
          </cell>
          <cell r="C711" t="str">
            <v>B2B</v>
          </cell>
          <cell r="D711" t="str">
            <v>B2BB</v>
          </cell>
          <cell r="E711" t="str">
            <v>DNFPPP</v>
          </cell>
          <cell r="G711">
            <v>15</v>
          </cell>
          <cell r="H711" t="str">
            <v>ENI Evaluation des apprentissages des élèves maîtres Frais d'organisation</v>
          </cell>
          <cell r="I711" t="str">
            <v>DNFPPP</v>
          </cell>
          <cell r="K711" t="str">
            <v>IDA</v>
          </cell>
          <cell r="L711" t="str">
            <v>AUT</v>
          </cell>
          <cell r="P711">
            <v>0</v>
          </cell>
          <cell r="Q711" t="str">
            <v>forfait</v>
          </cell>
          <cell r="S711">
            <v>49240.000000000007</v>
          </cell>
          <cell r="T711">
            <v>0.9</v>
          </cell>
          <cell r="U711">
            <v>0</v>
          </cell>
          <cell r="V711">
            <v>0</v>
          </cell>
          <cell r="W711">
            <v>0</v>
          </cell>
          <cell r="X711">
            <v>0</v>
          </cell>
          <cell r="Y711">
            <v>0</v>
          </cell>
          <cell r="Z711">
            <v>0</v>
          </cell>
          <cell r="AA711">
            <v>0</v>
          </cell>
          <cell r="AB711">
            <v>0</v>
          </cell>
          <cell r="AC711">
            <v>0</v>
          </cell>
          <cell r="AD711">
            <v>0</v>
          </cell>
          <cell r="AE711">
            <v>0</v>
          </cell>
          <cell r="AF711">
            <v>0</v>
          </cell>
          <cell r="AH711">
            <v>0</v>
          </cell>
        </row>
        <row r="712">
          <cell r="B712" t="str">
            <v>ST/ETFP</v>
          </cell>
          <cell r="C712" t="str">
            <v>C2B</v>
          </cell>
          <cell r="D712" t="str">
            <v>C2BA</v>
          </cell>
          <cell r="E712" t="str">
            <v>SESCS</v>
          </cell>
          <cell r="G712">
            <v>15</v>
          </cell>
          <cell r="H712" t="str">
            <v xml:space="preserve">SESCS Reproduction fiches d'enquête 30pages x200ex </v>
          </cell>
          <cell r="I712" t="str">
            <v>SESCS</v>
          </cell>
          <cell r="K712" t="str">
            <v>IDA</v>
          </cell>
          <cell r="L712" t="str">
            <v>COT</v>
          </cell>
          <cell r="P712">
            <v>0</v>
          </cell>
          <cell r="Q712" t="str">
            <v>ex</v>
          </cell>
          <cell r="S712">
            <v>3.5054579971523494</v>
          </cell>
          <cell r="T712">
            <v>0.9</v>
          </cell>
          <cell r="U712">
            <v>0</v>
          </cell>
          <cell r="V712">
            <v>0</v>
          </cell>
          <cell r="W712">
            <v>0</v>
          </cell>
          <cell r="X712">
            <v>0</v>
          </cell>
          <cell r="Y712">
            <v>0</v>
          </cell>
          <cell r="Z712">
            <v>0</v>
          </cell>
          <cell r="AA712">
            <v>0</v>
          </cell>
          <cell r="AB712">
            <v>0</v>
          </cell>
          <cell r="AC712">
            <v>0</v>
          </cell>
          <cell r="AD712">
            <v>0</v>
          </cell>
          <cell r="AE712">
            <v>0</v>
          </cell>
          <cell r="AF712">
            <v>0</v>
          </cell>
          <cell r="AH712">
            <v>0</v>
          </cell>
        </row>
        <row r="713">
          <cell r="B713" t="str">
            <v>ST/ETFP</v>
          </cell>
          <cell r="C713" t="str">
            <v>C2B</v>
          </cell>
          <cell r="D713" t="str">
            <v>C2BA</v>
          </cell>
          <cell r="E713" t="str">
            <v>SESCS</v>
          </cell>
          <cell r="G713">
            <v>25</v>
          </cell>
          <cell r="H713" t="str">
            <v>SESCS Mission de collecte des données  4p x 30j</v>
          </cell>
          <cell r="I713" t="str">
            <v>SESCS</v>
          </cell>
          <cell r="K713" t="str">
            <v>IDA</v>
          </cell>
          <cell r="L713" t="str">
            <v>AUT</v>
          </cell>
          <cell r="P713">
            <v>0</v>
          </cell>
          <cell r="Q713" t="str">
            <v>pxj</v>
          </cell>
          <cell r="S713">
            <v>147.72</v>
          </cell>
          <cell r="T713">
            <v>1</v>
          </cell>
          <cell r="U713">
            <v>0</v>
          </cell>
          <cell r="V713">
            <v>0</v>
          </cell>
          <cell r="W713">
            <v>0</v>
          </cell>
          <cell r="X713">
            <v>0</v>
          </cell>
          <cell r="Y713">
            <v>0</v>
          </cell>
          <cell r="Z713">
            <v>0</v>
          </cell>
          <cell r="AA713">
            <v>0</v>
          </cell>
          <cell r="AB713">
            <v>0</v>
          </cell>
          <cell r="AC713">
            <v>0</v>
          </cell>
          <cell r="AD713">
            <v>0</v>
          </cell>
          <cell r="AE713">
            <v>0</v>
          </cell>
          <cell r="AF713">
            <v>0</v>
          </cell>
          <cell r="AH713">
            <v>0</v>
          </cell>
        </row>
        <row r="714">
          <cell r="B714" t="str">
            <v>ST/ETFP</v>
          </cell>
          <cell r="C714" t="str">
            <v>C2B</v>
          </cell>
          <cell r="D714" t="str">
            <v>C2BA</v>
          </cell>
          <cell r="E714" t="str">
            <v>SESCS</v>
          </cell>
          <cell r="G714">
            <v>25</v>
          </cell>
          <cell r="H714" t="str">
            <v>SESCS Atelier de saisie des données 2p x 15j</v>
          </cell>
          <cell r="I714" t="str">
            <v>SESCS</v>
          </cell>
          <cell r="K714" t="str">
            <v>IDA</v>
          </cell>
          <cell r="L714" t="str">
            <v>AUT</v>
          </cell>
          <cell r="P714">
            <v>0</v>
          </cell>
          <cell r="Q714" t="str">
            <v>pxj</v>
          </cell>
          <cell r="S714">
            <v>147.72</v>
          </cell>
          <cell r="T714">
            <v>1</v>
          </cell>
          <cell r="U714">
            <v>0</v>
          </cell>
          <cell r="V714">
            <v>0</v>
          </cell>
          <cell r="W714">
            <v>0</v>
          </cell>
          <cell r="X714">
            <v>0</v>
          </cell>
          <cell r="Y714">
            <v>0</v>
          </cell>
          <cell r="Z714">
            <v>0</v>
          </cell>
          <cell r="AA714">
            <v>0</v>
          </cell>
          <cell r="AB714">
            <v>0</v>
          </cell>
          <cell r="AC714">
            <v>0</v>
          </cell>
          <cell r="AD714">
            <v>0</v>
          </cell>
          <cell r="AE714">
            <v>0</v>
          </cell>
          <cell r="AF714">
            <v>0</v>
          </cell>
          <cell r="AH714">
            <v>0</v>
          </cell>
        </row>
        <row r="715">
          <cell r="B715" t="str">
            <v>ST/ETFP</v>
          </cell>
          <cell r="C715" t="str">
            <v>C2B</v>
          </cell>
          <cell r="D715" t="str">
            <v>C2BA</v>
          </cell>
          <cell r="E715" t="str">
            <v>SESCS</v>
          </cell>
          <cell r="G715">
            <v>15</v>
          </cell>
          <cell r="H715" t="str">
            <v>SESCS Reproduction version provisoire de l'Annuaire statistique  20p x 200ex</v>
          </cell>
          <cell r="I715" t="str">
            <v>SESCS</v>
          </cell>
          <cell r="K715" t="str">
            <v>IDA</v>
          </cell>
          <cell r="L715" t="str">
            <v>COT</v>
          </cell>
          <cell r="P715">
            <v>0</v>
          </cell>
          <cell r="Q715" t="str">
            <v>ex</v>
          </cell>
          <cell r="S715">
            <v>2.3369719981015664</v>
          </cell>
          <cell r="T715">
            <v>0.9</v>
          </cell>
          <cell r="U715">
            <v>0</v>
          </cell>
          <cell r="V715">
            <v>0</v>
          </cell>
          <cell r="W715">
            <v>0</v>
          </cell>
          <cell r="X715">
            <v>0</v>
          </cell>
          <cell r="Y715">
            <v>0</v>
          </cell>
          <cell r="Z715">
            <v>0</v>
          </cell>
          <cell r="AA715">
            <v>0</v>
          </cell>
          <cell r="AB715">
            <v>0</v>
          </cell>
          <cell r="AC715">
            <v>0</v>
          </cell>
          <cell r="AD715">
            <v>0</v>
          </cell>
          <cell r="AE715">
            <v>0</v>
          </cell>
          <cell r="AF715">
            <v>0</v>
          </cell>
          <cell r="AH715">
            <v>0</v>
          </cell>
        </row>
        <row r="716">
          <cell r="B716" t="str">
            <v>ST/ETFP</v>
          </cell>
          <cell r="C716" t="str">
            <v>C2B</v>
          </cell>
          <cell r="D716" t="str">
            <v>C2BA</v>
          </cell>
          <cell r="E716" t="str">
            <v>SESCS</v>
          </cell>
          <cell r="G716">
            <v>25</v>
          </cell>
          <cell r="H716" t="str">
            <v>SESCS Atelier de restitution des données  30px2j</v>
          </cell>
          <cell r="I716" t="str">
            <v>SESCS</v>
          </cell>
          <cell r="K716" t="str">
            <v>IDA</v>
          </cell>
          <cell r="L716" t="str">
            <v>AUT</v>
          </cell>
          <cell r="P716">
            <v>0</v>
          </cell>
          <cell r="Q716" t="str">
            <v>pxj</v>
          </cell>
          <cell r="S716">
            <v>147.72</v>
          </cell>
          <cell r="T716">
            <v>1</v>
          </cell>
          <cell r="U716">
            <v>0</v>
          </cell>
          <cell r="V716">
            <v>0</v>
          </cell>
          <cell r="W716">
            <v>0</v>
          </cell>
          <cell r="X716">
            <v>0</v>
          </cell>
          <cell r="Y716">
            <v>0</v>
          </cell>
          <cell r="Z716">
            <v>0</v>
          </cell>
          <cell r="AA716">
            <v>0</v>
          </cell>
          <cell r="AB716">
            <v>0</v>
          </cell>
          <cell r="AC716">
            <v>0</v>
          </cell>
          <cell r="AD716">
            <v>0</v>
          </cell>
          <cell r="AE716">
            <v>0</v>
          </cell>
          <cell r="AF716">
            <v>0</v>
          </cell>
          <cell r="AH716">
            <v>0</v>
          </cell>
        </row>
        <row r="717">
          <cell r="B717" t="str">
            <v>ST/ETFP</v>
          </cell>
          <cell r="C717" t="str">
            <v>C2B</v>
          </cell>
          <cell r="D717" t="str">
            <v>C2BA</v>
          </cell>
          <cell r="E717" t="str">
            <v>SESCS</v>
          </cell>
          <cell r="G717">
            <v>15</v>
          </cell>
          <cell r="H717" t="str">
            <v>SESCS Reproduction version finale de l'Annuaire statistique  20p x 200ex</v>
          </cell>
          <cell r="I717" t="str">
            <v>SESCS</v>
          </cell>
          <cell r="K717" t="str">
            <v>IDA</v>
          </cell>
          <cell r="L717" t="str">
            <v>COT</v>
          </cell>
          <cell r="P717">
            <v>0</v>
          </cell>
          <cell r="Q717" t="str">
            <v>ex</v>
          </cell>
          <cell r="S717">
            <v>2.3369719981015664</v>
          </cell>
          <cell r="T717">
            <v>0.9</v>
          </cell>
          <cell r="U717">
            <v>0</v>
          </cell>
          <cell r="V717">
            <v>0</v>
          </cell>
          <cell r="W717">
            <v>0</v>
          </cell>
          <cell r="X717">
            <v>0</v>
          </cell>
          <cell r="Y717">
            <v>0</v>
          </cell>
          <cell r="Z717">
            <v>0</v>
          </cell>
          <cell r="AA717">
            <v>0</v>
          </cell>
          <cell r="AB717">
            <v>0</v>
          </cell>
          <cell r="AC717">
            <v>0</v>
          </cell>
          <cell r="AD717">
            <v>0</v>
          </cell>
          <cell r="AE717">
            <v>0</v>
          </cell>
          <cell r="AF717">
            <v>0</v>
          </cell>
          <cell r="AH717">
            <v>0</v>
          </cell>
        </row>
        <row r="718">
          <cell r="B718" t="str">
            <v>ST/ETFP</v>
          </cell>
          <cell r="C718" t="str">
            <v>C2N</v>
          </cell>
          <cell r="D718" t="str">
            <v>C2NA</v>
          </cell>
          <cell r="E718" t="str">
            <v>ST/METFP</v>
          </cell>
          <cell r="G718">
            <v>15</v>
          </cell>
          <cell r="H718" t="str">
            <v>ST/METFP Salaires contractuels</v>
          </cell>
          <cell r="I718" t="str">
            <v>ST/METFP</v>
          </cell>
          <cell r="K718" t="str">
            <v>IDA</v>
          </cell>
          <cell r="L718" t="str">
            <v>AUT</v>
          </cell>
          <cell r="P718">
            <v>0</v>
          </cell>
          <cell r="Q718" t="str">
            <v>mois</v>
          </cell>
          <cell r="S718">
            <v>11325.2</v>
          </cell>
          <cell r="T718">
            <v>0.9</v>
          </cell>
          <cell r="U718">
            <v>0</v>
          </cell>
          <cell r="V718">
            <v>0</v>
          </cell>
          <cell r="W718">
            <v>0</v>
          </cell>
          <cell r="X718">
            <v>0</v>
          </cell>
          <cell r="Y718">
            <v>0</v>
          </cell>
          <cell r="Z718">
            <v>0</v>
          </cell>
          <cell r="AA718">
            <v>0</v>
          </cell>
          <cell r="AB718">
            <v>0</v>
          </cell>
          <cell r="AC718">
            <v>0</v>
          </cell>
          <cell r="AD718">
            <v>0</v>
          </cell>
          <cell r="AE718">
            <v>0</v>
          </cell>
          <cell r="AF718">
            <v>0</v>
          </cell>
          <cell r="AH718">
            <v>0</v>
          </cell>
        </row>
        <row r="719">
          <cell r="B719" t="str">
            <v>ST/ETFP</v>
          </cell>
          <cell r="C719" t="str">
            <v>C2N</v>
          </cell>
          <cell r="D719" t="str">
            <v>C2NA</v>
          </cell>
          <cell r="E719" t="str">
            <v>ST/METFP</v>
          </cell>
          <cell r="G719">
            <v>15</v>
          </cell>
          <cell r="H719" t="str">
            <v>ST/METFP Missions sur terrain</v>
          </cell>
          <cell r="I719" t="str">
            <v>ST/METFP</v>
          </cell>
          <cell r="K719" t="str">
            <v>IDA</v>
          </cell>
          <cell r="L719" t="str">
            <v>AUT</v>
          </cell>
          <cell r="P719">
            <v>0</v>
          </cell>
          <cell r="Q719" t="str">
            <v>pxj</v>
          </cell>
          <cell r="S719">
            <v>147.72</v>
          </cell>
          <cell r="T719">
            <v>0.9</v>
          </cell>
          <cell r="U719">
            <v>0</v>
          </cell>
          <cell r="V719">
            <v>0</v>
          </cell>
          <cell r="W719">
            <v>0</v>
          </cell>
          <cell r="X719">
            <v>0</v>
          </cell>
          <cell r="Y719">
            <v>0</v>
          </cell>
          <cell r="Z719">
            <v>0</v>
          </cell>
          <cell r="AA719">
            <v>0</v>
          </cell>
          <cell r="AB719">
            <v>0</v>
          </cell>
          <cell r="AC719">
            <v>0</v>
          </cell>
          <cell r="AD719">
            <v>0</v>
          </cell>
          <cell r="AE719">
            <v>0</v>
          </cell>
          <cell r="AF719">
            <v>0</v>
          </cell>
          <cell r="AH719">
            <v>0</v>
          </cell>
        </row>
        <row r="720">
          <cell r="B720" t="str">
            <v>ST/ETFP</v>
          </cell>
          <cell r="C720" t="str">
            <v>C2N</v>
          </cell>
          <cell r="D720" t="str">
            <v>C2NA</v>
          </cell>
          <cell r="E720" t="str">
            <v>ST/METFP</v>
          </cell>
          <cell r="G720">
            <v>15</v>
          </cell>
          <cell r="H720" t="str">
            <v>ST/METFP Fournitures et services extérieurs</v>
          </cell>
          <cell r="I720" t="str">
            <v>ST/METFP</v>
          </cell>
          <cell r="K720" t="str">
            <v>IDA</v>
          </cell>
          <cell r="L720" t="str">
            <v>COT</v>
          </cell>
          <cell r="P720">
            <v>0</v>
          </cell>
          <cell r="Q720" t="str">
            <v>mois</v>
          </cell>
          <cell r="S720">
            <v>2954.4</v>
          </cell>
          <cell r="T720">
            <v>0.9</v>
          </cell>
          <cell r="U720">
            <v>0</v>
          </cell>
          <cell r="V720">
            <v>0</v>
          </cell>
          <cell r="W720">
            <v>0</v>
          </cell>
          <cell r="X720">
            <v>0</v>
          </cell>
          <cell r="Y720">
            <v>0</v>
          </cell>
          <cell r="Z720">
            <v>0</v>
          </cell>
          <cell r="AA720">
            <v>0</v>
          </cell>
          <cell r="AB720">
            <v>0</v>
          </cell>
          <cell r="AC720">
            <v>0</v>
          </cell>
          <cell r="AD720">
            <v>0</v>
          </cell>
          <cell r="AE720">
            <v>0</v>
          </cell>
          <cell r="AF720">
            <v>0</v>
          </cell>
          <cell r="AH720">
            <v>0</v>
          </cell>
        </row>
        <row r="721">
          <cell r="B721" t="str">
            <v>ST/ESRS</v>
          </cell>
          <cell r="C721" t="str">
            <v>B3A</v>
          </cell>
          <cell r="D721" t="str">
            <v>B3AE</v>
          </cell>
          <cell r="E721" t="str">
            <v>UGANC</v>
          </cell>
          <cell r="G721">
            <v>23</v>
          </cell>
          <cell r="H721" t="str">
            <v>6 Biblio proxi Achèv études et superv travaux</v>
          </cell>
          <cell r="I721" t="str">
            <v>DNESUP</v>
          </cell>
          <cell r="K721" t="str">
            <v>IDA</v>
          </cell>
          <cell r="L721" t="str">
            <v>AOI</v>
          </cell>
          <cell r="P721">
            <v>0</v>
          </cell>
          <cell r="Q721" t="str">
            <v>forfait</v>
          </cell>
          <cell r="S721">
            <v>307750</v>
          </cell>
          <cell r="T721">
            <v>1</v>
          </cell>
          <cell r="U721">
            <v>0</v>
          </cell>
          <cell r="V721">
            <v>0</v>
          </cell>
          <cell r="W721">
            <v>0</v>
          </cell>
          <cell r="X721">
            <v>0</v>
          </cell>
          <cell r="Y721">
            <v>0</v>
          </cell>
          <cell r="Z721">
            <v>0</v>
          </cell>
          <cell r="AA721">
            <v>0</v>
          </cell>
          <cell r="AB721">
            <v>0</v>
          </cell>
          <cell r="AC721">
            <v>0</v>
          </cell>
          <cell r="AD721">
            <v>0</v>
          </cell>
          <cell r="AE721">
            <v>0</v>
          </cell>
          <cell r="AF721">
            <v>0</v>
          </cell>
          <cell r="AH721">
            <v>0</v>
          </cell>
        </row>
        <row r="722">
          <cell r="B722" t="str">
            <v>ST/ESRS</v>
          </cell>
          <cell r="C722" t="str">
            <v>B3A</v>
          </cell>
          <cell r="D722" t="str">
            <v>B3AE</v>
          </cell>
          <cell r="E722" t="str">
            <v>UJNK</v>
          </cell>
          <cell r="G722">
            <v>23</v>
          </cell>
          <cell r="H722" t="str">
            <v>6 Biblio proxi Achèv études et superv travaux</v>
          </cell>
          <cell r="I722" t="str">
            <v>DNESUP</v>
          </cell>
          <cell r="K722" t="str">
            <v>IDA</v>
          </cell>
          <cell r="L722" t="str">
            <v>AOI</v>
          </cell>
          <cell r="P722">
            <v>0</v>
          </cell>
          <cell r="Q722" t="str">
            <v>forfait</v>
          </cell>
          <cell r="S722">
            <v>307750</v>
          </cell>
          <cell r="T722">
            <v>1</v>
          </cell>
          <cell r="U722">
            <v>0</v>
          </cell>
          <cell r="V722">
            <v>0</v>
          </cell>
          <cell r="W722">
            <v>0</v>
          </cell>
          <cell r="X722">
            <v>0</v>
          </cell>
          <cell r="Y722">
            <v>0</v>
          </cell>
          <cell r="Z722">
            <v>0</v>
          </cell>
          <cell r="AA722">
            <v>0</v>
          </cell>
          <cell r="AB722">
            <v>0</v>
          </cell>
          <cell r="AC722">
            <v>0</v>
          </cell>
          <cell r="AD722">
            <v>0</v>
          </cell>
          <cell r="AE722">
            <v>0</v>
          </cell>
          <cell r="AF722">
            <v>0</v>
          </cell>
          <cell r="AH722">
            <v>0</v>
          </cell>
        </row>
        <row r="723">
          <cell r="B723" t="str">
            <v>ST/ESRS</v>
          </cell>
          <cell r="C723" t="str">
            <v>B3A</v>
          </cell>
          <cell r="D723" t="str">
            <v>B3AE</v>
          </cell>
          <cell r="E723" t="str">
            <v>ISSAVF</v>
          </cell>
          <cell r="G723">
            <v>23</v>
          </cell>
          <cell r="H723" t="str">
            <v>6 Biblio proxi Achèv études et superv travaux</v>
          </cell>
          <cell r="I723" t="str">
            <v>DNESUP</v>
          </cell>
          <cell r="K723" t="str">
            <v>IDA</v>
          </cell>
          <cell r="L723" t="str">
            <v>AOI</v>
          </cell>
          <cell r="P723">
            <v>0</v>
          </cell>
          <cell r="Q723" t="str">
            <v>forfait</v>
          </cell>
          <cell r="S723">
            <v>307750</v>
          </cell>
          <cell r="T723">
            <v>1</v>
          </cell>
          <cell r="U723">
            <v>0</v>
          </cell>
          <cell r="V723">
            <v>0</v>
          </cell>
          <cell r="W723">
            <v>0</v>
          </cell>
          <cell r="X723">
            <v>0</v>
          </cell>
          <cell r="Y723">
            <v>0</v>
          </cell>
          <cell r="Z723">
            <v>0</v>
          </cell>
          <cell r="AA723">
            <v>0</v>
          </cell>
          <cell r="AB723">
            <v>0</v>
          </cell>
          <cell r="AC723">
            <v>0</v>
          </cell>
          <cell r="AD723">
            <v>0</v>
          </cell>
          <cell r="AE723">
            <v>0</v>
          </cell>
          <cell r="AF723">
            <v>0</v>
          </cell>
          <cell r="AH723">
            <v>0</v>
          </cell>
        </row>
        <row r="724">
          <cell r="B724" t="str">
            <v>ST/ESRS</v>
          </cell>
          <cell r="C724" t="str">
            <v>B3A</v>
          </cell>
          <cell r="D724" t="str">
            <v>B3AE</v>
          </cell>
          <cell r="E724" t="str">
            <v>ISMGB</v>
          </cell>
          <cell r="G724">
            <v>23</v>
          </cell>
          <cell r="H724" t="str">
            <v>6 Biblio proxi Achèv études et superv travaux</v>
          </cell>
          <cell r="I724" t="str">
            <v>DNESUP</v>
          </cell>
          <cell r="K724" t="str">
            <v>IDA</v>
          </cell>
          <cell r="L724" t="str">
            <v>AOI</v>
          </cell>
          <cell r="P724">
            <v>0</v>
          </cell>
          <cell r="Q724" t="str">
            <v>forfait</v>
          </cell>
          <cell r="S724">
            <v>307750</v>
          </cell>
          <cell r="T724">
            <v>1</v>
          </cell>
          <cell r="U724">
            <v>0</v>
          </cell>
          <cell r="V724">
            <v>0</v>
          </cell>
          <cell r="W724">
            <v>0</v>
          </cell>
          <cell r="X724">
            <v>0</v>
          </cell>
          <cell r="Y724">
            <v>0</v>
          </cell>
          <cell r="Z724">
            <v>0</v>
          </cell>
          <cell r="AA724">
            <v>0</v>
          </cell>
          <cell r="AB724">
            <v>0</v>
          </cell>
          <cell r="AC724">
            <v>0</v>
          </cell>
          <cell r="AD724">
            <v>0</v>
          </cell>
          <cell r="AE724">
            <v>0</v>
          </cell>
          <cell r="AF724">
            <v>0</v>
          </cell>
          <cell r="AH724">
            <v>0</v>
          </cell>
        </row>
        <row r="725">
          <cell r="B725" t="str">
            <v>ST/ESRS</v>
          </cell>
          <cell r="C725" t="str">
            <v>B3A</v>
          </cell>
          <cell r="D725" t="str">
            <v>B3AE</v>
          </cell>
          <cell r="E725" t="str">
            <v>EPIK</v>
          </cell>
          <cell r="G725">
            <v>23</v>
          </cell>
          <cell r="H725" t="str">
            <v>6 Biblio proxi Achèv études et superv travaux</v>
          </cell>
          <cell r="I725" t="str">
            <v>DNESUP</v>
          </cell>
          <cell r="K725" t="str">
            <v>IDA</v>
          </cell>
          <cell r="L725" t="str">
            <v>AOI</v>
          </cell>
          <cell r="P725">
            <v>0</v>
          </cell>
          <cell r="Q725" t="str">
            <v>forfait</v>
          </cell>
          <cell r="S725">
            <v>307750</v>
          </cell>
          <cell r="T725">
            <v>1</v>
          </cell>
          <cell r="U725">
            <v>0</v>
          </cell>
          <cell r="V725">
            <v>0</v>
          </cell>
          <cell r="W725">
            <v>0</v>
          </cell>
          <cell r="X725">
            <v>0</v>
          </cell>
          <cell r="Y725">
            <v>0</v>
          </cell>
          <cell r="Z725">
            <v>0</v>
          </cell>
          <cell r="AA725">
            <v>0</v>
          </cell>
          <cell r="AB725">
            <v>0</v>
          </cell>
          <cell r="AC725">
            <v>0</v>
          </cell>
          <cell r="AD725">
            <v>0</v>
          </cell>
          <cell r="AE725">
            <v>0</v>
          </cell>
          <cell r="AF725">
            <v>0</v>
          </cell>
          <cell r="AH725">
            <v>0</v>
          </cell>
        </row>
        <row r="726">
          <cell r="B726" t="str">
            <v>ST/ESRS</v>
          </cell>
          <cell r="C726" t="str">
            <v>B3A</v>
          </cell>
          <cell r="D726" t="str">
            <v>B3AE</v>
          </cell>
          <cell r="E726" t="str">
            <v>CUR NZER</v>
          </cell>
          <cell r="G726">
            <v>23</v>
          </cell>
          <cell r="H726" t="str">
            <v>6 Biblio proxi Achèv études et superv travaux</v>
          </cell>
          <cell r="I726" t="str">
            <v>DNESUP</v>
          </cell>
          <cell r="K726" t="str">
            <v>IDA</v>
          </cell>
          <cell r="L726" t="str">
            <v>AOI</v>
          </cell>
          <cell r="P726">
            <v>0</v>
          </cell>
          <cell r="Q726" t="str">
            <v>forfait</v>
          </cell>
          <cell r="S726">
            <v>307750</v>
          </cell>
          <cell r="T726">
            <v>1</v>
          </cell>
          <cell r="U726">
            <v>0</v>
          </cell>
          <cell r="V726">
            <v>0</v>
          </cell>
          <cell r="W726">
            <v>0</v>
          </cell>
          <cell r="X726">
            <v>0</v>
          </cell>
          <cell r="Y726">
            <v>0</v>
          </cell>
          <cell r="Z726">
            <v>0</v>
          </cell>
          <cell r="AA726">
            <v>0</v>
          </cell>
          <cell r="AB726">
            <v>0</v>
          </cell>
          <cell r="AC726">
            <v>0</v>
          </cell>
          <cell r="AD726">
            <v>0</v>
          </cell>
          <cell r="AE726">
            <v>0</v>
          </cell>
          <cell r="AF726">
            <v>0</v>
          </cell>
          <cell r="AH726">
            <v>0</v>
          </cell>
        </row>
        <row r="727">
          <cell r="B727" t="str">
            <v>ST/ESRS</v>
          </cell>
          <cell r="C727" t="str">
            <v>B3A</v>
          </cell>
          <cell r="D727" t="str">
            <v>B3AE</v>
          </cell>
          <cell r="E727" t="str">
            <v>UGANC</v>
          </cell>
          <cell r="G727">
            <v>22</v>
          </cell>
          <cell r="H727" t="str">
            <v xml:space="preserve">6 Biblio proxi Travaux de réhabilitation/extension 5300m² </v>
          </cell>
          <cell r="I727" t="str">
            <v>DNESUP</v>
          </cell>
          <cell r="K727" t="str">
            <v>IDA</v>
          </cell>
          <cell r="L727" t="str">
            <v>AOI</v>
          </cell>
          <cell r="P727">
            <v>0</v>
          </cell>
          <cell r="Q727" t="str">
            <v>forfait</v>
          </cell>
          <cell r="S727">
            <v>7139800.0000000009</v>
          </cell>
          <cell r="T727">
            <v>0.8</v>
          </cell>
          <cell r="U727">
            <v>0</v>
          </cell>
          <cell r="V727">
            <v>0</v>
          </cell>
          <cell r="W727">
            <v>0</v>
          </cell>
          <cell r="X727">
            <v>0</v>
          </cell>
          <cell r="Y727">
            <v>0</v>
          </cell>
          <cell r="Z727">
            <v>0</v>
          </cell>
          <cell r="AA727">
            <v>0</v>
          </cell>
          <cell r="AB727">
            <v>0</v>
          </cell>
          <cell r="AC727">
            <v>0</v>
          </cell>
          <cell r="AD727">
            <v>0</v>
          </cell>
          <cell r="AE727">
            <v>0</v>
          </cell>
          <cell r="AF727">
            <v>0</v>
          </cell>
          <cell r="AH727">
            <v>0</v>
          </cell>
        </row>
        <row r="728">
          <cell r="B728" t="str">
            <v>ST/ESRS</v>
          </cell>
          <cell r="C728" t="str">
            <v>B3A</v>
          </cell>
          <cell r="D728" t="str">
            <v>B3AE</v>
          </cell>
          <cell r="E728" t="str">
            <v>UJNK</v>
          </cell>
          <cell r="G728">
            <v>22</v>
          </cell>
          <cell r="H728" t="str">
            <v xml:space="preserve">6 Biblio proxi Travaux de réhabilitation/extension 5300m² </v>
          </cell>
          <cell r="I728" t="str">
            <v>DNESUP</v>
          </cell>
          <cell r="K728" t="str">
            <v>IDA</v>
          </cell>
          <cell r="L728" t="str">
            <v>AOI</v>
          </cell>
          <cell r="P728">
            <v>0</v>
          </cell>
          <cell r="Q728" t="str">
            <v>forfait</v>
          </cell>
          <cell r="S728">
            <v>7139800.0000000009</v>
          </cell>
          <cell r="T728">
            <v>0.8</v>
          </cell>
          <cell r="U728">
            <v>0</v>
          </cell>
          <cell r="V728">
            <v>0</v>
          </cell>
          <cell r="W728">
            <v>0</v>
          </cell>
          <cell r="X728">
            <v>0</v>
          </cell>
          <cell r="Y728">
            <v>0</v>
          </cell>
          <cell r="Z728">
            <v>0</v>
          </cell>
          <cell r="AA728">
            <v>0</v>
          </cell>
          <cell r="AB728">
            <v>0</v>
          </cell>
          <cell r="AC728">
            <v>0</v>
          </cell>
          <cell r="AD728">
            <v>0</v>
          </cell>
          <cell r="AE728">
            <v>0</v>
          </cell>
          <cell r="AF728">
            <v>0</v>
          </cell>
          <cell r="AH728">
            <v>0</v>
          </cell>
        </row>
        <row r="729">
          <cell r="B729" t="str">
            <v>ST/ESRS</v>
          </cell>
          <cell r="C729" t="str">
            <v>B3A</v>
          </cell>
          <cell r="D729" t="str">
            <v>B3AE</v>
          </cell>
          <cell r="E729" t="str">
            <v>ISSAVF</v>
          </cell>
          <cell r="G729">
            <v>22</v>
          </cell>
          <cell r="H729" t="str">
            <v xml:space="preserve">6 Biblio proxi Travaux de réhabilitation/extension 5300m² </v>
          </cell>
          <cell r="I729" t="str">
            <v>DNESUP</v>
          </cell>
          <cell r="K729" t="str">
            <v>IDA</v>
          </cell>
          <cell r="L729" t="str">
            <v>AOI</v>
          </cell>
          <cell r="P729">
            <v>0</v>
          </cell>
          <cell r="Q729" t="str">
            <v>forfait</v>
          </cell>
          <cell r="S729">
            <v>7139800.0000000009</v>
          </cell>
          <cell r="T729">
            <v>0.8</v>
          </cell>
          <cell r="U729">
            <v>0</v>
          </cell>
          <cell r="V729">
            <v>0</v>
          </cell>
          <cell r="W729">
            <v>0</v>
          </cell>
          <cell r="X729">
            <v>0</v>
          </cell>
          <cell r="Y729">
            <v>0</v>
          </cell>
          <cell r="Z729">
            <v>0</v>
          </cell>
          <cell r="AA729">
            <v>0</v>
          </cell>
          <cell r="AB729">
            <v>0</v>
          </cell>
          <cell r="AC729">
            <v>0</v>
          </cell>
          <cell r="AD729">
            <v>0</v>
          </cell>
          <cell r="AE729">
            <v>0</v>
          </cell>
          <cell r="AF729">
            <v>0</v>
          </cell>
          <cell r="AH729">
            <v>0</v>
          </cell>
        </row>
        <row r="730">
          <cell r="B730" t="str">
            <v>ST/ESRS</v>
          </cell>
          <cell r="C730" t="str">
            <v>B3A</v>
          </cell>
          <cell r="D730" t="str">
            <v>B3AE</v>
          </cell>
          <cell r="E730" t="str">
            <v>ISMGB</v>
          </cell>
          <cell r="G730">
            <v>22</v>
          </cell>
          <cell r="H730" t="str">
            <v xml:space="preserve">6 Biblio proxi Travaux de réhabilitation/extension 5300m² </v>
          </cell>
          <cell r="I730" t="str">
            <v>DNESUP</v>
          </cell>
          <cell r="K730" t="str">
            <v>IDA</v>
          </cell>
          <cell r="L730" t="str">
            <v>AOI</v>
          </cell>
          <cell r="P730">
            <v>0</v>
          </cell>
          <cell r="Q730" t="str">
            <v>forfait</v>
          </cell>
          <cell r="S730">
            <v>7139800.0000000009</v>
          </cell>
          <cell r="T730">
            <v>0.8</v>
          </cell>
          <cell r="U730">
            <v>0</v>
          </cell>
          <cell r="V730">
            <v>0</v>
          </cell>
          <cell r="W730">
            <v>0</v>
          </cell>
          <cell r="X730">
            <v>0</v>
          </cell>
          <cell r="Y730">
            <v>0</v>
          </cell>
          <cell r="Z730">
            <v>0</v>
          </cell>
          <cell r="AA730">
            <v>0</v>
          </cell>
          <cell r="AB730">
            <v>0</v>
          </cell>
          <cell r="AC730">
            <v>0</v>
          </cell>
          <cell r="AD730">
            <v>0</v>
          </cell>
          <cell r="AE730">
            <v>0</v>
          </cell>
          <cell r="AF730">
            <v>0</v>
          </cell>
          <cell r="AH730">
            <v>0</v>
          </cell>
        </row>
        <row r="731">
          <cell r="B731" t="str">
            <v>ST/ESRS</v>
          </cell>
          <cell r="C731" t="str">
            <v>B3A</v>
          </cell>
          <cell r="D731" t="str">
            <v>B3AE</v>
          </cell>
          <cell r="E731" t="str">
            <v>EPIK</v>
          </cell>
          <cell r="G731">
            <v>22</v>
          </cell>
          <cell r="H731" t="str">
            <v xml:space="preserve">6 Biblio proxi Travaux de réhabilitation/extension 5300m² </v>
          </cell>
          <cell r="I731" t="str">
            <v>DNESUP</v>
          </cell>
          <cell r="K731" t="str">
            <v>IDA</v>
          </cell>
          <cell r="L731" t="str">
            <v>AOI</v>
          </cell>
          <cell r="P731">
            <v>0</v>
          </cell>
          <cell r="Q731" t="str">
            <v>forfait</v>
          </cell>
          <cell r="S731">
            <v>7139800.0000000009</v>
          </cell>
          <cell r="T731">
            <v>0.8</v>
          </cell>
          <cell r="U731">
            <v>0</v>
          </cell>
          <cell r="V731">
            <v>0</v>
          </cell>
          <cell r="W731">
            <v>0</v>
          </cell>
          <cell r="X731">
            <v>0</v>
          </cell>
          <cell r="Y731">
            <v>0</v>
          </cell>
          <cell r="Z731">
            <v>0</v>
          </cell>
          <cell r="AA731">
            <v>0</v>
          </cell>
          <cell r="AB731">
            <v>0</v>
          </cell>
          <cell r="AC731">
            <v>0</v>
          </cell>
          <cell r="AD731">
            <v>0</v>
          </cell>
          <cell r="AE731">
            <v>0</v>
          </cell>
          <cell r="AF731">
            <v>0</v>
          </cell>
          <cell r="AH731">
            <v>0</v>
          </cell>
        </row>
        <row r="732">
          <cell r="B732" t="str">
            <v>ST/ESRS</v>
          </cell>
          <cell r="C732" t="str">
            <v>B3A</v>
          </cell>
          <cell r="D732" t="str">
            <v>B3AE</v>
          </cell>
          <cell r="E732" t="str">
            <v>CUR NZER</v>
          </cell>
          <cell r="G732">
            <v>22</v>
          </cell>
          <cell r="H732" t="str">
            <v xml:space="preserve">6 Biblio proxi Travaux de réhabilitation/extension 5300m² </v>
          </cell>
          <cell r="I732" t="str">
            <v>DNESUP</v>
          </cell>
          <cell r="K732" t="str">
            <v>IDA</v>
          </cell>
          <cell r="L732" t="str">
            <v>AOI</v>
          </cell>
          <cell r="P732">
            <v>0</v>
          </cell>
          <cell r="Q732" t="str">
            <v>forfait</v>
          </cell>
          <cell r="S732">
            <v>7139800.0000000009</v>
          </cell>
          <cell r="T732">
            <v>0.8</v>
          </cell>
          <cell r="U732">
            <v>0</v>
          </cell>
          <cell r="V732">
            <v>0</v>
          </cell>
          <cell r="W732">
            <v>0</v>
          </cell>
          <cell r="X732">
            <v>0</v>
          </cell>
          <cell r="Y732">
            <v>0</v>
          </cell>
          <cell r="Z732">
            <v>0</v>
          </cell>
          <cell r="AA732">
            <v>0</v>
          </cell>
          <cell r="AB732">
            <v>0</v>
          </cell>
          <cell r="AC732">
            <v>0</v>
          </cell>
          <cell r="AD732">
            <v>0</v>
          </cell>
          <cell r="AE732">
            <v>0</v>
          </cell>
          <cell r="AF732">
            <v>0</v>
          </cell>
          <cell r="AH732">
            <v>0</v>
          </cell>
        </row>
        <row r="733">
          <cell r="B733" t="str">
            <v>ST/ESRS</v>
          </cell>
          <cell r="C733" t="str">
            <v>B3A</v>
          </cell>
          <cell r="D733" t="str">
            <v>B3AE</v>
          </cell>
          <cell r="E733" t="str">
            <v>UGANC</v>
          </cell>
          <cell r="G733">
            <v>23</v>
          </cell>
          <cell r="H733" t="str">
            <v>6 Biblio proxi Fourniture et installation mobilier et équipements</v>
          </cell>
          <cell r="I733" t="str">
            <v>DNESUP</v>
          </cell>
          <cell r="K733" t="str">
            <v>IDA</v>
          </cell>
          <cell r="L733" t="str">
            <v>AOI</v>
          </cell>
          <cell r="P733">
            <v>0</v>
          </cell>
          <cell r="Q733" t="str">
            <v>forfait</v>
          </cell>
          <cell r="S733">
            <v>281504.15094339626</v>
          </cell>
          <cell r="T733">
            <v>1</v>
          </cell>
          <cell r="U733">
            <v>0</v>
          </cell>
          <cell r="V733">
            <v>0</v>
          </cell>
          <cell r="W733">
            <v>0</v>
          </cell>
          <cell r="X733">
            <v>0</v>
          </cell>
          <cell r="Y733">
            <v>0</v>
          </cell>
          <cell r="Z733">
            <v>0</v>
          </cell>
          <cell r="AA733">
            <v>0</v>
          </cell>
          <cell r="AB733">
            <v>0</v>
          </cell>
          <cell r="AC733">
            <v>0</v>
          </cell>
          <cell r="AD733">
            <v>0</v>
          </cell>
          <cell r="AE733">
            <v>0</v>
          </cell>
          <cell r="AF733">
            <v>0</v>
          </cell>
          <cell r="AH733">
            <v>0</v>
          </cell>
        </row>
        <row r="734">
          <cell r="B734" t="str">
            <v>ST/ESRS</v>
          </cell>
          <cell r="C734" t="str">
            <v>B3A</v>
          </cell>
          <cell r="D734" t="str">
            <v>B3AE</v>
          </cell>
          <cell r="E734" t="str">
            <v>UJNK</v>
          </cell>
          <cell r="G734">
            <v>23</v>
          </cell>
          <cell r="H734" t="str">
            <v>6 Biblio proxi Fourniture et installation mobilier et équipements</v>
          </cell>
          <cell r="I734" t="str">
            <v>DNESUP</v>
          </cell>
          <cell r="K734" t="str">
            <v>IDA</v>
          </cell>
          <cell r="L734" t="str">
            <v>AOI</v>
          </cell>
          <cell r="P734">
            <v>0</v>
          </cell>
          <cell r="Q734" t="str">
            <v>forfait</v>
          </cell>
          <cell r="S734">
            <v>140752.07547169813</v>
          </cell>
          <cell r="T734">
            <v>1</v>
          </cell>
          <cell r="U734">
            <v>0</v>
          </cell>
          <cell r="V734">
            <v>0</v>
          </cell>
          <cell r="W734">
            <v>0</v>
          </cell>
          <cell r="X734">
            <v>0</v>
          </cell>
          <cell r="Y734">
            <v>0</v>
          </cell>
          <cell r="Z734">
            <v>0</v>
          </cell>
          <cell r="AA734">
            <v>0</v>
          </cell>
          <cell r="AB734">
            <v>0</v>
          </cell>
          <cell r="AC734">
            <v>0</v>
          </cell>
          <cell r="AD734">
            <v>0</v>
          </cell>
          <cell r="AE734">
            <v>0</v>
          </cell>
          <cell r="AF734">
            <v>0</v>
          </cell>
          <cell r="AH734">
            <v>0</v>
          </cell>
        </row>
        <row r="735">
          <cell r="B735" t="str">
            <v>ST/ESRS</v>
          </cell>
          <cell r="C735" t="str">
            <v>B3A</v>
          </cell>
          <cell r="D735" t="str">
            <v>B3AE</v>
          </cell>
          <cell r="E735" t="str">
            <v>EPIK</v>
          </cell>
          <cell r="G735">
            <v>23</v>
          </cell>
          <cell r="H735" t="str">
            <v>6 Biblio proxi Fourniture et installation mobilier et équipements</v>
          </cell>
          <cell r="I735" t="str">
            <v>DNESUP</v>
          </cell>
          <cell r="K735" t="str">
            <v>IDA</v>
          </cell>
          <cell r="L735" t="str">
            <v>AOI</v>
          </cell>
          <cell r="P735">
            <v>0</v>
          </cell>
          <cell r="Q735" t="str">
            <v>forfait</v>
          </cell>
          <cell r="S735">
            <v>82686.03773584908</v>
          </cell>
          <cell r="T735">
            <v>1</v>
          </cell>
          <cell r="U735">
            <v>0</v>
          </cell>
          <cell r="V735">
            <v>0</v>
          </cell>
          <cell r="W735">
            <v>0</v>
          </cell>
          <cell r="X735">
            <v>0</v>
          </cell>
          <cell r="Y735">
            <v>0</v>
          </cell>
          <cell r="Z735">
            <v>0</v>
          </cell>
          <cell r="AA735">
            <v>0</v>
          </cell>
          <cell r="AB735">
            <v>0</v>
          </cell>
          <cell r="AC735">
            <v>0</v>
          </cell>
          <cell r="AD735">
            <v>0</v>
          </cell>
          <cell r="AE735">
            <v>0</v>
          </cell>
          <cell r="AF735">
            <v>0</v>
          </cell>
          <cell r="AH735">
            <v>0</v>
          </cell>
        </row>
        <row r="736">
          <cell r="B736" t="str">
            <v>ST/ESRS</v>
          </cell>
          <cell r="C736" t="str">
            <v>B3A</v>
          </cell>
          <cell r="D736" t="str">
            <v>B3AE</v>
          </cell>
          <cell r="E736" t="str">
            <v>ISMGB</v>
          </cell>
          <cell r="G736">
            <v>23</v>
          </cell>
          <cell r="H736" t="str">
            <v>6 Biblio proxi Fourniture et installation mobilier et équipements</v>
          </cell>
          <cell r="I736" t="str">
            <v>DNESUP</v>
          </cell>
          <cell r="K736" t="str">
            <v>IDA</v>
          </cell>
          <cell r="L736" t="str">
            <v>AOI</v>
          </cell>
          <cell r="P736">
            <v>0</v>
          </cell>
          <cell r="Q736" t="str">
            <v>forfait</v>
          </cell>
          <cell r="S736">
            <v>82686.03773584908</v>
          </cell>
          <cell r="T736">
            <v>1</v>
          </cell>
          <cell r="U736">
            <v>0</v>
          </cell>
          <cell r="V736">
            <v>0</v>
          </cell>
          <cell r="W736">
            <v>0</v>
          </cell>
          <cell r="X736">
            <v>0</v>
          </cell>
          <cell r="Y736">
            <v>0</v>
          </cell>
          <cell r="Z736">
            <v>0</v>
          </cell>
          <cell r="AA736">
            <v>0</v>
          </cell>
          <cell r="AB736">
            <v>0</v>
          </cell>
          <cell r="AC736">
            <v>0</v>
          </cell>
          <cell r="AD736">
            <v>0</v>
          </cell>
          <cell r="AE736">
            <v>0</v>
          </cell>
          <cell r="AF736">
            <v>0</v>
          </cell>
          <cell r="AH736">
            <v>0</v>
          </cell>
        </row>
        <row r="737">
          <cell r="B737" t="str">
            <v>ST/ESRS</v>
          </cell>
          <cell r="C737" t="str">
            <v>B3A</v>
          </cell>
          <cell r="D737" t="str">
            <v>B3AE</v>
          </cell>
          <cell r="E737" t="str">
            <v>ISSAVF</v>
          </cell>
          <cell r="G737">
            <v>23</v>
          </cell>
          <cell r="H737" t="str">
            <v>6 Biblio proxi Fourniture et installation mobilier et équipements</v>
          </cell>
          <cell r="I737" t="str">
            <v>DNESUP</v>
          </cell>
          <cell r="K737" t="str">
            <v>IDA</v>
          </cell>
          <cell r="L737" t="str">
            <v>AOI</v>
          </cell>
          <cell r="P737">
            <v>0</v>
          </cell>
          <cell r="Q737" t="str">
            <v>forfait</v>
          </cell>
          <cell r="S737">
            <v>82686.03773584908</v>
          </cell>
          <cell r="T737">
            <v>1</v>
          </cell>
          <cell r="U737">
            <v>0</v>
          </cell>
          <cell r="V737">
            <v>0</v>
          </cell>
          <cell r="W737">
            <v>0</v>
          </cell>
          <cell r="X737">
            <v>0</v>
          </cell>
          <cell r="Y737">
            <v>0</v>
          </cell>
          <cell r="Z737">
            <v>0</v>
          </cell>
          <cell r="AA737">
            <v>0</v>
          </cell>
          <cell r="AB737">
            <v>0</v>
          </cell>
          <cell r="AC737">
            <v>0</v>
          </cell>
          <cell r="AD737">
            <v>0</v>
          </cell>
          <cell r="AE737">
            <v>0</v>
          </cell>
          <cell r="AF737">
            <v>0</v>
          </cell>
          <cell r="AH737">
            <v>0</v>
          </cell>
        </row>
        <row r="738">
          <cell r="B738" t="str">
            <v>ST/ESRS</v>
          </cell>
          <cell r="C738" t="str">
            <v>B3A</v>
          </cell>
          <cell r="D738" t="str">
            <v>B3AE</v>
          </cell>
          <cell r="E738" t="str">
            <v>CUR NZER</v>
          </cell>
          <cell r="G738">
            <v>23</v>
          </cell>
          <cell r="H738" t="str">
            <v>6 Biblio proxi Fourniture et installation mobilier et équipements</v>
          </cell>
          <cell r="I738" t="str">
            <v>DNESUP</v>
          </cell>
          <cell r="K738" t="str">
            <v>IDA</v>
          </cell>
          <cell r="L738" t="str">
            <v>AOI</v>
          </cell>
          <cell r="P738">
            <v>0</v>
          </cell>
          <cell r="Q738" t="str">
            <v>forfait</v>
          </cell>
          <cell r="S738">
            <v>71072.830188679247</v>
          </cell>
          <cell r="T738">
            <v>1</v>
          </cell>
          <cell r="U738">
            <v>0</v>
          </cell>
          <cell r="V738">
            <v>0</v>
          </cell>
          <cell r="W738">
            <v>0</v>
          </cell>
          <cell r="X738">
            <v>0</v>
          </cell>
          <cell r="Y738">
            <v>0</v>
          </cell>
          <cell r="Z738">
            <v>0</v>
          </cell>
          <cell r="AA738">
            <v>0</v>
          </cell>
          <cell r="AB738">
            <v>0</v>
          </cell>
          <cell r="AC738">
            <v>0</v>
          </cell>
          <cell r="AD738">
            <v>0</v>
          </cell>
          <cell r="AE738">
            <v>0</v>
          </cell>
          <cell r="AF738">
            <v>0</v>
          </cell>
          <cell r="AH738">
            <v>0</v>
          </cell>
        </row>
        <row r="739">
          <cell r="B739" t="str">
            <v>ST/ESRS</v>
          </cell>
          <cell r="C739" t="str">
            <v>B3A</v>
          </cell>
          <cell r="D739" t="str">
            <v>B3AE</v>
          </cell>
          <cell r="E739" t="str">
            <v>UGANC</v>
          </cell>
          <cell r="G739">
            <v>23</v>
          </cell>
          <cell r="H739" t="str">
            <v xml:space="preserve">6 Biblio proxi Equipement informatiques  </v>
          </cell>
          <cell r="I739" t="str">
            <v>DNESUP</v>
          </cell>
          <cell r="K739" t="str">
            <v>IDA</v>
          </cell>
          <cell r="L739" t="str">
            <v>AOI</v>
          </cell>
          <cell r="P739">
            <v>0</v>
          </cell>
          <cell r="Q739" t="str">
            <v>forfait</v>
          </cell>
          <cell r="S739">
            <v>526868</v>
          </cell>
          <cell r="T739">
            <v>1</v>
          </cell>
          <cell r="U739">
            <v>0</v>
          </cell>
          <cell r="V739">
            <v>0</v>
          </cell>
          <cell r="W739">
            <v>0</v>
          </cell>
          <cell r="X739">
            <v>0</v>
          </cell>
          <cell r="Y739">
            <v>0</v>
          </cell>
          <cell r="Z739">
            <v>0</v>
          </cell>
          <cell r="AA739">
            <v>0</v>
          </cell>
          <cell r="AB739">
            <v>0</v>
          </cell>
          <cell r="AC739">
            <v>0</v>
          </cell>
          <cell r="AD739">
            <v>0</v>
          </cell>
          <cell r="AE739">
            <v>0</v>
          </cell>
          <cell r="AF739">
            <v>0</v>
          </cell>
          <cell r="AH739">
            <v>0</v>
          </cell>
        </row>
        <row r="740">
          <cell r="B740" t="str">
            <v>ST/ESRS</v>
          </cell>
          <cell r="C740" t="str">
            <v>B3A</v>
          </cell>
          <cell r="D740" t="str">
            <v>B3AE</v>
          </cell>
          <cell r="E740" t="str">
            <v>UJNK</v>
          </cell>
          <cell r="G740">
            <v>23</v>
          </cell>
          <cell r="H740" t="str">
            <v xml:space="preserve">6 Biblio proxi Equipement informatiques  </v>
          </cell>
          <cell r="I740" t="str">
            <v>DNESUP</v>
          </cell>
          <cell r="K740" t="str">
            <v>IDA</v>
          </cell>
          <cell r="L740" t="str">
            <v>AOI</v>
          </cell>
          <cell r="P740">
            <v>0</v>
          </cell>
          <cell r="Q740" t="str">
            <v>forfait</v>
          </cell>
          <cell r="S740">
            <v>230197.00000000003</v>
          </cell>
          <cell r="T740">
            <v>1</v>
          </cell>
          <cell r="U740">
            <v>0</v>
          </cell>
          <cell r="V740">
            <v>0</v>
          </cell>
          <cell r="W740">
            <v>0</v>
          </cell>
          <cell r="X740">
            <v>0</v>
          </cell>
          <cell r="Y740">
            <v>0</v>
          </cell>
          <cell r="Z740">
            <v>0</v>
          </cell>
          <cell r="AA740">
            <v>0</v>
          </cell>
          <cell r="AB740">
            <v>0</v>
          </cell>
          <cell r="AC740">
            <v>0</v>
          </cell>
          <cell r="AD740">
            <v>0</v>
          </cell>
          <cell r="AE740">
            <v>0</v>
          </cell>
          <cell r="AF740">
            <v>0</v>
          </cell>
          <cell r="AH740">
            <v>0</v>
          </cell>
        </row>
        <row r="741">
          <cell r="B741" t="str">
            <v>ST/ESRS</v>
          </cell>
          <cell r="C741" t="str">
            <v>B3A</v>
          </cell>
          <cell r="D741" t="str">
            <v>B3AE</v>
          </cell>
          <cell r="E741" t="str">
            <v>EPIK</v>
          </cell>
          <cell r="G741">
            <v>23</v>
          </cell>
          <cell r="H741" t="str">
            <v xml:space="preserve">6 Biblio proxi Equipement informatiques  </v>
          </cell>
          <cell r="I741" t="str">
            <v>DNESUP</v>
          </cell>
          <cell r="K741" t="str">
            <v>IDA</v>
          </cell>
          <cell r="L741" t="str">
            <v>AOI</v>
          </cell>
          <cell r="P741">
            <v>0</v>
          </cell>
          <cell r="Q741" t="str">
            <v>forfait</v>
          </cell>
          <cell r="S741">
            <v>51702.000000000007</v>
          </cell>
          <cell r="T741">
            <v>1</v>
          </cell>
          <cell r="U741">
            <v>0</v>
          </cell>
          <cell r="V741">
            <v>0</v>
          </cell>
          <cell r="W741">
            <v>0</v>
          </cell>
          <cell r="X741">
            <v>0</v>
          </cell>
          <cell r="Y741">
            <v>0</v>
          </cell>
          <cell r="Z741">
            <v>0</v>
          </cell>
          <cell r="AA741">
            <v>0</v>
          </cell>
          <cell r="AB741">
            <v>0</v>
          </cell>
          <cell r="AC741">
            <v>0</v>
          </cell>
          <cell r="AD741">
            <v>0</v>
          </cell>
          <cell r="AE741">
            <v>0</v>
          </cell>
          <cell r="AF741">
            <v>0</v>
          </cell>
          <cell r="AH741">
            <v>0</v>
          </cell>
        </row>
        <row r="742">
          <cell r="B742" t="str">
            <v>ST/ESRS</v>
          </cell>
          <cell r="C742" t="str">
            <v>B3A</v>
          </cell>
          <cell r="D742" t="str">
            <v>B3AE</v>
          </cell>
          <cell r="E742" t="str">
            <v>ISMGB</v>
          </cell>
          <cell r="G742">
            <v>23</v>
          </cell>
          <cell r="H742" t="str">
            <v xml:space="preserve">6 Biblio proxi Equipement informatiques  </v>
          </cell>
          <cell r="I742" t="str">
            <v>DNESUP</v>
          </cell>
          <cell r="K742" t="str">
            <v>IDA</v>
          </cell>
          <cell r="L742" t="str">
            <v>AOI</v>
          </cell>
          <cell r="P742">
            <v>0</v>
          </cell>
          <cell r="Q742" t="str">
            <v>forfait</v>
          </cell>
          <cell r="S742">
            <v>50471.000000000007</v>
          </cell>
          <cell r="T742">
            <v>1</v>
          </cell>
          <cell r="U742">
            <v>0</v>
          </cell>
          <cell r="V742">
            <v>0</v>
          </cell>
          <cell r="W742">
            <v>0</v>
          </cell>
          <cell r="X742">
            <v>0</v>
          </cell>
          <cell r="Y742">
            <v>0</v>
          </cell>
          <cell r="Z742">
            <v>0</v>
          </cell>
          <cell r="AA742">
            <v>0</v>
          </cell>
          <cell r="AB742">
            <v>0</v>
          </cell>
          <cell r="AC742">
            <v>0</v>
          </cell>
          <cell r="AD742">
            <v>0</v>
          </cell>
          <cell r="AE742">
            <v>0</v>
          </cell>
          <cell r="AF742">
            <v>0</v>
          </cell>
          <cell r="AH742">
            <v>0</v>
          </cell>
        </row>
        <row r="743">
          <cell r="B743" t="str">
            <v>ST/ESRS</v>
          </cell>
          <cell r="C743" t="str">
            <v>B3A</v>
          </cell>
          <cell r="D743" t="str">
            <v>B3AE</v>
          </cell>
          <cell r="E743" t="str">
            <v>ISSAVF</v>
          </cell>
          <cell r="G743">
            <v>23</v>
          </cell>
          <cell r="H743" t="str">
            <v xml:space="preserve">6 Biblio proxi Equipement informatiques  </v>
          </cell>
          <cell r="I743" t="str">
            <v>DNESUP</v>
          </cell>
          <cell r="K743" t="str">
            <v>IDA</v>
          </cell>
          <cell r="L743" t="str">
            <v>AOI</v>
          </cell>
          <cell r="P743">
            <v>0</v>
          </cell>
          <cell r="Q743" t="str">
            <v>forfait</v>
          </cell>
          <cell r="S743">
            <v>50471.000000000007</v>
          </cell>
          <cell r="T743">
            <v>1</v>
          </cell>
          <cell r="U743">
            <v>0</v>
          </cell>
          <cell r="V743">
            <v>0</v>
          </cell>
          <cell r="W743">
            <v>0</v>
          </cell>
          <cell r="X743">
            <v>0</v>
          </cell>
          <cell r="Y743">
            <v>0</v>
          </cell>
          <cell r="Z743">
            <v>0</v>
          </cell>
          <cell r="AA743">
            <v>0</v>
          </cell>
          <cell r="AB743">
            <v>0</v>
          </cell>
          <cell r="AC743">
            <v>0</v>
          </cell>
          <cell r="AD743">
            <v>0</v>
          </cell>
          <cell r="AE743">
            <v>0</v>
          </cell>
          <cell r="AF743">
            <v>0</v>
          </cell>
          <cell r="AH743">
            <v>0</v>
          </cell>
        </row>
        <row r="744">
          <cell r="B744" t="str">
            <v>ST/ESRS</v>
          </cell>
          <cell r="C744" t="str">
            <v>B3A</v>
          </cell>
          <cell r="D744" t="str">
            <v>B3AE</v>
          </cell>
          <cell r="E744" t="str">
            <v>CUR NZER</v>
          </cell>
          <cell r="G744">
            <v>23</v>
          </cell>
          <cell r="H744" t="str">
            <v xml:space="preserve">6 Biblio proxi Equipement informatiques  </v>
          </cell>
          <cell r="I744" t="str">
            <v>DNESUP</v>
          </cell>
          <cell r="K744" t="str">
            <v>IDA</v>
          </cell>
          <cell r="L744" t="str">
            <v>AOI</v>
          </cell>
          <cell r="P744">
            <v>0</v>
          </cell>
          <cell r="Q744" t="str">
            <v>forfait</v>
          </cell>
          <cell r="S744">
            <v>61550.000000000007</v>
          </cell>
          <cell r="T744">
            <v>1</v>
          </cell>
          <cell r="U744">
            <v>0</v>
          </cell>
          <cell r="V744">
            <v>0</v>
          </cell>
          <cell r="W744">
            <v>0</v>
          </cell>
          <cell r="X744">
            <v>0</v>
          </cell>
          <cell r="Y744">
            <v>0</v>
          </cell>
          <cell r="Z744">
            <v>0</v>
          </cell>
          <cell r="AA744">
            <v>0</v>
          </cell>
          <cell r="AB744">
            <v>0</v>
          </cell>
          <cell r="AC744">
            <v>0</v>
          </cell>
          <cell r="AD744">
            <v>0</v>
          </cell>
          <cell r="AE744">
            <v>0</v>
          </cell>
          <cell r="AF744">
            <v>0</v>
          </cell>
          <cell r="AH744">
            <v>0</v>
          </cell>
        </row>
        <row r="745">
          <cell r="B745" t="str">
            <v>ST/ESRS</v>
          </cell>
          <cell r="C745" t="str">
            <v>B3A</v>
          </cell>
          <cell r="D745" t="str">
            <v>B3AE</v>
          </cell>
          <cell r="E745" t="str">
            <v>ISSEG</v>
          </cell>
          <cell r="G745">
            <v>23</v>
          </cell>
          <cell r="H745" t="str">
            <v>ISSEG Fourniture et installation mobilier et équipements</v>
          </cell>
          <cell r="I745" t="str">
            <v>DNESUP</v>
          </cell>
          <cell r="K745" t="str">
            <v>IDA</v>
          </cell>
          <cell r="L745" t="str">
            <v>AOI</v>
          </cell>
          <cell r="P745">
            <v>0</v>
          </cell>
          <cell r="Q745" t="str">
            <v>forfait</v>
          </cell>
          <cell r="S745">
            <v>71072.830188679247</v>
          </cell>
          <cell r="T745">
            <v>1</v>
          </cell>
          <cell r="U745">
            <v>0</v>
          </cell>
          <cell r="V745">
            <v>0</v>
          </cell>
          <cell r="W745">
            <v>0</v>
          </cell>
          <cell r="X745">
            <v>0</v>
          </cell>
          <cell r="Y745">
            <v>0</v>
          </cell>
          <cell r="Z745">
            <v>0</v>
          </cell>
          <cell r="AA745">
            <v>0</v>
          </cell>
          <cell r="AB745">
            <v>0</v>
          </cell>
          <cell r="AC745">
            <v>0</v>
          </cell>
          <cell r="AD745">
            <v>0</v>
          </cell>
          <cell r="AE745">
            <v>0</v>
          </cell>
          <cell r="AF745">
            <v>0</v>
          </cell>
          <cell r="AH745">
            <v>0</v>
          </cell>
        </row>
        <row r="746">
          <cell r="B746" t="str">
            <v>ST/ESRS</v>
          </cell>
          <cell r="C746" t="str">
            <v>B3A</v>
          </cell>
          <cell r="D746" t="str">
            <v>B3AE</v>
          </cell>
          <cell r="E746" t="str">
            <v>ISSEG</v>
          </cell>
          <cell r="G746">
            <v>23</v>
          </cell>
          <cell r="H746" t="str">
            <v xml:space="preserve">ISSEG Equipement informatiques  </v>
          </cell>
          <cell r="I746" t="str">
            <v>DNESUP</v>
          </cell>
          <cell r="K746" t="str">
            <v>IDA</v>
          </cell>
          <cell r="L746" t="str">
            <v>AOI</v>
          </cell>
          <cell r="P746">
            <v>0</v>
          </cell>
          <cell r="Q746" t="str">
            <v>forfait</v>
          </cell>
          <cell r="S746">
            <v>81246</v>
          </cell>
          <cell r="T746">
            <v>1</v>
          </cell>
          <cell r="U746">
            <v>0</v>
          </cell>
          <cell r="V746">
            <v>0</v>
          </cell>
          <cell r="W746">
            <v>0</v>
          </cell>
          <cell r="X746">
            <v>0</v>
          </cell>
          <cell r="Y746">
            <v>0</v>
          </cell>
          <cell r="Z746">
            <v>0</v>
          </cell>
          <cell r="AA746">
            <v>0</v>
          </cell>
          <cell r="AB746">
            <v>0</v>
          </cell>
          <cell r="AC746">
            <v>0</v>
          </cell>
          <cell r="AD746">
            <v>0</v>
          </cell>
          <cell r="AE746">
            <v>0</v>
          </cell>
          <cell r="AF746">
            <v>0</v>
          </cell>
          <cell r="AH746">
            <v>0</v>
          </cell>
        </row>
        <row r="747">
          <cell r="B747" t="str">
            <v>ST/ESRS</v>
          </cell>
          <cell r="C747" t="str">
            <v>B3A</v>
          </cell>
          <cell r="D747" t="str">
            <v>B3AE</v>
          </cell>
          <cell r="E747" t="str">
            <v>UGANC</v>
          </cell>
          <cell r="G747">
            <v>23</v>
          </cell>
          <cell r="H747" t="str">
            <v>Bibliothèques de proximité / Fourniture de volumes pour la collection minimale</v>
          </cell>
          <cell r="I747" t="str">
            <v>DNESUP</v>
          </cell>
          <cell r="K747" t="str">
            <v>IDA</v>
          </cell>
          <cell r="L747" t="str">
            <v>AOI</v>
          </cell>
          <cell r="P747">
            <v>0</v>
          </cell>
          <cell r="Q747" t="str">
            <v>titre</v>
          </cell>
          <cell r="S747">
            <v>169.38560000000001</v>
          </cell>
          <cell r="T747">
            <v>1</v>
          </cell>
          <cell r="U747">
            <v>0</v>
          </cell>
          <cell r="V747">
            <v>0</v>
          </cell>
          <cell r="W747">
            <v>0</v>
          </cell>
          <cell r="X747">
            <v>0</v>
          </cell>
          <cell r="Y747">
            <v>0</v>
          </cell>
          <cell r="Z747">
            <v>0</v>
          </cell>
          <cell r="AA747">
            <v>0</v>
          </cell>
          <cell r="AB747">
            <v>0</v>
          </cell>
          <cell r="AC747">
            <v>0</v>
          </cell>
          <cell r="AD747">
            <v>0</v>
          </cell>
          <cell r="AE747">
            <v>0</v>
          </cell>
          <cell r="AF747">
            <v>0</v>
          </cell>
          <cell r="AH747">
            <v>0</v>
          </cell>
        </row>
        <row r="748">
          <cell r="B748" t="str">
            <v>ST/ESRS</v>
          </cell>
          <cell r="C748" t="str">
            <v>B3A</v>
          </cell>
          <cell r="D748" t="str">
            <v>B3AE</v>
          </cell>
          <cell r="E748" t="str">
            <v>ISSEG</v>
          </cell>
          <cell r="G748">
            <v>23</v>
          </cell>
          <cell r="H748" t="str">
            <v>Bibliothèques de proximité / Fourniture de volumes pour la collection minimale</v>
          </cell>
          <cell r="I748" t="str">
            <v>DNESUP</v>
          </cell>
          <cell r="K748" t="str">
            <v>IDA</v>
          </cell>
          <cell r="L748" t="str">
            <v>AOI</v>
          </cell>
          <cell r="P748">
            <v>0</v>
          </cell>
          <cell r="Q748" t="str">
            <v>titre</v>
          </cell>
          <cell r="S748">
            <v>169.38560000000001</v>
          </cell>
          <cell r="T748">
            <v>1</v>
          </cell>
          <cell r="U748">
            <v>0</v>
          </cell>
          <cell r="V748">
            <v>0</v>
          </cell>
          <cell r="W748">
            <v>0</v>
          </cell>
          <cell r="X748">
            <v>0</v>
          </cell>
          <cell r="Y748">
            <v>0</v>
          </cell>
          <cell r="Z748">
            <v>0</v>
          </cell>
          <cell r="AA748">
            <v>0</v>
          </cell>
          <cell r="AB748">
            <v>0</v>
          </cell>
          <cell r="AC748">
            <v>0</v>
          </cell>
          <cell r="AD748">
            <v>0</v>
          </cell>
          <cell r="AE748">
            <v>0</v>
          </cell>
          <cell r="AF748">
            <v>0</v>
          </cell>
          <cell r="AH748">
            <v>0</v>
          </cell>
        </row>
        <row r="749">
          <cell r="B749" t="str">
            <v>ST/ESRS</v>
          </cell>
          <cell r="C749" t="str">
            <v>B3A</v>
          </cell>
          <cell r="D749" t="str">
            <v>B3AE</v>
          </cell>
          <cell r="E749" t="str">
            <v>ISFAD</v>
          </cell>
          <cell r="G749">
            <v>23</v>
          </cell>
          <cell r="H749" t="str">
            <v>Bibliothèques de proximité / Fourniture de volumes pour la collection minimale</v>
          </cell>
          <cell r="I749" t="str">
            <v>DNESUP</v>
          </cell>
          <cell r="K749" t="str">
            <v>IDA</v>
          </cell>
          <cell r="L749" t="str">
            <v>AOI</v>
          </cell>
          <cell r="P749">
            <v>0</v>
          </cell>
          <cell r="Q749" t="str">
            <v>titre</v>
          </cell>
          <cell r="S749">
            <v>169.38560000000001</v>
          </cell>
          <cell r="T749">
            <v>1</v>
          </cell>
          <cell r="U749">
            <v>0</v>
          </cell>
          <cell r="V749">
            <v>0</v>
          </cell>
          <cell r="W749">
            <v>0</v>
          </cell>
          <cell r="X749">
            <v>0</v>
          </cell>
          <cell r="Y749">
            <v>0</v>
          </cell>
          <cell r="Z749">
            <v>0</v>
          </cell>
          <cell r="AA749">
            <v>0</v>
          </cell>
          <cell r="AB749">
            <v>0</v>
          </cell>
          <cell r="AC749">
            <v>0</v>
          </cell>
          <cell r="AD749">
            <v>0</v>
          </cell>
          <cell r="AE749">
            <v>0</v>
          </cell>
          <cell r="AF749">
            <v>0</v>
          </cell>
          <cell r="AH749">
            <v>0</v>
          </cell>
        </row>
        <row r="750">
          <cell r="B750" t="str">
            <v>ST/ESRS</v>
          </cell>
          <cell r="C750" t="str">
            <v>B3A</v>
          </cell>
          <cell r="D750" t="str">
            <v>B3AE</v>
          </cell>
          <cell r="E750" t="str">
            <v>ISAG</v>
          </cell>
          <cell r="G750">
            <v>23</v>
          </cell>
          <cell r="H750" t="str">
            <v>Bibliothèques de proximité / Fourniture de volumes pour la collection minimale</v>
          </cell>
          <cell r="I750" t="str">
            <v>DNESUP</v>
          </cell>
          <cell r="K750" t="str">
            <v>IDA</v>
          </cell>
          <cell r="L750" t="str">
            <v>AOI</v>
          </cell>
          <cell r="P750">
            <v>0</v>
          </cell>
          <cell r="Q750" t="str">
            <v>titre</v>
          </cell>
          <cell r="S750">
            <v>169.38560000000001</v>
          </cell>
          <cell r="T750">
            <v>1</v>
          </cell>
          <cell r="U750">
            <v>0</v>
          </cell>
          <cell r="V750">
            <v>0</v>
          </cell>
          <cell r="W750">
            <v>0</v>
          </cell>
          <cell r="X750">
            <v>0</v>
          </cell>
          <cell r="Y750">
            <v>0</v>
          </cell>
          <cell r="Z750">
            <v>0</v>
          </cell>
          <cell r="AA750">
            <v>0</v>
          </cell>
          <cell r="AB750">
            <v>0</v>
          </cell>
          <cell r="AC750">
            <v>0</v>
          </cell>
          <cell r="AD750">
            <v>0</v>
          </cell>
          <cell r="AE750">
            <v>0</v>
          </cell>
          <cell r="AF750">
            <v>0</v>
          </cell>
          <cell r="AH750">
            <v>0</v>
          </cell>
        </row>
        <row r="751">
          <cell r="B751" t="str">
            <v>ST/ESRS</v>
          </cell>
          <cell r="C751" t="str">
            <v>B3A</v>
          </cell>
          <cell r="D751" t="str">
            <v>B3AE</v>
          </cell>
          <cell r="E751" t="str">
            <v>UJNK</v>
          </cell>
          <cell r="G751">
            <v>23</v>
          </cell>
          <cell r="H751" t="str">
            <v>Bibliothèques de proximité / Fourniture de volumes pour la collection minimale</v>
          </cell>
          <cell r="I751" t="str">
            <v>DNESUP</v>
          </cell>
          <cell r="K751" t="str">
            <v>IDA</v>
          </cell>
          <cell r="L751" t="str">
            <v>AOI</v>
          </cell>
          <cell r="P751">
            <v>0</v>
          </cell>
          <cell r="Q751" t="str">
            <v>titre</v>
          </cell>
          <cell r="S751">
            <v>169.38560000000001</v>
          </cell>
          <cell r="T751">
            <v>1</v>
          </cell>
          <cell r="U751">
            <v>0</v>
          </cell>
          <cell r="V751">
            <v>0</v>
          </cell>
          <cell r="W751">
            <v>0</v>
          </cell>
          <cell r="X751">
            <v>0</v>
          </cell>
          <cell r="Y751">
            <v>0</v>
          </cell>
          <cell r="Z751">
            <v>0</v>
          </cell>
          <cell r="AA751">
            <v>0</v>
          </cell>
          <cell r="AB751">
            <v>0</v>
          </cell>
          <cell r="AC751">
            <v>0</v>
          </cell>
          <cell r="AD751">
            <v>0</v>
          </cell>
          <cell r="AE751">
            <v>0</v>
          </cell>
          <cell r="AF751">
            <v>0</v>
          </cell>
          <cell r="AH751">
            <v>0</v>
          </cell>
        </row>
        <row r="752">
          <cell r="B752" t="str">
            <v>ST/ESRS</v>
          </cell>
          <cell r="C752" t="str">
            <v>B3A</v>
          </cell>
          <cell r="D752" t="str">
            <v>B3AE</v>
          </cell>
          <cell r="E752" t="str">
            <v>EPIK</v>
          </cell>
          <cell r="G752">
            <v>23</v>
          </cell>
          <cell r="H752" t="str">
            <v>Bibliothèques de proximité / Fourniture de volumes pour la collection minimale</v>
          </cell>
          <cell r="I752" t="str">
            <v>DNESUP</v>
          </cell>
          <cell r="K752" t="str">
            <v>IDA</v>
          </cell>
          <cell r="L752" t="str">
            <v>AOI</v>
          </cell>
          <cell r="P752">
            <v>0</v>
          </cell>
          <cell r="Q752" t="str">
            <v>titre</v>
          </cell>
          <cell r="S752">
            <v>169.38560000000001</v>
          </cell>
          <cell r="T752">
            <v>1</v>
          </cell>
          <cell r="U752">
            <v>0</v>
          </cell>
          <cell r="V752">
            <v>0</v>
          </cell>
          <cell r="W752">
            <v>0</v>
          </cell>
          <cell r="X752">
            <v>0</v>
          </cell>
          <cell r="Y752">
            <v>0</v>
          </cell>
          <cell r="Z752">
            <v>0</v>
          </cell>
          <cell r="AA752">
            <v>0</v>
          </cell>
          <cell r="AB752">
            <v>0</v>
          </cell>
          <cell r="AC752">
            <v>0</v>
          </cell>
          <cell r="AD752">
            <v>0</v>
          </cell>
          <cell r="AE752">
            <v>0</v>
          </cell>
          <cell r="AF752">
            <v>0</v>
          </cell>
          <cell r="AH752">
            <v>0</v>
          </cell>
        </row>
        <row r="753">
          <cell r="B753" t="str">
            <v>ST/ESRS</v>
          </cell>
          <cell r="C753" t="str">
            <v>B3A</v>
          </cell>
          <cell r="D753" t="str">
            <v>B3AE</v>
          </cell>
          <cell r="E753" t="str">
            <v>CUR LABE</v>
          </cell>
          <cell r="G753">
            <v>23</v>
          </cell>
          <cell r="H753" t="str">
            <v>Bibliothèques de proximité / Fourniture de volumes pour la collection minimale</v>
          </cell>
          <cell r="I753" t="str">
            <v>DNESUP</v>
          </cell>
          <cell r="K753" t="str">
            <v>IDA</v>
          </cell>
          <cell r="L753" t="str">
            <v>AOI</v>
          </cell>
          <cell r="P753">
            <v>0</v>
          </cell>
          <cell r="Q753" t="str">
            <v>titre</v>
          </cell>
          <cell r="S753">
            <v>169.38560000000001</v>
          </cell>
          <cell r="T753">
            <v>1</v>
          </cell>
          <cell r="U753">
            <v>0</v>
          </cell>
          <cell r="V753">
            <v>0</v>
          </cell>
          <cell r="W753">
            <v>0</v>
          </cell>
          <cell r="X753">
            <v>0</v>
          </cell>
          <cell r="Y753">
            <v>0</v>
          </cell>
          <cell r="Z753">
            <v>0</v>
          </cell>
          <cell r="AA753">
            <v>0</v>
          </cell>
          <cell r="AB753">
            <v>0</v>
          </cell>
          <cell r="AC753">
            <v>0</v>
          </cell>
          <cell r="AD753">
            <v>0</v>
          </cell>
          <cell r="AE753">
            <v>0</v>
          </cell>
          <cell r="AF753">
            <v>0</v>
          </cell>
          <cell r="AH753">
            <v>0</v>
          </cell>
        </row>
        <row r="754">
          <cell r="B754" t="str">
            <v>ST/ESRS</v>
          </cell>
          <cell r="C754" t="str">
            <v>B3A</v>
          </cell>
          <cell r="D754" t="str">
            <v>B3AE</v>
          </cell>
          <cell r="E754" t="str">
            <v>CUR NZER</v>
          </cell>
          <cell r="G754">
            <v>23</v>
          </cell>
          <cell r="H754" t="str">
            <v>Bibliothèques de proximité / Fourniture de volumes pour la collection minimale</v>
          </cell>
          <cell r="I754" t="str">
            <v>DNESUP</v>
          </cell>
          <cell r="K754" t="str">
            <v>IDA</v>
          </cell>
          <cell r="L754" t="str">
            <v>AOI</v>
          </cell>
          <cell r="P754">
            <v>0</v>
          </cell>
          <cell r="Q754" t="str">
            <v>titre</v>
          </cell>
          <cell r="S754">
            <v>169.38560000000001</v>
          </cell>
          <cell r="T754">
            <v>1</v>
          </cell>
          <cell r="U754">
            <v>0</v>
          </cell>
          <cell r="V754">
            <v>0</v>
          </cell>
          <cell r="W754">
            <v>0</v>
          </cell>
          <cell r="X754">
            <v>0</v>
          </cell>
          <cell r="Y754">
            <v>0</v>
          </cell>
          <cell r="Z754">
            <v>0</v>
          </cell>
          <cell r="AA754">
            <v>0</v>
          </cell>
          <cell r="AB754">
            <v>0</v>
          </cell>
          <cell r="AC754">
            <v>0</v>
          </cell>
          <cell r="AD754">
            <v>0</v>
          </cell>
          <cell r="AE754">
            <v>0</v>
          </cell>
          <cell r="AF754">
            <v>0</v>
          </cell>
          <cell r="AH754">
            <v>0</v>
          </cell>
        </row>
        <row r="755">
          <cell r="B755" t="str">
            <v>ST/ESRS</v>
          </cell>
          <cell r="C755" t="str">
            <v>B3A</v>
          </cell>
          <cell r="D755" t="str">
            <v>B3AE</v>
          </cell>
          <cell r="E755" t="str">
            <v>IISMVD</v>
          </cell>
          <cell r="G755">
            <v>23</v>
          </cell>
          <cell r="H755" t="str">
            <v>Bibliothèques de proximité / Fourniture de volumes pour la collection minimale</v>
          </cell>
          <cell r="I755" t="str">
            <v>DNESUP</v>
          </cell>
          <cell r="K755" t="str">
            <v>IDA</v>
          </cell>
          <cell r="L755" t="str">
            <v>AOI</v>
          </cell>
          <cell r="P755">
            <v>0</v>
          </cell>
          <cell r="Q755" t="str">
            <v>titre</v>
          </cell>
          <cell r="S755">
            <v>169.38560000000001</v>
          </cell>
          <cell r="T755">
            <v>1</v>
          </cell>
          <cell r="U755">
            <v>0</v>
          </cell>
          <cell r="V755">
            <v>0</v>
          </cell>
          <cell r="W755">
            <v>0</v>
          </cell>
          <cell r="X755">
            <v>0</v>
          </cell>
          <cell r="Y755">
            <v>0</v>
          </cell>
          <cell r="Z755">
            <v>0</v>
          </cell>
          <cell r="AA755">
            <v>0</v>
          </cell>
          <cell r="AB755">
            <v>0</v>
          </cell>
          <cell r="AC755">
            <v>0</v>
          </cell>
          <cell r="AD755">
            <v>0</v>
          </cell>
          <cell r="AE755">
            <v>0</v>
          </cell>
          <cell r="AF755">
            <v>0</v>
          </cell>
          <cell r="AH755">
            <v>0</v>
          </cell>
        </row>
        <row r="756">
          <cell r="B756" t="str">
            <v>ST/ESRS</v>
          </cell>
          <cell r="C756" t="str">
            <v>B3A</v>
          </cell>
          <cell r="D756" t="str">
            <v>B3AE</v>
          </cell>
          <cell r="E756" t="str">
            <v>ISTM</v>
          </cell>
          <cell r="G756">
            <v>23</v>
          </cell>
          <cell r="H756" t="str">
            <v>Bibliothèques de proximité / Fourniture de volumes pour la collection minimale</v>
          </cell>
          <cell r="I756" t="str">
            <v>DNESUP</v>
          </cell>
          <cell r="K756" t="str">
            <v>IDA</v>
          </cell>
          <cell r="L756" t="str">
            <v>AOI</v>
          </cell>
          <cell r="P756">
            <v>0</v>
          </cell>
          <cell r="Q756" t="str">
            <v>titre</v>
          </cell>
          <cell r="S756">
            <v>169.38560000000001</v>
          </cell>
          <cell r="T756">
            <v>1</v>
          </cell>
          <cell r="U756">
            <v>0</v>
          </cell>
          <cell r="V756">
            <v>0</v>
          </cell>
          <cell r="W756">
            <v>0</v>
          </cell>
          <cell r="X756">
            <v>0</v>
          </cell>
          <cell r="Y756">
            <v>0</v>
          </cell>
          <cell r="Z756">
            <v>0</v>
          </cell>
          <cell r="AA756">
            <v>0</v>
          </cell>
          <cell r="AB756">
            <v>0</v>
          </cell>
          <cell r="AC756">
            <v>0</v>
          </cell>
          <cell r="AD756">
            <v>0</v>
          </cell>
          <cell r="AE756">
            <v>0</v>
          </cell>
          <cell r="AF756">
            <v>0</v>
          </cell>
          <cell r="AH756">
            <v>0</v>
          </cell>
        </row>
        <row r="757">
          <cell r="B757" t="str">
            <v>ST/ESRS</v>
          </cell>
          <cell r="C757" t="str">
            <v>B3A</v>
          </cell>
          <cell r="D757" t="str">
            <v>B3AE</v>
          </cell>
          <cell r="E757" t="str">
            <v>ISSAVF</v>
          </cell>
          <cell r="G757">
            <v>23</v>
          </cell>
          <cell r="H757" t="str">
            <v>Bibliothèques de proximité / Fourniture de volumes pour la collection minimale</v>
          </cell>
          <cell r="I757" t="str">
            <v>DNESUP</v>
          </cell>
          <cell r="K757" t="str">
            <v>IDA</v>
          </cell>
          <cell r="L757" t="str">
            <v>AOI</v>
          </cell>
          <cell r="P757">
            <v>0</v>
          </cell>
          <cell r="Q757" t="str">
            <v>titre</v>
          </cell>
          <cell r="S757">
            <v>169.38560000000001</v>
          </cell>
          <cell r="T757">
            <v>1</v>
          </cell>
          <cell r="U757">
            <v>0</v>
          </cell>
          <cell r="V757">
            <v>0</v>
          </cell>
          <cell r="W757">
            <v>0</v>
          </cell>
          <cell r="X757">
            <v>0</v>
          </cell>
          <cell r="Y757">
            <v>0</v>
          </cell>
          <cell r="Z757">
            <v>0</v>
          </cell>
          <cell r="AA757">
            <v>0</v>
          </cell>
          <cell r="AB757">
            <v>0</v>
          </cell>
          <cell r="AC757">
            <v>0</v>
          </cell>
          <cell r="AD757">
            <v>0</v>
          </cell>
          <cell r="AE757">
            <v>0</v>
          </cell>
          <cell r="AF757">
            <v>0</v>
          </cell>
          <cell r="AH757">
            <v>0</v>
          </cell>
        </row>
        <row r="758">
          <cell r="B758" t="str">
            <v>ST/ESRS</v>
          </cell>
          <cell r="C758" t="str">
            <v>B3A</v>
          </cell>
          <cell r="D758" t="str">
            <v>B3AE</v>
          </cell>
          <cell r="E758" t="str">
            <v>INAUC</v>
          </cell>
          <cell r="G758">
            <v>23</v>
          </cell>
          <cell r="H758" t="str">
            <v>Bibliothèques de proximité / Fourniture de volumes pour la collection minimale</v>
          </cell>
          <cell r="I758" t="str">
            <v>DNESUP</v>
          </cell>
          <cell r="K758" t="str">
            <v>IDA</v>
          </cell>
          <cell r="L758" t="str">
            <v>AOI</v>
          </cell>
          <cell r="P758">
            <v>0</v>
          </cell>
          <cell r="Q758" t="str">
            <v>titre</v>
          </cell>
          <cell r="S758">
            <v>169.38560000000001</v>
          </cell>
          <cell r="T758">
            <v>1</v>
          </cell>
          <cell r="U758">
            <v>0</v>
          </cell>
          <cell r="V758">
            <v>0</v>
          </cell>
          <cell r="W758">
            <v>0</v>
          </cell>
          <cell r="X758">
            <v>0</v>
          </cell>
          <cell r="Y758">
            <v>0</v>
          </cell>
          <cell r="Z758">
            <v>0</v>
          </cell>
          <cell r="AA758">
            <v>0</v>
          </cell>
          <cell r="AB758">
            <v>0</v>
          </cell>
          <cell r="AC758">
            <v>0</v>
          </cell>
          <cell r="AD758">
            <v>0</v>
          </cell>
          <cell r="AE758">
            <v>0</v>
          </cell>
          <cell r="AF758">
            <v>0</v>
          </cell>
          <cell r="AH758">
            <v>0</v>
          </cell>
        </row>
        <row r="759">
          <cell r="B759" t="str">
            <v>ST/ESRS</v>
          </cell>
          <cell r="C759" t="str">
            <v>B3A</v>
          </cell>
          <cell r="D759" t="str">
            <v>B3AE</v>
          </cell>
          <cell r="E759" t="str">
            <v>ISICC</v>
          </cell>
          <cell r="G759">
            <v>23</v>
          </cell>
          <cell r="H759" t="str">
            <v>Bibliothèques de proximité / Fourniture de volumes pour la collection minimale</v>
          </cell>
          <cell r="I759" t="str">
            <v>DNESUP</v>
          </cell>
          <cell r="K759" t="str">
            <v>IDA</v>
          </cell>
          <cell r="L759" t="str">
            <v>AOI</v>
          </cell>
          <cell r="P759">
            <v>0</v>
          </cell>
          <cell r="Q759" t="str">
            <v>titre</v>
          </cell>
          <cell r="S759">
            <v>169.38560000000001</v>
          </cell>
          <cell r="T759">
            <v>1</v>
          </cell>
          <cell r="U759">
            <v>0</v>
          </cell>
          <cell r="V759">
            <v>0</v>
          </cell>
          <cell r="W759">
            <v>0</v>
          </cell>
          <cell r="X759">
            <v>0</v>
          </cell>
          <cell r="Y759">
            <v>0</v>
          </cell>
          <cell r="Z759">
            <v>0</v>
          </cell>
          <cell r="AA759">
            <v>0</v>
          </cell>
          <cell r="AB759">
            <v>0</v>
          </cell>
          <cell r="AC759">
            <v>0</v>
          </cell>
          <cell r="AD759">
            <v>0</v>
          </cell>
          <cell r="AE759">
            <v>0</v>
          </cell>
          <cell r="AF759">
            <v>0</v>
          </cell>
          <cell r="AH759">
            <v>0</v>
          </cell>
        </row>
        <row r="760">
          <cell r="B760" t="str">
            <v>ST/ESRS</v>
          </cell>
          <cell r="C760" t="str">
            <v>B3A</v>
          </cell>
          <cell r="D760" t="str">
            <v>B3AE</v>
          </cell>
          <cell r="E760" t="str">
            <v>CSP</v>
          </cell>
          <cell r="G760">
            <v>15</v>
          </cell>
          <cell r="H760" t="str">
            <v>Bibliothèques de proximité : Missions de supervision  6j/mois</v>
          </cell>
          <cell r="I760" t="str">
            <v>DNESUP</v>
          </cell>
          <cell r="K760" t="str">
            <v>IDA</v>
          </cell>
          <cell r="L760" t="str">
            <v>AUT</v>
          </cell>
          <cell r="P760">
            <v>0</v>
          </cell>
          <cell r="Q760" t="str">
            <v>pxj</v>
          </cell>
          <cell r="S760">
            <v>147.72</v>
          </cell>
          <cell r="T760">
            <v>0.9</v>
          </cell>
          <cell r="U760">
            <v>0</v>
          </cell>
          <cell r="V760">
            <v>0</v>
          </cell>
          <cell r="W760">
            <v>0</v>
          </cell>
          <cell r="X760">
            <v>0</v>
          </cell>
          <cell r="Y760">
            <v>0</v>
          </cell>
          <cell r="Z760">
            <v>0</v>
          </cell>
          <cell r="AA760">
            <v>0</v>
          </cell>
          <cell r="AB760">
            <v>0</v>
          </cell>
          <cell r="AC760">
            <v>0</v>
          </cell>
          <cell r="AD760">
            <v>0</v>
          </cell>
          <cell r="AE760">
            <v>0</v>
          </cell>
          <cell r="AF760">
            <v>0</v>
          </cell>
          <cell r="AH760">
            <v>0</v>
          </cell>
        </row>
        <row r="761">
          <cell r="B761" t="str">
            <v>ST/ESRS</v>
          </cell>
          <cell r="C761" t="str">
            <v>B3A</v>
          </cell>
          <cell r="D761" t="str">
            <v>B3AA</v>
          </cell>
          <cell r="E761" t="str">
            <v>DNESUP</v>
          </cell>
          <cell r="G761">
            <v>25</v>
          </cell>
          <cell r="H761" t="str">
            <v>Appui institutionnel réforme programmes en LMD (UQAM) 2è phase</v>
          </cell>
          <cell r="I761" t="str">
            <v>DNESUP</v>
          </cell>
          <cell r="K761" t="str">
            <v>IDA</v>
          </cell>
          <cell r="L761" t="str">
            <v>LR</v>
          </cell>
          <cell r="P761">
            <v>0</v>
          </cell>
          <cell r="Q761" t="str">
            <v>contrat</v>
          </cell>
          <cell r="S761">
            <v>2267321.1907200003</v>
          </cell>
          <cell r="T761">
            <v>1</v>
          </cell>
          <cell r="U761">
            <v>0</v>
          </cell>
          <cell r="V761">
            <v>0</v>
          </cell>
          <cell r="W761">
            <v>0</v>
          </cell>
          <cell r="X761">
            <v>0</v>
          </cell>
          <cell r="Y761">
            <v>0</v>
          </cell>
          <cell r="Z761">
            <v>0</v>
          </cell>
          <cell r="AA761">
            <v>0</v>
          </cell>
          <cell r="AB761">
            <v>0</v>
          </cell>
          <cell r="AC761">
            <v>0</v>
          </cell>
          <cell r="AD761">
            <v>0</v>
          </cell>
          <cell r="AE761">
            <v>0</v>
          </cell>
          <cell r="AF761">
            <v>0</v>
          </cell>
          <cell r="AH761">
            <v>0</v>
          </cell>
        </row>
        <row r="762">
          <cell r="B762" t="str">
            <v>ST/ESRS</v>
          </cell>
          <cell r="C762" t="str">
            <v>B3A</v>
          </cell>
          <cell r="D762" t="str">
            <v>B3AA</v>
          </cell>
          <cell r="E762" t="str">
            <v>DNESUP</v>
          </cell>
          <cell r="G762">
            <v>25</v>
          </cell>
          <cell r="H762" t="str">
            <v>Voyage d'étude au Maroc sur LMD</v>
          </cell>
          <cell r="I762" t="str">
            <v>DNESUP</v>
          </cell>
          <cell r="K762" t="str">
            <v>IDA</v>
          </cell>
          <cell r="L762" t="str">
            <v>AUT</v>
          </cell>
          <cell r="P762">
            <v>0</v>
          </cell>
          <cell r="Q762" t="str">
            <v>forfait</v>
          </cell>
          <cell r="S762">
            <v>35703.924000000006</v>
          </cell>
          <cell r="T762">
            <v>1</v>
          </cell>
          <cell r="U762">
            <v>0</v>
          </cell>
          <cell r="V762">
            <v>0</v>
          </cell>
          <cell r="W762">
            <v>0</v>
          </cell>
          <cell r="X762">
            <v>0</v>
          </cell>
          <cell r="Y762">
            <v>0</v>
          </cell>
          <cell r="Z762">
            <v>0</v>
          </cell>
          <cell r="AA762">
            <v>0</v>
          </cell>
          <cell r="AB762">
            <v>0</v>
          </cell>
          <cell r="AC762">
            <v>0</v>
          </cell>
          <cell r="AD762">
            <v>0</v>
          </cell>
          <cell r="AE762">
            <v>0</v>
          </cell>
          <cell r="AF762">
            <v>0</v>
          </cell>
          <cell r="AH762">
            <v>0</v>
          </cell>
        </row>
        <row r="763">
          <cell r="B763" t="str">
            <v>ST/ESRS</v>
          </cell>
          <cell r="C763" t="str">
            <v>B3B</v>
          </cell>
          <cell r="D763" t="str">
            <v>B3BA</v>
          </cell>
          <cell r="E763" t="str">
            <v>DNRST</v>
          </cell>
          <cell r="G763">
            <v>25</v>
          </cell>
          <cell r="H763" t="str">
            <v>Appui pour édition et impression de 10 rapports scientifiques  Reporté en 2006</v>
          </cell>
          <cell r="I763" t="str">
            <v>DNRS</v>
          </cell>
          <cell r="K763" t="str">
            <v>IDA</v>
          </cell>
          <cell r="L763" t="str">
            <v>AUT</v>
          </cell>
          <cell r="P763">
            <v>0</v>
          </cell>
          <cell r="Q763" t="str">
            <v>pub</v>
          </cell>
          <cell r="S763">
            <v>2654.0360000000001</v>
          </cell>
          <cell r="T763">
            <v>1</v>
          </cell>
          <cell r="U763">
            <v>0</v>
          </cell>
          <cell r="V763">
            <v>0</v>
          </cell>
          <cell r="W763">
            <v>0</v>
          </cell>
          <cell r="X763">
            <v>0</v>
          </cell>
          <cell r="Y763">
            <v>0</v>
          </cell>
          <cell r="Z763">
            <v>0</v>
          </cell>
          <cell r="AA763">
            <v>0</v>
          </cell>
          <cell r="AB763">
            <v>0</v>
          </cell>
          <cell r="AC763">
            <v>0</v>
          </cell>
          <cell r="AD763">
            <v>0</v>
          </cell>
          <cell r="AE763">
            <v>0</v>
          </cell>
          <cell r="AF763">
            <v>0</v>
          </cell>
          <cell r="AH763">
            <v>0</v>
          </cell>
        </row>
        <row r="764">
          <cell r="B764" t="str">
            <v>ST/ESRS</v>
          </cell>
          <cell r="C764" t="str">
            <v>B3B</v>
          </cell>
          <cell r="D764" t="str">
            <v>B3BA</v>
          </cell>
          <cell r="E764" t="str">
            <v>DNRST</v>
          </cell>
          <cell r="G764">
            <v>25</v>
          </cell>
          <cell r="H764" t="str">
            <v>Journée scientifique nationale du FRI</v>
          </cell>
          <cell r="I764" t="str">
            <v>DNRS</v>
          </cell>
          <cell r="K764" t="str">
            <v>IDA</v>
          </cell>
          <cell r="L764" t="str">
            <v>AUT</v>
          </cell>
          <cell r="P764">
            <v>0</v>
          </cell>
          <cell r="Q764" t="str">
            <v>forfait</v>
          </cell>
          <cell r="S764">
            <v>56108.98</v>
          </cell>
          <cell r="T764">
            <v>1</v>
          </cell>
          <cell r="U764">
            <v>0</v>
          </cell>
          <cell r="V764">
            <v>0</v>
          </cell>
          <cell r="W764">
            <v>0</v>
          </cell>
          <cell r="X764">
            <v>0</v>
          </cell>
          <cell r="Y764">
            <v>0</v>
          </cell>
          <cell r="Z764">
            <v>0</v>
          </cell>
          <cell r="AA764">
            <v>0</v>
          </cell>
          <cell r="AB764">
            <v>0</v>
          </cell>
          <cell r="AC764">
            <v>0</v>
          </cell>
          <cell r="AD764">
            <v>0</v>
          </cell>
          <cell r="AE764">
            <v>0</v>
          </cell>
          <cell r="AF764">
            <v>0</v>
          </cell>
          <cell r="AH764">
            <v>0</v>
          </cell>
        </row>
        <row r="765">
          <cell r="B765" t="str">
            <v>ST/ESRS</v>
          </cell>
          <cell r="C765" t="str">
            <v>B3A</v>
          </cell>
          <cell r="D765" t="str">
            <v>B3AE</v>
          </cell>
          <cell r="E765" t="str">
            <v>ISSEG</v>
          </cell>
          <cell r="G765">
            <v>22</v>
          </cell>
          <cell r="H765" t="str">
            <v>ISSEG Transfert bibliothèque    131818010 GNF</v>
          </cell>
          <cell r="I765" t="str">
            <v>DNESUP</v>
          </cell>
          <cell r="K765" t="str">
            <v>IDA</v>
          </cell>
          <cell r="L765" t="str">
            <v>COT</v>
          </cell>
          <cell r="P765">
            <v>0</v>
          </cell>
          <cell r="Q765" t="str">
            <v>forfait</v>
          </cell>
          <cell r="S765">
            <v>131818</v>
          </cell>
          <cell r="T765">
            <v>0.8</v>
          </cell>
          <cell r="U765">
            <v>0</v>
          </cell>
          <cell r="V765">
            <v>0</v>
          </cell>
          <cell r="W765">
            <v>0</v>
          </cell>
          <cell r="X765">
            <v>0</v>
          </cell>
          <cell r="Y765">
            <v>0</v>
          </cell>
          <cell r="Z765">
            <v>0</v>
          </cell>
          <cell r="AA765">
            <v>0</v>
          </cell>
          <cell r="AB765">
            <v>0</v>
          </cell>
          <cell r="AC765">
            <v>0</v>
          </cell>
          <cell r="AD765">
            <v>0</v>
          </cell>
          <cell r="AE765">
            <v>0</v>
          </cell>
          <cell r="AF765">
            <v>0</v>
          </cell>
          <cell r="AH765">
            <v>0</v>
          </cell>
        </row>
        <row r="766">
          <cell r="B766" t="str">
            <v>ST/ESRS</v>
          </cell>
          <cell r="C766" t="str">
            <v>B3D</v>
          </cell>
          <cell r="D766" t="str">
            <v>B3DK</v>
          </cell>
          <cell r="E766" t="str">
            <v>ISSEG</v>
          </cell>
          <cell r="G766">
            <v>15</v>
          </cell>
          <cell r="H766" t="str">
            <v>ISSEG Appui au fonctionnement</v>
          </cell>
          <cell r="I766" t="str">
            <v>DNESUP</v>
          </cell>
          <cell r="K766" t="str">
            <v>IDA</v>
          </cell>
          <cell r="L766" t="str">
            <v>AUT</v>
          </cell>
          <cell r="P766">
            <v>0</v>
          </cell>
          <cell r="Q766" t="str">
            <v>an</v>
          </cell>
          <cell r="S766">
            <v>49240.000000000007</v>
          </cell>
          <cell r="T766">
            <v>0.9</v>
          </cell>
          <cell r="U766">
            <v>0</v>
          </cell>
          <cell r="V766">
            <v>0</v>
          </cell>
          <cell r="W766">
            <v>0</v>
          </cell>
          <cell r="X766">
            <v>0</v>
          </cell>
          <cell r="Y766">
            <v>0</v>
          </cell>
          <cell r="Z766">
            <v>0</v>
          </cell>
          <cell r="AA766">
            <v>0</v>
          </cell>
          <cell r="AB766">
            <v>0</v>
          </cell>
          <cell r="AC766">
            <v>0</v>
          </cell>
          <cell r="AD766">
            <v>0</v>
          </cell>
          <cell r="AE766">
            <v>0</v>
          </cell>
          <cell r="AF766">
            <v>0</v>
          </cell>
          <cell r="AH766">
            <v>0</v>
          </cell>
        </row>
        <row r="767">
          <cell r="B767" t="str">
            <v>ST/ESRS</v>
          </cell>
          <cell r="C767" t="str">
            <v>B3C</v>
          </cell>
          <cell r="D767" t="str">
            <v>B3CA</v>
          </cell>
          <cell r="E767" t="str">
            <v>ISSEG</v>
          </cell>
          <cell r="G767">
            <v>25</v>
          </cell>
          <cell r="H767" t="str">
            <v>ISSEG Appui institutionnel pour la mise en place des prog rénové</v>
          </cell>
          <cell r="I767" t="str">
            <v>ISSEG</v>
          </cell>
          <cell r="K767" t="str">
            <v>IDA</v>
          </cell>
          <cell r="L767" t="str">
            <v>LR</v>
          </cell>
          <cell r="P767">
            <v>0</v>
          </cell>
          <cell r="Q767" t="str">
            <v>forfait</v>
          </cell>
          <cell r="S767">
            <v>984800.00000000012</v>
          </cell>
          <cell r="T767">
            <v>1</v>
          </cell>
          <cell r="U767">
            <v>0</v>
          </cell>
          <cell r="V767">
            <v>0</v>
          </cell>
          <cell r="W767">
            <v>0</v>
          </cell>
          <cell r="X767">
            <v>0</v>
          </cell>
          <cell r="Y767">
            <v>0</v>
          </cell>
          <cell r="Z767">
            <v>0</v>
          </cell>
          <cell r="AA767">
            <v>0</v>
          </cell>
          <cell r="AB767">
            <v>0</v>
          </cell>
          <cell r="AC767">
            <v>0</v>
          </cell>
          <cell r="AD767">
            <v>0</v>
          </cell>
          <cell r="AE767">
            <v>0</v>
          </cell>
          <cell r="AF767">
            <v>0</v>
          </cell>
          <cell r="AH767">
            <v>0</v>
          </cell>
        </row>
        <row r="768">
          <cell r="B768" t="str">
            <v>ST/ESRS</v>
          </cell>
          <cell r="C768" t="str">
            <v>C3B</v>
          </cell>
          <cell r="D768" t="str">
            <v>C3BA</v>
          </cell>
          <cell r="E768" t="str">
            <v>SPS</v>
          </cell>
          <cell r="G768">
            <v>25</v>
          </cell>
          <cell r="H768" t="str">
            <v>SPS ISU Form des cadres à excel et access et avancé 8p</v>
          </cell>
          <cell r="I768" t="str">
            <v>SPS</v>
          </cell>
          <cell r="K768" t="str">
            <v>IDA</v>
          </cell>
          <cell r="L768" t="str">
            <v>AUT</v>
          </cell>
          <cell r="P768">
            <v>0</v>
          </cell>
          <cell r="Q768" t="str">
            <v>p</v>
          </cell>
          <cell r="S768">
            <v>2462</v>
          </cell>
          <cell r="T768">
            <v>1</v>
          </cell>
          <cell r="U768">
            <v>0</v>
          </cell>
          <cell r="V768">
            <v>0</v>
          </cell>
          <cell r="W768">
            <v>0</v>
          </cell>
          <cell r="X768">
            <v>0</v>
          </cell>
          <cell r="Y768">
            <v>0</v>
          </cell>
          <cell r="Z768">
            <v>0</v>
          </cell>
          <cell r="AA768">
            <v>0</v>
          </cell>
          <cell r="AB768">
            <v>0</v>
          </cell>
          <cell r="AC768">
            <v>0</v>
          </cell>
          <cell r="AD768">
            <v>0</v>
          </cell>
          <cell r="AE768">
            <v>0</v>
          </cell>
          <cell r="AF768">
            <v>0</v>
          </cell>
          <cell r="AH768">
            <v>0</v>
          </cell>
        </row>
        <row r="769">
          <cell r="B769" t="str">
            <v>ST/ESRS</v>
          </cell>
          <cell r="C769" t="str">
            <v>C3B</v>
          </cell>
          <cell r="D769" t="str">
            <v>C3BA</v>
          </cell>
          <cell r="E769" t="str">
            <v>SPS</v>
          </cell>
          <cell r="G769">
            <v>15</v>
          </cell>
          <cell r="H769" t="str">
            <v>SPS ISU Mission de collecte des données 4p x 30j</v>
          </cell>
          <cell r="I769" t="str">
            <v>SPS</v>
          </cell>
          <cell r="K769" t="str">
            <v>IDA</v>
          </cell>
          <cell r="L769" t="str">
            <v>AUT</v>
          </cell>
          <cell r="P769">
            <v>0</v>
          </cell>
          <cell r="Q769" t="str">
            <v>pxj</v>
          </cell>
          <cell r="S769">
            <v>147.72</v>
          </cell>
          <cell r="T769">
            <v>0.9</v>
          </cell>
          <cell r="U769">
            <v>0</v>
          </cell>
          <cell r="V769">
            <v>0</v>
          </cell>
          <cell r="W769">
            <v>0</v>
          </cell>
          <cell r="X769">
            <v>0</v>
          </cell>
          <cell r="Y769">
            <v>0</v>
          </cell>
          <cell r="Z769">
            <v>0</v>
          </cell>
          <cell r="AA769">
            <v>0</v>
          </cell>
          <cell r="AB769">
            <v>0</v>
          </cell>
          <cell r="AC769">
            <v>0</v>
          </cell>
          <cell r="AD769">
            <v>0</v>
          </cell>
          <cell r="AE769">
            <v>0</v>
          </cell>
          <cell r="AF769">
            <v>0</v>
          </cell>
          <cell r="AH769">
            <v>0</v>
          </cell>
        </row>
        <row r="770">
          <cell r="B770" t="str">
            <v>ST/ESRS</v>
          </cell>
          <cell r="C770" t="str">
            <v>C3B</v>
          </cell>
          <cell r="D770" t="str">
            <v>C3BA</v>
          </cell>
          <cell r="E770" t="str">
            <v>SPS</v>
          </cell>
          <cell r="G770">
            <v>15</v>
          </cell>
          <cell r="H770" t="str">
            <v>SPS ISU Atelier de saisie des données 2p x 15j</v>
          </cell>
          <cell r="I770" t="str">
            <v>SPS</v>
          </cell>
          <cell r="K770" t="str">
            <v>IDA</v>
          </cell>
          <cell r="L770" t="str">
            <v>AUT</v>
          </cell>
          <cell r="P770">
            <v>0</v>
          </cell>
          <cell r="Q770" t="str">
            <v>pxj</v>
          </cell>
          <cell r="S770">
            <v>147.72</v>
          </cell>
          <cell r="T770">
            <v>0.9</v>
          </cell>
          <cell r="U770">
            <v>0</v>
          </cell>
          <cell r="V770">
            <v>0</v>
          </cell>
          <cell r="W770">
            <v>0</v>
          </cell>
          <cell r="X770">
            <v>0</v>
          </cell>
          <cell r="Y770">
            <v>0</v>
          </cell>
          <cell r="Z770">
            <v>0</v>
          </cell>
          <cell r="AA770">
            <v>0</v>
          </cell>
          <cell r="AB770">
            <v>0</v>
          </cell>
          <cell r="AC770">
            <v>0</v>
          </cell>
          <cell r="AD770">
            <v>0</v>
          </cell>
          <cell r="AE770">
            <v>0</v>
          </cell>
          <cell r="AF770">
            <v>0</v>
          </cell>
          <cell r="AH770">
            <v>0</v>
          </cell>
        </row>
        <row r="771">
          <cell r="B771" t="str">
            <v>ST/ESRS</v>
          </cell>
          <cell r="C771" t="str">
            <v>C3B</v>
          </cell>
          <cell r="D771" t="str">
            <v>C3BA</v>
          </cell>
          <cell r="E771" t="str">
            <v>SPS</v>
          </cell>
          <cell r="G771">
            <v>15</v>
          </cell>
          <cell r="H771" t="str">
            <v>SPS ISU Fournitures de bureau pour annuaire statistique</v>
          </cell>
          <cell r="I771" t="str">
            <v>SPS</v>
          </cell>
          <cell r="K771" t="str">
            <v>IDA</v>
          </cell>
          <cell r="L771" t="str">
            <v>COT</v>
          </cell>
          <cell r="P771">
            <v>0</v>
          </cell>
          <cell r="Q771" t="str">
            <v>forfait</v>
          </cell>
          <cell r="S771">
            <v>4924</v>
          </cell>
          <cell r="T771">
            <v>0.9</v>
          </cell>
          <cell r="U771">
            <v>0</v>
          </cell>
          <cell r="V771">
            <v>0</v>
          </cell>
          <cell r="W771">
            <v>0</v>
          </cell>
          <cell r="X771">
            <v>0</v>
          </cell>
          <cell r="Y771">
            <v>0</v>
          </cell>
          <cell r="Z771">
            <v>0</v>
          </cell>
          <cell r="AA771">
            <v>0</v>
          </cell>
          <cell r="AB771">
            <v>0</v>
          </cell>
          <cell r="AC771">
            <v>0</v>
          </cell>
          <cell r="AD771">
            <v>0</v>
          </cell>
          <cell r="AE771">
            <v>0</v>
          </cell>
          <cell r="AF771">
            <v>0</v>
          </cell>
          <cell r="AH771">
            <v>0</v>
          </cell>
        </row>
        <row r="772">
          <cell r="B772" t="str">
            <v>ST/ESRS</v>
          </cell>
          <cell r="C772" t="str">
            <v>C3B</v>
          </cell>
          <cell r="D772" t="str">
            <v>C3BA</v>
          </cell>
          <cell r="E772" t="str">
            <v>SPS</v>
          </cell>
          <cell r="G772">
            <v>15</v>
          </cell>
          <cell r="H772" t="str">
            <v>SPS ISU Reproduction annuaire statistique 2005-2006 et 2006-2007</v>
          </cell>
          <cell r="I772" t="str">
            <v>SPS</v>
          </cell>
          <cell r="K772" t="str">
            <v>IDA</v>
          </cell>
          <cell r="L772" t="str">
            <v>COT</v>
          </cell>
          <cell r="P772">
            <v>0</v>
          </cell>
          <cell r="Q772" t="str">
            <v>forfait</v>
          </cell>
          <cell r="S772">
            <v>14772.000000000002</v>
          </cell>
          <cell r="T772">
            <v>0.9</v>
          </cell>
          <cell r="U772">
            <v>0</v>
          </cell>
          <cell r="V772">
            <v>0</v>
          </cell>
          <cell r="W772">
            <v>0</v>
          </cell>
          <cell r="X772">
            <v>0</v>
          </cell>
          <cell r="Y772">
            <v>0</v>
          </cell>
          <cell r="Z772">
            <v>0</v>
          </cell>
          <cell r="AA772">
            <v>0</v>
          </cell>
          <cell r="AB772">
            <v>0</v>
          </cell>
          <cell r="AC772">
            <v>0</v>
          </cell>
          <cell r="AD772">
            <v>0</v>
          </cell>
          <cell r="AE772">
            <v>0</v>
          </cell>
          <cell r="AF772">
            <v>0</v>
          </cell>
          <cell r="AH772">
            <v>0</v>
          </cell>
        </row>
        <row r="773">
          <cell r="B773" t="str">
            <v>ST/ESRS</v>
          </cell>
          <cell r="C773" t="str">
            <v>C3F</v>
          </cell>
          <cell r="D773" t="str">
            <v>C3FA</v>
          </cell>
          <cell r="E773" t="str">
            <v>ST/MESRS</v>
          </cell>
          <cell r="G773">
            <v>25</v>
          </cell>
          <cell r="H773" t="str">
            <v>ST/MESRS Form  diverses à l'extérieur     bureautique + états financiers</v>
          </cell>
          <cell r="I773" t="str">
            <v>ST/MESRS</v>
          </cell>
          <cell r="K773" t="str">
            <v>IDA</v>
          </cell>
          <cell r="L773" t="str">
            <v>AUT</v>
          </cell>
          <cell r="P773">
            <v>0</v>
          </cell>
          <cell r="Q773" t="str">
            <v>forfait</v>
          </cell>
          <cell r="S773">
            <v>84953.772000000012</v>
          </cell>
          <cell r="T773">
            <v>1</v>
          </cell>
          <cell r="U773">
            <v>0</v>
          </cell>
          <cell r="V773">
            <v>0</v>
          </cell>
          <cell r="W773">
            <v>0</v>
          </cell>
          <cell r="X773">
            <v>0</v>
          </cell>
          <cell r="Y773">
            <v>0</v>
          </cell>
          <cell r="Z773">
            <v>0</v>
          </cell>
          <cell r="AA773">
            <v>0</v>
          </cell>
          <cell r="AB773">
            <v>0</v>
          </cell>
          <cell r="AC773">
            <v>0</v>
          </cell>
          <cell r="AD773">
            <v>0</v>
          </cell>
          <cell r="AE773">
            <v>0</v>
          </cell>
          <cell r="AF773">
            <v>0</v>
          </cell>
          <cell r="AH773">
            <v>0</v>
          </cell>
        </row>
        <row r="774">
          <cell r="B774" t="str">
            <v>ST/ESRS</v>
          </cell>
          <cell r="C774" t="str">
            <v>C3F</v>
          </cell>
          <cell r="D774" t="str">
            <v>C3FA</v>
          </cell>
          <cell r="E774" t="str">
            <v>ST/MESRS</v>
          </cell>
          <cell r="G774">
            <v>15</v>
          </cell>
          <cell r="H774" t="str">
            <v>ST/MESRS Salaires contractuels+Fournitures et services extérieurs+Missions sur terrain</v>
          </cell>
          <cell r="I774" t="str">
            <v>ST/MESRS</v>
          </cell>
          <cell r="K774" t="str">
            <v>IDA</v>
          </cell>
          <cell r="L774" t="str">
            <v>AUT</v>
          </cell>
          <cell r="P774">
            <v>0</v>
          </cell>
          <cell r="Q774" t="str">
            <v>mois</v>
          </cell>
          <cell r="S774">
            <v>22158</v>
          </cell>
          <cell r="T774">
            <v>0.9</v>
          </cell>
          <cell r="U774">
            <v>0</v>
          </cell>
          <cell r="V774">
            <v>0</v>
          </cell>
          <cell r="W774">
            <v>0</v>
          </cell>
          <cell r="X774">
            <v>0</v>
          </cell>
          <cell r="Y774">
            <v>0</v>
          </cell>
          <cell r="Z774">
            <v>0</v>
          </cell>
          <cell r="AA774">
            <v>0</v>
          </cell>
          <cell r="AB774">
            <v>0</v>
          </cell>
          <cell r="AC774">
            <v>0</v>
          </cell>
          <cell r="AD774">
            <v>0</v>
          </cell>
          <cell r="AE774">
            <v>0</v>
          </cell>
          <cell r="AF774">
            <v>0</v>
          </cell>
          <cell r="AH774">
            <v>0</v>
          </cell>
        </row>
        <row r="775">
          <cell r="B775" t="str">
            <v>SNIES</v>
          </cell>
          <cell r="C775" t="str">
            <v>D1B</v>
          </cell>
          <cell r="D775" t="str">
            <v>D1BD</v>
          </cell>
          <cell r="E775" t="str">
            <v>NA</v>
          </cell>
          <cell r="F775" t="str">
            <v>SNIES</v>
          </cell>
          <cell r="G775" t="str">
            <v>NA</v>
          </cell>
          <cell r="H775" t="str">
            <v>Non affectés sur projet FSD</v>
          </cell>
          <cell r="K775" t="str">
            <v>FSD</v>
          </cell>
          <cell r="N775">
            <v>0.5</v>
          </cell>
          <cell r="O775">
            <v>0.5</v>
          </cell>
          <cell r="P775">
            <v>1</v>
          </cell>
          <cell r="Q775" t="str">
            <v>forfait</v>
          </cell>
          <cell r="S775">
            <v>2279250</v>
          </cell>
          <cell r="T775">
            <v>1</v>
          </cell>
          <cell r="U775">
            <v>0</v>
          </cell>
          <cell r="V775">
            <v>1139625</v>
          </cell>
          <cell r="W775">
            <v>1139625</v>
          </cell>
          <cell r="X775">
            <v>2279250</v>
          </cell>
          <cell r="Y775">
            <v>0</v>
          </cell>
          <cell r="Z775">
            <v>1139625</v>
          </cell>
          <cell r="AA775">
            <v>1139625</v>
          </cell>
          <cell r="AB775">
            <v>2279250</v>
          </cell>
          <cell r="AC775">
            <v>0</v>
          </cell>
          <cell r="AD775">
            <v>0</v>
          </cell>
          <cell r="AE775">
            <v>0</v>
          </cell>
          <cell r="AF775">
            <v>0</v>
          </cell>
          <cell r="AG775">
            <v>0</v>
          </cell>
          <cell r="AH775">
            <v>0</v>
          </cell>
        </row>
        <row r="776">
          <cell r="B776" t="str">
            <v>SNIES</v>
          </cell>
          <cell r="C776" t="str">
            <v>A1B</v>
          </cell>
          <cell r="D776" t="str">
            <v>A1BG</v>
          </cell>
          <cell r="E776" t="str">
            <v>ES/BOFF</v>
          </cell>
          <cell r="F776" t="str">
            <v>SNIES</v>
          </cell>
          <cell r="G776">
            <v>22</v>
          </cell>
          <cell r="H776" t="str">
            <v>Travaux de construction collège</v>
          </cell>
          <cell r="I776" t="str">
            <v>SNIES</v>
          </cell>
          <cell r="K776" t="str">
            <v>FSD</v>
          </cell>
          <cell r="L776" t="str">
            <v>AON</v>
          </cell>
          <cell r="N776">
            <v>4</v>
          </cell>
          <cell r="O776">
            <v>4</v>
          </cell>
          <cell r="P776">
            <v>8</v>
          </cell>
          <cell r="Q776" t="str">
            <v>cl coll</v>
          </cell>
          <cell r="S776">
            <v>91169.999999999985</v>
          </cell>
          <cell r="T776">
            <v>1</v>
          </cell>
          <cell r="U776">
            <v>0</v>
          </cell>
          <cell r="V776">
            <v>364679.99999999994</v>
          </cell>
          <cell r="W776">
            <v>364679.99999999994</v>
          </cell>
          <cell r="X776">
            <v>729359.99999999988</v>
          </cell>
          <cell r="Y776">
            <v>0</v>
          </cell>
          <cell r="Z776">
            <v>364679.99999999994</v>
          </cell>
          <cell r="AA776">
            <v>364679.99999999994</v>
          </cell>
          <cell r="AB776">
            <v>729359.99999999988</v>
          </cell>
          <cell r="AC776">
            <v>0</v>
          </cell>
          <cell r="AD776">
            <v>0</v>
          </cell>
          <cell r="AE776">
            <v>0</v>
          </cell>
          <cell r="AF776">
            <v>0</v>
          </cell>
          <cell r="AG776">
            <v>0</v>
          </cell>
          <cell r="AH776">
            <v>0</v>
          </cell>
        </row>
        <row r="777">
          <cell r="B777" t="str">
            <v>SNIES</v>
          </cell>
          <cell r="C777" t="str">
            <v>A1B</v>
          </cell>
          <cell r="D777" t="str">
            <v>A1BG</v>
          </cell>
          <cell r="E777" t="str">
            <v>ES/BOKE</v>
          </cell>
          <cell r="F777" t="str">
            <v>SNIES</v>
          </cell>
          <cell r="G777">
            <v>22</v>
          </cell>
          <cell r="H777" t="str">
            <v>Travaux de construction collège</v>
          </cell>
          <cell r="I777" t="str">
            <v>SNIES</v>
          </cell>
          <cell r="K777" t="str">
            <v>FSD</v>
          </cell>
          <cell r="L777" t="str">
            <v>AON</v>
          </cell>
          <cell r="N777">
            <v>4</v>
          </cell>
          <cell r="O777">
            <v>4</v>
          </cell>
          <cell r="P777">
            <v>8</v>
          </cell>
          <cell r="Q777" t="str">
            <v>cl coll</v>
          </cell>
          <cell r="S777">
            <v>91169.999999999985</v>
          </cell>
          <cell r="T777">
            <v>1</v>
          </cell>
          <cell r="U777">
            <v>0</v>
          </cell>
          <cell r="V777">
            <v>364679.99999999994</v>
          </cell>
          <cell r="W777">
            <v>364679.99999999994</v>
          </cell>
          <cell r="X777">
            <v>729359.99999999988</v>
          </cell>
          <cell r="Y777">
            <v>0</v>
          </cell>
          <cell r="Z777">
            <v>364679.99999999994</v>
          </cell>
          <cell r="AA777">
            <v>364679.99999999994</v>
          </cell>
          <cell r="AB777">
            <v>729359.99999999988</v>
          </cell>
          <cell r="AC777">
            <v>0</v>
          </cell>
          <cell r="AD777">
            <v>0</v>
          </cell>
          <cell r="AE777">
            <v>0</v>
          </cell>
          <cell r="AF777">
            <v>0</v>
          </cell>
          <cell r="AG777">
            <v>0</v>
          </cell>
          <cell r="AH777">
            <v>0</v>
          </cell>
        </row>
        <row r="778">
          <cell r="B778" t="str">
            <v>SNIES</v>
          </cell>
          <cell r="C778" t="str">
            <v>A1B</v>
          </cell>
          <cell r="D778" t="str">
            <v>A1BG</v>
          </cell>
          <cell r="E778" t="str">
            <v>ES/GAOU</v>
          </cell>
          <cell r="F778" t="str">
            <v>SNIES</v>
          </cell>
          <cell r="G778">
            <v>22</v>
          </cell>
          <cell r="H778" t="str">
            <v>Travaux de construction collège</v>
          </cell>
          <cell r="I778" t="str">
            <v>SNIES</v>
          </cell>
          <cell r="K778" t="str">
            <v>FSD</v>
          </cell>
          <cell r="L778" t="str">
            <v>AON</v>
          </cell>
          <cell r="N778">
            <v>2</v>
          </cell>
          <cell r="O778">
            <v>2</v>
          </cell>
          <cell r="P778">
            <v>4</v>
          </cell>
          <cell r="Q778" t="str">
            <v>cl coll</v>
          </cell>
          <cell r="S778">
            <v>91169.999999999985</v>
          </cell>
          <cell r="T778">
            <v>1</v>
          </cell>
          <cell r="U778">
            <v>0</v>
          </cell>
          <cell r="V778">
            <v>182339.99999999997</v>
          </cell>
          <cell r="W778">
            <v>182339.99999999997</v>
          </cell>
          <cell r="X778">
            <v>364679.99999999994</v>
          </cell>
          <cell r="Y778">
            <v>0</v>
          </cell>
          <cell r="Z778">
            <v>182339.99999999997</v>
          </cell>
          <cell r="AA778">
            <v>182339.99999999997</v>
          </cell>
          <cell r="AB778">
            <v>364679.99999999994</v>
          </cell>
          <cell r="AC778">
            <v>0</v>
          </cell>
          <cell r="AD778">
            <v>0</v>
          </cell>
          <cell r="AE778">
            <v>0</v>
          </cell>
          <cell r="AF778">
            <v>0</v>
          </cell>
          <cell r="AG778">
            <v>0</v>
          </cell>
          <cell r="AH778">
            <v>0</v>
          </cell>
        </row>
        <row r="779">
          <cell r="B779" t="str">
            <v>SNIES</v>
          </cell>
          <cell r="C779" t="str">
            <v>A1B</v>
          </cell>
          <cell r="D779" t="str">
            <v>A1BG</v>
          </cell>
          <cell r="E779" t="str">
            <v>ES/DABO</v>
          </cell>
          <cell r="F779" t="str">
            <v>SNIES</v>
          </cell>
          <cell r="G779">
            <v>22</v>
          </cell>
          <cell r="H779" t="str">
            <v>Travaux de construction collège</v>
          </cell>
          <cell r="I779" t="str">
            <v>SNIES</v>
          </cell>
          <cell r="K779" t="str">
            <v>FSD</v>
          </cell>
          <cell r="L779" t="str">
            <v>AON</v>
          </cell>
          <cell r="N779">
            <v>4</v>
          </cell>
          <cell r="O779">
            <v>4</v>
          </cell>
          <cell r="P779">
            <v>8</v>
          </cell>
          <cell r="Q779" t="str">
            <v>cl coll</v>
          </cell>
          <cell r="S779">
            <v>91169.999999999985</v>
          </cell>
          <cell r="T779">
            <v>1</v>
          </cell>
          <cell r="U779">
            <v>0</v>
          </cell>
          <cell r="V779">
            <v>364679.99999999994</v>
          </cell>
          <cell r="W779">
            <v>364679.99999999994</v>
          </cell>
          <cell r="X779">
            <v>729359.99999999988</v>
          </cell>
          <cell r="Y779">
            <v>0</v>
          </cell>
          <cell r="Z779">
            <v>364679.99999999994</v>
          </cell>
          <cell r="AA779">
            <v>364679.99999999994</v>
          </cell>
          <cell r="AB779">
            <v>729359.99999999988</v>
          </cell>
          <cell r="AC779">
            <v>0</v>
          </cell>
          <cell r="AD779">
            <v>0</v>
          </cell>
          <cell r="AE779">
            <v>0</v>
          </cell>
          <cell r="AF779">
            <v>0</v>
          </cell>
          <cell r="AG779">
            <v>0</v>
          </cell>
          <cell r="AH779">
            <v>0</v>
          </cell>
        </row>
        <row r="780">
          <cell r="B780" t="str">
            <v>SNIES</v>
          </cell>
          <cell r="C780" t="str">
            <v>A1B</v>
          </cell>
          <cell r="D780" t="str">
            <v>A1BG</v>
          </cell>
          <cell r="E780" t="str">
            <v>ES/DING</v>
          </cell>
          <cell r="F780" t="str">
            <v>SNIES</v>
          </cell>
          <cell r="G780">
            <v>22</v>
          </cell>
          <cell r="H780" t="str">
            <v>Travaux de construction collège</v>
          </cell>
          <cell r="I780" t="str">
            <v>SNIES</v>
          </cell>
          <cell r="K780" t="str">
            <v>FSD</v>
          </cell>
          <cell r="L780" t="str">
            <v>AON</v>
          </cell>
          <cell r="N780">
            <v>6</v>
          </cell>
          <cell r="O780">
            <v>6</v>
          </cell>
          <cell r="P780">
            <v>12</v>
          </cell>
          <cell r="Q780" t="str">
            <v>cl coll</v>
          </cell>
          <cell r="S780">
            <v>91169.999999999985</v>
          </cell>
          <cell r="T780">
            <v>1</v>
          </cell>
          <cell r="U780">
            <v>0</v>
          </cell>
          <cell r="V780">
            <v>547019.99999999988</v>
          </cell>
          <cell r="W780">
            <v>547019.99999999988</v>
          </cell>
          <cell r="X780">
            <v>1094039.9999999998</v>
          </cell>
          <cell r="Y780">
            <v>0</v>
          </cell>
          <cell r="Z780">
            <v>547019.99999999988</v>
          </cell>
          <cell r="AA780">
            <v>547019.99999999988</v>
          </cell>
          <cell r="AB780">
            <v>1094039.9999999998</v>
          </cell>
          <cell r="AC780">
            <v>0</v>
          </cell>
          <cell r="AD780">
            <v>0</v>
          </cell>
          <cell r="AE780">
            <v>0</v>
          </cell>
          <cell r="AF780">
            <v>0</v>
          </cell>
          <cell r="AG780">
            <v>0</v>
          </cell>
          <cell r="AH780">
            <v>0</v>
          </cell>
        </row>
        <row r="781">
          <cell r="B781" t="str">
            <v>SNIES</v>
          </cell>
          <cell r="C781" t="str">
            <v>A1B</v>
          </cell>
          <cell r="D781" t="str">
            <v>A1BG</v>
          </cell>
          <cell r="E781" t="str">
            <v>ES/FARA</v>
          </cell>
          <cell r="F781" t="str">
            <v>SNIES</v>
          </cell>
          <cell r="G781">
            <v>22</v>
          </cell>
          <cell r="H781" t="str">
            <v>Travaux de construction collège</v>
          </cell>
          <cell r="I781" t="str">
            <v>SNIES</v>
          </cell>
          <cell r="K781" t="str">
            <v>FSD</v>
          </cell>
          <cell r="L781" t="str">
            <v>AON</v>
          </cell>
          <cell r="N781">
            <v>8</v>
          </cell>
          <cell r="O781">
            <v>8</v>
          </cell>
          <cell r="P781">
            <v>16</v>
          </cell>
          <cell r="Q781" t="str">
            <v>cl coll</v>
          </cell>
          <cell r="S781">
            <v>91169.999999999985</v>
          </cell>
          <cell r="T781">
            <v>1</v>
          </cell>
          <cell r="U781">
            <v>0</v>
          </cell>
          <cell r="V781">
            <v>729359.99999999988</v>
          </cell>
          <cell r="W781">
            <v>729359.99999999988</v>
          </cell>
          <cell r="X781">
            <v>1458719.9999999998</v>
          </cell>
          <cell r="Y781">
            <v>0</v>
          </cell>
          <cell r="Z781">
            <v>729359.99999999988</v>
          </cell>
          <cell r="AA781">
            <v>729359.99999999988</v>
          </cell>
          <cell r="AB781">
            <v>1458719.9999999998</v>
          </cell>
          <cell r="AC781">
            <v>0</v>
          </cell>
          <cell r="AD781">
            <v>0</v>
          </cell>
          <cell r="AE781">
            <v>0</v>
          </cell>
          <cell r="AF781">
            <v>0</v>
          </cell>
          <cell r="AG781">
            <v>0</v>
          </cell>
          <cell r="AH781">
            <v>0</v>
          </cell>
        </row>
        <row r="782">
          <cell r="B782" t="str">
            <v>SNIES</v>
          </cell>
          <cell r="C782" t="str">
            <v>A1B</v>
          </cell>
          <cell r="D782" t="str">
            <v>A1BG</v>
          </cell>
          <cell r="E782" t="str">
            <v>ES/KISS</v>
          </cell>
          <cell r="F782" t="str">
            <v>SNIES</v>
          </cell>
          <cell r="G782">
            <v>22</v>
          </cell>
          <cell r="H782" t="str">
            <v>Travaux de construction collège</v>
          </cell>
          <cell r="I782" t="str">
            <v>SNIES</v>
          </cell>
          <cell r="K782" t="str">
            <v>FSD</v>
          </cell>
          <cell r="L782" t="str">
            <v>AON</v>
          </cell>
          <cell r="N782">
            <v>6</v>
          </cell>
          <cell r="O782">
            <v>6</v>
          </cell>
          <cell r="P782">
            <v>12</v>
          </cell>
          <cell r="Q782" t="str">
            <v>cl coll</v>
          </cell>
          <cell r="S782">
            <v>91169.999999999985</v>
          </cell>
          <cell r="T782">
            <v>1</v>
          </cell>
          <cell r="U782">
            <v>0</v>
          </cell>
          <cell r="V782">
            <v>547019.99999999988</v>
          </cell>
          <cell r="W782">
            <v>547019.99999999988</v>
          </cell>
          <cell r="X782">
            <v>1094039.9999999998</v>
          </cell>
          <cell r="Y782">
            <v>0</v>
          </cell>
          <cell r="Z782">
            <v>547019.99999999988</v>
          </cell>
          <cell r="AA782">
            <v>547019.99999999988</v>
          </cell>
          <cell r="AB782">
            <v>1094039.9999999998</v>
          </cell>
          <cell r="AC782">
            <v>0</v>
          </cell>
          <cell r="AD782">
            <v>0</v>
          </cell>
          <cell r="AE782">
            <v>0</v>
          </cell>
          <cell r="AF782">
            <v>0</v>
          </cell>
          <cell r="AG782">
            <v>0</v>
          </cell>
          <cell r="AH782">
            <v>0</v>
          </cell>
        </row>
        <row r="783">
          <cell r="B783" t="str">
            <v>SNIES</v>
          </cell>
          <cell r="C783" t="str">
            <v>A1B</v>
          </cell>
          <cell r="D783" t="str">
            <v>A1BG</v>
          </cell>
          <cell r="E783" t="str">
            <v>ES/KANK</v>
          </cell>
          <cell r="F783" t="str">
            <v>SNIES</v>
          </cell>
          <cell r="G783">
            <v>22</v>
          </cell>
          <cell r="H783" t="str">
            <v>Travaux de construction collège</v>
          </cell>
          <cell r="I783" t="str">
            <v>SNIES</v>
          </cell>
          <cell r="K783" t="str">
            <v>FSD</v>
          </cell>
          <cell r="L783" t="str">
            <v>AON</v>
          </cell>
          <cell r="N783">
            <v>2</v>
          </cell>
          <cell r="O783">
            <v>2</v>
          </cell>
          <cell r="P783">
            <v>4</v>
          </cell>
          <cell r="Q783" t="str">
            <v>cl coll</v>
          </cell>
          <cell r="S783">
            <v>91169.999999999985</v>
          </cell>
          <cell r="T783">
            <v>1</v>
          </cell>
          <cell r="U783">
            <v>0</v>
          </cell>
          <cell r="V783">
            <v>182339.99999999997</v>
          </cell>
          <cell r="W783">
            <v>182339.99999999997</v>
          </cell>
          <cell r="X783">
            <v>364679.99999999994</v>
          </cell>
          <cell r="Y783">
            <v>0</v>
          </cell>
          <cell r="Z783">
            <v>182339.99999999997</v>
          </cell>
          <cell r="AA783">
            <v>182339.99999999997</v>
          </cell>
          <cell r="AB783">
            <v>364679.99999999994</v>
          </cell>
          <cell r="AC783">
            <v>0</v>
          </cell>
          <cell r="AD783">
            <v>0</v>
          </cell>
          <cell r="AE783">
            <v>0</v>
          </cell>
          <cell r="AF783">
            <v>0</v>
          </cell>
          <cell r="AG783">
            <v>0</v>
          </cell>
          <cell r="AH783">
            <v>0</v>
          </cell>
        </row>
        <row r="784">
          <cell r="B784" t="str">
            <v>SNIES</v>
          </cell>
          <cell r="C784" t="str">
            <v>A1B</v>
          </cell>
          <cell r="D784" t="str">
            <v>A1BG</v>
          </cell>
          <cell r="E784" t="str">
            <v>ES/KERO</v>
          </cell>
          <cell r="F784" t="str">
            <v>SNIES</v>
          </cell>
          <cell r="G784">
            <v>22</v>
          </cell>
          <cell r="H784" t="str">
            <v>Travaux de construction collège</v>
          </cell>
          <cell r="I784" t="str">
            <v>SNIES</v>
          </cell>
          <cell r="K784" t="str">
            <v>FSD</v>
          </cell>
          <cell r="L784" t="str">
            <v>AON</v>
          </cell>
          <cell r="N784">
            <v>2</v>
          </cell>
          <cell r="O784">
            <v>2</v>
          </cell>
          <cell r="P784">
            <v>4</v>
          </cell>
          <cell r="Q784" t="str">
            <v>cl coll</v>
          </cell>
          <cell r="S784">
            <v>91169.999999999985</v>
          </cell>
          <cell r="T784">
            <v>1</v>
          </cell>
          <cell r="U784">
            <v>0</v>
          </cell>
          <cell r="V784">
            <v>182339.99999999997</v>
          </cell>
          <cell r="W784">
            <v>182339.99999999997</v>
          </cell>
          <cell r="X784">
            <v>364679.99999999994</v>
          </cell>
          <cell r="Y784">
            <v>0</v>
          </cell>
          <cell r="Z784">
            <v>182339.99999999997</v>
          </cell>
          <cell r="AA784">
            <v>182339.99999999997</v>
          </cell>
          <cell r="AB784">
            <v>364679.99999999994</v>
          </cell>
          <cell r="AC784">
            <v>0</v>
          </cell>
          <cell r="AD784">
            <v>0</v>
          </cell>
          <cell r="AE784">
            <v>0</v>
          </cell>
          <cell r="AF784">
            <v>0</v>
          </cell>
          <cell r="AG784">
            <v>0</v>
          </cell>
          <cell r="AH784">
            <v>0</v>
          </cell>
        </row>
        <row r="785">
          <cell r="B785" t="str">
            <v>SNIES</v>
          </cell>
          <cell r="C785" t="str">
            <v>A1B</v>
          </cell>
          <cell r="D785" t="str">
            <v>A1BG</v>
          </cell>
          <cell r="E785" t="str">
            <v>ES/KOUR</v>
          </cell>
          <cell r="F785" t="str">
            <v>SNIES</v>
          </cell>
          <cell r="G785">
            <v>22</v>
          </cell>
          <cell r="H785" t="str">
            <v>Travaux de construction collège</v>
          </cell>
          <cell r="I785" t="str">
            <v>SNIES</v>
          </cell>
          <cell r="K785" t="str">
            <v>FSD</v>
          </cell>
          <cell r="L785" t="str">
            <v>AON</v>
          </cell>
          <cell r="N785">
            <v>4</v>
          </cell>
          <cell r="O785">
            <v>4</v>
          </cell>
          <cell r="P785">
            <v>8</v>
          </cell>
          <cell r="Q785" t="str">
            <v>cl coll</v>
          </cell>
          <cell r="S785">
            <v>91169.999999999985</v>
          </cell>
          <cell r="T785">
            <v>1</v>
          </cell>
          <cell r="U785">
            <v>0</v>
          </cell>
          <cell r="V785">
            <v>364679.99999999994</v>
          </cell>
          <cell r="W785">
            <v>364679.99999999994</v>
          </cell>
          <cell r="X785">
            <v>729359.99999999988</v>
          </cell>
          <cell r="Y785">
            <v>0</v>
          </cell>
          <cell r="Z785">
            <v>364679.99999999994</v>
          </cell>
          <cell r="AA785">
            <v>364679.99999999994</v>
          </cell>
          <cell r="AB785">
            <v>729359.99999999988</v>
          </cell>
          <cell r="AC785">
            <v>0</v>
          </cell>
          <cell r="AD785">
            <v>0</v>
          </cell>
          <cell r="AE785">
            <v>0</v>
          </cell>
          <cell r="AF785">
            <v>0</v>
          </cell>
          <cell r="AG785">
            <v>0</v>
          </cell>
          <cell r="AH785">
            <v>0</v>
          </cell>
        </row>
        <row r="786">
          <cell r="B786" t="str">
            <v>SNIES</v>
          </cell>
          <cell r="C786" t="str">
            <v>A1B</v>
          </cell>
          <cell r="D786" t="str">
            <v>A1BG</v>
          </cell>
          <cell r="E786" t="str">
            <v>ES/MAND</v>
          </cell>
          <cell r="F786" t="str">
            <v>SNIES</v>
          </cell>
          <cell r="G786">
            <v>22</v>
          </cell>
          <cell r="H786" t="str">
            <v>Travaux de construction collège</v>
          </cell>
          <cell r="I786" t="str">
            <v>SNIES</v>
          </cell>
          <cell r="K786" t="str">
            <v>FSD</v>
          </cell>
          <cell r="L786" t="str">
            <v>AON</v>
          </cell>
          <cell r="N786">
            <v>8</v>
          </cell>
          <cell r="O786">
            <v>8</v>
          </cell>
          <cell r="P786">
            <v>16</v>
          </cell>
          <cell r="Q786" t="str">
            <v>cl coll</v>
          </cell>
          <cell r="S786">
            <v>91169.999999999985</v>
          </cell>
          <cell r="T786">
            <v>1</v>
          </cell>
          <cell r="U786">
            <v>0</v>
          </cell>
          <cell r="V786">
            <v>729359.99999999988</v>
          </cell>
          <cell r="W786">
            <v>729359.99999999988</v>
          </cell>
          <cell r="X786">
            <v>1458719.9999999998</v>
          </cell>
          <cell r="Y786">
            <v>0</v>
          </cell>
          <cell r="Z786">
            <v>729359.99999999988</v>
          </cell>
          <cell r="AA786">
            <v>729359.99999999988</v>
          </cell>
          <cell r="AB786">
            <v>1458719.9999999998</v>
          </cell>
          <cell r="AC786">
            <v>0</v>
          </cell>
          <cell r="AD786">
            <v>0</v>
          </cell>
          <cell r="AE786">
            <v>0</v>
          </cell>
          <cell r="AF786">
            <v>0</v>
          </cell>
          <cell r="AG786">
            <v>0</v>
          </cell>
          <cell r="AH786">
            <v>0</v>
          </cell>
        </row>
        <row r="787">
          <cell r="B787" t="str">
            <v>SNIES</v>
          </cell>
          <cell r="C787" t="str">
            <v>A1B</v>
          </cell>
          <cell r="D787" t="str">
            <v>A1BG</v>
          </cell>
          <cell r="E787" t="str">
            <v>ES/SIGU</v>
          </cell>
          <cell r="F787" t="str">
            <v>SNIES</v>
          </cell>
          <cell r="G787">
            <v>22</v>
          </cell>
          <cell r="H787" t="str">
            <v>Travaux de construction collège</v>
          </cell>
          <cell r="I787" t="str">
            <v>SNIES</v>
          </cell>
          <cell r="K787" t="str">
            <v>FSD</v>
          </cell>
          <cell r="L787" t="str">
            <v>AON</v>
          </cell>
          <cell r="N787">
            <v>2</v>
          </cell>
          <cell r="O787">
            <v>2</v>
          </cell>
          <cell r="P787">
            <v>4</v>
          </cell>
          <cell r="Q787" t="str">
            <v>cl coll</v>
          </cell>
          <cell r="S787">
            <v>91169.999999999985</v>
          </cell>
          <cell r="T787">
            <v>1</v>
          </cell>
          <cell r="U787">
            <v>0</v>
          </cell>
          <cell r="V787">
            <v>182339.99999999997</v>
          </cell>
          <cell r="W787">
            <v>182339.99999999997</v>
          </cell>
          <cell r="X787">
            <v>364679.99999999994</v>
          </cell>
          <cell r="Y787">
            <v>0</v>
          </cell>
          <cell r="Z787">
            <v>182339.99999999997</v>
          </cell>
          <cell r="AA787">
            <v>182339.99999999997</v>
          </cell>
          <cell r="AB787">
            <v>364679.99999999994</v>
          </cell>
          <cell r="AC787">
            <v>0</v>
          </cell>
          <cell r="AD787">
            <v>0</v>
          </cell>
          <cell r="AE787">
            <v>0</v>
          </cell>
          <cell r="AF787">
            <v>0</v>
          </cell>
          <cell r="AG787">
            <v>0</v>
          </cell>
          <cell r="AH787">
            <v>0</v>
          </cell>
        </row>
        <row r="788">
          <cell r="B788" t="str">
            <v>SNIES</v>
          </cell>
          <cell r="C788" t="str">
            <v>A1B</v>
          </cell>
          <cell r="D788" t="str">
            <v>A1BG</v>
          </cell>
          <cell r="E788" t="str">
            <v>ES/COYA</v>
          </cell>
          <cell r="F788" t="str">
            <v>SNIES</v>
          </cell>
          <cell r="G788">
            <v>22</v>
          </cell>
          <cell r="H788" t="str">
            <v>Travaux de construction collège</v>
          </cell>
          <cell r="I788" t="str">
            <v>SNIES</v>
          </cell>
          <cell r="K788" t="str">
            <v>FSD</v>
          </cell>
          <cell r="L788" t="str">
            <v>AON</v>
          </cell>
          <cell r="N788">
            <v>2</v>
          </cell>
          <cell r="O788">
            <v>2</v>
          </cell>
          <cell r="P788">
            <v>4</v>
          </cell>
          <cell r="Q788" t="str">
            <v>cl coll</v>
          </cell>
          <cell r="S788">
            <v>91169.999999999985</v>
          </cell>
          <cell r="T788">
            <v>1</v>
          </cell>
          <cell r="U788">
            <v>0</v>
          </cell>
          <cell r="V788">
            <v>182339.99999999997</v>
          </cell>
          <cell r="W788">
            <v>182339.99999999997</v>
          </cell>
          <cell r="X788">
            <v>364679.99999999994</v>
          </cell>
          <cell r="Y788">
            <v>0</v>
          </cell>
          <cell r="Z788">
            <v>182339.99999999997</v>
          </cell>
          <cell r="AA788">
            <v>182339.99999999997</v>
          </cell>
          <cell r="AB788">
            <v>364679.99999999994</v>
          </cell>
          <cell r="AC788">
            <v>0</v>
          </cell>
          <cell r="AD788">
            <v>0</v>
          </cell>
          <cell r="AE788">
            <v>0</v>
          </cell>
          <cell r="AF788">
            <v>0</v>
          </cell>
          <cell r="AG788">
            <v>0</v>
          </cell>
          <cell r="AH788">
            <v>0</v>
          </cell>
        </row>
        <row r="789">
          <cell r="B789" t="str">
            <v>SNIES</v>
          </cell>
          <cell r="C789" t="str">
            <v>A1B</v>
          </cell>
          <cell r="D789" t="str">
            <v>A1BG</v>
          </cell>
          <cell r="E789" t="str">
            <v>ES/DUBR</v>
          </cell>
          <cell r="F789" t="str">
            <v>SNIES</v>
          </cell>
          <cell r="G789">
            <v>22</v>
          </cell>
          <cell r="H789" t="str">
            <v>Travaux de construction collège</v>
          </cell>
          <cell r="I789" t="str">
            <v>SNIES</v>
          </cell>
          <cell r="K789" t="str">
            <v>FSD</v>
          </cell>
          <cell r="L789" t="str">
            <v>AON</v>
          </cell>
          <cell r="N789">
            <v>4</v>
          </cell>
          <cell r="O789">
            <v>4</v>
          </cell>
          <cell r="P789">
            <v>8</v>
          </cell>
          <cell r="Q789" t="str">
            <v>cl coll</v>
          </cell>
          <cell r="S789">
            <v>91169.999999999985</v>
          </cell>
          <cell r="T789">
            <v>1</v>
          </cell>
          <cell r="U789">
            <v>0</v>
          </cell>
          <cell r="V789">
            <v>364679.99999999994</v>
          </cell>
          <cell r="W789">
            <v>364679.99999999994</v>
          </cell>
          <cell r="X789">
            <v>729359.99999999988</v>
          </cell>
          <cell r="Y789">
            <v>0</v>
          </cell>
          <cell r="Z789">
            <v>364679.99999999994</v>
          </cell>
          <cell r="AA789">
            <v>364679.99999999994</v>
          </cell>
          <cell r="AB789">
            <v>729359.99999999988</v>
          </cell>
          <cell r="AC789">
            <v>0</v>
          </cell>
          <cell r="AD789">
            <v>0</v>
          </cell>
          <cell r="AE789">
            <v>0</v>
          </cell>
          <cell r="AF789">
            <v>0</v>
          </cell>
          <cell r="AG789">
            <v>0</v>
          </cell>
          <cell r="AH789">
            <v>0</v>
          </cell>
        </row>
        <row r="790">
          <cell r="B790" t="str">
            <v>SNIES</v>
          </cell>
          <cell r="C790" t="str">
            <v>A1B</v>
          </cell>
          <cell r="D790" t="str">
            <v>A1BG</v>
          </cell>
          <cell r="E790" t="str">
            <v>ES/FORE</v>
          </cell>
          <cell r="F790" t="str">
            <v>SNIES</v>
          </cell>
          <cell r="G790">
            <v>22</v>
          </cell>
          <cell r="H790" t="str">
            <v>Travaux de construction collège</v>
          </cell>
          <cell r="I790" t="str">
            <v>SNIES</v>
          </cell>
          <cell r="K790" t="str">
            <v>FSD</v>
          </cell>
          <cell r="L790" t="str">
            <v>AON</v>
          </cell>
          <cell r="N790">
            <v>8</v>
          </cell>
          <cell r="O790">
            <v>8</v>
          </cell>
          <cell r="P790">
            <v>16</v>
          </cell>
          <cell r="Q790" t="str">
            <v>cl coll</v>
          </cell>
          <cell r="S790">
            <v>91169.999999999985</v>
          </cell>
          <cell r="T790">
            <v>1</v>
          </cell>
          <cell r="U790">
            <v>0</v>
          </cell>
          <cell r="V790">
            <v>729359.99999999988</v>
          </cell>
          <cell r="W790">
            <v>729359.99999999988</v>
          </cell>
          <cell r="X790">
            <v>1458719.9999999998</v>
          </cell>
          <cell r="Y790">
            <v>0</v>
          </cell>
          <cell r="Z790">
            <v>729359.99999999988</v>
          </cell>
          <cell r="AA790">
            <v>729359.99999999988</v>
          </cell>
          <cell r="AB790">
            <v>1458719.9999999998</v>
          </cell>
          <cell r="AC790">
            <v>0</v>
          </cell>
          <cell r="AD790">
            <v>0</v>
          </cell>
          <cell r="AE790">
            <v>0</v>
          </cell>
          <cell r="AF790">
            <v>0</v>
          </cell>
          <cell r="AG790">
            <v>0</v>
          </cell>
          <cell r="AH790">
            <v>0</v>
          </cell>
        </row>
        <row r="791">
          <cell r="B791" t="str">
            <v>SNIES</v>
          </cell>
          <cell r="C791" t="str">
            <v>A1B</v>
          </cell>
          <cell r="D791" t="str">
            <v>A1BG</v>
          </cell>
          <cell r="E791" t="str">
            <v>ES/KIND</v>
          </cell>
          <cell r="F791" t="str">
            <v>SNIES</v>
          </cell>
          <cell r="G791">
            <v>22</v>
          </cell>
          <cell r="H791" t="str">
            <v>Travaux de construction collège</v>
          </cell>
          <cell r="I791" t="str">
            <v>SNIES</v>
          </cell>
          <cell r="K791" t="str">
            <v>FSD</v>
          </cell>
          <cell r="L791" t="str">
            <v>AON</v>
          </cell>
          <cell r="N791">
            <v>2</v>
          </cell>
          <cell r="O791">
            <v>2</v>
          </cell>
          <cell r="P791">
            <v>4</v>
          </cell>
          <cell r="Q791" t="str">
            <v>cl coll</v>
          </cell>
          <cell r="S791">
            <v>91169.999999999985</v>
          </cell>
          <cell r="T791">
            <v>1</v>
          </cell>
          <cell r="U791">
            <v>0</v>
          </cell>
          <cell r="V791">
            <v>182339.99999999997</v>
          </cell>
          <cell r="W791">
            <v>182339.99999999997</v>
          </cell>
          <cell r="X791">
            <v>364679.99999999994</v>
          </cell>
          <cell r="Y791">
            <v>0</v>
          </cell>
          <cell r="Z791">
            <v>182339.99999999997</v>
          </cell>
          <cell r="AA791">
            <v>182339.99999999997</v>
          </cell>
          <cell r="AB791">
            <v>364679.99999999994</v>
          </cell>
          <cell r="AC791">
            <v>0</v>
          </cell>
          <cell r="AD791">
            <v>0</v>
          </cell>
          <cell r="AE791">
            <v>0</v>
          </cell>
          <cell r="AF791">
            <v>0</v>
          </cell>
          <cell r="AG791">
            <v>0</v>
          </cell>
          <cell r="AH791">
            <v>0</v>
          </cell>
        </row>
        <row r="792">
          <cell r="B792" t="str">
            <v>SNIES</v>
          </cell>
          <cell r="C792" t="str">
            <v>A1B</v>
          </cell>
          <cell r="D792" t="str">
            <v>A1BG</v>
          </cell>
          <cell r="E792" t="str">
            <v>ES/TELI</v>
          </cell>
          <cell r="F792" t="str">
            <v>SNIES</v>
          </cell>
          <cell r="G792">
            <v>22</v>
          </cell>
          <cell r="H792" t="str">
            <v>Travaux de construction collège</v>
          </cell>
          <cell r="I792" t="str">
            <v>SNIES</v>
          </cell>
          <cell r="K792" t="str">
            <v>FSD</v>
          </cell>
          <cell r="L792" t="str">
            <v>AON</v>
          </cell>
          <cell r="N792">
            <v>6</v>
          </cell>
          <cell r="O792">
            <v>6</v>
          </cell>
          <cell r="P792">
            <v>12</v>
          </cell>
          <cell r="Q792" t="str">
            <v>cl coll</v>
          </cell>
          <cell r="S792">
            <v>91169.999999999985</v>
          </cell>
          <cell r="T792">
            <v>1</v>
          </cell>
          <cell r="U792">
            <v>0</v>
          </cell>
          <cell r="V792">
            <v>547019.99999999988</v>
          </cell>
          <cell r="W792">
            <v>547019.99999999988</v>
          </cell>
          <cell r="X792">
            <v>1094039.9999999998</v>
          </cell>
          <cell r="Y792">
            <v>0</v>
          </cell>
          <cell r="Z792">
            <v>547019.99999999988</v>
          </cell>
          <cell r="AA792">
            <v>547019.99999999988</v>
          </cell>
          <cell r="AB792">
            <v>1094039.9999999998</v>
          </cell>
          <cell r="AC792">
            <v>0</v>
          </cell>
          <cell r="AD792">
            <v>0</v>
          </cell>
          <cell r="AE792">
            <v>0</v>
          </cell>
          <cell r="AF792">
            <v>0</v>
          </cell>
          <cell r="AG792">
            <v>0</v>
          </cell>
          <cell r="AH792">
            <v>0</v>
          </cell>
        </row>
        <row r="793">
          <cell r="B793" t="str">
            <v>SNIES</v>
          </cell>
          <cell r="C793" t="str">
            <v>A1B</v>
          </cell>
          <cell r="D793" t="str">
            <v>A1BG</v>
          </cell>
          <cell r="E793" t="str">
            <v>ES/DALA</v>
          </cell>
          <cell r="F793" t="str">
            <v>SNIES</v>
          </cell>
          <cell r="G793">
            <v>22</v>
          </cell>
          <cell r="H793" t="str">
            <v>Travaux de construction collège</v>
          </cell>
          <cell r="I793" t="str">
            <v>SNIES</v>
          </cell>
          <cell r="K793" t="str">
            <v>FSD</v>
          </cell>
          <cell r="L793" t="str">
            <v>AON</v>
          </cell>
          <cell r="N793">
            <v>2</v>
          </cell>
          <cell r="O793">
            <v>2</v>
          </cell>
          <cell r="P793">
            <v>4</v>
          </cell>
          <cell r="Q793" t="str">
            <v>cl coll</v>
          </cell>
          <cell r="S793">
            <v>91169.999999999985</v>
          </cell>
          <cell r="T793">
            <v>1</v>
          </cell>
          <cell r="U793">
            <v>0</v>
          </cell>
          <cell r="V793">
            <v>182339.99999999997</v>
          </cell>
          <cell r="W793">
            <v>182339.99999999997</v>
          </cell>
          <cell r="X793">
            <v>364679.99999999994</v>
          </cell>
          <cell r="Y793">
            <v>0</v>
          </cell>
          <cell r="Z793">
            <v>182339.99999999997</v>
          </cell>
          <cell r="AA793">
            <v>182339.99999999997</v>
          </cell>
          <cell r="AB793">
            <v>364679.99999999994</v>
          </cell>
          <cell r="AC793">
            <v>0</v>
          </cell>
          <cell r="AD793">
            <v>0</v>
          </cell>
          <cell r="AE793">
            <v>0</v>
          </cell>
          <cell r="AF793">
            <v>0</v>
          </cell>
          <cell r="AG793">
            <v>0</v>
          </cell>
          <cell r="AH793">
            <v>0</v>
          </cell>
        </row>
        <row r="794">
          <cell r="B794" t="str">
            <v>SNIES</v>
          </cell>
          <cell r="C794" t="str">
            <v>A1B</v>
          </cell>
          <cell r="D794" t="str">
            <v>A1BG</v>
          </cell>
          <cell r="E794" t="str">
            <v>ES/MAMO</v>
          </cell>
          <cell r="F794" t="str">
            <v>SNIES</v>
          </cell>
          <cell r="G794">
            <v>22</v>
          </cell>
          <cell r="H794" t="str">
            <v>Travaux de construction collège</v>
          </cell>
          <cell r="I794" t="str">
            <v>SNIES</v>
          </cell>
          <cell r="K794" t="str">
            <v>FSD</v>
          </cell>
          <cell r="L794" t="str">
            <v>AON</v>
          </cell>
          <cell r="N794">
            <v>8</v>
          </cell>
          <cell r="O794">
            <v>8</v>
          </cell>
          <cell r="P794">
            <v>16</v>
          </cell>
          <cell r="Q794" t="str">
            <v>cl coll</v>
          </cell>
          <cell r="S794">
            <v>91169.999999999985</v>
          </cell>
          <cell r="T794">
            <v>1</v>
          </cell>
          <cell r="U794">
            <v>0</v>
          </cell>
          <cell r="V794">
            <v>729359.99999999988</v>
          </cell>
          <cell r="W794">
            <v>729359.99999999988</v>
          </cell>
          <cell r="X794">
            <v>1458719.9999999998</v>
          </cell>
          <cell r="Y794">
            <v>0</v>
          </cell>
          <cell r="Z794">
            <v>729359.99999999988</v>
          </cell>
          <cell r="AA794">
            <v>729359.99999999988</v>
          </cell>
          <cell r="AB794">
            <v>1458719.9999999998</v>
          </cell>
          <cell r="AC794">
            <v>0</v>
          </cell>
          <cell r="AD794">
            <v>0</v>
          </cell>
          <cell r="AE794">
            <v>0</v>
          </cell>
          <cell r="AF794">
            <v>0</v>
          </cell>
          <cell r="AG794">
            <v>0</v>
          </cell>
          <cell r="AH794">
            <v>0</v>
          </cell>
        </row>
        <row r="795">
          <cell r="B795" t="str">
            <v>SNIES</v>
          </cell>
          <cell r="C795" t="str">
            <v>A1B</v>
          </cell>
          <cell r="D795" t="str">
            <v>A1BG</v>
          </cell>
          <cell r="E795" t="str">
            <v>ES/BEYL</v>
          </cell>
          <cell r="F795" t="str">
            <v>SNIES</v>
          </cell>
          <cell r="G795">
            <v>22</v>
          </cell>
          <cell r="H795" t="str">
            <v>Travaux de construction collège</v>
          </cell>
          <cell r="I795" t="str">
            <v>SNIES</v>
          </cell>
          <cell r="K795" t="str">
            <v>FSD</v>
          </cell>
          <cell r="L795" t="str">
            <v>AON</v>
          </cell>
          <cell r="N795">
            <v>10</v>
          </cell>
          <cell r="O795">
            <v>10</v>
          </cell>
          <cell r="P795">
            <v>20</v>
          </cell>
          <cell r="Q795" t="str">
            <v>cl coll</v>
          </cell>
          <cell r="S795">
            <v>91169.999999999985</v>
          </cell>
          <cell r="T795">
            <v>1</v>
          </cell>
          <cell r="U795">
            <v>0</v>
          </cell>
          <cell r="V795">
            <v>911699.99999999988</v>
          </cell>
          <cell r="W795">
            <v>911699.99999999988</v>
          </cell>
          <cell r="X795">
            <v>1823399.9999999998</v>
          </cell>
          <cell r="Y795">
            <v>0</v>
          </cell>
          <cell r="Z795">
            <v>911699.99999999988</v>
          </cell>
          <cell r="AA795">
            <v>911699.99999999988</v>
          </cell>
          <cell r="AB795">
            <v>1823399.9999999998</v>
          </cell>
          <cell r="AC795">
            <v>0</v>
          </cell>
          <cell r="AD795">
            <v>0</v>
          </cell>
          <cell r="AE795">
            <v>0</v>
          </cell>
          <cell r="AF795">
            <v>0</v>
          </cell>
          <cell r="AG795">
            <v>0</v>
          </cell>
          <cell r="AH795">
            <v>0</v>
          </cell>
        </row>
        <row r="796">
          <cell r="B796" t="str">
            <v>SNIES</v>
          </cell>
          <cell r="C796" t="str">
            <v>A1B</v>
          </cell>
          <cell r="D796" t="str">
            <v>A1BG</v>
          </cell>
          <cell r="E796" t="str">
            <v>ES/MACE</v>
          </cell>
          <cell r="F796" t="str">
            <v>SNIES</v>
          </cell>
          <cell r="G796">
            <v>22</v>
          </cell>
          <cell r="H796" t="str">
            <v>Travaux de construction collège</v>
          </cell>
          <cell r="I796" t="str">
            <v>SNIES</v>
          </cell>
          <cell r="K796" t="str">
            <v>FSD</v>
          </cell>
          <cell r="L796" t="str">
            <v>AON</v>
          </cell>
          <cell r="N796">
            <v>6</v>
          </cell>
          <cell r="O796">
            <v>6</v>
          </cell>
          <cell r="P796">
            <v>12</v>
          </cell>
          <cell r="Q796" t="str">
            <v>cl coll</v>
          </cell>
          <cell r="S796">
            <v>91169.999999999985</v>
          </cell>
          <cell r="T796">
            <v>1</v>
          </cell>
          <cell r="U796">
            <v>0</v>
          </cell>
          <cell r="V796">
            <v>547019.99999999988</v>
          </cell>
          <cell r="W796">
            <v>547019.99999999988</v>
          </cell>
          <cell r="X796">
            <v>1094039.9999999998</v>
          </cell>
          <cell r="Y796">
            <v>0</v>
          </cell>
          <cell r="Z796">
            <v>547019.99999999988</v>
          </cell>
          <cell r="AA796">
            <v>547019.99999999988</v>
          </cell>
          <cell r="AB796">
            <v>1094039.9999999998</v>
          </cell>
          <cell r="AC796">
            <v>0</v>
          </cell>
          <cell r="AD796">
            <v>0</v>
          </cell>
          <cell r="AE796">
            <v>0</v>
          </cell>
          <cell r="AF796">
            <v>0</v>
          </cell>
          <cell r="AG796">
            <v>0</v>
          </cell>
          <cell r="AH796">
            <v>0</v>
          </cell>
        </row>
        <row r="797">
          <cell r="B797" t="str">
            <v>SNIES</v>
          </cell>
          <cell r="C797" t="str">
            <v>A1B</v>
          </cell>
          <cell r="D797" t="str">
            <v>A1BG</v>
          </cell>
          <cell r="E797" t="str">
            <v>ES/BOFF</v>
          </cell>
          <cell r="F797" t="str">
            <v>SNIES</v>
          </cell>
          <cell r="G797">
            <v>23</v>
          </cell>
          <cell r="H797" t="str">
            <v>Fournitures installation, mobilier et équipements scolaires</v>
          </cell>
          <cell r="I797" t="str">
            <v>SNIES</v>
          </cell>
          <cell r="K797" t="str">
            <v>FSD</v>
          </cell>
          <cell r="L797" t="str">
            <v>AON</v>
          </cell>
          <cell r="N797">
            <v>4</v>
          </cell>
          <cell r="O797">
            <v>4</v>
          </cell>
          <cell r="P797">
            <v>8</v>
          </cell>
          <cell r="Q797" t="str">
            <v>lot</v>
          </cell>
          <cell r="S797">
            <v>91169.999999999985</v>
          </cell>
          <cell r="T797">
            <v>1</v>
          </cell>
          <cell r="U797">
            <v>0</v>
          </cell>
          <cell r="V797">
            <v>364679.99999999994</v>
          </cell>
          <cell r="W797">
            <v>364679.99999999994</v>
          </cell>
          <cell r="X797">
            <v>729359.99999999988</v>
          </cell>
          <cell r="Y797">
            <v>0</v>
          </cell>
          <cell r="Z797">
            <v>364679.99999999994</v>
          </cell>
          <cell r="AA797">
            <v>364679.99999999994</v>
          </cell>
          <cell r="AB797">
            <v>729359.99999999988</v>
          </cell>
          <cell r="AC797">
            <v>0</v>
          </cell>
          <cell r="AD797">
            <v>0</v>
          </cell>
          <cell r="AE797">
            <v>0</v>
          </cell>
          <cell r="AF797">
            <v>0</v>
          </cell>
          <cell r="AG797">
            <v>0</v>
          </cell>
          <cell r="AH797">
            <v>0</v>
          </cell>
        </row>
        <row r="798">
          <cell r="B798" t="str">
            <v>SNIES</v>
          </cell>
          <cell r="C798" t="str">
            <v>A1B</v>
          </cell>
          <cell r="D798" t="str">
            <v>A1BG</v>
          </cell>
          <cell r="E798" t="str">
            <v>ES/BOKE</v>
          </cell>
          <cell r="F798" t="str">
            <v>SNIES</v>
          </cell>
          <cell r="G798">
            <v>23</v>
          </cell>
          <cell r="H798" t="str">
            <v>Fournitures installation, mobilier et équipements scolaires</v>
          </cell>
          <cell r="I798" t="str">
            <v>SNIES</v>
          </cell>
          <cell r="K798" t="str">
            <v>FSD</v>
          </cell>
          <cell r="L798" t="str">
            <v>AON</v>
          </cell>
          <cell r="N798">
            <v>4</v>
          </cell>
          <cell r="O798">
            <v>4</v>
          </cell>
          <cell r="P798">
            <v>8</v>
          </cell>
          <cell r="Q798" t="str">
            <v>lot</v>
          </cell>
          <cell r="S798">
            <v>91169.999999999985</v>
          </cell>
          <cell r="T798">
            <v>1</v>
          </cell>
          <cell r="U798">
            <v>0</v>
          </cell>
          <cell r="V798">
            <v>364679.99999999994</v>
          </cell>
          <cell r="W798">
            <v>364679.99999999994</v>
          </cell>
          <cell r="X798">
            <v>729359.99999999988</v>
          </cell>
          <cell r="Y798">
            <v>0</v>
          </cell>
          <cell r="Z798">
            <v>364679.99999999994</v>
          </cell>
          <cell r="AA798">
            <v>364679.99999999994</v>
          </cell>
          <cell r="AB798">
            <v>729359.99999999988</v>
          </cell>
          <cell r="AC798">
            <v>0</v>
          </cell>
          <cell r="AD798">
            <v>0</v>
          </cell>
          <cell r="AE798">
            <v>0</v>
          </cell>
          <cell r="AF798">
            <v>0</v>
          </cell>
          <cell r="AG798">
            <v>0</v>
          </cell>
          <cell r="AH798">
            <v>0</v>
          </cell>
        </row>
        <row r="799">
          <cell r="B799" t="str">
            <v>SNIES</v>
          </cell>
          <cell r="C799" t="str">
            <v>A1B</v>
          </cell>
          <cell r="D799" t="str">
            <v>A1BG</v>
          </cell>
          <cell r="E799" t="str">
            <v>ES/GAOU</v>
          </cell>
          <cell r="F799" t="str">
            <v>SNIES</v>
          </cell>
          <cell r="G799">
            <v>23</v>
          </cell>
          <cell r="H799" t="str">
            <v>Fournitures installation, mobilier et équipements scolaires</v>
          </cell>
          <cell r="I799" t="str">
            <v>SNIES</v>
          </cell>
          <cell r="K799" t="str">
            <v>FSD</v>
          </cell>
          <cell r="L799" t="str">
            <v>AON</v>
          </cell>
          <cell r="N799">
            <v>2</v>
          </cell>
          <cell r="O799">
            <v>2</v>
          </cell>
          <cell r="P799">
            <v>4</v>
          </cell>
          <cell r="Q799" t="str">
            <v>lot</v>
          </cell>
          <cell r="S799">
            <v>91169.999999999985</v>
          </cell>
          <cell r="T799">
            <v>1</v>
          </cell>
          <cell r="U799">
            <v>0</v>
          </cell>
          <cell r="V799">
            <v>182339.99999999997</v>
          </cell>
          <cell r="W799">
            <v>182339.99999999997</v>
          </cell>
          <cell r="X799">
            <v>364679.99999999994</v>
          </cell>
          <cell r="Y799">
            <v>0</v>
          </cell>
          <cell r="Z799">
            <v>182339.99999999997</v>
          </cell>
          <cell r="AA799">
            <v>182339.99999999997</v>
          </cell>
          <cell r="AB799">
            <v>364679.99999999994</v>
          </cell>
          <cell r="AC799">
            <v>0</v>
          </cell>
          <cell r="AD799">
            <v>0</v>
          </cell>
          <cell r="AE799">
            <v>0</v>
          </cell>
          <cell r="AF799">
            <v>0</v>
          </cell>
          <cell r="AG799">
            <v>0</v>
          </cell>
          <cell r="AH799">
            <v>0</v>
          </cell>
        </row>
        <row r="800">
          <cell r="B800" t="str">
            <v>SNIES</v>
          </cell>
          <cell r="C800" t="str">
            <v>A1B</v>
          </cell>
          <cell r="D800" t="str">
            <v>A1BG</v>
          </cell>
          <cell r="E800" t="str">
            <v>ES/DABO</v>
          </cell>
          <cell r="F800" t="str">
            <v>SNIES</v>
          </cell>
          <cell r="G800">
            <v>23</v>
          </cell>
          <cell r="H800" t="str">
            <v>Fournitures installation, mobilier et équipements scolaires</v>
          </cell>
          <cell r="I800" t="str">
            <v>SNIES</v>
          </cell>
          <cell r="K800" t="str">
            <v>FSD</v>
          </cell>
          <cell r="L800" t="str">
            <v>AON</v>
          </cell>
          <cell r="N800">
            <v>4</v>
          </cell>
          <cell r="O800">
            <v>4</v>
          </cell>
          <cell r="P800">
            <v>8</v>
          </cell>
          <cell r="Q800" t="str">
            <v>lot</v>
          </cell>
          <cell r="S800">
            <v>91169.999999999985</v>
          </cell>
          <cell r="T800">
            <v>1</v>
          </cell>
          <cell r="U800">
            <v>0</v>
          </cell>
          <cell r="V800">
            <v>364679.99999999994</v>
          </cell>
          <cell r="W800">
            <v>364679.99999999994</v>
          </cell>
          <cell r="X800">
            <v>729359.99999999988</v>
          </cell>
          <cell r="Y800">
            <v>0</v>
          </cell>
          <cell r="Z800">
            <v>364679.99999999994</v>
          </cell>
          <cell r="AA800">
            <v>364679.99999999994</v>
          </cell>
          <cell r="AB800">
            <v>729359.99999999988</v>
          </cell>
          <cell r="AC800">
            <v>0</v>
          </cell>
          <cell r="AD800">
            <v>0</v>
          </cell>
          <cell r="AE800">
            <v>0</v>
          </cell>
          <cell r="AF800">
            <v>0</v>
          </cell>
          <cell r="AG800">
            <v>0</v>
          </cell>
          <cell r="AH800">
            <v>0</v>
          </cell>
        </row>
        <row r="801">
          <cell r="B801" t="str">
            <v>SNIES</v>
          </cell>
          <cell r="C801" t="str">
            <v>A1B</v>
          </cell>
          <cell r="D801" t="str">
            <v>A1BG</v>
          </cell>
          <cell r="E801" t="str">
            <v>ES/DING</v>
          </cell>
          <cell r="F801" t="str">
            <v>SNIES</v>
          </cell>
          <cell r="G801">
            <v>23</v>
          </cell>
          <cell r="H801" t="str">
            <v>Fournitures installation, mobilier et équipements scolaires</v>
          </cell>
          <cell r="I801" t="str">
            <v>SNIES</v>
          </cell>
          <cell r="K801" t="str">
            <v>FSD</v>
          </cell>
          <cell r="L801" t="str">
            <v>AON</v>
          </cell>
          <cell r="N801">
            <v>6</v>
          </cell>
          <cell r="O801">
            <v>6</v>
          </cell>
          <cell r="P801">
            <v>12</v>
          </cell>
          <cell r="Q801" t="str">
            <v>lot</v>
          </cell>
          <cell r="S801">
            <v>91169.999999999985</v>
          </cell>
          <cell r="T801">
            <v>1</v>
          </cell>
          <cell r="U801">
            <v>0</v>
          </cell>
          <cell r="V801">
            <v>547019.99999999988</v>
          </cell>
          <cell r="W801">
            <v>547019.99999999988</v>
          </cell>
          <cell r="X801">
            <v>1094039.9999999998</v>
          </cell>
          <cell r="Y801">
            <v>0</v>
          </cell>
          <cell r="Z801">
            <v>547019.99999999988</v>
          </cell>
          <cell r="AA801">
            <v>547019.99999999988</v>
          </cell>
          <cell r="AB801">
            <v>1094039.9999999998</v>
          </cell>
          <cell r="AC801">
            <v>0</v>
          </cell>
          <cell r="AD801">
            <v>0</v>
          </cell>
          <cell r="AE801">
            <v>0</v>
          </cell>
          <cell r="AF801">
            <v>0</v>
          </cell>
          <cell r="AG801">
            <v>0</v>
          </cell>
          <cell r="AH801">
            <v>0</v>
          </cell>
        </row>
        <row r="802">
          <cell r="B802" t="str">
            <v>SNIES</v>
          </cell>
          <cell r="C802" t="str">
            <v>A1B</v>
          </cell>
          <cell r="D802" t="str">
            <v>A1BG</v>
          </cell>
          <cell r="E802" t="str">
            <v>ES/FARA</v>
          </cell>
          <cell r="F802" t="str">
            <v>SNIES</v>
          </cell>
          <cell r="G802">
            <v>23</v>
          </cell>
          <cell r="H802" t="str">
            <v>Fournitures installation, mobilier et équipements scolaires</v>
          </cell>
          <cell r="I802" t="str">
            <v>SNIES</v>
          </cell>
          <cell r="K802" t="str">
            <v>FSD</v>
          </cell>
          <cell r="L802" t="str">
            <v>AON</v>
          </cell>
          <cell r="N802">
            <v>8</v>
          </cell>
          <cell r="O802">
            <v>8</v>
          </cell>
          <cell r="P802">
            <v>16</v>
          </cell>
          <cell r="Q802" t="str">
            <v>lot</v>
          </cell>
          <cell r="S802">
            <v>91169.999999999985</v>
          </cell>
          <cell r="T802">
            <v>1</v>
          </cell>
          <cell r="U802">
            <v>0</v>
          </cell>
          <cell r="V802">
            <v>729359.99999999988</v>
          </cell>
          <cell r="W802">
            <v>729359.99999999988</v>
          </cell>
          <cell r="X802">
            <v>1458719.9999999998</v>
          </cell>
          <cell r="Y802">
            <v>0</v>
          </cell>
          <cell r="Z802">
            <v>729359.99999999988</v>
          </cell>
          <cell r="AA802">
            <v>729359.99999999988</v>
          </cell>
          <cell r="AB802">
            <v>1458719.9999999998</v>
          </cell>
          <cell r="AC802">
            <v>0</v>
          </cell>
          <cell r="AD802">
            <v>0</v>
          </cell>
          <cell r="AE802">
            <v>0</v>
          </cell>
          <cell r="AF802">
            <v>0</v>
          </cell>
          <cell r="AG802">
            <v>0</v>
          </cell>
          <cell r="AH802">
            <v>0</v>
          </cell>
        </row>
        <row r="803">
          <cell r="B803" t="str">
            <v>SNIES</v>
          </cell>
          <cell r="C803" t="str">
            <v>A1B</v>
          </cell>
          <cell r="D803" t="str">
            <v>A1BG</v>
          </cell>
          <cell r="E803" t="str">
            <v>ES/KISS</v>
          </cell>
          <cell r="F803" t="str">
            <v>SNIES</v>
          </cell>
          <cell r="G803">
            <v>23</v>
          </cell>
          <cell r="H803" t="str">
            <v>Fournitures installation, mobilier et équipements scolaires</v>
          </cell>
          <cell r="I803" t="str">
            <v>SNIES</v>
          </cell>
          <cell r="K803" t="str">
            <v>FSD</v>
          </cell>
          <cell r="L803" t="str">
            <v>AON</v>
          </cell>
          <cell r="N803">
            <v>6</v>
          </cell>
          <cell r="O803">
            <v>6</v>
          </cell>
          <cell r="P803">
            <v>12</v>
          </cell>
          <cell r="Q803" t="str">
            <v>lot</v>
          </cell>
          <cell r="S803">
            <v>91169.999999999985</v>
          </cell>
          <cell r="T803">
            <v>1</v>
          </cell>
          <cell r="U803">
            <v>0</v>
          </cell>
          <cell r="V803">
            <v>547019.99999999988</v>
          </cell>
          <cell r="W803">
            <v>547019.99999999988</v>
          </cell>
          <cell r="X803">
            <v>1094039.9999999998</v>
          </cell>
          <cell r="Y803">
            <v>0</v>
          </cell>
          <cell r="Z803">
            <v>547019.99999999988</v>
          </cell>
          <cell r="AA803">
            <v>547019.99999999988</v>
          </cell>
          <cell r="AB803">
            <v>1094039.9999999998</v>
          </cell>
          <cell r="AC803">
            <v>0</v>
          </cell>
          <cell r="AD803">
            <v>0</v>
          </cell>
          <cell r="AE803">
            <v>0</v>
          </cell>
          <cell r="AF803">
            <v>0</v>
          </cell>
          <cell r="AG803">
            <v>0</v>
          </cell>
          <cell r="AH803">
            <v>0</v>
          </cell>
        </row>
        <row r="804">
          <cell r="B804" t="str">
            <v>SNIES</v>
          </cell>
          <cell r="C804" t="str">
            <v>A1B</v>
          </cell>
          <cell r="D804" t="str">
            <v>A1BG</v>
          </cell>
          <cell r="E804" t="str">
            <v>ES/KANK</v>
          </cell>
          <cell r="F804" t="str">
            <v>SNIES</v>
          </cell>
          <cell r="G804">
            <v>23</v>
          </cell>
          <cell r="H804" t="str">
            <v>Fournitures installation, mobilier et équipements scolaires</v>
          </cell>
          <cell r="I804" t="str">
            <v>SNIES</v>
          </cell>
          <cell r="K804" t="str">
            <v>FSD</v>
          </cell>
          <cell r="L804" t="str">
            <v>AON</v>
          </cell>
          <cell r="N804">
            <v>2</v>
          </cell>
          <cell r="O804">
            <v>2</v>
          </cell>
          <cell r="P804">
            <v>4</v>
          </cell>
          <cell r="Q804" t="str">
            <v>lot</v>
          </cell>
          <cell r="S804">
            <v>91169.999999999985</v>
          </cell>
          <cell r="T804">
            <v>1</v>
          </cell>
          <cell r="U804">
            <v>0</v>
          </cell>
          <cell r="V804">
            <v>182339.99999999997</v>
          </cell>
          <cell r="W804">
            <v>182339.99999999997</v>
          </cell>
          <cell r="X804">
            <v>364679.99999999994</v>
          </cell>
          <cell r="Y804">
            <v>0</v>
          </cell>
          <cell r="Z804">
            <v>182339.99999999997</v>
          </cell>
          <cell r="AA804">
            <v>182339.99999999997</v>
          </cell>
          <cell r="AB804">
            <v>364679.99999999994</v>
          </cell>
          <cell r="AC804">
            <v>0</v>
          </cell>
          <cell r="AD804">
            <v>0</v>
          </cell>
          <cell r="AE804">
            <v>0</v>
          </cell>
          <cell r="AF804">
            <v>0</v>
          </cell>
          <cell r="AG804">
            <v>0</v>
          </cell>
          <cell r="AH804">
            <v>0</v>
          </cell>
        </row>
        <row r="805">
          <cell r="B805" t="str">
            <v>SNIES</v>
          </cell>
          <cell r="C805" t="str">
            <v>A1B</v>
          </cell>
          <cell r="D805" t="str">
            <v>A1BG</v>
          </cell>
          <cell r="E805" t="str">
            <v>ES/KERO</v>
          </cell>
          <cell r="F805" t="str">
            <v>SNIES</v>
          </cell>
          <cell r="G805">
            <v>23</v>
          </cell>
          <cell r="H805" t="str">
            <v>Fournitures installation, mobilier et équipements scolaires</v>
          </cell>
          <cell r="I805" t="str">
            <v>SNIES</v>
          </cell>
          <cell r="K805" t="str">
            <v>FSD</v>
          </cell>
          <cell r="L805" t="str">
            <v>AON</v>
          </cell>
          <cell r="N805">
            <v>2</v>
          </cell>
          <cell r="O805">
            <v>2</v>
          </cell>
          <cell r="P805">
            <v>4</v>
          </cell>
          <cell r="Q805" t="str">
            <v>lot</v>
          </cell>
          <cell r="S805">
            <v>91169.999999999985</v>
          </cell>
          <cell r="T805">
            <v>1</v>
          </cell>
          <cell r="U805">
            <v>0</v>
          </cell>
          <cell r="V805">
            <v>182339.99999999997</v>
          </cell>
          <cell r="W805">
            <v>182339.99999999997</v>
          </cell>
          <cell r="X805">
            <v>364679.99999999994</v>
          </cell>
          <cell r="Y805">
            <v>0</v>
          </cell>
          <cell r="Z805">
            <v>182339.99999999997</v>
          </cell>
          <cell r="AA805">
            <v>182339.99999999997</v>
          </cell>
          <cell r="AB805">
            <v>364679.99999999994</v>
          </cell>
          <cell r="AC805">
            <v>0</v>
          </cell>
          <cell r="AD805">
            <v>0</v>
          </cell>
          <cell r="AE805">
            <v>0</v>
          </cell>
          <cell r="AF805">
            <v>0</v>
          </cell>
          <cell r="AG805">
            <v>0</v>
          </cell>
          <cell r="AH805">
            <v>0</v>
          </cell>
        </row>
        <row r="806">
          <cell r="B806" t="str">
            <v>SNIES</v>
          </cell>
          <cell r="C806" t="str">
            <v>A1B</v>
          </cell>
          <cell r="D806" t="str">
            <v>A1BG</v>
          </cell>
          <cell r="E806" t="str">
            <v>ES/KOUR</v>
          </cell>
          <cell r="F806" t="str">
            <v>SNIES</v>
          </cell>
          <cell r="G806">
            <v>23</v>
          </cell>
          <cell r="H806" t="str">
            <v>Fournitures installation, mobilier et équipements scolaires</v>
          </cell>
          <cell r="I806" t="str">
            <v>SNIES</v>
          </cell>
          <cell r="K806" t="str">
            <v>FSD</v>
          </cell>
          <cell r="L806" t="str">
            <v>AON</v>
          </cell>
          <cell r="N806">
            <v>4</v>
          </cell>
          <cell r="O806">
            <v>4</v>
          </cell>
          <cell r="P806">
            <v>8</v>
          </cell>
          <cell r="Q806" t="str">
            <v>lot</v>
          </cell>
          <cell r="S806">
            <v>91169.999999999985</v>
          </cell>
          <cell r="T806">
            <v>1</v>
          </cell>
          <cell r="U806">
            <v>0</v>
          </cell>
          <cell r="V806">
            <v>364679.99999999994</v>
          </cell>
          <cell r="W806">
            <v>364679.99999999994</v>
          </cell>
          <cell r="X806">
            <v>729359.99999999988</v>
          </cell>
          <cell r="Y806">
            <v>0</v>
          </cell>
          <cell r="Z806">
            <v>364679.99999999994</v>
          </cell>
          <cell r="AA806">
            <v>364679.99999999994</v>
          </cell>
          <cell r="AB806">
            <v>729359.99999999988</v>
          </cell>
          <cell r="AC806">
            <v>0</v>
          </cell>
          <cell r="AD806">
            <v>0</v>
          </cell>
          <cell r="AE806">
            <v>0</v>
          </cell>
          <cell r="AF806">
            <v>0</v>
          </cell>
          <cell r="AG806">
            <v>0</v>
          </cell>
          <cell r="AH806">
            <v>0</v>
          </cell>
        </row>
        <row r="807">
          <cell r="B807" t="str">
            <v>SNIES</v>
          </cell>
          <cell r="C807" t="str">
            <v>A1B</v>
          </cell>
          <cell r="D807" t="str">
            <v>A1BG</v>
          </cell>
          <cell r="E807" t="str">
            <v>ES/MAND</v>
          </cell>
          <cell r="F807" t="str">
            <v>SNIES</v>
          </cell>
          <cell r="G807">
            <v>23</v>
          </cell>
          <cell r="H807" t="str">
            <v>Fournitures installation, mobilier et équipements scolaires</v>
          </cell>
          <cell r="I807" t="str">
            <v>SNIES</v>
          </cell>
          <cell r="K807" t="str">
            <v>FSD</v>
          </cell>
          <cell r="L807" t="str">
            <v>AON</v>
          </cell>
          <cell r="N807">
            <v>8</v>
          </cell>
          <cell r="O807">
            <v>8</v>
          </cell>
          <cell r="P807">
            <v>16</v>
          </cell>
          <cell r="Q807" t="str">
            <v>lot</v>
          </cell>
          <cell r="S807">
            <v>91169.999999999985</v>
          </cell>
          <cell r="T807">
            <v>1</v>
          </cell>
          <cell r="U807">
            <v>0</v>
          </cell>
          <cell r="V807">
            <v>729359.99999999988</v>
          </cell>
          <cell r="W807">
            <v>729359.99999999988</v>
          </cell>
          <cell r="X807">
            <v>1458719.9999999998</v>
          </cell>
          <cell r="Y807">
            <v>0</v>
          </cell>
          <cell r="Z807">
            <v>729359.99999999988</v>
          </cell>
          <cell r="AA807">
            <v>729359.99999999988</v>
          </cell>
          <cell r="AB807">
            <v>1458719.9999999998</v>
          </cell>
          <cell r="AC807">
            <v>0</v>
          </cell>
          <cell r="AD807">
            <v>0</v>
          </cell>
          <cell r="AE807">
            <v>0</v>
          </cell>
          <cell r="AF807">
            <v>0</v>
          </cell>
          <cell r="AG807">
            <v>0</v>
          </cell>
          <cell r="AH807">
            <v>0</v>
          </cell>
        </row>
        <row r="808">
          <cell r="B808" t="str">
            <v>SNIES</v>
          </cell>
          <cell r="C808" t="str">
            <v>A1B</v>
          </cell>
          <cell r="D808" t="str">
            <v>A1BG</v>
          </cell>
          <cell r="E808" t="str">
            <v>ES/SIGU</v>
          </cell>
          <cell r="F808" t="str">
            <v>SNIES</v>
          </cell>
          <cell r="G808">
            <v>23</v>
          </cell>
          <cell r="H808" t="str">
            <v>Fournitures installation, mobilier et équipements scolaires</v>
          </cell>
          <cell r="I808" t="str">
            <v>SNIES</v>
          </cell>
          <cell r="K808" t="str">
            <v>FSD</v>
          </cell>
          <cell r="L808" t="str">
            <v>AON</v>
          </cell>
          <cell r="N808">
            <v>2</v>
          </cell>
          <cell r="O808">
            <v>2</v>
          </cell>
          <cell r="P808">
            <v>4</v>
          </cell>
          <cell r="Q808" t="str">
            <v>lot</v>
          </cell>
          <cell r="S808">
            <v>91169.999999999985</v>
          </cell>
          <cell r="T808">
            <v>1</v>
          </cell>
          <cell r="U808">
            <v>0</v>
          </cell>
          <cell r="V808">
            <v>182339.99999999997</v>
          </cell>
          <cell r="W808">
            <v>182339.99999999997</v>
          </cell>
          <cell r="X808">
            <v>364679.99999999994</v>
          </cell>
          <cell r="Y808">
            <v>0</v>
          </cell>
          <cell r="Z808">
            <v>182339.99999999997</v>
          </cell>
          <cell r="AA808">
            <v>182339.99999999997</v>
          </cell>
          <cell r="AB808">
            <v>364679.99999999994</v>
          </cell>
          <cell r="AC808">
            <v>0</v>
          </cell>
          <cell r="AD808">
            <v>0</v>
          </cell>
          <cell r="AE808">
            <v>0</v>
          </cell>
          <cell r="AF808">
            <v>0</v>
          </cell>
          <cell r="AG808">
            <v>0</v>
          </cell>
          <cell r="AH808">
            <v>0</v>
          </cell>
        </row>
        <row r="809">
          <cell r="B809" t="str">
            <v>SNIES</v>
          </cell>
          <cell r="C809" t="str">
            <v>A1B</v>
          </cell>
          <cell r="D809" t="str">
            <v>A1BG</v>
          </cell>
          <cell r="E809" t="str">
            <v>ES/COYA</v>
          </cell>
          <cell r="F809" t="str">
            <v>SNIES</v>
          </cell>
          <cell r="G809">
            <v>23</v>
          </cell>
          <cell r="H809" t="str">
            <v>Fournitures installation, mobilier et équipements scolaires</v>
          </cell>
          <cell r="I809" t="str">
            <v>SNIES</v>
          </cell>
          <cell r="K809" t="str">
            <v>FSD</v>
          </cell>
          <cell r="L809" t="str">
            <v>AON</v>
          </cell>
          <cell r="N809">
            <v>2</v>
          </cell>
          <cell r="O809">
            <v>2</v>
          </cell>
          <cell r="P809">
            <v>4</v>
          </cell>
          <cell r="Q809" t="str">
            <v>lot</v>
          </cell>
          <cell r="S809">
            <v>91169.999999999985</v>
          </cell>
          <cell r="T809">
            <v>1</v>
          </cell>
          <cell r="U809">
            <v>0</v>
          </cell>
          <cell r="V809">
            <v>182339.99999999997</v>
          </cell>
          <cell r="W809">
            <v>182339.99999999997</v>
          </cell>
          <cell r="X809">
            <v>364679.99999999994</v>
          </cell>
          <cell r="Y809">
            <v>0</v>
          </cell>
          <cell r="Z809">
            <v>182339.99999999997</v>
          </cell>
          <cell r="AA809">
            <v>182339.99999999997</v>
          </cell>
          <cell r="AB809">
            <v>364679.99999999994</v>
          </cell>
          <cell r="AC809">
            <v>0</v>
          </cell>
          <cell r="AD809">
            <v>0</v>
          </cell>
          <cell r="AE809">
            <v>0</v>
          </cell>
          <cell r="AF809">
            <v>0</v>
          </cell>
          <cell r="AG809">
            <v>0</v>
          </cell>
          <cell r="AH809">
            <v>0</v>
          </cell>
        </row>
        <row r="810">
          <cell r="B810" t="str">
            <v>SNIES</v>
          </cell>
          <cell r="C810" t="str">
            <v>A1B</v>
          </cell>
          <cell r="D810" t="str">
            <v>A1BG</v>
          </cell>
          <cell r="E810" t="str">
            <v>ES/DUBR</v>
          </cell>
          <cell r="F810" t="str">
            <v>SNIES</v>
          </cell>
          <cell r="G810">
            <v>23</v>
          </cell>
          <cell r="H810" t="str">
            <v>Fournitures installation, mobilier et équipements scolaires</v>
          </cell>
          <cell r="I810" t="str">
            <v>SNIES</v>
          </cell>
          <cell r="K810" t="str">
            <v>FSD</v>
          </cell>
          <cell r="L810" t="str">
            <v>AON</v>
          </cell>
          <cell r="N810">
            <v>4</v>
          </cell>
          <cell r="O810">
            <v>4</v>
          </cell>
          <cell r="P810">
            <v>8</v>
          </cell>
          <cell r="Q810" t="str">
            <v>lot</v>
          </cell>
          <cell r="S810">
            <v>91169.999999999985</v>
          </cell>
          <cell r="T810">
            <v>1</v>
          </cell>
          <cell r="U810">
            <v>0</v>
          </cell>
          <cell r="V810">
            <v>364679.99999999994</v>
          </cell>
          <cell r="W810">
            <v>364679.99999999994</v>
          </cell>
          <cell r="X810">
            <v>729359.99999999988</v>
          </cell>
          <cell r="Y810">
            <v>0</v>
          </cell>
          <cell r="Z810">
            <v>364679.99999999994</v>
          </cell>
          <cell r="AA810">
            <v>364679.99999999994</v>
          </cell>
          <cell r="AB810">
            <v>729359.99999999988</v>
          </cell>
          <cell r="AC810">
            <v>0</v>
          </cell>
          <cell r="AD810">
            <v>0</v>
          </cell>
          <cell r="AE810">
            <v>0</v>
          </cell>
          <cell r="AF810">
            <v>0</v>
          </cell>
          <cell r="AG810">
            <v>0</v>
          </cell>
          <cell r="AH810">
            <v>0</v>
          </cell>
        </row>
        <row r="811">
          <cell r="B811" t="str">
            <v>SNIES</v>
          </cell>
          <cell r="C811" t="str">
            <v>A1B</v>
          </cell>
          <cell r="D811" t="str">
            <v>A1BG</v>
          </cell>
          <cell r="E811" t="str">
            <v>ES/FORE</v>
          </cell>
          <cell r="F811" t="str">
            <v>SNIES</v>
          </cell>
          <cell r="G811">
            <v>23</v>
          </cell>
          <cell r="H811" t="str">
            <v>Fournitures installation, mobilier et équipements scolaires</v>
          </cell>
          <cell r="I811" t="str">
            <v>SNIES</v>
          </cell>
          <cell r="K811" t="str">
            <v>FSD</v>
          </cell>
          <cell r="L811" t="str">
            <v>AON</v>
          </cell>
          <cell r="N811">
            <v>8</v>
          </cell>
          <cell r="O811">
            <v>8</v>
          </cell>
          <cell r="P811">
            <v>16</v>
          </cell>
          <cell r="Q811" t="str">
            <v>lot</v>
          </cell>
          <cell r="S811">
            <v>91169.999999999985</v>
          </cell>
          <cell r="T811">
            <v>1</v>
          </cell>
          <cell r="U811">
            <v>0</v>
          </cell>
          <cell r="V811">
            <v>729359.99999999988</v>
          </cell>
          <cell r="W811">
            <v>729359.99999999988</v>
          </cell>
          <cell r="X811">
            <v>1458719.9999999998</v>
          </cell>
          <cell r="Y811">
            <v>0</v>
          </cell>
          <cell r="Z811">
            <v>729359.99999999988</v>
          </cell>
          <cell r="AA811">
            <v>729359.99999999988</v>
          </cell>
          <cell r="AB811">
            <v>1458719.9999999998</v>
          </cell>
          <cell r="AC811">
            <v>0</v>
          </cell>
          <cell r="AD811">
            <v>0</v>
          </cell>
          <cell r="AE811">
            <v>0</v>
          </cell>
          <cell r="AF811">
            <v>0</v>
          </cell>
          <cell r="AG811">
            <v>0</v>
          </cell>
          <cell r="AH811">
            <v>0</v>
          </cell>
        </row>
        <row r="812">
          <cell r="B812" t="str">
            <v>SNIES</v>
          </cell>
          <cell r="C812" t="str">
            <v>A1B</v>
          </cell>
          <cell r="D812" t="str">
            <v>A1BG</v>
          </cell>
          <cell r="E812" t="str">
            <v>ES/KIND</v>
          </cell>
          <cell r="F812" t="str">
            <v>SNIES</v>
          </cell>
          <cell r="G812">
            <v>23</v>
          </cell>
          <cell r="H812" t="str">
            <v>Fournitures installation, mobilier et équipements scolaires</v>
          </cell>
          <cell r="I812" t="str">
            <v>SNIES</v>
          </cell>
          <cell r="K812" t="str">
            <v>FSD</v>
          </cell>
          <cell r="L812" t="str">
            <v>AON</v>
          </cell>
          <cell r="N812">
            <v>2</v>
          </cell>
          <cell r="O812">
            <v>2</v>
          </cell>
          <cell r="P812">
            <v>4</v>
          </cell>
          <cell r="Q812" t="str">
            <v>lot</v>
          </cell>
          <cell r="S812">
            <v>91169.999999999985</v>
          </cell>
          <cell r="T812">
            <v>1</v>
          </cell>
          <cell r="U812">
            <v>0</v>
          </cell>
          <cell r="V812">
            <v>182339.99999999997</v>
          </cell>
          <cell r="W812">
            <v>182339.99999999997</v>
          </cell>
          <cell r="X812">
            <v>364679.99999999994</v>
          </cell>
          <cell r="Y812">
            <v>0</v>
          </cell>
          <cell r="Z812">
            <v>182339.99999999997</v>
          </cell>
          <cell r="AA812">
            <v>182339.99999999997</v>
          </cell>
          <cell r="AB812">
            <v>364679.99999999994</v>
          </cell>
          <cell r="AC812">
            <v>0</v>
          </cell>
          <cell r="AD812">
            <v>0</v>
          </cell>
          <cell r="AE812">
            <v>0</v>
          </cell>
          <cell r="AF812">
            <v>0</v>
          </cell>
          <cell r="AG812">
            <v>0</v>
          </cell>
          <cell r="AH812">
            <v>0</v>
          </cell>
        </row>
        <row r="813">
          <cell r="B813" t="str">
            <v>SNIES</v>
          </cell>
          <cell r="C813" t="str">
            <v>A1B</v>
          </cell>
          <cell r="D813" t="str">
            <v>A1BG</v>
          </cell>
          <cell r="E813" t="str">
            <v>ES/TELI</v>
          </cell>
          <cell r="F813" t="str">
            <v>SNIES</v>
          </cell>
          <cell r="G813">
            <v>23</v>
          </cell>
          <cell r="H813" t="str">
            <v>Fournitures installation, mobilier et équipements scolaires</v>
          </cell>
          <cell r="I813" t="str">
            <v>SNIES</v>
          </cell>
          <cell r="K813" t="str">
            <v>FSD</v>
          </cell>
          <cell r="L813" t="str">
            <v>AON</v>
          </cell>
          <cell r="N813">
            <v>6</v>
          </cell>
          <cell r="O813">
            <v>6</v>
          </cell>
          <cell r="P813">
            <v>12</v>
          </cell>
          <cell r="Q813" t="str">
            <v>lot</v>
          </cell>
          <cell r="S813">
            <v>91169.999999999985</v>
          </cell>
          <cell r="T813">
            <v>1</v>
          </cell>
          <cell r="U813">
            <v>0</v>
          </cell>
          <cell r="V813">
            <v>547019.99999999988</v>
          </cell>
          <cell r="W813">
            <v>547019.99999999988</v>
          </cell>
          <cell r="X813">
            <v>1094039.9999999998</v>
          </cell>
          <cell r="Y813">
            <v>0</v>
          </cell>
          <cell r="Z813">
            <v>547019.99999999988</v>
          </cell>
          <cell r="AA813">
            <v>547019.99999999988</v>
          </cell>
          <cell r="AB813">
            <v>1094039.9999999998</v>
          </cell>
          <cell r="AC813">
            <v>0</v>
          </cell>
          <cell r="AD813">
            <v>0</v>
          </cell>
          <cell r="AE813">
            <v>0</v>
          </cell>
          <cell r="AF813">
            <v>0</v>
          </cell>
          <cell r="AG813">
            <v>0</v>
          </cell>
          <cell r="AH813">
            <v>0</v>
          </cell>
        </row>
        <row r="814">
          <cell r="B814" t="str">
            <v>SNIES</v>
          </cell>
          <cell r="C814" t="str">
            <v>A1B</v>
          </cell>
          <cell r="D814" t="str">
            <v>A1BG</v>
          </cell>
          <cell r="E814" t="str">
            <v>ES/DALA</v>
          </cell>
          <cell r="F814" t="str">
            <v>SNIES</v>
          </cell>
          <cell r="G814">
            <v>23</v>
          </cell>
          <cell r="H814" t="str">
            <v>Fournitures installation, mobilier et équipements scolaires</v>
          </cell>
          <cell r="I814" t="str">
            <v>SNIES</v>
          </cell>
          <cell r="K814" t="str">
            <v>FSD</v>
          </cell>
          <cell r="L814" t="str">
            <v>AON</v>
          </cell>
          <cell r="N814">
            <v>2</v>
          </cell>
          <cell r="O814">
            <v>2</v>
          </cell>
          <cell r="P814">
            <v>4</v>
          </cell>
          <cell r="Q814" t="str">
            <v>lot</v>
          </cell>
          <cell r="S814">
            <v>91169.999999999985</v>
          </cell>
          <cell r="T814">
            <v>1</v>
          </cell>
          <cell r="U814">
            <v>0</v>
          </cell>
          <cell r="V814">
            <v>182339.99999999997</v>
          </cell>
          <cell r="W814">
            <v>182339.99999999997</v>
          </cell>
          <cell r="X814">
            <v>364679.99999999994</v>
          </cell>
          <cell r="Y814">
            <v>0</v>
          </cell>
          <cell r="Z814">
            <v>182339.99999999997</v>
          </cell>
          <cell r="AA814">
            <v>182339.99999999997</v>
          </cell>
          <cell r="AB814">
            <v>364679.99999999994</v>
          </cell>
          <cell r="AC814">
            <v>0</v>
          </cell>
          <cell r="AD814">
            <v>0</v>
          </cell>
          <cell r="AE814">
            <v>0</v>
          </cell>
          <cell r="AF814">
            <v>0</v>
          </cell>
          <cell r="AG814">
            <v>0</v>
          </cell>
          <cell r="AH814">
            <v>0</v>
          </cell>
        </row>
        <row r="815">
          <cell r="B815" t="str">
            <v>SNIES</v>
          </cell>
          <cell r="C815" t="str">
            <v>A1B</v>
          </cell>
          <cell r="D815" t="str">
            <v>A1BG</v>
          </cell>
          <cell r="E815" t="str">
            <v>ES/MAMO</v>
          </cell>
          <cell r="F815" t="str">
            <v>SNIES</v>
          </cell>
          <cell r="G815">
            <v>23</v>
          </cell>
          <cell r="H815" t="str">
            <v>Fournitures installation, mobilier et équipements scolaires</v>
          </cell>
          <cell r="I815" t="str">
            <v>SNIES</v>
          </cell>
          <cell r="K815" t="str">
            <v>FSD</v>
          </cell>
          <cell r="L815" t="str">
            <v>AON</v>
          </cell>
          <cell r="N815">
            <v>8</v>
          </cell>
          <cell r="O815">
            <v>8</v>
          </cell>
          <cell r="P815">
            <v>16</v>
          </cell>
          <cell r="Q815" t="str">
            <v>lot</v>
          </cell>
          <cell r="S815">
            <v>91169.999999999985</v>
          </cell>
          <cell r="T815">
            <v>1</v>
          </cell>
          <cell r="U815">
            <v>0</v>
          </cell>
          <cell r="V815">
            <v>729359.99999999988</v>
          </cell>
          <cell r="W815">
            <v>729359.99999999988</v>
          </cell>
          <cell r="X815">
            <v>1458719.9999999998</v>
          </cell>
          <cell r="Y815">
            <v>0</v>
          </cell>
          <cell r="Z815">
            <v>729359.99999999988</v>
          </cell>
          <cell r="AA815">
            <v>729359.99999999988</v>
          </cell>
          <cell r="AB815">
            <v>1458719.9999999998</v>
          </cell>
          <cell r="AC815">
            <v>0</v>
          </cell>
          <cell r="AD815">
            <v>0</v>
          </cell>
          <cell r="AE815">
            <v>0</v>
          </cell>
          <cell r="AF815">
            <v>0</v>
          </cell>
          <cell r="AG815">
            <v>0</v>
          </cell>
          <cell r="AH815">
            <v>0</v>
          </cell>
        </row>
        <row r="816">
          <cell r="B816" t="str">
            <v>SNIES</v>
          </cell>
          <cell r="C816" t="str">
            <v>A1B</v>
          </cell>
          <cell r="D816" t="str">
            <v>A1BG</v>
          </cell>
          <cell r="E816" t="str">
            <v>ES/BEYL</v>
          </cell>
          <cell r="F816" t="str">
            <v>SNIES</v>
          </cell>
          <cell r="G816">
            <v>23</v>
          </cell>
          <cell r="H816" t="str">
            <v>Fournitures installation, mobilier et équipements scolaires</v>
          </cell>
          <cell r="I816" t="str">
            <v>SNIES</v>
          </cell>
          <cell r="K816" t="str">
            <v>FSD</v>
          </cell>
          <cell r="L816" t="str">
            <v>AON</v>
          </cell>
          <cell r="N816">
            <v>10</v>
          </cell>
          <cell r="O816">
            <v>10</v>
          </cell>
          <cell r="P816">
            <v>20</v>
          </cell>
          <cell r="Q816" t="str">
            <v>lot</v>
          </cell>
          <cell r="S816">
            <v>91169.999999999985</v>
          </cell>
          <cell r="T816">
            <v>1</v>
          </cell>
          <cell r="U816">
            <v>0</v>
          </cell>
          <cell r="V816">
            <v>911699.99999999988</v>
          </cell>
          <cell r="W816">
            <v>911699.99999999988</v>
          </cell>
          <cell r="X816">
            <v>1823399.9999999998</v>
          </cell>
          <cell r="Y816">
            <v>0</v>
          </cell>
          <cell r="Z816">
            <v>911699.99999999988</v>
          </cell>
          <cell r="AA816">
            <v>911699.99999999988</v>
          </cell>
          <cell r="AB816">
            <v>1823399.9999999998</v>
          </cell>
          <cell r="AC816">
            <v>0</v>
          </cell>
          <cell r="AD816">
            <v>0</v>
          </cell>
          <cell r="AE816">
            <v>0</v>
          </cell>
          <cell r="AF816">
            <v>0</v>
          </cell>
          <cell r="AG816">
            <v>0</v>
          </cell>
          <cell r="AH816">
            <v>0</v>
          </cell>
        </row>
        <row r="817">
          <cell r="B817" t="str">
            <v>SNIES</v>
          </cell>
          <cell r="C817" t="str">
            <v>A1B</v>
          </cell>
          <cell r="D817" t="str">
            <v>A1BG</v>
          </cell>
          <cell r="E817" t="str">
            <v>ES/MACE</v>
          </cell>
          <cell r="F817" t="str">
            <v>SNIES</v>
          </cell>
          <cell r="G817">
            <v>23</v>
          </cell>
          <cell r="H817" t="str">
            <v>Fournitures installation, mobilier et équipements scolaires</v>
          </cell>
          <cell r="I817" t="str">
            <v>SNIES</v>
          </cell>
          <cell r="K817" t="str">
            <v>FSD</v>
          </cell>
          <cell r="L817" t="str">
            <v>AON</v>
          </cell>
          <cell r="N817">
            <v>6</v>
          </cell>
          <cell r="O817">
            <v>6</v>
          </cell>
          <cell r="P817">
            <v>12</v>
          </cell>
          <cell r="Q817" t="str">
            <v>lot</v>
          </cell>
          <cell r="S817">
            <v>91169.999999999985</v>
          </cell>
          <cell r="T817">
            <v>1</v>
          </cell>
          <cell r="U817">
            <v>0</v>
          </cell>
          <cell r="V817">
            <v>547019.99999999988</v>
          </cell>
          <cell r="W817">
            <v>547019.99999999988</v>
          </cell>
          <cell r="X817">
            <v>1094039.9999999998</v>
          </cell>
          <cell r="Y817">
            <v>0</v>
          </cell>
          <cell r="Z817">
            <v>547019.99999999988</v>
          </cell>
          <cell r="AA817">
            <v>547019.99999999988</v>
          </cell>
          <cell r="AB817">
            <v>1094039.9999999998</v>
          </cell>
          <cell r="AC817">
            <v>0</v>
          </cell>
          <cell r="AD817">
            <v>0</v>
          </cell>
          <cell r="AE817">
            <v>0</v>
          </cell>
          <cell r="AF817">
            <v>0</v>
          </cell>
          <cell r="AG817">
            <v>0</v>
          </cell>
          <cell r="AH817">
            <v>0</v>
          </cell>
        </row>
        <row r="818">
          <cell r="B818" t="str">
            <v>SNIES</v>
          </cell>
          <cell r="C818" t="str">
            <v>A1D</v>
          </cell>
          <cell r="D818" t="str">
            <v>A1DA</v>
          </cell>
          <cell r="E818" t="str">
            <v>SNIES</v>
          </cell>
          <cell r="F818" t="str">
            <v>SNIES</v>
          </cell>
          <cell r="G818">
            <v>25</v>
          </cell>
          <cell r="H818" t="str">
            <v>Consultants  études supervision et assistance à la gestion du projet</v>
          </cell>
          <cell r="I818" t="str">
            <v>SNIES</v>
          </cell>
          <cell r="K818" t="str">
            <v>FSD</v>
          </cell>
          <cell r="L818" t="str">
            <v>LR</v>
          </cell>
          <cell r="M818">
            <v>0.375</v>
          </cell>
          <cell r="N818">
            <v>0.375</v>
          </cell>
          <cell r="O818">
            <v>0.125</v>
          </cell>
          <cell r="P818">
            <v>0.875</v>
          </cell>
          <cell r="Q818" t="str">
            <v>forfait</v>
          </cell>
          <cell r="S818">
            <v>2279250</v>
          </cell>
          <cell r="T818">
            <v>1</v>
          </cell>
          <cell r="U818">
            <v>854718.75</v>
          </cell>
          <cell r="V818">
            <v>854718.75</v>
          </cell>
          <cell r="W818">
            <v>284906.25</v>
          </cell>
          <cell r="X818">
            <v>1994343.75</v>
          </cell>
          <cell r="Y818">
            <v>854718.75</v>
          </cell>
          <cell r="Z818">
            <v>854718.75</v>
          </cell>
          <cell r="AA818">
            <v>284906.25</v>
          </cell>
          <cell r="AB818">
            <v>1994343.75</v>
          </cell>
          <cell r="AC818">
            <v>0</v>
          </cell>
          <cell r="AD818">
            <v>0</v>
          </cell>
          <cell r="AE818">
            <v>0</v>
          </cell>
          <cell r="AF818">
            <v>0</v>
          </cell>
          <cell r="AG818">
            <v>0</v>
          </cell>
          <cell r="AH818">
            <v>0</v>
          </cell>
        </row>
        <row r="819">
          <cell r="B819" t="str">
            <v>SNIES</v>
          </cell>
          <cell r="C819" t="str">
            <v>D1B</v>
          </cell>
          <cell r="D819" t="str">
            <v>D1BD</v>
          </cell>
          <cell r="E819" t="str">
            <v>SO</v>
          </cell>
          <cell r="F819" t="str">
            <v>SNIES</v>
          </cell>
          <cell r="G819" t="str">
            <v>SO</v>
          </cell>
          <cell r="H819" t="str">
            <v>Non affectés sur projet FKDEA</v>
          </cell>
          <cell r="I819" t="str">
            <v>SNIES</v>
          </cell>
          <cell r="K819" t="str">
            <v>FKDEA</v>
          </cell>
          <cell r="L819" t="str">
            <v>AUT</v>
          </cell>
          <cell r="N819">
            <v>0.5</v>
          </cell>
          <cell r="O819">
            <v>0.5</v>
          </cell>
          <cell r="P819">
            <v>1</v>
          </cell>
          <cell r="Q819" t="str">
            <v>forfait</v>
          </cell>
          <cell r="S819">
            <v>3080706.5088</v>
          </cell>
          <cell r="T819">
            <v>1</v>
          </cell>
          <cell r="U819">
            <v>0</v>
          </cell>
          <cell r="V819">
            <v>1540353.2544</v>
          </cell>
          <cell r="W819">
            <v>1540353.2544</v>
          </cell>
          <cell r="X819">
            <v>3080706.5088</v>
          </cell>
          <cell r="Y819">
            <v>0</v>
          </cell>
          <cell r="Z819">
            <v>1540353.2544</v>
          </cell>
          <cell r="AA819">
            <v>1540353.2544</v>
          </cell>
          <cell r="AB819">
            <v>3080706.5088</v>
          </cell>
          <cell r="AC819">
            <v>0</v>
          </cell>
          <cell r="AD819">
            <v>0</v>
          </cell>
          <cell r="AE819">
            <v>0</v>
          </cell>
          <cell r="AF819">
            <v>0</v>
          </cell>
          <cell r="AG819">
            <v>0</v>
          </cell>
          <cell r="AH819">
            <v>0</v>
          </cell>
        </row>
        <row r="820">
          <cell r="B820" t="str">
            <v>SNIES</v>
          </cell>
          <cell r="C820" t="str">
            <v>A1B</v>
          </cell>
          <cell r="D820" t="str">
            <v>A1BG</v>
          </cell>
          <cell r="E820" t="str">
            <v>ES/BOKE</v>
          </cell>
          <cell r="F820" t="str">
            <v>SNIES</v>
          </cell>
          <cell r="G820">
            <v>22</v>
          </cell>
          <cell r="H820" t="str">
            <v>Travaux de construction collège</v>
          </cell>
          <cell r="I820" t="str">
            <v>SNIES</v>
          </cell>
          <cell r="K820" t="str">
            <v>FKDEA</v>
          </cell>
          <cell r="L820" t="str">
            <v>AON</v>
          </cell>
          <cell r="N820">
            <v>4</v>
          </cell>
          <cell r="O820">
            <v>4</v>
          </cell>
          <cell r="P820">
            <v>8</v>
          </cell>
          <cell r="Q820" t="str">
            <v>cl coll</v>
          </cell>
          <cell r="S820">
            <v>214888.7873422222</v>
          </cell>
          <cell r="T820">
            <v>0.9</v>
          </cell>
          <cell r="U820">
            <v>0</v>
          </cell>
          <cell r="V820">
            <v>859555.14936888881</v>
          </cell>
          <cell r="W820">
            <v>859555.14936888881</v>
          </cell>
          <cell r="X820">
            <v>1719110.2987377776</v>
          </cell>
          <cell r="Y820">
            <v>0</v>
          </cell>
          <cell r="Z820">
            <v>773599.63443199999</v>
          </cell>
          <cell r="AA820">
            <v>773599.63443199999</v>
          </cell>
          <cell r="AB820">
            <v>1547199.268864</v>
          </cell>
          <cell r="AC820">
            <v>0</v>
          </cell>
          <cell r="AD820">
            <v>85955.514936888823</v>
          </cell>
          <cell r="AE820">
            <v>85955.514936888823</v>
          </cell>
          <cell r="AF820">
            <v>171911.02987377765</v>
          </cell>
          <cell r="AG820">
            <v>0</v>
          </cell>
          <cell r="AH820">
            <v>0</v>
          </cell>
        </row>
        <row r="821">
          <cell r="B821" t="str">
            <v>SNIES</v>
          </cell>
          <cell r="C821" t="str">
            <v>A1B</v>
          </cell>
          <cell r="D821" t="str">
            <v>A1BG</v>
          </cell>
          <cell r="E821" t="str">
            <v>ES/FRIA</v>
          </cell>
          <cell r="F821" t="str">
            <v>SNIES</v>
          </cell>
          <cell r="G821">
            <v>22</v>
          </cell>
          <cell r="H821" t="str">
            <v>Travaux de construction collège</v>
          </cell>
          <cell r="I821" t="str">
            <v>SNIES</v>
          </cell>
          <cell r="K821" t="str">
            <v>FKDEA</v>
          </cell>
          <cell r="L821" t="str">
            <v>AON</v>
          </cell>
          <cell r="N821">
            <v>2</v>
          </cell>
          <cell r="O821">
            <v>2</v>
          </cell>
          <cell r="P821">
            <v>4</v>
          </cell>
          <cell r="Q821" t="str">
            <v>cl coll</v>
          </cell>
          <cell r="S821">
            <v>214888.7873422222</v>
          </cell>
          <cell r="T821">
            <v>0.9</v>
          </cell>
          <cell r="U821">
            <v>0</v>
          </cell>
          <cell r="V821">
            <v>429777.57468444441</v>
          </cell>
          <cell r="W821">
            <v>429777.57468444441</v>
          </cell>
          <cell r="X821">
            <v>859555.14936888881</v>
          </cell>
          <cell r="Y821">
            <v>0</v>
          </cell>
          <cell r="Z821">
            <v>386799.817216</v>
          </cell>
          <cell r="AA821">
            <v>386799.817216</v>
          </cell>
          <cell r="AB821">
            <v>773599.63443199999</v>
          </cell>
          <cell r="AC821">
            <v>0</v>
          </cell>
          <cell r="AD821">
            <v>42977.757468444412</v>
          </cell>
          <cell r="AE821">
            <v>42977.757468444412</v>
          </cell>
          <cell r="AF821">
            <v>85955.514936888823</v>
          </cell>
          <cell r="AG821">
            <v>0</v>
          </cell>
          <cell r="AH821">
            <v>0</v>
          </cell>
        </row>
        <row r="822">
          <cell r="B822" t="str">
            <v>SNIES</v>
          </cell>
          <cell r="C822" t="str">
            <v>A1B</v>
          </cell>
          <cell r="D822" t="str">
            <v>A1BG</v>
          </cell>
          <cell r="E822" t="str">
            <v>ES/GAOU</v>
          </cell>
          <cell r="F822" t="str">
            <v>SNIES</v>
          </cell>
          <cell r="G822">
            <v>22</v>
          </cell>
          <cell r="H822" t="str">
            <v>Travaux de construction collège</v>
          </cell>
          <cell r="I822" t="str">
            <v>SNIES</v>
          </cell>
          <cell r="K822" t="str">
            <v>FKDEA</v>
          </cell>
          <cell r="L822" t="str">
            <v>AON</v>
          </cell>
          <cell r="N822">
            <v>6</v>
          </cell>
          <cell r="O822">
            <v>6</v>
          </cell>
          <cell r="P822">
            <v>12</v>
          </cell>
          <cell r="Q822" t="str">
            <v>cl coll</v>
          </cell>
          <cell r="S822">
            <v>214888.7873422222</v>
          </cell>
          <cell r="T822">
            <v>0.9</v>
          </cell>
          <cell r="U822">
            <v>0</v>
          </cell>
          <cell r="V822">
            <v>1289332.7240533333</v>
          </cell>
          <cell r="W822">
            <v>1289332.7240533333</v>
          </cell>
          <cell r="X822">
            <v>2578665.4481066666</v>
          </cell>
          <cell r="Y822">
            <v>0</v>
          </cell>
          <cell r="Z822">
            <v>1160399.4516479999</v>
          </cell>
          <cell r="AA822">
            <v>1160399.4516479999</v>
          </cell>
          <cell r="AB822">
            <v>2320798.9032959999</v>
          </cell>
          <cell r="AC822">
            <v>0</v>
          </cell>
          <cell r="AD822">
            <v>128933.27240533335</v>
          </cell>
          <cell r="AE822">
            <v>128933.27240533335</v>
          </cell>
          <cell r="AF822">
            <v>257866.5448106667</v>
          </cell>
          <cell r="AG822">
            <v>0</v>
          </cell>
          <cell r="AH822">
            <v>0</v>
          </cell>
        </row>
        <row r="823">
          <cell r="B823" t="str">
            <v>SNIES</v>
          </cell>
          <cell r="C823" t="str">
            <v>A1B</v>
          </cell>
          <cell r="D823" t="str">
            <v>A1BG</v>
          </cell>
          <cell r="E823" t="str">
            <v>ES/KOUN</v>
          </cell>
          <cell r="F823" t="str">
            <v>SNIES</v>
          </cell>
          <cell r="G823">
            <v>22</v>
          </cell>
          <cell r="H823" t="str">
            <v>Travaux de construction collège</v>
          </cell>
          <cell r="I823" t="str">
            <v>SNIES</v>
          </cell>
          <cell r="K823" t="str">
            <v>FKDEA</v>
          </cell>
          <cell r="L823" t="str">
            <v>AON</v>
          </cell>
          <cell r="N823">
            <v>4</v>
          </cell>
          <cell r="O823">
            <v>4</v>
          </cell>
          <cell r="P823">
            <v>8</v>
          </cell>
          <cell r="Q823" t="str">
            <v>cl coll</v>
          </cell>
          <cell r="S823">
            <v>214888.7873422222</v>
          </cell>
          <cell r="T823">
            <v>0.9</v>
          </cell>
          <cell r="U823">
            <v>0</v>
          </cell>
          <cell r="V823">
            <v>859555.14936888881</v>
          </cell>
          <cell r="W823">
            <v>859555.14936888881</v>
          </cell>
          <cell r="X823">
            <v>1719110.2987377776</v>
          </cell>
          <cell r="Y823">
            <v>0</v>
          </cell>
          <cell r="Z823">
            <v>773599.63443199999</v>
          </cell>
          <cell r="AA823">
            <v>773599.63443199999</v>
          </cell>
          <cell r="AB823">
            <v>1547199.268864</v>
          </cell>
          <cell r="AC823">
            <v>0</v>
          </cell>
          <cell r="AD823">
            <v>85955.514936888823</v>
          </cell>
          <cell r="AE823">
            <v>85955.514936888823</v>
          </cell>
          <cell r="AF823">
            <v>171911.02987377765</v>
          </cell>
          <cell r="AG823">
            <v>0</v>
          </cell>
          <cell r="AH823">
            <v>0</v>
          </cell>
        </row>
        <row r="824">
          <cell r="B824" t="str">
            <v>SNIES</v>
          </cell>
          <cell r="C824" t="str">
            <v>A1B</v>
          </cell>
          <cell r="D824" t="str">
            <v>A1BG</v>
          </cell>
          <cell r="E824" t="str">
            <v>ES/DABO</v>
          </cell>
          <cell r="F824" t="str">
            <v>SNIES</v>
          </cell>
          <cell r="G824">
            <v>22</v>
          </cell>
          <cell r="H824" t="str">
            <v>Travaux de construction collège</v>
          </cell>
          <cell r="I824" t="str">
            <v>SNIES</v>
          </cell>
          <cell r="K824" t="str">
            <v>FKDEA</v>
          </cell>
          <cell r="L824" t="str">
            <v>AON</v>
          </cell>
          <cell r="N824">
            <v>6</v>
          </cell>
          <cell r="O824">
            <v>6</v>
          </cell>
          <cell r="P824">
            <v>12</v>
          </cell>
          <cell r="Q824" t="str">
            <v>cl coll</v>
          </cell>
          <cell r="S824">
            <v>214888.7873422222</v>
          </cell>
          <cell r="T824">
            <v>0.9</v>
          </cell>
          <cell r="U824">
            <v>0</v>
          </cell>
          <cell r="V824">
            <v>1289332.7240533333</v>
          </cell>
          <cell r="W824">
            <v>1289332.7240533333</v>
          </cell>
          <cell r="X824">
            <v>2578665.4481066666</v>
          </cell>
          <cell r="Y824">
            <v>0</v>
          </cell>
          <cell r="Z824">
            <v>1160399.4516479999</v>
          </cell>
          <cell r="AA824">
            <v>1160399.4516479999</v>
          </cell>
          <cell r="AB824">
            <v>2320798.9032959999</v>
          </cell>
          <cell r="AC824">
            <v>0</v>
          </cell>
          <cell r="AD824">
            <v>128933.27240533335</v>
          </cell>
          <cell r="AE824">
            <v>128933.27240533335</v>
          </cell>
          <cell r="AF824">
            <v>257866.5448106667</v>
          </cell>
          <cell r="AG824">
            <v>0</v>
          </cell>
          <cell r="AH824">
            <v>0</v>
          </cell>
        </row>
        <row r="825">
          <cell r="B825" t="str">
            <v>SNIES</v>
          </cell>
          <cell r="C825" t="str">
            <v>A1B</v>
          </cell>
          <cell r="D825" t="str">
            <v>A1BG</v>
          </cell>
          <cell r="E825" t="str">
            <v>ES/DING</v>
          </cell>
          <cell r="F825" t="str">
            <v>SNIES</v>
          </cell>
          <cell r="G825">
            <v>22</v>
          </cell>
          <cell r="H825" t="str">
            <v>Travaux de construction collège</v>
          </cell>
          <cell r="I825" t="str">
            <v>SNIES</v>
          </cell>
          <cell r="K825" t="str">
            <v>FKDEA</v>
          </cell>
          <cell r="L825" t="str">
            <v>AON</v>
          </cell>
          <cell r="N825">
            <v>4</v>
          </cell>
          <cell r="O825">
            <v>4</v>
          </cell>
          <cell r="P825">
            <v>8</v>
          </cell>
          <cell r="Q825" t="str">
            <v>cl coll</v>
          </cell>
          <cell r="S825">
            <v>214888.7873422222</v>
          </cell>
          <cell r="T825">
            <v>0.9</v>
          </cell>
          <cell r="U825">
            <v>0</v>
          </cell>
          <cell r="V825">
            <v>859555.14936888881</v>
          </cell>
          <cell r="W825">
            <v>859555.14936888881</v>
          </cell>
          <cell r="X825">
            <v>1719110.2987377776</v>
          </cell>
          <cell r="Y825">
            <v>0</v>
          </cell>
          <cell r="Z825">
            <v>773599.63443199999</v>
          </cell>
          <cell r="AA825">
            <v>773599.63443199999</v>
          </cell>
          <cell r="AB825">
            <v>1547199.268864</v>
          </cell>
          <cell r="AC825">
            <v>0</v>
          </cell>
          <cell r="AD825">
            <v>85955.514936888823</v>
          </cell>
          <cell r="AE825">
            <v>85955.514936888823</v>
          </cell>
          <cell r="AF825">
            <v>171911.02987377765</v>
          </cell>
          <cell r="AG825">
            <v>0</v>
          </cell>
          <cell r="AH825">
            <v>0</v>
          </cell>
        </row>
        <row r="826">
          <cell r="B826" t="str">
            <v>SNIES</v>
          </cell>
          <cell r="C826" t="str">
            <v>A1B</v>
          </cell>
          <cell r="D826" t="str">
            <v>A1BG</v>
          </cell>
          <cell r="E826" t="str">
            <v>ES/FARA</v>
          </cell>
          <cell r="F826" t="str">
            <v>SNIES</v>
          </cell>
          <cell r="G826">
            <v>22</v>
          </cell>
          <cell r="H826" t="str">
            <v>Travaux de construction collège</v>
          </cell>
          <cell r="I826" t="str">
            <v>SNIES</v>
          </cell>
          <cell r="K826" t="str">
            <v>FKDEA</v>
          </cell>
          <cell r="L826" t="str">
            <v>AON</v>
          </cell>
          <cell r="N826">
            <v>8</v>
          </cell>
          <cell r="O826">
            <v>8</v>
          </cell>
          <cell r="P826">
            <v>16</v>
          </cell>
          <cell r="Q826" t="str">
            <v>cl coll</v>
          </cell>
          <cell r="S826">
            <v>214888.7873422222</v>
          </cell>
          <cell r="T826">
            <v>0.9</v>
          </cell>
          <cell r="U826">
            <v>0</v>
          </cell>
          <cell r="V826">
            <v>1719110.2987377776</v>
          </cell>
          <cell r="W826">
            <v>1719110.2987377776</v>
          </cell>
          <cell r="X826">
            <v>3438220.5974755553</v>
          </cell>
          <cell r="Y826">
            <v>0</v>
          </cell>
          <cell r="Z826">
            <v>1547199.268864</v>
          </cell>
          <cell r="AA826">
            <v>1547199.268864</v>
          </cell>
          <cell r="AB826">
            <v>3094398.537728</v>
          </cell>
          <cell r="AC826">
            <v>0</v>
          </cell>
          <cell r="AD826">
            <v>171911.02987377765</v>
          </cell>
          <cell r="AE826">
            <v>171911.02987377765</v>
          </cell>
          <cell r="AF826">
            <v>343822.05974755529</v>
          </cell>
          <cell r="AG826">
            <v>0</v>
          </cell>
          <cell r="AH826">
            <v>0</v>
          </cell>
        </row>
        <row r="827">
          <cell r="B827" t="str">
            <v>SNIES</v>
          </cell>
          <cell r="C827" t="str">
            <v>A1B</v>
          </cell>
          <cell r="D827" t="str">
            <v>A1BG</v>
          </cell>
          <cell r="E827" t="str">
            <v>ES/KISS</v>
          </cell>
          <cell r="F827" t="str">
            <v>SNIES</v>
          </cell>
          <cell r="G827">
            <v>22</v>
          </cell>
          <cell r="H827" t="str">
            <v>Travaux de construction collège</v>
          </cell>
          <cell r="I827" t="str">
            <v>SNIES</v>
          </cell>
          <cell r="K827" t="str">
            <v>FKDEA</v>
          </cell>
          <cell r="L827" t="str">
            <v>AON</v>
          </cell>
          <cell r="N827">
            <v>2</v>
          </cell>
          <cell r="O827">
            <v>2</v>
          </cell>
          <cell r="P827">
            <v>4</v>
          </cell>
          <cell r="Q827" t="str">
            <v>cl coll</v>
          </cell>
          <cell r="S827">
            <v>214888.7873422222</v>
          </cell>
          <cell r="T827">
            <v>0.9</v>
          </cell>
          <cell r="U827">
            <v>0</v>
          </cell>
          <cell r="V827">
            <v>429777.57468444441</v>
          </cell>
          <cell r="W827">
            <v>429777.57468444441</v>
          </cell>
          <cell r="X827">
            <v>859555.14936888881</v>
          </cell>
          <cell r="Y827">
            <v>0</v>
          </cell>
          <cell r="Z827">
            <v>386799.817216</v>
          </cell>
          <cell r="AA827">
            <v>386799.817216</v>
          </cell>
          <cell r="AB827">
            <v>773599.63443199999</v>
          </cell>
          <cell r="AC827">
            <v>0</v>
          </cell>
          <cell r="AD827">
            <v>42977.757468444412</v>
          </cell>
          <cell r="AE827">
            <v>42977.757468444412</v>
          </cell>
          <cell r="AF827">
            <v>85955.514936888823</v>
          </cell>
          <cell r="AG827">
            <v>0</v>
          </cell>
          <cell r="AH827">
            <v>0</v>
          </cell>
        </row>
        <row r="828">
          <cell r="B828" t="str">
            <v>SNIES</v>
          </cell>
          <cell r="C828" t="str">
            <v>A1B</v>
          </cell>
          <cell r="D828" t="str">
            <v>A1BG</v>
          </cell>
          <cell r="E828" t="str">
            <v>ES/KANK</v>
          </cell>
          <cell r="F828" t="str">
            <v>SNIES</v>
          </cell>
          <cell r="G828">
            <v>22</v>
          </cell>
          <cell r="H828" t="str">
            <v>Travaux de construction collège</v>
          </cell>
          <cell r="I828" t="str">
            <v>SNIES</v>
          </cell>
          <cell r="K828" t="str">
            <v>FKDEA</v>
          </cell>
          <cell r="L828" t="str">
            <v>AON</v>
          </cell>
          <cell r="N828">
            <v>8</v>
          </cell>
          <cell r="O828">
            <v>8</v>
          </cell>
          <cell r="P828">
            <v>16</v>
          </cell>
          <cell r="Q828" t="str">
            <v>cl coll</v>
          </cell>
          <cell r="S828">
            <v>214888.7873422222</v>
          </cell>
          <cell r="T828">
            <v>0.9</v>
          </cell>
          <cell r="U828">
            <v>0</v>
          </cell>
          <cell r="V828">
            <v>1719110.2987377776</v>
          </cell>
          <cell r="W828">
            <v>1719110.2987377776</v>
          </cell>
          <cell r="X828">
            <v>3438220.5974755553</v>
          </cell>
          <cell r="Y828">
            <v>0</v>
          </cell>
          <cell r="Z828">
            <v>1547199.268864</v>
          </cell>
          <cell r="AA828">
            <v>1547199.268864</v>
          </cell>
          <cell r="AB828">
            <v>3094398.537728</v>
          </cell>
          <cell r="AC828">
            <v>0</v>
          </cell>
          <cell r="AD828">
            <v>171911.02987377765</v>
          </cell>
          <cell r="AE828">
            <v>171911.02987377765</v>
          </cell>
          <cell r="AF828">
            <v>343822.05974755529</v>
          </cell>
          <cell r="AG828">
            <v>0</v>
          </cell>
          <cell r="AH828">
            <v>0</v>
          </cell>
        </row>
        <row r="829">
          <cell r="B829" t="str">
            <v>SNIES</v>
          </cell>
          <cell r="C829" t="str">
            <v>A1B</v>
          </cell>
          <cell r="D829" t="str">
            <v>A1BG</v>
          </cell>
          <cell r="E829" t="str">
            <v>ES/KERO</v>
          </cell>
          <cell r="F829" t="str">
            <v>SNIES</v>
          </cell>
          <cell r="G829">
            <v>22</v>
          </cell>
          <cell r="H829" t="str">
            <v>Travaux de construction collège</v>
          </cell>
          <cell r="I829" t="str">
            <v>SNIES</v>
          </cell>
          <cell r="K829" t="str">
            <v>FKDEA</v>
          </cell>
          <cell r="L829" t="str">
            <v>AON</v>
          </cell>
          <cell r="N829">
            <v>4</v>
          </cell>
          <cell r="O829">
            <v>4</v>
          </cell>
          <cell r="P829">
            <v>8</v>
          </cell>
          <cell r="Q829" t="str">
            <v>cl coll</v>
          </cell>
          <cell r="S829">
            <v>214888.7873422222</v>
          </cell>
          <cell r="T829">
            <v>0.9</v>
          </cell>
          <cell r="U829">
            <v>0</v>
          </cell>
          <cell r="V829">
            <v>859555.14936888881</v>
          </cell>
          <cell r="W829">
            <v>859555.14936888881</v>
          </cell>
          <cell r="X829">
            <v>1719110.2987377776</v>
          </cell>
          <cell r="Y829">
            <v>0</v>
          </cell>
          <cell r="Z829">
            <v>773599.63443199999</v>
          </cell>
          <cell r="AA829">
            <v>773599.63443199999</v>
          </cell>
          <cell r="AB829">
            <v>1547199.268864</v>
          </cell>
          <cell r="AC829">
            <v>0</v>
          </cell>
          <cell r="AD829">
            <v>85955.514936888823</v>
          </cell>
          <cell r="AE829">
            <v>85955.514936888823</v>
          </cell>
          <cell r="AF829">
            <v>171911.02987377765</v>
          </cell>
          <cell r="AG829">
            <v>0</v>
          </cell>
          <cell r="AH829">
            <v>0</v>
          </cell>
        </row>
        <row r="830">
          <cell r="B830" t="str">
            <v>SNIES</v>
          </cell>
          <cell r="C830" t="str">
            <v>A1B</v>
          </cell>
          <cell r="D830" t="str">
            <v>A1BG</v>
          </cell>
          <cell r="E830" t="str">
            <v>ES/KOUR</v>
          </cell>
          <cell r="F830" t="str">
            <v>SNIES</v>
          </cell>
          <cell r="G830">
            <v>22</v>
          </cell>
          <cell r="H830" t="str">
            <v>Travaux de construction collège</v>
          </cell>
          <cell r="I830" t="str">
            <v>SNIES</v>
          </cell>
          <cell r="K830" t="str">
            <v>FKDEA</v>
          </cell>
          <cell r="L830" t="str">
            <v>AON</v>
          </cell>
          <cell r="N830">
            <v>2</v>
          </cell>
          <cell r="O830">
            <v>2</v>
          </cell>
          <cell r="P830">
            <v>4</v>
          </cell>
          <cell r="Q830" t="str">
            <v>cl coll</v>
          </cell>
          <cell r="S830">
            <v>214888.7873422222</v>
          </cell>
          <cell r="T830">
            <v>0.9</v>
          </cell>
          <cell r="U830">
            <v>0</v>
          </cell>
          <cell r="V830">
            <v>429777.57468444441</v>
          </cell>
          <cell r="W830">
            <v>429777.57468444441</v>
          </cell>
          <cell r="X830">
            <v>859555.14936888881</v>
          </cell>
          <cell r="Y830">
            <v>0</v>
          </cell>
          <cell r="Z830">
            <v>386799.817216</v>
          </cell>
          <cell r="AA830">
            <v>386799.817216</v>
          </cell>
          <cell r="AB830">
            <v>773599.63443199999</v>
          </cell>
          <cell r="AC830">
            <v>0</v>
          </cell>
          <cell r="AD830">
            <v>42977.757468444412</v>
          </cell>
          <cell r="AE830">
            <v>42977.757468444412</v>
          </cell>
          <cell r="AF830">
            <v>85955.514936888823</v>
          </cell>
          <cell r="AG830">
            <v>0</v>
          </cell>
          <cell r="AH830">
            <v>0</v>
          </cell>
        </row>
        <row r="831">
          <cell r="B831" t="str">
            <v>SNIES</v>
          </cell>
          <cell r="C831" t="str">
            <v>A1B</v>
          </cell>
          <cell r="D831" t="str">
            <v>A1BG</v>
          </cell>
          <cell r="E831" t="str">
            <v>ES/MAND</v>
          </cell>
          <cell r="F831" t="str">
            <v>SNIES</v>
          </cell>
          <cell r="G831">
            <v>22</v>
          </cell>
          <cell r="H831" t="str">
            <v>Travaux de construction collège</v>
          </cell>
          <cell r="I831" t="str">
            <v>SNIES</v>
          </cell>
          <cell r="K831" t="str">
            <v>FKDEA</v>
          </cell>
          <cell r="L831" t="str">
            <v>AON</v>
          </cell>
          <cell r="N831">
            <v>6</v>
          </cell>
          <cell r="O831">
            <v>6</v>
          </cell>
          <cell r="P831">
            <v>12</v>
          </cell>
          <cell r="Q831" t="str">
            <v>cl coll</v>
          </cell>
          <cell r="S831">
            <v>214888.7873422222</v>
          </cell>
          <cell r="T831">
            <v>0.9</v>
          </cell>
          <cell r="U831">
            <v>0</v>
          </cell>
          <cell r="V831">
            <v>1289332.7240533333</v>
          </cell>
          <cell r="W831">
            <v>1289332.7240533333</v>
          </cell>
          <cell r="X831">
            <v>2578665.4481066666</v>
          </cell>
          <cell r="Y831">
            <v>0</v>
          </cell>
          <cell r="Z831">
            <v>1160399.4516479999</v>
          </cell>
          <cell r="AA831">
            <v>1160399.4516479999</v>
          </cell>
          <cell r="AB831">
            <v>2320798.9032959999</v>
          </cell>
          <cell r="AC831">
            <v>0</v>
          </cell>
          <cell r="AD831">
            <v>128933.27240533335</v>
          </cell>
          <cell r="AE831">
            <v>128933.27240533335</v>
          </cell>
          <cell r="AF831">
            <v>257866.5448106667</v>
          </cell>
          <cell r="AG831">
            <v>0</v>
          </cell>
          <cell r="AH831">
            <v>0</v>
          </cell>
        </row>
        <row r="832">
          <cell r="B832" t="str">
            <v>SNIES</v>
          </cell>
          <cell r="C832" t="str">
            <v>A1B</v>
          </cell>
          <cell r="D832" t="str">
            <v>A1BG</v>
          </cell>
          <cell r="E832" t="str">
            <v>ES/SIGU</v>
          </cell>
          <cell r="F832" t="str">
            <v>SNIES</v>
          </cell>
          <cell r="G832">
            <v>22</v>
          </cell>
          <cell r="H832" t="str">
            <v>Travaux de construction collège</v>
          </cell>
          <cell r="I832" t="str">
            <v>SNIES</v>
          </cell>
          <cell r="K832" t="str">
            <v>FKDEA</v>
          </cell>
          <cell r="L832" t="str">
            <v>AON</v>
          </cell>
          <cell r="N832">
            <v>4</v>
          </cell>
          <cell r="O832">
            <v>4</v>
          </cell>
          <cell r="P832">
            <v>8</v>
          </cell>
          <cell r="Q832" t="str">
            <v>cl coll</v>
          </cell>
          <cell r="S832">
            <v>214888.7873422222</v>
          </cell>
          <cell r="T832">
            <v>0.9</v>
          </cell>
          <cell r="U832">
            <v>0</v>
          </cell>
          <cell r="V832">
            <v>859555.14936888881</v>
          </cell>
          <cell r="W832">
            <v>859555.14936888881</v>
          </cell>
          <cell r="X832">
            <v>1719110.2987377776</v>
          </cell>
          <cell r="Y832">
            <v>0</v>
          </cell>
          <cell r="Z832">
            <v>773599.63443199999</v>
          </cell>
          <cell r="AA832">
            <v>773599.63443199999</v>
          </cell>
          <cell r="AB832">
            <v>1547199.268864</v>
          </cell>
          <cell r="AC832">
            <v>0</v>
          </cell>
          <cell r="AD832">
            <v>85955.514936888823</v>
          </cell>
          <cell r="AE832">
            <v>85955.514936888823</v>
          </cell>
          <cell r="AF832">
            <v>171911.02987377765</v>
          </cell>
          <cell r="AG832">
            <v>0</v>
          </cell>
          <cell r="AH832">
            <v>0</v>
          </cell>
        </row>
        <row r="833">
          <cell r="B833" t="str">
            <v>SNIES</v>
          </cell>
          <cell r="C833" t="str">
            <v>A1B</v>
          </cell>
          <cell r="D833" t="str">
            <v>A1BG</v>
          </cell>
          <cell r="E833" t="str">
            <v>ES/TELI</v>
          </cell>
          <cell r="F833" t="str">
            <v>SNIES</v>
          </cell>
          <cell r="G833">
            <v>22</v>
          </cell>
          <cell r="H833" t="str">
            <v>Travaux de construction collège</v>
          </cell>
          <cell r="I833" t="str">
            <v>SNIES</v>
          </cell>
          <cell r="K833" t="str">
            <v>FKDEA</v>
          </cell>
          <cell r="L833" t="str">
            <v>AON</v>
          </cell>
          <cell r="N833">
            <v>6</v>
          </cell>
          <cell r="O833">
            <v>6</v>
          </cell>
          <cell r="P833">
            <v>12</v>
          </cell>
          <cell r="Q833" t="str">
            <v>cl coll</v>
          </cell>
          <cell r="S833">
            <v>214888.7873422222</v>
          </cell>
          <cell r="T833">
            <v>0.9</v>
          </cell>
          <cell r="U833">
            <v>0</v>
          </cell>
          <cell r="V833">
            <v>1289332.7240533333</v>
          </cell>
          <cell r="W833">
            <v>1289332.7240533333</v>
          </cell>
          <cell r="X833">
            <v>2578665.4481066666</v>
          </cell>
          <cell r="Y833">
            <v>0</v>
          </cell>
          <cell r="Z833">
            <v>1160399.4516479999</v>
          </cell>
          <cell r="AA833">
            <v>1160399.4516479999</v>
          </cell>
          <cell r="AB833">
            <v>2320798.9032959999</v>
          </cell>
          <cell r="AC833">
            <v>0</v>
          </cell>
          <cell r="AD833">
            <v>128933.27240533335</v>
          </cell>
          <cell r="AE833">
            <v>128933.27240533335</v>
          </cell>
          <cell r="AF833">
            <v>257866.5448106667</v>
          </cell>
          <cell r="AG833">
            <v>0</v>
          </cell>
          <cell r="AH833">
            <v>0</v>
          </cell>
        </row>
        <row r="834">
          <cell r="B834" t="str">
            <v>SNIES</v>
          </cell>
          <cell r="C834" t="str">
            <v>A1B</v>
          </cell>
          <cell r="D834" t="str">
            <v>A1BG</v>
          </cell>
          <cell r="E834" t="str">
            <v>ES/KOUB</v>
          </cell>
          <cell r="F834" t="str">
            <v>SNIES</v>
          </cell>
          <cell r="G834">
            <v>22</v>
          </cell>
          <cell r="H834" t="str">
            <v>Travaux de construction collège</v>
          </cell>
          <cell r="I834" t="str">
            <v>SNIES</v>
          </cell>
          <cell r="K834" t="str">
            <v>FKDEA</v>
          </cell>
          <cell r="L834" t="str">
            <v>AON</v>
          </cell>
          <cell r="N834">
            <v>2</v>
          </cell>
          <cell r="O834">
            <v>2</v>
          </cell>
          <cell r="P834">
            <v>4</v>
          </cell>
          <cell r="Q834" t="str">
            <v>cl coll</v>
          </cell>
          <cell r="S834">
            <v>214888.7873422222</v>
          </cell>
          <cell r="T834">
            <v>0.9</v>
          </cell>
          <cell r="U834">
            <v>0</v>
          </cell>
          <cell r="V834">
            <v>429777.57468444441</v>
          </cell>
          <cell r="W834">
            <v>429777.57468444441</v>
          </cell>
          <cell r="X834">
            <v>859555.14936888881</v>
          </cell>
          <cell r="Y834">
            <v>0</v>
          </cell>
          <cell r="Z834">
            <v>386799.817216</v>
          </cell>
          <cell r="AA834">
            <v>386799.817216</v>
          </cell>
          <cell r="AB834">
            <v>773599.63443199999</v>
          </cell>
          <cell r="AC834">
            <v>0</v>
          </cell>
          <cell r="AD834">
            <v>42977.757468444412</v>
          </cell>
          <cell r="AE834">
            <v>42977.757468444412</v>
          </cell>
          <cell r="AF834">
            <v>85955.514936888823</v>
          </cell>
          <cell r="AG834">
            <v>0</v>
          </cell>
          <cell r="AH834">
            <v>0</v>
          </cell>
        </row>
        <row r="835">
          <cell r="B835" t="str">
            <v>SNIES</v>
          </cell>
          <cell r="C835" t="str">
            <v>A1B</v>
          </cell>
          <cell r="D835" t="str">
            <v>A1BG</v>
          </cell>
          <cell r="E835" t="str">
            <v>ES/LELO</v>
          </cell>
          <cell r="F835" t="str">
            <v>SNIES</v>
          </cell>
          <cell r="G835">
            <v>22</v>
          </cell>
          <cell r="H835" t="str">
            <v>Travaux de construction collège</v>
          </cell>
          <cell r="I835" t="str">
            <v>SNIES</v>
          </cell>
          <cell r="K835" t="str">
            <v>FKDEA</v>
          </cell>
          <cell r="L835" t="str">
            <v>AON</v>
          </cell>
          <cell r="N835">
            <v>6</v>
          </cell>
          <cell r="O835">
            <v>6</v>
          </cell>
          <cell r="P835">
            <v>12</v>
          </cell>
          <cell r="Q835" t="str">
            <v>cl coll</v>
          </cell>
          <cell r="S835">
            <v>214888.7873422222</v>
          </cell>
          <cell r="T835">
            <v>0.9</v>
          </cell>
          <cell r="U835">
            <v>0</v>
          </cell>
          <cell r="V835">
            <v>1289332.7240533333</v>
          </cell>
          <cell r="W835">
            <v>1289332.7240533333</v>
          </cell>
          <cell r="X835">
            <v>2578665.4481066666</v>
          </cell>
          <cell r="Y835">
            <v>0</v>
          </cell>
          <cell r="Z835">
            <v>1160399.4516479999</v>
          </cell>
          <cell r="AA835">
            <v>1160399.4516479999</v>
          </cell>
          <cell r="AB835">
            <v>2320798.9032959999</v>
          </cell>
          <cell r="AC835">
            <v>0</v>
          </cell>
          <cell r="AD835">
            <v>128933.27240533335</v>
          </cell>
          <cell r="AE835">
            <v>128933.27240533335</v>
          </cell>
          <cell r="AF835">
            <v>257866.5448106667</v>
          </cell>
          <cell r="AG835">
            <v>0</v>
          </cell>
          <cell r="AH835">
            <v>0</v>
          </cell>
        </row>
        <row r="836">
          <cell r="B836" t="str">
            <v>SNIES</v>
          </cell>
          <cell r="C836" t="str">
            <v>A1B</v>
          </cell>
          <cell r="D836" t="str">
            <v>A1BG</v>
          </cell>
          <cell r="E836" t="str">
            <v>ES/MALI</v>
          </cell>
          <cell r="F836" t="str">
            <v>SNIES</v>
          </cell>
          <cell r="G836">
            <v>22</v>
          </cell>
          <cell r="H836" t="str">
            <v>Travaux de construction collège</v>
          </cell>
          <cell r="I836" t="str">
            <v>SNIES</v>
          </cell>
          <cell r="K836" t="str">
            <v>FKDEA</v>
          </cell>
          <cell r="L836" t="str">
            <v>AON</v>
          </cell>
          <cell r="N836">
            <v>6</v>
          </cell>
          <cell r="O836">
            <v>6</v>
          </cell>
          <cell r="P836">
            <v>12</v>
          </cell>
          <cell r="Q836" t="str">
            <v>cl coll</v>
          </cell>
          <cell r="S836">
            <v>214888.7873422222</v>
          </cell>
          <cell r="T836">
            <v>0.9</v>
          </cell>
          <cell r="U836">
            <v>0</v>
          </cell>
          <cell r="V836">
            <v>1289332.7240533333</v>
          </cell>
          <cell r="W836">
            <v>1289332.7240533333</v>
          </cell>
          <cell r="X836">
            <v>2578665.4481066666</v>
          </cell>
          <cell r="Y836">
            <v>0</v>
          </cell>
          <cell r="Z836">
            <v>1160399.4516479999</v>
          </cell>
          <cell r="AA836">
            <v>1160399.4516479999</v>
          </cell>
          <cell r="AB836">
            <v>2320798.9032959999</v>
          </cell>
          <cell r="AC836">
            <v>0</v>
          </cell>
          <cell r="AD836">
            <v>128933.27240533335</v>
          </cell>
          <cell r="AE836">
            <v>128933.27240533335</v>
          </cell>
          <cell r="AF836">
            <v>257866.5448106667</v>
          </cell>
          <cell r="AG836">
            <v>0</v>
          </cell>
          <cell r="AH836">
            <v>0</v>
          </cell>
        </row>
        <row r="837">
          <cell r="B837" t="str">
            <v>SNIES</v>
          </cell>
          <cell r="C837" t="str">
            <v>A1B</v>
          </cell>
          <cell r="D837" t="str">
            <v>A1BG</v>
          </cell>
          <cell r="E837" t="str">
            <v>ES/TOUG</v>
          </cell>
          <cell r="F837" t="str">
            <v>SNIES</v>
          </cell>
          <cell r="G837">
            <v>22</v>
          </cell>
          <cell r="H837" t="str">
            <v>Travaux de construction collège</v>
          </cell>
          <cell r="I837" t="str">
            <v>SNIES</v>
          </cell>
          <cell r="K837" t="str">
            <v>FKDEA</v>
          </cell>
          <cell r="L837" t="str">
            <v>AON</v>
          </cell>
          <cell r="N837">
            <v>4</v>
          </cell>
          <cell r="O837">
            <v>4</v>
          </cell>
          <cell r="P837">
            <v>8</v>
          </cell>
          <cell r="Q837" t="str">
            <v>cl coll</v>
          </cell>
          <cell r="S837">
            <v>214888.7873422222</v>
          </cell>
          <cell r="T837">
            <v>0.9</v>
          </cell>
          <cell r="U837">
            <v>0</v>
          </cell>
          <cell r="V837">
            <v>859555.14936888881</v>
          </cell>
          <cell r="W837">
            <v>859555.14936888881</v>
          </cell>
          <cell r="X837">
            <v>1719110.2987377776</v>
          </cell>
          <cell r="Y837">
            <v>0</v>
          </cell>
          <cell r="Z837">
            <v>773599.63443199999</v>
          </cell>
          <cell r="AA837">
            <v>773599.63443199999</v>
          </cell>
          <cell r="AB837">
            <v>1547199.268864</v>
          </cell>
          <cell r="AC837">
            <v>0</v>
          </cell>
          <cell r="AD837">
            <v>85955.514936888823</v>
          </cell>
          <cell r="AE837">
            <v>85955.514936888823</v>
          </cell>
          <cell r="AF837">
            <v>171911.02987377765</v>
          </cell>
          <cell r="AG837">
            <v>0</v>
          </cell>
          <cell r="AH837">
            <v>0</v>
          </cell>
        </row>
        <row r="838">
          <cell r="B838" t="str">
            <v>SNIES</v>
          </cell>
          <cell r="C838" t="str">
            <v>A1B</v>
          </cell>
          <cell r="D838" t="str">
            <v>A1BG</v>
          </cell>
          <cell r="E838" t="str">
            <v>ES/DALA</v>
          </cell>
          <cell r="F838" t="str">
            <v>SNIES</v>
          </cell>
          <cell r="G838">
            <v>22</v>
          </cell>
          <cell r="H838" t="str">
            <v>Travaux de construction collège</v>
          </cell>
          <cell r="I838" t="str">
            <v>SNIES</v>
          </cell>
          <cell r="K838" t="str">
            <v>FKDEA</v>
          </cell>
          <cell r="L838" t="str">
            <v>AON</v>
          </cell>
          <cell r="N838">
            <v>4</v>
          </cell>
          <cell r="O838">
            <v>4</v>
          </cell>
          <cell r="P838">
            <v>8</v>
          </cell>
          <cell r="Q838" t="str">
            <v>cl coll</v>
          </cell>
          <cell r="S838">
            <v>214888.7873422222</v>
          </cell>
          <cell r="T838">
            <v>0.9</v>
          </cell>
          <cell r="U838">
            <v>0</v>
          </cell>
          <cell r="V838">
            <v>859555.14936888881</v>
          </cell>
          <cell r="W838">
            <v>859555.14936888881</v>
          </cell>
          <cell r="X838">
            <v>1719110.2987377776</v>
          </cell>
          <cell r="Y838">
            <v>0</v>
          </cell>
          <cell r="Z838">
            <v>773599.63443199999</v>
          </cell>
          <cell r="AA838">
            <v>773599.63443199999</v>
          </cell>
          <cell r="AB838">
            <v>1547199.268864</v>
          </cell>
          <cell r="AC838">
            <v>0</v>
          </cell>
          <cell r="AD838">
            <v>85955.514936888823</v>
          </cell>
          <cell r="AE838">
            <v>85955.514936888823</v>
          </cell>
          <cell r="AF838">
            <v>171911.02987377765</v>
          </cell>
          <cell r="AG838">
            <v>0</v>
          </cell>
          <cell r="AH838">
            <v>0</v>
          </cell>
        </row>
        <row r="839">
          <cell r="B839" t="str">
            <v>SNIES</v>
          </cell>
          <cell r="C839" t="str">
            <v>A1B</v>
          </cell>
          <cell r="D839" t="str">
            <v>A1BG</v>
          </cell>
          <cell r="E839" t="str">
            <v>ES/MAMO</v>
          </cell>
          <cell r="F839" t="str">
            <v>SNIES</v>
          </cell>
          <cell r="G839">
            <v>22</v>
          </cell>
          <cell r="H839" t="str">
            <v>Travaux de construction collège</v>
          </cell>
          <cell r="I839" t="str">
            <v>SNIES</v>
          </cell>
          <cell r="K839" t="str">
            <v>FKDEA</v>
          </cell>
          <cell r="L839" t="str">
            <v>AON</v>
          </cell>
          <cell r="N839">
            <v>2</v>
          </cell>
          <cell r="O839">
            <v>2</v>
          </cell>
          <cell r="P839">
            <v>4</v>
          </cell>
          <cell r="Q839" t="str">
            <v>cl coll</v>
          </cell>
          <cell r="S839">
            <v>214888.7873422222</v>
          </cell>
          <cell r="T839">
            <v>0.9</v>
          </cell>
          <cell r="U839">
            <v>0</v>
          </cell>
          <cell r="V839">
            <v>429777.57468444441</v>
          </cell>
          <cell r="W839">
            <v>429777.57468444441</v>
          </cell>
          <cell r="X839">
            <v>859555.14936888881</v>
          </cell>
          <cell r="Y839">
            <v>0</v>
          </cell>
          <cell r="Z839">
            <v>386799.817216</v>
          </cell>
          <cell r="AA839">
            <v>386799.817216</v>
          </cell>
          <cell r="AB839">
            <v>773599.63443199999</v>
          </cell>
          <cell r="AC839">
            <v>0</v>
          </cell>
          <cell r="AD839">
            <v>42977.757468444412</v>
          </cell>
          <cell r="AE839">
            <v>42977.757468444412</v>
          </cell>
          <cell r="AF839">
            <v>85955.514936888823</v>
          </cell>
          <cell r="AG839">
            <v>0</v>
          </cell>
          <cell r="AH839">
            <v>0</v>
          </cell>
        </row>
        <row r="840">
          <cell r="B840" t="str">
            <v>SNIES</v>
          </cell>
          <cell r="C840" t="str">
            <v>A1B</v>
          </cell>
          <cell r="D840" t="str">
            <v>A1BG</v>
          </cell>
          <cell r="E840" t="str">
            <v>ES/PITA</v>
          </cell>
          <cell r="F840" t="str">
            <v>SNIES</v>
          </cell>
          <cell r="G840">
            <v>22</v>
          </cell>
          <cell r="H840" t="str">
            <v>Travaux de construction collège</v>
          </cell>
          <cell r="I840" t="str">
            <v>SNIES</v>
          </cell>
          <cell r="K840" t="str">
            <v>FKDEA</v>
          </cell>
          <cell r="L840" t="str">
            <v>AON</v>
          </cell>
          <cell r="N840">
            <v>2</v>
          </cell>
          <cell r="O840">
            <v>2</v>
          </cell>
          <cell r="P840">
            <v>4</v>
          </cell>
          <cell r="Q840" t="str">
            <v>cl coll</v>
          </cell>
          <cell r="S840">
            <v>214888.7873422222</v>
          </cell>
          <cell r="T840">
            <v>0.9</v>
          </cell>
          <cell r="U840">
            <v>0</v>
          </cell>
          <cell r="V840">
            <v>429777.57468444441</v>
          </cell>
          <cell r="W840">
            <v>429777.57468444441</v>
          </cell>
          <cell r="X840">
            <v>859555.14936888881</v>
          </cell>
          <cell r="Y840">
            <v>0</v>
          </cell>
          <cell r="Z840">
            <v>386799.817216</v>
          </cell>
          <cell r="AA840">
            <v>386799.817216</v>
          </cell>
          <cell r="AB840">
            <v>773599.63443199999</v>
          </cell>
          <cell r="AC840">
            <v>0</v>
          </cell>
          <cell r="AD840">
            <v>42977.757468444412</v>
          </cell>
          <cell r="AE840">
            <v>42977.757468444412</v>
          </cell>
          <cell r="AF840">
            <v>85955.514936888823</v>
          </cell>
          <cell r="AG840">
            <v>0</v>
          </cell>
          <cell r="AH840">
            <v>0</v>
          </cell>
        </row>
        <row r="841">
          <cell r="B841" t="str">
            <v>SNIES</v>
          </cell>
          <cell r="C841" t="str">
            <v>A1B</v>
          </cell>
          <cell r="D841" t="str">
            <v>A1BG</v>
          </cell>
          <cell r="E841" t="str">
            <v>ES/BEYL</v>
          </cell>
          <cell r="F841" t="str">
            <v>SNIES</v>
          </cell>
          <cell r="G841">
            <v>22</v>
          </cell>
          <cell r="H841" t="str">
            <v>Travaux de construction collège</v>
          </cell>
          <cell r="I841" t="str">
            <v>SNIES</v>
          </cell>
          <cell r="K841" t="str">
            <v>FKDEA</v>
          </cell>
          <cell r="L841" t="str">
            <v>AON</v>
          </cell>
          <cell r="N841">
            <v>4</v>
          </cell>
          <cell r="O841">
            <v>4</v>
          </cell>
          <cell r="P841">
            <v>8</v>
          </cell>
          <cell r="Q841" t="str">
            <v>cl coll</v>
          </cell>
          <cell r="S841">
            <v>214888.7873422222</v>
          </cell>
          <cell r="T841">
            <v>0.9</v>
          </cell>
          <cell r="U841">
            <v>0</v>
          </cell>
          <cell r="V841">
            <v>859555.14936888881</v>
          </cell>
          <cell r="W841">
            <v>859555.14936888881</v>
          </cell>
          <cell r="X841">
            <v>1719110.2987377776</v>
          </cell>
          <cell r="Y841">
            <v>0</v>
          </cell>
          <cell r="Z841">
            <v>773599.63443199999</v>
          </cell>
          <cell r="AA841">
            <v>773599.63443199999</v>
          </cell>
          <cell r="AB841">
            <v>1547199.268864</v>
          </cell>
          <cell r="AC841">
            <v>0</v>
          </cell>
          <cell r="AD841">
            <v>85955.514936888823</v>
          </cell>
          <cell r="AE841">
            <v>85955.514936888823</v>
          </cell>
          <cell r="AF841">
            <v>171911.02987377765</v>
          </cell>
          <cell r="AG841">
            <v>0</v>
          </cell>
          <cell r="AH841">
            <v>0</v>
          </cell>
        </row>
        <row r="842">
          <cell r="B842" t="str">
            <v>SNIES</v>
          </cell>
          <cell r="C842" t="str">
            <v>A1B</v>
          </cell>
          <cell r="D842" t="str">
            <v>A1BG</v>
          </cell>
          <cell r="E842" t="str">
            <v>ES/MACE</v>
          </cell>
          <cell r="F842" t="str">
            <v>SNIES</v>
          </cell>
          <cell r="G842">
            <v>22</v>
          </cell>
          <cell r="H842" t="str">
            <v>Travaux de construction collège</v>
          </cell>
          <cell r="I842" t="str">
            <v>SNIES</v>
          </cell>
          <cell r="K842" t="str">
            <v>FKDEA</v>
          </cell>
          <cell r="L842" t="str">
            <v>AON</v>
          </cell>
          <cell r="N842">
            <v>4</v>
          </cell>
          <cell r="O842">
            <v>4</v>
          </cell>
          <cell r="P842">
            <v>8</v>
          </cell>
          <cell r="Q842" t="str">
            <v>cl coll</v>
          </cell>
          <cell r="S842">
            <v>214888.7873422222</v>
          </cell>
          <cell r="T842">
            <v>0.9</v>
          </cell>
          <cell r="U842">
            <v>0</v>
          </cell>
          <cell r="V842">
            <v>859555.14936888881</v>
          </cell>
          <cell r="W842">
            <v>859555.14936888881</v>
          </cell>
          <cell r="X842">
            <v>1719110.2987377776</v>
          </cell>
          <cell r="Y842">
            <v>0</v>
          </cell>
          <cell r="Z842">
            <v>773599.63443199999</v>
          </cell>
          <cell r="AA842">
            <v>773599.63443199999</v>
          </cell>
          <cell r="AB842">
            <v>1547199.268864</v>
          </cell>
          <cell r="AC842">
            <v>0</v>
          </cell>
          <cell r="AD842">
            <v>85955.514936888823</v>
          </cell>
          <cell r="AE842">
            <v>85955.514936888823</v>
          </cell>
          <cell r="AF842">
            <v>171911.02987377765</v>
          </cell>
          <cell r="AG842">
            <v>0</v>
          </cell>
          <cell r="AH842">
            <v>0</v>
          </cell>
        </row>
        <row r="843">
          <cell r="B843" t="str">
            <v>SNIES</v>
          </cell>
          <cell r="C843" t="str">
            <v>A1B</v>
          </cell>
          <cell r="D843" t="str">
            <v>A1BG</v>
          </cell>
          <cell r="E843" t="str">
            <v>ES/BEYL</v>
          </cell>
          <cell r="F843" t="str">
            <v>SNIES</v>
          </cell>
          <cell r="G843">
            <v>23</v>
          </cell>
          <cell r="H843" t="str">
            <v>Fournitures installation, mobilier et équipements scolaires</v>
          </cell>
          <cell r="I843" t="str">
            <v>SNIES</v>
          </cell>
          <cell r="K843" t="str">
            <v>FKDEA</v>
          </cell>
          <cell r="L843" t="str">
            <v>AON</v>
          </cell>
          <cell r="O843">
            <v>2</v>
          </cell>
          <cell r="P843">
            <v>2</v>
          </cell>
          <cell r="Q843" t="str">
            <v>lot</v>
          </cell>
          <cell r="S843">
            <v>369684.78105599998</v>
          </cell>
          <cell r="T843">
            <v>1</v>
          </cell>
          <cell r="U843">
            <v>0</v>
          </cell>
          <cell r="V843">
            <v>0</v>
          </cell>
          <cell r="W843">
            <v>739369.56211199996</v>
          </cell>
          <cell r="X843">
            <v>739369.56211199996</v>
          </cell>
          <cell r="Y843">
            <v>0</v>
          </cell>
          <cell r="Z843">
            <v>0</v>
          </cell>
          <cell r="AA843">
            <v>739369.56211199996</v>
          </cell>
          <cell r="AB843">
            <v>739369.56211199996</v>
          </cell>
          <cell r="AC843">
            <v>0</v>
          </cell>
          <cell r="AD843">
            <v>0</v>
          </cell>
          <cell r="AE843">
            <v>0</v>
          </cell>
          <cell r="AF843">
            <v>0</v>
          </cell>
          <cell r="AG843">
            <v>0</v>
          </cell>
          <cell r="AH843">
            <v>0</v>
          </cell>
        </row>
        <row r="844">
          <cell r="B844" t="str">
            <v>SNIES</v>
          </cell>
          <cell r="C844" t="str">
            <v>A1B</v>
          </cell>
          <cell r="D844" t="str">
            <v>A1BG</v>
          </cell>
          <cell r="E844" t="str">
            <v>ES/BOFF</v>
          </cell>
          <cell r="F844" t="str">
            <v>SNIES</v>
          </cell>
          <cell r="G844">
            <v>23</v>
          </cell>
          <cell r="H844" t="str">
            <v>Fournitures installation, mobilier et équipements scolaires</v>
          </cell>
          <cell r="I844" t="str">
            <v>SNIES</v>
          </cell>
          <cell r="K844" t="str">
            <v>FKDEA</v>
          </cell>
          <cell r="L844" t="str">
            <v>AON</v>
          </cell>
          <cell r="O844">
            <v>2</v>
          </cell>
          <cell r="P844">
            <v>2</v>
          </cell>
          <cell r="Q844" t="str">
            <v>lot</v>
          </cell>
          <cell r="S844">
            <v>369684.78105599998</v>
          </cell>
          <cell r="T844">
            <v>1</v>
          </cell>
          <cell r="U844">
            <v>0</v>
          </cell>
          <cell r="V844">
            <v>0</v>
          </cell>
          <cell r="W844">
            <v>739369.56211199996</v>
          </cell>
          <cell r="X844">
            <v>739369.56211199996</v>
          </cell>
          <cell r="Y844">
            <v>0</v>
          </cell>
          <cell r="Z844">
            <v>0</v>
          </cell>
          <cell r="AA844">
            <v>739369.56211199996</v>
          </cell>
          <cell r="AB844">
            <v>739369.56211199996</v>
          </cell>
          <cell r="AC844">
            <v>0</v>
          </cell>
          <cell r="AD844">
            <v>0</v>
          </cell>
          <cell r="AE844">
            <v>0</v>
          </cell>
          <cell r="AF844">
            <v>0</v>
          </cell>
          <cell r="AG844">
            <v>0</v>
          </cell>
          <cell r="AH844">
            <v>0</v>
          </cell>
        </row>
        <row r="845">
          <cell r="B845" t="str">
            <v>SNIES</v>
          </cell>
          <cell r="C845" t="str">
            <v>A1B</v>
          </cell>
          <cell r="D845" t="str">
            <v>A1BG</v>
          </cell>
          <cell r="E845" t="str">
            <v>ES/BOKE</v>
          </cell>
          <cell r="F845" t="str">
            <v>SNIES</v>
          </cell>
          <cell r="G845">
            <v>23</v>
          </cell>
          <cell r="H845" t="str">
            <v>Fournitures installation, mobilier et équipements scolaires</v>
          </cell>
          <cell r="I845" t="str">
            <v>SNIES</v>
          </cell>
          <cell r="K845" t="str">
            <v>FKDEA</v>
          </cell>
          <cell r="L845" t="str">
            <v>AON</v>
          </cell>
          <cell r="O845">
            <v>2</v>
          </cell>
          <cell r="P845">
            <v>2</v>
          </cell>
          <cell r="Q845" t="str">
            <v>lot</v>
          </cell>
          <cell r="S845">
            <v>369684.78105599998</v>
          </cell>
          <cell r="T845">
            <v>1</v>
          </cell>
          <cell r="U845">
            <v>0</v>
          </cell>
          <cell r="V845">
            <v>0</v>
          </cell>
          <cell r="W845">
            <v>739369.56211199996</v>
          </cell>
          <cell r="X845">
            <v>739369.56211199996</v>
          </cell>
          <cell r="Y845">
            <v>0</v>
          </cell>
          <cell r="Z845">
            <v>0</v>
          </cell>
          <cell r="AA845">
            <v>739369.56211199996</v>
          </cell>
          <cell r="AB845">
            <v>739369.56211199996</v>
          </cell>
          <cell r="AC845">
            <v>0</v>
          </cell>
          <cell r="AD845">
            <v>0</v>
          </cell>
          <cell r="AE845">
            <v>0</v>
          </cell>
          <cell r="AF845">
            <v>0</v>
          </cell>
          <cell r="AG845">
            <v>0</v>
          </cell>
          <cell r="AH845">
            <v>0</v>
          </cell>
        </row>
        <row r="846">
          <cell r="B846" t="str">
            <v>SNIES</v>
          </cell>
          <cell r="C846" t="str">
            <v>A1B</v>
          </cell>
          <cell r="D846" t="str">
            <v>A1BG</v>
          </cell>
          <cell r="E846" t="str">
            <v>ES/COYA</v>
          </cell>
          <cell r="F846" t="str">
            <v>SNIES</v>
          </cell>
          <cell r="G846">
            <v>23</v>
          </cell>
          <cell r="H846" t="str">
            <v>Fournitures installation, mobilier et équipements scolaires</v>
          </cell>
          <cell r="I846" t="str">
            <v>SNIES</v>
          </cell>
          <cell r="K846" t="str">
            <v>FKDEA</v>
          </cell>
          <cell r="L846" t="str">
            <v>AON</v>
          </cell>
          <cell r="O846">
            <v>1</v>
          </cell>
          <cell r="P846">
            <v>1</v>
          </cell>
          <cell r="Q846" t="str">
            <v>lot</v>
          </cell>
          <cell r="S846">
            <v>369684.78105599998</v>
          </cell>
          <cell r="T846">
            <v>1</v>
          </cell>
          <cell r="U846">
            <v>0</v>
          </cell>
          <cell r="V846">
            <v>0</v>
          </cell>
          <cell r="W846">
            <v>369684.78105599998</v>
          </cell>
          <cell r="X846">
            <v>369684.78105599998</v>
          </cell>
          <cell r="Y846">
            <v>0</v>
          </cell>
          <cell r="Z846">
            <v>0</v>
          </cell>
          <cell r="AA846">
            <v>369684.78105599998</v>
          </cell>
          <cell r="AB846">
            <v>369684.78105599998</v>
          </cell>
          <cell r="AC846">
            <v>0</v>
          </cell>
          <cell r="AD846">
            <v>0</v>
          </cell>
          <cell r="AE846">
            <v>0</v>
          </cell>
          <cell r="AF846">
            <v>0</v>
          </cell>
          <cell r="AG846">
            <v>0</v>
          </cell>
          <cell r="AH846">
            <v>0</v>
          </cell>
        </row>
        <row r="847">
          <cell r="B847" t="str">
            <v>SNIES</v>
          </cell>
          <cell r="C847" t="str">
            <v>A1B</v>
          </cell>
          <cell r="D847" t="str">
            <v>A1BG</v>
          </cell>
          <cell r="E847" t="str">
            <v>ES/DABO</v>
          </cell>
          <cell r="F847" t="str">
            <v>SNIES</v>
          </cell>
          <cell r="G847">
            <v>23</v>
          </cell>
          <cell r="H847" t="str">
            <v>Fournitures installation, mobilier et équipements scolaires</v>
          </cell>
          <cell r="I847" t="str">
            <v>SNIES</v>
          </cell>
          <cell r="K847" t="str">
            <v>FKDEA</v>
          </cell>
          <cell r="L847" t="str">
            <v>AON</v>
          </cell>
          <cell r="O847">
            <v>2</v>
          </cell>
          <cell r="P847">
            <v>2</v>
          </cell>
          <cell r="Q847" t="str">
            <v>lot</v>
          </cell>
          <cell r="S847">
            <v>369684.78105599998</v>
          </cell>
          <cell r="T847">
            <v>1</v>
          </cell>
          <cell r="U847">
            <v>0</v>
          </cell>
          <cell r="V847">
            <v>0</v>
          </cell>
          <cell r="W847">
            <v>739369.56211199996</v>
          </cell>
          <cell r="X847">
            <v>739369.56211199996</v>
          </cell>
          <cell r="Y847">
            <v>0</v>
          </cell>
          <cell r="Z847">
            <v>0</v>
          </cell>
          <cell r="AA847">
            <v>739369.56211199996</v>
          </cell>
          <cell r="AB847">
            <v>739369.56211199996</v>
          </cell>
          <cell r="AC847">
            <v>0</v>
          </cell>
          <cell r="AD847">
            <v>0</v>
          </cell>
          <cell r="AE847">
            <v>0</v>
          </cell>
          <cell r="AF847">
            <v>0</v>
          </cell>
          <cell r="AG847">
            <v>0</v>
          </cell>
          <cell r="AH847">
            <v>0</v>
          </cell>
        </row>
        <row r="848">
          <cell r="B848" t="str">
            <v>SNIES</v>
          </cell>
          <cell r="C848" t="str">
            <v>A1B</v>
          </cell>
          <cell r="D848" t="str">
            <v>A1BG</v>
          </cell>
          <cell r="E848" t="str">
            <v>ES/DALA</v>
          </cell>
          <cell r="F848" t="str">
            <v>SNIES</v>
          </cell>
          <cell r="G848">
            <v>23</v>
          </cell>
          <cell r="H848" t="str">
            <v>Fournitures installation, mobilier et équipements scolaires</v>
          </cell>
          <cell r="I848" t="str">
            <v>SNIES</v>
          </cell>
          <cell r="K848" t="str">
            <v>FKDEA</v>
          </cell>
          <cell r="L848" t="str">
            <v>AON</v>
          </cell>
          <cell r="O848">
            <v>1</v>
          </cell>
          <cell r="P848">
            <v>1</v>
          </cell>
          <cell r="Q848" t="str">
            <v>lot</v>
          </cell>
          <cell r="S848">
            <v>369684.78105599998</v>
          </cell>
          <cell r="T848">
            <v>1</v>
          </cell>
          <cell r="U848">
            <v>0</v>
          </cell>
          <cell r="V848">
            <v>0</v>
          </cell>
          <cell r="W848">
            <v>369684.78105599998</v>
          </cell>
          <cell r="X848">
            <v>369684.78105599998</v>
          </cell>
          <cell r="Y848">
            <v>0</v>
          </cell>
          <cell r="Z848">
            <v>0</v>
          </cell>
          <cell r="AA848">
            <v>369684.78105599998</v>
          </cell>
          <cell r="AB848">
            <v>369684.78105599998</v>
          </cell>
          <cell r="AC848">
            <v>0</v>
          </cell>
          <cell r="AD848">
            <v>0</v>
          </cell>
          <cell r="AE848">
            <v>0</v>
          </cell>
          <cell r="AF848">
            <v>0</v>
          </cell>
          <cell r="AG848">
            <v>0</v>
          </cell>
          <cell r="AH848">
            <v>0</v>
          </cell>
        </row>
        <row r="849">
          <cell r="B849" t="str">
            <v>SNIES</v>
          </cell>
          <cell r="C849" t="str">
            <v>A1B</v>
          </cell>
          <cell r="D849" t="str">
            <v>A1BG</v>
          </cell>
          <cell r="E849" t="str">
            <v>ES/DING</v>
          </cell>
          <cell r="F849" t="str">
            <v>SNIES</v>
          </cell>
          <cell r="G849">
            <v>23</v>
          </cell>
          <cell r="H849" t="str">
            <v>Fournitures installation, mobilier et équipements scolaires</v>
          </cell>
          <cell r="I849" t="str">
            <v>SNIES</v>
          </cell>
          <cell r="K849" t="str">
            <v>FKDEA</v>
          </cell>
          <cell r="L849" t="str">
            <v>AON</v>
          </cell>
          <cell r="O849">
            <v>2</v>
          </cell>
          <cell r="P849">
            <v>2</v>
          </cell>
          <cell r="Q849" t="str">
            <v>lot</v>
          </cell>
          <cell r="S849">
            <v>369684.78105599998</v>
          </cell>
          <cell r="T849">
            <v>1</v>
          </cell>
          <cell r="U849">
            <v>0</v>
          </cell>
          <cell r="V849">
            <v>0</v>
          </cell>
          <cell r="W849">
            <v>739369.56211199996</v>
          </cell>
          <cell r="X849">
            <v>739369.56211199996</v>
          </cell>
          <cell r="Y849">
            <v>0</v>
          </cell>
          <cell r="Z849">
            <v>0</v>
          </cell>
          <cell r="AA849">
            <v>739369.56211199996</v>
          </cell>
          <cell r="AB849">
            <v>739369.56211199996</v>
          </cell>
          <cell r="AC849">
            <v>0</v>
          </cell>
          <cell r="AD849">
            <v>0</v>
          </cell>
          <cell r="AE849">
            <v>0</v>
          </cell>
          <cell r="AF849">
            <v>0</v>
          </cell>
          <cell r="AG849">
            <v>0</v>
          </cell>
          <cell r="AH849">
            <v>0</v>
          </cell>
        </row>
        <row r="850">
          <cell r="B850" t="str">
            <v>SNIES</v>
          </cell>
          <cell r="C850" t="str">
            <v>A1B</v>
          </cell>
          <cell r="D850" t="str">
            <v>A1BG</v>
          </cell>
          <cell r="E850" t="str">
            <v>ES/DUBR</v>
          </cell>
          <cell r="F850" t="str">
            <v>SNIES</v>
          </cell>
          <cell r="G850">
            <v>23</v>
          </cell>
          <cell r="H850" t="str">
            <v>Fournitures installation, mobilier et équipements scolaires</v>
          </cell>
          <cell r="I850" t="str">
            <v>SNIES</v>
          </cell>
          <cell r="K850" t="str">
            <v>FKDEA</v>
          </cell>
          <cell r="L850" t="str">
            <v>AON</v>
          </cell>
          <cell r="O850">
            <v>1</v>
          </cell>
          <cell r="P850">
            <v>1</v>
          </cell>
          <cell r="Q850" t="str">
            <v>lot</v>
          </cell>
          <cell r="S850">
            <v>369684.78105599998</v>
          </cell>
          <cell r="T850">
            <v>1</v>
          </cell>
          <cell r="U850">
            <v>0</v>
          </cell>
          <cell r="V850">
            <v>0</v>
          </cell>
          <cell r="W850">
            <v>369684.78105599998</v>
          </cell>
          <cell r="X850">
            <v>369684.78105599998</v>
          </cell>
          <cell r="Y850">
            <v>0</v>
          </cell>
          <cell r="Z850">
            <v>0</v>
          </cell>
          <cell r="AA850">
            <v>369684.78105599998</v>
          </cell>
          <cell r="AB850">
            <v>369684.78105599998</v>
          </cell>
          <cell r="AC850">
            <v>0</v>
          </cell>
          <cell r="AD850">
            <v>0</v>
          </cell>
          <cell r="AE850">
            <v>0</v>
          </cell>
          <cell r="AF850">
            <v>0</v>
          </cell>
          <cell r="AG850">
            <v>0</v>
          </cell>
          <cell r="AH850">
            <v>0</v>
          </cell>
        </row>
        <row r="851">
          <cell r="B851" t="str">
            <v>SNIES</v>
          </cell>
          <cell r="C851" t="str">
            <v>A1B</v>
          </cell>
          <cell r="D851" t="str">
            <v>A1BG</v>
          </cell>
          <cell r="E851" t="str">
            <v>ES/FARA</v>
          </cell>
          <cell r="F851" t="str">
            <v>SNIES</v>
          </cell>
          <cell r="G851">
            <v>23</v>
          </cell>
          <cell r="H851" t="str">
            <v>Fournitures installation, mobilier et équipements scolaires</v>
          </cell>
          <cell r="I851" t="str">
            <v>SNIES</v>
          </cell>
          <cell r="K851" t="str">
            <v>FKDEA</v>
          </cell>
          <cell r="L851" t="str">
            <v>AON</v>
          </cell>
          <cell r="O851">
            <v>1</v>
          </cell>
          <cell r="P851">
            <v>1</v>
          </cell>
          <cell r="Q851" t="str">
            <v>lot</v>
          </cell>
          <cell r="S851">
            <v>369684.78105599998</v>
          </cell>
          <cell r="T851">
            <v>1</v>
          </cell>
          <cell r="U851">
            <v>0</v>
          </cell>
          <cell r="V851">
            <v>0</v>
          </cell>
          <cell r="W851">
            <v>369684.78105599998</v>
          </cell>
          <cell r="X851">
            <v>369684.78105599998</v>
          </cell>
          <cell r="Y851">
            <v>0</v>
          </cell>
          <cell r="Z851">
            <v>0</v>
          </cell>
          <cell r="AA851">
            <v>369684.78105599998</v>
          </cell>
          <cell r="AB851">
            <v>369684.78105599998</v>
          </cell>
          <cell r="AC851">
            <v>0</v>
          </cell>
          <cell r="AD851">
            <v>0</v>
          </cell>
          <cell r="AE851">
            <v>0</v>
          </cell>
          <cell r="AF851">
            <v>0</v>
          </cell>
          <cell r="AG851">
            <v>0</v>
          </cell>
          <cell r="AH851">
            <v>0</v>
          </cell>
        </row>
        <row r="852">
          <cell r="B852" t="str">
            <v>SNIES</v>
          </cell>
          <cell r="C852" t="str">
            <v>A1B</v>
          </cell>
          <cell r="D852" t="str">
            <v>A1BG</v>
          </cell>
          <cell r="E852" t="str">
            <v>ES/FORE</v>
          </cell>
          <cell r="F852" t="str">
            <v>SNIES</v>
          </cell>
          <cell r="G852">
            <v>23</v>
          </cell>
          <cell r="H852" t="str">
            <v>Fournitures installation, mobilier et équipements scolaires</v>
          </cell>
          <cell r="I852" t="str">
            <v>SNIES</v>
          </cell>
          <cell r="K852" t="str">
            <v>FKDEA</v>
          </cell>
          <cell r="L852" t="str">
            <v>AON</v>
          </cell>
          <cell r="O852">
            <v>1</v>
          </cell>
          <cell r="P852">
            <v>1</v>
          </cell>
          <cell r="Q852" t="str">
            <v>lot</v>
          </cell>
          <cell r="S852">
            <v>369684.78105599998</v>
          </cell>
          <cell r="T852">
            <v>1</v>
          </cell>
          <cell r="U852">
            <v>0</v>
          </cell>
          <cell r="V852">
            <v>0</v>
          </cell>
          <cell r="W852">
            <v>369684.78105599998</v>
          </cell>
          <cell r="X852">
            <v>369684.78105599998</v>
          </cell>
          <cell r="Y852">
            <v>0</v>
          </cell>
          <cell r="Z852">
            <v>0</v>
          </cell>
          <cell r="AA852">
            <v>369684.78105599998</v>
          </cell>
          <cell r="AB852">
            <v>369684.78105599998</v>
          </cell>
          <cell r="AC852">
            <v>0</v>
          </cell>
          <cell r="AD852">
            <v>0</v>
          </cell>
          <cell r="AE852">
            <v>0</v>
          </cell>
          <cell r="AF852">
            <v>0</v>
          </cell>
          <cell r="AG852">
            <v>0</v>
          </cell>
          <cell r="AH852">
            <v>0</v>
          </cell>
        </row>
        <row r="853">
          <cell r="B853" t="str">
            <v>SNIES</v>
          </cell>
          <cell r="C853" t="str">
            <v>A1B</v>
          </cell>
          <cell r="D853" t="str">
            <v>A1BG</v>
          </cell>
          <cell r="E853" t="str">
            <v>ES/FRIA</v>
          </cell>
          <cell r="F853" t="str">
            <v>SNIES</v>
          </cell>
          <cell r="G853">
            <v>23</v>
          </cell>
          <cell r="H853" t="str">
            <v>Fournitures installation, mobilier et équipements scolaires</v>
          </cell>
          <cell r="I853" t="str">
            <v>SNIES</v>
          </cell>
          <cell r="K853" t="str">
            <v>FKDEA</v>
          </cell>
          <cell r="L853" t="str">
            <v>AON</v>
          </cell>
          <cell r="O853">
            <v>0</v>
          </cell>
          <cell r="P853">
            <v>0</v>
          </cell>
          <cell r="Q853" t="str">
            <v>lot</v>
          </cell>
          <cell r="S853">
            <v>369684.78105599998</v>
          </cell>
          <cell r="T853">
            <v>1</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row>
        <row r="854">
          <cell r="B854" t="str">
            <v>SNIES</v>
          </cell>
          <cell r="C854" t="str">
            <v>A1B</v>
          </cell>
          <cell r="D854" t="str">
            <v>A1BG</v>
          </cell>
          <cell r="E854" t="str">
            <v>ES/GAOU</v>
          </cell>
          <cell r="F854" t="str">
            <v>SNIES</v>
          </cell>
          <cell r="G854">
            <v>23</v>
          </cell>
          <cell r="H854" t="str">
            <v>Fournitures installation, mobilier et équipements scolaires</v>
          </cell>
          <cell r="I854" t="str">
            <v>SNIES</v>
          </cell>
          <cell r="K854" t="str">
            <v>FKDEA</v>
          </cell>
          <cell r="L854" t="str">
            <v>AON</v>
          </cell>
          <cell r="O854">
            <v>2</v>
          </cell>
          <cell r="P854">
            <v>2</v>
          </cell>
          <cell r="Q854" t="str">
            <v>lot</v>
          </cell>
          <cell r="S854">
            <v>369684.78105599998</v>
          </cell>
          <cell r="T854">
            <v>1</v>
          </cell>
          <cell r="U854">
            <v>0</v>
          </cell>
          <cell r="V854">
            <v>0</v>
          </cell>
          <cell r="W854">
            <v>739369.56211199996</v>
          </cell>
          <cell r="X854">
            <v>739369.56211199996</v>
          </cell>
          <cell r="Y854">
            <v>0</v>
          </cell>
          <cell r="Z854">
            <v>0</v>
          </cell>
          <cell r="AA854">
            <v>739369.56211199996</v>
          </cell>
          <cell r="AB854">
            <v>739369.56211199996</v>
          </cell>
          <cell r="AC854">
            <v>0</v>
          </cell>
          <cell r="AD854">
            <v>0</v>
          </cell>
          <cell r="AE854">
            <v>0</v>
          </cell>
          <cell r="AF854">
            <v>0</v>
          </cell>
          <cell r="AG854">
            <v>0</v>
          </cell>
          <cell r="AH854">
            <v>0</v>
          </cell>
        </row>
        <row r="855">
          <cell r="B855" t="str">
            <v>SNIES</v>
          </cell>
          <cell r="C855" t="str">
            <v>A1B</v>
          </cell>
          <cell r="D855" t="str">
            <v>A1BG</v>
          </cell>
          <cell r="E855" t="str">
            <v>ES/GUEC</v>
          </cell>
          <cell r="F855" t="str">
            <v>SNIES</v>
          </cell>
          <cell r="G855">
            <v>23</v>
          </cell>
          <cell r="H855" t="str">
            <v>Fournitures installation, mobilier et équipements scolaires</v>
          </cell>
          <cell r="I855" t="str">
            <v>SNIES</v>
          </cell>
          <cell r="K855" t="str">
            <v>FKDEA</v>
          </cell>
          <cell r="L855" t="str">
            <v>AON</v>
          </cell>
          <cell r="O855">
            <v>2</v>
          </cell>
          <cell r="P855">
            <v>2</v>
          </cell>
          <cell r="Q855" t="str">
            <v>lot</v>
          </cell>
          <cell r="S855">
            <v>369684.78105599998</v>
          </cell>
          <cell r="T855">
            <v>1</v>
          </cell>
          <cell r="U855">
            <v>0</v>
          </cell>
          <cell r="V855">
            <v>0</v>
          </cell>
          <cell r="W855">
            <v>739369.56211199996</v>
          </cell>
          <cell r="X855">
            <v>739369.56211199996</v>
          </cell>
          <cell r="Y855">
            <v>0</v>
          </cell>
          <cell r="Z855">
            <v>0</v>
          </cell>
          <cell r="AA855">
            <v>739369.56211199996</v>
          </cell>
          <cell r="AB855">
            <v>739369.56211199996</v>
          </cell>
          <cell r="AC855">
            <v>0</v>
          </cell>
          <cell r="AD855">
            <v>0</v>
          </cell>
          <cell r="AE855">
            <v>0</v>
          </cell>
          <cell r="AF855">
            <v>0</v>
          </cell>
          <cell r="AG855">
            <v>0</v>
          </cell>
          <cell r="AH855">
            <v>0</v>
          </cell>
        </row>
        <row r="856">
          <cell r="B856" t="str">
            <v>SNIES</v>
          </cell>
          <cell r="C856" t="str">
            <v>A1B</v>
          </cell>
          <cell r="D856" t="str">
            <v>A1BG</v>
          </cell>
          <cell r="E856" t="str">
            <v>ES/KANK</v>
          </cell>
          <cell r="F856" t="str">
            <v>SNIES</v>
          </cell>
          <cell r="G856">
            <v>23</v>
          </cell>
          <cell r="H856" t="str">
            <v>Fournitures installation, mobilier et équipements scolaires</v>
          </cell>
          <cell r="I856" t="str">
            <v>SNIES</v>
          </cell>
          <cell r="K856" t="str">
            <v>FKDEA</v>
          </cell>
          <cell r="L856" t="str">
            <v>AON</v>
          </cell>
          <cell r="O856">
            <v>2</v>
          </cell>
          <cell r="P856">
            <v>2</v>
          </cell>
          <cell r="Q856" t="str">
            <v>lot</v>
          </cell>
          <cell r="S856">
            <v>369684.78105599998</v>
          </cell>
          <cell r="T856">
            <v>1</v>
          </cell>
          <cell r="U856">
            <v>0</v>
          </cell>
          <cell r="V856">
            <v>0</v>
          </cell>
          <cell r="W856">
            <v>739369.56211199996</v>
          </cell>
          <cell r="X856">
            <v>739369.56211199996</v>
          </cell>
          <cell r="Y856">
            <v>0</v>
          </cell>
          <cell r="Z856">
            <v>0</v>
          </cell>
          <cell r="AA856">
            <v>739369.56211199996</v>
          </cell>
          <cell r="AB856">
            <v>739369.56211199996</v>
          </cell>
          <cell r="AC856">
            <v>0</v>
          </cell>
          <cell r="AD856">
            <v>0</v>
          </cell>
          <cell r="AE856">
            <v>0</v>
          </cell>
          <cell r="AF856">
            <v>0</v>
          </cell>
          <cell r="AG856">
            <v>0</v>
          </cell>
          <cell r="AH856">
            <v>0</v>
          </cell>
        </row>
        <row r="857">
          <cell r="B857" t="str">
            <v>SNIES</v>
          </cell>
          <cell r="C857" t="str">
            <v>A1B</v>
          </cell>
          <cell r="D857" t="str">
            <v>A1BG</v>
          </cell>
          <cell r="E857" t="str">
            <v>ES/KERO</v>
          </cell>
          <cell r="F857" t="str">
            <v>SNIES</v>
          </cell>
          <cell r="G857">
            <v>23</v>
          </cell>
          <cell r="H857" t="str">
            <v>Fournitures installation, mobilier et équipements scolaires</v>
          </cell>
          <cell r="I857" t="str">
            <v>SNIES</v>
          </cell>
          <cell r="K857" t="str">
            <v>FKDEA</v>
          </cell>
          <cell r="L857" t="str">
            <v>AON</v>
          </cell>
          <cell r="O857">
            <v>1</v>
          </cell>
          <cell r="P857">
            <v>1</v>
          </cell>
          <cell r="Q857" t="str">
            <v>lot</v>
          </cell>
          <cell r="S857">
            <v>369684.78105599998</v>
          </cell>
          <cell r="T857">
            <v>1</v>
          </cell>
          <cell r="U857">
            <v>0</v>
          </cell>
          <cell r="V857">
            <v>0</v>
          </cell>
          <cell r="W857">
            <v>369684.78105599998</v>
          </cell>
          <cell r="X857">
            <v>369684.78105599998</v>
          </cell>
          <cell r="Y857">
            <v>0</v>
          </cell>
          <cell r="Z857">
            <v>0</v>
          </cell>
          <cell r="AA857">
            <v>369684.78105599998</v>
          </cell>
          <cell r="AB857">
            <v>369684.78105599998</v>
          </cell>
          <cell r="AC857">
            <v>0</v>
          </cell>
          <cell r="AD857">
            <v>0</v>
          </cell>
          <cell r="AE857">
            <v>0</v>
          </cell>
          <cell r="AF857">
            <v>0</v>
          </cell>
          <cell r="AG857">
            <v>0</v>
          </cell>
          <cell r="AH857">
            <v>0</v>
          </cell>
        </row>
        <row r="858">
          <cell r="B858" t="str">
            <v>SNIES</v>
          </cell>
          <cell r="C858" t="str">
            <v>A1B</v>
          </cell>
          <cell r="D858" t="str">
            <v>A1BG</v>
          </cell>
          <cell r="E858" t="str">
            <v>ES/KIND</v>
          </cell>
          <cell r="F858" t="str">
            <v>SNIES</v>
          </cell>
          <cell r="G858">
            <v>23</v>
          </cell>
          <cell r="H858" t="str">
            <v>Fournitures installation, mobilier et équipements scolaires</v>
          </cell>
          <cell r="I858" t="str">
            <v>SNIES</v>
          </cell>
          <cell r="K858" t="str">
            <v>FKDEA</v>
          </cell>
          <cell r="L858" t="str">
            <v>AON</v>
          </cell>
          <cell r="O858">
            <v>2</v>
          </cell>
          <cell r="P858">
            <v>2</v>
          </cell>
          <cell r="Q858" t="str">
            <v>lot</v>
          </cell>
          <cell r="S858">
            <v>369684.78105599998</v>
          </cell>
          <cell r="T858">
            <v>1</v>
          </cell>
          <cell r="U858">
            <v>0</v>
          </cell>
          <cell r="V858">
            <v>0</v>
          </cell>
          <cell r="W858">
            <v>739369.56211199996</v>
          </cell>
          <cell r="X858">
            <v>739369.56211199996</v>
          </cell>
          <cell r="Y858">
            <v>0</v>
          </cell>
          <cell r="Z858">
            <v>0</v>
          </cell>
          <cell r="AA858">
            <v>739369.56211199996</v>
          </cell>
          <cell r="AB858">
            <v>739369.56211199996</v>
          </cell>
          <cell r="AC858">
            <v>0</v>
          </cell>
          <cell r="AD858">
            <v>0</v>
          </cell>
          <cell r="AE858">
            <v>0</v>
          </cell>
          <cell r="AF858">
            <v>0</v>
          </cell>
          <cell r="AG858">
            <v>0</v>
          </cell>
          <cell r="AH858">
            <v>0</v>
          </cell>
        </row>
        <row r="859">
          <cell r="B859" t="str">
            <v>SNIES</v>
          </cell>
          <cell r="C859" t="str">
            <v>A1B</v>
          </cell>
          <cell r="D859" t="str">
            <v>A1BG</v>
          </cell>
          <cell r="E859" t="str">
            <v>ES/KISS</v>
          </cell>
          <cell r="F859" t="str">
            <v>SNIES</v>
          </cell>
          <cell r="G859">
            <v>23</v>
          </cell>
          <cell r="H859" t="str">
            <v>Fournitures installation, mobilier et équipements scolaires</v>
          </cell>
          <cell r="I859" t="str">
            <v>SNIES</v>
          </cell>
          <cell r="K859" t="str">
            <v>FKDEA</v>
          </cell>
          <cell r="L859" t="str">
            <v>AON</v>
          </cell>
          <cell r="O859">
            <v>2</v>
          </cell>
          <cell r="P859">
            <v>2</v>
          </cell>
          <cell r="Q859" t="str">
            <v>lot</v>
          </cell>
          <cell r="S859">
            <v>369684.78105599998</v>
          </cell>
          <cell r="T859">
            <v>1</v>
          </cell>
          <cell r="U859">
            <v>0</v>
          </cell>
          <cell r="V859">
            <v>0</v>
          </cell>
          <cell r="W859">
            <v>739369.56211199996</v>
          </cell>
          <cell r="X859">
            <v>739369.56211199996</v>
          </cell>
          <cell r="Y859">
            <v>0</v>
          </cell>
          <cell r="Z859">
            <v>0</v>
          </cell>
          <cell r="AA859">
            <v>739369.56211199996</v>
          </cell>
          <cell r="AB859">
            <v>739369.56211199996</v>
          </cell>
          <cell r="AC859">
            <v>0</v>
          </cell>
          <cell r="AD859">
            <v>0</v>
          </cell>
          <cell r="AE859">
            <v>0</v>
          </cell>
          <cell r="AF859">
            <v>0</v>
          </cell>
          <cell r="AG859">
            <v>0</v>
          </cell>
          <cell r="AH859">
            <v>0</v>
          </cell>
        </row>
        <row r="860">
          <cell r="B860" t="str">
            <v>SNIES</v>
          </cell>
          <cell r="C860" t="str">
            <v>A1B</v>
          </cell>
          <cell r="D860" t="str">
            <v>A1BG</v>
          </cell>
          <cell r="E860" t="str">
            <v>ES/KOUB</v>
          </cell>
          <cell r="F860" t="str">
            <v>SNIES</v>
          </cell>
          <cell r="G860">
            <v>23</v>
          </cell>
          <cell r="H860" t="str">
            <v>Fournitures installation, mobilier et équipements scolaires</v>
          </cell>
          <cell r="I860" t="str">
            <v>SNIES</v>
          </cell>
          <cell r="K860" t="str">
            <v>FKDEA</v>
          </cell>
          <cell r="L860" t="str">
            <v>AON</v>
          </cell>
          <cell r="O860">
            <v>2</v>
          </cell>
          <cell r="P860">
            <v>2</v>
          </cell>
          <cell r="Q860" t="str">
            <v>lot</v>
          </cell>
          <cell r="S860">
            <v>369684.78105599998</v>
          </cell>
          <cell r="T860">
            <v>1</v>
          </cell>
          <cell r="U860">
            <v>0</v>
          </cell>
          <cell r="V860">
            <v>0</v>
          </cell>
          <cell r="W860">
            <v>739369.56211199996</v>
          </cell>
          <cell r="X860">
            <v>739369.56211199996</v>
          </cell>
          <cell r="Y860">
            <v>0</v>
          </cell>
          <cell r="Z860">
            <v>0</v>
          </cell>
          <cell r="AA860">
            <v>739369.56211199996</v>
          </cell>
          <cell r="AB860">
            <v>739369.56211199996</v>
          </cell>
          <cell r="AC860">
            <v>0</v>
          </cell>
          <cell r="AD860">
            <v>0</v>
          </cell>
          <cell r="AE860">
            <v>0</v>
          </cell>
          <cell r="AF860">
            <v>0</v>
          </cell>
          <cell r="AG860">
            <v>0</v>
          </cell>
          <cell r="AH860">
            <v>0</v>
          </cell>
        </row>
        <row r="861">
          <cell r="B861" t="str">
            <v>SNIES</v>
          </cell>
          <cell r="C861" t="str">
            <v>A1B</v>
          </cell>
          <cell r="D861" t="str">
            <v>A1BG</v>
          </cell>
          <cell r="E861" t="str">
            <v>ES/KOUN</v>
          </cell>
          <cell r="F861" t="str">
            <v>SNIES</v>
          </cell>
          <cell r="G861">
            <v>23</v>
          </cell>
          <cell r="H861" t="str">
            <v>Fournitures installation, mobilier et équipements scolaires</v>
          </cell>
          <cell r="I861" t="str">
            <v>SNIES</v>
          </cell>
          <cell r="K861" t="str">
            <v>FKDEA</v>
          </cell>
          <cell r="L861" t="str">
            <v>AON</v>
          </cell>
          <cell r="O861">
            <v>2</v>
          </cell>
          <cell r="P861">
            <v>2</v>
          </cell>
          <cell r="Q861" t="str">
            <v>lot</v>
          </cell>
          <cell r="S861">
            <v>369684.78105599998</v>
          </cell>
          <cell r="T861">
            <v>1</v>
          </cell>
          <cell r="U861">
            <v>0</v>
          </cell>
          <cell r="V861">
            <v>0</v>
          </cell>
          <cell r="W861">
            <v>739369.56211199996</v>
          </cell>
          <cell r="X861">
            <v>739369.56211199996</v>
          </cell>
          <cell r="Y861">
            <v>0</v>
          </cell>
          <cell r="Z861">
            <v>0</v>
          </cell>
          <cell r="AA861">
            <v>739369.56211199996</v>
          </cell>
          <cell r="AB861">
            <v>739369.56211199996</v>
          </cell>
          <cell r="AC861">
            <v>0</v>
          </cell>
          <cell r="AD861">
            <v>0</v>
          </cell>
          <cell r="AE861">
            <v>0</v>
          </cell>
          <cell r="AF861">
            <v>0</v>
          </cell>
          <cell r="AG861">
            <v>0</v>
          </cell>
          <cell r="AH861">
            <v>0</v>
          </cell>
        </row>
        <row r="862">
          <cell r="B862" t="str">
            <v>SNIES</v>
          </cell>
          <cell r="C862" t="str">
            <v>A1B</v>
          </cell>
          <cell r="D862" t="str">
            <v>A1BG</v>
          </cell>
          <cell r="E862" t="str">
            <v>ES/KOUR</v>
          </cell>
          <cell r="F862" t="str">
            <v>SNIES</v>
          </cell>
          <cell r="G862">
            <v>23</v>
          </cell>
          <cell r="H862" t="str">
            <v>Fournitures installation, mobilier et équipements scolaires</v>
          </cell>
          <cell r="I862" t="str">
            <v>SNIES</v>
          </cell>
          <cell r="K862" t="str">
            <v>FKDEA</v>
          </cell>
          <cell r="L862" t="str">
            <v>AON</v>
          </cell>
          <cell r="O862">
            <v>2</v>
          </cell>
          <cell r="P862">
            <v>2</v>
          </cell>
          <cell r="Q862" t="str">
            <v>lot</v>
          </cell>
          <cell r="S862">
            <v>369684.78105599998</v>
          </cell>
          <cell r="T862">
            <v>1</v>
          </cell>
          <cell r="U862">
            <v>0</v>
          </cell>
          <cell r="V862">
            <v>0</v>
          </cell>
          <cell r="W862">
            <v>739369.56211199996</v>
          </cell>
          <cell r="X862">
            <v>739369.56211199996</v>
          </cell>
          <cell r="Y862">
            <v>0</v>
          </cell>
          <cell r="Z862">
            <v>0</v>
          </cell>
          <cell r="AA862">
            <v>739369.56211199996</v>
          </cell>
          <cell r="AB862">
            <v>739369.56211199996</v>
          </cell>
          <cell r="AC862">
            <v>0</v>
          </cell>
          <cell r="AD862">
            <v>0</v>
          </cell>
          <cell r="AE862">
            <v>0</v>
          </cell>
          <cell r="AF862">
            <v>0</v>
          </cell>
          <cell r="AG862">
            <v>0</v>
          </cell>
          <cell r="AH862">
            <v>0</v>
          </cell>
        </row>
        <row r="863">
          <cell r="B863" t="str">
            <v>SNIES</v>
          </cell>
          <cell r="C863" t="str">
            <v>A1B</v>
          </cell>
          <cell r="D863" t="str">
            <v>A1BG</v>
          </cell>
          <cell r="E863" t="str">
            <v>ES/LABE</v>
          </cell>
          <cell r="F863" t="str">
            <v>SNIES</v>
          </cell>
          <cell r="G863">
            <v>23</v>
          </cell>
          <cell r="H863" t="str">
            <v>Fournitures installation, mobilier et équipements scolaires</v>
          </cell>
          <cell r="I863" t="str">
            <v>SNIES</v>
          </cell>
          <cell r="K863" t="str">
            <v>FKDEA</v>
          </cell>
          <cell r="L863" t="str">
            <v>AON</v>
          </cell>
          <cell r="O863">
            <v>1</v>
          </cell>
          <cell r="P863">
            <v>1</v>
          </cell>
          <cell r="Q863" t="str">
            <v>lot</v>
          </cell>
          <cell r="S863">
            <v>369684.78105599998</v>
          </cell>
          <cell r="T863">
            <v>1</v>
          </cell>
          <cell r="U863">
            <v>0</v>
          </cell>
          <cell r="V863">
            <v>0</v>
          </cell>
          <cell r="W863">
            <v>369684.78105599998</v>
          </cell>
          <cell r="X863">
            <v>369684.78105599998</v>
          </cell>
          <cell r="Y863">
            <v>0</v>
          </cell>
          <cell r="Z863">
            <v>0</v>
          </cell>
          <cell r="AA863">
            <v>369684.78105599998</v>
          </cell>
          <cell r="AB863">
            <v>369684.78105599998</v>
          </cell>
          <cell r="AC863">
            <v>0</v>
          </cell>
          <cell r="AD863">
            <v>0</v>
          </cell>
          <cell r="AE863">
            <v>0</v>
          </cell>
          <cell r="AF863">
            <v>0</v>
          </cell>
          <cell r="AG863">
            <v>0</v>
          </cell>
          <cell r="AH863">
            <v>0</v>
          </cell>
        </row>
        <row r="864">
          <cell r="B864" t="str">
            <v>SNIES</v>
          </cell>
          <cell r="C864" t="str">
            <v>A1B</v>
          </cell>
          <cell r="D864" t="str">
            <v>A1BG</v>
          </cell>
          <cell r="E864" t="str">
            <v>ES/LELO</v>
          </cell>
          <cell r="F864" t="str">
            <v>SNIES</v>
          </cell>
          <cell r="G864">
            <v>23</v>
          </cell>
          <cell r="H864" t="str">
            <v>Fournitures installation, mobilier et équipements scolaires</v>
          </cell>
          <cell r="I864" t="str">
            <v>SNIES</v>
          </cell>
          <cell r="K864" t="str">
            <v>FKDEA</v>
          </cell>
          <cell r="L864" t="str">
            <v>AON</v>
          </cell>
          <cell r="O864">
            <v>1</v>
          </cell>
          <cell r="P864">
            <v>1</v>
          </cell>
          <cell r="Q864" t="str">
            <v>lot</v>
          </cell>
          <cell r="S864">
            <v>369684.78105599998</v>
          </cell>
          <cell r="T864">
            <v>1</v>
          </cell>
          <cell r="U864">
            <v>0</v>
          </cell>
          <cell r="V864">
            <v>0</v>
          </cell>
          <cell r="W864">
            <v>369684.78105599998</v>
          </cell>
          <cell r="X864">
            <v>369684.78105599998</v>
          </cell>
          <cell r="Y864">
            <v>0</v>
          </cell>
          <cell r="Z864">
            <v>0</v>
          </cell>
          <cell r="AA864">
            <v>369684.78105599998</v>
          </cell>
          <cell r="AB864">
            <v>369684.78105599998</v>
          </cell>
          <cell r="AC864">
            <v>0</v>
          </cell>
          <cell r="AD864">
            <v>0</v>
          </cell>
          <cell r="AE864">
            <v>0</v>
          </cell>
          <cell r="AF864">
            <v>0</v>
          </cell>
          <cell r="AG864">
            <v>0</v>
          </cell>
          <cell r="AH864">
            <v>0</v>
          </cell>
        </row>
        <row r="865">
          <cell r="B865" t="str">
            <v>SNIES</v>
          </cell>
          <cell r="C865" t="str">
            <v>A1B</v>
          </cell>
          <cell r="D865" t="str">
            <v>A1BG</v>
          </cell>
          <cell r="E865" t="str">
            <v>ES/LOLA</v>
          </cell>
          <cell r="F865" t="str">
            <v>SNIES</v>
          </cell>
          <cell r="G865">
            <v>23</v>
          </cell>
          <cell r="H865" t="str">
            <v>Fournitures installation, mobilier et équipements scolaires</v>
          </cell>
          <cell r="I865" t="str">
            <v>SNIES</v>
          </cell>
          <cell r="K865" t="str">
            <v>FKDEA</v>
          </cell>
          <cell r="L865" t="str">
            <v>AON</v>
          </cell>
          <cell r="O865">
            <v>1</v>
          </cell>
          <cell r="P865">
            <v>1</v>
          </cell>
          <cell r="Q865" t="str">
            <v>lot</v>
          </cell>
          <cell r="S865">
            <v>369684.78105599998</v>
          </cell>
          <cell r="T865">
            <v>1</v>
          </cell>
          <cell r="U865">
            <v>0</v>
          </cell>
          <cell r="V865">
            <v>0</v>
          </cell>
          <cell r="W865">
            <v>369684.78105599998</v>
          </cell>
          <cell r="X865">
            <v>369684.78105599998</v>
          </cell>
          <cell r="Y865">
            <v>0</v>
          </cell>
          <cell r="Z865">
            <v>0</v>
          </cell>
          <cell r="AA865">
            <v>369684.78105599998</v>
          </cell>
          <cell r="AB865">
            <v>369684.78105599998</v>
          </cell>
          <cell r="AC865">
            <v>0</v>
          </cell>
          <cell r="AD865">
            <v>0</v>
          </cell>
          <cell r="AE865">
            <v>0</v>
          </cell>
          <cell r="AF865">
            <v>0</v>
          </cell>
          <cell r="AG865">
            <v>0</v>
          </cell>
          <cell r="AH865">
            <v>0</v>
          </cell>
        </row>
        <row r="866">
          <cell r="B866" t="str">
            <v>SNIES</v>
          </cell>
          <cell r="C866" t="str">
            <v>A1B</v>
          </cell>
          <cell r="D866" t="str">
            <v>A1BG</v>
          </cell>
          <cell r="E866" t="str">
            <v>ES/MACE</v>
          </cell>
          <cell r="F866" t="str">
            <v>SNIES</v>
          </cell>
          <cell r="G866">
            <v>23</v>
          </cell>
          <cell r="H866" t="str">
            <v>Fournitures installation, mobilier et équipements scolaires</v>
          </cell>
          <cell r="I866" t="str">
            <v>SNIES</v>
          </cell>
          <cell r="K866" t="str">
            <v>FKDEA</v>
          </cell>
          <cell r="L866" t="str">
            <v>AON</v>
          </cell>
          <cell r="O866">
            <v>2</v>
          </cell>
          <cell r="P866">
            <v>2</v>
          </cell>
          <cell r="Q866" t="str">
            <v>lot</v>
          </cell>
          <cell r="S866">
            <v>369684.78105599998</v>
          </cell>
          <cell r="T866">
            <v>1</v>
          </cell>
          <cell r="U866">
            <v>0</v>
          </cell>
          <cell r="V866">
            <v>0</v>
          </cell>
          <cell r="W866">
            <v>739369.56211199996</v>
          </cell>
          <cell r="X866">
            <v>739369.56211199996</v>
          </cell>
          <cell r="Y866">
            <v>0</v>
          </cell>
          <cell r="Z866">
            <v>0</v>
          </cell>
          <cell r="AA866">
            <v>739369.56211199996</v>
          </cell>
          <cell r="AB866">
            <v>739369.56211199996</v>
          </cell>
          <cell r="AC866">
            <v>0</v>
          </cell>
          <cell r="AD866">
            <v>0</v>
          </cell>
          <cell r="AE866">
            <v>0</v>
          </cell>
          <cell r="AF866">
            <v>0</v>
          </cell>
          <cell r="AG866">
            <v>0</v>
          </cell>
          <cell r="AH866">
            <v>0</v>
          </cell>
        </row>
        <row r="867">
          <cell r="B867" t="str">
            <v>SNIES</v>
          </cell>
          <cell r="C867" t="str">
            <v>A1B</v>
          </cell>
          <cell r="D867" t="str">
            <v>A1BG</v>
          </cell>
          <cell r="E867" t="str">
            <v>ES/MALI</v>
          </cell>
          <cell r="F867" t="str">
            <v>SNIES</v>
          </cell>
          <cell r="G867">
            <v>23</v>
          </cell>
          <cell r="H867" t="str">
            <v>Fournitures installation, mobilier et équipements scolaires</v>
          </cell>
          <cell r="I867" t="str">
            <v>SNIES</v>
          </cell>
          <cell r="K867" t="str">
            <v>FKDEA</v>
          </cell>
          <cell r="L867" t="str">
            <v>AON</v>
          </cell>
          <cell r="O867">
            <v>2</v>
          </cell>
          <cell r="P867">
            <v>2</v>
          </cell>
          <cell r="Q867" t="str">
            <v>lot</v>
          </cell>
          <cell r="S867">
            <v>369684.78105599998</v>
          </cell>
          <cell r="T867">
            <v>1</v>
          </cell>
          <cell r="U867">
            <v>0</v>
          </cell>
          <cell r="V867">
            <v>0</v>
          </cell>
          <cell r="W867">
            <v>739369.56211199996</v>
          </cell>
          <cell r="X867">
            <v>739369.56211199996</v>
          </cell>
          <cell r="Y867">
            <v>0</v>
          </cell>
          <cell r="Z867">
            <v>0</v>
          </cell>
          <cell r="AA867">
            <v>739369.56211199996</v>
          </cell>
          <cell r="AB867">
            <v>739369.56211199996</v>
          </cell>
          <cell r="AC867">
            <v>0</v>
          </cell>
          <cell r="AD867">
            <v>0</v>
          </cell>
          <cell r="AE867">
            <v>0</v>
          </cell>
          <cell r="AF867">
            <v>0</v>
          </cell>
          <cell r="AG867">
            <v>0</v>
          </cell>
          <cell r="AH867">
            <v>0</v>
          </cell>
        </row>
        <row r="868">
          <cell r="B868" t="str">
            <v>SNIES</v>
          </cell>
          <cell r="C868" t="str">
            <v>A1B</v>
          </cell>
          <cell r="D868" t="str">
            <v>A1BG</v>
          </cell>
          <cell r="E868" t="str">
            <v>ES/MAMO</v>
          </cell>
          <cell r="F868" t="str">
            <v>SNIES</v>
          </cell>
          <cell r="G868">
            <v>23</v>
          </cell>
          <cell r="H868" t="str">
            <v>Fournitures installation, mobilier et équipements scolaires</v>
          </cell>
          <cell r="I868" t="str">
            <v>SNIES</v>
          </cell>
          <cell r="K868" t="str">
            <v>FKDEA</v>
          </cell>
          <cell r="L868" t="str">
            <v>AON</v>
          </cell>
          <cell r="O868">
            <v>2</v>
          </cell>
          <cell r="P868">
            <v>2</v>
          </cell>
          <cell r="Q868" t="str">
            <v>lot</v>
          </cell>
          <cell r="S868">
            <v>369684.78105599998</v>
          </cell>
          <cell r="T868">
            <v>1</v>
          </cell>
          <cell r="U868">
            <v>0</v>
          </cell>
          <cell r="V868">
            <v>0</v>
          </cell>
          <cell r="W868">
            <v>739369.56211199996</v>
          </cell>
          <cell r="X868">
            <v>739369.56211199996</v>
          </cell>
          <cell r="Y868">
            <v>0</v>
          </cell>
          <cell r="Z868">
            <v>0</v>
          </cell>
          <cell r="AA868">
            <v>739369.56211199996</v>
          </cell>
          <cell r="AB868">
            <v>739369.56211199996</v>
          </cell>
          <cell r="AC868">
            <v>0</v>
          </cell>
          <cell r="AD868">
            <v>0</v>
          </cell>
          <cell r="AE868">
            <v>0</v>
          </cell>
          <cell r="AF868">
            <v>0</v>
          </cell>
          <cell r="AG868">
            <v>0</v>
          </cell>
          <cell r="AH868">
            <v>0</v>
          </cell>
        </row>
        <row r="869">
          <cell r="B869" t="str">
            <v>SNIES</v>
          </cell>
          <cell r="C869" t="str">
            <v>A1B</v>
          </cell>
          <cell r="D869" t="str">
            <v>A1BG</v>
          </cell>
          <cell r="E869" t="str">
            <v>ES/MAND</v>
          </cell>
          <cell r="F869" t="str">
            <v>SNIES</v>
          </cell>
          <cell r="G869">
            <v>23</v>
          </cell>
          <cell r="H869" t="str">
            <v>Fournitures installation, mobilier et équipements scolaires</v>
          </cell>
          <cell r="I869" t="str">
            <v>SNIES</v>
          </cell>
          <cell r="K869" t="str">
            <v>FKDEA</v>
          </cell>
          <cell r="L869" t="str">
            <v>AON</v>
          </cell>
          <cell r="O869">
            <v>0</v>
          </cell>
          <cell r="P869">
            <v>0</v>
          </cell>
          <cell r="Q869" t="str">
            <v>lot</v>
          </cell>
          <cell r="S869">
            <v>369684.78105599998</v>
          </cell>
          <cell r="T869">
            <v>1</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row>
        <row r="870">
          <cell r="B870" t="str">
            <v>SNIES</v>
          </cell>
          <cell r="C870" t="str">
            <v>A1B</v>
          </cell>
          <cell r="D870" t="str">
            <v>A1BG</v>
          </cell>
          <cell r="E870" t="str">
            <v>ES/NZER</v>
          </cell>
          <cell r="F870" t="str">
            <v>SNIES</v>
          </cell>
          <cell r="G870">
            <v>23</v>
          </cell>
          <cell r="H870" t="str">
            <v>Fournitures installation, mobilier et équipements scolaires</v>
          </cell>
          <cell r="I870" t="str">
            <v>SNIES</v>
          </cell>
          <cell r="K870" t="str">
            <v>FKDEA</v>
          </cell>
          <cell r="L870" t="str">
            <v>AON</v>
          </cell>
          <cell r="O870">
            <v>2</v>
          </cell>
          <cell r="P870">
            <v>2</v>
          </cell>
          <cell r="Q870" t="str">
            <v>lot</v>
          </cell>
          <cell r="S870">
            <v>369684.78105599998</v>
          </cell>
          <cell r="T870">
            <v>1</v>
          </cell>
          <cell r="U870">
            <v>0</v>
          </cell>
          <cell r="V870">
            <v>0</v>
          </cell>
          <cell r="W870">
            <v>739369.56211199996</v>
          </cell>
          <cell r="X870">
            <v>739369.56211199996</v>
          </cell>
          <cell r="Y870">
            <v>0</v>
          </cell>
          <cell r="Z870">
            <v>0</v>
          </cell>
          <cell r="AA870">
            <v>739369.56211199996</v>
          </cell>
          <cell r="AB870">
            <v>739369.56211199996</v>
          </cell>
          <cell r="AC870">
            <v>0</v>
          </cell>
          <cell r="AD870">
            <v>0</v>
          </cell>
          <cell r="AE870">
            <v>0</v>
          </cell>
          <cell r="AF870">
            <v>0</v>
          </cell>
          <cell r="AG870">
            <v>0</v>
          </cell>
          <cell r="AH870">
            <v>0</v>
          </cell>
        </row>
        <row r="871">
          <cell r="B871" t="str">
            <v>SNIES</v>
          </cell>
          <cell r="C871" t="str">
            <v>A1B</v>
          </cell>
          <cell r="D871" t="str">
            <v>A1BG</v>
          </cell>
          <cell r="E871" t="str">
            <v>ES/PITA</v>
          </cell>
          <cell r="F871" t="str">
            <v>SNIES</v>
          </cell>
          <cell r="G871">
            <v>23</v>
          </cell>
          <cell r="H871" t="str">
            <v>Fournitures installation, mobilier et équipements scolaires</v>
          </cell>
          <cell r="I871" t="str">
            <v>SNIES</v>
          </cell>
          <cell r="K871" t="str">
            <v>FKDEA</v>
          </cell>
          <cell r="L871" t="str">
            <v>AON</v>
          </cell>
          <cell r="O871">
            <v>1</v>
          </cell>
          <cell r="P871">
            <v>1</v>
          </cell>
          <cell r="Q871" t="str">
            <v>lot</v>
          </cell>
          <cell r="S871">
            <v>369684.78105599998</v>
          </cell>
          <cell r="T871">
            <v>1</v>
          </cell>
          <cell r="U871">
            <v>0</v>
          </cell>
          <cell r="V871">
            <v>0</v>
          </cell>
          <cell r="W871">
            <v>369684.78105599998</v>
          </cell>
          <cell r="X871">
            <v>369684.78105599998</v>
          </cell>
          <cell r="Y871">
            <v>0</v>
          </cell>
          <cell r="Z871">
            <v>0</v>
          </cell>
          <cell r="AA871">
            <v>369684.78105599998</v>
          </cell>
          <cell r="AB871">
            <v>369684.78105599998</v>
          </cell>
          <cell r="AC871">
            <v>0</v>
          </cell>
          <cell r="AD871">
            <v>0</v>
          </cell>
          <cell r="AE871">
            <v>0</v>
          </cell>
          <cell r="AF871">
            <v>0</v>
          </cell>
          <cell r="AG871">
            <v>0</v>
          </cell>
          <cell r="AH871">
            <v>0</v>
          </cell>
        </row>
        <row r="872">
          <cell r="B872" t="str">
            <v>SNIES</v>
          </cell>
          <cell r="C872" t="str">
            <v>A1B</v>
          </cell>
          <cell r="D872" t="str">
            <v>A1BG</v>
          </cell>
          <cell r="E872" t="str">
            <v>ES/SIGU</v>
          </cell>
          <cell r="F872" t="str">
            <v>SNIES</v>
          </cell>
          <cell r="G872">
            <v>23</v>
          </cell>
          <cell r="H872" t="str">
            <v>Fournitures installation, mobilier et équipements scolaires</v>
          </cell>
          <cell r="I872" t="str">
            <v>SNIES</v>
          </cell>
          <cell r="K872" t="str">
            <v>FKDEA</v>
          </cell>
          <cell r="L872" t="str">
            <v>AON</v>
          </cell>
          <cell r="O872">
            <v>1</v>
          </cell>
          <cell r="P872">
            <v>1</v>
          </cell>
          <cell r="Q872" t="str">
            <v>lot</v>
          </cell>
          <cell r="S872">
            <v>369684.78105599998</v>
          </cell>
          <cell r="T872">
            <v>1</v>
          </cell>
          <cell r="U872">
            <v>0</v>
          </cell>
          <cell r="V872">
            <v>0</v>
          </cell>
          <cell r="W872">
            <v>369684.78105599998</v>
          </cell>
          <cell r="X872">
            <v>369684.78105599998</v>
          </cell>
          <cell r="Y872">
            <v>0</v>
          </cell>
          <cell r="Z872">
            <v>0</v>
          </cell>
          <cell r="AA872">
            <v>369684.78105599998</v>
          </cell>
          <cell r="AB872">
            <v>369684.78105599998</v>
          </cell>
          <cell r="AC872">
            <v>0</v>
          </cell>
          <cell r="AD872">
            <v>0</v>
          </cell>
          <cell r="AE872">
            <v>0</v>
          </cell>
          <cell r="AF872">
            <v>0</v>
          </cell>
          <cell r="AG872">
            <v>0</v>
          </cell>
          <cell r="AH872">
            <v>0</v>
          </cell>
        </row>
        <row r="873">
          <cell r="B873" t="str">
            <v>SNIES</v>
          </cell>
          <cell r="C873" t="str">
            <v>A1B</v>
          </cell>
          <cell r="D873" t="str">
            <v>A1BG</v>
          </cell>
          <cell r="E873" t="str">
            <v>ES/TELI</v>
          </cell>
          <cell r="F873" t="str">
            <v>SNIES</v>
          </cell>
          <cell r="G873">
            <v>23</v>
          </cell>
          <cell r="H873" t="str">
            <v>Fournitures installation, mobilier et équipements scolaires</v>
          </cell>
          <cell r="I873" t="str">
            <v>SNIES</v>
          </cell>
          <cell r="K873" t="str">
            <v>FKDEA</v>
          </cell>
          <cell r="L873" t="str">
            <v>AON</v>
          </cell>
          <cell r="O873">
            <v>2</v>
          </cell>
          <cell r="P873">
            <v>2</v>
          </cell>
          <cell r="Q873" t="str">
            <v>lot</v>
          </cell>
          <cell r="S873">
            <v>369684.78105599998</v>
          </cell>
          <cell r="T873">
            <v>1</v>
          </cell>
          <cell r="U873">
            <v>0</v>
          </cell>
          <cell r="V873">
            <v>0</v>
          </cell>
          <cell r="W873">
            <v>739369.56211199996</v>
          </cell>
          <cell r="X873">
            <v>739369.56211199996</v>
          </cell>
          <cell r="Y873">
            <v>0</v>
          </cell>
          <cell r="Z873">
            <v>0</v>
          </cell>
          <cell r="AA873">
            <v>739369.56211199996</v>
          </cell>
          <cell r="AB873">
            <v>739369.56211199996</v>
          </cell>
          <cell r="AC873">
            <v>0</v>
          </cell>
          <cell r="AD873">
            <v>0</v>
          </cell>
          <cell r="AE873">
            <v>0</v>
          </cell>
          <cell r="AF873">
            <v>0</v>
          </cell>
          <cell r="AG873">
            <v>0</v>
          </cell>
          <cell r="AH873">
            <v>0</v>
          </cell>
        </row>
        <row r="874">
          <cell r="B874" t="str">
            <v>SNIES</v>
          </cell>
          <cell r="C874" t="str">
            <v>A1B</v>
          </cell>
          <cell r="D874" t="str">
            <v>A1BG</v>
          </cell>
          <cell r="E874" t="str">
            <v>ES/TOUG</v>
          </cell>
          <cell r="F874" t="str">
            <v>SNIES</v>
          </cell>
          <cell r="G874">
            <v>23</v>
          </cell>
          <cell r="H874" t="str">
            <v>Fournitures installation, mobilier et équipements scolaires</v>
          </cell>
          <cell r="I874" t="str">
            <v>SNIES</v>
          </cell>
          <cell r="K874" t="str">
            <v>FKDEA</v>
          </cell>
          <cell r="L874" t="str">
            <v>AON</v>
          </cell>
          <cell r="O874">
            <v>2</v>
          </cell>
          <cell r="P874">
            <v>2</v>
          </cell>
          <cell r="Q874" t="str">
            <v>lot</v>
          </cell>
          <cell r="S874">
            <v>369684.78105599998</v>
          </cell>
          <cell r="T874">
            <v>1</v>
          </cell>
          <cell r="U874">
            <v>0</v>
          </cell>
          <cell r="V874">
            <v>0</v>
          </cell>
          <cell r="W874">
            <v>739369.56211199996</v>
          </cell>
          <cell r="X874">
            <v>739369.56211199996</v>
          </cell>
          <cell r="Y874">
            <v>0</v>
          </cell>
          <cell r="Z874">
            <v>0</v>
          </cell>
          <cell r="AA874">
            <v>739369.56211199996</v>
          </cell>
          <cell r="AB874">
            <v>739369.56211199996</v>
          </cell>
          <cell r="AC874">
            <v>0</v>
          </cell>
          <cell r="AD874">
            <v>0</v>
          </cell>
          <cell r="AE874">
            <v>0</v>
          </cell>
          <cell r="AF874">
            <v>0</v>
          </cell>
          <cell r="AG874">
            <v>0</v>
          </cell>
          <cell r="AH874">
            <v>0</v>
          </cell>
        </row>
        <row r="875">
          <cell r="B875" t="str">
            <v>SNIES</v>
          </cell>
          <cell r="C875" t="str">
            <v>A1B</v>
          </cell>
          <cell r="D875" t="str">
            <v>A1BG</v>
          </cell>
          <cell r="E875" t="str">
            <v>ES/YOMO</v>
          </cell>
          <cell r="F875" t="str">
            <v>SNIES</v>
          </cell>
          <cell r="G875">
            <v>23</v>
          </cell>
          <cell r="H875" t="str">
            <v>Fournitures installation, mobilier et équipements scolaires</v>
          </cell>
          <cell r="I875" t="str">
            <v>SNIES</v>
          </cell>
          <cell r="K875" t="str">
            <v>FKDEA</v>
          </cell>
          <cell r="L875" t="str">
            <v>AON</v>
          </cell>
          <cell r="O875">
            <v>1</v>
          </cell>
          <cell r="P875">
            <v>1</v>
          </cell>
          <cell r="Q875" t="str">
            <v>lot</v>
          </cell>
          <cell r="S875">
            <v>369684.78105599998</v>
          </cell>
          <cell r="T875">
            <v>1</v>
          </cell>
          <cell r="U875">
            <v>0</v>
          </cell>
          <cell r="V875">
            <v>0</v>
          </cell>
          <cell r="W875">
            <v>369684.78105599998</v>
          </cell>
          <cell r="X875">
            <v>369684.78105599998</v>
          </cell>
          <cell r="Y875">
            <v>0</v>
          </cell>
          <cell r="Z875">
            <v>0</v>
          </cell>
          <cell r="AA875">
            <v>369684.78105599998</v>
          </cell>
          <cell r="AB875">
            <v>369684.78105599998</v>
          </cell>
          <cell r="AC875">
            <v>0</v>
          </cell>
          <cell r="AD875">
            <v>0</v>
          </cell>
          <cell r="AE875">
            <v>0</v>
          </cell>
          <cell r="AF875">
            <v>0</v>
          </cell>
          <cell r="AG875">
            <v>0</v>
          </cell>
          <cell r="AH875">
            <v>0</v>
          </cell>
        </row>
        <row r="876">
          <cell r="B876" t="str">
            <v>SNIES</v>
          </cell>
          <cell r="C876" t="str">
            <v>A1D</v>
          </cell>
          <cell r="D876" t="str">
            <v>A1DA</v>
          </cell>
          <cell r="E876" t="str">
            <v>SNIES</v>
          </cell>
          <cell r="F876" t="str">
            <v>SNIES</v>
          </cell>
          <cell r="G876">
            <v>25</v>
          </cell>
          <cell r="H876" t="str">
            <v>Consultants  études supervision et assistance à la gestion du projet</v>
          </cell>
          <cell r="I876" t="str">
            <v>SNIES</v>
          </cell>
          <cell r="K876" t="str">
            <v>FKDEA</v>
          </cell>
          <cell r="L876" t="str">
            <v>LR</v>
          </cell>
          <cell r="M876">
            <v>0.5</v>
          </cell>
          <cell r="N876">
            <v>0.5</v>
          </cell>
          <cell r="P876">
            <v>1</v>
          </cell>
          <cell r="Q876" t="str">
            <v>forfait</v>
          </cell>
          <cell r="S876">
            <v>5134510.8479999993</v>
          </cell>
          <cell r="T876">
            <v>1</v>
          </cell>
          <cell r="U876">
            <v>2567255.4239999996</v>
          </cell>
          <cell r="V876">
            <v>2567255.4239999996</v>
          </cell>
          <cell r="W876">
            <v>0</v>
          </cell>
          <cell r="X876">
            <v>5134510.8479999993</v>
          </cell>
          <cell r="Y876">
            <v>2567255.4239999996</v>
          </cell>
          <cell r="Z876">
            <v>2567255.4239999996</v>
          </cell>
          <cell r="AA876">
            <v>0</v>
          </cell>
          <cell r="AB876">
            <v>5134510.8479999993</v>
          </cell>
          <cell r="AC876">
            <v>0</v>
          </cell>
          <cell r="AD876">
            <v>0</v>
          </cell>
          <cell r="AE876">
            <v>0</v>
          </cell>
          <cell r="AF876">
            <v>0</v>
          </cell>
          <cell r="AG876">
            <v>0</v>
          </cell>
          <cell r="AH876">
            <v>0</v>
          </cell>
        </row>
        <row r="877">
          <cell r="B877" t="str">
            <v>SNIES</v>
          </cell>
          <cell r="C877" t="str">
            <v>B1B</v>
          </cell>
          <cell r="D877" t="str">
            <v>B1BH</v>
          </cell>
          <cell r="E877" t="str">
            <v>DNES</v>
          </cell>
          <cell r="F877" t="str">
            <v>SNIES</v>
          </cell>
          <cell r="G877">
            <v>12</v>
          </cell>
          <cell r="H877" t="str">
            <v>Formation initiale des enseignants des collèges</v>
          </cell>
          <cell r="I877" t="str">
            <v>ISSEG</v>
          </cell>
          <cell r="K877" t="str">
            <v>FKDEA</v>
          </cell>
          <cell r="L877" t="str">
            <v>AUT</v>
          </cell>
          <cell r="M877">
            <v>0.5</v>
          </cell>
          <cell r="N877">
            <v>0.5</v>
          </cell>
          <cell r="P877">
            <v>1</v>
          </cell>
          <cell r="Q877" t="str">
            <v>forfait</v>
          </cell>
          <cell r="S877">
            <v>3080706.5088</v>
          </cell>
          <cell r="T877">
            <v>1</v>
          </cell>
          <cell r="U877">
            <v>1540353.2544</v>
          </cell>
          <cell r="V877">
            <v>1540353.2544</v>
          </cell>
          <cell r="W877">
            <v>0</v>
          </cell>
          <cell r="X877">
            <v>3080706.5088</v>
          </cell>
          <cell r="Y877">
            <v>1540353.2544</v>
          </cell>
          <cell r="Z877">
            <v>1540353.2544</v>
          </cell>
          <cell r="AA877">
            <v>0</v>
          </cell>
          <cell r="AB877">
            <v>3080706.5088</v>
          </cell>
          <cell r="AC877">
            <v>0</v>
          </cell>
          <cell r="AD877">
            <v>0</v>
          </cell>
          <cell r="AE877">
            <v>0</v>
          </cell>
          <cell r="AF877">
            <v>0</v>
          </cell>
          <cell r="AG877">
            <v>0</v>
          </cell>
          <cell r="AH877">
            <v>0</v>
          </cell>
        </row>
        <row r="878">
          <cell r="B878" t="str">
            <v>SNIES</v>
          </cell>
          <cell r="C878" t="str">
            <v>D1B</v>
          </cell>
          <cell r="D878" t="str">
            <v>D1BD</v>
          </cell>
          <cell r="E878" t="str">
            <v>SO</v>
          </cell>
          <cell r="F878" t="str">
            <v>SNIES</v>
          </cell>
          <cell r="G878" t="str">
            <v>SO</v>
          </cell>
          <cell r="H878" t="str">
            <v>Non affectés sur projet BID  (15%)</v>
          </cell>
          <cell r="K878" t="str">
            <v>BID 3</v>
          </cell>
          <cell r="M878">
            <v>0.33333333333333331</v>
          </cell>
          <cell r="N878">
            <v>0.33333333333333331</v>
          </cell>
          <cell r="O878">
            <v>0.33333333333333331</v>
          </cell>
          <cell r="P878">
            <v>1</v>
          </cell>
          <cell r="Q878" t="str">
            <v>forfait</v>
          </cell>
          <cell r="S878">
            <v>4622158.8000000007</v>
          </cell>
          <cell r="T878">
            <v>1</v>
          </cell>
          <cell r="U878">
            <v>1540719.6</v>
          </cell>
          <cell r="V878">
            <v>1540719.6</v>
          </cell>
          <cell r="W878">
            <v>1540719.6</v>
          </cell>
          <cell r="X878">
            <v>4622158.8000000007</v>
          </cell>
          <cell r="Y878">
            <v>1540719.6</v>
          </cell>
          <cell r="Z878">
            <v>1540719.6</v>
          </cell>
          <cell r="AA878">
            <v>1540719.6</v>
          </cell>
          <cell r="AB878">
            <v>4622158.8000000007</v>
          </cell>
          <cell r="AC878">
            <v>0</v>
          </cell>
          <cell r="AD878">
            <v>0</v>
          </cell>
          <cell r="AE878">
            <v>0</v>
          </cell>
          <cell r="AF878">
            <v>0</v>
          </cell>
          <cell r="AG878">
            <v>0</v>
          </cell>
          <cell r="AH878">
            <v>0</v>
          </cell>
        </row>
        <row r="879">
          <cell r="B879" t="str">
            <v>SNIES</v>
          </cell>
          <cell r="C879" t="str">
            <v>A1A</v>
          </cell>
          <cell r="D879" t="str">
            <v>A1AJ</v>
          </cell>
          <cell r="E879" t="str">
            <v>EP/DUBR</v>
          </cell>
          <cell r="F879" t="str">
            <v>SNIES</v>
          </cell>
          <cell r="G879">
            <v>21</v>
          </cell>
          <cell r="H879" t="str">
            <v>EP Dubréka études architect et techniques</v>
          </cell>
          <cell r="I879" t="str">
            <v>SNIES</v>
          </cell>
          <cell r="K879" t="str">
            <v>BID 3</v>
          </cell>
          <cell r="L879" t="str">
            <v>AON</v>
          </cell>
          <cell r="M879">
            <v>21.666666666666668</v>
          </cell>
          <cell r="N879">
            <v>43.333333333333336</v>
          </cell>
          <cell r="P879">
            <v>65</v>
          </cell>
          <cell r="Q879" t="str">
            <v>cl coll</v>
          </cell>
          <cell r="S879">
            <v>5859.56</v>
          </cell>
          <cell r="T879">
            <v>1</v>
          </cell>
          <cell r="U879">
            <v>126957.13333333335</v>
          </cell>
          <cell r="V879">
            <v>253914.26666666669</v>
          </cell>
          <cell r="W879">
            <v>0</v>
          </cell>
          <cell r="X879">
            <v>380871.4</v>
          </cell>
          <cell r="Y879">
            <v>126957.13333333335</v>
          </cell>
          <cell r="Z879">
            <v>253914.26666666669</v>
          </cell>
          <cell r="AA879">
            <v>0</v>
          </cell>
          <cell r="AB879">
            <v>380871.4</v>
          </cell>
          <cell r="AC879">
            <v>0</v>
          </cell>
          <cell r="AD879">
            <v>0</v>
          </cell>
          <cell r="AE879">
            <v>0</v>
          </cell>
          <cell r="AF879">
            <v>0</v>
          </cell>
          <cell r="AG879">
            <v>0</v>
          </cell>
          <cell r="AH879">
            <v>0</v>
          </cell>
        </row>
        <row r="880">
          <cell r="B880" t="str">
            <v>SNIES</v>
          </cell>
          <cell r="C880" t="str">
            <v>A1A</v>
          </cell>
          <cell r="D880" t="str">
            <v>A1AJ</v>
          </cell>
          <cell r="E880" t="str">
            <v>EP/BOFF</v>
          </cell>
          <cell r="F880" t="str">
            <v>SNIES</v>
          </cell>
          <cell r="G880">
            <v>21</v>
          </cell>
          <cell r="H880" t="str">
            <v>EP Boffa études architect et techniques</v>
          </cell>
          <cell r="I880" t="str">
            <v>SNIES</v>
          </cell>
          <cell r="K880" t="str">
            <v>BID 3</v>
          </cell>
          <cell r="L880" t="str">
            <v>AON</v>
          </cell>
          <cell r="M880">
            <v>23</v>
          </cell>
          <cell r="N880">
            <v>46</v>
          </cell>
          <cell r="P880">
            <v>69</v>
          </cell>
          <cell r="Q880" t="str">
            <v>cl coll</v>
          </cell>
          <cell r="S880">
            <v>5859.56</v>
          </cell>
          <cell r="T880">
            <v>1</v>
          </cell>
          <cell r="U880">
            <v>134769.88</v>
          </cell>
          <cell r="V880">
            <v>269539.76</v>
          </cell>
          <cell r="W880">
            <v>0</v>
          </cell>
          <cell r="X880">
            <v>404309.64</v>
          </cell>
          <cell r="Y880">
            <v>134769.88</v>
          </cell>
          <cell r="Z880">
            <v>269539.76</v>
          </cell>
          <cell r="AA880">
            <v>0</v>
          </cell>
          <cell r="AB880">
            <v>404309.64</v>
          </cell>
          <cell r="AC880">
            <v>0</v>
          </cell>
          <cell r="AD880">
            <v>0</v>
          </cell>
          <cell r="AE880">
            <v>0</v>
          </cell>
          <cell r="AF880">
            <v>0</v>
          </cell>
          <cell r="AG880">
            <v>0</v>
          </cell>
          <cell r="AH880">
            <v>0</v>
          </cell>
        </row>
        <row r="881">
          <cell r="B881" t="str">
            <v>SNIES</v>
          </cell>
          <cell r="C881" t="str">
            <v>A1A</v>
          </cell>
          <cell r="D881" t="str">
            <v>A1AJ</v>
          </cell>
          <cell r="E881" t="str">
            <v>EP/BOKE</v>
          </cell>
          <cell r="F881" t="str">
            <v>SNIES</v>
          </cell>
          <cell r="G881">
            <v>21</v>
          </cell>
          <cell r="H881" t="str">
            <v>EP Boké études architect et techniques</v>
          </cell>
          <cell r="I881" t="str">
            <v>SNIES</v>
          </cell>
          <cell r="K881" t="str">
            <v>BID 3</v>
          </cell>
          <cell r="L881" t="str">
            <v>AON</v>
          </cell>
          <cell r="M881">
            <v>27.666666666666668</v>
          </cell>
          <cell r="N881">
            <v>55.333333333333336</v>
          </cell>
          <cell r="P881">
            <v>83</v>
          </cell>
          <cell r="Q881" t="str">
            <v>cl coll</v>
          </cell>
          <cell r="S881">
            <v>5859.56</v>
          </cell>
          <cell r="T881">
            <v>1</v>
          </cell>
          <cell r="U881">
            <v>162114.49333333335</v>
          </cell>
          <cell r="V881">
            <v>324228.98666666669</v>
          </cell>
          <cell r="W881">
            <v>0</v>
          </cell>
          <cell r="X881">
            <v>486343.48000000004</v>
          </cell>
          <cell r="Y881">
            <v>162114.49333333335</v>
          </cell>
          <cell r="Z881">
            <v>324228.98666666669</v>
          </cell>
          <cell r="AA881">
            <v>0</v>
          </cell>
          <cell r="AB881">
            <v>486343.48000000004</v>
          </cell>
          <cell r="AC881">
            <v>0</v>
          </cell>
          <cell r="AD881">
            <v>0</v>
          </cell>
          <cell r="AE881">
            <v>0</v>
          </cell>
          <cell r="AF881">
            <v>0</v>
          </cell>
          <cell r="AG881">
            <v>0</v>
          </cell>
          <cell r="AH881">
            <v>0</v>
          </cell>
        </row>
        <row r="882">
          <cell r="B882" t="str">
            <v>SNIES</v>
          </cell>
          <cell r="C882" t="str">
            <v>A1A</v>
          </cell>
          <cell r="D882" t="str">
            <v>A1AJ</v>
          </cell>
          <cell r="E882" t="str">
            <v>EP/GAOU</v>
          </cell>
          <cell r="F882" t="str">
            <v>SNIES</v>
          </cell>
          <cell r="G882">
            <v>21</v>
          </cell>
          <cell r="H882" t="str">
            <v>EP Gaoual études architect et techniques</v>
          </cell>
          <cell r="I882" t="str">
            <v>SNIES</v>
          </cell>
          <cell r="K882" t="str">
            <v>BID 3</v>
          </cell>
          <cell r="L882" t="str">
            <v>AON</v>
          </cell>
          <cell r="M882">
            <v>27.666666666666668</v>
          </cell>
          <cell r="N882">
            <v>55.333333333333336</v>
          </cell>
          <cell r="P882">
            <v>83</v>
          </cell>
          <cell r="Q882" t="str">
            <v>cl coll</v>
          </cell>
          <cell r="S882">
            <v>5859.56</v>
          </cell>
          <cell r="T882">
            <v>1</v>
          </cell>
          <cell r="U882">
            <v>162114.49333333335</v>
          </cell>
          <cell r="V882">
            <v>324228.98666666669</v>
          </cell>
          <cell r="W882">
            <v>0</v>
          </cell>
          <cell r="X882">
            <v>486343.48000000004</v>
          </cell>
          <cell r="Y882">
            <v>162114.49333333335</v>
          </cell>
          <cell r="Z882">
            <v>324228.98666666669</v>
          </cell>
          <cell r="AA882">
            <v>0</v>
          </cell>
          <cell r="AB882">
            <v>486343.48000000004</v>
          </cell>
          <cell r="AC882">
            <v>0</v>
          </cell>
          <cell r="AD882">
            <v>0</v>
          </cell>
          <cell r="AE882">
            <v>0</v>
          </cell>
          <cell r="AF882">
            <v>0</v>
          </cell>
          <cell r="AG882">
            <v>0</v>
          </cell>
          <cell r="AH882">
            <v>0</v>
          </cell>
        </row>
        <row r="883">
          <cell r="B883" t="str">
            <v>SNIES</v>
          </cell>
          <cell r="C883" t="str">
            <v>A1A</v>
          </cell>
          <cell r="D883" t="str">
            <v>A1AJ</v>
          </cell>
          <cell r="E883" t="str">
            <v>EP/DUBR</v>
          </cell>
          <cell r="F883" t="str">
            <v>SNIES</v>
          </cell>
          <cell r="G883">
            <v>22</v>
          </cell>
          <cell r="H883" t="str">
            <v>EP Dubréka construction classes +bur+mag</v>
          </cell>
          <cell r="I883" t="str">
            <v>SNIES</v>
          </cell>
          <cell r="K883" t="str">
            <v>BID 3</v>
          </cell>
          <cell r="L883" t="str">
            <v>AON</v>
          </cell>
          <cell r="M883">
            <v>22</v>
          </cell>
          <cell r="N883">
            <v>11</v>
          </cell>
          <cell r="P883">
            <v>33</v>
          </cell>
          <cell r="Q883" t="str">
            <v>cl coll</v>
          </cell>
          <cell r="R883">
            <v>21.945477045359965</v>
          </cell>
          <cell r="S883">
            <v>80692.05</v>
          </cell>
          <cell r="T883">
            <v>0.83399999999999996</v>
          </cell>
          <cell r="U883">
            <v>1775225.1</v>
          </cell>
          <cell r="V883">
            <v>887612.55</v>
          </cell>
          <cell r="W883">
            <v>0</v>
          </cell>
          <cell r="X883">
            <v>2662837.6500000004</v>
          </cell>
          <cell r="Y883">
            <v>1480537.7334</v>
          </cell>
          <cell r="Z883">
            <v>740268.86670000001</v>
          </cell>
          <cell r="AA883">
            <v>0</v>
          </cell>
          <cell r="AB883">
            <v>2220806.6000999999</v>
          </cell>
          <cell r="AC883">
            <v>294687.36660000007</v>
          </cell>
          <cell r="AD883">
            <v>147343.68330000003</v>
          </cell>
          <cell r="AE883">
            <v>0</v>
          </cell>
          <cell r="AF883">
            <v>442031.0499000001</v>
          </cell>
          <cell r="AG883">
            <v>0</v>
          </cell>
          <cell r="AH883">
            <v>0</v>
          </cell>
        </row>
        <row r="884">
          <cell r="B884" t="str">
            <v>SNIES</v>
          </cell>
          <cell r="C884" t="str">
            <v>A1A</v>
          </cell>
          <cell r="D884" t="str">
            <v>A1AJ</v>
          </cell>
          <cell r="E884" t="str">
            <v>EP/BOFF</v>
          </cell>
          <cell r="F884" t="str">
            <v>SNIES</v>
          </cell>
          <cell r="G884">
            <v>22</v>
          </cell>
          <cell r="H884" t="str">
            <v>EP Boffa construction classes +bur+mag</v>
          </cell>
          <cell r="I884" t="str">
            <v>SNIES</v>
          </cell>
          <cell r="K884" t="str">
            <v>BID 3</v>
          </cell>
          <cell r="L884" t="str">
            <v>AON</v>
          </cell>
          <cell r="M884">
            <v>20</v>
          </cell>
          <cell r="N884">
            <v>10</v>
          </cell>
          <cell r="P884">
            <v>30</v>
          </cell>
          <cell r="Q884" t="str">
            <v>cl coll</v>
          </cell>
          <cell r="S884">
            <v>80692.05</v>
          </cell>
          <cell r="T884">
            <v>0.83399999999999996</v>
          </cell>
          <cell r="U884">
            <v>1613841</v>
          </cell>
          <cell r="V884">
            <v>806920.5</v>
          </cell>
          <cell r="W884">
            <v>0</v>
          </cell>
          <cell r="X884">
            <v>2420761.5</v>
          </cell>
          <cell r="Y884">
            <v>1345943.3939999999</v>
          </cell>
          <cell r="Z884">
            <v>672971.69699999993</v>
          </cell>
          <cell r="AA884">
            <v>0</v>
          </cell>
          <cell r="AB884">
            <v>2018915.0909999998</v>
          </cell>
          <cell r="AC884">
            <v>267897.60600000015</v>
          </cell>
          <cell r="AD884">
            <v>133948.80300000007</v>
          </cell>
          <cell r="AE884">
            <v>0</v>
          </cell>
          <cell r="AF884">
            <v>401846.40900000022</v>
          </cell>
          <cell r="AG884">
            <v>0</v>
          </cell>
          <cell r="AH884">
            <v>0</v>
          </cell>
        </row>
        <row r="885">
          <cell r="B885" t="str">
            <v>SNIES</v>
          </cell>
          <cell r="C885" t="str">
            <v>A1A</v>
          </cell>
          <cell r="D885" t="str">
            <v>A1AJ</v>
          </cell>
          <cell r="E885" t="str">
            <v>EP/BOKE</v>
          </cell>
          <cell r="F885" t="str">
            <v>SNIES</v>
          </cell>
          <cell r="G885">
            <v>22</v>
          </cell>
          <cell r="H885" t="str">
            <v>EP Boké construction classes +bur+mag</v>
          </cell>
          <cell r="I885" t="str">
            <v>SNIES</v>
          </cell>
          <cell r="K885" t="str">
            <v>BID 3</v>
          </cell>
          <cell r="L885" t="str">
            <v>AON</v>
          </cell>
          <cell r="M885">
            <v>34</v>
          </cell>
          <cell r="N885">
            <v>17</v>
          </cell>
          <cell r="P885">
            <v>51</v>
          </cell>
          <cell r="Q885" t="str">
            <v>cl coll</v>
          </cell>
          <cell r="S885">
            <v>80692.05</v>
          </cell>
          <cell r="T885">
            <v>0.83399999999999996</v>
          </cell>
          <cell r="U885">
            <v>2743529.7</v>
          </cell>
          <cell r="V885">
            <v>1371764.85</v>
          </cell>
          <cell r="W885">
            <v>0</v>
          </cell>
          <cell r="X885">
            <v>4115294.5500000003</v>
          </cell>
          <cell r="Y885">
            <v>2288103.7697999999</v>
          </cell>
          <cell r="Z885">
            <v>1144051.8848999999</v>
          </cell>
          <cell r="AA885">
            <v>0</v>
          </cell>
          <cell r="AB885">
            <v>3432155.6546999998</v>
          </cell>
          <cell r="AC885">
            <v>455425.93020000029</v>
          </cell>
          <cell r="AD885">
            <v>227712.96510000015</v>
          </cell>
          <cell r="AE885">
            <v>0</v>
          </cell>
          <cell r="AF885">
            <v>683138.89530000044</v>
          </cell>
          <cell r="AG885">
            <v>0</v>
          </cell>
          <cell r="AH885">
            <v>0</v>
          </cell>
        </row>
        <row r="886">
          <cell r="B886" t="str">
            <v>SNIES</v>
          </cell>
          <cell r="C886" t="str">
            <v>A1A</v>
          </cell>
          <cell r="D886" t="str">
            <v>A1AJ</v>
          </cell>
          <cell r="E886" t="str">
            <v>EP/GAOU</v>
          </cell>
          <cell r="F886" t="str">
            <v>SNIES</v>
          </cell>
          <cell r="G886">
            <v>22</v>
          </cell>
          <cell r="H886" t="str">
            <v>EP Gaoual construction classes +bur+mag</v>
          </cell>
          <cell r="I886" t="str">
            <v>SNIES</v>
          </cell>
          <cell r="K886" t="str">
            <v>BID 3</v>
          </cell>
          <cell r="L886" t="str">
            <v>AON</v>
          </cell>
          <cell r="M886">
            <v>24</v>
          </cell>
          <cell r="N886">
            <v>12</v>
          </cell>
          <cell r="P886">
            <v>36</v>
          </cell>
          <cell r="Q886" t="str">
            <v>cl coll</v>
          </cell>
          <cell r="S886">
            <v>80692.05</v>
          </cell>
          <cell r="T886">
            <v>0.83399999999999996</v>
          </cell>
          <cell r="U886">
            <v>1936609.2000000002</v>
          </cell>
          <cell r="V886">
            <v>968304.60000000009</v>
          </cell>
          <cell r="W886">
            <v>0</v>
          </cell>
          <cell r="X886">
            <v>2904913.8000000003</v>
          </cell>
          <cell r="Y886">
            <v>1615132.0728000002</v>
          </cell>
          <cell r="Z886">
            <v>807566.0364000001</v>
          </cell>
          <cell r="AA886">
            <v>0</v>
          </cell>
          <cell r="AB886">
            <v>2422698.1092000003</v>
          </cell>
          <cell r="AC886">
            <v>321477.12719999999</v>
          </cell>
          <cell r="AD886">
            <v>160738.56359999999</v>
          </cell>
          <cell r="AE886">
            <v>0</v>
          </cell>
          <cell r="AF886">
            <v>482215.69079999998</v>
          </cell>
          <cell r="AG886">
            <v>0</v>
          </cell>
          <cell r="AH886">
            <v>0</v>
          </cell>
        </row>
        <row r="887">
          <cell r="B887" t="str">
            <v>SNIES</v>
          </cell>
          <cell r="C887" t="str">
            <v>A1A</v>
          </cell>
          <cell r="D887" t="str">
            <v>A1AJ</v>
          </cell>
          <cell r="E887" t="str">
            <v>EP/DUBR</v>
          </cell>
          <cell r="F887" t="str">
            <v>SNIES</v>
          </cell>
          <cell r="G887" t="str">
            <v>22R</v>
          </cell>
          <cell r="H887" t="str">
            <v>EP Dubréka réhabilitation classes +bur+mag</v>
          </cell>
          <cell r="I887" t="str">
            <v>SNIES</v>
          </cell>
          <cell r="K887" t="str">
            <v>BID 3</v>
          </cell>
          <cell r="L887" t="str">
            <v>AON</v>
          </cell>
          <cell r="N887">
            <v>32</v>
          </cell>
          <cell r="P887">
            <v>32</v>
          </cell>
          <cell r="Q887" t="str">
            <v>cl coll</v>
          </cell>
          <cell r="R887">
            <v>12.692065925925926</v>
          </cell>
          <cell r="S887">
            <v>48415.23</v>
          </cell>
          <cell r="T887">
            <v>0.83399999999999996</v>
          </cell>
          <cell r="U887">
            <v>0</v>
          </cell>
          <cell r="V887">
            <v>1549287.36</v>
          </cell>
          <cell r="W887">
            <v>0</v>
          </cell>
          <cell r="X887">
            <v>1549287.36</v>
          </cell>
          <cell r="Y887">
            <v>0</v>
          </cell>
          <cell r="Z887">
            <v>1292105.65824</v>
          </cell>
          <cell r="AA887">
            <v>0</v>
          </cell>
          <cell r="AB887">
            <v>1292105.65824</v>
          </cell>
          <cell r="AC887">
            <v>0</v>
          </cell>
          <cell r="AD887">
            <v>257181.70176000008</v>
          </cell>
          <cell r="AE887">
            <v>0</v>
          </cell>
          <cell r="AF887">
            <v>257181.70176000008</v>
          </cell>
          <cell r="AG887">
            <v>0</v>
          </cell>
          <cell r="AH887">
            <v>0</v>
          </cell>
        </row>
        <row r="888">
          <cell r="B888" t="str">
            <v>SNIES</v>
          </cell>
          <cell r="C888" t="str">
            <v>A1A</v>
          </cell>
          <cell r="D888" t="str">
            <v>A1AJ</v>
          </cell>
          <cell r="E888" t="str">
            <v>EP/BOFF</v>
          </cell>
          <cell r="F888" t="str">
            <v>SNIES</v>
          </cell>
          <cell r="G888" t="str">
            <v>22R</v>
          </cell>
          <cell r="H888" t="str">
            <v>EP Boffa réhabilitation classes +bur+mag</v>
          </cell>
          <cell r="I888" t="str">
            <v>SNIES</v>
          </cell>
          <cell r="K888" t="str">
            <v>BID 3</v>
          </cell>
          <cell r="L888" t="str">
            <v>AON</v>
          </cell>
          <cell r="N888">
            <v>39</v>
          </cell>
          <cell r="P888">
            <v>39</v>
          </cell>
          <cell r="Q888" t="str">
            <v>cl coll</v>
          </cell>
          <cell r="S888">
            <v>48415.23</v>
          </cell>
          <cell r="T888">
            <v>0.83399999999999996</v>
          </cell>
          <cell r="U888">
            <v>0</v>
          </cell>
          <cell r="V888">
            <v>1888193.9700000002</v>
          </cell>
          <cell r="W888">
            <v>0</v>
          </cell>
          <cell r="X888">
            <v>1888193.9700000002</v>
          </cell>
          <cell r="Y888">
            <v>0</v>
          </cell>
          <cell r="Z888">
            <v>1574753.77098</v>
          </cell>
          <cell r="AA888">
            <v>0</v>
          </cell>
          <cell r="AB888">
            <v>1574753.77098</v>
          </cell>
          <cell r="AC888">
            <v>0</v>
          </cell>
          <cell r="AD888">
            <v>313440.19902000017</v>
          </cell>
          <cell r="AE888">
            <v>0</v>
          </cell>
          <cell r="AF888">
            <v>313440.19902000017</v>
          </cell>
          <cell r="AG888">
            <v>0</v>
          </cell>
          <cell r="AH888">
            <v>0</v>
          </cell>
        </row>
        <row r="889">
          <cell r="B889" t="str">
            <v>SNIES</v>
          </cell>
          <cell r="C889" t="str">
            <v>A1A</v>
          </cell>
          <cell r="D889" t="str">
            <v>A1AJ</v>
          </cell>
          <cell r="E889" t="str">
            <v>EP/BOKE</v>
          </cell>
          <cell r="F889" t="str">
            <v>SNIES</v>
          </cell>
          <cell r="G889" t="str">
            <v>22R</v>
          </cell>
          <cell r="H889" t="str">
            <v>EP Boké réhabilitation classes +bur+mag</v>
          </cell>
          <cell r="I889" t="str">
            <v>SNIES</v>
          </cell>
          <cell r="K889" t="str">
            <v>BID 3</v>
          </cell>
          <cell r="L889" t="str">
            <v>AON</v>
          </cell>
          <cell r="N889">
            <v>32</v>
          </cell>
          <cell r="P889">
            <v>32</v>
          </cell>
          <cell r="Q889" t="str">
            <v>cl coll</v>
          </cell>
          <cell r="S889">
            <v>48415.23</v>
          </cell>
          <cell r="T889">
            <v>0.83399999999999996</v>
          </cell>
          <cell r="U889">
            <v>0</v>
          </cell>
          <cell r="V889">
            <v>1549287.36</v>
          </cell>
          <cell r="W889">
            <v>0</v>
          </cell>
          <cell r="X889">
            <v>1549287.36</v>
          </cell>
          <cell r="Y889">
            <v>0</v>
          </cell>
          <cell r="Z889">
            <v>1292105.65824</v>
          </cell>
          <cell r="AA889">
            <v>0</v>
          </cell>
          <cell r="AB889">
            <v>1292105.65824</v>
          </cell>
          <cell r="AC889">
            <v>0</v>
          </cell>
          <cell r="AD889">
            <v>257181.70176000008</v>
          </cell>
          <cell r="AE889">
            <v>0</v>
          </cell>
          <cell r="AF889">
            <v>257181.70176000008</v>
          </cell>
          <cell r="AG889">
            <v>0</v>
          </cell>
          <cell r="AH889">
            <v>0</v>
          </cell>
        </row>
        <row r="890">
          <cell r="B890" t="str">
            <v>SNIES</v>
          </cell>
          <cell r="C890" t="str">
            <v>A1A</v>
          </cell>
          <cell r="D890" t="str">
            <v>A1AJ</v>
          </cell>
          <cell r="E890" t="str">
            <v>EP/GAOU</v>
          </cell>
          <cell r="F890" t="str">
            <v>SNIES</v>
          </cell>
          <cell r="G890" t="str">
            <v>22R</v>
          </cell>
          <cell r="H890" t="str">
            <v>EP Gaoual réhabilitation classes +bur+mag</v>
          </cell>
          <cell r="I890" t="str">
            <v>SNIES</v>
          </cell>
          <cell r="K890" t="str">
            <v>BID 3</v>
          </cell>
          <cell r="L890" t="str">
            <v>AON</v>
          </cell>
          <cell r="N890">
            <v>47</v>
          </cell>
          <cell r="P890">
            <v>47</v>
          </cell>
          <cell r="Q890" t="str">
            <v>cl coll</v>
          </cell>
          <cell r="S890">
            <v>48415.23</v>
          </cell>
          <cell r="T890">
            <v>0.83399999999999996</v>
          </cell>
          <cell r="U890">
            <v>0</v>
          </cell>
          <cell r="V890">
            <v>2275515.81</v>
          </cell>
          <cell r="W890">
            <v>0</v>
          </cell>
          <cell r="X890">
            <v>2275515.81</v>
          </cell>
          <cell r="Y890">
            <v>0</v>
          </cell>
          <cell r="Z890">
            <v>1897780.18554</v>
          </cell>
          <cell r="AA890">
            <v>0</v>
          </cell>
          <cell r="AB890">
            <v>1897780.18554</v>
          </cell>
          <cell r="AC890">
            <v>0</v>
          </cell>
          <cell r="AD890">
            <v>377735.62446000008</v>
          </cell>
          <cell r="AE890">
            <v>0</v>
          </cell>
          <cell r="AF890">
            <v>377735.62446000008</v>
          </cell>
          <cell r="AG890">
            <v>0</v>
          </cell>
          <cell r="AH890">
            <v>0</v>
          </cell>
        </row>
        <row r="891">
          <cell r="B891" t="str">
            <v>SNIES</v>
          </cell>
          <cell r="C891" t="str">
            <v>A1A</v>
          </cell>
          <cell r="D891" t="str">
            <v>A1AJ</v>
          </cell>
          <cell r="E891" t="str">
            <v>EP/DUBR</v>
          </cell>
          <cell r="F891" t="str">
            <v>SNIES</v>
          </cell>
          <cell r="G891">
            <v>23</v>
          </cell>
          <cell r="H891" t="str">
            <v>EP Dubréka equipement et mobilier</v>
          </cell>
          <cell r="I891" t="str">
            <v>SNIES</v>
          </cell>
          <cell r="K891" t="str">
            <v>BID 3</v>
          </cell>
          <cell r="L891" t="str">
            <v>AON</v>
          </cell>
          <cell r="N891">
            <v>65</v>
          </cell>
          <cell r="P891">
            <v>65</v>
          </cell>
          <cell r="Q891" t="str">
            <v>lot</v>
          </cell>
          <cell r="S891">
            <v>8699.0666666666675</v>
          </cell>
          <cell r="T891">
            <v>1</v>
          </cell>
          <cell r="U891">
            <v>0</v>
          </cell>
          <cell r="V891">
            <v>565439.33333333337</v>
          </cell>
          <cell r="W891">
            <v>0</v>
          </cell>
          <cell r="X891">
            <v>565439.33333333337</v>
          </cell>
          <cell r="Y891">
            <v>0</v>
          </cell>
          <cell r="Z891">
            <v>565439.33333333337</v>
          </cell>
          <cell r="AA891">
            <v>0</v>
          </cell>
          <cell r="AB891">
            <v>565439.33333333337</v>
          </cell>
          <cell r="AC891">
            <v>0</v>
          </cell>
          <cell r="AD891">
            <v>0</v>
          </cell>
          <cell r="AE891">
            <v>0</v>
          </cell>
          <cell r="AF891">
            <v>0</v>
          </cell>
          <cell r="AG891">
            <v>0</v>
          </cell>
          <cell r="AH891">
            <v>0</v>
          </cell>
        </row>
        <row r="892">
          <cell r="B892" t="str">
            <v>SNIES</v>
          </cell>
          <cell r="C892" t="str">
            <v>A1A</v>
          </cell>
          <cell r="D892" t="str">
            <v>A1AJ</v>
          </cell>
          <cell r="E892" t="str">
            <v>EP/BOFF</v>
          </cell>
          <cell r="F892" t="str">
            <v>SNIES</v>
          </cell>
          <cell r="G892">
            <v>23</v>
          </cell>
          <cell r="H892" t="str">
            <v xml:space="preserve">EP Boffa equipement et mobilier </v>
          </cell>
          <cell r="I892" t="str">
            <v>SNIES</v>
          </cell>
          <cell r="K892" t="str">
            <v>BID 3</v>
          </cell>
          <cell r="L892" t="str">
            <v>AON</v>
          </cell>
          <cell r="N892">
            <v>69</v>
          </cell>
          <cell r="P892">
            <v>69</v>
          </cell>
          <cell r="Q892" t="str">
            <v>lot</v>
          </cell>
          <cell r="S892">
            <v>8699.0666666666675</v>
          </cell>
          <cell r="T892">
            <v>1</v>
          </cell>
          <cell r="U892">
            <v>0</v>
          </cell>
          <cell r="V892">
            <v>600235.60000000009</v>
          </cell>
          <cell r="W892">
            <v>0</v>
          </cell>
          <cell r="X892">
            <v>600235.60000000009</v>
          </cell>
          <cell r="Y892">
            <v>0</v>
          </cell>
          <cell r="Z892">
            <v>600235.60000000009</v>
          </cell>
          <cell r="AA892">
            <v>0</v>
          </cell>
          <cell r="AB892">
            <v>600235.60000000009</v>
          </cell>
          <cell r="AC892">
            <v>0</v>
          </cell>
          <cell r="AD892">
            <v>0</v>
          </cell>
          <cell r="AE892">
            <v>0</v>
          </cell>
          <cell r="AF892">
            <v>0</v>
          </cell>
          <cell r="AG892">
            <v>0</v>
          </cell>
          <cell r="AH892">
            <v>0</v>
          </cell>
        </row>
        <row r="893">
          <cell r="B893" t="str">
            <v>SNIES</v>
          </cell>
          <cell r="C893" t="str">
            <v>A1A</v>
          </cell>
          <cell r="D893" t="str">
            <v>A1AJ</v>
          </cell>
          <cell r="E893" t="str">
            <v>EP/BOKE</v>
          </cell>
          <cell r="F893" t="str">
            <v>SNIES</v>
          </cell>
          <cell r="G893">
            <v>23</v>
          </cell>
          <cell r="H893" t="str">
            <v xml:space="preserve">EP Boké equipement et mobilier </v>
          </cell>
          <cell r="I893" t="str">
            <v>SNIES</v>
          </cell>
          <cell r="K893" t="str">
            <v>BID 3</v>
          </cell>
          <cell r="L893" t="str">
            <v>AON</v>
          </cell>
          <cell r="N893">
            <v>83</v>
          </cell>
          <cell r="P893">
            <v>83</v>
          </cell>
          <cell r="Q893" t="str">
            <v>lot</v>
          </cell>
          <cell r="S893">
            <v>8699.0666666666675</v>
          </cell>
          <cell r="T893">
            <v>1</v>
          </cell>
          <cell r="U893">
            <v>0</v>
          </cell>
          <cell r="V893">
            <v>722022.53333333344</v>
          </cell>
          <cell r="W893">
            <v>0</v>
          </cell>
          <cell r="X893">
            <v>722022.53333333344</v>
          </cell>
          <cell r="Y893">
            <v>0</v>
          </cell>
          <cell r="Z893">
            <v>722022.53333333344</v>
          </cell>
          <cell r="AA893">
            <v>0</v>
          </cell>
          <cell r="AB893">
            <v>722022.53333333344</v>
          </cell>
          <cell r="AC893">
            <v>0</v>
          </cell>
          <cell r="AD893">
            <v>0</v>
          </cell>
          <cell r="AE893">
            <v>0</v>
          </cell>
          <cell r="AF893">
            <v>0</v>
          </cell>
          <cell r="AG893">
            <v>0</v>
          </cell>
          <cell r="AH893">
            <v>0</v>
          </cell>
        </row>
        <row r="894">
          <cell r="B894" t="str">
            <v>SNIES</v>
          </cell>
          <cell r="C894" t="str">
            <v>A1A</v>
          </cell>
          <cell r="D894" t="str">
            <v>A1AJ</v>
          </cell>
          <cell r="E894" t="str">
            <v>EP/GAOU</v>
          </cell>
          <cell r="F894" t="str">
            <v>SNIES</v>
          </cell>
          <cell r="G894">
            <v>23</v>
          </cell>
          <cell r="H894" t="str">
            <v xml:space="preserve">EP Gaoual equipement et mobilier </v>
          </cell>
          <cell r="I894" t="str">
            <v>SNIES</v>
          </cell>
          <cell r="K894" t="str">
            <v>BID 3</v>
          </cell>
          <cell r="L894" t="str">
            <v>AON</v>
          </cell>
          <cell r="N894">
            <v>83</v>
          </cell>
          <cell r="P894">
            <v>83</v>
          </cell>
          <cell r="Q894" t="str">
            <v>lot</v>
          </cell>
          <cell r="S894">
            <v>8699.0666666666675</v>
          </cell>
          <cell r="T894">
            <v>1</v>
          </cell>
          <cell r="U894">
            <v>0</v>
          </cell>
          <cell r="V894">
            <v>722022.53333333344</v>
          </cell>
          <cell r="W894">
            <v>0</v>
          </cell>
          <cell r="X894">
            <v>722022.53333333344</v>
          </cell>
          <cell r="Y894">
            <v>0</v>
          </cell>
          <cell r="Z894">
            <v>722022.53333333344</v>
          </cell>
          <cell r="AA894">
            <v>0</v>
          </cell>
          <cell r="AB894">
            <v>722022.53333333344</v>
          </cell>
          <cell r="AC894">
            <v>0</v>
          </cell>
          <cell r="AD894">
            <v>0</v>
          </cell>
          <cell r="AE894">
            <v>0</v>
          </cell>
          <cell r="AF894">
            <v>0</v>
          </cell>
          <cell r="AG894">
            <v>0</v>
          </cell>
          <cell r="AH894">
            <v>0</v>
          </cell>
        </row>
        <row r="895">
          <cell r="B895" t="str">
            <v>SNIES</v>
          </cell>
          <cell r="C895" t="str">
            <v>A1A</v>
          </cell>
          <cell r="D895" t="str">
            <v>A1AJ</v>
          </cell>
          <cell r="E895" t="str">
            <v>EP/DUBR</v>
          </cell>
          <cell r="F895" t="str">
            <v>SNIES</v>
          </cell>
          <cell r="G895">
            <v>23</v>
          </cell>
          <cell r="H895" t="str">
            <v>EP Dubréka motocyclettes</v>
          </cell>
          <cell r="I895" t="str">
            <v>SNIES</v>
          </cell>
          <cell r="K895" t="str">
            <v>BID 3</v>
          </cell>
          <cell r="L895" t="str">
            <v>AON</v>
          </cell>
          <cell r="N895">
            <v>20</v>
          </cell>
          <cell r="P895">
            <v>20</v>
          </cell>
          <cell r="Q895" t="str">
            <v>lot</v>
          </cell>
          <cell r="S895">
            <v>10511.910112359552</v>
          </cell>
          <cell r="T895">
            <v>1</v>
          </cell>
          <cell r="U895">
            <v>0</v>
          </cell>
          <cell r="V895">
            <v>210238.20224719105</v>
          </cell>
          <cell r="W895">
            <v>0</v>
          </cell>
          <cell r="X895">
            <v>210238.20224719105</v>
          </cell>
          <cell r="Y895">
            <v>0</v>
          </cell>
          <cell r="Z895">
            <v>210238.20224719105</v>
          </cell>
          <cell r="AA895">
            <v>0</v>
          </cell>
          <cell r="AB895">
            <v>210238.20224719105</v>
          </cell>
          <cell r="AC895">
            <v>0</v>
          </cell>
          <cell r="AD895">
            <v>0</v>
          </cell>
          <cell r="AE895">
            <v>0</v>
          </cell>
          <cell r="AF895">
            <v>0</v>
          </cell>
          <cell r="AG895">
            <v>0</v>
          </cell>
          <cell r="AH895">
            <v>0</v>
          </cell>
        </row>
        <row r="896">
          <cell r="B896" t="str">
            <v>SNIES</v>
          </cell>
          <cell r="C896" t="str">
            <v>A1A</v>
          </cell>
          <cell r="D896" t="str">
            <v>A1AJ</v>
          </cell>
          <cell r="E896" t="str">
            <v>EP/BOFF</v>
          </cell>
          <cell r="F896" t="str">
            <v>SNIES</v>
          </cell>
          <cell r="G896">
            <v>23</v>
          </cell>
          <cell r="H896" t="str">
            <v xml:space="preserve">EP Boffa motocyclettes </v>
          </cell>
          <cell r="I896" t="str">
            <v>SNIES</v>
          </cell>
          <cell r="K896" t="str">
            <v>BID 3</v>
          </cell>
          <cell r="L896" t="str">
            <v>AON</v>
          </cell>
          <cell r="N896">
            <v>23</v>
          </cell>
          <cell r="P896">
            <v>23</v>
          </cell>
          <cell r="Q896" t="str">
            <v>lot</v>
          </cell>
          <cell r="S896">
            <v>10511.910112359552</v>
          </cell>
          <cell r="T896">
            <v>1</v>
          </cell>
          <cell r="U896">
            <v>0</v>
          </cell>
          <cell r="V896">
            <v>241773.9325842697</v>
          </cell>
          <cell r="W896">
            <v>0</v>
          </cell>
          <cell r="X896">
            <v>241773.9325842697</v>
          </cell>
          <cell r="Y896">
            <v>0</v>
          </cell>
          <cell r="Z896">
            <v>241773.9325842697</v>
          </cell>
          <cell r="AA896">
            <v>0</v>
          </cell>
          <cell r="AB896">
            <v>241773.9325842697</v>
          </cell>
          <cell r="AC896">
            <v>0</v>
          </cell>
          <cell r="AD896">
            <v>0</v>
          </cell>
          <cell r="AE896">
            <v>0</v>
          </cell>
          <cell r="AF896">
            <v>0</v>
          </cell>
          <cell r="AG896">
            <v>0</v>
          </cell>
          <cell r="AH896">
            <v>0</v>
          </cell>
        </row>
        <row r="897">
          <cell r="B897" t="str">
            <v>SNIES</v>
          </cell>
          <cell r="C897" t="str">
            <v>A1A</v>
          </cell>
          <cell r="D897" t="str">
            <v>A1AJ</v>
          </cell>
          <cell r="E897" t="str">
            <v>EP/BOKE</v>
          </cell>
          <cell r="F897" t="str">
            <v>SNIES</v>
          </cell>
          <cell r="G897">
            <v>23</v>
          </cell>
          <cell r="H897" t="str">
            <v xml:space="preserve">EP Boké motocyclettes </v>
          </cell>
          <cell r="I897" t="str">
            <v>SNIES</v>
          </cell>
          <cell r="K897" t="str">
            <v>BID 3</v>
          </cell>
          <cell r="L897" t="str">
            <v>AON</v>
          </cell>
          <cell r="N897">
            <v>25</v>
          </cell>
          <cell r="P897">
            <v>25</v>
          </cell>
          <cell r="Q897" t="str">
            <v>lot</v>
          </cell>
          <cell r="S897">
            <v>10511.910112359552</v>
          </cell>
          <cell r="T897">
            <v>1</v>
          </cell>
          <cell r="U897">
            <v>0</v>
          </cell>
          <cell r="V897">
            <v>262797.75280898879</v>
          </cell>
          <cell r="W897">
            <v>0</v>
          </cell>
          <cell r="X897">
            <v>262797.75280898879</v>
          </cell>
          <cell r="Y897">
            <v>0</v>
          </cell>
          <cell r="Z897">
            <v>262797.75280898879</v>
          </cell>
          <cell r="AA897">
            <v>0</v>
          </cell>
          <cell r="AB897">
            <v>262797.75280898879</v>
          </cell>
          <cell r="AC897">
            <v>0</v>
          </cell>
          <cell r="AD897">
            <v>0</v>
          </cell>
          <cell r="AE897">
            <v>0</v>
          </cell>
          <cell r="AF897">
            <v>0</v>
          </cell>
          <cell r="AG897">
            <v>0</v>
          </cell>
          <cell r="AH897">
            <v>0</v>
          </cell>
        </row>
        <row r="898">
          <cell r="B898" t="str">
            <v>SNIES</v>
          </cell>
          <cell r="C898" t="str">
            <v>A1A</v>
          </cell>
          <cell r="D898" t="str">
            <v>A1AJ</v>
          </cell>
          <cell r="E898" t="str">
            <v>EP/GAOU</v>
          </cell>
          <cell r="F898" t="str">
            <v>SNIES</v>
          </cell>
          <cell r="G898">
            <v>23</v>
          </cell>
          <cell r="H898" t="str">
            <v xml:space="preserve">EP Gaoual motocyclettes </v>
          </cell>
          <cell r="I898" t="str">
            <v>SNIES</v>
          </cell>
          <cell r="K898" t="str">
            <v>BID 3</v>
          </cell>
          <cell r="L898" t="str">
            <v>AON</v>
          </cell>
          <cell r="N898">
            <v>21</v>
          </cell>
          <cell r="P898">
            <v>21</v>
          </cell>
          <cell r="Q898" t="str">
            <v>lot</v>
          </cell>
          <cell r="S898">
            <v>10511.910112359552</v>
          </cell>
          <cell r="T898">
            <v>1</v>
          </cell>
          <cell r="U898">
            <v>0</v>
          </cell>
          <cell r="V898">
            <v>220750.11235955058</v>
          </cell>
          <cell r="W898">
            <v>0</v>
          </cell>
          <cell r="X898">
            <v>220750.11235955058</v>
          </cell>
          <cell r="Y898">
            <v>0</v>
          </cell>
          <cell r="Z898">
            <v>220750.11235955058</v>
          </cell>
          <cell r="AA898">
            <v>0</v>
          </cell>
          <cell r="AB898">
            <v>220750.11235955058</v>
          </cell>
          <cell r="AC898">
            <v>0</v>
          </cell>
          <cell r="AD898">
            <v>0</v>
          </cell>
          <cell r="AE898">
            <v>0</v>
          </cell>
          <cell r="AF898">
            <v>0</v>
          </cell>
          <cell r="AG898">
            <v>0</v>
          </cell>
          <cell r="AH898">
            <v>0</v>
          </cell>
        </row>
        <row r="899">
          <cell r="B899" t="str">
            <v>SNIES</v>
          </cell>
          <cell r="C899" t="str">
            <v>A1A</v>
          </cell>
          <cell r="D899" t="str">
            <v>A1AJ</v>
          </cell>
          <cell r="E899" t="str">
            <v>EP/DUBR</v>
          </cell>
          <cell r="F899" t="str">
            <v>SNIES</v>
          </cell>
          <cell r="G899">
            <v>24</v>
          </cell>
          <cell r="H899" t="str">
            <v>EP Dubréka matériels didactiques</v>
          </cell>
          <cell r="I899" t="str">
            <v>SNIES</v>
          </cell>
          <cell r="K899" t="str">
            <v>BID 3</v>
          </cell>
          <cell r="L899" t="str">
            <v>AON</v>
          </cell>
          <cell r="N899">
            <v>65</v>
          </cell>
          <cell r="P899">
            <v>65</v>
          </cell>
          <cell r="Q899" t="str">
            <v>lot</v>
          </cell>
          <cell r="S899">
            <v>15116.68</v>
          </cell>
          <cell r="T899">
            <v>1</v>
          </cell>
          <cell r="U899">
            <v>0</v>
          </cell>
          <cell r="V899">
            <v>982584.20000000007</v>
          </cell>
          <cell r="W899">
            <v>0</v>
          </cell>
          <cell r="X899">
            <v>982584.20000000007</v>
          </cell>
          <cell r="Y899">
            <v>0</v>
          </cell>
          <cell r="Z899">
            <v>982584.20000000007</v>
          </cell>
          <cell r="AA899">
            <v>0</v>
          </cell>
          <cell r="AB899">
            <v>982584.20000000007</v>
          </cell>
          <cell r="AC899">
            <v>0</v>
          </cell>
          <cell r="AD899">
            <v>0</v>
          </cell>
          <cell r="AE899">
            <v>0</v>
          </cell>
          <cell r="AF899">
            <v>0</v>
          </cell>
          <cell r="AG899">
            <v>0</v>
          </cell>
          <cell r="AH899">
            <v>0</v>
          </cell>
        </row>
        <row r="900">
          <cell r="B900" t="str">
            <v>SNIES</v>
          </cell>
          <cell r="C900" t="str">
            <v>A1A</v>
          </cell>
          <cell r="D900" t="str">
            <v>A1AJ</v>
          </cell>
          <cell r="E900" t="str">
            <v>EP/BOFF</v>
          </cell>
          <cell r="F900" t="str">
            <v>SNIES</v>
          </cell>
          <cell r="G900">
            <v>24</v>
          </cell>
          <cell r="H900" t="str">
            <v xml:space="preserve">EP Boffa matériels didactiques </v>
          </cell>
          <cell r="I900" t="str">
            <v>SNIES</v>
          </cell>
          <cell r="K900" t="str">
            <v>BID 3</v>
          </cell>
          <cell r="L900" t="str">
            <v>AON</v>
          </cell>
          <cell r="N900">
            <v>69</v>
          </cell>
          <cell r="P900">
            <v>69</v>
          </cell>
          <cell r="Q900" t="str">
            <v>lot</v>
          </cell>
          <cell r="S900">
            <v>15116.68</v>
          </cell>
          <cell r="T900">
            <v>1</v>
          </cell>
          <cell r="U900">
            <v>0</v>
          </cell>
          <cell r="V900">
            <v>1043050.92</v>
          </cell>
          <cell r="W900">
            <v>0</v>
          </cell>
          <cell r="X900">
            <v>1043050.92</v>
          </cell>
          <cell r="Y900">
            <v>0</v>
          </cell>
          <cell r="Z900">
            <v>1043050.92</v>
          </cell>
          <cell r="AA900">
            <v>0</v>
          </cell>
          <cell r="AB900">
            <v>1043050.92</v>
          </cell>
          <cell r="AC900">
            <v>0</v>
          </cell>
          <cell r="AD900">
            <v>0</v>
          </cell>
          <cell r="AE900">
            <v>0</v>
          </cell>
          <cell r="AF900">
            <v>0</v>
          </cell>
          <cell r="AG900">
            <v>0</v>
          </cell>
          <cell r="AH900">
            <v>0</v>
          </cell>
        </row>
        <row r="901">
          <cell r="B901" t="str">
            <v>SNIES</v>
          </cell>
          <cell r="C901" t="str">
            <v>A1A</v>
          </cell>
          <cell r="D901" t="str">
            <v>A1AJ</v>
          </cell>
          <cell r="E901" t="str">
            <v>EP/BOKE</v>
          </cell>
          <cell r="F901" t="str">
            <v>SNIES</v>
          </cell>
          <cell r="G901">
            <v>24</v>
          </cell>
          <cell r="H901" t="str">
            <v xml:space="preserve">EP Boké matériels didactiques </v>
          </cell>
          <cell r="I901" t="str">
            <v>SNIES</v>
          </cell>
          <cell r="K901" t="str">
            <v>BID 3</v>
          </cell>
          <cell r="L901" t="str">
            <v>AON</v>
          </cell>
          <cell r="N901">
            <v>83</v>
          </cell>
          <cell r="P901">
            <v>83</v>
          </cell>
          <cell r="Q901" t="str">
            <v>lot</v>
          </cell>
          <cell r="S901">
            <v>15116.68</v>
          </cell>
          <cell r="T901">
            <v>1</v>
          </cell>
          <cell r="U901">
            <v>0</v>
          </cell>
          <cell r="V901">
            <v>1254684.44</v>
          </cell>
          <cell r="W901">
            <v>0</v>
          </cell>
          <cell r="X901">
            <v>1254684.44</v>
          </cell>
          <cell r="Y901">
            <v>0</v>
          </cell>
          <cell r="Z901">
            <v>1254684.44</v>
          </cell>
          <cell r="AA901">
            <v>0</v>
          </cell>
          <cell r="AB901">
            <v>1254684.44</v>
          </cell>
          <cell r="AC901">
            <v>0</v>
          </cell>
          <cell r="AD901">
            <v>0</v>
          </cell>
          <cell r="AE901">
            <v>0</v>
          </cell>
          <cell r="AF901">
            <v>0</v>
          </cell>
          <cell r="AG901">
            <v>0</v>
          </cell>
          <cell r="AH901">
            <v>0</v>
          </cell>
        </row>
        <row r="902">
          <cell r="B902" t="str">
            <v>SNIES</v>
          </cell>
          <cell r="C902" t="str">
            <v>A1A</v>
          </cell>
          <cell r="D902" t="str">
            <v>A1AJ</v>
          </cell>
          <cell r="E902" t="str">
            <v>EP/GAOU</v>
          </cell>
          <cell r="F902" t="str">
            <v>SNIES</v>
          </cell>
          <cell r="G902">
            <v>24</v>
          </cell>
          <cell r="H902" t="str">
            <v xml:space="preserve">EP Gaoual matériels didactiques </v>
          </cell>
          <cell r="I902" t="str">
            <v>SNIES</v>
          </cell>
          <cell r="K902" t="str">
            <v>BID 3</v>
          </cell>
          <cell r="L902" t="str">
            <v>AON</v>
          </cell>
          <cell r="N902">
            <v>83</v>
          </cell>
          <cell r="P902">
            <v>83</v>
          </cell>
          <cell r="Q902" t="str">
            <v>lot</v>
          </cell>
          <cell r="S902">
            <v>15116.68</v>
          </cell>
          <cell r="T902">
            <v>1</v>
          </cell>
          <cell r="U902">
            <v>0</v>
          </cell>
          <cell r="V902">
            <v>1254684.44</v>
          </cell>
          <cell r="W902">
            <v>0</v>
          </cell>
          <cell r="X902">
            <v>1254684.44</v>
          </cell>
          <cell r="Y902">
            <v>0</v>
          </cell>
          <cell r="Z902">
            <v>1254684.44</v>
          </cell>
          <cell r="AA902">
            <v>0</v>
          </cell>
          <cell r="AB902">
            <v>1254684.44</v>
          </cell>
          <cell r="AC902">
            <v>0</v>
          </cell>
          <cell r="AD902">
            <v>0</v>
          </cell>
          <cell r="AE902">
            <v>0</v>
          </cell>
          <cell r="AF902">
            <v>0</v>
          </cell>
          <cell r="AG902">
            <v>0</v>
          </cell>
          <cell r="AH902">
            <v>0</v>
          </cell>
        </row>
        <row r="903">
          <cell r="B903" t="str">
            <v>SNIES</v>
          </cell>
          <cell r="C903" t="str">
            <v>A1D</v>
          </cell>
          <cell r="D903" t="str">
            <v>A1DA</v>
          </cell>
          <cell r="E903" t="str">
            <v>SNIES</v>
          </cell>
          <cell r="F903" t="str">
            <v>SNIES</v>
          </cell>
          <cell r="G903">
            <v>15</v>
          </cell>
          <cell r="H903" t="str">
            <v>Fonctionnement de l'Unité de Gestion du Projet</v>
          </cell>
          <cell r="I903" t="str">
            <v>SNIES</v>
          </cell>
          <cell r="K903" t="str">
            <v>BID 3</v>
          </cell>
          <cell r="L903" t="str">
            <v>AUT</v>
          </cell>
          <cell r="M903">
            <v>0.25</v>
          </cell>
          <cell r="N903">
            <v>0.25</v>
          </cell>
          <cell r="O903">
            <v>0.25</v>
          </cell>
          <cell r="P903">
            <v>0.75</v>
          </cell>
          <cell r="Q903" t="str">
            <v>forfait</v>
          </cell>
          <cell r="S903">
            <v>132948</v>
          </cell>
          <cell r="T903">
            <v>1</v>
          </cell>
          <cell r="U903">
            <v>33237</v>
          </cell>
          <cell r="V903">
            <v>33237</v>
          </cell>
          <cell r="W903">
            <v>33237</v>
          </cell>
          <cell r="X903">
            <v>99711</v>
          </cell>
          <cell r="Y903">
            <v>33237</v>
          </cell>
          <cell r="Z903">
            <v>33237</v>
          </cell>
          <cell r="AA903">
            <v>33237</v>
          </cell>
          <cell r="AB903">
            <v>99711</v>
          </cell>
          <cell r="AC903">
            <v>0</v>
          </cell>
          <cell r="AD903">
            <v>0</v>
          </cell>
          <cell r="AE903">
            <v>0</v>
          </cell>
          <cell r="AF903">
            <v>0</v>
          </cell>
          <cell r="AG903">
            <v>0</v>
          </cell>
          <cell r="AH903">
            <v>0</v>
          </cell>
        </row>
        <row r="904">
          <cell r="B904" t="str">
            <v>SNIES</v>
          </cell>
          <cell r="C904" t="str">
            <v>B2B</v>
          </cell>
          <cell r="D904" t="str">
            <v>B2BB</v>
          </cell>
          <cell r="E904" t="str">
            <v>DNFPPP</v>
          </cell>
          <cell r="F904" t="str">
            <v>SNIES</v>
          </cell>
          <cell r="G904">
            <v>12</v>
          </cell>
          <cell r="H904" t="str">
            <v>Formation initiale de 150 maîtres</v>
          </cell>
          <cell r="I904" t="str">
            <v>DNFPPP</v>
          </cell>
          <cell r="K904" t="str">
            <v>BID 3</v>
          </cell>
          <cell r="L904" t="str">
            <v>AUT</v>
          </cell>
          <cell r="M904">
            <v>1</v>
          </cell>
          <cell r="P904">
            <v>1</v>
          </cell>
          <cell r="Q904" t="str">
            <v>lot</v>
          </cell>
          <cell r="S904">
            <v>738600</v>
          </cell>
          <cell r="T904">
            <v>1</v>
          </cell>
          <cell r="U904">
            <v>738600</v>
          </cell>
          <cell r="V904">
            <v>0</v>
          </cell>
          <cell r="W904">
            <v>0</v>
          </cell>
          <cell r="X904">
            <v>738600</v>
          </cell>
          <cell r="Y904">
            <v>738600</v>
          </cell>
          <cell r="Z904">
            <v>0</v>
          </cell>
          <cell r="AA904">
            <v>0</v>
          </cell>
          <cell r="AB904">
            <v>738600</v>
          </cell>
          <cell r="AC904">
            <v>0</v>
          </cell>
          <cell r="AD904">
            <v>0</v>
          </cell>
          <cell r="AE904">
            <v>0</v>
          </cell>
          <cell r="AF904">
            <v>0</v>
          </cell>
          <cell r="AG904">
            <v>0</v>
          </cell>
          <cell r="AH904">
            <v>0</v>
          </cell>
        </row>
        <row r="905">
          <cell r="B905" t="str">
            <v>SNIES</v>
          </cell>
          <cell r="C905" t="str">
            <v>B1A</v>
          </cell>
          <cell r="D905" t="str">
            <v>B1AE</v>
          </cell>
          <cell r="E905" t="str">
            <v>DNEE</v>
          </cell>
          <cell r="F905" t="str">
            <v>SNIES</v>
          </cell>
          <cell r="G905">
            <v>12</v>
          </cell>
          <cell r="H905" t="str">
            <v>Formation continue de 150 maîtres</v>
          </cell>
          <cell r="I905" t="str">
            <v>INRAP</v>
          </cell>
          <cell r="K905" t="str">
            <v>BID 3</v>
          </cell>
          <cell r="L905" t="str">
            <v>AUT</v>
          </cell>
          <cell r="M905">
            <v>1</v>
          </cell>
          <cell r="P905">
            <v>1</v>
          </cell>
          <cell r="Q905" t="str">
            <v>lot</v>
          </cell>
          <cell r="S905">
            <v>738600</v>
          </cell>
          <cell r="T905">
            <v>1</v>
          </cell>
          <cell r="U905">
            <v>738600</v>
          </cell>
          <cell r="V905">
            <v>0</v>
          </cell>
          <cell r="W905">
            <v>0</v>
          </cell>
          <cell r="X905">
            <v>738600</v>
          </cell>
          <cell r="Y905">
            <v>738600</v>
          </cell>
          <cell r="Z905">
            <v>0</v>
          </cell>
          <cell r="AA905">
            <v>0</v>
          </cell>
          <cell r="AB905">
            <v>738600</v>
          </cell>
          <cell r="AC905">
            <v>0</v>
          </cell>
          <cell r="AD905">
            <v>0</v>
          </cell>
          <cell r="AE905">
            <v>0</v>
          </cell>
          <cell r="AF905">
            <v>0</v>
          </cell>
          <cell r="AG905">
            <v>0</v>
          </cell>
          <cell r="AH905">
            <v>0</v>
          </cell>
        </row>
        <row r="906">
          <cell r="B906" t="str">
            <v>SNIES</v>
          </cell>
          <cell r="C906" t="str">
            <v>A1A</v>
          </cell>
          <cell r="D906" t="str">
            <v>A1AH</v>
          </cell>
          <cell r="E906" t="str">
            <v>EP/COYA</v>
          </cell>
          <cell r="F906" t="str">
            <v>JICA</v>
          </cell>
          <cell r="G906">
            <v>21</v>
          </cell>
          <cell r="H906" t="str">
            <v>EP études architect et techniques</v>
          </cell>
          <cell r="I906" t="str">
            <v>JICA</v>
          </cell>
          <cell r="K906" t="str">
            <v>JICA</v>
          </cell>
          <cell r="L906" t="str">
            <v>AOR</v>
          </cell>
          <cell r="N906">
            <v>69</v>
          </cell>
          <cell r="P906">
            <v>69</v>
          </cell>
          <cell r="Q906" t="str">
            <v>cl coll</v>
          </cell>
          <cell r="S906">
            <v>16570.940170940172</v>
          </cell>
          <cell r="T906">
            <v>1</v>
          </cell>
          <cell r="U906">
            <v>0</v>
          </cell>
          <cell r="V906">
            <v>1143394.8717948718</v>
          </cell>
          <cell r="W906">
            <v>0</v>
          </cell>
          <cell r="X906">
            <v>1143394.8717948718</v>
          </cell>
          <cell r="Y906">
            <v>0</v>
          </cell>
          <cell r="Z906">
            <v>1143394.8717948718</v>
          </cell>
          <cell r="AA906">
            <v>0</v>
          </cell>
          <cell r="AB906">
            <v>1143394.8717948718</v>
          </cell>
          <cell r="AC906">
            <v>0</v>
          </cell>
          <cell r="AD906">
            <v>0</v>
          </cell>
          <cell r="AE906">
            <v>0</v>
          </cell>
          <cell r="AF906">
            <v>0</v>
          </cell>
          <cell r="AG906">
            <v>0</v>
          </cell>
          <cell r="AH906">
            <v>0</v>
          </cell>
        </row>
        <row r="907">
          <cell r="B907" t="str">
            <v>SNIES</v>
          </cell>
          <cell r="C907" t="str">
            <v>A1A</v>
          </cell>
          <cell r="D907" t="str">
            <v>A1AH</v>
          </cell>
          <cell r="E907" t="str">
            <v>EP/DUBR</v>
          </cell>
          <cell r="F907" t="str">
            <v>JICA</v>
          </cell>
          <cell r="G907">
            <v>21</v>
          </cell>
          <cell r="H907" t="str">
            <v>EP études architect et techniques</v>
          </cell>
          <cell r="I907" t="str">
            <v>JICA</v>
          </cell>
          <cell r="K907" t="str">
            <v>JICA</v>
          </cell>
          <cell r="L907" t="str">
            <v>AOR</v>
          </cell>
          <cell r="N907">
            <v>24</v>
          </cell>
          <cell r="P907">
            <v>24</v>
          </cell>
          <cell r="Q907" t="str">
            <v>cl coll</v>
          </cell>
          <cell r="S907">
            <v>16570.940170940172</v>
          </cell>
          <cell r="T907">
            <v>1</v>
          </cell>
          <cell r="U907">
            <v>0</v>
          </cell>
          <cell r="V907">
            <v>397702.56410256412</v>
          </cell>
          <cell r="W907">
            <v>0</v>
          </cell>
          <cell r="X907">
            <v>397702.56410256412</v>
          </cell>
          <cell r="Y907">
            <v>0</v>
          </cell>
          <cell r="Z907">
            <v>397702.56410256412</v>
          </cell>
          <cell r="AA907">
            <v>0</v>
          </cell>
          <cell r="AB907">
            <v>397702.56410256412</v>
          </cell>
          <cell r="AC907">
            <v>0</v>
          </cell>
          <cell r="AD907">
            <v>0</v>
          </cell>
          <cell r="AE907">
            <v>0</v>
          </cell>
          <cell r="AF907">
            <v>0</v>
          </cell>
          <cell r="AG907">
            <v>0</v>
          </cell>
          <cell r="AH907">
            <v>0</v>
          </cell>
        </row>
        <row r="908">
          <cell r="B908" t="str">
            <v>SNIES</v>
          </cell>
          <cell r="C908" t="str">
            <v>A1A</v>
          </cell>
          <cell r="D908" t="str">
            <v>A1AH</v>
          </cell>
          <cell r="E908" t="str">
            <v>EP/MATO</v>
          </cell>
          <cell r="F908" t="str">
            <v>JICA</v>
          </cell>
          <cell r="G908">
            <v>21</v>
          </cell>
          <cell r="H908" t="str">
            <v>EP études architect et techniques</v>
          </cell>
          <cell r="I908" t="str">
            <v>JICA</v>
          </cell>
          <cell r="K908" t="str">
            <v>JICA</v>
          </cell>
          <cell r="L908" t="str">
            <v>AOR</v>
          </cell>
          <cell r="N908">
            <v>15</v>
          </cell>
          <cell r="O908">
            <v>24</v>
          </cell>
          <cell r="P908">
            <v>39</v>
          </cell>
          <cell r="Q908" t="str">
            <v>cl coll</v>
          </cell>
          <cell r="S908">
            <v>16570.940170940172</v>
          </cell>
          <cell r="T908">
            <v>1</v>
          </cell>
          <cell r="U908">
            <v>0</v>
          </cell>
          <cell r="V908">
            <v>248564.10256410256</v>
          </cell>
          <cell r="W908">
            <v>397702.56410256412</v>
          </cell>
          <cell r="X908">
            <v>646266.66666666674</v>
          </cell>
          <cell r="Y908">
            <v>0</v>
          </cell>
          <cell r="Z908">
            <v>248564.10256410256</v>
          </cell>
          <cell r="AA908">
            <v>397702.56410256412</v>
          </cell>
          <cell r="AB908">
            <v>646266.66666666674</v>
          </cell>
          <cell r="AC908">
            <v>0</v>
          </cell>
          <cell r="AD908">
            <v>0</v>
          </cell>
          <cell r="AE908">
            <v>0</v>
          </cell>
          <cell r="AF908">
            <v>0</v>
          </cell>
          <cell r="AG908">
            <v>0</v>
          </cell>
          <cell r="AH908">
            <v>0</v>
          </cell>
        </row>
        <row r="909">
          <cell r="B909" t="str">
            <v>SNIES</v>
          </cell>
          <cell r="C909" t="str">
            <v>A1A</v>
          </cell>
          <cell r="D909" t="str">
            <v>A1AH</v>
          </cell>
          <cell r="E909" t="str">
            <v>EP/RATO</v>
          </cell>
          <cell r="F909" t="str">
            <v>JICA</v>
          </cell>
          <cell r="G909">
            <v>21</v>
          </cell>
          <cell r="H909" t="str">
            <v>EP études architect et techniques</v>
          </cell>
          <cell r="I909" t="str">
            <v>JICA</v>
          </cell>
          <cell r="K909" t="str">
            <v>JICA</v>
          </cell>
          <cell r="L909" t="str">
            <v>AOR</v>
          </cell>
          <cell r="N909">
            <v>18</v>
          </cell>
          <cell r="O909">
            <v>81</v>
          </cell>
          <cell r="P909">
            <v>99</v>
          </cell>
          <cell r="Q909" t="str">
            <v>cl coll</v>
          </cell>
          <cell r="S909">
            <v>16570.940170940172</v>
          </cell>
          <cell r="T909">
            <v>1</v>
          </cell>
          <cell r="U909">
            <v>0</v>
          </cell>
          <cell r="V909">
            <v>298276.92307692312</v>
          </cell>
          <cell r="W909">
            <v>1342246.153846154</v>
          </cell>
          <cell r="X909">
            <v>1640523.076923077</v>
          </cell>
          <cell r="Y909">
            <v>0</v>
          </cell>
          <cell r="Z909">
            <v>298276.92307692312</v>
          </cell>
          <cell r="AA909">
            <v>1342246.153846154</v>
          </cell>
          <cell r="AB909">
            <v>1640523.076923077</v>
          </cell>
          <cell r="AC909">
            <v>0</v>
          </cell>
          <cell r="AD909">
            <v>0</v>
          </cell>
          <cell r="AE909">
            <v>0</v>
          </cell>
          <cell r="AF909">
            <v>0</v>
          </cell>
          <cell r="AG909">
            <v>0</v>
          </cell>
          <cell r="AH909">
            <v>0</v>
          </cell>
        </row>
        <row r="910">
          <cell r="B910" t="str">
            <v>SNIES</v>
          </cell>
          <cell r="C910" t="str">
            <v>A1A</v>
          </cell>
          <cell r="D910" t="str">
            <v>A1AH</v>
          </cell>
          <cell r="E910" t="str">
            <v>EP/COYA</v>
          </cell>
          <cell r="F910" t="str">
            <v>JICA</v>
          </cell>
          <cell r="G910">
            <v>22</v>
          </cell>
          <cell r="H910" t="str">
            <v>EP construction classes +bur+mag</v>
          </cell>
          <cell r="I910" t="str">
            <v>JICA</v>
          </cell>
          <cell r="K910" t="str">
            <v>JICA</v>
          </cell>
          <cell r="L910" t="str">
            <v>AOR</v>
          </cell>
          <cell r="N910">
            <v>69</v>
          </cell>
          <cell r="P910">
            <v>69</v>
          </cell>
          <cell r="Q910" t="str">
            <v>cl coll</v>
          </cell>
          <cell r="R910">
            <v>32.48252611585945</v>
          </cell>
          <cell r="S910">
            <v>129600.42735042736</v>
          </cell>
          <cell r="T910">
            <v>1</v>
          </cell>
          <cell r="U910">
            <v>0</v>
          </cell>
          <cell r="V910">
            <v>8942429.4871794879</v>
          </cell>
          <cell r="W910">
            <v>0</v>
          </cell>
          <cell r="X910">
            <v>8942429.4871794879</v>
          </cell>
          <cell r="Y910">
            <v>0</v>
          </cell>
          <cell r="Z910">
            <v>8942429.4871794879</v>
          </cell>
          <cell r="AA910">
            <v>0</v>
          </cell>
          <cell r="AB910">
            <v>8942429.4871794879</v>
          </cell>
          <cell r="AC910">
            <v>0</v>
          </cell>
          <cell r="AD910">
            <v>0</v>
          </cell>
          <cell r="AE910">
            <v>0</v>
          </cell>
          <cell r="AF910">
            <v>0</v>
          </cell>
          <cell r="AG910">
            <v>0</v>
          </cell>
          <cell r="AH910">
            <v>0</v>
          </cell>
        </row>
        <row r="911">
          <cell r="B911" t="str">
            <v>SNIES</v>
          </cell>
          <cell r="C911" t="str">
            <v>A1A</v>
          </cell>
          <cell r="D911" t="str">
            <v>A1AH</v>
          </cell>
          <cell r="E911" t="str">
            <v>EP/DUBR</v>
          </cell>
          <cell r="F911" t="str">
            <v>JICA</v>
          </cell>
          <cell r="G911">
            <v>22</v>
          </cell>
          <cell r="H911" t="str">
            <v>EP construction classes +bur+mag</v>
          </cell>
          <cell r="I911" t="str">
            <v>JICA</v>
          </cell>
          <cell r="K911" t="str">
            <v>JICA</v>
          </cell>
          <cell r="L911" t="str">
            <v>AOR</v>
          </cell>
          <cell r="N911">
            <v>24</v>
          </cell>
          <cell r="P911">
            <v>24</v>
          </cell>
          <cell r="Q911" t="str">
            <v>cl coll</v>
          </cell>
          <cell r="S911">
            <v>129600.42735042736</v>
          </cell>
          <cell r="T911">
            <v>1</v>
          </cell>
          <cell r="U911">
            <v>0</v>
          </cell>
          <cell r="V911">
            <v>3110410.2564102565</v>
          </cell>
          <cell r="W911">
            <v>0</v>
          </cell>
          <cell r="X911">
            <v>3110410.2564102565</v>
          </cell>
          <cell r="Y911">
            <v>0</v>
          </cell>
          <cell r="Z911">
            <v>3110410.2564102565</v>
          </cell>
          <cell r="AA911">
            <v>0</v>
          </cell>
          <cell r="AB911">
            <v>3110410.2564102565</v>
          </cell>
          <cell r="AC911">
            <v>0</v>
          </cell>
          <cell r="AD911">
            <v>0</v>
          </cell>
          <cell r="AE911">
            <v>0</v>
          </cell>
          <cell r="AF911">
            <v>0</v>
          </cell>
          <cell r="AG911">
            <v>0</v>
          </cell>
          <cell r="AH911">
            <v>0</v>
          </cell>
        </row>
        <row r="912">
          <cell r="B912" t="str">
            <v>SNIES</v>
          </cell>
          <cell r="C912" t="str">
            <v>A1A</v>
          </cell>
          <cell r="D912" t="str">
            <v>A1AH</v>
          </cell>
          <cell r="E912" t="str">
            <v>EP/MATO</v>
          </cell>
          <cell r="F912" t="str">
            <v>JICA</v>
          </cell>
          <cell r="G912">
            <v>22</v>
          </cell>
          <cell r="H912" t="str">
            <v>EP construction classes +bur+mag</v>
          </cell>
          <cell r="I912" t="str">
            <v>JICA</v>
          </cell>
          <cell r="K912" t="str">
            <v>JICA</v>
          </cell>
          <cell r="L912" t="str">
            <v>AOR</v>
          </cell>
          <cell r="N912">
            <v>15</v>
          </cell>
          <cell r="O912">
            <v>24</v>
          </cell>
          <cell r="P912">
            <v>39</v>
          </cell>
          <cell r="Q912" t="str">
            <v>cl coll</v>
          </cell>
          <cell r="S912">
            <v>129600.42735042736</v>
          </cell>
          <cell r="T912">
            <v>1</v>
          </cell>
          <cell r="U912">
            <v>0</v>
          </cell>
          <cell r="V912">
            <v>1944006.4102564105</v>
          </cell>
          <cell r="W912">
            <v>3110410.2564102565</v>
          </cell>
          <cell r="X912">
            <v>5054416.666666667</v>
          </cell>
          <cell r="Y912">
            <v>0</v>
          </cell>
          <cell r="Z912">
            <v>1944006.4102564105</v>
          </cell>
          <cell r="AA912">
            <v>3110410.2564102565</v>
          </cell>
          <cell r="AB912">
            <v>5054416.666666667</v>
          </cell>
          <cell r="AC912">
            <v>0</v>
          </cell>
          <cell r="AD912">
            <v>0</v>
          </cell>
          <cell r="AE912">
            <v>0</v>
          </cell>
          <cell r="AF912">
            <v>0</v>
          </cell>
          <cell r="AG912">
            <v>0</v>
          </cell>
          <cell r="AH912">
            <v>0</v>
          </cell>
        </row>
        <row r="913">
          <cell r="B913" t="str">
            <v>SNIES</v>
          </cell>
          <cell r="C913" t="str">
            <v>A1A</v>
          </cell>
          <cell r="D913" t="str">
            <v>A1AH</v>
          </cell>
          <cell r="E913" t="str">
            <v>EP/RATO</v>
          </cell>
          <cell r="F913" t="str">
            <v>JICA</v>
          </cell>
          <cell r="G913">
            <v>22</v>
          </cell>
          <cell r="H913" t="str">
            <v>EP construction classes +bur+mag</v>
          </cell>
          <cell r="I913" t="str">
            <v>JICA</v>
          </cell>
          <cell r="K913" t="str">
            <v>JICA</v>
          </cell>
          <cell r="L913" t="str">
            <v>AOR</v>
          </cell>
          <cell r="N913">
            <v>18</v>
          </cell>
          <cell r="O913">
            <v>81</v>
          </cell>
          <cell r="P913">
            <v>99</v>
          </cell>
          <cell r="Q913" t="str">
            <v>cl coll</v>
          </cell>
          <cell r="S913">
            <v>129600.42735042736</v>
          </cell>
          <cell r="T913">
            <v>1</v>
          </cell>
          <cell r="U913">
            <v>0</v>
          </cell>
          <cell r="V913">
            <v>2332807.6923076925</v>
          </cell>
          <cell r="W913">
            <v>10497634.615384616</v>
          </cell>
          <cell r="X913">
            <v>12830442.307692308</v>
          </cell>
          <cell r="Y913">
            <v>0</v>
          </cell>
          <cell r="Z913">
            <v>2332807.6923076925</v>
          </cell>
          <cell r="AA913">
            <v>10497634.615384616</v>
          </cell>
          <cell r="AB913">
            <v>12830442.307692308</v>
          </cell>
          <cell r="AC913">
            <v>0</v>
          </cell>
          <cell r="AD913">
            <v>0</v>
          </cell>
          <cell r="AE913">
            <v>0</v>
          </cell>
          <cell r="AF913">
            <v>0</v>
          </cell>
          <cell r="AG913">
            <v>0</v>
          </cell>
          <cell r="AH913">
            <v>0</v>
          </cell>
        </row>
        <row r="914">
          <cell r="B914" t="str">
            <v>SNIES</v>
          </cell>
          <cell r="C914" t="str">
            <v>A1A</v>
          </cell>
          <cell r="D914" t="str">
            <v>A1AH</v>
          </cell>
          <cell r="E914" t="str">
            <v>EP/COYA</v>
          </cell>
          <cell r="F914" t="str">
            <v>JICA</v>
          </cell>
          <cell r="G914">
            <v>23</v>
          </cell>
          <cell r="H914" t="str">
            <v>EP équipement et mobilier</v>
          </cell>
          <cell r="I914" t="str">
            <v>JICA</v>
          </cell>
          <cell r="K914" t="str">
            <v>JICA</v>
          </cell>
          <cell r="L914" t="str">
            <v>AOR</v>
          </cell>
          <cell r="N914">
            <v>69</v>
          </cell>
          <cell r="P914">
            <v>69</v>
          </cell>
          <cell r="Q914" t="str">
            <v>lot</v>
          </cell>
          <cell r="S914">
            <v>0</v>
          </cell>
          <cell r="T914">
            <v>1</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row>
        <row r="915">
          <cell r="B915" t="str">
            <v>SNIES</v>
          </cell>
          <cell r="C915" t="str">
            <v>A1A</v>
          </cell>
          <cell r="D915" t="str">
            <v>A1AH</v>
          </cell>
          <cell r="E915" t="str">
            <v>EP/DUBR</v>
          </cell>
          <cell r="F915" t="str">
            <v>JICA</v>
          </cell>
          <cell r="G915">
            <v>23</v>
          </cell>
          <cell r="H915" t="str">
            <v>EP équipement et mobilier</v>
          </cell>
          <cell r="I915" t="str">
            <v>JICA</v>
          </cell>
          <cell r="K915" t="str">
            <v>JICA</v>
          </cell>
          <cell r="L915" t="str">
            <v>AOR</v>
          </cell>
          <cell r="N915">
            <v>24</v>
          </cell>
          <cell r="P915">
            <v>24</v>
          </cell>
          <cell r="Q915" t="str">
            <v>lot</v>
          </cell>
          <cell r="S915">
            <v>0</v>
          </cell>
          <cell r="T915">
            <v>1</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row>
        <row r="916">
          <cell r="B916" t="str">
            <v>SNIES</v>
          </cell>
          <cell r="C916" t="str">
            <v>A1A</v>
          </cell>
          <cell r="D916" t="str">
            <v>A1AH</v>
          </cell>
          <cell r="E916" t="str">
            <v>EP/MATO</v>
          </cell>
          <cell r="F916" t="str">
            <v>JICA</v>
          </cell>
          <cell r="G916">
            <v>23</v>
          </cell>
          <cell r="H916" t="str">
            <v>EP équipement et mobilier</v>
          </cell>
          <cell r="I916" t="str">
            <v>JICA</v>
          </cell>
          <cell r="K916" t="str">
            <v>JICA</v>
          </cell>
          <cell r="L916" t="str">
            <v>AOR</v>
          </cell>
          <cell r="N916">
            <v>15</v>
          </cell>
          <cell r="O916">
            <v>24</v>
          </cell>
          <cell r="P916">
            <v>39</v>
          </cell>
          <cell r="Q916" t="str">
            <v>lot</v>
          </cell>
          <cell r="S916">
            <v>0</v>
          </cell>
          <cell r="T916">
            <v>1</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row>
        <row r="917">
          <cell r="B917" t="str">
            <v>SNIES</v>
          </cell>
          <cell r="C917" t="str">
            <v>A1A</v>
          </cell>
          <cell r="D917" t="str">
            <v>A1AH</v>
          </cell>
          <cell r="E917" t="str">
            <v>EP/RATO</v>
          </cell>
          <cell r="F917" t="str">
            <v>JICA</v>
          </cell>
          <cell r="G917">
            <v>23</v>
          </cell>
          <cell r="H917" t="str">
            <v>EP équipement et mobilier</v>
          </cell>
          <cell r="I917" t="str">
            <v>JICA</v>
          </cell>
          <cell r="K917" t="str">
            <v>JICA</v>
          </cell>
          <cell r="L917" t="str">
            <v>AOR</v>
          </cell>
          <cell r="N917">
            <v>18</v>
          </cell>
          <cell r="O917">
            <v>81</v>
          </cell>
          <cell r="P917">
            <v>99</v>
          </cell>
          <cell r="Q917" t="str">
            <v>lot</v>
          </cell>
          <cell r="S917">
            <v>0</v>
          </cell>
          <cell r="T917">
            <v>1</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row>
        <row r="918">
          <cell r="B918" t="str">
            <v>SNIES</v>
          </cell>
          <cell r="C918" t="str">
            <v>A1A</v>
          </cell>
          <cell r="D918" t="str">
            <v>A1AH</v>
          </cell>
          <cell r="E918" t="str">
            <v>EP/COYA</v>
          </cell>
          <cell r="F918" t="str">
            <v>JICA</v>
          </cell>
          <cell r="G918">
            <v>24</v>
          </cell>
          <cell r="H918" t="str">
            <v>EP matériels didactiques</v>
          </cell>
          <cell r="I918" t="str">
            <v>JICA</v>
          </cell>
          <cell r="K918" t="str">
            <v>JICA</v>
          </cell>
          <cell r="L918" t="str">
            <v>AOR</v>
          </cell>
          <cell r="N918">
            <v>69</v>
          </cell>
          <cell r="P918">
            <v>69</v>
          </cell>
          <cell r="Q918" t="str">
            <v>lot</v>
          </cell>
          <cell r="S918">
            <v>0</v>
          </cell>
          <cell r="T918">
            <v>1</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row>
        <row r="919">
          <cell r="B919" t="str">
            <v>SNIES</v>
          </cell>
          <cell r="C919" t="str">
            <v>A1A</v>
          </cell>
          <cell r="D919" t="str">
            <v>A1AH</v>
          </cell>
          <cell r="E919" t="str">
            <v>EP/DUBR</v>
          </cell>
          <cell r="F919" t="str">
            <v>JICA</v>
          </cell>
          <cell r="G919">
            <v>24</v>
          </cell>
          <cell r="H919" t="str">
            <v>EP matériels didactiques</v>
          </cell>
          <cell r="I919" t="str">
            <v>JICA</v>
          </cell>
          <cell r="K919" t="str">
            <v>JICA</v>
          </cell>
          <cell r="L919" t="str">
            <v>AOR</v>
          </cell>
          <cell r="N919">
            <v>24</v>
          </cell>
          <cell r="P919">
            <v>24</v>
          </cell>
          <cell r="Q919" t="str">
            <v>lot</v>
          </cell>
          <cell r="S919">
            <v>0</v>
          </cell>
          <cell r="T919">
            <v>1</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row>
        <row r="920">
          <cell r="B920" t="str">
            <v>SNIES</v>
          </cell>
          <cell r="C920" t="str">
            <v>A1A</v>
          </cell>
          <cell r="D920" t="str">
            <v>A1AH</v>
          </cell>
          <cell r="E920" t="str">
            <v>EP/MATO</v>
          </cell>
          <cell r="F920" t="str">
            <v>JICA</v>
          </cell>
          <cell r="G920">
            <v>24</v>
          </cell>
          <cell r="H920" t="str">
            <v>EP matériels didactiques</v>
          </cell>
          <cell r="I920" t="str">
            <v>JICA</v>
          </cell>
          <cell r="K920" t="str">
            <v>JICA</v>
          </cell>
          <cell r="L920" t="str">
            <v>AOR</v>
          </cell>
          <cell r="N920">
            <v>15</v>
          </cell>
          <cell r="O920">
            <v>24</v>
          </cell>
          <cell r="P920">
            <v>39</v>
          </cell>
          <cell r="Q920" t="str">
            <v>lot</v>
          </cell>
          <cell r="S920">
            <v>0</v>
          </cell>
          <cell r="T920">
            <v>1</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row>
        <row r="921">
          <cell r="B921" t="str">
            <v>SNIES</v>
          </cell>
          <cell r="C921" t="str">
            <v>A1A</v>
          </cell>
          <cell r="D921" t="str">
            <v>A1AH</v>
          </cell>
          <cell r="E921" t="str">
            <v>EP/RATO</v>
          </cell>
          <cell r="F921" t="str">
            <v>JICA</v>
          </cell>
          <cell r="G921">
            <v>24</v>
          </cell>
          <cell r="H921" t="str">
            <v>EP matériels didactiques</v>
          </cell>
          <cell r="I921" t="str">
            <v>JICA</v>
          </cell>
          <cell r="K921" t="str">
            <v>JICA</v>
          </cell>
          <cell r="L921" t="str">
            <v>AOR</v>
          </cell>
          <cell r="N921">
            <v>18</v>
          </cell>
          <cell r="O921">
            <v>81</v>
          </cell>
          <cell r="P921">
            <v>99</v>
          </cell>
          <cell r="Q921" t="str">
            <v>lot</v>
          </cell>
          <cell r="S921">
            <v>0</v>
          </cell>
          <cell r="T921">
            <v>1</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row>
        <row r="922">
          <cell r="B922" t="str">
            <v>SNIES</v>
          </cell>
          <cell r="C922" t="str">
            <v>A1B</v>
          </cell>
          <cell r="D922" t="str">
            <v>A1BJ</v>
          </cell>
          <cell r="E922" t="str">
            <v>ES/COYA</v>
          </cell>
          <cell r="F922" t="str">
            <v>JICA</v>
          </cell>
          <cell r="G922">
            <v>21</v>
          </cell>
          <cell r="H922" t="str">
            <v>ES études architect et techniques</v>
          </cell>
          <cell r="I922" t="str">
            <v>JICA</v>
          </cell>
          <cell r="K922" t="str">
            <v>JICA</v>
          </cell>
          <cell r="L922" t="str">
            <v>AOR</v>
          </cell>
          <cell r="O922">
            <v>24</v>
          </cell>
          <cell r="P922">
            <v>24</v>
          </cell>
          <cell r="Q922" t="str">
            <v>cl coll</v>
          </cell>
          <cell r="S922">
            <v>16570.940170940172</v>
          </cell>
          <cell r="T922">
            <v>1</v>
          </cell>
          <cell r="U922">
            <v>0</v>
          </cell>
          <cell r="V922">
            <v>0</v>
          </cell>
          <cell r="W922">
            <v>397702.56410256412</v>
          </cell>
          <cell r="X922">
            <v>397702.56410256412</v>
          </cell>
          <cell r="Y922">
            <v>0</v>
          </cell>
          <cell r="Z922">
            <v>0</v>
          </cell>
          <cell r="AA922">
            <v>397702.56410256412</v>
          </cell>
          <cell r="AB922">
            <v>397702.56410256412</v>
          </cell>
          <cell r="AC922">
            <v>0</v>
          </cell>
          <cell r="AD922">
            <v>0</v>
          </cell>
          <cell r="AE922">
            <v>0</v>
          </cell>
          <cell r="AF922">
            <v>0</v>
          </cell>
          <cell r="AG922">
            <v>0</v>
          </cell>
          <cell r="AH922">
            <v>0</v>
          </cell>
        </row>
        <row r="923">
          <cell r="B923" t="str">
            <v>SNIES</v>
          </cell>
          <cell r="C923" t="str">
            <v>A1B</v>
          </cell>
          <cell r="D923" t="str">
            <v>A1BJ</v>
          </cell>
          <cell r="E923" t="str">
            <v>ES/MATO</v>
          </cell>
          <cell r="F923" t="str">
            <v>JICA</v>
          </cell>
          <cell r="G923">
            <v>21</v>
          </cell>
          <cell r="H923" t="str">
            <v>ES études architect et techniques</v>
          </cell>
          <cell r="I923" t="str">
            <v>JICA</v>
          </cell>
          <cell r="K923" t="str">
            <v>JICA</v>
          </cell>
          <cell r="L923" t="str">
            <v>AOR</v>
          </cell>
          <cell r="N923">
            <v>24</v>
          </cell>
          <cell r="P923">
            <v>24</v>
          </cell>
          <cell r="Q923" t="str">
            <v>cl coll</v>
          </cell>
          <cell r="S923">
            <v>16570.940170940172</v>
          </cell>
          <cell r="T923">
            <v>1</v>
          </cell>
          <cell r="U923">
            <v>0</v>
          </cell>
          <cell r="V923">
            <v>397702.56410256412</v>
          </cell>
          <cell r="W923">
            <v>0</v>
          </cell>
          <cell r="X923">
            <v>397702.56410256412</v>
          </cell>
          <cell r="Y923">
            <v>0</v>
          </cell>
          <cell r="Z923">
            <v>397702.56410256412</v>
          </cell>
          <cell r="AA923">
            <v>0</v>
          </cell>
          <cell r="AB923">
            <v>397702.56410256412</v>
          </cell>
          <cell r="AC923">
            <v>0</v>
          </cell>
          <cell r="AD923">
            <v>0</v>
          </cell>
          <cell r="AE923">
            <v>0</v>
          </cell>
          <cell r="AF923">
            <v>0</v>
          </cell>
          <cell r="AG923">
            <v>0</v>
          </cell>
          <cell r="AH923">
            <v>0</v>
          </cell>
        </row>
        <row r="924">
          <cell r="B924" t="str">
            <v>SNIES</v>
          </cell>
          <cell r="C924" t="str">
            <v>A1B</v>
          </cell>
          <cell r="D924" t="str">
            <v>A1BJ</v>
          </cell>
          <cell r="E924" t="str">
            <v>ES/RATO</v>
          </cell>
          <cell r="F924" t="str">
            <v>JICA</v>
          </cell>
          <cell r="G924">
            <v>21</v>
          </cell>
          <cell r="H924" t="str">
            <v>ES études architect et techniques</v>
          </cell>
          <cell r="I924" t="str">
            <v>JICA</v>
          </cell>
          <cell r="K924" t="str">
            <v>JICA</v>
          </cell>
          <cell r="L924" t="str">
            <v>AOR</v>
          </cell>
          <cell r="N924">
            <v>60</v>
          </cell>
          <cell r="P924">
            <v>60</v>
          </cell>
          <cell r="Q924" t="str">
            <v>cl coll</v>
          </cell>
          <cell r="S924">
            <v>16570.940170940172</v>
          </cell>
          <cell r="T924">
            <v>1</v>
          </cell>
          <cell r="U924">
            <v>0</v>
          </cell>
          <cell r="V924">
            <v>994256.41025641025</v>
          </cell>
          <cell r="W924">
            <v>0</v>
          </cell>
          <cell r="X924">
            <v>994256.41025641025</v>
          </cell>
          <cell r="Y924">
            <v>0</v>
          </cell>
          <cell r="Z924">
            <v>994256.41025641025</v>
          </cell>
          <cell r="AA924">
            <v>0</v>
          </cell>
          <cell r="AB924">
            <v>994256.41025641025</v>
          </cell>
          <cell r="AC924">
            <v>0</v>
          </cell>
          <cell r="AD924">
            <v>0</v>
          </cell>
          <cell r="AE924">
            <v>0</v>
          </cell>
          <cell r="AF924">
            <v>0</v>
          </cell>
          <cell r="AG924">
            <v>0</v>
          </cell>
          <cell r="AH924">
            <v>0</v>
          </cell>
        </row>
        <row r="925">
          <cell r="B925" t="str">
            <v>SNIES</v>
          </cell>
          <cell r="C925" t="str">
            <v>A1B</v>
          </cell>
          <cell r="D925" t="str">
            <v>A1BJ</v>
          </cell>
          <cell r="E925" t="str">
            <v>ES/COYA</v>
          </cell>
          <cell r="F925" t="str">
            <v>JICA</v>
          </cell>
          <cell r="G925">
            <v>22</v>
          </cell>
          <cell r="H925" t="str">
            <v>ES Construction classes collège</v>
          </cell>
          <cell r="I925" t="str">
            <v>JICA</v>
          </cell>
          <cell r="K925" t="str">
            <v>JICA</v>
          </cell>
          <cell r="L925" t="str">
            <v>AOR</v>
          </cell>
          <cell r="N925">
            <v>12</v>
          </cell>
          <cell r="O925">
            <v>12</v>
          </cell>
          <cell r="P925">
            <v>24</v>
          </cell>
          <cell r="Q925" t="str">
            <v>cl coll</v>
          </cell>
          <cell r="R925">
            <v>32.48252611585945</v>
          </cell>
          <cell r="S925">
            <v>129600.42735042736</v>
          </cell>
          <cell r="T925">
            <v>1</v>
          </cell>
          <cell r="U925">
            <v>0</v>
          </cell>
          <cell r="V925">
            <v>1555205.1282051282</v>
          </cell>
          <cell r="W925">
            <v>1555205.1282051282</v>
          </cell>
          <cell r="X925">
            <v>3110410.2564102565</v>
          </cell>
          <cell r="Y925">
            <v>0</v>
          </cell>
          <cell r="Z925">
            <v>1555205.1282051282</v>
          </cell>
          <cell r="AA925">
            <v>1555205.1282051282</v>
          </cell>
          <cell r="AB925">
            <v>3110410.2564102565</v>
          </cell>
          <cell r="AC925">
            <v>0</v>
          </cell>
          <cell r="AD925">
            <v>0</v>
          </cell>
          <cell r="AE925">
            <v>0</v>
          </cell>
          <cell r="AF925">
            <v>0</v>
          </cell>
          <cell r="AG925">
            <v>0</v>
          </cell>
          <cell r="AH925">
            <v>0</v>
          </cell>
        </row>
        <row r="926">
          <cell r="B926" t="str">
            <v>SNIES</v>
          </cell>
          <cell r="C926" t="str">
            <v>A1B</v>
          </cell>
          <cell r="D926" t="str">
            <v>A1BJ</v>
          </cell>
          <cell r="E926" t="str">
            <v>ES/MATO</v>
          </cell>
          <cell r="F926" t="str">
            <v>JICA</v>
          </cell>
          <cell r="G926">
            <v>22</v>
          </cell>
          <cell r="H926" t="str">
            <v>ES Construction classes collège</v>
          </cell>
          <cell r="I926" t="str">
            <v>JICA</v>
          </cell>
          <cell r="K926" t="str">
            <v>JICA</v>
          </cell>
          <cell r="L926" t="str">
            <v>AOR</v>
          </cell>
          <cell r="N926">
            <v>12</v>
          </cell>
          <cell r="O926">
            <v>12</v>
          </cell>
          <cell r="P926">
            <v>24</v>
          </cell>
          <cell r="Q926" t="str">
            <v>cl coll</v>
          </cell>
          <cell r="S926">
            <v>129600.42735042736</v>
          </cell>
          <cell r="T926">
            <v>1</v>
          </cell>
          <cell r="U926">
            <v>0</v>
          </cell>
          <cell r="V926">
            <v>1555205.1282051282</v>
          </cell>
          <cell r="W926">
            <v>1555205.1282051282</v>
          </cell>
          <cell r="X926">
            <v>3110410.2564102565</v>
          </cell>
          <cell r="Y926">
            <v>0</v>
          </cell>
          <cell r="Z926">
            <v>1555205.1282051282</v>
          </cell>
          <cell r="AA926">
            <v>1555205.1282051282</v>
          </cell>
          <cell r="AB926">
            <v>3110410.2564102565</v>
          </cell>
          <cell r="AC926">
            <v>0</v>
          </cell>
          <cell r="AD926">
            <v>0</v>
          </cell>
          <cell r="AE926">
            <v>0</v>
          </cell>
          <cell r="AF926">
            <v>0</v>
          </cell>
          <cell r="AG926">
            <v>0</v>
          </cell>
          <cell r="AH926">
            <v>0</v>
          </cell>
        </row>
        <row r="927">
          <cell r="B927" t="str">
            <v>SNIES</v>
          </cell>
          <cell r="C927" t="str">
            <v>A1B</v>
          </cell>
          <cell r="D927" t="str">
            <v>A1BJ</v>
          </cell>
          <cell r="E927" t="str">
            <v>ES/RATO</v>
          </cell>
          <cell r="F927" t="str">
            <v>JICA</v>
          </cell>
          <cell r="G927">
            <v>22</v>
          </cell>
          <cell r="H927" t="str">
            <v>ES Construction classes collège</v>
          </cell>
          <cell r="I927" t="str">
            <v>JICA</v>
          </cell>
          <cell r="K927" t="str">
            <v>JICA</v>
          </cell>
          <cell r="L927" t="str">
            <v>AOR</v>
          </cell>
          <cell r="N927">
            <v>30</v>
          </cell>
          <cell r="O927">
            <v>30</v>
          </cell>
          <cell r="P927">
            <v>60</v>
          </cell>
          <cell r="Q927" t="str">
            <v>cl coll</v>
          </cell>
          <cell r="S927">
            <v>129600.42735042736</v>
          </cell>
          <cell r="T927">
            <v>1</v>
          </cell>
          <cell r="U927">
            <v>0</v>
          </cell>
          <cell r="V927">
            <v>3888012.820512821</v>
          </cell>
          <cell r="W927">
            <v>3888012.820512821</v>
          </cell>
          <cell r="X927">
            <v>7776025.6410256419</v>
          </cell>
          <cell r="Y927">
            <v>0</v>
          </cell>
          <cell r="Z927">
            <v>3888012.820512821</v>
          </cell>
          <cell r="AA927">
            <v>3888012.820512821</v>
          </cell>
          <cell r="AB927">
            <v>7776025.6410256419</v>
          </cell>
          <cell r="AC927">
            <v>0</v>
          </cell>
          <cell r="AD927">
            <v>0</v>
          </cell>
          <cell r="AE927">
            <v>0</v>
          </cell>
          <cell r="AF927">
            <v>0</v>
          </cell>
          <cell r="AG927">
            <v>0</v>
          </cell>
          <cell r="AH927">
            <v>0</v>
          </cell>
        </row>
        <row r="928">
          <cell r="B928" t="str">
            <v>SNIES</v>
          </cell>
          <cell r="C928" t="str">
            <v>A1B</v>
          </cell>
          <cell r="D928" t="str">
            <v>A1BJ</v>
          </cell>
          <cell r="E928" t="str">
            <v>ES/COYA</v>
          </cell>
          <cell r="F928" t="str">
            <v>JICA</v>
          </cell>
          <cell r="G928">
            <v>23</v>
          </cell>
          <cell r="H928" t="str">
            <v>ES équipement et mobilier</v>
          </cell>
          <cell r="I928" t="str">
            <v>JICA</v>
          </cell>
          <cell r="K928" t="str">
            <v>JICA</v>
          </cell>
          <cell r="L928" t="str">
            <v>AOR</v>
          </cell>
          <cell r="O928">
            <v>24</v>
          </cell>
          <cell r="P928">
            <v>24</v>
          </cell>
          <cell r="Q928" t="str">
            <v>lot</v>
          </cell>
          <cell r="S928">
            <v>0</v>
          </cell>
          <cell r="T928">
            <v>1</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row>
        <row r="929">
          <cell r="B929" t="str">
            <v>SNIES</v>
          </cell>
          <cell r="C929" t="str">
            <v>A1B</v>
          </cell>
          <cell r="D929" t="str">
            <v>A1BJ</v>
          </cell>
          <cell r="E929" t="str">
            <v>ES/MATO</v>
          </cell>
          <cell r="F929" t="str">
            <v>JICA</v>
          </cell>
          <cell r="G929">
            <v>23</v>
          </cell>
          <cell r="H929" t="str">
            <v>ES équipement et mobilier</v>
          </cell>
          <cell r="I929" t="str">
            <v>JICA</v>
          </cell>
          <cell r="K929" t="str">
            <v>JICA</v>
          </cell>
          <cell r="L929" t="str">
            <v>AOR</v>
          </cell>
          <cell r="N929">
            <v>24</v>
          </cell>
          <cell r="P929">
            <v>24</v>
          </cell>
          <cell r="Q929" t="str">
            <v>lot</v>
          </cell>
          <cell r="S929">
            <v>0</v>
          </cell>
          <cell r="T929">
            <v>1</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row>
        <row r="930">
          <cell r="B930" t="str">
            <v>SNIES</v>
          </cell>
          <cell r="C930" t="str">
            <v>A1B</v>
          </cell>
          <cell r="D930" t="str">
            <v>A1BJ</v>
          </cell>
          <cell r="E930" t="str">
            <v>ES/RATO</v>
          </cell>
          <cell r="F930" t="str">
            <v>JICA</v>
          </cell>
          <cell r="G930">
            <v>23</v>
          </cell>
          <cell r="H930" t="str">
            <v>ES équipement et mobilier</v>
          </cell>
          <cell r="I930" t="str">
            <v>JICA</v>
          </cell>
          <cell r="K930" t="str">
            <v>JICA</v>
          </cell>
          <cell r="L930" t="str">
            <v>AOR</v>
          </cell>
          <cell r="N930">
            <v>60</v>
          </cell>
          <cell r="P930">
            <v>60</v>
          </cell>
          <cell r="Q930" t="str">
            <v>lot</v>
          </cell>
          <cell r="S930">
            <v>0</v>
          </cell>
          <cell r="T930">
            <v>1</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row>
        <row r="931">
          <cell r="B931" t="str">
            <v>SNIES</v>
          </cell>
          <cell r="C931" t="str">
            <v>A1B</v>
          </cell>
          <cell r="D931" t="str">
            <v>A1BJ</v>
          </cell>
          <cell r="E931" t="str">
            <v>ES/COYA</v>
          </cell>
          <cell r="F931" t="str">
            <v>JICA</v>
          </cell>
          <cell r="G931">
            <v>24</v>
          </cell>
          <cell r="H931" t="str">
            <v>ES matériels didactiques</v>
          </cell>
          <cell r="I931" t="str">
            <v>JICA</v>
          </cell>
          <cell r="K931" t="str">
            <v>JICA</v>
          </cell>
          <cell r="L931" t="str">
            <v>AOR</v>
          </cell>
          <cell r="O931">
            <v>24</v>
          </cell>
          <cell r="P931">
            <v>24</v>
          </cell>
          <cell r="Q931" t="str">
            <v>lot</v>
          </cell>
          <cell r="S931">
            <v>0</v>
          </cell>
          <cell r="T931">
            <v>1</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row>
        <row r="932">
          <cell r="B932" t="str">
            <v>SNIES</v>
          </cell>
          <cell r="C932" t="str">
            <v>A1B</v>
          </cell>
          <cell r="D932" t="str">
            <v>A1BJ</v>
          </cell>
          <cell r="E932" t="str">
            <v>ES/MATO</v>
          </cell>
          <cell r="F932" t="str">
            <v>JICA</v>
          </cell>
          <cell r="G932">
            <v>24</v>
          </cell>
          <cell r="H932" t="str">
            <v>ES matériels didactiques</v>
          </cell>
          <cell r="I932" t="str">
            <v>JICA</v>
          </cell>
          <cell r="K932" t="str">
            <v>JICA</v>
          </cell>
          <cell r="L932" t="str">
            <v>AOR</v>
          </cell>
          <cell r="N932">
            <v>24</v>
          </cell>
          <cell r="P932">
            <v>24</v>
          </cell>
          <cell r="Q932" t="str">
            <v>lot</v>
          </cell>
          <cell r="S932">
            <v>0</v>
          </cell>
          <cell r="T932">
            <v>1</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row>
        <row r="933">
          <cell r="B933" t="str">
            <v>SNIES</v>
          </cell>
          <cell r="C933" t="str">
            <v>A1B</v>
          </cell>
          <cell r="D933" t="str">
            <v>A1BJ</v>
          </cell>
          <cell r="E933" t="str">
            <v>ES/RATO</v>
          </cell>
          <cell r="F933" t="str">
            <v>JICA</v>
          </cell>
          <cell r="G933">
            <v>24</v>
          </cell>
          <cell r="H933" t="str">
            <v>ES matériels didactiques</v>
          </cell>
          <cell r="I933" t="str">
            <v>JICA</v>
          </cell>
          <cell r="K933" t="str">
            <v>JICA</v>
          </cell>
          <cell r="L933" t="str">
            <v>AOR</v>
          </cell>
          <cell r="N933">
            <v>60</v>
          </cell>
          <cell r="P933">
            <v>60</v>
          </cell>
          <cell r="Q933" t="str">
            <v>lot</v>
          </cell>
          <cell r="S933">
            <v>0</v>
          </cell>
          <cell r="T933">
            <v>1</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row>
        <row r="934">
          <cell r="B934" t="str">
            <v>SNIES</v>
          </cell>
          <cell r="C934" t="str">
            <v>A1D</v>
          </cell>
          <cell r="D934" t="str">
            <v>A1DA</v>
          </cell>
          <cell r="E934" t="str">
            <v>SNIES</v>
          </cell>
          <cell r="F934" t="str">
            <v>JICA</v>
          </cell>
          <cell r="G934">
            <v>15</v>
          </cell>
          <cell r="H934" t="str">
            <v>Fonctionnement de l'Unité de Gestion du Projet</v>
          </cell>
          <cell r="I934" t="str">
            <v>JICA</v>
          </cell>
          <cell r="K934" t="str">
            <v>JICA</v>
          </cell>
          <cell r="L934" t="str">
            <v>AUT</v>
          </cell>
          <cell r="M934">
            <v>0.25</v>
          </cell>
          <cell r="N934">
            <v>0.25</v>
          </cell>
          <cell r="O934">
            <v>0.25</v>
          </cell>
          <cell r="P934">
            <v>0.75</v>
          </cell>
          <cell r="Q934" t="str">
            <v>forfait</v>
          </cell>
          <cell r="S934">
            <v>0</v>
          </cell>
          <cell r="T934">
            <v>1</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row>
        <row r="935">
          <cell r="B935" t="str">
            <v>SNIES</v>
          </cell>
          <cell r="C935" t="str">
            <v>D1B</v>
          </cell>
          <cell r="D935" t="str">
            <v>D1BD</v>
          </cell>
          <cell r="E935" t="str">
            <v>SO</v>
          </cell>
          <cell r="F935" t="str">
            <v>SNIES</v>
          </cell>
          <cell r="G935" t="str">
            <v>SO</v>
          </cell>
          <cell r="H935" t="str">
            <v>Non affectés sur projet BAD ED IV</v>
          </cell>
          <cell r="I935" t="str">
            <v>SNIES</v>
          </cell>
          <cell r="K935" t="str">
            <v>BAD ED IV</v>
          </cell>
          <cell r="M935">
            <v>0.33333333333333331</v>
          </cell>
          <cell r="N935">
            <v>0.33333333333333331</v>
          </cell>
          <cell r="O935">
            <v>0.33333333333333331</v>
          </cell>
          <cell r="P935">
            <v>1</v>
          </cell>
          <cell r="Q935" t="str">
            <v>forfait</v>
          </cell>
          <cell r="S935">
            <v>9843563.2095839027</v>
          </cell>
          <cell r="T935">
            <v>1</v>
          </cell>
          <cell r="U935">
            <v>3281187.7365279673</v>
          </cell>
          <cell r="V935">
            <v>3281187.7365279673</v>
          </cell>
          <cell r="W935">
            <v>3281187.7365279673</v>
          </cell>
          <cell r="X935">
            <v>9843563.2095839009</v>
          </cell>
          <cell r="Y935">
            <v>3281187.7365279673</v>
          </cell>
          <cell r="Z935">
            <v>3281187.7365279673</v>
          </cell>
          <cell r="AA935">
            <v>3281187.7365279673</v>
          </cell>
          <cell r="AB935">
            <v>9843563.2095839009</v>
          </cell>
          <cell r="AC935">
            <v>0</v>
          </cell>
          <cell r="AD935">
            <v>0</v>
          </cell>
          <cell r="AE935">
            <v>0</v>
          </cell>
          <cell r="AF935">
            <v>0</v>
          </cell>
          <cell r="AG935">
            <v>0</v>
          </cell>
          <cell r="AH935">
            <v>0</v>
          </cell>
        </row>
        <row r="936">
          <cell r="B936" t="str">
            <v>SNIES</v>
          </cell>
          <cell r="C936" t="str">
            <v>A1A</v>
          </cell>
          <cell r="D936" t="str">
            <v>A1AG</v>
          </cell>
          <cell r="E936" t="str">
            <v>EP/BOKE</v>
          </cell>
          <cell r="F936" t="str">
            <v>SNIES</v>
          </cell>
          <cell r="G936">
            <v>21</v>
          </cell>
          <cell r="H936" t="str">
            <v>EP 90 cl Boké études et suivi travaux  bur, mag, logt, forages</v>
          </cell>
          <cell r="I936" t="str">
            <v>SNIES</v>
          </cell>
          <cell r="K936" t="str">
            <v>BAD ED IV</v>
          </cell>
          <cell r="L936" t="str">
            <v>AON</v>
          </cell>
          <cell r="M936">
            <v>4.5</v>
          </cell>
          <cell r="N936">
            <v>4.5</v>
          </cell>
          <cell r="P936">
            <v>9</v>
          </cell>
          <cell r="Q936" t="str">
            <v>classe</v>
          </cell>
          <cell r="S936">
            <v>12901.755117598908</v>
          </cell>
          <cell r="T936">
            <v>1</v>
          </cell>
          <cell r="U936">
            <v>58057.898029195087</v>
          </cell>
          <cell r="V936">
            <v>58057.898029195087</v>
          </cell>
          <cell r="W936">
            <v>0</v>
          </cell>
          <cell r="X936">
            <v>116115.79605839017</v>
          </cell>
          <cell r="Y936">
            <v>58057.898029195087</v>
          </cell>
          <cell r="Z936">
            <v>58057.898029195087</v>
          </cell>
          <cell r="AA936">
            <v>0</v>
          </cell>
          <cell r="AB936">
            <v>116115.79605839017</v>
          </cell>
          <cell r="AC936">
            <v>0</v>
          </cell>
          <cell r="AD936">
            <v>0</v>
          </cell>
          <cell r="AE936">
            <v>0</v>
          </cell>
          <cell r="AF936">
            <v>0</v>
          </cell>
          <cell r="AG936">
            <v>0</v>
          </cell>
          <cell r="AH936">
            <v>0</v>
          </cell>
        </row>
        <row r="937">
          <cell r="B937" t="str">
            <v>SNIES</v>
          </cell>
          <cell r="C937" t="str">
            <v>A1A</v>
          </cell>
          <cell r="D937" t="str">
            <v>A1AG</v>
          </cell>
          <cell r="E937" t="str">
            <v>EP/BOFF</v>
          </cell>
          <cell r="F937" t="str">
            <v>SNIES</v>
          </cell>
          <cell r="G937">
            <v>21</v>
          </cell>
          <cell r="H937" t="str">
            <v>EP 90 cl Boffa  études et suivi travaux  bur, mag, logt, forages</v>
          </cell>
          <cell r="I937" t="str">
            <v>SNIES</v>
          </cell>
          <cell r="K937" t="str">
            <v>BAD ED IV</v>
          </cell>
          <cell r="L937" t="str">
            <v>AON</v>
          </cell>
          <cell r="M937">
            <v>4.5</v>
          </cell>
          <cell r="N937">
            <v>4.5</v>
          </cell>
          <cell r="P937">
            <v>9</v>
          </cell>
          <cell r="Q937" t="str">
            <v>classe</v>
          </cell>
          <cell r="S937">
            <v>12901.755117598908</v>
          </cell>
          <cell r="T937">
            <v>1</v>
          </cell>
          <cell r="U937">
            <v>58057.898029195087</v>
          </cell>
          <cell r="V937">
            <v>58057.898029195087</v>
          </cell>
          <cell r="W937">
            <v>0</v>
          </cell>
          <cell r="X937">
            <v>116115.79605839017</v>
          </cell>
          <cell r="Y937">
            <v>58057.898029195087</v>
          </cell>
          <cell r="Z937">
            <v>58057.898029195087</v>
          </cell>
          <cell r="AA937">
            <v>0</v>
          </cell>
          <cell r="AB937">
            <v>116115.79605839017</v>
          </cell>
          <cell r="AC937">
            <v>0</v>
          </cell>
          <cell r="AD937">
            <v>0</v>
          </cell>
          <cell r="AE937">
            <v>0</v>
          </cell>
          <cell r="AF937">
            <v>0</v>
          </cell>
          <cell r="AG937">
            <v>0</v>
          </cell>
          <cell r="AH937">
            <v>0</v>
          </cell>
        </row>
        <row r="938">
          <cell r="B938" t="str">
            <v>SNIES</v>
          </cell>
          <cell r="C938" t="str">
            <v>A1A</v>
          </cell>
          <cell r="D938" t="str">
            <v>A1AG</v>
          </cell>
          <cell r="E938" t="str">
            <v>EP/GAOU</v>
          </cell>
          <cell r="F938" t="str">
            <v>SNIES</v>
          </cell>
          <cell r="G938">
            <v>21</v>
          </cell>
          <cell r="H938" t="str">
            <v>EP 90 cl Gaoual  études et suivi travaux  bur, mag, logt, forages</v>
          </cell>
          <cell r="I938" t="str">
            <v>SNIES</v>
          </cell>
          <cell r="K938" t="str">
            <v>BAD ED IV</v>
          </cell>
          <cell r="L938" t="str">
            <v>AON</v>
          </cell>
          <cell r="M938">
            <v>3</v>
          </cell>
          <cell r="N938">
            <v>3</v>
          </cell>
          <cell r="P938">
            <v>6</v>
          </cell>
          <cell r="Q938" t="str">
            <v>classe</v>
          </cell>
          <cell r="S938">
            <v>12901.755117598908</v>
          </cell>
          <cell r="T938">
            <v>1</v>
          </cell>
          <cell r="U938">
            <v>38705.265352796727</v>
          </cell>
          <cell r="V938">
            <v>38705.265352796727</v>
          </cell>
          <cell r="W938">
            <v>0</v>
          </cell>
          <cell r="X938">
            <v>77410.530705593454</v>
          </cell>
          <cell r="Y938">
            <v>38705.265352796727</v>
          </cell>
          <cell r="Z938">
            <v>38705.265352796727</v>
          </cell>
          <cell r="AA938">
            <v>0</v>
          </cell>
          <cell r="AB938">
            <v>77410.530705593454</v>
          </cell>
          <cell r="AC938">
            <v>0</v>
          </cell>
          <cell r="AD938">
            <v>0</v>
          </cell>
          <cell r="AE938">
            <v>0</v>
          </cell>
          <cell r="AF938">
            <v>0</v>
          </cell>
          <cell r="AG938">
            <v>0</v>
          </cell>
          <cell r="AH938">
            <v>0</v>
          </cell>
        </row>
        <row r="939">
          <cell r="B939" t="str">
            <v>SNIES</v>
          </cell>
          <cell r="C939" t="str">
            <v>A1A</v>
          </cell>
          <cell r="D939" t="str">
            <v>A1AG</v>
          </cell>
          <cell r="E939" t="str">
            <v>EP/KOUN</v>
          </cell>
          <cell r="F939" t="str">
            <v>SNIES</v>
          </cell>
          <cell r="G939">
            <v>21</v>
          </cell>
          <cell r="H939" t="str">
            <v>EP 90 cl Koundara études et suivi travaux  bur, mag, logt, forages</v>
          </cell>
          <cell r="I939" t="str">
            <v>SNIES</v>
          </cell>
          <cell r="K939" t="str">
            <v>BAD ED IV</v>
          </cell>
          <cell r="L939" t="str">
            <v>AON</v>
          </cell>
          <cell r="M939">
            <v>6</v>
          </cell>
          <cell r="N939">
            <v>6</v>
          </cell>
          <cell r="P939">
            <v>12</v>
          </cell>
          <cell r="Q939" t="str">
            <v>classe</v>
          </cell>
          <cell r="S939">
            <v>12901.755117598908</v>
          </cell>
          <cell r="T939">
            <v>1</v>
          </cell>
          <cell r="U939">
            <v>77410.530705593454</v>
          </cell>
          <cell r="V939">
            <v>77410.530705593454</v>
          </cell>
          <cell r="W939">
            <v>0</v>
          </cell>
          <cell r="X939">
            <v>154821.06141118691</v>
          </cell>
          <cell r="Y939">
            <v>77410.530705593454</v>
          </cell>
          <cell r="Z939">
            <v>77410.530705593454</v>
          </cell>
          <cell r="AA939">
            <v>0</v>
          </cell>
          <cell r="AB939">
            <v>154821.06141118691</v>
          </cell>
          <cell r="AC939">
            <v>0</v>
          </cell>
          <cell r="AD939">
            <v>0</v>
          </cell>
          <cell r="AE939">
            <v>0</v>
          </cell>
          <cell r="AF939">
            <v>0</v>
          </cell>
          <cell r="AG939">
            <v>0</v>
          </cell>
          <cell r="AH939">
            <v>0</v>
          </cell>
        </row>
        <row r="940">
          <cell r="B940" t="str">
            <v>SNIES</v>
          </cell>
          <cell r="C940" t="str">
            <v>A1A</v>
          </cell>
          <cell r="D940" t="str">
            <v>A1AG</v>
          </cell>
          <cell r="E940" t="str">
            <v>EP/KANK</v>
          </cell>
          <cell r="F940" t="str">
            <v>SNIES</v>
          </cell>
          <cell r="G940">
            <v>21</v>
          </cell>
          <cell r="H940" t="str">
            <v>EP 90 cl Kankan  études et suivi travaux  bur, mag, logt, forages</v>
          </cell>
          <cell r="I940" t="str">
            <v>SNIES</v>
          </cell>
          <cell r="K940" t="str">
            <v>BAD ED IV</v>
          </cell>
          <cell r="L940" t="str">
            <v>AON</v>
          </cell>
          <cell r="M940">
            <v>1.5</v>
          </cell>
          <cell r="N940">
            <v>1.5</v>
          </cell>
          <cell r="P940">
            <v>3</v>
          </cell>
          <cell r="Q940" t="str">
            <v>classe</v>
          </cell>
          <cell r="S940">
            <v>12901.755117598908</v>
          </cell>
          <cell r="T940">
            <v>1</v>
          </cell>
          <cell r="U940">
            <v>19352.632676398363</v>
          </cell>
          <cell r="V940">
            <v>19352.632676398363</v>
          </cell>
          <cell r="W940">
            <v>0</v>
          </cell>
          <cell r="X940">
            <v>38705.265352796727</v>
          </cell>
          <cell r="Y940">
            <v>19352.632676398363</v>
          </cell>
          <cell r="Z940">
            <v>19352.632676398363</v>
          </cell>
          <cell r="AA940">
            <v>0</v>
          </cell>
          <cell r="AB940">
            <v>38705.265352796727</v>
          </cell>
          <cell r="AC940">
            <v>0</v>
          </cell>
          <cell r="AD940">
            <v>0</v>
          </cell>
          <cell r="AE940">
            <v>0</v>
          </cell>
          <cell r="AF940">
            <v>0</v>
          </cell>
          <cell r="AG940">
            <v>0</v>
          </cell>
          <cell r="AH940">
            <v>0</v>
          </cell>
        </row>
        <row r="941">
          <cell r="B941" t="str">
            <v>SNIES</v>
          </cell>
          <cell r="C941" t="str">
            <v>A1A</v>
          </cell>
          <cell r="D941" t="str">
            <v>A1AG</v>
          </cell>
          <cell r="E941" t="str">
            <v>EP/SIGU</v>
          </cell>
          <cell r="F941" t="str">
            <v>SNIES</v>
          </cell>
          <cell r="G941">
            <v>21</v>
          </cell>
          <cell r="H941" t="str">
            <v>EP 90 cl Siguiri  études et suivi travaux  bur, mag, logt, forages</v>
          </cell>
          <cell r="I941" t="str">
            <v>SNIES</v>
          </cell>
          <cell r="K941" t="str">
            <v>BAD ED IV</v>
          </cell>
          <cell r="L941" t="str">
            <v>AON</v>
          </cell>
          <cell r="M941">
            <v>9</v>
          </cell>
          <cell r="N941">
            <v>9</v>
          </cell>
          <cell r="P941">
            <v>18</v>
          </cell>
          <cell r="Q941" t="str">
            <v>classe</v>
          </cell>
          <cell r="S941">
            <v>12901.755117598908</v>
          </cell>
          <cell r="T941">
            <v>1</v>
          </cell>
          <cell r="U941">
            <v>116115.79605839017</v>
          </cell>
          <cell r="V941">
            <v>116115.79605839017</v>
          </cell>
          <cell r="W941">
            <v>0</v>
          </cell>
          <cell r="X941">
            <v>232231.59211678035</v>
          </cell>
          <cell r="Y941">
            <v>116115.79605839017</v>
          </cell>
          <cell r="Z941">
            <v>116115.79605839017</v>
          </cell>
          <cell r="AA941">
            <v>0</v>
          </cell>
          <cell r="AB941">
            <v>232231.59211678035</v>
          </cell>
          <cell r="AC941">
            <v>0</v>
          </cell>
          <cell r="AD941">
            <v>0</v>
          </cell>
          <cell r="AE941">
            <v>0</v>
          </cell>
          <cell r="AF941">
            <v>0</v>
          </cell>
          <cell r="AG941">
            <v>0</v>
          </cell>
          <cell r="AH941">
            <v>0</v>
          </cell>
        </row>
        <row r="942">
          <cell r="B942" t="str">
            <v>SNIES</v>
          </cell>
          <cell r="C942" t="str">
            <v>A1A</v>
          </cell>
          <cell r="D942" t="str">
            <v>A1AG</v>
          </cell>
          <cell r="E942" t="str">
            <v>EP/MAND</v>
          </cell>
          <cell r="F942" t="str">
            <v>SNIES</v>
          </cell>
          <cell r="G942">
            <v>21</v>
          </cell>
          <cell r="H942" t="str">
            <v>EP 90 cl Mandiana  études et suivi travaux  bur, mag, logt, forages</v>
          </cell>
          <cell r="I942" t="str">
            <v>SNIES</v>
          </cell>
          <cell r="K942" t="str">
            <v>BAD ED IV</v>
          </cell>
          <cell r="L942" t="str">
            <v>AON</v>
          </cell>
          <cell r="M942">
            <v>9</v>
          </cell>
          <cell r="N942">
            <v>9</v>
          </cell>
          <cell r="P942">
            <v>18</v>
          </cell>
          <cell r="Q942" t="str">
            <v>classe</v>
          </cell>
          <cell r="S942">
            <v>12901.755117598908</v>
          </cell>
          <cell r="T942">
            <v>1</v>
          </cell>
          <cell r="U942">
            <v>116115.79605839017</v>
          </cell>
          <cell r="V942">
            <v>116115.79605839017</v>
          </cell>
          <cell r="W942">
            <v>0</v>
          </cell>
          <cell r="X942">
            <v>232231.59211678035</v>
          </cell>
          <cell r="Y942">
            <v>116115.79605839017</v>
          </cell>
          <cell r="Z942">
            <v>116115.79605839017</v>
          </cell>
          <cell r="AA942">
            <v>0</v>
          </cell>
          <cell r="AB942">
            <v>232231.59211678035</v>
          </cell>
          <cell r="AC942">
            <v>0</v>
          </cell>
          <cell r="AD942">
            <v>0</v>
          </cell>
          <cell r="AE942">
            <v>0</v>
          </cell>
          <cell r="AF942">
            <v>0</v>
          </cell>
          <cell r="AG942">
            <v>0</v>
          </cell>
          <cell r="AH942">
            <v>0</v>
          </cell>
        </row>
        <row r="943">
          <cell r="B943" t="str">
            <v>SNIES</v>
          </cell>
          <cell r="C943" t="str">
            <v>A1A</v>
          </cell>
          <cell r="D943" t="str">
            <v>A1AG</v>
          </cell>
          <cell r="E943" t="str">
            <v>EP/NZER</v>
          </cell>
          <cell r="F943" t="str">
            <v>SNIES</v>
          </cell>
          <cell r="G943">
            <v>21</v>
          </cell>
          <cell r="H943" t="str">
            <v>EP 90 cl Nzérékoré  études et suivi travaux  bur, mag, logt, forages</v>
          </cell>
          <cell r="I943" t="str">
            <v>SNIES</v>
          </cell>
          <cell r="K943" t="str">
            <v>BAD ED IV</v>
          </cell>
          <cell r="L943" t="str">
            <v>AON</v>
          </cell>
          <cell r="M943">
            <v>7.5</v>
          </cell>
          <cell r="N943">
            <v>7.5</v>
          </cell>
          <cell r="P943">
            <v>15</v>
          </cell>
          <cell r="Q943" t="str">
            <v>classe</v>
          </cell>
          <cell r="S943">
            <v>12901.755117598908</v>
          </cell>
          <cell r="T943">
            <v>1</v>
          </cell>
          <cell r="U943">
            <v>96763.163381991806</v>
          </cell>
          <cell r="V943">
            <v>96763.163381991806</v>
          </cell>
          <cell r="W943">
            <v>0</v>
          </cell>
          <cell r="X943">
            <v>193526.32676398361</v>
          </cell>
          <cell r="Y943">
            <v>96763.163381991806</v>
          </cell>
          <cell r="Z943">
            <v>96763.163381991806</v>
          </cell>
          <cell r="AA943">
            <v>0</v>
          </cell>
          <cell r="AB943">
            <v>193526.32676398361</v>
          </cell>
          <cell r="AC943">
            <v>0</v>
          </cell>
          <cell r="AD943">
            <v>0</v>
          </cell>
          <cell r="AE943">
            <v>0</v>
          </cell>
          <cell r="AF943">
            <v>0</v>
          </cell>
          <cell r="AG943">
            <v>0</v>
          </cell>
          <cell r="AH943">
            <v>0</v>
          </cell>
        </row>
        <row r="944">
          <cell r="B944" t="str">
            <v>SNIES</v>
          </cell>
          <cell r="C944" t="str">
            <v>A1A</v>
          </cell>
          <cell r="D944" t="str">
            <v>A1AG</v>
          </cell>
          <cell r="E944" t="str">
            <v>EP/BOKE</v>
          </cell>
          <cell r="F944" t="str">
            <v>SNIES</v>
          </cell>
          <cell r="G944">
            <v>22</v>
          </cell>
          <cell r="H944" t="str">
            <v>EP 90 cl Boké Travaux cl, logts, latrines, bureaux, mag, forages</v>
          </cell>
          <cell r="I944" t="str">
            <v>SNIES</v>
          </cell>
          <cell r="K944" t="str">
            <v>BAD ED IV</v>
          </cell>
          <cell r="L944" t="str">
            <v>AON</v>
          </cell>
          <cell r="M944">
            <v>4.5</v>
          </cell>
          <cell r="N944">
            <v>4.5</v>
          </cell>
          <cell r="P944">
            <v>9</v>
          </cell>
          <cell r="Q944" t="str">
            <v>classe</v>
          </cell>
          <cell r="R944">
            <v>41.925362524322509</v>
          </cell>
          <cell r="S944">
            <v>161271.93896998637</v>
          </cell>
          <cell r="T944">
            <v>0.74750000000000005</v>
          </cell>
          <cell r="U944">
            <v>725723.72536493861</v>
          </cell>
          <cell r="V944">
            <v>725723.72536493861</v>
          </cell>
          <cell r="W944">
            <v>0</v>
          </cell>
          <cell r="X944">
            <v>1451447.4507298772</v>
          </cell>
          <cell r="Y944">
            <v>542478.48471029161</v>
          </cell>
          <cell r="Z944">
            <v>542478.48471029161</v>
          </cell>
          <cell r="AA944">
            <v>0</v>
          </cell>
          <cell r="AB944">
            <v>1084956.9694205832</v>
          </cell>
          <cell r="AC944">
            <v>183245.240654647</v>
          </cell>
          <cell r="AD944">
            <v>183245.240654647</v>
          </cell>
          <cell r="AE944">
            <v>0</v>
          </cell>
          <cell r="AF944">
            <v>366490.481309294</v>
          </cell>
          <cell r="AG944">
            <v>0</v>
          </cell>
          <cell r="AH944">
            <v>0</v>
          </cell>
        </row>
        <row r="945">
          <cell r="B945" t="str">
            <v>SNIES</v>
          </cell>
          <cell r="C945" t="str">
            <v>A1A</v>
          </cell>
          <cell r="D945" t="str">
            <v>A1AG</v>
          </cell>
          <cell r="E945" t="str">
            <v>EP/BOFF</v>
          </cell>
          <cell r="F945" t="str">
            <v>SNIES</v>
          </cell>
          <cell r="G945">
            <v>22</v>
          </cell>
          <cell r="H945" t="str">
            <v>EP 90 cl Boffa  Travaux cl, logts, latrines, bureaux, mag, forages</v>
          </cell>
          <cell r="I945" t="str">
            <v>SNIES</v>
          </cell>
          <cell r="K945" t="str">
            <v>BAD ED IV</v>
          </cell>
          <cell r="L945" t="str">
            <v>AON</v>
          </cell>
          <cell r="M945">
            <v>4.5</v>
          </cell>
          <cell r="N945">
            <v>4.5</v>
          </cell>
          <cell r="P945">
            <v>9</v>
          </cell>
          <cell r="Q945" t="str">
            <v>classe</v>
          </cell>
          <cell r="S945">
            <v>161271.93896998637</v>
          </cell>
          <cell r="T945">
            <v>0.74750000000000005</v>
          </cell>
          <cell r="U945">
            <v>725723.72536493861</v>
          </cell>
          <cell r="V945">
            <v>725723.72536493861</v>
          </cell>
          <cell r="W945">
            <v>0</v>
          </cell>
          <cell r="X945">
            <v>1451447.4507298772</v>
          </cell>
          <cell r="Y945">
            <v>542478.48471029161</v>
          </cell>
          <cell r="Z945">
            <v>542478.48471029161</v>
          </cell>
          <cell r="AA945">
            <v>0</v>
          </cell>
          <cell r="AB945">
            <v>1084956.9694205832</v>
          </cell>
          <cell r="AC945">
            <v>183245.240654647</v>
          </cell>
          <cell r="AD945">
            <v>183245.240654647</v>
          </cell>
          <cell r="AE945">
            <v>0</v>
          </cell>
          <cell r="AF945">
            <v>366490.481309294</v>
          </cell>
          <cell r="AG945">
            <v>0</v>
          </cell>
          <cell r="AH945">
            <v>0</v>
          </cell>
        </row>
        <row r="946">
          <cell r="B946" t="str">
            <v>SNIES</v>
          </cell>
          <cell r="C946" t="str">
            <v>A1A</v>
          </cell>
          <cell r="D946" t="str">
            <v>A1AG</v>
          </cell>
          <cell r="E946" t="str">
            <v>EP/GAOU</v>
          </cell>
          <cell r="F946" t="str">
            <v>SNIES</v>
          </cell>
          <cell r="G946">
            <v>22</v>
          </cell>
          <cell r="H946" t="str">
            <v>EP 90 cl Gaoual  Travaux cl, logts, latrines, bureaux, mag, forages</v>
          </cell>
          <cell r="I946" t="str">
            <v>SNIES</v>
          </cell>
          <cell r="K946" t="str">
            <v>BAD ED IV</v>
          </cell>
          <cell r="L946" t="str">
            <v>AON</v>
          </cell>
          <cell r="M946">
            <v>3</v>
          </cell>
          <cell r="N946">
            <v>3</v>
          </cell>
          <cell r="P946">
            <v>6</v>
          </cell>
          <cell r="Q946" t="str">
            <v>classe</v>
          </cell>
          <cell r="S946">
            <v>161271.93896998637</v>
          </cell>
          <cell r="T946">
            <v>0.74750000000000005</v>
          </cell>
          <cell r="U946">
            <v>483815.81690995907</v>
          </cell>
          <cell r="V946">
            <v>483815.81690995907</v>
          </cell>
          <cell r="W946">
            <v>0</v>
          </cell>
          <cell r="X946">
            <v>967631.63381991815</v>
          </cell>
          <cell r="Y946">
            <v>361652.32314019441</v>
          </cell>
          <cell r="Z946">
            <v>361652.32314019441</v>
          </cell>
          <cell r="AA946">
            <v>0</v>
          </cell>
          <cell r="AB946">
            <v>723304.64628038881</v>
          </cell>
          <cell r="AC946">
            <v>122163.49376976467</v>
          </cell>
          <cell r="AD946">
            <v>122163.49376976467</v>
          </cell>
          <cell r="AE946">
            <v>0</v>
          </cell>
          <cell r="AF946">
            <v>244326.98753952933</v>
          </cell>
          <cell r="AG946">
            <v>0</v>
          </cell>
          <cell r="AH946">
            <v>0</v>
          </cell>
        </row>
        <row r="947">
          <cell r="B947" t="str">
            <v>SNIES</v>
          </cell>
          <cell r="C947" t="str">
            <v>A1A</v>
          </cell>
          <cell r="D947" t="str">
            <v>A1AG</v>
          </cell>
          <cell r="E947" t="str">
            <v>EP/KOUN</v>
          </cell>
          <cell r="F947" t="str">
            <v>SNIES</v>
          </cell>
          <cell r="G947">
            <v>22</v>
          </cell>
          <cell r="H947" t="str">
            <v>EP 90 cl Koundara  Travaux cl, logts, latrines, bureaux, mag, forages</v>
          </cell>
          <cell r="I947" t="str">
            <v>SNIES</v>
          </cell>
          <cell r="K947" t="str">
            <v>BAD ED IV</v>
          </cell>
          <cell r="L947" t="str">
            <v>AON</v>
          </cell>
          <cell r="M947">
            <v>6</v>
          </cell>
          <cell r="N947">
            <v>6</v>
          </cell>
          <cell r="P947">
            <v>12</v>
          </cell>
          <cell r="Q947" t="str">
            <v>classe</v>
          </cell>
          <cell r="S947">
            <v>161271.93896998637</v>
          </cell>
          <cell r="T947">
            <v>0.74750000000000005</v>
          </cell>
          <cell r="U947">
            <v>967631.63381991815</v>
          </cell>
          <cell r="V947">
            <v>967631.63381991815</v>
          </cell>
          <cell r="W947">
            <v>0</v>
          </cell>
          <cell r="X947">
            <v>1935263.2676398363</v>
          </cell>
          <cell r="Y947">
            <v>723304.64628038881</v>
          </cell>
          <cell r="Z947">
            <v>723304.64628038881</v>
          </cell>
          <cell r="AA947">
            <v>0</v>
          </cell>
          <cell r="AB947">
            <v>1446609.2925607776</v>
          </cell>
          <cell r="AC947">
            <v>244326.98753952933</v>
          </cell>
          <cell r="AD947">
            <v>244326.98753952933</v>
          </cell>
          <cell r="AE947">
            <v>0</v>
          </cell>
          <cell r="AF947">
            <v>488653.97507905867</v>
          </cell>
          <cell r="AG947">
            <v>0</v>
          </cell>
          <cell r="AH947">
            <v>0</v>
          </cell>
        </row>
        <row r="948">
          <cell r="B948" t="str">
            <v>SNIES</v>
          </cell>
          <cell r="C948" t="str">
            <v>A1A</v>
          </cell>
          <cell r="D948" t="str">
            <v>A1AG</v>
          </cell>
          <cell r="E948" t="str">
            <v>EP/KANK</v>
          </cell>
          <cell r="F948" t="str">
            <v>SNIES</v>
          </cell>
          <cell r="G948">
            <v>22</v>
          </cell>
          <cell r="H948" t="str">
            <v>EP 90 cl Kankan  Travaux cl, logts, latrines, bureaux, mag, forages</v>
          </cell>
          <cell r="I948" t="str">
            <v>SNIES</v>
          </cell>
          <cell r="K948" t="str">
            <v>BAD ED IV</v>
          </cell>
          <cell r="L948" t="str">
            <v>AON</v>
          </cell>
          <cell r="M948">
            <v>1.5</v>
          </cell>
          <cell r="N948">
            <v>1.5</v>
          </cell>
          <cell r="P948">
            <v>3</v>
          </cell>
          <cell r="Q948" t="str">
            <v>classe</v>
          </cell>
          <cell r="S948">
            <v>161271.93896998637</v>
          </cell>
          <cell r="T948">
            <v>0.74750000000000005</v>
          </cell>
          <cell r="U948">
            <v>241907.90845497954</v>
          </cell>
          <cell r="V948">
            <v>241907.90845497954</v>
          </cell>
          <cell r="W948">
            <v>0</v>
          </cell>
          <cell r="X948">
            <v>483815.81690995907</v>
          </cell>
          <cell r="Y948">
            <v>180826.1615700972</v>
          </cell>
          <cell r="Z948">
            <v>180826.1615700972</v>
          </cell>
          <cell r="AA948">
            <v>0</v>
          </cell>
          <cell r="AB948">
            <v>361652.32314019441</v>
          </cell>
          <cell r="AC948">
            <v>61081.746884882334</v>
          </cell>
          <cell r="AD948">
            <v>61081.746884882334</v>
          </cell>
          <cell r="AE948">
            <v>0</v>
          </cell>
          <cell r="AF948">
            <v>122163.49376976467</v>
          </cell>
          <cell r="AG948">
            <v>0</v>
          </cell>
          <cell r="AH948">
            <v>0</v>
          </cell>
        </row>
        <row r="949">
          <cell r="B949" t="str">
            <v>SNIES</v>
          </cell>
          <cell r="C949" t="str">
            <v>A1A</v>
          </cell>
          <cell r="D949" t="str">
            <v>A1AG</v>
          </cell>
          <cell r="E949" t="str">
            <v>EP/SIGU</v>
          </cell>
          <cell r="F949" t="str">
            <v>SNIES</v>
          </cell>
          <cell r="G949">
            <v>22</v>
          </cell>
          <cell r="H949" t="str">
            <v>EP 90 cl Siguiri  Travaux cl, logts, latrines, bureaux, mag, forages</v>
          </cell>
          <cell r="I949" t="str">
            <v>SNIES</v>
          </cell>
          <cell r="K949" t="str">
            <v>BAD ED IV</v>
          </cell>
          <cell r="L949" t="str">
            <v>AON</v>
          </cell>
          <cell r="M949">
            <v>9</v>
          </cell>
          <cell r="N949">
            <v>9</v>
          </cell>
          <cell r="P949">
            <v>18</v>
          </cell>
          <cell r="Q949" t="str">
            <v>classe</v>
          </cell>
          <cell r="S949">
            <v>161271.93896998637</v>
          </cell>
          <cell r="T949">
            <v>0.74750000000000005</v>
          </cell>
          <cell r="U949">
            <v>1451447.4507298772</v>
          </cell>
          <cell r="V949">
            <v>1451447.4507298772</v>
          </cell>
          <cell r="W949">
            <v>0</v>
          </cell>
          <cell r="X949">
            <v>2902894.9014597544</v>
          </cell>
          <cell r="Y949">
            <v>1084956.9694205832</v>
          </cell>
          <cell r="Z949">
            <v>1084956.9694205832</v>
          </cell>
          <cell r="AA949">
            <v>0</v>
          </cell>
          <cell r="AB949">
            <v>2169913.9388411664</v>
          </cell>
          <cell r="AC949">
            <v>366490.481309294</v>
          </cell>
          <cell r="AD949">
            <v>366490.481309294</v>
          </cell>
          <cell r="AE949">
            <v>0</v>
          </cell>
          <cell r="AF949">
            <v>732980.962618588</v>
          </cell>
          <cell r="AG949">
            <v>0</v>
          </cell>
          <cell r="AH949">
            <v>0</v>
          </cell>
        </row>
        <row r="950">
          <cell r="B950" t="str">
            <v>SNIES</v>
          </cell>
          <cell r="C950" t="str">
            <v>A1A</v>
          </cell>
          <cell r="D950" t="str">
            <v>A1AG</v>
          </cell>
          <cell r="E950" t="str">
            <v>EP/MAND</v>
          </cell>
          <cell r="F950" t="str">
            <v>SNIES</v>
          </cell>
          <cell r="G950">
            <v>22</v>
          </cell>
          <cell r="H950" t="str">
            <v>EP 90 cl Mandiana  Travaux cl, logts, latrines, bureaux, mag, forages</v>
          </cell>
          <cell r="I950" t="str">
            <v>SNIES</v>
          </cell>
          <cell r="K950" t="str">
            <v>BAD ED IV</v>
          </cell>
          <cell r="L950" t="str">
            <v>AON</v>
          </cell>
          <cell r="M950">
            <v>9</v>
          </cell>
          <cell r="N950">
            <v>9</v>
          </cell>
          <cell r="P950">
            <v>18</v>
          </cell>
          <cell r="Q950" t="str">
            <v>classe</v>
          </cell>
          <cell r="S950">
            <v>161271.93896998637</v>
          </cell>
          <cell r="T950">
            <v>0.74750000000000005</v>
          </cell>
          <cell r="U950">
            <v>1451447.4507298772</v>
          </cell>
          <cell r="V950">
            <v>1451447.4507298772</v>
          </cell>
          <cell r="W950">
            <v>0</v>
          </cell>
          <cell r="X950">
            <v>2902894.9014597544</v>
          </cell>
          <cell r="Y950">
            <v>1084956.9694205832</v>
          </cell>
          <cell r="Z950">
            <v>1084956.9694205832</v>
          </cell>
          <cell r="AA950">
            <v>0</v>
          </cell>
          <cell r="AB950">
            <v>2169913.9388411664</v>
          </cell>
          <cell r="AC950">
            <v>366490.481309294</v>
          </cell>
          <cell r="AD950">
            <v>366490.481309294</v>
          </cell>
          <cell r="AE950">
            <v>0</v>
          </cell>
          <cell r="AF950">
            <v>732980.962618588</v>
          </cell>
          <cell r="AG950">
            <v>0</v>
          </cell>
          <cell r="AH950">
            <v>0</v>
          </cell>
        </row>
        <row r="951">
          <cell r="B951" t="str">
            <v>SNIES</v>
          </cell>
          <cell r="C951" t="str">
            <v>A1A</v>
          </cell>
          <cell r="D951" t="str">
            <v>A1AG</v>
          </cell>
          <cell r="E951" t="str">
            <v>EP/NZER</v>
          </cell>
          <cell r="F951" t="str">
            <v>SNIES</v>
          </cell>
          <cell r="G951">
            <v>22</v>
          </cell>
          <cell r="H951" t="str">
            <v>EP 90 cl Nzérékoré  Travaux cl, logts, latrines, bureaux, mag, forages</v>
          </cell>
          <cell r="I951" t="str">
            <v>SNIES</v>
          </cell>
          <cell r="K951" t="str">
            <v>BAD ED IV</v>
          </cell>
          <cell r="L951" t="str">
            <v>AON</v>
          </cell>
          <cell r="M951">
            <v>7.5</v>
          </cell>
          <cell r="N951">
            <v>7.5</v>
          </cell>
          <cell r="P951">
            <v>15</v>
          </cell>
          <cell r="Q951" t="str">
            <v>classe</v>
          </cell>
          <cell r="S951">
            <v>161271.93896998637</v>
          </cell>
          <cell r="T951">
            <v>0.74750000000000005</v>
          </cell>
          <cell r="U951">
            <v>1209539.5422748977</v>
          </cell>
          <cell r="V951">
            <v>1209539.5422748977</v>
          </cell>
          <cell r="W951">
            <v>0</v>
          </cell>
          <cell r="X951">
            <v>2419079.0845497954</v>
          </cell>
          <cell r="Y951">
            <v>904130.80785048613</v>
          </cell>
          <cell r="Z951">
            <v>904130.80785048613</v>
          </cell>
          <cell r="AA951">
            <v>0</v>
          </cell>
          <cell r="AB951">
            <v>1808261.6157009723</v>
          </cell>
          <cell r="AC951">
            <v>305408.73442441155</v>
          </cell>
          <cell r="AD951">
            <v>305408.73442441155</v>
          </cell>
          <cell r="AE951">
            <v>0</v>
          </cell>
          <cell r="AF951">
            <v>610817.4688488231</v>
          </cell>
          <cell r="AG951">
            <v>0</v>
          </cell>
          <cell r="AH951">
            <v>0</v>
          </cell>
        </row>
        <row r="952">
          <cell r="B952" t="str">
            <v>SNIES</v>
          </cell>
          <cell r="C952" t="str">
            <v>A1A</v>
          </cell>
          <cell r="D952" t="str">
            <v>A1AG</v>
          </cell>
          <cell r="E952" t="str">
            <v>EP/BOKE</v>
          </cell>
          <cell r="F952" t="str">
            <v>SNIES</v>
          </cell>
          <cell r="G952">
            <v>23</v>
          </cell>
          <cell r="H952" t="str">
            <v>EP 90 cl Boké mobilier classes primaires</v>
          </cell>
          <cell r="I952" t="str">
            <v>SNIES</v>
          </cell>
          <cell r="K952" t="str">
            <v>BAD ED IV</v>
          </cell>
          <cell r="L952" t="str">
            <v>AON</v>
          </cell>
          <cell r="N952">
            <v>9</v>
          </cell>
          <cell r="P952">
            <v>9</v>
          </cell>
          <cell r="Q952" t="str">
            <v>classe</v>
          </cell>
          <cell r="S952">
            <v>10417.814034030622</v>
          </cell>
          <cell r="T952">
            <v>1</v>
          </cell>
          <cell r="U952">
            <v>0</v>
          </cell>
          <cell r="V952">
            <v>93760.326306275601</v>
          </cell>
          <cell r="W952">
            <v>0</v>
          </cell>
          <cell r="X952">
            <v>93760.326306275601</v>
          </cell>
          <cell r="Y952">
            <v>0</v>
          </cell>
          <cell r="Z952">
            <v>93760.326306275601</v>
          </cell>
          <cell r="AA952">
            <v>0</v>
          </cell>
          <cell r="AB952">
            <v>93760.326306275601</v>
          </cell>
          <cell r="AC952">
            <v>0</v>
          </cell>
          <cell r="AD952">
            <v>0</v>
          </cell>
          <cell r="AE952">
            <v>0</v>
          </cell>
          <cell r="AF952">
            <v>0</v>
          </cell>
          <cell r="AG952">
            <v>0</v>
          </cell>
          <cell r="AH952">
            <v>0</v>
          </cell>
        </row>
        <row r="953">
          <cell r="B953" t="str">
            <v>SNIES</v>
          </cell>
          <cell r="C953" t="str">
            <v>A1A</v>
          </cell>
          <cell r="D953" t="str">
            <v>A1AG</v>
          </cell>
          <cell r="E953" t="str">
            <v>EP/BOFF</v>
          </cell>
          <cell r="F953" t="str">
            <v>SNIES</v>
          </cell>
          <cell r="G953">
            <v>23</v>
          </cell>
          <cell r="H953" t="str">
            <v>EP 90 cl Boffa  mobilier classes primaires</v>
          </cell>
          <cell r="I953" t="str">
            <v>SNIES</v>
          </cell>
          <cell r="K953" t="str">
            <v>BAD ED IV</v>
          </cell>
          <cell r="L953" t="str">
            <v>AON</v>
          </cell>
          <cell r="N953">
            <v>9</v>
          </cell>
          <cell r="P953">
            <v>9</v>
          </cell>
          <cell r="Q953" t="str">
            <v>classe</v>
          </cell>
          <cell r="S953">
            <v>10417.814034030622</v>
          </cell>
          <cell r="T953">
            <v>1</v>
          </cell>
          <cell r="U953">
            <v>0</v>
          </cell>
          <cell r="V953">
            <v>93760.326306275601</v>
          </cell>
          <cell r="W953">
            <v>0</v>
          </cell>
          <cell r="X953">
            <v>93760.326306275601</v>
          </cell>
          <cell r="Y953">
            <v>0</v>
          </cell>
          <cell r="Z953">
            <v>93760.326306275601</v>
          </cell>
          <cell r="AA953">
            <v>0</v>
          </cell>
          <cell r="AB953">
            <v>93760.326306275601</v>
          </cell>
          <cell r="AC953">
            <v>0</v>
          </cell>
          <cell r="AD953">
            <v>0</v>
          </cell>
          <cell r="AE953">
            <v>0</v>
          </cell>
          <cell r="AF953">
            <v>0</v>
          </cell>
          <cell r="AG953">
            <v>0</v>
          </cell>
          <cell r="AH953">
            <v>0</v>
          </cell>
        </row>
        <row r="954">
          <cell r="B954" t="str">
            <v>SNIES</v>
          </cell>
          <cell r="C954" t="str">
            <v>A1A</v>
          </cell>
          <cell r="D954" t="str">
            <v>A1AG</v>
          </cell>
          <cell r="E954" t="str">
            <v>EP/GAOU</v>
          </cell>
          <cell r="F954" t="str">
            <v>SNIES</v>
          </cell>
          <cell r="G954">
            <v>23</v>
          </cell>
          <cell r="H954" t="str">
            <v>EP 90 cl Gaoual  mobilier classes primaires</v>
          </cell>
          <cell r="I954" t="str">
            <v>SNIES</v>
          </cell>
          <cell r="K954" t="str">
            <v>BAD ED IV</v>
          </cell>
          <cell r="L954" t="str">
            <v>AON</v>
          </cell>
          <cell r="N954">
            <v>6</v>
          </cell>
          <cell r="P954">
            <v>6</v>
          </cell>
          <cell r="Q954" t="str">
            <v>classe</v>
          </cell>
          <cell r="S954">
            <v>10417.814034030622</v>
          </cell>
          <cell r="T954">
            <v>1</v>
          </cell>
          <cell r="U954">
            <v>0</v>
          </cell>
          <cell r="V954">
            <v>62506.884204183734</v>
          </cell>
          <cell r="W954">
            <v>0</v>
          </cell>
          <cell r="X954">
            <v>62506.884204183734</v>
          </cell>
          <cell r="Y954">
            <v>0</v>
          </cell>
          <cell r="Z954">
            <v>62506.884204183734</v>
          </cell>
          <cell r="AA954">
            <v>0</v>
          </cell>
          <cell r="AB954">
            <v>62506.884204183734</v>
          </cell>
          <cell r="AC954">
            <v>0</v>
          </cell>
          <cell r="AD954">
            <v>0</v>
          </cell>
          <cell r="AE954">
            <v>0</v>
          </cell>
          <cell r="AF954">
            <v>0</v>
          </cell>
          <cell r="AG954">
            <v>0</v>
          </cell>
          <cell r="AH954">
            <v>0</v>
          </cell>
        </row>
        <row r="955">
          <cell r="B955" t="str">
            <v>SNIES</v>
          </cell>
          <cell r="C955" t="str">
            <v>A1A</v>
          </cell>
          <cell r="D955" t="str">
            <v>A1AG</v>
          </cell>
          <cell r="E955" t="str">
            <v>EP/KOUN</v>
          </cell>
          <cell r="F955" t="str">
            <v>SNIES</v>
          </cell>
          <cell r="G955">
            <v>23</v>
          </cell>
          <cell r="H955" t="str">
            <v>EP 90 cl Koundara  mobilier classes primaires</v>
          </cell>
          <cell r="I955" t="str">
            <v>SNIES</v>
          </cell>
          <cell r="K955" t="str">
            <v>BAD ED IV</v>
          </cell>
          <cell r="L955" t="str">
            <v>AON</v>
          </cell>
          <cell r="N955">
            <v>12</v>
          </cell>
          <cell r="P955">
            <v>12</v>
          </cell>
          <cell r="Q955" t="str">
            <v>classe</v>
          </cell>
          <cell r="S955">
            <v>10417.814034030622</v>
          </cell>
          <cell r="T955">
            <v>1</v>
          </cell>
          <cell r="U955">
            <v>0</v>
          </cell>
          <cell r="V955">
            <v>125013.76840836747</v>
          </cell>
          <cell r="W955">
            <v>0</v>
          </cell>
          <cell r="X955">
            <v>125013.76840836747</v>
          </cell>
          <cell r="Y955">
            <v>0</v>
          </cell>
          <cell r="Z955">
            <v>125013.76840836747</v>
          </cell>
          <cell r="AA955">
            <v>0</v>
          </cell>
          <cell r="AB955">
            <v>125013.76840836747</v>
          </cell>
          <cell r="AC955">
            <v>0</v>
          </cell>
          <cell r="AD955">
            <v>0</v>
          </cell>
          <cell r="AE955">
            <v>0</v>
          </cell>
          <cell r="AF955">
            <v>0</v>
          </cell>
          <cell r="AG955">
            <v>0</v>
          </cell>
          <cell r="AH955">
            <v>0</v>
          </cell>
        </row>
        <row r="956">
          <cell r="B956" t="str">
            <v>SNIES</v>
          </cell>
          <cell r="C956" t="str">
            <v>A1A</v>
          </cell>
          <cell r="D956" t="str">
            <v>A1AG</v>
          </cell>
          <cell r="E956" t="str">
            <v>EP/KANK</v>
          </cell>
          <cell r="F956" t="str">
            <v>SNIES</v>
          </cell>
          <cell r="G956">
            <v>23</v>
          </cell>
          <cell r="H956" t="str">
            <v>EP 90 cl Kankan  mobilier classes primaires</v>
          </cell>
          <cell r="I956" t="str">
            <v>SNIES</v>
          </cell>
          <cell r="K956" t="str">
            <v>BAD ED IV</v>
          </cell>
          <cell r="L956" t="str">
            <v>AON</v>
          </cell>
          <cell r="N956">
            <v>3</v>
          </cell>
          <cell r="P956">
            <v>3</v>
          </cell>
          <cell r="Q956" t="str">
            <v>classe</v>
          </cell>
          <cell r="S956">
            <v>10417.814034030622</v>
          </cell>
          <cell r="T956">
            <v>1</v>
          </cell>
          <cell r="U956">
            <v>0</v>
          </cell>
          <cell r="V956">
            <v>31253.442102091867</v>
          </cell>
          <cell r="W956">
            <v>0</v>
          </cell>
          <cell r="X956">
            <v>31253.442102091867</v>
          </cell>
          <cell r="Y956">
            <v>0</v>
          </cell>
          <cell r="Z956">
            <v>31253.442102091867</v>
          </cell>
          <cell r="AA956">
            <v>0</v>
          </cell>
          <cell r="AB956">
            <v>31253.442102091867</v>
          </cell>
          <cell r="AC956">
            <v>0</v>
          </cell>
          <cell r="AD956">
            <v>0</v>
          </cell>
          <cell r="AE956">
            <v>0</v>
          </cell>
          <cell r="AF956">
            <v>0</v>
          </cell>
          <cell r="AG956">
            <v>0</v>
          </cell>
          <cell r="AH956">
            <v>0</v>
          </cell>
        </row>
        <row r="957">
          <cell r="B957" t="str">
            <v>SNIES</v>
          </cell>
          <cell r="C957" t="str">
            <v>A1A</v>
          </cell>
          <cell r="D957" t="str">
            <v>A1AG</v>
          </cell>
          <cell r="E957" t="str">
            <v>EP/SIGU</v>
          </cell>
          <cell r="F957" t="str">
            <v>SNIES</v>
          </cell>
          <cell r="G957">
            <v>23</v>
          </cell>
          <cell r="H957" t="str">
            <v>EP 90 cl Siguiri  mobilier classes primaires</v>
          </cell>
          <cell r="I957" t="str">
            <v>SNIES</v>
          </cell>
          <cell r="K957" t="str">
            <v>BAD ED IV</v>
          </cell>
          <cell r="L957" t="str">
            <v>AON</v>
          </cell>
          <cell r="N957">
            <v>18</v>
          </cell>
          <cell r="P957">
            <v>18</v>
          </cell>
          <cell r="Q957" t="str">
            <v>classe</v>
          </cell>
          <cell r="S957">
            <v>10417.814034030622</v>
          </cell>
          <cell r="T957">
            <v>1</v>
          </cell>
          <cell r="U957">
            <v>0</v>
          </cell>
          <cell r="V957">
            <v>187520.6526125512</v>
          </cell>
          <cell r="W957">
            <v>0</v>
          </cell>
          <cell r="X957">
            <v>187520.6526125512</v>
          </cell>
          <cell r="Y957">
            <v>0</v>
          </cell>
          <cell r="Z957">
            <v>187520.6526125512</v>
          </cell>
          <cell r="AA957">
            <v>0</v>
          </cell>
          <cell r="AB957">
            <v>187520.6526125512</v>
          </cell>
          <cell r="AC957">
            <v>0</v>
          </cell>
          <cell r="AD957">
            <v>0</v>
          </cell>
          <cell r="AE957">
            <v>0</v>
          </cell>
          <cell r="AF957">
            <v>0</v>
          </cell>
          <cell r="AG957">
            <v>0</v>
          </cell>
          <cell r="AH957">
            <v>0</v>
          </cell>
        </row>
        <row r="958">
          <cell r="B958" t="str">
            <v>SNIES</v>
          </cell>
          <cell r="C958" t="str">
            <v>A1A</v>
          </cell>
          <cell r="D958" t="str">
            <v>A1AG</v>
          </cell>
          <cell r="E958" t="str">
            <v>EP/MAND</v>
          </cell>
          <cell r="F958" t="str">
            <v>SNIES</v>
          </cell>
          <cell r="G958">
            <v>23</v>
          </cell>
          <cell r="H958" t="str">
            <v>EP 90 cl Mandiana  mobilier classes primaires</v>
          </cell>
          <cell r="I958" t="str">
            <v>SNIES</v>
          </cell>
          <cell r="K958" t="str">
            <v>BAD ED IV</v>
          </cell>
          <cell r="L958" t="str">
            <v>AON</v>
          </cell>
          <cell r="N958">
            <v>18</v>
          </cell>
          <cell r="P958">
            <v>18</v>
          </cell>
          <cell r="Q958" t="str">
            <v>classe</v>
          </cell>
          <cell r="S958">
            <v>10417.814034030622</v>
          </cell>
          <cell r="T958">
            <v>1</v>
          </cell>
          <cell r="U958">
            <v>0</v>
          </cell>
          <cell r="V958">
            <v>187520.6526125512</v>
          </cell>
          <cell r="W958">
            <v>0</v>
          </cell>
          <cell r="X958">
            <v>187520.6526125512</v>
          </cell>
          <cell r="Y958">
            <v>0</v>
          </cell>
          <cell r="Z958">
            <v>187520.6526125512</v>
          </cell>
          <cell r="AA958">
            <v>0</v>
          </cell>
          <cell r="AB958">
            <v>187520.6526125512</v>
          </cell>
          <cell r="AC958">
            <v>0</v>
          </cell>
          <cell r="AD958">
            <v>0</v>
          </cell>
          <cell r="AE958">
            <v>0</v>
          </cell>
          <cell r="AF958">
            <v>0</v>
          </cell>
          <cell r="AG958">
            <v>0</v>
          </cell>
          <cell r="AH958">
            <v>0</v>
          </cell>
        </row>
        <row r="959">
          <cell r="B959" t="str">
            <v>SNIES</v>
          </cell>
          <cell r="C959" t="str">
            <v>A1A</v>
          </cell>
          <cell r="D959" t="str">
            <v>A1AG</v>
          </cell>
          <cell r="E959" t="str">
            <v>EP/NZER</v>
          </cell>
          <cell r="F959" t="str">
            <v>SNIES</v>
          </cell>
          <cell r="G959">
            <v>23</v>
          </cell>
          <cell r="H959" t="str">
            <v>EP 90 cl Nzérékoré  mobilier classes primaires</v>
          </cell>
          <cell r="I959" t="str">
            <v>SNIES</v>
          </cell>
          <cell r="K959" t="str">
            <v>BAD ED IV</v>
          </cell>
          <cell r="L959" t="str">
            <v>AON</v>
          </cell>
          <cell r="N959">
            <v>15</v>
          </cell>
          <cell r="P959">
            <v>15</v>
          </cell>
          <cell r="Q959" t="str">
            <v>classe</v>
          </cell>
          <cell r="S959">
            <v>10417.814034030622</v>
          </cell>
          <cell r="T959">
            <v>1</v>
          </cell>
          <cell r="U959">
            <v>0</v>
          </cell>
          <cell r="V959">
            <v>156267.21051045932</v>
          </cell>
          <cell r="W959">
            <v>0</v>
          </cell>
          <cell r="X959">
            <v>156267.21051045932</v>
          </cell>
          <cell r="Y959">
            <v>0</v>
          </cell>
          <cell r="Z959">
            <v>156267.21051045932</v>
          </cell>
          <cell r="AA959">
            <v>0</v>
          </cell>
          <cell r="AB959">
            <v>156267.21051045932</v>
          </cell>
          <cell r="AC959">
            <v>0</v>
          </cell>
          <cell r="AD959">
            <v>0</v>
          </cell>
          <cell r="AE959">
            <v>0</v>
          </cell>
          <cell r="AF959">
            <v>0</v>
          </cell>
          <cell r="AG959">
            <v>0</v>
          </cell>
          <cell r="AH959">
            <v>0</v>
          </cell>
        </row>
        <row r="960">
          <cell r="B960" t="str">
            <v>SNIES</v>
          </cell>
          <cell r="C960" t="str">
            <v>A1A</v>
          </cell>
          <cell r="D960" t="str">
            <v>A1AG</v>
          </cell>
          <cell r="E960" t="str">
            <v>EP/BOKE</v>
          </cell>
          <cell r="F960" t="str">
            <v>SNIES</v>
          </cell>
          <cell r="G960">
            <v>24</v>
          </cell>
          <cell r="H960" t="str">
            <v>EP 90 cl Boké matériel didactique classes primaires</v>
          </cell>
          <cell r="I960" t="str">
            <v>SNIES</v>
          </cell>
          <cell r="K960" t="str">
            <v>BAD ED IV</v>
          </cell>
          <cell r="L960" t="str">
            <v>AON</v>
          </cell>
          <cell r="N960">
            <v>9</v>
          </cell>
          <cell r="P960">
            <v>9</v>
          </cell>
          <cell r="Q960" t="str">
            <v>classe</v>
          </cell>
          <cell r="S960">
            <v>4072.6232378353798</v>
          </cell>
          <cell r="T960">
            <v>1</v>
          </cell>
          <cell r="U960">
            <v>0</v>
          </cell>
          <cell r="V960">
            <v>36653.60914051842</v>
          </cell>
          <cell r="W960">
            <v>0</v>
          </cell>
          <cell r="X960">
            <v>36653.60914051842</v>
          </cell>
          <cell r="Y960">
            <v>0</v>
          </cell>
          <cell r="Z960">
            <v>36653.60914051842</v>
          </cell>
          <cell r="AA960">
            <v>0</v>
          </cell>
          <cell r="AB960">
            <v>36653.60914051842</v>
          </cell>
          <cell r="AC960">
            <v>0</v>
          </cell>
          <cell r="AD960">
            <v>0</v>
          </cell>
          <cell r="AE960">
            <v>0</v>
          </cell>
          <cell r="AF960">
            <v>0</v>
          </cell>
          <cell r="AG960">
            <v>0</v>
          </cell>
          <cell r="AH960">
            <v>0</v>
          </cell>
        </row>
        <row r="961">
          <cell r="B961" t="str">
            <v>SNIES</v>
          </cell>
          <cell r="C961" t="str">
            <v>A1A</v>
          </cell>
          <cell r="D961" t="str">
            <v>A1AG</v>
          </cell>
          <cell r="E961" t="str">
            <v>EP/BOFF</v>
          </cell>
          <cell r="F961" t="str">
            <v>SNIES</v>
          </cell>
          <cell r="G961">
            <v>24</v>
          </cell>
          <cell r="H961" t="str">
            <v>EP 90 cl Boffa  matériel didactique classes primaires</v>
          </cell>
          <cell r="I961" t="str">
            <v>SNIES</v>
          </cell>
          <cell r="K961" t="str">
            <v>BAD ED IV</v>
          </cell>
          <cell r="L961" t="str">
            <v>AON</v>
          </cell>
          <cell r="N961">
            <v>9</v>
          </cell>
          <cell r="P961">
            <v>9</v>
          </cell>
          <cell r="Q961" t="str">
            <v>classe</v>
          </cell>
          <cell r="S961">
            <v>4072.6232378353798</v>
          </cell>
          <cell r="T961">
            <v>1</v>
          </cell>
          <cell r="U961">
            <v>0</v>
          </cell>
          <cell r="V961">
            <v>36653.60914051842</v>
          </cell>
          <cell r="W961">
            <v>0</v>
          </cell>
          <cell r="X961">
            <v>36653.60914051842</v>
          </cell>
          <cell r="Y961">
            <v>0</v>
          </cell>
          <cell r="Z961">
            <v>36653.60914051842</v>
          </cell>
          <cell r="AA961">
            <v>0</v>
          </cell>
          <cell r="AB961">
            <v>36653.60914051842</v>
          </cell>
          <cell r="AC961">
            <v>0</v>
          </cell>
          <cell r="AD961">
            <v>0</v>
          </cell>
          <cell r="AE961">
            <v>0</v>
          </cell>
          <cell r="AF961">
            <v>0</v>
          </cell>
          <cell r="AG961">
            <v>0</v>
          </cell>
          <cell r="AH961">
            <v>0</v>
          </cell>
        </row>
        <row r="962">
          <cell r="B962" t="str">
            <v>SNIES</v>
          </cell>
          <cell r="C962" t="str">
            <v>A1A</v>
          </cell>
          <cell r="D962" t="str">
            <v>A1AG</v>
          </cell>
          <cell r="E962" t="str">
            <v>EP/GAOU</v>
          </cell>
          <cell r="F962" t="str">
            <v>SNIES</v>
          </cell>
          <cell r="G962">
            <v>24</v>
          </cell>
          <cell r="H962" t="str">
            <v>EP 90 cl Gaoual  matériel didactique classes primaires</v>
          </cell>
          <cell r="I962" t="str">
            <v>SNIES</v>
          </cell>
          <cell r="K962" t="str">
            <v>BAD ED IV</v>
          </cell>
          <cell r="L962" t="str">
            <v>AON</v>
          </cell>
          <cell r="N962">
            <v>6</v>
          </cell>
          <cell r="P962">
            <v>6</v>
          </cell>
          <cell r="Q962" t="str">
            <v>classe</v>
          </cell>
          <cell r="S962">
            <v>4072.6232378353798</v>
          </cell>
          <cell r="T962">
            <v>1</v>
          </cell>
          <cell r="U962">
            <v>0</v>
          </cell>
          <cell r="V962">
            <v>24435.739427012279</v>
          </cell>
          <cell r="W962">
            <v>0</v>
          </cell>
          <cell r="X962">
            <v>24435.739427012279</v>
          </cell>
          <cell r="Y962">
            <v>0</v>
          </cell>
          <cell r="Z962">
            <v>24435.739427012279</v>
          </cell>
          <cell r="AA962">
            <v>0</v>
          </cell>
          <cell r="AB962">
            <v>24435.739427012279</v>
          </cell>
          <cell r="AC962">
            <v>0</v>
          </cell>
          <cell r="AD962">
            <v>0</v>
          </cell>
          <cell r="AE962">
            <v>0</v>
          </cell>
          <cell r="AF962">
            <v>0</v>
          </cell>
          <cell r="AG962">
            <v>0</v>
          </cell>
          <cell r="AH962">
            <v>0</v>
          </cell>
        </row>
        <row r="963">
          <cell r="B963" t="str">
            <v>SNIES</v>
          </cell>
          <cell r="C963" t="str">
            <v>A1A</v>
          </cell>
          <cell r="D963" t="str">
            <v>A1AG</v>
          </cell>
          <cell r="E963" t="str">
            <v>EP/KOUN</v>
          </cell>
          <cell r="F963" t="str">
            <v>SNIES</v>
          </cell>
          <cell r="G963">
            <v>24</v>
          </cell>
          <cell r="H963" t="str">
            <v>EP 90 cl Koundara  matériel didactique classes primaires</v>
          </cell>
          <cell r="I963" t="str">
            <v>SNIES</v>
          </cell>
          <cell r="K963" t="str">
            <v>BAD ED IV</v>
          </cell>
          <cell r="L963" t="str">
            <v>AON</v>
          </cell>
          <cell r="N963">
            <v>12</v>
          </cell>
          <cell r="P963">
            <v>12</v>
          </cell>
          <cell r="Q963" t="str">
            <v>classe</v>
          </cell>
          <cell r="S963">
            <v>4072.6232378353798</v>
          </cell>
          <cell r="T963">
            <v>1</v>
          </cell>
          <cell r="U963">
            <v>0</v>
          </cell>
          <cell r="V963">
            <v>48871.478854024557</v>
          </cell>
          <cell r="W963">
            <v>0</v>
          </cell>
          <cell r="X963">
            <v>48871.478854024557</v>
          </cell>
          <cell r="Y963">
            <v>0</v>
          </cell>
          <cell r="Z963">
            <v>48871.478854024557</v>
          </cell>
          <cell r="AA963">
            <v>0</v>
          </cell>
          <cell r="AB963">
            <v>48871.478854024557</v>
          </cell>
          <cell r="AC963">
            <v>0</v>
          </cell>
          <cell r="AD963">
            <v>0</v>
          </cell>
          <cell r="AE963">
            <v>0</v>
          </cell>
          <cell r="AF963">
            <v>0</v>
          </cell>
          <cell r="AG963">
            <v>0</v>
          </cell>
          <cell r="AH963">
            <v>0</v>
          </cell>
        </row>
        <row r="964">
          <cell r="B964" t="str">
            <v>SNIES</v>
          </cell>
          <cell r="C964" t="str">
            <v>A1A</v>
          </cell>
          <cell r="D964" t="str">
            <v>A1AG</v>
          </cell>
          <cell r="E964" t="str">
            <v>EP/KANK</v>
          </cell>
          <cell r="F964" t="str">
            <v>SNIES</v>
          </cell>
          <cell r="G964">
            <v>24</v>
          </cell>
          <cell r="H964" t="str">
            <v>EP 90 cl Kankan  matériel didactique classes primaires</v>
          </cell>
          <cell r="I964" t="str">
            <v>SNIES</v>
          </cell>
          <cell r="K964" t="str">
            <v>BAD ED IV</v>
          </cell>
          <cell r="L964" t="str">
            <v>AON</v>
          </cell>
          <cell r="N964">
            <v>3</v>
          </cell>
          <cell r="P964">
            <v>3</v>
          </cell>
          <cell r="Q964" t="str">
            <v>classe</v>
          </cell>
          <cell r="S964">
            <v>4072.6232378353798</v>
          </cell>
          <cell r="T964">
            <v>1</v>
          </cell>
          <cell r="U964">
            <v>0</v>
          </cell>
          <cell r="V964">
            <v>12217.869713506139</v>
          </cell>
          <cell r="W964">
            <v>0</v>
          </cell>
          <cell r="X964">
            <v>12217.869713506139</v>
          </cell>
          <cell r="Y964">
            <v>0</v>
          </cell>
          <cell r="Z964">
            <v>12217.869713506139</v>
          </cell>
          <cell r="AA964">
            <v>0</v>
          </cell>
          <cell r="AB964">
            <v>12217.869713506139</v>
          </cell>
          <cell r="AC964">
            <v>0</v>
          </cell>
          <cell r="AD964">
            <v>0</v>
          </cell>
          <cell r="AE964">
            <v>0</v>
          </cell>
          <cell r="AF964">
            <v>0</v>
          </cell>
          <cell r="AG964">
            <v>0</v>
          </cell>
          <cell r="AH964">
            <v>0</v>
          </cell>
        </row>
        <row r="965">
          <cell r="B965" t="str">
            <v>SNIES</v>
          </cell>
          <cell r="C965" t="str">
            <v>A1A</v>
          </cell>
          <cell r="D965" t="str">
            <v>A1AG</v>
          </cell>
          <cell r="E965" t="str">
            <v>EP/SIGU</v>
          </cell>
          <cell r="F965" t="str">
            <v>SNIES</v>
          </cell>
          <cell r="G965">
            <v>24</v>
          </cell>
          <cell r="H965" t="str">
            <v>EP 90 cl Siguiri  matériel didactique classes primaires</v>
          </cell>
          <cell r="I965" t="str">
            <v>SNIES</v>
          </cell>
          <cell r="K965" t="str">
            <v>BAD ED IV</v>
          </cell>
          <cell r="L965" t="str">
            <v>AON</v>
          </cell>
          <cell r="N965">
            <v>18</v>
          </cell>
          <cell r="P965">
            <v>18</v>
          </cell>
          <cell r="Q965" t="str">
            <v>classe</v>
          </cell>
          <cell r="S965">
            <v>4072.6232378353798</v>
          </cell>
          <cell r="T965">
            <v>1</v>
          </cell>
          <cell r="U965">
            <v>0</v>
          </cell>
          <cell r="V965">
            <v>73307.218281036839</v>
          </cell>
          <cell r="W965">
            <v>0</v>
          </cell>
          <cell r="X965">
            <v>73307.218281036839</v>
          </cell>
          <cell r="Y965">
            <v>0</v>
          </cell>
          <cell r="Z965">
            <v>73307.218281036839</v>
          </cell>
          <cell r="AA965">
            <v>0</v>
          </cell>
          <cell r="AB965">
            <v>73307.218281036839</v>
          </cell>
          <cell r="AC965">
            <v>0</v>
          </cell>
          <cell r="AD965">
            <v>0</v>
          </cell>
          <cell r="AE965">
            <v>0</v>
          </cell>
          <cell r="AF965">
            <v>0</v>
          </cell>
          <cell r="AG965">
            <v>0</v>
          </cell>
          <cell r="AH965">
            <v>0</v>
          </cell>
        </row>
        <row r="966">
          <cell r="B966" t="str">
            <v>SNIES</v>
          </cell>
          <cell r="C966" t="str">
            <v>A1A</v>
          </cell>
          <cell r="D966" t="str">
            <v>A1AG</v>
          </cell>
          <cell r="E966" t="str">
            <v>EP/MAND</v>
          </cell>
          <cell r="F966" t="str">
            <v>SNIES</v>
          </cell>
          <cell r="G966">
            <v>24</v>
          </cell>
          <cell r="H966" t="str">
            <v>EP 90 cl Mandiana  matériel didactique classes primaires</v>
          </cell>
          <cell r="I966" t="str">
            <v>SNIES</v>
          </cell>
          <cell r="K966" t="str">
            <v>BAD ED IV</v>
          </cell>
          <cell r="L966" t="str">
            <v>AON</v>
          </cell>
          <cell r="N966">
            <v>18</v>
          </cell>
          <cell r="P966">
            <v>18</v>
          </cell>
          <cell r="Q966" t="str">
            <v>classe</v>
          </cell>
          <cell r="S966">
            <v>4072.6232378353798</v>
          </cell>
          <cell r="T966">
            <v>1</v>
          </cell>
          <cell r="U966">
            <v>0</v>
          </cell>
          <cell r="V966">
            <v>73307.218281036839</v>
          </cell>
          <cell r="W966">
            <v>0</v>
          </cell>
          <cell r="X966">
            <v>73307.218281036839</v>
          </cell>
          <cell r="Y966">
            <v>0</v>
          </cell>
          <cell r="Z966">
            <v>73307.218281036839</v>
          </cell>
          <cell r="AA966">
            <v>0</v>
          </cell>
          <cell r="AB966">
            <v>73307.218281036839</v>
          </cell>
          <cell r="AC966">
            <v>0</v>
          </cell>
          <cell r="AD966">
            <v>0</v>
          </cell>
          <cell r="AE966">
            <v>0</v>
          </cell>
          <cell r="AF966">
            <v>0</v>
          </cell>
          <cell r="AG966">
            <v>0</v>
          </cell>
          <cell r="AH966">
            <v>0</v>
          </cell>
        </row>
        <row r="967">
          <cell r="B967" t="str">
            <v>SNIES</v>
          </cell>
          <cell r="C967" t="str">
            <v>A1A</v>
          </cell>
          <cell r="D967" t="str">
            <v>A1AG</v>
          </cell>
          <cell r="E967" t="str">
            <v>EP/NZER</v>
          </cell>
          <cell r="F967" t="str">
            <v>SNIES</v>
          </cell>
          <cell r="G967">
            <v>24</v>
          </cell>
          <cell r="H967" t="str">
            <v>EP 90 cl Nzérékoré  matériel didactique classes primaires</v>
          </cell>
          <cell r="I967" t="str">
            <v>SNIES</v>
          </cell>
          <cell r="K967" t="str">
            <v>BAD ED IV</v>
          </cell>
          <cell r="L967" t="str">
            <v>AON</v>
          </cell>
          <cell r="N967">
            <v>15</v>
          </cell>
          <cell r="P967">
            <v>15</v>
          </cell>
          <cell r="Q967" t="str">
            <v>classe</v>
          </cell>
          <cell r="S967">
            <v>4072.6232378353798</v>
          </cell>
          <cell r="T967">
            <v>1</v>
          </cell>
          <cell r="U967">
            <v>0</v>
          </cell>
          <cell r="V967">
            <v>61089.348567530695</v>
          </cell>
          <cell r="W967">
            <v>0</v>
          </cell>
          <cell r="X967">
            <v>61089.348567530695</v>
          </cell>
          <cell r="Y967">
            <v>0</v>
          </cell>
          <cell r="Z967">
            <v>61089.348567530695</v>
          </cell>
          <cell r="AA967">
            <v>0</v>
          </cell>
          <cell r="AB967">
            <v>61089.348567530695</v>
          </cell>
          <cell r="AC967">
            <v>0</v>
          </cell>
          <cell r="AD967">
            <v>0</v>
          </cell>
          <cell r="AE967">
            <v>0</v>
          </cell>
          <cell r="AF967">
            <v>0</v>
          </cell>
          <cell r="AG967">
            <v>0</v>
          </cell>
          <cell r="AH967">
            <v>0</v>
          </cell>
        </row>
        <row r="968">
          <cell r="B968" t="str">
            <v>SNIES</v>
          </cell>
          <cell r="C968" t="str">
            <v>A1B</v>
          </cell>
          <cell r="D968" t="str">
            <v>A1BI</v>
          </cell>
          <cell r="E968" t="str">
            <v>ES/BOKE</v>
          </cell>
          <cell r="F968" t="str">
            <v>SNIES</v>
          </cell>
          <cell r="G968">
            <v>21</v>
          </cell>
          <cell r="H968" t="str">
            <v>ES 5 coll Boké contrôle technique travaux collège</v>
          </cell>
          <cell r="I968" t="str">
            <v>SNIES</v>
          </cell>
          <cell r="K968" t="str">
            <v>BAD ED IV</v>
          </cell>
          <cell r="L968" t="str">
            <v>AON</v>
          </cell>
          <cell r="M968">
            <v>0.5</v>
          </cell>
          <cell r="N968">
            <v>0.5</v>
          </cell>
          <cell r="P968">
            <v>1</v>
          </cell>
          <cell r="Q968" t="str">
            <v>collège</v>
          </cell>
          <cell r="S968">
            <v>64396.055886766706</v>
          </cell>
          <cell r="T968">
            <v>1</v>
          </cell>
          <cell r="U968">
            <v>32198.027943383353</v>
          </cell>
          <cell r="V968">
            <v>32198.027943383353</v>
          </cell>
          <cell r="W968">
            <v>0</v>
          </cell>
          <cell r="X968">
            <v>64396.055886766706</v>
          </cell>
          <cell r="Y968">
            <v>32198.027943383353</v>
          </cell>
          <cell r="Z968">
            <v>32198.027943383353</v>
          </cell>
          <cell r="AA968">
            <v>0</v>
          </cell>
          <cell r="AB968">
            <v>64396.055886766706</v>
          </cell>
          <cell r="AC968">
            <v>0</v>
          </cell>
          <cell r="AD968">
            <v>0</v>
          </cell>
          <cell r="AE968">
            <v>0</v>
          </cell>
          <cell r="AF968">
            <v>0</v>
          </cell>
          <cell r="AG968">
            <v>0</v>
          </cell>
          <cell r="AH968">
            <v>0</v>
          </cell>
        </row>
        <row r="969">
          <cell r="B969" t="str">
            <v>SNIES</v>
          </cell>
          <cell r="C969" t="str">
            <v>A1B</v>
          </cell>
          <cell r="D969" t="str">
            <v>A1BI</v>
          </cell>
          <cell r="E969" t="str">
            <v>ES/GAOU</v>
          </cell>
          <cell r="F969" t="str">
            <v>SNIES</v>
          </cell>
          <cell r="G969">
            <v>21</v>
          </cell>
          <cell r="H969" t="str">
            <v>ES 5 coll Gaoual  contrôle technique travaux collège</v>
          </cell>
          <cell r="I969" t="str">
            <v>SNIES</v>
          </cell>
          <cell r="K969" t="str">
            <v>BAD ED IV</v>
          </cell>
          <cell r="L969" t="str">
            <v>AON</v>
          </cell>
          <cell r="M969">
            <v>0.5</v>
          </cell>
          <cell r="N969">
            <v>0.5</v>
          </cell>
          <cell r="P969">
            <v>1</v>
          </cell>
          <cell r="Q969" t="str">
            <v>collège</v>
          </cell>
          <cell r="S969">
            <v>64396.055886766706</v>
          </cell>
          <cell r="T969">
            <v>1</v>
          </cell>
          <cell r="U969">
            <v>32198.027943383353</v>
          </cell>
          <cell r="V969">
            <v>32198.027943383353</v>
          </cell>
          <cell r="W969">
            <v>0</v>
          </cell>
          <cell r="X969">
            <v>64396.055886766706</v>
          </cell>
          <cell r="Y969">
            <v>32198.027943383353</v>
          </cell>
          <cell r="Z969">
            <v>32198.027943383353</v>
          </cell>
          <cell r="AA969">
            <v>0</v>
          </cell>
          <cell r="AB969">
            <v>64396.055886766706</v>
          </cell>
          <cell r="AC969">
            <v>0</v>
          </cell>
          <cell r="AD969">
            <v>0</v>
          </cell>
          <cell r="AE969">
            <v>0</v>
          </cell>
          <cell r="AF969">
            <v>0</v>
          </cell>
          <cell r="AG969">
            <v>0</v>
          </cell>
          <cell r="AH969">
            <v>0</v>
          </cell>
        </row>
        <row r="970">
          <cell r="B970" t="str">
            <v>SNIES</v>
          </cell>
          <cell r="C970" t="str">
            <v>A1B</v>
          </cell>
          <cell r="D970" t="str">
            <v>A1BI</v>
          </cell>
          <cell r="E970" t="str">
            <v>ES/KANK</v>
          </cell>
          <cell r="F970" t="str">
            <v>SNIES</v>
          </cell>
          <cell r="G970">
            <v>21</v>
          </cell>
          <cell r="H970" t="str">
            <v>ES 5 coll Kankan  contrôle technique travaux collège</v>
          </cell>
          <cell r="I970" t="str">
            <v>SNIES</v>
          </cell>
          <cell r="K970" t="str">
            <v>BAD ED IV</v>
          </cell>
          <cell r="L970" t="str">
            <v>AON</v>
          </cell>
          <cell r="M970">
            <v>0.5</v>
          </cell>
          <cell r="N970">
            <v>0.5</v>
          </cell>
          <cell r="P970">
            <v>1</v>
          </cell>
          <cell r="Q970" t="str">
            <v>collège</v>
          </cell>
          <cell r="S970">
            <v>64396.055886766706</v>
          </cell>
          <cell r="T970">
            <v>1</v>
          </cell>
          <cell r="U970">
            <v>32198.027943383353</v>
          </cell>
          <cell r="V970">
            <v>32198.027943383353</v>
          </cell>
          <cell r="W970">
            <v>0</v>
          </cell>
          <cell r="X970">
            <v>64396.055886766706</v>
          </cell>
          <cell r="Y970">
            <v>32198.027943383353</v>
          </cell>
          <cell r="Z970">
            <v>32198.027943383353</v>
          </cell>
          <cell r="AA970">
            <v>0</v>
          </cell>
          <cell r="AB970">
            <v>64396.055886766706</v>
          </cell>
          <cell r="AC970">
            <v>0</v>
          </cell>
          <cell r="AD970">
            <v>0</v>
          </cell>
          <cell r="AE970">
            <v>0</v>
          </cell>
          <cell r="AF970">
            <v>0</v>
          </cell>
          <cell r="AG970">
            <v>0</v>
          </cell>
          <cell r="AH970">
            <v>0</v>
          </cell>
        </row>
        <row r="971">
          <cell r="B971" t="str">
            <v>SNIES</v>
          </cell>
          <cell r="C971" t="str">
            <v>A1B</v>
          </cell>
          <cell r="D971" t="str">
            <v>A1BI</v>
          </cell>
          <cell r="E971" t="str">
            <v>ES/NZER</v>
          </cell>
          <cell r="F971" t="str">
            <v>SNIES</v>
          </cell>
          <cell r="G971">
            <v>21</v>
          </cell>
          <cell r="H971" t="str">
            <v>ES 5 coll Nzérékoré  contrôle technique travaux collège</v>
          </cell>
          <cell r="I971" t="str">
            <v>SNIES</v>
          </cell>
          <cell r="K971" t="str">
            <v>BAD ED IV</v>
          </cell>
          <cell r="L971" t="str">
            <v>AON</v>
          </cell>
          <cell r="M971">
            <v>0.5</v>
          </cell>
          <cell r="N971">
            <v>0.5</v>
          </cell>
          <cell r="P971">
            <v>1</v>
          </cell>
          <cell r="Q971" t="str">
            <v>collège</v>
          </cell>
          <cell r="S971">
            <v>64396.055886766706</v>
          </cell>
          <cell r="T971">
            <v>1</v>
          </cell>
          <cell r="U971">
            <v>32198.027943383353</v>
          </cell>
          <cell r="V971">
            <v>32198.027943383353</v>
          </cell>
          <cell r="W971">
            <v>0</v>
          </cell>
          <cell r="X971">
            <v>64396.055886766706</v>
          </cell>
          <cell r="Y971">
            <v>32198.027943383353</v>
          </cell>
          <cell r="Z971">
            <v>32198.027943383353</v>
          </cell>
          <cell r="AA971">
            <v>0</v>
          </cell>
          <cell r="AB971">
            <v>64396.055886766706</v>
          </cell>
          <cell r="AC971">
            <v>0</v>
          </cell>
          <cell r="AD971">
            <v>0</v>
          </cell>
          <cell r="AE971">
            <v>0</v>
          </cell>
          <cell r="AF971">
            <v>0</v>
          </cell>
          <cell r="AG971">
            <v>0</v>
          </cell>
          <cell r="AH971">
            <v>0</v>
          </cell>
        </row>
        <row r="972">
          <cell r="B972" t="str">
            <v>SNIES</v>
          </cell>
          <cell r="C972" t="str">
            <v>A1B</v>
          </cell>
          <cell r="D972" t="str">
            <v>A1BI</v>
          </cell>
          <cell r="E972" t="str">
            <v>ES/BEYL</v>
          </cell>
          <cell r="F972" t="str">
            <v>SNIES</v>
          </cell>
          <cell r="G972">
            <v>21</v>
          </cell>
          <cell r="H972" t="str">
            <v>ES 5 coll Beyla  contrôle technique travaux collège</v>
          </cell>
          <cell r="I972" t="str">
            <v>SNIES</v>
          </cell>
          <cell r="K972" t="str">
            <v>BAD ED IV</v>
          </cell>
          <cell r="L972" t="str">
            <v>AON</v>
          </cell>
          <cell r="M972">
            <v>0.5</v>
          </cell>
          <cell r="N972">
            <v>0.5</v>
          </cell>
          <cell r="P972">
            <v>1</v>
          </cell>
          <cell r="Q972" t="str">
            <v>collège</v>
          </cell>
          <cell r="S972">
            <v>64396.055886766706</v>
          </cell>
          <cell r="T972">
            <v>1</v>
          </cell>
          <cell r="U972">
            <v>32198.027943383353</v>
          </cell>
          <cell r="V972">
            <v>32198.027943383353</v>
          </cell>
          <cell r="W972">
            <v>0</v>
          </cell>
          <cell r="X972">
            <v>64396.055886766706</v>
          </cell>
          <cell r="Y972">
            <v>32198.027943383353</v>
          </cell>
          <cell r="Z972">
            <v>32198.027943383353</v>
          </cell>
          <cell r="AA972">
            <v>0</v>
          </cell>
          <cell r="AB972">
            <v>64396.055886766706</v>
          </cell>
          <cell r="AC972">
            <v>0</v>
          </cell>
          <cell r="AD972">
            <v>0</v>
          </cell>
          <cell r="AE972">
            <v>0</v>
          </cell>
          <cell r="AF972">
            <v>0</v>
          </cell>
          <cell r="AG972">
            <v>0</v>
          </cell>
          <cell r="AH972">
            <v>0</v>
          </cell>
        </row>
        <row r="973">
          <cell r="B973" t="str">
            <v>SNIES</v>
          </cell>
          <cell r="C973" t="str">
            <v>A1B</v>
          </cell>
          <cell r="D973" t="str">
            <v>A1BI</v>
          </cell>
          <cell r="E973" t="str">
            <v>ES/BOKE</v>
          </cell>
          <cell r="F973" t="str">
            <v>SNIES</v>
          </cell>
          <cell r="G973">
            <v>21</v>
          </cell>
          <cell r="H973" t="str">
            <v>ES 5 coll Boké études et suivi travaux Collège</v>
          </cell>
          <cell r="I973" t="str">
            <v>SNIES</v>
          </cell>
          <cell r="K973" t="str">
            <v>BAD ED IV</v>
          </cell>
          <cell r="L973" t="str">
            <v>AON</v>
          </cell>
          <cell r="M973">
            <v>0.5</v>
          </cell>
          <cell r="N973">
            <v>0.5</v>
          </cell>
          <cell r="P973">
            <v>1</v>
          </cell>
          <cell r="Q973" t="str">
            <v>collège</v>
          </cell>
          <cell r="S973">
            <v>128796.05302182811</v>
          </cell>
          <cell r="T973">
            <v>1</v>
          </cell>
          <cell r="U973">
            <v>64398.026510914053</v>
          </cell>
          <cell r="V973">
            <v>64398.026510914053</v>
          </cell>
          <cell r="W973">
            <v>0</v>
          </cell>
          <cell r="X973">
            <v>128796.05302182811</v>
          </cell>
          <cell r="Y973">
            <v>64398.026510914053</v>
          </cell>
          <cell r="Z973">
            <v>64398.026510914053</v>
          </cell>
          <cell r="AA973">
            <v>0</v>
          </cell>
          <cell r="AB973">
            <v>128796.05302182811</v>
          </cell>
          <cell r="AC973">
            <v>0</v>
          </cell>
          <cell r="AD973">
            <v>0</v>
          </cell>
          <cell r="AE973">
            <v>0</v>
          </cell>
          <cell r="AF973">
            <v>0</v>
          </cell>
          <cell r="AG973">
            <v>0</v>
          </cell>
          <cell r="AH973">
            <v>0</v>
          </cell>
        </row>
        <row r="974">
          <cell r="B974" t="str">
            <v>SNIES</v>
          </cell>
          <cell r="C974" t="str">
            <v>A1B</v>
          </cell>
          <cell r="D974" t="str">
            <v>A1BI</v>
          </cell>
          <cell r="E974" t="str">
            <v>ES/GAOU</v>
          </cell>
          <cell r="F974" t="str">
            <v>SNIES</v>
          </cell>
          <cell r="G974">
            <v>21</v>
          </cell>
          <cell r="H974" t="str">
            <v>ES 5 coll Gaoual  études et suivi travaux Collège</v>
          </cell>
          <cell r="I974" t="str">
            <v>SNIES</v>
          </cell>
          <cell r="K974" t="str">
            <v>BAD ED IV</v>
          </cell>
          <cell r="L974" t="str">
            <v>AON</v>
          </cell>
          <cell r="M974">
            <v>0.5</v>
          </cell>
          <cell r="N974">
            <v>0.5</v>
          </cell>
          <cell r="P974">
            <v>1</v>
          </cell>
          <cell r="Q974" t="str">
            <v>collège</v>
          </cell>
          <cell r="S974">
            <v>128796.05302182811</v>
          </cell>
          <cell r="T974">
            <v>1</v>
          </cell>
          <cell r="U974">
            <v>64398.026510914053</v>
          </cell>
          <cell r="V974">
            <v>64398.026510914053</v>
          </cell>
          <cell r="W974">
            <v>0</v>
          </cell>
          <cell r="X974">
            <v>128796.05302182811</v>
          </cell>
          <cell r="Y974">
            <v>64398.026510914053</v>
          </cell>
          <cell r="Z974">
            <v>64398.026510914053</v>
          </cell>
          <cell r="AA974">
            <v>0</v>
          </cell>
          <cell r="AB974">
            <v>128796.05302182811</v>
          </cell>
          <cell r="AC974">
            <v>0</v>
          </cell>
          <cell r="AD974">
            <v>0</v>
          </cell>
          <cell r="AE974">
            <v>0</v>
          </cell>
          <cell r="AF974">
            <v>0</v>
          </cell>
          <cell r="AG974">
            <v>0</v>
          </cell>
          <cell r="AH974">
            <v>0</v>
          </cell>
        </row>
        <row r="975">
          <cell r="B975" t="str">
            <v>SNIES</v>
          </cell>
          <cell r="C975" t="str">
            <v>A1B</v>
          </cell>
          <cell r="D975" t="str">
            <v>A1BI</v>
          </cell>
          <cell r="E975" t="str">
            <v>ES/KANK</v>
          </cell>
          <cell r="F975" t="str">
            <v>SNIES</v>
          </cell>
          <cell r="G975">
            <v>21</v>
          </cell>
          <cell r="H975" t="str">
            <v>ES 5 coll Kankan  études et suivi travaux Collège</v>
          </cell>
          <cell r="I975" t="str">
            <v>SNIES</v>
          </cell>
          <cell r="K975" t="str">
            <v>BAD ED IV</v>
          </cell>
          <cell r="L975" t="str">
            <v>AON</v>
          </cell>
          <cell r="M975">
            <v>0.5</v>
          </cell>
          <cell r="N975">
            <v>0.5</v>
          </cell>
          <cell r="P975">
            <v>1</v>
          </cell>
          <cell r="Q975" t="str">
            <v>collège</v>
          </cell>
          <cell r="S975">
            <v>128796.05302182811</v>
          </cell>
          <cell r="T975">
            <v>1</v>
          </cell>
          <cell r="U975">
            <v>64398.026510914053</v>
          </cell>
          <cell r="V975">
            <v>64398.026510914053</v>
          </cell>
          <cell r="W975">
            <v>0</v>
          </cell>
          <cell r="X975">
            <v>128796.05302182811</v>
          </cell>
          <cell r="Y975">
            <v>64398.026510914053</v>
          </cell>
          <cell r="Z975">
            <v>64398.026510914053</v>
          </cell>
          <cell r="AA975">
            <v>0</v>
          </cell>
          <cell r="AB975">
            <v>128796.05302182811</v>
          </cell>
          <cell r="AC975">
            <v>0</v>
          </cell>
          <cell r="AD975">
            <v>0</v>
          </cell>
          <cell r="AE975">
            <v>0</v>
          </cell>
          <cell r="AF975">
            <v>0</v>
          </cell>
          <cell r="AG975">
            <v>0</v>
          </cell>
          <cell r="AH975">
            <v>0</v>
          </cell>
        </row>
        <row r="976">
          <cell r="B976" t="str">
            <v>SNIES</v>
          </cell>
          <cell r="C976" t="str">
            <v>A1B</v>
          </cell>
          <cell r="D976" t="str">
            <v>A1BI</v>
          </cell>
          <cell r="E976" t="str">
            <v>ES/NZER</v>
          </cell>
          <cell r="F976" t="str">
            <v>SNIES</v>
          </cell>
          <cell r="G976">
            <v>21</v>
          </cell>
          <cell r="H976" t="str">
            <v>ES 5 coll Nzérékoré  études et suivi travaux Collège</v>
          </cell>
          <cell r="I976" t="str">
            <v>SNIES</v>
          </cell>
          <cell r="K976" t="str">
            <v>BAD ED IV</v>
          </cell>
          <cell r="L976" t="str">
            <v>AON</v>
          </cell>
          <cell r="M976">
            <v>0.5</v>
          </cell>
          <cell r="N976">
            <v>0.5</v>
          </cell>
          <cell r="P976">
            <v>1</v>
          </cell>
          <cell r="Q976" t="str">
            <v>collège</v>
          </cell>
          <cell r="S976">
            <v>128796.05302182811</v>
          </cell>
          <cell r="T976">
            <v>1</v>
          </cell>
          <cell r="U976">
            <v>64398.026510914053</v>
          </cell>
          <cell r="V976">
            <v>64398.026510914053</v>
          </cell>
          <cell r="W976">
            <v>0</v>
          </cell>
          <cell r="X976">
            <v>128796.05302182811</v>
          </cell>
          <cell r="Y976">
            <v>64398.026510914053</v>
          </cell>
          <cell r="Z976">
            <v>64398.026510914053</v>
          </cell>
          <cell r="AA976">
            <v>0</v>
          </cell>
          <cell r="AB976">
            <v>128796.05302182811</v>
          </cell>
          <cell r="AC976">
            <v>0</v>
          </cell>
          <cell r="AD976">
            <v>0</v>
          </cell>
          <cell r="AE976">
            <v>0</v>
          </cell>
          <cell r="AF976">
            <v>0</v>
          </cell>
          <cell r="AG976">
            <v>0</v>
          </cell>
          <cell r="AH976">
            <v>0</v>
          </cell>
        </row>
        <row r="977">
          <cell r="B977" t="str">
            <v>SNIES</v>
          </cell>
          <cell r="C977" t="str">
            <v>A1B</v>
          </cell>
          <cell r="D977" t="str">
            <v>A1BI</v>
          </cell>
          <cell r="E977" t="str">
            <v>ES/BEYL</v>
          </cell>
          <cell r="F977" t="str">
            <v>SNIES</v>
          </cell>
          <cell r="G977">
            <v>21</v>
          </cell>
          <cell r="H977" t="str">
            <v>ES 5 coll Beyla  études coll et suivi travaux Collège</v>
          </cell>
          <cell r="I977" t="str">
            <v>SNIES</v>
          </cell>
          <cell r="K977" t="str">
            <v>BAD ED IV</v>
          </cell>
          <cell r="L977" t="str">
            <v>AON</v>
          </cell>
          <cell r="M977">
            <v>0.5</v>
          </cell>
          <cell r="N977">
            <v>0.5</v>
          </cell>
          <cell r="P977">
            <v>1</v>
          </cell>
          <cell r="Q977" t="str">
            <v>collège</v>
          </cell>
          <cell r="R977">
            <v>10614.365546207873</v>
          </cell>
          <cell r="S977">
            <v>128796.05302182811</v>
          </cell>
          <cell r="T977">
            <v>1</v>
          </cell>
          <cell r="U977">
            <v>64398.026510914053</v>
          </cell>
          <cell r="V977">
            <v>64398.026510914053</v>
          </cell>
          <cell r="W977">
            <v>0</v>
          </cell>
          <cell r="X977">
            <v>128796.05302182811</v>
          </cell>
          <cell r="Y977">
            <v>64398.026510914053</v>
          </cell>
          <cell r="Z977">
            <v>64398.026510914053</v>
          </cell>
          <cell r="AA977">
            <v>0</v>
          </cell>
          <cell r="AB977">
            <v>128796.05302182811</v>
          </cell>
          <cell r="AC977">
            <v>0</v>
          </cell>
          <cell r="AD977">
            <v>0</v>
          </cell>
          <cell r="AE977">
            <v>0</v>
          </cell>
          <cell r="AF977">
            <v>0</v>
          </cell>
          <cell r="AG977">
            <v>0</v>
          </cell>
          <cell r="AH977">
            <v>0</v>
          </cell>
        </row>
        <row r="978">
          <cell r="B978" t="str">
            <v>SNIES</v>
          </cell>
          <cell r="C978" t="str">
            <v>A1B</v>
          </cell>
          <cell r="D978" t="str">
            <v>A1BI</v>
          </cell>
          <cell r="E978" t="str">
            <v>ES/BOKE</v>
          </cell>
          <cell r="F978" t="str">
            <v>SNIES</v>
          </cell>
          <cell r="G978">
            <v>22</v>
          </cell>
          <cell r="H978" t="str">
            <v>ES 5 coll Boké Travaux collège</v>
          </cell>
          <cell r="I978" t="str">
            <v>SNIES</v>
          </cell>
          <cell r="K978" t="str">
            <v>BAD ED IV</v>
          </cell>
          <cell r="L978" t="str">
            <v>AON</v>
          </cell>
          <cell r="N978">
            <v>2</v>
          </cell>
          <cell r="O978">
            <v>2</v>
          </cell>
          <cell r="P978">
            <v>4</v>
          </cell>
          <cell r="Q978" t="str">
            <v>cl coll</v>
          </cell>
          <cell r="S978">
            <v>402484.21710095502</v>
          </cell>
          <cell r="T978">
            <v>0.74750000000000005</v>
          </cell>
          <cell r="U978">
            <v>0</v>
          </cell>
          <cell r="V978">
            <v>804968.43420191004</v>
          </cell>
          <cell r="W978">
            <v>804968.43420191004</v>
          </cell>
          <cell r="X978">
            <v>1609936.8684038201</v>
          </cell>
          <cell r="Y978">
            <v>0</v>
          </cell>
          <cell r="Z978">
            <v>601713.90456592781</v>
          </cell>
          <cell r="AA978">
            <v>601713.90456592781</v>
          </cell>
          <cell r="AB978">
            <v>1203427.8091318556</v>
          </cell>
          <cell r="AC978">
            <v>0</v>
          </cell>
          <cell r="AD978">
            <v>203254.52963598224</v>
          </cell>
          <cell r="AE978">
            <v>203254.52963598224</v>
          </cell>
          <cell r="AF978">
            <v>406509.05927196448</v>
          </cell>
          <cell r="AG978">
            <v>0</v>
          </cell>
          <cell r="AH978">
            <v>0</v>
          </cell>
        </row>
        <row r="979">
          <cell r="B979" t="str">
            <v>SNIES</v>
          </cell>
          <cell r="C979" t="str">
            <v>A1B</v>
          </cell>
          <cell r="D979" t="str">
            <v>A1BI</v>
          </cell>
          <cell r="E979" t="str">
            <v>ES/GAOU</v>
          </cell>
          <cell r="F979" t="str">
            <v>SNIES</v>
          </cell>
          <cell r="G979">
            <v>22</v>
          </cell>
          <cell r="H979" t="str">
            <v>ES 5 coll Gaoual  Travaux collège</v>
          </cell>
          <cell r="I979" t="str">
            <v>SNIES</v>
          </cell>
          <cell r="K979" t="str">
            <v>BAD ED IV</v>
          </cell>
          <cell r="L979" t="str">
            <v>AON</v>
          </cell>
          <cell r="N979">
            <v>2</v>
          </cell>
          <cell r="O979">
            <v>2</v>
          </cell>
          <cell r="P979">
            <v>4</v>
          </cell>
          <cell r="Q979" t="str">
            <v>cl coll</v>
          </cell>
          <cell r="S979">
            <v>402484.21710095502</v>
          </cell>
          <cell r="T979">
            <v>0.74750000000000005</v>
          </cell>
          <cell r="U979">
            <v>0</v>
          </cell>
          <cell r="V979">
            <v>804968.43420191004</v>
          </cell>
          <cell r="W979">
            <v>804968.43420191004</v>
          </cell>
          <cell r="X979">
            <v>1609936.8684038201</v>
          </cell>
          <cell r="Y979">
            <v>0</v>
          </cell>
          <cell r="Z979">
            <v>601713.90456592781</v>
          </cell>
          <cell r="AA979">
            <v>601713.90456592781</v>
          </cell>
          <cell r="AB979">
            <v>1203427.8091318556</v>
          </cell>
          <cell r="AC979">
            <v>0</v>
          </cell>
          <cell r="AD979">
            <v>203254.52963598224</v>
          </cell>
          <cell r="AE979">
            <v>203254.52963598224</v>
          </cell>
          <cell r="AF979">
            <v>406509.05927196448</v>
          </cell>
          <cell r="AG979">
            <v>0</v>
          </cell>
          <cell r="AH979">
            <v>0</v>
          </cell>
        </row>
        <row r="980">
          <cell r="B980" t="str">
            <v>SNIES</v>
          </cell>
          <cell r="C980" t="str">
            <v>A1B</v>
          </cell>
          <cell r="D980" t="str">
            <v>A1BI</v>
          </cell>
          <cell r="E980" t="str">
            <v>ES/KANK</v>
          </cell>
          <cell r="F980" t="str">
            <v>SNIES</v>
          </cell>
          <cell r="G980">
            <v>22</v>
          </cell>
          <cell r="H980" t="str">
            <v>ES 5 coll Kankan  Travaux collège</v>
          </cell>
          <cell r="I980" t="str">
            <v>SNIES</v>
          </cell>
          <cell r="K980" t="str">
            <v>BAD ED IV</v>
          </cell>
          <cell r="L980" t="str">
            <v>AON</v>
          </cell>
          <cell r="N980">
            <v>2</v>
          </cell>
          <cell r="O980">
            <v>2</v>
          </cell>
          <cell r="P980">
            <v>4</v>
          </cell>
          <cell r="Q980" t="str">
            <v>cl coll</v>
          </cell>
          <cell r="S980">
            <v>402484.21710095502</v>
          </cell>
          <cell r="T980">
            <v>0.74750000000000005</v>
          </cell>
          <cell r="U980">
            <v>0</v>
          </cell>
          <cell r="V980">
            <v>804968.43420191004</v>
          </cell>
          <cell r="W980">
            <v>804968.43420191004</v>
          </cell>
          <cell r="X980">
            <v>1609936.8684038201</v>
          </cell>
          <cell r="Y980">
            <v>0</v>
          </cell>
          <cell r="Z980">
            <v>601713.90456592781</v>
          </cell>
          <cell r="AA980">
            <v>601713.90456592781</v>
          </cell>
          <cell r="AB980">
            <v>1203427.8091318556</v>
          </cell>
          <cell r="AC980">
            <v>0</v>
          </cell>
          <cell r="AD980">
            <v>203254.52963598224</v>
          </cell>
          <cell r="AE980">
            <v>203254.52963598224</v>
          </cell>
          <cell r="AF980">
            <v>406509.05927196448</v>
          </cell>
          <cell r="AG980">
            <v>0</v>
          </cell>
          <cell r="AH980">
            <v>0</v>
          </cell>
        </row>
        <row r="981">
          <cell r="B981" t="str">
            <v>SNIES</v>
          </cell>
          <cell r="C981" t="str">
            <v>A1B</v>
          </cell>
          <cell r="D981" t="str">
            <v>A1BI</v>
          </cell>
          <cell r="E981" t="str">
            <v>ES/NZER</v>
          </cell>
          <cell r="F981" t="str">
            <v>SNIES</v>
          </cell>
          <cell r="G981">
            <v>22</v>
          </cell>
          <cell r="H981" t="str">
            <v>ES 5 coll Nzérékoré  Travaux collège</v>
          </cell>
          <cell r="I981" t="str">
            <v>SNIES</v>
          </cell>
          <cell r="K981" t="str">
            <v>BAD ED IV</v>
          </cell>
          <cell r="L981" t="str">
            <v>AON</v>
          </cell>
          <cell r="N981">
            <v>2</v>
          </cell>
          <cell r="O981">
            <v>2</v>
          </cell>
          <cell r="P981">
            <v>4</v>
          </cell>
          <cell r="Q981" t="str">
            <v>cl coll</v>
          </cell>
          <cell r="S981">
            <v>402484.21710095502</v>
          </cell>
          <cell r="T981">
            <v>0.74750000000000005</v>
          </cell>
          <cell r="U981">
            <v>0</v>
          </cell>
          <cell r="V981">
            <v>804968.43420191004</v>
          </cell>
          <cell r="W981">
            <v>804968.43420191004</v>
          </cell>
          <cell r="X981">
            <v>1609936.8684038201</v>
          </cell>
          <cell r="Y981">
            <v>0</v>
          </cell>
          <cell r="Z981">
            <v>601713.90456592781</v>
          </cell>
          <cell r="AA981">
            <v>601713.90456592781</v>
          </cell>
          <cell r="AB981">
            <v>1203427.8091318556</v>
          </cell>
          <cell r="AC981">
            <v>0</v>
          </cell>
          <cell r="AD981">
            <v>203254.52963598224</v>
          </cell>
          <cell r="AE981">
            <v>203254.52963598224</v>
          </cell>
          <cell r="AF981">
            <v>406509.05927196448</v>
          </cell>
          <cell r="AG981">
            <v>0</v>
          </cell>
          <cell r="AH981">
            <v>0</v>
          </cell>
        </row>
        <row r="982">
          <cell r="B982" t="str">
            <v>SNIES</v>
          </cell>
          <cell r="C982" t="str">
            <v>A1B</v>
          </cell>
          <cell r="D982" t="str">
            <v>A1BI</v>
          </cell>
          <cell r="E982" t="str">
            <v>ES/BEYL</v>
          </cell>
          <cell r="F982" t="str">
            <v>SNIES</v>
          </cell>
          <cell r="G982">
            <v>22</v>
          </cell>
          <cell r="H982" t="str">
            <v>ES 5 coll Beyla  Travaux collège</v>
          </cell>
          <cell r="I982" t="str">
            <v>SNIES</v>
          </cell>
          <cell r="K982" t="str">
            <v>BAD ED IV</v>
          </cell>
          <cell r="L982" t="str">
            <v>AON</v>
          </cell>
          <cell r="N982">
            <v>2</v>
          </cell>
          <cell r="O982">
            <v>2</v>
          </cell>
          <cell r="P982">
            <v>4</v>
          </cell>
          <cell r="Q982" t="str">
            <v>cl coll</v>
          </cell>
          <cell r="S982">
            <v>402484.21710095502</v>
          </cell>
          <cell r="T982">
            <v>0.74750000000000005</v>
          </cell>
          <cell r="U982">
            <v>0</v>
          </cell>
          <cell r="V982">
            <v>804968.43420191004</v>
          </cell>
          <cell r="W982">
            <v>804968.43420191004</v>
          </cell>
          <cell r="X982">
            <v>1609936.8684038201</v>
          </cell>
          <cell r="Y982">
            <v>0</v>
          </cell>
          <cell r="Z982">
            <v>601713.90456592781</v>
          </cell>
          <cell r="AA982">
            <v>601713.90456592781</v>
          </cell>
          <cell r="AB982">
            <v>1203427.8091318556</v>
          </cell>
          <cell r="AC982">
            <v>0</v>
          </cell>
          <cell r="AD982">
            <v>203254.52963598224</v>
          </cell>
          <cell r="AE982">
            <v>203254.52963598224</v>
          </cell>
          <cell r="AF982">
            <v>406509.05927196448</v>
          </cell>
          <cell r="AG982">
            <v>0</v>
          </cell>
          <cell r="AH982">
            <v>0</v>
          </cell>
        </row>
        <row r="983">
          <cell r="B983" t="str">
            <v>SNIES</v>
          </cell>
          <cell r="C983" t="str">
            <v>A1B</v>
          </cell>
          <cell r="D983" t="str">
            <v>A1BI</v>
          </cell>
          <cell r="E983" t="str">
            <v>ES/BOKE</v>
          </cell>
          <cell r="F983" t="str">
            <v>SNIES</v>
          </cell>
          <cell r="G983">
            <v>23</v>
          </cell>
          <cell r="H983" t="str">
            <v>ES 5 coll Boké mobilier collège</v>
          </cell>
          <cell r="I983" t="str">
            <v>SNIES</v>
          </cell>
          <cell r="K983" t="str">
            <v>BAD ED IV</v>
          </cell>
          <cell r="L983" t="str">
            <v>AON</v>
          </cell>
          <cell r="N983">
            <v>1</v>
          </cell>
          <cell r="P983">
            <v>1</v>
          </cell>
          <cell r="Q983" t="str">
            <v>lot</v>
          </cell>
          <cell r="S983">
            <v>73149.568349249661</v>
          </cell>
          <cell r="T983">
            <v>1</v>
          </cell>
          <cell r="U983">
            <v>0</v>
          </cell>
          <cell r="V983">
            <v>73149.568349249661</v>
          </cell>
          <cell r="W983">
            <v>0</v>
          </cell>
          <cell r="X983">
            <v>73149.568349249661</v>
          </cell>
          <cell r="Y983">
            <v>0</v>
          </cell>
          <cell r="Z983">
            <v>73149.568349249661</v>
          </cell>
          <cell r="AA983">
            <v>0</v>
          </cell>
          <cell r="AB983">
            <v>73149.568349249661</v>
          </cell>
          <cell r="AC983">
            <v>0</v>
          </cell>
          <cell r="AD983">
            <v>0</v>
          </cell>
          <cell r="AE983">
            <v>0</v>
          </cell>
          <cell r="AF983">
            <v>0</v>
          </cell>
          <cell r="AG983">
            <v>0</v>
          </cell>
          <cell r="AH983">
            <v>0</v>
          </cell>
        </row>
        <row r="984">
          <cell r="B984" t="str">
            <v>SNIES</v>
          </cell>
          <cell r="C984" t="str">
            <v>A1B</v>
          </cell>
          <cell r="D984" t="str">
            <v>A1BI</v>
          </cell>
          <cell r="E984" t="str">
            <v>ES/GAOU</v>
          </cell>
          <cell r="F984" t="str">
            <v>SNIES</v>
          </cell>
          <cell r="G984">
            <v>23</v>
          </cell>
          <cell r="H984" t="str">
            <v>ES 5 coll Gaoual  mobilier collège</v>
          </cell>
          <cell r="I984" t="str">
            <v>SNIES</v>
          </cell>
          <cell r="K984" t="str">
            <v>BAD ED IV</v>
          </cell>
          <cell r="L984" t="str">
            <v>AON</v>
          </cell>
          <cell r="N984">
            <v>1</v>
          </cell>
          <cell r="P984">
            <v>1</v>
          </cell>
          <cell r="Q984" t="str">
            <v>lot</v>
          </cell>
          <cell r="S984">
            <v>73149.568349249661</v>
          </cell>
          <cell r="T984">
            <v>1</v>
          </cell>
          <cell r="U984">
            <v>0</v>
          </cell>
          <cell r="V984">
            <v>73149.568349249661</v>
          </cell>
          <cell r="W984">
            <v>0</v>
          </cell>
          <cell r="X984">
            <v>73149.568349249661</v>
          </cell>
          <cell r="Y984">
            <v>0</v>
          </cell>
          <cell r="Z984">
            <v>73149.568349249661</v>
          </cell>
          <cell r="AA984">
            <v>0</v>
          </cell>
          <cell r="AB984">
            <v>73149.568349249661</v>
          </cell>
          <cell r="AC984">
            <v>0</v>
          </cell>
          <cell r="AD984">
            <v>0</v>
          </cell>
          <cell r="AE984">
            <v>0</v>
          </cell>
          <cell r="AF984">
            <v>0</v>
          </cell>
          <cell r="AG984">
            <v>0</v>
          </cell>
          <cell r="AH984">
            <v>0</v>
          </cell>
        </row>
        <row r="985">
          <cell r="B985" t="str">
            <v>SNIES</v>
          </cell>
          <cell r="C985" t="str">
            <v>A1B</v>
          </cell>
          <cell r="D985" t="str">
            <v>A1BI</v>
          </cell>
          <cell r="E985" t="str">
            <v>ES/KANK</v>
          </cell>
          <cell r="F985" t="str">
            <v>SNIES</v>
          </cell>
          <cell r="G985">
            <v>23</v>
          </cell>
          <cell r="H985" t="str">
            <v>ES 5 coll Kankan  mobilier collège</v>
          </cell>
          <cell r="I985" t="str">
            <v>SNIES</v>
          </cell>
          <cell r="K985" t="str">
            <v>BAD ED IV</v>
          </cell>
          <cell r="L985" t="str">
            <v>AON</v>
          </cell>
          <cell r="N985">
            <v>1</v>
          </cell>
          <cell r="P985">
            <v>1</v>
          </cell>
          <cell r="Q985" t="str">
            <v>lot</v>
          </cell>
          <cell r="S985">
            <v>73149.568349249661</v>
          </cell>
          <cell r="T985">
            <v>1</v>
          </cell>
          <cell r="U985">
            <v>0</v>
          </cell>
          <cell r="V985">
            <v>73149.568349249661</v>
          </cell>
          <cell r="W985">
            <v>0</v>
          </cell>
          <cell r="X985">
            <v>73149.568349249661</v>
          </cell>
          <cell r="Y985">
            <v>0</v>
          </cell>
          <cell r="Z985">
            <v>73149.568349249661</v>
          </cell>
          <cell r="AA985">
            <v>0</v>
          </cell>
          <cell r="AB985">
            <v>73149.568349249661</v>
          </cell>
          <cell r="AC985">
            <v>0</v>
          </cell>
          <cell r="AD985">
            <v>0</v>
          </cell>
          <cell r="AE985">
            <v>0</v>
          </cell>
          <cell r="AF985">
            <v>0</v>
          </cell>
          <cell r="AG985">
            <v>0</v>
          </cell>
          <cell r="AH985">
            <v>0</v>
          </cell>
        </row>
        <row r="986">
          <cell r="B986" t="str">
            <v>SNIES</v>
          </cell>
          <cell r="C986" t="str">
            <v>A1B</v>
          </cell>
          <cell r="D986" t="str">
            <v>A1BI</v>
          </cell>
          <cell r="E986" t="str">
            <v>ES/NZER</v>
          </cell>
          <cell r="F986" t="str">
            <v>SNIES</v>
          </cell>
          <cell r="G986">
            <v>23</v>
          </cell>
          <cell r="H986" t="str">
            <v>ES 5 coll Nzérékoré  mobilier collège</v>
          </cell>
          <cell r="I986" t="str">
            <v>SNIES</v>
          </cell>
          <cell r="K986" t="str">
            <v>BAD ED IV</v>
          </cell>
          <cell r="L986" t="str">
            <v>AON</v>
          </cell>
          <cell r="N986">
            <v>1</v>
          </cell>
          <cell r="P986">
            <v>1</v>
          </cell>
          <cell r="Q986" t="str">
            <v>lot</v>
          </cell>
          <cell r="S986">
            <v>73149.568349249661</v>
          </cell>
          <cell r="T986">
            <v>1</v>
          </cell>
          <cell r="U986">
            <v>0</v>
          </cell>
          <cell r="V986">
            <v>73149.568349249661</v>
          </cell>
          <cell r="W986">
            <v>0</v>
          </cell>
          <cell r="X986">
            <v>73149.568349249661</v>
          </cell>
          <cell r="Y986">
            <v>0</v>
          </cell>
          <cell r="Z986">
            <v>73149.568349249661</v>
          </cell>
          <cell r="AA986">
            <v>0</v>
          </cell>
          <cell r="AB986">
            <v>73149.568349249661</v>
          </cell>
          <cell r="AC986">
            <v>0</v>
          </cell>
          <cell r="AD986">
            <v>0</v>
          </cell>
          <cell r="AE986">
            <v>0</v>
          </cell>
          <cell r="AF986">
            <v>0</v>
          </cell>
          <cell r="AG986">
            <v>0</v>
          </cell>
          <cell r="AH986">
            <v>0</v>
          </cell>
        </row>
        <row r="987">
          <cell r="B987" t="str">
            <v>SNIES</v>
          </cell>
          <cell r="C987" t="str">
            <v>A1B</v>
          </cell>
          <cell r="D987" t="str">
            <v>A1BI</v>
          </cell>
          <cell r="E987" t="str">
            <v>ES/BEYL</v>
          </cell>
          <cell r="F987" t="str">
            <v>SNIES</v>
          </cell>
          <cell r="G987">
            <v>23</v>
          </cell>
          <cell r="H987" t="str">
            <v>ES 5 coll Beyla  mobilier collège</v>
          </cell>
          <cell r="I987" t="str">
            <v>SNIES</v>
          </cell>
          <cell r="K987" t="str">
            <v>BAD ED IV</v>
          </cell>
          <cell r="L987" t="str">
            <v>AON</v>
          </cell>
          <cell r="N987">
            <v>1</v>
          </cell>
          <cell r="P987">
            <v>1</v>
          </cell>
          <cell r="Q987" t="str">
            <v>lot</v>
          </cell>
          <cell r="S987">
            <v>73149.568349249661</v>
          </cell>
          <cell r="T987">
            <v>1</v>
          </cell>
          <cell r="U987">
            <v>0</v>
          </cell>
          <cell r="V987">
            <v>73149.568349249661</v>
          </cell>
          <cell r="W987">
            <v>0</v>
          </cell>
          <cell r="X987">
            <v>73149.568349249661</v>
          </cell>
          <cell r="Y987">
            <v>0</v>
          </cell>
          <cell r="Z987">
            <v>73149.568349249661</v>
          </cell>
          <cell r="AA987">
            <v>0</v>
          </cell>
          <cell r="AB987">
            <v>73149.568349249661</v>
          </cell>
          <cell r="AC987">
            <v>0</v>
          </cell>
          <cell r="AD987">
            <v>0</v>
          </cell>
          <cell r="AE987">
            <v>0</v>
          </cell>
          <cell r="AF987">
            <v>0</v>
          </cell>
          <cell r="AG987">
            <v>0</v>
          </cell>
          <cell r="AH987">
            <v>0</v>
          </cell>
        </row>
        <row r="988">
          <cell r="B988" t="str">
            <v>SNIES</v>
          </cell>
          <cell r="C988" t="str">
            <v>A1B</v>
          </cell>
          <cell r="D988" t="str">
            <v>A1BI</v>
          </cell>
          <cell r="E988" t="str">
            <v>ES/BOKE</v>
          </cell>
          <cell r="F988" t="str">
            <v>SNIES</v>
          </cell>
          <cell r="G988">
            <v>23</v>
          </cell>
          <cell r="H988" t="str">
            <v>ES 5 coll Boké alimentation photovoltaïque collège</v>
          </cell>
          <cell r="I988" t="str">
            <v>SNIES</v>
          </cell>
          <cell r="K988" t="str">
            <v>BAD ED IV</v>
          </cell>
          <cell r="L988" t="str">
            <v>AON</v>
          </cell>
          <cell r="N988">
            <v>1</v>
          </cell>
          <cell r="P988">
            <v>1</v>
          </cell>
          <cell r="Q988" t="str">
            <v>lot</v>
          </cell>
          <cell r="S988">
            <v>236474.89768076397</v>
          </cell>
          <cell r="T988">
            <v>1</v>
          </cell>
          <cell r="U988">
            <v>0</v>
          </cell>
          <cell r="V988">
            <v>236474.89768076397</v>
          </cell>
          <cell r="W988">
            <v>0</v>
          </cell>
          <cell r="X988">
            <v>236474.89768076397</v>
          </cell>
          <cell r="Y988">
            <v>0</v>
          </cell>
          <cell r="Z988">
            <v>236474.89768076397</v>
          </cell>
          <cell r="AA988">
            <v>0</v>
          </cell>
          <cell r="AB988">
            <v>236474.89768076397</v>
          </cell>
          <cell r="AC988">
            <v>0</v>
          </cell>
          <cell r="AD988">
            <v>0</v>
          </cell>
          <cell r="AE988">
            <v>0</v>
          </cell>
          <cell r="AF988">
            <v>0</v>
          </cell>
          <cell r="AG988">
            <v>0</v>
          </cell>
          <cell r="AH988">
            <v>0</v>
          </cell>
        </row>
        <row r="989">
          <cell r="B989" t="str">
            <v>SNIES</v>
          </cell>
          <cell r="C989" t="str">
            <v>A1B</v>
          </cell>
          <cell r="D989" t="str">
            <v>A1BI</v>
          </cell>
          <cell r="E989" t="str">
            <v>ES/GAOU</v>
          </cell>
          <cell r="F989" t="str">
            <v>SNIES</v>
          </cell>
          <cell r="G989">
            <v>23</v>
          </cell>
          <cell r="H989" t="str">
            <v>ES 5 coll Gaoual  alimentation photovoltaïque collège</v>
          </cell>
          <cell r="I989" t="str">
            <v>SNIES</v>
          </cell>
          <cell r="K989" t="str">
            <v>BAD ED IV</v>
          </cell>
          <cell r="L989" t="str">
            <v>AON</v>
          </cell>
          <cell r="N989">
            <v>1</v>
          </cell>
          <cell r="P989">
            <v>1</v>
          </cell>
          <cell r="Q989" t="str">
            <v>lot</v>
          </cell>
          <cell r="S989">
            <v>236474.89768076397</v>
          </cell>
          <cell r="T989">
            <v>1</v>
          </cell>
          <cell r="U989">
            <v>0</v>
          </cell>
          <cell r="V989">
            <v>236474.89768076397</v>
          </cell>
          <cell r="W989">
            <v>0</v>
          </cell>
          <cell r="X989">
            <v>236474.89768076397</v>
          </cell>
          <cell r="Y989">
            <v>0</v>
          </cell>
          <cell r="Z989">
            <v>236474.89768076397</v>
          </cell>
          <cell r="AA989">
            <v>0</v>
          </cell>
          <cell r="AB989">
            <v>236474.89768076397</v>
          </cell>
          <cell r="AC989">
            <v>0</v>
          </cell>
          <cell r="AD989">
            <v>0</v>
          </cell>
          <cell r="AE989">
            <v>0</v>
          </cell>
          <cell r="AF989">
            <v>0</v>
          </cell>
          <cell r="AG989">
            <v>0</v>
          </cell>
          <cell r="AH989">
            <v>0</v>
          </cell>
        </row>
        <row r="990">
          <cell r="B990" t="str">
            <v>SNIES</v>
          </cell>
          <cell r="C990" t="str">
            <v>A1B</v>
          </cell>
          <cell r="D990" t="str">
            <v>A1BI</v>
          </cell>
          <cell r="E990" t="str">
            <v>ES/KANK</v>
          </cell>
          <cell r="F990" t="str">
            <v>SNIES</v>
          </cell>
          <cell r="G990">
            <v>23</v>
          </cell>
          <cell r="H990" t="str">
            <v>ES 5 coll Kankan  alimentation photovoltaïque collège</v>
          </cell>
          <cell r="I990" t="str">
            <v>SNIES</v>
          </cell>
          <cell r="K990" t="str">
            <v>BAD ED IV</v>
          </cell>
          <cell r="L990" t="str">
            <v>AON</v>
          </cell>
          <cell r="N990">
            <v>1</v>
          </cell>
          <cell r="P990">
            <v>1</v>
          </cell>
          <cell r="Q990" t="str">
            <v>lot</v>
          </cell>
          <cell r="S990">
            <v>236474.89768076397</v>
          </cell>
          <cell r="T990">
            <v>1</v>
          </cell>
          <cell r="U990">
            <v>0</v>
          </cell>
          <cell r="V990">
            <v>236474.89768076397</v>
          </cell>
          <cell r="W990">
            <v>0</v>
          </cell>
          <cell r="X990">
            <v>236474.89768076397</v>
          </cell>
          <cell r="Y990">
            <v>0</v>
          </cell>
          <cell r="Z990">
            <v>236474.89768076397</v>
          </cell>
          <cell r="AA990">
            <v>0</v>
          </cell>
          <cell r="AB990">
            <v>236474.89768076397</v>
          </cell>
          <cell r="AC990">
            <v>0</v>
          </cell>
          <cell r="AD990">
            <v>0</v>
          </cell>
          <cell r="AE990">
            <v>0</v>
          </cell>
          <cell r="AF990">
            <v>0</v>
          </cell>
          <cell r="AG990">
            <v>0</v>
          </cell>
          <cell r="AH990">
            <v>0</v>
          </cell>
        </row>
        <row r="991">
          <cell r="B991" t="str">
            <v>SNIES</v>
          </cell>
          <cell r="C991" t="str">
            <v>A1B</v>
          </cell>
          <cell r="D991" t="str">
            <v>A1BI</v>
          </cell>
          <cell r="E991" t="str">
            <v>ES/NZER</v>
          </cell>
          <cell r="F991" t="str">
            <v>SNIES</v>
          </cell>
          <cell r="G991">
            <v>23</v>
          </cell>
          <cell r="H991" t="str">
            <v>ES 5 coll Nzérékoré  alimentation photovoltaïque collège</v>
          </cell>
          <cell r="I991" t="str">
            <v>SNIES</v>
          </cell>
          <cell r="K991" t="str">
            <v>BAD ED IV</v>
          </cell>
          <cell r="L991" t="str">
            <v>AON</v>
          </cell>
          <cell r="N991">
            <v>1</v>
          </cell>
          <cell r="P991">
            <v>1</v>
          </cell>
          <cell r="Q991" t="str">
            <v>lot</v>
          </cell>
          <cell r="S991">
            <v>236474.89768076397</v>
          </cell>
          <cell r="T991">
            <v>1</v>
          </cell>
          <cell r="U991">
            <v>0</v>
          </cell>
          <cell r="V991">
            <v>236474.89768076397</v>
          </cell>
          <cell r="W991">
            <v>0</v>
          </cell>
          <cell r="X991">
            <v>236474.89768076397</v>
          </cell>
          <cell r="Y991">
            <v>0</v>
          </cell>
          <cell r="Z991">
            <v>236474.89768076397</v>
          </cell>
          <cell r="AA991">
            <v>0</v>
          </cell>
          <cell r="AB991">
            <v>236474.89768076397</v>
          </cell>
          <cell r="AC991">
            <v>0</v>
          </cell>
          <cell r="AD991">
            <v>0</v>
          </cell>
          <cell r="AE991">
            <v>0</v>
          </cell>
          <cell r="AF991">
            <v>0</v>
          </cell>
          <cell r="AG991">
            <v>0</v>
          </cell>
          <cell r="AH991">
            <v>0</v>
          </cell>
        </row>
        <row r="992">
          <cell r="B992" t="str">
            <v>SNIES</v>
          </cell>
          <cell r="C992" t="str">
            <v>A1B</v>
          </cell>
          <cell r="D992" t="str">
            <v>A1BI</v>
          </cell>
          <cell r="E992" t="str">
            <v>ES/BEYL</v>
          </cell>
          <cell r="F992" t="str">
            <v>SNIES</v>
          </cell>
          <cell r="G992">
            <v>23</v>
          </cell>
          <cell r="H992" t="str">
            <v>ES 5 coll Beyla  alimentation photovoltaïque collège</v>
          </cell>
          <cell r="I992" t="str">
            <v>SNIES</v>
          </cell>
          <cell r="K992" t="str">
            <v>BAD ED IV</v>
          </cell>
          <cell r="L992" t="str">
            <v>AON</v>
          </cell>
          <cell r="N992">
            <v>1</v>
          </cell>
          <cell r="P992">
            <v>1</v>
          </cell>
          <cell r="Q992" t="str">
            <v>lot</v>
          </cell>
          <cell r="S992">
            <v>236474.89768076397</v>
          </cell>
          <cell r="T992">
            <v>1</v>
          </cell>
          <cell r="U992">
            <v>0</v>
          </cell>
          <cell r="V992">
            <v>236474.89768076397</v>
          </cell>
          <cell r="W992">
            <v>0</v>
          </cell>
          <cell r="X992">
            <v>236474.89768076397</v>
          </cell>
          <cell r="Y992">
            <v>0</v>
          </cell>
          <cell r="Z992">
            <v>236474.89768076397</v>
          </cell>
          <cell r="AA992">
            <v>0</v>
          </cell>
          <cell r="AB992">
            <v>236474.89768076397</v>
          </cell>
          <cell r="AC992">
            <v>0</v>
          </cell>
          <cell r="AD992">
            <v>0</v>
          </cell>
          <cell r="AE992">
            <v>0</v>
          </cell>
          <cell r="AF992">
            <v>0</v>
          </cell>
          <cell r="AG992">
            <v>0</v>
          </cell>
          <cell r="AH992">
            <v>0</v>
          </cell>
        </row>
        <row r="993">
          <cell r="B993" t="str">
            <v>SNIES</v>
          </cell>
          <cell r="C993" t="str">
            <v>A1B</v>
          </cell>
          <cell r="D993" t="str">
            <v>A1BI</v>
          </cell>
          <cell r="E993" t="str">
            <v>ES/BOKE</v>
          </cell>
          <cell r="F993" t="str">
            <v>SNIES</v>
          </cell>
          <cell r="G993">
            <v>24</v>
          </cell>
          <cell r="H993" t="str">
            <v>ES 5 coll Boké matériels didactiques</v>
          </cell>
          <cell r="I993" t="str">
            <v>SNIES</v>
          </cell>
          <cell r="K993" t="str">
            <v>BAD ED IV</v>
          </cell>
          <cell r="L993" t="str">
            <v>AON</v>
          </cell>
          <cell r="N993">
            <v>1</v>
          </cell>
          <cell r="P993">
            <v>1</v>
          </cell>
          <cell r="Q993" t="str">
            <v>lot</v>
          </cell>
          <cell r="S993">
            <v>78824.965893588</v>
          </cell>
          <cell r="T993">
            <v>1</v>
          </cell>
          <cell r="U993">
            <v>0</v>
          </cell>
          <cell r="V993">
            <v>78824.965893588</v>
          </cell>
          <cell r="W993">
            <v>0</v>
          </cell>
          <cell r="X993">
            <v>78824.965893588</v>
          </cell>
          <cell r="Y993">
            <v>0</v>
          </cell>
          <cell r="Z993">
            <v>78824.965893588</v>
          </cell>
          <cell r="AA993">
            <v>0</v>
          </cell>
          <cell r="AB993">
            <v>78824.965893588</v>
          </cell>
          <cell r="AC993">
            <v>0</v>
          </cell>
          <cell r="AD993">
            <v>0</v>
          </cell>
          <cell r="AE993">
            <v>0</v>
          </cell>
          <cell r="AF993">
            <v>0</v>
          </cell>
          <cell r="AG993">
            <v>0</v>
          </cell>
          <cell r="AH993">
            <v>0</v>
          </cell>
        </row>
        <row r="994">
          <cell r="B994" t="str">
            <v>SNIES</v>
          </cell>
          <cell r="C994" t="str">
            <v>A1B</v>
          </cell>
          <cell r="D994" t="str">
            <v>A1BI</v>
          </cell>
          <cell r="E994" t="str">
            <v>ES/GAOU</v>
          </cell>
          <cell r="F994" t="str">
            <v>SNIES</v>
          </cell>
          <cell r="G994">
            <v>24</v>
          </cell>
          <cell r="H994" t="str">
            <v>ES 5 coll Gaoual  matériels didactiques</v>
          </cell>
          <cell r="I994" t="str">
            <v>SNIES</v>
          </cell>
          <cell r="K994" t="str">
            <v>BAD ED IV</v>
          </cell>
          <cell r="L994" t="str">
            <v>AON</v>
          </cell>
          <cell r="N994">
            <v>1</v>
          </cell>
          <cell r="P994">
            <v>1</v>
          </cell>
          <cell r="Q994" t="str">
            <v>lot</v>
          </cell>
          <cell r="S994">
            <v>78824.965893588</v>
          </cell>
          <cell r="T994">
            <v>1</v>
          </cell>
          <cell r="U994">
            <v>0</v>
          </cell>
          <cell r="V994">
            <v>78824.965893588</v>
          </cell>
          <cell r="W994">
            <v>0</v>
          </cell>
          <cell r="X994">
            <v>78824.965893588</v>
          </cell>
          <cell r="Y994">
            <v>0</v>
          </cell>
          <cell r="Z994">
            <v>78824.965893588</v>
          </cell>
          <cell r="AA994">
            <v>0</v>
          </cell>
          <cell r="AB994">
            <v>78824.965893588</v>
          </cell>
          <cell r="AC994">
            <v>0</v>
          </cell>
          <cell r="AD994">
            <v>0</v>
          </cell>
          <cell r="AE994">
            <v>0</v>
          </cell>
          <cell r="AF994">
            <v>0</v>
          </cell>
          <cell r="AG994">
            <v>0</v>
          </cell>
          <cell r="AH994">
            <v>0</v>
          </cell>
        </row>
        <row r="995">
          <cell r="B995" t="str">
            <v>SNIES</v>
          </cell>
          <cell r="C995" t="str">
            <v>A1B</v>
          </cell>
          <cell r="D995" t="str">
            <v>A1BI</v>
          </cell>
          <cell r="E995" t="str">
            <v>ES/KANK</v>
          </cell>
          <cell r="F995" t="str">
            <v>SNIES</v>
          </cell>
          <cell r="G995">
            <v>24</v>
          </cell>
          <cell r="H995" t="str">
            <v>ES 5 coll Kankan  matériels didactiques</v>
          </cell>
          <cell r="I995" t="str">
            <v>SNIES</v>
          </cell>
          <cell r="K995" t="str">
            <v>BAD ED IV</v>
          </cell>
          <cell r="L995" t="str">
            <v>AON</v>
          </cell>
          <cell r="N995">
            <v>1</v>
          </cell>
          <cell r="P995">
            <v>1</v>
          </cell>
          <cell r="Q995" t="str">
            <v>lot</v>
          </cell>
          <cell r="S995">
            <v>78824.965893588</v>
          </cell>
          <cell r="T995">
            <v>1</v>
          </cell>
          <cell r="U995">
            <v>0</v>
          </cell>
          <cell r="V995">
            <v>78824.965893588</v>
          </cell>
          <cell r="W995">
            <v>0</v>
          </cell>
          <cell r="X995">
            <v>78824.965893588</v>
          </cell>
          <cell r="Y995">
            <v>0</v>
          </cell>
          <cell r="Z995">
            <v>78824.965893588</v>
          </cell>
          <cell r="AA995">
            <v>0</v>
          </cell>
          <cell r="AB995">
            <v>78824.965893588</v>
          </cell>
          <cell r="AC995">
            <v>0</v>
          </cell>
          <cell r="AD995">
            <v>0</v>
          </cell>
          <cell r="AE995">
            <v>0</v>
          </cell>
          <cell r="AF995">
            <v>0</v>
          </cell>
          <cell r="AG995">
            <v>0</v>
          </cell>
          <cell r="AH995">
            <v>0</v>
          </cell>
        </row>
        <row r="996">
          <cell r="B996" t="str">
            <v>SNIES</v>
          </cell>
          <cell r="C996" t="str">
            <v>A1B</v>
          </cell>
          <cell r="D996" t="str">
            <v>A1BI</v>
          </cell>
          <cell r="E996" t="str">
            <v>ES/NZER</v>
          </cell>
          <cell r="F996" t="str">
            <v>SNIES</v>
          </cell>
          <cell r="G996">
            <v>24</v>
          </cell>
          <cell r="H996" t="str">
            <v>ES 5 coll Nzérékoré  matériels didactiques</v>
          </cell>
          <cell r="I996" t="str">
            <v>SNIES</v>
          </cell>
          <cell r="K996" t="str">
            <v>BAD ED IV</v>
          </cell>
          <cell r="L996" t="str">
            <v>AON</v>
          </cell>
          <cell r="N996">
            <v>1</v>
          </cell>
          <cell r="P996">
            <v>1</v>
          </cell>
          <cell r="Q996" t="str">
            <v>lot</v>
          </cell>
          <cell r="S996">
            <v>78824.965893588</v>
          </cell>
          <cell r="T996">
            <v>1</v>
          </cell>
          <cell r="U996">
            <v>0</v>
          </cell>
          <cell r="V996">
            <v>78824.965893588</v>
          </cell>
          <cell r="W996">
            <v>0</v>
          </cell>
          <cell r="X996">
            <v>78824.965893588</v>
          </cell>
          <cell r="Y996">
            <v>0</v>
          </cell>
          <cell r="Z996">
            <v>78824.965893588</v>
          </cell>
          <cell r="AA996">
            <v>0</v>
          </cell>
          <cell r="AB996">
            <v>78824.965893588</v>
          </cell>
          <cell r="AC996">
            <v>0</v>
          </cell>
          <cell r="AD996">
            <v>0</v>
          </cell>
          <cell r="AE996">
            <v>0</v>
          </cell>
          <cell r="AF996">
            <v>0</v>
          </cell>
          <cell r="AG996">
            <v>0</v>
          </cell>
          <cell r="AH996">
            <v>0</v>
          </cell>
        </row>
        <row r="997">
          <cell r="B997" t="str">
            <v>SNIES</v>
          </cell>
          <cell r="C997" t="str">
            <v>A1B</v>
          </cell>
          <cell r="D997" t="str">
            <v>A1BI</v>
          </cell>
          <cell r="E997" t="str">
            <v>ES/BEYL</v>
          </cell>
          <cell r="F997" t="str">
            <v>SNIES</v>
          </cell>
          <cell r="G997">
            <v>24</v>
          </cell>
          <cell r="H997" t="str">
            <v>ES 5 coll Beyla  matériels didactiques</v>
          </cell>
          <cell r="I997" t="str">
            <v>SNIES</v>
          </cell>
          <cell r="K997" t="str">
            <v>BAD ED IV</v>
          </cell>
          <cell r="L997" t="str">
            <v>AON</v>
          </cell>
          <cell r="N997">
            <v>1</v>
          </cell>
          <cell r="P997">
            <v>1</v>
          </cell>
          <cell r="Q997" t="str">
            <v>lot</v>
          </cell>
          <cell r="S997">
            <v>78824.965893588</v>
          </cell>
          <cell r="T997">
            <v>1</v>
          </cell>
          <cell r="U997">
            <v>0</v>
          </cell>
          <cell r="V997">
            <v>78824.965893588</v>
          </cell>
          <cell r="W997">
            <v>0</v>
          </cell>
          <cell r="X997">
            <v>78824.965893588</v>
          </cell>
          <cell r="Y997">
            <v>0</v>
          </cell>
          <cell r="Z997">
            <v>78824.965893588</v>
          </cell>
          <cell r="AA997">
            <v>0</v>
          </cell>
          <cell r="AB997">
            <v>78824.965893588</v>
          </cell>
          <cell r="AC997">
            <v>0</v>
          </cell>
          <cell r="AD997">
            <v>0</v>
          </cell>
          <cell r="AE997">
            <v>0</v>
          </cell>
          <cell r="AF997">
            <v>0</v>
          </cell>
          <cell r="AG997">
            <v>0</v>
          </cell>
          <cell r="AH997">
            <v>0</v>
          </cell>
        </row>
        <row r="998">
          <cell r="B998" t="str">
            <v>SNIES</v>
          </cell>
          <cell r="C998" t="str">
            <v>A1B</v>
          </cell>
          <cell r="D998" t="str">
            <v>A1BI</v>
          </cell>
          <cell r="E998" t="str">
            <v>ES/BOKE</v>
          </cell>
          <cell r="F998" t="str">
            <v>SNIES</v>
          </cell>
          <cell r="G998">
            <v>24</v>
          </cell>
          <cell r="H998" t="str">
            <v>ES 5 coll Boké matériels didactiques</v>
          </cell>
          <cell r="I998" t="str">
            <v>SNIES</v>
          </cell>
          <cell r="K998" t="str">
            <v>BAD ED IV</v>
          </cell>
          <cell r="L998" t="str">
            <v>AON</v>
          </cell>
          <cell r="N998">
            <v>1</v>
          </cell>
          <cell r="P998">
            <v>1</v>
          </cell>
          <cell r="Q998" t="str">
            <v>lot</v>
          </cell>
          <cell r="S998">
            <v>226621.7769440655</v>
          </cell>
          <cell r="T998">
            <v>1</v>
          </cell>
          <cell r="U998">
            <v>0</v>
          </cell>
          <cell r="V998">
            <v>226621.7769440655</v>
          </cell>
          <cell r="W998">
            <v>0</v>
          </cell>
          <cell r="X998">
            <v>226621.7769440655</v>
          </cell>
          <cell r="Y998">
            <v>0</v>
          </cell>
          <cell r="Z998">
            <v>226621.7769440655</v>
          </cell>
          <cell r="AA998">
            <v>0</v>
          </cell>
          <cell r="AB998">
            <v>226621.7769440655</v>
          </cell>
          <cell r="AC998">
            <v>0</v>
          </cell>
          <cell r="AD998">
            <v>0</v>
          </cell>
          <cell r="AE998">
            <v>0</v>
          </cell>
          <cell r="AF998">
            <v>0</v>
          </cell>
          <cell r="AG998">
            <v>0</v>
          </cell>
          <cell r="AH998">
            <v>0</v>
          </cell>
        </row>
        <row r="999">
          <cell r="B999" t="str">
            <v>SNIES</v>
          </cell>
          <cell r="C999" t="str">
            <v>A1B</v>
          </cell>
          <cell r="D999" t="str">
            <v>A1BI</v>
          </cell>
          <cell r="E999" t="str">
            <v>ES/GAOU</v>
          </cell>
          <cell r="F999" t="str">
            <v>SNIES</v>
          </cell>
          <cell r="G999">
            <v>24</v>
          </cell>
          <cell r="H999" t="str">
            <v>ES 5 coll Gaoual  matériels didactiques</v>
          </cell>
          <cell r="I999" t="str">
            <v>SNIES</v>
          </cell>
          <cell r="K999" t="str">
            <v>BAD ED IV</v>
          </cell>
          <cell r="L999" t="str">
            <v>AON</v>
          </cell>
          <cell r="N999">
            <v>1</v>
          </cell>
          <cell r="P999">
            <v>1</v>
          </cell>
          <cell r="Q999" t="str">
            <v>lot</v>
          </cell>
          <cell r="S999">
            <v>226621.7769440655</v>
          </cell>
          <cell r="T999">
            <v>1</v>
          </cell>
          <cell r="U999">
            <v>0</v>
          </cell>
          <cell r="V999">
            <v>226621.7769440655</v>
          </cell>
          <cell r="W999">
            <v>0</v>
          </cell>
          <cell r="X999">
            <v>226621.7769440655</v>
          </cell>
          <cell r="Y999">
            <v>0</v>
          </cell>
          <cell r="Z999">
            <v>226621.7769440655</v>
          </cell>
          <cell r="AA999">
            <v>0</v>
          </cell>
          <cell r="AB999">
            <v>226621.7769440655</v>
          </cell>
          <cell r="AC999">
            <v>0</v>
          </cell>
          <cell r="AD999">
            <v>0</v>
          </cell>
          <cell r="AE999">
            <v>0</v>
          </cell>
          <cell r="AF999">
            <v>0</v>
          </cell>
          <cell r="AG999">
            <v>0</v>
          </cell>
          <cell r="AH999">
            <v>0</v>
          </cell>
        </row>
        <row r="1000">
          <cell r="B1000" t="str">
            <v>SNIES</v>
          </cell>
          <cell r="C1000" t="str">
            <v>A1B</v>
          </cell>
          <cell r="D1000" t="str">
            <v>A1BI</v>
          </cell>
          <cell r="E1000" t="str">
            <v>ES/KANK</v>
          </cell>
          <cell r="F1000" t="str">
            <v>SNIES</v>
          </cell>
          <cell r="G1000">
            <v>24</v>
          </cell>
          <cell r="H1000" t="str">
            <v>ES 5 coll Kankan  matériels didactiques</v>
          </cell>
          <cell r="I1000" t="str">
            <v>SNIES</v>
          </cell>
          <cell r="K1000" t="str">
            <v>BAD ED IV</v>
          </cell>
          <cell r="L1000" t="str">
            <v>AON</v>
          </cell>
          <cell r="N1000">
            <v>1</v>
          </cell>
          <cell r="P1000">
            <v>1</v>
          </cell>
          <cell r="Q1000" t="str">
            <v>lot</v>
          </cell>
          <cell r="S1000">
            <v>226621.7769440655</v>
          </cell>
          <cell r="T1000">
            <v>1</v>
          </cell>
          <cell r="U1000">
            <v>0</v>
          </cell>
          <cell r="V1000">
            <v>226621.7769440655</v>
          </cell>
          <cell r="W1000">
            <v>0</v>
          </cell>
          <cell r="X1000">
            <v>226621.7769440655</v>
          </cell>
          <cell r="Y1000">
            <v>0</v>
          </cell>
          <cell r="Z1000">
            <v>226621.7769440655</v>
          </cell>
          <cell r="AA1000">
            <v>0</v>
          </cell>
          <cell r="AB1000">
            <v>226621.7769440655</v>
          </cell>
          <cell r="AC1000">
            <v>0</v>
          </cell>
          <cell r="AD1000">
            <v>0</v>
          </cell>
          <cell r="AE1000">
            <v>0</v>
          </cell>
          <cell r="AF1000">
            <v>0</v>
          </cell>
          <cell r="AG1000">
            <v>0</v>
          </cell>
          <cell r="AH1000">
            <v>0</v>
          </cell>
        </row>
        <row r="1001">
          <cell r="B1001" t="str">
            <v>SNIES</v>
          </cell>
          <cell r="C1001" t="str">
            <v>A1B</v>
          </cell>
          <cell r="D1001" t="str">
            <v>A1BI</v>
          </cell>
          <cell r="E1001" t="str">
            <v>ES/NZER</v>
          </cell>
          <cell r="F1001" t="str">
            <v>SNIES</v>
          </cell>
          <cell r="G1001">
            <v>24</v>
          </cell>
          <cell r="H1001" t="str">
            <v>ES 5 coll Nzérékoré  matériels didactiques</v>
          </cell>
          <cell r="I1001" t="str">
            <v>SNIES</v>
          </cell>
          <cell r="K1001" t="str">
            <v>BAD ED IV</v>
          </cell>
          <cell r="L1001" t="str">
            <v>AON</v>
          </cell>
          <cell r="N1001">
            <v>1</v>
          </cell>
          <cell r="P1001">
            <v>1</v>
          </cell>
          <cell r="Q1001" t="str">
            <v>lot</v>
          </cell>
          <cell r="S1001">
            <v>226621.7769440655</v>
          </cell>
          <cell r="T1001">
            <v>1</v>
          </cell>
          <cell r="U1001">
            <v>0</v>
          </cell>
          <cell r="V1001">
            <v>226621.7769440655</v>
          </cell>
          <cell r="W1001">
            <v>0</v>
          </cell>
          <cell r="X1001">
            <v>226621.7769440655</v>
          </cell>
          <cell r="Y1001">
            <v>0</v>
          </cell>
          <cell r="Z1001">
            <v>226621.7769440655</v>
          </cell>
          <cell r="AA1001">
            <v>0</v>
          </cell>
          <cell r="AB1001">
            <v>226621.7769440655</v>
          </cell>
          <cell r="AC1001">
            <v>0</v>
          </cell>
          <cell r="AD1001">
            <v>0</v>
          </cell>
          <cell r="AE1001">
            <v>0</v>
          </cell>
          <cell r="AF1001">
            <v>0</v>
          </cell>
          <cell r="AG1001">
            <v>0</v>
          </cell>
          <cell r="AH1001">
            <v>0</v>
          </cell>
        </row>
        <row r="1002">
          <cell r="B1002" t="str">
            <v>SNIES</v>
          </cell>
          <cell r="C1002" t="str">
            <v>A1B</v>
          </cell>
          <cell r="D1002" t="str">
            <v>A1BI</v>
          </cell>
          <cell r="E1002" t="str">
            <v>ES/BEYL</v>
          </cell>
          <cell r="F1002" t="str">
            <v>SNIES</v>
          </cell>
          <cell r="G1002">
            <v>24</v>
          </cell>
          <cell r="H1002" t="str">
            <v>ES 5 coll Beyla  matériels didactiques</v>
          </cell>
          <cell r="I1002" t="str">
            <v>SNIES</v>
          </cell>
          <cell r="K1002" t="str">
            <v>BAD ED IV</v>
          </cell>
          <cell r="L1002" t="str">
            <v>AON</v>
          </cell>
          <cell r="N1002">
            <v>1</v>
          </cell>
          <cell r="P1002">
            <v>1</v>
          </cell>
          <cell r="Q1002" t="str">
            <v>lot</v>
          </cell>
          <cell r="S1002">
            <v>226621.7769440655</v>
          </cell>
          <cell r="T1002">
            <v>1</v>
          </cell>
          <cell r="U1002">
            <v>0</v>
          </cell>
          <cell r="V1002">
            <v>226621.7769440655</v>
          </cell>
          <cell r="W1002">
            <v>0</v>
          </cell>
          <cell r="X1002">
            <v>226621.7769440655</v>
          </cell>
          <cell r="Y1002">
            <v>0</v>
          </cell>
          <cell r="Z1002">
            <v>226621.7769440655</v>
          </cell>
          <cell r="AA1002">
            <v>0</v>
          </cell>
          <cell r="AB1002">
            <v>226621.7769440655</v>
          </cell>
          <cell r="AC1002">
            <v>0</v>
          </cell>
          <cell r="AD1002">
            <v>0</v>
          </cell>
          <cell r="AE1002">
            <v>0</v>
          </cell>
          <cell r="AF1002">
            <v>0</v>
          </cell>
          <cell r="AG1002">
            <v>0</v>
          </cell>
          <cell r="AH1002">
            <v>0</v>
          </cell>
        </row>
        <row r="1003">
          <cell r="B1003" t="str">
            <v>SNIES</v>
          </cell>
          <cell r="C1003" t="str">
            <v>A2A</v>
          </cell>
          <cell r="D1003" t="str">
            <v>A2AC</v>
          </cell>
          <cell r="E1003" t="str">
            <v>ENI/GUEC</v>
          </cell>
          <cell r="F1003" t="str">
            <v>SNIES</v>
          </cell>
          <cell r="G1003">
            <v>21</v>
          </cell>
          <cell r="H1003" t="str">
            <v>ENI Guéckédou contrôle technique travaux ENI</v>
          </cell>
          <cell r="I1003" t="str">
            <v>SNIES</v>
          </cell>
          <cell r="K1003" t="str">
            <v>BAD ED IV</v>
          </cell>
          <cell r="L1003" t="str">
            <v>AON</v>
          </cell>
          <cell r="M1003">
            <v>0.5</v>
          </cell>
          <cell r="N1003">
            <v>0.5</v>
          </cell>
          <cell r="P1003">
            <v>1</v>
          </cell>
          <cell r="Q1003" t="str">
            <v>ENI</v>
          </cell>
          <cell r="S1003">
            <v>127282.61367667123</v>
          </cell>
          <cell r="T1003">
            <v>1</v>
          </cell>
          <cell r="U1003">
            <v>63641.306838335615</v>
          </cell>
          <cell r="V1003">
            <v>63641.306838335615</v>
          </cell>
          <cell r="W1003">
            <v>0</v>
          </cell>
          <cell r="X1003">
            <v>127282.61367667123</v>
          </cell>
          <cell r="Y1003">
            <v>63641.306838335615</v>
          </cell>
          <cell r="Z1003">
            <v>63641.306838335615</v>
          </cell>
          <cell r="AA1003">
            <v>0</v>
          </cell>
          <cell r="AB1003">
            <v>127282.61367667123</v>
          </cell>
          <cell r="AC1003">
            <v>0</v>
          </cell>
          <cell r="AD1003">
            <v>0</v>
          </cell>
          <cell r="AE1003">
            <v>0</v>
          </cell>
          <cell r="AF1003">
            <v>0</v>
          </cell>
          <cell r="AG1003">
            <v>0</v>
          </cell>
        </row>
        <row r="1004">
          <cell r="B1004" t="str">
            <v>SNIES</v>
          </cell>
          <cell r="C1004" t="str">
            <v>A2A</v>
          </cell>
          <cell r="D1004" t="str">
            <v>A2AC</v>
          </cell>
          <cell r="E1004" t="str">
            <v>ENI/GUEC</v>
          </cell>
          <cell r="F1004" t="str">
            <v>SNIES</v>
          </cell>
          <cell r="G1004">
            <v>21</v>
          </cell>
          <cell r="H1004" t="str">
            <v>ENI Guéckédou  études et suivi travaux ENI</v>
          </cell>
          <cell r="I1004" t="str">
            <v>SNIES</v>
          </cell>
          <cell r="K1004" t="str">
            <v>BAD ED IV</v>
          </cell>
          <cell r="L1004" t="str">
            <v>AON</v>
          </cell>
          <cell r="M1004">
            <v>0.5</v>
          </cell>
          <cell r="N1004">
            <v>0.5</v>
          </cell>
          <cell r="P1004">
            <v>1</v>
          </cell>
          <cell r="Q1004" t="str">
            <v>ENI</v>
          </cell>
          <cell r="S1004">
            <v>254545.52111186902</v>
          </cell>
          <cell r="T1004">
            <v>1</v>
          </cell>
          <cell r="U1004">
            <v>127272.76055593451</v>
          </cell>
          <cell r="V1004">
            <v>127272.76055593451</v>
          </cell>
          <cell r="W1004">
            <v>0</v>
          </cell>
          <cell r="X1004">
            <v>254545.52111186902</v>
          </cell>
          <cell r="Y1004">
            <v>127272.76055593451</v>
          </cell>
          <cell r="Z1004">
            <v>127272.76055593451</v>
          </cell>
          <cell r="AA1004">
            <v>0</v>
          </cell>
          <cell r="AB1004">
            <v>254545.52111186902</v>
          </cell>
          <cell r="AC1004">
            <v>0</v>
          </cell>
          <cell r="AD1004">
            <v>0</v>
          </cell>
          <cell r="AE1004">
            <v>0</v>
          </cell>
          <cell r="AF1004">
            <v>0</v>
          </cell>
          <cell r="AG1004">
            <v>0</v>
          </cell>
          <cell r="AH1004">
            <v>0</v>
          </cell>
        </row>
        <row r="1005">
          <cell r="B1005" t="str">
            <v>SNIES</v>
          </cell>
          <cell r="C1005" t="str">
            <v>A2A</v>
          </cell>
          <cell r="D1005" t="str">
            <v>A2AC</v>
          </cell>
          <cell r="E1005" t="str">
            <v>ENI/GUEC</v>
          </cell>
          <cell r="F1005" t="str">
            <v>SNIES</v>
          </cell>
          <cell r="G1005">
            <v>22</v>
          </cell>
          <cell r="H1005" t="str">
            <v>ENI Guéckédou Travaux ENI</v>
          </cell>
          <cell r="I1005" t="str">
            <v>SNIES</v>
          </cell>
          <cell r="K1005" t="str">
            <v>BAD ED IV</v>
          </cell>
          <cell r="L1005" t="str">
            <v>AON</v>
          </cell>
          <cell r="M1005">
            <v>0.5</v>
          </cell>
          <cell r="N1005">
            <v>0.5</v>
          </cell>
          <cell r="P1005">
            <v>1</v>
          </cell>
          <cell r="Q1005" t="str">
            <v>ENI</v>
          </cell>
          <cell r="S1005">
            <v>3181848.5732605727</v>
          </cell>
          <cell r="T1005">
            <v>0.74750000000000005</v>
          </cell>
          <cell r="U1005">
            <v>1590924.2866302864</v>
          </cell>
          <cell r="V1005">
            <v>1590924.2866302864</v>
          </cell>
          <cell r="W1005">
            <v>0</v>
          </cell>
          <cell r="X1005">
            <v>3181848.5732605727</v>
          </cell>
          <cell r="Y1005">
            <v>1189215.9042561392</v>
          </cell>
          <cell r="Z1005">
            <v>1189215.9042561392</v>
          </cell>
          <cell r="AA1005">
            <v>0</v>
          </cell>
          <cell r="AB1005">
            <v>2378431.8085122784</v>
          </cell>
          <cell r="AC1005">
            <v>401708.38237414719</v>
          </cell>
          <cell r="AD1005">
            <v>401708.38237414719</v>
          </cell>
          <cell r="AE1005">
            <v>0</v>
          </cell>
          <cell r="AF1005">
            <v>803416.76474829437</v>
          </cell>
          <cell r="AG1005">
            <v>0</v>
          </cell>
          <cell r="AH1005">
            <v>0</v>
          </cell>
        </row>
        <row r="1006">
          <cell r="B1006" t="str">
            <v>SNIES</v>
          </cell>
          <cell r="C1006" t="str">
            <v>A2A</v>
          </cell>
          <cell r="D1006" t="str">
            <v>A2AC</v>
          </cell>
          <cell r="E1006" t="str">
            <v>ENI/GUEC</v>
          </cell>
          <cell r="F1006" t="str">
            <v>SNIES</v>
          </cell>
          <cell r="G1006">
            <v>23</v>
          </cell>
          <cell r="H1006" t="str">
            <v>ENI Guéckédou mobilier ENI</v>
          </cell>
          <cell r="I1006" t="str">
            <v>SNIES</v>
          </cell>
          <cell r="K1006" t="str">
            <v>BAD ED IV</v>
          </cell>
          <cell r="L1006" t="str">
            <v>AON</v>
          </cell>
          <cell r="N1006">
            <v>1</v>
          </cell>
          <cell r="P1006">
            <v>1</v>
          </cell>
          <cell r="Q1006" t="str">
            <v>lot</v>
          </cell>
          <cell r="S1006">
            <v>84874.782025920882</v>
          </cell>
          <cell r="T1006">
            <v>1</v>
          </cell>
          <cell r="U1006">
            <v>0</v>
          </cell>
          <cell r="V1006">
            <v>84874.782025920882</v>
          </cell>
          <cell r="W1006">
            <v>0</v>
          </cell>
          <cell r="X1006">
            <v>84874.782025920882</v>
          </cell>
          <cell r="Y1006">
            <v>0</v>
          </cell>
          <cell r="Z1006">
            <v>84874.782025920882</v>
          </cell>
          <cell r="AA1006">
            <v>0</v>
          </cell>
          <cell r="AB1006">
            <v>84874.782025920882</v>
          </cell>
          <cell r="AC1006">
            <v>0</v>
          </cell>
          <cell r="AD1006">
            <v>0</v>
          </cell>
          <cell r="AE1006">
            <v>0</v>
          </cell>
          <cell r="AF1006">
            <v>0</v>
          </cell>
          <cell r="AG1006">
            <v>0</v>
          </cell>
          <cell r="AH1006">
            <v>0</v>
          </cell>
        </row>
        <row r="1007">
          <cell r="B1007" t="str">
            <v>SNIES</v>
          </cell>
          <cell r="C1007" t="str">
            <v>A2A</v>
          </cell>
          <cell r="D1007" t="str">
            <v>A2AC</v>
          </cell>
          <cell r="E1007" t="str">
            <v>ENI/GUEC</v>
          </cell>
          <cell r="F1007" t="str">
            <v>SNIES</v>
          </cell>
          <cell r="G1007">
            <v>23</v>
          </cell>
          <cell r="H1007" t="str">
            <v>ENI Guéckédou équipement bureautique ENI</v>
          </cell>
          <cell r="I1007" t="str">
            <v>SNIES</v>
          </cell>
          <cell r="K1007" t="str">
            <v>BAD ED IV</v>
          </cell>
          <cell r="L1007" t="str">
            <v>AON</v>
          </cell>
          <cell r="N1007">
            <v>1</v>
          </cell>
          <cell r="P1007">
            <v>1</v>
          </cell>
          <cell r="Q1007" t="str">
            <v>lot</v>
          </cell>
          <cell r="S1007">
            <v>280104.51630286494</v>
          </cell>
          <cell r="T1007">
            <v>1</v>
          </cell>
          <cell r="U1007">
            <v>0</v>
          </cell>
          <cell r="V1007">
            <v>280104.51630286494</v>
          </cell>
          <cell r="W1007">
            <v>0</v>
          </cell>
          <cell r="X1007">
            <v>280104.51630286494</v>
          </cell>
          <cell r="Y1007">
            <v>0</v>
          </cell>
          <cell r="Z1007">
            <v>280104.51630286494</v>
          </cell>
          <cell r="AA1007">
            <v>0</v>
          </cell>
          <cell r="AB1007">
            <v>280104.51630286494</v>
          </cell>
          <cell r="AC1007">
            <v>0</v>
          </cell>
          <cell r="AD1007">
            <v>0</v>
          </cell>
          <cell r="AE1007">
            <v>0</v>
          </cell>
          <cell r="AF1007">
            <v>0</v>
          </cell>
          <cell r="AG1007">
            <v>0</v>
          </cell>
          <cell r="AH1007">
            <v>0</v>
          </cell>
        </row>
        <row r="1008">
          <cell r="B1008" t="str">
            <v>SNIES</v>
          </cell>
          <cell r="C1008" t="str">
            <v>A2A</v>
          </cell>
          <cell r="D1008" t="str">
            <v>A2AC</v>
          </cell>
          <cell r="E1008" t="str">
            <v>ENI/GUEC</v>
          </cell>
          <cell r="F1008" t="str">
            <v>SNIES</v>
          </cell>
          <cell r="G1008">
            <v>23</v>
          </cell>
          <cell r="H1008" t="str">
            <v>ENI Guéckédou équipement informatique ENI</v>
          </cell>
          <cell r="I1008" t="str">
            <v>SNIES</v>
          </cell>
          <cell r="K1008" t="str">
            <v>BAD ED IV</v>
          </cell>
          <cell r="L1008" t="str">
            <v>AON</v>
          </cell>
          <cell r="N1008">
            <v>1</v>
          </cell>
          <cell r="P1008">
            <v>1</v>
          </cell>
          <cell r="Q1008" t="str">
            <v>lot</v>
          </cell>
          <cell r="S1008">
            <v>233518.96145975441</v>
          </cell>
          <cell r="T1008">
            <v>1</v>
          </cell>
          <cell r="U1008">
            <v>0</v>
          </cell>
          <cell r="V1008">
            <v>233518.96145975441</v>
          </cell>
          <cell r="W1008">
            <v>0</v>
          </cell>
          <cell r="X1008">
            <v>233518.96145975441</v>
          </cell>
          <cell r="Y1008">
            <v>0</v>
          </cell>
          <cell r="Z1008">
            <v>233518.96145975441</v>
          </cell>
          <cell r="AA1008">
            <v>0</v>
          </cell>
          <cell r="AB1008">
            <v>233518.96145975441</v>
          </cell>
          <cell r="AC1008">
            <v>0</v>
          </cell>
          <cell r="AD1008">
            <v>0</v>
          </cell>
          <cell r="AE1008">
            <v>0</v>
          </cell>
          <cell r="AF1008">
            <v>0</v>
          </cell>
          <cell r="AG1008">
            <v>0</v>
          </cell>
          <cell r="AH1008">
            <v>0</v>
          </cell>
        </row>
        <row r="1009">
          <cell r="B1009" t="str">
            <v>SNIES</v>
          </cell>
          <cell r="C1009" t="str">
            <v>A2A</v>
          </cell>
          <cell r="D1009" t="str">
            <v>A2AC</v>
          </cell>
          <cell r="E1009" t="str">
            <v>ENI/GUEC</v>
          </cell>
          <cell r="F1009" t="str">
            <v>SNIES</v>
          </cell>
          <cell r="G1009">
            <v>24</v>
          </cell>
          <cell r="H1009" t="str">
            <v>ENI Guéckédou matériel didactique ENI</v>
          </cell>
          <cell r="I1009" t="str">
            <v>SNIES</v>
          </cell>
          <cell r="K1009" t="str">
            <v>BAD ED IV</v>
          </cell>
          <cell r="L1009" t="str">
            <v>AON</v>
          </cell>
          <cell r="N1009">
            <v>1</v>
          </cell>
          <cell r="P1009">
            <v>1</v>
          </cell>
          <cell r="Q1009" t="str">
            <v>lot</v>
          </cell>
          <cell r="S1009">
            <v>27273.438199181448</v>
          </cell>
          <cell r="T1009">
            <v>1</v>
          </cell>
          <cell r="U1009">
            <v>0</v>
          </cell>
          <cell r="V1009">
            <v>27273.438199181448</v>
          </cell>
          <cell r="W1009">
            <v>0</v>
          </cell>
          <cell r="X1009">
            <v>27273.438199181448</v>
          </cell>
          <cell r="Y1009">
            <v>0</v>
          </cell>
          <cell r="Z1009">
            <v>27273.438199181448</v>
          </cell>
          <cell r="AA1009">
            <v>0</v>
          </cell>
          <cell r="AB1009">
            <v>27273.438199181448</v>
          </cell>
          <cell r="AC1009">
            <v>0</v>
          </cell>
          <cell r="AD1009">
            <v>0</v>
          </cell>
          <cell r="AE1009">
            <v>0</v>
          </cell>
          <cell r="AF1009">
            <v>0</v>
          </cell>
          <cell r="AG1009">
            <v>0</v>
          </cell>
          <cell r="AH1009">
            <v>0</v>
          </cell>
        </row>
        <row r="1010">
          <cell r="B1010" t="str">
            <v>SNIES</v>
          </cell>
          <cell r="C1010" t="str">
            <v>A1D</v>
          </cell>
          <cell r="D1010" t="str">
            <v>A1DA</v>
          </cell>
          <cell r="E1010" t="str">
            <v>SNIES</v>
          </cell>
          <cell r="F1010" t="str">
            <v>SNIES</v>
          </cell>
          <cell r="G1010">
            <v>21</v>
          </cell>
          <cell r="H1010" t="str">
            <v>SNIES MOD pour les travaux du projet BAD</v>
          </cell>
          <cell r="I1010" t="str">
            <v>SNIES</v>
          </cell>
          <cell r="K1010" t="str">
            <v>BAD ED IV</v>
          </cell>
          <cell r="L1010" t="str">
            <v>LR</v>
          </cell>
          <cell r="M1010">
            <v>12</v>
          </cell>
          <cell r="N1010">
            <v>12</v>
          </cell>
          <cell r="O1010">
            <v>12</v>
          </cell>
          <cell r="P1010">
            <v>36</v>
          </cell>
          <cell r="Q1010" t="str">
            <v>pxm</v>
          </cell>
          <cell r="S1010">
            <v>27033.350490563895</v>
          </cell>
          <cell r="T1010">
            <v>1</v>
          </cell>
          <cell r="U1010">
            <v>324400.20588676672</v>
          </cell>
          <cell r="V1010">
            <v>324400.20588676672</v>
          </cell>
          <cell r="W1010">
            <v>324400.20588676672</v>
          </cell>
          <cell r="X1010">
            <v>973200.61766030011</v>
          </cell>
          <cell r="Y1010">
            <v>324400.20588676672</v>
          </cell>
          <cell r="Z1010">
            <v>324400.20588676672</v>
          </cell>
          <cell r="AA1010">
            <v>324400.20588676672</v>
          </cell>
          <cell r="AB1010">
            <v>973200.61766030011</v>
          </cell>
          <cell r="AC1010">
            <v>0</v>
          </cell>
          <cell r="AD1010">
            <v>0</v>
          </cell>
          <cell r="AE1010">
            <v>0</v>
          </cell>
          <cell r="AF1010">
            <v>0</v>
          </cell>
          <cell r="AG1010">
            <v>0</v>
          </cell>
          <cell r="AH1010">
            <v>0</v>
          </cell>
        </row>
        <row r="1011">
          <cell r="B1011" t="str">
            <v>SNIES</v>
          </cell>
          <cell r="C1011" t="str">
            <v>A1D</v>
          </cell>
          <cell r="D1011" t="str">
            <v>A1DB</v>
          </cell>
          <cell r="E1011" t="str">
            <v>SNIES</v>
          </cell>
          <cell r="F1011" t="str">
            <v>SNIES</v>
          </cell>
          <cell r="G1011">
            <v>23</v>
          </cell>
          <cell r="H1011" t="str">
            <v>SNIES Equipements bureautiques</v>
          </cell>
          <cell r="I1011" t="str">
            <v>SNIES</v>
          </cell>
          <cell r="K1011" t="str">
            <v>BAD ED IV</v>
          </cell>
          <cell r="L1011" t="str">
            <v>AOI</v>
          </cell>
          <cell r="M1011">
            <v>1</v>
          </cell>
          <cell r="P1011">
            <v>1</v>
          </cell>
          <cell r="Q1011" t="str">
            <v>lot</v>
          </cell>
          <cell r="S1011">
            <v>22070.990450204641</v>
          </cell>
          <cell r="T1011">
            <v>1</v>
          </cell>
          <cell r="U1011">
            <v>22070.990450204641</v>
          </cell>
          <cell r="V1011">
            <v>0</v>
          </cell>
          <cell r="W1011">
            <v>0</v>
          </cell>
          <cell r="X1011">
            <v>22070.990450204641</v>
          </cell>
          <cell r="Y1011">
            <v>22070.990450204641</v>
          </cell>
          <cell r="Z1011">
            <v>0</v>
          </cell>
          <cell r="AA1011">
            <v>0</v>
          </cell>
          <cell r="AB1011">
            <v>22070.990450204641</v>
          </cell>
          <cell r="AC1011">
            <v>0</v>
          </cell>
          <cell r="AD1011">
            <v>0</v>
          </cell>
          <cell r="AE1011">
            <v>0</v>
          </cell>
          <cell r="AF1011">
            <v>0</v>
          </cell>
          <cell r="AG1011">
            <v>0</v>
          </cell>
          <cell r="AH1011">
            <v>0</v>
          </cell>
        </row>
        <row r="1012">
          <cell r="B1012" t="str">
            <v>SNIES</v>
          </cell>
          <cell r="C1012" t="str">
            <v>A1D</v>
          </cell>
          <cell r="D1012" t="str">
            <v>A1DB</v>
          </cell>
          <cell r="E1012" t="str">
            <v>SNIES</v>
          </cell>
          <cell r="F1012" t="str">
            <v>SNIES</v>
          </cell>
          <cell r="G1012">
            <v>23</v>
          </cell>
          <cell r="H1012" t="str">
            <v>SNIES Equipements informatiques</v>
          </cell>
          <cell r="I1012" t="str">
            <v>SNIES</v>
          </cell>
          <cell r="K1012" t="str">
            <v>BAD ED IV</v>
          </cell>
          <cell r="L1012" t="str">
            <v>AOI</v>
          </cell>
          <cell r="M1012">
            <v>1</v>
          </cell>
          <cell r="P1012">
            <v>1</v>
          </cell>
          <cell r="Q1012" t="str">
            <v>lot</v>
          </cell>
          <cell r="S1012">
            <v>44339.043315143252</v>
          </cell>
          <cell r="T1012">
            <v>1</v>
          </cell>
          <cell r="U1012">
            <v>44339.043315143252</v>
          </cell>
          <cell r="V1012">
            <v>0</v>
          </cell>
          <cell r="W1012">
            <v>0</v>
          </cell>
          <cell r="X1012">
            <v>44339.043315143252</v>
          </cell>
          <cell r="Y1012">
            <v>44339.043315143252</v>
          </cell>
          <cell r="Z1012">
            <v>0</v>
          </cell>
          <cell r="AA1012">
            <v>0</v>
          </cell>
          <cell r="AB1012">
            <v>44339.043315143252</v>
          </cell>
          <cell r="AC1012">
            <v>0</v>
          </cell>
          <cell r="AD1012">
            <v>0</v>
          </cell>
          <cell r="AE1012">
            <v>0</v>
          </cell>
          <cell r="AF1012">
            <v>0</v>
          </cell>
          <cell r="AG1012">
            <v>0</v>
          </cell>
          <cell r="AH1012">
            <v>0</v>
          </cell>
        </row>
        <row r="1013">
          <cell r="B1013" t="str">
            <v>SNIES</v>
          </cell>
          <cell r="C1013" t="str">
            <v>A1D</v>
          </cell>
          <cell r="D1013" t="str">
            <v>A1DB</v>
          </cell>
          <cell r="E1013" t="str">
            <v>SNIES</v>
          </cell>
          <cell r="F1013" t="str">
            <v>SNIES</v>
          </cell>
          <cell r="G1013">
            <v>23</v>
          </cell>
          <cell r="H1013" t="str">
            <v>SNIES Véhicules 4x4 wagon</v>
          </cell>
          <cell r="I1013" t="str">
            <v>SNIES</v>
          </cell>
          <cell r="K1013" t="str">
            <v>BAD ED IV</v>
          </cell>
          <cell r="L1013" t="str">
            <v>AOI</v>
          </cell>
          <cell r="P1013">
            <v>0</v>
          </cell>
          <cell r="Q1013" t="str">
            <v>u</v>
          </cell>
          <cell r="S1013">
            <v>187209.29399727148</v>
          </cell>
          <cell r="T1013">
            <v>1</v>
          </cell>
          <cell r="U1013">
            <v>0</v>
          </cell>
          <cell r="V1013">
            <v>0</v>
          </cell>
          <cell r="W1013">
            <v>0</v>
          </cell>
          <cell r="X1013">
            <v>0</v>
          </cell>
          <cell r="Y1013">
            <v>0</v>
          </cell>
          <cell r="Z1013">
            <v>0</v>
          </cell>
          <cell r="AA1013">
            <v>0</v>
          </cell>
          <cell r="AB1013">
            <v>0</v>
          </cell>
          <cell r="AC1013">
            <v>0</v>
          </cell>
          <cell r="AD1013">
            <v>0</v>
          </cell>
          <cell r="AE1013">
            <v>0</v>
          </cell>
          <cell r="AF1013">
            <v>0</v>
          </cell>
          <cell r="AG1013">
            <v>0</v>
          </cell>
          <cell r="AH1013">
            <v>0</v>
          </cell>
        </row>
        <row r="1014">
          <cell r="B1014" t="str">
            <v>SNIES</v>
          </cell>
          <cell r="C1014" t="str">
            <v>A1D</v>
          </cell>
          <cell r="D1014" t="str">
            <v>A1DC</v>
          </cell>
          <cell r="E1014" t="str">
            <v>SNIES</v>
          </cell>
          <cell r="F1014" t="str">
            <v>SNIES</v>
          </cell>
          <cell r="G1014">
            <v>25</v>
          </cell>
          <cell r="H1014" t="str">
            <v>SNIES Spécialiste gestion financière de projet</v>
          </cell>
          <cell r="I1014" t="str">
            <v>SNIES</v>
          </cell>
          <cell r="K1014" t="str">
            <v>BAD ED IV</v>
          </cell>
          <cell r="L1014" t="str">
            <v>LR</v>
          </cell>
          <cell r="M1014">
            <v>12</v>
          </cell>
          <cell r="N1014">
            <v>12</v>
          </cell>
          <cell r="O1014">
            <v>12</v>
          </cell>
          <cell r="P1014">
            <v>36</v>
          </cell>
          <cell r="Q1014" t="str">
            <v>pxm</v>
          </cell>
          <cell r="S1014">
            <v>21460.09696452933</v>
          </cell>
          <cell r="T1014">
            <v>1</v>
          </cell>
          <cell r="U1014">
            <v>257521.16357435196</v>
          </cell>
          <cell r="V1014">
            <v>257521.16357435196</v>
          </cell>
          <cell r="W1014">
            <v>257521.16357435196</v>
          </cell>
          <cell r="X1014">
            <v>772563.4907230559</v>
          </cell>
          <cell r="Y1014">
            <v>257521.16357435196</v>
          </cell>
          <cell r="Z1014">
            <v>257521.16357435196</v>
          </cell>
          <cell r="AA1014">
            <v>257521.16357435196</v>
          </cell>
          <cell r="AB1014">
            <v>772563.4907230559</v>
          </cell>
          <cell r="AC1014">
            <v>0</v>
          </cell>
          <cell r="AD1014">
            <v>0</v>
          </cell>
          <cell r="AE1014">
            <v>0</v>
          </cell>
          <cell r="AF1014">
            <v>0</v>
          </cell>
          <cell r="AG1014">
            <v>0</v>
          </cell>
          <cell r="AH1014">
            <v>0</v>
          </cell>
        </row>
        <row r="1015">
          <cell r="B1015" t="str">
            <v>SNIES</v>
          </cell>
          <cell r="C1015" t="str">
            <v>A1D</v>
          </cell>
          <cell r="D1015" t="str">
            <v>A1DC</v>
          </cell>
          <cell r="E1015" t="str">
            <v>SNIES</v>
          </cell>
          <cell r="F1015" t="str">
            <v>SNIES</v>
          </cell>
          <cell r="G1015">
            <v>25</v>
          </cell>
          <cell r="H1015" t="str">
            <v>SNIES Spécialiste rédaction manuel d'exécution du projet</v>
          </cell>
          <cell r="I1015" t="str">
            <v>SNIES</v>
          </cell>
          <cell r="K1015" t="str">
            <v>BAD ED IV</v>
          </cell>
          <cell r="L1015" t="str">
            <v>LR</v>
          </cell>
          <cell r="P1015">
            <v>0</v>
          </cell>
          <cell r="Q1015" t="str">
            <v>u</v>
          </cell>
          <cell r="S1015">
            <v>35471.234652114596</v>
          </cell>
          <cell r="T1015">
            <v>1</v>
          </cell>
          <cell r="U1015">
            <v>0</v>
          </cell>
          <cell r="V1015">
            <v>0</v>
          </cell>
          <cell r="W1015">
            <v>0</v>
          </cell>
          <cell r="X1015">
            <v>0</v>
          </cell>
          <cell r="Y1015">
            <v>0</v>
          </cell>
          <cell r="Z1015">
            <v>0</v>
          </cell>
          <cell r="AA1015">
            <v>0</v>
          </cell>
          <cell r="AB1015">
            <v>0</v>
          </cell>
          <cell r="AC1015">
            <v>0</v>
          </cell>
          <cell r="AD1015">
            <v>0</v>
          </cell>
          <cell r="AE1015">
            <v>0</v>
          </cell>
          <cell r="AF1015">
            <v>0</v>
          </cell>
          <cell r="AG1015">
            <v>0</v>
          </cell>
          <cell r="AH1015">
            <v>0</v>
          </cell>
        </row>
        <row r="1016">
          <cell r="B1016" t="str">
            <v>SNIES</v>
          </cell>
          <cell r="C1016" t="str">
            <v>A1D</v>
          </cell>
          <cell r="D1016" t="str">
            <v>A1DC</v>
          </cell>
          <cell r="E1016" t="str">
            <v>SNIES</v>
          </cell>
          <cell r="F1016" t="str">
            <v>SNIES</v>
          </cell>
          <cell r="G1016">
            <v>25</v>
          </cell>
          <cell r="H1016" t="str">
            <v>SNIES Spécialiste revue à mi parcours</v>
          </cell>
          <cell r="I1016" t="str">
            <v>SNIES</v>
          </cell>
          <cell r="K1016" t="str">
            <v>BAD ED IV</v>
          </cell>
          <cell r="L1016" t="str">
            <v>LR</v>
          </cell>
          <cell r="M1016">
            <v>3</v>
          </cell>
          <cell r="P1016">
            <v>3</v>
          </cell>
          <cell r="Q1016" t="str">
            <v>u</v>
          </cell>
          <cell r="S1016">
            <v>35471.234652114596</v>
          </cell>
          <cell r="T1016">
            <v>1</v>
          </cell>
          <cell r="U1016">
            <v>106413.70395634379</v>
          </cell>
          <cell r="V1016">
            <v>0</v>
          </cell>
          <cell r="W1016">
            <v>0</v>
          </cell>
          <cell r="X1016">
            <v>106413.70395634379</v>
          </cell>
          <cell r="Y1016">
            <v>106413.70395634379</v>
          </cell>
          <cell r="Z1016">
            <v>0</v>
          </cell>
          <cell r="AA1016">
            <v>0</v>
          </cell>
          <cell r="AB1016">
            <v>106413.70395634379</v>
          </cell>
          <cell r="AC1016">
            <v>0</v>
          </cell>
          <cell r="AD1016">
            <v>0</v>
          </cell>
          <cell r="AE1016">
            <v>0</v>
          </cell>
          <cell r="AF1016">
            <v>0</v>
          </cell>
          <cell r="AG1016">
            <v>0</v>
          </cell>
          <cell r="AH1016">
            <v>0</v>
          </cell>
        </row>
        <row r="1017">
          <cell r="B1017" t="str">
            <v>SNIES</v>
          </cell>
          <cell r="C1017" t="str">
            <v>A1D</v>
          </cell>
          <cell r="D1017" t="str">
            <v>A1DC</v>
          </cell>
          <cell r="E1017" t="str">
            <v>SNIES</v>
          </cell>
          <cell r="F1017" t="str">
            <v>SNIES</v>
          </cell>
          <cell r="G1017">
            <v>25</v>
          </cell>
          <cell r="H1017" t="str">
            <v>SNIES Spécialiste pour le rapport d'achèvement</v>
          </cell>
          <cell r="I1017" t="str">
            <v>SNIES</v>
          </cell>
          <cell r="K1017" t="str">
            <v>BAD ED IV</v>
          </cell>
          <cell r="L1017" t="str">
            <v>LR</v>
          </cell>
          <cell r="O1017">
            <v>3</v>
          </cell>
          <cell r="P1017">
            <v>3</v>
          </cell>
          <cell r="Q1017" t="str">
            <v>u</v>
          </cell>
          <cell r="S1017">
            <v>35471.234652114596</v>
          </cell>
          <cell r="T1017">
            <v>1</v>
          </cell>
          <cell r="U1017">
            <v>0</v>
          </cell>
          <cell r="V1017">
            <v>0</v>
          </cell>
          <cell r="W1017">
            <v>106413.70395634379</v>
          </cell>
          <cell r="X1017">
            <v>106413.70395634379</v>
          </cell>
          <cell r="Y1017">
            <v>0</v>
          </cell>
          <cell r="Z1017">
            <v>0</v>
          </cell>
          <cell r="AA1017">
            <v>106413.70395634379</v>
          </cell>
          <cell r="AB1017">
            <v>106413.70395634379</v>
          </cell>
          <cell r="AC1017">
            <v>0</v>
          </cell>
          <cell r="AD1017">
            <v>0</v>
          </cell>
          <cell r="AE1017">
            <v>0</v>
          </cell>
          <cell r="AF1017">
            <v>0</v>
          </cell>
          <cell r="AG1017">
            <v>0</v>
          </cell>
          <cell r="AH1017">
            <v>0</v>
          </cell>
        </row>
        <row r="1018">
          <cell r="B1018" t="str">
            <v>SNIES</v>
          </cell>
          <cell r="C1018" t="str">
            <v>A1D</v>
          </cell>
          <cell r="D1018" t="str">
            <v>A1DC</v>
          </cell>
          <cell r="E1018" t="str">
            <v>SNIES</v>
          </cell>
          <cell r="F1018" t="str">
            <v>SNIES</v>
          </cell>
          <cell r="G1018">
            <v>25</v>
          </cell>
          <cell r="H1018" t="str">
            <v>SNIES Audit annuel des comptes</v>
          </cell>
          <cell r="I1018" t="str">
            <v>SNIES</v>
          </cell>
          <cell r="K1018" t="str">
            <v>BAD ED IV</v>
          </cell>
          <cell r="L1018" t="str">
            <v>LR</v>
          </cell>
          <cell r="M1018">
            <v>1</v>
          </cell>
          <cell r="N1018">
            <v>1</v>
          </cell>
          <cell r="O1018">
            <v>1</v>
          </cell>
          <cell r="P1018">
            <v>3</v>
          </cell>
          <cell r="Q1018" t="str">
            <v>u</v>
          </cell>
          <cell r="S1018">
            <v>88678.086630286503</v>
          </cell>
          <cell r="T1018">
            <v>1</v>
          </cell>
          <cell r="U1018">
            <v>88678.086630286503</v>
          </cell>
          <cell r="V1018">
            <v>88678.086630286503</v>
          </cell>
          <cell r="W1018">
            <v>88678.086630286503</v>
          </cell>
          <cell r="X1018">
            <v>266034.25989085948</v>
          </cell>
          <cell r="Y1018">
            <v>88678.086630286503</v>
          </cell>
          <cell r="Z1018">
            <v>88678.086630286503</v>
          </cell>
          <cell r="AA1018">
            <v>88678.086630286503</v>
          </cell>
          <cell r="AB1018">
            <v>266034.25989085948</v>
          </cell>
          <cell r="AC1018">
            <v>0</v>
          </cell>
          <cell r="AD1018">
            <v>0</v>
          </cell>
          <cell r="AE1018">
            <v>0</v>
          </cell>
          <cell r="AF1018">
            <v>0</v>
          </cell>
          <cell r="AG1018">
            <v>0</v>
          </cell>
          <cell r="AH1018">
            <v>0</v>
          </cell>
        </row>
        <row r="1019">
          <cell r="B1019" t="str">
            <v>SNIES</v>
          </cell>
          <cell r="C1019" t="str">
            <v>A1D</v>
          </cell>
          <cell r="D1019" t="str">
            <v>A1DC</v>
          </cell>
          <cell r="E1019" t="str">
            <v>SNIES</v>
          </cell>
          <cell r="F1019" t="str">
            <v>SNIES</v>
          </cell>
          <cell r="G1019">
            <v>25</v>
          </cell>
          <cell r="H1019" t="str">
            <v>SNIES Spécialiste suivi projet en rapport avec ODM</v>
          </cell>
          <cell r="I1019" t="str">
            <v>SNIES</v>
          </cell>
          <cell r="K1019" t="str">
            <v>BAD ED IV</v>
          </cell>
          <cell r="L1019" t="str">
            <v>LR</v>
          </cell>
          <cell r="M1019">
            <v>2</v>
          </cell>
          <cell r="N1019">
            <v>2</v>
          </cell>
          <cell r="P1019">
            <v>4</v>
          </cell>
          <cell r="Q1019" t="str">
            <v>pxm</v>
          </cell>
          <cell r="S1019">
            <v>35471.234652114596</v>
          </cell>
          <cell r="T1019">
            <v>1</v>
          </cell>
          <cell r="U1019">
            <v>70942.469304229191</v>
          </cell>
          <cell r="V1019">
            <v>70942.469304229191</v>
          </cell>
          <cell r="W1019">
            <v>0</v>
          </cell>
          <cell r="X1019">
            <v>141884.93860845838</v>
          </cell>
          <cell r="Y1019">
            <v>70942.469304229191</v>
          </cell>
          <cell r="Z1019">
            <v>70942.469304229191</v>
          </cell>
          <cell r="AA1019">
            <v>0</v>
          </cell>
          <cell r="AB1019">
            <v>141884.93860845838</v>
          </cell>
          <cell r="AC1019">
            <v>0</v>
          </cell>
          <cell r="AD1019">
            <v>0</v>
          </cell>
          <cell r="AE1019">
            <v>0</v>
          </cell>
          <cell r="AF1019">
            <v>0</v>
          </cell>
          <cell r="AG1019">
            <v>0</v>
          </cell>
          <cell r="AH1019">
            <v>0</v>
          </cell>
        </row>
        <row r="1020">
          <cell r="B1020" t="str">
            <v>SNIES</v>
          </cell>
          <cell r="C1020" t="str">
            <v>A1D</v>
          </cell>
          <cell r="D1020" t="str">
            <v>A1DB</v>
          </cell>
          <cell r="E1020" t="str">
            <v>SNIES</v>
          </cell>
          <cell r="F1020" t="str">
            <v>SNIES</v>
          </cell>
          <cell r="G1020">
            <v>15</v>
          </cell>
          <cell r="H1020" t="str">
            <v>SNIES Fournitures de bureau et consommables</v>
          </cell>
          <cell r="I1020" t="str">
            <v>SNIES</v>
          </cell>
          <cell r="K1020" t="str">
            <v>BAD ED IV</v>
          </cell>
          <cell r="L1020" t="str">
            <v>AUT</v>
          </cell>
          <cell r="M1020">
            <v>1</v>
          </cell>
          <cell r="N1020">
            <v>1</v>
          </cell>
          <cell r="O1020">
            <v>1</v>
          </cell>
          <cell r="P1020">
            <v>3</v>
          </cell>
          <cell r="Q1020" t="str">
            <v>an</v>
          </cell>
          <cell r="S1020">
            <v>31529.986357435198</v>
          </cell>
          <cell r="T1020">
            <v>0.65559999999999996</v>
          </cell>
          <cell r="U1020">
            <v>31529.986357435198</v>
          </cell>
          <cell r="V1020">
            <v>31529.986357435198</v>
          </cell>
          <cell r="W1020">
            <v>31529.986357435198</v>
          </cell>
          <cell r="X1020">
            <v>94589.959072305588</v>
          </cell>
          <cell r="Y1020">
            <v>20671.059055934515</v>
          </cell>
          <cell r="Z1020">
            <v>20671.059055934515</v>
          </cell>
          <cell r="AA1020">
            <v>20671.059055934515</v>
          </cell>
          <cell r="AB1020">
            <v>62013.177167803544</v>
          </cell>
          <cell r="AC1020">
            <v>10858.927301500684</v>
          </cell>
          <cell r="AD1020">
            <v>10858.927301500684</v>
          </cell>
          <cell r="AE1020">
            <v>10858.927301500684</v>
          </cell>
          <cell r="AF1020">
            <v>32576.781904502051</v>
          </cell>
          <cell r="AG1020">
            <v>0</v>
          </cell>
          <cell r="AH1020">
            <v>0</v>
          </cell>
        </row>
        <row r="1021">
          <cell r="B1021" t="str">
            <v>SNIES</v>
          </cell>
          <cell r="C1021" t="str">
            <v>A1D</v>
          </cell>
          <cell r="D1021" t="str">
            <v>A1DB</v>
          </cell>
          <cell r="E1021" t="str">
            <v>SNIES</v>
          </cell>
          <cell r="F1021" t="str">
            <v>SNIES</v>
          </cell>
          <cell r="G1021">
            <v>15</v>
          </cell>
          <cell r="H1021" t="str">
            <v>SNIES Frais de fonctionnement et de maintenance</v>
          </cell>
          <cell r="I1021" t="str">
            <v>SNIES</v>
          </cell>
          <cell r="K1021" t="str">
            <v>BAD ED IV</v>
          </cell>
          <cell r="L1021" t="str">
            <v>AUT</v>
          </cell>
          <cell r="M1021">
            <v>1</v>
          </cell>
          <cell r="N1021">
            <v>1</v>
          </cell>
          <cell r="O1021">
            <v>1</v>
          </cell>
          <cell r="P1021">
            <v>3</v>
          </cell>
          <cell r="Q1021" t="str">
            <v>an</v>
          </cell>
          <cell r="S1021">
            <v>78824.965893588</v>
          </cell>
          <cell r="T1021">
            <v>0.65559999999999996</v>
          </cell>
          <cell r="U1021">
            <v>78824.965893588</v>
          </cell>
          <cell r="V1021">
            <v>78824.965893588</v>
          </cell>
          <cell r="W1021">
            <v>78824.965893588</v>
          </cell>
          <cell r="X1021">
            <v>236474.897680764</v>
          </cell>
          <cell r="Y1021">
            <v>51677.647639836287</v>
          </cell>
          <cell r="Z1021">
            <v>51677.647639836287</v>
          </cell>
          <cell r="AA1021">
            <v>51677.647639836287</v>
          </cell>
          <cell r="AB1021">
            <v>155032.94291950885</v>
          </cell>
          <cell r="AC1021">
            <v>27147.318253751713</v>
          </cell>
          <cell r="AD1021">
            <v>27147.318253751713</v>
          </cell>
          <cell r="AE1021">
            <v>27147.318253751713</v>
          </cell>
          <cell r="AF1021">
            <v>81441.95476125514</v>
          </cell>
          <cell r="AG1021">
            <v>0</v>
          </cell>
          <cell r="AH1021">
            <v>0</v>
          </cell>
        </row>
        <row r="1022">
          <cell r="B1022" t="str">
            <v>SNIES</v>
          </cell>
          <cell r="C1022" t="str">
            <v>A1D</v>
          </cell>
          <cell r="D1022" t="str">
            <v>A1DB</v>
          </cell>
          <cell r="E1022" t="str">
            <v>SNIES</v>
          </cell>
          <cell r="F1022" t="str">
            <v>SNIES</v>
          </cell>
          <cell r="G1022">
            <v>15</v>
          </cell>
          <cell r="H1022" t="str">
            <v>SNIES Publication appels d'offres</v>
          </cell>
          <cell r="I1022" t="str">
            <v>SNIES</v>
          </cell>
          <cell r="K1022" t="str">
            <v>BAD ED IV</v>
          </cell>
          <cell r="L1022" t="str">
            <v>AUT</v>
          </cell>
          <cell r="M1022">
            <v>5</v>
          </cell>
          <cell r="P1022">
            <v>5</v>
          </cell>
          <cell r="Q1022" t="str">
            <v>an</v>
          </cell>
          <cell r="S1022">
            <v>11823.744884038199</v>
          </cell>
          <cell r="T1022">
            <v>0.65559999999999996</v>
          </cell>
          <cell r="U1022">
            <v>59118.724420190993</v>
          </cell>
          <cell r="V1022">
            <v>0</v>
          </cell>
          <cell r="W1022">
            <v>0</v>
          </cell>
          <cell r="X1022">
            <v>59118.724420190993</v>
          </cell>
          <cell r="Y1022">
            <v>38758.235729877211</v>
          </cell>
          <cell r="Z1022">
            <v>0</v>
          </cell>
          <cell r="AA1022">
            <v>0</v>
          </cell>
          <cell r="AB1022">
            <v>38758.235729877211</v>
          </cell>
          <cell r="AC1022">
            <v>20360.488690313781</v>
          </cell>
          <cell r="AD1022">
            <v>0</v>
          </cell>
          <cell r="AE1022">
            <v>0</v>
          </cell>
          <cell r="AF1022">
            <v>20360.488690313781</v>
          </cell>
          <cell r="AG1022">
            <v>0</v>
          </cell>
          <cell r="AH1022">
            <v>0</v>
          </cell>
        </row>
        <row r="1023">
          <cell r="B1023" t="str">
            <v>SNIES</v>
          </cell>
          <cell r="C1023" t="str">
            <v>A1D</v>
          </cell>
          <cell r="D1023" t="str">
            <v>A1DB</v>
          </cell>
          <cell r="E1023" t="str">
            <v>SNIES</v>
          </cell>
          <cell r="F1023" t="str">
            <v>SNIES</v>
          </cell>
          <cell r="G1023">
            <v>15</v>
          </cell>
          <cell r="H1023" t="str">
            <v>SNIES Carburant et lubrifiant pour 2 véhicules</v>
          </cell>
          <cell r="I1023" t="str">
            <v>SNIES</v>
          </cell>
          <cell r="K1023" t="str">
            <v>BAD ED IV</v>
          </cell>
          <cell r="L1023" t="str">
            <v>AUT</v>
          </cell>
          <cell r="M1023">
            <v>1</v>
          </cell>
          <cell r="N1023">
            <v>1</v>
          </cell>
          <cell r="O1023">
            <v>1</v>
          </cell>
          <cell r="P1023">
            <v>3</v>
          </cell>
          <cell r="Q1023" t="str">
            <v>an</v>
          </cell>
          <cell r="S1023">
            <v>94589.959072305588</v>
          </cell>
          <cell r="T1023">
            <v>0.65559999999999996</v>
          </cell>
          <cell r="U1023">
            <v>94589.959072305588</v>
          </cell>
          <cell r="V1023">
            <v>94589.959072305588</v>
          </cell>
          <cell r="W1023">
            <v>94589.959072305588</v>
          </cell>
          <cell r="X1023">
            <v>283769.87721691676</v>
          </cell>
          <cell r="Y1023">
            <v>62013.177167803537</v>
          </cell>
          <cell r="Z1023">
            <v>62013.177167803537</v>
          </cell>
          <cell r="AA1023">
            <v>62013.177167803537</v>
          </cell>
          <cell r="AB1023">
            <v>186039.5315034106</v>
          </cell>
          <cell r="AC1023">
            <v>32576.781904502051</v>
          </cell>
          <cell r="AD1023">
            <v>32576.781904502051</v>
          </cell>
          <cell r="AE1023">
            <v>32576.781904502051</v>
          </cell>
          <cell r="AF1023">
            <v>97730.345713506162</v>
          </cell>
          <cell r="AG1023">
            <v>0</v>
          </cell>
          <cell r="AH1023">
            <v>0</v>
          </cell>
        </row>
        <row r="1024">
          <cell r="B1024" t="str">
            <v>SNIES</v>
          </cell>
          <cell r="C1024" t="str">
            <v>A1D</v>
          </cell>
          <cell r="D1024" t="str">
            <v>A1DB</v>
          </cell>
          <cell r="E1024" t="str">
            <v>SNIES</v>
          </cell>
          <cell r="F1024" t="str">
            <v>SNIES</v>
          </cell>
          <cell r="G1024">
            <v>15</v>
          </cell>
          <cell r="H1024" t="str">
            <v>SNIES Maintenance pour 2 véhicules</v>
          </cell>
          <cell r="I1024" t="str">
            <v>SNIES</v>
          </cell>
          <cell r="K1024" t="str">
            <v>BAD ED IV</v>
          </cell>
          <cell r="L1024" t="str">
            <v>AUT</v>
          </cell>
          <cell r="M1024">
            <v>1</v>
          </cell>
          <cell r="N1024">
            <v>1</v>
          </cell>
          <cell r="O1024">
            <v>1</v>
          </cell>
          <cell r="P1024">
            <v>3</v>
          </cell>
          <cell r="Q1024" t="str">
            <v>an</v>
          </cell>
          <cell r="S1024">
            <v>23647.489768076397</v>
          </cell>
          <cell r="T1024">
            <v>0.65559999999999996</v>
          </cell>
          <cell r="U1024">
            <v>23647.489768076397</v>
          </cell>
          <cell r="V1024">
            <v>23647.489768076397</v>
          </cell>
          <cell r="W1024">
            <v>23647.489768076397</v>
          </cell>
          <cell r="X1024">
            <v>70942.469304229191</v>
          </cell>
          <cell r="Y1024">
            <v>15503.294291950884</v>
          </cell>
          <cell r="Z1024">
            <v>15503.294291950884</v>
          </cell>
          <cell r="AA1024">
            <v>15503.294291950884</v>
          </cell>
          <cell r="AB1024">
            <v>46509.882875852651</v>
          </cell>
          <cell r="AC1024">
            <v>8144.1954761255129</v>
          </cell>
          <cell r="AD1024">
            <v>8144.1954761255129</v>
          </cell>
          <cell r="AE1024">
            <v>8144.1954761255129</v>
          </cell>
          <cell r="AF1024">
            <v>24432.58642837654</v>
          </cell>
          <cell r="AG1024">
            <v>0</v>
          </cell>
          <cell r="AH1024">
            <v>0</v>
          </cell>
        </row>
        <row r="1025">
          <cell r="B1025" t="str">
            <v>SNIES</v>
          </cell>
          <cell r="C1025" t="str">
            <v>A1D</v>
          </cell>
          <cell r="D1025" t="str">
            <v>A1DB</v>
          </cell>
          <cell r="E1025" t="str">
            <v>SNIES</v>
          </cell>
          <cell r="F1025" t="str">
            <v>SNIES</v>
          </cell>
          <cell r="G1025">
            <v>15</v>
          </cell>
          <cell r="H1025" t="str">
            <v>SNIES Assurance pour 2 véhicules</v>
          </cell>
          <cell r="I1025" t="str">
            <v>SNIES</v>
          </cell>
          <cell r="K1025" t="str">
            <v>BAD ED IV</v>
          </cell>
          <cell r="L1025" t="str">
            <v>AUT</v>
          </cell>
          <cell r="M1025">
            <v>1</v>
          </cell>
          <cell r="N1025">
            <v>1</v>
          </cell>
          <cell r="O1025">
            <v>1</v>
          </cell>
          <cell r="P1025">
            <v>3</v>
          </cell>
          <cell r="Q1025" t="str">
            <v>an</v>
          </cell>
          <cell r="S1025">
            <v>23647.489768076397</v>
          </cell>
          <cell r="T1025">
            <v>0.65559999999999996</v>
          </cell>
          <cell r="U1025">
            <v>23647.489768076397</v>
          </cell>
          <cell r="V1025">
            <v>23647.489768076397</v>
          </cell>
          <cell r="W1025">
            <v>23647.489768076397</v>
          </cell>
          <cell r="X1025">
            <v>70942.469304229191</v>
          </cell>
          <cell r="Y1025">
            <v>15503.294291950884</v>
          </cell>
          <cell r="Z1025">
            <v>15503.294291950884</v>
          </cell>
          <cell r="AA1025">
            <v>15503.294291950884</v>
          </cell>
          <cell r="AB1025">
            <v>46509.882875852651</v>
          </cell>
          <cell r="AC1025">
            <v>8144.1954761255129</v>
          </cell>
          <cell r="AD1025">
            <v>8144.1954761255129</v>
          </cell>
          <cell r="AE1025">
            <v>8144.1954761255129</v>
          </cell>
          <cell r="AF1025">
            <v>24432.58642837654</v>
          </cell>
          <cell r="AG1025">
            <v>0</v>
          </cell>
          <cell r="AH1025">
            <v>0</v>
          </cell>
        </row>
        <row r="1026">
          <cell r="B1026" t="str">
            <v>SNIES</v>
          </cell>
          <cell r="C1026" t="str">
            <v>A1D</v>
          </cell>
          <cell r="D1026" t="str">
            <v>A1DB</v>
          </cell>
          <cell r="E1026" t="str">
            <v>SNIES</v>
          </cell>
          <cell r="F1026" t="str">
            <v>SNIES</v>
          </cell>
          <cell r="G1026">
            <v>15</v>
          </cell>
          <cell r="H1026" t="str">
            <v>SNIES Frais de mission supervision au pays</v>
          </cell>
          <cell r="I1026" t="str">
            <v>SNIES</v>
          </cell>
          <cell r="K1026" t="str">
            <v>BAD ED IV</v>
          </cell>
          <cell r="L1026" t="str">
            <v>AUT</v>
          </cell>
          <cell r="M1026">
            <v>1</v>
          </cell>
          <cell r="N1026">
            <v>1</v>
          </cell>
          <cell r="O1026">
            <v>1</v>
          </cell>
          <cell r="P1026">
            <v>3</v>
          </cell>
          <cell r="Q1026" t="str">
            <v>an</v>
          </cell>
          <cell r="S1026">
            <v>70942.469304229191</v>
          </cell>
          <cell r="T1026">
            <v>0.65559999999999996</v>
          </cell>
          <cell r="U1026">
            <v>70942.469304229191</v>
          </cell>
          <cell r="V1026">
            <v>70942.469304229191</v>
          </cell>
          <cell r="W1026">
            <v>70942.469304229191</v>
          </cell>
          <cell r="X1026">
            <v>212827.40791268757</v>
          </cell>
          <cell r="Y1026">
            <v>46509.882875852658</v>
          </cell>
          <cell r="Z1026">
            <v>46509.882875852658</v>
          </cell>
          <cell r="AA1026">
            <v>46509.882875852658</v>
          </cell>
          <cell r="AB1026">
            <v>139529.64862755797</v>
          </cell>
          <cell r="AC1026">
            <v>24432.586428376533</v>
          </cell>
          <cell r="AD1026">
            <v>24432.586428376533</v>
          </cell>
          <cell r="AE1026">
            <v>24432.586428376533</v>
          </cell>
          <cell r="AF1026">
            <v>73297.759285129607</v>
          </cell>
          <cell r="AG1026">
            <v>0</v>
          </cell>
          <cell r="AH1026">
            <v>0</v>
          </cell>
        </row>
        <row r="1027">
          <cell r="B1027" t="str">
            <v>SNIES</v>
          </cell>
          <cell r="C1027" t="str">
            <v>A1D</v>
          </cell>
          <cell r="D1027" t="str">
            <v>A1DB</v>
          </cell>
          <cell r="E1027" t="str">
            <v>SNIES</v>
          </cell>
          <cell r="F1027" t="str">
            <v>SNIES</v>
          </cell>
          <cell r="G1027">
            <v>15</v>
          </cell>
          <cell r="H1027" t="str">
            <v>SNIES Frais de mission supervision Comité de Pilotage</v>
          </cell>
          <cell r="I1027" t="str">
            <v>SNIES</v>
          </cell>
          <cell r="K1027" t="str">
            <v>BAD ED IV</v>
          </cell>
          <cell r="L1027" t="str">
            <v>AUT</v>
          </cell>
          <cell r="M1027">
            <v>1</v>
          </cell>
          <cell r="N1027">
            <v>1</v>
          </cell>
          <cell r="O1027">
            <v>1</v>
          </cell>
          <cell r="P1027">
            <v>3</v>
          </cell>
          <cell r="Q1027" t="str">
            <v>an</v>
          </cell>
          <cell r="S1027">
            <v>68282.126705320596</v>
          </cell>
          <cell r="T1027">
            <v>0.65559999999999996</v>
          </cell>
          <cell r="U1027">
            <v>68282.126705320596</v>
          </cell>
          <cell r="V1027">
            <v>68282.126705320596</v>
          </cell>
          <cell r="W1027">
            <v>68282.126705320596</v>
          </cell>
          <cell r="X1027">
            <v>204846.38011596177</v>
          </cell>
          <cell r="Y1027">
            <v>44765.762268008177</v>
          </cell>
          <cell r="Z1027">
            <v>44765.762268008177</v>
          </cell>
          <cell r="AA1027">
            <v>44765.762268008177</v>
          </cell>
          <cell r="AB1027">
            <v>134297.28680402454</v>
          </cell>
          <cell r="AC1027">
            <v>23516.364437312419</v>
          </cell>
          <cell r="AD1027">
            <v>23516.364437312419</v>
          </cell>
          <cell r="AE1027">
            <v>23516.364437312419</v>
          </cell>
          <cell r="AF1027">
            <v>70549.093311937264</v>
          </cell>
          <cell r="AG1027">
            <v>0</v>
          </cell>
          <cell r="AH1027">
            <v>0</v>
          </cell>
        </row>
        <row r="1028">
          <cell r="B1028" t="str">
            <v>SNIES</v>
          </cell>
          <cell r="C1028" t="str">
            <v>A1D</v>
          </cell>
          <cell r="D1028" t="str">
            <v>A1DB</v>
          </cell>
          <cell r="E1028" t="str">
            <v>SNIES</v>
          </cell>
          <cell r="F1028" t="str">
            <v>SNIES</v>
          </cell>
          <cell r="G1028">
            <v>15</v>
          </cell>
          <cell r="H1028" t="str">
            <v>SNIES Frais de mission à la BAD à Tunis 2p/an perdiem</v>
          </cell>
          <cell r="I1028" t="str">
            <v>SNIES</v>
          </cell>
          <cell r="K1028" t="str">
            <v>BAD ED IV</v>
          </cell>
          <cell r="L1028" t="str">
            <v>AUT</v>
          </cell>
          <cell r="M1028">
            <v>1</v>
          </cell>
          <cell r="N1028">
            <v>1</v>
          </cell>
          <cell r="O1028">
            <v>1</v>
          </cell>
          <cell r="P1028">
            <v>3</v>
          </cell>
          <cell r="Q1028" t="str">
            <v>an</v>
          </cell>
          <cell r="S1028">
            <v>9458.9959072305592</v>
          </cell>
          <cell r="T1028">
            <v>0.65559999999999996</v>
          </cell>
          <cell r="U1028">
            <v>9458.9959072305592</v>
          </cell>
          <cell r="V1028">
            <v>9458.9959072305592</v>
          </cell>
          <cell r="W1028">
            <v>9458.9959072305592</v>
          </cell>
          <cell r="X1028">
            <v>28376.987721691679</v>
          </cell>
          <cell r="Y1028">
            <v>6201.3177167803542</v>
          </cell>
          <cell r="Z1028">
            <v>6201.3177167803542</v>
          </cell>
          <cell r="AA1028">
            <v>6201.3177167803542</v>
          </cell>
          <cell r="AB1028">
            <v>18603.953150341062</v>
          </cell>
          <cell r="AC1028">
            <v>3257.678190450205</v>
          </cell>
          <cell r="AD1028">
            <v>3257.678190450205</v>
          </cell>
          <cell r="AE1028">
            <v>3257.678190450205</v>
          </cell>
          <cell r="AF1028">
            <v>9773.034571350614</v>
          </cell>
          <cell r="AG1028">
            <v>0</v>
          </cell>
          <cell r="AH1028">
            <v>0</v>
          </cell>
        </row>
        <row r="1029">
          <cell r="B1029" t="str">
            <v>SNIES</v>
          </cell>
          <cell r="C1029" t="str">
            <v>A1D</v>
          </cell>
          <cell r="D1029" t="str">
            <v>A1DB</v>
          </cell>
          <cell r="E1029" t="str">
            <v>SNIES</v>
          </cell>
          <cell r="F1029" t="str">
            <v>SNIES</v>
          </cell>
          <cell r="G1029">
            <v>15</v>
          </cell>
          <cell r="H1029" t="str">
            <v>SNIES Frais de mission à la BAD à Tunis 2p/an voyage</v>
          </cell>
          <cell r="I1029" t="str">
            <v>SNIES</v>
          </cell>
          <cell r="K1029" t="str">
            <v>BAD ED IV</v>
          </cell>
          <cell r="L1029" t="str">
            <v>AUT</v>
          </cell>
          <cell r="M1029">
            <v>1</v>
          </cell>
          <cell r="N1029">
            <v>1</v>
          </cell>
          <cell r="O1029">
            <v>1</v>
          </cell>
          <cell r="P1029">
            <v>3</v>
          </cell>
          <cell r="Q1029" t="str">
            <v>an</v>
          </cell>
          <cell r="S1029">
            <v>13794.369031377899</v>
          </cell>
          <cell r="T1029">
            <v>0.65559999999999996</v>
          </cell>
          <cell r="U1029">
            <v>13794.369031377899</v>
          </cell>
          <cell r="V1029">
            <v>13794.369031377899</v>
          </cell>
          <cell r="W1029">
            <v>13794.369031377899</v>
          </cell>
          <cell r="X1029">
            <v>41383.107094133695</v>
          </cell>
          <cell r="Y1029">
            <v>9043.5883369713501</v>
          </cell>
          <cell r="Z1029">
            <v>9043.5883369713501</v>
          </cell>
          <cell r="AA1029">
            <v>9043.5883369713501</v>
          </cell>
          <cell r="AB1029">
            <v>27130.765010914052</v>
          </cell>
          <cell r="AC1029">
            <v>4750.7806944065487</v>
          </cell>
          <cell r="AD1029">
            <v>4750.7806944065487</v>
          </cell>
          <cell r="AE1029">
            <v>4750.7806944065487</v>
          </cell>
          <cell r="AF1029">
            <v>14252.342083219646</v>
          </cell>
          <cell r="AG1029">
            <v>0</v>
          </cell>
          <cell r="AH1029">
            <v>0</v>
          </cell>
        </row>
        <row r="1030">
          <cell r="B1030" t="str">
            <v>SNIES</v>
          </cell>
          <cell r="C1030" t="str">
            <v>A1D</v>
          </cell>
          <cell r="D1030" t="str">
            <v>A1DB</v>
          </cell>
          <cell r="E1030" t="str">
            <v>SNIES</v>
          </cell>
          <cell r="F1030" t="str">
            <v>SNIES</v>
          </cell>
          <cell r="G1030">
            <v>15</v>
          </cell>
          <cell r="H1030" t="str">
            <v>SNIES Indeminités personnel national du projet</v>
          </cell>
          <cell r="I1030" t="str">
            <v>SNIES</v>
          </cell>
          <cell r="K1030" t="str">
            <v>BAD ED IV</v>
          </cell>
          <cell r="L1030" t="str">
            <v>AUT</v>
          </cell>
          <cell r="M1030">
            <v>12</v>
          </cell>
          <cell r="N1030">
            <v>12</v>
          </cell>
          <cell r="O1030">
            <v>12</v>
          </cell>
          <cell r="P1030">
            <v>36</v>
          </cell>
          <cell r="Q1030" t="str">
            <v>an</v>
          </cell>
          <cell r="S1030">
            <v>6897.1845156889494</v>
          </cell>
          <cell r="T1030">
            <v>0.65559999999999996</v>
          </cell>
          <cell r="U1030">
            <v>82766.21418826739</v>
          </cell>
          <cell r="V1030">
            <v>82766.21418826739</v>
          </cell>
          <cell r="W1030">
            <v>82766.21418826739</v>
          </cell>
          <cell r="X1030">
            <v>248298.64256480217</v>
          </cell>
          <cell r="Y1030">
            <v>54261.530021828097</v>
          </cell>
          <cell r="Z1030">
            <v>54261.530021828097</v>
          </cell>
          <cell r="AA1030">
            <v>54261.530021828097</v>
          </cell>
          <cell r="AB1030">
            <v>162784.59006548428</v>
          </cell>
          <cell r="AC1030">
            <v>28504.684166439292</v>
          </cell>
          <cell r="AD1030">
            <v>28504.684166439292</v>
          </cell>
          <cell r="AE1030">
            <v>28504.684166439292</v>
          </cell>
          <cell r="AF1030">
            <v>85514.052499317884</v>
          </cell>
          <cell r="AG1030">
            <v>0</v>
          </cell>
          <cell r="AH1030">
            <v>0</v>
          </cell>
        </row>
        <row r="1031">
          <cell r="B1031" t="str">
            <v>SNIES</v>
          </cell>
          <cell r="C1031" t="str">
            <v>A1D</v>
          </cell>
          <cell r="D1031" t="str">
            <v>A1DB</v>
          </cell>
          <cell r="E1031" t="str">
            <v>SNIES</v>
          </cell>
          <cell r="F1031" t="str">
            <v>SNIES</v>
          </cell>
          <cell r="G1031">
            <v>15</v>
          </cell>
          <cell r="H1031" t="str">
            <v>SNIES Personnel contractuel du projet</v>
          </cell>
          <cell r="I1031" t="str">
            <v>SNIES</v>
          </cell>
          <cell r="K1031" t="str">
            <v>BAD ED IV</v>
          </cell>
          <cell r="L1031" t="str">
            <v>AUT</v>
          </cell>
          <cell r="M1031">
            <v>12</v>
          </cell>
          <cell r="N1031">
            <v>12</v>
          </cell>
          <cell r="O1031">
            <v>12</v>
          </cell>
          <cell r="P1031">
            <v>36</v>
          </cell>
          <cell r="Q1031" t="str">
            <v>an</v>
          </cell>
          <cell r="S1031">
            <v>5123.6227830832195</v>
          </cell>
          <cell r="T1031">
            <v>0.65559999999999996</v>
          </cell>
          <cell r="U1031">
            <v>61483.473396998634</v>
          </cell>
          <cell r="V1031">
            <v>61483.473396998634</v>
          </cell>
          <cell r="W1031">
            <v>61483.473396998634</v>
          </cell>
          <cell r="X1031">
            <v>184450.42019099591</v>
          </cell>
          <cell r="Y1031">
            <v>40308.565159072299</v>
          </cell>
          <cell r="Z1031">
            <v>40308.565159072299</v>
          </cell>
          <cell r="AA1031">
            <v>40308.565159072299</v>
          </cell>
          <cell r="AB1031">
            <v>120925.6954772169</v>
          </cell>
          <cell r="AC1031">
            <v>21174.908237926335</v>
          </cell>
          <cell r="AD1031">
            <v>21174.908237926335</v>
          </cell>
          <cell r="AE1031">
            <v>21174.908237926335</v>
          </cell>
          <cell r="AF1031">
            <v>63524.724713779004</v>
          </cell>
          <cell r="AG1031">
            <v>0</v>
          </cell>
          <cell r="AH1031">
            <v>0</v>
          </cell>
        </row>
        <row r="1032">
          <cell r="B1032" t="str">
            <v>SNIES</v>
          </cell>
          <cell r="C1032" t="str">
            <v>B1A</v>
          </cell>
          <cell r="D1032" t="str">
            <v>B1AA</v>
          </cell>
          <cell r="E1032" t="str">
            <v>EP/NZER</v>
          </cell>
          <cell r="F1032" t="str">
            <v>SNIES</v>
          </cell>
          <cell r="G1032">
            <v>24</v>
          </cell>
          <cell r="H1032" t="str">
            <v>EP Nzérékoré matériels didactiques</v>
          </cell>
          <cell r="I1032" t="str">
            <v>SNIES</v>
          </cell>
          <cell r="K1032" t="str">
            <v>BAD ED IV</v>
          </cell>
          <cell r="L1032" t="str">
            <v>AOI</v>
          </cell>
          <cell r="P1032">
            <v>0</v>
          </cell>
          <cell r="Q1032" t="str">
            <v>lot</v>
          </cell>
          <cell r="S1032">
            <v>250060.26112075738</v>
          </cell>
          <cell r="T1032">
            <v>1</v>
          </cell>
          <cell r="U1032">
            <v>0</v>
          </cell>
          <cell r="V1032">
            <v>0</v>
          </cell>
          <cell r="W1032">
            <v>0</v>
          </cell>
          <cell r="X1032">
            <v>0</v>
          </cell>
          <cell r="Y1032">
            <v>0</v>
          </cell>
          <cell r="Z1032">
            <v>0</v>
          </cell>
          <cell r="AA1032">
            <v>0</v>
          </cell>
          <cell r="AB1032">
            <v>0</v>
          </cell>
          <cell r="AC1032">
            <v>0</v>
          </cell>
          <cell r="AD1032">
            <v>0</v>
          </cell>
          <cell r="AE1032">
            <v>0</v>
          </cell>
          <cell r="AF1032">
            <v>0</v>
          </cell>
          <cell r="AG1032">
            <v>0</v>
          </cell>
          <cell r="AH1032">
            <v>0</v>
          </cell>
        </row>
        <row r="1033">
          <cell r="B1033" t="str">
            <v>SNIES</v>
          </cell>
          <cell r="C1033" t="str">
            <v>B1A</v>
          </cell>
          <cell r="D1033" t="str">
            <v>B1AA</v>
          </cell>
          <cell r="E1033" t="str">
            <v>EP/MACE</v>
          </cell>
          <cell r="F1033" t="str">
            <v>SNIES</v>
          </cell>
          <cell r="G1033">
            <v>24</v>
          </cell>
          <cell r="H1033" t="str">
            <v>EP Macenta matériels didactiques</v>
          </cell>
          <cell r="I1033" t="str">
            <v>SNIES</v>
          </cell>
          <cell r="K1033" t="str">
            <v>BAD ED IV</v>
          </cell>
          <cell r="L1033" t="str">
            <v>AOI</v>
          </cell>
          <cell r="P1033">
            <v>0</v>
          </cell>
          <cell r="Q1033" t="str">
            <v>lot</v>
          </cell>
          <cell r="S1033">
            <v>250060.26112075738</v>
          </cell>
          <cell r="T1033">
            <v>1</v>
          </cell>
          <cell r="U1033">
            <v>0</v>
          </cell>
          <cell r="V1033">
            <v>0</v>
          </cell>
          <cell r="W1033">
            <v>0</v>
          </cell>
          <cell r="X1033">
            <v>0</v>
          </cell>
          <cell r="Y1033">
            <v>0</v>
          </cell>
          <cell r="Z1033">
            <v>0</v>
          </cell>
          <cell r="AA1033">
            <v>0</v>
          </cell>
          <cell r="AB1033">
            <v>0</v>
          </cell>
          <cell r="AC1033">
            <v>0</v>
          </cell>
          <cell r="AD1033">
            <v>0</v>
          </cell>
          <cell r="AE1033">
            <v>0</v>
          </cell>
          <cell r="AF1033">
            <v>0</v>
          </cell>
          <cell r="AG1033">
            <v>0</v>
          </cell>
          <cell r="AH1033">
            <v>0</v>
          </cell>
        </row>
        <row r="1034">
          <cell r="B1034" t="str">
            <v>SNIES</v>
          </cell>
          <cell r="C1034" t="str">
            <v>B1A</v>
          </cell>
          <cell r="D1034" t="str">
            <v>B1AA</v>
          </cell>
          <cell r="E1034" t="str">
            <v>EP/GUEC</v>
          </cell>
          <cell r="F1034" t="str">
            <v>SNIES</v>
          </cell>
          <cell r="G1034">
            <v>24</v>
          </cell>
          <cell r="H1034" t="str">
            <v>EP Guéckédou matériels didactiques</v>
          </cell>
          <cell r="I1034" t="str">
            <v>SNIES</v>
          </cell>
          <cell r="K1034" t="str">
            <v>BAD ED IV</v>
          </cell>
          <cell r="L1034" t="str">
            <v>AOI</v>
          </cell>
          <cell r="P1034">
            <v>0</v>
          </cell>
          <cell r="Q1034" t="str">
            <v>lot</v>
          </cell>
          <cell r="S1034">
            <v>250060.26112075738</v>
          </cell>
          <cell r="T1034">
            <v>1</v>
          </cell>
          <cell r="U1034">
            <v>0</v>
          </cell>
          <cell r="V1034">
            <v>0</v>
          </cell>
          <cell r="W1034">
            <v>0</v>
          </cell>
          <cell r="X1034">
            <v>0</v>
          </cell>
          <cell r="Y1034">
            <v>0</v>
          </cell>
          <cell r="Z1034">
            <v>0</v>
          </cell>
          <cell r="AA1034">
            <v>0</v>
          </cell>
          <cell r="AB1034">
            <v>0</v>
          </cell>
          <cell r="AC1034">
            <v>0</v>
          </cell>
          <cell r="AD1034">
            <v>0</v>
          </cell>
          <cell r="AE1034">
            <v>0</v>
          </cell>
          <cell r="AF1034">
            <v>0</v>
          </cell>
          <cell r="AG1034">
            <v>0</v>
          </cell>
          <cell r="AH1034">
            <v>0</v>
          </cell>
        </row>
        <row r="1035">
          <cell r="B1035" t="str">
            <v>SNIES</v>
          </cell>
          <cell r="C1035" t="str">
            <v>B1A</v>
          </cell>
          <cell r="D1035" t="str">
            <v>B1AA</v>
          </cell>
          <cell r="E1035" t="str">
            <v>EP/LOLA</v>
          </cell>
          <cell r="F1035" t="str">
            <v>SNIES</v>
          </cell>
          <cell r="G1035">
            <v>24</v>
          </cell>
          <cell r="H1035" t="str">
            <v>EP Lola matériels didactiques</v>
          </cell>
          <cell r="I1035" t="str">
            <v>SNIES</v>
          </cell>
          <cell r="K1035" t="str">
            <v>BAD ED IV</v>
          </cell>
          <cell r="L1035" t="str">
            <v>AOI</v>
          </cell>
          <cell r="P1035">
            <v>0</v>
          </cell>
          <cell r="Q1035" t="str">
            <v>lot</v>
          </cell>
          <cell r="S1035">
            <v>250060.26112075738</v>
          </cell>
          <cell r="T1035">
            <v>1</v>
          </cell>
          <cell r="U1035">
            <v>0</v>
          </cell>
          <cell r="V1035">
            <v>0</v>
          </cell>
          <cell r="W1035">
            <v>0</v>
          </cell>
          <cell r="X1035">
            <v>0</v>
          </cell>
          <cell r="Y1035">
            <v>0</v>
          </cell>
          <cell r="Z1035">
            <v>0</v>
          </cell>
          <cell r="AA1035">
            <v>0</v>
          </cell>
          <cell r="AB1035">
            <v>0</v>
          </cell>
          <cell r="AC1035">
            <v>0</v>
          </cell>
          <cell r="AD1035">
            <v>0</v>
          </cell>
          <cell r="AE1035">
            <v>0</v>
          </cell>
          <cell r="AF1035">
            <v>0</v>
          </cell>
          <cell r="AG1035">
            <v>0</v>
          </cell>
          <cell r="AH1035">
            <v>0</v>
          </cell>
        </row>
        <row r="1036">
          <cell r="B1036" t="str">
            <v>SNIES</v>
          </cell>
          <cell r="C1036" t="str">
            <v>B1A</v>
          </cell>
          <cell r="D1036" t="str">
            <v>B1AA</v>
          </cell>
          <cell r="E1036" t="str">
            <v>EP/BEYL</v>
          </cell>
          <cell r="F1036" t="str">
            <v>SNIES</v>
          </cell>
          <cell r="G1036">
            <v>24</v>
          </cell>
          <cell r="H1036" t="str">
            <v>EP Beyla matériels didactiques</v>
          </cell>
          <cell r="I1036" t="str">
            <v>SNIES</v>
          </cell>
          <cell r="K1036" t="str">
            <v>BAD ED IV</v>
          </cell>
          <cell r="L1036" t="str">
            <v>AOI</v>
          </cell>
          <cell r="P1036">
            <v>0</v>
          </cell>
          <cell r="Q1036" t="str">
            <v>lot</v>
          </cell>
          <cell r="S1036">
            <v>250060.26112075738</v>
          </cell>
          <cell r="T1036">
            <v>1</v>
          </cell>
          <cell r="U1036">
            <v>0</v>
          </cell>
          <cell r="V1036">
            <v>0</v>
          </cell>
          <cell r="W1036">
            <v>0</v>
          </cell>
          <cell r="X1036">
            <v>0</v>
          </cell>
          <cell r="Y1036">
            <v>0</v>
          </cell>
          <cell r="Z1036">
            <v>0</v>
          </cell>
          <cell r="AA1036">
            <v>0</v>
          </cell>
          <cell r="AB1036">
            <v>0</v>
          </cell>
          <cell r="AC1036">
            <v>0</v>
          </cell>
          <cell r="AD1036">
            <v>0</v>
          </cell>
          <cell r="AE1036">
            <v>0</v>
          </cell>
          <cell r="AF1036">
            <v>0</v>
          </cell>
          <cell r="AG1036">
            <v>0</v>
          </cell>
          <cell r="AH1036">
            <v>0</v>
          </cell>
        </row>
        <row r="1037">
          <cell r="B1037" t="str">
            <v>SNIES</v>
          </cell>
          <cell r="C1037" t="str">
            <v>B1A</v>
          </cell>
          <cell r="D1037" t="str">
            <v>B1AA</v>
          </cell>
          <cell r="E1037" t="str">
            <v>EP/YOMO</v>
          </cell>
          <cell r="F1037" t="str">
            <v>SNIES</v>
          </cell>
          <cell r="G1037">
            <v>24</v>
          </cell>
          <cell r="H1037" t="str">
            <v>EP Yomou matériels didactiques</v>
          </cell>
          <cell r="I1037" t="str">
            <v>SNIES</v>
          </cell>
          <cell r="K1037" t="str">
            <v>BAD ED IV</v>
          </cell>
          <cell r="L1037" t="str">
            <v>AOI</v>
          </cell>
          <cell r="P1037">
            <v>0</v>
          </cell>
          <cell r="Q1037" t="str">
            <v>lot</v>
          </cell>
          <cell r="S1037">
            <v>250060.26112075738</v>
          </cell>
          <cell r="T1037">
            <v>1</v>
          </cell>
          <cell r="U1037">
            <v>0</v>
          </cell>
          <cell r="V1037">
            <v>0</v>
          </cell>
          <cell r="W1037">
            <v>0</v>
          </cell>
          <cell r="X1037">
            <v>0</v>
          </cell>
          <cell r="Y1037">
            <v>0</v>
          </cell>
          <cell r="Z1037">
            <v>0</v>
          </cell>
          <cell r="AA1037">
            <v>0</v>
          </cell>
          <cell r="AB1037">
            <v>0</v>
          </cell>
          <cell r="AC1037">
            <v>0</v>
          </cell>
          <cell r="AD1037">
            <v>0</v>
          </cell>
          <cell r="AE1037">
            <v>0</v>
          </cell>
          <cell r="AF1037">
            <v>0</v>
          </cell>
          <cell r="AG1037">
            <v>0</v>
          </cell>
          <cell r="AH1037">
            <v>0</v>
          </cell>
        </row>
        <row r="1038">
          <cell r="B1038" t="str">
            <v>SNIES</v>
          </cell>
          <cell r="C1038" t="str">
            <v>B1A</v>
          </cell>
          <cell r="D1038" t="str">
            <v>B1AA</v>
          </cell>
          <cell r="E1038" t="str">
            <v>EP/MAMO</v>
          </cell>
          <cell r="F1038" t="str">
            <v>SNIES</v>
          </cell>
          <cell r="G1038">
            <v>24</v>
          </cell>
          <cell r="H1038" t="str">
            <v>EP Mamou matériels didactiques</v>
          </cell>
          <cell r="I1038" t="str">
            <v>SNIES</v>
          </cell>
          <cell r="K1038" t="str">
            <v>BAD ED IV</v>
          </cell>
          <cell r="L1038" t="str">
            <v>AOI</v>
          </cell>
          <cell r="P1038">
            <v>0</v>
          </cell>
          <cell r="Q1038" t="str">
            <v>lot</v>
          </cell>
          <cell r="S1038">
            <v>250060.26112075738</v>
          </cell>
          <cell r="T1038">
            <v>1</v>
          </cell>
          <cell r="U1038">
            <v>0</v>
          </cell>
          <cell r="V1038">
            <v>0</v>
          </cell>
          <cell r="W1038">
            <v>0</v>
          </cell>
          <cell r="X1038">
            <v>0</v>
          </cell>
          <cell r="Y1038">
            <v>0</v>
          </cell>
          <cell r="Z1038">
            <v>0</v>
          </cell>
          <cell r="AA1038">
            <v>0</v>
          </cell>
          <cell r="AB1038">
            <v>0</v>
          </cell>
          <cell r="AC1038">
            <v>0</v>
          </cell>
          <cell r="AD1038">
            <v>0</v>
          </cell>
          <cell r="AE1038">
            <v>0</v>
          </cell>
          <cell r="AF1038">
            <v>0</v>
          </cell>
          <cell r="AG1038">
            <v>0</v>
          </cell>
          <cell r="AH1038">
            <v>0</v>
          </cell>
        </row>
        <row r="1039">
          <cell r="B1039" t="str">
            <v>SNIES</v>
          </cell>
          <cell r="C1039" t="str">
            <v>B1A</v>
          </cell>
          <cell r="D1039" t="str">
            <v>B1AA</v>
          </cell>
          <cell r="E1039" t="str">
            <v>EP/DALA</v>
          </cell>
          <cell r="F1039" t="str">
            <v>SNIES</v>
          </cell>
          <cell r="G1039">
            <v>24</v>
          </cell>
          <cell r="H1039" t="str">
            <v>EP Dalaba matériels didactiques</v>
          </cell>
          <cell r="I1039" t="str">
            <v>SNIES</v>
          </cell>
          <cell r="K1039" t="str">
            <v>BAD ED IV</v>
          </cell>
          <cell r="L1039" t="str">
            <v>AOI</v>
          </cell>
          <cell r="P1039">
            <v>0</v>
          </cell>
          <cell r="Q1039" t="str">
            <v>lot</v>
          </cell>
          <cell r="S1039">
            <v>250060.26112075738</v>
          </cell>
          <cell r="T1039">
            <v>1</v>
          </cell>
          <cell r="U1039">
            <v>0</v>
          </cell>
          <cell r="V1039">
            <v>0</v>
          </cell>
          <cell r="W1039">
            <v>0</v>
          </cell>
          <cell r="X1039">
            <v>0</v>
          </cell>
          <cell r="Y1039">
            <v>0</v>
          </cell>
          <cell r="Z1039">
            <v>0</v>
          </cell>
          <cell r="AA1039">
            <v>0</v>
          </cell>
          <cell r="AB1039">
            <v>0</v>
          </cell>
          <cell r="AC1039">
            <v>0</v>
          </cell>
          <cell r="AD1039">
            <v>0</v>
          </cell>
          <cell r="AE1039">
            <v>0</v>
          </cell>
          <cell r="AF1039">
            <v>0</v>
          </cell>
          <cell r="AG1039">
            <v>0</v>
          </cell>
          <cell r="AH1039">
            <v>0</v>
          </cell>
        </row>
        <row r="1040">
          <cell r="B1040" t="str">
            <v>SNIES</v>
          </cell>
          <cell r="C1040" t="str">
            <v>B1A</v>
          </cell>
          <cell r="D1040" t="str">
            <v>B1AA</v>
          </cell>
          <cell r="E1040" t="str">
            <v>EP/PITA</v>
          </cell>
          <cell r="F1040" t="str">
            <v>SNIES</v>
          </cell>
          <cell r="G1040">
            <v>24</v>
          </cell>
          <cell r="H1040" t="str">
            <v>EP Pita matériels didactiques</v>
          </cell>
          <cell r="I1040" t="str">
            <v>SNIES</v>
          </cell>
          <cell r="K1040" t="str">
            <v>BAD ED IV</v>
          </cell>
          <cell r="L1040" t="str">
            <v>AOI</v>
          </cell>
          <cell r="P1040">
            <v>0</v>
          </cell>
          <cell r="Q1040" t="str">
            <v>lot</v>
          </cell>
          <cell r="S1040">
            <v>250060.26112075738</v>
          </cell>
          <cell r="T1040">
            <v>1</v>
          </cell>
          <cell r="U1040">
            <v>0</v>
          </cell>
          <cell r="V1040">
            <v>0</v>
          </cell>
          <cell r="W1040">
            <v>0</v>
          </cell>
          <cell r="X1040">
            <v>0</v>
          </cell>
          <cell r="Y1040">
            <v>0</v>
          </cell>
          <cell r="Z1040">
            <v>0</v>
          </cell>
          <cell r="AA1040">
            <v>0</v>
          </cell>
          <cell r="AB1040">
            <v>0</v>
          </cell>
          <cell r="AC1040">
            <v>0</v>
          </cell>
          <cell r="AD1040">
            <v>0</v>
          </cell>
          <cell r="AE1040">
            <v>0</v>
          </cell>
          <cell r="AF1040">
            <v>0</v>
          </cell>
          <cell r="AG1040">
            <v>0</v>
          </cell>
          <cell r="AH1040">
            <v>0</v>
          </cell>
        </row>
        <row r="1041">
          <cell r="B1041" t="str">
            <v>SNIES</v>
          </cell>
          <cell r="C1041" t="str">
            <v>B1A</v>
          </cell>
          <cell r="D1041" t="str">
            <v>B1AA</v>
          </cell>
          <cell r="E1041" t="str">
            <v>EP/FARA</v>
          </cell>
          <cell r="F1041" t="str">
            <v>SNIES</v>
          </cell>
          <cell r="G1041">
            <v>24</v>
          </cell>
          <cell r="H1041" t="str">
            <v>EP Faranah matériels didactiques</v>
          </cell>
          <cell r="I1041" t="str">
            <v>SNIES</v>
          </cell>
          <cell r="K1041" t="str">
            <v>BAD ED IV</v>
          </cell>
          <cell r="L1041" t="str">
            <v>AOI</v>
          </cell>
          <cell r="P1041">
            <v>0</v>
          </cell>
          <cell r="Q1041" t="str">
            <v>lot</v>
          </cell>
          <cell r="S1041">
            <v>250060.26112075738</v>
          </cell>
          <cell r="T1041">
            <v>1</v>
          </cell>
          <cell r="U1041">
            <v>0</v>
          </cell>
          <cell r="V1041">
            <v>0</v>
          </cell>
          <cell r="W1041">
            <v>0</v>
          </cell>
          <cell r="X1041">
            <v>0</v>
          </cell>
          <cell r="Y1041">
            <v>0</v>
          </cell>
          <cell r="Z1041">
            <v>0</v>
          </cell>
          <cell r="AA1041">
            <v>0</v>
          </cell>
          <cell r="AB1041">
            <v>0</v>
          </cell>
          <cell r="AC1041">
            <v>0</v>
          </cell>
          <cell r="AD1041">
            <v>0</v>
          </cell>
          <cell r="AE1041">
            <v>0</v>
          </cell>
          <cell r="AF1041">
            <v>0</v>
          </cell>
          <cell r="AG1041">
            <v>0</v>
          </cell>
          <cell r="AH1041">
            <v>0</v>
          </cell>
        </row>
        <row r="1042">
          <cell r="B1042" t="str">
            <v>SNIES</v>
          </cell>
          <cell r="C1042" t="str">
            <v>B1A</v>
          </cell>
          <cell r="D1042" t="str">
            <v>B1AA</v>
          </cell>
          <cell r="E1042" t="str">
            <v>EP/DABO</v>
          </cell>
          <cell r="F1042" t="str">
            <v>SNIES</v>
          </cell>
          <cell r="G1042">
            <v>24</v>
          </cell>
          <cell r="H1042" t="str">
            <v>EP Dabola matériels didactiques</v>
          </cell>
          <cell r="I1042" t="str">
            <v>SNIES</v>
          </cell>
          <cell r="K1042" t="str">
            <v>BAD ED IV</v>
          </cell>
          <cell r="L1042" t="str">
            <v>AOI</v>
          </cell>
          <cell r="P1042">
            <v>0</v>
          </cell>
          <cell r="Q1042" t="str">
            <v>lot</v>
          </cell>
          <cell r="S1042">
            <v>250060.26112075738</v>
          </cell>
          <cell r="T1042">
            <v>1</v>
          </cell>
          <cell r="U1042">
            <v>0</v>
          </cell>
          <cell r="V1042">
            <v>0</v>
          </cell>
          <cell r="W1042">
            <v>0</v>
          </cell>
          <cell r="X1042">
            <v>0</v>
          </cell>
          <cell r="Y1042">
            <v>0</v>
          </cell>
          <cell r="Z1042">
            <v>0</v>
          </cell>
          <cell r="AA1042">
            <v>0</v>
          </cell>
          <cell r="AB1042">
            <v>0</v>
          </cell>
          <cell r="AC1042">
            <v>0</v>
          </cell>
          <cell r="AD1042">
            <v>0</v>
          </cell>
          <cell r="AE1042">
            <v>0</v>
          </cell>
          <cell r="AF1042">
            <v>0</v>
          </cell>
          <cell r="AG1042">
            <v>0</v>
          </cell>
          <cell r="AH1042">
            <v>0</v>
          </cell>
        </row>
        <row r="1043">
          <cell r="B1043" t="str">
            <v>SNIES</v>
          </cell>
          <cell r="C1043" t="str">
            <v>B1A</v>
          </cell>
          <cell r="D1043" t="str">
            <v>B1AA</v>
          </cell>
          <cell r="E1043" t="str">
            <v>EP/KISS</v>
          </cell>
          <cell r="F1043" t="str">
            <v>SNIES</v>
          </cell>
          <cell r="G1043">
            <v>24</v>
          </cell>
          <cell r="H1043" t="str">
            <v>EP Kissidougou matériels didactiques</v>
          </cell>
          <cell r="I1043" t="str">
            <v>SNIES</v>
          </cell>
          <cell r="K1043" t="str">
            <v>BAD ED IV</v>
          </cell>
          <cell r="L1043" t="str">
            <v>AOI</v>
          </cell>
          <cell r="P1043">
            <v>0</v>
          </cell>
          <cell r="Q1043" t="str">
            <v>lot</v>
          </cell>
          <cell r="S1043">
            <v>250060.26112075738</v>
          </cell>
          <cell r="T1043">
            <v>1</v>
          </cell>
          <cell r="U1043">
            <v>0</v>
          </cell>
          <cell r="V1043">
            <v>0</v>
          </cell>
          <cell r="W1043">
            <v>0</v>
          </cell>
          <cell r="X1043">
            <v>0</v>
          </cell>
          <cell r="Y1043">
            <v>0</v>
          </cell>
          <cell r="Z1043">
            <v>0</v>
          </cell>
          <cell r="AA1043">
            <v>0</v>
          </cell>
          <cell r="AB1043">
            <v>0</v>
          </cell>
          <cell r="AC1043">
            <v>0</v>
          </cell>
          <cell r="AD1043">
            <v>0</v>
          </cell>
          <cell r="AE1043">
            <v>0</v>
          </cell>
          <cell r="AF1043">
            <v>0</v>
          </cell>
          <cell r="AG1043">
            <v>0</v>
          </cell>
          <cell r="AH1043">
            <v>0</v>
          </cell>
        </row>
        <row r="1044">
          <cell r="B1044" t="str">
            <v>SNIES</v>
          </cell>
          <cell r="C1044" t="str">
            <v>B1A</v>
          </cell>
          <cell r="D1044" t="str">
            <v>B1AA</v>
          </cell>
          <cell r="E1044" t="str">
            <v>EP/DING</v>
          </cell>
          <cell r="F1044" t="str">
            <v>SNIES</v>
          </cell>
          <cell r="G1044">
            <v>24</v>
          </cell>
          <cell r="H1044" t="str">
            <v>EP Dinguiraye matériels didactiques</v>
          </cell>
          <cell r="I1044" t="str">
            <v>SNIES</v>
          </cell>
          <cell r="K1044" t="str">
            <v>BAD ED IV</v>
          </cell>
          <cell r="L1044" t="str">
            <v>AOI</v>
          </cell>
          <cell r="P1044">
            <v>0</v>
          </cell>
          <cell r="Q1044" t="str">
            <v>lot</v>
          </cell>
          <cell r="S1044">
            <v>250060.26112075738</v>
          </cell>
          <cell r="T1044">
            <v>1</v>
          </cell>
          <cell r="U1044">
            <v>0</v>
          </cell>
          <cell r="V1044">
            <v>0</v>
          </cell>
          <cell r="W1044">
            <v>0</v>
          </cell>
          <cell r="X1044">
            <v>0</v>
          </cell>
          <cell r="Y1044">
            <v>0</v>
          </cell>
          <cell r="Z1044">
            <v>0</v>
          </cell>
          <cell r="AA1044">
            <v>0</v>
          </cell>
          <cell r="AB1044">
            <v>0</v>
          </cell>
          <cell r="AC1044">
            <v>0</v>
          </cell>
          <cell r="AD1044">
            <v>0</v>
          </cell>
          <cell r="AE1044">
            <v>0</v>
          </cell>
          <cell r="AF1044">
            <v>0</v>
          </cell>
          <cell r="AG1044">
            <v>0</v>
          </cell>
          <cell r="AH1044">
            <v>0</v>
          </cell>
        </row>
        <row r="1045">
          <cell r="B1045" t="str">
            <v>SNIES</v>
          </cell>
          <cell r="C1045" t="str">
            <v>B1A</v>
          </cell>
          <cell r="D1045" t="str">
            <v>B1AA</v>
          </cell>
          <cell r="E1045" t="str">
            <v>EP/KANK</v>
          </cell>
          <cell r="F1045" t="str">
            <v>SNIES</v>
          </cell>
          <cell r="G1045">
            <v>24</v>
          </cell>
          <cell r="H1045" t="str">
            <v>EP Kankan matériels didactiques</v>
          </cell>
          <cell r="I1045" t="str">
            <v>SNIES</v>
          </cell>
          <cell r="K1045" t="str">
            <v>BAD ED IV</v>
          </cell>
          <cell r="L1045" t="str">
            <v>AOI</v>
          </cell>
          <cell r="P1045">
            <v>0</v>
          </cell>
          <cell r="Q1045" t="str">
            <v>lot</v>
          </cell>
          <cell r="S1045">
            <v>250060.26112075738</v>
          </cell>
          <cell r="T1045">
            <v>1</v>
          </cell>
          <cell r="U1045">
            <v>0</v>
          </cell>
          <cell r="V1045">
            <v>0</v>
          </cell>
          <cell r="W1045">
            <v>0</v>
          </cell>
          <cell r="X1045">
            <v>0</v>
          </cell>
          <cell r="Y1045">
            <v>0</v>
          </cell>
          <cell r="Z1045">
            <v>0</v>
          </cell>
          <cell r="AA1045">
            <v>0</v>
          </cell>
          <cell r="AB1045">
            <v>0</v>
          </cell>
          <cell r="AC1045">
            <v>0</v>
          </cell>
          <cell r="AD1045">
            <v>0</v>
          </cell>
          <cell r="AE1045">
            <v>0</v>
          </cell>
          <cell r="AF1045">
            <v>0</v>
          </cell>
          <cell r="AG1045">
            <v>0</v>
          </cell>
          <cell r="AH1045">
            <v>0</v>
          </cell>
        </row>
        <row r="1046">
          <cell r="B1046" t="str">
            <v>SNIES</v>
          </cell>
          <cell r="C1046" t="str">
            <v>B1A</v>
          </cell>
          <cell r="D1046" t="str">
            <v>B1AA</v>
          </cell>
          <cell r="E1046" t="str">
            <v>EP/KOUR</v>
          </cell>
          <cell r="F1046" t="str">
            <v>SNIES</v>
          </cell>
          <cell r="G1046">
            <v>24</v>
          </cell>
          <cell r="H1046" t="str">
            <v>EP Kouroussa matériels didactiques</v>
          </cell>
          <cell r="I1046" t="str">
            <v>SNIES</v>
          </cell>
          <cell r="K1046" t="str">
            <v>BAD ED IV</v>
          </cell>
          <cell r="L1046" t="str">
            <v>AOI</v>
          </cell>
          <cell r="P1046">
            <v>0</v>
          </cell>
          <cell r="Q1046" t="str">
            <v>lot</v>
          </cell>
          <cell r="S1046">
            <v>250060.26112075738</v>
          </cell>
          <cell r="T1046">
            <v>1</v>
          </cell>
          <cell r="U1046">
            <v>0</v>
          </cell>
          <cell r="V1046">
            <v>0</v>
          </cell>
          <cell r="W1046">
            <v>0</v>
          </cell>
          <cell r="X1046">
            <v>0</v>
          </cell>
          <cell r="Y1046">
            <v>0</v>
          </cell>
          <cell r="Z1046">
            <v>0</v>
          </cell>
          <cell r="AA1046">
            <v>0</v>
          </cell>
          <cell r="AB1046">
            <v>0</v>
          </cell>
          <cell r="AC1046">
            <v>0</v>
          </cell>
          <cell r="AD1046">
            <v>0</v>
          </cell>
          <cell r="AE1046">
            <v>0</v>
          </cell>
          <cell r="AF1046">
            <v>0</v>
          </cell>
          <cell r="AG1046">
            <v>0</v>
          </cell>
          <cell r="AH1046">
            <v>0</v>
          </cell>
        </row>
        <row r="1047">
          <cell r="B1047" t="str">
            <v>SNIES</v>
          </cell>
          <cell r="C1047" t="str">
            <v>B1A</v>
          </cell>
          <cell r="D1047" t="str">
            <v>B1AA</v>
          </cell>
          <cell r="E1047" t="str">
            <v>EP/MAND</v>
          </cell>
          <cell r="F1047" t="str">
            <v>SNIES</v>
          </cell>
          <cell r="G1047">
            <v>24</v>
          </cell>
          <cell r="H1047" t="str">
            <v>EP Mandiana matériels didactiques</v>
          </cell>
          <cell r="I1047" t="str">
            <v>SNIES</v>
          </cell>
          <cell r="K1047" t="str">
            <v>BAD ED IV</v>
          </cell>
          <cell r="L1047" t="str">
            <v>AOI</v>
          </cell>
          <cell r="P1047">
            <v>0</v>
          </cell>
          <cell r="Q1047" t="str">
            <v>lot</v>
          </cell>
          <cell r="S1047">
            <v>250060.26112075738</v>
          </cell>
          <cell r="T1047">
            <v>1</v>
          </cell>
          <cell r="U1047">
            <v>0</v>
          </cell>
          <cell r="V1047">
            <v>0</v>
          </cell>
          <cell r="W1047">
            <v>0</v>
          </cell>
          <cell r="X1047">
            <v>0</v>
          </cell>
          <cell r="Y1047">
            <v>0</v>
          </cell>
          <cell r="Z1047">
            <v>0</v>
          </cell>
          <cell r="AA1047">
            <v>0</v>
          </cell>
          <cell r="AB1047">
            <v>0</v>
          </cell>
          <cell r="AC1047">
            <v>0</v>
          </cell>
          <cell r="AD1047">
            <v>0</v>
          </cell>
          <cell r="AE1047">
            <v>0</v>
          </cell>
          <cell r="AF1047">
            <v>0</v>
          </cell>
          <cell r="AG1047">
            <v>0</v>
          </cell>
          <cell r="AH1047">
            <v>0</v>
          </cell>
        </row>
        <row r="1048">
          <cell r="B1048" t="str">
            <v>SNIES</v>
          </cell>
          <cell r="C1048" t="str">
            <v>B1A</v>
          </cell>
          <cell r="D1048" t="str">
            <v>B1AA</v>
          </cell>
          <cell r="E1048" t="str">
            <v>EP/SIGU</v>
          </cell>
          <cell r="F1048" t="str">
            <v>SNIES</v>
          </cell>
          <cell r="G1048">
            <v>24</v>
          </cell>
          <cell r="H1048" t="str">
            <v>EP Siguiri matériels didactiques</v>
          </cell>
          <cell r="I1048" t="str">
            <v>SNIES</v>
          </cell>
          <cell r="K1048" t="str">
            <v>BAD ED IV</v>
          </cell>
          <cell r="L1048" t="str">
            <v>AOI</v>
          </cell>
          <cell r="P1048">
            <v>0</v>
          </cell>
          <cell r="Q1048" t="str">
            <v>lot</v>
          </cell>
          <cell r="S1048">
            <v>250060.26112075738</v>
          </cell>
          <cell r="T1048">
            <v>1</v>
          </cell>
          <cell r="U1048">
            <v>0</v>
          </cell>
          <cell r="V1048">
            <v>0</v>
          </cell>
          <cell r="W1048">
            <v>0</v>
          </cell>
          <cell r="X1048">
            <v>0</v>
          </cell>
          <cell r="Y1048">
            <v>0</v>
          </cell>
          <cell r="Z1048">
            <v>0</v>
          </cell>
          <cell r="AA1048">
            <v>0</v>
          </cell>
          <cell r="AB1048">
            <v>0</v>
          </cell>
          <cell r="AC1048">
            <v>0</v>
          </cell>
          <cell r="AD1048">
            <v>0</v>
          </cell>
          <cell r="AE1048">
            <v>0</v>
          </cell>
          <cell r="AF1048">
            <v>0</v>
          </cell>
          <cell r="AG1048">
            <v>0</v>
          </cell>
          <cell r="AH1048">
            <v>0</v>
          </cell>
        </row>
        <row r="1049">
          <cell r="B1049" t="str">
            <v>SNIES</v>
          </cell>
          <cell r="C1049" t="str">
            <v>B1A</v>
          </cell>
          <cell r="D1049" t="str">
            <v>B1AA</v>
          </cell>
          <cell r="E1049" t="str">
            <v>EP/KERO</v>
          </cell>
          <cell r="F1049" t="str">
            <v>SNIES</v>
          </cell>
          <cell r="G1049">
            <v>24</v>
          </cell>
          <cell r="H1049" t="str">
            <v>EP Kérouané matériels didactiques</v>
          </cell>
          <cell r="I1049" t="str">
            <v>SNIES</v>
          </cell>
          <cell r="K1049" t="str">
            <v>BAD ED IV</v>
          </cell>
          <cell r="L1049" t="str">
            <v>AOI</v>
          </cell>
          <cell r="P1049">
            <v>0</v>
          </cell>
          <cell r="Q1049" t="str">
            <v>lot</v>
          </cell>
          <cell r="S1049">
            <v>250060.26112075738</v>
          </cell>
          <cell r="T1049">
            <v>1</v>
          </cell>
          <cell r="U1049">
            <v>0</v>
          </cell>
          <cell r="V1049">
            <v>0</v>
          </cell>
          <cell r="W1049">
            <v>0</v>
          </cell>
          <cell r="X1049">
            <v>0</v>
          </cell>
          <cell r="Y1049">
            <v>0</v>
          </cell>
          <cell r="Z1049">
            <v>0</v>
          </cell>
          <cell r="AA1049">
            <v>0</v>
          </cell>
          <cell r="AB1049">
            <v>0</v>
          </cell>
          <cell r="AC1049">
            <v>0</v>
          </cell>
          <cell r="AD1049">
            <v>0</v>
          </cell>
          <cell r="AE1049">
            <v>0</v>
          </cell>
          <cell r="AF1049">
            <v>0</v>
          </cell>
          <cell r="AG1049">
            <v>0</v>
          </cell>
          <cell r="AH1049">
            <v>0</v>
          </cell>
        </row>
        <row r="1050">
          <cell r="B1050" t="str">
            <v>SNIES</v>
          </cell>
          <cell r="C1050" t="str">
            <v>B1A</v>
          </cell>
          <cell r="D1050" t="str">
            <v>B1AA</v>
          </cell>
          <cell r="E1050" t="str">
            <v>EP/MALI</v>
          </cell>
          <cell r="F1050" t="str">
            <v>SNIES</v>
          </cell>
          <cell r="G1050">
            <v>24</v>
          </cell>
          <cell r="H1050" t="str">
            <v>EP Mali matériels didactiques</v>
          </cell>
          <cell r="I1050" t="str">
            <v>SNIES</v>
          </cell>
          <cell r="K1050" t="str">
            <v>BAD ED IV</v>
          </cell>
          <cell r="L1050" t="str">
            <v>AOI</v>
          </cell>
          <cell r="P1050">
            <v>0</v>
          </cell>
          <cell r="Q1050" t="str">
            <v>lot</v>
          </cell>
          <cell r="S1050">
            <v>250060.26112075738</v>
          </cell>
          <cell r="T1050">
            <v>1</v>
          </cell>
          <cell r="U1050">
            <v>0</v>
          </cell>
          <cell r="V1050">
            <v>0</v>
          </cell>
          <cell r="W1050">
            <v>0</v>
          </cell>
          <cell r="X1050">
            <v>0</v>
          </cell>
          <cell r="Y1050">
            <v>0</v>
          </cell>
          <cell r="Z1050">
            <v>0</v>
          </cell>
          <cell r="AA1050">
            <v>0</v>
          </cell>
          <cell r="AB1050">
            <v>0</v>
          </cell>
          <cell r="AC1050">
            <v>0</v>
          </cell>
          <cell r="AD1050">
            <v>0</v>
          </cell>
          <cell r="AE1050">
            <v>0</v>
          </cell>
          <cell r="AF1050">
            <v>0</v>
          </cell>
          <cell r="AG1050">
            <v>0</v>
          </cell>
          <cell r="AH1050">
            <v>0</v>
          </cell>
        </row>
        <row r="1051">
          <cell r="B1051" t="str">
            <v>SNIES</v>
          </cell>
          <cell r="C1051" t="str">
            <v>B1A</v>
          </cell>
          <cell r="D1051" t="str">
            <v>B1AA</v>
          </cell>
          <cell r="E1051" t="str">
            <v>EP/TOUG</v>
          </cell>
          <cell r="F1051" t="str">
            <v>SNIES</v>
          </cell>
          <cell r="G1051">
            <v>24</v>
          </cell>
          <cell r="H1051" t="str">
            <v>EP Tougué matériels didactiques</v>
          </cell>
          <cell r="I1051" t="str">
            <v>SNIES</v>
          </cell>
          <cell r="K1051" t="str">
            <v>BAD ED IV</v>
          </cell>
          <cell r="L1051" t="str">
            <v>AOI</v>
          </cell>
          <cell r="P1051">
            <v>0</v>
          </cell>
          <cell r="Q1051" t="str">
            <v>lot</v>
          </cell>
          <cell r="S1051">
            <v>250060.26112075738</v>
          </cell>
          <cell r="T1051">
            <v>1</v>
          </cell>
          <cell r="U1051">
            <v>0</v>
          </cell>
          <cell r="V1051">
            <v>0</v>
          </cell>
          <cell r="W1051">
            <v>0</v>
          </cell>
          <cell r="X1051">
            <v>0</v>
          </cell>
          <cell r="Y1051">
            <v>0</v>
          </cell>
          <cell r="Z1051">
            <v>0</v>
          </cell>
          <cell r="AA1051">
            <v>0</v>
          </cell>
          <cell r="AB1051">
            <v>0</v>
          </cell>
          <cell r="AC1051">
            <v>0</v>
          </cell>
          <cell r="AD1051">
            <v>0</v>
          </cell>
          <cell r="AE1051">
            <v>0</v>
          </cell>
          <cell r="AF1051">
            <v>0</v>
          </cell>
          <cell r="AG1051">
            <v>0</v>
          </cell>
          <cell r="AH1051">
            <v>0</v>
          </cell>
        </row>
        <row r="1052">
          <cell r="B1052" t="str">
            <v>SNIES</v>
          </cell>
          <cell r="C1052" t="str">
            <v>B1A</v>
          </cell>
          <cell r="D1052" t="str">
            <v>B1AA</v>
          </cell>
          <cell r="E1052" t="str">
            <v>EP/LABE</v>
          </cell>
          <cell r="F1052" t="str">
            <v>SNIES</v>
          </cell>
          <cell r="G1052">
            <v>24</v>
          </cell>
          <cell r="H1052" t="str">
            <v>EP Labé matériels didactiques</v>
          </cell>
          <cell r="I1052" t="str">
            <v>SNIES</v>
          </cell>
          <cell r="K1052" t="str">
            <v>BAD ED IV</v>
          </cell>
          <cell r="L1052" t="str">
            <v>AOI</v>
          </cell>
          <cell r="P1052">
            <v>0</v>
          </cell>
          <cell r="Q1052" t="str">
            <v>lot</v>
          </cell>
          <cell r="S1052">
            <v>250060.26112075738</v>
          </cell>
          <cell r="T1052">
            <v>1</v>
          </cell>
          <cell r="U1052">
            <v>0</v>
          </cell>
          <cell r="V1052">
            <v>0</v>
          </cell>
          <cell r="W1052">
            <v>0</v>
          </cell>
          <cell r="X1052">
            <v>0</v>
          </cell>
          <cell r="Y1052">
            <v>0</v>
          </cell>
          <cell r="Z1052">
            <v>0</v>
          </cell>
          <cell r="AA1052">
            <v>0</v>
          </cell>
          <cell r="AB1052">
            <v>0</v>
          </cell>
          <cell r="AC1052">
            <v>0</v>
          </cell>
          <cell r="AD1052">
            <v>0</v>
          </cell>
          <cell r="AE1052">
            <v>0</v>
          </cell>
          <cell r="AF1052">
            <v>0</v>
          </cell>
          <cell r="AG1052">
            <v>0</v>
          </cell>
          <cell r="AH1052">
            <v>0</v>
          </cell>
        </row>
        <row r="1053">
          <cell r="B1053" t="str">
            <v>SNIES</v>
          </cell>
          <cell r="C1053" t="str">
            <v>B1A</v>
          </cell>
          <cell r="D1053" t="str">
            <v>B1AA</v>
          </cell>
          <cell r="E1053" t="str">
            <v>EP/KOUBI</v>
          </cell>
          <cell r="F1053" t="str">
            <v>SNIES</v>
          </cell>
          <cell r="G1053">
            <v>24</v>
          </cell>
          <cell r="H1053" t="str">
            <v>EP Koubia matériels didactiques</v>
          </cell>
          <cell r="I1053" t="str">
            <v>SNIES</v>
          </cell>
          <cell r="K1053" t="str">
            <v>BAD ED IV</v>
          </cell>
          <cell r="L1053" t="str">
            <v>AOI</v>
          </cell>
          <cell r="P1053">
            <v>0</v>
          </cell>
          <cell r="Q1053" t="str">
            <v>lot</v>
          </cell>
          <cell r="S1053">
            <v>250060.26112075738</v>
          </cell>
          <cell r="T1053">
            <v>1</v>
          </cell>
          <cell r="U1053">
            <v>0</v>
          </cell>
          <cell r="V1053">
            <v>0</v>
          </cell>
          <cell r="W1053">
            <v>0</v>
          </cell>
          <cell r="X1053">
            <v>0</v>
          </cell>
          <cell r="Y1053">
            <v>0</v>
          </cell>
          <cell r="Z1053">
            <v>0</v>
          </cell>
          <cell r="AA1053">
            <v>0</v>
          </cell>
          <cell r="AB1053">
            <v>0</v>
          </cell>
          <cell r="AC1053">
            <v>0</v>
          </cell>
          <cell r="AD1053">
            <v>0</v>
          </cell>
          <cell r="AE1053">
            <v>0</v>
          </cell>
          <cell r="AF1053">
            <v>0</v>
          </cell>
          <cell r="AG1053">
            <v>0</v>
          </cell>
          <cell r="AH1053">
            <v>0</v>
          </cell>
        </row>
        <row r="1054">
          <cell r="B1054" t="str">
            <v>SNIES</v>
          </cell>
          <cell r="C1054" t="str">
            <v>B1A</v>
          </cell>
          <cell r="D1054" t="str">
            <v>B1AA</v>
          </cell>
          <cell r="E1054" t="str">
            <v>EP/LELO</v>
          </cell>
          <cell r="F1054" t="str">
            <v>SNIES</v>
          </cell>
          <cell r="G1054">
            <v>24</v>
          </cell>
          <cell r="H1054" t="str">
            <v>EP Lélouma matériels didactiques</v>
          </cell>
          <cell r="I1054" t="str">
            <v>SNIES</v>
          </cell>
          <cell r="K1054" t="str">
            <v>BAD ED IV</v>
          </cell>
          <cell r="L1054" t="str">
            <v>AOI</v>
          </cell>
          <cell r="P1054">
            <v>0</v>
          </cell>
          <cell r="Q1054" t="str">
            <v>lot</v>
          </cell>
          <cell r="S1054">
            <v>250060.26112075738</v>
          </cell>
          <cell r="T1054">
            <v>1</v>
          </cell>
          <cell r="U1054">
            <v>0</v>
          </cell>
          <cell r="V1054">
            <v>0</v>
          </cell>
          <cell r="W1054">
            <v>0</v>
          </cell>
          <cell r="X1054">
            <v>0</v>
          </cell>
          <cell r="Y1054">
            <v>0</v>
          </cell>
          <cell r="Z1054">
            <v>0</v>
          </cell>
          <cell r="AA1054">
            <v>0</v>
          </cell>
          <cell r="AB1054">
            <v>0</v>
          </cell>
          <cell r="AC1054">
            <v>0</v>
          </cell>
          <cell r="AD1054">
            <v>0</v>
          </cell>
          <cell r="AE1054">
            <v>0</v>
          </cell>
          <cell r="AF1054">
            <v>0</v>
          </cell>
          <cell r="AG1054">
            <v>0</v>
          </cell>
          <cell r="AH1054">
            <v>0</v>
          </cell>
        </row>
        <row r="1055">
          <cell r="B1055" t="str">
            <v>SNIES</v>
          </cell>
          <cell r="C1055" t="str">
            <v>B1A</v>
          </cell>
          <cell r="D1055" t="str">
            <v>B1AA</v>
          </cell>
          <cell r="E1055" t="str">
            <v>EP/KIND</v>
          </cell>
          <cell r="F1055" t="str">
            <v>SNIES</v>
          </cell>
          <cell r="G1055">
            <v>24</v>
          </cell>
          <cell r="H1055" t="str">
            <v>EP Kindia matériels didactiques</v>
          </cell>
          <cell r="I1055" t="str">
            <v>SNIES</v>
          </cell>
          <cell r="K1055" t="str">
            <v>BAD ED IV</v>
          </cell>
          <cell r="L1055" t="str">
            <v>AOI</v>
          </cell>
          <cell r="P1055">
            <v>0</v>
          </cell>
          <cell r="Q1055" t="str">
            <v>lot</v>
          </cell>
          <cell r="S1055">
            <v>250060.26112075738</v>
          </cell>
          <cell r="T1055">
            <v>1</v>
          </cell>
          <cell r="U1055">
            <v>0</v>
          </cell>
          <cell r="V1055">
            <v>0</v>
          </cell>
          <cell r="W1055">
            <v>0</v>
          </cell>
          <cell r="X1055">
            <v>0</v>
          </cell>
          <cell r="Y1055">
            <v>0</v>
          </cell>
          <cell r="Z1055">
            <v>0</v>
          </cell>
          <cell r="AA1055">
            <v>0</v>
          </cell>
          <cell r="AB1055">
            <v>0</v>
          </cell>
          <cell r="AC1055">
            <v>0</v>
          </cell>
          <cell r="AD1055">
            <v>0</v>
          </cell>
          <cell r="AE1055">
            <v>0</v>
          </cell>
          <cell r="AF1055">
            <v>0</v>
          </cell>
          <cell r="AG1055">
            <v>0</v>
          </cell>
          <cell r="AH1055">
            <v>0</v>
          </cell>
        </row>
        <row r="1056">
          <cell r="B1056" t="str">
            <v>SNIES</v>
          </cell>
          <cell r="C1056" t="str">
            <v>B1A</v>
          </cell>
          <cell r="D1056" t="str">
            <v>B1AA</v>
          </cell>
          <cell r="E1056" t="str">
            <v>EP/TELI</v>
          </cell>
          <cell r="F1056" t="str">
            <v>SNIES</v>
          </cell>
          <cell r="G1056">
            <v>24</v>
          </cell>
          <cell r="H1056" t="str">
            <v>EP Télimélé matériels didactiques</v>
          </cell>
          <cell r="I1056" t="str">
            <v>SNIES</v>
          </cell>
          <cell r="K1056" t="str">
            <v>BAD ED IV</v>
          </cell>
          <cell r="L1056" t="str">
            <v>AOI</v>
          </cell>
          <cell r="P1056">
            <v>0</v>
          </cell>
          <cell r="Q1056" t="str">
            <v>lot</v>
          </cell>
          <cell r="S1056">
            <v>250060.26112075738</v>
          </cell>
          <cell r="T1056">
            <v>1</v>
          </cell>
          <cell r="U1056">
            <v>0</v>
          </cell>
          <cell r="V1056">
            <v>0</v>
          </cell>
          <cell r="W1056">
            <v>0</v>
          </cell>
          <cell r="X1056">
            <v>0</v>
          </cell>
          <cell r="Y1056">
            <v>0</v>
          </cell>
          <cell r="Z1056">
            <v>0</v>
          </cell>
          <cell r="AA1056">
            <v>0</v>
          </cell>
          <cell r="AB1056">
            <v>0</v>
          </cell>
          <cell r="AC1056">
            <v>0</v>
          </cell>
          <cell r="AD1056">
            <v>0</v>
          </cell>
          <cell r="AE1056">
            <v>0</v>
          </cell>
          <cell r="AF1056">
            <v>0</v>
          </cell>
          <cell r="AG1056">
            <v>0</v>
          </cell>
          <cell r="AH1056">
            <v>0</v>
          </cell>
        </row>
        <row r="1057">
          <cell r="B1057" t="str">
            <v>SNIES</v>
          </cell>
          <cell r="C1057" t="str">
            <v>B1A</v>
          </cell>
          <cell r="D1057" t="str">
            <v>B1AA</v>
          </cell>
          <cell r="E1057" t="str">
            <v>EP/COYA</v>
          </cell>
          <cell r="F1057" t="str">
            <v>SNIES</v>
          </cell>
          <cell r="G1057">
            <v>24</v>
          </cell>
          <cell r="H1057" t="str">
            <v>EP Coyah matériels didactiques</v>
          </cell>
          <cell r="I1057" t="str">
            <v>SNIES</v>
          </cell>
          <cell r="K1057" t="str">
            <v>BAD ED IV</v>
          </cell>
          <cell r="L1057" t="str">
            <v>AOI</v>
          </cell>
          <cell r="P1057">
            <v>0</v>
          </cell>
          <cell r="Q1057" t="str">
            <v>lot</v>
          </cell>
          <cell r="S1057">
            <v>250060.26112075738</v>
          </cell>
          <cell r="T1057">
            <v>1</v>
          </cell>
          <cell r="U1057">
            <v>0</v>
          </cell>
          <cell r="V1057">
            <v>0</v>
          </cell>
          <cell r="W1057">
            <v>0</v>
          </cell>
          <cell r="X1057">
            <v>0</v>
          </cell>
          <cell r="Y1057">
            <v>0</v>
          </cell>
          <cell r="Z1057">
            <v>0</v>
          </cell>
          <cell r="AA1057">
            <v>0</v>
          </cell>
          <cell r="AB1057">
            <v>0</v>
          </cell>
          <cell r="AC1057">
            <v>0</v>
          </cell>
          <cell r="AD1057">
            <v>0</v>
          </cell>
          <cell r="AE1057">
            <v>0</v>
          </cell>
          <cell r="AF1057">
            <v>0</v>
          </cell>
          <cell r="AG1057">
            <v>0</v>
          </cell>
          <cell r="AH1057">
            <v>0</v>
          </cell>
        </row>
        <row r="1058">
          <cell r="B1058" t="str">
            <v>SNIES</v>
          </cell>
          <cell r="C1058" t="str">
            <v>B1A</v>
          </cell>
          <cell r="D1058" t="str">
            <v>B1AA</v>
          </cell>
          <cell r="E1058" t="str">
            <v>EP/FORE</v>
          </cell>
          <cell r="F1058" t="str">
            <v>SNIES</v>
          </cell>
          <cell r="G1058">
            <v>24</v>
          </cell>
          <cell r="H1058" t="str">
            <v>EP Forécariah matériels didactiques</v>
          </cell>
          <cell r="I1058" t="str">
            <v>SNIES</v>
          </cell>
          <cell r="K1058" t="str">
            <v>BAD ED IV</v>
          </cell>
          <cell r="L1058" t="str">
            <v>AOI</v>
          </cell>
          <cell r="P1058">
            <v>0</v>
          </cell>
          <cell r="Q1058" t="str">
            <v>lot</v>
          </cell>
          <cell r="S1058">
            <v>250060.26112075738</v>
          </cell>
          <cell r="T1058">
            <v>1</v>
          </cell>
          <cell r="U1058">
            <v>0</v>
          </cell>
          <cell r="V1058">
            <v>0</v>
          </cell>
          <cell r="W1058">
            <v>0</v>
          </cell>
          <cell r="X1058">
            <v>0</v>
          </cell>
          <cell r="Y1058">
            <v>0</v>
          </cell>
          <cell r="Z1058">
            <v>0</v>
          </cell>
          <cell r="AA1058">
            <v>0</v>
          </cell>
          <cell r="AB1058">
            <v>0</v>
          </cell>
          <cell r="AC1058">
            <v>0</v>
          </cell>
          <cell r="AD1058">
            <v>0</v>
          </cell>
          <cell r="AE1058">
            <v>0</v>
          </cell>
          <cell r="AF1058">
            <v>0</v>
          </cell>
          <cell r="AG1058">
            <v>0</v>
          </cell>
          <cell r="AH1058">
            <v>0</v>
          </cell>
        </row>
        <row r="1059">
          <cell r="B1059" t="str">
            <v>SNIES</v>
          </cell>
          <cell r="C1059" t="str">
            <v>B1A</v>
          </cell>
          <cell r="D1059" t="str">
            <v>B1AA</v>
          </cell>
          <cell r="E1059" t="str">
            <v>EP/DUBR</v>
          </cell>
          <cell r="F1059" t="str">
            <v>SNIES</v>
          </cell>
          <cell r="G1059">
            <v>24</v>
          </cell>
          <cell r="H1059" t="str">
            <v>EP Dubréka matériels didactiques</v>
          </cell>
          <cell r="I1059" t="str">
            <v>SNIES</v>
          </cell>
          <cell r="K1059" t="str">
            <v>BAD ED IV</v>
          </cell>
          <cell r="L1059" t="str">
            <v>AOI</v>
          </cell>
          <cell r="P1059">
            <v>0</v>
          </cell>
          <cell r="Q1059" t="str">
            <v>lot</v>
          </cell>
          <cell r="S1059">
            <v>250060.26112075738</v>
          </cell>
          <cell r="T1059">
            <v>1</v>
          </cell>
          <cell r="U1059">
            <v>0</v>
          </cell>
          <cell r="V1059">
            <v>0</v>
          </cell>
          <cell r="W1059">
            <v>0</v>
          </cell>
          <cell r="X1059">
            <v>0</v>
          </cell>
          <cell r="Y1059">
            <v>0</v>
          </cell>
          <cell r="Z1059">
            <v>0</v>
          </cell>
          <cell r="AA1059">
            <v>0</v>
          </cell>
          <cell r="AB1059">
            <v>0</v>
          </cell>
          <cell r="AC1059">
            <v>0</v>
          </cell>
          <cell r="AD1059">
            <v>0</v>
          </cell>
          <cell r="AE1059">
            <v>0</v>
          </cell>
          <cell r="AF1059">
            <v>0</v>
          </cell>
          <cell r="AG1059">
            <v>0</v>
          </cell>
          <cell r="AH1059">
            <v>0</v>
          </cell>
        </row>
        <row r="1060">
          <cell r="B1060" t="str">
            <v>SNIES</v>
          </cell>
          <cell r="C1060" t="str">
            <v>B1A</v>
          </cell>
          <cell r="D1060" t="str">
            <v>B1AA</v>
          </cell>
          <cell r="E1060" t="str">
            <v>EP/BOKE</v>
          </cell>
          <cell r="F1060" t="str">
            <v>SNIES</v>
          </cell>
          <cell r="G1060">
            <v>24</v>
          </cell>
          <cell r="H1060" t="str">
            <v>EP Boké matériels didactiques</v>
          </cell>
          <cell r="I1060" t="str">
            <v>SNIES</v>
          </cell>
          <cell r="K1060" t="str">
            <v>BAD ED IV</v>
          </cell>
          <cell r="L1060" t="str">
            <v>AOI</v>
          </cell>
          <cell r="P1060">
            <v>0</v>
          </cell>
          <cell r="Q1060" t="str">
            <v>lot</v>
          </cell>
          <cell r="S1060">
            <v>250060.26112075738</v>
          </cell>
          <cell r="T1060">
            <v>1</v>
          </cell>
          <cell r="U1060">
            <v>0</v>
          </cell>
          <cell r="V1060">
            <v>0</v>
          </cell>
          <cell r="W1060">
            <v>0</v>
          </cell>
          <cell r="X1060">
            <v>0</v>
          </cell>
          <cell r="Y1060">
            <v>0</v>
          </cell>
          <cell r="Z1060">
            <v>0</v>
          </cell>
          <cell r="AA1060">
            <v>0</v>
          </cell>
          <cell r="AB1060">
            <v>0</v>
          </cell>
          <cell r="AC1060">
            <v>0</v>
          </cell>
          <cell r="AD1060">
            <v>0</v>
          </cell>
          <cell r="AE1060">
            <v>0</v>
          </cell>
          <cell r="AF1060">
            <v>0</v>
          </cell>
          <cell r="AG1060">
            <v>0</v>
          </cell>
          <cell r="AH1060">
            <v>0</v>
          </cell>
        </row>
        <row r="1061">
          <cell r="B1061" t="str">
            <v>SNIES</v>
          </cell>
          <cell r="C1061" t="str">
            <v>B1A</v>
          </cell>
          <cell r="D1061" t="str">
            <v>B1AA</v>
          </cell>
          <cell r="E1061" t="str">
            <v>EP/BOFF</v>
          </cell>
          <cell r="F1061" t="str">
            <v>SNIES</v>
          </cell>
          <cell r="G1061">
            <v>24</v>
          </cell>
          <cell r="H1061" t="str">
            <v>EP Boffa matériels didactiques</v>
          </cell>
          <cell r="I1061" t="str">
            <v>SNIES</v>
          </cell>
          <cell r="K1061" t="str">
            <v>BAD ED IV</v>
          </cell>
          <cell r="L1061" t="str">
            <v>AOI</v>
          </cell>
          <cell r="P1061">
            <v>0</v>
          </cell>
          <cell r="Q1061" t="str">
            <v>lot</v>
          </cell>
          <cell r="S1061">
            <v>250060.26112075738</v>
          </cell>
          <cell r="T1061">
            <v>1</v>
          </cell>
          <cell r="U1061">
            <v>0</v>
          </cell>
          <cell r="V1061">
            <v>0</v>
          </cell>
          <cell r="W1061">
            <v>0</v>
          </cell>
          <cell r="X1061">
            <v>0</v>
          </cell>
          <cell r="Y1061">
            <v>0</v>
          </cell>
          <cell r="Z1061">
            <v>0</v>
          </cell>
          <cell r="AA1061">
            <v>0</v>
          </cell>
          <cell r="AB1061">
            <v>0</v>
          </cell>
          <cell r="AC1061">
            <v>0</v>
          </cell>
          <cell r="AD1061">
            <v>0</v>
          </cell>
          <cell r="AE1061">
            <v>0</v>
          </cell>
          <cell r="AF1061">
            <v>0</v>
          </cell>
          <cell r="AG1061">
            <v>0</v>
          </cell>
          <cell r="AH1061">
            <v>0</v>
          </cell>
        </row>
        <row r="1062">
          <cell r="B1062" t="str">
            <v>SNIES</v>
          </cell>
          <cell r="C1062" t="str">
            <v>B1A</v>
          </cell>
          <cell r="D1062" t="str">
            <v>B1AA</v>
          </cell>
          <cell r="E1062" t="str">
            <v>EP/FRIA</v>
          </cell>
          <cell r="F1062" t="str">
            <v>SNIES</v>
          </cell>
          <cell r="G1062">
            <v>24</v>
          </cell>
          <cell r="H1062" t="str">
            <v>EP Fria matériels didactiques</v>
          </cell>
          <cell r="I1062" t="str">
            <v>SNIES</v>
          </cell>
          <cell r="K1062" t="str">
            <v>BAD ED IV</v>
          </cell>
          <cell r="L1062" t="str">
            <v>AOI</v>
          </cell>
          <cell r="P1062">
            <v>0</v>
          </cell>
          <cell r="Q1062" t="str">
            <v>lot</v>
          </cell>
          <cell r="S1062">
            <v>250060.26112075738</v>
          </cell>
          <cell r="T1062">
            <v>1</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v>0</v>
          </cell>
        </row>
        <row r="1063">
          <cell r="B1063" t="str">
            <v>SNIES</v>
          </cell>
          <cell r="C1063" t="str">
            <v>B1A</v>
          </cell>
          <cell r="D1063" t="str">
            <v>B1AA</v>
          </cell>
          <cell r="E1063" t="str">
            <v>EP/GAOU</v>
          </cell>
          <cell r="F1063" t="str">
            <v>SNIES</v>
          </cell>
          <cell r="G1063">
            <v>24</v>
          </cell>
          <cell r="H1063" t="str">
            <v>EP Gaoual matériels didactiques</v>
          </cell>
          <cell r="I1063" t="str">
            <v>SNIES</v>
          </cell>
          <cell r="K1063" t="str">
            <v>BAD ED IV</v>
          </cell>
          <cell r="L1063" t="str">
            <v>AOI</v>
          </cell>
          <cell r="P1063">
            <v>0</v>
          </cell>
          <cell r="Q1063" t="str">
            <v>lot</v>
          </cell>
          <cell r="S1063">
            <v>250060.26112075738</v>
          </cell>
          <cell r="T1063">
            <v>1</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v>0</v>
          </cell>
        </row>
        <row r="1064">
          <cell r="B1064" t="str">
            <v>SNIES</v>
          </cell>
          <cell r="C1064" t="str">
            <v>B1A</v>
          </cell>
          <cell r="D1064" t="str">
            <v>B1AA</v>
          </cell>
          <cell r="E1064" t="str">
            <v>EP/KOUN</v>
          </cell>
          <cell r="F1064" t="str">
            <v>SNIES</v>
          </cell>
          <cell r="G1064">
            <v>24</v>
          </cell>
          <cell r="H1064" t="str">
            <v>EP Koundara matériels didactiques</v>
          </cell>
          <cell r="I1064" t="str">
            <v>SNIES</v>
          </cell>
          <cell r="K1064" t="str">
            <v>BAD ED IV</v>
          </cell>
          <cell r="L1064" t="str">
            <v>AOI</v>
          </cell>
          <cell r="P1064">
            <v>0</v>
          </cell>
          <cell r="Q1064" t="str">
            <v>lot</v>
          </cell>
          <cell r="S1064">
            <v>250060.26112075738</v>
          </cell>
          <cell r="T1064">
            <v>1</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v>0</v>
          </cell>
        </row>
        <row r="1065">
          <cell r="B1065" t="str">
            <v>SNIES</v>
          </cell>
          <cell r="C1065" t="str">
            <v>B1A</v>
          </cell>
          <cell r="D1065" t="str">
            <v>B1AA</v>
          </cell>
          <cell r="E1065" t="str">
            <v>EP/NZER</v>
          </cell>
          <cell r="F1065" t="str">
            <v>SNIES</v>
          </cell>
          <cell r="G1065">
            <v>24</v>
          </cell>
          <cell r="H1065" t="str">
            <v>EP Nzérékoré manuels et guides du primaire</v>
          </cell>
          <cell r="I1065" t="str">
            <v>SNIES</v>
          </cell>
          <cell r="K1065" t="str">
            <v>BAD ED IV</v>
          </cell>
          <cell r="L1065" t="str">
            <v>AOI</v>
          </cell>
          <cell r="P1065">
            <v>0</v>
          </cell>
          <cell r="Q1065" t="str">
            <v>lot</v>
          </cell>
          <cell r="S1065">
            <v>400639.235171979</v>
          </cell>
          <cell r="T1065">
            <v>1</v>
          </cell>
          <cell r="U1065">
            <v>0</v>
          </cell>
          <cell r="V1065">
            <v>0</v>
          </cell>
          <cell r="W1065">
            <v>0</v>
          </cell>
          <cell r="X1065">
            <v>0</v>
          </cell>
          <cell r="Y1065">
            <v>0</v>
          </cell>
          <cell r="Z1065">
            <v>0</v>
          </cell>
          <cell r="AA1065">
            <v>0</v>
          </cell>
          <cell r="AB1065">
            <v>0</v>
          </cell>
          <cell r="AC1065">
            <v>0</v>
          </cell>
          <cell r="AD1065">
            <v>0</v>
          </cell>
          <cell r="AE1065">
            <v>0</v>
          </cell>
          <cell r="AF1065">
            <v>0</v>
          </cell>
          <cell r="AG1065">
            <v>0</v>
          </cell>
          <cell r="AH1065">
            <v>0</v>
          </cell>
        </row>
        <row r="1066">
          <cell r="B1066" t="str">
            <v>SNIES</v>
          </cell>
          <cell r="C1066" t="str">
            <v>B1A</v>
          </cell>
          <cell r="D1066" t="str">
            <v>B1AA</v>
          </cell>
          <cell r="E1066" t="str">
            <v>EP/MACE</v>
          </cell>
          <cell r="F1066" t="str">
            <v>SNIES</v>
          </cell>
          <cell r="G1066">
            <v>24</v>
          </cell>
          <cell r="H1066" t="str">
            <v>EP Macenta manuels et guides du primaire</v>
          </cell>
          <cell r="I1066" t="str">
            <v>SNIES</v>
          </cell>
          <cell r="K1066" t="str">
            <v>BAD ED IV</v>
          </cell>
          <cell r="L1066" t="str">
            <v>AOI</v>
          </cell>
          <cell r="P1066">
            <v>0</v>
          </cell>
          <cell r="Q1066" t="str">
            <v>lot</v>
          </cell>
          <cell r="S1066">
            <v>400639.235171979</v>
          </cell>
          <cell r="T1066">
            <v>1</v>
          </cell>
          <cell r="U1066">
            <v>0</v>
          </cell>
          <cell r="V1066">
            <v>0</v>
          </cell>
          <cell r="W1066">
            <v>0</v>
          </cell>
          <cell r="X1066">
            <v>0</v>
          </cell>
          <cell r="Y1066">
            <v>0</v>
          </cell>
          <cell r="Z1066">
            <v>0</v>
          </cell>
          <cell r="AA1066">
            <v>0</v>
          </cell>
          <cell r="AB1066">
            <v>0</v>
          </cell>
          <cell r="AC1066">
            <v>0</v>
          </cell>
          <cell r="AD1066">
            <v>0</v>
          </cell>
          <cell r="AE1066">
            <v>0</v>
          </cell>
          <cell r="AF1066">
            <v>0</v>
          </cell>
          <cell r="AG1066">
            <v>0</v>
          </cell>
          <cell r="AH1066">
            <v>0</v>
          </cell>
        </row>
        <row r="1067">
          <cell r="B1067" t="str">
            <v>SNIES</v>
          </cell>
          <cell r="C1067" t="str">
            <v>B1A</v>
          </cell>
          <cell r="D1067" t="str">
            <v>B1AA</v>
          </cell>
          <cell r="E1067" t="str">
            <v>EP/GUEC</v>
          </cell>
          <cell r="F1067" t="str">
            <v>SNIES</v>
          </cell>
          <cell r="G1067">
            <v>24</v>
          </cell>
          <cell r="H1067" t="str">
            <v>EP Guéckédou manuels et guides du primaire</v>
          </cell>
          <cell r="I1067" t="str">
            <v>SNIES</v>
          </cell>
          <cell r="K1067" t="str">
            <v>BAD ED IV</v>
          </cell>
          <cell r="L1067" t="str">
            <v>AOI</v>
          </cell>
          <cell r="P1067">
            <v>0</v>
          </cell>
          <cell r="Q1067" t="str">
            <v>lot</v>
          </cell>
          <cell r="S1067">
            <v>400639.235171979</v>
          </cell>
          <cell r="T1067">
            <v>1</v>
          </cell>
          <cell r="U1067">
            <v>0</v>
          </cell>
          <cell r="V1067">
            <v>0</v>
          </cell>
          <cell r="W1067">
            <v>0</v>
          </cell>
          <cell r="X1067">
            <v>0</v>
          </cell>
          <cell r="Y1067">
            <v>0</v>
          </cell>
          <cell r="Z1067">
            <v>0</v>
          </cell>
          <cell r="AA1067">
            <v>0</v>
          </cell>
          <cell r="AB1067">
            <v>0</v>
          </cell>
          <cell r="AC1067">
            <v>0</v>
          </cell>
          <cell r="AD1067">
            <v>0</v>
          </cell>
          <cell r="AE1067">
            <v>0</v>
          </cell>
          <cell r="AF1067">
            <v>0</v>
          </cell>
          <cell r="AG1067">
            <v>0</v>
          </cell>
          <cell r="AH1067">
            <v>0</v>
          </cell>
        </row>
        <row r="1068">
          <cell r="B1068" t="str">
            <v>SNIES</v>
          </cell>
          <cell r="C1068" t="str">
            <v>B1A</v>
          </cell>
          <cell r="D1068" t="str">
            <v>B1AA</v>
          </cell>
          <cell r="E1068" t="str">
            <v>EP/LOLA</v>
          </cell>
          <cell r="F1068" t="str">
            <v>SNIES</v>
          </cell>
          <cell r="G1068">
            <v>24</v>
          </cell>
          <cell r="H1068" t="str">
            <v>EP Lola manuels et guides du primaire</v>
          </cell>
          <cell r="I1068" t="str">
            <v>SNIES</v>
          </cell>
          <cell r="K1068" t="str">
            <v>BAD ED IV</v>
          </cell>
          <cell r="L1068" t="str">
            <v>AOI</v>
          </cell>
          <cell r="P1068">
            <v>0</v>
          </cell>
          <cell r="Q1068" t="str">
            <v>lot</v>
          </cell>
          <cell r="S1068">
            <v>400639.235171979</v>
          </cell>
          <cell r="T1068">
            <v>1</v>
          </cell>
          <cell r="U1068">
            <v>0</v>
          </cell>
          <cell r="V1068">
            <v>0</v>
          </cell>
          <cell r="W1068">
            <v>0</v>
          </cell>
          <cell r="X1068">
            <v>0</v>
          </cell>
          <cell r="Y1068">
            <v>0</v>
          </cell>
          <cell r="Z1068">
            <v>0</v>
          </cell>
          <cell r="AA1068">
            <v>0</v>
          </cell>
          <cell r="AB1068">
            <v>0</v>
          </cell>
          <cell r="AC1068">
            <v>0</v>
          </cell>
          <cell r="AD1068">
            <v>0</v>
          </cell>
          <cell r="AE1068">
            <v>0</v>
          </cell>
          <cell r="AF1068">
            <v>0</v>
          </cell>
          <cell r="AG1068">
            <v>0</v>
          </cell>
          <cell r="AH1068">
            <v>0</v>
          </cell>
        </row>
        <row r="1069">
          <cell r="B1069" t="str">
            <v>SNIES</v>
          </cell>
          <cell r="C1069" t="str">
            <v>B1A</v>
          </cell>
          <cell r="D1069" t="str">
            <v>B1AA</v>
          </cell>
          <cell r="E1069" t="str">
            <v>EP/BEYL</v>
          </cell>
          <cell r="F1069" t="str">
            <v>SNIES</v>
          </cell>
          <cell r="G1069">
            <v>24</v>
          </cell>
          <cell r="H1069" t="str">
            <v>EP Beyla manuels et guides du primaire</v>
          </cell>
          <cell r="I1069" t="str">
            <v>SNIES</v>
          </cell>
          <cell r="K1069" t="str">
            <v>BAD ED IV</v>
          </cell>
          <cell r="L1069" t="str">
            <v>AOI</v>
          </cell>
          <cell r="P1069">
            <v>0</v>
          </cell>
          <cell r="Q1069" t="str">
            <v>lot</v>
          </cell>
          <cell r="S1069">
            <v>400639.235171979</v>
          </cell>
          <cell r="T1069">
            <v>1</v>
          </cell>
          <cell r="U1069">
            <v>0</v>
          </cell>
          <cell r="V1069">
            <v>0</v>
          </cell>
          <cell r="W1069">
            <v>0</v>
          </cell>
          <cell r="X1069">
            <v>0</v>
          </cell>
          <cell r="Y1069">
            <v>0</v>
          </cell>
          <cell r="Z1069">
            <v>0</v>
          </cell>
          <cell r="AA1069">
            <v>0</v>
          </cell>
          <cell r="AB1069">
            <v>0</v>
          </cell>
          <cell r="AC1069">
            <v>0</v>
          </cell>
          <cell r="AD1069">
            <v>0</v>
          </cell>
          <cell r="AE1069">
            <v>0</v>
          </cell>
          <cell r="AF1069">
            <v>0</v>
          </cell>
          <cell r="AG1069">
            <v>0</v>
          </cell>
          <cell r="AH1069">
            <v>0</v>
          </cell>
        </row>
        <row r="1070">
          <cell r="B1070" t="str">
            <v>SNIES</v>
          </cell>
          <cell r="C1070" t="str">
            <v>B1A</v>
          </cell>
          <cell r="D1070" t="str">
            <v>B1AA</v>
          </cell>
          <cell r="E1070" t="str">
            <v>EP/YOMO</v>
          </cell>
          <cell r="F1070" t="str">
            <v>SNIES</v>
          </cell>
          <cell r="G1070">
            <v>24</v>
          </cell>
          <cell r="H1070" t="str">
            <v>EP Yomou manuels et guides du primaire</v>
          </cell>
          <cell r="I1070" t="str">
            <v>SNIES</v>
          </cell>
          <cell r="K1070" t="str">
            <v>BAD ED IV</v>
          </cell>
          <cell r="L1070" t="str">
            <v>AOI</v>
          </cell>
          <cell r="P1070">
            <v>0</v>
          </cell>
          <cell r="Q1070" t="str">
            <v>lot</v>
          </cell>
          <cell r="S1070">
            <v>400639.235171979</v>
          </cell>
          <cell r="T1070">
            <v>1</v>
          </cell>
          <cell r="U1070">
            <v>0</v>
          </cell>
          <cell r="V1070">
            <v>0</v>
          </cell>
          <cell r="W1070">
            <v>0</v>
          </cell>
          <cell r="X1070">
            <v>0</v>
          </cell>
          <cell r="Y1070">
            <v>0</v>
          </cell>
          <cell r="Z1070">
            <v>0</v>
          </cell>
          <cell r="AA1070">
            <v>0</v>
          </cell>
          <cell r="AB1070">
            <v>0</v>
          </cell>
          <cell r="AC1070">
            <v>0</v>
          </cell>
          <cell r="AD1070">
            <v>0</v>
          </cell>
          <cell r="AE1070">
            <v>0</v>
          </cell>
          <cell r="AF1070">
            <v>0</v>
          </cell>
          <cell r="AG1070">
            <v>0</v>
          </cell>
          <cell r="AH1070">
            <v>0</v>
          </cell>
        </row>
        <row r="1071">
          <cell r="B1071" t="str">
            <v>SNIES</v>
          </cell>
          <cell r="C1071" t="str">
            <v>B1A</v>
          </cell>
          <cell r="D1071" t="str">
            <v>B1AA</v>
          </cell>
          <cell r="E1071" t="str">
            <v>EP/MAMO</v>
          </cell>
          <cell r="F1071" t="str">
            <v>SNIES</v>
          </cell>
          <cell r="G1071">
            <v>24</v>
          </cell>
          <cell r="H1071" t="str">
            <v>EP Mamou manuels et guides du primaire</v>
          </cell>
          <cell r="I1071" t="str">
            <v>SNIES</v>
          </cell>
          <cell r="K1071" t="str">
            <v>BAD ED IV</v>
          </cell>
          <cell r="L1071" t="str">
            <v>AOI</v>
          </cell>
          <cell r="P1071">
            <v>0</v>
          </cell>
          <cell r="Q1071" t="str">
            <v>lot</v>
          </cell>
          <cell r="S1071">
            <v>400639.235171979</v>
          </cell>
          <cell r="T1071">
            <v>1</v>
          </cell>
          <cell r="U1071">
            <v>0</v>
          </cell>
          <cell r="V1071">
            <v>0</v>
          </cell>
          <cell r="W1071">
            <v>0</v>
          </cell>
          <cell r="X1071">
            <v>0</v>
          </cell>
          <cell r="Y1071">
            <v>0</v>
          </cell>
          <cell r="Z1071">
            <v>0</v>
          </cell>
          <cell r="AA1071">
            <v>0</v>
          </cell>
          <cell r="AB1071">
            <v>0</v>
          </cell>
          <cell r="AC1071">
            <v>0</v>
          </cell>
          <cell r="AD1071">
            <v>0</v>
          </cell>
          <cell r="AE1071">
            <v>0</v>
          </cell>
          <cell r="AF1071">
            <v>0</v>
          </cell>
          <cell r="AG1071">
            <v>0</v>
          </cell>
          <cell r="AH1071">
            <v>0</v>
          </cell>
        </row>
        <row r="1072">
          <cell r="B1072" t="str">
            <v>SNIES</v>
          </cell>
          <cell r="C1072" t="str">
            <v>B1A</v>
          </cell>
          <cell r="D1072" t="str">
            <v>B1AA</v>
          </cell>
          <cell r="E1072" t="str">
            <v>EP/DALA</v>
          </cell>
          <cell r="F1072" t="str">
            <v>SNIES</v>
          </cell>
          <cell r="G1072">
            <v>24</v>
          </cell>
          <cell r="H1072" t="str">
            <v>EP Dalaba manuels et guides du primaire</v>
          </cell>
          <cell r="I1072" t="str">
            <v>SNIES</v>
          </cell>
          <cell r="K1072" t="str">
            <v>BAD ED IV</v>
          </cell>
          <cell r="L1072" t="str">
            <v>AOI</v>
          </cell>
          <cell r="P1072">
            <v>0</v>
          </cell>
          <cell r="Q1072" t="str">
            <v>lot</v>
          </cell>
          <cell r="S1072">
            <v>400639.235171979</v>
          </cell>
          <cell r="T1072">
            <v>1</v>
          </cell>
          <cell r="U1072">
            <v>0</v>
          </cell>
          <cell r="V1072">
            <v>0</v>
          </cell>
          <cell r="W1072">
            <v>0</v>
          </cell>
          <cell r="X1072">
            <v>0</v>
          </cell>
          <cell r="Y1072">
            <v>0</v>
          </cell>
          <cell r="Z1072">
            <v>0</v>
          </cell>
          <cell r="AA1072">
            <v>0</v>
          </cell>
          <cell r="AB1072">
            <v>0</v>
          </cell>
          <cell r="AC1072">
            <v>0</v>
          </cell>
          <cell r="AD1072">
            <v>0</v>
          </cell>
          <cell r="AE1072">
            <v>0</v>
          </cell>
          <cell r="AF1072">
            <v>0</v>
          </cell>
          <cell r="AG1072">
            <v>0</v>
          </cell>
          <cell r="AH1072">
            <v>0</v>
          </cell>
        </row>
        <row r="1073">
          <cell r="B1073" t="str">
            <v>SNIES</v>
          </cell>
          <cell r="C1073" t="str">
            <v>B1A</v>
          </cell>
          <cell r="D1073" t="str">
            <v>B1AA</v>
          </cell>
          <cell r="E1073" t="str">
            <v>EP/PITA</v>
          </cell>
          <cell r="F1073" t="str">
            <v>SNIES</v>
          </cell>
          <cell r="G1073">
            <v>24</v>
          </cell>
          <cell r="H1073" t="str">
            <v>EP Pita manuels et guides du primaire</v>
          </cell>
          <cell r="I1073" t="str">
            <v>SNIES</v>
          </cell>
          <cell r="K1073" t="str">
            <v>BAD ED IV</v>
          </cell>
          <cell r="L1073" t="str">
            <v>AOI</v>
          </cell>
          <cell r="P1073">
            <v>0</v>
          </cell>
          <cell r="Q1073" t="str">
            <v>lot</v>
          </cell>
          <cell r="S1073">
            <v>400639.235171979</v>
          </cell>
          <cell r="T1073">
            <v>1</v>
          </cell>
          <cell r="U1073">
            <v>0</v>
          </cell>
          <cell r="V1073">
            <v>0</v>
          </cell>
          <cell r="W1073">
            <v>0</v>
          </cell>
          <cell r="X1073">
            <v>0</v>
          </cell>
          <cell r="Y1073">
            <v>0</v>
          </cell>
          <cell r="Z1073">
            <v>0</v>
          </cell>
          <cell r="AA1073">
            <v>0</v>
          </cell>
          <cell r="AB1073">
            <v>0</v>
          </cell>
          <cell r="AC1073">
            <v>0</v>
          </cell>
          <cell r="AD1073">
            <v>0</v>
          </cell>
          <cell r="AE1073">
            <v>0</v>
          </cell>
          <cell r="AF1073">
            <v>0</v>
          </cell>
          <cell r="AG1073">
            <v>0</v>
          </cell>
          <cell r="AH1073">
            <v>0</v>
          </cell>
        </row>
        <row r="1074">
          <cell r="B1074" t="str">
            <v>SNIES</v>
          </cell>
          <cell r="C1074" t="str">
            <v>B1A</v>
          </cell>
          <cell r="D1074" t="str">
            <v>B1AA</v>
          </cell>
          <cell r="E1074" t="str">
            <v>EP/FARA</v>
          </cell>
          <cell r="F1074" t="str">
            <v>SNIES</v>
          </cell>
          <cell r="G1074">
            <v>24</v>
          </cell>
          <cell r="H1074" t="str">
            <v>EP Faranah manuels et guides du primaire</v>
          </cell>
          <cell r="I1074" t="str">
            <v>SNIES</v>
          </cell>
          <cell r="K1074" t="str">
            <v>BAD ED IV</v>
          </cell>
          <cell r="L1074" t="str">
            <v>AOI</v>
          </cell>
          <cell r="P1074">
            <v>0</v>
          </cell>
          <cell r="Q1074" t="str">
            <v>lot</v>
          </cell>
          <cell r="S1074">
            <v>400639.235171979</v>
          </cell>
          <cell r="T1074">
            <v>1</v>
          </cell>
          <cell r="U1074">
            <v>0</v>
          </cell>
          <cell r="V1074">
            <v>0</v>
          </cell>
          <cell r="W1074">
            <v>0</v>
          </cell>
          <cell r="X1074">
            <v>0</v>
          </cell>
          <cell r="Y1074">
            <v>0</v>
          </cell>
          <cell r="Z1074">
            <v>0</v>
          </cell>
          <cell r="AA1074">
            <v>0</v>
          </cell>
          <cell r="AB1074">
            <v>0</v>
          </cell>
          <cell r="AC1074">
            <v>0</v>
          </cell>
          <cell r="AD1074">
            <v>0</v>
          </cell>
          <cell r="AE1074">
            <v>0</v>
          </cell>
          <cell r="AF1074">
            <v>0</v>
          </cell>
          <cell r="AG1074">
            <v>0</v>
          </cell>
          <cell r="AH1074">
            <v>0</v>
          </cell>
        </row>
        <row r="1075">
          <cell r="B1075" t="str">
            <v>SNIES</v>
          </cell>
          <cell r="C1075" t="str">
            <v>B1A</v>
          </cell>
          <cell r="D1075" t="str">
            <v>B1AA</v>
          </cell>
          <cell r="E1075" t="str">
            <v>EP/DABO</v>
          </cell>
          <cell r="F1075" t="str">
            <v>SNIES</v>
          </cell>
          <cell r="G1075">
            <v>24</v>
          </cell>
          <cell r="H1075" t="str">
            <v>EP Dabola manuels et guides du primaire</v>
          </cell>
          <cell r="I1075" t="str">
            <v>SNIES</v>
          </cell>
          <cell r="K1075" t="str">
            <v>BAD ED IV</v>
          </cell>
          <cell r="L1075" t="str">
            <v>AOI</v>
          </cell>
          <cell r="P1075">
            <v>0</v>
          </cell>
          <cell r="Q1075" t="str">
            <v>lot</v>
          </cell>
          <cell r="S1075">
            <v>400639.235171979</v>
          </cell>
          <cell r="T1075">
            <v>1</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v>0</v>
          </cell>
        </row>
        <row r="1076">
          <cell r="B1076" t="str">
            <v>SNIES</v>
          </cell>
          <cell r="C1076" t="str">
            <v>B1A</v>
          </cell>
          <cell r="D1076" t="str">
            <v>B1AA</v>
          </cell>
          <cell r="E1076" t="str">
            <v>EP/KISS</v>
          </cell>
          <cell r="F1076" t="str">
            <v>SNIES</v>
          </cell>
          <cell r="G1076">
            <v>24</v>
          </cell>
          <cell r="H1076" t="str">
            <v>EP Kissidougou manuels et guides du primaire</v>
          </cell>
          <cell r="I1076" t="str">
            <v>SNIES</v>
          </cell>
          <cell r="K1076" t="str">
            <v>BAD ED IV</v>
          </cell>
          <cell r="L1076" t="str">
            <v>AOI</v>
          </cell>
          <cell r="P1076">
            <v>0</v>
          </cell>
          <cell r="Q1076" t="str">
            <v>lot</v>
          </cell>
          <cell r="S1076">
            <v>400639.235171979</v>
          </cell>
          <cell r="T1076">
            <v>1</v>
          </cell>
          <cell r="U1076">
            <v>0</v>
          </cell>
          <cell r="V1076">
            <v>0</v>
          </cell>
          <cell r="W1076">
            <v>0</v>
          </cell>
          <cell r="X1076">
            <v>0</v>
          </cell>
          <cell r="Y1076">
            <v>0</v>
          </cell>
          <cell r="Z1076">
            <v>0</v>
          </cell>
          <cell r="AA1076">
            <v>0</v>
          </cell>
          <cell r="AB1076">
            <v>0</v>
          </cell>
          <cell r="AC1076">
            <v>0</v>
          </cell>
          <cell r="AD1076">
            <v>0</v>
          </cell>
          <cell r="AE1076">
            <v>0</v>
          </cell>
          <cell r="AF1076">
            <v>0</v>
          </cell>
          <cell r="AG1076">
            <v>0</v>
          </cell>
          <cell r="AH1076">
            <v>0</v>
          </cell>
        </row>
        <row r="1077">
          <cell r="B1077" t="str">
            <v>SNIES</v>
          </cell>
          <cell r="C1077" t="str">
            <v>B1A</v>
          </cell>
          <cell r="D1077" t="str">
            <v>B1AA</v>
          </cell>
          <cell r="E1077" t="str">
            <v>EP/DING</v>
          </cell>
          <cell r="F1077" t="str">
            <v>SNIES</v>
          </cell>
          <cell r="G1077">
            <v>24</v>
          </cell>
          <cell r="H1077" t="str">
            <v>EP Dinguiraye manuels et guides du primaire</v>
          </cell>
          <cell r="I1077" t="str">
            <v>SNIES</v>
          </cell>
          <cell r="K1077" t="str">
            <v>BAD ED IV</v>
          </cell>
          <cell r="L1077" t="str">
            <v>AOI</v>
          </cell>
          <cell r="P1077">
            <v>0</v>
          </cell>
          <cell r="Q1077" t="str">
            <v>lot</v>
          </cell>
          <cell r="S1077">
            <v>400639.235171979</v>
          </cell>
          <cell r="T1077">
            <v>1</v>
          </cell>
          <cell r="U1077">
            <v>0</v>
          </cell>
          <cell r="V1077">
            <v>0</v>
          </cell>
          <cell r="W1077">
            <v>0</v>
          </cell>
          <cell r="X1077">
            <v>0</v>
          </cell>
          <cell r="Y1077">
            <v>0</v>
          </cell>
          <cell r="Z1077">
            <v>0</v>
          </cell>
          <cell r="AA1077">
            <v>0</v>
          </cell>
          <cell r="AB1077">
            <v>0</v>
          </cell>
          <cell r="AC1077">
            <v>0</v>
          </cell>
          <cell r="AD1077">
            <v>0</v>
          </cell>
          <cell r="AE1077">
            <v>0</v>
          </cell>
          <cell r="AF1077">
            <v>0</v>
          </cell>
          <cell r="AG1077">
            <v>0</v>
          </cell>
          <cell r="AH1077">
            <v>0</v>
          </cell>
        </row>
        <row r="1078">
          <cell r="B1078" t="str">
            <v>SNIES</v>
          </cell>
          <cell r="C1078" t="str">
            <v>B1A</v>
          </cell>
          <cell r="D1078" t="str">
            <v>B1AA</v>
          </cell>
          <cell r="E1078" t="str">
            <v>EP/KANK</v>
          </cell>
          <cell r="F1078" t="str">
            <v>SNIES</v>
          </cell>
          <cell r="G1078">
            <v>24</v>
          </cell>
          <cell r="H1078" t="str">
            <v>EP Kankan manuels et guides du primaire</v>
          </cell>
          <cell r="I1078" t="str">
            <v>SNIES</v>
          </cell>
          <cell r="K1078" t="str">
            <v>BAD ED IV</v>
          </cell>
          <cell r="L1078" t="str">
            <v>AOI</v>
          </cell>
          <cell r="P1078">
            <v>0</v>
          </cell>
          <cell r="Q1078" t="str">
            <v>lot</v>
          </cell>
          <cell r="S1078">
            <v>400639.235171979</v>
          </cell>
          <cell r="T1078">
            <v>1</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v>0</v>
          </cell>
        </row>
        <row r="1079">
          <cell r="B1079" t="str">
            <v>SNIES</v>
          </cell>
          <cell r="C1079" t="str">
            <v>B1A</v>
          </cell>
          <cell r="D1079" t="str">
            <v>B1AA</v>
          </cell>
          <cell r="E1079" t="str">
            <v>EP/KOUR</v>
          </cell>
          <cell r="F1079" t="str">
            <v>SNIES</v>
          </cell>
          <cell r="G1079">
            <v>24</v>
          </cell>
          <cell r="H1079" t="str">
            <v>EP Kouroussa manuels et guides du primaire</v>
          </cell>
          <cell r="I1079" t="str">
            <v>SNIES</v>
          </cell>
          <cell r="K1079" t="str">
            <v>BAD ED IV</v>
          </cell>
          <cell r="L1079" t="str">
            <v>AOI</v>
          </cell>
          <cell r="P1079">
            <v>0</v>
          </cell>
          <cell r="Q1079" t="str">
            <v>lot</v>
          </cell>
          <cell r="S1079">
            <v>400639.235171979</v>
          </cell>
          <cell r="T1079">
            <v>1</v>
          </cell>
          <cell r="U1079">
            <v>0</v>
          </cell>
          <cell r="V1079">
            <v>0</v>
          </cell>
          <cell r="W1079">
            <v>0</v>
          </cell>
          <cell r="X1079">
            <v>0</v>
          </cell>
          <cell r="Y1079">
            <v>0</v>
          </cell>
          <cell r="Z1079">
            <v>0</v>
          </cell>
          <cell r="AA1079">
            <v>0</v>
          </cell>
          <cell r="AB1079">
            <v>0</v>
          </cell>
          <cell r="AC1079">
            <v>0</v>
          </cell>
          <cell r="AD1079">
            <v>0</v>
          </cell>
          <cell r="AE1079">
            <v>0</v>
          </cell>
          <cell r="AF1079">
            <v>0</v>
          </cell>
          <cell r="AG1079">
            <v>0</v>
          </cell>
          <cell r="AH1079">
            <v>0</v>
          </cell>
        </row>
        <row r="1080">
          <cell r="B1080" t="str">
            <v>SNIES</v>
          </cell>
          <cell r="C1080" t="str">
            <v>B1A</v>
          </cell>
          <cell r="D1080" t="str">
            <v>B1AA</v>
          </cell>
          <cell r="E1080" t="str">
            <v>EP/MAND</v>
          </cell>
          <cell r="F1080" t="str">
            <v>SNIES</v>
          </cell>
          <cell r="G1080">
            <v>24</v>
          </cell>
          <cell r="H1080" t="str">
            <v>EP Mandiana manuels et guides du primaire</v>
          </cell>
          <cell r="I1080" t="str">
            <v>SNIES</v>
          </cell>
          <cell r="K1080" t="str">
            <v>BAD ED IV</v>
          </cell>
          <cell r="L1080" t="str">
            <v>AOI</v>
          </cell>
          <cell r="P1080">
            <v>0</v>
          </cell>
          <cell r="Q1080" t="str">
            <v>lot</v>
          </cell>
          <cell r="S1080">
            <v>400639.235171979</v>
          </cell>
          <cell r="T1080">
            <v>1</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v>0</v>
          </cell>
        </row>
        <row r="1081">
          <cell r="B1081" t="str">
            <v>SNIES</v>
          </cell>
          <cell r="C1081" t="str">
            <v>B1A</v>
          </cell>
          <cell r="D1081" t="str">
            <v>B1AA</v>
          </cell>
          <cell r="E1081" t="str">
            <v>EP/SIGU</v>
          </cell>
          <cell r="F1081" t="str">
            <v>SNIES</v>
          </cell>
          <cell r="G1081">
            <v>24</v>
          </cell>
          <cell r="H1081" t="str">
            <v>EP Siguiri manuels et guides du primaire</v>
          </cell>
          <cell r="I1081" t="str">
            <v>SNIES</v>
          </cell>
          <cell r="K1081" t="str">
            <v>BAD ED IV</v>
          </cell>
          <cell r="L1081" t="str">
            <v>AOI</v>
          </cell>
          <cell r="P1081">
            <v>0</v>
          </cell>
          <cell r="Q1081" t="str">
            <v>lot</v>
          </cell>
          <cell r="S1081">
            <v>400639.235171979</v>
          </cell>
          <cell r="T1081">
            <v>1</v>
          </cell>
          <cell r="U1081">
            <v>0</v>
          </cell>
          <cell r="V1081">
            <v>0</v>
          </cell>
          <cell r="W1081">
            <v>0</v>
          </cell>
          <cell r="X1081">
            <v>0</v>
          </cell>
          <cell r="Y1081">
            <v>0</v>
          </cell>
          <cell r="Z1081">
            <v>0</v>
          </cell>
          <cell r="AA1081">
            <v>0</v>
          </cell>
          <cell r="AB1081">
            <v>0</v>
          </cell>
          <cell r="AC1081">
            <v>0</v>
          </cell>
          <cell r="AD1081">
            <v>0</v>
          </cell>
          <cell r="AE1081">
            <v>0</v>
          </cell>
          <cell r="AF1081">
            <v>0</v>
          </cell>
          <cell r="AG1081">
            <v>0</v>
          </cell>
          <cell r="AH1081">
            <v>0</v>
          </cell>
        </row>
        <row r="1082">
          <cell r="B1082" t="str">
            <v>SNIES</v>
          </cell>
          <cell r="C1082" t="str">
            <v>B1A</v>
          </cell>
          <cell r="D1082" t="str">
            <v>B1AA</v>
          </cell>
          <cell r="E1082" t="str">
            <v>EP/KERO</v>
          </cell>
          <cell r="F1082" t="str">
            <v>SNIES</v>
          </cell>
          <cell r="G1082">
            <v>24</v>
          </cell>
          <cell r="H1082" t="str">
            <v>EP Kérouané manuels et guides du primaire</v>
          </cell>
          <cell r="I1082" t="str">
            <v>SNIES</v>
          </cell>
          <cell r="K1082" t="str">
            <v>BAD ED IV</v>
          </cell>
          <cell r="L1082" t="str">
            <v>AOI</v>
          </cell>
          <cell r="P1082">
            <v>0</v>
          </cell>
          <cell r="Q1082" t="str">
            <v>lot</v>
          </cell>
          <cell r="S1082">
            <v>400639.235171979</v>
          </cell>
          <cell r="T1082">
            <v>1</v>
          </cell>
          <cell r="U1082">
            <v>0</v>
          </cell>
          <cell r="V1082">
            <v>0</v>
          </cell>
          <cell r="W1082">
            <v>0</v>
          </cell>
          <cell r="X1082">
            <v>0</v>
          </cell>
          <cell r="Y1082">
            <v>0</v>
          </cell>
          <cell r="Z1082">
            <v>0</v>
          </cell>
          <cell r="AA1082">
            <v>0</v>
          </cell>
          <cell r="AB1082">
            <v>0</v>
          </cell>
          <cell r="AC1082">
            <v>0</v>
          </cell>
          <cell r="AD1082">
            <v>0</v>
          </cell>
          <cell r="AE1082">
            <v>0</v>
          </cell>
          <cell r="AF1082">
            <v>0</v>
          </cell>
          <cell r="AG1082">
            <v>0</v>
          </cell>
          <cell r="AH1082">
            <v>0</v>
          </cell>
        </row>
        <row r="1083">
          <cell r="B1083" t="str">
            <v>SNIES</v>
          </cell>
          <cell r="C1083" t="str">
            <v>B1A</v>
          </cell>
          <cell r="D1083" t="str">
            <v>B1AA</v>
          </cell>
          <cell r="E1083" t="str">
            <v>EP/MALI</v>
          </cell>
          <cell r="F1083" t="str">
            <v>SNIES</v>
          </cell>
          <cell r="G1083">
            <v>24</v>
          </cell>
          <cell r="H1083" t="str">
            <v>EP Mali manuels et guides du primaire</v>
          </cell>
          <cell r="I1083" t="str">
            <v>SNIES</v>
          </cell>
          <cell r="K1083" t="str">
            <v>BAD ED IV</v>
          </cell>
          <cell r="L1083" t="str">
            <v>AOI</v>
          </cell>
          <cell r="P1083">
            <v>0</v>
          </cell>
          <cell r="Q1083" t="str">
            <v>lot</v>
          </cell>
          <cell r="S1083">
            <v>400639.235171979</v>
          </cell>
          <cell r="T1083">
            <v>1</v>
          </cell>
          <cell r="U1083">
            <v>0</v>
          </cell>
          <cell r="V1083">
            <v>0</v>
          </cell>
          <cell r="W1083">
            <v>0</v>
          </cell>
          <cell r="X1083">
            <v>0</v>
          </cell>
          <cell r="Y1083">
            <v>0</v>
          </cell>
          <cell r="Z1083">
            <v>0</v>
          </cell>
          <cell r="AA1083">
            <v>0</v>
          </cell>
          <cell r="AB1083">
            <v>0</v>
          </cell>
          <cell r="AC1083">
            <v>0</v>
          </cell>
          <cell r="AD1083">
            <v>0</v>
          </cell>
          <cell r="AE1083">
            <v>0</v>
          </cell>
          <cell r="AF1083">
            <v>0</v>
          </cell>
          <cell r="AG1083">
            <v>0</v>
          </cell>
          <cell r="AH1083">
            <v>0</v>
          </cell>
        </row>
        <row r="1084">
          <cell r="B1084" t="str">
            <v>SNIES</v>
          </cell>
          <cell r="C1084" t="str">
            <v>B1A</v>
          </cell>
          <cell r="D1084" t="str">
            <v>B1AA</v>
          </cell>
          <cell r="E1084" t="str">
            <v>EP/TOUG</v>
          </cell>
          <cell r="F1084" t="str">
            <v>SNIES</v>
          </cell>
          <cell r="G1084">
            <v>24</v>
          </cell>
          <cell r="H1084" t="str">
            <v>EP Tougué manuels et guides du primaire</v>
          </cell>
          <cell r="I1084" t="str">
            <v>SNIES</v>
          </cell>
          <cell r="K1084" t="str">
            <v>BAD ED IV</v>
          </cell>
          <cell r="L1084" t="str">
            <v>AOI</v>
          </cell>
          <cell r="P1084">
            <v>0</v>
          </cell>
          <cell r="Q1084" t="str">
            <v>lot</v>
          </cell>
          <cell r="S1084">
            <v>400639.235171979</v>
          </cell>
          <cell r="T1084">
            <v>1</v>
          </cell>
          <cell r="U1084">
            <v>0</v>
          </cell>
          <cell r="V1084">
            <v>0</v>
          </cell>
          <cell r="W1084">
            <v>0</v>
          </cell>
          <cell r="X1084">
            <v>0</v>
          </cell>
          <cell r="Y1084">
            <v>0</v>
          </cell>
          <cell r="Z1084">
            <v>0</v>
          </cell>
          <cell r="AA1084">
            <v>0</v>
          </cell>
          <cell r="AB1084">
            <v>0</v>
          </cell>
          <cell r="AC1084">
            <v>0</v>
          </cell>
          <cell r="AD1084">
            <v>0</v>
          </cell>
          <cell r="AE1084">
            <v>0</v>
          </cell>
          <cell r="AF1084">
            <v>0</v>
          </cell>
          <cell r="AG1084">
            <v>0</v>
          </cell>
          <cell r="AH1084">
            <v>0</v>
          </cell>
        </row>
        <row r="1085">
          <cell r="B1085" t="str">
            <v>SNIES</v>
          </cell>
          <cell r="C1085" t="str">
            <v>B1A</v>
          </cell>
          <cell r="D1085" t="str">
            <v>B1AA</v>
          </cell>
          <cell r="E1085" t="str">
            <v>EP/LABE</v>
          </cell>
          <cell r="F1085" t="str">
            <v>SNIES</v>
          </cell>
          <cell r="G1085">
            <v>24</v>
          </cell>
          <cell r="H1085" t="str">
            <v>EP Labé manuels et guides du primaire</v>
          </cell>
          <cell r="I1085" t="str">
            <v>SNIES</v>
          </cell>
          <cell r="K1085" t="str">
            <v>BAD ED IV</v>
          </cell>
          <cell r="L1085" t="str">
            <v>AOI</v>
          </cell>
          <cell r="P1085">
            <v>0</v>
          </cell>
          <cell r="Q1085" t="str">
            <v>lot</v>
          </cell>
          <cell r="S1085">
            <v>400639.235171979</v>
          </cell>
          <cell r="T1085">
            <v>1</v>
          </cell>
          <cell r="U1085">
            <v>0</v>
          </cell>
          <cell r="V1085">
            <v>0</v>
          </cell>
          <cell r="W1085">
            <v>0</v>
          </cell>
          <cell r="X1085">
            <v>0</v>
          </cell>
          <cell r="Y1085">
            <v>0</v>
          </cell>
          <cell r="Z1085">
            <v>0</v>
          </cell>
          <cell r="AA1085">
            <v>0</v>
          </cell>
          <cell r="AB1085">
            <v>0</v>
          </cell>
          <cell r="AC1085">
            <v>0</v>
          </cell>
          <cell r="AD1085">
            <v>0</v>
          </cell>
          <cell r="AE1085">
            <v>0</v>
          </cell>
          <cell r="AF1085">
            <v>0</v>
          </cell>
          <cell r="AG1085">
            <v>0</v>
          </cell>
          <cell r="AH1085">
            <v>0</v>
          </cell>
        </row>
        <row r="1086">
          <cell r="B1086" t="str">
            <v>SNIES</v>
          </cell>
          <cell r="C1086" t="str">
            <v>B1A</v>
          </cell>
          <cell r="D1086" t="str">
            <v>B1AA</v>
          </cell>
          <cell r="E1086" t="str">
            <v>EP/KOUBI</v>
          </cell>
          <cell r="F1086" t="str">
            <v>SNIES</v>
          </cell>
          <cell r="G1086">
            <v>24</v>
          </cell>
          <cell r="H1086" t="str">
            <v>EP Koubia manuels et guides du primaire</v>
          </cell>
          <cell r="I1086" t="str">
            <v>SNIES</v>
          </cell>
          <cell r="K1086" t="str">
            <v>BAD ED IV</v>
          </cell>
          <cell r="L1086" t="str">
            <v>AOI</v>
          </cell>
          <cell r="P1086">
            <v>0</v>
          </cell>
          <cell r="Q1086" t="str">
            <v>lot</v>
          </cell>
          <cell r="S1086">
            <v>400639.235171979</v>
          </cell>
          <cell r="T1086">
            <v>1</v>
          </cell>
          <cell r="U1086">
            <v>0</v>
          </cell>
          <cell r="V1086">
            <v>0</v>
          </cell>
          <cell r="W1086">
            <v>0</v>
          </cell>
          <cell r="X1086">
            <v>0</v>
          </cell>
          <cell r="Y1086">
            <v>0</v>
          </cell>
          <cell r="Z1086">
            <v>0</v>
          </cell>
          <cell r="AA1086">
            <v>0</v>
          </cell>
          <cell r="AB1086">
            <v>0</v>
          </cell>
          <cell r="AC1086">
            <v>0</v>
          </cell>
          <cell r="AD1086">
            <v>0</v>
          </cell>
          <cell r="AE1086">
            <v>0</v>
          </cell>
          <cell r="AF1086">
            <v>0</v>
          </cell>
          <cell r="AG1086">
            <v>0</v>
          </cell>
          <cell r="AH1086">
            <v>0</v>
          </cell>
        </row>
        <row r="1087">
          <cell r="B1087" t="str">
            <v>SNIES</v>
          </cell>
          <cell r="C1087" t="str">
            <v>B1A</v>
          </cell>
          <cell r="D1087" t="str">
            <v>B1AA</v>
          </cell>
          <cell r="E1087" t="str">
            <v>EP/LELO</v>
          </cell>
          <cell r="F1087" t="str">
            <v>SNIES</v>
          </cell>
          <cell r="G1087">
            <v>24</v>
          </cell>
          <cell r="H1087" t="str">
            <v>EP Lélouma manuels et guides du primaire</v>
          </cell>
          <cell r="I1087" t="str">
            <v>SNIES</v>
          </cell>
          <cell r="K1087" t="str">
            <v>BAD ED IV</v>
          </cell>
          <cell r="L1087" t="str">
            <v>AOI</v>
          </cell>
          <cell r="P1087">
            <v>0</v>
          </cell>
          <cell r="Q1087" t="str">
            <v>lot</v>
          </cell>
          <cell r="S1087">
            <v>400639.235171979</v>
          </cell>
          <cell r="T1087">
            <v>1</v>
          </cell>
          <cell r="U1087">
            <v>0</v>
          </cell>
          <cell r="V1087">
            <v>0</v>
          </cell>
          <cell r="W1087">
            <v>0</v>
          </cell>
          <cell r="X1087">
            <v>0</v>
          </cell>
          <cell r="Y1087">
            <v>0</v>
          </cell>
          <cell r="Z1087">
            <v>0</v>
          </cell>
          <cell r="AA1087">
            <v>0</v>
          </cell>
          <cell r="AB1087">
            <v>0</v>
          </cell>
          <cell r="AC1087">
            <v>0</v>
          </cell>
          <cell r="AD1087">
            <v>0</v>
          </cell>
          <cell r="AE1087">
            <v>0</v>
          </cell>
          <cell r="AF1087">
            <v>0</v>
          </cell>
          <cell r="AG1087">
            <v>0</v>
          </cell>
          <cell r="AH1087">
            <v>0</v>
          </cell>
        </row>
        <row r="1088">
          <cell r="B1088" t="str">
            <v>SNIES</v>
          </cell>
          <cell r="C1088" t="str">
            <v>B1A</v>
          </cell>
          <cell r="D1088" t="str">
            <v>B1AA</v>
          </cell>
          <cell r="E1088" t="str">
            <v>EP/KIND</v>
          </cell>
          <cell r="F1088" t="str">
            <v>SNIES</v>
          </cell>
          <cell r="G1088">
            <v>24</v>
          </cell>
          <cell r="H1088" t="str">
            <v>EP Kindia manuels et guides du primaire</v>
          </cell>
          <cell r="I1088" t="str">
            <v>SNIES</v>
          </cell>
          <cell r="K1088" t="str">
            <v>BAD ED IV</v>
          </cell>
          <cell r="L1088" t="str">
            <v>AOI</v>
          </cell>
          <cell r="P1088">
            <v>0</v>
          </cell>
          <cell r="Q1088" t="str">
            <v>lot</v>
          </cell>
          <cell r="S1088">
            <v>400639.235171979</v>
          </cell>
          <cell r="T1088">
            <v>1</v>
          </cell>
          <cell r="U1088">
            <v>0</v>
          </cell>
          <cell r="V1088">
            <v>0</v>
          </cell>
          <cell r="W1088">
            <v>0</v>
          </cell>
          <cell r="X1088">
            <v>0</v>
          </cell>
          <cell r="Y1088">
            <v>0</v>
          </cell>
          <cell r="Z1088">
            <v>0</v>
          </cell>
          <cell r="AA1088">
            <v>0</v>
          </cell>
          <cell r="AB1088">
            <v>0</v>
          </cell>
          <cell r="AC1088">
            <v>0</v>
          </cell>
          <cell r="AD1088">
            <v>0</v>
          </cell>
          <cell r="AE1088">
            <v>0</v>
          </cell>
          <cell r="AF1088">
            <v>0</v>
          </cell>
          <cell r="AG1088">
            <v>0</v>
          </cell>
          <cell r="AH1088">
            <v>0</v>
          </cell>
        </row>
        <row r="1089">
          <cell r="B1089" t="str">
            <v>SNIES</v>
          </cell>
          <cell r="C1089" t="str">
            <v>B1A</v>
          </cell>
          <cell r="D1089" t="str">
            <v>B1AA</v>
          </cell>
          <cell r="E1089" t="str">
            <v>EP/TELI</v>
          </cell>
          <cell r="F1089" t="str">
            <v>SNIES</v>
          </cell>
          <cell r="G1089">
            <v>24</v>
          </cell>
          <cell r="H1089" t="str">
            <v>EP Télimélé manuels et guides du primaire</v>
          </cell>
          <cell r="I1089" t="str">
            <v>SNIES</v>
          </cell>
          <cell r="K1089" t="str">
            <v>BAD ED IV</v>
          </cell>
          <cell r="L1089" t="str">
            <v>AOI</v>
          </cell>
          <cell r="P1089">
            <v>0</v>
          </cell>
          <cell r="Q1089" t="str">
            <v>lot</v>
          </cell>
          <cell r="S1089">
            <v>400639.235171979</v>
          </cell>
          <cell r="T1089">
            <v>1</v>
          </cell>
          <cell r="U1089">
            <v>0</v>
          </cell>
          <cell r="V1089">
            <v>0</v>
          </cell>
          <cell r="W1089">
            <v>0</v>
          </cell>
          <cell r="X1089">
            <v>0</v>
          </cell>
          <cell r="Y1089">
            <v>0</v>
          </cell>
          <cell r="Z1089">
            <v>0</v>
          </cell>
          <cell r="AA1089">
            <v>0</v>
          </cell>
          <cell r="AB1089">
            <v>0</v>
          </cell>
          <cell r="AC1089">
            <v>0</v>
          </cell>
          <cell r="AD1089">
            <v>0</v>
          </cell>
          <cell r="AE1089">
            <v>0</v>
          </cell>
          <cell r="AF1089">
            <v>0</v>
          </cell>
          <cell r="AG1089">
            <v>0</v>
          </cell>
          <cell r="AH1089">
            <v>0</v>
          </cell>
        </row>
        <row r="1090">
          <cell r="B1090" t="str">
            <v>SNIES</v>
          </cell>
          <cell r="C1090" t="str">
            <v>B1A</v>
          </cell>
          <cell r="D1090" t="str">
            <v>B1AA</v>
          </cell>
          <cell r="E1090" t="str">
            <v>EP/COYA</v>
          </cell>
          <cell r="F1090" t="str">
            <v>SNIES</v>
          </cell>
          <cell r="G1090">
            <v>24</v>
          </cell>
          <cell r="H1090" t="str">
            <v>EP Coyah manuels et guides du primaire</v>
          </cell>
          <cell r="I1090" t="str">
            <v>SNIES</v>
          </cell>
          <cell r="K1090" t="str">
            <v>BAD ED IV</v>
          </cell>
          <cell r="L1090" t="str">
            <v>AOI</v>
          </cell>
          <cell r="P1090">
            <v>0</v>
          </cell>
          <cell r="Q1090" t="str">
            <v>lot</v>
          </cell>
          <cell r="S1090">
            <v>400639.235171979</v>
          </cell>
          <cell r="T1090">
            <v>1</v>
          </cell>
          <cell r="U1090">
            <v>0</v>
          </cell>
          <cell r="V1090">
            <v>0</v>
          </cell>
          <cell r="W1090">
            <v>0</v>
          </cell>
          <cell r="X1090">
            <v>0</v>
          </cell>
          <cell r="Y1090">
            <v>0</v>
          </cell>
          <cell r="Z1090">
            <v>0</v>
          </cell>
          <cell r="AA1090">
            <v>0</v>
          </cell>
          <cell r="AB1090">
            <v>0</v>
          </cell>
          <cell r="AC1090">
            <v>0</v>
          </cell>
          <cell r="AD1090">
            <v>0</v>
          </cell>
          <cell r="AE1090">
            <v>0</v>
          </cell>
          <cell r="AF1090">
            <v>0</v>
          </cell>
          <cell r="AG1090">
            <v>0</v>
          </cell>
          <cell r="AH1090">
            <v>0</v>
          </cell>
        </row>
        <row r="1091">
          <cell r="B1091" t="str">
            <v>SNIES</v>
          </cell>
          <cell r="C1091" t="str">
            <v>B1A</v>
          </cell>
          <cell r="D1091" t="str">
            <v>B1AA</v>
          </cell>
          <cell r="E1091" t="str">
            <v>EP/FORE</v>
          </cell>
          <cell r="F1091" t="str">
            <v>SNIES</v>
          </cell>
          <cell r="G1091">
            <v>24</v>
          </cell>
          <cell r="H1091" t="str">
            <v>EP Forécariah manuels et guides du primaire</v>
          </cell>
          <cell r="I1091" t="str">
            <v>SNIES</v>
          </cell>
          <cell r="K1091" t="str">
            <v>BAD ED IV</v>
          </cell>
          <cell r="L1091" t="str">
            <v>AOI</v>
          </cell>
          <cell r="P1091">
            <v>0</v>
          </cell>
          <cell r="Q1091" t="str">
            <v>lot</v>
          </cell>
          <cell r="S1091">
            <v>400639.235171979</v>
          </cell>
          <cell r="T1091">
            <v>1</v>
          </cell>
          <cell r="U1091">
            <v>0</v>
          </cell>
          <cell r="V1091">
            <v>0</v>
          </cell>
          <cell r="W1091">
            <v>0</v>
          </cell>
          <cell r="X1091">
            <v>0</v>
          </cell>
          <cell r="Y1091">
            <v>0</v>
          </cell>
          <cell r="Z1091">
            <v>0</v>
          </cell>
          <cell r="AA1091">
            <v>0</v>
          </cell>
          <cell r="AB1091">
            <v>0</v>
          </cell>
          <cell r="AC1091">
            <v>0</v>
          </cell>
          <cell r="AD1091">
            <v>0</v>
          </cell>
          <cell r="AE1091">
            <v>0</v>
          </cell>
          <cell r="AF1091">
            <v>0</v>
          </cell>
          <cell r="AG1091">
            <v>0</v>
          </cell>
          <cell r="AH1091">
            <v>0</v>
          </cell>
        </row>
        <row r="1092">
          <cell r="B1092" t="str">
            <v>SNIES</v>
          </cell>
          <cell r="C1092" t="str">
            <v>B1A</v>
          </cell>
          <cell r="D1092" t="str">
            <v>B1AA</v>
          </cell>
          <cell r="E1092" t="str">
            <v>EP/DUBR</v>
          </cell>
          <cell r="F1092" t="str">
            <v>SNIES</v>
          </cell>
          <cell r="G1092">
            <v>24</v>
          </cell>
          <cell r="H1092" t="str">
            <v>EP Dubréka manuels et guides du primaire</v>
          </cell>
          <cell r="I1092" t="str">
            <v>SNIES</v>
          </cell>
          <cell r="K1092" t="str">
            <v>BAD ED IV</v>
          </cell>
          <cell r="L1092" t="str">
            <v>AOI</v>
          </cell>
          <cell r="P1092">
            <v>0</v>
          </cell>
          <cell r="Q1092" t="str">
            <v>lot</v>
          </cell>
          <cell r="S1092">
            <v>400639.235171979</v>
          </cell>
          <cell r="T1092">
            <v>1</v>
          </cell>
          <cell r="U1092">
            <v>0</v>
          </cell>
          <cell r="V1092">
            <v>0</v>
          </cell>
          <cell r="W1092">
            <v>0</v>
          </cell>
          <cell r="X1092">
            <v>0</v>
          </cell>
          <cell r="Y1092">
            <v>0</v>
          </cell>
          <cell r="Z1092">
            <v>0</v>
          </cell>
          <cell r="AA1092">
            <v>0</v>
          </cell>
          <cell r="AB1092">
            <v>0</v>
          </cell>
          <cell r="AC1092">
            <v>0</v>
          </cell>
          <cell r="AD1092">
            <v>0</v>
          </cell>
          <cell r="AE1092">
            <v>0</v>
          </cell>
          <cell r="AF1092">
            <v>0</v>
          </cell>
          <cell r="AG1092">
            <v>0</v>
          </cell>
          <cell r="AH1092">
            <v>0</v>
          </cell>
        </row>
        <row r="1093">
          <cell r="B1093" t="str">
            <v>SNIES</v>
          </cell>
          <cell r="C1093" t="str">
            <v>B1A</v>
          </cell>
          <cell r="D1093" t="str">
            <v>B1AA</v>
          </cell>
          <cell r="E1093" t="str">
            <v>EP/BOKE</v>
          </cell>
          <cell r="F1093" t="str">
            <v>SNIES</v>
          </cell>
          <cell r="G1093">
            <v>24</v>
          </cell>
          <cell r="H1093" t="str">
            <v>EP Boké manuels et guides du primaire</v>
          </cell>
          <cell r="I1093" t="str">
            <v>SNIES</v>
          </cell>
          <cell r="K1093" t="str">
            <v>BAD ED IV</v>
          </cell>
          <cell r="L1093" t="str">
            <v>AOI</v>
          </cell>
          <cell r="P1093">
            <v>0</v>
          </cell>
          <cell r="Q1093" t="str">
            <v>lot</v>
          </cell>
          <cell r="S1093">
            <v>400639.235171979</v>
          </cell>
          <cell r="T1093">
            <v>1</v>
          </cell>
          <cell r="U1093">
            <v>0</v>
          </cell>
          <cell r="V1093">
            <v>0</v>
          </cell>
          <cell r="W1093">
            <v>0</v>
          </cell>
          <cell r="X1093">
            <v>0</v>
          </cell>
          <cell r="Y1093">
            <v>0</v>
          </cell>
          <cell r="Z1093">
            <v>0</v>
          </cell>
          <cell r="AA1093">
            <v>0</v>
          </cell>
          <cell r="AB1093">
            <v>0</v>
          </cell>
          <cell r="AC1093">
            <v>0</v>
          </cell>
          <cell r="AD1093">
            <v>0</v>
          </cell>
          <cell r="AE1093">
            <v>0</v>
          </cell>
          <cell r="AF1093">
            <v>0</v>
          </cell>
          <cell r="AG1093">
            <v>0</v>
          </cell>
          <cell r="AH1093">
            <v>0</v>
          </cell>
        </row>
        <row r="1094">
          <cell r="B1094" t="str">
            <v>SNIES</v>
          </cell>
          <cell r="C1094" t="str">
            <v>B1A</v>
          </cell>
          <cell r="D1094" t="str">
            <v>B1AA</v>
          </cell>
          <cell r="E1094" t="str">
            <v>EP/BOFF</v>
          </cell>
          <cell r="F1094" t="str">
            <v>SNIES</v>
          </cell>
          <cell r="G1094">
            <v>24</v>
          </cell>
          <cell r="H1094" t="str">
            <v>EP Boffa manuels et guides du primaire</v>
          </cell>
          <cell r="I1094" t="str">
            <v>SNIES</v>
          </cell>
          <cell r="K1094" t="str">
            <v>BAD ED IV</v>
          </cell>
          <cell r="L1094" t="str">
            <v>AOI</v>
          </cell>
          <cell r="P1094">
            <v>0</v>
          </cell>
          <cell r="Q1094" t="str">
            <v>lot</v>
          </cell>
          <cell r="S1094">
            <v>400639.235171979</v>
          </cell>
          <cell r="T1094">
            <v>1</v>
          </cell>
          <cell r="U1094">
            <v>0</v>
          </cell>
          <cell r="V1094">
            <v>0</v>
          </cell>
          <cell r="W1094">
            <v>0</v>
          </cell>
          <cell r="X1094">
            <v>0</v>
          </cell>
          <cell r="Y1094">
            <v>0</v>
          </cell>
          <cell r="Z1094">
            <v>0</v>
          </cell>
          <cell r="AA1094">
            <v>0</v>
          </cell>
          <cell r="AB1094">
            <v>0</v>
          </cell>
          <cell r="AC1094">
            <v>0</v>
          </cell>
          <cell r="AD1094">
            <v>0</v>
          </cell>
          <cell r="AE1094">
            <v>0</v>
          </cell>
          <cell r="AF1094">
            <v>0</v>
          </cell>
          <cell r="AG1094">
            <v>0</v>
          </cell>
          <cell r="AH1094">
            <v>0</v>
          </cell>
        </row>
        <row r="1095">
          <cell r="B1095" t="str">
            <v>SNIES</v>
          </cell>
          <cell r="C1095" t="str">
            <v>B1A</v>
          </cell>
          <cell r="D1095" t="str">
            <v>B1AA</v>
          </cell>
          <cell r="E1095" t="str">
            <v>EP/FRIA</v>
          </cell>
          <cell r="F1095" t="str">
            <v>SNIES</v>
          </cell>
          <cell r="G1095">
            <v>24</v>
          </cell>
          <cell r="H1095" t="str">
            <v>EP Fria manuels et guides du primaire</v>
          </cell>
          <cell r="I1095" t="str">
            <v>SNIES</v>
          </cell>
          <cell r="K1095" t="str">
            <v>BAD ED IV</v>
          </cell>
          <cell r="L1095" t="str">
            <v>AOI</v>
          </cell>
          <cell r="P1095">
            <v>0</v>
          </cell>
          <cell r="Q1095" t="str">
            <v>lot</v>
          </cell>
          <cell r="S1095">
            <v>400639.235171979</v>
          </cell>
          <cell r="T1095">
            <v>1</v>
          </cell>
          <cell r="U1095">
            <v>0</v>
          </cell>
          <cell r="V1095">
            <v>0</v>
          </cell>
          <cell r="W1095">
            <v>0</v>
          </cell>
          <cell r="X1095">
            <v>0</v>
          </cell>
          <cell r="Y1095">
            <v>0</v>
          </cell>
          <cell r="Z1095">
            <v>0</v>
          </cell>
          <cell r="AA1095">
            <v>0</v>
          </cell>
          <cell r="AB1095">
            <v>0</v>
          </cell>
          <cell r="AC1095">
            <v>0</v>
          </cell>
          <cell r="AD1095">
            <v>0</v>
          </cell>
          <cell r="AE1095">
            <v>0</v>
          </cell>
          <cell r="AF1095">
            <v>0</v>
          </cell>
          <cell r="AG1095">
            <v>0</v>
          </cell>
          <cell r="AH1095">
            <v>0</v>
          </cell>
        </row>
        <row r="1096">
          <cell r="B1096" t="str">
            <v>SNIES</v>
          </cell>
          <cell r="C1096" t="str">
            <v>B1A</v>
          </cell>
          <cell r="D1096" t="str">
            <v>B1AA</v>
          </cell>
          <cell r="E1096" t="str">
            <v>EP/GAOU</v>
          </cell>
          <cell r="F1096" t="str">
            <v>SNIES</v>
          </cell>
          <cell r="G1096">
            <v>24</v>
          </cell>
          <cell r="H1096" t="str">
            <v>EP Gaoual manuels et guides du primaire</v>
          </cell>
          <cell r="I1096" t="str">
            <v>SNIES</v>
          </cell>
          <cell r="K1096" t="str">
            <v>BAD ED IV</v>
          </cell>
          <cell r="L1096" t="str">
            <v>AOI</v>
          </cell>
          <cell r="P1096">
            <v>0</v>
          </cell>
          <cell r="Q1096" t="str">
            <v>lot</v>
          </cell>
          <cell r="S1096">
            <v>400639.235171979</v>
          </cell>
          <cell r="T1096">
            <v>1</v>
          </cell>
          <cell r="U1096">
            <v>0</v>
          </cell>
          <cell r="V1096">
            <v>0</v>
          </cell>
          <cell r="W1096">
            <v>0</v>
          </cell>
          <cell r="X1096">
            <v>0</v>
          </cell>
          <cell r="Y1096">
            <v>0</v>
          </cell>
          <cell r="Z1096">
            <v>0</v>
          </cell>
          <cell r="AA1096">
            <v>0</v>
          </cell>
          <cell r="AB1096">
            <v>0</v>
          </cell>
          <cell r="AC1096">
            <v>0</v>
          </cell>
          <cell r="AD1096">
            <v>0</v>
          </cell>
          <cell r="AE1096">
            <v>0</v>
          </cell>
          <cell r="AF1096">
            <v>0</v>
          </cell>
          <cell r="AG1096">
            <v>0</v>
          </cell>
          <cell r="AH1096">
            <v>0</v>
          </cell>
        </row>
        <row r="1097">
          <cell r="B1097" t="str">
            <v>SNIES</v>
          </cell>
          <cell r="C1097" t="str">
            <v>B1A</v>
          </cell>
          <cell r="D1097" t="str">
            <v>B1AA</v>
          </cell>
          <cell r="E1097" t="str">
            <v>EP/KOUN</v>
          </cell>
          <cell r="F1097" t="str">
            <v>SNIES</v>
          </cell>
          <cell r="G1097">
            <v>24</v>
          </cell>
          <cell r="H1097" t="str">
            <v>EP Koundara manuels et guides du primaire</v>
          </cell>
          <cell r="I1097" t="str">
            <v>SNIES</v>
          </cell>
          <cell r="K1097" t="str">
            <v>BAD ED IV</v>
          </cell>
          <cell r="L1097" t="str">
            <v>AOI</v>
          </cell>
          <cell r="P1097">
            <v>0</v>
          </cell>
          <cell r="Q1097" t="str">
            <v>lot</v>
          </cell>
          <cell r="S1097">
            <v>400639.235171979</v>
          </cell>
          <cell r="T1097">
            <v>1</v>
          </cell>
          <cell r="U1097">
            <v>0</v>
          </cell>
          <cell r="V1097">
            <v>0</v>
          </cell>
          <cell r="W1097">
            <v>0</v>
          </cell>
          <cell r="X1097">
            <v>0</v>
          </cell>
          <cell r="Y1097">
            <v>0</v>
          </cell>
          <cell r="Z1097">
            <v>0</v>
          </cell>
          <cell r="AA1097">
            <v>0</v>
          </cell>
          <cell r="AB1097">
            <v>0</v>
          </cell>
          <cell r="AC1097">
            <v>0</v>
          </cell>
          <cell r="AD1097">
            <v>0</v>
          </cell>
          <cell r="AE1097">
            <v>0</v>
          </cell>
          <cell r="AF1097">
            <v>0</v>
          </cell>
          <cell r="AG1097">
            <v>0</v>
          </cell>
          <cell r="AH1097">
            <v>0</v>
          </cell>
        </row>
        <row r="1098">
          <cell r="B1098" t="str">
            <v>SNIES</v>
          </cell>
          <cell r="C1098" t="str">
            <v>B1A</v>
          </cell>
          <cell r="D1098" t="str">
            <v>B1AK</v>
          </cell>
          <cell r="E1098" t="str">
            <v>EP/NZER</v>
          </cell>
          <cell r="F1098" t="str">
            <v>SNIES</v>
          </cell>
          <cell r="G1098">
            <v>24</v>
          </cell>
          <cell r="H1098" t="str">
            <v>EP Nzérékoré fournitures scolaires filles défavorisées</v>
          </cell>
          <cell r="I1098" t="str">
            <v>SNIES</v>
          </cell>
          <cell r="K1098" t="str">
            <v>BAD ED IV</v>
          </cell>
          <cell r="L1098" t="str">
            <v>AOI</v>
          </cell>
          <cell r="P1098">
            <v>0</v>
          </cell>
          <cell r="Q1098" t="str">
            <v>lot</v>
          </cell>
          <cell r="S1098">
            <v>7464.4854065897725</v>
          </cell>
          <cell r="T1098">
            <v>1</v>
          </cell>
          <cell r="U1098">
            <v>0</v>
          </cell>
          <cell r="V1098">
            <v>0</v>
          </cell>
          <cell r="W1098">
            <v>0</v>
          </cell>
          <cell r="X1098">
            <v>0</v>
          </cell>
          <cell r="Y1098">
            <v>0</v>
          </cell>
          <cell r="Z1098">
            <v>0</v>
          </cell>
          <cell r="AA1098">
            <v>0</v>
          </cell>
          <cell r="AB1098">
            <v>0</v>
          </cell>
          <cell r="AC1098">
            <v>0</v>
          </cell>
          <cell r="AD1098">
            <v>0</v>
          </cell>
          <cell r="AE1098">
            <v>0</v>
          </cell>
          <cell r="AF1098">
            <v>0</v>
          </cell>
          <cell r="AG1098">
            <v>0</v>
          </cell>
          <cell r="AH1098">
            <v>0</v>
          </cell>
        </row>
        <row r="1099">
          <cell r="B1099" t="str">
            <v>SNIES</v>
          </cell>
          <cell r="C1099" t="str">
            <v>B1A</v>
          </cell>
          <cell r="D1099" t="str">
            <v>B1AK</v>
          </cell>
          <cell r="E1099" t="str">
            <v>EP/MACE</v>
          </cell>
          <cell r="F1099" t="str">
            <v>SNIES</v>
          </cell>
          <cell r="G1099">
            <v>24</v>
          </cell>
          <cell r="H1099" t="str">
            <v>EP Macenta fournitures scolaires filles défavorisées</v>
          </cell>
          <cell r="I1099" t="str">
            <v>SNIES</v>
          </cell>
          <cell r="K1099" t="str">
            <v>BAD ED IV</v>
          </cell>
          <cell r="L1099" t="str">
            <v>AOI</v>
          </cell>
          <cell r="P1099">
            <v>0</v>
          </cell>
          <cell r="Q1099" t="str">
            <v>lot</v>
          </cell>
          <cell r="S1099">
            <v>7464.4854065897725</v>
          </cell>
          <cell r="T1099">
            <v>1</v>
          </cell>
          <cell r="U1099">
            <v>0</v>
          </cell>
          <cell r="V1099">
            <v>0</v>
          </cell>
          <cell r="W1099">
            <v>0</v>
          </cell>
          <cell r="X1099">
            <v>0</v>
          </cell>
          <cell r="Y1099">
            <v>0</v>
          </cell>
          <cell r="Z1099">
            <v>0</v>
          </cell>
          <cell r="AA1099">
            <v>0</v>
          </cell>
          <cell r="AB1099">
            <v>0</v>
          </cell>
          <cell r="AC1099">
            <v>0</v>
          </cell>
          <cell r="AD1099">
            <v>0</v>
          </cell>
          <cell r="AE1099">
            <v>0</v>
          </cell>
          <cell r="AF1099">
            <v>0</v>
          </cell>
          <cell r="AG1099">
            <v>0</v>
          </cell>
          <cell r="AH1099">
            <v>0</v>
          </cell>
        </row>
        <row r="1100">
          <cell r="B1100" t="str">
            <v>SNIES</v>
          </cell>
          <cell r="C1100" t="str">
            <v>B1A</v>
          </cell>
          <cell r="D1100" t="str">
            <v>B1AK</v>
          </cell>
          <cell r="E1100" t="str">
            <v>EP/GUEC</v>
          </cell>
          <cell r="F1100" t="str">
            <v>SNIES</v>
          </cell>
          <cell r="G1100">
            <v>24</v>
          </cell>
          <cell r="H1100" t="str">
            <v>EP Guéckédou fournitures scolaires filles défavorisées</v>
          </cell>
          <cell r="I1100" t="str">
            <v>SNIES</v>
          </cell>
          <cell r="K1100" t="str">
            <v>BAD ED IV</v>
          </cell>
          <cell r="L1100" t="str">
            <v>AOI</v>
          </cell>
          <cell r="P1100">
            <v>0</v>
          </cell>
          <cell r="Q1100" t="str">
            <v>lot</v>
          </cell>
          <cell r="S1100">
            <v>7464.4854065897725</v>
          </cell>
          <cell r="T1100">
            <v>1</v>
          </cell>
          <cell r="U1100">
            <v>0</v>
          </cell>
          <cell r="V1100">
            <v>0</v>
          </cell>
          <cell r="W1100">
            <v>0</v>
          </cell>
          <cell r="X1100">
            <v>0</v>
          </cell>
          <cell r="Y1100">
            <v>0</v>
          </cell>
          <cell r="Z1100">
            <v>0</v>
          </cell>
          <cell r="AA1100">
            <v>0</v>
          </cell>
          <cell r="AB1100">
            <v>0</v>
          </cell>
          <cell r="AC1100">
            <v>0</v>
          </cell>
          <cell r="AD1100">
            <v>0</v>
          </cell>
          <cell r="AE1100">
            <v>0</v>
          </cell>
          <cell r="AF1100">
            <v>0</v>
          </cell>
          <cell r="AG1100">
            <v>0</v>
          </cell>
          <cell r="AH1100">
            <v>0</v>
          </cell>
        </row>
        <row r="1101">
          <cell r="B1101" t="str">
            <v>SNIES</v>
          </cell>
          <cell r="C1101" t="str">
            <v>B1A</v>
          </cell>
          <cell r="D1101" t="str">
            <v>B1AK</v>
          </cell>
          <cell r="E1101" t="str">
            <v>EP/LOLA</v>
          </cell>
          <cell r="F1101" t="str">
            <v>SNIES</v>
          </cell>
          <cell r="G1101">
            <v>24</v>
          </cell>
          <cell r="H1101" t="str">
            <v>EP Lola fournitures scolaires filles défavorisées</v>
          </cell>
          <cell r="I1101" t="str">
            <v>SNIES</v>
          </cell>
          <cell r="K1101" t="str">
            <v>BAD ED IV</v>
          </cell>
          <cell r="L1101" t="str">
            <v>AOI</v>
          </cell>
          <cell r="P1101">
            <v>0</v>
          </cell>
          <cell r="Q1101" t="str">
            <v>lot</v>
          </cell>
          <cell r="S1101">
            <v>7464.4854065897725</v>
          </cell>
          <cell r="T1101">
            <v>1</v>
          </cell>
          <cell r="U1101">
            <v>0</v>
          </cell>
          <cell r="V1101">
            <v>0</v>
          </cell>
          <cell r="W1101">
            <v>0</v>
          </cell>
          <cell r="X1101">
            <v>0</v>
          </cell>
          <cell r="Y1101">
            <v>0</v>
          </cell>
          <cell r="Z1101">
            <v>0</v>
          </cell>
          <cell r="AA1101">
            <v>0</v>
          </cell>
          <cell r="AB1101">
            <v>0</v>
          </cell>
          <cell r="AC1101">
            <v>0</v>
          </cell>
          <cell r="AD1101">
            <v>0</v>
          </cell>
          <cell r="AE1101">
            <v>0</v>
          </cell>
          <cell r="AF1101">
            <v>0</v>
          </cell>
          <cell r="AG1101">
            <v>0</v>
          </cell>
          <cell r="AH1101">
            <v>0</v>
          </cell>
        </row>
        <row r="1102">
          <cell r="B1102" t="str">
            <v>SNIES</v>
          </cell>
          <cell r="C1102" t="str">
            <v>B1A</v>
          </cell>
          <cell r="D1102" t="str">
            <v>B1AK</v>
          </cell>
          <cell r="E1102" t="str">
            <v>EP/BEYL</v>
          </cell>
          <cell r="F1102" t="str">
            <v>SNIES</v>
          </cell>
          <cell r="G1102">
            <v>24</v>
          </cell>
          <cell r="H1102" t="str">
            <v>EP Beyla fournitures scolaires filles défavorisées</v>
          </cell>
          <cell r="I1102" t="str">
            <v>SNIES</v>
          </cell>
          <cell r="K1102" t="str">
            <v>BAD ED IV</v>
          </cell>
          <cell r="L1102" t="str">
            <v>AOI</v>
          </cell>
          <cell r="P1102">
            <v>0</v>
          </cell>
          <cell r="Q1102" t="str">
            <v>lot</v>
          </cell>
          <cell r="S1102">
            <v>7464.4854065897725</v>
          </cell>
          <cell r="T1102">
            <v>1</v>
          </cell>
          <cell r="U1102">
            <v>0</v>
          </cell>
          <cell r="V1102">
            <v>0</v>
          </cell>
          <cell r="W1102">
            <v>0</v>
          </cell>
          <cell r="X1102">
            <v>0</v>
          </cell>
          <cell r="Y1102">
            <v>0</v>
          </cell>
          <cell r="Z1102">
            <v>0</v>
          </cell>
          <cell r="AA1102">
            <v>0</v>
          </cell>
          <cell r="AB1102">
            <v>0</v>
          </cell>
          <cell r="AC1102">
            <v>0</v>
          </cell>
          <cell r="AD1102">
            <v>0</v>
          </cell>
          <cell r="AE1102">
            <v>0</v>
          </cell>
          <cell r="AF1102">
            <v>0</v>
          </cell>
          <cell r="AG1102">
            <v>0</v>
          </cell>
          <cell r="AH1102">
            <v>0</v>
          </cell>
        </row>
        <row r="1103">
          <cell r="B1103" t="str">
            <v>SNIES</v>
          </cell>
          <cell r="C1103" t="str">
            <v>B1A</v>
          </cell>
          <cell r="D1103" t="str">
            <v>B1AK</v>
          </cell>
          <cell r="E1103" t="str">
            <v>EP/YOMO</v>
          </cell>
          <cell r="F1103" t="str">
            <v>SNIES</v>
          </cell>
          <cell r="G1103">
            <v>24</v>
          </cell>
          <cell r="H1103" t="str">
            <v>EP Yomou fournitures scolaires filles défavorisées</v>
          </cell>
          <cell r="I1103" t="str">
            <v>SNIES</v>
          </cell>
          <cell r="K1103" t="str">
            <v>BAD ED IV</v>
          </cell>
          <cell r="L1103" t="str">
            <v>AOI</v>
          </cell>
          <cell r="P1103">
            <v>0</v>
          </cell>
          <cell r="Q1103" t="str">
            <v>lot</v>
          </cell>
          <cell r="S1103">
            <v>7464.4854065897725</v>
          </cell>
          <cell r="T1103">
            <v>1</v>
          </cell>
          <cell r="U1103">
            <v>0</v>
          </cell>
          <cell r="V1103">
            <v>0</v>
          </cell>
          <cell r="W1103">
            <v>0</v>
          </cell>
          <cell r="X1103">
            <v>0</v>
          </cell>
          <cell r="Y1103">
            <v>0</v>
          </cell>
          <cell r="Z1103">
            <v>0</v>
          </cell>
          <cell r="AA1103">
            <v>0</v>
          </cell>
          <cell r="AB1103">
            <v>0</v>
          </cell>
          <cell r="AC1103">
            <v>0</v>
          </cell>
          <cell r="AD1103">
            <v>0</v>
          </cell>
          <cell r="AE1103">
            <v>0</v>
          </cell>
          <cell r="AF1103">
            <v>0</v>
          </cell>
          <cell r="AG1103">
            <v>0</v>
          </cell>
          <cell r="AH1103">
            <v>0</v>
          </cell>
        </row>
        <row r="1104">
          <cell r="B1104" t="str">
            <v>SNIES</v>
          </cell>
          <cell r="C1104" t="str">
            <v>B1A</v>
          </cell>
          <cell r="D1104" t="str">
            <v>B1AK</v>
          </cell>
          <cell r="E1104" t="str">
            <v>EP/MAMO</v>
          </cell>
          <cell r="F1104" t="str">
            <v>SNIES</v>
          </cell>
          <cell r="G1104">
            <v>24</v>
          </cell>
          <cell r="H1104" t="str">
            <v>EP Mamou fournitures scolaires filles défavorisées</v>
          </cell>
          <cell r="I1104" t="str">
            <v>SNIES</v>
          </cell>
          <cell r="K1104" t="str">
            <v>BAD ED IV</v>
          </cell>
          <cell r="L1104" t="str">
            <v>AOI</v>
          </cell>
          <cell r="P1104">
            <v>0</v>
          </cell>
          <cell r="Q1104" t="str">
            <v>lot</v>
          </cell>
          <cell r="S1104">
            <v>7464.4854065897725</v>
          </cell>
          <cell r="T1104">
            <v>1</v>
          </cell>
          <cell r="U1104">
            <v>0</v>
          </cell>
          <cell r="V1104">
            <v>0</v>
          </cell>
          <cell r="W1104">
            <v>0</v>
          </cell>
          <cell r="X1104">
            <v>0</v>
          </cell>
          <cell r="Y1104">
            <v>0</v>
          </cell>
          <cell r="Z1104">
            <v>0</v>
          </cell>
          <cell r="AA1104">
            <v>0</v>
          </cell>
          <cell r="AB1104">
            <v>0</v>
          </cell>
          <cell r="AC1104">
            <v>0</v>
          </cell>
          <cell r="AD1104">
            <v>0</v>
          </cell>
          <cell r="AE1104">
            <v>0</v>
          </cell>
          <cell r="AF1104">
            <v>0</v>
          </cell>
          <cell r="AG1104">
            <v>0</v>
          </cell>
          <cell r="AH1104">
            <v>0</v>
          </cell>
        </row>
        <row r="1105">
          <cell r="B1105" t="str">
            <v>SNIES</v>
          </cell>
          <cell r="C1105" t="str">
            <v>B1A</v>
          </cell>
          <cell r="D1105" t="str">
            <v>B1AK</v>
          </cell>
          <cell r="E1105" t="str">
            <v>EP/DALA</v>
          </cell>
          <cell r="F1105" t="str">
            <v>SNIES</v>
          </cell>
          <cell r="G1105">
            <v>24</v>
          </cell>
          <cell r="H1105" t="str">
            <v>EP Dalaba fournitures scolaires filles défavorisées</v>
          </cell>
          <cell r="I1105" t="str">
            <v>SNIES</v>
          </cell>
          <cell r="K1105" t="str">
            <v>BAD ED IV</v>
          </cell>
          <cell r="L1105" t="str">
            <v>AOI</v>
          </cell>
          <cell r="P1105">
            <v>0</v>
          </cell>
          <cell r="Q1105" t="str">
            <v>lot</v>
          </cell>
          <cell r="S1105">
            <v>7464.4854065897725</v>
          </cell>
          <cell r="T1105">
            <v>1</v>
          </cell>
          <cell r="U1105">
            <v>0</v>
          </cell>
          <cell r="V1105">
            <v>0</v>
          </cell>
          <cell r="W1105">
            <v>0</v>
          </cell>
          <cell r="X1105">
            <v>0</v>
          </cell>
          <cell r="Y1105">
            <v>0</v>
          </cell>
          <cell r="Z1105">
            <v>0</v>
          </cell>
          <cell r="AA1105">
            <v>0</v>
          </cell>
          <cell r="AB1105">
            <v>0</v>
          </cell>
          <cell r="AC1105">
            <v>0</v>
          </cell>
          <cell r="AD1105">
            <v>0</v>
          </cell>
          <cell r="AE1105">
            <v>0</v>
          </cell>
          <cell r="AF1105">
            <v>0</v>
          </cell>
          <cell r="AG1105">
            <v>0</v>
          </cell>
          <cell r="AH1105">
            <v>0</v>
          </cell>
        </row>
        <row r="1106">
          <cell r="B1106" t="str">
            <v>SNIES</v>
          </cell>
          <cell r="C1106" t="str">
            <v>B1A</v>
          </cell>
          <cell r="D1106" t="str">
            <v>B1AK</v>
          </cell>
          <cell r="E1106" t="str">
            <v>EP/PITA</v>
          </cell>
          <cell r="F1106" t="str">
            <v>SNIES</v>
          </cell>
          <cell r="G1106">
            <v>24</v>
          </cell>
          <cell r="H1106" t="str">
            <v>EP Pita fournitures scolaires filles défavorisées</v>
          </cell>
          <cell r="I1106" t="str">
            <v>SNIES</v>
          </cell>
          <cell r="K1106" t="str">
            <v>BAD ED IV</v>
          </cell>
          <cell r="L1106" t="str">
            <v>AOI</v>
          </cell>
          <cell r="P1106">
            <v>0</v>
          </cell>
          <cell r="Q1106" t="str">
            <v>lot</v>
          </cell>
          <cell r="S1106">
            <v>7464.4854065897725</v>
          </cell>
          <cell r="T1106">
            <v>1</v>
          </cell>
          <cell r="U1106">
            <v>0</v>
          </cell>
          <cell r="V1106">
            <v>0</v>
          </cell>
          <cell r="W1106">
            <v>0</v>
          </cell>
          <cell r="X1106">
            <v>0</v>
          </cell>
          <cell r="Y1106">
            <v>0</v>
          </cell>
          <cell r="Z1106">
            <v>0</v>
          </cell>
          <cell r="AA1106">
            <v>0</v>
          </cell>
          <cell r="AB1106">
            <v>0</v>
          </cell>
          <cell r="AC1106">
            <v>0</v>
          </cell>
          <cell r="AD1106">
            <v>0</v>
          </cell>
          <cell r="AE1106">
            <v>0</v>
          </cell>
          <cell r="AF1106">
            <v>0</v>
          </cell>
          <cell r="AG1106">
            <v>0</v>
          </cell>
          <cell r="AH1106">
            <v>0</v>
          </cell>
        </row>
        <row r="1107">
          <cell r="B1107" t="str">
            <v>SNIES</v>
          </cell>
          <cell r="C1107" t="str">
            <v>B1A</v>
          </cell>
          <cell r="D1107" t="str">
            <v>B1AK</v>
          </cell>
          <cell r="E1107" t="str">
            <v>EP/FARA</v>
          </cell>
          <cell r="F1107" t="str">
            <v>SNIES</v>
          </cell>
          <cell r="G1107">
            <v>24</v>
          </cell>
          <cell r="H1107" t="str">
            <v>EP Faranah fournitures scolaires filles défavorisées</v>
          </cell>
          <cell r="I1107" t="str">
            <v>SNIES</v>
          </cell>
          <cell r="K1107" t="str">
            <v>BAD ED IV</v>
          </cell>
          <cell r="L1107" t="str">
            <v>AOI</v>
          </cell>
          <cell r="P1107">
            <v>0</v>
          </cell>
          <cell r="Q1107" t="str">
            <v>lot</v>
          </cell>
          <cell r="S1107">
            <v>7464.4854065897725</v>
          </cell>
          <cell r="T1107">
            <v>1</v>
          </cell>
          <cell r="U1107">
            <v>0</v>
          </cell>
          <cell r="V1107">
            <v>0</v>
          </cell>
          <cell r="W1107">
            <v>0</v>
          </cell>
          <cell r="X1107">
            <v>0</v>
          </cell>
          <cell r="Y1107">
            <v>0</v>
          </cell>
          <cell r="Z1107">
            <v>0</v>
          </cell>
          <cell r="AA1107">
            <v>0</v>
          </cell>
          <cell r="AB1107">
            <v>0</v>
          </cell>
          <cell r="AC1107">
            <v>0</v>
          </cell>
          <cell r="AD1107">
            <v>0</v>
          </cell>
          <cell r="AE1107">
            <v>0</v>
          </cell>
          <cell r="AF1107">
            <v>0</v>
          </cell>
          <cell r="AG1107">
            <v>0</v>
          </cell>
          <cell r="AH1107">
            <v>0</v>
          </cell>
        </row>
        <row r="1108">
          <cell r="B1108" t="str">
            <v>SNIES</v>
          </cell>
          <cell r="C1108" t="str">
            <v>B1A</v>
          </cell>
          <cell r="D1108" t="str">
            <v>B1AK</v>
          </cell>
          <cell r="E1108" t="str">
            <v>EP/DABO</v>
          </cell>
          <cell r="F1108" t="str">
            <v>SNIES</v>
          </cell>
          <cell r="G1108">
            <v>24</v>
          </cell>
          <cell r="H1108" t="str">
            <v>EP Dabola fournitures scolaires filles défavorisées</v>
          </cell>
          <cell r="I1108" t="str">
            <v>SNIES</v>
          </cell>
          <cell r="K1108" t="str">
            <v>BAD ED IV</v>
          </cell>
          <cell r="L1108" t="str">
            <v>AOI</v>
          </cell>
          <cell r="P1108">
            <v>0</v>
          </cell>
          <cell r="Q1108" t="str">
            <v>lot</v>
          </cell>
          <cell r="S1108">
            <v>7464.4854065897725</v>
          </cell>
          <cell r="T1108">
            <v>1</v>
          </cell>
          <cell r="U1108">
            <v>0</v>
          </cell>
          <cell r="V1108">
            <v>0</v>
          </cell>
          <cell r="W1108">
            <v>0</v>
          </cell>
          <cell r="X1108">
            <v>0</v>
          </cell>
          <cell r="Y1108">
            <v>0</v>
          </cell>
          <cell r="Z1108">
            <v>0</v>
          </cell>
          <cell r="AA1108">
            <v>0</v>
          </cell>
          <cell r="AB1108">
            <v>0</v>
          </cell>
          <cell r="AC1108">
            <v>0</v>
          </cell>
          <cell r="AD1108">
            <v>0</v>
          </cell>
          <cell r="AE1108">
            <v>0</v>
          </cell>
          <cell r="AF1108">
            <v>0</v>
          </cell>
          <cell r="AG1108">
            <v>0</v>
          </cell>
          <cell r="AH1108">
            <v>0</v>
          </cell>
        </row>
        <row r="1109">
          <cell r="B1109" t="str">
            <v>SNIES</v>
          </cell>
          <cell r="C1109" t="str">
            <v>B1A</v>
          </cell>
          <cell r="D1109" t="str">
            <v>B1AK</v>
          </cell>
          <cell r="E1109" t="str">
            <v>EP/KISS</v>
          </cell>
          <cell r="F1109" t="str">
            <v>SNIES</v>
          </cell>
          <cell r="G1109">
            <v>24</v>
          </cell>
          <cell r="H1109" t="str">
            <v>EP Kissidougou fournitures scolaires filles défavorisées</v>
          </cell>
          <cell r="I1109" t="str">
            <v>SNIES</v>
          </cell>
          <cell r="K1109" t="str">
            <v>BAD ED IV</v>
          </cell>
          <cell r="L1109" t="str">
            <v>AOI</v>
          </cell>
          <cell r="P1109">
            <v>0</v>
          </cell>
          <cell r="Q1109" t="str">
            <v>lot</v>
          </cell>
          <cell r="S1109">
            <v>7464.4854065897725</v>
          </cell>
          <cell r="T1109">
            <v>1</v>
          </cell>
          <cell r="U1109">
            <v>0</v>
          </cell>
          <cell r="V1109">
            <v>0</v>
          </cell>
          <cell r="W1109">
            <v>0</v>
          </cell>
          <cell r="X1109">
            <v>0</v>
          </cell>
          <cell r="Y1109">
            <v>0</v>
          </cell>
          <cell r="Z1109">
            <v>0</v>
          </cell>
          <cell r="AA1109">
            <v>0</v>
          </cell>
          <cell r="AB1109">
            <v>0</v>
          </cell>
          <cell r="AC1109">
            <v>0</v>
          </cell>
          <cell r="AD1109">
            <v>0</v>
          </cell>
          <cell r="AE1109">
            <v>0</v>
          </cell>
          <cell r="AF1109">
            <v>0</v>
          </cell>
          <cell r="AG1109">
            <v>0</v>
          </cell>
          <cell r="AH1109">
            <v>0</v>
          </cell>
        </row>
        <row r="1110">
          <cell r="B1110" t="str">
            <v>SNIES</v>
          </cell>
          <cell r="C1110" t="str">
            <v>B1A</v>
          </cell>
          <cell r="D1110" t="str">
            <v>B1AK</v>
          </cell>
          <cell r="E1110" t="str">
            <v>EP/DING</v>
          </cell>
          <cell r="F1110" t="str">
            <v>SNIES</v>
          </cell>
          <cell r="G1110">
            <v>24</v>
          </cell>
          <cell r="H1110" t="str">
            <v>EP Dinguiraye fournitures scolaires filles défavorisées</v>
          </cell>
          <cell r="I1110" t="str">
            <v>SNIES</v>
          </cell>
          <cell r="K1110" t="str">
            <v>BAD ED IV</v>
          </cell>
          <cell r="L1110" t="str">
            <v>AOI</v>
          </cell>
          <cell r="P1110">
            <v>0</v>
          </cell>
          <cell r="Q1110" t="str">
            <v>lot</v>
          </cell>
          <cell r="S1110">
            <v>7464.4854065897725</v>
          </cell>
          <cell r="T1110">
            <v>1</v>
          </cell>
          <cell r="U1110">
            <v>0</v>
          </cell>
          <cell r="V1110">
            <v>0</v>
          </cell>
          <cell r="W1110">
            <v>0</v>
          </cell>
          <cell r="X1110">
            <v>0</v>
          </cell>
          <cell r="Y1110">
            <v>0</v>
          </cell>
          <cell r="Z1110">
            <v>0</v>
          </cell>
          <cell r="AA1110">
            <v>0</v>
          </cell>
          <cell r="AB1110">
            <v>0</v>
          </cell>
          <cell r="AC1110">
            <v>0</v>
          </cell>
          <cell r="AD1110">
            <v>0</v>
          </cell>
          <cell r="AE1110">
            <v>0</v>
          </cell>
          <cell r="AF1110">
            <v>0</v>
          </cell>
          <cell r="AG1110">
            <v>0</v>
          </cell>
          <cell r="AH1110">
            <v>0</v>
          </cell>
        </row>
        <row r="1111">
          <cell r="B1111" t="str">
            <v>SNIES</v>
          </cell>
          <cell r="C1111" t="str">
            <v>B1A</v>
          </cell>
          <cell r="D1111" t="str">
            <v>B1AK</v>
          </cell>
          <cell r="E1111" t="str">
            <v>EP/KANK</v>
          </cell>
          <cell r="F1111" t="str">
            <v>SNIES</v>
          </cell>
          <cell r="G1111">
            <v>24</v>
          </cell>
          <cell r="H1111" t="str">
            <v>EP Kankan fournitures scolaires filles défavorisées</v>
          </cell>
          <cell r="I1111" t="str">
            <v>SNIES</v>
          </cell>
          <cell r="K1111" t="str">
            <v>BAD ED IV</v>
          </cell>
          <cell r="L1111" t="str">
            <v>AOI</v>
          </cell>
          <cell r="P1111">
            <v>0</v>
          </cell>
          <cell r="Q1111" t="str">
            <v>lot</v>
          </cell>
          <cell r="S1111">
            <v>7464.4854065897725</v>
          </cell>
          <cell r="T1111">
            <v>1</v>
          </cell>
          <cell r="U1111">
            <v>0</v>
          </cell>
          <cell r="V1111">
            <v>0</v>
          </cell>
          <cell r="W1111">
            <v>0</v>
          </cell>
          <cell r="X1111">
            <v>0</v>
          </cell>
          <cell r="Y1111">
            <v>0</v>
          </cell>
          <cell r="Z1111">
            <v>0</v>
          </cell>
          <cell r="AA1111">
            <v>0</v>
          </cell>
          <cell r="AB1111">
            <v>0</v>
          </cell>
          <cell r="AC1111">
            <v>0</v>
          </cell>
          <cell r="AD1111">
            <v>0</v>
          </cell>
          <cell r="AE1111">
            <v>0</v>
          </cell>
          <cell r="AF1111">
            <v>0</v>
          </cell>
          <cell r="AG1111">
            <v>0</v>
          </cell>
          <cell r="AH1111">
            <v>0</v>
          </cell>
        </row>
        <row r="1112">
          <cell r="B1112" t="str">
            <v>SNIES</v>
          </cell>
          <cell r="C1112" t="str">
            <v>B1A</v>
          </cell>
          <cell r="D1112" t="str">
            <v>B1AK</v>
          </cell>
          <cell r="E1112" t="str">
            <v>EP/KOUR</v>
          </cell>
          <cell r="F1112" t="str">
            <v>SNIES</v>
          </cell>
          <cell r="G1112">
            <v>24</v>
          </cell>
          <cell r="H1112" t="str">
            <v>EP Kouroussa fournitures scolaires filles défavorisées</v>
          </cell>
          <cell r="I1112" t="str">
            <v>SNIES</v>
          </cell>
          <cell r="K1112" t="str">
            <v>BAD ED IV</v>
          </cell>
          <cell r="L1112" t="str">
            <v>AOI</v>
          </cell>
          <cell r="P1112">
            <v>0</v>
          </cell>
          <cell r="Q1112" t="str">
            <v>lot</v>
          </cell>
          <cell r="S1112">
            <v>7464.4854065897725</v>
          </cell>
          <cell r="T1112">
            <v>1</v>
          </cell>
          <cell r="U1112">
            <v>0</v>
          </cell>
          <cell r="V1112">
            <v>0</v>
          </cell>
          <cell r="W1112">
            <v>0</v>
          </cell>
          <cell r="X1112">
            <v>0</v>
          </cell>
          <cell r="Y1112">
            <v>0</v>
          </cell>
          <cell r="Z1112">
            <v>0</v>
          </cell>
          <cell r="AA1112">
            <v>0</v>
          </cell>
          <cell r="AB1112">
            <v>0</v>
          </cell>
          <cell r="AC1112">
            <v>0</v>
          </cell>
          <cell r="AD1112">
            <v>0</v>
          </cell>
          <cell r="AE1112">
            <v>0</v>
          </cell>
          <cell r="AF1112">
            <v>0</v>
          </cell>
          <cell r="AG1112">
            <v>0</v>
          </cell>
          <cell r="AH1112">
            <v>0</v>
          </cell>
        </row>
        <row r="1113">
          <cell r="B1113" t="str">
            <v>SNIES</v>
          </cell>
          <cell r="C1113" t="str">
            <v>B1A</v>
          </cell>
          <cell r="D1113" t="str">
            <v>B1AK</v>
          </cell>
          <cell r="E1113" t="str">
            <v>EP/MAND</v>
          </cell>
          <cell r="F1113" t="str">
            <v>SNIES</v>
          </cell>
          <cell r="G1113">
            <v>24</v>
          </cell>
          <cell r="H1113" t="str">
            <v>EP Mandiana fournitures scolaires filles défavorisées</v>
          </cell>
          <cell r="I1113" t="str">
            <v>SNIES</v>
          </cell>
          <cell r="K1113" t="str">
            <v>BAD ED IV</v>
          </cell>
          <cell r="L1113" t="str">
            <v>AOI</v>
          </cell>
          <cell r="P1113">
            <v>0</v>
          </cell>
          <cell r="Q1113" t="str">
            <v>lot</v>
          </cell>
          <cell r="S1113">
            <v>7464.4854065897725</v>
          </cell>
          <cell r="T1113">
            <v>1</v>
          </cell>
          <cell r="U1113">
            <v>0</v>
          </cell>
          <cell r="V1113">
            <v>0</v>
          </cell>
          <cell r="W1113">
            <v>0</v>
          </cell>
          <cell r="X1113">
            <v>0</v>
          </cell>
          <cell r="Y1113">
            <v>0</v>
          </cell>
          <cell r="Z1113">
            <v>0</v>
          </cell>
          <cell r="AA1113">
            <v>0</v>
          </cell>
          <cell r="AB1113">
            <v>0</v>
          </cell>
          <cell r="AC1113">
            <v>0</v>
          </cell>
          <cell r="AD1113">
            <v>0</v>
          </cell>
          <cell r="AE1113">
            <v>0</v>
          </cell>
          <cell r="AF1113">
            <v>0</v>
          </cell>
          <cell r="AG1113">
            <v>0</v>
          </cell>
          <cell r="AH1113">
            <v>0</v>
          </cell>
        </row>
        <row r="1114">
          <cell r="B1114" t="str">
            <v>SNIES</v>
          </cell>
          <cell r="C1114" t="str">
            <v>B1A</v>
          </cell>
          <cell r="D1114" t="str">
            <v>B1AK</v>
          </cell>
          <cell r="E1114" t="str">
            <v>EP/SIGU</v>
          </cell>
          <cell r="F1114" t="str">
            <v>SNIES</v>
          </cell>
          <cell r="G1114">
            <v>24</v>
          </cell>
          <cell r="H1114" t="str">
            <v>EP Siguiri fournitures scolaires filles défavorisées</v>
          </cell>
          <cell r="I1114" t="str">
            <v>SNIES</v>
          </cell>
          <cell r="K1114" t="str">
            <v>BAD ED IV</v>
          </cell>
          <cell r="L1114" t="str">
            <v>AOI</v>
          </cell>
          <cell r="P1114">
            <v>0</v>
          </cell>
          <cell r="Q1114" t="str">
            <v>lot</v>
          </cell>
          <cell r="S1114">
            <v>7464.4854065897725</v>
          </cell>
          <cell r="T1114">
            <v>1</v>
          </cell>
          <cell r="U1114">
            <v>0</v>
          </cell>
          <cell r="V1114">
            <v>0</v>
          </cell>
          <cell r="W1114">
            <v>0</v>
          </cell>
          <cell r="X1114">
            <v>0</v>
          </cell>
          <cell r="Y1114">
            <v>0</v>
          </cell>
          <cell r="Z1114">
            <v>0</v>
          </cell>
          <cell r="AA1114">
            <v>0</v>
          </cell>
          <cell r="AB1114">
            <v>0</v>
          </cell>
          <cell r="AC1114">
            <v>0</v>
          </cell>
          <cell r="AD1114">
            <v>0</v>
          </cell>
          <cell r="AE1114">
            <v>0</v>
          </cell>
          <cell r="AF1114">
            <v>0</v>
          </cell>
          <cell r="AG1114">
            <v>0</v>
          </cell>
          <cell r="AH1114">
            <v>0</v>
          </cell>
        </row>
        <row r="1115">
          <cell r="B1115" t="str">
            <v>SNIES</v>
          </cell>
          <cell r="C1115" t="str">
            <v>B1A</v>
          </cell>
          <cell r="D1115" t="str">
            <v>B1AK</v>
          </cell>
          <cell r="E1115" t="str">
            <v>EP/KERO</v>
          </cell>
          <cell r="F1115" t="str">
            <v>SNIES</v>
          </cell>
          <cell r="G1115">
            <v>24</v>
          </cell>
          <cell r="H1115" t="str">
            <v>EP Kérouané fournitures scolaires filles défavorisées</v>
          </cell>
          <cell r="I1115" t="str">
            <v>SNIES</v>
          </cell>
          <cell r="K1115" t="str">
            <v>BAD ED IV</v>
          </cell>
          <cell r="L1115" t="str">
            <v>AOI</v>
          </cell>
          <cell r="P1115">
            <v>0</v>
          </cell>
          <cell r="Q1115" t="str">
            <v>lot</v>
          </cell>
          <cell r="S1115">
            <v>7464.4854065897725</v>
          </cell>
          <cell r="T1115">
            <v>1</v>
          </cell>
          <cell r="U1115">
            <v>0</v>
          </cell>
          <cell r="V1115">
            <v>0</v>
          </cell>
          <cell r="W1115">
            <v>0</v>
          </cell>
          <cell r="X1115">
            <v>0</v>
          </cell>
          <cell r="Y1115">
            <v>0</v>
          </cell>
          <cell r="Z1115">
            <v>0</v>
          </cell>
          <cell r="AA1115">
            <v>0</v>
          </cell>
          <cell r="AB1115">
            <v>0</v>
          </cell>
          <cell r="AC1115">
            <v>0</v>
          </cell>
          <cell r="AD1115">
            <v>0</v>
          </cell>
          <cell r="AE1115">
            <v>0</v>
          </cell>
          <cell r="AF1115">
            <v>0</v>
          </cell>
          <cell r="AG1115">
            <v>0</v>
          </cell>
          <cell r="AH1115">
            <v>0</v>
          </cell>
        </row>
        <row r="1116">
          <cell r="B1116" t="str">
            <v>SNIES</v>
          </cell>
          <cell r="C1116" t="str">
            <v>B1A</v>
          </cell>
          <cell r="D1116" t="str">
            <v>B1AK</v>
          </cell>
          <cell r="E1116" t="str">
            <v>EP/MALI</v>
          </cell>
          <cell r="F1116" t="str">
            <v>SNIES</v>
          </cell>
          <cell r="G1116">
            <v>24</v>
          </cell>
          <cell r="H1116" t="str">
            <v>EP Mali fournitures scolaires filles défavorisées</v>
          </cell>
          <cell r="I1116" t="str">
            <v>SNIES</v>
          </cell>
          <cell r="K1116" t="str">
            <v>BAD ED IV</v>
          </cell>
          <cell r="L1116" t="str">
            <v>AOI</v>
          </cell>
          <cell r="P1116">
            <v>0</v>
          </cell>
          <cell r="Q1116" t="str">
            <v>lot</v>
          </cell>
          <cell r="S1116">
            <v>7464.4854065897725</v>
          </cell>
          <cell r="T1116">
            <v>1</v>
          </cell>
          <cell r="U1116">
            <v>0</v>
          </cell>
          <cell r="V1116">
            <v>0</v>
          </cell>
          <cell r="W1116">
            <v>0</v>
          </cell>
          <cell r="X1116">
            <v>0</v>
          </cell>
          <cell r="Y1116">
            <v>0</v>
          </cell>
          <cell r="Z1116">
            <v>0</v>
          </cell>
          <cell r="AA1116">
            <v>0</v>
          </cell>
          <cell r="AB1116">
            <v>0</v>
          </cell>
          <cell r="AC1116">
            <v>0</v>
          </cell>
          <cell r="AD1116">
            <v>0</v>
          </cell>
          <cell r="AE1116">
            <v>0</v>
          </cell>
          <cell r="AF1116">
            <v>0</v>
          </cell>
          <cell r="AG1116">
            <v>0</v>
          </cell>
          <cell r="AH1116">
            <v>0</v>
          </cell>
        </row>
        <row r="1117">
          <cell r="B1117" t="str">
            <v>SNIES</v>
          </cell>
          <cell r="C1117" t="str">
            <v>B1A</v>
          </cell>
          <cell r="D1117" t="str">
            <v>B1AK</v>
          </cell>
          <cell r="E1117" t="str">
            <v>EP/TOUG</v>
          </cell>
          <cell r="F1117" t="str">
            <v>SNIES</v>
          </cell>
          <cell r="G1117">
            <v>24</v>
          </cell>
          <cell r="H1117" t="str">
            <v>EP Tougué fournitures scolaires filles défavorisées</v>
          </cell>
          <cell r="I1117" t="str">
            <v>SNIES</v>
          </cell>
          <cell r="K1117" t="str">
            <v>BAD ED IV</v>
          </cell>
          <cell r="L1117" t="str">
            <v>AOI</v>
          </cell>
          <cell r="P1117">
            <v>0</v>
          </cell>
          <cell r="Q1117" t="str">
            <v>lot</v>
          </cell>
          <cell r="S1117">
            <v>7464.4854065897725</v>
          </cell>
          <cell r="T1117">
            <v>1</v>
          </cell>
          <cell r="U1117">
            <v>0</v>
          </cell>
          <cell r="V1117">
            <v>0</v>
          </cell>
          <cell r="W1117">
            <v>0</v>
          </cell>
          <cell r="X1117">
            <v>0</v>
          </cell>
          <cell r="Y1117">
            <v>0</v>
          </cell>
          <cell r="Z1117">
            <v>0</v>
          </cell>
          <cell r="AA1117">
            <v>0</v>
          </cell>
          <cell r="AB1117">
            <v>0</v>
          </cell>
          <cell r="AC1117">
            <v>0</v>
          </cell>
          <cell r="AD1117">
            <v>0</v>
          </cell>
          <cell r="AE1117">
            <v>0</v>
          </cell>
          <cell r="AF1117">
            <v>0</v>
          </cell>
          <cell r="AG1117">
            <v>0</v>
          </cell>
          <cell r="AH1117">
            <v>0</v>
          </cell>
        </row>
        <row r="1118">
          <cell r="B1118" t="str">
            <v>SNIES</v>
          </cell>
          <cell r="C1118" t="str">
            <v>B1A</v>
          </cell>
          <cell r="D1118" t="str">
            <v>B1AK</v>
          </cell>
          <cell r="E1118" t="str">
            <v>EP/LABE</v>
          </cell>
          <cell r="F1118" t="str">
            <v>SNIES</v>
          </cell>
          <cell r="G1118">
            <v>24</v>
          </cell>
          <cell r="H1118" t="str">
            <v>EP Labé fournitures scolaires filles défavorisées</v>
          </cell>
          <cell r="I1118" t="str">
            <v>SNIES</v>
          </cell>
          <cell r="K1118" t="str">
            <v>BAD ED IV</v>
          </cell>
          <cell r="L1118" t="str">
            <v>AOI</v>
          </cell>
          <cell r="P1118">
            <v>0</v>
          </cell>
          <cell r="Q1118" t="str">
            <v>lot</v>
          </cell>
          <cell r="S1118">
            <v>7464.4854065897725</v>
          </cell>
          <cell r="T1118">
            <v>1</v>
          </cell>
          <cell r="U1118">
            <v>0</v>
          </cell>
          <cell r="V1118">
            <v>0</v>
          </cell>
          <cell r="W1118">
            <v>0</v>
          </cell>
          <cell r="X1118">
            <v>0</v>
          </cell>
          <cell r="Y1118">
            <v>0</v>
          </cell>
          <cell r="Z1118">
            <v>0</v>
          </cell>
          <cell r="AA1118">
            <v>0</v>
          </cell>
          <cell r="AB1118">
            <v>0</v>
          </cell>
          <cell r="AC1118">
            <v>0</v>
          </cell>
          <cell r="AD1118">
            <v>0</v>
          </cell>
          <cell r="AE1118">
            <v>0</v>
          </cell>
          <cell r="AF1118">
            <v>0</v>
          </cell>
          <cell r="AG1118">
            <v>0</v>
          </cell>
          <cell r="AH1118">
            <v>0</v>
          </cell>
        </row>
        <row r="1119">
          <cell r="B1119" t="str">
            <v>SNIES</v>
          </cell>
          <cell r="C1119" t="str">
            <v>B1A</v>
          </cell>
          <cell r="D1119" t="str">
            <v>B1AK</v>
          </cell>
          <cell r="E1119" t="str">
            <v>EP/KOUBI</v>
          </cell>
          <cell r="F1119" t="str">
            <v>SNIES</v>
          </cell>
          <cell r="G1119">
            <v>24</v>
          </cell>
          <cell r="H1119" t="str">
            <v>EP Koubia fournitures scolaires filles défavorisées</v>
          </cell>
          <cell r="I1119" t="str">
            <v>SNIES</v>
          </cell>
          <cell r="K1119" t="str">
            <v>BAD ED IV</v>
          </cell>
          <cell r="L1119" t="str">
            <v>AOI</v>
          </cell>
          <cell r="P1119">
            <v>0</v>
          </cell>
          <cell r="Q1119" t="str">
            <v>lot</v>
          </cell>
          <cell r="S1119">
            <v>7464.4854065897725</v>
          </cell>
          <cell r="T1119">
            <v>1</v>
          </cell>
          <cell r="U1119">
            <v>0</v>
          </cell>
          <cell r="V1119">
            <v>0</v>
          </cell>
          <cell r="W1119">
            <v>0</v>
          </cell>
          <cell r="X1119">
            <v>0</v>
          </cell>
          <cell r="Y1119">
            <v>0</v>
          </cell>
          <cell r="Z1119">
            <v>0</v>
          </cell>
          <cell r="AA1119">
            <v>0</v>
          </cell>
          <cell r="AB1119">
            <v>0</v>
          </cell>
          <cell r="AC1119">
            <v>0</v>
          </cell>
          <cell r="AD1119">
            <v>0</v>
          </cell>
          <cell r="AE1119">
            <v>0</v>
          </cell>
          <cell r="AF1119">
            <v>0</v>
          </cell>
          <cell r="AG1119">
            <v>0</v>
          </cell>
          <cell r="AH1119">
            <v>0</v>
          </cell>
        </row>
        <row r="1120">
          <cell r="B1120" t="str">
            <v>SNIES</v>
          </cell>
          <cell r="C1120" t="str">
            <v>B1A</v>
          </cell>
          <cell r="D1120" t="str">
            <v>B1AK</v>
          </cell>
          <cell r="E1120" t="str">
            <v>EP/LELO</v>
          </cell>
          <cell r="F1120" t="str">
            <v>SNIES</v>
          </cell>
          <cell r="G1120">
            <v>24</v>
          </cell>
          <cell r="H1120" t="str">
            <v>EP Lélouma fournitures scolaires filles défavorisées</v>
          </cell>
          <cell r="I1120" t="str">
            <v>SNIES</v>
          </cell>
          <cell r="K1120" t="str">
            <v>BAD ED IV</v>
          </cell>
          <cell r="L1120" t="str">
            <v>AOI</v>
          </cell>
          <cell r="P1120">
            <v>0</v>
          </cell>
          <cell r="Q1120" t="str">
            <v>lot</v>
          </cell>
          <cell r="S1120">
            <v>7464.4854065897725</v>
          </cell>
          <cell r="T1120">
            <v>1</v>
          </cell>
          <cell r="U1120">
            <v>0</v>
          </cell>
          <cell r="V1120">
            <v>0</v>
          </cell>
          <cell r="W1120">
            <v>0</v>
          </cell>
          <cell r="X1120">
            <v>0</v>
          </cell>
          <cell r="Y1120">
            <v>0</v>
          </cell>
          <cell r="Z1120">
            <v>0</v>
          </cell>
          <cell r="AA1120">
            <v>0</v>
          </cell>
          <cell r="AB1120">
            <v>0</v>
          </cell>
          <cell r="AC1120">
            <v>0</v>
          </cell>
          <cell r="AD1120">
            <v>0</v>
          </cell>
          <cell r="AE1120">
            <v>0</v>
          </cell>
          <cell r="AF1120">
            <v>0</v>
          </cell>
          <cell r="AG1120">
            <v>0</v>
          </cell>
          <cell r="AH1120">
            <v>0</v>
          </cell>
        </row>
        <row r="1121">
          <cell r="B1121" t="str">
            <v>SNIES</v>
          </cell>
          <cell r="C1121" t="str">
            <v>B1A</v>
          </cell>
          <cell r="D1121" t="str">
            <v>B1AK</v>
          </cell>
          <cell r="E1121" t="str">
            <v>EP/KIND</v>
          </cell>
          <cell r="F1121" t="str">
            <v>SNIES</v>
          </cell>
          <cell r="G1121">
            <v>24</v>
          </cell>
          <cell r="H1121" t="str">
            <v>EP Kindia fournitures scolaires filles défavorisées</v>
          </cell>
          <cell r="I1121" t="str">
            <v>SNIES</v>
          </cell>
          <cell r="K1121" t="str">
            <v>BAD ED IV</v>
          </cell>
          <cell r="L1121" t="str">
            <v>AOI</v>
          </cell>
          <cell r="P1121">
            <v>0</v>
          </cell>
          <cell r="Q1121" t="str">
            <v>lot</v>
          </cell>
          <cell r="S1121">
            <v>7464.4854065897725</v>
          </cell>
          <cell r="T1121">
            <v>1</v>
          </cell>
          <cell r="U1121">
            <v>0</v>
          </cell>
          <cell r="V1121">
            <v>0</v>
          </cell>
          <cell r="W1121">
            <v>0</v>
          </cell>
          <cell r="X1121">
            <v>0</v>
          </cell>
          <cell r="Y1121">
            <v>0</v>
          </cell>
          <cell r="Z1121">
            <v>0</v>
          </cell>
          <cell r="AA1121">
            <v>0</v>
          </cell>
          <cell r="AB1121">
            <v>0</v>
          </cell>
          <cell r="AC1121">
            <v>0</v>
          </cell>
          <cell r="AD1121">
            <v>0</v>
          </cell>
          <cell r="AE1121">
            <v>0</v>
          </cell>
          <cell r="AF1121">
            <v>0</v>
          </cell>
          <cell r="AG1121">
            <v>0</v>
          </cell>
          <cell r="AH1121">
            <v>0</v>
          </cell>
        </row>
        <row r="1122">
          <cell r="B1122" t="str">
            <v>SNIES</v>
          </cell>
          <cell r="C1122" t="str">
            <v>B1A</v>
          </cell>
          <cell r="D1122" t="str">
            <v>B1AK</v>
          </cell>
          <cell r="E1122" t="str">
            <v>EP/TELI</v>
          </cell>
          <cell r="F1122" t="str">
            <v>SNIES</v>
          </cell>
          <cell r="G1122">
            <v>24</v>
          </cell>
          <cell r="H1122" t="str">
            <v>EP Télimélé fournitures scolaires filles défavorisées</v>
          </cell>
          <cell r="I1122" t="str">
            <v>SNIES</v>
          </cell>
          <cell r="K1122" t="str">
            <v>BAD ED IV</v>
          </cell>
          <cell r="L1122" t="str">
            <v>AOI</v>
          </cell>
          <cell r="P1122">
            <v>0</v>
          </cell>
          <cell r="Q1122" t="str">
            <v>lot</v>
          </cell>
          <cell r="S1122">
            <v>7464.4854065897725</v>
          </cell>
          <cell r="T1122">
            <v>1</v>
          </cell>
          <cell r="U1122">
            <v>0</v>
          </cell>
          <cell r="V1122">
            <v>0</v>
          </cell>
          <cell r="W1122">
            <v>0</v>
          </cell>
          <cell r="X1122">
            <v>0</v>
          </cell>
          <cell r="Y1122">
            <v>0</v>
          </cell>
          <cell r="Z1122">
            <v>0</v>
          </cell>
          <cell r="AA1122">
            <v>0</v>
          </cell>
          <cell r="AB1122">
            <v>0</v>
          </cell>
          <cell r="AC1122">
            <v>0</v>
          </cell>
          <cell r="AD1122">
            <v>0</v>
          </cell>
          <cell r="AE1122">
            <v>0</v>
          </cell>
          <cell r="AF1122">
            <v>0</v>
          </cell>
          <cell r="AG1122">
            <v>0</v>
          </cell>
          <cell r="AH1122">
            <v>0</v>
          </cell>
        </row>
        <row r="1123">
          <cell r="B1123" t="str">
            <v>SNIES</v>
          </cell>
          <cell r="C1123" t="str">
            <v>B1A</v>
          </cell>
          <cell r="D1123" t="str">
            <v>B1AK</v>
          </cell>
          <cell r="E1123" t="str">
            <v>EP/COYA</v>
          </cell>
          <cell r="F1123" t="str">
            <v>SNIES</v>
          </cell>
          <cell r="G1123">
            <v>24</v>
          </cell>
          <cell r="H1123" t="str">
            <v>EP Coyah fournitures scolaires filles défavorisées</v>
          </cell>
          <cell r="I1123" t="str">
            <v>SNIES</v>
          </cell>
          <cell r="K1123" t="str">
            <v>BAD ED IV</v>
          </cell>
          <cell r="L1123" t="str">
            <v>AOI</v>
          </cell>
          <cell r="P1123">
            <v>0</v>
          </cell>
          <cell r="Q1123" t="str">
            <v>lot</v>
          </cell>
          <cell r="S1123">
            <v>7464.4854065897725</v>
          </cell>
          <cell r="T1123">
            <v>1</v>
          </cell>
          <cell r="U1123">
            <v>0</v>
          </cell>
          <cell r="V1123">
            <v>0</v>
          </cell>
          <cell r="W1123">
            <v>0</v>
          </cell>
          <cell r="X1123">
            <v>0</v>
          </cell>
          <cell r="Y1123">
            <v>0</v>
          </cell>
          <cell r="Z1123">
            <v>0</v>
          </cell>
          <cell r="AA1123">
            <v>0</v>
          </cell>
          <cell r="AB1123">
            <v>0</v>
          </cell>
          <cell r="AC1123">
            <v>0</v>
          </cell>
          <cell r="AD1123">
            <v>0</v>
          </cell>
          <cell r="AE1123">
            <v>0</v>
          </cell>
          <cell r="AF1123">
            <v>0</v>
          </cell>
          <cell r="AG1123">
            <v>0</v>
          </cell>
          <cell r="AH1123">
            <v>0</v>
          </cell>
        </row>
        <row r="1124">
          <cell r="B1124" t="str">
            <v>SNIES</v>
          </cell>
          <cell r="C1124" t="str">
            <v>B1A</v>
          </cell>
          <cell r="D1124" t="str">
            <v>B1AK</v>
          </cell>
          <cell r="E1124" t="str">
            <v>EP/FORE</v>
          </cell>
          <cell r="F1124" t="str">
            <v>SNIES</v>
          </cell>
          <cell r="G1124">
            <v>24</v>
          </cell>
          <cell r="H1124" t="str">
            <v>EP Forécariah fournitures scolaires filles défavorisées</v>
          </cell>
          <cell r="I1124" t="str">
            <v>SNIES</v>
          </cell>
          <cell r="K1124" t="str">
            <v>BAD ED IV</v>
          </cell>
          <cell r="L1124" t="str">
            <v>AOI</v>
          </cell>
          <cell r="P1124">
            <v>0</v>
          </cell>
          <cell r="Q1124" t="str">
            <v>lot</v>
          </cell>
          <cell r="S1124">
            <v>7464.4854065897725</v>
          </cell>
          <cell r="T1124">
            <v>1</v>
          </cell>
          <cell r="U1124">
            <v>0</v>
          </cell>
          <cell r="V1124">
            <v>0</v>
          </cell>
          <cell r="W1124">
            <v>0</v>
          </cell>
          <cell r="X1124">
            <v>0</v>
          </cell>
          <cell r="Y1124">
            <v>0</v>
          </cell>
          <cell r="Z1124">
            <v>0</v>
          </cell>
          <cell r="AA1124">
            <v>0</v>
          </cell>
          <cell r="AB1124">
            <v>0</v>
          </cell>
          <cell r="AC1124">
            <v>0</v>
          </cell>
          <cell r="AD1124">
            <v>0</v>
          </cell>
          <cell r="AE1124">
            <v>0</v>
          </cell>
          <cell r="AF1124">
            <v>0</v>
          </cell>
          <cell r="AG1124">
            <v>0</v>
          </cell>
          <cell r="AH1124">
            <v>0</v>
          </cell>
        </row>
        <row r="1125">
          <cell r="B1125" t="str">
            <v>SNIES</v>
          </cell>
          <cell r="C1125" t="str">
            <v>B1A</v>
          </cell>
          <cell r="D1125" t="str">
            <v>B1AK</v>
          </cell>
          <cell r="E1125" t="str">
            <v>EP/DUBR</v>
          </cell>
          <cell r="F1125" t="str">
            <v>SNIES</v>
          </cell>
          <cell r="G1125">
            <v>24</v>
          </cell>
          <cell r="H1125" t="str">
            <v>EP Dubréka fournitures scolaires filles défavorisées</v>
          </cell>
          <cell r="I1125" t="str">
            <v>SNIES</v>
          </cell>
          <cell r="K1125" t="str">
            <v>BAD ED IV</v>
          </cell>
          <cell r="L1125" t="str">
            <v>AOI</v>
          </cell>
          <cell r="P1125">
            <v>0</v>
          </cell>
          <cell r="Q1125" t="str">
            <v>lot</v>
          </cell>
          <cell r="S1125">
            <v>7464.4854065897725</v>
          </cell>
          <cell r="T1125">
            <v>1</v>
          </cell>
          <cell r="U1125">
            <v>0</v>
          </cell>
          <cell r="V1125">
            <v>0</v>
          </cell>
          <cell r="W1125">
            <v>0</v>
          </cell>
          <cell r="X1125">
            <v>0</v>
          </cell>
          <cell r="Y1125">
            <v>0</v>
          </cell>
          <cell r="Z1125">
            <v>0</v>
          </cell>
          <cell r="AA1125">
            <v>0</v>
          </cell>
          <cell r="AB1125">
            <v>0</v>
          </cell>
          <cell r="AC1125">
            <v>0</v>
          </cell>
          <cell r="AD1125">
            <v>0</v>
          </cell>
          <cell r="AE1125">
            <v>0</v>
          </cell>
          <cell r="AF1125">
            <v>0</v>
          </cell>
          <cell r="AG1125">
            <v>0</v>
          </cell>
          <cell r="AH1125">
            <v>0</v>
          </cell>
        </row>
        <row r="1126">
          <cell r="B1126" t="str">
            <v>SNIES</v>
          </cell>
          <cell r="C1126" t="str">
            <v>B1A</v>
          </cell>
          <cell r="D1126" t="str">
            <v>B1AK</v>
          </cell>
          <cell r="E1126" t="str">
            <v>EP/BOKE</v>
          </cell>
          <cell r="F1126" t="str">
            <v>SNIES</v>
          </cell>
          <cell r="G1126">
            <v>24</v>
          </cell>
          <cell r="H1126" t="str">
            <v>EP Boké fournitures scolaires filles défavorisées</v>
          </cell>
          <cell r="I1126" t="str">
            <v>SNIES</v>
          </cell>
          <cell r="K1126" t="str">
            <v>BAD ED IV</v>
          </cell>
          <cell r="L1126" t="str">
            <v>AOI</v>
          </cell>
          <cell r="P1126">
            <v>0</v>
          </cell>
          <cell r="Q1126" t="str">
            <v>lot</v>
          </cell>
          <cell r="S1126">
            <v>7464.4854065897725</v>
          </cell>
          <cell r="T1126">
            <v>1</v>
          </cell>
          <cell r="U1126">
            <v>0</v>
          </cell>
          <cell r="V1126">
            <v>0</v>
          </cell>
          <cell r="W1126">
            <v>0</v>
          </cell>
          <cell r="X1126">
            <v>0</v>
          </cell>
          <cell r="Y1126">
            <v>0</v>
          </cell>
          <cell r="Z1126">
            <v>0</v>
          </cell>
          <cell r="AA1126">
            <v>0</v>
          </cell>
          <cell r="AB1126">
            <v>0</v>
          </cell>
          <cell r="AC1126">
            <v>0</v>
          </cell>
          <cell r="AD1126">
            <v>0</v>
          </cell>
          <cell r="AE1126">
            <v>0</v>
          </cell>
          <cell r="AF1126">
            <v>0</v>
          </cell>
          <cell r="AG1126">
            <v>0</v>
          </cell>
          <cell r="AH1126">
            <v>0</v>
          </cell>
        </row>
        <row r="1127">
          <cell r="B1127" t="str">
            <v>SNIES</v>
          </cell>
          <cell r="C1127" t="str">
            <v>B1A</v>
          </cell>
          <cell r="D1127" t="str">
            <v>B1AK</v>
          </cell>
          <cell r="E1127" t="str">
            <v>EP/BOFF</v>
          </cell>
          <cell r="F1127" t="str">
            <v>SNIES</v>
          </cell>
          <cell r="G1127">
            <v>24</v>
          </cell>
          <cell r="H1127" t="str">
            <v>EP Boffa fournitures scolaires filles défavorisées</v>
          </cell>
          <cell r="I1127" t="str">
            <v>SNIES</v>
          </cell>
          <cell r="K1127" t="str">
            <v>BAD ED IV</v>
          </cell>
          <cell r="L1127" t="str">
            <v>AOI</v>
          </cell>
          <cell r="P1127">
            <v>0</v>
          </cell>
          <cell r="Q1127" t="str">
            <v>lot</v>
          </cell>
          <cell r="S1127">
            <v>7464.4854065897725</v>
          </cell>
          <cell r="T1127">
            <v>1</v>
          </cell>
          <cell r="U1127">
            <v>0</v>
          </cell>
          <cell r="V1127">
            <v>0</v>
          </cell>
          <cell r="W1127">
            <v>0</v>
          </cell>
          <cell r="X1127">
            <v>0</v>
          </cell>
          <cell r="Y1127">
            <v>0</v>
          </cell>
          <cell r="Z1127">
            <v>0</v>
          </cell>
          <cell r="AA1127">
            <v>0</v>
          </cell>
          <cell r="AB1127">
            <v>0</v>
          </cell>
          <cell r="AC1127">
            <v>0</v>
          </cell>
          <cell r="AD1127">
            <v>0</v>
          </cell>
          <cell r="AE1127">
            <v>0</v>
          </cell>
          <cell r="AF1127">
            <v>0</v>
          </cell>
          <cell r="AG1127">
            <v>0</v>
          </cell>
          <cell r="AH1127">
            <v>0</v>
          </cell>
        </row>
        <row r="1128">
          <cell r="B1128" t="str">
            <v>SNIES</v>
          </cell>
          <cell r="C1128" t="str">
            <v>B1A</v>
          </cell>
          <cell r="D1128" t="str">
            <v>B1AK</v>
          </cell>
          <cell r="E1128" t="str">
            <v>EP/FRIA</v>
          </cell>
          <cell r="F1128" t="str">
            <v>SNIES</v>
          </cell>
          <cell r="G1128">
            <v>24</v>
          </cell>
          <cell r="H1128" t="str">
            <v>EP Fria fournitures scolaires filles défavorisées</v>
          </cell>
          <cell r="I1128" t="str">
            <v>SNIES</v>
          </cell>
          <cell r="K1128" t="str">
            <v>BAD ED IV</v>
          </cell>
          <cell r="L1128" t="str">
            <v>AOI</v>
          </cell>
          <cell r="P1128">
            <v>0</v>
          </cell>
          <cell r="Q1128" t="str">
            <v>lot</v>
          </cell>
          <cell r="S1128">
            <v>7464.4854065897725</v>
          </cell>
          <cell r="T1128">
            <v>1</v>
          </cell>
          <cell r="U1128">
            <v>0</v>
          </cell>
          <cell r="V1128">
            <v>0</v>
          </cell>
          <cell r="W1128">
            <v>0</v>
          </cell>
          <cell r="X1128">
            <v>0</v>
          </cell>
          <cell r="Y1128">
            <v>0</v>
          </cell>
          <cell r="Z1128">
            <v>0</v>
          </cell>
          <cell r="AA1128">
            <v>0</v>
          </cell>
          <cell r="AB1128">
            <v>0</v>
          </cell>
          <cell r="AC1128">
            <v>0</v>
          </cell>
          <cell r="AD1128">
            <v>0</v>
          </cell>
          <cell r="AE1128">
            <v>0</v>
          </cell>
          <cell r="AF1128">
            <v>0</v>
          </cell>
          <cell r="AG1128">
            <v>0</v>
          </cell>
          <cell r="AH1128">
            <v>0</v>
          </cell>
        </row>
        <row r="1129">
          <cell r="B1129" t="str">
            <v>SNIES</v>
          </cell>
          <cell r="C1129" t="str">
            <v>B1A</v>
          </cell>
          <cell r="D1129" t="str">
            <v>B1AK</v>
          </cell>
          <cell r="E1129" t="str">
            <v>EP/GAOU</v>
          </cell>
          <cell r="F1129" t="str">
            <v>SNIES</v>
          </cell>
          <cell r="G1129">
            <v>24</v>
          </cell>
          <cell r="H1129" t="str">
            <v>EP Gaoual fournitures scolaires filles défavorisées</v>
          </cell>
          <cell r="I1129" t="str">
            <v>SNIES</v>
          </cell>
          <cell r="K1129" t="str">
            <v>BAD ED IV</v>
          </cell>
          <cell r="L1129" t="str">
            <v>AOI</v>
          </cell>
          <cell r="P1129">
            <v>0</v>
          </cell>
          <cell r="Q1129" t="str">
            <v>lot</v>
          </cell>
          <cell r="S1129">
            <v>7464.4854065897725</v>
          </cell>
          <cell r="T1129">
            <v>1</v>
          </cell>
          <cell r="U1129">
            <v>0</v>
          </cell>
          <cell r="V1129">
            <v>0</v>
          </cell>
          <cell r="W1129">
            <v>0</v>
          </cell>
          <cell r="X1129">
            <v>0</v>
          </cell>
          <cell r="Y1129">
            <v>0</v>
          </cell>
          <cell r="Z1129">
            <v>0</v>
          </cell>
          <cell r="AA1129">
            <v>0</v>
          </cell>
          <cell r="AB1129">
            <v>0</v>
          </cell>
          <cell r="AC1129">
            <v>0</v>
          </cell>
          <cell r="AD1129">
            <v>0</v>
          </cell>
          <cell r="AE1129">
            <v>0</v>
          </cell>
          <cell r="AF1129">
            <v>0</v>
          </cell>
          <cell r="AG1129">
            <v>0</v>
          </cell>
          <cell r="AH1129">
            <v>0</v>
          </cell>
        </row>
        <row r="1130">
          <cell r="B1130" t="str">
            <v>SNIES</v>
          </cell>
          <cell r="C1130" t="str">
            <v>B1A</v>
          </cell>
          <cell r="D1130" t="str">
            <v>B1AK</v>
          </cell>
          <cell r="E1130" t="str">
            <v>EP/KOUN</v>
          </cell>
          <cell r="F1130" t="str">
            <v>SNIES</v>
          </cell>
          <cell r="G1130">
            <v>24</v>
          </cell>
          <cell r="H1130" t="str">
            <v>EP Koundara fournitures scolaires filles défavorisées</v>
          </cell>
          <cell r="I1130" t="str">
            <v>SNIES</v>
          </cell>
          <cell r="K1130" t="str">
            <v>BAD ED IV</v>
          </cell>
          <cell r="L1130" t="str">
            <v>AOI</v>
          </cell>
          <cell r="P1130">
            <v>0</v>
          </cell>
          <cell r="Q1130" t="str">
            <v>lot</v>
          </cell>
          <cell r="S1130">
            <v>7464.4854065897725</v>
          </cell>
          <cell r="T1130">
            <v>1</v>
          </cell>
          <cell r="U1130">
            <v>0</v>
          </cell>
          <cell r="V1130">
            <v>0</v>
          </cell>
          <cell r="W1130">
            <v>0</v>
          </cell>
          <cell r="X1130">
            <v>0</v>
          </cell>
          <cell r="Y1130">
            <v>0</v>
          </cell>
          <cell r="Z1130">
            <v>0</v>
          </cell>
          <cell r="AA1130">
            <v>0</v>
          </cell>
          <cell r="AB1130">
            <v>0</v>
          </cell>
          <cell r="AC1130">
            <v>0</v>
          </cell>
          <cell r="AD1130">
            <v>0</v>
          </cell>
          <cell r="AE1130">
            <v>0</v>
          </cell>
          <cell r="AF1130">
            <v>0</v>
          </cell>
          <cell r="AG1130">
            <v>0</v>
          </cell>
          <cell r="AH1130">
            <v>0</v>
          </cell>
        </row>
        <row r="1131">
          <cell r="B1131" t="str">
            <v>SNIES</v>
          </cell>
          <cell r="C1131" t="str">
            <v>B1F</v>
          </cell>
          <cell r="D1131" t="str">
            <v>B1FC</v>
          </cell>
          <cell r="E1131" t="str">
            <v>SSU</v>
          </cell>
          <cell r="F1131" t="str">
            <v>SNIES</v>
          </cell>
          <cell r="G1131">
            <v>25</v>
          </cell>
          <cell r="H1131" t="str">
            <v>SSU Etude d'impact du VIH/SIDA en milieu scolaire</v>
          </cell>
          <cell r="I1131" t="str">
            <v>SSU</v>
          </cell>
          <cell r="K1131" t="str">
            <v>BAD ED IV</v>
          </cell>
          <cell r="L1131" t="str">
            <v>LR</v>
          </cell>
          <cell r="M1131">
            <v>4</v>
          </cell>
          <cell r="P1131">
            <v>4</v>
          </cell>
          <cell r="Q1131" t="str">
            <v>p x m</v>
          </cell>
          <cell r="S1131">
            <v>35471.234652114596</v>
          </cell>
          <cell r="T1131">
            <v>1</v>
          </cell>
          <cell r="U1131">
            <v>141884.93860845838</v>
          </cell>
          <cell r="V1131">
            <v>0</v>
          </cell>
          <cell r="W1131">
            <v>0</v>
          </cell>
          <cell r="X1131">
            <v>141884.93860845838</v>
          </cell>
          <cell r="Y1131">
            <v>141884.93860845838</v>
          </cell>
          <cell r="Z1131">
            <v>0</v>
          </cell>
          <cell r="AA1131">
            <v>0</v>
          </cell>
          <cell r="AB1131">
            <v>141884.93860845838</v>
          </cell>
          <cell r="AC1131">
            <v>0</v>
          </cell>
          <cell r="AD1131">
            <v>0</v>
          </cell>
          <cell r="AE1131">
            <v>0</v>
          </cell>
          <cell r="AF1131">
            <v>0</v>
          </cell>
          <cell r="AG1131">
            <v>0</v>
          </cell>
          <cell r="AH1131">
            <v>0</v>
          </cell>
        </row>
        <row r="1132">
          <cell r="B1132" t="str">
            <v>SNIES</v>
          </cell>
          <cell r="C1132" t="str">
            <v>B1A</v>
          </cell>
          <cell r="D1132" t="str">
            <v>B1AE</v>
          </cell>
          <cell r="E1132" t="str">
            <v>DNEE</v>
          </cell>
          <cell r="F1132" t="str">
            <v>SNIES</v>
          </cell>
          <cell r="G1132">
            <v>12</v>
          </cell>
          <cell r="H1132" t="str">
            <v>Formation en genre 1200 enseignants primaire  x 3jours</v>
          </cell>
          <cell r="I1132" t="str">
            <v>CNE</v>
          </cell>
          <cell r="K1132" t="str">
            <v>BAD ED IV</v>
          </cell>
          <cell r="L1132" t="str">
            <v>AUT</v>
          </cell>
          <cell r="M1132">
            <v>3600</v>
          </cell>
          <cell r="P1132">
            <v>3600</v>
          </cell>
          <cell r="Q1132" t="str">
            <v>pxj</v>
          </cell>
          <cell r="S1132">
            <v>116.21364912081251</v>
          </cell>
          <cell r="T1132">
            <v>1</v>
          </cell>
          <cell r="U1132">
            <v>418369.13683492504</v>
          </cell>
          <cell r="V1132">
            <v>0</v>
          </cell>
          <cell r="W1132">
            <v>0</v>
          </cell>
          <cell r="X1132">
            <v>418369.13683492504</v>
          </cell>
          <cell r="Y1132">
            <v>418369.13683492504</v>
          </cell>
          <cell r="Z1132">
            <v>0</v>
          </cell>
          <cell r="AA1132">
            <v>0</v>
          </cell>
          <cell r="AB1132">
            <v>418369.13683492504</v>
          </cell>
          <cell r="AC1132">
            <v>0</v>
          </cell>
          <cell r="AD1132">
            <v>0</v>
          </cell>
          <cell r="AE1132">
            <v>0</v>
          </cell>
          <cell r="AF1132">
            <v>0</v>
          </cell>
          <cell r="AG1132">
            <v>0</v>
          </cell>
          <cell r="AH1132">
            <v>0</v>
          </cell>
        </row>
        <row r="1133">
          <cell r="B1133" t="str">
            <v>SNIES</v>
          </cell>
          <cell r="C1133" t="str">
            <v>B1B</v>
          </cell>
          <cell r="D1133" t="str">
            <v>B1BH</v>
          </cell>
          <cell r="E1133" t="str">
            <v>DNES</v>
          </cell>
          <cell r="F1133" t="str">
            <v>SNIES</v>
          </cell>
          <cell r="G1133">
            <v>12</v>
          </cell>
          <cell r="H1133" t="str">
            <v>Formation en genre 600 enseignants secondaire x 3jours</v>
          </cell>
          <cell r="I1133" t="str">
            <v>CNE</v>
          </cell>
          <cell r="K1133" t="str">
            <v>BAD ED IV</v>
          </cell>
          <cell r="L1133" t="str">
            <v>AUT</v>
          </cell>
          <cell r="M1133">
            <v>1800</v>
          </cell>
          <cell r="P1133">
            <v>1800</v>
          </cell>
          <cell r="Q1133" t="str">
            <v>pxj</v>
          </cell>
          <cell r="S1133">
            <v>116.21364912081251</v>
          </cell>
          <cell r="T1133">
            <v>1</v>
          </cell>
          <cell r="U1133">
            <v>209184.56841746252</v>
          </cell>
          <cell r="V1133">
            <v>0</v>
          </cell>
          <cell r="W1133">
            <v>0</v>
          </cell>
          <cell r="X1133">
            <v>209184.56841746252</v>
          </cell>
          <cell r="Y1133">
            <v>209184.56841746252</v>
          </cell>
          <cell r="Z1133">
            <v>0</v>
          </cell>
          <cell r="AA1133">
            <v>0</v>
          </cell>
          <cell r="AB1133">
            <v>209184.56841746252</v>
          </cell>
          <cell r="AC1133">
            <v>0</v>
          </cell>
          <cell r="AD1133">
            <v>0</v>
          </cell>
          <cell r="AE1133">
            <v>0</v>
          </cell>
          <cell r="AF1133">
            <v>0</v>
          </cell>
          <cell r="AG1133">
            <v>0</v>
          </cell>
          <cell r="AH1133">
            <v>0</v>
          </cell>
        </row>
        <row r="1134">
          <cell r="B1134" t="str">
            <v>SNIES</v>
          </cell>
          <cell r="C1134" t="str">
            <v>B2A</v>
          </cell>
          <cell r="D1134" t="str">
            <v>B2AG</v>
          </cell>
          <cell r="E1134" t="str">
            <v>DNETFP</v>
          </cell>
          <cell r="F1134" t="str">
            <v>SNIES</v>
          </cell>
          <cell r="G1134">
            <v>12</v>
          </cell>
          <cell r="H1134" t="str">
            <v>Formation en genre 200 enseignants ETFP 3jours</v>
          </cell>
          <cell r="I1134" t="str">
            <v>CNE</v>
          </cell>
          <cell r="K1134" t="str">
            <v>BAD ED IV</v>
          </cell>
          <cell r="L1134" t="str">
            <v>AUT</v>
          </cell>
          <cell r="M1134">
            <v>600</v>
          </cell>
          <cell r="P1134">
            <v>600</v>
          </cell>
          <cell r="Q1134" t="str">
            <v>pxj</v>
          </cell>
          <cell r="S1134">
            <v>116.21364912081251</v>
          </cell>
          <cell r="T1134">
            <v>1</v>
          </cell>
          <cell r="U1134">
            <v>69728.189472487502</v>
          </cell>
          <cell r="V1134">
            <v>0</v>
          </cell>
          <cell r="W1134">
            <v>0</v>
          </cell>
          <cell r="X1134">
            <v>69728.189472487502</v>
          </cell>
          <cell r="Y1134">
            <v>69728.189472487502</v>
          </cell>
          <cell r="Z1134">
            <v>0</v>
          </cell>
          <cell r="AA1134">
            <v>0</v>
          </cell>
          <cell r="AB1134">
            <v>69728.189472487502</v>
          </cell>
          <cell r="AC1134">
            <v>0</v>
          </cell>
          <cell r="AD1134">
            <v>0</v>
          </cell>
          <cell r="AE1134">
            <v>0</v>
          </cell>
          <cell r="AF1134">
            <v>0</v>
          </cell>
          <cell r="AG1134">
            <v>0</v>
          </cell>
          <cell r="AH1134">
            <v>0</v>
          </cell>
        </row>
        <row r="1135">
          <cell r="B1135" t="str">
            <v>SNIES</v>
          </cell>
          <cell r="C1135" t="str">
            <v>B3A</v>
          </cell>
          <cell r="D1135" t="str">
            <v>B3AB</v>
          </cell>
          <cell r="E1135" t="str">
            <v>DNESUP</v>
          </cell>
          <cell r="F1135" t="str">
            <v>SNIES</v>
          </cell>
          <cell r="G1135">
            <v>12</v>
          </cell>
          <cell r="H1135" t="str">
            <v>Formation en genre 100 enseignants supérieur 3jours</v>
          </cell>
          <cell r="I1135" t="str">
            <v>CNE</v>
          </cell>
          <cell r="K1135" t="str">
            <v>BAD ED IV</v>
          </cell>
          <cell r="L1135" t="str">
            <v>AUT</v>
          </cell>
          <cell r="M1135">
            <v>300</v>
          </cell>
          <cell r="P1135">
            <v>300</v>
          </cell>
          <cell r="Q1135" t="str">
            <v>pxj</v>
          </cell>
          <cell r="S1135">
            <v>116.21364912081251</v>
          </cell>
          <cell r="T1135">
            <v>1</v>
          </cell>
          <cell r="U1135">
            <v>34864.094736243751</v>
          </cell>
          <cell r="V1135">
            <v>0</v>
          </cell>
          <cell r="W1135">
            <v>0</v>
          </cell>
          <cell r="X1135">
            <v>34864.094736243751</v>
          </cell>
          <cell r="Y1135">
            <v>34864.094736243751</v>
          </cell>
          <cell r="Z1135">
            <v>0</v>
          </cell>
          <cell r="AA1135">
            <v>0</v>
          </cell>
          <cell r="AB1135">
            <v>34864.094736243751</v>
          </cell>
          <cell r="AC1135">
            <v>0</v>
          </cell>
          <cell r="AD1135">
            <v>0</v>
          </cell>
          <cell r="AE1135">
            <v>0</v>
          </cell>
          <cell r="AF1135">
            <v>0</v>
          </cell>
          <cell r="AG1135">
            <v>0</v>
          </cell>
          <cell r="AH1135">
            <v>0</v>
          </cell>
        </row>
        <row r="1136">
          <cell r="B1136" t="str">
            <v>SNIES</v>
          </cell>
          <cell r="C1136" t="str">
            <v>B1A</v>
          </cell>
          <cell r="D1136" t="str">
            <v>B1AE</v>
          </cell>
          <cell r="E1136" t="str">
            <v>DNEE</v>
          </cell>
          <cell r="F1136" t="str">
            <v>SNIES</v>
          </cell>
          <cell r="G1136">
            <v>12</v>
          </cell>
          <cell r="H1136" t="str">
            <v xml:space="preserve"> Formation utilisation manuels maîtres primaire 3jours x 2100p</v>
          </cell>
          <cell r="I1136" t="str">
            <v>INRAP</v>
          </cell>
          <cell r="K1136" t="str">
            <v>BAD ED IV</v>
          </cell>
          <cell r="L1136" t="str">
            <v>AUT</v>
          </cell>
          <cell r="M1136">
            <v>6300</v>
          </cell>
          <cell r="P1136">
            <v>6300</v>
          </cell>
          <cell r="Q1136" t="str">
            <v>pxj</v>
          </cell>
          <cell r="S1136">
            <v>110.60206226314993</v>
          </cell>
          <cell r="T1136">
            <v>1</v>
          </cell>
          <cell r="U1136">
            <v>696792.99225784454</v>
          </cell>
          <cell r="V1136">
            <v>0</v>
          </cell>
          <cell r="W1136">
            <v>0</v>
          </cell>
          <cell r="X1136">
            <v>696792.99225784454</v>
          </cell>
          <cell r="Y1136">
            <v>696792.99225784454</v>
          </cell>
          <cell r="Z1136">
            <v>0</v>
          </cell>
          <cell r="AA1136">
            <v>0</v>
          </cell>
          <cell r="AB1136">
            <v>696792.99225784454</v>
          </cell>
          <cell r="AC1136">
            <v>0</v>
          </cell>
          <cell r="AD1136">
            <v>0</v>
          </cell>
          <cell r="AE1136">
            <v>0</v>
          </cell>
          <cell r="AF1136">
            <v>0</v>
          </cell>
          <cell r="AG1136">
            <v>0</v>
          </cell>
          <cell r="AH1136">
            <v>0</v>
          </cell>
        </row>
        <row r="1137">
          <cell r="B1137" t="str">
            <v>SNIES</v>
          </cell>
          <cell r="C1137" t="str">
            <v>B1A</v>
          </cell>
          <cell r="D1137" t="str">
            <v>B1AE</v>
          </cell>
          <cell r="E1137" t="str">
            <v>DNEE</v>
          </cell>
          <cell r="F1137" t="str">
            <v>SNIES</v>
          </cell>
          <cell r="G1137">
            <v>12</v>
          </cell>
          <cell r="H1137" t="str">
            <v>Formation approche/compét 6500 direct écol prim X 5jours</v>
          </cell>
          <cell r="I1137" t="str">
            <v>INRAP</v>
          </cell>
          <cell r="K1137" t="str">
            <v>BAD ED IV</v>
          </cell>
          <cell r="L1137" t="str">
            <v>AUT</v>
          </cell>
          <cell r="M1137">
            <v>10833.333333333334</v>
          </cell>
          <cell r="N1137">
            <v>10833.333333333334</v>
          </cell>
          <cell r="P1137">
            <v>21666.666666666668</v>
          </cell>
          <cell r="Q1137" t="str">
            <v>pxj</v>
          </cell>
          <cell r="S1137">
            <v>114.40898088151957</v>
          </cell>
          <cell r="T1137">
            <v>1</v>
          </cell>
          <cell r="U1137">
            <v>1239430.6262164621</v>
          </cell>
          <cell r="V1137">
            <v>1239430.6262164621</v>
          </cell>
          <cell r="W1137">
            <v>0</v>
          </cell>
          <cell r="X1137">
            <v>2478861.2524329242</v>
          </cell>
          <cell r="Y1137">
            <v>1239430.6262164621</v>
          </cell>
          <cell r="Z1137">
            <v>1239430.6262164621</v>
          </cell>
          <cell r="AA1137">
            <v>0</v>
          </cell>
          <cell r="AB1137">
            <v>2478861.2524329242</v>
          </cell>
          <cell r="AC1137">
            <v>0</v>
          </cell>
          <cell r="AD1137">
            <v>0</v>
          </cell>
          <cell r="AE1137">
            <v>0</v>
          </cell>
          <cell r="AF1137">
            <v>0</v>
          </cell>
          <cell r="AG1137">
            <v>0</v>
          </cell>
          <cell r="AH1137">
            <v>0</v>
          </cell>
        </row>
        <row r="1138">
          <cell r="B1138" t="str">
            <v>SNIES</v>
          </cell>
          <cell r="C1138" t="str">
            <v>B1A</v>
          </cell>
          <cell r="D1138" t="str">
            <v>B1AE</v>
          </cell>
          <cell r="E1138" t="str">
            <v>DNEE</v>
          </cell>
          <cell r="F1138" t="str">
            <v>SNIES</v>
          </cell>
          <cell r="G1138">
            <v>12</v>
          </cell>
          <cell r="H1138" t="str">
            <v>Formation continue enseignants primaire 10jours x 3000p</v>
          </cell>
          <cell r="I1138" t="str">
            <v>DNEE</v>
          </cell>
          <cell r="K1138" t="str">
            <v>BAD ED IV</v>
          </cell>
          <cell r="L1138" t="str">
            <v>AUT</v>
          </cell>
          <cell r="M1138">
            <v>10000</v>
          </cell>
          <cell r="N1138">
            <v>10000</v>
          </cell>
          <cell r="P1138">
            <v>20000</v>
          </cell>
          <cell r="Q1138" t="str">
            <v>pxj</v>
          </cell>
          <cell r="S1138">
            <v>113.41598842655753</v>
          </cell>
          <cell r="T1138">
            <v>1</v>
          </cell>
          <cell r="U1138">
            <v>1134159.8842655753</v>
          </cell>
          <cell r="V1138">
            <v>1134159.8842655753</v>
          </cell>
          <cell r="W1138">
            <v>0</v>
          </cell>
          <cell r="X1138">
            <v>2268319.7685311507</v>
          </cell>
          <cell r="Y1138">
            <v>1134159.8842655753</v>
          </cell>
          <cell r="Z1138">
            <v>1134159.8842655753</v>
          </cell>
          <cell r="AA1138">
            <v>0</v>
          </cell>
          <cell r="AB1138">
            <v>2268319.7685311507</v>
          </cell>
          <cell r="AC1138">
            <v>0</v>
          </cell>
          <cell r="AD1138">
            <v>0</v>
          </cell>
          <cell r="AE1138">
            <v>0</v>
          </cell>
          <cell r="AF1138">
            <v>0</v>
          </cell>
          <cell r="AG1138">
            <v>0</v>
          </cell>
          <cell r="AH1138">
            <v>0</v>
          </cell>
        </row>
        <row r="1139">
          <cell r="B1139" t="str">
            <v>SNIES</v>
          </cell>
          <cell r="C1139" t="str">
            <v>C1I</v>
          </cell>
          <cell r="D1139" t="str">
            <v>C1IF</v>
          </cell>
          <cell r="E1139" t="str">
            <v>SSP</v>
          </cell>
          <cell r="F1139" t="str">
            <v>SNIES</v>
          </cell>
          <cell r="G1139">
            <v>23</v>
          </cell>
          <cell r="H1139" t="str">
            <v>SSP Equipement bureautique</v>
          </cell>
          <cell r="I1139" t="str">
            <v>SNIES</v>
          </cell>
          <cell r="K1139" t="str">
            <v>BAD ED IV</v>
          </cell>
          <cell r="L1139" t="str">
            <v>AOI</v>
          </cell>
          <cell r="P1139">
            <v>0</v>
          </cell>
          <cell r="Q1139" t="str">
            <v>lot</v>
          </cell>
          <cell r="S1139">
            <v>22070.990450204641</v>
          </cell>
          <cell r="T1139">
            <v>1</v>
          </cell>
          <cell r="U1139">
            <v>0</v>
          </cell>
          <cell r="V1139">
            <v>0</v>
          </cell>
          <cell r="W1139">
            <v>0</v>
          </cell>
          <cell r="X1139">
            <v>0</v>
          </cell>
          <cell r="Y1139">
            <v>0</v>
          </cell>
          <cell r="Z1139">
            <v>0</v>
          </cell>
          <cell r="AA1139">
            <v>0</v>
          </cell>
          <cell r="AB1139">
            <v>0</v>
          </cell>
          <cell r="AC1139">
            <v>0</v>
          </cell>
          <cell r="AD1139">
            <v>0</v>
          </cell>
          <cell r="AE1139">
            <v>0</v>
          </cell>
          <cell r="AF1139">
            <v>0</v>
          </cell>
          <cell r="AG1139">
            <v>0</v>
          </cell>
          <cell r="AH1139">
            <v>0</v>
          </cell>
        </row>
        <row r="1140">
          <cell r="B1140" t="str">
            <v>SNIES</v>
          </cell>
          <cell r="C1140" t="str">
            <v>C1I</v>
          </cell>
          <cell r="D1140" t="str">
            <v>C1IF</v>
          </cell>
          <cell r="E1140" t="str">
            <v>SSP</v>
          </cell>
          <cell r="F1140" t="str">
            <v>SNIES</v>
          </cell>
          <cell r="G1140">
            <v>23</v>
          </cell>
          <cell r="H1140" t="str">
            <v>SSP Equipement informatique</v>
          </cell>
          <cell r="I1140" t="str">
            <v>SNIES</v>
          </cell>
          <cell r="K1140" t="str">
            <v>BAD ED IV</v>
          </cell>
          <cell r="L1140" t="str">
            <v>AOI</v>
          </cell>
          <cell r="P1140">
            <v>0</v>
          </cell>
          <cell r="Q1140" t="str">
            <v>lot</v>
          </cell>
          <cell r="S1140">
            <v>73110.15586630287</v>
          </cell>
          <cell r="T1140">
            <v>1</v>
          </cell>
          <cell r="U1140">
            <v>0</v>
          </cell>
          <cell r="V1140">
            <v>0</v>
          </cell>
          <cell r="W1140">
            <v>0</v>
          </cell>
          <cell r="X1140">
            <v>0</v>
          </cell>
          <cell r="Y1140">
            <v>0</v>
          </cell>
          <cell r="Z1140">
            <v>0</v>
          </cell>
          <cell r="AA1140">
            <v>0</v>
          </cell>
          <cell r="AB1140">
            <v>0</v>
          </cell>
          <cell r="AC1140">
            <v>0</v>
          </cell>
          <cell r="AD1140">
            <v>0</v>
          </cell>
          <cell r="AE1140">
            <v>0</v>
          </cell>
          <cell r="AF1140">
            <v>0</v>
          </cell>
          <cell r="AG1140">
            <v>0</v>
          </cell>
          <cell r="AH1140">
            <v>0</v>
          </cell>
        </row>
        <row r="1141">
          <cell r="B1141" t="str">
            <v>SNIES</v>
          </cell>
          <cell r="C1141" t="str">
            <v>C1I</v>
          </cell>
          <cell r="D1141" t="str">
            <v>C1IF</v>
          </cell>
          <cell r="E1141" t="str">
            <v>SSP</v>
          </cell>
          <cell r="F1141" t="str">
            <v>SNIES</v>
          </cell>
          <cell r="G1141">
            <v>23</v>
          </cell>
          <cell r="H1141" t="str">
            <v>SSP Véhicule de liaison 4x4 double wagon</v>
          </cell>
          <cell r="I1141" t="str">
            <v>SNIES</v>
          </cell>
          <cell r="K1141" t="str">
            <v>BAD ED IV</v>
          </cell>
          <cell r="L1141" t="str">
            <v>AOI</v>
          </cell>
          <cell r="P1141">
            <v>0</v>
          </cell>
          <cell r="Q1141" t="str">
            <v>lot</v>
          </cell>
          <cell r="S1141">
            <v>187209.29399727148</v>
          </cell>
          <cell r="T1141">
            <v>1</v>
          </cell>
          <cell r="U1141">
            <v>0</v>
          </cell>
          <cell r="V1141">
            <v>0</v>
          </cell>
          <cell r="W1141">
            <v>0</v>
          </cell>
          <cell r="X1141">
            <v>0</v>
          </cell>
          <cell r="Y1141">
            <v>0</v>
          </cell>
          <cell r="Z1141">
            <v>0</v>
          </cell>
          <cell r="AA1141">
            <v>0</v>
          </cell>
          <cell r="AB1141">
            <v>0</v>
          </cell>
          <cell r="AC1141">
            <v>0</v>
          </cell>
          <cell r="AD1141">
            <v>0</v>
          </cell>
          <cell r="AE1141">
            <v>0</v>
          </cell>
          <cell r="AF1141">
            <v>0</v>
          </cell>
          <cell r="AG1141">
            <v>0</v>
          </cell>
          <cell r="AH1141">
            <v>0</v>
          </cell>
        </row>
        <row r="1142">
          <cell r="B1142" t="str">
            <v>SNIES</v>
          </cell>
          <cell r="C1142" t="str">
            <v>C1F</v>
          </cell>
          <cell r="D1142" t="str">
            <v>C1FA</v>
          </cell>
          <cell r="E1142" t="str">
            <v>IGE</v>
          </cell>
          <cell r="F1142" t="str">
            <v>SNIES</v>
          </cell>
          <cell r="G1142">
            <v>23</v>
          </cell>
          <cell r="H1142" t="str">
            <v>IGE Equipement bureautique</v>
          </cell>
          <cell r="I1142" t="str">
            <v>SNIES</v>
          </cell>
          <cell r="K1142" t="str">
            <v>BAD ED IV</v>
          </cell>
          <cell r="L1142" t="str">
            <v>AOI</v>
          </cell>
          <cell r="P1142">
            <v>0</v>
          </cell>
          <cell r="Q1142" t="str">
            <v>lot</v>
          </cell>
          <cell r="S1142">
            <v>22070.990450204641</v>
          </cell>
          <cell r="T1142">
            <v>1</v>
          </cell>
          <cell r="U1142">
            <v>0</v>
          </cell>
          <cell r="V1142">
            <v>0</v>
          </cell>
          <cell r="W1142">
            <v>0</v>
          </cell>
          <cell r="X1142">
            <v>0</v>
          </cell>
          <cell r="Y1142">
            <v>0</v>
          </cell>
          <cell r="Z1142">
            <v>0</v>
          </cell>
          <cell r="AA1142">
            <v>0</v>
          </cell>
          <cell r="AB1142">
            <v>0</v>
          </cell>
          <cell r="AC1142">
            <v>0</v>
          </cell>
          <cell r="AD1142">
            <v>0</v>
          </cell>
          <cell r="AE1142">
            <v>0</v>
          </cell>
          <cell r="AF1142">
            <v>0</v>
          </cell>
          <cell r="AG1142">
            <v>0</v>
          </cell>
          <cell r="AH1142">
            <v>0</v>
          </cell>
        </row>
        <row r="1143">
          <cell r="B1143" t="str">
            <v>SNIES</v>
          </cell>
          <cell r="C1143" t="str">
            <v>C1F</v>
          </cell>
          <cell r="D1143" t="str">
            <v>C1FA</v>
          </cell>
          <cell r="E1143" t="str">
            <v>IGE</v>
          </cell>
          <cell r="F1143" t="str">
            <v>SNIES</v>
          </cell>
          <cell r="G1143">
            <v>23</v>
          </cell>
          <cell r="H1143" t="str">
            <v>IGE Equipement informatique</v>
          </cell>
          <cell r="I1143" t="str">
            <v>SNIES</v>
          </cell>
          <cell r="K1143" t="str">
            <v>BAD ED IV</v>
          </cell>
          <cell r="L1143" t="str">
            <v>AOI</v>
          </cell>
          <cell r="P1143">
            <v>0</v>
          </cell>
          <cell r="Q1143" t="str">
            <v>lot</v>
          </cell>
          <cell r="S1143">
            <v>44339.043315143252</v>
          </cell>
          <cell r="T1143">
            <v>1</v>
          </cell>
          <cell r="U1143">
            <v>0</v>
          </cell>
          <cell r="V1143">
            <v>0</v>
          </cell>
          <cell r="W1143">
            <v>0</v>
          </cell>
          <cell r="X1143">
            <v>0</v>
          </cell>
          <cell r="Y1143">
            <v>0</v>
          </cell>
          <cell r="Z1143">
            <v>0</v>
          </cell>
          <cell r="AA1143">
            <v>0</v>
          </cell>
          <cell r="AB1143">
            <v>0</v>
          </cell>
          <cell r="AC1143">
            <v>0</v>
          </cell>
          <cell r="AD1143">
            <v>0</v>
          </cell>
          <cell r="AE1143">
            <v>0</v>
          </cell>
          <cell r="AF1143">
            <v>0</v>
          </cell>
          <cell r="AG1143">
            <v>0</v>
          </cell>
          <cell r="AH1143">
            <v>0</v>
          </cell>
        </row>
        <row r="1144">
          <cell r="B1144" t="str">
            <v>SNIES</v>
          </cell>
          <cell r="C1144" t="str">
            <v>C1F</v>
          </cell>
          <cell r="D1144" t="str">
            <v>C1FA</v>
          </cell>
          <cell r="E1144" t="str">
            <v>IGE</v>
          </cell>
          <cell r="F1144" t="str">
            <v>SNIES</v>
          </cell>
          <cell r="G1144">
            <v>23</v>
          </cell>
          <cell r="H1144" t="str">
            <v>IGE Véhicule de liaison 4x4 double wagon</v>
          </cell>
          <cell r="I1144" t="str">
            <v>SNIES</v>
          </cell>
          <cell r="K1144" t="str">
            <v>BAD ED IV</v>
          </cell>
          <cell r="L1144" t="str">
            <v>AOI</v>
          </cell>
          <cell r="P1144">
            <v>0</v>
          </cell>
          <cell r="Q1144" t="str">
            <v>lot</v>
          </cell>
          <cell r="S1144">
            <v>187209.29399727148</v>
          </cell>
          <cell r="T1144">
            <v>1</v>
          </cell>
          <cell r="U1144">
            <v>0</v>
          </cell>
          <cell r="V1144">
            <v>0</v>
          </cell>
          <cell r="W1144">
            <v>0</v>
          </cell>
          <cell r="X1144">
            <v>0</v>
          </cell>
          <cell r="Y1144">
            <v>0</v>
          </cell>
          <cell r="Z1144">
            <v>0</v>
          </cell>
          <cell r="AA1144">
            <v>0</v>
          </cell>
          <cell r="AB1144">
            <v>0</v>
          </cell>
          <cell r="AC1144">
            <v>0</v>
          </cell>
          <cell r="AD1144">
            <v>0</v>
          </cell>
          <cell r="AE1144">
            <v>0</v>
          </cell>
          <cell r="AF1144">
            <v>0</v>
          </cell>
          <cell r="AG1144">
            <v>0</v>
          </cell>
          <cell r="AH1144">
            <v>0</v>
          </cell>
        </row>
        <row r="1145">
          <cell r="B1145" t="str">
            <v>SNIES</v>
          </cell>
          <cell r="C1145" t="str">
            <v>C1L</v>
          </cell>
          <cell r="D1145" t="str">
            <v>C1LA</v>
          </cell>
          <cell r="E1145" t="str">
            <v>DNES</v>
          </cell>
          <cell r="F1145" t="str">
            <v>SNIES</v>
          </cell>
          <cell r="G1145">
            <v>12</v>
          </cell>
          <cell r="H1145" t="str">
            <v>DNES Form étranger en planif de l'éducation 24p IRE/DPE x 9 mois</v>
          </cell>
          <cell r="I1145" t="str">
            <v>SNFP</v>
          </cell>
          <cell r="K1145" t="str">
            <v>BAD ED IV</v>
          </cell>
          <cell r="L1145" t="str">
            <v>AUT</v>
          </cell>
          <cell r="M1145">
            <v>72</v>
          </cell>
          <cell r="N1145">
            <v>72</v>
          </cell>
          <cell r="P1145">
            <v>144</v>
          </cell>
          <cell r="Q1145" t="str">
            <v>pxm</v>
          </cell>
          <cell r="S1145">
            <v>11823.744884038199</v>
          </cell>
          <cell r="T1145">
            <v>1</v>
          </cell>
          <cell r="U1145">
            <v>851309.63165075029</v>
          </cell>
          <cell r="V1145">
            <v>851309.63165075029</v>
          </cell>
          <cell r="W1145">
            <v>0</v>
          </cell>
          <cell r="X1145">
            <v>1702619.2633015006</v>
          </cell>
          <cell r="Y1145">
            <v>851309.63165075029</v>
          </cell>
          <cell r="Z1145">
            <v>851309.63165075029</v>
          </cell>
          <cell r="AA1145">
            <v>0</v>
          </cell>
          <cell r="AB1145">
            <v>1702619.2633015006</v>
          </cell>
          <cell r="AC1145">
            <v>0</v>
          </cell>
          <cell r="AD1145">
            <v>0</v>
          </cell>
          <cell r="AE1145">
            <v>0</v>
          </cell>
          <cell r="AF1145">
            <v>0</v>
          </cell>
          <cell r="AG1145">
            <v>0</v>
          </cell>
          <cell r="AH1145">
            <v>0</v>
          </cell>
        </row>
        <row r="1146">
          <cell r="B1146" t="str">
            <v>SNIES</v>
          </cell>
          <cell r="C1146" t="str">
            <v>C1L</v>
          </cell>
          <cell r="D1146" t="str">
            <v>C1LA</v>
          </cell>
          <cell r="E1146" t="str">
            <v>SNEP</v>
          </cell>
          <cell r="F1146" t="str">
            <v>SNIES</v>
          </cell>
          <cell r="G1146">
            <v>12</v>
          </cell>
          <cell r="H1146" t="str">
            <v>SNEP Form étranger en planif de l'éducation 4p x 9 mois</v>
          </cell>
          <cell r="I1146" t="str">
            <v>SNFP</v>
          </cell>
          <cell r="K1146" t="str">
            <v>BAD ED IV</v>
          </cell>
          <cell r="L1146" t="str">
            <v>AUT</v>
          </cell>
          <cell r="M1146">
            <v>18</v>
          </cell>
          <cell r="P1146">
            <v>18</v>
          </cell>
          <cell r="Q1146" t="str">
            <v>pxm</v>
          </cell>
          <cell r="S1146">
            <v>11823.744884038199</v>
          </cell>
          <cell r="T1146">
            <v>1</v>
          </cell>
          <cell r="U1146">
            <v>212827.40791268757</v>
          </cell>
          <cell r="V1146">
            <v>0</v>
          </cell>
          <cell r="W1146">
            <v>0</v>
          </cell>
          <cell r="X1146">
            <v>212827.40791268757</v>
          </cell>
          <cell r="Y1146">
            <v>212827.40791268757</v>
          </cell>
          <cell r="Z1146">
            <v>0</v>
          </cell>
          <cell r="AA1146">
            <v>0</v>
          </cell>
          <cell r="AB1146">
            <v>212827.40791268757</v>
          </cell>
          <cell r="AC1146">
            <v>0</v>
          </cell>
          <cell r="AD1146">
            <v>0</v>
          </cell>
          <cell r="AE1146">
            <v>0</v>
          </cell>
          <cell r="AF1146">
            <v>0</v>
          </cell>
          <cell r="AG1146">
            <v>0</v>
          </cell>
          <cell r="AH1146">
            <v>0</v>
          </cell>
        </row>
        <row r="1147">
          <cell r="B1147" t="str">
            <v>SNIES</v>
          </cell>
          <cell r="C1147" t="str">
            <v>C1L</v>
          </cell>
          <cell r="D1147" t="str">
            <v>C1LA</v>
          </cell>
          <cell r="E1147" t="str">
            <v>SSP</v>
          </cell>
          <cell r="F1147" t="str">
            <v>SNIES</v>
          </cell>
          <cell r="G1147">
            <v>12</v>
          </cell>
          <cell r="H1147" t="str">
            <v>SSP Form étranger en planif de l'éducation 2p x 9 mois</v>
          </cell>
          <cell r="I1147" t="str">
            <v>SNFP</v>
          </cell>
          <cell r="K1147" t="str">
            <v>BAD ED IV</v>
          </cell>
          <cell r="L1147" t="str">
            <v>AUT</v>
          </cell>
          <cell r="M1147">
            <v>9</v>
          </cell>
          <cell r="P1147">
            <v>9</v>
          </cell>
          <cell r="Q1147" t="str">
            <v>pxm</v>
          </cell>
          <cell r="S1147">
            <v>11823.744884038199</v>
          </cell>
          <cell r="T1147">
            <v>1</v>
          </cell>
          <cell r="U1147">
            <v>106413.70395634379</v>
          </cell>
          <cell r="V1147">
            <v>0</v>
          </cell>
          <cell r="W1147">
            <v>0</v>
          </cell>
          <cell r="X1147">
            <v>106413.70395634379</v>
          </cell>
          <cell r="Y1147">
            <v>106413.70395634379</v>
          </cell>
          <cell r="Z1147">
            <v>0</v>
          </cell>
          <cell r="AA1147">
            <v>0</v>
          </cell>
          <cell r="AB1147">
            <v>106413.70395634379</v>
          </cell>
          <cell r="AC1147">
            <v>0</v>
          </cell>
          <cell r="AD1147">
            <v>0</v>
          </cell>
          <cell r="AE1147">
            <v>0</v>
          </cell>
          <cell r="AF1147">
            <v>0</v>
          </cell>
          <cell r="AG1147">
            <v>0</v>
          </cell>
          <cell r="AH1147">
            <v>0</v>
          </cell>
        </row>
        <row r="1148">
          <cell r="B1148" t="str">
            <v>SNIES</v>
          </cell>
          <cell r="C1148" t="str">
            <v>C1L</v>
          </cell>
          <cell r="D1148" t="str">
            <v>C1LA</v>
          </cell>
          <cell r="E1148" t="str">
            <v>DNES</v>
          </cell>
          <cell r="F1148" t="str">
            <v>SNIES</v>
          </cell>
          <cell r="G1148">
            <v>12</v>
          </cell>
          <cell r="H1148" t="str">
            <v>DNES Form étranger en maintenance infrast éqts 6 p x 3 mois</v>
          </cell>
          <cell r="I1148" t="str">
            <v>SNFP</v>
          </cell>
          <cell r="K1148" t="str">
            <v>BAD ED IV</v>
          </cell>
          <cell r="L1148" t="str">
            <v>AUT</v>
          </cell>
          <cell r="M1148">
            <v>18</v>
          </cell>
          <cell r="P1148">
            <v>18</v>
          </cell>
          <cell r="Q1148" t="str">
            <v>pxm</v>
          </cell>
          <cell r="S1148">
            <v>13794.369031377899</v>
          </cell>
          <cell r="T1148">
            <v>1</v>
          </cell>
          <cell r="U1148">
            <v>248298.64256480217</v>
          </cell>
          <cell r="V1148">
            <v>0</v>
          </cell>
          <cell r="W1148">
            <v>0</v>
          </cell>
          <cell r="X1148">
            <v>248298.64256480217</v>
          </cell>
          <cell r="Y1148">
            <v>248298.64256480217</v>
          </cell>
          <cell r="Z1148">
            <v>0</v>
          </cell>
          <cell r="AA1148">
            <v>0</v>
          </cell>
          <cell r="AB1148">
            <v>248298.64256480217</v>
          </cell>
          <cell r="AC1148">
            <v>0</v>
          </cell>
          <cell r="AD1148">
            <v>0</v>
          </cell>
          <cell r="AE1148">
            <v>0</v>
          </cell>
          <cell r="AF1148">
            <v>0</v>
          </cell>
          <cell r="AG1148">
            <v>0</v>
          </cell>
          <cell r="AH1148">
            <v>0</v>
          </cell>
        </row>
        <row r="1149">
          <cell r="B1149" t="str">
            <v>SNIES</v>
          </cell>
          <cell r="C1149" t="str">
            <v>C1L</v>
          </cell>
          <cell r="D1149" t="str">
            <v>C1LA</v>
          </cell>
          <cell r="E1149" t="str">
            <v>SNEP</v>
          </cell>
          <cell r="F1149" t="str">
            <v>SNIES</v>
          </cell>
          <cell r="G1149">
            <v>12</v>
          </cell>
          <cell r="H1149" t="str">
            <v>SNEP Voy d'études étranger 2p x 2 sem</v>
          </cell>
          <cell r="I1149" t="str">
            <v>SNFP</v>
          </cell>
          <cell r="K1149" t="str">
            <v>BAD ED IV</v>
          </cell>
          <cell r="L1149" t="str">
            <v>AUT</v>
          </cell>
          <cell r="P1149">
            <v>0</v>
          </cell>
          <cell r="Q1149" t="str">
            <v>pxsem</v>
          </cell>
          <cell r="S1149">
            <v>15764.993178717599</v>
          </cell>
          <cell r="T1149">
            <v>1</v>
          </cell>
          <cell r="U1149">
            <v>0</v>
          </cell>
          <cell r="V1149">
            <v>0</v>
          </cell>
          <cell r="W1149">
            <v>0</v>
          </cell>
          <cell r="X1149">
            <v>0</v>
          </cell>
          <cell r="Y1149">
            <v>0</v>
          </cell>
          <cell r="Z1149">
            <v>0</v>
          </cell>
          <cell r="AA1149">
            <v>0</v>
          </cell>
          <cell r="AB1149">
            <v>0</v>
          </cell>
          <cell r="AC1149">
            <v>0</v>
          </cell>
          <cell r="AD1149">
            <v>0</v>
          </cell>
          <cell r="AE1149">
            <v>0</v>
          </cell>
          <cell r="AF1149">
            <v>0</v>
          </cell>
          <cell r="AG1149">
            <v>0</v>
          </cell>
          <cell r="AH1149">
            <v>0</v>
          </cell>
        </row>
        <row r="1150">
          <cell r="B1150" t="str">
            <v>SNIES</v>
          </cell>
          <cell r="C1150" t="str">
            <v>C1L</v>
          </cell>
          <cell r="D1150" t="str">
            <v>C1LA</v>
          </cell>
          <cell r="E1150" t="str">
            <v>SNFP</v>
          </cell>
          <cell r="F1150" t="str">
            <v>SNIES</v>
          </cell>
          <cell r="G1150">
            <v>12</v>
          </cell>
          <cell r="H1150" t="str">
            <v>Form locale  planif managemt et adm scol 2x30p IRE/DPE x 3j</v>
          </cell>
          <cell r="I1150" t="str">
            <v>SNFP</v>
          </cell>
          <cell r="K1150" t="str">
            <v>BAD ED IV</v>
          </cell>
          <cell r="L1150" t="str">
            <v>AUT</v>
          </cell>
          <cell r="P1150">
            <v>0</v>
          </cell>
          <cell r="Q1150" t="str">
            <v>pxj</v>
          </cell>
          <cell r="S1150">
            <v>106.90635999317873</v>
          </cell>
          <cell r="T1150">
            <v>1</v>
          </cell>
          <cell r="U1150">
            <v>0</v>
          </cell>
          <cell r="V1150">
            <v>0</v>
          </cell>
          <cell r="W1150">
            <v>0</v>
          </cell>
          <cell r="X1150">
            <v>0</v>
          </cell>
          <cell r="Y1150">
            <v>0</v>
          </cell>
          <cell r="Z1150">
            <v>0</v>
          </cell>
          <cell r="AA1150">
            <v>0</v>
          </cell>
          <cell r="AB1150">
            <v>0</v>
          </cell>
          <cell r="AC1150">
            <v>0</v>
          </cell>
          <cell r="AD1150">
            <v>0</v>
          </cell>
          <cell r="AE1150">
            <v>0</v>
          </cell>
          <cell r="AF1150">
            <v>0</v>
          </cell>
          <cell r="AG1150">
            <v>0</v>
          </cell>
          <cell r="AH1150">
            <v>0</v>
          </cell>
        </row>
        <row r="1151">
          <cell r="B1151" t="str">
            <v>SNIES</v>
          </cell>
          <cell r="C1151" t="str">
            <v>C1L</v>
          </cell>
          <cell r="D1151" t="str">
            <v>C1LA</v>
          </cell>
          <cell r="E1151" t="str">
            <v>SNFP</v>
          </cell>
          <cell r="F1151" t="str">
            <v>SNIES</v>
          </cell>
          <cell r="G1151">
            <v>12</v>
          </cell>
          <cell r="H1151" t="str">
            <v>Spécialiste formation en managmt et adm scol 1 semaine</v>
          </cell>
          <cell r="I1151" t="str">
            <v>SNFP</v>
          </cell>
          <cell r="K1151" t="str">
            <v>BAD ED IV</v>
          </cell>
          <cell r="L1151" t="str">
            <v>LR</v>
          </cell>
          <cell r="P1151">
            <v>0</v>
          </cell>
          <cell r="Q1151" t="str">
            <v>pxsem</v>
          </cell>
          <cell r="S1151">
            <v>27588.738062755798</v>
          </cell>
          <cell r="T1151">
            <v>1</v>
          </cell>
          <cell r="U1151">
            <v>0</v>
          </cell>
          <cell r="V1151">
            <v>0</v>
          </cell>
          <cell r="W1151">
            <v>0</v>
          </cell>
          <cell r="X1151">
            <v>0</v>
          </cell>
          <cell r="Y1151">
            <v>0</v>
          </cell>
          <cell r="Z1151">
            <v>0</v>
          </cell>
          <cell r="AA1151">
            <v>0</v>
          </cell>
          <cell r="AB1151">
            <v>0</v>
          </cell>
          <cell r="AC1151">
            <v>0</v>
          </cell>
          <cell r="AD1151">
            <v>0</v>
          </cell>
          <cell r="AE1151">
            <v>0</v>
          </cell>
          <cell r="AF1151">
            <v>0</v>
          </cell>
          <cell r="AG1151">
            <v>0</v>
          </cell>
          <cell r="AH1151">
            <v>0</v>
          </cell>
        </row>
        <row r="1152">
          <cell r="B1152" t="str">
            <v>SNIES</v>
          </cell>
          <cell r="C1152" t="str">
            <v>C1L</v>
          </cell>
          <cell r="D1152" t="str">
            <v>C1LA</v>
          </cell>
          <cell r="E1152" t="str">
            <v>SNFP</v>
          </cell>
          <cell r="F1152" t="str">
            <v>SNIES</v>
          </cell>
          <cell r="G1152">
            <v>12</v>
          </cell>
          <cell r="H1152" t="str">
            <v>Form locale en informatique 4x17p IRE/DPE x 10j perdiem et transp</v>
          </cell>
          <cell r="I1152" t="str">
            <v>SNFP</v>
          </cell>
          <cell r="K1152" t="str">
            <v>BAD ED IV</v>
          </cell>
          <cell r="L1152" t="str">
            <v>AUT</v>
          </cell>
          <cell r="P1152">
            <v>0</v>
          </cell>
          <cell r="Q1152" t="str">
            <v>pxj</v>
          </cell>
          <cell r="S1152">
            <v>86.214806446111879</v>
          </cell>
          <cell r="T1152">
            <v>1</v>
          </cell>
          <cell r="U1152">
            <v>0</v>
          </cell>
          <cell r="V1152">
            <v>0</v>
          </cell>
          <cell r="W1152">
            <v>0</v>
          </cell>
          <cell r="X1152">
            <v>0</v>
          </cell>
          <cell r="Y1152">
            <v>0</v>
          </cell>
          <cell r="Z1152">
            <v>0</v>
          </cell>
          <cell r="AA1152">
            <v>0</v>
          </cell>
          <cell r="AB1152">
            <v>0</v>
          </cell>
          <cell r="AC1152">
            <v>0</v>
          </cell>
          <cell r="AD1152">
            <v>0</v>
          </cell>
          <cell r="AE1152">
            <v>0</v>
          </cell>
          <cell r="AF1152">
            <v>0</v>
          </cell>
          <cell r="AG1152">
            <v>0</v>
          </cell>
          <cell r="AH1152">
            <v>0</v>
          </cell>
        </row>
        <row r="1153">
          <cell r="B1153" t="str">
            <v>SNIES</v>
          </cell>
          <cell r="C1153" t="str">
            <v>C1L</v>
          </cell>
          <cell r="D1153" t="str">
            <v>C1LA</v>
          </cell>
          <cell r="E1153" t="str">
            <v>SNFP</v>
          </cell>
          <cell r="F1153" t="str">
            <v>SNIES</v>
          </cell>
          <cell r="G1153">
            <v>12</v>
          </cell>
          <cell r="H1153" t="str">
            <v>Form locale en informatique 4x17p IRE/DPE x 10j frais institut de form</v>
          </cell>
          <cell r="I1153" t="str">
            <v>SNFP</v>
          </cell>
          <cell r="K1153" t="str">
            <v>BAD ED IV</v>
          </cell>
          <cell r="L1153" t="str">
            <v>AUT</v>
          </cell>
          <cell r="P1153">
            <v>0</v>
          </cell>
          <cell r="Q1153" t="str">
            <v>pxj</v>
          </cell>
          <cell r="S1153">
            <v>147.79681105047749</v>
          </cell>
          <cell r="T1153">
            <v>1</v>
          </cell>
          <cell r="U1153">
            <v>0</v>
          </cell>
          <cell r="V1153">
            <v>0</v>
          </cell>
          <cell r="W1153">
            <v>0</v>
          </cell>
          <cell r="X1153">
            <v>0</v>
          </cell>
          <cell r="Y1153">
            <v>0</v>
          </cell>
          <cell r="Z1153">
            <v>0</v>
          </cell>
          <cell r="AA1153">
            <v>0</v>
          </cell>
          <cell r="AB1153">
            <v>0</v>
          </cell>
          <cell r="AC1153">
            <v>0</v>
          </cell>
          <cell r="AD1153">
            <v>0</v>
          </cell>
          <cell r="AE1153">
            <v>0</v>
          </cell>
          <cell r="AF1153">
            <v>0</v>
          </cell>
          <cell r="AG1153">
            <v>0</v>
          </cell>
          <cell r="AH1153">
            <v>0</v>
          </cell>
        </row>
        <row r="1154">
          <cell r="B1154" t="str">
            <v>SNIES</v>
          </cell>
          <cell r="C1154" t="str">
            <v>C1L</v>
          </cell>
          <cell r="D1154" t="str">
            <v>C1LA</v>
          </cell>
          <cell r="E1154" t="str">
            <v>CNE</v>
          </cell>
          <cell r="F1154" t="str">
            <v>SNIES</v>
          </cell>
          <cell r="G1154">
            <v>12</v>
          </cell>
          <cell r="H1154" t="str">
            <v>Form locale compétences nouvelles en genre 2x30px14j perdiem et transp</v>
          </cell>
          <cell r="I1154" t="str">
            <v>CNE</v>
          </cell>
          <cell r="K1154" t="str">
            <v>BAD ED IV</v>
          </cell>
          <cell r="L1154" t="str">
            <v>AUT</v>
          </cell>
          <cell r="P1154">
            <v>0</v>
          </cell>
          <cell r="Q1154" t="str">
            <v>pxj</v>
          </cell>
          <cell r="S1154">
            <v>106.90635999317873</v>
          </cell>
          <cell r="T1154">
            <v>1</v>
          </cell>
          <cell r="U1154">
            <v>0</v>
          </cell>
          <cell r="V1154">
            <v>0</v>
          </cell>
          <cell r="W1154">
            <v>0</v>
          </cell>
          <cell r="X1154">
            <v>0</v>
          </cell>
          <cell r="Y1154">
            <v>0</v>
          </cell>
          <cell r="Z1154">
            <v>0</v>
          </cell>
          <cell r="AA1154">
            <v>0</v>
          </cell>
          <cell r="AB1154">
            <v>0</v>
          </cell>
          <cell r="AC1154">
            <v>0</v>
          </cell>
          <cell r="AD1154">
            <v>0</v>
          </cell>
          <cell r="AE1154">
            <v>0</v>
          </cell>
          <cell r="AF1154">
            <v>0</v>
          </cell>
          <cell r="AG1154">
            <v>0</v>
          </cell>
          <cell r="AH1154">
            <v>0</v>
          </cell>
        </row>
        <row r="1155">
          <cell r="B1155" t="str">
            <v>SNIES</v>
          </cell>
          <cell r="C1155" t="str">
            <v>C1L</v>
          </cell>
          <cell r="D1155" t="str">
            <v>C1LA</v>
          </cell>
          <cell r="E1155" t="str">
            <v>CNE</v>
          </cell>
          <cell r="F1155" t="str">
            <v>SNIES</v>
          </cell>
          <cell r="G1155">
            <v>12</v>
          </cell>
          <cell r="H1155" t="str">
            <v>Spécialiste acquisition nouvelles compétences en équité 1 semaine</v>
          </cell>
          <cell r="I1155" t="str">
            <v>CNE</v>
          </cell>
          <cell r="K1155" t="str">
            <v>BAD ED IV</v>
          </cell>
          <cell r="L1155" t="str">
            <v>LR</v>
          </cell>
          <cell r="P1155">
            <v>0</v>
          </cell>
          <cell r="Q1155" t="str">
            <v>pxsem</v>
          </cell>
          <cell r="S1155">
            <v>27588.738062755798</v>
          </cell>
          <cell r="T1155">
            <v>1</v>
          </cell>
          <cell r="U1155">
            <v>0</v>
          </cell>
          <cell r="V1155">
            <v>0</v>
          </cell>
          <cell r="W1155">
            <v>0</v>
          </cell>
          <cell r="X1155">
            <v>0</v>
          </cell>
          <cell r="Y1155">
            <v>0</v>
          </cell>
          <cell r="Z1155">
            <v>0</v>
          </cell>
          <cell r="AA1155">
            <v>0</v>
          </cell>
          <cell r="AB1155">
            <v>0</v>
          </cell>
          <cell r="AC1155">
            <v>0</v>
          </cell>
          <cell r="AD1155">
            <v>0</v>
          </cell>
          <cell r="AE1155">
            <v>0</v>
          </cell>
          <cell r="AF1155">
            <v>0</v>
          </cell>
          <cell r="AG1155">
            <v>0</v>
          </cell>
          <cell r="AH1155">
            <v>0</v>
          </cell>
        </row>
        <row r="1156">
          <cell r="B1156" t="str">
            <v>SNIES</v>
          </cell>
          <cell r="C1156" t="str">
            <v>C1I</v>
          </cell>
          <cell r="D1156" t="str">
            <v>C1IF</v>
          </cell>
          <cell r="E1156" t="str">
            <v>SSP</v>
          </cell>
          <cell r="F1156" t="str">
            <v>SNIES</v>
          </cell>
          <cell r="G1156">
            <v>25</v>
          </cell>
          <cell r="H1156" t="str">
            <v>SSP Spécialiste pour carte scolaire 2005/2015</v>
          </cell>
          <cell r="I1156" t="str">
            <v>SNIES</v>
          </cell>
          <cell r="K1156" t="str">
            <v>BAD ED IV</v>
          </cell>
          <cell r="L1156" t="str">
            <v>LR</v>
          </cell>
          <cell r="P1156">
            <v>0</v>
          </cell>
          <cell r="Q1156" t="str">
            <v>pxm</v>
          </cell>
          <cell r="S1156">
            <v>21460.09696452933</v>
          </cell>
          <cell r="T1156">
            <v>1</v>
          </cell>
          <cell r="U1156">
            <v>0</v>
          </cell>
          <cell r="V1156">
            <v>0</v>
          </cell>
          <cell r="W1156">
            <v>0</v>
          </cell>
          <cell r="X1156">
            <v>0</v>
          </cell>
          <cell r="Y1156">
            <v>0</v>
          </cell>
          <cell r="Z1156">
            <v>0</v>
          </cell>
          <cell r="AA1156">
            <v>0</v>
          </cell>
          <cell r="AB1156">
            <v>0</v>
          </cell>
          <cell r="AC1156">
            <v>0</v>
          </cell>
          <cell r="AD1156">
            <v>0</v>
          </cell>
          <cell r="AE1156">
            <v>0</v>
          </cell>
          <cell r="AF1156">
            <v>0</v>
          </cell>
          <cell r="AG1156">
            <v>0</v>
          </cell>
          <cell r="AH1156">
            <v>0</v>
          </cell>
        </row>
        <row r="1157">
          <cell r="B1157" t="str">
            <v>SNIES</v>
          </cell>
          <cell r="C1157" t="str">
            <v>C1I</v>
          </cell>
          <cell r="D1157" t="str">
            <v>C1IF</v>
          </cell>
          <cell r="E1157" t="str">
            <v>SSP</v>
          </cell>
          <cell r="F1157" t="str">
            <v>SNIES</v>
          </cell>
          <cell r="G1157">
            <v>25</v>
          </cell>
          <cell r="H1157" t="str">
            <v>SSP Spécialiste statistiques prim second</v>
          </cell>
          <cell r="I1157" t="str">
            <v>SNIES</v>
          </cell>
          <cell r="K1157" t="str">
            <v>BAD ED IV</v>
          </cell>
          <cell r="L1157" t="str">
            <v>LR</v>
          </cell>
          <cell r="M1157">
            <v>12</v>
          </cell>
          <cell r="N1157">
            <v>12</v>
          </cell>
          <cell r="O1157">
            <v>12</v>
          </cell>
          <cell r="P1157">
            <v>36</v>
          </cell>
          <cell r="Q1157" t="str">
            <v>pxm</v>
          </cell>
          <cell r="S1157">
            <v>21460.09696452933</v>
          </cell>
          <cell r="T1157">
            <v>1</v>
          </cell>
          <cell r="U1157">
            <v>257521.16357435196</v>
          </cell>
          <cell r="V1157">
            <v>257521.16357435196</v>
          </cell>
          <cell r="W1157">
            <v>257521.16357435196</v>
          </cell>
          <cell r="X1157">
            <v>772563.4907230559</v>
          </cell>
          <cell r="Y1157">
            <v>257521.16357435196</v>
          </cell>
          <cell r="Z1157">
            <v>257521.16357435196</v>
          </cell>
          <cell r="AA1157">
            <v>257521.16357435196</v>
          </cell>
          <cell r="AB1157">
            <v>772563.4907230559</v>
          </cell>
          <cell r="AC1157">
            <v>0</v>
          </cell>
          <cell r="AD1157">
            <v>0</v>
          </cell>
          <cell r="AE1157">
            <v>0</v>
          </cell>
          <cell r="AF1157">
            <v>0</v>
          </cell>
          <cell r="AG1157">
            <v>0</v>
          </cell>
          <cell r="AH1157">
            <v>0</v>
          </cell>
        </row>
        <row r="1158">
          <cell r="B1158" t="str">
            <v>SNIES</v>
          </cell>
          <cell r="C1158" t="str">
            <v>C1I</v>
          </cell>
          <cell r="D1158" t="str">
            <v>C1IF</v>
          </cell>
          <cell r="E1158" t="str">
            <v>SSP</v>
          </cell>
          <cell r="F1158" t="str">
            <v>SNIES</v>
          </cell>
          <cell r="G1158">
            <v>25</v>
          </cell>
          <cell r="H1158" t="str">
            <v>SSP Spécialiste coordination interventions PTF</v>
          </cell>
          <cell r="I1158" t="str">
            <v>SNIES</v>
          </cell>
          <cell r="K1158" t="str">
            <v>BAD ED IV</v>
          </cell>
          <cell r="L1158" t="str">
            <v>LR</v>
          </cell>
          <cell r="P1158">
            <v>0</v>
          </cell>
          <cell r="Q1158" t="str">
            <v>pxm</v>
          </cell>
          <cell r="S1158">
            <v>35471.234652114596</v>
          </cell>
          <cell r="T1158">
            <v>1</v>
          </cell>
          <cell r="U1158">
            <v>0</v>
          </cell>
          <cell r="V1158">
            <v>0</v>
          </cell>
          <cell r="W1158">
            <v>0</v>
          </cell>
          <cell r="X1158">
            <v>0</v>
          </cell>
          <cell r="Y1158">
            <v>0</v>
          </cell>
          <cell r="Z1158">
            <v>0</v>
          </cell>
          <cell r="AA1158">
            <v>0</v>
          </cell>
          <cell r="AB1158">
            <v>0</v>
          </cell>
          <cell r="AC1158">
            <v>0</v>
          </cell>
          <cell r="AD1158">
            <v>0</v>
          </cell>
          <cell r="AE1158">
            <v>0</v>
          </cell>
          <cell r="AF1158">
            <v>0</v>
          </cell>
          <cell r="AG1158">
            <v>0</v>
          </cell>
          <cell r="AH1158">
            <v>0</v>
          </cell>
        </row>
        <row r="1159">
          <cell r="B1159" t="str">
            <v>SNIES</v>
          </cell>
          <cell r="C1159" t="str">
            <v>C1I</v>
          </cell>
          <cell r="D1159" t="str">
            <v>C1IF</v>
          </cell>
          <cell r="E1159" t="str">
            <v>SSP</v>
          </cell>
          <cell r="F1159" t="str">
            <v>SNIES</v>
          </cell>
          <cell r="G1159">
            <v>25</v>
          </cell>
          <cell r="H1159" t="str">
            <v>SSP Spécialiste pour actualiser pol éduc formation</v>
          </cell>
          <cell r="I1159" t="str">
            <v>SNIES</v>
          </cell>
          <cell r="K1159" t="str">
            <v>BAD ED IV</v>
          </cell>
          <cell r="L1159" t="str">
            <v>LR</v>
          </cell>
          <cell r="P1159">
            <v>0</v>
          </cell>
          <cell r="Q1159" t="str">
            <v>pxm</v>
          </cell>
          <cell r="S1159">
            <v>35471.234652114596</v>
          </cell>
          <cell r="T1159">
            <v>1</v>
          </cell>
          <cell r="U1159">
            <v>0</v>
          </cell>
          <cell r="V1159">
            <v>0</v>
          </cell>
          <cell r="W1159">
            <v>0</v>
          </cell>
          <cell r="X1159">
            <v>0</v>
          </cell>
          <cell r="Y1159">
            <v>0</v>
          </cell>
          <cell r="Z1159">
            <v>0</v>
          </cell>
          <cell r="AA1159">
            <v>0</v>
          </cell>
          <cell r="AB1159">
            <v>0</v>
          </cell>
          <cell r="AC1159">
            <v>0</v>
          </cell>
          <cell r="AD1159">
            <v>0</v>
          </cell>
          <cell r="AE1159">
            <v>0</v>
          </cell>
          <cell r="AF1159">
            <v>0</v>
          </cell>
          <cell r="AG1159">
            <v>0</v>
          </cell>
          <cell r="AH1159">
            <v>0</v>
          </cell>
        </row>
        <row r="1160">
          <cell r="B1160" t="str">
            <v>SNIES</v>
          </cell>
          <cell r="C1160" t="str">
            <v>C1I</v>
          </cell>
          <cell r="D1160" t="str">
            <v>C1IF</v>
          </cell>
          <cell r="E1160" t="str">
            <v>SSP</v>
          </cell>
          <cell r="F1160" t="str">
            <v>SNIES</v>
          </cell>
          <cell r="G1160">
            <v>15</v>
          </cell>
          <cell r="H1160" t="str">
            <v xml:space="preserve">SSP Mission de collecte des données statist et d'inspect </v>
          </cell>
          <cell r="I1160" t="str">
            <v>SSP</v>
          </cell>
          <cell r="K1160" t="str">
            <v>BAD ED IV</v>
          </cell>
          <cell r="L1160" t="str">
            <v>AUT</v>
          </cell>
          <cell r="M1160">
            <v>1</v>
          </cell>
          <cell r="N1160">
            <v>1</v>
          </cell>
          <cell r="O1160">
            <v>1</v>
          </cell>
          <cell r="P1160">
            <v>3</v>
          </cell>
          <cell r="Q1160" t="str">
            <v>an</v>
          </cell>
          <cell r="S1160">
            <v>27588.738062755798</v>
          </cell>
          <cell r="T1160">
            <v>0.65559999999999996</v>
          </cell>
          <cell r="U1160">
            <v>27588.738062755798</v>
          </cell>
          <cell r="V1160">
            <v>27588.738062755798</v>
          </cell>
          <cell r="W1160">
            <v>27588.738062755798</v>
          </cell>
          <cell r="X1160">
            <v>82766.21418826739</v>
          </cell>
          <cell r="Y1160">
            <v>18087.1766739427</v>
          </cell>
          <cell r="Z1160">
            <v>18087.1766739427</v>
          </cell>
          <cell r="AA1160">
            <v>18087.1766739427</v>
          </cell>
          <cell r="AB1160">
            <v>54261.530021828105</v>
          </cell>
          <cell r="AC1160">
            <v>9501.5613888130974</v>
          </cell>
          <cell r="AD1160">
            <v>9501.5613888130974</v>
          </cell>
          <cell r="AE1160">
            <v>9501.5613888130974</v>
          </cell>
          <cell r="AF1160">
            <v>28504.684166439292</v>
          </cell>
          <cell r="AG1160">
            <v>0</v>
          </cell>
          <cell r="AH1160">
            <v>0</v>
          </cell>
        </row>
        <row r="1161">
          <cell r="B1161" t="str">
            <v>SNIES</v>
          </cell>
          <cell r="C1161" t="str">
            <v>C1I</v>
          </cell>
          <cell r="D1161" t="str">
            <v>C1IF</v>
          </cell>
          <cell r="E1161" t="str">
            <v>SSP</v>
          </cell>
          <cell r="F1161" t="str">
            <v>SNIES</v>
          </cell>
          <cell r="G1161">
            <v>15</v>
          </cell>
          <cell r="H1161" t="str">
            <v xml:space="preserve">SSP Fonctionnement et assurance véhicule </v>
          </cell>
          <cell r="I1161" t="str">
            <v>SSP</v>
          </cell>
          <cell r="K1161" t="str">
            <v>BAD ED IV</v>
          </cell>
          <cell r="L1161" t="str">
            <v>AUT</v>
          </cell>
          <cell r="M1161">
            <v>1</v>
          </cell>
          <cell r="N1161">
            <v>1</v>
          </cell>
          <cell r="O1161">
            <v>1</v>
          </cell>
          <cell r="P1161">
            <v>3</v>
          </cell>
          <cell r="Q1161" t="str">
            <v>an</v>
          </cell>
          <cell r="S1161">
            <v>53206.851978171893</v>
          </cell>
          <cell r="T1161">
            <v>0.65559999999999996</v>
          </cell>
          <cell r="U1161">
            <v>53206.851978171893</v>
          </cell>
          <cell r="V1161">
            <v>53206.851978171893</v>
          </cell>
          <cell r="W1161">
            <v>53206.851978171893</v>
          </cell>
          <cell r="X1161">
            <v>159620.55593451567</v>
          </cell>
          <cell r="Y1161">
            <v>34882.412156889492</v>
          </cell>
          <cell r="Z1161">
            <v>34882.412156889492</v>
          </cell>
          <cell r="AA1161">
            <v>34882.412156889492</v>
          </cell>
          <cell r="AB1161">
            <v>104647.23647066847</v>
          </cell>
          <cell r="AC1161">
            <v>18324.439821282402</v>
          </cell>
          <cell r="AD1161">
            <v>18324.439821282402</v>
          </cell>
          <cell r="AE1161">
            <v>18324.439821282402</v>
          </cell>
          <cell r="AF1161">
            <v>54973.319463847205</v>
          </cell>
          <cell r="AG1161">
            <v>0</v>
          </cell>
          <cell r="AH1161">
            <v>0</v>
          </cell>
        </row>
        <row r="1162">
          <cell r="B1162" t="str">
            <v>SNIES</v>
          </cell>
          <cell r="C1162" t="str">
            <v>C1I</v>
          </cell>
          <cell r="D1162" t="str">
            <v>C1IF</v>
          </cell>
          <cell r="E1162" t="str">
            <v>SSP</v>
          </cell>
          <cell r="F1162" t="str">
            <v>SNIES</v>
          </cell>
          <cell r="G1162">
            <v>15</v>
          </cell>
          <cell r="H1162" t="str">
            <v>SSP Maintenance mat bureaut. et informatique et consommab</v>
          </cell>
          <cell r="I1162" t="str">
            <v>SSP</v>
          </cell>
          <cell r="K1162" t="str">
            <v>BAD ED IV</v>
          </cell>
          <cell r="L1162" t="str">
            <v>AUT</v>
          </cell>
          <cell r="M1162">
            <v>1</v>
          </cell>
          <cell r="N1162">
            <v>1</v>
          </cell>
          <cell r="O1162">
            <v>1</v>
          </cell>
          <cell r="P1162">
            <v>3</v>
          </cell>
          <cell r="Q1162" t="str">
            <v>an</v>
          </cell>
          <cell r="S1162">
            <v>14779.681105047748</v>
          </cell>
          <cell r="T1162">
            <v>0.65559999999999996</v>
          </cell>
          <cell r="U1162">
            <v>14779.681105047748</v>
          </cell>
          <cell r="V1162">
            <v>14779.681105047748</v>
          </cell>
          <cell r="W1162">
            <v>14779.681105047748</v>
          </cell>
          <cell r="X1162">
            <v>44339.043315143244</v>
          </cell>
          <cell r="Y1162">
            <v>9689.5589324693028</v>
          </cell>
          <cell r="Z1162">
            <v>9689.5589324693028</v>
          </cell>
          <cell r="AA1162">
            <v>9689.5589324693028</v>
          </cell>
          <cell r="AB1162">
            <v>29068.676797407908</v>
          </cell>
          <cell r="AC1162">
            <v>5090.1221725784453</v>
          </cell>
          <cell r="AD1162">
            <v>5090.1221725784453</v>
          </cell>
          <cell r="AE1162">
            <v>5090.1221725784453</v>
          </cell>
          <cell r="AF1162">
            <v>15270.366517735336</v>
          </cell>
          <cell r="AG1162">
            <v>0</v>
          </cell>
          <cell r="AH1162">
            <v>0</v>
          </cell>
        </row>
        <row r="1163">
          <cell r="B1163" t="str">
            <v>SNIES</v>
          </cell>
          <cell r="C1163" t="str">
            <v>C1F</v>
          </cell>
          <cell r="D1163" t="str">
            <v>C1FA</v>
          </cell>
          <cell r="E1163" t="str">
            <v>IGE</v>
          </cell>
          <cell r="F1163" t="str">
            <v>SNIES</v>
          </cell>
          <cell r="G1163">
            <v>15</v>
          </cell>
          <cell r="H1163" t="str">
            <v xml:space="preserve">IGE Fonctionnement et assurance véhicule </v>
          </cell>
          <cell r="I1163" t="str">
            <v>IGE</v>
          </cell>
          <cell r="K1163" t="str">
            <v>BAD ED IV</v>
          </cell>
          <cell r="L1163" t="str">
            <v>AUT</v>
          </cell>
          <cell r="M1163">
            <v>1</v>
          </cell>
          <cell r="N1163">
            <v>1</v>
          </cell>
          <cell r="O1163">
            <v>1</v>
          </cell>
          <cell r="P1163">
            <v>3</v>
          </cell>
          <cell r="Q1163" t="str">
            <v>an</v>
          </cell>
          <cell r="S1163">
            <v>53206.851978171893</v>
          </cell>
          <cell r="T1163">
            <v>0.65559999999999996</v>
          </cell>
          <cell r="U1163">
            <v>53206.851978171893</v>
          </cell>
          <cell r="V1163">
            <v>53206.851978171893</v>
          </cell>
          <cell r="W1163">
            <v>53206.851978171893</v>
          </cell>
          <cell r="X1163">
            <v>159620.55593451567</v>
          </cell>
          <cell r="Y1163">
            <v>34882.412156889492</v>
          </cell>
          <cell r="Z1163">
            <v>34882.412156889492</v>
          </cell>
          <cell r="AA1163">
            <v>34882.412156889492</v>
          </cell>
          <cell r="AB1163">
            <v>104647.23647066847</v>
          </cell>
          <cell r="AC1163">
            <v>18324.439821282402</v>
          </cell>
          <cell r="AD1163">
            <v>18324.439821282402</v>
          </cell>
          <cell r="AE1163">
            <v>18324.439821282402</v>
          </cell>
          <cell r="AF1163">
            <v>54973.319463847205</v>
          </cell>
          <cell r="AG1163">
            <v>0</v>
          </cell>
          <cell r="AH1163">
            <v>0</v>
          </cell>
        </row>
        <row r="1164">
          <cell r="B1164" t="str">
            <v>SNIES</v>
          </cell>
          <cell r="C1164" t="str">
            <v>C1F</v>
          </cell>
          <cell r="D1164" t="str">
            <v>C1FA</v>
          </cell>
          <cell r="E1164" t="str">
            <v>IGE</v>
          </cell>
          <cell r="F1164" t="str">
            <v>SNIES</v>
          </cell>
          <cell r="G1164">
            <v>15</v>
          </cell>
          <cell r="H1164" t="str">
            <v>IGE Maintenance mat bureaut. et informatique et consommab</v>
          </cell>
          <cell r="I1164" t="str">
            <v>IGE</v>
          </cell>
          <cell r="K1164" t="str">
            <v>BAD ED IV</v>
          </cell>
          <cell r="L1164" t="str">
            <v>AUT</v>
          </cell>
          <cell r="M1164">
            <v>1</v>
          </cell>
          <cell r="N1164">
            <v>1</v>
          </cell>
          <cell r="O1164">
            <v>1</v>
          </cell>
          <cell r="P1164">
            <v>3</v>
          </cell>
          <cell r="Q1164" t="str">
            <v>an</v>
          </cell>
          <cell r="S1164">
            <v>14779.681105047748</v>
          </cell>
          <cell r="T1164">
            <v>0.65559999999999996</v>
          </cell>
          <cell r="U1164">
            <v>14779.681105047748</v>
          </cell>
          <cell r="V1164">
            <v>14779.681105047748</v>
          </cell>
          <cell r="W1164">
            <v>14779.681105047748</v>
          </cell>
          <cell r="X1164">
            <v>44339.043315143244</v>
          </cell>
          <cell r="Y1164">
            <v>9689.5589324693028</v>
          </cell>
          <cell r="Z1164">
            <v>9689.5589324693028</v>
          </cell>
          <cell r="AA1164">
            <v>9689.5589324693028</v>
          </cell>
          <cell r="AB1164">
            <v>29068.676797407908</v>
          </cell>
          <cell r="AC1164">
            <v>5090.1221725784453</v>
          </cell>
          <cell r="AD1164">
            <v>5090.1221725784453</v>
          </cell>
          <cell r="AE1164">
            <v>5090.1221725784453</v>
          </cell>
          <cell r="AF1164">
            <v>15270.366517735336</v>
          </cell>
          <cell r="AG1164">
            <v>0</v>
          </cell>
          <cell r="AH1164">
            <v>0</v>
          </cell>
        </row>
        <row r="1165">
          <cell r="B1165" t="str">
            <v>PDU3</v>
          </cell>
          <cell r="C1165" t="str">
            <v>A1B</v>
          </cell>
          <cell r="D1165" t="str">
            <v>A1BI</v>
          </cell>
          <cell r="E1165" t="str">
            <v>ES/KIND</v>
          </cell>
          <cell r="F1165" t="str">
            <v>PDU3</v>
          </cell>
          <cell r="G1165">
            <v>22</v>
          </cell>
          <cell r="H1165" t="str">
            <v>ES Construction classes collège + bur + mag + latrines</v>
          </cell>
          <cell r="I1165" t="str">
            <v>PDU3</v>
          </cell>
          <cell r="J1165" t="str">
            <v>CUD</v>
          </cell>
          <cell r="K1165" t="str">
            <v>IDA PDU3</v>
          </cell>
          <cell r="L1165" t="str">
            <v>AON</v>
          </cell>
          <cell r="N1165">
            <v>12</v>
          </cell>
          <cell r="P1165">
            <v>12</v>
          </cell>
          <cell r="Q1165" t="str">
            <v>classe</v>
          </cell>
          <cell r="S1165">
            <v>88632</v>
          </cell>
          <cell r="T1165">
            <v>1</v>
          </cell>
          <cell r="U1165">
            <v>0</v>
          </cell>
          <cell r="V1165">
            <v>1063584</v>
          </cell>
          <cell r="W1165">
            <v>0</v>
          </cell>
          <cell r="X1165">
            <v>1063584</v>
          </cell>
          <cell r="Y1165">
            <v>0</v>
          </cell>
          <cell r="Z1165">
            <v>1063584</v>
          </cell>
          <cell r="AA1165">
            <v>0</v>
          </cell>
          <cell r="AB1165">
            <v>1063584</v>
          </cell>
          <cell r="AC1165">
            <v>0</v>
          </cell>
          <cell r="AD1165">
            <v>0</v>
          </cell>
          <cell r="AE1165">
            <v>0</v>
          </cell>
          <cell r="AF1165">
            <v>0</v>
          </cell>
          <cell r="AG1165">
            <v>0</v>
          </cell>
          <cell r="AH1165">
            <v>0</v>
          </cell>
        </row>
        <row r="1166">
          <cell r="B1166" t="str">
            <v>PDU3</v>
          </cell>
          <cell r="C1166" t="str">
            <v>A1B</v>
          </cell>
          <cell r="D1166" t="str">
            <v>A1BI</v>
          </cell>
          <cell r="E1166" t="str">
            <v>ES/LABE</v>
          </cell>
          <cell r="F1166" t="str">
            <v>PDU3</v>
          </cell>
          <cell r="G1166">
            <v>22</v>
          </cell>
          <cell r="H1166" t="str">
            <v>ES Construction classes collège + bur + mag + latrines</v>
          </cell>
          <cell r="I1166" t="str">
            <v>PDU3</v>
          </cell>
          <cell r="J1166" t="str">
            <v>CUD</v>
          </cell>
          <cell r="K1166" t="str">
            <v>IDA PDU3</v>
          </cell>
          <cell r="L1166" t="str">
            <v>AON</v>
          </cell>
          <cell r="N1166">
            <v>12</v>
          </cell>
          <cell r="P1166">
            <v>12</v>
          </cell>
          <cell r="Q1166" t="str">
            <v>classe</v>
          </cell>
          <cell r="S1166">
            <v>88632</v>
          </cell>
          <cell r="T1166">
            <v>1</v>
          </cell>
          <cell r="U1166">
            <v>0</v>
          </cell>
          <cell r="V1166">
            <v>1063584</v>
          </cell>
          <cell r="W1166">
            <v>0</v>
          </cell>
          <cell r="X1166">
            <v>1063584</v>
          </cell>
          <cell r="Y1166">
            <v>0</v>
          </cell>
          <cell r="Z1166">
            <v>1063584</v>
          </cell>
          <cell r="AA1166">
            <v>0</v>
          </cell>
          <cell r="AB1166">
            <v>1063584</v>
          </cell>
          <cell r="AC1166">
            <v>0</v>
          </cell>
          <cell r="AD1166">
            <v>0</v>
          </cell>
          <cell r="AE1166">
            <v>0</v>
          </cell>
          <cell r="AF1166">
            <v>0</v>
          </cell>
          <cell r="AG1166">
            <v>0</v>
          </cell>
          <cell r="AH1166">
            <v>0</v>
          </cell>
        </row>
        <row r="1167">
          <cell r="B1167" t="str">
            <v>PDU3</v>
          </cell>
          <cell r="C1167" t="str">
            <v>A1B</v>
          </cell>
          <cell r="D1167" t="str">
            <v>A1BI</v>
          </cell>
          <cell r="E1167" t="str">
            <v>ES/NZER</v>
          </cell>
          <cell r="F1167" t="str">
            <v>PDU3</v>
          </cell>
          <cell r="G1167">
            <v>22</v>
          </cell>
          <cell r="H1167" t="str">
            <v>ES Construction classes collège + bur + mag + latrines</v>
          </cell>
          <cell r="I1167" t="str">
            <v>PDU3</v>
          </cell>
          <cell r="J1167" t="str">
            <v>CUD</v>
          </cell>
          <cell r="K1167" t="str">
            <v>IDA PDU3</v>
          </cell>
          <cell r="L1167" t="str">
            <v>AON</v>
          </cell>
          <cell r="N1167">
            <v>8</v>
          </cell>
          <cell r="P1167">
            <v>8</v>
          </cell>
          <cell r="Q1167" t="str">
            <v>classe</v>
          </cell>
          <cell r="S1167">
            <v>88632</v>
          </cell>
          <cell r="T1167">
            <v>1</v>
          </cell>
          <cell r="U1167">
            <v>0</v>
          </cell>
          <cell r="V1167">
            <v>709056</v>
          </cell>
          <cell r="W1167">
            <v>0</v>
          </cell>
          <cell r="X1167">
            <v>709056</v>
          </cell>
          <cell r="Y1167">
            <v>0</v>
          </cell>
          <cell r="Z1167">
            <v>709056</v>
          </cell>
          <cell r="AA1167">
            <v>0</v>
          </cell>
          <cell r="AB1167">
            <v>709056</v>
          </cell>
          <cell r="AC1167">
            <v>0</v>
          </cell>
          <cell r="AD1167">
            <v>0</v>
          </cell>
          <cell r="AE1167">
            <v>0</v>
          </cell>
          <cell r="AF1167">
            <v>0</v>
          </cell>
          <cell r="AG1167">
            <v>0</v>
          </cell>
          <cell r="AH1167">
            <v>0</v>
          </cell>
        </row>
        <row r="1168">
          <cell r="B1168" t="str">
            <v>PDU3</v>
          </cell>
          <cell r="C1168" t="str">
            <v>A1B</v>
          </cell>
          <cell r="D1168" t="str">
            <v>A1BI</v>
          </cell>
          <cell r="E1168" t="str">
            <v>ES/KANK</v>
          </cell>
          <cell r="F1168" t="str">
            <v>PDU3</v>
          </cell>
          <cell r="G1168">
            <v>22</v>
          </cell>
          <cell r="H1168" t="str">
            <v>ES Construction classes collège + bur + mag + latrines</v>
          </cell>
          <cell r="I1168" t="str">
            <v>PDU3</v>
          </cell>
          <cell r="J1168" t="str">
            <v>CUD</v>
          </cell>
          <cell r="K1168" t="str">
            <v>IDA PDU3</v>
          </cell>
          <cell r="L1168" t="str">
            <v>AON</v>
          </cell>
          <cell r="N1168">
            <v>18</v>
          </cell>
          <cell r="P1168">
            <v>18</v>
          </cell>
          <cell r="Q1168" t="str">
            <v>classe</v>
          </cell>
          <cell r="S1168">
            <v>88632</v>
          </cell>
          <cell r="T1168">
            <v>1</v>
          </cell>
          <cell r="U1168">
            <v>0</v>
          </cell>
          <cell r="V1168">
            <v>1595376</v>
          </cell>
          <cell r="W1168">
            <v>0</v>
          </cell>
          <cell r="X1168">
            <v>1595376</v>
          </cell>
          <cell r="Y1168">
            <v>0</v>
          </cell>
          <cell r="Z1168">
            <v>1595376</v>
          </cell>
          <cell r="AA1168">
            <v>0</v>
          </cell>
          <cell r="AB1168">
            <v>1595376</v>
          </cell>
          <cell r="AC1168">
            <v>0</v>
          </cell>
          <cell r="AD1168">
            <v>0</v>
          </cell>
          <cell r="AE1168">
            <v>0</v>
          </cell>
          <cell r="AF1168">
            <v>0</v>
          </cell>
          <cell r="AG1168">
            <v>0</v>
          </cell>
          <cell r="AH1168">
            <v>0</v>
          </cell>
        </row>
        <row r="1169">
          <cell r="B1169" t="str">
            <v>PACV</v>
          </cell>
          <cell r="C1169" t="str">
            <v>A1A</v>
          </cell>
          <cell r="D1169" t="str">
            <v>A1AN</v>
          </cell>
          <cell r="E1169" t="str">
            <v>EP/BEYL</v>
          </cell>
          <cell r="F1169" t="str">
            <v>PACV</v>
          </cell>
          <cell r="G1169">
            <v>22</v>
          </cell>
          <cell r="H1169" t="str">
            <v>EP Construction classes primaire + bur + mag + latrines</v>
          </cell>
          <cell r="I1169" t="str">
            <v>PACV</v>
          </cell>
          <cell r="J1169" t="str">
            <v>CRD</v>
          </cell>
          <cell r="K1169" t="str">
            <v>IDA PACV</v>
          </cell>
          <cell r="L1169" t="str">
            <v>AUT</v>
          </cell>
          <cell r="M1169">
            <v>3</v>
          </cell>
          <cell r="N1169">
            <v>2</v>
          </cell>
          <cell r="O1169">
            <v>2</v>
          </cell>
          <cell r="P1169">
            <v>7</v>
          </cell>
          <cell r="Q1169" t="str">
            <v>classe</v>
          </cell>
          <cell r="R1169" t="str">
            <v>estimation</v>
          </cell>
          <cell r="S1169">
            <v>49240.000000000007</v>
          </cell>
          <cell r="T1169">
            <v>1</v>
          </cell>
          <cell r="U1169">
            <v>147720.00000000003</v>
          </cell>
          <cell r="V1169">
            <v>98480.000000000015</v>
          </cell>
          <cell r="W1169">
            <v>98480.000000000015</v>
          </cell>
          <cell r="X1169">
            <v>344680.00000000006</v>
          </cell>
          <cell r="Y1169">
            <v>147720.00000000003</v>
          </cell>
          <cell r="Z1169">
            <v>98480.000000000015</v>
          </cell>
          <cell r="AA1169">
            <v>98480.000000000015</v>
          </cell>
          <cell r="AB1169">
            <v>344680.00000000006</v>
          </cell>
          <cell r="AC1169">
            <v>0</v>
          </cell>
          <cell r="AD1169">
            <v>0</v>
          </cell>
          <cell r="AE1169">
            <v>0</v>
          </cell>
          <cell r="AF1169">
            <v>0</v>
          </cell>
          <cell r="AG1169">
            <v>0</v>
          </cell>
          <cell r="AH1169">
            <v>0</v>
          </cell>
        </row>
        <row r="1170">
          <cell r="B1170" t="str">
            <v>PACV</v>
          </cell>
          <cell r="C1170" t="str">
            <v>A1A</v>
          </cell>
          <cell r="D1170" t="str">
            <v>A1AN</v>
          </cell>
          <cell r="E1170" t="str">
            <v>EP/BOFF</v>
          </cell>
          <cell r="F1170" t="str">
            <v>PACV</v>
          </cell>
          <cell r="G1170">
            <v>22</v>
          </cell>
          <cell r="H1170" t="str">
            <v>EP Construction classes primaire + bur + mag + latrines</v>
          </cell>
          <cell r="I1170" t="str">
            <v>PACV</v>
          </cell>
          <cell r="J1170" t="str">
            <v>CRD</v>
          </cell>
          <cell r="K1170" t="str">
            <v>IDA PACV</v>
          </cell>
          <cell r="L1170" t="str">
            <v>AUT</v>
          </cell>
          <cell r="N1170">
            <v>3</v>
          </cell>
          <cell r="O1170">
            <v>3</v>
          </cell>
          <cell r="P1170">
            <v>6</v>
          </cell>
          <cell r="Q1170" t="str">
            <v>classe</v>
          </cell>
          <cell r="R1170" t="str">
            <v>estimation</v>
          </cell>
          <cell r="S1170">
            <v>49240.000000000007</v>
          </cell>
          <cell r="T1170">
            <v>1</v>
          </cell>
          <cell r="U1170">
            <v>0</v>
          </cell>
          <cell r="V1170">
            <v>147720.00000000003</v>
          </cell>
          <cell r="W1170">
            <v>147720.00000000003</v>
          </cell>
          <cell r="X1170">
            <v>295440.00000000006</v>
          </cell>
          <cell r="Y1170">
            <v>0</v>
          </cell>
          <cell r="Z1170">
            <v>147720.00000000003</v>
          </cell>
          <cell r="AA1170">
            <v>147720.00000000003</v>
          </cell>
          <cell r="AB1170">
            <v>295440.00000000006</v>
          </cell>
          <cell r="AC1170">
            <v>0</v>
          </cell>
          <cell r="AD1170">
            <v>0</v>
          </cell>
          <cell r="AE1170">
            <v>0</v>
          </cell>
          <cell r="AF1170">
            <v>0</v>
          </cell>
          <cell r="AG1170">
            <v>0</v>
          </cell>
          <cell r="AH1170">
            <v>0</v>
          </cell>
        </row>
        <row r="1171">
          <cell r="B1171" t="str">
            <v>PACV</v>
          </cell>
          <cell r="C1171" t="str">
            <v>A1A</v>
          </cell>
          <cell r="D1171" t="str">
            <v>A1AN</v>
          </cell>
          <cell r="E1171" t="str">
            <v>EP/BOKE</v>
          </cell>
          <cell r="F1171" t="str">
            <v>PACV</v>
          </cell>
          <cell r="G1171">
            <v>22</v>
          </cell>
          <cell r="H1171" t="str">
            <v>EP Construction classes primaire + bur + mag + latrines</v>
          </cell>
          <cell r="I1171" t="str">
            <v>PACV</v>
          </cell>
          <cell r="J1171" t="str">
            <v>CRD</v>
          </cell>
          <cell r="K1171" t="str">
            <v>IDA PACV</v>
          </cell>
          <cell r="L1171" t="str">
            <v>AUT</v>
          </cell>
          <cell r="M1171">
            <v>6</v>
          </cell>
          <cell r="N1171">
            <v>4</v>
          </cell>
          <cell r="O1171">
            <v>4</v>
          </cell>
          <cell r="P1171">
            <v>14</v>
          </cell>
          <cell r="Q1171" t="str">
            <v>classe</v>
          </cell>
          <cell r="R1171" t="str">
            <v>estimation</v>
          </cell>
          <cell r="S1171">
            <v>49240.000000000007</v>
          </cell>
          <cell r="T1171">
            <v>1</v>
          </cell>
          <cell r="U1171">
            <v>295440.00000000006</v>
          </cell>
          <cell r="V1171">
            <v>196960.00000000003</v>
          </cell>
          <cell r="W1171">
            <v>196960.00000000003</v>
          </cell>
          <cell r="X1171">
            <v>689360.00000000012</v>
          </cell>
          <cell r="Y1171">
            <v>295440.00000000006</v>
          </cell>
          <cell r="Z1171">
            <v>196960.00000000003</v>
          </cell>
          <cell r="AA1171">
            <v>196960.00000000003</v>
          </cell>
          <cell r="AB1171">
            <v>689360.00000000012</v>
          </cell>
          <cell r="AC1171">
            <v>0</v>
          </cell>
          <cell r="AD1171">
            <v>0</v>
          </cell>
          <cell r="AE1171">
            <v>0</v>
          </cell>
          <cell r="AF1171">
            <v>0</v>
          </cell>
          <cell r="AG1171">
            <v>0</v>
          </cell>
          <cell r="AH1171">
            <v>0</v>
          </cell>
        </row>
        <row r="1172">
          <cell r="B1172" t="str">
            <v>PACV</v>
          </cell>
          <cell r="C1172" t="str">
            <v>A1A</v>
          </cell>
          <cell r="D1172" t="str">
            <v>A1AN</v>
          </cell>
          <cell r="E1172" t="str">
            <v>EP/COYA</v>
          </cell>
          <cell r="F1172" t="str">
            <v>PACV</v>
          </cell>
          <cell r="G1172">
            <v>22</v>
          </cell>
          <cell r="H1172" t="str">
            <v>EP Construction classes primaire + bur + mag + latrines</v>
          </cell>
          <cell r="I1172" t="str">
            <v>PACV</v>
          </cell>
          <cell r="J1172" t="str">
            <v>CRD</v>
          </cell>
          <cell r="K1172" t="str">
            <v>IDA PACV</v>
          </cell>
          <cell r="L1172" t="str">
            <v>AUT</v>
          </cell>
          <cell r="M1172">
            <v>3</v>
          </cell>
          <cell r="P1172">
            <v>3</v>
          </cell>
          <cell r="Q1172" t="str">
            <v>classe</v>
          </cell>
          <cell r="R1172" t="str">
            <v>estimation</v>
          </cell>
          <cell r="S1172">
            <v>49240.000000000007</v>
          </cell>
          <cell r="T1172">
            <v>1</v>
          </cell>
          <cell r="U1172">
            <v>147720.00000000003</v>
          </cell>
          <cell r="V1172">
            <v>0</v>
          </cell>
          <cell r="W1172">
            <v>0</v>
          </cell>
          <cell r="X1172">
            <v>147720.00000000003</v>
          </cell>
          <cell r="Y1172">
            <v>147720.00000000003</v>
          </cell>
          <cell r="Z1172">
            <v>0</v>
          </cell>
          <cell r="AA1172">
            <v>0</v>
          </cell>
          <cell r="AB1172">
            <v>147720.00000000003</v>
          </cell>
          <cell r="AC1172">
            <v>0</v>
          </cell>
          <cell r="AD1172">
            <v>0</v>
          </cell>
          <cell r="AE1172">
            <v>0</v>
          </cell>
          <cell r="AF1172">
            <v>0</v>
          </cell>
          <cell r="AG1172">
            <v>0</v>
          </cell>
          <cell r="AH1172">
            <v>0</v>
          </cell>
        </row>
        <row r="1173">
          <cell r="B1173" t="str">
            <v>PACV</v>
          </cell>
          <cell r="C1173" t="str">
            <v>A1A</v>
          </cell>
          <cell r="D1173" t="str">
            <v>A1AN</v>
          </cell>
          <cell r="E1173" t="str">
            <v>EP/DABO</v>
          </cell>
          <cell r="F1173" t="str">
            <v>PACV</v>
          </cell>
          <cell r="G1173">
            <v>22</v>
          </cell>
          <cell r="H1173" t="str">
            <v>EP Construction classes primaire + bur + mag + latrines</v>
          </cell>
          <cell r="I1173" t="str">
            <v>PACV</v>
          </cell>
          <cell r="J1173" t="str">
            <v>CRD</v>
          </cell>
          <cell r="K1173" t="str">
            <v>IDA PACV</v>
          </cell>
          <cell r="L1173" t="str">
            <v>AUT</v>
          </cell>
          <cell r="M1173">
            <v>2</v>
          </cell>
          <cell r="O1173">
            <v>2</v>
          </cell>
          <cell r="P1173">
            <v>4</v>
          </cell>
          <cell r="Q1173" t="str">
            <v>classe</v>
          </cell>
          <cell r="R1173" t="str">
            <v>estimation</v>
          </cell>
          <cell r="S1173">
            <v>49240.000000000007</v>
          </cell>
          <cell r="T1173">
            <v>1</v>
          </cell>
          <cell r="U1173">
            <v>98480.000000000015</v>
          </cell>
          <cell r="V1173">
            <v>0</v>
          </cell>
          <cell r="W1173">
            <v>98480.000000000015</v>
          </cell>
          <cell r="X1173">
            <v>196960.00000000003</v>
          </cell>
          <cell r="Y1173">
            <v>98480.000000000015</v>
          </cell>
          <cell r="Z1173">
            <v>0</v>
          </cell>
          <cell r="AA1173">
            <v>98480.000000000015</v>
          </cell>
          <cell r="AB1173">
            <v>196960.00000000003</v>
          </cell>
          <cell r="AC1173">
            <v>0</v>
          </cell>
          <cell r="AD1173">
            <v>0</v>
          </cell>
          <cell r="AE1173">
            <v>0</v>
          </cell>
          <cell r="AF1173">
            <v>0</v>
          </cell>
          <cell r="AG1173">
            <v>0</v>
          </cell>
          <cell r="AH1173">
            <v>0</v>
          </cell>
        </row>
        <row r="1174">
          <cell r="B1174" t="str">
            <v>PACV</v>
          </cell>
          <cell r="C1174" t="str">
            <v>A1A</v>
          </cell>
          <cell r="D1174" t="str">
            <v>A1AN</v>
          </cell>
          <cell r="E1174" t="str">
            <v>EP/DALA</v>
          </cell>
          <cell r="F1174" t="str">
            <v>PACV</v>
          </cell>
          <cell r="G1174">
            <v>22</v>
          </cell>
          <cell r="H1174" t="str">
            <v>EP Construction classes primaire + bur + mag + latrines</v>
          </cell>
          <cell r="I1174" t="str">
            <v>PACV</v>
          </cell>
          <cell r="J1174" t="str">
            <v>CRD</v>
          </cell>
          <cell r="K1174" t="str">
            <v>IDA PACV</v>
          </cell>
          <cell r="L1174" t="str">
            <v>AUT</v>
          </cell>
          <cell r="M1174">
            <v>2</v>
          </cell>
          <cell r="N1174">
            <v>3</v>
          </cell>
          <cell r="P1174">
            <v>5</v>
          </cell>
          <cell r="Q1174" t="str">
            <v>classe</v>
          </cell>
          <cell r="R1174" t="str">
            <v>estimation</v>
          </cell>
          <cell r="S1174">
            <v>49240.000000000007</v>
          </cell>
          <cell r="T1174">
            <v>1</v>
          </cell>
          <cell r="U1174">
            <v>98480.000000000015</v>
          </cell>
          <cell r="V1174">
            <v>147720.00000000003</v>
          </cell>
          <cell r="W1174">
            <v>0</v>
          </cell>
          <cell r="X1174">
            <v>246200.00000000006</v>
          </cell>
          <cell r="Y1174">
            <v>98480.000000000015</v>
          </cell>
          <cell r="Z1174">
            <v>147720.00000000003</v>
          </cell>
          <cell r="AA1174">
            <v>0</v>
          </cell>
          <cell r="AB1174">
            <v>246200.00000000006</v>
          </cell>
          <cell r="AC1174">
            <v>0</v>
          </cell>
          <cell r="AD1174">
            <v>0</v>
          </cell>
          <cell r="AE1174">
            <v>0</v>
          </cell>
          <cell r="AF1174">
            <v>0</v>
          </cell>
          <cell r="AG1174">
            <v>0</v>
          </cell>
          <cell r="AH1174">
            <v>0</v>
          </cell>
        </row>
        <row r="1175">
          <cell r="B1175" t="str">
            <v>PACV</v>
          </cell>
          <cell r="C1175" t="str">
            <v>A1A</v>
          </cell>
          <cell r="D1175" t="str">
            <v>A1AN</v>
          </cell>
          <cell r="E1175" t="str">
            <v>EP/DING</v>
          </cell>
          <cell r="F1175" t="str">
            <v>PACV</v>
          </cell>
          <cell r="G1175">
            <v>22</v>
          </cell>
          <cell r="H1175" t="str">
            <v>EP Construction classes primaire + bur + mag + latrines</v>
          </cell>
          <cell r="I1175" t="str">
            <v>PACV</v>
          </cell>
          <cell r="J1175" t="str">
            <v>CRD</v>
          </cell>
          <cell r="K1175" t="str">
            <v>IDA PACV</v>
          </cell>
          <cell r="L1175" t="str">
            <v>AUT</v>
          </cell>
          <cell r="N1175">
            <v>2</v>
          </cell>
          <cell r="O1175">
            <v>3</v>
          </cell>
          <cell r="P1175">
            <v>5</v>
          </cell>
          <cell r="Q1175" t="str">
            <v>classe</v>
          </cell>
          <cell r="R1175" t="str">
            <v>estimation</v>
          </cell>
          <cell r="S1175">
            <v>49240.000000000007</v>
          </cell>
          <cell r="T1175">
            <v>1</v>
          </cell>
          <cell r="U1175">
            <v>0</v>
          </cell>
          <cell r="V1175">
            <v>98480.000000000015</v>
          </cell>
          <cell r="W1175">
            <v>147720.00000000003</v>
          </cell>
          <cell r="X1175">
            <v>246200.00000000006</v>
          </cell>
          <cell r="Y1175">
            <v>0</v>
          </cell>
          <cell r="Z1175">
            <v>98480.000000000015</v>
          </cell>
          <cell r="AA1175">
            <v>147720.00000000003</v>
          </cell>
          <cell r="AB1175">
            <v>246200.00000000006</v>
          </cell>
          <cell r="AC1175">
            <v>0</v>
          </cell>
          <cell r="AD1175">
            <v>0</v>
          </cell>
          <cell r="AE1175">
            <v>0</v>
          </cell>
          <cell r="AF1175">
            <v>0</v>
          </cell>
          <cell r="AG1175">
            <v>0</v>
          </cell>
          <cell r="AH1175">
            <v>0</v>
          </cell>
        </row>
        <row r="1176">
          <cell r="B1176" t="str">
            <v>PACV</v>
          </cell>
          <cell r="C1176" t="str">
            <v>A1A</v>
          </cell>
          <cell r="D1176" t="str">
            <v>A1AN</v>
          </cell>
          <cell r="E1176" t="str">
            <v>EP/DUBR</v>
          </cell>
          <cell r="F1176" t="str">
            <v>PACV</v>
          </cell>
          <cell r="G1176">
            <v>22</v>
          </cell>
          <cell r="H1176" t="str">
            <v>EP Construction classes primaire + bur + mag + latrines</v>
          </cell>
          <cell r="I1176" t="str">
            <v>PACV</v>
          </cell>
          <cell r="J1176" t="str">
            <v>CRD</v>
          </cell>
          <cell r="K1176" t="str">
            <v>IDA PACV</v>
          </cell>
          <cell r="L1176" t="str">
            <v>AUT</v>
          </cell>
          <cell r="M1176">
            <v>2</v>
          </cell>
          <cell r="N1176">
            <v>1</v>
          </cell>
          <cell r="O1176">
            <v>4</v>
          </cell>
          <cell r="P1176">
            <v>7</v>
          </cell>
          <cell r="Q1176" t="str">
            <v>classe</v>
          </cell>
          <cell r="R1176" t="str">
            <v>estimation</v>
          </cell>
          <cell r="S1176">
            <v>49240.000000000007</v>
          </cell>
          <cell r="T1176">
            <v>1</v>
          </cell>
          <cell r="U1176">
            <v>98480.000000000015</v>
          </cell>
          <cell r="V1176">
            <v>49240.000000000007</v>
          </cell>
          <cell r="W1176">
            <v>196960.00000000003</v>
          </cell>
          <cell r="X1176">
            <v>344680.00000000006</v>
          </cell>
          <cell r="Y1176">
            <v>98480.000000000015</v>
          </cell>
          <cell r="Z1176">
            <v>49240.000000000007</v>
          </cell>
          <cell r="AA1176">
            <v>196960.00000000003</v>
          </cell>
          <cell r="AB1176">
            <v>344680.00000000006</v>
          </cell>
          <cell r="AC1176">
            <v>0</v>
          </cell>
          <cell r="AD1176">
            <v>0</v>
          </cell>
          <cell r="AE1176">
            <v>0</v>
          </cell>
          <cell r="AF1176">
            <v>0</v>
          </cell>
          <cell r="AG1176">
            <v>0</v>
          </cell>
          <cell r="AH1176">
            <v>0</v>
          </cell>
        </row>
        <row r="1177">
          <cell r="B1177" t="str">
            <v>PACV</v>
          </cell>
          <cell r="C1177" t="str">
            <v>A1A</v>
          </cell>
          <cell r="D1177" t="str">
            <v>A1AN</v>
          </cell>
          <cell r="E1177" t="str">
            <v>EP/FARA</v>
          </cell>
          <cell r="F1177" t="str">
            <v>PACV</v>
          </cell>
          <cell r="G1177">
            <v>22</v>
          </cell>
          <cell r="H1177" t="str">
            <v>EP Construction classes primaire + bur + mag + latrines</v>
          </cell>
          <cell r="I1177" t="str">
            <v>PACV</v>
          </cell>
          <cell r="J1177" t="str">
            <v>CRD</v>
          </cell>
          <cell r="K1177" t="str">
            <v>IDA PACV</v>
          </cell>
          <cell r="L1177" t="str">
            <v>AUT</v>
          </cell>
          <cell r="N1177">
            <v>4</v>
          </cell>
          <cell r="P1177">
            <v>4</v>
          </cell>
          <cell r="Q1177" t="str">
            <v>classe</v>
          </cell>
          <cell r="R1177" t="str">
            <v>estimation</v>
          </cell>
          <cell r="S1177">
            <v>49240.000000000007</v>
          </cell>
          <cell r="T1177">
            <v>1</v>
          </cell>
          <cell r="U1177">
            <v>0</v>
          </cell>
          <cell r="V1177">
            <v>196960.00000000003</v>
          </cell>
          <cell r="W1177">
            <v>0</v>
          </cell>
          <cell r="X1177">
            <v>196960.00000000003</v>
          </cell>
          <cell r="Y1177">
            <v>0</v>
          </cell>
          <cell r="Z1177">
            <v>196960.00000000003</v>
          </cell>
          <cell r="AA1177">
            <v>0</v>
          </cell>
          <cell r="AB1177">
            <v>196960.00000000003</v>
          </cell>
          <cell r="AC1177">
            <v>0</v>
          </cell>
          <cell r="AD1177">
            <v>0</v>
          </cell>
          <cell r="AE1177">
            <v>0</v>
          </cell>
          <cell r="AF1177">
            <v>0</v>
          </cell>
          <cell r="AG1177">
            <v>0</v>
          </cell>
          <cell r="AH1177">
            <v>0</v>
          </cell>
        </row>
        <row r="1178">
          <cell r="B1178" t="str">
            <v>PACV</v>
          </cell>
          <cell r="C1178" t="str">
            <v>A1A</v>
          </cell>
          <cell r="D1178" t="str">
            <v>A1AN</v>
          </cell>
          <cell r="E1178" t="str">
            <v>EP/FORE</v>
          </cell>
          <cell r="F1178" t="str">
            <v>PACV</v>
          </cell>
          <cell r="G1178">
            <v>22</v>
          </cell>
          <cell r="H1178" t="str">
            <v>EP Construction classes primaire + bur + mag + latrines</v>
          </cell>
          <cell r="I1178" t="str">
            <v>PACV</v>
          </cell>
          <cell r="J1178" t="str">
            <v>CRD</v>
          </cell>
          <cell r="K1178" t="str">
            <v>IDA PACV</v>
          </cell>
          <cell r="L1178" t="str">
            <v>AUT</v>
          </cell>
          <cell r="M1178">
            <v>6</v>
          </cell>
          <cell r="N1178">
            <v>3</v>
          </cell>
          <cell r="O1178">
            <v>3</v>
          </cell>
          <cell r="P1178">
            <v>12</v>
          </cell>
          <cell r="Q1178" t="str">
            <v>classe</v>
          </cell>
          <cell r="R1178" t="str">
            <v>estimation</v>
          </cell>
          <cell r="S1178">
            <v>49240.000000000007</v>
          </cell>
          <cell r="T1178">
            <v>1</v>
          </cell>
          <cell r="U1178">
            <v>295440.00000000006</v>
          </cell>
          <cell r="V1178">
            <v>147720.00000000003</v>
          </cell>
          <cell r="W1178">
            <v>147720.00000000003</v>
          </cell>
          <cell r="X1178">
            <v>590880.00000000012</v>
          </cell>
          <cell r="Y1178">
            <v>295440.00000000006</v>
          </cell>
          <cell r="Z1178">
            <v>147720.00000000003</v>
          </cell>
          <cell r="AA1178">
            <v>147720.00000000003</v>
          </cell>
          <cell r="AB1178">
            <v>590880.00000000012</v>
          </cell>
          <cell r="AC1178">
            <v>0</v>
          </cell>
          <cell r="AD1178">
            <v>0</v>
          </cell>
          <cell r="AE1178">
            <v>0</v>
          </cell>
          <cell r="AF1178">
            <v>0</v>
          </cell>
          <cell r="AG1178">
            <v>0</v>
          </cell>
          <cell r="AH1178">
            <v>0</v>
          </cell>
        </row>
        <row r="1179">
          <cell r="B1179" t="str">
            <v>PACV</v>
          </cell>
          <cell r="C1179" t="str">
            <v>A1A</v>
          </cell>
          <cell r="D1179" t="str">
            <v>A1AN</v>
          </cell>
          <cell r="E1179" t="str">
            <v>EP/FRIA</v>
          </cell>
          <cell r="F1179" t="str">
            <v>PACV</v>
          </cell>
          <cell r="G1179">
            <v>22</v>
          </cell>
          <cell r="H1179" t="str">
            <v>EP Construction classes primaire + bur + mag + latrines</v>
          </cell>
          <cell r="I1179" t="str">
            <v>PACV</v>
          </cell>
          <cell r="J1179" t="str">
            <v>CRD</v>
          </cell>
          <cell r="K1179" t="str">
            <v>IDA PACV</v>
          </cell>
          <cell r="L1179" t="str">
            <v>AUT</v>
          </cell>
          <cell r="N1179">
            <v>1</v>
          </cell>
          <cell r="P1179">
            <v>1</v>
          </cell>
          <cell r="Q1179" t="str">
            <v>classe</v>
          </cell>
          <cell r="R1179" t="str">
            <v>estimation</v>
          </cell>
          <cell r="S1179">
            <v>49240.000000000007</v>
          </cell>
          <cell r="T1179">
            <v>1</v>
          </cell>
          <cell r="U1179">
            <v>0</v>
          </cell>
          <cell r="V1179">
            <v>49240.000000000007</v>
          </cell>
          <cell r="W1179">
            <v>0</v>
          </cell>
          <cell r="X1179">
            <v>49240.000000000007</v>
          </cell>
          <cell r="Y1179">
            <v>0</v>
          </cell>
          <cell r="Z1179">
            <v>49240.000000000007</v>
          </cell>
          <cell r="AA1179">
            <v>0</v>
          </cell>
          <cell r="AB1179">
            <v>49240.000000000007</v>
          </cell>
          <cell r="AC1179">
            <v>0</v>
          </cell>
          <cell r="AD1179">
            <v>0</v>
          </cell>
          <cell r="AE1179">
            <v>0</v>
          </cell>
          <cell r="AF1179">
            <v>0</v>
          </cell>
          <cell r="AG1179">
            <v>0</v>
          </cell>
          <cell r="AH1179">
            <v>0</v>
          </cell>
        </row>
        <row r="1180">
          <cell r="B1180" t="str">
            <v>PACV</v>
          </cell>
          <cell r="C1180" t="str">
            <v>A1A</v>
          </cell>
          <cell r="D1180" t="str">
            <v>A1AN</v>
          </cell>
          <cell r="E1180" t="str">
            <v>EP/GAOU</v>
          </cell>
          <cell r="F1180" t="str">
            <v>PACV</v>
          </cell>
          <cell r="G1180">
            <v>22</v>
          </cell>
          <cell r="H1180" t="str">
            <v>EP Construction classes primaire + bur + mag + latrines</v>
          </cell>
          <cell r="I1180" t="str">
            <v>PACV</v>
          </cell>
          <cell r="J1180" t="str">
            <v>CRD</v>
          </cell>
          <cell r="K1180" t="str">
            <v>IDA PACV</v>
          </cell>
          <cell r="L1180" t="str">
            <v>AUT</v>
          </cell>
          <cell r="M1180">
            <v>3</v>
          </cell>
          <cell r="O1180">
            <v>3</v>
          </cell>
          <cell r="P1180">
            <v>6</v>
          </cell>
          <cell r="Q1180" t="str">
            <v>classe</v>
          </cell>
          <cell r="R1180" t="str">
            <v>estimation</v>
          </cell>
          <cell r="S1180">
            <v>49240.000000000007</v>
          </cell>
          <cell r="T1180">
            <v>1</v>
          </cell>
          <cell r="U1180">
            <v>147720.00000000003</v>
          </cell>
          <cell r="V1180">
            <v>0</v>
          </cell>
          <cell r="W1180">
            <v>147720.00000000003</v>
          </cell>
          <cell r="X1180">
            <v>295440.00000000006</v>
          </cell>
          <cell r="Y1180">
            <v>147720.00000000003</v>
          </cell>
          <cell r="Z1180">
            <v>0</v>
          </cell>
          <cell r="AA1180">
            <v>147720.00000000003</v>
          </cell>
          <cell r="AB1180">
            <v>295440.00000000006</v>
          </cell>
          <cell r="AC1180">
            <v>0</v>
          </cell>
          <cell r="AD1180">
            <v>0</v>
          </cell>
          <cell r="AE1180">
            <v>0</v>
          </cell>
          <cell r="AF1180">
            <v>0</v>
          </cell>
          <cell r="AG1180">
            <v>0</v>
          </cell>
          <cell r="AH1180">
            <v>0</v>
          </cell>
        </row>
        <row r="1181">
          <cell r="B1181" t="str">
            <v>PACV</v>
          </cell>
          <cell r="C1181" t="str">
            <v>A1A</v>
          </cell>
          <cell r="D1181" t="str">
            <v>A1AN</v>
          </cell>
          <cell r="E1181" t="str">
            <v>EP/GUEC</v>
          </cell>
          <cell r="F1181" t="str">
            <v>PACV</v>
          </cell>
          <cell r="G1181">
            <v>22</v>
          </cell>
          <cell r="H1181" t="str">
            <v>EP Construction classes primaire + bur + mag + latrines</v>
          </cell>
          <cell r="I1181" t="str">
            <v>PACV</v>
          </cell>
          <cell r="J1181" t="str">
            <v>CRD</v>
          </cell>
          <cell r="K1181" t="str">
            <v>IDA PACV</v>
          </cell>
          <cell r="L1181" t="str">
            <v>AUT</v>
          </cell>
          <cell r="M1181">
            <v>6</v>
          </cell>
          <cell r="N1181">
            <v>8</v>
          </cell>
          <cell r="O1181">
            <v>6</v>
          </cell>
          <cell r="P1181">
            <v>20</v>
          </cell>
          <cell r="Q1181" t="str">
            <v>classe</v>
          </cell>
          <cell r="R1181" t="str">
            <v>estimation</v>
          </cell>
          <cell r="S1181">
            <v>49240.000000000007</v>
          </cell>
          <cell r="T1181">
            <v>1</v>
          </cell>
          <cell r="U1181">
            <v>295440.00000000006</v>
          </cell>
          <cell r="V1181">
            <v>393920.00000000006</v>
          </cell>
          <cell r="W1181">
            <v>295440.00000000006</v>
          </cell>
          <cell r="X1181">
            <v>984800.00000000023</v>
          </cell>
          <cell r="Y1181">
            <v>295440.00000000006</v>
          </cell>
          <cell r="Z1181">
            <v>393920.00000000006</v>
          </cell>
          <cell r="AA1181">
            <v>295440.00000000006</v>
          </cell>
          <cell r="AB1181">
            <v>984800.00000000023</v>
          </cell>
          <cell r="AC1181">
            <v>0</v>
          </cell>
          <cell r="AD1181">
            <v>0</v>
          </cell>
          <cell r="AE1181">
            <v>0</v>
          </cell>
          <cell r="AF1181">
            <v>0</v>
          </cell>
          <cell r="AG1181">
            <v>0</v>
          </cell>
          <cell r="AH1181">
            <v>0</v>
          </cell>
        </row>
        <row r="1182">
          <cell r="B1182" t="str">
            <v>PACV</v>
          </cell>
          <cell r="C1182" t="str">
            <v>A1A</v>
          </cell>
          <cell r="D1182" t="str">
            <v>A1AN</v>
          </cell>
          <cell r="E1182" t="str">
            <v>EP/KANK</v>
          </cell>
          <cell r="F1182" t="str">
            <v>PACV</v>
          </cell>
          <cell r="G1182">
            <v>22</v>
          </cell>
          <cell r="H1182" t="str">
            <v>EP Construction classes primaire + bur + mag + latrines</v>
          </cell>
          <cell r="I1182" t="str">
            <v>PACV</v>
          </cell>
          <cell r="J1182" t="str">
            <v>CRD</v>
          </cell>
          <cell r="K1182" t="str">
            <v>IDA PACV</v>
          </cell>
          <cell r="L1182" t="str">
            <v>AUT</v>
          </cell>
          <cell r="M1182">
            <v>2</v>
          </cell>
          <cell r="N1182">
            <v>6</v>
          </cell>
          <cell r="P1182">
            <v>8</v>
          </cell>
          <cell r="Q1182" t="str">
            <v>classe</v>
          </cell>
          <cell r="R1182" t="str">
            <v>estimation</v>
          </cell>
          <cell r="S1182">
            <v>49240.000000000007</v>
          </cell>
          <cell r="T1182">
            <v>1</v>
          </cell>
          <cell r="U1182">
            <v>98480.000000000015</v>
          </cell>
          <cell r="V1182">
            <v>295440.00000000006</v>
          </cell>
          <cell r="W1182">
            <v>0</v>
          </cell>
          <cell r="X1182">
            <v>393920.00000000006</v>
          </cell>
          <cell r="Y1182">
            <v>98480.000000000015</v>
          </cell>
          <cell r="Z1182">
            <v>295440.00000000006</v>
          </cell>
          <cell r="AA1182">
            <v>0</v>
          </cell>
          <cell r="AB1182">
            <v>393920.00000000006</v>
          </cell>
          <cell r="AC1182">
            <v>0</v>
          </cell>
          <cell r="AD1182">
            <v>0</v>
          </cell>
          <cell r="AE1182">
            <v>0</v>
          </cell>
          <cell r="AF1182">
            <v>0</v>
          </cell>
          <cell r="AG1182">
            <v>0</v>
          </cell>
          <cell r="AH1182">
            <v>0</v>
          </cell>
        </row>
        <row r="1183">
          <cell r="B1183" t="str">
            <v>PACV</v>
          </cell>
          <cell r="C1183" t="str">
            <v>A1A</v>
          </cell>
          <cell r="D1183" t="str">
            <v>A1AN</v>
          </cell>
          <cell r="E1183" t="str">
            <v>EP/KERO</v>
          </cell>
          <cell r="F1183" t="str">
            <v>PACV</v>
          </cell>
          <cell r="G1183">
            <v>22</v>
          </cell>
          <cell r="H1183" t="str">
            <v>EP Construction classes primaire + bur + mag + latrines</v>
          </cell>
          <cell r="I1183" t="str">
            <v>PACV</v>
          </cell>
          <cell r="J1183" t="str">
            <v>CRD</v>
          </cell>
          <cell r="K1183" t="str">
            <v>IDA PACV</v>
          </cell>
          <cell r="L1183" t="str">
            <v>AUT</v>
          </cell>
          <cell r="M1183">
            <v>3</v>
          </cell>
          <cell r="O1183">
            <v>4</v>
          </cell>
          <cell r="P1183">
            <v>7</v>
          </cell>
          <cell r="Q1183" t="str">
            <v>classe</v>
          </cell>
          <cell r="R1183" t="str">
            <v>estimation</v>
          </cell>
          <cell r="S1183">
            <v>49240.000000000007</v>
          </cell>
          <cell r="T1183">
            <v>1</v>
          </cell>
          <cell r="U1183">
            <v>147720.00000000003</v>
          </cell>
          <cell r="V1183">
            <v>0</v>
          </cell>
          <cell r="W1183">
            <v>196960.00000000003</v>
          </cell>
          <cell r="X1183">
            <v>344680.00000000006</v>
          </cell>
          <cell r="Y1183">
            <v>147720.00000000003</v>
          </cell>
          <cell r="Z1183">
            <v>0</v>
          </cell>
          <cell r="AA1183">
            <v>196960.00000000003</v>
          </cell>
          <cell r="AB1183">
            <v>344680.00000000006</v>
          </cell>
          <cell r="AC1183">
            <v>0</v>
          </cell>
          <cell r="AD1183">
            <v>0</v>
          </cell>
          <cell r="AE1183">
            <v>0</v>
          </cell>
          <cell r="AF1183">
            <v>0</v>
          </cell>
          <cell r="AG1183">
            <v>0</v>
          </cell>
          <cell r="AH1183">
            <v>0</v>
          </cell>
        </row>
        <row r="1184">
          <cell r="B1184" t="str">
            <v>PACV</v>
          </cell>
          <cell r="C1184" t="str">
            <v>A1A</v>
          </cell>
          <cell r="D1184" t="str">
            <v>A1AN</v>
          </cell>
          <cell r="E1184" t="str">
            <v>EP/KIND</v>
          </cell>
          <cell r="F1184" t="str">
            <v>PACV</v>
          </cell>
          <cell r="G1184">
            <v>22</v>
          </cell>
          <cell r="H1184" t="str">
            <v>EP Construction classes primaire + bur + mag + latrines</v>
          </cell>
          <cell r="I1184" t="str">
            <v>PACV</v>
          </cell>
          <cell r="J1184" t="str">
            <v>CRD</v>
          </cell>
          <cell r="K1184" t="str">
            <v>IDA PACV</v>
          </cell>
          <cell r="L1184" t="str">
            <v>AUT</v>
          </cell>
          <cell r="M1184">
            <v>3</v>
          </cell>
          <cell r="N1184">
            <v>3</v>
          </cell>
          <cell r="O1184">
            <v>3</v>
          </cell>
          <cell r="P1184">
            <v>9</v>
          </cell>
          <cell r="Q1184" t="str">
            <v>classe</v>
          </cell>
          <cell r="R1184" t="str">
            <v>estimation</v>
          </cell>
          <cell r="S1184">
            <v>49240.000000000007</v>
          </cell>
          <cell r="T1184">
            <v>1</v>
          </cell>
          <cell r="U1184">
            <v>147720.00000000003</v>
          </cell>
          <cell r="V1184">
            <v>147720.00000000003</v>
          </cell>
          <cell r="W1184">
            <v>147720.00000000003</v>
          </cell>
          <cell r="X1184">
            <v>443160.00000000012</v>
          </cell>
          <cell r="Y1184">
            <v>147720.00000000003</v>
          </cell>
          <cell r="Z1184">
            <v>147720.00000000003</v>
          </cell>
          <cell r="AA1184">
            <v>147720.00000000003</v>
          </cell>
          <cell r="AB1184">
            <v>443160.00000000012</v>
          </cell>
          <cell r="AC1184">
            <v>0</v>
          </cell>
          <cell r="AD1184">
            <v>0</v>
          </cell>
          <cell r="AE1184">
            <v>0</v>
          </cell>
          <cell r="AF1184">
            <v>0</v>
          </cell>
          <cell r="AG1184">
            <v>0</v>
          </cell>
          <cell r="AH1184">
            <v>0</v>
          </cell>
        </row>
        <row r="1185">
          <cell r="B1185" t="str">
            <v>PACV</v>
          </cell>
          <cell r="C1185" t="str">
            <v>A1A</v>
          </cell>
          <cell r="D1185" t="str">
            <v>A1AN</v>
          </cell>
          <cell r="E1185" t="str">
            <v>EP/KISS</v>
          </cell>
          <cell r="F1185" t="str">
            <v>PACV</v>
          </cell>
          <cell r="G1185">
            <v>22</v>
          </cell>
          <cell r="H1185" t="str">
            <v>EP Construction classes primaire + bur + mag + latrines</v>
          </cell>
          <cell r="I1185" t="str">
            <v>PACV</v>
          </cell>
          <cell r="J1185" t="str">
            <v>CRD</v>
          </cell>
          <cell r="K1185" t="str">
            <v>IDA PACV</v>
          </cell>
          <cell r="L1185" t="str">
            <v>AUT</v>
          </cell>
          <cell r="N1185">
            <v>3</v>
          </cell>
          <cell r="O1185">
            <v>3</v>
          </cell>
          <cell r="P1185">
            <v>6</v>
          </cell>
          <cell r="Q1185" t="str">
            <v>classe</v>
          </cell>
          <cell r="R1185" t="str">
            <v>estimation</v>
          </cell>
          <cell r="S1185">
            <v>49240.000000000007</v>
          </cell>
          <cell r="T1185">
            <v>1</v>
          </cell>
          <cell r="U1185">
            <v>0</v>
          </cell>
          <cell r="V1185">
            <v>147720.00000000003</v>
          </cell>
          <cell r="W1185">
            <v>147720.00000000003</v>
          </cell>
          <cell r="X1185">
            <v>295440.00000000006</v>
          </cell>
          <cell r="Y1185">
            <v>0</v>
          </cell>
          <cell r="Z1185">
            <v>147720.00000000003</v>
          </cell>
          <cell r="AA1185">
            <v>147720.00000000003</v>
          </cell>
          <cell r="AB1185">
            <v>295440.00000000006</v>
          </cell>
          <cell r="AC1185">
            <v>0</v>
          </cell>
          <cell r="AD1185">
            <v>0</v>
          </cell>
          <cell r="AE1185">
            <v>0</v>
          </cell>
          <cell r="AF1185">
            <v>0</v>
          </cell>
          <cell r="AG1185">
            <v>0</v>
          </cell>
          <cell r="AH1185">
            <v>0</v>
          </cell>
        </row>
        <row r="1186">
          <cell r="B1186" t="str">
            <v>PACV</v>
          </cell>
          <cell r="C1186" t="str">
            <v>A1A</v>
          </cell>
          <cell r="D1186" t="str">
            <v>A1AN</v>
          </cell>
          <cell r="E1186" t="str">
            <v>EP/KOUB</v>
          </cell>
          <cell r="F1186" t="str">
            <v>PACV</v>
          </cell>
          <cell r="G1186">
            <v>22</v>
          </cell>
          <cell r="H1186" t="str">
            <v>EP Construction classes primaire + bur + mag + latrines</v>
          </cell>
          <cell r="I1186" t="str">
            <v>PACV</v>
          </cell>
          <cell r="J1186" t="str">
            <v>CRD</v>
          </cell>
          <cell r="K1186" t="str">
            <v>IDA PACV</v>
          </cell>
          <cell r="L1186" t="str">
            <v>AUT</v>
          </cell>
          <cell r="N1186">
            <v>3</v>
          </cell>
          <cell r="P1186">
            <v>3</v>
          </cell>
          <cell r="Q1186" t="str">
            <v>classe</v>
          </cell>
          <cell r="R1186" t="str">
            <v>estimation</v>
          </cell>
          <cell r="S1186">
            <v>49240.000000000007</v>
          </cell>
          <cell r="T1186">
            <v>1</v>
          </cell>
          <cell r="U1186">
            <v>0</v>
          </cell>
          <cell r="V1186">
            <v>147720.00000000003</v>
          </cell>
          <cell r="W1186">
            <v>0</v>
          </cell>
          <cell r="X1186">
            <v>147720.00000000003</v>
          </cell>
          <cell r="Y1186">
            <v>0</v>
          </cell>
          <cell r="Z1186">
            <v>147720.00000000003</v>
          </cell>
          <cell r="AA1186">
            <v>0</v>
          </cell>
          <cell r="AB1186">
            <v>147720.00000000003</v>
          </cell>
          <cell r="AC1186">
            <v>0</v>
          </cell>
          <cell r="AD1186">
            <v>0</v>
          </cell>
          <cell r="AE1186">
            <v>0</v>
          </cell>
          <cell r="AF1186">
            <v>0</v>
          </cell>
          <cell r="AG1186">
            <v>0</v>
          </cell>
          <cell r="AH1186">
            <v>0</v>
          </cell>
        </row>
        <row r="1187">
          <cell r="B1187" t="str">
            <v>PACV</v>
          </cell>
          <cell r="C1187" t="str">
            <v>A1A</v>
          </cell>
          <cell r="D1187" t="str">
            <v>A1AN</v>
          </cell>
          <cell r="E1187" t="str">
            <v>EP/KOUN</v>
          </cell>
          <cell r="F1187" t="str">
            <v>PACV</v>
          </cell>
          <cell r="G1187">
            <v>22</v>
          </cell>
          <cell r="H1187" t="str">
            <v>EP Construction classes primaire + bur + mag + latrines</v>
          </cell>
          <cell r="I1187" t="str">
            <v>PACV</v>
          </cell>
          <cell r="J1187" t="str">
            <v>CRD</v>
          </cell>
          <cell r="K1187" t="str">
            <v>IDA PACV</v>
          </cell>
          <cell r="L1187" t="str">
            <v>AUT</v>
          </cell>
          <cell r="M1187">
            <v>3</v>
          </cell>
          <cell r="P1187">
            <v>3</v>
          </cell>
          <cell r="Q1187" t="str">
            <v>classe</v>
          </cell>
          <cell r="R1187" t="str">
            <v>estimation</v>
          </cell>
          <cell r="S1187">
            <v>49240.000000000007</v>
          </cell>
          <cell r="T1187">
            <v>1</v>
          </cell>
          <cell r="U1187">
            <v>147720.00000000003</v>
          </cell>
          <cell r="V1187">
            <v>0</v>
          </cell>
          <cell r="W1187">
            <v>0</v>
          </cell>
          <cell r="X1187">
            <v>147720.00000000003</v>
          </cell>
          <cell r="Y1187">
            <v>147720.00000000003</v>
          </cell>
          <cell r="Z1187">
            <v>0</v>
          </cell>
          <cell r="AA1187">
            <v>0</v>
          </cell>
          <cell r="AB1187">
            <v>147720.00000000003</v>
          </cell>
          <cell r="AC1187">
            <v>0</v>
          </cell>
          <cell r="AD1187">
            <v>0</v>
          </cell>
          <cell r="AE1187">
            <v>0</v>
          </cell>
          <cell r="AF1187">
            <v>0</v>
          </cell>
          <cell r="AG1187">
            <v>0</v>
          </cell>
          <cell r="AH1187">
            <v>0</v>
          </cell>
        </row>
        <row r="1188">
          <cell r="B1188" t="str">
            <v>PACV</v>
          </cell>
          <cell r="C1188" t="str">
            <v>A1A</v>
          </cell>
          <cell r="D1188" t="str">
            <v>A1AN</v>
          </cell>
          <cell r="E1188" t="str">
            <v>EP/KOUR</v>
          </cell>
          <cell r="F1188" t="str">
            <v>PACV</v>
          </cell>
          <cell r="G1188">
            <v>22</v>
          </cell>
          <cell r="H1188" t="str">
            <v>EP Construction classes primaire + bur + mag + latrines</v>
          </cell>
          <cell r="I1188" t="str">
            <v>PACV</v>
          </cell>
          <cell r="J1188" t="str">
            <v>CRD</v>
          </cell>
          <cell r="K1188" t="str">
            <v>IDA PACV</v>
          </cell>
          <cell r="L1188" t="str">
            <v>AUT</v>
          </cell>
          <cell r="M1188">
            <v>3</v>
          </cell>
          <cell r="N1188">
            <v>3</v>
          </cell>
          <cell r="P1188">
            <v>6</v>
          </cell>
          <cell r="Q1188" t="str">
            <v>classe</v>
          </cell>
          <cell r="R1188" t="str">
            <v>estimation</v>
          </cell>
          <cell r="S1188">
            <v>49240.000000000007</v>
          </cell>
          <cell r="T1188">
            <v>1</v>
          </cell>
          <cell r="U1188">
            <v>147720.00000000003</v>
          </cell>
          <cell r="V1188">
            <v>147720.00000000003</v>
          </cell>
          <cell r="W1188">
            <v>0</v>
          </cell>
          <cell r="X1188">
            <v>295440.00000000006</v>
          </cell>
          <cell r="Y1188">
            <v>147720.00000000003</v>
          </cell>
          <cell r="Z1188">
            <v>147720.00000000003</v>
          </cell>
          <cell r="AA1188">
            <v>0</v>
          </cell>
          <cell r="AB1188">
            <v>295440.00000000006</v>
          </cell>
          <cell r="AC1188">
            <v>0</v>
          </cell>
          <cell r="AD1188">
            <v>0</v>
          </cell>
          <cell r="AE1188">
            <v>0</v>
          </cell>
          <cell r="AF1188">
            <v>0</v>
          </cell>
          <cell r="AG1188">
            <v>0</v>
          </cell>
          <cell r="AH1188">
            <v>0</v>
          </cell>
        </row>
        <row r="1189">
          <cell r="B1189" t="str">
            <v>PACV</v>
          </cell>
          <cell r="C1189" t="str">
            <v>A1A</v>
          </cell>
          <cell r="D1189" t="str">
            <v>A1AN</v>
          </cell>
          <cell r="E1189" t="str">
            <v>EP/LABE</v>
          </cell>
          <cell r="F1189" t="str">
            <v>PACV</v>
          </cell>
          <cell r="G1189">
            <v>22</v>
          </cell>
          <cell r="H1189" t="str">
            <v>EP Construction classes primaire + bur + mag + latrines</v>
          </cell>
          <cell r="I1189" t="str">
            <v>PACV</v>
          </cell>
          <cell r="J1189" t="str">
            <v>CRD</v>
          </cell>
          <cell r="K1189" t="str">
            <v>IDA PACV</v>
          </cell>
          <cell r="L1189" t="str">
            <v>AUT</v>
          </cell>
          <cell r="M1189">
            <v>3</v>
          </cell>
          <cell r="O1189">
            <v>4</v>
          </cell>
          <cell r="P1189">
            <v>7</v>
          </cell>
          <cell r="Q1189" t="str">
            <v>classe</v>
          </cell>
          <cell r="R1189" t="str">
            <v>estimation</v>
          </cell>
          <cell r="S1189">
            <v>49240.000000000007</v>
          </cell>
          <cell r="T1189">
            <v>1</v>
          </cell>
          <cell r="U1189">
            <v>147720.00000000003</v>
          </cell>
          <cell r="V1189">
            <v>0</v>
          </cell>
          <cell r="W1189">
            <v>196960.00000000003</v>
          </cell>
          <cell r="X1189">
            <v>344680.00000000006</v>
          </cell>
          <cell r="Y1189">
            <v>147720.00000000003</v>
          </cell>
          <cell r="Z1189">
            <v>0</v>
          </cell>
          <cell r="AA1189">
            <v>196960.00000000003</v>
          </cell>
          <cell r="AB1189">
            <v>344680.00000000006</v>
          </cell>
          <cell r="AC1189">
            <v>0</v>
          </cell>
          <cell r="AD1189">
            <v>0</v>
          </cell>
          <cell r="AE1189">
            <v>0</v>
          </cell>
          <cell r="AF1189">
            <v>0</v>
          </cell>
          <cell r="AG1189">
            <v>0</v>
          </cell>
          <cell r="AH1189">
            <v>0</v>
          </cell>
        </row>
        <row r="1190">
          <cell r="B1190" t="str">
            <v>PACV</v>
          </cell>
          <cell r="C1190" t="str">
            <v>A1A</v>
          </cell>
          <cell r="D1190" t="str">
            <v>A1AN</v>
          </cell>
          <cell r="E1190" t="str">
            <v>EP/LELO</v>
          </cell>
          <cell r="F1190" t="str">
            <v>PACV</v>
          </cell>
          <cell r="G1190">
            <v>22</v>
          </cell>
          <cell r="H1190" t="str">
            <v>EP Construction classes primaire + bur + mag + latrines</v>
          </cell>
          <cell r="I1190" t="str">
            <v>PACV</v>
          </cell>
          <cell r="J1190" t="str">
            <v>CRD</v>
          </cell>
          <cell r="K1190" t="str">
            <v>IDA PACV</v>
          </cell>
          <cell r="L1190" t="str">
            <v>AUT</v>
          </cell>
          <cell r="N1190">
            <v>3</v>
          </cell>
          <cell r="O1190">
            <v>2</v>
          </cell>
          <cell r="P1190">
            <v>5</v>
          </cell>
          <cell r="Q1190" t="str">
            <v>classe</v>
          </cell>
          <cell r="R1190" t="str">
            <v>estimation</v>
          </cell>
          <cell r="S1190">
            <v>49240.000000000007</v>
          </cell>
          <cell r="T1190">
            <v>1</v>
          </cell>
          <cell r="U1190">
            <v>0</v>
          </cell>
          <cell r="V1190">
            <v>147720.00000000003</v>
          </cell>
          <cell r="W1190">
            <v>98480.000000000015</v>
          </cell>
          <cell r="X1190">
            <v>246200.00000000006</v>
          </cell>
          <cell r="Y1190">
            <v>0</v>
          </cell>
          <cell r="Z1190">
            <v>147720.00000000003</v>
          </cell>
          <cell r="AA1190">
            <v>98480.000000000015</v>
          </cell>
          <cell r="AB1190">
            <v>246200.00000000006</v>
          </cell>
          <cell r="AC1190">
            <v>0</v>
          </cell>
          <cell r="AD1190">
            <v>0</v>
          </cell>
          <cell r="AE1190">
            <v>0</v>
          </cell>
          <cell r="AF1190">
            <v>0</v>
          </cell>
          <cell r="AG1190">
            <v>0</v>
          </cell>
          <cell r="AH1190">
            <v>0</v>
          </cell>
        </row>
        <row r="1191">
          <cell r="B1191" t="str">
            <v>PACV</v>
          </cell>
          <cell r="C1191" t="str">
            <v>A1A</v>
          </cell>
          <cell r="D1191" t="str">
            <v>A1AN</v>
          </cell>
          <cell r="E1191" t="str">
            <v>EP/LOLA</v>
          </cell>
          <cell r="F1191" t="str">
            <v>PACV</v>
          </cell>
          <cell r="G1191">
            <v>22</v>
          </cell>
          <cell r="H1191" t="str">
            <v>EP Construction classes primaire + bur + mag + latrines</v>
          </cell>
          <cell r="I1191" t="str">
            <v>PACV</v>
          </cell>
          <cell r="J1191" t="str">
            <v>CRD</v>
          </cell>
          <cell r="K1191" t="str">
            <v>IDA PACV</v>
          </cell>
          <cell r="L1191" t="str">
            <v>AUT</v>
          </cell>
          <cell r="M1191">
            <v>3</v>
          </cell>
          <cell r="O1191">
            <v>2</v>
          </cell>
          <cell r="P1191">
            <v>5</v>
          </cell>
          <cell r="Q1191" t="str">
            <v>classe</v>
          </cell>
          <cell r="R1191" t="str">
            <v>estimation</v>
          </cell>
          <cell r="S1191">
            <v>49240.000000000007</v>
          </cell>
          <cell r="T1191">
            <v>1</v>
          </cell>
          <cell r="U1191">
            <v>147720.00000000003</v>
          </cell>
          <cell r="V1191">
            <v>0</v>
          </cell>
          <cell r="W1191">
            <v>98480.000000000015</v>
          </cell>
          <cell r="X1191">
            <v>246200.00000000006</v>
          </cell>
          <cell r="Y1191">
            <v>147720.00000000003</v>
          </cell>
          <cell r="Z1191">
            <v>0</v>
          </cell>
          <cell r="AA1191">
            <v>98480.000000000015</v>
          </cell>
          <cell r="AB1191">
            <v>246200.00000000006</v>
          </cell>
          <cell r="AC1191">
            <v>0</v>
          </cell>
          <cell r="AD1191">
            <v>0</v>
          </cell>
          <cell r="AE1191">
            <v>0</v>
          </cell>
          <cell r="AF1191">
            <v>0</v>
          </cell>
          <cell r="AG1191">
            <v>0</v>
          </cell>
          <cell r="AH1191">
            <v>0</v>
          </cell>
        </row>
        <row r="1192">
          <cell r="B1192" t="str">
            <v>PACV</v>
          </cell>
          <cell r="C1192" t="str">
            <v>A1A</v>
          </cell>
          <cell r="D1192" t="str">
            <v>A1AN</v>
          </cell>
          <cell r="E1192" t="str">
            <v>EP/MACE</v>
          </cell>
          <cell r="F1192" t="str">
            <v>PACV</v>
          </cell>
          <cell r="G1192">
            <v>22</v>
          </cell>
          <cell r="H1192" t="str">
            <v>EP Construction classes primaire + bur + mag + latrines</v>
          </cell>
          <cell r="I1192" t="str">
            <v>PACV</v>
          </cell>
          <cell r="J1192" t="str">
            <v>CRD</v>
          </cell>
          <cell r="K1192" t="str">
            <v>IDA PACV</v>
          </cell>
          <cell r="L1192" t="str">
            <v>AUT</v>
          </cell>
          <cell r="M1192">
            <v>3</v>
          </cell>
          <cell r="N1192">
            <v>3</v>
          </cell>
          <cell r="O1192">
            <v>8</v>
          </cell>
          <cell r="P1192">
            <v>14</v>
          </cell>
          <cell r="Q1192" t="str">
            <v>classe</v>
          </cell>
          <cell r="R1192" t="str">
            <v>estimation</v>
          </cell>
          <cell r="S1192">
            <v>49240.000000000007</v>
          </cell>
          <cell r="T1192">
            <v>1</v>
          </cell>
          <cell r="U1192">
            <v>147720.00000000003</v>
          </cell>
          <cell r="V1192">
            <v>147720.00000000003</v>
          </cell>
          <cell r="W1192">
            <v>393920.00000000006</v>
          </cell>
          <cell r="X1192">
            <v>689360.00000000012</v>
          </cell>
          <cell r="Y1192">
            <v>147720.00000000003</v>
          </cell>
          <cell r="Z1192">
            <v>147720.00000000003</v>
          </cell>
          <cell r="AA1192">
            <v>393920.00000000006</v>
          </cell>
          <cell r="AB1192">
            <v>689360.00000000012</v>
          </cell>
          <cell r="AC1192">
            <v>0</v>
          </cell>
          <cell r="AD1192">
            <v>0</v>
          </cell>
          <cell r="AE1192">
            <v>0</v>
          </cell>
          <cell r="AF1192">
            <v>0</v>
          </cell>
          <cell r="AG1192">
            <v>0</v>
          </cell>
          <cell r="AH1192">
            <v>0</v>
          </cell>
        </row>
        <row r="1193">
          <cell r="B1193" t="str">
            <v>PACV</v>
          </cell>
          <cell r="C1193" t="str">
            <v>A1A</v>
          </cell>
          <cell r="D1193" t="str">
            <v>A1AN</v>
          </cell>
          <cell r="E1193" t="str">
            <v>EP/MALI</v>
          </cell>
          <cell r="F1193" t="str">
            <v>PACV</v>
          </cell>
          <cell r="G1193">
            <v>22</v>
          </cell>
          <cell r="H1193" t="str">
            <v>EP Construction classes primaire + bur + mag + latrines</v>
          </cell>
          <cell r="I1193" t="str">
            <v>PACV</v>
          </cell>
          <cell r="J1193" t="str">
            <v>CRD</v>
          </cell>
          <cell r="K1193" t="str">
            <v>IDA PACV</v>
          </cell>
          <cell r="L1193" t="str">
            <v>AUT</v>
          </cell>
          <cell r="M1193">
            <v>3</v>
          </cell>
          <cell r="N1193">
            <v>3</v>
          </cell>
          <cell r="P1193">
            <v>6</v>
          </cell>
          <cell r="Q1193" t="str">
            <v>classe</v>
          </cell>
          <cell r="R1193" t="str">
            <v>estimation</v>
          </cell>
          <cell r="S1193">
            <v>49240.000000000007</v>
          </cell>
          <cell r="T1193">
            <v>1</v>
          </cell>
          <cell r="U1193">
            <v>147720.00000000003</v>
          </cell>
          <cell r="V1193">
            <v>147720.00000000003</v>
          </cell>
          <cell r="W1193">
            <v>0</v>
          </cell>
          <cell r="X1193">
            <v>295440.00000000006</v>
          </cell>
          <cell r="Y1193">
            <v>147720.00000000003</v>
          </cell>
          <cell r="Z1193">
            <v>147720.00000000003</v>
          </cell>
          <cell r="AA1193">
            <v>0</v>
          </cell>
          <cell r="AB1193">
            <v>295440.00000000006</v>
          </cell>
          <cell r="AC1193">
            <v>0</v>
          </cell>
          <cell r="AD1193">
            <v>0</v>
          </cell>
          <cell r="AE1193">
            <v>0</v>
          </cell>
          <cell r="AF1193">
            <v>0</v>
          </cell>
          <cell r="AG1193">
            <v>0</v>
          </cell>
          <cell r="AH1193">
            <v>0</v>
          </cell>
        </row>
        <row r="1194">
          <cell r="B1194" t="str">
            <v>PACV</v>
          </cell>
          <cell r="C1194" t="str">
            <v>A1A</v>
          </cell>
          <cell r="D1194" t="str">
            <v>A1AN</v>
          </cell>
          <cell r="E1194" t="str">
            <v>EP/MAMO</v>
          </cell>
          <cell r="F1194" t="str">
            <v>PACV</v>
          </cell>
          <cell r="G1194">
            <v>22</v>
          </cell>
          <cell r="H1194" t="str">
            <v>EP Construction classes primaire + bur + mag + latrines</v>
          </cell>
          <cell r="I1194" t="str">
            <v>PACV</v>
          </cell>
          <cell r="J1194" t="str">
            <v>CRD</v>
          </cell>
          <cell r="K1194" t="str">
            <v>IDA PACV</v>
          </cell>
          <cell r="L1194" t="str">
            <v>AUT</v>
          </cell>
          <cell r="M1194">
            <v>3</v>
          </cell>
          <cell r="N1194">
            <v>3</v>
          </cell>
          <cell r="O1194">
            <v>3</v>
          </cell>
          <cell r="P1194">
            <v>9</v>
          </cell>
          <cell r="Q1194" t="str">
            <v>classe</v>
          </cell>
          <cell r="R1194" t="str">
            <v>estimation</v>
          </cell>
          <cell r="S1194">
            <v>49240.000000000007</v>
          </cell>
          <cell r="T1194">
            <v>1</v>
          </cell>
          <cell r="U1194">
            <v>147720.00000000003</v>
          </cell>
          <cell r="V1194">
            <v>147720.00000000003</v>
          </cell>
          <cell r="W1194">
            <v>147720.00000000003</v>
          </cell>
          <cell r="X1194">
            <v>443160.00000000012</v>
          </cell>
          <cell r="Y1194">
            <v>147720.00000000003</v>
          </cell>
          <cell r="Z1194">
            <v>147720.00000000003</v>
          </cell>
          <cell r="AA1194">
            <v>147720.00000000003</v>
          </cell>
          <cell r="AB1194">
            <v>443160.00000000012</v>
          </cell>
          <cell r="AC1194">
            <v>0</v>
          </cell>
          <cell r="AD1194">
            <v>0</v>
          </cell>
          <cell r="AE1194">
            <v>0</v>
          </cell>
          <cell r="AF1194">
            <v>0</v>
          </cell>
          <cell r="AG1194">
            <v>0</v>
          </cell>
          <cell r="AH1194">
            <v>0</v>
          </cell>
        </row>
        <row r="1195">
          <cell r="B1195" t="str">
            <v>PACV</v>
          </cell>
          <cell r="C1195" t="str">
            <v>A1A</v>
          </cell>
          <cell r="D1195" t="str">
            <v>A1AN</v>
          </cell>
          <cell r="E1195" t="str">
            <v>EP/MAND</v>
          </cell>
          <cell r="F1195" t="str">
            <v>PACV</v>
          </cell>
          <cell r="G1195">
            <v>22</v>
          </cell>
          <cell r="H1195" t="str">
            <v>EP Construction classes primaire + bur + mag + latrines</v>
          </cell>
          <cell r="I1195" t="str">
            <v>PACV</v>
          </cell>
          <cell r="J1195" t="str">
            <v>CRD</v>
          </cell>
          <cell r="K1195" t="str">
            <v>IDA PACV</v>
          </cell>
          <cell r="L1195" t="str">
            <v>AUT</v>
          </cell>
          <cell r="M1195">
            <v>3</v>
          </cell>
          <cell r="N1195">
            <v>3</v>
          </cell>
          <cell r="O1195">
            <v>3</v>
          </cell>
          <cell r="P1195">
            <v>9</v>
          </cell>
          <cell r="Q1195" t="str">
            <v>classe</v>
          </cell>
          <cell r="R1195" t="str">
            <v>estimation</v>
          </cell>
          <cell r="S1195">
            <v>49240.000000000007</v>
          </cell>
          <cell r="T1195">
            <v>1</v>
          </cell>
          <cell r="U1195">
            <v>147720.00000000003</v>
          </cell>
          <cell r="V1195">
            <v>147720.00000000003</v>
          </cell>
          <cell r="W1195">
            <v>147720.00000000003</v>
          </cell>
          <cell r="X1195">
            <v>443160.00000000012</v>
          </cell>
          <cell r="Y1195">
            <v>147720.00000000003</v>
          </cell>
          <cell r="Z1195">
            <v>147720.00000000003</v>
          </cell>
          <cell r="AA1195">
            <v>147720.00000000003</v>
          </cell>
          <cell r="AB1195">
            <v>443160.00000000012</v>
          </cell>
          <cell r="AC1195">
            <v>0</v>
          </cell>
          <cell r="AD1195">
            <v>0</v>
          </cell>
          <cell r="AE1195">
            <v>0</v>
          </cell>
          <cell r="AF1195">
            <v>0</v>
          </cell>
          <cell r="AG1195">
            <v>0</v>
          </cell>
          <cell r="AH1195">
            <v>0</v>
          </cell>
        </row>
        <row r="1196">
          <cell r="B1196" t="str">
            <v>PACV</v>
          </cell>
          <cell r="C1196" t="str">
            <v>A1A</v>
          </cell>
          <cell r="D1196" t="str">
            <v>A1AN</v>
          </cell>
          <cell r="E1196" t="str">
            <v>EP/NZER</v>
          </cell>
          <cell r="F1196" t="str">
            <v>PACV</v>
          </cell>
          <cell r="G1196">
            <v>22</v>
          </cell>
          <cell r="H1196" t="str">
            <v>EP Construction classes primaire + bur + mag + latrines</v>
          </cell>
          <cell r="I1196" t="str">
            <v>PACV</v>
          </cell>
          <cell r="J1196" t="str">
            <v>CRD</v>
          </cell>
          <cell r="K1196" t="str">
            <v>IDA PACV</v>
          </cell>
          <cell r="L1196" t="str">
            <v>AUT</v>
          </cell>
          <cell r="M1196">
            <v>2</v>
          </cell>
          <cell r="N1196">
            <v>3</v>
          </cell>
          <cell r="O1196">
            <v>3</v>
          </cell>
          <cell r="P1196">
            <v>8</v>
          </cell>
          <cell r="Q1196" t="str">
            <v>classe</v>
          </cell>
          <cell r="R1196" t="str">
            <v>estimation</v>
          </cell>
          <cell r="S1196">
            <v>49240.000000000007</v>
          </cell>
          <cell r="T1196">
            <v>1</v>
          </cell>
          <cell r="U1196">
            <v>98480.000000000015</v>
          </cell>
          <cell r="V1196">
            <v>147720.00000000003</v>
          </cell>
          <cell r="W1196">
            <v>147720.00000000003</v>
          </cell>
          <cell r="X1196">
            <v>393920.00000000012</v>
          </cell>
          <cell r="Y1196">
            <v>98480.000000000015</v>
          </cell>
          <cell r="Z1196">
            <v>147720.00000000003</v>
          </cell>
          <cell r="AA1196">
            <v>147720.00000000003</v>
          </cell>
          <cell r="AB1196">
            <v>393920.00000000012</v>
          </cell>
          <cell r="AC1196">
            <v>0</v>
          </cell>
          <cell r="AD1196">
            <v>0</v>
          </cell>
          <cell r="AE1196">
            <v>0</v>
          </cell>
          <cell r="AF1196">
            <v>0</v>
          </cell>
          <cell r="AG1196">
            <v>0</v>
          </cell>
          <cell r="AH1196">
            <v>0</v>
          </cell>
        </row>
        <row r="1197">
          <cell r="B1197" t="str">
            <v>PACV</v>
          </cell>
          <cell r="C1197" t="str">
            <v>A1A</v>
          </cell>
          <cell r="D1197" t="str">
            <v>A1AN</v>
          </cell>
          <cell r="E1197" t="str">
            <v>EP/PITA</v>
          </cell>
          <cell r="F1197" t="str">
            <v>PACV</v>
          </cell>
          <cell r="G1197">
            <v>22</v>
          </cell>
          <cell r="H1197" t="str">
            <v>EP Construction classes primaire + bur + mag + latrines</v>
          </cell>
          <cell r="I1197" t="str">
            <v>PACV</v>
          </cell>
          <cell r="J1197" t="str">
            <v>CRD</v>
          </cell>
          <cell r="K1197" t="str">
            <v>IDA PACV</v>
          </cell>
          <cell r="L1197" t="str">
            <v>AUT</v>
          </cell>
          <cell r="M1197">
            <v>2</v>
          </cell>
          <cell r="N1197">
            <v>3</v>
          </cell>
          <cell r="O1197">
            <v>3</v>
          </cell>
          <cell r="P1197">
            <v>8</v>
          </cell>
          <cell r="Q1197" t="str">
            <v>classe</v>
          </cell>
          <cell r="R1197" t="str">
            <v>estimation</v>
          </cell>
          <cell r="S1197">
            <v>49240.000000000007</v>
          </cell>
          <cell r="T1197">
            <v>1</v>
          </cell>
          <cell r="U1197">
            <v>98480.000000000015</v>
          </cell>
          <cell r="V1197">
            <v>147720.00000000003</v>
          </cell>
          <cell r="W1197">
            <v>147720.00000000003</v>
          </cell>
          <cell r="X1197">
            <v>393920.00000000012</v>
          </cell>
          <cell r="Y1197">
            <v>98480.000000000015</v>
          </cell>
          <cell r="Z1197">
            <v>147720.00000000003</v>
          </cell>
          <cell r="AA1197">
            <v>147720.00000000003</v>
          </cell>
          <cell r="AB1197">
            <v>393920.00000000012</v>
          </cell>
          <cell r="AC1197">
            <v>0</v>
          </cell>
          <cell r="AD1197">
            <v>0</v>
          </cell>
          <cell r="AE1197">
            <v>0</v>
          </cell>
          <cell r="AF1197">
            <v>0</v>
          </cell>
          <cell r="AG1197">
            <v>0</v>
          </cell>
          <cell r="AH1197">
            <v>0</v>
          </cell>
        </row>
        <row r="1198">
          <cell r="B1198" t="str">
            <v>PACV</v>
          </cell>
          <cell r="C1198" t="str">
            <v>A1A</v>
          </cell>
          <cell r="D1198" t="str">
            <v>A1AN</v>
          </cell>
          <cell r="E1198" t="str">
            <v>EP/SIGU</v>
          </cell>
          <cell r="F1198" t="str">
            <v>PACV</v>
          </cell>
          <cell r="G1198">
            <v>22</v>
          </cell>
          <cell r="H1198" t="str">
            <v>EP Construction classes primaire + bur + mag + latrines</v>
          </cell>
          <cell r="I1198" t="str">
            <v>PACV</v>
          </cell>
          <cell r="J1198" t="str">
            <v>CRD</v>
          </cell>
          <cell r="K1198" t="str">
            <v>IDA PACV</v>
          </cell>
          <cell r="L1198" t="str">
            <v>AUT</v>
          </cell>
          <cell r="M1198">
            <v>3</v>
          </cell>
          <cell r="N1198">
            <v>3</v>
          </cell>
          <cell r="O1198">
            <v>5</v>
          </cell>
          <cell r="P1198">
            <v>11</v>
          </cell>
          <cell r="Q1198" t="str">
            <v>classe</v>
          </cell>
          <cell r="R1198" t="str">
            <v>estimation</v>
          </cell>
          <cell r="S1198">
            <v>49240.000000000007</v>
          </cell>
          <cell r="T1198">
            <v>1</v>
          </cell>
          <cell r="U1198">
            <v>147720.00000000003</v>
          </cell>
          <cell r="V1198">
            <v>147720.00000000003</v>
          </cell>
          <cell r="W1198">
            <v>246200.00000000003</v>
          </cell>
          <cell r="X1198">
            <v>541640.00000000012</v>
          </cell>
          <cell r="Y1198">
            <v>147720.00000000003</v>
          </cell>
          <cell r="Z1198">
            <v>147720.00000000003</v>
          </cell>
          <cell r="AA1198">
            <v>246200.00000000003</v>
          </cell>
          <cell r="AB1198">
            <v>541640.00000000012</v>
          </cell>
          <cell r="AC1198">
            <v>0</v>
          </cell>
          <cell r="AD1198">
            <v>0</v>
          </cell>
          <cell r="AE1198">
            <v>0</v>
          </cell>
          <cell r="AF1198">
            <v>0</v>
          </cell>
          <cell r="AG1198">
            <v>0</v>
          </cell>
          <cell r="AH1198">
            <v>0</v>
          </cell>
        </row>
        <row r="1199">
          <cell r="B1199" t="str">
            <v>PACV</v>
          </cell>
          <cell r="C1199" t="str">
            <v>A1A</v>
          </cell>
          <cell r="D1199" t="str">
            <v>A1AN</v>
          </cell>
          <cell r="E1199" t="str">
            <v>EP/TELI</v>
          </cell>
          <cell r="F1199" t="str">
            <v>PACV</v>
          </cell>
          <cell r="G1199">
            <v>22</v>
          </cell>
          <cell r="H1199" t="str">
            <v>EP Construction classes primaire + bur + mag + latrines</v>
          </cell>
          <cell r="I1199" t="str">
            <v>PACV</v>
          </cell>
          <cell r="J1199" t="str">
            <v>CRD</v>
          </cell>
          <cell r="K1199" t="str">
            <v>IDA PACV</v>
          </cell>
          <cell r="L1199" t="str">
            <v>AUT</v>
          </cell>
          <cell r="M1199">
            <v>3</v>
          </cell>
          <cell r="N1199">
            <v>3</v>
          </cell>
          <cell r="O1199">
            <v>3</v>
          </cell>
          <cell r="P1199">
            <v>9</v>
          </cell>
          <cell r="Q1199" t="str">
            <v>classe</v>
          </cell>
          <cell r="R1199" t="str">
            <v>estimation</v>
          </cell>
          <cell r="S1199">
            <v>49240.000000000007</v>
          </cell>
          <cell r="T1199">
            <v>1</v>
          </cell>
          <cell r="U1199">
            <v>147720.00000000003</v>
          </cell>
          <cell r="V1199">
            <v>147720.00000000003</v>
          </cell>
          <cell r="W1199">
            <v>147720.00000000003</v>
          </cell>
          <cell r="X1199">
            <v>443160.00000000012</v>
          </cell>
          <cell r="Y1199">
            <v>147720.00000000003</v>
          </cell>
          <cell r="Z1199">
            <v>147720.00000000003</v>
          </cell>
          <cell r="AA1199">
            <v>147720.00000000003</v>
          </cell>
          <cell r="AB1199">
            <v>443160.00000000012</v>
          </cell>
          <cell r="AC1199">
            <v>0</v>
          </cell>
          <cell r="AD1199">
            <v>0</v>
          </cell>
          <cell r="AE1199">
            <v>0</v>
          </cell>
          <cell r="AF1199">
            <v>0</v>
          </cell>
          <cell r="AG1199">
            <v>0</v>
          </cell>
          <cell r="AH1199">
            <v>0</v>
          </cell>
        </row>
        <row r="1200">
          <cell r="B1200" t="str">
            <v>PACV</v>
          </cell>
          <cell r="C1200" t="str">
            <v>A1A</v>
          </cell>
          <cell r="D1200" t="str">
            <v>A1AN</v>
          </cell>
          <cell r="E1200" t="str">
            <v>EP/TOUG</v>
          </cell>
          <cell r="F1200" t="str">
            <v>PACV</v>
          </cell>
          <cell r="G1200">
            <v>22</v>
          </cell>
          <cell r="H1200" t="str">
            <v>EP Construction classes primaire + bur + mag + latrines</v>
          </cell>
          <cell r="I1200" t="str">
            <v>PACV</v>
          </cell>
          <cell r="J1200" t="str">
            <v>CRD</v>
          </cell>
          <cell r="K1200" t="str">
            <v>IDA PACV</v>
          </cell>
          <cell r="L1200" t="str">
            <v>AUT</v>
          </cell>
          <cell r="M1200">
            <v>2</v>
          </cell>
          <cell r="N1200">
            <v>2</v>
          </cell>
          <cell r="P1200">
            <v>4</v>
          </cell>
          <cell r="Q1200" t="str">
            <v>classe</v>
          </cell>
          <cell r="R1200" t="str">
            <v>estimation</v>
          </cell>
          <cell r="S1200">
            <v>49240.000000000007</v>
          </cell>
          <cell r="T1200">
            <v>1</v>
          </cell>
          <cell r="U1200">
            <v>98480.000000000015</v>
          </cell>
          <cell r="V1200">
            <v>98480.000000000015</v>
          </cell>
          <cell r="W1200">
            <v>0</v>
          </cell>
          <cell r="X1200">
            <v>196960.00000000003</v>
          </cell>
          <cell r="Y1200">
            <v>98480.000000000015</v>
          </cell>
          <cell r="Z1200">
            <v>98480.000000000015</v>
          </cell>
          <cell r="AA1200">
            <v>0</v>
          </cell>
          <cell r="AB1200">
            <v>196960.00000000003</v>
          </cell>
          <cell r="AC1200">
            <v>0</v>
          </cell>
          <cell r="AD1200">
            <v>0</v>
          </cell>
          <cell r="AE1200">
            <v>0</v>
          </cell>
          <cell r="AF1200">
            <v>0</v>
          </cell>
          <cell r="AG1200">
            <v>0</v>
          </cell>
          <cell r="AH1200">
            <v>0</v>
          </cell>
        </row>
        <row r="1201">
          <cell r="B1201" t="str">
            <v>PACV</v>
          </cell>
          <cell r="C1201" t="str">
            <v>A1A</v>
          </cell>
          <cell r="D1201" t="str">
            <v>A1AN</v>
          </cell>
          <cell r="E1201" t="str">
            <v>EP/YOMO</v>
          </cell>
          <cell r="F1201" t="str">
            <v>PACV</v>
          </cell>
          <cell r="G1201">
            <v>22</v>
          </cell>
          <cell r="H1201" t="str">
            <v>EP Construction classes primaire + bur + mag + latrines</v>
          </cell>
          <cell r="I1201" t="str">
            <v>PACV</v>
          </cell>
          <cell r="J1201" t="str">
            <v>CRD</v>
          </cell>
          <cell r="K1201" t="str">
            <v>IDA PACV</v>
          </cell>
          <cell r="L1201" t="str">
            <v>AUT</v>
          </cell>
          <cell r="M1201">
            <v>3</v>
          </cell>
          <cell r="N1201">
            <v>3</v>
          </cell>
          <cell r="O1201">
            <v>4</v>
          </cell>
          <cell r="P1201">
            <v>10</v>
          </cell>
          <cell r="Q1201" t="str">
            <v>classe</v>
          </cell>
          <cell r="R1201" t="str">
            <v>estimation</v>
          </cell>
          <cell r="S1201">
            <v>49240.000000000007</v>
          </cell>
          <cell r="T1201">
            <v>1</v>
          </cell>
          <cell r="U1201">
            <v>147720.00000000003</v>
          </cell>
          <cell r="V1201">
            <v>147720.00000000003</v>
          </cell>
          <cell r="W1201">
            <v>196960.00000000003</v>
          </cell>
          <cell r="X1201">
            <v>492400.00000000012</v>
          </cell>
          <cell r="Y1201">
            <v>147720.00000000003</v>
          </cell>
          <cell r="Z1201">
            <v>147720.00000000003</v>
          </cell>
          <cell r="AA1201">
            <v>196960.00000000003</v>
          </cell>
          <cell r="AB1201">
            <v>492400.00000000012</v>
          </cell>
          <cell r="AC1201">
            <v>0</v>
          </cell>
          <cell r="AD1201">
            <v>0</v>
          </cell>
          <cell r="AE1201">
            <v>0</v>
          </cell>
          <cell r="AF1201">
            <v>0</v>
          </cell>
          <cell r="AG1201">
            <v>0</v>
          </cell>
          <cell r="AH1201">
            <v>0</v>
          </cell>
        </row>
        <row r="1202">
          <cell r="B1202" t="str">
            <v>PACV</v>
          </cell>
          <cell r="C1202" t="str">
            <v>A1A</v>
          </cell>
          <cell r="D1202" t="str">
            <v>A1AO</v>
          </cell>
          <cell r="E1202" t="str">
            <v>EP/BEYL</v>
          </cell>
          <cell r="F1202" t="str">
            <v>PACV</v>
          </cell>
          <cell r="G1202" t="str">
            <v>22R</v>
          </cell>
          <cell r="H1202" t="str">
            <v>EP Rénovation classes prim + bur + mag + latrines</v>
          </cell>
          <cell r="I1202" t="str">
            <v>PACV</v>
          </cell>
          <cell r="J1202" t="str">
            <v>CRD</v>
          </cell>
          <cell r="K1202" t="str">
            <v>IDA PACV</v>
          </cell>
          <cell r="L1202" t="str">
            <v>AUT</v>
          </cell>
          <cell r="M1202">
            <v>2</v>
          </cell>
          <cell r="P1202">
            <v>2</v>
          </cell>
          <cell r="Q1202" t="str">
            <v>classe</v>
          </cell>
          <cell r="R1202" t="str">
            <v>estimation</v>
          </cell>
          <cell r="S1202">
            <v>29544.000000000004</v>
          </cell>
          <cell r="T1202">
            <v>1</v>
          </cell>
          <cell r="U1202">
            <v>59088.000000000007</v>
          </cell>
          <cell r="V1202">
            <v>0</v>
          </cell>
          <cell r="W1202">
            <v>0</v>
          </cell>
          <cell r="X1202">
            <v>59088.000000000007</v>
          </cell>
          <cell r="Y1202">
            <v>59088.000000000007</v>
          </cell>
          <cell r="Z1202">
            <v>0</v>
          </cell>
          <cell r="AA1202">
            <v>0</v>
          </cell>
          <cell r="AB1202">
            <v>59088.000000000007</v>
          </cell>
          <cell r="AC1202">
            <v>0</v>
          </cell>
          <cell r="AD1202">
            <v>0</v>
          </cell>
          <cell r="AE1202">
            <v>0</v>
          </cell>
          <cell r="AF1202">
            <v>0</v>
          </cell>
          <cell r="AG1202">
            <v>0</v>
          </cell>
          <cell r="AH1202">
            <v>0</v>
          </cell>
        </row>
        <row r="1203">
          <cell r="B1203" t="str">
            <v>PACV</v>
          </cell>
          <cell r="C1203" t="str">
            <v>A1A</v>
          </cell>
          <cell r="D1203" t="str">
            <v>A1AO</v>
          </cell>
          <cell r="E1203" t="str">
            <v>EP/BOFF</v>
          </cell>
          <cell r="F1203" t="str">
            <v>PACV</v>
          </cell>
          <cell r="G1203" t="str">
            <v>22R</v>
          </cell>
          <cell r="H1203" t="str">
            <v>EP Rénovation classes prim + bur + mag + latrines</v>
          </cell>
          <cell r="I1203" t="str">
            <v>PACV</v>
          </cell>
          <cell r="J1203" t="str">
            <v>CRD</v>
          </cell>
          <cell r="K1203" t="str">
            <v>IDA PACV</v>
          </cell>
          <cell r="L1203" t="str">
            <v>AUT</v>
          </cell>
          <cell r="N1203">
            <v>2</v>
          </cell>
          <cell r="P1203">
            <v>2</v>
          </cell>
          <cell r="Q1203" t="str">
            <v>classe</v>
          </cell>
          <cell r="R1203" t="str">
            <v>estimation</v>
          </cell>
          <cell r="S1203">
            <v>29544.000000000004</v>
          </cell>
          <cell r="T1203">
            <v>1</v>
          </cell>
          <cell r="U1203">
            <v>0</v>
          </cell>
          <cell r="V1203">
            <v>59088.000000000007</v>
          </cell>
          <cell r="W1203">
            <v>0</v>
          </cell>
          <cell r="X1203">
            <v>59088.000000000007</v>
          </cell>
          <cell r="Y1203">
            <v>0</v>
          </cell>
          <cell r="Z1203">
            <v>59088.000000000007</v>
          </cell>
          <cell r="AA1203">
            <v>0</v>
          </cell>
          <cell r="AB1203">
            <v>59088.000000000007</v>
          </cell>
          <cell r="AC1203">
            <v>0</v>
          </cell>
          <cell r="AD1203">
            <v>0</v>
          </cell>
          <cell r="AE1203">
            <v>0</v>
          </cell>
          <cell r="AF1203">
            <v>0</v>
          </cell>
          <cell r="AG1203">
            <v>0</v>
          </cell>
          <cell r="AH1203">
            <v>0</v>
          </cell>
        </row>
        <row r="1204">
          <cell r="B1204" t="str">
            <v>PACV</v>
          </cell>
          <cell r="C1204" t="str">
            <v>A1A</v>
          </cell>
          <cell r="D1204" t="str">
            <v>A1AO</v>
          </cell>
          <cell r="E1204" t="str">
            <v>EP/BOKE</v>
          </cell>
          <cell r="F1204" t="str">
            <v>PACV</v>
          </cell>
          <cell r="G1204" t="str">
            <v>22R</v>
          </cell>
          <cell r="H1204" t="str">
            <v>EP Rénovation classes prim + bur + mag + latrines</v>
          </cell>
          <cell r="I1204" t="str">
            <v>PACV</v>
          </cell>
          <cell r="J1204" t="str">
            <v>CRD</v>
          </cell>
          <cell r="K1204" t="str">
            <v>IDA PACV</v>
          </cell>
          <cell r="L1204" t="str">
            <v>AUT</v>
          </cell>
          <cell r="M1204">
            <v>2</v>
          </cell>
          <cell r="O1204">
            <v>2</v>
          </cell>
          <cell r="P1204">
            <v>4</v>
          </cell>
          <cell r="Q1204" t="str">
            <v>classe</v>
          </cell>
          <cell r="R1204" t="str">
            <v>estimation</v>
          </cell>
          <cell r="S1204">
            <v>29544.000000000004</v>
          </cell>
          <cell r="T1204">
            <v>1</v>
          </cell>
          <cell r="U1204">
            <v>59088.000000000007</v>
          </cell>
          <cell r="V1204">
            <v>0</v>
          </cell>
          <cell r="W1204">
            <v>59088.000000000007</v>
          </cell>
          <cell r="X1204">
            <v>118176.00000000001</v>
          </cell>
          <cell r="Y1204">
            <v>59088.000000000007</v>
          </cell>
          <cell r="Z1204">
            <v>0</v>
          </cell>
          <cell r="AA1204">
            <v>59088.000000000007</v>
          </cell>
          <cell r="AB1204">
            <v>118176.00000000001</v>
          </cell>
          <cell r="AC1204">
            <v>0</v>
          </cell>
          <cell r="AD1204">
            <v>0</v>
          </cell>
          <cell r="AE1204">
            <v>0</v>
          </cell>
          <cell r="AF1204">
            <v>0</v>
          </cell>
          <cell r="AG1204">
            <v>0</v>
          </cell>
          <cell r="AH1204">
            <v>0</v>
          </cell>
        </row>
        <row r="1205">
          <cell r="B1205" t="str">
            <v>PACV</v>
          </cell>
          <cell r="C1205" t="str">
            <v>A1A</v>
          </cell>
          <cell r="D1205" t="str">
            <v>A1AO</v>
          </cell>
          <cell r="E1205" t="str">
            <v>EP/COYA</v>
          </cell>
          <cell r="F1205" t="str">
            <v>PACV</v>
          </cell>
          <cell r="G1205" t="str">
            <v>22R</v>
          </cell>
          <cell r="H1205" t="str">
            <v>EP Rénovation classes prim + bur + mag + latrines</v>
          </cell>
          <cell r="I1205" t="str">
            <v>PACV</v>
          </cell>
          <cell r="J1205" t="str">
            <v>CRD</v>
          </cell>
          <cell r="K1205" t="str">
            <v>IDA PACV</v>
          </cell>
          <cell r="L1205" t="str">
            <v>AUT</v>
          </cell>
          <cell r="N1205">
            <v>1</v>
          </cell>
          <cell r="P1205">
            <v>1</v>
          </cell>
          <cell r="Q1205" t="str">
            <v>classe</v>
          </cell>
          <cell r="R1205" t="str">
            <v>estimation</v>
          </cell>
          <cell r="S1205">
            <v>29544.000000000004</v>
          </cell>
          <cell r="T1205">
            <v>1</v>
          </cell>
          <cell r="U1205">
            <v>0</v>
          </cell>
          <cell r="V1205">
            <v>29544.000000000004</v>
          </cell>
          <cell r="W1205">
            <v>0</v>
          </cell>
          <cell r="X1205">
            <v>29544.000000000004</v>
          </cell>
          <cell r="Y1205">
            <v>0</v>
          </cell>
          <cell r="Z1205">
            <v>29544.000000000004</v>
          </cell>
          <cell r="AA1205">
            <v>0</v>
          </cell>
          <cell r="AB1205">
            <v>29544.000000000004</v>
          </cell>
          <cell r="AC1205">
            <v>0</v>
          </cell>
          <cell r="AD1205">
            <v>0</v>
          </cell>
          <cell r="AE1205">
            <v>0</v>
          </cell>
          <cell r="AF1205">
            <v>0</v>
          </cell>
          <cell r="AG1205">
            <v>0</v>
          </cell>
          <cell r="AH1205">
            <v>0</v>
          </cell>
        </row>
        <row r="1206">
          <cell r="B1206" t="str">
            <v>PACV</v>
          </cell>
          <cell r="C1206" t="str">
            <v>A1A</v>
          </cell>
          <cell r="D1206" t="str">
            <v>A1AO</v>
          </cell>
          <cell r="E1206" t="str">
            <v>EP/DABO</v>
          </cell>
          <cell r="F1206" t="str">
            <v>PACV</v>
          </cell>
          <cell r="G1206" t="str">
            <v>22R</v>
          </cell>
          <cell r="H1206" t="str">
            <v>EP Rénovation classes prim + bur + mag + latrines</v>
          </cell>
          <cell r="I1206" t="str">
            <v>PACV</v>
          </cell>
          <cell r="J1206" t="str">
            <v>CRD</v>
          </cell>
          <cell r="K1206" t="str">
            <v>IDA PACV</v>
          </cell>
          <cell r="L1206" t="str">
            <v>AUT</v>
          </cell>
          <cell r="N1206">
            <v>1</v>
          </cell>
          <cell r="P1206">
            <v>1</v>
          </cell>
          <cell r="Q1206" t="str">
            <v>classe</v>
          </cell>
          <cell r="R1206" t="str">
            <v>estimation</v>
          </cell>
          <cell r="S1206">
            <v>29544.000000000004</v>
          </cell>
          <cell r="T1206">
            <v>1</v>
          </cell>
          <cell r="U1206">
            <v>0</v>
          </cell>
          <cell r="V1206">
            <v>29544.000000000004</v>
          </cell>
          <cell r="W1206">
            <v>0</v>
          </cell>
          <cell r="X1206">
            <v>29544.000000000004</v>
          </cell>
          <cell r="Y1206">
            <v>0</v>
          </cell>
          <cell r="Z1206">
            <v>29544.000000000004</v>
          </cell>
          <cell r="AA1206">
            <v>0</v>
          </cell>
          <cell r="AB1206">
            <v>29544.000000000004</v>
          </cell>
          <cell r="AC1206">
            <v>0</v>
          </cell>
          <cell r="AD1206">
            <v>0</v>
          </cell>
          <cell r="AE1206">
            <v>0</v>
          </cell>
          <cell r="AF1206">
            <v>0</v>
          </cell>
          <cell r="AG1206">
            <v>0</v>
          </cell>
          <cell r="AH1206">
            <v>0</v>
          </cell>
        </row>
        <row r="1207">
          <cell r="B1207" t="str">
            <v>PACV</v>
          </cell>
          <cell r="C1207" t="str">
            <v>A1A</v>
          </cell>
          <cell r="D1207" t="str">
            <v>A1AO</v>
          </cell>
          <cell r="E1207" t="str">
            <v>EP/DALA</v>
          </cell>
          <cell r="F1207" t="str">
            <v>PACV</v>
          </cell>
          <cell r="G1207" t="str">
            <v>22R</v>
          </cell>
          <cell r="H1207" t="str">
            <v>EP Rénovation classes prim + bur + mag + latrines</v>
          </cell>
          <cell r="I1207" t="str">
            <v>PACV</v>
          </cell>
          <cell r="J1207" t="str">
            <v>CRD</v>
          </cell>
          <cell r="K1207" t="str">
            <v>IDA PACV</v>
          </cell>
          <cell r="L1207" t="str">
            <v>AUT</v>
          </cell>
          <cell r="O1207">
            <v>1</v>
          </cell>
          <cell r="P1207">
            <v>1</v>
          </cell>
          <cell r="Q1207" t="str">
            <v>classe</v>
          </cell>
          <cell r="R1207" t="str">
            <v>estimation</v>
          </cell>
          <cell r="S1207">
            <v>29544.000000000004</v>
          </cell>
          <cell r="T1207">
            <v>1</v>
          </cell>
          <cell r="U1207">
            <v>0</v>
          </cell>
          <cell r="V1207">
            <v>0</v>
          </cell>
          <cell r="W1207">
            <v>29544.000000000004</v>
          </cell>
          <cell r="X1207">
            <v>29544.000000000004</v>
          </cell>
          <cell r="Y1207">
            <v>0</v>
          </cell>
          <cell r="Z1207">
            <v>0</v>
          </cell>
          <cell r="AA1207">
            <v>29544.000000000004</v>
          </cell>
          <cell r="AB1207">
            <v>29544.000000000004</v>
          </cell>
          <cell r="AC1207">
            <v>0</v>
          </cell>
          <cell r="AD1207">
            <v>0</v>
          </cell>
          <cell r="AE1207">
            <v>0</v>
          </cell>
          <cell r="AF1207">
            <v>0</v>
          </cell>
          <cell r="AG1207">
            <v>0</v>
          </cell>
          <cell r="AH1207">
            <v>0</v>
          </cell>
        </row>
        <row r="1208">
          <cell r="B1208" t="str">
            <v>PACV</v>
          </cell>
          <cell r="C1208" t="str">
            <v>A1A</v>
          </cell>
          <cell r="D1208" t="str">
            <v>A1AO</v>
          </cell>
          <cell r="E1208" t="str">
            <v>EP/DING</v>
          </cell>
          <cell r="F1208" t="str">
            <v>PACV</v>
          </cell>
          <cell r="G1208" t="str">
            <v>22R</v>
          </cell>
          <cell r="H1208" t="str">
            <v>EP Rénovation classes prim + bur + mag + latrines</v>
          </cell>
          <cell r="I1208" t="str">
            <v>PACV</v>
          </cell>
          <cell r="J1208" t="str">
            <v>CRD</v>
          </cell>
          <cell r="K1208" t="str">
            <v>IDA PACV</v>
          </cell>
          <cell r="L1208" t="str">
            <v>AUT</v>
          </cell>
          <cell r="O1208">
            <v>1</v>
          </cell>
          <cell r="P1208">
            <v>1</v>
          </cell>
          <cell r="Q1208" t="str">
            <v>classe</v>
          </cell>
          <cell r="R1208" t="str">
            <v>estimation</v>
          </cell>
          <cell r="S1208">
            <v>29544.000000000004</v>
          </cell>
          <cell r="T1208">
            <v>1</v>
          </cell>
          <cell r="U1208">
            <v>0</v>
          </cell>
          <cell r="V1208">
            <v>0</v>
          </cell>
          <cell r="W1208">
            <v>29544.000000000004</v>
          </cell>
          <cell r="X1208">
            <v>29544.000000000004</v>
          </cell>
          <cell r="Y1208">
            <v>0</v>
          </cell>
          <cell r="Z1208">
            <v>0</v>
          </cell>
          <cell r="AA1208">
            <v>29544.000000000004</v>
          </cell>
          <cell r="AB1208">
            <v>29544.000000000004</v>
          </cell>
          <cell r="AC1208">
            <v>0</v>
          </cell>
          <cell r="AD1208">
            <v>0</v>
          </cell>
          <cell r="AE1208">
            <v>0</v>
          </cell>
          <cell r="AF1208">
            <v>0</v>
          </cell>
          <cell r="AG1208">
            <v>0</v>
          </cell>
          <cell r="AH1208">
            <v>0</v>
          </cell>
        </row>
        <row r="1209">
          <cell r="B1209" t="str">
            <v>PACV</v>
          </cell>
          <cell r="C1209" t="str">
            <v>A1A</v>
          </cell>
          <cell r="D1209" t="str">
            <v>A1AO</v>
          </cell>
          <cell r="E1209" t="str">
            <v>EP/DUBR</v>
          </cell>
          <cell r="F1209" t="str">
            <v>PACV</v>
          </cell>
          <cell r="G1209" t="str">
            <v>22R</v>
          </cell>
          <cell r="H1209" t="str">
            <v>EP Rénovation classes prim + bur + mag + latrines</v>
          </cell>
          <cell r="I1209" t="str">
            <v>PACV</v>
          </cell>
          <cell r="J1209" t="str">
            <v>CRD</v>
          </cell>
          <cell r="K1209" t="str">
            <v>IDA PACV</v>
          </cell>
          <cell r="L1209" t="str">
            <v>AUT</v>
          </cell>
          <cell r="M1209">
            <v>2</v>
          </cell>
          <cell r="P1209">
            <v>2</v>
          </cell>
          <cell r="Q1209" t="str">
            <v>classe</v>
          </cell>
          <cell r="R1209" t="str">
            <v>estimation</v>
          </cell>
          <cell r="S1209">
            <v>29544.000000000004</v>
          </cell>
          <cell r="T1209">
            <v>1</v>
          </cell>
          <cell r="U1209">
            <v>59088.000000000007</v>
          </cell>
          <cell r="V1209">
            <v>0</v>
          </cell>
          <cell r="W1209">
            <v>0</v>
          </cell>
          <cell r="X1209">
            <v>59088.000000000007</v>
          </cell>
          <cell r="Y1209">
            <v>59088.000000000007</v>
          </cell>
          <cell r="Z1209">
            <v>0</v>
          </cell>
          <cell r="AA1209">
            <v>0</v>
          </cell>
          <cell r="AB1209">
            <v>59088.000000000007</v>
          </cell>
          <cell r="AC1209">
            <v>0</v>
          </cell>
          <cell r="AD1209">
            <v>0</v>
          </cell>
          <cell r="AE1209">
            <v>0</v>
          </cell>
          <cell r="AF1209">
            <v>0</v>
          </cell>
          <cell r="AG1209">
            <v>0</v>
          </cell>
          <cell r="AH1209">
            <v>0</v>
          </cell>
        </row>
        <row r="1210">
          <cell r="B1210" t="str">
            <v>PACV</v>
          </cell>
          <cell r="C1210" t="str">
            <v>A1A</v>
          </cell>
          <cell r="D1210" t="str">
            <v>A1AO</v>
          </cell>
          <cell r="E1210" t="str">
            <v>EP/FARA</v>
          </cell>
          <cell r="F1210" t="str">
            <v>PACV</v>
          </cell>
          <cell r="G1210" t="str">
            <v>22R</v>
          </cell>
          <cell r="H1210" t="str">
            <v>EP Rénovation classes prim + bur + mag + latrines</v>
          </cell>
          <cell r="I1210" t="str">
            <v>PACV</v>
          </cell>
          <cell r="J1210" t="str">
            <v>CRD</v>
          </cell>
          <cell r="K1210" t="str">
            <v>IDA PACV</v>
          </cell>
          <cell r="L1210" t="str">
            <v>AUT</v>
          </cell>
          <cell r="N1210">
            <v>1</v>
          </cell>
          <cell r="P1210">
            <v>1</v>
          </cell>
          <cell r="Q1210" t="str">
            <v>classe</v>
          </cell>
          <cell r="R1210" t="str">
            <v>estimation</v>
          </cell>
          <cell r="S1210">
            <v>29544.000000000004</v>
          </cell>
          <cell r="T1210">
            <v>1</v>
          </cell>
          <cell r="U1210">
            <v>0</v>
          </cell>
          <cell r="V1210">
            <v>29544.000000000004</v>
          </cell>
          <cell r="W1210">
            <v>0</v>
          </cell>
          <cell r="X1210">
            <v>29544.000000000004</v>
          </cell>
          <cell r="Y1210">
            <v>0</v>
          </cell>
          <cell r="Z1210">
            <v>29544.000000000004</v>
          </cell>
          <cell r="AA1210">
            <v>0</v>
          </cell>
          <cell r="AB1210">
            <v>29544.000000000004</v>
          </cell>
          <cell r="AC1210">
            <v>0</v>
          </cell>
          <cell r="AD1210">
            <v>0</v>
          </cell>
          <cell r="AE1210">
            <v>0</v>
          </cell>
          <cell r="AF1210">
            <v>0</v>
          </cell>
          <cell r="AG1210">
            <v>0</v>
          </cell>
          <cell r="AH1210">
            <v>0</v>
          </cell>
        </row>
        <row r="1211">
          <cell r="B1211" t="str">
            <v>PACV</v>
          </cell>
          <cell r="C1211" t="str">
            <v>A1A</v>
          </cell>
          <cell r="D1211" t="str">
            <v>A1AO</v>
          </cell>
          <cell r="E1211" t="str">
            <v>EP/FORE</v>
          </cell>
          <cell r="F1211" t="str">
            <v>PACV</v>
          </cell>
          <cell r="G1211" t="str">
            <v>22R</v>
          </cell>
          <cell r="H1211" t="str">
            <v>EP Rénovation classes prim + bur + mag + latrines</v>
          </cell>
          <cell r="I1211" t="str">
            <v>PACV</v>
          </cell>
          <cell r="J1211" t="str">
            <v>CRD</v>
          </cell>
          <cell r="K1211" t="str">
            <v>IDA PACV</v>
          </cell>
          <cell r="L1211" t="str">
            <v>AUT</v>
          </cell>
          <cell r="O1211">
            <v>3</v>
          </cell>
          <cell r="P1211">
            <v>3</v>
          </cell>
          <cell r="Q1211" t="str">
            <v>classe</v>
          </cell>
          <cell r="R1211" t="str">
            <v>estimation</v>
          </cell>
          <cell r="S1211">
            <v>29544.000000000004</v>
          </cell>
          <cell r="T1211">
            <v>1</v>
          </cell>
          <cell r="U1211">
            <v>0</v>
          </cell>
          <cell r="V1211">
            <v>0</v>
          </cell>
          <cell r="W1211">
            <v>88632.000000000015</v>
          </cell>
          <cell r="X1211">
            <v>88632.000000000015</v>
          </cell>
          <cell r="Y1211">
            <v>0</v>
          </cell>
          <cell r="Z1211">
            <v>0</v>
          </cell>
          <cell r="AA1211">
            <v>88632.000000000015</v>
          </cell>
          <cell r="AB1211">
            <v>88632.000000000015</v>
          </cell>
          <cell r="AC1211">
            <v>0</v>
          </cell>
          <cell r="AD1211">
            <v>0</v>
          </cell>
          <cell r="AE1211">
            <v>0</v>
          </cell>
          <cell r="AF1211">
            <v>0</v>
          </cell>
          <cell r="AG1211">
            <v>0</v>
          </cell>
          <cell r="AH1211">
            <v>0</v>
          </cell>
        </row>
        <row r="1212">
          <cell r="B1212" t="str">
            <v>PACV</v>
          </cell>
          <cell r="C1212" t="str">
            <v>A1A</v>
          </cell>
          <cell r="D1212" t="str">
            <v>A1AO</v>
          </cell>
          <cell r="E1212" t="str">
            <v>EP/GAOU</v>
          </cell>
          <cell r="F1212" t="str">
            <v>PACV</v>
          </cell>
          <cell r="G1212" t="str">
            <v>22R</v>
          </cell>
          <cell r="H1212" t="str">
            <v>EP Rénovation classes prim + bur + mag + latrines</v>
          </cell>
          <cell r="I1212" t="str">
            <v>PACV</v>
          </cell>
          <cell r="J1212" t="str">
            <v>CRD</v>
          </cell>
          <cell r="K1212" t="str">
            <v>IDA PACV</v>
          </cell>
          <cell r="L1212" t="str">
            <v>AUT</v>
          </cell>
          <cell r="N1212">
            <v>1</v>
          </cell>
          <cell r="P1212">
            <v>1</v>
          </cell>
          <cell r="Q1212" t="str">
            <v>classe</v>
          </cell>
          <cell r="R1212" t="str">
            <v>estimation</v>
          </cell>
          <cell r="S1212">
            <v>29544.000000000004</v>
          </cell>
          <cell r="T1212">
            <v>1</v>
          </cell>
          <cell r="U1212">
            <v>0</v>
          </cell>
          <cell r="V1212">
            <v>29544.000000000004</v>
          </cell>
          <cell r="W1212">
            <v>0</v>
          </cell>
          <cell r="X1212">
            <v>29544.000000000004</v>
          </cell>
          <cell r="Y1212">
            <v>0</v>
          </cell>
          <cell r="Z1212">
            <v>29544.000000000004</v>
          </cell>
          <cell r="AA1212">
            <v>0</v>
          </cell>
          <cell r="AB1212">
            <v>29544.000000000004</v>
          </cell>
          <cell r="AC1212">
            <v>0</v>
          </cell>
          <cell r="AD1212">
            <v>0</v>
          </cell>
          <cell r="AE1212">
            <v>0</v>
          </cell>
          <cell r="AF1212">
            <v>0</v>
          </cell>
          <cell r="AG1212">
            <v>0</v>
          </cell>
          <cell r="AH1212">
            <v>0</v>
          </cell>
        </row>
        <row r="1213">
          <cell r="B1213" t="str">
            <v>PACV</v>
          </cell>
          <cell r="C1213" t="str">
            <v>A1A</v>
          </cell>
          <cell r="D1213" t="str">
            <v>A1AO</v>
          </cell>
          <cell r="E1213" t="str">
            <v>EP/GUEC</v>
          </cell>
          <cell r="F1213" t="str">
            <v>PACV</v>
          </cell>
          <cell r="G1213" t="str">
            <v>22R</v>
          </cell>
          <cell r="H1213" t="str">
            <v>EP Rénovation classes prim + bur + mag + latrines</v>
          </cell>
          <cell r="I1213" t="str">
            <v>PACV</v>
          </cell>
          <cell r="J1213" t="str">
            <v>CRD</v>
          </cell>
          <cell r="K1213" t="str">
            <v>IDA PACV</v>
          </cell>
          <cell r="L1213" t="str">
            <v>AUT</v>
          </cell>
          <cell r="M1213">
            <v>2</v>
          </cell>
          <cell r="N1213">
            <v>2</v>
          </cell>
          <cell r="P1213">
            <v>4</v>
          </cell>
          <cell r="Q1213" t="str">
            <v>classe</v>
          </cell>
          <cell r="R1213" t="str">
            <v>estimation</v>
          </cell>
          <cell r="S1213">
            <v>29544.000000000004</v>
          </cell>
          <cell r="T1213">
            <v>1</v>
          </cell>
          <cell r="U1213">
            <v>59088.000000000007</v>
          </cell>
          <cell r="V1213">
            <v>59088.000000000007</v>
          </cell>
          <cell r="W1213">
            <v>0</v>
          </cell>
          <cell r="X1213">
            <v>118176.00000000001</v>
          </cell>
          <cell r="Y1213">
            <v>59088.000000000007</v>
          </cell>
          <cell r="Z1213">
            <v>59088.000000000007</v>
          </cell>
          <cell r="AA1213">
            <v>0</v>
          </cell>
          <cell r="AB1213">
            <v>118176.00000000001</v>
          </cell>
          <cell r="AC1213">
            <v>0</v>
          </cell>
          <cell r="AD1213">
            <v>0</v>
          </cell>
          <cell r="AE1213">
            <v>0</v>
          </cell>
          <cell r="AF1213">
            <v>0</v>
          </cell>
          <cell r="AG1213">
            <v>0</v>
          </cell>
          <cell r="AH1213">
            <v>0</v>
          </cell>
        </row>
        <row r="1214">
          <cell r="B1214" t="str">
            <v>PACV</v>
          </cell>
          <cell r="C1214" t="str">
            <v>A1A</v>
          </cell>
          <cell r="D1214" t="str">
            <v>A1AO</v>
          </cell>
          <cell r="E1214" t="str">
            <v>EP/KANK</v>
          </cell>
          <cell r="F1214" t="str">
            <v>PACV</v>
          </cell>
          <cell r="G1214" t="str">
            <v>22R</v>
          </cell>
          <cell r="H1214" t="str">
            <v>EP Rénovation classes prim + bur + mag + latrines</v>
          </cell>
          <cell r="I1214" t="str">
            <v>PACV</v>
          </cell>
          <cell r="J1214" t="str">
            <v>CRD</v>
          </cell>
          <cell r="K1214" t="str">
            <v>IDA PACV</v>
          </cell>
          <cell r="L1214" t="str">
            <v>AUT</v>
          </cell>
          <cell r="O1214">
            <v>2</v>
          </cell>
          <cell r="P1214">
            <v>2</v>
          </cell>
          <cell r="Q1214" t="str">
            <v>classe</v>
          </cell>
          <cell r="R1214" t="str">
            <v>estimation</v>
          </cell>
          <cell r="S1214">
            <v>29544.000000000004</v>
          </cell>
          <cell r="T1214">
            <v>1</v>
          </cell>
          <cell r="U1214">
            <v>0</v>
          </cell>
          <cell r="V1214">
            <v>0</v>
          </cell>
          <cell r="W1214">
            <v>59088.000000000007</v>
          </cell>
          <cell r="X1214">
            <v>59088.000000000007</v>
          </cell>
          <cell r="Y1214">
            <v>0</v>
          </cell>
          <cell r="Z1214">
            <v>0</v>
          </cell>
          <cell r="AA1214">
            <v>59088.000000000007</v>
          </cell>
          <cell r="AB1214">
            <v>59088.000000000007</v>
          </cell>
          <cell r="AC1214">
            <v>0</v>
          </cell>
          <cell r="AD1214">
            <v>0</v>
          </cell>
          <cell r="AE1214">
            <v>0</v>
          </cell>
          <cell r="AF1214">
            <v>0</v>
          </cell>
          <cell r="AG1214">
            <v>0</v>
          </cell>
          <cell r="AH1214">
            <v>0</v>
          </cell>
        </row>
        <row r="1215">
          <cell r="B1215" t="str">
            <v>PACV</v>
          </cell>
          <cell r="C1215" t="str">
            <v>A1A</v>
          </cell>
          <cell r="D1215" t="str">
            <v>A1AO</v>
          </cell>
          <cell r="E1215" t="str">
            <v>EP/KERO</v>
          </cell>
          <cell r="F1215" t="str">
            <v>PACV</v>
          </cell>
          <cell r="G1215" t="str">
            <v>22R</v>
          </cell>
          <cell r="H1215" t="str">
            <v>EP Rénovation classes prim + bur + mag + latrines</v>
          </cell>
          <cell r="I1215" t="str">
            <v>PACV</v>
          </cell>
          <cell r="J1215" t="str">
            <v>CRD</v>
          </cell>
          <cell r="K1215" t="str">
            <v>IDA PACV</v>
          </cell>
          <cell r="L1215" t="str">
            <v>AUT</v>
          </cell>
          <cell r="M1215">
            <v>2</v>
          </cell>
          <cell r="P1215">
            <v>2</v>
          </cell>
          <cell r="Q1215" t="str">
            <v>classe</v>
          </cell>
          <cell r="R1215" t="str">
            <v>estimation</v>
          </cell>
          <cell r="S1215">
            <v>29544.000000000004</v>
          </cell>
          <cell r="T1215">
            <v>1</v>
          </cell>
          <cell r="U1215">
            <v>59088.000000000007</v>
          </cell>
          <cell r="V1215">
            <v>0</v>
          </cell>
          <cell r="W1215">
            <v>0</v>
          </cell>
          <cell r="X1215">
            <v>59088.000000000007</v>
          </cell>
          <cell r="Y1215">
            <v>59088.000000000007</v>
          </cell>
          <cell r="Z1215">
            <v>0</v>
          </cell>
          <cell r="AA1215">
            <v>0</v>
          </cell>
          <cell r="AB1215">
            <v>59088.000000000007</v>
          </cell>
          <cell r="AC1215">
            <v>0</v>
          </cell>
          <cell r="AD1215">
            <v>0</v>
          </cell>
          <cell r="AE1215">
            <v>0</v>
          </cell>
          <cell r="AF1215">
            <v>0</v>
          </cell>
          <cell r="AG1215">
            <v>0</v>
          </cell>
          <cell r="AH1215">
            <v>0</v>
          </cell>
        </row>
        <row r="1216">
          <cell r="B1216" t="str">
            <v>PACV</v>
          </cell>
          <cell r="C1216" t="str">
            <v>A1A</v>
          </cell>
          <cell r="D1216" t="str">
            <v>A1AO</v>
          </cell>
          <cell r="E1216" t="str">
            <v>EP/KIND</v>
          </cell>
          <cell r="F1216" t="str">
            <v>PACV</v>
          </cell>
          <cell r="G1216" t="str">
            <v>22R</v>
          </cell>
          <cell r="H1216" t="str">
            <v>EP Rénovation classes prim + bur + mag + latrines</v>
          </cell>
          <cell r="I1216" t="str">
            <v>PACV</v>
          </cell>
          <cell r="J1216" t="str">
            <v>CRD</v>
          </cell>
          <cell r="K1216" t="str">
            <v>IDA PACV</v>
          </cell>
          <cell r="L1216" t="str">
            <v>AUT</v>
          </cell>
          <cell r="N1216">
            <v>2</v>
          </cell>
          <cell r="P1216">
            <v>2</v>
          </cell>
          <cell r="Q1216" t="str">
            <v>classe</v>
          </cell>
          <cell r="R1216" t="str">
            <v>estimation</v>
          </cell>
          <cell r="S1216">
            <v>29544.000000000004</v>
          </cell>
          <cell r="T1216">
            <v>1</v>
          </cell>
          <cell r="U1216">
            <v>0</v>
          </cell>
          <cell r="V1216">
            <v>59088.000000000007</v>
          </cell>
          <cell r="W1216">
            <v>0</v>
          </cell>
          <cell r="X1216">
            <v>59088.000000000007</v>
          </cell>
          <cell r="Y1216">
            <v>0</v>
          </cell>
          <cell r="Z1216">
            <v>59088.000000000007</v>
          </cell>
          <cell r="AA1216">
            <v>0</v>
          </cell>
          <cell r="AB1216">
            <v>59088.000000000007</v>
          </cell>
          <cell r="AC1216">
            <v>0</v>
          </cell>
          <cell r="AD1216">
            <v>0</v>
          </cell>
          <cell r="AE1216">
            <v>0</v>
          </cell>
          <cell r="AF1216">
            <v>0</v>
          </cell>
          <cell r="AG1216">
            <v>0</v>
          </cell>
          <cell r="AH1216">
            <v>0</v>
          </cell>
        </row>
        <row r="1217">
          <cell r="B1217" t="str">
            <v>PACV</v>
          </cell>
          <cell r="C1217" t="str">
            <v>A1A</v>
          </cell>
          <cell r="D1217" t="str">
            <v>A1AO</v>
          </cell>
          <cell r="E1217" t="str">
            <v>EP/KISS</v>
          </cell>
          <cell r="F1217" t="str">
            <v>PACV</v>
          </cell>
          <cell r="G1217" t="str">
            <v>22R</v>
          </cell>
          <cell r="H1217" t="str">
            <v>EP Rénovation classes prim + bur + mag + latrines</v>
          </cell>
          <cell r="I1217" t="str">
            <v>PACV</v>
          </cell>
          <cell r="J1217" t="str">
            <v>CRD</v>
          </cell>
          <cell r="K1217" t="str">
            <v>IDA PACV</v>
          </cell>
          <cell r="L1217" t="str">
            <v>AUT</v>
          </cell>
          <cell r="O1217">
            <v>1</v>
          </cell>
          <cell r="P1217">
            <v>1</v>
          </cell>
          <cell r="Q1217" t="str">
            <v>classe</v>
          </cell>
          <cell r="R1217" t="str">
            <v>estimation</v>
          </cell>
          <cell r="S1217">
            <v>29544.000000000004</v>
          </cell>
          <cell r="T1217">
            <v>1</v>
          </cell>
          <cell r="U1217">
            <v>0</v>
          </cell>
          <cell r="V1217">
            <v>0</v>
          </cell>
          <cell r="W1217">
            <v>29544.000000000004</v>
          </cell>
          <cell r="X1217">
            <v>29544.000000000004</v>
          </cell>
          <cell r="Y1217">
            <v>0</v>
          </cell>
          <cell r="Z1217">
            <v>0</v>
          </cell>
          <cell r="AA1217">
            <v>29544.000000000004</v>
          </cell>
          <cell r="AB1217">
            <v>29544.000000000004</v>
          </cell>
          <cell r="AC1217">
            <v>0</v>
          </cell>
          <cell r="AD1217">
            <v>0</v>
          </cell>
          <cell r="AE1217">
            <v>0</v>
          </cell>
          <cell r="AF1217">
            <v>0</v>
          </cell>
          <cell r="AG1217">
            <v>0</v>
          </cell>
          <cell r="AH1217">
            <v>0</v>
          </cell>
        </row>
        <row r="1218">
          <cell r="B1218" t="str">
            <v>PACV</v>
          </cell>
          <cell r="C1218" t="str">
            <v>A1A</v>
          </cell>
          <cell r="D1218" t="str">
            <v>A1AO</v>
          </cell>
          <cell r="E1218" t="str">
            <v>EP/KOUB</v>
          </cell>
          <cell r="F1218" t="str">
            <v>PACV</v>
          </cell>
          <cell r="G1218" t="str">
            <v>22R</v>
          </cell>
          <cell r="H1218" t="str">
            <v>EP Rénovation classes prim + bur + mag + latrines</v>
          </cell>
          <cell r="I1218" t="str">
            <v>PACV</v>
          </cell>
          <cell r="J1218" t="str">
            <v>CRD</v>
          </cell>
          <cell r="K1218" t="str">
            <v>IDA PACV</v>
          </cell>
          <cell r="L1218" t="str">
            <v>AUT</v>
          </cell>
          <cell r="M1218">
            <v>1</v>
          </cell>
          <cell r="P1218">
            <v>1</v>
          </cell>
          <cell r="Q1218" t="str">
            <v>classe</v>
          </cell>
          <cell r="R1218" t="str">
            <v>estimation</v>
          </cell>
          <cell r="S1218">
            <v>29544.000000000004</v>
          </cell>
          <cell r="T1218">
            <v>1</v>
          </cell>
          <cell r="U1218">
            <v>29544.000000000004</v>
          </cell>
          <cell r="V1218">
            <v>0</v>
          </cell>
          <cell r="W1218">
            <v>0</v>
          </cell>
          <cell r="X1218">
            <v>29544.000000000004</v>
          </cell>
          <cell r="Y1218">
            <v>29544.000000000004</v>
          </cell>
          <cell r="Z1218">
            <v>0</v>
          </cell>
          <cell r="AA1218">
            <v>0</v>
          </cell>
          <cell r="AB1218">
            <v>29544.000000000004</v>
          </cell>
          <cell r="AC1218">
            <v>0</v>
          </cell>
          <cell r="AD1218">
            <v>0</v>
          </cell>
          <cell r="AE1218">
            <v>0</v>
          </cell>
          <cell r="AF1218">
            <v>0</v>
          </cell>
          <cell r="AG1218">
            <v>0</v>
          </cell>
          <cell r="AH1218">
            <v>0</v>
          </cell>
        </row>
        <row r="1219">
          <cell r="B1219" t="str">
            <v>PACV</v>
          </cell>
          <cell r="C1219" t="str">
            <v>A1A</v>
          </cell>
          <cell r="D1219" t="str">
            <v>A1AO</v>
          </cell>
          <cell r="E1219" t="str">
            <v>EP/KOUN</v>
          </cell>
          <cell r="F1219" t="str">
            <v>PACV</v>
          </cell>
          <cell r="G1219" t="str">
            <v>22R</v>
          </cell>
          <cell r="H1219" t="str">
            <v>EP Rénovation classes prim + bur + mag + latrines</v>
          </cell>
          <cell r="I1219" t="str">
            <v>PACV</v>
          </cell>
          <cell r="J1219" t="str">
            <v>CRD</v>
          </cell>
          <cell r="K1219" t="str">
            <v>IDA PACV</v>
          </cell>
          <cell r="L1219" t="str">
            <v>AUT</v>
          </cell>
          <cell r="N1219">
            <v>1</v>
          </cell>
          <cell r="P1219">
            <v>1</v>
          </cell>
          <cell r="Q1219" t="str">
            <v>classe</v>
          </cell>
          <cell r="R1219" t="str">
            <v>estimation</v>
          </cell>
          <cell r="S1219">
            <v>29544.000000000004</v>
          </cell>
          <cell r="T1219">
            <v>1</v>
          </cell>
          <cell r="U1219">
            <v>0</v>
          </cell>
          <cell r="V1219">
            <v>29544.000000000004</v>
          </cell>
          <cell r="W1219">
            <v>0</v>
          </cell>
          <cell r="X1219">
            <v>29544.000000000004</v>
          </cell>
          <cell r="Y1219">
            <v>0</v>
          </cell>
          <cell r="Z1219">
            <v>29544.000000000004</v>
          </cell>
          <cell r="AA1219">
            <v>0</v>
          </cell>
          <cell r="AB1219">
            <v>29544.000000000004</v>
          </cell>
          <cell r="AC1219">
            <v>0</v>
          </cell>
          <cell r="AD1219">
            <v>0</v>
          </cell>
          <cell r="AE1219">
            <v>0</v>
          </cell>
          <cell r="AF1219">
            <v>0</v>
          </cell>
          <cell r="AG1219">
            <v>0</v>
          </cell>
          <cell r="AH1219">
            <v>0</v>
          </cell>
        </row>
        <row r="1220">
          <cell r="B1220" t="str">
            <v>PACV</v>
          </cell>
          <cell r="C1220" t="str">
            <v>A1A</v>
          </cell>
          <cell r="D1220" t="str">
            <v>A1AO</v>
          </cell>
          <cell r="E1220" t="str">
            <v>EP/KOUR</v>
          </cell>
          <cell r="F1220" t="str">
            <v>PACV</v>
          </cell>
          <cell r="G1220" t="str">
            <v>22R</v>
          </cell>
          <cell r="H1220" t="str">
            <v>EP Rénovation classes prim + bur + mag + latrines</v>
          </cell>
          <cell r="I1220" t="str">
            <v>PACV</v>
          </cell>
          <cell r="J1220" t="str">
            <v>CRD</v>
          </cell>
          <cell r="K1220" t="str">
            <v>IDA PACV</v>
          </cell>
          <cell r="L1220" t="str">
            <v>AUT</v>
          </cell>
          <cell r="O1220">
            <v>2</v>
          </cell>
          <cell r="P1220">
            <v>2</v>
          </cell>
          <cell r="Q1220" t="str">
            <v>classe</v>
          </cell>
          <cell r="R1220" t="str">
            <v>estimation</v>
          </cell>
          <cell r="S1220">
            <v>29544.000000000004</v>
          </cell>
          <cell r="T1220">
            <v>1</v>
          </cell>
          <cell r="U1220">
            <v>0</v>
          </cell>
          <cell r="V1220">
            <v>0</v>
          </cell>
          <cell r="W1220">
            <v>59088.000000000007</v>
          </cell>
          <cell r="X1220">
            <v>59088.000000000007</v>
          </cell>
          <cell r="Y1220">
            <v>0</v>
          </cell>
          <cell r="Z1220">
            <v>0</v>
          </cell>
          <cell r="AA1220">
            <v>59088.000000000007</v>
          </cell>
          <cell r="AB1220">
            <v>59088.000000000007</v>
          </cell>
          <cell r="AC1220">
            <v>0</v>
          </cell>
          <cell r="AD1220">
            <v>0</v>
          </cell>
          <cell r="AE1220">
            <v>0</v>
          </cell>
          <cell r="AF1220">
            <v>0</v>
          </cell>
          <cell r="AG1220">
            <v>0</v>
          </cell>
          <cell r="AH1220">
            <v>0</v>
          </cell>
        </row>
        <row r="1221">
          <cell r="B1221" t="str">
            <v>PACV</v>
          </cell>
          <cell r="C1221" t="str">
            <v>A1A</v>
          </cell>
          <cell r="D1221" t="str">
            <v>A1AO</v>
          </cell>
          <cell r="E1221" t="str">
            <v>EP/LABE</v>
          </cell>
          <cell r="F1221" t="str">
            <v>PACV</v>
          </cell>
          <cell r="G1221" t="str">
            <v>22R</v>
          </cell>
          <cell r="H1221" t="str">
            <v>EP Rénovation classes prim + bur + mag + latrines</v>
          </cell>
          <cell r="I1221" t="str">
            <v>PACV</v>
          </cell>
          <cell r="J1221" t="str">
            <v>CRD</v>
          </cell>
          <cell r="K1221" t="str">
            <v>IDA PACV</v>
          </cell>
          <cell r="L1221" t="str">
            <v>AUT</v>
          </cell>
          <cell r="M1221">
            <v>2</v>
          </cell>
          <cell r="P1221">
            <v>2</v>
          </cell>
          <cell r="Q1221" t="str">
            <v>classe</v>
          </cell>
          <cell r="R1221" t="str">
            <v>estimation</v>
          </cell>
          <cell r="S1221">
            <v>29544.000000000004</v>
          </cell>
          <cell r="T1221">
            <v>1</v>
          </cell>
          <cell r="U1221">
            <v>59088.000000000007</v>
          </cell>
          <cell r="V1221">
            <v>0</v>
          </cell>
          <cell r="W1221">
            <v>0</v>
          </cell>
          <cell r="X1221">
            <v>59088.000000000007</v>
          </cell>
          <cell r="Y1221">
            <v>59088.000000000007</v>
          </cell>
          <cell r="Z1221">
            <v>0</v>
          </cell>
          <cell r="AA1221">
            <v>0</v>
          </cell>
          <cell r="AB1221">
            <v>59088.000000000007</v>
          </cell>
          <cell r="AC1221">
            <v>0</v>
          </cell>
          <cell r="AD1221">
            <v>0</v>
          </cell>
          <cell r="AE1221">
            <v>0</v>
          </cell>
          <cell r="AF1221">
            <v>0</v>
          </cell>
          <cell r="AG1221">
            <v>0</v>
          </cell>
          <cell r="AH1221">
            <v>0</v>
          </cell>
        </row>
        <row r="1222">
          <cell r="B1222" t="str">
            <v>PACV</v>
          </cell>
          <cell r="C1222" t="str">
            <v>A1A</v>
          </cell>
          <cell r="D1222" t="str">
            <v>A1AO</v>
          </cell>
          <cell r="E1222" t="str">
            <v>EP/LELO</v>
          </cell>
          <cell r="F1222" t="str">
            <v>PACV</v>
          </cell>
          <cell r="G1222" t="str">
            <v>22R</v>
          </cell>
          <cell r="H1222" t="str">
            <v>EP Rénovation classes prim + bur + mag + latrines</v>
          </cell>
          <cell r="I1222" t="str">
            <v>PACV</v>
          </cell>
          <cell r="J1222" t="str">
            <v>CRD</v>
          </cell>
          <cell r="K1222" t="str">
            <v>IDA PACV</v>
          </cell>
          <cell r="L1222" t="str">
            <v>AUT</v>
          </cell>
          <cell r="N1222">
            <v>1</v>
          </cell>
          <cell r="P1222">
            <v>1</v>
          </cell>
          <cell r="Q1222" t="str">
            <v>classe</v>
          </cell>
          <cell r="R1222" t="str">
            <v>estimation</v>
          </cell>
          <cell r="S1222">
            <v>29544.000000000004</v>
          </cell>
          <cell r="T1222">
            <v>1</v>
          </cell>
          <cell r="U1222">
            <v>0</v>
          </cell>
          <cell r="V1222">
            <v>29544.000000000004</v>
          </cell>
          <cell r="W1222">
            <v>0</v>
          </cell>
          <cell r="X1222">
            <v>29544.000000000004</v>
          </cell>
          <cell r="Y1222">
            <v>0</v>
          </cell>
          <cell r="Z1222">
            <v>29544.000000000004</v>
          </cell>
          <cell r="AA1222">
            <v>0</v>
          </cell>
          <cell r="AB1222">
            <v>29544.000000000004</v>
          </cell>
          <cell r="AC1222">
            <v>0</v>
          </cell>
          <cell r="AD1222">
            <v>0</v>
          </cell>
          <cell r="AE1222">
            <v>0</v>
          </cell>
          <cell r="AF1222">
            <v>0</v>
          </cell>
          <cell r="AG1222">
            <v>0</v>
          </cell>
          <cell r="AH1222">
            <v>0</v>
          </cell>
        </row>
        <row r="1223">
          <cell r="B1223" t="str">
            <v>PACV</v>
          </cell>
          <cell r="C1223" t="str">
            <v>A1A</v>
          </cell>
          <cell r="D1223" t="str">
            <v>A1AO</v>
          </cell>
          <cell r="E1223" t="str">
            <v>EP/LOLA</v>
          </cell>
          <cell r="F1223" t="str">
            <v>PACV</v>
          </cell>
          <cell r="G1223" t="str">
            <v>22R</v>
          </cell>
          <cell r="H1223" t="str">
            <v>EP Rénovation classes prim + bur + mag + latrines</v>
          </cell>
          <cell r="I1223" t="str">
            <v>PACV</v>
          </cell>
          <cell r="J1223" t="str">
            <v>CRD</v>
          </cell>
          <cell r="K1223" t="str">
            <v>IDA PACV</v>
          </cell>
          <cell r="L1223" t="str">
            <v>AUT</v>
          </cell>
          <cell r="N1223">
            <v>1</v>
          </cell>
          <cell r="P1223">
            <v>1</v>
          </cell>
          <cell r="Q1223" t="str">
            <v>classe</v>
          </cell>
          <cell r="R1223" t="str">
            <v>estimation</v>
          </cell>
          <cell r="S1223">
            <v>29544.000000000004</v>
          </cell>
          <cell r="T1223">
            <v>1</v>
          </cell>
          <cell r="U1223">
            <v>0</v>
          </cell>
          <cell r="V1223">
            <v>29544.000000000004</v>
          </cell>
          <cell r="W1223">
            <v>0</v>
          </cell>
          <cell r="X1223">
            <v>29544.000000000004</v>
          </cell>
          <cell r="Y1223">
            <v>0</v>
          </cell>
          <cell r="Z1223">
            <v>29544.000000000004</v>
          </cell>
          <cell r="AA1223">
            <v>0</v>
          </cell>
          <cell r="AB1223">
            <v>29544.000000000004</v>
          </cell>
          <cell r="AC1223">
            <v>0</v>
          </cell>
          <cell r="AD1223">
            <v>0</v>
          </cell>
          <cell r="AE1223">
            <v>0</v>
          </cell>
          <cell r="AF1223">
            <v>0</v>
          </cell>
          <cell r="AG1223">
            <v>0</v>
          </cell>
          <cell r="AH1223">
            <v>0</v>
          </cell>
        </row>
        <row r="1224">
          <cell r="B1224" t="str">
            <v>PACV</v>
          </cell>
          <cell r="C1224" t="str">
            <v>A1A</v>
          </cell>
          <cell r="D1224" t="str">
            <v>A1AO</v>
          </cell>
          <cell r="E1224" t="str">
            <v>EP/MACE</v>
          </cell>
          <cell r="F1224" t="str">
            <v>PACV</v>
          </cell>
          <cell r="G1224" t="str">
            <v>22R</v>
          </cell>
          <cell r="H1224" t="str">
            <v>EP Rénovation classes prim + bur + mag + latrines</v>
          </cell>
          <cell r="I1224" t="str">
            <v>PACV</v>
          </cell>
          <cell r="J1224" t="str">
            <v>CRD</v>
          </cell>
          <cell r="K1224" t="str">
            <v>IDA PACV</v>
          </cell>
          <cell r="L1224" t="str">
            <v>AUT</v>
          </cell>
          <cell r="M1224">
            <v>2</v>
          </cell>
          <cell r="N1224">
            <v>1</v>
          </cell>
          <cell r="P1224">
            <v>3</v>
          </cell>
          <cell r="Q1224" t="str">
            <v>classe</v>
          </cell>
          <cell r="R1224" t="str">
            <v>estimation</v>
          </cell>
          <cell r="S1224">
            <v>29544.000000000004</v>
          </cell>
          <cell r="T1224">
            <v>1</v>
          </cell>
          <cell r="U1224">
            <v>59088.000000000007</v>
          </cell>
          <cell r="V1224">
            <v>29544.000000000004</v>
          </cell>
          <cell r="W1224">
            <v>0</v>
          </cell>
          <cell r="X1224">
            <v>88632.000000000015</v>
          </cell>
          <cell r="Y1224">
            <v>59088.000000000007</v>
          </cell>
          <cell r="Z1224">
            <v>29544.000000000004</v>
          </cell>
          <cell r="AA1224">
            <v>0</v>
          </cell>
          <cell r="AB1224">
            <v>88632.000000000015</v>
          </cell>
          <cell r="AC1224">
            <v>0</v>
          </cell>
          <cell r="AD1224">
            <v>0</v>
          </cell>
          <cell r="AE1224">
            <v>0</v>
          </cell>
          <cell r="AF1224">
            <v>0</v>
          </cell>
          <cell r="AG1224">
            <v>0</v>
          </cell>
          <cell r="AH1224">
            <v>0</v>
          </cell>
        </row>
        <row r="1225">
          <cell r="B1225" t="str">
            <v>PACV</v>
          </cell>
          <cell r="C1225" t="str">
            <v>A1A</v>
          </cell>
          <cell r="D1225" t="str">
            <v>A1AO</v>
          </cell>
          <cell r="E1225" t="str">
            <v>EP/MALI</v>
          </cell>
          <cell r="F1225" t="str">
            <v>PACV</v>
          </cell>
          <cell r="G1225" t="str">
            <v>22R</v>
          </cell>
          <cell r="H1225" t="str">
            <v>EP Rénovation classes prim + bur + mag + latrines</v>
          </cell>
          <cell r="I1225" t="str">
            <v>PACV</v>
          </cell>
          <cell r="J1225" t="str">
            <v>CRD</v>
          </cell>
          <cell r="K1225" t="str">
            <v>IDA PACV</v>
          </cell>
          <cell r="L1225" t="str">
            <v>AUT</v>
          </cell>
          <cell r="N1225">
            <v>2</v>
          </cell>
          <cell r="P1225">
            <v>2</v>
          </cell>
          <cell r="Q1225" t="str">
            <v>classe</v>
          </cell>
          <cell r="R1225" t="str">
            <v>estimation</v>
          </cell>
          <cell r="S1225">
            <v>29544.000000000004</v>
          </cell>
          <cell r="T1225">
            <v>1</v>
          </cell>
          <cell r="U1225">
            <v>0</v>
          </cell>
          <cell r="V1225">
            <v>59088.000000000007</v>
          </cell>
          <cell r="W1225">
            <v>0</v>
          </cell>
          <cell r="X1225">
            <v>59088.000000000007</v>
          </cell>
          <cell r="Y1225">
            <v>0</v>
          </cell>
          <cell r="Z1225">
            <v>59088.000000000007</v>
          </cell>
          <cell r="AA1225">
            <v>0</v>
          </cell>
          <cell r="AB1225">
            <v>59088.000000000007</v>
          </cell>
          <cell r="AC1225">
            <v>0</v>
          </cell>
          <cell r="AD1225">
            <v>0</v>
          </cell>
          <cell r="AE1225">
            <v>0</v>
          </cell>
          <cell r="AF1225">
            <v>0</v>
          </cell>
          <cell r="AG1225">
            <v>0</v>
          </cell>
          <cell r="AH1225">
            <v>0</v>
          </cell>
        </row>
        <row r="1226">
          <cell r="B1226" t="str">
            <v>PACV</v>
          </cell>
          <cell r="C1226" t="str">
            <v>A1A</v>
          </cell>
          <cell r="D1226" t="str">
            <v>A1AO</v>
          </cell>
          <cell r="E1226" t="str">
            <v>EP/MAMO</v>
          </cell>
          <cell r="F1226" t="str">
            <v>PACV</v>
          </cell>
          <cell r="G1226" t="str">
            <v>22R</v>
          </cell>
          <cell r="H1226" t="str">
            <v>EP Rénovation classes prim + bur + mag + latrines</v>
          </cell>
          <cell r="I1226" t="str">
            <v>PACV</v>
          </cell>
          <cell r="J1226" t="str">
            <v>CRD</v>
          </cell>
          <cell r="K1226" t="str">
            <v>IDA PACV</v>
          </cell>
          <cell r="L1226" t="str">
            <v>AUT</v>
          </cell>
          <cell r="O1226">
            <v>2</v>
          </cell>
          <cell r="P1226">
            <v>2</v>
          </cell>
          <cell r="Q1226" t="str">
            <v>classe</v>
          </cell>
          <cell r="R1226" t="str">
            <v>estimation</v>
          </cell>
          <cell r="S1226">
            <v>29544.000000000004</v>
          </cell>
          <cell r="T1226">
            <v>1</v>
          </cell>
          <cell r="U1226">
            <v>0</v>
          </cell>
          <cell r="V1226">
            <v>0</v>
          </cell>
          <cell r="W1226">
            <v>59088.000000000007</v>
          </cell>
          <cell r="X1226">
            <v>59088.000000000007</v>
          </cell>
          <cell r="Y1226">
            <v>0</v>
          </cell>
          <cell r="Z1226">
            <v>0</v>
          </cell>
          <cell r="AA1226">
            <v>59088.000000000007</v>
          </cell>
          <cell r="AB1226">
            <v>59088.000000000007</v>
          </cell>
          <cell r="AC1226">
            <v>0</v>
          </cell>
          <cell r="AD1226">
            <v>0</v>
          </cell>
          <cell r="AE1226">
            <v>0</v>
          </cell>
          <cell r="AF1226">
            <v>0</v>
          </cell>
          <cell r="AG1226">
            <v>0</v>
          </cell>
          <cell r="AH1226">
            <v>0</v>
          </cell>
        </row>
        <row r="1227">
          <cell r="B1227" t="str">
            <v>PACV</v>
          </cell>
          <cell r="C1227" t="str">
            <v>A1A</v>
          </cell>
          <cell r="D1227" t="str">
            <v>A1AO</v>
          </cell>
          <cell r="E1227" t="str">
            <v>EP/MAND</v>
          </cell>
          <cell r="F1227" t="str">
            <v>PACV</v>
          </cell>
          <cell r="G1227" t="str">
            <v>22R</v>
          </cell>
          <cell r="H1227" t="str">
            <v>EP Rénovation classes prim + bur + mag + latrines</v>
          </cell>
          <cell r="I1227" t="str">
            <v>PACV</v>
          </cell>
          <cell r="J1227" t="str">
            <v>CRD</v>
          </cell>
          <cell r="K1227" t="str">
            <v>IDA PACV</v>
          </cell>
          <cell r="L1227" t="str">
            <v>AUT</v>
          </cell>
          <cell r="O1227">
            <v>2</v>
          </cell>
          <cell r="P1227">
            <v>2</v>
          </cell>
          <cell r="Q1227" t="str">
            <v>classe</v>
          </cell>
          <cell r="R1227" t="str">
            <v>estimation</v>
          </cell>
          <cell r="S1227">
            <v>29544.000000000004</v>
          </cell>
          <cell r="T1227">
            <v>1</v>
          </cell>
          <cell r="U1227">
            <v>0</v>
          </cell>
          <cell r="V1227">
            <v>0</v>
          </cell>
          <cell r="W1227">
            <v>59088.000000000007</v>
          </cell>
          <cell r="X1227">
            <v>59088.000000000007</v>
          </cell>
          <cell r="Y1227">
            <v>0</v>
          </cell>
          <cell r="Z1227">
            <v>0</v>
          </cell>
          <cell r="AA1227">
            <v>59088.000000000007</v>
          </cell>
          <cell r="AB1227">
            <v>59088.000000000007</v>
          </cell>
          <cell r="AC1227">
            <v>0</v>
          </cell>
          <cell r="AD1227">
            <v>0</v>
          </cell>
          <cell r="AE1227">
            <v>0</v>
          </cell>
          <cell r="AF1227">
            <v>0</v>
          </cell>
          <cell r="AG1227">
            <v>0</v>
          </cell>
          <cell r="AH1227">
            <v>0</v>
          </cell>
        </row>
        <row r="1228">
          <cell r="B1228" t="str">
            <v>PACV</v>
          </cell>
          <cell r="C1228" t="str">
            <v>A1A</v>
          </cell>
          <cell r="D1228" t="str">
            <v>A1AO</v>
          </cell>
          <cell r="E1228" t="str">
            <v>EP/NZER</v>
          </cell>
          <cell r="F1228" t="str">
            <v>PACV</v>
          </cell>
          <cell r="G1228" t="str">
            <v>22R</v>
          </cell>
          <cell r="H1228" t="str">
            <v>EP Rénovation classes prim + bur + mag + latrines</v>
          </cell>
          <cell r="I1228" t="str">
            <v>PACV</v>
          </cell>
          <cell r="J1228" t="str">
            <v>CRD</v>
          </cell>
          <cell r="K1228" t="str">
            <v>IDA PACV</v>
          </cell>
          <cell r="L1228" t="str">
            <v>AUT</v>
          </cell>
          <cell r="M1228">
            <v>2</v>
          </cell>
          <cell r="P1228">
            <v>2</v>
          </cell>
          <cell r="Q1228" t="str">
            <v>classe</v>
          </cell>
          <cell r="R1228" t="str">
            <v>estimation</v>
          </cell>
          <cell r="S1228">
            <v>29544.000000000004</v>
          </cell>
          <cell r="T1228">
            <v>1</v>
          </cell>
          <cell r="U1228">
            <v>59088.000000000007</v>
          </cell>
          <cell r="V1228">
            <v>0</v>
          </cell>
          <cell r="W1228">
            <v>0</v>
          </cell>
          <cell r="X1228">
            <v>59088.000000000007</v>
          </cell>
          <cell r="Y1228">
            <v>59088.000000000007</v>
          </cell>
          <cell r="Z1228">
            <v>0</v>
          </cell>
          <cell r="AA1228">
            <v>0</v>
          </cell>
          <cell r="AB1228">
            <v>59088.000000000007</v>
          </cell>
          <cell r="AC1228">
            <v>0</v>
          </cell>
          <cell r="AD1228">
            <v>0</v>
          </cell>
          <cell r="AE1228">
            <v>0</v>
          </cell>
          <cell r="AF1228">
            <v>0</v>
          </cell>
          <cell r="AG1228">
            <v>0</v>
          </cell>
          <cell r="AH1228">
            <v>0</v>
          </cell>
        </row>
        <row r="1229">
          <cell r="B1229" t="str">
            <v>PACV</v>
          </cell>
          <cell r="C1229" t="str">
            <v>A1A</v>
          </cell>
          <cell r="D1229" t="str">
            <v>A1AO</v>
          </cell>
          <cell r="E1229" t="str">
            <v>EP/PITA</v>
          </cell>
          <cell r="F1229" t="str">
            <v>PACV</v>
          </cell>
          <cell r="G1229" t="str">
            <v>22R</v>
          </cell>
          <cell r="H1229" t="str">
            <v>EP Rénovation classes prim + bur + mag + latrines</v>
          </cell>
          <cell r="I1229" t="str">
            <v>PACV</v>
          </cell>
          <cell r="J1229" t="str">
            <v>CRD</v>
          </cell>
          <cell r="K1229" t="str">
            <v>IDA PACV</v>
          </cell>
          <cell r="L1229" t="str">
            <v>AUT</v>
          </cell>
          <cell r="N1229">
            <v>2</v>
          </cell>
          <cell r="P1229">
            <v>2</v>
          </cell>
          <cell r="Q1229" t="str">
            <v>classe</v>
          </cell>
          <cell r="R1229" t="str">
            <v>estimation</v>
          </cell>
          <cell r="S1229">
            <v>29544.000000000004</v>
          </cell>
          <cell r="T1229">
            <v>1</v>
          </cell>
          <cell r="U1229">
            <v>0</v>
          </cell>
          <cell r="V1229">
            <v>59088.000000000007</v>
          </cell>
          <cell r="W1229">
            <v>0</v>
          </cell>
          <cell r="X1229">
            <v>59088.000000000007</v>
          </cell>
          <cell r="Y1229">
            <v>0</v>
          </cell>
          <cell r="Z1229">
            <v>59088.000000000007</v>
          </cell>
          <cell r="AA1229">
            <v>0</v>
          </cell>
          <cell r="AB1229">
            <v>59088.000000000007</v>
          </cell>
          <cell r="AC1229">
            <v>0</v>
          </cell>
          <cell r="AD1229">
            <v>0</v>
          </cell>
          <cell r="AE1229">
            <v>0</v>
          </cell>
          <cell r="AF1229">
            <v>0</v>
          </cell>
          <cell r="AG1229">
            <v>0</v>
          </cell>
          <cell r="AH1229">
            <v>0</v>
          </cell>
        </row>
        <row r="1230">
          <cell r="B1230" t="str">
            <v>PACV</v>
          </cell>
          <cell r="C1230" t="str">
            <v>A1A</v>
          </cell>
          <cell r="D1230" t="str">
            <v>A1AO</v>
          </cell>
          <cell r="E1230" t="str">
            <v>EP/SIGU</v>
          </cell>
          <cell r="F1230" t="str">
            <v>PACV</v>
          </cell>
          <cell r="G1230" t="str">
            <v>22R</v>
          </cell>
          <cell r="H1230" t="str">
            <v>EP Rénovation classes prim + bur + mag + latrines</v>
          </cell>
          <cell r="I1230" t="str">
            <v>PACV</v>
          </cell>
          <cell r="J1230" t="str">
            <v>CRD</v>
          </cell>
          <cell r="K1230" t="str">
            <v>IDA PACV</v>
          </cell>
          <cell r="L1230" t="str">
            <v>AUT</v>
          </cell>
          <cell r="O1230">
            <v>3</v>
          </cell>
          <cell r="P1230">
            <v>3</v>
          </cell>
          <cell r="Q1230" t="str">
            <v>classe</v>
          </cell>
          <cell r="R1230" t="str">
            <v>estimation</v>
          </cell>
          <cell r="S1230">
            <v>29544.000000000004</v>
          </cell>
          <cell r="T1230">
            <v>1</v>
          </cell>
          <cell r="U1230">
            <v>0</v>
          </cell>
          <cell r="V1230">
            <v>0</v>
          </cell>
          <cell r="W1230">
            <v>88632.000000000015</v>
          </cell>
          <cell r="X1230">
            <v>88632.000000000015</v>
          </cell>
          <cell r="Y1230">
            <v>0</v>
          </cell>
          <cell r="Z1230">
            <v>0</v>
          </cell>
          <cell r="AA1230">
            <v>88632.000000000015</v>
          </cell>
          <cell r="AB1230">
            <v>88632.000000000015</v>
          </cell>
          <cell r="AC1230">
            <v>0</v>
          </cell>
          <cell r="AD1230">
            <v>0</v>
          </cell>
          <cell r="AE1230">
            <v>0</v>
          </cell>
          <cell r="AF1230">
            <v>0</v>
          </cell>
          <cell r="AG1230">
            <v>0</v>
          </cell>
          <cell r="AH1230">
            <v>0</v>
          </cell>
        </row>
        <row r="1231">
          <cell r="B1231" t="str">
            <v>PACV</v>
          </cell>
          <cell r="C1231" t="str">
            <v>A1A</v>
          </cell>
          <cell r="D1231" t="str">
            <v>A1AO</v>
          </cell>
          <cell r="E1231" t="str">
            <v>EP/TELI</v>
          </cell>
          <cell r="F1231" t="str">
            <v>PACV</v>
          </cell>
          <cell r="G1231" t="str">
            <v>22R</v>
          </cell>
          <cell r="H1231" t="str">
            <v>EP Rénovation classes prim + bur + mag + latrines</v>
          </cell>
          <cell r="I1231" t="str">
            <v>PACV</v>
          </cell>
          <cell r="J1231" t="str">
            <v>CRD</v>
          </cell>
          <cell r="K1231" t="str">
            <v>IDA PACV</v>
          </cell>
          <cell r="L1231" t="str">
            <v>AUT</v>
          </cell>
          <cell r="M1231">
            <v>2</v>
          </cell>
          <cell r="P1231">
            <v>2</v>
          </cell>
          <cell r="Q1231" t="str">
            <v>classe</v>
          </cell>
          <cell r="R1231" t="str">
            <v>estimation</v>
          </cell>
          <cell r="S1231">
            <v>29544.000000000004</v>
          </cell>
          <cell r="T1231">
            <v>1</v>
          </cell>
          <cell r="U1231">
            <v>59088.000000000007</v>
          </cell>
          <cell r="V1231">
            <v>0</v>
          </cell>
          <cell r="W1231">
            <v>0</v>
          </cell>
          <cell r="X1231">
            <v>59088.000000000007</v>
          </cell>
          <cell r="Y1231">
            <v>59088.000000000007</v>
          </cell>
          <cell r="Z1231">
            <v>0</v>
          </cell>
          <cell r="AA1231">
            <v>0</v>
          </cell>
          <cell r="AB1231">
            <v>59088.000000000007</v>
          </cell>
          <cell r="AC1231">
            <v>0</v>
          </cell>
          <cell r="AD1231">
            <v>0</v>
          </cell>
          <cell r="AE1231">
            <v>0</v>
          </cell>
          <cell r="AF1231">
            <v>0</v>
          </cell>
          <cell r="AG1231">
            <v>0</v>
          </cell>
          <cell r="AH1231">
            <v>0</v>
          </cell>
        </row>
        <row r="1232">
          <cell r="B1232" t="str">
            <v>PACV</v>
          </cell>
          <cell r="C1232" t="str">
            <v>A1A</v>
          </cell>
          <cell r="D1232" t="str">
            <v>A1AO</v>
          </cell>
          <cell r="E1232" t="str">
            <v>EP/TOUG</v>
          </cell>
          <cell r="F1232" t="str">
            <v>PACV</v>
          </cell>
          <cell r="G1232" t="str">
            <v>22R</v>
          </cell>
          <cell r="H1232" t="str">
            <v>EP Rénovation classes prim + bur + mag + latrines</v>
          </cell>
          <cell r="I1232" t="str">
            <v>PACV</v>
          </cell>
          <cell r="J1232" t="str">
            <v>CRD</v>
          </cell>
          <cell r="K1232" t="str">
            <v>IDA PACV</v>
          </cell>
          <cell r="L1232" t="str">
            <v>AUT</v>
          </cell>
          <cell r="M1232">
            <v>1</v>
          </cell>
          <cell r="P1232">
            <v>1</v>
          </cell>
          <cell r="Q1232" t="str">
            <v>classe</v>
          </cell>
          <cell r="R1232" t="str">
            <v>estimation</v>
          </cell>
          <cell r="S1232">
            <v>29544.000000000004</v>
          </cell>
          <cell r="T1232">
            <v>1</v>
          </cell>
          <cell r="U1232">
            <v>29544.000000000004</v>
          </cell>
          <cell r="V1232">
            <v>0</v>
          </cell>
          <cell r="W1232">
            <v>0</v>
          </cell>
          <cell r="X1232">
            <v>29544.000000000004</v>
          </cell>
          <cell r="Y1232">
            <v>29544.000000000004</v>
          </cell>
          <cell r="Z1232">
            <v>0</v>
          </cell>
          <cell r="AA1232">
            <v>0</v>
          </cell>
          <cell r="AB1232">
            <v>29544.000000000004</v>
          </cell>
          <cell r="AC1232">
            <v>0</v>
          </cell>
          <cell r="AD1232">
            <v>0</v>
          </cell>
          <cell r="AE1232">
            <v>0</v>
          </cell>
          <cell r="AF1232">
            <v>0</v>
          </cell>
          <cell r="AG1232">
            <v>0</v>
          </cell>
          <cell r="AH1232">
            <v>0</v>
          </cell>
        </row>
        <row r="1233">
          <cell r="B1233" t="str">
            <v>PACV</v>
          </cell>
          <cell r="C1233" t="str">
            <v>A1A</v>
          </cell>
          <cell r="D1233" t="str">
            <v>A1AO</v>
          </cell>
          <cell r="E1233" t="str">
            <v>EP/YOMO</v>
          </cell>
          <cell r="F1233" t="str">
            <v>PACV</v>
          </cell>
          <cell r="G1233" t="str">
            <v>22R</v>
          </cell>
          <cell r="H1233" t="str">
            <v>EP Rénovation classes prim + bur + mag + latrines</v>
          </cell>
          <cell r="I1233" t="str">
            <v>PACV</v>
          </cell>
          <cell r="J1233" t="str">
            <v>CRD</v>
          </cell>
          <cell r="K1233" t="str">
            <v>IDA PACV</v>
          </cell>
          <cell r="L1233" t="str">
            <v>AUT</v>
          </cell>
          <cell r="N1233">
            <v>2</v>
          </cell>
          <cell r="O1233">
            <v>1</v>
          </cell>
          <cell r="P1233">
            <v>3</v>
          </cell>
          <cell r="Q1233" t="str">
            <v>classe</v>
          </cell>
          <cell r="R1233" t="str">
            <v>estimation</v>
          </cell>
          <cell r="S1233">
            <v>29544.000000000004</v>
          </cell>
          <cell r="T1233">
            <v>1</v>
          </cell>
          <cell r="U1233">
            <v>0</v>
          </cell>
          <cell r="V1233">
            <v>59088.000000000007</v>
          </cell>
          <cell r="W1233">
            <v>29544.000000000004</v>
          </cell>
          <cell r="X1233">
            <v>88632.000000000015</v>
          </cell>
          <cell r="Y1233">
            <v>0</v>
          </cell>
          <cell r="Z1233">
            <v>59088.000000000007</v>
          </cell>
          <cell r="AA1233">
            <v>29544.000000000004</v>
          </cell>
          <cell r="AB1233">
            <v>88632.000000000015</v>
          </cell>
          <cell r="AC1233">
            <v>0</v>
          </cell>
          <cell r="AD1233">
            <v>0</v>
          </cell>
          <cell r="AE1233">
            <v>0</v>
          </cell>
          <cell r="AF1233">
            <v>0</v>
          </cell>
          <cell r="AG1233">
            <v>0</v>
          </cell>
          <cell r="AH1233">
            <v>0</v>
          </cell>
        </row>
        <row r="1234">
          <cell r="B1234" t="str">
            <v>PLAN GUI</v>
          </cell>
          <cell r="C1234" t="str">
            <v>A1A</v>
          </cell>
          <cell r="D1234" t="str">
            <v>A1AL</v>
          </cell>
          <cell r="E1234" t="str">
            <v>EP/GUEC</v>
          </cell>
          <cell r="F1234" t="str">
            <v>PLAN GUI</v>
          </cell>
          <cell r="G1234">
            <v>22</v>
          </cell>
          <cell r="H1234" t="str">
            <v>EP Construction de classes du primaire</v>
          </cell>
          <cell r="I1234" t="str">
            <v>PLAN GUI</v>
          </cell>
          <cell r="J1234" t="str">
            <v>PLAN GUI</v>
          </cell>
          <cell r="K1234" t="str">
            <v>PLAN GUI</v>
          </cell>
          <cell r="L1234" t="str">
            <v>AUT</v>
          </cell>
          <cell r="M1234">
            <v>22</v>
          </cell>
          <cell r="N1234">
            <v>46</v>
          </cell>
          <cell r="O1234">
            <v>156</v>
          </cell>
          <cell r="P1234">
            <v>224</v>
          </cell>
          <cell r="Q1234" t="str">
            <v>classe</v>
          </cell>
          <cell r="R1234" t="str">
            <v>estimation</v>
          </cell>
          <cell r="S1234">
            <v>49240.000000000007</v>
          </cell>
          <cell r="T1234">
            <v>1</v>
          </cell>
          <cell r="U1234">
            <v>1083280.0000000002</v>
          </cell>
          <cell r="V1234">
            <v>2265040.0000000005</v>
          </cell>
          <cell r="W1234">
            <v>7681440.0000000009</v>
          </cell>
          <cell r="X1234">
            <v>11029760.000000002</v>
          </cell>
          <cell r="Y1234">
            <v>1083280.0000000002</v>
          </cell>
          <cell r="Z1234">
            <v>2265040.0000000005</v>
          </cell>
          <cell r="AA1234">
            <v>7681440.0000000009</v>
          </cell>
          <cell r="AB1234">
            <v>11029760.000000002</v>
          </cell>
          <cell r="AC1234">
            <v>0</v>
          </cell>
          <cell r="AD1234">
            <v>0</v>
          </cell>
          <cell r="AE1234">
            <v>0</v>
          </cell>
          <cell r="AF1234">
            <v>0</v>
          </cell>
          <cell r="AG1234">
            <v>0</v>
          </cell>
          <cell r="AH1234">
            <v>0</v>
          </cell>
        </row>
        <row r="1235">
          <cell r="B1235" t="str">
            <v>PLAN GUI</v>
          </cell>
          <cell r="C1235" t="str">
            <v>A1A</v>
          </cell>
          <cell r="D1235" t="str">
            <v>A1AL</v>
          </cell>
          <cell r="E1235" t="str">
            <v>EP/MACE</v>
          </cell>
          <cell r="F1235" t="str">
            <v>PLAN GUI</v>
          </cell>
          <cell r="G1235">
            <v>22</v>
          </cell>
          <cell r="H1235" t="str">
            <v>EP Construction de classes du primaire</v>
          </cell>
          <cell r="I1235" t="str">
            <v>PLAN GUI</v>
          </cell>
          <cell r="J1235" t="str">
            <v>PLAN GUI</v>
          </cell>
          <cell r="K1235" t="str">
            <v>PLAN GUI</v>
          </cell>
          <cell r="L1235" t="str">
            <v>AUT</v>
          </cell>
          <cell r="M1235">
            <v>11</v>
          </cell>
          <cell r="N1235">
            <v>30</v>
          </cell>
          <cell r="O1235">
            <v>69</v>
          </cell>
          <cell r="P1235">
            <v>110</v>
          </cell>
          <cell r="Q1235" t="str">
            <v>classe</v>
          </cell>
          <cell r="R1235" t="str">
            <v>estimation</v>
          </cell>
          <cell r="S1235">
            <v>49240.000000000007</v>
          </cell>
          <cell r="T1235">
            <v>1</v>
          </cell>
          <cell r="U1235">
            <v>541640.00000000012</v>
          </cell>
          <cell r="V1235">
            <v>1477200.0000000002</v>
          </cell>
          <cell r="W1235">
            <v>3397560.0000000005</v>
          </cell>
          <cell r="X1235">
            <v>5416400.0000000009</v>
          </cell>
          <cell r="Y1235">
            <v>541640.00000000012</v>
          </cell>
          <cell r="Z1235">
            <v>1477200.0000000002</v>
          </cell>
          <cell r="AA1235">
            <v>3397560.0000000005</v>
          </cell>
          <cell r="AB1235">
            <v>5416400.0000000009</v>
          </cell>
          <cell r="AC1235">
            <v>0</v>
          </cell>
          <cell r="AD1235">
            <v>0</v>
          </cell>
          <cell r="AE1235">
            <v>0</v>
          </cell>
          <cell r="AF1235">
            <v>0</v>
          </cell>
          <cell r="AG1235">
            <v>0</v>
          </cell>
          <cell r="AH1235">
            <v>0</v>
          </cell>
        </row>
        <row r="1236">
          <cell r="B1236" t="str">
            <v>PLAN GUI</v>
          </cell>
          <cell r="C1236" t="str">
            <v>A1A</v>
          </cell>
          <cell r="D1236" t="str">
            <v>A1AL</v>
          </cell>
          <cell r="E1236" t="str">
            <v>EP/NZER</v>
          </cell>
          <cell r="F1236" t="str">
            <v>PLAN GUI</v>
          </cell>
          <cell r="G1236">
            <v>22</v>
          </cell>
          <cell r="H1236" t="str">
            <v>EP Construction de classes du primaire</v>
          </cell>
          <cell r="I1236" t="str">
            <v>PLAN GUI</v>
          </cell>
          <cell r="J1236" t="str">
            <v>PLAN GUI</v>
          </cell>
          <cell r="K1236" t="str">
            <v>PLAN GUI</v>
          </cell>
          <cell r="L1236" t="str">
            <v>AUT</v>
          </cell>
          <cell r="M1236">
            <v>10</v>
          </cell>
          <cell r="N1236">
            <v>28</v>
          </cell>
          <cell r="O1236">
            <v>37</v>
          </cell>
          <cell r="P1236">
            <v>75</v>
          </cell>
          <cell r="Q1236" t="str">
            <v>classe</v>
          </cell>
          <cell r="R1236" t="str">
            <v>estimation</v>
          </cell>
          <cell r="S1236">
            <v>49240.000000000007</v>
          </cell>
          <cell r="T1236">
            <v>1</v>
          </cell>
          <cell r="U1236">
            <v>492400.00000000006</v>
          </cell>
          <cell r="V1236">
            <v>1378720.0000000002</v>
          </cell>
          <cell r="W1236">
            <v>1821880.0000000002</v>
          </cell>
          <cell r="X1236">
            <v>3693000.0000000005</v>
          </cell>
          <cell r="Y1236">
            <v>492400.00000000006</v>
          </cell>
          <cell r="Z1236">
            <v>1378720.0000000002</v>
          </cell>
          <cell r="AA1236">
            <v>1821880.0000000002</v>
          </cell>
          <cell r="AB1236">
            <v>3693000.0000000005</v>
          </cell>
          <cell r="AC1236">
            <v>0</v>
          </cell>
          <cell r="AD1236">
            <v>0</v>
          </cell>
          <cell r="AE1236">
            <v>0</v>
          </cell>
          <cell r="AF1236">
            <v>0</v>
          </cell>
          <cell r="AG1236">
            <v>0</v>
          </cell>
          <cell r="AH1236">
            <v>0</v>
          </cell>
        </row>
        <row r="1237">
          <cell r="B1237" t="str">
            <v>PLAN GUI</v>
          </cell>
          <cell r="C1237" t="str">
            <v>A1A</v>
          </cell>
          <cell r="D1237" t="str">
            <v>A1AL</v>
          </cell>
          <cell r="E1237" t="str">
            <v>EP/YOMO</v>
          </cell>
          <cell r="F1237" t="str">
            <v>PLAN GUI</v>
          </cell>
          <cell r="G1237">
            <v>22</v>
          </cell>
          <cell r="H1237" t="str">
            <v>EP Construction de classes du primaire</v>
          </cell>
          <cell r="I1237" t="str">
            <v>PLAN GUI</v>
          </cell>
          <cell r="J1237" t="str">
            <v>PLAN GUI</v>
          </cell>
          <cell r="K1237" t="str">
            <v>PLAN GUI</v>
          </cell>
          <cell r="L1237" t="str">
            <v>AUT</v>
          </cell>
          <cell r="M1237">
            <v>7</v>
          </cell>
          <cell r="N1237">
            <v>19</v>
          </cell>
          <cell r="O1237">
            <v>44</v>
          </cell>
          <cell r="P1237">
            <v>70</v>
          </cell>
          <cell r="Q1237" t="str">
            <v>classe</v>
          </cell>
          <cell r="R1237" t="str">
            <v>estimation</v>
          </cell>
          <cell r="S1237">
            <v>49240.000000000007</v>
          </cell>
          <cell r="T1237">
            <v>1</v>
          </cell>
          <cell r="U1237">
            <v>344680.00000000006</v>
          </cell>
          <cell r="V1237">
            <v>935560.00000000012</v>
          </cell>
          <cell r="W1237">
            <v>2166560.0000000005</v>
          </cell>
          <cell r="X1237">
            <v>3446800.0000000009</v>
          </cell>
          <cell r="Y1237">
            <v>344680.00000000006</v>
          </cell>
          <cell r="Z1237">
            <v>935560.00000000012</v>
          </cell>
          <cell r="AA1237">
            <v>2166560.0000000005</v>
          </cell>
          <cell r="AB1237">
            <v>3446800.0000000009</v>
          </cell>
          <cell r="AC1237">
            <v>0</v>
          </cell>
          <cell r="AD1237">
            <v>0</v>
          </cell>
          <cell r="AE1237">
            <v>0</v>
          </cell>
          <cell r="AF1237">
            <v>0</v>
          </cell>
          <cell r="AG1237">
            <v>0</v>
          </cell>
          <cell r="AH1237">
            <v>0</v>
          </cell>
        </row>
        <row r="1238">
          <cell r="B1238" t="str">
            <v>PLAN GUI</v>
          </cell>
          <cell r="C1238" t="str">
            <v>A1A</v>
          </cell>
          <cell r="D1238" t="str">
            <v>A1AL</v>
          </cell>
          <cell r="E1238" t="str">
            <v>EP/KISS</v>
          </cell>
          <cell r="F1238" t="str">
            <v>PLAN GUI</v>
          </cell>
          <cell r="G1238">
            <v>22</v>
          </cell>
          <cell r="H1238" t="str">
            <v>EP Construction de classes du primaire</v>
          </cell>
          <cell r="I1238" t="str">
            <v>PLAN GUI</v>
          </cell>
          <cell r="J1238" t="str">
            <v>PLAN GUI</v>
          </cell>
          <cell r="K1238" t="str">
            <v>PLAN GUI</v>
          </cell>
          <cell r="L1238" t="str">
            <v>AUT</v>
          </cell>
          <cell r="M1238">
            <v>0</v>
          </cell>
          <cell r="N1238">
            <v>17</v>
          </cell>
          <cell r="O1238">
            <v>18</v>
          </cell>
          <cell r="P1238">
            <v>35</v>
          </cell>
          <cell r="Q1238" t="str">
            <v>classe</v>
          </cell>
          <cell r="R1238" t="str">
            <v>estimation</v>
          </cell>
          <cell r="S1238">
            <v>49240.000000000007</v>
          </cell>
          <cell r="T1238">
            <v>1</v>
          </cell>
          <cell r="U1238">
            <v>0</v>
          </cell>
          <cell r="V1238">
            <v>837080.00000000012</v>
          </cell>
          <cell r="W1238">
            <v>886320.00000000012</v>
          </cell>
          <cell r="X1238">
            <v>1723400.0000000002</v>
          </cell>
          <cell r="Y1238">
            <v>0</v>
          </cell>
          <cell r="Z1238">
            <v>837080.00000000012</v>
          </cell>
          <cell r="AA1238">
            <v>886320.00000000012</v>
          </cell>
          <cell r="AB1238">
            <v>1723400.0000000002</v>
          </cell>
          <cell r="AC1238">
            <v>0</v>
          </cell>
          <cell r="AD1238">
            <v>0</v>
          </cell>
          <cell r="AE1238">
            <v>0</v>
          </cell>
          <cell r="AF1238">
            <v>0</v>
          </cell>
          <cell r="AG1238">
            <v>0</v>
          </cell>
          <cell r="AH1238">
            <v>0</v>
          </cell>
        </row>
        <row r="1239">
          <cell r="B1239" t="str">
            <v>PLAN GUI</v>
          </cell>
          <cell r="C1239" t="str">
            <v>A1A</v>
          </cell>
          <cell r="D1239" t="str">
            <v>A1AM</v>
          </cell>
          <cell r="E1239" t="str">
            <v>EP/BEYL</v>
          </cell>
          <cell r="F1239" t="str">
            <v>PLAN GUI</v>
          </cell>
          <cell r="G1239" t="str">
            <v>22R</v>
          </cell>
          <cell r="H1239" t="str">
            <v>EP Rénovation de classes du primaire</v>
          </cell>
          <cell r="I1239" t="str">
            <v>PLAN GUI</v>
          </cell>
          <cell r="J1239" t="str">
            <v>PLAN GUI</v>
          </cell>
          <cell r="K1239" t="str">
            <v>PLAN GUI</v>
          </cell>
          <cell r="L1239" t="str">
            <v>AUT</v>
          </cell>
          <cell r="M1239">
            <v>1</v>
          </cell>
          <cell r="N1239">
            <v>5</v>
          </cell>
          <cell r="O1239">
            <v>3</v>
          </cell>
          <cell r="P1239">
            <v>9</v>
          </cell>
          <cell r="Q1239" t="str">
            <v>classe</v>
          </cell>
          <cell r="R1239" t="str">
            <v>estimation</v>
          </cell>
          <cell r="S1239">
            <v>29544.000000000004</v>
          </cell>
          <cell r="T1239">
            <v>1</v>
          </cell>
          <cell r="U1239">
            <v>29544.000000000004</v>
          </cell>
          <cell r="V1239">
            <v>147720.00000000003</v>
          </cell>
          <cell r="W1239">
            <v>88632.000000000015</v>
          </cell>
          <cell r="X1239">
            <v>265896.00000000006</v>
          </cell>
          <cell r="Y1239">
            <v>29544.000000000004</v>
          </cell>
          <cell r="Z1239">
            <v>147720.00000000003</v>
          </cell>
          <cell r="AA1239">
            <v>88632.000000000015</v>
          </cell>
          <cell r="AB1239">
            <v>265896.00000000006</v>
          </cell>
          <cell r="AC1239">
            <v>0</v>
          </cell>
          <cell r="AD1239">
            <v>0</v>
          </cell>
          <cell r="AE1239">
            <v>0</v>
          </cell>
          <cell r="AF1239">
            <v>0</v>
          </cell>
          <cell r="AG1239">
            <v>0</v>
          </cell>
          <cell r="AH1239">
            <v>0</v>
          </cell>
        </row>
        <row r="1240">
          <cell r="B1240" t="str">
            <v>PLAN GUI</v>
          </cell>
          <cell r="C1240" t="str">
            <v>A1A</v>
          </cell>
          <cell r="D1240" t="str">
            <v>A1AM</v>
          </cell>
          <cell r="E1240" t="str">
            <v>EP/GUEC</v>
          </cell>
          <cell r="F1240" t="str">
            <v>PLAN GUI</v>
          </cell>
          <cell r="G1240" t="str">
            <v>22R</v>
          </cell>
          <cell r="H1240" t="str">
            <v>EP Rénovation de classes du primaire</v>
          </cell>
          <cell r="I1240" t="str">
            <v>PLAN GUI</v>
          </cell>
          <cell r="J1240" t="str">
            <v>PLAN GUI</v>
          </cell>
          <cell r="K1240" t="str">
            <v>PLAN GUI</v>
          </cell>
          <cell r="L1240" t="str">
            <v>AUT</v>
          </cell>
          <cell r="M1240">
            <v>3</v>
          </cell>
          <cell r="N1240">
            <v>17</v>
          </cell>
          <cell r="O1240">
            <v>12</v>
          </cell>
          <cell r="P1240">
            <v>32</v>
          </cell>
          <cell r="Q1240" t="str">
            <v>classe</v>
          </cell>
          <cell r="R1240" t="str">
            <v>estimation</v>
          </cell>
          <cell r="S1240">
            <v>29544.000000000004</v>
          </cell>
          <cell r="T1240">
            <v>1</v>
          </cell>
          <cell r="U1240">
            <v>88632.000000000015</v>
          </cell>
          <cell r="V1240">
            <v>502248.00000000006</v>
          </cell>
          <cell r="W1240">
            <v>354528.00000000006</v>
          </cell>
          <cell r="X1240">
            <v>945408.00000000023</v>
          </cell>
          <cell r="Y1240">
            <v>88632.000000000015</v>
          </cell>
          <cell r="Z1240">
            <v>502248.00000000006</v>
          </cell>
          <cell r="AA1240">
            <v>354528.00000000006</v>
          </cell>
          <cell r="AB1240">
            <v>945408.00000000023</v>
          </cell>
          <cell r="AC1240">
            <v>0</v>
          </cell>
          <cell r="AD1240">
            <v>0</v>
          </cell>
          <cell r="AE1240">
            <v>0</v>
          </cell>
          <cell r="AF1240">
            <v>0</v>
          </cell>
          <cell r="AG1240">
            <v>0</v>
          </cell>
          <cell r="AH1240">
            <v>0</v>
          </cell>
        </row>
        <row r="1241">
          <cell r="B1241" t="str">
            <v>PLAN GUI</v>
          </cell>
          <cell r="C1241" t="str">
            <v>A1A</v>
          </cell>
          <cell r="D1241" t="str">
            <v>A1AM</v>
          </cell>
          <cell r="E1241" t="str">
            <v>EP/LOLA</v>
          </cell>
          <cell r="F1241" t="str">
            <v>PLAN GUI</v>
          </cell>
          <cell r="G1241" t="str">
            <v>22R</v>
          </cell>
          <cell r="H1241" t="str">
            <v>EP Rénovation de classes du primaire</v>
          </cell>
          <cell r="I1241" t="str">
            <v>PLAN GUI</v>
          </cell>
          <cell r="J1241" t="str">
            <v>PLAN GUI</v>
          </cell>
          <cell r="K1241" t="str">
            <v>PLAN GUI</v>
          </cell>
          <cell r="L1241" t="str">
            <v>AUT</v>
          </cell>
          <cell r="M1241">
            <v>1</v>
          </cell>
          <cell r="N1241">
            <v>6</v>
          </cell>
          <cell r="O1241">
            <v>4</v>
          </cell>
          <cell r="P1241">
            <v>11</v>
          </cell>
          <cell r="Q1241" t="str">
            <v>classe</v>
          </cell>
          <cell r="R1241" t="str">
            <v>estimation</v>
          </cell>
          <cell r="S1241">
            <v>29544.000000000004</v>
          </cell>
          <cell r="T1241">
            <v>1</v>
          </cell>
          <cell r="U1241">
            <v>29544.000000000004</v>
          </cell>
          <cell r="V1241">
            <v>177264.00000000003</v>
          </cell>
          <cell r="W1241">
            <v>118176.00000000001</v>
          </cell>
          <cell r="X1241">
            <v>324984.00000000006</v>
          </cell>
          <cell r="Y1241">
            <v>29544.000000000004</v>
          </cell>
          <cell r="Z1241">
            <v>177264.00000000003</v>
          </cell>
          <cell r="AA1241">
            <v>118176.00000000001</v>
          </cell>
          <cell r="AB1241">
            <v>324984.00000000006</v>
          </cell>
          <cell r="AC1241">
            <v>0</v>
          </cell>
          <cell r="AD1241">
            <v>0</v>
          </cell>
          <cell r="AE1241">
            <v>0</v>
          </cell>
          <cell r="AF1241">
            <v>0</v>
          </cell>
          <cell r="AG1241">
            <v>0</v>
          </cell>
          <cell r="AH1241">
            <v>0</v>
          </cell>
        </row>
        <row r="1242">
          <cell r="B1242" t="str">
            <v>PLAN GUI</v>
          </cell>
          <cell r="C1242" t="str">
            <v>A1A</v>
          </cell>
          <cell r="D1242" t="str">
            <v>A1AM</v>
          </cell>
          <cell r="E1242" t="str">
            <v>EP/MACE</v>
          </cell>
          <cell r="F1242" t="str">
            <v>PLAN GUI</v>
          </cell>
          <cell r="G1242" t="str">
            <v>22R</v>
          </cell>
          <cell r="H1242" t="str">
            <v>EP Rénovation de classes du primaire</v>
          </cell>
          <cell r="I1242" t="str">
            <v>PLAN GUI</v>
          </cell>
          <cell r="J1242" t="str">
            <v>PLAN GUI</v>
          </cell>
          <cell r="K1242" t="str">
            <v>PLAN GUI</v>
          </cell>
          <cell r="L1242" t="str">
            <v>AUT</v>
          </cell>
          <cell r="M1242">
            <v>2</v>
          </cell>
          <cell r="N1242">
            <v>12</v>
          </cell>
          <cell r="O1242">
            <v>9</v>
          </cell>
          <cell r="P1242">
            <v>23</v>
          </cell>
          <cell r="Q1242" t="str">
            <v>classe</v>
          </cell>
          <cell r="R1242" t="str">
            <v>estimation</v>
          </cell>
          <cell r="S1242">
            <v>29544.000000000004</v>
          </cell>
          <cell r="T1242">
            <v>1</v>
          </cell>
          <cell r="U1242">
            <v>59088.000000000007</v>
          </cell>
          <cell r="V1242">
            <v>354528.00000000006</v>
          </cell>
          <cell r="W1242">
            <v>265896.00000000006</v>
          </cell>
          <cell r="X1242">
            <v>679512.00000000012</v>
          </cell>
          <cell r="Y1242">
            <v>59088.000000000007</v>
          </cell>
          <cell r="Z1242">
            <v>354528.00000000006</v>
          </cell>
          <cell r="AA1242">
            <v>265896.00000000006</v>
          </cell>
          <cell r="AB1242">
            <v>679512.00000000012</v>
          </cell>
          <cell r="AC1242">
            <v>0</v>
          </cell>
          <cell r="AD1242">
            <v>0</v>
          </cell>
          <cell r="AE1242">
            <v>0</v>
          </cell>
          <cell r="AF1242">
            <v>0</v>
          </cell>
          <cell r="AG1242">
            <v>0</v>
          </cell>
          <cell r="AH1242">
            <v>0</v>
          </cell>
        </row>
        <row r="1243">
          <cell r="B1243" t="str">
            <v>PLAN GUI</v>
          </cell>
          <cell r="C1243" t="str">
            <v>A1A</v>
          </cell>
          <cell r="D1243" t="str">
            <v>A1AM</v>
          </cell>
          <cell r="E1243" t="str">
            <v>EP/NZER</v>
          </cell>
          <cell r="F1243" t="str">
            <v>PLAN GUI</v>
          </cell>
          <cell r="G1243" t="str">
            <v>22R</v>
          </cell>
          <cell r="H1243" t="str">
            <v>EP Rénovation de classes du primaire</v>
          </cell>
          <cell r="I1243" t="str">
            <v>PLAN GUI</v>
          </cell>
          <cell r="J1243" t="str">
            <v>PLAN GUI</v>
          </cell>
          <cell r="K1243" t="str">
            <v>PLAN GUI</v>
          </cell>
          <cell r="L1243" t="str">
            <v>AUT</v>
          </cell>
          <cell r="M1243">
            <v>2</v>
          </cell>
          <cell r="N1243">
            <v>12</v>
          </cell>
          <cell r="O1243">
            <v>8</v>
          </cell>
          <cell r="P1243">
            <v>22</v>
          </cell>
          <cell r="Q1243" t="str">
            <v>classe</v>
          </cell>
          <cell r="R1243" t="str">
            <v>estimation</v>
          </cell>
          <cell r="S1243">
            <v>29544.000000000004</v>
          </cell>
          <cell r="T1243">
            <v>1</v>
          </cell>
          <cell r="U1243">
            <v>59088.000000000007</v>
          </cell>
          <cell r="V1243">
            <v>354528.00000000006</v>
          </cell>
          <cell r="W1243">
            <v>236352.00000000003</v>
          </cell>
          <cell r="X1243">
            <v>649968.00000000012</v>
          </cell>
          <cell r="Y1243">
            <v>59088.000000000007</v>
          </cell>
          <cell r="Z1243">
            <v>354528.00000000006</v>
          </cell>
          <cell r="AA1243">
            <v>236352.00000000003</v>
          </cell>
          <cell r="AB1243">
            <v>649968.00000000012</v>
          </cell>
          <cell r="AC1243">
            <v>0</v>
          </cell>
          <cell r="AD1243">
            <v>0</v>
          </cell>
          <cell r="AE1243">
            <v>0</v>
          </cell>
          <cell r="AF1243">
            <v>0</v>
          </cell>
          <cell r="AG1243">
            <v>0</v>
          </cell>
          <cell r="AH1243">
            <v>0</v>
          </cell>
        </row>
        <row r="1244">
          <cell r="B1244" t="str">
            <v>PLAN GUI</v>
          </cell>
          <cell r="C1244" t="str">
            <v>A1A</v>
          </cell>
          <cell r="D1244" t="str">
            <v>A1AM</v>
          </cell>
          <cell r="E1244" t="str">
            <v>EP/YOMO</v>
          </cell>
          <cell r="F1244" t="str">
            <v>PLAN GUI</v>
          </cell>
          <cell r="G1244" t="str">
            <v>22R</v>
          </cell>
          <cell r="H1244" t="str">
            <v>EP Rénovation de classes du primaire</v>
          </cell>
          <cell r="I1244" t="str">
            <v>PLAN GUI</v>
          </cell>
          <cell r="J1244" t="str">
            <v>PLAN GUI</v>
          </cell>
          <cell r="K1244" t="str">
            <v>PLAN GUI</v>
          </cell>
          <cell r="L1244" t="str">
            <v>AUT</v>
          </cell>
          <cell r="M1244">
            <v>2</v>
          </cell>
          <cell r="N1244">
            <v>9</v>
          </cell>
          <cell r="O1244">
            <v>6</v>
          </cell>
          <cell r="P1244">
            <v>17</v>
          </cell>
          <cell r="Q1244" t="str">
            <v>classe</v>
          </cell>
          <cell r="R1244" t="str">
            <v>estimation</v>
          </cell>
          <cell r="S1244">
            <v>29544.000000000004</v>
          </cell>
          <cell r="T1244">
            <v>1</v>
          </cell>
          <cell r="U1244">
            <v>59088.000000000007</v>
          </cell>
          <cell r="V1244">
            <v>265896.00000000006</v>
          </cell>
          <cell r="W1244">
            <v>177264.00000000003</v>
          </cell>
          <cell r="X1244">
            <v>502248.00000000012</v>
          </cell>
          <cell r="Y1244">
            <v>59088.000000000007</v>
          </cell>
          <cell r="Z1244">
            <v>265896.00000000006</v>
          </cell>
          <cell r="AA1244">
            <v>177264.00000000003</v>
          </cell>
          <cell r="AB1244">
            <v>502248.00000000012</v>
          </cell>
          <cell r="AC1244">
            <v>0</v>
          </cell>
          <cell r="AD1244">
            <v>0</v>
          </cell>
          <cell r="AE1244">
            <v>0</v>
          </cell>
          <cell r="AF1244">
            <v>0</v>
          </cell>
          <cell r="AG1244">
            <v>0</v>
          </cell>
          <cell r="AH1244">
            <v>0</v>
          </cell>
        </row>
        <row r="1245">
          <cell r="B1245" t="str">
            <v>PLAN GUI</v>
          </cell>
          <cell r="C1245" t="str">
            <v>A1A</v>
          </cell>
          <cell r="D1245" t="str">
            <v>A1AG</v>
          </cell>
          <cell r="E1245" t="str">
            <v>EP/</v>
          </cell>
          <cell r="F1245" t="str">
            <v>PLAN GUI</v>
          </cell>
          <cell r="G1245">
            <v>23</v>
          </cell>
          <cell r="H1245" t="str">
            <v>EP Equipement de classes du primaire</v>
          </cell>
          <cell r="I1245" t="str">
            <v>PLAN GUI</v>
          </cell>
          <cell r="J1245" t="str">
            <v>PLAN GUI</v>
          </cell>
          <cell r="K1245" t="str">
            <v>PLAN GUI</v>
          </cell>
          <cell r="L1245" t="str">
            <v>AUT</v>
          </cell>
          <cell r="M1245">
            <v>51</v>
          </cell>
          <cell r="N1245">
            <v>381</v>
          </cell>
          <cell r="O1245">
            <v>525</v>
          </cell>
          <cell r="P1245">
            <v>957</v>
          </cell>
          <cell r="Q1245" t="str">
            <v>classe</v>
          </cell>
          <cell r="R1245" t="str">
            <v>estimation</v>
          </cell>
          <cell r="S1245">
            <v>4924</v>
          </cell>
          <cell r="T1245">
            <v>1</v>
          </cell>
          <cell r="U1245">
            <v>251124</v>
          </cell>
          <cell r="V1245">
            <v>1876044</v>
          </cell>
          <cell r="W1245">
            <v>2585100</v>
          </cell>
          <cell r="X1245">
            <v>4712268</v>
          </cell>
          <cell r="Y1245">
            <v>251124</v>
          </cell>
          <cell r="Z1245">
            <v>1876044</v>
          </cell>
          <cell r="AA1245">
            <v>2585100</v>
          </cell>
          <cell r="AB1245">
            <v>4712268</v>
          </cell>
          <cell r="AC1245">
            <v>0</v>
          </cell>
          <cell r="AD1245">
            <v>0</v>
          </cell>
          <cell r="AE1245">
            <v>0</v>
          </cell>
          <cell r="AF1245">
            <v>0</v>
          </cell>
          <cell r="AG1245">
            <v>0</v>
          </cell>
          <cell r="AH1245">
            <v>0</v>
          </cell>
        </row>
        <row r="1246">
          <cell r="B1246" t="str">
            <v>UNICEF</v>
          </cell>
          <cell r="E1246" t="str">
            <v>CEC/</v>
          </cell>
          <cell r="F1246" t="str">
            <v>UNICEF</v>
          </cell>
          <cell r="G1246">
            <v>22</v>
          </cell>
          <cell r="H1246" t="str">
            <v>CEC Construction de salles de classe</v>
          </cell>
          <cell r="I1246" t="str">
            <v>UNICEF</v>
          </cell>
          <cell r="K1246" t="str">
            <v>UNICEF</v>
          </cell>
          <cell r="P1246">
            <v>0</v>
          </cell>
          <cell r="Q1246" t="str">
            <v>classe</v>
          </cell>
          <cell r="T1246">
            <v>1</v>
          </cell>
          <cell r="U1246">
            <v>0</v>
          </cell>
          <cell r="V1246">
            <v>0</v>
          </cell>
          <cell r="W1246">
            <v>0</v>
          </cell>
          <cell r="X1246">
            <v>0</v>
          </cell>
          <cell r="Y1246">
            <v>0</v>
          </cell>
          <cell r="Z1246">
            <v>0</v>
          </cell>
          <cell r="AA1246">
            <v>0</v>
          </cell>
          <cell r="AB1246">
            <v>0</v>
          </cell>
          <cell r="AC1246">
            <v>0</v>
          </cell>
          <cell r="AD1246">
            <v>0</v>
          </cell>
          <cell r="AE1246">
            <v>0</v>
          </cell>
          <cell r="AF1246">
            <v>0</v>
          </cell>
          <cell r="AG1246">
            <v>0</v>
          </cell>
          <cell r="AH1246">
            <v>0</v>
          </cell>
        </row>
        <row r="1247">
          <cell r="B1247" t="str">
            <v>UNICEF</v>
          </cell>
          <cell r="E1247" t="str">
            <v>CEC/</v>
          </cell>
          <cell r="F1247" t="str">
            <v>UNICEF</v>
          </cell>
          <cell r="G1247">
            <v>24</v>
          </cell>
          <cell r="H1247" t="str">
            <v>CEC Kits préscolaires</v>
          </cell>
          <cell r="I1247" t="str">
            <v>UNICEF</v>
          </cell>
          <cell r="K1247" t="str">
            <v>UNICEF</v>
          </cell>
          <cell r="P1247">
            <v>0</v>
          </cell>
          <cell r="Q1247" t="str">
            <v>u</v>
          </cell>
          <cell r="T1247">
            <v>1</v>
          </cell>
          <cell r="U1247">
            <v>0</v>
          </cell>
          <cell r="V1247">
            <v>0</v>
          </cell>
          <cell r="W1247">
            <v>0</v>
          </cell>
          <cell r="X1247">
            <v>0</v>
          </cell>
          <cell r="Y1247">
            <v>0</v>
          </cell>
          <cell r="Z1247">
            <v>0</v>
          </cell>
          <cell r="AA1247">
            <v>0</v>
          </cell>
          <cell r="AB1247">
            <v>0</v>
          </cell>
          <cell r="AC1247">
            <v>0</v>
          </cell>
          <cell r="AD1247">
            <v>0</v>
          </cell>
          <cell r="AE1247">
            <v>0</v>
          </cell>
          <cell r="AF1247">
            <v>0</v>
          </cell>
          <cell r="AG1247">
            <v>0</v>
          </cell>
          <cell r="AH1247">
            <v>0</v>
          </cell>
        </row>
        <row r="1248">
          <cell r="B1248" t="str">
            <v>UNICEF</v>
          </cell>
          <cell r="E1248" t="str">
            <v>CEC/</v>
          </cell>
          <cell r="F1248" t="str">
            <v>UNICEF</v>
          </cell>
          <cell r="G1248">
            <v>12</v>
          </cell>
          <cell r="H1248" t="str">
            <v>CEC Formation des éducatrices</v>
          </cell>
          <cell r="I1248" t="str">
            <v>UNICEF</v>
          </cell>
          <cell r="K1248" t="str">
            <v>UNICEF</v>
          </cell>
          <cell r="P1248">
            <v>0</v>
          </cell>
          <cell r="Q1248" t="str">
            <v>forfait</v>
          </cell>
          <cell r="T1248">
            <v>1</v>
          </cell>
          <cell r="U1248">
            <v>0</v>
          </cell>
          <cell r="V1248">
            <v>0</v>
          </cell>
          <cell r="W1248">
            <v>0</v>
          </cell>
          <cell r="X1248">
            <v>0</v>
          </cell>
          <cell r="Y1248">
            <v>0</v>
          </cell>
          <cell r="Z1248">
            <v>0</v>
          </cell>
          <cell r="AA1248">
            <v>0</v>
          </cell>
          <cell r="AB1248">
            <v>0</v>
          </cell>
          <cell r="AC1248">
            <v>0</v>
          </cell>
          <cell r="AD1248">
            <v>0</v>
          </cell>
          <cell r="AE1248">
            <v>0</v>
          </cell>
          <cell r="AF1248">
            <v>0</v>
          </cell>
          <cell r="AG1248">
            <v>0</v>
          </cell>
          <cell r="AH1248">
            <v>0</v>
          </cell>
        </row>
        <row r="1249">
          <cell r="B1249" t="str">
            <v>UNICEF</v>
          </cell>
          <cell r="E1249" t="str">
            <v>CEC/</v>
          </cell>
          <cell r="F1249" t="str">
            <v>UNICEF</v>
          </cell>
          <cell r="G1249">
            <v>15</v>
          </cell>
          <cell r="H1249" t="str">
            <v>CEC Suivi des éducatrices et des aphabétiseurs</v>
          </cell>
          <cell r="I1249" t="str">
            <v>UNICEF</v>
          </cell>
          <cell r="K1249" t="str">
            <v>UNICEF</v>
          </cell>
          <cell r="P1249">
            <v>0</v>
          </cell>
          <cell r="T1249">
            <v>1</v>
          </cell>
          <cell r="U1249">
            <v>0</v>
          </cell>
          <cell r="V1249">
            <v>0</v>
          </cell>
          <cell r="W1249">
            <v>0</v>
          </cell>
          <cell r="X1249">
            <v>0</v>
          </cell>
          <cell r="Y1249">
            <v>0</v>
          </cell>
          <cell r="Z1249">
            <v>0</v>
          </cell>
          <cell r="AA1249">
            <v>0</v>
          </cell>
          <cell r="AB1249">
            <v>0</v>
          </cell>
          <cell r="AC1249">
            <v>0</v>
          </cell>
          <cell r="AD1249">
            <v>0</v>
          </cell>
          <cell r="AE1249">
            <v>0</v>
          </cell>
          <cell r="AF1249">
            <v>0</v>
          </cell>
          <cell r="AG1249">
            <v>0</v>
          </cell>
          <cell r="AH1249">
            <v>0</v>
          </cell>
        </row>
        <row r="1250">
          <cell r="B1250" t="str">
            <v>UNICEF</v>
          </cell>
          <cell r="E1250" t="str">
            <v>CEC/</v>
          </cell>
          <cell r="F1250" t="str">
            <v>UNICEF</v>
          </cell>
          <cell r="G1250">
            <v>23</v>
          </cell>
          <cell r="H1250" t="str">
            <v>CEC Matériels pour les Groupements féminins</v>
          </cell>
          <cell r="I1250" t="str">
            <v>UNICEF</v>
          </cell>
          <cell r="K1250" t="str">
            <v>UNICEF</v>
          </cell>
          <cell r="P1250">
            <v>0</v>
          </cell>
          <cell r="T1250">
            <v>1</v>
          </cell>
          <cell r="U1250">
            <v>0</v>
          </cell>
          <cell r="V1250">
            <v>0</v>
          </cell>
          <cell r="W1250">
            <v>0</v>
          </cell>
          <cell r="X1250">
            <v>0</v>
          </cell>
          <cell r="Y1250">
            <v>0</v>
          </cell>
          <cell r="Z1250">
            <v>0</v>
          </cell>
          <cell r="AA1250">
            <v>0</v>
          </cell>
          <cell r="AB1250">
            <v>0</v>
          </cell>
          <cell r="AC1250">
            <v>0</v>
          </cell>
          <cell r="AD1250">
            <v>0</v>
          </cell>
          <cell r="AE1250">
            <v>0</v>
          </cell>
          <cell r="AF1250">
            <v>0</v>
          </cell>
          <cell r="AG1250">
            <v>0</v>
          </cell>
          <cell r="AH1250">
            <v>0</v>
          </cell>
        </row>
        <row r="1251">
          <cell r="B1251" t="str">
            <v>UNICEF</v>
          </cell>
          <cell r="E1251" t="str">
            <v>CEC/</v>
          </cell>
          <cell r="F1251" t="str">
            <v>UNICEF</v>
          </cell>
          <cell r="G1251">
            <v>12</v>
          </cell>
          <cell r="H1251" t="str">
            <v>CEC Formation des éducatrices en éduc parentale</v>
          </cell>
          <cell r="I1251" t="str">
            <v>UNICEF</v>
          </cell>
          <cell r="K1251" t="str">
            <v>UNICEF</v>
          </cell>
          <cell r="P1251">
            <v>0</v>
          </cell>
          <cell r="T1251">
            <v>1</v>
          </cell>
          <cell r="U1251">
            <v>0</v>
          </cell>
          <cell r="V1251">
            <v>0</v>
          </cell>
          <cell r="W1251">
            <v>0</v>
          </cell>
          <cell r="X1251">
            <v>0</v>
          </cell>
          <cell r="Y1251">
            <v>0</v>
          </cell>
          <cell r="Z1251">
            <v>0</v>
          </cell>
          <cell r="AA1251">
            <v>0</v>
          </cell>
          <cell r="AB1251">
            <v>0</v>
          </cell>
          <cell r="AC1251">
            <v>0</v>
          </cell>
          <cell r="AD1251">
            <v>0</v>
          </cell>
          <cell r="AE1251">
            <v>0</v>
          </cell>
          <cell r="AF1251">
            <v>0</v>
          </cell>
          <cell r="AG1251">
            <v>0</v>
          </cell>
          <cell r="AH1251">
            <v>0</v>
          </cell>
        </row>
        <row r="1252">
          <cell r="B1252" t="str">
            <v>UNICEF</v>
          </cell>
          <cell r="E1252" t="str">
            <v>CEC/</v>
          </cell>
          <cell r="F1252" t="str">
            <v>UNICEF</v>
          </cell>
          <cell r="G1252">
            <v>12</v>
          </cell>
          <cell r="H1252" t="str">
            <v>CEC Formation en alpha et gestion AGR</v>
          </cell>
          <cell r="I1252" t="str">
            <v>UNICEF</v>
          </cell>
          <cell r="K1252" t="str">
            <v>UNICEF</v>
          </cell>
          <cell r="P1252">
            <v>0</v>
          </cell>
          <cell r="T1252">
            <v>1</v>
          </cell>
          <cell r="U1252">
            <v>0</v>
          </cell>
          <cell r="V1252">
            <v>0</v>
          </cell>
          <cell r="W1252">
            <v>0</v>
          </cell>
          <cell r="X1252">
            <v>0</v>
          </cell>
          <cell r="Y1252">
            <v>0</v>
          </cell>
          <cell r="Z1252">
            <v>0</v>
          </cell>
          <cell r="AA1252">
            <v>0</v>
          </cell>
          <cell r="AB1252">
            <v>0</v>
          </cell>
          <cell r="AC1252">
            <v>0</v>
          </cell>
          <cell r="AD1252">
            <v>0</v>
          </cell>
          <cell r="AE1252">
            <v>0</v>
          </cell>
          <cell r="AF1252">
            <v>0</v>
          </cell>
          <cell r="AG1252">
            <v>0</v>
          </cell>
          <cell r="AH1252">
            <v>0</v>
          </cell>
        </row>
        <row r="1253">
          <cell r="B1253" t="str">
            <v>UNICEF</v>
          </cell>
          <cell r="E1253" t="str">
            <v>CEC/</v>
          </cell>
          <cell r="F1253" t="str">
            <v>UNICEF</v>
          </cell>
          <cell r="G1253">
            <v>12</v>
          </cell>
          <cell r="H1253" t="str">
            <v>CECAlphabétisation des membres des Gfem</v>
          </cell>
          <cell r="I1253" t="str">
            <v>UNICEF</v>
          </cell>
          <cell r="K1253" t="str">
            <v>UNICEF</v>
          </cell>
          <cell r="P1253">
            <v>0</v>
          </cell>
          <cell r="T1253">
            <v>1</v>
          </cell>
          <cell r="U1253">
            <v>0</v>
          </cell>
          <cell r="V1253">
            <v>0</v>
          </cell>
          <cell r="W1253">
            <v>0</v>
          </cell>
          <cell r="X1253">
            <v>0</v>
          </cell>
          <cell r="Y1253">
            <v>0</v>
          </cell>
          <cell r="Z1253">
            <v>0</v>
          </cell>
          <cell r="AA1253">
            <v>0</v>
          </cell>
          <cell r="AB1253">
            <v>0</v>
          </cell>
          <cell r="AC1253">
            <v>0</v>
          </cell>
          <cell r="AD1253">
            <v>0</v>
          </cell>
          <cell r="AE1253">
            <v>0</v>
          </cell>
          <cell r="AF1253">
            <v>0</v>
          </cell>
          <cell r="AG1253">
            <v>0</v>
          </cell>
          <cell r="AH1253">
            <v>0</v>
          </cell>
        </row>
        <row r="1254">
          <cell r="B1254" t="str">
            <v>UNICEF</v>
          </cell>
          <cell r="E1254" t="str">
            <v>CEC/</v>
          </cell>
          <cell r="F1254" t="str">
            <v>UNICEF</v>
          </cell>
          <cell r="G1254">
            <v>12</v>
          </cell>
          <cell r="H1254" t="str">
            <v>CEC Formation en destion des membres des Gfem</v>
          </cell>
          <cell r="I1254" t="str">
            <v>UNICEF</v>
          </cell>
          <cell r="K1254" t="str">
            <v>UNICEF</v>
          </cell>
          <cell r="P1254">
            <v>0</v>
          </cell>
          <cell r="T1254">
            <v>1</v>
          </cell>
          <cell r="U1254">
            <v>0</v>
          </cell>
          <cell r="V1254">
            <v>0</v>
          </cell>
          <cell r="W1254">
            <v>0</v>
          </cell>
          <cell r="X1254">
            <v>0</v>
          </cell>
          <cell r="Y1254">
            <v>0</v>
          </cell>
          <cell r="Z1254">
            <v>0</v>
          </cell>
          <cell r="AA1254">
            <v>0</v>
          </cell>
          <cell r="AB1254">
            <v>0</v>
          </cell>
          <cell r="AC1254">
            <v>0</v>
          </cell>
          <cell r="AD1254">
            <v>0</v>
          </cell>
          <cell r="AE1254">
            <v>0</v>
          </cell>
          <cell r="AF1254">
            <v>0</v>
          </cell>
          <cell r="AG1254">
            <v>0</v>
          </cell>
          <cell r="AH1254">
            <v>0</v>
          </cell>
        </row>
        <row r="1255">
          <cell r="B1255" t="str">
            <v>UNICEF</v>
          </cell>
          <cell r="E1255" t="str">
            <v>EP/</v>
          </cell>
          <cell r="F1255" t="str">
            <v>UNICEF</v>
          </cell>
          <cell r="G1255">
            <v>22</v>
          </cell>
          <cell r="H1255" t="str">
            <v>EP Construction de classes du primaire en dur</v>
          </cell>
          <cell r="I1255" t="str">
            <v>UNICEF</v>
          </cell>
          <cell r="K1255" t="str">
            <v>UNICEF</v>
          </cell>
          <cell r="P1255">
            <v>0</v>
          </cell>
          <cell r="Q1255" t="str">
            <v>classe</v>
          </cell>
          <cell r="T1255">
            <v>1</v>
          </cell>
          <cell r="U1255">
            <v>0</v>
          </cell>
          <cell r="V1255">
            <v>0</v>
          </cell>
          <cell r="W1255">
            <v>0</v>
          </cell>
          <cell r="X1255">
            <v>0</v>
          </cell>
          <cell r="Y1255">
            <v>0</v>
          </cell>
          <cell r="Z1255">
            <v>0</v>
          </cell>
          <cell r="AA1255">
            <v>0</v>
          </cell>
          <cell r="AB1255">
            <v>0</v>
          </cell>
          <cell r="AC1255">
            <v>0</v>
          </cell>
          <cell r="AD1255">
            <v>0</v>
          </cell>
          <cell r="AE1255">
            <v>0</v>
          </cell>
          <cell r="AF1255">
            <v>0</v>
          </cell>
          <cell r="AG1255">
            <v>0</v>
          </cell>
          <cell r="AH1255">
            <v>0</v>
          </cell>
        </row>
        <row r="1256">
          <cell r="B1256" t="str">
            <v>UNICEF</v>
          </cell>
          <cell r="E1256" t="str">
            <v>EP/</v>
          </cell>
          <cell r="F1256" t="str">
            <v>UNICEF</v>
          </cell>
          <cell r="G1256">
            <v>22</v>
          </cell>
          <cell r="H1256" t="str">
            <v>EP Appui à la const de classes du prim en mat locaux</v>
          </cell>
          <cell r="I1256" t="str">
            <v>UNICEF</v>
          </cell>
          <cell r="K1256" t="str">
            <v>UNICEF</v>
          </cell>
          <cell r="P1256">
            <v>0</v>
          </cell>
          <cell r="Q1256" t="str">
            <v>classe</v>
          </cell>
          <cell r="T1256">
            <v>1</v>
          </cell>
          <cell r="U1256">
            <v>0</v>
          </cell>
          <cell r="V1256">
            <v>0</v>
          </cell>
          <cell r="W1256">
            <v>0</v>
          </cell>
          <cell r="X1256">
            <v>0</v>
          </cell>
          <cell r="Y1256">
            <v>0</v>
          </cell>
          <cell r="Z1256">
            <v>0</v>
          </cell>
          <cell r="AA1256">
            <v>0</v>
          </cell>
          <cell r="AB1256">
            <v>0</v>
          </cell>
          <cell r="AC1256">
            <v>0</v>
          </cell>
          <cell r="AD1256">
            <v>0</v>
          </cell>
          <cell r="AE1256">
            <v>0</v>
          </cell>
          <cell r="AF1256">
            <v>0</v>
          </cell>
          <cell r="AG1256">
            <v>0</v>
          </cell>
          <cell r="AH1256">
            <v>0</v>
          </cell>
        </row>
        <row r="1257">
          <cell r="B1257" t="str">
            <v>UNICEF</v>
          </cell>
          <cell r="E1257" t="str">
            <v>EP/</v>
          </cell>
          <cell r="F1257" t="str">
            <v>UNICEF</v>
          </cell>
          <cell r="G1257">
            <v>24</v>
          </cell>
          <cell r="H1257" t="str">
            <v>EP Kits éducatifs</v>
          </cell>
          <cell r="I1257" t="str">
            <v>UNICEF</v>
          </cell>
          <cell r="K1257" t="str">
            <v>UNICEF</v>
          </cell>
          <cell r="P1257">
            <v>0</v>
          </cell>
          <cell r="T1257">
            <v>1</v>
          </cell>
          <cell r="U1257">
            <v>0</v>
          </cell>
          <cell r="V1257">
            <v>0</v>
          </cell>
          <cell r="W1257">
            <v>0</v>
          </cell>
          <cell r="X1257">
            <v>0</v>
          </cell>
          <cell r="Y1257">
            <v>0</v>
          </cell>
          <cell r="Z1257">
            <v>0</v>
          </cell>
          <cell r="AA1257">
            <v>0</v>
          </cell>
          <cell r="AB1257">
            <v>0</v>
          </cell>
          <cell r="AC1257">
            <v>0</v>
          </cell>
          <cell r="AD1257">
            <v>0</v>
          </cell>
          <cell r="AE1257">
            <v>0</v>
          </cell>
          <cell r="AF1257">
            <v>0</v>
          </cell>
          <cell r="AG1257">
            <v>0</v>
          </cell>
          <cell r="AH1257">
            <v>0</v>
          </cell>
        </row>
        <row r="1258">
          <cell r="B1258" t="str">
            <v>UNICEF</v>
          </cell>
          <cell r="E1258" t="str">
            <v>EP/</v>
          </cell>
          <cell r="F1258" t="str">
            <v>UNICEF</v>
          </cell>
          <cell r="G1258">
            <v>24</v>
          </cell>
          <cell r="H1258" t="str">
            <v>EP Mallettes pédagogiques pour enseignants</v>
          </cell>
          <cell r="I1258" t="str">
            <v>UNICEF</v>
          </cell>
          <cell r="K1258" t="str">
            <v>UNICEF</v>
          </cell>
          <cell r="P1258">
            <v>0</v>
          </cell>
          <cell r="T1258">
            <v>1</v>
          </cell>
          <cell r="U1258">
            <v>0</v>
          </cell>
          <cell r="V1258">
            <v>0</v>
          </cell>
          <cell r="W1258">
            <v>0</v>
          </cell>
          <cell r="X1258">
            <v>0</v>
          </cell>
          <cell r="Y1258">
            <v>0</v>
          </cell>
          <cell r="Z1258">
            <v>0</v>
          </cell>
          <cell r="AA1258">
            <v>0</v>
          </cell>
          <cell r="AB1258">
            <v>0</v>
          </cell>
          <cell r="AC1258">
            <v>0</v>
          </cell>
          <cell r="AD1258">
            <v>0</v>
          </cell>
          <cell r="AE1258">
            <v>0</v>
          </cell>
          <cell r="AF1258">
            <v>0</v>
          </cell>
          <cell r="AG1258">
            <v>0</v>
          </cell>
          <cell r="AH1258">
            <v>0</v>
          </cell>
        </row>
        <row r="1259">
          <cell r="B1259" t="str">
            <v>UNICEF</v>
          </cell>
          <cell r="E1259" t="str">
            <v>EP/</v>
          </cell>
          <cell r="F1259" t="str">
            <v>UNICEF</v>
          </cell>
          <cell r="G1259">
            <v>12</v>
          </cell>
          <cell r="H1259" t="str">
            <v>EP Formation cont des maîtres</v>
          </cell>
          <cell r="I1259" t="str">
            <v>UNICEF</v>
          </cell>
          <cell r="K1259" t="str">
            <v>UNICEF</v>
          </cell>
          <cell r="P1259">
            <v>0</v>
          </cell>
          <cell r="T1259">
            <v>1</v>
          </cell>
          <cell r="U1259">
            <v>0</v>
          </cell>
          <cell r="V1259">
            <v>0</v>
          </cell>
          <cell r="W1259">
            <v>0</v>
          </cell>
          <cell r="X1259">
            <v>0</v>
          </cell>
          <cell r="Y1259">
            <v>0</v>
          </cell>
          <cell r="Z1259">
            <v>0</v>
          </cell>
          <cell r="AA1259">
            <v>0</v>
          </cell>
          <cell r="AB1259">
            <v>0</v>
          </cell>
          <cell r="AC1259">
            <v>0</v>
          </cell>
          <cell r="AD1259">
            <v>0</v>
          </cell>
          <cell r="AE1259">
            <v>0</v>
          </cell>
          <cell r="AF1259">
            <v>0</v>
          </cell>
          <cell r="AG1259">
            <v>0</v>
          </cell>
          <cell r="AH1259">
            <v>0</v>
          </cell>
        </row>
        <row r="1260">
          <cell r="B1260" t="str">
            <v>UNICEF</v>
          </cell>
          <cell r="E1260" t="str">
            <v>EP/</v>
          </cell>
          <cell r="F1260" t="str">
            <v>UNICEF</v>
          </cell>
          <cell r="G1260">
            <v>24</v>
          </cell>
          <cell r="H1260" t="str">
            <v>EP Achat manuels primaire</v>
          </cell>
          <cell r="I1260" t="str">
            <v>UNICEF</v>
          </cell>
          <cell r="K1260" t="str">
            <v>UNICEF</v>
          </cell>
          <cell r="P1260">
            <v>0</v>
          </cell>
          <cell r="T1260">
            <v>1</v>
          </cell>
          <cell r="U1260">
            <v>0</v>
          </cell>
          <cell r="V1260">
            <v>0</v>
          </cell>
          <cell r="W1260">
            <v>0</v>
          </cell>
          <cell r="X1260">
            <v>0</v>
          </cell>
          <cell r="Y1260">
            <v>0</v>
          </cell>
          <cell r="Z1260">
            <v>0</v>
          </cell>
          <cell r="AA1260">
            <v>0</v>
          </cell>
          <cell r="AB1260">
            <v>0</v>
          </cell>
          <cell r="AC1260">
            <v>0</v>
          </cell>
          <cell r="AD1260">
            <v>0</v>
          </cell>
          <cell r="AE1260">
            <v>0</v>
          </cell>
          <cell r="AF1260">
            <v>0</v>
          </cell>
          <cell r="AG1260">
            <v>0</v>
          </cell>
          <cell r="AH1260">
            <v>0</v>
          </cell>
        </row>
        <row r="1261">
          <cell r="B1261" t="str">
            <v>UNICEF</v>
          </cell>
          <cell r="E1261" t="str">
            <v>EP/</v>
          </cell>
          <cell r="F1261" t="str">
            <v>UNICEF</v>
          </cell>
          <cell r="G1261">
            <v>24</v>
          </cell>
          <cell r="H1261" t="str">
            <v>EP Achat guide maîtres</v>
          </cell>
          <cell r="I1261" t="str">
            <v>UNICEF</v>
          </cell>
          <cell r="K1261" t="str">
            <v>UNICEF</v>
          </cell>
          <cell r="P1261">
            <v>0</v>
          </cell>
          <cell r="T1261">
            <v>1</v>
          </cell>
          <cell r="U1261">
            <v>0</v>
          </cell>
          <cell r="V1261">
            <v>0</v>
          </cell>
          <cell r="W1261">
            <v>0</v>
          </cell>
          <cell r="X1261">
            <v>0</v>
          </cell>
          <cell r="Y1261">
            <v>0</v>
          </cell>
          <cell r="Z1261">
            <v>0</v>
          </cell>
          <cell r="AA1261">
            <v>0</v>
          </cell>
          <cell r="AB1261">
            <v>0</v>
          </cell>
          <cell r="AC1261">
            <v>0</v>
          </cell>
          <cell r="AD1261">
            <v>0</v>
          </cell>
          <cell r="AE1261">
            <v>0</v>
          </cell>
          <cell r="AF1261">
            <v>0</v>
          </cell>
          <cell r="AG1261">
            <v>0</v>
          </cell>
          <cell r="AH1261">
            <v>0</v>
          </cell>
        </row>
        <row r="1262">
          <cell r="B1262" t="str">
            <v>UNICEF</v>
          </cell>
          <cell r="E1262" t="str">
            <v>EP/</v>
          </cell>
          <cell r="F1262" t="str">
            <v>UNICEF</v>
          </cell>
          <cell r="G1262">
            <v>12</v>
          </cell>
          <cell r="H1262" t="str">
            <v>EP Formation direct et APEAE à l'utilisation des manuels</v>
          </cell>
          <cell r="I1262" t="str">
            <v>UNICEF</v>
          </cell>
          <cell r="K1262" t="str">
            <v>UNICEF</v>
          </cell>
          <cell r="P1262">
            <v>0</v>
          </cell>
          <cell r="T1262">
            <v>1</v>
          </cell>
          <cell r="U1262">
            <v>0</v>
          </cell>
          <cell r="V1262">
            <v>0</v>
          </cell>
          <cell r="W1262">
            <v>0</v>
          </cell>
          <cell r="X1262">
            <v>0</v>
          </cell>
          <cell r="Y1262">
            <v>0</v>
          </cell>
          <cell r="Z1262">
            <v>0</v>
          </cell>
          <cell r="AA1262">
            <v>0</v>
          </cell>
          <cell r="AB1262">
            <v>0</v>
          </cell>
          <cell r="AC1262">
            <v>0</v>
          </cell>
          <cell r="AD1262">
            <v>0</v>
          </cell>
          <cell r="AE1262">
            <v>0</v>
          </cell>
          <cell r="AF1262">
            <v>0</v>
          </cell>
          <cell r="AG1262">
            <v>0</v>
          </cell>
          <cell r="AH1262">
            <v>0</v>
          </cell>
        </row>
        <row r="1263">
          <cell r="B1263" t="str">
            <v>UNICEF</v>
          </cell>
          <cell r="E1263" t="str">
            <v>EP/</v>
          </cell>
          <cell r="F1263" t="str">
            <v>UNICEF</v>
          </cell>
          <cell r="G1263">
            <v>12</v>
          </cell>
          <cell r="H1263" t="str">
            <v>EP Insert ens santé, VIH/SIDA, citoyenneté et paix</v>
          </cell>
          <cell r="I1263" t="str">
            <v>UNICEF</v>
          </cell>
          <cell r="K1263" t="str">
            <v>UNICEF</v>
          </cell>
          <cell r="P1263">
            <v>0</v>
          </cell>
          <cell r="T1263">
            <v>1</v>
          </cell>
          <cell r="U1263">
            <v>0</v>
          </cell>
          <cell r="V1263">
            <v>0</v>
          </cell>
          <cell r="W1263">
            <v>0</v>
          </cell>
          <cell r="X1263">
            <v>0</v>
          </cell>
          <cell r="Y1263">
            <v>0</v>
          </cell>
          <cell r="Z1263">
            <v>0</v>
          </cell>
          <cell r="AA1263">
            <v>0</v>
          </cell>
          <cell r="AB1263">
            <v>0</v>
          </cell>
          <cell r="AC1263">
            <v>0</v>
          </cell>
          <cell r="AD1263">
            <v>0</v>
          </cell>
          <cell r="AE1263">
            <v>0</v>
          </cell>
          <cell r="AF1263">
            <v>0</v>
          </cell>
          <cell r="AG1263">
            <v>0</v>
          </cell>
          <cell r="AH1263">
            <v>0</v>
          </cell>
        </row>
        <row r="1264">
          <cell r="B1264" t="str">
            <v>UNICEF</v>
          </cell>
          <cell r="E1264" t="str">
            <v>EP/</v>
          </cell>
          <cell r="F1264" t="str">
            <v>UNICEF</v>
          </cell>
          <cell r="G1264">
            <v>12</v>
          </cell>
          <cell r="H1264" t="str">
            <v>EP Form leaders opinion et jeunes pour scol yc filles</v>
          </cell>
          <cell r="I1264" t="str">
            <v>UNICEF</v>
          </cell>
          <cell r="K1264" t="str">
            <v>UNICEF</v>
          </cell>
          <cell r="P1264">
            <v>0</v>
          </cell>
          <cell r="T1264">
            <v>1</v>
          </cell>
          <cell r="U1264">
            <v>0</v>
          </cell>
          <cell r="V1264">
            <v>0</v>
          </cell>
          <cell r="W1264">
            <v>0</v>
          </cell>
          <cell r="X1264">
            <v>0</v>
          </cell>
          <cell r="Y1264">
            <v>0</v>
          </cell>
          <cell r="Z1264">
            <v>0</v>
          </cell>
          <cell r="AA1264">
            <v>0</v>
          </cell>
          <cell r="AB1264">
            <v>0</v>
          </cell>
          <cell r="AC1264">
            <v>0</v>
          </cell>
          <cell r="AD1264">
            <v>0</v>
          </cell>
          <cell r="AE1264">
            <v>0</v>
          </cell>
          <cell r="AF1264">
            <v>0</v>
          </cell>
          <cell r="AG1264">
            <v>0</v>
          </cell>
          <cell r="AH1264">
            <v>0</v>
          </cell>
        </row>
        <row r="1265">
          <cell r="B1265" t="str">
            <v>UNICEF</v>
          </cell>
          <cell r="E1265" t="str">
            <v>EP/</v>
          </cell>
          <cell r="F1265" t="str">
            <v>UNICEF</v>
          </cell>
          <cell r="G1265">
            <v>12</v>
          </cell>
          <cell r="H1265" t="str">
            <v>EP Form APEA &amp; AMEF en gestion d'AGR</v>
          </cell>
          <cell r="I1265" t="str">
            <v>UNICEF</v>
          </cell>
          <cell r="K1265" t="str">
            <v>UNICEF</v>
          </cell>
          <cell r="P1265">
            <v>0</v>
          </cell>
          <cell r="T1265">
            <v>1</v>
          </cell>
          <cell r="U1265">
            <v>0</v>
          </cell>
          <cell r="V1265">
            <v>0</v>
          </cell>
          <cell r="W1265">
            <v>0</v>
          </cell>
          <cell r="X1265">
            <v>0</v>
          </cell>
          <cell r="Y1265">
            <v>0</v>
          </cell>
          <cell r="Z1265">
            <v>0</v>
          </cell>
          <cell r="AA1265">
            <v>0</v>
          </cell>
          <cell r="AB1265">
            <v>0</v>
          </cell>
          <cell r="AC1265">
            <v>0</v>
          </cell>
          <cell r="AD1265">
            <v>0</v>
          </cell>
          <cell r="AE1265">
            <v>0</v>
          </cell>
          <cell r="AF1265">
            <v>0</v>
          </cell>
          <cell r="AG1265">
            <v>0</v>
          </cell>
          <cell r="AH1265">
            <v>0</v>
          </cell>
        </row>
        <row r="1266">
          <cell r="B1266" t="str">
            <v>UNICEF</v>
          </cell>
          <cell r="E1266" t="str">
            <v>EP/</v>
          </cell>
          <cell r="F1266" t="str">
            <v>UNICEF</v>
          </cell>
          <cell r="G1266">
            <v>23</v>
          </cell>
          <cell r="H1266" t="str">
            <v>EP Eqt APEA &amp; AMEF en mat pour AGR</v>
          </cell>
          <cell r="I1266" t="str">
            <v>UNICEF</v>
          </cell>
          <cell r="K1266" t="str">
            <v>UNICEF</v>
          </cell>
          <cell r="P1266">
            <v>0</v>
          </cell>
          <cell r="T1266">
            <v>1</v>
          </cell>
          <cell r="U1266">
            <v>0</v>
          </cell>
          <cell r="V1266">
            <v>0</v>
          </cell>
          <cell r="W1266">
            <v>0</v>
          </cell>
          <cell r="X1266">
            <v>0</v>
          </cell>
          <cell r="Y1266">
            <v>0</v>
          </cell>
          <cell r="Z1266">
            <v>0</v>
          </cell>
          <cell r="AA1266">
            <v>0</v>
          </cell>
          <cell r="AB1266">
            <v>0</v>
          </cell>
          <cell r="AC1266">
            <v>0</v>
          </cell>
          <cell r="AD1266">
            <v>0</v>
          </cell>
          <cell r="AE1266">
            <v>0</v>
          </cell>
          <cell r="AF1266">
            <v>0</v>
          </cell>
          <cell r="AG1266">
            <v>0</v>
          </cell>
          <cell r="AH1266">
            <v>0</v>
          </cell>
        </row>
        <row r="1267">
          <cell r="B1267" t="str">
            <v>UNICEF</v>
          </cell>
          <cell r="E1267" t="str">
            <v>EP/</v>
          </cell>
          <cell r="F1267" t="str">
            <v>UNICEF</v>
          </cell>
          <cell r="G1267">
            <v>23</v>
          </cell>
          <cell r="H1267" t="str">
            <v>EP Fourniture de fiches de suivi scolaire</v>
          </cell>
          <cell r="I1267" t="str">
            <v>UNICEF</v>
          </cell>
          <cell r="K1267" t="str">
            <v>UNICEF</v>
          </cell>
          <cell r="P1267">
            <v>0</v>
          </cell>
          <cell r="T1267">
            <v>1</v>
          </cell>
          <cell r="U1267">
            <v>0</v>
          </cell>
          <cell r="V1267">
            <v>0</v>
          </cell>
          <cell r="W1267">
            <v>0</v>
          </cell>
          <cell r="X1267">
            <v>0</v>
          </cell>
          <cell r="Y1267">
            <v>0</v>
          </cell>
          <cell r="Z1267">
            <v>0</v>
          </cell>
          <cell r="AA1267">
            <v>0</v>
          </cell>
          <cell r="AB1267">
            <v>0</v>
          </cell>
          <cell r="AC1267">
            <v>0</v>
          </cell>
          <cell r="AD1267">
            <v>0</v>
          </cell>
          <cell r="AE1267">
            <v>0</v>
          </cell>
          <cell r="AF1267">
            <v>0</v>
          </cell>
          <cell r="AG1267">
            <v>0</v>
          </cell>
          <cell r="AH1267">
            <v>0</v>
          </cell>
        </row>
        <row r="1268">
          <cell r="B1268" t="str">
            <v>UNICEF</v>
          </cell>
          <cell r="E1268" t="str">
            <v>EP/</v>
          </cell>
          <cell r="F1268" t="str">
            <v>UNICEF</v>
          </cell>
          <cell r="G1268">
            <v>12</v>
          </cell>
          <cell r="H1268" t="str">
            <v>EP Formation APEAE à utilisation fiches suivi scolaire</v>
          </cell>
          <cell r="I1268" t="str">
            <v>UNICEF</v>
          </cell>
          <cell r="K1268" t="str">
            <v>UNICEF</v>
          </cell>
          <cell r="P1268">
            <v>0</v>
          </cell>
          <cell r="T1268">
            <v>1</v>
          </cell>
          <cell r="U1268">
            <v>0</v>
          </cell>
          <cell r="V1268">
            <v>0</v>
          </cell>
          <cell r="W1268">
            <v>0</v>
          </cell>
          <cell r="X1268">
            <v>0</v>
          </cell>
          <cell r="Y1268">
            <v>0</v>
          </cell>
          <cell r="Z1268">
            <v>0</v>
          </cell>
          <cell r="AA1268">
            <v>0</v>
          </cell>
          <cell r="AB1268">
            <v>0</v>
          </cell>
          <cell r="AC1268">
            <v>0</v>
          </cell>
          <cell r="AD1268">
            <v>0</v>
          </cell>
          <cell r="AE1268">
            <v>0</v>
          </cell>
          <cell r="AF1268">
            <v>0</v>
          </cell>
          <cell r="AG1268">
            <v>0</v>
          </cell>
          <cell r="AH1268">
            <v>0</v>
          </cell>
        </row>
        <row r="1269">
          <cell r="B1269" t="str">
            <v>GTZ</v>
          </cell>
          <cell r="E1269" t="str">
            <v>GTZ/CKY</v>
          </cell>
          <cell r="F1269" t="str">
            <v>GTZ</v>
          </cell>
          <cell r="G1269">
            <v>25</v>
          </cell>
          <cell r="H1269" t="str">
            <v>Personnel et frais de siège GTZ</v>
          </cell>
          <cell r="I1269" t="str">
            <v>PROPEB</v>
          </cell>
          <cell r="K1269" t="str">
            <v>PROPEB</v>
          </cell>
          <cell r="M1269">
            <v>1598859.74</v>
          </cell>
          <cell r="N1269">
            <v>1731249.4</v>
          </cell>
          <cell r="O1269">
            <v>1873822.88</v>
          </cell>
          <cell r="P1269">
            <v>5203932.0199999996</v>
          </cell>
          <cell r="Q1269" t="str">
            <v>forfait</v>
          </cell>
          <cell r="S1269">
            <v>1</v>
          </cell>
          <cell r="T1269">
            <v>1</v>
          </cell>
          <cell r="U1269">
            <v>1598859.74</v>
          </cell>
          <cell r="V1269">
            <v>1731249.4</v>
          </cell>
          <cell r="W1269">
            <v>1873822.88</v>
          </cell>
          <cell r="X1269">
            <v>5203932.0199999996</v>
          </cell>
          <cell r="Y1269">
            <v>1598859.74</v>
          </cell>
          <cell r="Z1269">
            <v>1731249.4</v>
          </cell>
          <cell r="AA1269">
            <v>1873822.88</v>
          </cell>
          <cell r="AB1269">
            <v>5203932.0199999996</v>
          </cell>
          <cell r="AC1269">
            <v>0</v>
          </cell>
          <cell r="AD1269">
            <v>0</v>
          </cell>
          <cell r="AE1269">
            <v>0</v>
          </cell>
          <cell r="AF1269">
            <v>0</v>
          </cell>
          <cell r="AG1269">
            <v>0</v>
          </cell>
          <cell r="AH1269">
            <v>0</v>
          </cell>
        </row>
        <row r="1270">
          <cell r="B1270" t="str">
            <v>GTZ</v>
          </cell>
          <cell r="E1270" t="str">
            <v>GTZ/CKY</v>
          </cell>
          <cell r="F1270" t="str">
            <v>GTZ/CKY</v>
          </cell>
          <cell r="G1270">
            <v>25</v>
          </cell>
          <cell r="H1270" t="str">
            <v>Contractuels Cky, Labé et Mamou</v>
          </cell>
          <cell r="I1270" t="str">
            <v>PROPEB</v>
          </cell>
          <cell r="K1270" t="str">
            <v>PROPEB</v>
          </cell>
          <cell r="M1270">
            <v>789246.05</v>
          </cell>
          <cell r="N1270">
            <v>799429.87</v>
          </cell>
          <cell r="O1270">
            <v>860532.79</v>
          </cell>
          <cell r="P1270">
            <v>2449208.71</v>
          </cell>
          <cell r="Q1270" t="str">
            <v>forfait</v>
          </cell>
          <cell r="S1270">
            <v>1</v>
          </cell>
          <cell r="T1270">
            <v>1</v>
          </cell>
          <cell r="U1270">
            <v>789246.05</v>
          </cell>
          <cell r="V1270">
            <v>799429.87</v>
          </cell>
          <cell r="W1270">
            <v>860532.79</v>
          </cell>
          <cell r="X1270">
            <v>2449208.71</v>
          </cell>
          <cell r="Y1270">
            <v>789246.05</v>
          </cell>
          <cell r="Z1270">
            <v>799429.87</v>
          </cell>
          <cell r="AA1270">
            <v>860532.79</v>
          </cell>
          <cell r="AB1270">
            <v>2449208.71</v>
          </cell>
          <cell r="AC1270">
            <v>0</v>
          </cell>
          <cell r="AD1270">
            <v>0</v>
          </cell>
          <cell r="AE1270">
            <v>0</v>
          </cell>
          <cell r="AF1270">
            <v>0</v>
          </cell>
          <cell r="AG1270">
            <v>0</v>
          </cell>
          <cell r="AH1270">
            <v>0</v>
          </cell>
        </row>
        <row r="1271">
          <cell r="B1271" t="str">
            <v>GTZ</v>
          </cell>
          <cell r="E1271" t="str">
            <v>GTZ/CKY</v>
          </cell>
          <cell r="F1271" t="str">
            <v>GTZ/CKY</v>
          </cell>
          <cell r="G1271">
            <v>25</v>
          </cell>
          <cell r="H1271" t="str">
            <v xml:space="preserve">Consultants internationaux </v>
          </cell>
          <cell r="I1271" t="str">
            <v>PROPEB</v>
          </cell>
          <cell r="K1271" t="str">
            <v>PROPEB</v>
          </cell>
          <cell r="M1271">
            <v>218952.13</v>
          </cell>
          <cell r="N1271">
            <v>330974.15000000002</v>
          </cell>
          <cell r="O1271">
            <v>218952.13</v>
          </cell>
          <cell r="P1271">
            <v>768878.41</v>
          </cell>
          <cell r="Q1271" t="str">
            <v>forfait</v>
          </cell>
          <cell r="S1271">
            <v>1</v>
          </cell>
          <cell r="T1271">
            <v>1</v>
          </cell>
          <cell r="U1271">
            <v>218952.13</v>
          </cell>
          <cell r="V1271">
            <v>330974.15000000002</v>
          </cell>
          <cell r="W1271">
            <v>218952.13</v>
          </cell>
          <cell r="X1271">
            <v>768878.41</v>
          </cell>
          <cell r="Y1271">
            <v>218952.13</v>
          </cell>
          <cell r="Z1271">
            <v>330974.15000000002</v>
          </cell>
          <cell r="AA1271">
            <v>218952.13</v>
          </cell>
          <cell r="AB1271">
            <v>768878.41</v>
          </cell>
          <cell r="AC1271">
            <v>0</v>
          </cell>
          <cell r="AD1271">
            <v>0</v>
          </cell>
          <cell r="AE1271">
            <v>0</v>
          </cell>
          <cell r="AF1271">
            <v>0</v>
          </cell>
          <cell r="AG1271">
            <v>0</v>
          </cell>
          <cell r="AH1271">
            <v>0</v>
          </cell>
        </row>
        <row r="1272">
          <cell r="B1272" t="str">
            <v>GTZ</v>
          </cell>
          <cell r="E1272" t="str">
            <v>GTZ/CKY</v>
          </cell>
          <cell r="F1272" t="str">
            <v>GTZ/CKY</v>
          </cell>
          <cell r="G1272">
            <v>25</v>
          </cell>
          <cell r="H1272" t="str">
            <v xml:space="preserve">Consultants nationaux </v>
          </cell>
          <cell r="I1272" t="str">
            <v>PROPEB</v>
          </cell>
          <cell r="K1272" t="str">
            <v>PROPEB</v>
          </cell>
          <cell r="M1272">
            <v>122205.84</v>
          </cell>
          <cell r="N1272">
            <v>127297.75</v>
          </cell>
          <cell r="O1272">
            <v>122205.84</v>
          </cell>
          <cell r="P1272">
            <v>371709.43</v>
          </cell>
          <cell r="Q1272" t="str">
            <v>forfait</v>
          </cell>
          <cell r="S1272">
            <v>1</v>
          </cell>
          <cell r="T1272">
            <v>1</v>
          </cell>
          <cell r="U1272">
            <v>122205.84</v>
          </cell>
          <cell r="V1272">
            <v>127297.75</v>
          </cell>
          <cell r="W1272">
            <v>122205.84</v>
          </cell>
          <cell r="X1272">
            <v>371709.43</v>
          </cell>
          <cell r="Y1272">
            <v>122205.84</v>
          </cell>
          <cell r="Z1272">
            <v>127297.75</v>
          </cell>
          <cell r="AA1272">
            <v>122205.84</v>
          </cell>
          <cell r="AB1272">
            <v>371709.43</v>
          </cell>
          <cell r="AC1272">
            <v>0</v>
          </cell>
          <cell r="AD1272">
            <v>0</v>
          </cell>
          <cell r="AE1272">
            <v>0</v>
          </cell>
          <cell r="AF1272">
            <v>0</v>
          </cell>
          <cell r="AG1272">
            <v>0</v>
          </cell>
          <cell r="AH1272">
            <v>0</v>
          </cell>
        </row>
        <row r="1273">
          <cell r="B1273" t="str">
            <v>GTZ</v>
          </cell>
          <cell r="E1273" t="str">
            <v>GTZ/CKY</v>
          </cell>
          <cell r="F1273" t="str">
            <v>GTZ/CKY</v>
          </cell>
          <cell r="G1273">
            <v>23</v>
          </cell>
          <cell r="H1273" t="str">
            <v>Equipements pour administration</v>
          </cell>
          <cell r="I1273" t="str">
            <v>PROPEB</v>
          </cell>
          <cell r="K1273" t="str">
            <v>PROPEB</v>
          </cell>
          <cell r="M1273">
            <v>407352.8</v>
          </cell>
          <cell r="N1273">
            <v>305514.59999999998</v>
          </cell>
          <cell r="O1273">
            <v>203676.4</v>
          </cell>
          <cell r="P1273">
            <v>916543.79999999993</v>
          </cell>
          <cell r="Q1273" t="str">
            <v>forfait</v>
          </cell>
          <cell r="S1273">
            <v>1</v>
          </cell>
          <cell r="T1273">
            <v>1</v>
          </cell>
          <cell r="U1273">
            <v>407352.8</v>
          </cell>
          <cell r="V1273">
            <v>305514.59999999998</v>
          </cell>
          <cell r="W1273">
            <v>203676.4</v>
          </cell>
          <cell r="X1273">
            <v>916543.79999999993</v>
          </cell>
          <cell r="Y1273">
            <v>407352.8</v>
          </cell>
          <cell r="Z1273">
            <v>305514.59999999998</v>
          </cell>
          <cell r="AA1273">
            <v>203676.4</v>
          </cell>
          <cell r="AB1273">
            <v>916543.79999999993</v>
          </cell>
          <cell r="AC1273">
            <v>0</v>
          </cell>
          <cell r="AD1273">
            <v>0</v>
          </cell>
          <cell r="AE1273">
            <v>0</v>
          </cell>
          <cell r="AF1273">
            <v>0</v>
          </cell>
          <cell r="AG1273">
            <v>0</v>
          </cell>
          <cell r="AH1273">
            <v>0</v>
          </cell>
        </row>
        <row r="1274">
          <cell r="B1274" t="str">
            <v>GTZ</v>
          </cell>
          <cell r="E1274" t="str">
            <v>GTZ/CKY</v>
          </cell>
          <cell r="F1274" t="str">
            <v>GTZ/CKY</v>
          </cell>
          <cell r="G1274">
            <v>15</v>
          </cell>
          <cell r="H1274" t="str">
            <v>Frais de voyage pour administration</v>
          </cell>
          <cell r="I1274" t="str">
            <v>PROPEB</v>
          </cell>
          <cell r="K1274" t="str">
            <v>PROPEB</v>
          </cell>
          <cell r="M1274">
            <v>76378.649999999994</v>
          </cell>
          <cell r="N1274">
            <v>101838.2</v>
          </cell>
          <cell r="O1274">
            <v>31569.842000000001</v>
          </cell>
          <cell r="P1274">
            <v>209786.69199999998</v>
          </cell>
          <cell r="Q1274" t="str">
            <v>forfait</v>
          </cell>
          <cell r="S1274">
            <v>1</v>
          </cell>
          <cell r="T1274">
            <v>1</v>
          </cell>
          <cell r="U1274">
            <v>76378.649999999994</v>
          </cell>
          <cell r="V1274">
            <v>101838.2</v>
          </cell>
          <cell r="W1274">
            <v>31569.842000000001</v>
          </cell>
          <cell r="X1274">
            <v>209786.69199999998</v>
          </cell>
          <cell r="Y1274">
            <v>76378.649999999994</v>
          </cell>
          <cell r="Z1274">
            <v>101838.2</v>
          </cell>
          <cell r="AA1274">
            <v>31569.842000000001</v>
          </cell>
          <cell r="AB1274">
            <v>209786.69199999998</v>
          </cell>
          <cell r="AC1274">
            <v>0</v>
          </cell>
          <cell r="AD1274">
            <v>0</v>
          </cell>
          <cell r="AE1274">
            <v>0</v>
          </cell>
          <cell r="AF1274">
            <v>0</v>
          </cell>
          <cell r="AG1274">
            <v>0</v>
          </cell>
          <cell r="AH1274">
            <v>0</v>
          </cell>
        </row>
        <row r="1275">
          <cell r="B1275" t="str">
            <v>GTZ</v>
          </cell>
          <cell r="E1275" t="str">
            <v>GTZ/CKY</v>
          </cell>
          <cell r="F1275" t="str">
            <v>GTZ/CKY</v>
          </cell>
          <cell r="G1275">
            <v>23</v>
          </cell>
          <cell r="H1275" t="str">
            <v>Reproduction matériel didactique</v>
          </cell>
          <cell r="I1275" t="str">
            <v>PROPEB</v>
          </cell>
          <cell r="K1275" t="str">
            <v>PROPEB</v>
          </cell>
          <cell r="M1275">
            <v>117113.93</v>
          </cell>
          <cell r="N1275">
            <v>91654.38</v>
          </cell>
          <cell r="O1275">
            <v>45827.19</v>
          </cell>
          <cell r="P1275">
            <v>254595.5</v>
          </cell>
          <cell r="Q1275" t="str">
            <v>forfait</v>
          </cell>
          <cell r="S1275">
            <v>1</v>
          </cell>
          <cell r="T1275">
            <v>1</v>
          </cell>
          <cell r="U1275">
            <v>117113.93</v>
          </cell>
          <cell r="V1275">
            <v>91654.38</v>
          </cell>
          <cell r="W1275">
            <v>45827.19</v>
          </cell>
          <cell r="X1275">
            <v>254595.5</v>
          </cell>
          <cell r="Y1275">
            <v>117113.93</v>
          </cell>
          <cell r="Z1275">
            <v>91654.38</v>
          </cell>
          <cell r="AA1275">
            <v>45827.19</v>
          </cell>
          <cell r="AB1275">
            <v>254595.5</v>
          </cell>
          <cell r="AC1275">
            <v>0</v>
          </cell>
          <cell r="AD1275">
            <v>0</v>
          </cell>
          <cell r="AE1275">
            <v>0</v>
          </cell>
          <cell r="AF1275">
            <v>0</v>
          </cell>
          <cell r="AG1275">
            <v>0</v>
          </cell>
          <cell r="AH1275">
            <v>0</v>
          </cell>
        </row>
        <row r="1276">
          <cell r="B1276" t="str">
            <v>GTZ</v>
          </cell>
          <cell r="E1276" t="str">
            <v>GTZ/CKY</v>
          </cell>
          <cell r="F1276" t="str">
            <v>GTZ/CKY</v>
          </cell>
          <cell r="G1276">
            <v>15</v>
          </cell>
          <cell r="H1276" t="str">
            <v>Fonctionnement Cky</v>
          </cell>
          <cell r="I1276" t="str">
            <v>PROPEB</v>
          </cell>
          <cell r="K1276" t="str">
            <v>PROPEB</v>
          </cell>
          <cell r="M1276">
            <v>183308.76</v>
          </cell>
          <cell r="N1276">
            <v>183308.76</v>
          </cell>
          <cell r="O1276">
            <v>183308.76</v>
          </cell>
          <cell r="P1276">
            <v>549926.28</v>
          </cell>
          <cell r="Q1276" t="str">
            <v>forfait</v>
          </cell>
          <cell r="S1276">
            <v>1</v>
          </cell>
          <cell r="T1276">
            <v>1</v>
          </cell>
          <cell r="U1276">
            <v>183308.76</v>
          </cell>
          <cell r="V1276">
            <v>183308.76</v>
          </cell>
          <cell r="W1276">
            <v>183308.76</v>
          </cell>
          <cell r="X1276">
            <v>549926.28</v>
          </cell>
          <cell r="Y1276">
            <v>183308.76</v>
          </cell>
          <cell r="Z1276">
            <v>183308.76</v>
          </cell>
          <cell r="AA1276">
            <v>183308.76</v>
          </cell>
          <cell r="AB1276">
            <v>549926.28</v>
          </cell>
          <cell r="AC1276">
            <v>0</v>
          </cell>
          <cell r="AD1276">
            <v>0</v>
          </cell>
          <cell r="AE1276">
            <v>0</v>
          </cell>
          <cell r="AF1276">
            <v>0</v>
          </cell>
          <cell r="AG1276">
            <v>0</v>
          </cell>
          <cell r="AH1276">
            <v>0</v>
          </cell>
        </row>
        <row r="1277">
          <cell r="B1277" t="str">
            <v>GTZ</v>
          </cell>
          <cell r="E1277" t="str">
            <v>IRE/MAMO</v>
          </cell>
          <cell r="F1277" t="str">
            <v>GTZ/CKY</v>
          </cell>
          <cell r="G1277">
            <v>15</v>
          </cell>
          <cell r="H1277" t="str">
            <v>Fonctionnement Mamou</v>
          </cell>
          <cell r="I1277" t="str">
            <v>PROPEB</v>
          </cell>
          <cell r="K1277" t="str">
            <v>PROPEB</v>
          </cell>
          <cell r="M1277">
            <v>101838.2</v>
          </cell>
          <cell r="N1277">
            <v>101838.2</v>
          </cell>
          <cell r="O1277">
            <v>101838.2</v>
          </cell>
          <cell r="P1277">
            <v>305514.59999999998</v>
          </cell>
          <cell r="Q1277" t="str">
            <v>forfait</v>
          </cell>
          <cell r="S1277">
            <v>1</v>
          </cell>
          <cell r="T1277">
            <v>1</v>
          </cell>
          <cell r="U1277">
            <v>101838.2</v>
          </cell>
          <cell r="V1277">
            <v>101838.2</v>
          </cell>
          <cell r="W1277">
            <v>101838.2</v>
          </cell>
          <cell r="X1277">
            <v>305514.59999999998</v>
          </cell>
          <cell r="Y1277">
            <v>101838.2</v>
          </cell>
          <cell r="Z1277">
            <v>101838.2</v>
          </cell>
          <cell r="AA1277">
            <v>101838.2</v>
          </cell>
          <cell r="AB1277">
            <v>305514.59999999998</v>
          </cell>
          <cell r="AC1277">
            <v>0</v>
          </cell>
          <cell r="AD1277">
            <v>0</v>
          </cell>
          <cell r="AE1277">
            <v>0</v>
          </cell>
          <cell r="AF1277">
            <v>0</v>
          </cell>
          <cell r="AG1277">
            <v>0</v>
          </cell>
          <cell r="AH1277">
            <v>0</v>
          </cell>
        </row>
        <row r="1278">
          <cell r="B1278" t="str">
            <v>GTZ</v>
          </cell>
          <cell r="E1278" t="str">
            <v>IRE/LABE</v>
          </cell>
          <cell r="F1278" t="str">
            <v>GTZ/CKY</v>
          </cell>
          <cell r="G1278">
            <v>15</v>
          </cell>
          <cell r="H1278" t="str">
            <v>Fonctionnement Labé</v>
          </cell>
          <cell r="I1278" t="str">
            <v>PROPEB</v>
          </cell>
          <cell r="K1278" t="str">
            <v>PROPEB</v>
          </cell>
          <cell r="M1278">
            <v>91654.38</v>
          </cell>
          <cell r="N1278">
            <v>91654.38</v>
          </cell>
          <cell r="O1278">
            <v>91654.38</v>
          </cell>
          <cell r="P1278">
            <v>274963.14</v>
          </cell>
          <cell r="Q1278" t="str">
            <v>forfait</v>
          </cell>
          <cell r="S1278">
            <v>1</v>
          </cell>
          <cell r="T1278">
            <v>1</v>
          </cell>
          <cell r="U1278">
            <v>91654.38</v>
          </cell>
          <cell r="V1278">
            <v>91654.38</v>
          </cell>
          <cell r="W1278">
            <v>91654.38</v>
          </cell>
          <cell r="X1278">
            <v>274963.14</v>
          </cell>
          <cell r="Y1278">
            <v>91654.38</v>
          </cell>
          <cell r="Z1278">
            <v>91654.38</v>
          </cell>
          <cell r="AA1278">
            <v>91654.38</v>
          </cell>
          <cell r="AB1278">
            <v>274963.14</v>
          </cell>
          <cell r="AC1278">
            <v>0</v>
          </cell>
          <cell r="AD1278">
            <v>0</v>
          </cell>
          <cell r="AE1278">
            <v>0</v>
          </cell>
          <cell r="AF1278">
            <v>0</v>
          </cell>
          <cell r="AG1278">
            <v>0</v>
          </cell>
          <cell r="AH1278">
            <v>0</v>
          </cell>
        </row>
        <row r="1279">
          <cell r="B1279" t="str">
            <v>GTZ</v>
          </cell>
          <cell r="E1279" t="str">
            <v>EP/DALA</v>
          </cell>
          <cell r="F1279" t="str">
            <v>GTZ/MAMO</v>
          </cell>
          <cell r="G1279">
            <v>12</v>
          </cell>
          <cell r="H1279" t="str">
            <v>EP Formation continue ICE, DE, DSEE</v>
          </cell>
          <cell r="I1279" t="str">
            <v>PROPEB</v>
          </cell>
          <cell r="K1279" t="str">
            <v>PROPEB</v>
          </cell>
          <cell r="M1279">
            <v>31824.4375</v>
          </cell>
          <cell r="N1279">
            <v>33097.415000000001</v>
          </cell>
          <cell r="O1279">
            <v>25459.55</v>
          </cell>
          <cell r="P1279">
            <v>90381.402499999997</v>
          </cell>
          <cell r="Q1279" t="str">
            <v>forfait</v>
          </cell>
          <cell r="S1279">
            <v>1</v>
          </cell>
          <cell r="T1279">
            <v>1</v>
          </cell>
          <cell r="U1279">
            <v>31824.4375</v>
          </cell>
          <cell r="V1279">
            <v>33097.415000000001</v>
          </cell>
          <cell r="W1279">
            <v>25459.55</v>
          </cell>
          <cell r="X1279">
            <v>90381.402499999997</v>
          </cell>
          <cell r="Y1279">
            <v>31824.4375</v>
          </cell>
          <cell r="Z1279">
            <v>33097.415000000001</v>
          </cell>
          <cell r="AA1279">
            <v>25459.55</v>
          </cell>
          <cell r="AB1279">
            <v>90381.402499999997</v>
          </cell>
          <cell r="AC1279">
            <v>0</v>
          </cell>
          <cell r="AD1279">
            <v>0</v>
          </cell>
          <cell r="AE1279">
            <v>0</v>
          </cell>
          <cell r="AF1279">
            <v>0</v>
          </cell>
          <cell r="AG1279">
            <v>0</v>
          </cell>
          <cell r="AH1279">
            <v>0</v>
          </cell>
        </row>
        <row r="1280">
          <cell r="B1280" t="str">
            <v>GTZ</v>
          </cell>
          <cell r="E1280" t="str">
            <v>EP/PITA</v>
          </cell>
          <cell r="F1280" t="str">
            <v>GTZ/MAMO</v>
          </cell>
          <cell r="G1280">
            <v>12</v>
          </cell>
          <cell r="H1280" t="str">
            <v>EP Formation continue ICE, DE, DSEE</v>
          </cell>
          <cell r="I1280" t="str">
            <v>PROPEB</v>
          </cell>
          <cell r="K1280" t="str">
            <v>PROPEB</v>
          </cell>
          <cell r="M1280">
            <v>31824.4375</v>
          </cell>
          <cell r="N1280">
            <v>33097.415000000001</v>
          </cell>
          <cell r="O1280">
            <v>25459.55</v>
          </cell>
          <cell r="P1280">
            <v>90381.402499999997</v>
          </cell>
          <cell r="Q1280" t="str">
            <v>forfait</v>
          </cell>
          <cell r="S1280">
            <v>1</v>
          </cell>
          <cell r="T1280">
            <v>1</v>
          </cell>
          <cell r="U1280">
            <v>31824.4375</v>
          </cell>
          <cell r="V1280">
            <v>33097.415000000001</v>
          </cell>
          <cell r="W1280">
            <v>25459.55</v>
          </cell>
          <cell r="X1280">
            <v>90381.402499999997</v>
          </cell>
          <cell r="Y1280">
            <v>31824.4375</v>
          </cell>
          <cell r="Z1280">
            <v>33097.415000000001</v>
          </cell>
          <cell r="AA1280">
            <v>25459.55</v>
          </cell>
          <cell r="AB1280">
            <v>90381.402499999997</v>
          </cell>
          <cell r="AC1280">
            <v>0</v>
          </cell>
          <cell r="AD1280">
            <v>0</v>
          </cell>
          <cell r="AE1280">
            <v>0</v>
          </cell>
          <cell r="AF1280">
            <v>0</v>
          </cell>
          <cell r="AG1280">
            <v>0</v>
          </cell>
          <cell r="AH1280">
            <v>0</v>
          </cell>
        </row>
        <row r="1281">
          <cell r="B1281" t="str">
            <v>GTZ</v>
          </cell>
          <cell r="E1281" t="str">
            <v>EP/MAMO</v>
          </cell>
          <cell r="F1281" t="str">
            <v>GTZ/MAMO</v>
          </cell>
          <cell r="G1281">
            <v>12</v>
          </cell>
          <cell r="H1281" t="str">
            <v>EP Formation continue ICE, DE, DSEE</v>
          </cell>
          <cell r="I1281" t="str">
            <v>PROPEB</v>
          </cell>
          <cell r="K1281" t="str">
            <v>PROPEB</v>
          </cell>
          <cell r="M1281">
            <v>31824.4375</v>
          </cell>
          <cell r="N1281">
            <v>33097.415000000001</v>
          </cell>
          <cell r="O1281">
            <v>25459.55</v>
          </cell>
          <cell r="P1281">
            <v>90381.402499999997</v>
          </cell>
          <cell r="Q1281" t="str">
            <v>forfait</v>
          </cell>
          <cell r="S1281">
            <v>1</v>
          </cell>
          <cell r="T1281">
            <v>1</v>
          </cell>
          <cell r="U1281">
            <v>31824.4375</v>
          </cell>
          <cell r="V1281">
            <v>33097.415000000001</v>
          </cell>
          <cell r="W1281">
            <v>25459.55</v>
          </cell>
          <cell r="X1281">
            <v>90381.402499999997</v>
          </cell>
          <cell r="Y1281">
            <v>31824.4375</v>
          </cell>
          <cell r="Z1281">
            <v>33097.415000000001</v>
          </cell>
          <cell r="AA1281">
            <v>25459.55</v>
          </cell>
          <cell r="AB1281">
            <v>90381.402499999997</v>
          </cell>
          <cell r="AC1281">
            <v>0</v>
          </cell>
          <cell r="AD1281">
            <v>0</v>
          </cell>
          <cell r="AE1281">
            <v>0</v>
          </cell>
          <cell r="AF1281">
            <v>0</v>
          </cell>
          <cell r="AG1281">
            <v>0</v>
          </cell>
          <cell r="AH1281">
            <v>0</v>
          </cell>
        </row>
        <row r="1282">
          <cell r="B1282" t="str">
            <v>GTZ</v>
          </cell>
          <cell r="E1282" t="str">
            <v>EP/TOUG</v>
          </cell>
          <cell r="F1282" t="str">
            <v>GTZ/LABE</v>
          </cell>
          <cell r="G1282">
            <v>12</v>
          </cell>
          <cell r="H1282" t="str">
            <v>EP Formation continue ICE, DE, DSEE</v>
          </cell>
          <cell r="I1282" t="str">
            <v>PROPEB</v>
          </cell>
          <cell r="K1282" t="str">
            <v>PROPEB</v>
          </cell>
          <cell r="M1282">
            <v>31824.4375</v>
          </cell>
          <cell r="N1282">
            <v>33097.415000000001</v>
          </cell>
          <cell r="O1282">
            <v>25459.55</v>
          </cell>
          <cell r="P1282">
            <v>90381.402499999997</v>
          </cell>
          <cell r="Q1282" t="str">
            <v>forfait</v>
          </cell>
          <cell r="S1282">
            <v>1</v>
          </cell>
          <cell r="T1282">
            <v>1</v>
          </cell>
          <cell r="U1282">
            <v>31824.4375</v>
          </cell>
          <cell r="V1282">
            <v>33097.415000000001</v>
          </cell>
          <cell r="W1282">
            <v>25459.55</v>
          </cell>
          <cell r="X1282">
            <v>90381.402499999997</v>
          </cell>
          <cell r="Y1282">
            <v>31824.4375</v>
          </cell>
          <cell r="Z1282">
            <v>33097.415000000001</v>
          </cell>
          <cell r="AA1282">
            <v>25459.55</v>
          </cell>
          <cell r="AB1282">
            <v>90381.402499999997</v>
          </cell>
          <cell r="AC1282">
            <v>0</v>
          </cell>
          <cell r="AD1282">
            <v>0</v>
          </cell>
          <cell r="AE1282">
            <v>0</v>
          </cell>
          <cell r="AF1282">
            <v>0</v>
          </cell>
          <cell r="AG1282">
            <v>0</v>
          </cell>
          <cell r="AH1282">
            <v>0</v>
          </cell>
        </row>
        <row r="1283">
          <cell r="B1283" t="str">
            <v>GTZ</v>
          </cell>
          <cell r="E1283" t="str">
            <v>EP/LABE</v>
          </cell>
          <cell r="F1283" t="str">
            <v>GTZ/LABE</v>
          </cell>
          <cell r="G1283">
            <v>12</v>
          </cell>
          <cell r="H1283" t="str">
            <v>EP Formation continue ICE, DE, DSEE</v>
          </cell>
          <cell r="I1283" t="str">
            <v>PROPEB</v>
          </cell>
          <cell r="K1283" t="str">
            <v>PROPEB</v>
          </cell>
          <cell r="M1283">
            <v>31824.4375</v>
          </cell>
          <cell r="N1283">
            <v>33097.415000000001</v>
          </cell>
          <cell r="O1283">
            <v>25459.55</v>
          </cell>
          <cell r="P1283">
            <v>90381.402499999997</v>
          </cell>
          <cell r="Q1283" t="str">
            <v>forfait</v>
          </cell>
          <cell r="S1283">
            <v>1</v>
          </cell>
          <cell r="T1283">
            <v>1</v>
          </cell>
          <cell r="U1283">
            <v>31824.4375</v>
          </cell>
          <cell r="V1283">
            <v>33097.415000000001</v>
          </cell>
          <cell r="W1283">
            <v>25459.55</v>
          </cell>
          <cell r="X1283">
            <v>90381.402499999997</v>
          </cell>
          <cell r="Y1283">
            <v>31824.4375</v>
          </cell>
          <cell r="Z1283">
            <v>33097.415000000001</v>
          </cell>
          <cell r="AA1283">
            <v>25459.55</v>
          </cell>
          <cell r="AB1283">
            <v>90381.402499999997</v>
          </cell>
          <cell r="AC1283">
            <v>0</v>
          </cell>
          <cell r="AD1283">
            <v>0</v>
          </cell>
          <cell r="AE1283">
            <v>0</v>
          </cell>
          <cell r="AF1283">
            <v>0</v>
          </cell>
          <cell r="AG1283">
            <v>0</v>
          </cell>
          <cell r="AH1283">
            <v>0</v>
          </cell>
        </row>
        <row r="1284">
          <cell r="B1284" t="str">
            <v>GTZ</v>
          </cell>
          <cell r="E1284" t="str">
            <v>EP/MALI</v>
          </cell>
          <cell r="F1284" t="str">
            <v>GTZ/LABE</v>
          </cell>
          <cell r="G1284">
            <v>12</v>
          </cell>
          <cell r="H1284" t="str">
            <v>EP Formation continue ICE, DE, DSEE</v>
          </cell>
          <cell r="I1284" t="str">
            <v>PROPEB</v>
          </cell>
          <cell r="K1284" t="str">
            <v>PROPEB</v>
          </cell>
          <cell r="M1284">
            <v>31824.4375</v>
          </cell>
          <cell r="N1284">
            <v>33097.415000000001</v>
          </cell>
          <cell r="O1284">
            <v>25459.55</v>
          </cell>
          <cell r="P1284">
            <v>90381.402499999997</v>
          </cell>
          <cell r="Q1284" t="str">
            <v>forfait</v>
          </cell>
          <cell r="S1284">
            <v>1</v>
          </cell>
          <cell r="T1284">
            <v>1</v>
          </cell>
          <cell r="U1284">
            <v>31824.4375</v>
          </cell>
          <cell r="V1284">
            <v>33097.415000000001</v>
          </cell>
          <cell r="W1284">
            <v>25459.55</v>
          </cell>
          <cell r="X1284">
            <v>90381.402499999997</v>
          </cell>
          <cell r="Y1284">
            <v>31824.4375</v>
          </cell>
          <cell r="Z1284">
            <v>33097.415000000001</v>
          </cell>
          <cell r="AA1284">
            <v>25459.55</v>
          </cell>
          <cell r="AB1284">
            <v>90381.402499999997</v>
          </cell>
          <cell r="AC1284">
            <v>0</v>
          </cell>
          <cell r="AD1284">
            <v>0</v>
          </cell>
          <cell r="AE1284">
            <v>0</v>
          </cell>
          <cell r="AF1284">
            <v>0</v>
          </cell>
          <cell r="AG1284">
            <v>0</v>
          </cell>
          <cell r="AH1284">
            <v>0</v>
          </cell>
        </row>
        <row r="1285">
          <cell r="B1285" t="str">
            <v>GTZ</v>
          </cell>
          <cell r="E1285" t="str">
            <v>EP/LELO</v>
          </cell>
          <cell r="F1285" t="str">
            <v>GTZ/LABE</v>
          </cell>
          <cell r="G1285">
            <v>12</v>
          </cell>
          <cell r="H1285" t="str">
            <v>EP Formation continue ICE, DE, DSEE</v>
          </cell>
          <cell r="I1285" t="str">
            <v>PROPEB</v>
          </cell>
          <cell r="K1285" t="str">
            <v>PROPEB</v>
          </cell>
          <cell r="M1285">
            <v>31824.4375</v>
          </cell>
          <cell r="N1285">
            <v>33097.415000000001</v>
          </cell>
          <cell r="O1285">
            <v>25459.55</v>
          </cell>
          <cell r="P1285">
            <v>90381.402499999997</v>
          </cell>
          <cell r="Q1285" t="str">
            <v>forfait</v>
          </cell>
          <cell r="S1285">
            <v>1</v>
          </cell>
          <cell r="T1285">
            <v>1</v>
          </cell>
          <cell r="U1285">
            <v>31824.4375</v>
          </cell>
          <cell r="V1285">
            <v>33097.415000000001</v>
          </cell>
          <cell r="W1285">
            <v>25459.55</v>
          </cell>
          <cell r="X1285">
            <v>90381.402499999997</v>
          </cell>
          <cell r="Y1285">
            <v>31824.4375</v>
          </cell>
          <cell r="Z1285">
            <v>33097.415000000001</v>
          </cell>
          <cell r="AA1285">
            <v>25459.55</v>
          </cell>
          <cell r="AB1285">
            <v>90381.402499999997</v>
          </cell>
          <cell r="AC1285">
            <v>0</v>
          </cell>
          <cell r="AD1285">
            <v>0</v>
          </cell>
          <cell r="AE1285">
            <v>0</v>
          </cell>
          <cell r="AF1285">
            <v>0</v>
          </cell>
          <cell r="AG1285">
            <v>0</v>
          </cell>
          <cell r="AH1285">
            <v>0</v>
          </cell>
        </row>
        <row r="1286">
          <cell r="B1286" t="str">
            <v>GTZ</v>
          </cell>
          <cell r="E1286" t="str">
            <v>EP/KOUB</v>
          </cell>
          <cell r="F1286" t="str">
            <v>GTZ/LABE</v>
          </cell>
          <cell r="G1286">
            <v>12</v>
          </cell>
          <cell r="H1286" t="str">
            <v>EP Formation continue ICE, DE, DSEE</v>
          </cell>
          <cell r="I1286" t="str">
            <v>PROPEB</v>
          </cell>
          <cell r="K1286" t="str">
            <v>PROPEB</v>
          </cell>
          <cell r="M1286">
            <v>31824.4375</v>
          </cell>
          <cell r="N1286">
            <v>33097.415000000001</v>
          </cell>
          <cell r="O1286">
            <v>25459.55</v>
          </cell>
          <cell r="P1286">
            <v>90381.402499999997</v>
          </cell>
          <cell r="Q1286" t="str">
            <v>forfait</v>
          </cell>
          <cell r="S1286">
            <v>1</v>
          </cell>
          <cell r="T1286">
            <v>1</v>
          </cell>
          <cell r="U1286">
            <v>31824.4375</v>
          </cell>
          <cell r="V1286">
            <v>33097.415000000001</v>
          </cell>
          <cell r="W1286">
            <v>25459.55</v>
          </cell>
          <cell r="X1286">
            <v>90381.402499999997</v>
          </cell>
          <cell r="Y1286">
            <v>31824.4375</v>
          </cell>
          <cell r="Z1286">
            <v>33097.415000000001</v>
          </cell>
          <cell r="AA1286">
            <v>25459.55</v>
          </cell>
          <cell r="AB1286">
            <v>90381.402499999997</v>
          </cell>
          <cell r="AC1286">
            <v>0</v>
          </cell>
          <cell r="AD1286">
            <v>0</v>
          </cell>
          <cell r="AE1286">
            <v>0</v>
          </cell>
          <cell r="AF1286">
            <v>0</v>
          </cell>
          <cell r="AG1286">
            <v>0</v>
          </cell>
          <cell r="AH1286">
            <v>0</v>
          </cell>
        </row>
        <row r="1287">
          <cell r="B1287" t="str">
            <v>GTZ</v>
          </cell>
          <cell r="E1287" t="str">
            <v>GTZ/CKY</v>
          </cell>
          <cell r="F1287" t="str">
            <v>GTZ/CKY</v>
          </cell>
          <cell r="G1287">
            <v>25</v>
          </cell>
          <cell r="H1287" t="str">
            <v>Consultant international en planification et gestion</v>
          </cell>
          <cell r="I1287" t="str">
            <v>PROPEB</v>
          </cell>
          <cell r="K1287" t="str">
            <v>PROPEB</v>
          </cell>
          <cell r="M1287">
            <v>6</v>
          </cell>
          <cell r="N1287">
            <v>5</v>
          </cell>
          <cell r="O1287">
            <v>4</v>
          </cell>
          <cell r="P1287">
            <v>15</v>
          </cell>
          <cell r="Q1287" t="str">
            <v>pxm</v>
          </cell>
          <cell r="S1287">
            <v>127297.75</v>
          </cell>
          <cell r="T1287">
            <v>1</v>
          </cell>
          <cell r="U1287">
            <v>763786.5</v>
          </cell>
          <cell r="V1287">
            <v>636488.75</v>
          </cell>
          <cell r="W1287">
            <v>509191</v>
          </cell>
          <cell r="X1287">
            <v>1909466.25</v>
          </cell>
          <cell r="Y1287">
            <v>763786.5</v>
          </cell>
          <cell r="Z1287">
            <v>636488.75</v>
          </cell>
          <cell r="AA1287">
            <v>509191</v>
          </cell>
          <cell r="AB1287">
            <v>1909466.25</v>
          </cell>
          <cell r="AC1287">
            <v>0</v>
          </cell>
          <cell r="AD1287">
            <v>0</v>
          </cell>
          <cell r="AE1287">
            <v>0</v>
          </cell>
          <cell r="AF1287">
            <v>0</v>
          </cell>
          <cell r="AG1287">
            <v>0</v>
          </cell>
          <cell r="AH1287">
            <v>0</v>
          </cell>
        </row>
        <row r="1288">
          <cell r="B1288" t="str">
            <v>GTZ</v>
          </cell>
          <cell r="E1288" t="str">
            <v>GTZ/CKY</v>
          </cell>
          <cell r="F1288" t="str">
            <v>GTZ/CKY</v>
          </cell>
          <cell r="G1288">
            <v>25</v>
          </cell>
          <cell r="H1288" t="str">
            <v>Consultant national en planification et gestion</v>
          </cell>
          <cell r="I1288" t="str">
            <v>PROPEB</v>
          </cell>
          <cell r="K1288" t="str">
            <v>PROPEB</v>
          </cell>
          <cell r="M1288">
            <v>12</v>
          </cell>
          <cell r="N1288">
            <v>12</v>
          </cell>
          <cell r="O1288">
            <v>12</v>
          </cell>
          <cell r="P1288">
            <v>36</v>
          </cell>
          <cell r="Q1288" t="str">
            <v>pxm</v>
          </cell>
          <cell r="S1288">
            <v>7637.8649999999998</v>
          </cell>
          <cell r="T1288">
            <v>1</v>
          </cell>
          <cell r="U1288">
            <v>91654.38</v>
          </cell>
          <cell r="V1288">
            <v>91654.38</v>
          </cell>
          <cell r="W1288">
            <v>91654.38</v>
          </cell>
          <cell r="X1288">
            <v>274963.14</v>
          </cell>
          <cell r="Y1288">
            <v>91654.38</v>
          </cell>
          <cell r="Z1288">
            <v>91654.38</v>
          </cell>
          <cell r="AA1288">
            <v>91654.38</v>
          </cell>
          <cell r="AB1288">
            <v>274963.14</v>
          </cell>
          <cell r="AC1288">
            <v>0</v>
          </cell>
          <cell r="AD1288">
            <v>0</v>
          </cell>
          <cell r="AE1288">
            <v>0</v>
          </cell>
          <cell r="AF1288">
            <v>0</v>
          </cell>
          <cell r="AG1288">
            <v>0</v>
          </cell>
          <cell r="AH1288">
            <v>0</v>
          </cell>
        </row>
        <row r="1289">
          <cell r="B1289" t="str">
            <v>GTZ</v>
          </cell>
          <cell r="E1289" t="str">
            <v>GTZ/CKY</v>
          </cell>
          <cell r="F1289" t="str">
            <v>GTZ/CKY</v>
          </cell>
          <cell r="G1289">
            <v>25</v>
          </cell>
          <cell r="H1289" t="str">
            <v>Chauffeur consultants</v>
          </cell>
          <cell r="I1289" t="str">
            <v>PROPEB</v>
          </cell>
          <cell r="K1289" t="str">
            <v>PROPEB</v>
          </cell>
          <cell r="M1289">
            <v>12</v>
          </cell>
          <cell r="N1289">
            <v>12</v>
          </cell>
          <cell r="O1289">
            <v>12</v>
          </cell>
          <cell r="P1289">
            <v>36</v>
          </cell>
          <cell r="Q1289" t="str">
            <v>pxm</v>
          </cell>
          <cell r="S1289">
            <v>1527.5730000000001</v>
          </cell>
          <cell r="T1289">
            <v>1</v>
          </cell>
          <cell r="U1289">
            <v>18330.876</v>
          </cell>
          <cell r="V1289">
            <v>18330.876</v>
          </cell>
          <cell r="W1289">
            <v>18330.876</v>
          </cell>
          <cell r="X1289">
            <v>54992.627999999997</v>
          </cell>
          <cell r="Y1289">
            <v>18330.876</v>
          </cell>
          <cell r="Z1289">
            <v>18330.876</v>
          </cell>
          <cell r="AA1289">
            <v>18330.876</v>
          </cell>
          <cell r="AB1289">
            <v>54992.627999999997</v>
          </cell>
          <cell r="AC1289">
            <v>0</v>
          </cell>
          <cell r="AD1289">
            <v>0</v>
          </cell>
          <cell r="AE1289">
            <v>0</v>
          </cell>
          <cell r="AF1289">
            <v>0</v>
          </cell>
          <cell r="AG1289">
            <v>0</v>
          </cell>
          <cell r="AH1289">
            <v>0</v>
          </cell>
        </row>
        <row r="1290">
          <cell r="B1290" t="str">
            <v>GTZ</v>
          </cell>
          <cell r="E1290" t="str">
            <v>GTZ/CKY</v>
          </cell>
          <cell r="F1290" t="str">
            <v>GTZ/CKY</v>
          </cell>
          <cell r="G1290">
            <v>15</v>
          </cell>
          <cell r="H1290" t="str">
            <v>Fonctionnement bureaux CKY</v>
          </cell>
          <cell r="I1290" t="str">
            <v>PROPEB</v>
          </cell>
          <cell r="K1290" t="str">
            <v>PROPEB</v>
          </cell>
          <cell r="M1290">
            <v>12</v>
          </cell>
          <cell r="N1290">
            <v>12</v>
          </cell>
          <cell r="O1290">
            <v>12</v>
          </cell>
          <cell r="P1290">
            <v>36</v>
          </cell>
          <cell r="Q1290" t="str">
            <v>mois</v>
          </cell>
          <cell r="S1290">
            <v>7991.4698611111098</v>
          </cell>
          <cell r="T1290">
            <v>1</v>
          </cell>
          <cell r="U1290">
            <v>95897.638333333321</v>
          </cell>
          <cell r="V1290">
            <v>95897.638333333321</v>
          </cell>
          <cell r="W1290">
            <v>95897.638333333321</v>
          </cell>
          <cell r="X1290">
            <v>287692.91499999998</v>
          </cell>
          <cell r="Y1290">
            <v>95897.638333333321</v>
          </cell>
          <cell r="Z1290">
            <v>95897.638333333321</v>
          </cell>
          <cell r="AA1290">
            <v>95897.638333333321</v>
          </cell>
          <cell r="AB1290">
            <v>287692.91499999998</v>
          </cell>
          <cell r="AC1290">
            <v>0</v>
          </cell>
          <cell r="AD1290">
            <v>0</v>
          </cell>
          <cell r="AE1290">
            <v>0</v>
          </cell>
          <cell r="AF1290">
            <v>0</v>
          </cell>
          <cell r="AG1290">
            <v>0</v>
          </cell>
          <cell r="AH1290">
            <v>0</v>
          </cell>
        </row>
        <row r="1291">
          <cell r="B1291" t="str">
            <v>GTZ</v>
          </cell>
          <cell r="E1291" t="str">
            <v>IRE/LABE</v>
          </cell>
          <cell r="F1291" t="str">
            <v>GTZ/LABE</v>
          </cell>
          <cell r="G1291">
            <v>15</v>
          </cell>
          <cell r="H1291" t="str">
            <v>Renforcement des structures déconcentrées Labé (5)</v>
          </cell>
          <cell r="I1291" t="str">
            <v>PROPEB</v>
          </cell>
          <cell r="K1291" t="str">
            <v>PROPEB</v>
          </cell>
          <cell r="M1291">
            <v>0.33333333333333331</v>
          </cell>
          <cell r="N1291">
            <v>0.33333333333333331</v>
          </cell>
          <cell r="O1291">
            <v>0.33333333333333331</v>
          </cell>
          <cell r="P1291">
            <v>1</v>
          </cell>
          <cell r="Q1291" t="str">
            <v>forfait</v>
          </cell>
          <cell r="S1291">
            <v>52854.025799999996</v>
          </cell>
          <cell r="T1291">
            <v>1</v>
          </cell>
          <cell r="U1291">
            <v>17618.008599999997</v>
          </cell>
          <cell r="V1291">
            <v>17618.008599999997</v>
          </cell>
          <cell r="W1291">
            <v>17618.008599999997</v>
          </cell>
          <cell r="X1291">
            <v>52854.025799999989</v>
          </cell>
          <cell r="Y1291">
            <v>17618.008599999997</v>
          </cell>
          <cell r="Z1291">
            <v>17618.008599999997</v>
          </cell>
          <cell r="AA1291">
            <v>17618.008599999997</v>
          </cell>
          <cell r="AB1291">
            <v>52854.025799999989</v>
          </cell>
          <cell r="AC1291">
            <v>0</v>
          </cell>
          <cell r="AD1291">
            <v>0</v>
          </cell>
          <cell r="AE1291">
            <v>0</v>
          </cell>
          <cell r="AF1291">
            <v>0</v>
          </cell>
          <cell r="AG1291">
            <v>0</v>
          </cell>
          <cell r="AH1291">
            <v>0</v>
          </cell>
        </row>
        <row r="1292">
          <cell r="B1292" t="str">
            <v>GTZ</v>
          </cell>
          <cell r="E1292" t="str">
            <v>DPE/TOUG</v>
          </cell>
          <cell r="F1292" t="str">
            <v>GTZ/LABE</v>
          </cell>
          <cell r="G1292">
            <v>15</v>
          </cell>
          <cell r="H1292" t="str">
            <v>Renforcement des structures déconcentrées Labé (5)</v>
          </cell>
          <cell r="I1292" t="str">
            <v>PROPEB</v>
          </cell>
          <cell r="K1292" t="str">
            <v>PROPEB</v>
          </cell>
          <cell r="M1292">
            <v>0.33333333333333331</v>
          </cell>
          <cell r="N1292">
            <v>0.33333333333333331</v>
          </cell>
          <cell r="O1292">
            <v>0.33333333333333331</v>
          </cell>
          <cell r="P1292">
            <v>1</v>
          </cell>
          <cell r="Q1292" t="str">
            <v>forfait</v>
          </cell>
          <cell r="S1292">
            <v>52854.025799999996</v>
          </cell>
          <cell r="T1292">
            <v>1</v>
          </cell>
          <cell r="U1292">
            <v>17618.008599999997</v>
          </cell>
          <cell r="V1292">
            <v>17618.008599999997</v>
          </cell>
          <cell r="W1292">
            <v>17618.008599999997</v>
          </cell>
          <cell r="X1292">
            <v>52854.025799999989</v>
          </cell>
          <cell r="Y1292">
            <v>17618.008599999997</v>
          </cell>
          <cell r="Z1292">
            <v>17618.008599999997</v>
          </cell>
          <cell r="AA1292">
            <v>17618.008599999997</v>
          </cell>
          <cell r="AB1292">
            <v>52854.025799999989</v>
          </cell>
          <cell r="AC1292">
            <v>0</v>
          </cell>
          <cell r="AD1292">
            <v>0</v>
          </cell>
          <cell r="AE1292">
            <v>0</v>
          </cell>
          <cell r="AF1292">
            <v>0</v>
          </cell>
          <cell r="AG1292">
            <v>0</v>
          </cell>
          <cell r="AH1292">
            <v>0</v>
          </cell>
        </row>
        <row r="1293">
          <cell r="B1293" t="str">
            <v>GTZ</v>
          </cell>
          <cell r="E1293" t="str">
            <v>DPE/LABE</v>
          </cell>
          <cell r="F1293" t="str">
            <v>GTZ/LABE</v>
          </cell>
          <cell r="G1293">
            <v>15</v>
          </cell>
          <cell r="H1293" t="str">
            <v>Renforcement des structures déconcentrées Labé (5)</v>
          </cell>
          <cell r="I1293" t="str">
            <v>PROPEB</v>
          </cell>
          <cell r="K1293" t="str">
            <v>PROPEB</v>
          </cell>
          <cell r="M1293">
            <v>0.33333333333333331</v>
          </cell>
          <cell r="N1293">
            <v>0.33333333333333331</v>
          </cell>
          <cell r="O1293">
            <v>0.33333333333333331</v>
          </cell>
          <cell r="P1293">
            <v>1</v>
          </cell>
          <cell r="Q1293" t="str">
            <v>forfait</v>
          </cell>
          <cell r="S1293">
            <v>52854.025799999996</v>
          </cell>
          <cell r="T1293">
            <v>1</v>
          </cell>
          <cell r="U1293">
            <v>17618.008599999997</v>
          </cell>
          <cell r="V1293">
            <v>17618.008599999997</v>
          </cell>
          <cell r="W1293">
            <v>17618.008599999997</v>
          </cell>
          <cell r="X1293">
            <v>52854.025799999989</v>
          </cell>
          <cell r="Y1293">
            <v>17618.008599999997</v>
          </cell>
          <cell r="Z1293">
            <v>17618.008599999997</v>
          </cell>
          <cell r="AA1293">
            <v>17618.008599999997</v>
          </cell>
          <cell r="AB1293">
            <v>52854.025799999989</v>
          </cell>
          <cell r="AC1293">
            <v>0</v>
          </cell>
          <cell r="AD1293">
            <v>0</v>
          </cell>
          <cell r="AE1293">
            <v>0</v>
          </cell>
          <cell r="AF1293">
            <v>0</v>
          </cell>
          <cell r="AG1293">
            <v>0</v>
          </cell>
          <cell r="AH1293">
            <v>0</v>
          </cell>
        </row>
        <row r="1294">
          <cell r="B1294" t="str">
            <v>GTZ</v>
          </cell>
          <cell r="E1294" t="str">
            <v>DPE/MALI</v>
          </cell>
          <cell r="F1294" t="str">
            <v>GTZ/LABE</v>
          </cell>
          <cell r="G1294">
            <v>15</v>
          </cell>
          <cell r="H1294" t="str">
            <v>Renforcement des structures déconcentrées Labé (5)</v>
          </cell>
          <cell r="I1294" t="str">
            <v>PROPEB</v>
          </cell>
          <cell r="K1294" t="str">
            <v>PROPEB</v>
          </cell>
          <cell r="M1294">
            <v>0.33333333333333331</v>
          </cell>
          <cell r="N1294">
            <v>0.33333333333333331</v>
          </cell>
          <cell r="O1294">
            <v>0.33333333333333331</v>
          </cell>
          <cell r="P1294">
            <v>1</v>
          </cell>
          <cell r="Q1294" t="str">
            <v>forfait</v>
          </cell>
          <cell r="S1294">
            <v>52854.025799999996</v>
          </cell>
          <cell r="T1294">
            <v>1</v>
          </cell>
          <cell r="U1294">
            <v>17618.008599999997</v>
          </cell>
          <cell r="V1294">
            <v>17618.008599999997</v>
          </cell>
          <cell r="W1294">
            <v>17618.008599999997</v>
          </cell>
          <cell r="X1294">
            <v>52854.025799999989</v>
          </cell>
          <cell r="Y1294">
            <v>17618.008599999997</v>
          </cell>
          <cell r="Z1294">
            <v>17618.008599999997</v>
          </cell>
          <cell r="AA1294">
            <v>17618.008599999997</v>
          </cell>
          <cell r="AB1294">
            <v>52854.025799999989</v>
          </cell>
          <cell r="AC1294">
            <v>0</v>
          </cell>
          <cell r="AD1294">
            <v>0</v>
          </cell>
          <cell r="AE1294">
            <v>0</v>
          </cell>
          <cell r="AF1294">
            <v>0</v>
          </cell>
          <cell r="AG1294">
            <v>0</v>
          </cell>
          <cell r="AH1294">
            <v>0</v>
          </cell>
        </row>
        <row r="1295">
          <cell r="B1295" t="str">
            <v>GTZ</v>
          </cell>
          <cell r="E1295" t="str">
            <v>DPE/LELO</v>
          </cell>
          <cell r="F1295" t="str">
            <v>GTZ/LABE</v>
          </cell>
          <cell r="G1295">
            <v>15</v>
          </cell>
          <cell r="H1295" t="str">
            <v>Renforcement des structures déconcentrées Labé (5)</v>
          </cell>
          <cell r="I1295" t="str">
            <v>PROPEB</v>
          </cell>
          <cell r="K1295" t="str">
            <v>PROPEB</v>
          </cell>
          <cell r="M1295">
            <v>0.33333333333333331</v>
          </cell>
          <cell r="N1295">
            <v>0.33333333333333331</v>
          </cell>
          <cell r="O1295">
            <v>0.33333333333333331</v>
          </cell>
          <cell r="P1295">
            <v>1</v>
          </cell>
          <cell r="Q1295" t="str">
            <v>forfait</v>
          </cell>
          <cell r="S1295">
            <v>52854.025799999996</v>
          </cell>
          <cell r="T1295">
            <v>1</v>
          </cell>
          <cell r="U1295">
            <v>17618.008599999997</v>
          </cell>
          <cell r="V1295">
            <v>17618.008599999997</v>
          </cell>
          <cell r="W1295">
            <v>17618.008599999997</v>
          </cell>
          <cell r="X1295">
            <v>52854.025799999989</v>
          </cell>
          <cell r="Y1295">
            <v>17618.008599999997</v>
          </cell>
          <cell r="Z1295">
            <v>17618.008599999997</v>
          </cell>
          <cell r="AA1295">
            <v>17618.008599999997</v>
          </cell>
          <cell r="AB1295">
            <v>52854.025799999989</v>
          </cell>
          <cell r="AC1295">
            <v>0</v>
          </cell>
          <cell r="AD1295">
            <v>0</v>
          </cell>
          <cell r="AE1295">
            <v>0</v>
          </cell>
          <cell r="AF1295">
            <v>0</v>
          </cell>
          <cell r="AG1295">
            <v>0</v>
          </cell>
          <cell r="AH1295">
            <v>0</v>
          </cell>
        </row>
        <row r="1296">
          <cell r="B1296" t="str">
            <v>GTZ</v>
          </cell>
          <cell r="E1296" t="str">
            <v>DPE/KOUB</v>
          </cell>
          <cell r="F1296" t="str">
            <v>GTZ/LABE</v>
          </cell>
          <cell r="G1296">
            <v>15</v>
          </cell>
          <cell r="H1296" t="str">
            <v>Renforcement des structures déconcentrées Labé (5)</v>
          </cell>
          <cell r="I1296" t="str">
            <v>PROPEB</v>
          </cell>
          <cell r="K1296" t="str">
            <v>PROPEB</v>
          </cell>
          <cell r="M1296">
            <v>0.33333333333333331</v>
          </cell>
          <cell r="N1296">
            <v>0.33333333333333331</v>
          </cell>
          <cell r="O1296">
            <v>0.33333333333333331</v>
          </cell>
          <cell r="P1296">
            <v>1</v>
          </cell>
          <cell r="Q1296" t="str">
            <v>forfait</v>
          </cell>
          <cell r="S1296">
            <v>52854.025799999996</v>
          </cell>
          <cell r="T1296">
            <v>1</v>
          </cell>
          <cell r="U1296">
            <v>17618.008599999997</v>
          </cell>
          <cell r="V1296">
            <v>17618.008599999997</v>
          </cell>
          <cell r="W1296">
            <v>17618.008599999997</v>
          </cell>
          <cell r="X1296">
            <v>52854.025799999989</v>
          </cell>
          <cell r="Y1296">
            <v>17618.008599999997</v>
          </cell>
          <cell r="Z1296">
            <v>17618.008599999997</v>
          </cell>
          <cell r="AA1296">
            <v>17618.008599999997</v>
          </cell>
          <cell r="AB1296">
            <v>52854.025799999989</v>
          </cell>
          <cell r="AC1296">
            <v>0</v>
          </cell>
          <cell r="AD1296">
            <v>0</v>
          </cell>
          <cell r="AE1296">
            <v>0</v>
          </cell>
          <cell r="AF1296">
            <v>0</v>
          </cell>
          <cell r="AG1296">
            <v>0</v>
          </cell>
          <cell r="AH1296">
            <v>0</v>
          </cell>
        </row>
        <row r="1297">
          <cell r="B1297" t="str">
            <v>GTZ</v>
          </cell>
          <cell r="E1297" t="str">
            <v>IRE/MAMO</v>
          </cell>
          <cell r="F1297" t="str">
            <v>GTZ/MAMO</v>
          </cell>
          <cell r="G1297">
            <v>15</v>
          </cell>
          <cell r="H1297" t="str">
            <v>Renforcement des structures déconcentrées Mamou (3)</v>
          </cell>
          <cell r="I1297" t="str">
            <v>PROPEB</v>
          </cell>
          <cell r="K1297" t="str">
            <v>PROPEB</v>
          </cell>
          <cell r="M1297">
            <v>0.33333333333333331</v>
          </cell>
          <cell r="N1297">
            <v>0.33333333333333331</v>
          </cell>
          <cell r="O1297">
            <v>0.33333333333333331</v>
          </cell>
          <cell r="P1297">
            <v>1</v>
          </cell>
          <cell r="Q1297" t="str">
            <v>forfait</v>
          </cell>
          <cell r="S1297">
            <v>52854.025799999996</v>
          </cell>
          <cell r="T1297">
            <v>1</v>
          </cell>
          <cell r="U1297">
            <v>17618.008599999997</v>
          </cell>
          <cell r="V1297">
            <v>17618.008599999997</v>
          </cell>
          <cell r="W1297">
            <v>17618.008599999997</v>
          </cell>
          <cell r="X1297">
            <v>52854.025799999989</v>
          </cell>
          <cell r="Y1297">
            <v>17618.008599999997</v>
          </cell>
          <cell r="Z1297">
            <v>17618.008599999997</v>
          </cell>
          <cell r="AA1297">
            <v>17618.008599999997</v>
          </cell>
          <cell r="AB1297">
            <v>52854.025799999989</v>
          </cell>
          <cell r="AC1297">
            <v>0</v>
          </cell>
          <cell r="AD1297">
            <v>0</v>
          </cell>
          <cell r="AE1297">
            <v>0</v>
          </cell>
          <cell r="AF1297">
            <v>0</v>
          </cell>
          <cell r="AG1297">
            <v>0</v>
          </cell>
          <cell r="AH1297">
            <v>0</v>
          </cell>
        </row>
        <row r="1298">
          <cell r="B1298" t="str">
            <v>GTZ</v>
          </cell>
          <cell r="E1298" t="str">
            <v>DPE/DALA</v>
          </cell>
          <cell r="F1298" t="str">
            <v>GTZ/MAMO</v>
          </cell>
          <cell r="G1298">
            <v>15</v>
          </cell>
          <cell r="H1298" t="str">
            <v>Renforcement des structures déconcentrées Mamou (3)</v>
          </cell>
          <cell r="I1298" t="str">
            <v>PROPEB</v>
          </cell>
          <cell r="K1298" t="str">
            <v>PROPEB</v>
          </cell>
          <cell r="M1298">
            <v>0.33333333333333331</v>
          </cell>
          <cell r="N1298">
            <v>0.33333333333333331</v>
          </cell>
          <cell r="O1298">
            <v>0.33333333333333331</v>
          </cell>
          <cell r="P1298">
            <v>1</v>
          </cell>
          <cell r="Q1298" t="str">
            <v>forfait</v>
          </cell>
          <cell r="S1298">
            <v>52854.025799999996</v>
          </cell>
          <cell r="T1298">
            <v>1</v>
          </cell>
          <cell r="U1298">
            <v>17618.008599999997</v>
          </cell>
          <cell r="V1298">
            <v>17618.008599999997</v>
          </cell>
          <cell r="W1298">
            <v>17618.008599999997</v>
          </cell>
          <cell r="X1298">
            <v>52854.025799999989</v>
          </cell>
          <cell r="Y1298">
            <v>17618.008599999997</v>
          </cell>
          <cell r="Z1298">
            <v>17618.008599999997</v>
          </cell>
          <cell r="AA1298">
            <v>17618.008599999997</v>
          </cell>
          <cell r="AB1298">
            <v>52854.025799999989</v>
          </cell>
          <cell r="AC1298">
            <v>0</v>
          </cell>
          <cell r="AD1298">
            <v>0</v>
          </cell>
          <cell r="AE1298">
            <v>0</v>
          </cell>
          <cell r="AF1298">
            <v>0</v>
          </cell>
          <cell r="AG1298">
            <v>0</v>
          </cell>
          <cell r="AH1298">
            <v>0</v>
          </cell>
        </row>
        <row r="1299">
          <cell r="B1299" t="str">
            <v>GTZ</v>
          </cell>
          <cell r="E1299" t="str">
            <v>DPE/PITA</v>
          </cell>
          <cell r="F1299" t="str">
            <v>GTZ/MAMO</v>
          </cell>
          <cell r="G1299">
            <v>15</v>
          </cell>
          <cell r="H1299" t="str">
            <v>Renforcement des structures déconcentrées Mamou (3)</v>
          </cell>
          <cell r="I1299" t="str">
            <v>PROPEB</v>
          </cell>
          <cell r="K1299" t="str">
            <v>PROPEB</v>
          </cell>
          <cell r="M1299">
            <v>0.33333333333333331</v>
          </cell>
          <cell r="N1299">
            <v>0.33333333333333331</v>
          </cell>
          <cell r="O1299">
            <v>0.33333333333333331</v>
          </cell>
          <cell r="P1299">
            <v>1</v>
          </cell>
          <cell r="Q1299" t="str">
            <v>forfait</v>
          </cell>
          <cell r="S1299">
            <v>52854.025799999996</v>
          </cell>
          <cell r="T1299">
            <v>1</v>
          </cell>
          <cell r="U1299">
            <v>17618.008599999997</v>
          </cell>
          <cell r="V1299">
            <v>17618.008599999997</v>
          </cell>
          <cell r="W1299">
            <v>17618.008599999997</v>
          </cell>
          <cell r="X1299">
            <v>52854.025799999989</v>
          </cell>
          <cell r="Y1299">
            <v>17618.008599999997</v>
          </cell>
          <cell r="Z1299">
            <v>17618.008599999997</v>
          </cell>
          <cell r="AA1299">
            <v>17618.008599999997</v>
          </cell>
          <cell r="AB1299">
            <v>52854.025799999989</v>
          </cell>
          <cell r="AC1299">
            <v>0</v>
          </cell>
          <cell r="AD1299">
            <v>0</v>
          </cell>
          <cell r="AE1299">
            <v>0</v>
          </cell>
          <cell r="AF1299">
            <v>0</v>
          </cell>
          <cell r="AG1299">
            <v>0</v>
          </cell>
          <cell r="AH1299">
            <v>0</v>
          </cell>
        </row>
        <row r="1300">
          <cell r="B1300" t="str">
            <v>GTZ</v>
          </cell>
          <cell r="E1300" t="str">
            <v>DPE/MAMO</v>
          </cell>
          <cell r="F1300" t="str">
            <v>GTZ/MAMO</v>
          </cell>
          <cell r="G1300">
            <v>15</v>
          </cell>
          <cell r="H1300" t="str">
            <v>Renforcement des structures déconcentrées Mamou (3)</v>
          </cell>
          <cell r="I1300" t="str">
            <v>PROPEB</v>
          </cell>
          <cell r="K1300" t="str">
            <v>PROPEB</v>
          </cell>
          <cell r="M1300">
            <v>0.33333333333333331</v>
          </cell>
          <cell r="N1300">
            <v>0.33333333333333331</v>
          </cell>
          <cell r="O1300">
            <v>0.33333333333333331</v>
          </cell>
          <cell r="P1300">
            <v>1</v>
          </cell>
          <cell r="Q1300" t="str">
            <v>forfait</v>
          </cell>
          <cell r="S1300">
            <v>52854.025799999996</v>
          </cell>
          <cell r="T1300">
            <v>1</v>
          </cell>
          <cell r="U1300">
            <v>17618.008599999997</v>
          </cell>
          <cell r="V1300">
            <v>17618.008599999997</v>
          </cell>
          <cell r="W1300">
            <v>17618.008599999997</v>
          </cell>
          <cell r="X1300">
            <v>52854.025799999989</v>
          </cell>
          <cell r="Y1300">
            <v>17618.008599999997</v>
          </cell>
          <cell r="Z1300">
            <v>17618.008599999997</v>
          </cell>
          <cell r="AA1300">
            <v>17618.008599999997</v>
          </cell>
          <cell r="AB1300">
            <v>52854.025799999989</v>
          </cell>
          <cell r="AC1300">
            <v>0</v>
          </cell>
          <cell r="AD1300">
            <v>0</v>
          </cell>
          <cell r="AE1300">
            <v>0</v>
          </cell>
          <cell r="AF1300">
            <v>0</v>
          </cell>
          <cell r="AG1300">
            <v>0</v>
          </cell>
          <cell r="AH1300">
            <v>0</v>
          </cell>
        </row>
        <row r="1301">
          <cell r="B1301" t="str">
            <v>GTZ</v>
          </cell>
          <cell r="E1301" t="str">
            <v>DPE/DALA</v>
          </cell>
          <cell r="F1301" t="str">
            <v>GTZ/MAMO</v>
          </cell>
          <cell r="G1301">
            <v>12</v>
          </cell>
          <cell r="H1301" t="str">
            <v>Formation Pair Educateur, cadres éducatifs, enseignants</v>
          </cell>
          <cell r="I1301" t="str">
            <v>PROPEB</v>
          </cell>
          <cell r="K1301" t="str">
            <v>PROPEB</v>
          </cell>
          <cell r="M1301">
            <v>7956.109375</v>
          </cell>
          <cell r="N1301">
            <v>10183.82</v>
          </cell>
          <cell r="O1301">
            <v>5410.1543750000001</v>
          </cell>
          <cell r="P1301">
            <v>23550.083749999998</v>
          </cell>
          <cell r="Q1301" t="str">
            <v>pxj</v>
          </cell>
          <cell r="S1301">
            <v>1</v>
          </cell>
          <cell r="T1301">
            <v>1</v>
          </cell>
          <cell r="U1301">
            <v>7956.109375</v>
          </cell>
          <cell r="V1301">
            <v>10183.82</v>
          </cell>
          <cell r="W1301">
            <v>5410.1543750000001</v>
          </cell>
          <cell r="X1301">
            <v>23550.083749999998</v>
          </cell>
          <cell r="Y1301">
            <v>7956.109375</v>
          </cell>
          <cell r="Z1301">
            <v>10183.82</v>
          </cell>
          <cell r="AA1301">
            <v>5410.1543750000001</v>
          </cell>
          <cell r="AB1301">
            <v>23550.083749999998</v>
          </cell>
          <cell r="AC1301">
            <v>0</v>
          </cell>
          <cell r="AD1301">
            <v>0</v>
          </cell>
          <cell r="AE1301">
            <v>0</v>
          </cell>
          <cell r="AF1301">
            <v>0</v>
          </cell>
          <cell r="AG1301">
            <v>0</v>
          </cell>
          <cell r="AH1301">
            <v>0</v>
          </cell>
        </row>
        <row r="1302">
          <cell r="B1302" t="str">
            <v>GTZ</v>
          </cell>
          <cell r="E1302" t="str">
            <v>DPE/KOUB</v>
          </cell>
          <cell r="F1302" t="str">
            <v>GTZ/LABE</v>
          </cell>
          <cell r="G1302">
            <v>12</v>
          </cell>
          <cell r="H1302" t="str">
            <v>Formation Pair Educateur, cadres éducatifs, enseignants</v>
          </cell>
          <cell r="I1302" t="str">
            <v>PROPEB</v>
          </cell>
          <cell r="K1302" t="str">
            <v>PROPEB</v>
          </cell>
          <cell r="M1302">
            <v>7956.109375</v>
          </cell>
          <cell r="N1302">
            <v>10183.82</v>
          </cell>
          <cell r="O1302">
            <v>5410.1543750000001</v>
          </cell>
          <cell r="P1302">
            <v>23550.083749999998</v>
          </cell>
          <cell r="Q1302" t="str">
            <v>pxj</v>
          </cell>
          <cell r="S1302">
            <v>1</v>
          </cell>
          <cell r="T1302">
            <v>1</v>
          </cell>
          <cell r="U1302">
            <v>7956.109375</v>
          </cell>
          <cell r="V1302">
            <v>10183.82</v>
          </cell>
          <cell r="W1302">
            <v>5410.1543750000001</v>
          </cell>
          <cell r="X1302">
            <v>23550.083749999998</v>
          </cell>
          <cell r="Y1302">
            <v>7956.109375</v>
          </cell>
          <cell r="Z1302">
            <v>10183.82</v>
          </cell>
          <cell r="AA1302">
            <v>5410.1543750000001</v>
          </cell>
          <cell r="AB1302">
            <v>23550.083749999998</v>
          </cell>
          <cell r="AC1302">
            <v>0</v>
          </cell>
          <cell r="AD1302">
            <v>0</v>
          </cell>
          <cell r="AE1302">
            <v>0</v>
          </cell>
          <cell r="AF1302">
            <v>0</v>
          </cell>
          <cell r="AG1302">
            <v>0</v>
          </cell>
          <cell r="AH1302">
            <v>0</v>
          </cell>
        </row>
        <row r="1303">
          <cell r="B1303" t="str">
            <v>GTZ</v>
          </cell>
          <cell r="E1303" t="str">
            <v>DPE/LABE</v>
          </cell>
          <cell r="F1303" t="str">
            <v>GTZ/LABE</v>
          </cell>
          <cell r="G1303">
            <v>12</v>
          </cell>
          <cell r="H1303" t="str">
            <v>Formation Pair Educateur, cadres éducatifs, enseignants</v>
          </cell>
          <cell r="I1303" t="str">
            <v>PROPEB</v>
          </cell>
          <cell r="K1303" t="str">
            <v>PROPEB</v>
          </cell>
          <cell r="M1303">
            <v>7956.109375</v>
          </cell>
          <cell r="N1303">
            <v>10183.82</v>
          </cell>
          <cell r="O1303">
            <v>5410.1543750000001</v>
          </cell>
          <cell r="P1303">
            <v>23550.083749999998</v>
          </cell>
          <cell r="Q1303" t="str">
            <v>pxj</v>
          </cell>
          <cell r="S1303">
            <v>1</v>
          </cell>
          <cell r="T1303">
            <v>1</v>
          </cell>
          <cell r="U1303">
            <v>7956.109375</v>
          </cell>
          <cell r="V1303">
            <v>10183.82</v>
          </cell>
          <cell r="W1303">
            <v>5410.1543750000001</v>
          </cell>
          <cell r="X1303">
            <v>23550.083749999998</v>
          </cell>
          <cell r="Y1303">
            <v>7956.109375</v>
          </cell>
          <cell r="Z1303">
            <v>10183.82</v>
          </cell>
          <cell r="AA1303">
            <v>5410.1543750000001</v>
          </cell>
          <cell r="AB1303">
            <v>23550.083749999998</v>
          </cell>
          <cell r="AC1303">
            <v>0</v>
          </cell>
          <cell r="AD1303">
            <v>0</v>
          </cell>
          <cell r="AE1303">
            <v>0</v>
          </cell>
          <cell r="AF1303">
            <v>0</v>
          </cell>
          <cell r="AG1303">
            <v>0</v>
          </cell>
          <cell r="AH1303">
            <v>0</v>
          </cell>
        </row>
        <row r="1304">
          <cell r="B1304" t="str">
            <v>GTZ</v>
          </cell>
          <cell r="E1304" t="str">
            <v>DPE/LELO</v>
          </cell>
          <cell r="F1304" t="str">
            <v>GTZ/LABE</v>
          </cell>
          <cell r="G1304">
            <v>12</v>
          </cell>
          <cell r="H1304" t="str">
            <v>Formation Pair Educateur, cadres éducatifs, enseignants</v>
          </cell>
          <cell r="I1304" t="str">
            <v>PROPEB</v>
          </cell>
          <cell r="K1304" t="str">
            <v>PROPEB</v>
          </cell>
          <cell r="M1304">
            <v>7956.109375</v>
          </cell>
          <cell r="N1304">
            <v>10183.82</v>
          </cell>
          <cell r="O1304">
            <v>5410.1543750000001</v>
          </cell>
          <cell r="P1304">
            <v>23550.083749999998</v>
          </cell>
          <cell r="Q1304" t="str">
            <v>pxj</v>
          </cell>
          <cell r="S1304">
            <v>1</v>
          </cell>
          <cell r="T1304">
            <v>1</v>
          </cell>
          <cell r="U1304">
            <v>7956.109375</v>
          </cell>
          <cell r="V1304">
            <v>10183.82</v>
          </cell>
          <cell r="W1304">
            <v>5410.1543750000001</v>
          </cell>
          <cell r="X1304">
            <v>23550.083749999998</v>
          </cell>
          <cell r="Y1304">
            <v>7956.109375</v>
          </cell>
          <cell r="Z1304">
            <v>10183.82</v>
          </cell>
          <cell r="AA1304">
            <v>5410.1543750000001</v>
          </cell>
          <cell r="AB1304">
            <v>23550.083749999998</v>
          </cell>
          <cell r="AC1304">
            <v>0</v>
          </cell>
          <cell r="AD1304">
            <v>0</v>
          </cell>
          <cell r="AE1304">
            <v>0</v>
          </cell>
          <cell r="AF1304">
            <v>0</v>
          </cell>
          <cell r="AG1304">
            <v>0</v>
          </cell>
          <cell r="AH1304">
            <v>0</v>
          </cell>
        </row>
        <row r="1305">
          <cell r="B1305" t="str">
            <v>GTZ</v>
          </cell>
          <cell r="E1305" t="str">
            <v>DPE/MALI</v>
          </cell>
          <cell r="F1305" t="str">
            <v>GTZ/LABE</v>
          </cell>
          <cell r="G1305">
            <v>12</v>
          </cell>
          <cell r="H1305" t="str">
            <v>Formation Pair Educateur, cadres éducatifs, enseignants</v>
          </cell>
          <cell r="I1305" t="str">
            <v>PROPEB</v>
          </cell>
          <cell r="K1305" t="str">
            <v>PROPEB</v>
          </cell>
          <cell r="M1305">
            <v>7956.109375</v>
          </cell>
          <cell r="N1305">
            <v>10183.82</v>
          </cell>
          <cell r="O1305">
            <v>5410.1543750000001</v>
          </cell>
          <cell r="P1305">
            <v>23550.083749999998</v>
          </cell>
          <cell r="Q1305" t="str">
            <v>pxj</v>
          </cell>
          <cell r="S1305">
            <v>1</v>
          </cell>
          <cell r="T1305">
            <v>1</v>
          </cell>
          <cell r="U1305">
            <v>7956.109375</v>
          </cell>
          <cell r="V1305">
            <v>10183.82</v>
          </cell>
          <cell r="W1305">
            <v>5410.1543750000001</v>
          </cell>
          <cell r="X1305">
            <v>23550.083749999998</v>
          </cell>
          <cell r="Y1305">
            <v>7956.109375</v>
          </cell>
          <cell r="Z1305">
            <v>10183.82</v>
          </cell>
          <cell r="AA1305">
            <v>5410.1543750000001</v>
          </cell>
          <cell r="AB1305">
            <v>23550.083749999998</v>
          </cell>
          <cell r="AC1305">
            <v>0</v>
          </cell>
          <cell r="AD1305">
            <v>0</v>
          </cell>
          <cell r="AE1305">
            <v>0</v>
          </cell>
          <cell r="AF1305">
            <v>0</v>
          </cell>
          <cell r="AG1305">
            <v>0</v>
          </cell>
          <cell r="AH1305">
            <v>0</v>
          </cell>
        </row>
        <row r="1306">
          <cell r="B1306" t="str">
            <v>GTZ</v>
          </cell>
          <cell r="E1306" t="str">
            <v>DPE/MAMO</v>
          </cell>
          <cell r="F1306" t="str">
            <v>GTZ/MAMO</v>
          </cell>
          <cell r="G1306">
            <v>12</v>
          </cell>
          <cell r="H1306" t="str">
            <v>Formation Pair Educateur, cadres éducatifs, enseignants</v>
          </cell>
          <cell r="I1306" t="str">
            <v>PROPEB</v>
          </cell>
          <cell r="K1306" t="str">
            <v>PROPEB</v>
          </cell>
          <cell r="M1306">
            <v>7956.109375</v>
          </cell>
          <cell r="N1306">
            <v>10183.82</v>
          </cell>
          <cell r="O1306">
            <v>5410.1543750000001</v>
          </cell>
          <cell r="P1306">
            <v>23550.083749999998</v>
          </cell>
          <cell r="Q1306" t="str">
            <v>pxj</v>
          </cell>
          <cell r="S1306">
            <v>1</v>
          </cell>
          <cell r="T1306">
            <v>1</v>
          </cell>
          <cell r="U1306">
            <v>7956.109375</v>
          </cell>
          <cell r="V1306">
            <v>10183.82</v>
          </cell>
          <cell r="W1306">
            <v>5410.1543750000001</v>
          </cell>
          <cell r="X1306">
            <v>23550.083749999998</v>
          </cell>
          <cell r="Y1306">
            <v>7956.109375</v>
          </cell>
          <cell r="Z1306">
            <v>10183.82</v>
          </cell>
          <cell r="AA1306">
            <v>5410.1543750000001</v>
          </cell>
          <cell r="AB1306">
            <v>23550.083749999998</v>
          </cell>
          <cell r="AC1306">
            <v>0</v>
          </cell>
          <cell r="AD1306">
            <v>0</v>
          </cell>
          <cell r="AE1306">
            <v>0</v>
          </cell>
          <cell r="AF1306">
            <v>0</v>
          </cell>
          <cell r="AG1306">
            <v>0</v>
          </cell>
          <cell r="AH1306">
            <v>0</v>
          </cell>
        </row>
        <row r="1307">
          <cell r="B1307" t="str">
            <v>GTZ</v>
          </cell>
          <cell r="E1307" t="str">
            <v>DPE/PITA</v>
          </cell>
          <cell r="F1307" t="str">
            <v>GTZ/MAMO</v>
          </cell>
          <cell r="G1307">
            <v>12</v>
          </cell>
          <cell r="H1307" t="str">
            <v>Formation Pair Educateur, cadres éducatifs, enseignants</v>
          </cell>
          <cell r="I1307" t="str">
            <v>PROPEB</v>
          </cell>
          <cell r="K1307" t="str">
            <v>PROPEB</v>
          </cell>
          <cell r="M1307">
            <v>7956.109375</v>
          </cell>
          <cell r="N1307">
            <v>10183.82</v>
          </cell>
          <cell r="O1307">
            <v>5410.1543750000001</v>
          </cell>
          <cell r="P1307">
            <v>23550.083749999998</v>
          </cell>
          <cell r="Q1307" t="str">
            <v>pxj</v>
          </cell>
          <cell r="S1307">
            <v>1</v>
          </cell>
          <cell r="T1307">
            <v>1</v>
          </cell>
          <cell r="U1307">
            <v>7956.109375</v>
          </cell>
          <cell r="V1307">
            <v>10183.82</v>
          </cell>
          <cell r="W1307">
            <v>5410.1543750000001</v>
          </cell>
          <cell r="X1307">
            <v>23550.083749999998</v>
          </cell>
          <cell r="Y1307">
            <v>7956.109375</v>
          </cell>
          <cell r="Z1307">
            <v>10183.82</v>
          </cell>
          <cell r="AA1307">
            <v>5410.1543750000001</v>
          </cell>
          <cell r="AB1307">
            <v>23550.083749999998</v>
          </cell>
          <cell r="AC1307">
            <v>0</v>
          </cell>
          <cell r="AD1307">
            <v>0</v>
          </cell>
          <cell r="AE1307">
            <v>0</v>
          </cell>
          <cell r="AF1307">
            <v>0</v>
          </cell>
          <cell r="AG1307">
            <v>0</v>
          </cell>
          <cell r="AH1307">
            <v>0</v>
          </cell>
        </row>
        <row r="1308">
          <cell r="B1308" t="str">
            <v>GTZ</v>
          </cell>
          <cell r="E1308" t="str">
            <v>DPE/TOUG</v>
          </cell>
          <cell r="F1308" t="str">
            <v>GTZ/LABE</v>
          </cell>
          <cell r="G1308">
            <v>12</v>
          </cell>
          <cell r="H1308" t="str">
            <v>Formation Pair Educateur, cadres éducatifs, enseignants</v>
          </cell>
          <cell r="I1308" t="str">
            <v>PROPEB</v>
          </cell>
          <cell r="K1308" t="str">
            <v>PROPEB</v>
          </cell>
          <cell r="M1308">
            <v>7956.109375</v>
          </cell>
          <cell r="N1308">
            <v>10183.82</v>
          </cell>
          <cell r="O1308">
            <v>5410.1543750000001</v>
          </cell>
          <cell r="P1308">
            <v>23550.083749999998</v>
          </cell>
          <cell r="Q1308" t="str">
            <v>pxj</v>
          </cell>
          <cell r="S1308">
            <v>1</v>
          </cell>
          <cell r="T1308">
            <v>1</v>
          </cell>
          <cell r="U1308">
            <v>7956.109375</v>
          </cell>
          <cell r="V1308">
            <v>10183.82</v>
          </cell>
          <cell r="W1308">
            <v>5410.1543750000001</v>
          </cell>
          <cell r="X1308">
            <v>23550.083749999998</v>
          </cell>
          <cell r="Y1308">
            <v>7956.109375</v>
          </cell>
          <cell r="Z1308">
            <v>10183.82</v>
          </cell>
          <cell r="AA1308">
            <v>5410.1543750000001</v>
          </cell>
          <cell r="AB1308">
            <v>23550.083749999998</v>
          </cell>
          <cell r="AC1308">
            <v>0</v>
          </cell>
          <cell r="AD1308">
            <v>0</v>
          </cell>
          <cell r="AE1308">
            <v>0</v>
          </cell>
          <cell r="AF1308">
            <v>0</v>
          </cell>
          <cell r="AG1308">
            <v>0</v>
          </cell>
          <cell r="AH1308">
            <v>0</v>
          </cell>
        </row>
        <row r="1309">
          <cell r="B1309" t="str">
            <v>GTZ</v>
          </cell>
          <cell r="E1309" t="str">
            <v>DPE/DALA</v>
          </cell>
          <cell r="F1309" t="str">
            <v>GTZ/MAMO</v>
          </cell>
          <cell r="G1309">
            <v>15</v>
          </cell>
          <cell r="H1309" t="str">
            <v>Suventions aux activités de lutte contre le SIDA des  PE</v>
          </cell>
          <cell r="I1309" t="str">
            <v>PROPEB</v>
          </cell>
          <cell r="K1309" t="str">
            <v>PROPEB</v>
          </cell>
          <cell r="M1309">
            <v>3182.4437499999999</v>
          </cell>
          <cell r="N1309">
            <v>3182.4437499999999</v>
          </cell>
          <cell r="O1309">
            <v>3182.4437499999999</v>
          </cell>
          <cell r="P1309">
            <v>9547.3312499999993</v>
          </cell>
          <cell r="Q1309" t="str">
            <v>forfait</v>
          </cell>
          <cell r="S1309">
            <v>1</v>
          </cell>
          <cell r="T1309">
            <v>1</v>
          </cell>
          <cell r="U1309">
            <v>3182.4437499999999</v>
          </cell>
          <cell r="V1309">
            <v>3182.4437499999999</v>
          </cell>
          <cell r="W1309">
            <v>3182.4437499999999</v>
          </cell>
          <cell r="X1309">
            <v>9547.3312499999993</v>
          </cell>
          <cell r="Y1309">
            <v>3182.4437499999999</v>
          </cell>
          <cell r="Z1309">
            <v>3182.4437499999999</v>
          </cell>
          <cell r="AA1309">
            <v>3182.4437499999999</v>
          </cell>
          <cell r="AB1309">
            <v>9547.3312499999993</v>
          </cell>
          <cell r="AC1309">
            <v>0</v>
          </cell>
          <cell r="AD1309">
            <v>0</v>
          </cell>
          <cell r="AE1309">
            <v>0</v>
          </cell>
          <cell r="AF1309">
            <v>0</v>
          </cell>
          <cell r="AG1309">
            <v>0</v>
          </cell>
          <cell r="AH1309">
            <v>0</v>
          </cell>
        </row>
        <row r="1310">
          <cell r="B1310" t="str">
            <v>GTZ</v>
          </cell>
          <cell r="E1310" t="str">
            <v>DPE/KOUB</v>
          </cell>
          <cell r="F1310" t="str">
            <v>GTZ/LABE</v>
          </cell>
          <cell r="G1310">
            <v>15</v>
          </cell>
          <cell r="H1310" t="str">
            <v>Suventions aux activités de lutte contre le SIDA des  PE</v>
          </cell>
          <cell r="I1310" t="str">
            <v>PROPEB</v>
          </cell>
          <cell r="K1310" t="str">
            <v>PROPEB</v>
          </cell>
          <cell r="M1310">
            <v>3182.4437499999999</v>
          </cell>
          <cell r="N1310">
            <v>3182.4437499999999</v>
          </cell>
          <cell r="O1310">
            <v>3182.4437499999999</v>
          </cell>
          <cell r="P1310">
            <v>9547.3312499999993</v>
          </cell>
          <cell r="Q1310" t="str">
            <v>forfait</v>
          </cell>
          <cell r="S1310">
            <v>1</v>
          </cell>
          <cell r="T1310">
            <v>1</v>
          </cell>
          <cell r="U1310">
            <v>3182.4437499999999</v>
          </cell>
          <cell r="V1310">
            <v>3182.4437499999999</v>
          </cell>
          <cell r="W1310">
            <v>3182.4437499999999</v>
          </cell>
          <cell r="X1310">
            <v>9547.3312499999993</v>
          </cell>
          <cell r="Y1310">
            <v>3182.4437499999999</v>
          </cell>
          <cell r="Z1310">
            <v>3182.4437499999999</v>
          </cell>
          <cell r="AA1310">
            <v>3182.4437499999999</v>
          </cell>
          <cell r="AB1310">
            <v>9547.3312499999993</v>
          </cell>
          <cell r="AC1310">
            <v>0</v>
          </cell>
          <cell r="AD1310">
            <v>0</v>
          </cell>
          <cell r="AE1310">
            <v>0</v>
          </cell>
          <cell r="AF1310">
            <v>0</v>
          </cell>
          <cell r="AG1310">
            <v>0</v>
          </cell>
          <cell r="AH1310">
            <v>0</v>
          </cell>
        </row>
        <row r="1311">
          <cell r="B1311" t="str">
            <v>GTZ</v>
          </cell>
          <cell r="E1311" t="str">
            <v>DPE/LABE</v>
          </cell>
          <cell r="F1311" t="str">
            <v>GTZ/LABE</v>
          </cell>
          <cell r="G1311">
            <v>15</v>
          </cell>
          <cell r="H1311" t="str">
            <v>Suventions aux activités de lutte contre le SIDA des  PE</v>
          </cell>
          <cell r="I1311" t="str">
            <v>PROPEB</v>
          </cell>
          <cell r="K1311" t="str">
            <v>PROPEB</v>
          </cell>
          <cell r="M1311">
            <v>3182.4437499999999</v>
          </cell>
          <cell r="N1311">
            <v>3182.4437499999999</v>
          </cell>
          <cell r="O1311">
            <v>3182.4437499999999</v>
          </cell>
          <cell r="P1311">
            <v>9547.3312499999993</v>
          </cell>
          <cell r="Q1311" t="str">
            <v>forfait</v>
          </cell>
          <cell r="S1311">
            <v>1</v>
          </cell>
          <cell r="T1311">
            <v>1</v>
          </cell>
          <cell r="U1311">
            <v>3182.4437499999999</v>
          </cell>
          <cell r="V1311">
            <v>3182.4437499999999</v>
          </cell>
          <cell r="W1311">
            <v>3182.4437499999999</v>
          </cell>
          <cell r="X1311">
            <v>9547.3312499999993</v>
          </cell>
          <cell r="Y1311">
            <v>3182.4437499999999</v>
          </cell>
          <cell r="Z1311">
            <v>3182.4437499999999</v>
          </cell>
          <cell r="AA1311">
            <v>3182.4437499999999</v>
          </cell>
          <cell r="AB1311">
            <v>9547.3312499999993</v>
          </cell>
          <cell r="AC1311">
            <v>0</v>
          </cell>
          <cell r="AD1311">
            <v>0</v>
          </cell>
          <cell r="AE1311">
            <v>0</v>
          </cell>
          <cell r="AF1311">
            <v>0</v>
          </cell>
          <cell r="AG1311">
            <v>0</v>
          </cell>
          <cell r="AH1311">
            <v>0</v>
          </cell>
        </row>
        <row r="1312">
          <cell r="B1312" t="str">
            <v>GTZ</v>
          </cell>
          <cell r="E1312" t="str">
            <v>DPE/LELO</v>
          </cell>
          <cell r="F1312" t="str">
            <v>GTZ/LABE</v>
          </cell>
          <cell r="G1312">
            <v>15</v>
          </cell>
          <cell r="H1312" t="str">
            <v>Suventions aux activités de lutte contre le SIDA des  PE</v>
          </cell>
          <cell r="I1312" t="str">
            <v>PROPEB</v>
          </cell>
          <cell r="K1312" t="str">
            <v>PROPEB</v>
          </cell>
          <cell r="M1312">
            <v>3182.4437499999999</v>
          </cell>
          <cell r="N1312">
            <v>3182.4437499999999</v>
          </cell>
          <cell r="O1312">
            <v>3182.4437499999999</v>
          </cell>
          <cell r="P1312">
            <v>9547.3312499999993</v>
          </cell>
          <cell r="Q1312" t="str">
            <v>forfait</v>
          </cell>
          <cell r="S1312">
            <v>1</v>
          </cell>
          <cell r="T1312">
            <v>1</v>
          </cell>
          <cell r="U1312">
            <v>3182.4437499999999</v>
          </cell>
          <cell r="V1312">
            <v>3182.4437499999999</v>
          </cell>
          <cell r="W1312">
            <v>3182.4437499999999</v>
          </cell>
          <cell r="X1312">
            <v>9547.3312499999993</v>
          </cell>
          <cell r="Y1312">
            <v>3182.4437499999999</v>
          </cell>
          <cell r="Z1312">
            <v>3182.4437499999999</v>
          </cell>
          <cell r="AA1312">
            <v>3182.4437499999999</v>
          </cell>
          <cell r="AB1312">
            <v>9547.3312499999993</v>
          </cell>
          <cell r="AC1312">
            <v>0</v>
          </cell>
          <cell r="AD1312">
            <v>0</v>
          </cell>
          <cell r="AE1312">
            <v>0</v>
          </cell>
          <cell r="AF1312">
            <v>0</v>
          </cell>
          <cell r="AG1312">
            <v>0</v>
          </cell>
          <cell r="AH1312">
            <v>0</v>
          </cell>
        </row>
        <row r="1313">
          <cell r="B1313" t="str">
            <v>GTZ</v>
          </cell>
          <cell r="E1313" t="str">
            <v>DPE/MALI</v>
          </cell>
          <cell r="F1313" t="str">
            <v>GTZ/LABE</v>
          </cell>
          <cell r="G1313">
            <v>15</v>
          </cell>
          <cell r="H1313" t="str">
            <v>Suventions aux activités de lutte contre le SIDA des  PE</v>
          </cell>
          <cell r="I1313" t="str">
            <v>PROPEB</v>
          </cell>
          <cell r="K1313" t="str">
            <v>PROPEB</v>
          </cell>
          <cell r="M1313">
            <v>3182.4437499999999</v>
          </cell>
          <cell r="N1313">
            <v>3182.4437499999999</v>
          </cell>
          <cell r="O1313">
            <v>3182.4437499999999</v>
          </cell>
          <cell r="P1313">
            <v>9547.3312499999993</v>
          </cell>
          <cell r="Q1313" t="str">
            <v>forfait</v>
          </cell>
          <cell r="S1313">
            <v>1</v>
          </cell>
          <cell r="T1313">
            <v>1</v>
          </cell>
          <cell r="U1313">
            <v>3182.4437499999999</v>
          </cell>
          <cell r="V1313">
            <v>3182.4437499999999</v>
          </cell>
          <cell r="W1313">
            <v>3182.4437499999999</v>
          </cell>
          <cell r="X1313">
            <v>9547.3312499999993</v>
          </cell>
          <cell r="Y1313">
            <v>3182.4437499999999</v>
          </cell>
          <cell r="Z1313">
            <v>3182.4437499999999</v>
          </cell>
          <cell r="AA1313">
            <v>3182.4437499999999</v>
          </cell>
          <cell r="AB1313">
            <v>9547.3312499999993</v>
          </cell>
          <cell r="AC1313">
            <v>0</v>
          </cell>
          <cell r="AD1313">
            <v>0</v>
          </cell>
          <cell r="AE1313">
            <v>0</v>
          </cell>
          <cell r="AF1313">
            <v>0</v>
          </cell>
          <cell r="AG1313">
            <v>0</v>
          </cell>
          <cell r="AH1313">
            <v>0</v>
          </cell>
        </row>
        <row r="1314">
          <cell r="B1314" t="str">
            <v>GTZ</v>
          </cell>
          <cell r="E1314" t="str">
            <v>DPE/MAMO</v>
          </cell>
          <cell r="F1314" t="str">
            <v>GTZ/MAMO</v>
          </cell>
          <cell r="G1314">
            <v>15</v>
          </cell>
          <cell r="H1314" t="str">
            <v>Suventions aux activités de lutte contre le SIDA des  PE</v>
          </cell>
          <cell r="I1314" t="str">
            <v>PROPEB</v>
          </cell>
          <cell r="K1314" t="str">
            <v>PROPEB</v>
          </cell>
          <cell r="M1314">
            <v>3182.4437499999999</v>
          </cell>
          <cell r="N1314">
            <v>3182.4437499999999</v>
          </cell>
          <cell r="O1314">
            <v>3182.4437499999999</v>
          </cell>
          <cell r="P1314">
            <v>9547.3312499999993</v>
          </cell>
          <cell r="Q1314" t="str">
            <v>forfait</v>
          </cell>
          <cell r="S1314">
            <v>1</v>
          </cell>
          <cell r="T1314">
            <v>1</v>
          </cell>
          <cell r="U1314">
            <v>3182.4437499999999</v>
          </cell>
          <cell r="V1314">
            <v>3182.4437499999999</v>
          </cell>
          <cell r="W1314">
            <v>3182.4437499999999</v>
          </cell>
          <cell r="X1314">
            <v>9547.3312499999993</v>
          </cell>
          <cell r="Y1314">
            <v>3182.4437499999999</v>
          </cell>
          <cell r="Z1314">
            <v>3182.4437499999999</v>
          </cell>
          <cell r="AA1314">
            <v>3182.4437499999999</v>
          </cell>
          <cell r="AB1314">
            <v>9547.3312499999993</v>
          </cell>
          <cell r="AC1314">
            <v>0</v>
          </cell>
          <cell r="AD1314">
            <v>0</v>
          </cell>
          <cell r="AE1314">
            <v>0</v>
          </cell>
          <cell r="AF1314">
            <v>0</v>
          </cell>
          <cell r="AG1314">
            <v>0</v>
          </cell>
          <cell r="AH1314">
            <v>0</v>
          </cell>
        </row>
        <row r="1315">
          <cell r="B1315" t="str">
            <v>GTZ</v>
          </cell>
          <cell r="E1315" t="str">
            <v>DPE/PITA</v>
          </cell>
          <cell r="F1315" t="str">
            <v>GTZ/MAMO</v>
          </cell>
          <cell r="G1315">
            <v>15</v>
          </cell>
          <cell r="H1315" t="str">
            <v>Suventions aux activités de lutte contre le SIDA des  PE</v>
          </cell>
          <cell r="I1315" t="str">
            <v>PROPEB</v>
          </cell>
          <cell r="K1315" t="str">
            <v>PROPEB</v>
          </cell>
          <cell r="M1315">
            <v>3182.4437499999999</v>
          </cell>
          <cell r="N1315">
            <v>3182.4437499999999</v>
          </cell>
          <cell r="O1315">
            <v>3182.4437499999999</v>
          </cell>
          <cell r="P1315">
            <v>9547.3312499999993</v>
          </cell>
          <cell r="Q1315" t="str">
            <v>forfait</v>
          </cell>
          <cell r="S1315">
            <v>1</v>
          </cell>
          <cell r="T1315">
            <v>1</v>
          </cell>
          <cell r="U1315">
            <v>3182.4437499999999</v>
          </cell>
          <cell r="V1315">
            <v>3182.4437499999999</v>
          </cell>
          <cell r="W1315">
            <v>3182.4437499999999</v>
          </cell>
          <cell r="X1315">
            <v>9547.3312499999993</v>
          </cell>
          <cell r="Y1315">
            <v>3182.4437499999999</v>
          </cell>
          <cell r="Z1315">
            <v>3182.4437499999999</v>
          </cell>
          <cell r="AA1315">
            <v>3182.4437499999999</v>
          </cell>
          <cell r="AB1315">
            <v>9547.3312499999993</v>
          </cell>
          <cell r="AC1315">
            <v>0</v>
          </cell>
          <cell r="AD1315">
            <v>0</v>
          </cell>
          <cell r="AE1315">
            <v>0</v>
          </cell>
          <cell r="AF1315">
            <v>0</v>
          </cell>
          <cell r="AG1315">
            <v>0</v>
          </cell>
          <cell r="AH1315">
            <v>0</v>
          </cell>
        </row>
        <row r="1316">
          <cell r="B1316" t="str">
            <v>GTZ</v>
          </cell>
          <cell r="E1316" t="str">
            <v>DPE/TOUG</v>
          </cell>
          <cell r="F1316" t="str">
            <v>GTZ/LABE</v>
          </cell>
          <cell r="G1316">
            <v>15</v>
          </cell>
          <cell r="H1316" t="str">
            <v>Suventions aux activités de lutte contre le SIDA des  PE</v>
          </cell>
          <cell r="I1316" t="str">
            <v>PROPEB</v>
          </cell>
          <cell r="K1316" t="str">
            <v>PROPEB</v>
          </cell>
          <cell r="M1316">
            <v>3182.4437499999999</v>
          </cell>
          <cell r="N1316">
            <v>3182.4437499999999</v>
          </cell>
          <cell r="O1316">
            <v>3182.4437499999999</v>
          </cell>
          <cell r="P1316">
            <v>9547.3312499999993</v>
          </cell>
          <cell r="Q1316" t="str">
            <v>forfait</v>
          </cell>
          <cell r="S1316">
            <v>1</v>
          </cell>
          <cell r="T1316">
            <v>1</v>
          </cell>
          <cell r="U1316">
            <v>3182.4437499999999</v>
          </cell>
          <cell r="V1316">
            <v>3182.4437499999999</v>
          </cell>
          <cell r="W1316">
            <v>3182.4437499999999</v>
          </cell>
          <cell r="X1316">
            <v>9547.3312499999993</v>
          </cell>
          <cell r="Y1316">
            <v>3182.4437499999999</v>
          </cell>
          <cell r="Z1316">
            <v>3182.4437499999999</v>
          </cell>
          <cell r="AA1316">
            <v>3182.4437499999999</v>
          </cell>
          <cell r="AB1316">
            <v>9547.3312499999993</v>
          </cell>
          <cell r="AC1316">
            <v>0</v>
          </cell>
          <cell r="AD1316">
            <v>0</v>
          </cell>
          <cell r="AE1316">
            <v>0</v>
          </cell>
          <cell r="AF1316">
            <v>0</v>
          </cell>
          <cell r="AG1316">
            <v>0</v>
          </cell>
          <cell r="AH1316">
            <v>0</v>
          </cell>
        </row>
        <row r="1317">
          <cell r="B1317" t="str">
            <v>GTZ</v>
          </cell>
          <cell r="E1317" t="str">
            <v>EP/DALA</v>
          </cell>
          <cell r="F1317" t="str">
            <v>GTZ/MAMO</v>
          </cell>
          <cell r="G1317">
            <v>12</v>
          </cell>
          <cell r="H1317" t="str">
            <v>Formation Filles, enseignantes, mères 6-8 préfectures</v>
          </cell>
          <cell r="I1317" t="str">
            <v>PROPEB</v>
          </cell>
          <cell r="K1317" t="str">
            <v>PROPEB</v>
          </cell>
          <cell r="M1317">
            <v>43281.235000000001</v>
          </cell>
          <cell r="N1317">
            <v>44978.538333333338</v>
          </cell>
          <cell r="O1317">
            <v>38189.324999999997</v>
          </cell>
          <cell r="P1317">
            <v>126449.09833333334</v>
          </cell>
          <cell r="Q1317" t="str">
            <v>forfait</v>
          </cell>
          <cell r="S1317">
            <v>1</v>
          </cell>
          <cell r="T1317">
            <v>1</v>
          </cell>
          <cell r="U1317">
            <v>43281.235000000001</v>
          </cell>
          <cell r="V1317">
            <v>44978.538333333338</v>
          </cell>
          <cell r="W1317">
            <v>38189.324999999997</v>
          </cell>
          <cell r="X1317">
            <v>126449.09833333334</v>
          </cell>
          <cell r="Y1317">
            <v>43281.235000000001</v>
          </cell>
          <cell r="Z1317">
            <v>44978.538333333338</v>
          </cell>
          <cell r="AA1317">
            <v>38189.324999999997</v>
          </cell>
          <cell r="AB1317">
            <v>126449.09833333334</v>
          </cell>
          <cell r="AC1317">
            <v>0</v>
          </cell>
          <cell r="AD1317">
            <v>0</v>
          </cell>
          <cell r="AE1317">
            <v>0</v>
          </cell>
          <cell r="AF1317">
            <v>0</v>
          </cell>
          <cell r="AG1317">
            <v>0</v>
          </cell>
          <cell r="AH1317">
            <v>0</v>
          </cell>
        </row>
        <row r="1318">
          <cell r="B1318" t="str">
            <v>GTZ</v>
          </cell>
          <cell r="E1318" t="str">
            <v>EP/PITA</v>
          </cell>
          <cell r="F1318" t="str">
            <v>GTZ/MAMO</v>
          </cell>
          <cell r="G1318">
            <v>12</v>
          </cell>
          <cell r="H1318" t="str">
            <v>Formation Filles, enseignantes, mères 6-8 préfectures</v>
          </cell>
          <cell r="I1318" t="str">
            <v>PROPEB</v>
          </cell>
          <cell r="K1318" t="str">
            <v>PROPEB</v>
          </cell>
          <cell r="M1318">
            <v>43281.235000000001</v>
          </cell>
          <cell r="N1318">
            <v>44978.538333333338</v>
          </cell>
          <cell r="O1318">
            <v>38189.324999999997</v>
          </cell>
          <cell r="P1318">
            <v>126449.09833333334</v>
          </cell>
          <cell r="Q1318" t="str">
            <v>forfait</v>
          </cell>
          <cell r="S1318">
            <v>1</v>
          </cell>
          <cell r="T1318">
            <v>1</v>
          </cell>
          <cell r="U1318">
            <v>43281.235000000001</v>
          </cell>
          <cell r="V1318">
            <v>44978.538333333338</v>
          </cell>
          <cell r="W1318">
            <v>38189.324999999997</v>
          </cell>
          <cell r="X1318">
            <v>126449.09833333334</v>
          </cell>
          <cell r="Y1318">
            <v>43281.235000000001</v>
          </cell>
          <cell r="Z1318">
            <v>44978.538333333338</v>
          </cell>
          <cell r="AA1318">
            <v>38189.324999999997</v>
          </cell>
          <cell r="AB1318">
            <v>126449.09833333334</v>
          </cell>
          <cell r="AC1318">
            <v>0</v>
          </cell>
          <cell r="AD1318">
            <v>0</v>
          </cell>
          <cell r="AE1318">
            <v>0</v>
          </cell>
          <cell r="AF1318">
            <v>0</v>
          </cell>
          <cell r="AG1318">
            <v>0</v>
          </cell>
          <cell r="AH1318">
            <v>0</v>
          </cell>
        </row>
        <row r="1319">
          <cell r="B1319" t="str">
            <v>GTZ</v>
          </cell>
          <cell r="E1319" t="str">
            <v>EP/MAMO</v>
          </cell>
          <cell r="F1319" t="str">
            <v>GTZ/MAMO</v>
          </cell>
          <cell r="G1319">
            <v>12</v>
          </cell>
          <cell r="H1319" t="str">
            <v>Formation Filles, enseignantes, mères 6-8 préfectures</v>
          </cell>
          <cell r="I1319" t="str">
            <v>PROPEB</v>
          </cell>
          <cell r="K1319" t="str">
            <v>PROPEB</v>
          </cell>
          <cell r="M1319">
            <v>43281.235000000001</v>
          </cell>
          <cell r="N1319">
            <v>44978.538333333338</v>
          </cell>
          <cell r="O1319">
            <v>38189.324999999997</v>
          </cell>
          <cell r="P1319">
            <v>126449.09833333334</v>
          </cell>
          <cell r="Q1319" t="str">
            <v>forfait</v>
          </cell>
          <cell r="S1319">
            <v>1</v>
          </cell>
          <cell r="T1319">
            <v>1</v>
          </cell>
          <cell r="U1319">
            <v>43281.235000000001</v>
          </cell>
          <cell r="V1319">
            <v>44978.538333333338</v>
          </cell>
          <cell r="W1319">
            <v>38189.324999999997</v>
          </cell>
          <cell r="X1319">
            <v>126449.09833333334</v>
          </cell>
          <cell r="Y1319">
            <v>43281.235000000001</v>
          </cell>
          <cell r="Z1319">
            <v>44978.538333333338</v>
          </cell>
          <cell r="AA1319">
            <v>38189.324999999997</v>
          </cell>
          <cell r="AB1319">
            <v>126449.09833333334</v>
          </cell>
          <cell r="AC1319">
            <v>0</v>
          </cell>
          <cell r="AD1319">
            <v>0</v>
          </cell>
          <cell r="AE1319">
            <v>0</v>
          </cell>
          <cell r="AF1319">
            <v>0</v>
          </cell>
          <cell r="AG1319">
            <v>0</v>
          </cell>
          <cell r="AH1319">
            <v>0</v>
          </cell>
        </row>
        <row r="1320">
          <cell r="B1320" t="str">
            <v>GTZ</v>
          </cell>
          <cell r="E1320" t="str">
            <v>EP/TOUG</v>
          </cell>
          <cell r="F1320" t="str">
            <v>GTZ/LABE</v>
          </cell>
          <cell r="G1320">
            <v>12</v>
          </cell>
          <cell r="H1320" t="str">
            <v>Formation Filles, enseignantes, mères 6-8 préfectures</v>
          </cell>
          <cell r="I1320" t="str">
            <v>PROPEB</v>
          </cell>
          <cell r="K1320" t="str">
            <v>PROPEB</v>
          </cell>
          <cell r="M1320">
            <v>43281.235000000001</v>
          </cell>
          <cell r="N1320">
            <v>44978.538333333338</v>
          </cell>
          <cell r="O1320">
            <v>38189.324999999997</v>
          </cell>
          <cell r="P1320">
            <v>126449.09833333334</v>
          </cell>
          <cell r="Q1320" t="str">
            <v>forfait</v>
          </cell>
          <cell r="S1320">
            <v>1</v>
          </cell>
          <cell r="T1320">
            <v>1</v>
          </cell>
          <cell r="U1320">
            <v>43281.235000000001</v>
          </cell>
          <cell r="V1320">
            <v>44978.538333333338</v>
          </cell>
          <cell r="W1320">
            <v>38189.324999999997</v>
          </cell>
          <cell r="X1320">
            <v>126449.09833333334</v>
          </cell>
          <cell r="Y1320">
            <v>43281.235000000001</v>
          </cell>
          <cell r="Z1320">
            <v>44978.538333333338</v>
          </cell>
          <cell r="AA1320">
            <v>38189.324999999997</v>
          </cell>
          <cell r="AB1320">
            <v>126449.09833333334</v>
          </cell>
          <cell r="AC1320">
            <v>0</v>
          </cell>
          <cell r="AD1320">
            <v>0</v>
          </cell>
          <cell r="AE1320">
            <v>0</v>
          </cell>
          <cell r="AF1320">
            <v>0</v>
          </cell>
          <cell r="AG1320">
            <v>0</v>
          </cell>
          <cell r="AH1320">
            <v>0</v>
          </cell>
        </row>
        <row r="1321">
          <cell r="B1321" t="str">
            <v>GTZ</v>
          </cell>
          <cell r="E1321" t="str">
            <v>EP/LABE</v>
          </cell>
          <cell r="F1321" t="str">
            <v>GTZ/LABE</v>
          </cell>
          <cell r="G1321">
            <v>12</v>
          </cell>
          <cell r="H1321" t="str">
            <v>Formation Filles, enseignantes, mères 6-8 préfectures</v>
          </cell>
          <cell r="I1321" t="str">
            <v>PROPEB</v>
          </cell>
          <cell r="K1321" t="str">
            <v>PROPEB</v>
          </cell>
          <cell r="M1321">
            <v>43281.235000000001</v>
          </cell>
          <cell r="N1321">
            <v>44978.538333333338</v>
          </cell>
          <cell r="O1321">
            <v>38189.324999999997</v>
          </cell>
          <cell r="P1321">
            <v>126449.09833333334</v>
          </cell>
          <cell r="Q1321" t="str">
            <v>forfait</v>
          </cell>
          <cell r="S1321">
            <v>1</v>
          </cell>
          <cell r="T1321">
            <v>1</v>
          </cell>
          <cell r="U1321">
            <v>43281.235000000001</v>
          </cell>
          <cell r="V1321">
            <v>44978.538333333338</v>
          </cell>
          <cell r="W1321">
            <v>38189.324999999997</v>
          </cell>
          <cell r="X1321">
            <v>126449.09833333334</v>
          </cell>
          <cell r="Y1321">
            <v>43281.235000000001</v>
          </cell>
          <cell r="Z1321">
            <v>44978.538333333338</v>
          </cell>
          <cell r="AA1321">
            <v>38189.324999999997</v>
          </cell>
          <cell r="AB1321">
            <v>126449.09833333334</v>
          </cell>
          <cell r="AC1321">
            <v>0</v>
          </cell>
          <cell r="AD1321">
            <v>0</v>
          </cell>
          <cell r="AE1321">
            <v>0</v>
          </cell>
          <cell r="AF1321">
            <v>0</v>
          </cell>
          <cell r="AG1321">
            <v>0</v>
          </cell>
          <cell r="AH1321">
            <v>0</v>
          </cell>
        </row>
        <row r="1322">
          <cell r="B1322" t="str">
            <v>GTZ</v>
          </cell>
          <cell r="E1322" t="str">
            <v>EP/MALI</v>
          </cell>
          <cell r="F1322" t="str">
            <v>GTZ/LABE</v>
          </cell>
          <cell r="G1322">
            <v>12</v>
          </cell>
          <cell r="H1322" t="str">
            <v>Formation Filles, enseignantes, mères 6-8 préfectures</v>
          </cell>
          <cell r="I1322" t="str">
            <v>PROPEB</v>
          </cell>
          <cell r="K1322" t="str">
            <v>PROPEB</v>
          </cell>
          <cell r="M1322">
            <v>43281.235000000001</v>
          </cell>
          <cell r="N1322">
            <v>44978.538333333338</v>
          </cell>
          <cell r="O1322">
            <v>38189.324999999997</v>
          </cell>
          <cell r="P1322">
            <v>126449.09833333334</v>
          </cell>
          <cell r="Q1322" t="str">
            <v>forfait</v>
          </cell>
          <cell r="S1322">
            <v>1</v>
          </cell>
          <cell r="T1322">
            <v>1</v>
          </cell>
          <cell r="U1322">
            <v>43281.235000000001</v>
          </cell>
          <cell r="V1322">
            <v>44978.538333333338</v>
          </cell>
          <cell r="W1322">
            <v>38189.324999999997</v>
          </cell>
          <cell r="X1322">
            <v>126449.09833333334</v>
          </cell>
          <cell r="Y1322">
            <v>43281.235000000001</v>
          </cell>
          <cell r="Z1322">
            <v>44978.538333333338</v>
          </cell>
          <cell r="AA1322">
            <v>38189.324999999997</v>
          </cell>
          <cell r="AB1322">
            <v>126449.09833333334</v>
          </cell>
          <cell r="AC1322">
            <v>0</v>
          </cell>
          <cell r="AD1322">
            <v>0</v>
          </cell>
          <cell r="AE1322">
            <v>0</v>
          </cell>
          <cell r="AF1322">
            <v>0</v>
          </cell>
          <cell r="AG1322">
            <v>0</v>
          </cell>
          <cell r="AH1322">
            <v>0</v>
          </cell>
        </row>
        <row r="1323">
          <cell r="B1323" t="str">
            <v>GTZ</v>
          </cell>
          <cell r="E1323" t="str">
            <v>EP/DALA</v>
          </cell>
          <cell r="F1323" t="str">
            <v>GTZ/MAMO</v>
          </cell>
          <cell r="G1323">
            <v>15</v>
          </cell>
          <cell r="H1323" t="str">
            <v>Subventions locales</v>
          </cell>
          <cell r="I1323" t="str">
            <v>PROPEB</v>
          </cell>
          <cell r="K1323" t="str">
            <v>PROPEB</v>
          </cell>
          <cell r="M1323">
            <v>8486.5166666666664</v>
          </cell>
          <cell r="N1323">
            <v>8486.5166666666664</v>
          </cell>
          <cell r="O1323">
            <v>8486.5166666666664</v>
          </cell>
          <cell r="P1323">
            <v>25459.55</v>
          </cell>
          <cell r="Q1323" t="str">
            <v>forfait</v>
          </cell>
          <cell r="S1323">
            <v>1</v>
          </cell>
          <cell r="T1323">
            <v>1</v>
          </cell>
          <cell r="U1323">
            <v>8486.5166666666664</v>
          </cell>
          <cell r="V1323">
            <v>8486.5166666666664</v>
          </cell>
          <cell r="W1323">
            <v>8486.5166666666664</v>
          </cell>
          <cell r="X1323">
            <v>25459.55</v>
          </cell>
          <cell r="Y1323">
            <v>8486.5166666666664</v>
          </cell>
          <cell r="Z1323">
            <v>8486.5166666666664</v>
          </cell>
          <cell r="AA1323">
            <v>8486.5166666666664</v>
          </cell>
          <cell r="AB1323">
            <v>25459.55</v>
          </cell>
          <cell r="AC1323">
            <v>0</v>
          </cell>
          <cell r="AD1323">
            <v>0</v>
          </cell>
          <cell r="AE1323">
            <v>0</v>
          </cell>
          <cell r="AF1323">
            <v>0</v>
          </cell>
          <cell r="AG1323">
            <v>0</v>
          </cell>
          <cell r="AH1323">
            <v>0</v>
          </cell>
        </row>
        <row r="1324">
          <cell r="B1324" t="str">
            <v>GTZ</v>
          </cell>
          <cell r="E1324" t="str">
            <v>EP/PITA</v>
          </cell>
          <cell r="F1324" t="str">
            <v>GTZ/MAMO</v>
          </cell>
          <cell r="G1324">
            <v>15</v>
          </cell>
          <cell r="H1324" t="str">
            <v>Subventions locales</v>
          </cell>
          <cell r="I1324" t="str">
            <v>PROPEB</v>
          </cell>
          <cell r="K1324" t="str">
            <v>PROPEB</v>
          </cell>
          <cell r="M1324">
            <v>8486.5166666666664</v>
          </cell>
          <cell r="N1324">
            <v>8486.5166666666664</v>
          </cell>
          <cell r="O1324">
            <v>8486.5166666666664</v>
          </cell>
          <cell r="P1324">
            <v>25459.55</v>
          </cell>
          <cell r="Q1324" t="str">
            <v>forfait</v>
          </cell>
          <cell r="S1324">
            <v>1</v>
          </cell>
          <cell r="T1324">
            <v>1</v>
          </cell>
          <cell r="U1324">
            <v>8486.5166666666664</v>
          </cell>
          <cell r="V1324">
            <v>8486.5166666666664</v>
          </cell>
          <cell r="W1324">
            <v>8486.5166666666664</v>
          </cell>
          <cell r="X1324">
            <v>25459.55</v>
          </cell>
          <cell r="Y1324">
            <v>8486.5166666666664</v>
          </cell>
          <cell r="Z1324">
            <v>8486.5166666666664</v>
          </cell>
          <cell r="AA1324">
            <v>8486.5166666666664</v>
          </cell>
          <cell r="AB1324">
            <v>25459.55</v>
          </cell>
          <cell r="AC1324">
            <v>0</v>
          </cell>
          <cell r="AD1324">
            <v>0</v>
          </cell>
          <cell r="AE1324">
            <v>0</v>
          </cell>
          <cell r="AF1324">
            <v>0</v>
          </cell>
          <cell r="AG1324">
            <v>0</v>
          </cell>
          <cell r="AH1324">
            <v>0</v>
          </cell>
        </row>
        <row r="1325">
          <cell r="B1325" t="str">
            <v>GTZ</v>
          </cell>
          <cell r="E1325" t="str">
            <v>EP/MAMO</v>
          </cell>
          <cell r="F1325" t="str">
            <v>GTZ/MAMO</v>
          </cell>
          <cell r="G1325">
            <v>15</v>
          </cell>
          <cell r="H1325" t="str">
            <v>Subventions locales</v>
          </cell>
          <cell r="I1325" t="str">
            <v>PROPEB</v>
          </cell>
          <cell r="K1325" t="str">
            <v>PROPEB</v>
          </cell>
          <cell r="M1325">
            <v>8486.5166666666664</v>
          </cell>
          <cell r="N1325">
            <v>8486.5166666666664</v>
          </cell>
          <cell r="O1325">
            <v>8486.5166666666664</v>
          </cell>
          <cell r="P1325">
            <v>25459.55</v>
          </cell>
          <cell r="Q1325" t="str">
            <v>forfait</v>
          </cell>
          <cell r="S1325">
            <v>1</v>
          </cell>
          <cell r="T1325">
            <v>1</v>
          </cell>
          <cell r="U1325">
            <v>8486.5166666666664</v>
          </cell>
          <cell r="V1325">
            <v>8486.5166666666664</v>
          </cell>
          <cell r="W1325">
            <v>8486.5166666666664</v>
          </cell>
          <cell r="X1325">
            <v>25459.55</v>
          </cell>
          <cell r="Y1325">
            <v>8486.5166666666664</v>
          </cell>
          <cell r="Z1325">
            <v>8486.5166666666664</v>
          </cell>
          <cell r="AA1325">
            <v>8486.5166666666664</v>
          </cell>
          <cell r="AB1325">
            <v>25459.55</v>
          </cell>
          <cell r="AC1325">
            <v>0</v>
          </cell>
          <cell r="AD1325">
            <v>0</v>
          </cell>
          <cell r="AE1325">
            <v>0</v>
          </cell>
          <cell r="AF1325">
            <v>0</v>
          </cell>
          <cell r="AG1325">
            <v>0</v>
          </cell>
          <cell r="AH1325">
            <v>0</v>
          </cell>
        </row>
        <row r="1326">
          <cell r="B1326" t="str">
            <v>GTZ</v>
          </cell>
          <cell r="E1326" t="str">
            <v>EP/TOUG</v>
          </cell>
          <cell r="F1326" t="str">
            <v>GTZ/LABE</v>
          </cell>
          <cell r="G1326">
            <v>15</v>
          </cell>
          <cell r="H1326" t="str">
            <v>Subventions locales</v>
          </cell>
          <cell r="I1326" t="str">
            <v>PROPEB</v>
          </cell>
          <cell r="K1326" t="str">
            <v>PROPEB</v>
          </cell>
          <cell r="M1326">
            <v>8486.5166666666664</v>
          </cell>
          <cell r="N1326">
            <v>8486.5166666666664</v>
          </cell>
          <cell r="O1326">
            <v>8486.5166666666664</v>
          </cell>
          <cell r="P1326">
            <v>25459.55</v>
          </cell>
          <cell r="Q1326" t="str">
            <v>forfait</v>
          </cell>
          <cell r="S1326">
            <v>1</v>
          </cell>
          <cell r="T1326">
            <v>1</v>
          </cell>
          <cell r="U1326">
            <v>8486.5166666666664</v>
          </cell>
          <cell r="V1326">
            <v>8486.5166666666664</v>
          </cell>
          <cell r="W1326">
            <v>8486.5166666666664</v>
          </cell>
          <cell r="X1326">
            <v>25459.55</v>
          </cell>
          <cell r="Y1326">
            <v>8486.5166666666664</v>
          </cell>
          <cell r="Z1326">
            <v>8486.5166666666664</v>
          </cell>
          <cell r="AA1326">
            <v>8486.5166666666664</v>
          </cell>
          <cell r="AB1326">
            <v>25459.55</v>
          </cell>
          <cell r="AC1326">
            <v>0</v>
          </cell>
          <cell r="AD1326">
            <v>0</v>
          </cell>
          <cell r="AE1326">
            <v>0</v>
          </cell>
          <cell r="AF1326">
            <v>0</v>
          </cell>
          <cell r="AG1326">
            <v>0</v>
          </cell>
          <cell r="AH1326">
            <v>0</v>
          </cell>
        </row>
        <row r="1327">
          <cell r="B1327" t="str">
            <v>GTZ</v>
          </cell>
          <cell r="E1327" t="str">
            <v>EP/LABE</v>
          </cell>
          <cell r="F1327" t="str">
            <v>GTZ/LABE</v>
          </cell>
          <cell r="G1327">
            <v>15</v>
          </cell>
          <cell r="H1327" t="str">
            <v>Subventions locales</v>
          </cell>
          <cell r="I1327" t="str">
            <v>PROPEB</v>
          </cell>
          <cell r="K1327" t="str">
            <v>PROPEB</v>
          </cell>
          <cell r="M1327">
            <v>8486.5166666666664</v>
          </cell>
          <cell r="N1327">
            <v>8486.5166666666664</v>
          </cell>
          <cell r="O1327">
            <v>8486.5166666666664</v>
          </cell>
          <cell r="P1327">
            <v>25459.55</v>
          </cell>
          <cell r="Q1327" t="str">
            <v>forfait</v>
          </cell>
          <cell r="S1327">
            <v>1</v>
          </cell>
          <cell r="T1327">
            <v>1</v>
          </cell>
          <cell r="U1327">
            <v>8486.5166666666664</v>
          </cell>
          <cell r="V1327">
            <v>8486.5166666666664</v>
          </cell>
          <cell r="W1327">
            <v>8486.5166666666664</v>
          </cell>
          <cell r="X1327">
            <v>25459.55</v>
          </cell>
          <cell r="Y1327">
            <v>8486.5166666666664</v>
          </cell>
          <cell r="Z1327">
            <v>8486.5166666666664</v>
          </cell>
          <cell r="AA1327">
            <v>8486.5166666666664</v>
          </cell>
          <cell r="AB1327">
            <v>25459.55</v>
          </cell>
          <cell r="AC1327">
            <v>0</v>
          </cell>
          <cell r="AD1327">
            <v>0</v>
          </cell>
          <cell r="AE1327">
            <v>0</v>
          </cell>
          <cell r="AF1327">
            <v>0</v>
          </cell>
          <cell r="AG1327">
            <v>0</v>
          </cell>
          <cell r="AH1327">
            <v>0</v>
          </cell>
        </row>
        <row r="1328">
          <cell r="B1328" t="str">
            <v>GTZ</v>
          </cell>
          <cell r="E1328" t="str">
            <v>EP/MALI</v>
          </cell>
          <cell r="F1328" t="str">
            <v>GTZ/LABE</v>
          </cell>
          <cell r="G1328">
            <v>15</v>
          </cell>
          <cell r="H1328" t="str">
            <v>Subventions locales</v>
          </cell>
          <cell r="I1328" t="str">
            <v>PROPEB</v>
          </cell>
          <cell r="K1328" t="str">
            <v>PROPEB</v>
          </cell>
          <cell r="M1328">
            <v>8486.5166666666664</v>
          </cell>
          <cell r="N1328">
            <v>8486.5166666666664</v>
          </cell>
          <cell r="O1328">
            <v>8486.5166666666664</v>
          </cell>
          <cell r="P1328">
            <v>25459.55</v>
          </cell>
          <cell r="Q1328" t="str">
            <v>forfait</v>
          </cell>
          <cell r="S1328">
            <v>1</v>
          </cell>
          <cell r="T1328">
            <v>1</v>
          </cell>
          <cell r="U1328">
            <v>8486.5166666666664</v>
          </cell>
          <cell r="V1328">
            <v>8486.5166666666664</v>
          </cell>
          <cell r="W1328">
            <v>8486.5166666666664</v>
          </cell>
          <cell r="X1328">
            <v>25459.55</v>
          </cell>
          <cell r="Y1328">
            <v>8486.5166666666664</v>
          </cell>
          <cell r="Z1328">
            <v>8486.5166666666664</v>
          </cell>
          <cell r="AA1328">
            <v>8486.5166666666664</v>
          </cell>
          <cell r="AB1328">
            <v>25459.55</v>
          </cell>
          <cell r="AC1328">
            <v>0</v>
          </cell>
          <cell r="AD1328">
            <v>0</v>
          </cell>
          <cell r="AE1328">
            <v>0</v>
          </cell>
          <cell r="AF1328">
            <v>0</v>
          </cell>
          <cell r="AG1328">
            <v>0</v>
          </cell>
          <cell r="AH1328">
            <v>0</v>
          </cell>
        </row>
        <row r="1330">
          <cell r="O1330">
            <v>44.016365708753277</v>
          </cell>
          <cell r="W1330">
            <v>2384102.4322489128</v>
          </cell>
          <cell r="AA1330">
            <v>2384102.4322489128</v>
          </cell>
          <cell r="AE1330">
            <v>0</v>
          </cell>
        </row>
        <row r="1331">
          <cell r="O1331">
            <v>145.36214558626764</v>
          </cell>
          <cell r="W1331">
            <v>7873395.253534602</v>
          </cell>
          <cell r="AA1331">
            <v>7873395.253534602</v>
          </cell>
          <cell r="AE1331">
            <v>0</v>
          </cell>
        </row>
        <row r="1332">
          <cell r="O1332">
            <v>11.413027290236663</v>
          </cell>
          <cell r="W1332">
            <v>618175.21014837874</v>
          </cell>
          <cell r="AA1332">
            <v>618175.21014837874</v>
          </cell>
          <cell r="AE1332">
            <v>0</v>
          </cell>
        </row>
        <row r="1333">
          <cell r="O1333">
            <v>57.429420761224414</v>
          </cell>
          <cell r="W1333">
            <v>3110607.1461109594</v>
          </cell>
          <cell r="AA1333">
            <v>3110607.1461109594</v>
          </cell>
          <cell r="AE1333">
            <v>0</v>
          </cell>
        </row>
        <row r="1334">
          <cell r="O1334">
            <v>10.247797478218571</v>
          </cell>
          <cell r="W1334">
            <v>555061.70261023077</v>
          </cell>
          <cell r="AA1334">
            <v>555061.70261023077</v>
          </cell>
          <cell r="AE1334">
            <v>0</v>
          </cell>
        </row>
        <row r="1335">
          <cell r="O1335">
            <v>25.580334097331882</v>
          </cell>
          <cell r="W1335">
            <v>1385533.2160478842</v>
          </cell>
          <cell r="AA1335">
            <v>1385533.2160478842</v>
          </cell>
          <cell r="AE1335">
            <v>0</v>
          </cell>
        </row>
        <row r="1336">
          <cell r="O1336">
            <v>11.350160634740552</v>
          </cell>
          <cell r="W1336">
            <v>614770.10062008735</v>
          </cell>
          <cell r="AA1336">
            <v>614770.10062008735</v>
          </cell>
          <cell r="AE1336">
            <v>0</v>
          </cell>
        </row>
        <row r="1337">
          <cell r="O1337">
            <v>27.593705710626871</v>
          </cell>
          <cell r="W1337">
            <v>1494585.4761103941</v>
          </cell>
          <cell r="AA1337">
            <v>1494585.4761103941</v>
          </cell>
          <cell r="AE1337">
            <v>0</v>
          </cell>
        </row>
        <row r="1338">
          <cell r="O1338">
            <v>95.372894283096826</v>
          </cell>
          <cell r="W1338">
            <v>5165777.4459496569</v>
          </cell>
          <cell r="AA1338">
            <v>5165777.4459496569</v>
          </cell>
          <cell r="AE1338">
            <v>0</v>
          </cell>
        </row>
        <row r="1339">
          <cell r="O1339">
            <v>22.979796944075218</v>
          </cell>
          <cell r="W1339">
            <v>1244677.7216788903</v>
          </cell>
          <cell r="AA1339">
            <v>1244677.7216788903</v>
          </cell>
          <cell r="AE1339">
            <v>0</v>
          </cell>
        </row>
        <row r="1340">
          <cell r="O1340">
            <v>39.602063271879281</v>
          </cell>
          <cell r="W1340">
            <v>2145006.1550580696</v>
          </cell>
          <cell r="AA1340">
            <v>2145006.1550580696</v>
          </cell>
          <cell r="AE1340">
            <v>0</v>
          </cell>
        </row>
        <row r="1341">
          <cell r="O1341">
            <v>62.334218093018038</v>
          </cell>
          <cell r="W1341">
            <v>3376270.5887902295</v>
          </cell>
          <cell r="AA1341">
            <v>3376270.5887902295</v>
          </cell>
          <cell r="AE1341">
            <v>0</v>
          </cell>
        </row>
        <row r="1342">
          <cell r="O1342">
            <v>10.389128481265125</v>
          </cell>
          <cell r="W1342">
            <v>562716.75505924434</v>
          </cell>
          <cell r="AA1342">
            <v>562716.75505924434</v>
          </cell>
          <cell r="AE1342">
            <v>0</v>
          </cell>
        </row>
        <row r="1343">
          <cell r="O1343">
            <v>8.089303715669785E-2</v>
          </cell>
          <cell r="W1343">
            <v>4381.4904645553834</v>
          </cell>
          <cell r="AA1343">
            <v>4381.4904645553834</v>
          </cell>
          <cell r="AE1343">
            <v>0</v>
          </cell>
        </row>
        <row r="1344">
          <cell r="O1344">
            <v>63.39989359788386</v>
          </cell>
          <cell r="W1344">
            <v>3433991.836835782</v>
          </cell>
          <cell r="AA1344">
            <v>3433991.836835782</v>
          </cell>
          <cell r="AE1344">
            <v>0</v>
          </cell>
        </row>
        <row r="1345">
          <cell r="O1345">
            <v>76.505812287890592</v>
          </cell>
          <cell r="W1345">
            <v>4143860.8167613065</v>
          </cell>
          <cell r="AA1345">
            <v>4143860.8167613065</v>
          </cell>
          <cell r="AE1345">
            <v>0</v>
          </cell>
        </row>
        <row r="1346">
          <cell r="O1346">
            <v>52.886453316057946</v>
          </cell>
          <cell r="W1346">
            <v>2864541.8574109632</v>
          </cell>
          <cell r="AA1346">
            <v>2864541.8574109632</v>
          </cell>
          <cell r="AE1346">
            <v>0</v>
          </cell>
        </row>
        <row r="1347">
          <cell r="O1347">
            <v>83.255184107356854</v>
          </cell>
          <cell r="W1347">
            <v>4509433.7919908771</v>
          </cell>
          <cell r="AA1347">
            <v>4509433.7919908771</v>
          </cell>
          <cell r="AE1347">
            <v>0</v>
          </cell>
        </row>
        <row r="1348">
          <cell r="O1348">
            <v>85.584625299009417</v>
          </cell>
          <cell r="W1348">
            <v>4635605.6446955465</v>
          </cell>
          <cell r="AA1348">
            <v>4635605.6446955465</v>
          </cell>
          <cell r="AE1348">
            <v>0</v>
          </cell>
        </row>
        <row r="1349">
          <cell r="O1349">
            <v>27.167893000079999</v>
          </cell>
          <cell r="W1349">
            <v>1471521.7564563332</v>
          </cell>
          <cell r="AA1349">
            <v>1471521.7564563332</v>
          </cell>
          <cell r="AE1349">
            <v>0</v>
          </cell>
        </row>
        <row r="1350">
          <cell r="O1350">
            <v>6.0058527380981589E-3</v>
          </cell>
          <cell r="W1350">
            <v>325.30100770634874</v>
          </cell>
          <cell r="AA1350">
            <v>325.30100770634874</v>
          </cell>
          <cell r="AE1350">
            <v>0</v>
          </cell>
        </row>
        <row r="1351">
          <cell r="O1351">
            <v>160.63179736305534</v>
          </cell>
          <cell r="W1351">
            <v>8700460.6723725311</v>
          </cell>
          <cell r="AA1351">
            <v>8700460.6723725311</v>
          </cell>
          <cell r="AE1351">
            <v>0</v>
          </cell>
        </row>
        <row r="1352">
          <cell r="O1352">
            <v>103.39606574560996</v>
          </cell>
          <cell r="W1352">
            <v>5600344.5050452184</v>
          </cell>
          <cell r="AA1352">
            <v>5600344.5050452184</v>
          </cell>
          <cell r="AE1352">
            <v>0</v>
          </cell>
        </row>
        <row r="1353">
          <cell r="O1353">
            <v>53.527773948491912</v>
          </cell>
          <cell r="W1353">
            <v>2899278.3481461164</v>
          </cell>
          <cell r="AA1353">
            <v>2899278.3481461164</v>
          </cell>
          <cell r="AE1353">
            <v>0</v>
          </cell>
        </row>
        <row r="1354">
          <cell r="O1354">
            <v>11.290465423741345</v>
          </cell>
          <cell r="W1354">
            <v>611536.76921152626</v>
          </cell>
          <cell r="AA1354">
            <v>611536.76921152626</v>
          </cell>
          <cell r="AE1354">
            <v>0</v>
          </cell>
        </row>
        <row r="1355">
          <cell r="O1355">
            <v>34.946173642894934</v>
          </cell>
          <cell r="W1355">
            <v>1892824.5491937615</v>
          </cell>
          <cell r="AA1355">
            <v>1892824.5491937615</v>
          </cell>
          <cell r="AE1355">
            <v>0</v>
          </cell>
        </row>
        <row r="1356">
          <cell r="O1356">
            <v>54.516177338398329</v>
          </cell>
          <cell r="W1356">
            <v>2952814.2293570074</v>
          </cell>
          <cell r="AA1356">
            <v>2952814.2293570074</v>
          </cell>
          <cell r="AE1356">
            <v>0</v>
          </cell>
        </row>
        <row r="1357">
          <cell r="O1357">
            <v>49.213480631766323</v>
          </cell>
          <cell r="W1357">
            <v>2665598.9649389917</v>
          </cell>
          <cell r="AA1357">
            <v>2665598.9649389917</v>
          </cell>
          <cell r="AE1357">
            <v>0</v>
          </cell>
        </row>
        <row r="1358">
          <cell r="O1358">
            <v>23.868744839329384</v>
          </cell>
          <cell r="W1358">
            <v>1292826.695477437</v>
          </cell>
          <cell r="AA1358">
            <v>1292826.695477437</v>
          </cell>
          <cell r="AE1358">
            <v>0</v>
          </cell>
        </row>
        <row r="1359">
          <cell r="O1359">
            <v>25.821072514701797</v>
          </cell>
          <cell r="W1359">
            <v>1398572.5716863084</v>
          </cell>
          <cell r="AA1359">
            <v>1398572.5716863084</v>
          </cell>
          <cell r="AE1359">
            <v>0</v>
          </cell>
        </row>
        <row r="1360">
          <cell r="O1360">
            <v>25.747439982050494</v>
          </cell>
          <cell r="W1360">
            <v>1394584.3391877832</v>
          </cell>
          <cell r="AA1360">
            <v>1394584.3391877832</v>
          </cell>
          <cell r="AE1360">
            <v>0</v>
          </cell>
        </row>
        <row r="1361">
          <cell r="O1361">
            <v>34.646065547088668</v>
          </cell>
          <cell r="W1361">
            <v>1876569.4942925109</v>
          </cell>
          <cell r="AA1361">
            <v>1876569.4942925109</v>
          </cell>
          <cell r="AE1361">
            <v>0</v>
          </cell>
        </row>
        <row r="1362">
          <cell r="O1362">
            <v>31.186209791845922</v>
          </cell>
          <cell r="W1362">
            <v>1689169.8671655427</v>
          </cell>
          <cell r="AA1362">
            <v>1689169.8671655427</v>
          </cell>
          <cell r="AE1362">
            <v>0</v>
          </cell>
        </row>
        <row r="1363">
          <cell r="O1363">
            <v>246.99284796226041</v>
          </cell>
          <cell r="W1363">
            <v>13378120.617027875</v>
          </cell>
          <cell r="AA1363">
            <v>13378120.617027875</v>
          </cell>
          <cell r="AE1363">
            <v>0</v>
          </cell>
        </row>
        <row r="1364">
          <cell r="O1364">
            <v>34.149058941254403</v>
          </cell>
          <cell r="W1364">
            <v>1849649.6284941037</v>
          </cell>
          <cell r="AA1364">
            <v>1849649.6284941037</v>
          </cell>
          <cell r="AE1364">
            <v>0</v>
          </cell>
        </row>
        <row r="1365">
          <cell r="O1365">
            <v>130.2422677272007</v>
          </cell>
          <cell r="W1365">
            <v>7054442.1891760994</v>
          </cell>
          <cell r="AA1365">
            <v>7054442.1891760994</v>
          </cell>
          <cell r="AE1365">
            <v>0</v>
          </cell>
        </row>
        <row r="1366">
          <cell r="O1366">
            <v>25.772644934729598</v>
          </cell>
          <cell r="W1366">
            <v>1395949.5402446941</v>
          </cell>
          <cell r="AA1366">
            <v>1395949.5402446941</v>
          </cell>
          <cell r="AE1366">
            <v>0</v>
          </cell>
        </row>
        <row r="1367">
          <cell r="O1367">
            <v>108.62053170134575</v>
          </cell>
          <cell r="W1367">
            <v>5883322.4790716926</v>
          </cell>
          <cell r="AA1367">
            <v>5883322.4790716926</v>
          </cell>
          <cell r="AE1367">
            <v>0</v>
          </cell>
        </row>
        <row r="1368">
          <cell r="O1368">
            <v>1.0820399999999992</v>
          </cell>
          <cell r="W1368">
            <v>35164.568735999979</v>
          </cell>
          <cell r="AA1368">
            <v>35164.568735999979</v>
          </cell>
          <cell r="AE1368">
            <v>0</v>
          </cell>
        </row>
        <row r="1369">
          <cell r="O1369">
            <v>19.043649999999996</v>
          </cell>
          <cell r="W1369">
            <v>618888.15515999985</v>
          </cell>
          <cell r="AA1369">
            <v>618888.15515999985</v>
          </cell>
          <cell r="AE1369">
            <v>0</v>
          </cell>
        </row>
        <row r="1370">
          <cell r="O1370">
            <v>7.6762999999999995</v>
          </cell>
          <cell r="W1370">
            <v>249467.46792</v>
          </cell>
          <cell r="AA1370">
            <v>249467.46792</v>
          </cell>
          <cell r="AE1370">
            <v>0</v>
          </cell>
        </row>
        <row r="1371">
          <cell r="O1371">
            <v>0</v>
          </cell>
          <cell r="W1371">
            <v>0</v>
          </cell>
          <cell r="AA1371">
            <v>0</v>
          </cell>
          <cell r="AE1371">
            <v>0</v>
          </cell>
        </row>
        <row r="1372">
          <cell r="O1372">
            <v>7.2527799999999996</v>
          </cell>
          <cell r="W1372">
            <v>235703.74555200001</v>
          </cell>
          <cell r="AA1372">
            <v>235703.74555200001</v>
          </cell>
          <cell r="AE1372">
            <v>0</v>
          </cell>
        </row>
        <row r="1373">
          <cell r="O1373">
            <v>5.1616499999999998</v>
          </cell>
          <cell r="W1373">
            <v>167745.36636000001</v>
          </cell>
          <cell r="AA1373">
            <v>167745.36636000001</v>
          </cell>
          <cell r="AE1373">
            <v>0</v>
          </cell>
        </row>
        <row r="1374">
          <cell r="O1374">
            <v>5.3734099999999998</v>
          </cell>
          <cell r="W1374">
            <v>174627.22754399999</v>
          </cell>
          <cell r="AA1374">
            <v>174627.22754399999</v>
          </cell>
          <cell r="AE1374">
            <v>0</v>
          </cell>
        </row>
        <row r="1375">
          <cell r="O1375">
            <v>7.014549999999999</v>
          </cell>
          <cell r="W1375">
            <v>227961.65171999997</v>
          </cell>
          <cell r="AA1375">
            <v>227961.65171999997</v>
          </cell>
          <cell r="AE1375">
            <v>0</v>
          </cell>
        </row>
        <row r="1376">
          <cell r="O1376">
            <v>13.155589999999998</v>
          </cell>
          <cell r="W1376">
            <v>427535.62605599995</v>
          </cell>
          <cell r="AA1376">
            <v>427535.62605599995</v>
          </cell>
          <cell r="AE1376">
            <v>0</v>
          </cell>
        </row>
        <row r="1377">
          <cell r="O1377">
            <v>8.4439299999999982</v>
          </cell>
          <cell r="W1377">
            <v>274414.21471199993</v>
          </cell>
          <cell r="AA1377">
            <v>274414.21471199993</v>
          </cell>
          <cell r="AE1377">
            <v>0</v>
          </cell>
        </row>
        <row r="1378">
          <cell r="O1378">
            <v>10.826229999999999</v>
          </cell>
          <cell r="W1378">
            <v>351835.153032</v>
          </cell>
          <cell r="AA1378">
            <v>351835.153032</v>
          </cell>
          <cell r="AE1378">
            <v>0</v>
          </cell>
        </row>
        <row r="1379">
          <cell r="O1379">
            <v>8.4497899999999984</v>
          </cell>
          <cell r="W1379">
            <v>274604.65533599997</v>
          </cell>
          <cell r="AA1379">
            <v>274604.65533599997</v>
          </cell>
          <cell r="AE1379">
            <v>0</v>
          </cell>
        </row>
        <row r="1380">
          <cell r="O1380">
            <v>15.034959999999998</v>
          </cell>
          <cell r="W1380">
            <v>488612.14406399993</v>
          </cell>
          <cell r="AA1380">
            <v>488612.14406399993</v>
          </cell>
          <cell r="AE1380">
            <v>0</v>
          </cell>
        </row>
        <row r="1381">
          <cell r="O1381">
            <v>22.637709999999998</v>
          </cell>
          <cell r="W1381">
            <v>735689.35466399998</v>
          </cell>
          <cell r="AA1381">
            <v>735689.35466399998</v>
          </cell>
          <cell r="AE1381">
            <v>0</v>
          </cell>
        </row>
        <row r="1382">
          <cell r="O1382">
            <v>19.599519999999998</v>
          </cell>
          <cell r="W1382">
            <v>636953.04076799995</v>
          </cell>
          <cell r="AA1382">
            <v>636953.04076799995</v>
          </cell>
          <cell r="AE1382">
            <v>0</v>
          </cell>
        </row>
        <row r="1383">
          <cell r="O1383">
            <v>8.4174599999999984</v>
          </cell>
          <cell r="W1383">
            <v>273553.98206399998</v>
          </cell>
          <cell r="AA1383">
            <v>273553.98206399998</v>
          </cell>
          <cell r="AE1383">
            <v>0</v>
          </cell>
        </row>
        <row r="1384">
          <cell r="O1384">
            <v>11.632049999999998</v>
          </cell>
          <cell r="W1384">
            <v>378023.01371999993</v>
          </cell>
          <cell r="AA1384">
            <v>378023.01371999993</v>
          </cell>
          <cell r="AE1384">
            <v>0</v>
          </cell>
        </row>
        <row r="1385">
          <cell r="O1385">
            <v>9.1173999999999982</v>
          </cell>
          <cell r="W1385">
            <v>296300.91215999995</v>
          </cell>
          <cell r="AA1385">
            <v>296300.91215999995</v>
          </cell>
          <cell r="AE1385">
            <v>0</v>
          </cell>
        </row>
        <row r="1386">
          <cell r="O1386">
            <v>15.740759999999998</v>
          </cell>
          <cell r="W1386">
            <v>511549.51478399994</v>
          </cell>
          <cell r="AA1386">
            <v>511549.51478399994</v>
          </cell>
          <cell r="AE1386">
            <v>0</v>
          </cell>
        </row>
        <row r="1387">
          <cell r="O1387">
            <v>8.5762799999999988</v>
          </cell>
          <cell r="W1387">
            <v>278715.37795199995</v>
          </cell>
          <cell r="AA1387">
            <v>278715.37795199995</v>
          </cell>
          <cell r="AE1387">
            <v>0</v>
          </cell>
        </row>
        <row r="1388">
          <cell r="O1388">
            <v>6.8761399999999977</v>
          </cell>
          <cell r="W1388">
            <v>223463.54817599992</v>
          </cell>
          <cell r="AA1388">
            <v>223463.54817599992</v>
          </cell>
          <cell r="AE1388">
            <v>0</v>
          </cell>
        </row>
        <row r="1389">
          <cell r="O1389">
            <v>12.114369999999997</v>
          </cell>
          <cell r="W1389">
            <v>393697.64200799994</v>
          </cell>
          <cell r="AA1389">
            <v>393697.64200799994</v>
          </cell>
          <cell r="AE1389">
            <v>0</v>
          </cell>
        </row>
        <row r="1390">
          <cell r="O1390">
            <v>24.034759999999999</v>
          </cell>
          <cell r="W1390">
            <v>781091.24438399996</v>
          </cell>
          <cell r="AA1390">
            <v>781091.24438399996</v>
          </cell>
          <cell r="AE1390">
            <v>0</v>
          </cell>
        </row>
        <row r="1391">
          <cell r="O1391">
            <v>18.714289999999998</v>
          </cell>
          <cell r="W1391">
            <v>608184.48213599995</v>
          </cell>
          <cell r="AA1391">
            <v>608184.48213599995</v>
          </cell>
          <cell r="AE1391">
            <v>0</v>
          </cell>
        </row>
        <row r="1392">
          <cell r="O1392">
            <v>8.3380499999999991</v>
          </cell>
          <cell r="W1392">
            <v>270973.28411999997</v>
          </cell>
          <cell r="AA1392">
            <v>270973.28411999997</v>
          </cell>
          <cell r="AE1392">
            <v>0</v>
          </cell>
        </row>
        <row r="1393">
          <cell r="O1393">
            <v>21.917159999999999</v>
          </cell>
          <cell r="W1393">
            <v>712272.63254400005</v>
          </cell>
          <cell r="AA1393">
            <v>712272.63254400005</v>
          </cell>
          <cell r="AE1393">
            <v>0</v>
          </cell>
        </row>
        <row r="1394">
          <cell r="O1394">
            <v>10.190949999999999</v>
          </cell>
          <cell r="W1394">
            <v>331189.56948000001</v>
          </cell>
          <cell r="AA1394">
            <v>331189.56948000001</v>
          </cell>
          <cell r="AE1394">
            <v>0</v>
          </cell>
        </row>
        <row r="1395">
          <cell r="O1395">
            <v>14.346739999999999</v>
          </cell>
          <cell r="W1395">
            <v>466246.09521599999</v>
          </cell>
          <cell r="AA1395">
            <v>466246.09521599999</v>
          </cell>
          <cell r="AE1395">
            <v>0</v>
          </cell>
        </row>
        <row r="1396">
          <cell r="O1396">
            <v>12.758539999999998</v>
          </cell>
          <cell r="W1396">
            <v>414632.13633599994</v>
          </cell>
          <cell r="AA1396">
            <v>414632.13633599994</v>
          </cell>
          <cell r="AE1396">
            <v>0</v>
          </cell>
        </row>
        <row r="1397">
          <cell r="O1397">
            <v>12.446759999999998</v>
          </cell>
          <cell r="W1397">
            <v>404499.78518399992</v>
          </cell>
          <cell r="AA1397">
            <v>404499.78518399992</v>
          </cell>
          <cell r="AE1397">
            <v>0</v>
          </cell>
        </row>
        <row r="1398">
          <cell r="O1398">
            <v>25.661149999999996</v>
          </cell>
          <cell r="W1398">
            <v>833946.31715999986</v>
          </cell>
          <cell r="AA1398">
            <v>833946.31715999986</v>
          </cell>
          <cell r="AE1398">
            <v>0</v>
          </cell>
        </row>
        <row r="1399">
          <cell r="O1399">
            <v>19.323099999999997</v>
          </cell>
          <cell r="W1399">
            <v>627969.83303999994</v>
          </cell>
          <cell r="AA1399">
            <v>627969.83303999994</v>
          </cell>
          <cell r="AE1399">
            <v>0</v>
          </cell>
        </row>
        <row r="1400">
          <cell r="O1400">
            <v>9.0703199999999988</v>
          </cell>
          <cell r="W1400">
            <v>294770.88748799998</v>
          </cell>
          <cell r="AA1400">
            <v>294770.88748799998</v>
          </cell>
          <cell r="AE1400">
            <v>0</v>
          </cell>
        </row>
        <row r="1401">
          <cell r="O1401">
            <v>13.914129999999997</v>
          </cell>
          <cell r="W1401">
            <v>452186.9623919999</v>
          </cell>
          <cell r="AA1401">
            <v>452186.9623919999</v>
          </cell>
          <cell r="AE1401">
            <v>0</v>
          </cell>
        </row>
        <row r="1402">
          <cell r="O1402">
            <v>9.7379299999999986</v>
          </cell>
          <cell r="W1402">
            <v>316467.14431199996</v>
          </cell>
          <cell r="AA1402">
            <v>316467.14431199996</v>
          </cell>
          <cell r="AE1402">
            <v>0</v>
          </cell>
        </row>
        <row r="1403">
          <cell r="O1403">
            <v>14.796529999999997</v>
          </cell>
          <cell r="W1403">
            <v>480863.55055199994</v>
          </cell>
          <cell r="AA1403">
            <v>480863.55055199994</v>
          </cell>
          <cell r="AE1403">
            <v>0</v>
          </cell>
        </row>
        <row r="1404">
          <cell r="O1404">
            <v>19.105279999999997</v>
          </cell>
          <cell r="W1404">
            <v>620891.03155199997</v>
          </cell>
          <cell r="AA1404">
            <v>620891.03155199997</v>
          </cell>
          <cell r="AE1404">
            <v>0</v>
          </cell>
        </row>
        <row r="1405">
          <cell r="O1405">
            <v>6.4467599999999976</v>
          </cell>
          <cell r="W1405">
            <v>209509.38518399993</v>
          </cell>
          <cell r="AA1405">
            <v>209509.38518399993</v>
          </cell>
          <cell r="AE1405">
            <v>0</v>
          </cell>
        </row>
      </sheetData>
      <sheetData sheetId="12"/>
      <sheetData sheetId="13"/>
      <sheetData sheetId="14"/>
      <sheetData sheetId="15"/>
      <sheetData sheetId="16"/>
      <sheetData sheetId="17">
        <row r="3">
          <cell r="P3">
            <v>6203.75</v>
          </cell>
        </row>
        <row r="4">
          <cell r="B4" t="str">
            <v>afa</v>
          </cell>
          <cell r="C4" t="str">
            <v>alphabétisation fonctionnelle d'un adulte</v>
          </cell>
          <cell r="D4">
            <v>59.088000000000008</v>
          </cell>
          <cell r="E4">
            <v>12</v>
          </cell>
          <cell r="P4">
            <v>6.2037500000000003</v>
          </cell>
        </row>
        <row r="5">
          <cell r="B5" t="str">
            <v>asn</v>
          </cell>
          <cell r="C5" t="str">
            <v>atelier et séminaire national</v>
          </cell>
          <cell r="D5">
            <v>147.72</v>
          </cell>
          <cell r="E5">
            <v>30</v>
          </cell>
          <cell r="P5">
            <v>4924</v>
          </cell>
        </row>
        <row r="6">
          <cell r="B6" t="str">
            <v>asp</v>
          </cell>
          <cell r="C6" t="str">
            <v>atelier et séminaire préfectoral</v>
          </cell>
          <cell r="D6">
            <v>98.48</v>
          </cell>
          <cell r="E6">
            <v>20</v>
          </cell>
          <cell r="P6">
            <v>4.9240000000000004</v>
          </cell>
        </row>
        <row r="7">
          <cell r="B7" t="str">
            <v>asr</v>
          </cell>
          <cell r="C7" t="str">
            <v>atelier et séminaire régional</v>
          </cell>
          <cell r="D7">
            <v>123.10000000000001</v>
          </cell>
          <cell r="E7">
            <v>25</v>
          </cell>
          <cell r="Z7">
            <v>1.6787266508685155</v>
          </cell>
        </row>
        <row r="8">
          <cell r="B8" t="str">
            <v>bat</v>
          </cell>
          <cell r="C8" t="str">
            <v>BET classe/atelier post prim et collège</v>
          </cell>
          <cell r="D8">
            <v>5908.8</v>
          </cell>
          <cell r="E8">
            <v>1200</v>
          </cell>
          <cell r="P8">
            <v>5.7778700000000001</v>
          </cell>
        </row>
        <row r="9">
          <cell r="B9" t="str">
            <v>cat</v>
          </cell>
          <cell r="C9" t="str">
            <v>construction classe/atelier post prim/collège</v>
          </cell>
          <cell r="D9">
            <v>72875.200000000012</v>
          </cell>
          <cell r="E9">
            <v>14800</v>
          </cell>
          <cell r="P9">
            <v>3531.86</v>
          </cell>
        </row>
        <row r="10">
          <cell r="B10" t="str">
            <v>ccc</v>
          </cell>
          <cell r="C10" t="str">
            <v>construction salle de classe collège</v>
          </cell>
          <cell r="D10">
            <v>55148.800000000003</v>
          </cell>
          <cell r="E10">
            <v>11200</v>
          </cell>
          <cell r="P10">
            <v>3.53186</v>
          </cell>
        </row>
        <row r="11">
          <cell r="B11" t="str">
            <v>ccl</v>
          </cell>
          <cell r="C11" t="str">
            <v>construction salle de classe lycée</v>
          </cell>
          <cell r="D11">
            <v>59088.000000000007</v>
          </cell>
          <cell r="E11">
            <v>12000</v>
          </cell>
          <cell r="P11">
            <v>17115.03616</v>
          </cell>
        </row>
        <row r="12">
          <cell r="B12" t="str">
            <v>ccmc</v>
          </cell>
          <cell r="C12" t="str">
            <v>construction classes CEC</v>
          </cell>
          <cell r="D12">
            <v>64996.800000000003</v>
          </cell>
          <cell r="E12">
            <v>13200</v>
          </cell>
          <cell r="P12">
            <v>17.115036159999999</v>
          </cell>
        </row>
        <row r="13">
          <cell r="B13" t="str">
            <v>ccmp</v>
          </cell>
          <cell r="C13" t="str">
            <v>construction classes préscolaire public</v>
          </cell>
          <cell r="D13">
            <v>76814.400000000009</v>
          </cell>
          <cell r="E13">
            <v>15600</v>
          </cell>
          <cell r="P13">
            <v>1013</v>
          </cell>
        </row>
        <row r="14">
          <cell r="B14" t="str">
            <v>ccp</v>
          </cell>
          <cell r="C14" t="str">
            <v>construction salle de classe primaire</v>
          </cell>
          <cell r="D14">
            <v>51209.600000000006</v>
          </cell>
          <cell r="E14">
            <v>10400</v>
          </cell>
          <cell r="P14">
            <v>1.0129999999999999</v>
          </cell>
        </row>
        <row r="15">
          <cell r="B15" t="str">
            <v>cic</v>
          </cell>
          <cell r="C15" t="str">
            <v>consultant international courte durée / mois</v>
          </cell>
          <cell r="D15">
            <v>88632</v>
          </cell>
          <cell r="E15">
            <v>18000</v>
          </cell>
          <cell r="P15">
            <v>32.75</v>
          </cell>
        </row>
        <row r="16">
          <cell r="B16" t="str">
            <v>cnc</v>
          </cell>
          <cell r="C16" t="str">
            <v xml:space="preserve">consutltant national courte durée / mois </v>
          </cell>
          <cell r="D16">
            <v>29544.000000000004</v>
          </cell>
          <cell r="E16">
            <v>6000</v>
          </cell>
          <cell r="P16">
            <v>3.2750000000000001E-2</v>
          </cell>
        </row>
        <row r="17">
          <cell r="B17" t="str">
            <v>cvc</v>
          </cell>
          <cell r="C17" t="str">
            <v>moto 125 CC et accessoires</v>
          </cell>
          <cell r="D17">
            <v>13500</v>
          </cell>
          <cell r="E17">
            <v>2741.6734362307066</v>
          </cell>
          <cell r="P17">
            <v>1.2589999999999999</v>
          </cell>
        </row>
        <row r="18">
          <cell r="B18" t="str">
            <v>egp</v>
          </cell>
          <cell r="C18" t="str">
            <v>édition guide primaire</v>
          </cell>
          <cell r="D18">
            <v>14.772000000000002</v>
          </cell>
          <cell r="E18">
            <v>3</v>
          </cell>
        </row>
        <row r="19">
          <cell r="B19" t="str">
            <v>eml</v>
          </cell>
          <cell r="C19" t="str">
            <v>édition manuel lycée</v>
          </cell>
          <cell r="D19">
            <v>17.234000000000002</v>
          </cell>
          <cell r="E19">
            <v>3.5</v>
          </cell>
        </row>
        <row r="20">
          <cell r="B20" t="str">
            <v>emp</v>
          </cell>
          <cell r="C20" t="str">
            <v>édition manuel primaire</v>
          </cell>
          <cell r="D20">
            <v>7.386000000000001</v>
          </cell>
          <cell r="E20">
            <v>1.5</v>
          </cell>
        </row>
        <row r="21">
          <cell r="B21" t="str">
            <v>fbu</v>
          </cell>
          <cell r="C21" t="str">
            <v>formation en bureautique 5jours</v>
          </cell>
          <cell r="D21">
            <v>1000</v>
          </cell>
          <cell r="E21">
            <v>203.08692120227457</v>
          </cell>
        </row>
        <row r="22">
          <cell r="B22" t="str">
            <v>gaz</v>
          </cell>
          <cell r="C22" t="str">
            <v>gazole</v>
          </cell>
          <cell r="D22">
            <v>7</v>
          </cell>
          <cell r="E22">
            <v>1.4216084484159219</v>
          </cell>
        </row>
        <row r="23">
          <cell r="B23" t="str">
            <v>ije</v>
          </cell>
          <cell r="C23" t="str">
            <v>imprimante jet d'encre</v>
          </cell>
          <cell r="D23">
            <v>7273.7328000000007</v>
          </cell>
          <cell r="E23">
            <v>1477.2</v>
          </cell>
        </row>
        <row r="24">
          <cell r="B24" t="str">
            <v>ila</v>
          </cell>
          <cell r="C24" t="str">
            <v>imprimante laser</v>
          </cell>
          <cell r="D24">
            <v>48491.552000000003</v>
          </cell>
          <cell r="E24">
            <v>9848</v>
          </cell>
        </row>
        <row r="25">
          <cell r="B25" t="str">
            <v>imf</v>
          </cell>
          <cell r="C25" t="str">
            <v>imprimante multifonction</v>
          </cell>
          <cell r="D25">
            <v>7273.7328000000007</v>
          </cell>
          <cell r="E25">
            <v>1477.2</v>
          </cell>
        </row>
        <row r="26">
          <cell r="B26" t="str">
            <v>inf</v>
          </cell>
          <cell r="C26" t="str">
            <v>Informaticien contractuel</v>
          </cell>
          <cell r="D26">
            <v>2500.0000000000005</v>
          </cell>
          <cell r="E26">
            <v>507.71730300568646</v>
          </cell>
        </row>
        <row r="27">
          <cell r="B27" t="str">
            <v>ing</v>
          </cell>
          <cell r="C27" t="str">
            <v>Ingénieur / architecte contractuel</v>
          </cell>
          <cell r="D27">
            <v>2500.0000000000005</v>
          </cell>
          <cell r="E27">
            <v>507.71730300568646</v>
          </cell>
        </row>
        <row r="28">
          <cell r="B28" t="str">
            <v>ldv</v>
          </cell>
          <cell r="C28" t="str">
            <v>location de véhicule 4x4 pour un jour</v>
          </cell>
          <cell r="D28">
            <v>600</v>
          </cell>
          <cell r="E28">
            <v>121.85215272136475</v>
          </cell>
        </row>
        <row r="29">
          <cell r="B29" t="str">
            <v>mat</v>
          </cell>
          <cell r="C29" t="str">
            <v>mob éqt classe/atelier post prim et collège</v>
          </cell>
          <cell r="D29">
            <v>19696</v>
          </cell>
          <cell r="E29">
            <v>4000</v>
          </cell>
        </row>
        <row r="30">
          <cell r="B30" t="str">
            <v>mcc</v>
          </cell>
          <cell r="C30" t="str">
            <v>mobilier équipement classe collège</v>
          </cell>
          <cell r="D30">
            <v>8961.68</v>
          </cell>
          <cell r="E30">
            <v>1820</v>
          </cell>
        </row>
        <row r="31">
          <cell r="B31" t="str">
            <v>mcl</v>
          </cell>
          <cell r="C31" t="str">
            <v>mobilier équipement classe lycée</v>
          </cell>
          <cell r="D31">
            <v>9601.8000000000011</v>
          </cell>
          <cell r="E31">
            <v>1950</v>
          </cell>
        </row>
        <row r="32">
          <cell r="B32" t="str">
            <v>mcmc</v>
          </cell>
          <cell r="C32" t="str">
            <v>mobilier classe préscolaire communautaire</v>
          </cell>
          <cell r="D32">
            <v>10561.980000000001</v>
          </cell>
          <cell r="E32">
            <v>2145</v>
          </cell>
        </row>
        <row r="33">
          <cell r="B33" t="str">
            <v>mcmp</v>
          </cell>
          <cell r="C33" t="str">
            <v>mobilier classe préscolaire public</v>
          </cell>
          <cell r="D33">
            <v>12482.34</v>
          </cell>
          <cell r="E33">
            <v>2535</v>
          </cell>
        </row>
        <row r="34">
          <cell r="B34" t="str">
            <v>mcp</v>
          </cell>
          <cell r="C34" t="str">
            <v xml:space="preserve">mobilier classe primaire </v>
          </cell>
          <cell r="D34">
            <v>8321.5600000000013</v>
          </cell>
          <cell r="E34">
            <v>1690</v>
          </cell>
        </row>
        <row r="35">
          <cell r="B35" t="str">
            <v>min</v>
          </cell>
          <cell r="C35" t="str">
            <v>mission nationale</v>
          </cell>
          <cell r="D35">
            <v>246.20000000000002</v>
          </cell>
          <cell r="E35">
            <v>50</v>
          </cell>
        </row>
        <row r="36">
          <cell r="B36" t="str">
            <v>mip</v>
          </cell>
          <cell r="C36" t="str">
            <v>mission préfectorale</v>
          </cell>
          <cell r="D36">
            <v>172.34</v>
          </cell>
          <cell r="E36">
            <v>35</v>
          </cell>
        </row>
        <row r="37">
          <cell r="B37" t="str">
            <v>mir</v>
          </cell>
          <cell r="C37" t="str">
            <v>mission régionale</v>
          </cell>
          <cell r="D37">
            <v>196.96</v>
          </cell>
          <cell r="E37">
            <v>40</v>
          </cell>
        </row>
        <row r="38">
          <cell r="B38" t="str">
            <v>pgc</v>
          </cell>
          <cell r="C38" t="str">
            <v>photocopieur grande capacité</v>
          </cell>
          <cell r="D38">
            <v>121228.88000000003</v>
          </cell>
          <cell r="E38">
            <v>24620.000000000004</v>
          </cell>
        </row>
        <row r="39">
          <cell r="B39" t="str">
            <v>pic</v>
          </cell>
          <cell r="C39" t="str">
            <v>poste informatique fixe complet</v>
          </cell>
          <cell r="D39">
            <v>14772.000000000002</v>
          </cell>
          <cell r="E39">
            <v>3000</v>
          </cell>
        </row>
        <row r="40">
          <cell r="B40" t="str">
            <v>pip</v>
          </cell>
          <cell r="C40" t="str">
            <v>poste informatique portable avec imprimante</v>
          </cell>
          <cell r="D40">
            <v>12310.000000000002</v>
          </cell>
          <cell r="E40">
            <v>2500</v>
          </cell>
        </row>
        <row r="41">
          <cell r="B41" t="str">
            <v>pmc</v>
          </cell>
          <cell r="C41" t="str">
            <v>photocopieur moyenne capacité</v>
          </cell>
          <cell r="D41">
            <v>72737.328000000009</v>
          </cell>
          <cell r="E41">
            <v>14772.000000000002</v>
          </cell>
        </row>
        <row r="42">
          <cell r="B42" t="str">
            <v>pvi</v>
          </cell>
          <cell r="C42" t="str">
            <v>projecteur vidéo</v>
          </cell>
          <cell r="D42">
            <v>7386.0000000000009</v>
          </cell>
          <cell r="E42">
            <v>1500</v>
          </cell>
        </row>
        <row r="43">
          <cell r="B43" t="str">
            <v>rcc</v>
          </cell>
          <cell r="C43" t="str">
            <v>réhabilitation salle de classe collège</v>
          </cell>
          <cell r="D43">
            <v>33089.280000000006</v>
          </cell>
          <cell r="E43">
            <v>6720</v>
          </cell>
        </row>
        <row r="44">
          <cell r="B44" t="str">
            <v>rcl</v>
          </cell>
          <cell r="C44" t="str">
            <v>réhabilitation salle de classe lycée</v>
          </cell>
          <cell r="D44">
            <v>35452.800000000003</v>
          </cell>
          <cell r="E44">
            <v>7200</v>
          </cell>
        </row>
        <row r="45">
          <cell r="B45" t="str">
            <v>rcp</v>
          </cell>
          <cell r="C45" t="str">
            <v>réhabilitation salle de classe primaire</v>
          </cell>
          <cell r="D45">
            <v>30725.760000000002</v>
          </cell>
          <cell r="E45">
            <v>6240</v>
          </cell>
        </row>
        <row r="46">
          <cell r="B46" t="str">
            <v>rep</v>
          </cell>
          <cell r="C46" t="str">
            <v>reproduction d'une page</v>
          </cell>
          <cell r="D46">
            <v>0.30000000000000004</v>
          </cell>
          <cell r="E46">
            <v>6.0926076360682375E-2</v>
          </cell>
        </row>
        <row r="47">
          <cell r="B47" t="str">
            <v>rml</v>
          </cell>
          <cell r="C47" t="str">
            <v>réimpression manuel lycée</v>
          </cell>
          <cell r="D47">
            <v>17.234000000000002</v>
          </cell>
          <cell r="E47">
            <v>3.5</v>
          </cell>
        </row>
        <row r="48">
          <cell r="B48" t="str">
            <v>rmp</v>
          </cell>
          <cell r="C48" t="str">
            <v>réimpression manuel primaire</v>
          </cell>
          <cell r="D48">
            <v>7.386000000000001</v>
          </cell>
          <cell r="E48">
            <v>1.5</v>
          </cell>
        </row>
        <row r="49">
          <cell r="B49" t="str">
            <v>sfd</v>
          </cell>
          <cell r="C49" t="str">
            <v>subvention annuelle fonctionnement DSEE</v>
          </cell>
          <cell r="D49">
            <v>2462</v>
          </cell>
          <cell r="E49">
            <v>500</v>
          </cell>
        </row>
        <row r="50">
          <cell r="B50" t="str">
            <v>sfm</v>
          </cell>
          <cell r="C50" t="str">
            <v>subvention annuelle de formation des maîtres</v>
          </cell>
          <cell r="D50">
            <v>2954.4</v>
          </cell>
          <cell r="E50">
            <v>600</v>
          </cell>
        </row>
        <row r="51">
          <cell r="B51" t="str">
            <v>spc</v>
          </cell>
          <cell r="C51" t="str">
            <v>subvention projet par classe</v>
          </cell>
          <cell r="D51">
            <v>73.86</v>
          </cell>
          <cell r="E51">
            <v>15</v>
          </cell>
        </row>
        <row r="52">
          <cell r="B52" t="str">
            <v>spe</v>
          </cell>
          <cell r="C52" t="str">
            <v>subvention projet par élève</v>
          </cell>
          <cell r="D52">
            <v>2.4620000000000002</v>
          </cell>
          <cell r="E52">
            <v>0.5</v>
          </cell>
        </row>
        <row r="53">
          <cell r="B53" t="str">
            <v>sta</v>
          </cell>
          <cell r="C53" t="str">
            <v>statisticien contractuel</v>
          </cell>
          <cell r="D53">
            <v>2500.0000000000005</v>
          </cell>
          <cell r="E53">
            <v>507.71730300568646</v>
          </cell>
        </row>
        <row r="54">
          <cell r="B54" t="str">
            <v>vaf</v>
          </cell>
          <cell r="C54" t="str">
            <v>voyage d'étude en Afrique 10j</v>
          </cell>
          <cell r="D54">
            <v>13294.800000000001</v>
          </cell>
          <cell r="E54">
            <v>2700</v>
          </cell>
        </row>
        <row r="55">
          <cell r="B55" t="str">
            <v>vam</v>
          </cell>
          <cell r="C55" t="str">
            <v>voyage d'étude en amérique 10j</v>
          </cell>
          <cell r="D55">
            <v>21173.200000000001</v>
          </cell>
          <cell r="E55">
            <v>4300</v>
          </cell>
        </row>
        <row r="56">
          <cell r="B56" t="str">
            <v>vbd</v>
          </cell>
          <cell r="C56" t="str">
            <v>véhicule berline diesel</v>
          </cell>
          <cell r="D56">
            <v>98480.000000000015</v>
          </cell>
          <cell r="E56">
            <v>20000</v>
          </cell>
        </row>
        <row r="57">
          <cell r="B57" t="str">
            <v>vdc</v>
          </cell>
          <cell r="C57" t="str">
            <v>véhicule 4x4 PU 2CAB</v>
          </cell>
          <cell r="D57">
            <v>172340</v>
          </cell>
          <cell r="E57">
            <v>35000</v>
          </cell>
        </row>
        <row r="58">
          <cell r="B58" t="str">
            <v>veu</v>
          </cell>
          <cell r="C58" t="str">
            <v>voyage d'études en europe 10j</v>
          </cell>
          <cell r="D58">
            <v>17234</v>
          </cell>
          <cell r="E58">
            <v>3500</v>
          </cell>
        </row>
        <row r="59">
          <cell r="B59" t="str">
            <v>vsc</v>
          </cell>
          <cell r="C59" t="str">
            <v>véhicule 4x4 PU SCAB</v>
          </cell>
          <cell r="D59">
            <v>157568</v>
          </cell>
          <cell r="E59">
            <v>32000</v>
          </cell>
        </row>
        <row r="60">
          <cell r="B60" t="str">
            <v>vsw</v>
          </cell>
          <cell r="C60" t="str">
            <v>véhicule 4x4 SW</v>
          </cell>
          <cell r="D60">
            <v>196960.00000000003</v>
          </cell>
          <cell r="E60">
            <v>40000</v>
          </cell>
        </row>
      </sheetData>
      <sheetData sheetId="18"/>
      <sheetData sheetId="19"/>
      <sheetData sheetId="20">
        <row r="7">
          <cell r="B7" t="str">
            <v>A</v>
          </cell>
          <cell r="C7" t="str">
            <v>ACCES</v>
          </cell>
          <cell r="E7" t="str">
            <v>A</v>
          </cell>
          <cell r="F7" t="str">
            <v>ELARGISSEMENT DE L'ACCES</v>
          </cell>
        </row>
        <row r="8">
          <cell r="B8" t="str">
            <v>A1A</v>
          </cell>
          <cell r="C8" t="str">
            <v>SNIES</v>
          </cell>
          <cell r="E8" t="str">
            <v>A1A</v>
          </cell>
          <cell r="F8" t="str">
            <v>EPU Infrastructures du primaire</v>
          </cell>
        </row>
        <row r="9">
          <cell r="B9" t="str">
            <v>A1AA</v>
          </cell>
          <cell r="C9" t="str">
            <v>SNIES</v>
          </cell>
          <cell r="E9" t="str">
            <v>A1AA</v>
          </cell>
          <cell r="F9" t="str">
            <v>Construction équipement 300 classes IDA ONG</v>
          </cell>
        </row>
        <row r="10">
          <cell r="B10" t="str">
            <v>A1AB</v>
          </cell>
          <cell r="C10" t="str">
            <v>SNIES</v>
          </cell>
          <cell r="E10" t="str">
            <v>A1AB</v>
          </cell>
          <cell r="F10" t="str">
            <v>Construction équipement 120 classes IDA CRD/PACV</v>
          </cell>
        </row>
        <row r="11">
          <cell r="B11" t="str">
            <v>A1AC</v>
          </cell>
          <cell r="C11" t="str">
            <v>SNIES</v>
          </cell>
          <cell r="E11" t="str">
            <v>A1AC</v>
          </cell>
          <cell r="F11" t="str">
            <v>Construction équipement 300 classes IDA PME</v>
          </cell>
        </row>
        <row r="12">
          <cell r="B12" t="str">
            <v>A1AD</v>
          </cell>
          <cell r="C12" t="str">
            <v>SNIES</v>
          </cell>
          <cell r="E12" t="str">
            <v>A1AD</v>
          </cell>
          <cell r="F12" t="str">
            <v>Construction équipement 248 classes AFD/A&amp;A</v>
          </cell>
        </row>
        <row r="13">
          <cell r="B13" t="str">
            <v>A1AE</v>
          </cell>
          <cell r="C13" t="str">
            <v>SNIES</v>
          </cell>
          <cell r="E13" t="str">
            <v>A1AE</v>
          </cell>
          <cell r="F13" t="str">
            <v>Maintenance écoles primaires</v>
          </cell>
        </row>
        <row r="14">
          <cell r="B14" t="str">
            <v>A1AF</v>
          </cell>
          <cell r="C14" t="str">
            <v>SNIES</v>
          </cell>
          <cell r="E14" t="str">
            <v>A1AF</v>
          </cell>
          <cell r="F14" t="str">
            <v>Matériel et Mobilier pour écoles primaires</v>
          </cell>
        </row>
        <row r="15">
          <cell r="B15" t="str">
            <v>A1AG</v>
          </cell>
          <cell r="C15" t="str">
            <v>SNIES</v>
          </cell>
          <cell r="E15" t="str">
            <v>A1AG</v>
          </cell>
          <cell r="F15" t="str">
            <v>Construction équipement 90 classes avec logements FAD4</v>
          </cell>
        </row>
        <row r="16">
          <cell r="B16" t="str">
            <v>A1AH</v>
          </cell>
          <cell r="C16" t="str">
            <v>SNIES</v>
          </cell>
          <cell r="E16" t="str">
            <v>A1AH</v>
          </cell>
          <cell r="F16" t="str">
            <v>Construction équipement 231 classes  Cky &amp; environs JICA</v>
          </cell>
        </row>
        <row r="17">
          <cell r="B17" t="str">
            <v>A1AI</v>
          </cell>
          <cell r="C17" t="str">
            <v>SNIES</v>
          </cell>
          <cell r="E17" t="str">
            <v>A1AI</v>
          </cell>
          <cell r="F17" t="str">
            <v>Construction équipement 400 classes nouvelles BID2</v>
          </cell>
        </row>
        <row r="18">
          <cell r="B18" t="str">
            <v>A1AJ</v>
          </cell>
          <cell r="C18" t="str">
            <v>SNIES</v>
          </cell>
          <cell r="E18" t="str">
            <v>A1AJ</v>
          </cell>
          <cell r="F18" t="str">
            <v>Construction équipement 150 classes nouvelles BID3</v>
          </cell>
        </row>
        <row r="19">
          <cell r="B19" t="str">
            <v>A1AK</v>
          </cell>
          <cell r="C19" t="str">
            <v>SNIES</v>
          </cell>
          <cell r="E19" t="str">
            <v>A1AK</v>
          </cell>
          <cell r="F19" t="str">
            <v>Réhabilitation équipement 150 classes  BID3</v>
          </cell>
        </row>
        <row r="20">
          <cell r="B20" t="str">
            <v>A1AL</v>
          </cell>
          <cell r="C20" t="str">
            <v>SNIES</v>
          </cell>
          <cell r="E20" t="str">
            <v>A1AL</v>
          </cell>
          <cell r="F20" t="str">
            <v>Construction équipement  classes nouvelles PLAN GUINEE</v>
          </cell>
        </row>
        <row r="21">
          <cell r="B21" t="str">
            <v>A1AM</v>
          </cell>
          <cell r="C21" t="str">
            <v>SNIES</v>
          </cell>
          <cell r="E21" t="str">
            <v>A1AM</v>
          </cell>
          <cell r="F21" t="str">
            <v>Réhabilitation équipement  classes PLAN GUINEE</v>
          </cell>
        </row>
        <row r="22">
          <cell r="B22" t="str">
            <v>A1AN</v>
          </cell>
          <cell r="C22" t="str">
            <v>SNIES</v>
          </cell>
          <cell r="E22" t="str">
            <v>A1AN</v>
          </cell>
          <cell r="F22" t="str">
            <v>Construction équipement  classes nouvelles PACV</v>
          </cell>
        </row>
        <row r="23">
          <cell r="B23" t="str">
            <v>A1AO</v>
          </cell>
          <cell r="C23" t="str">
            <v>SNIES</v>
          </cell>
          <cell r="E23" t="str">
            <v>A1AO</v>
          </cell>
          <cell r="F23" t="str">
            <v>Rénovation équipement  classes PACV</v>
          </cell>
        </row>
        <row r="24">
          <cell r="B24" t="str">
            <v>A1AP</v>
          </cell>
          <cell r="C24" t="str">
            <v>SNIES</v>
          </cell>
          <cell r="E24" t="str">
            <v>A1AP</v>
          </cell>
          <cell r="F24" t="str">
            <v>Construction équipement  classes nouvelles FC-PSE</v>
          </cell>
        </row>
        <row r="25">
          <cell r="B25" t="str">
            <v>A1AQ</v>
          </cell>
          <cell r="C25" t="str">
            <v>SNIES</v>
          </cell>
          <cell r="E25" t="str">
            <v>A1AQ</v>
          </cell>
          <cell r="F25" t="str">
            <v>Réhabilitation équipement  classes FC-PSE</v>
          </cell>
        </row>
        <row r="26">
          <cell r="B26" t="str">
            <v>A1B</v>
          </cell>
          <cell r="C26" t="str">
            <v>SNIES</v>
          </cell>
          <cell r="E26" t="str">
            <v>A1B</v>
          </cell>
          <cell r="F26" t="str">
            <v>EPU Infrastructures du secondaire 1er cycle</v>
          </cell>
        </row>
        <row r="27">
          <cell r="B27" t="str">
            <v>A1BA</v>
          </cell>
          <cell r="C27" t="str">
            <v>SNIES</v>
          </cell>
          <cell r="E27" t="str">
            <v>A1BA</v>
          </cell>
          <cell r="F27" t="str">
            <v>Construction équipement 7 collèges (112 cl) de Conakry</v>
          </cell>
        </row>
        <row r="28">
          <cell r="B28" t="str">
            <v>A1BB</v>
          </cell>
          <cell r="C28" t="str">
            <v>SNIES</v>
          </cell>
          <cell r="E28" t="str">
            <v>A1BB</v>
          </cell>
          <cell r="F28" t="str">
            <v>Réhabilitation collèges</v>
          </cell>
        </row>
        <row r="29">
          <cell r="B29" t="str">
            <v>A1BC</v>
          </cell>
          <cell r="C29" t="str">
            <v>SNIES</v>
          </cell>
          <cell r="E29" t="str">
            <v>A1BC</v>
          </cell>
          <cell r="F29" t="str">
            <v>Maintenance collèges</v>
          </cell>
        </row>
        <row r="30">
          <cell r="B30" t="str">
            <v>A1BD</v>
          </cell>
          <cell r="C30" t="str">
            <v>SNIES</v>
          </cell>
          <cell r="E30" t="str">
            <v>A1BD</v>
          </cell>
          <cell r="F30" t="str">
            <v>Matériel et Mobilier pour collèges</v>
          </cell>
        </row>
        <row r="31">
          <cell r="B31" t="str">
            <v>A1BE</v>
          </cell>
          <cell r="C31" t="str">
            <v>SNIES</v>
          </cell>
          <cell r="E31" t="str">
            <v>A1BE</v>
          </cell>
          <cell r="F31" t="str">
            <v>Construction équipement Collège Franco Arabe de Gbessia</v>
          </cell>
        </row>
        <row r="32">
          <cell r="B32" t="str">
            <v>A1BF</v>
          </cell>
          <cell r="C32" t="str">
            <v>SNIES</v>
          </cell>
          <cell r="E32" t="str">
            <v>A1BF</v>
          </cell>
          <cell r="F32" t="str">
            <v>Construction équipement Collège de Wawa, Moussaya</v>
          </cell>
        </row>
        <row r="33">
          <cell r="B33" t="str">
            <v>A1BG</v>
          </cell>
          <cell r="C33" t="str">
            <v>SNIES</v>
          </cell>
          <cell r="E33" t="str">
            <v>A1BG</v>
          </cell>
          <cell r="F33" t="str">
            <v>Construction équipement 50 Collèges ruraux Base 1 (200cl) FKDEA</v>
          </cell>
        </row>
        <row r="34">
          <cell r="B34" t="str">
            <v>A1BH</v>
          </cell>
          <cell r="C34" t="str">
            <v>SNIES</v>
          </cell>
          <cell r="E34" t="str">
            <v>A1BH</v>
          </cell>
          <cell r="F34" t="str">
            <v>Construction équipement 90 50 Collèges ruraux Base 1  (360cl) FSD</v>
          </cell>
        </row>
        <row r="35">
          <cell r="B35" t="str">
            <v>A1BI</v>
          </cell>
          <cell r="C35" t="str">
            <v>SNIES</v>
          </cell>
          <cell r="E35" t="str">
            <v>A1BI</v>
          </cell>
          <cell r="F35" t="str">
            <v>Construction équipement 5 Collèges ruraux Base 1 (20cl) FAD4</v>
          </cell>
        </row>
        <row r="36">
          <cell r="B36" t="str">
            <v>A1BJ</v>
          </cell>
          <cell r="C36" t="str">
            <v>SNIES</v>
          </cell>
          <cell r="E36" t="str">
            <v>A1BJ</v>
          </cell>
          <cell r="F36" t="str">
            <v>Construction équipement Collèges  Cky &amp; environs (108cl) JICA</v>
          </cell>
        </row>
        <row r="37">
          <cell r="B37" t="str">
            <v>A1BK</v>
          </cell>
          <cell r="C37" t="str">
            <v>SNIES</v>
          </cell>
          <cell r="E37" t="str">
            <v>A1BK</v>
          </cell>
          <cell r="F37" t="str">
            <v>Construction équipement 40 Collèges ruraux Budget ETAT</v>
          </cell>
        </row>
        <row r="38">
          <cell r="B38" t="str">
            <v>A1BL</v>
          </cell>
          <cell r="C38" t="str">
            <v>SNIES</v>
          </cell>
          <cell r="E38" t="str">
            <v>A1BL</v>
          </cell>
          <cell r="F38" t="str">
            <v>Construction équipement Collèges FC-PSE</v>
          </cell>
        </row>
        <row r="39">
          <cell r="B39" t="str">
            <v>A1C</v>
          </cell>
          <cell r="C39" t="str">
            <v>SNIES</v>
          </cell>
          <cell r="E39" t="str">
            <v>A1C</v>
          </cell>
          <cell r="F39" t="str">
            <v>EPU Infrastructures du secondaire 2è cycle</v>
          </cell>
        </row>
        <row r="40">
          <cell r="B40" t="str">
            <v>A1CA</v>
          </cell>
          <cell r="C40" t="str">
            <v>SNIES</v>
          </cell>
          <cell r="E40" t="str">
            <v>A1CA</v>
          </cell>
          <cell r="F40" t="str">
            <v>Construction équipement lycées</v>
          </cell>
        </row>
        <row r="41">
          <cell r="B41" t="str">
            <v>A1CB</v>
          </cell>
          <cell r="C41" t="str">
            <v>SNIES</v>
          </cell>
          <cell r="E41" t="str">
            <v>A1CB</v>
          </cell>
          <cell r="F41" t="str">
            <v>Réhabilitation lycées</v>
          </cell>
        </row>
        <row r="42">
          <cell r="B42" t="str">
            <v>A1CC</v>
          </cell>
          <cell r="C42" t="str">
            <v>SNIES</v>
          </cell>
          <cell r="E42" t="str">
            <v>A1CC</v>
          </cell>
          <cell r="F42" t="str">
            <v>Maintenance lycées</v>
          </cell>
        </row>
        <row r="43">
          <cell r="B43" t="str">
            <v>A1D</v>
          </cell>
          <cell r="C43" t="str">
            <v>SNIES</v>
          </cell>
          <cell r="E43" t="str">
            <v>A1D</v>
          </cell>
          <cell r="F43" t="str">
            <v>EPU SNIES</v>
          </cell>
        </row>
        <row r="44">
          <cell r="B44" t="str">
            <v>A1DA</v>
          </cell>
          <cell r="C44" t="str">
            <v>SNIES</v>
          </cell>
          <cell r="E44" t="str">
            <v>A1DA</v>
          </cell>
          <cell r="F44" t="str">
            <v>Suivi de chantiers</v>
          </cell>
        </row>
        <row r="45">
          <cell r="B45" t="str">
            <v>A1DB</v>
          </cell>
          <cell r="C45" t="str">
            <v>SNIES</v>
          </cell>
          <cell r="E45" t="str">
            <v>A1DB</v>
          </cell>
          <cell r="F45" t="str">
            <v>Fonctionnement</v>
          </cell>
        </row>
        <row r="46">
          <cell r="B46" t="str">
            <v>A1DC</v>
          </cell>
          <cell r="C46" t="str">
            <v>SNIES</v>
          </cell>
          <cell r="E46" t="str">
            <v>A1DC</v>
          </cell>
          <cell r="F46" t="str">
            <v>Etudes et spécialistes</v>
          </cell>
        </row>
        <row r="47">
          <cell r="B47" t="str">
            <v>A2A</v>
          </cell>
          <cell r="C47" t="str">
            <v>SNIEM</v>
          </cell>
          <cell r="E47" t="str">
            <v>A2A</v>
          </cell>
          <cell r="F47" t="str">
            <v>ETFP Infrastructures des Ecoles Normales d'Instituteurs</v>
          </cell>
        </row>
        <row r="48">
          <cell r="B48" t="str">
            <v>A2AA</v>
          </cell>
          <cell r="C48" t="str">
            <v>SNIEM</v>
          </cell>
          <cell r="E48" t="str">
            <v>A2AA</v>
          </cell>
          <cell r="F48" t="str">
            <v>Travaux et équipements complémentaires des 8 ENI (IDA)</v>
          </cell>
        </row>
        <row r="49">
          <cell r="B49" t="str">
            <v>A2AB</v>
          </cell>
          <cell r="C49" t="str">
            <v>SNIEM</v>
          </cell>
          <cell r="E49" t="str">
            <v>A2AB</v>
          </cell>
          <cell r="F49" t="str">
            <v>Construction équipement ENI Mamou (JICA)</v>
          </cell>
        </row>
        <row r="50">
          <cell r="B50" t="str">
            <v>A2AC</v>
          </cell>
          <cell r="C50" t="str">
            <v>SNIEM</v>
          </cell>
          <cell r="E50" t="str">
            <v>A2AC</v>
          </cell>
          <cell r="F50" t="str">
            <v>Construction équipement ENI Guéckédou (BAD)</v>
          </cell>
        </row>
        <row r="51">
          <cell r="B51" t="str">
            <v>A2AD</v>
          </cell>
          <cell r="C51" t="str">
            <v>SNIEM</v>
          </cell>
          <cell r="E51" t="str">
            <v>A2AD</v>
          </cell>
        </row>
        <row r="52">
          <cell r="B52" t="str">
            <v>A2AE</v>
          </cell>
          <cell r="C52" t="str">
            <v>SNIEM</v>
          </cell>
          <cell r="E52" t="str">
            <v>A2AE</v>
          </cell>
          <cell r="F52" t="str">
            <v>Réhabilitation</v>
          </cell>
        </row>
        <row r="53">
          <cell r="B53" t="str">
            <v>A2AF</v>
          </cell>
          <cell r="C53" t="str">
            <v>SNIEM</v>
          </cell>
          <cell r="E53" t="str">
            <v>A2AF</v>
          </cell>
          <cell r="F53" t="str">
            <v>Maintenance</v>
          </cell>
        </row>
        <row r="54">
          <cell r="B54" t="str">
            <v>A2B</v>
          </cell>
          <cell r="C54" t="str">
            <v>SNIEM</v>
          </cell>
          <cell r="E54" t="str">
            <v>A2B</v>
          </cell>
          <cell r="F54" t="str">
            <v>ETFP Infrastructures d'enseignement technique/professionnel</v>
          </cell>
        </row>
        <row r="55">
          <cell r="B55" t="str">
            <v>A2BA</v>
          </cell>
          <cell r="C55" t="str">
            <v>SNIEM</v>
          </cell>
          <cell r="E55" t="str">
            <v>A2BA</v>
          </cell>
          <cell r="F55" t="str">
            <v>Construction équipement Ecoles Régionales des Arts et Métiers (BID)</v>
          </cell>
        </row>
        <row r="56">
          <cell r="B56" t="str">
            <v>A2BB</v>
          </cell>
          <cell r="C56" t="str">
            <v>SNIEM</v>
          </cell>
          <cell r="E56" t="str">
            <v>A2BB</v>
          </cell>
          <cell r="F56" t="str">
            <v>Construction équipement Centres de Formation Post Primaire Expérimentaux (FCE)</v>
          </cell>
        </row>
        <row r="57">
          <cell r="B57" t="str">
            <v>A2BC</v>
          </cell>
          <cell r="C57" t="str">
            <v>SNIEM</v>
          </cell>
          <cell r="E57" t="str">
            <v>A2BC</v>
          </cell>
          <cell r="F57" t="str">
            <v>Construction équipement Ecole Nationale d'Education Physique et Sportive (RECH)</v>
          </cell>
        </row>
        <row r="58">
          <cell r="B58" t="str">
            <v>A2BD</v>
          </cell>
          <cell r="C58" t="str">
            <v>SNIEM</v>
          </cell>
          <cell r="E58" t="str">
            <v>A2BD</v>
          </cell>
          <cell r="F58" t="str">
            <v>Constr. éqt Centre de Formation à l'Environnement pour le Développement (RECH)</v>
          </cell>
        </row>
        <row r="59">
          <cell r="B59" t="str">
            <v>A2BE</v>
          </cell>
          <cell r="C59" t="str">
            <v>SNIEM</v>
          </cell>
          <cell r="E59" t="str">
            <v>A2BE</v>
          </cell>
          <cell r="F59" t="str">
            <v>Construction équipement de 4 Ecoles de Soins de Santé Communautaire (RECH)</v>
          </cell>
        </row>
        <row r="60">
          <cell r="B60" t="str">
            <v>A2BF</v>
          </cell>
          <cell r="C60" t="str">
            <v>SNIEM</v>
          </cell>
          <cell r="E60" t="str">
            <v>A2BF</v>
          </cell>
          <cell r="F60" t="str">
            <v>Construction équipement de 4 Ecoles Régionales d'Agriculture et d'Elevage (RECH)</v>
          </cell>
        </row>
        <row r="61">
          <cell r="B61" t="str">
            <v>A2BG</v>
          </cell>
          <cell r="C61" t="str">
            <v>SNIEM</v>
          </cell>
          <cell r="E61" t="str">
            <v>A2BG</v>
          </cell>
          <cell r="F61" t="str">
            <v>Réhabilitation</v>
          </cell>
        </row>
        <row r="62">
          <cell r="B62" t="str">
            <v>A2C</v>
          </cell>
          <cell r="C62" t="str">
            <v>SNIEM</v>
          </cell>
          <cell r="E62" t="str">
            <v>A2C</v>
          </cell>
          <cell r="F62" t="str">
            <v>ETFP SNIEM</v>
          </cell>
        </row>
        <row r="63">
          <cell r="B63" t="str">
            <v>A2CA</v>
          </cell>
          <cell r="C63" t="str">
            <v>SNIEM</v>
          </cell>
          <cell r="E63" t="str">
            <v>A2CA</v>
          </cell>
          <cell r="F63" t="str">
            <v>Suivi de chantiers</v>
          </cell>
        </row>
        <row r="64">
          <cell r="B64" t="str">
            <v>A2CB</v>
          </cell>
          <cell r="C64" t="str">
            <v>SNIEM</v>
          </cell>
          <cell r="E64" t="str">
            <v>A2CB</v>
          </cell>
          <cell r="F64" t="str">
            <v>Fonctionnement</v>
          </cell>
        </row>
        <row r="65">
          <cell r="B65" t="str">
            <v>A2CC</v>
          </cell>
          <cell r="C65" t="str">
            <v>SNIEM</v>
          </cell>
          <cell r="E65" t="str">
            <v>A2CC</v>
          </cell>
          <cell r="F65" t="str">
            <v>Etudes et spécialistes</v>
          </cell>
        </row>
        <row r="66">
          <cell r="B66" t="str">
            <v>A2CD</v>
          </cell>
          <cell r="C66" t="str">
            <v>SNIEM</v>
          </cell>
          <cell r="E66" t="str">
            <v>A2CD</v>
          </cell>
          <cell r="F66" t="str">
            <v>Plan Directeur de la Maintenance</v>
          </cell>
        </row>
        <row r="67">
          <cell r="B67" t="str">
            <v>A3A</v>
          </cell>
          <cell r="C67" t="str">
            <v>CSP</v>
          </cell>
          <cell r="E67" t="str">
            <v>A3A</v>
          </cell>
          <cell r="F67" t="str">
            <v>ESRS Infrastructures d'enseignement supérieur</v>
          </cell>
        </row>
        <row r="68">
          <cell r="B68" t="str">
            <v>A3AA</v>
          </cell>
          <cell r="C68" t="str">
            <v>CSP</v>
          </cell>
          <cell r="E68" t="str">
            <v>A3AA</v>
          </cell>
          <cell r="F68" t="str">
            <v>Construction équipement d'amphithéatres et de salles de classes</v>
          </cell>
        </row>
        <row r="69">
          <cell r="B69" t="str">
            <v>A3AB</v>
          </cell>
          <cell r="C69" t="str">
            <v>CSP</v>
          </cell>
          <cell r="E69" t="str">
            <v>A3AB</v>
          </cell>
          <cell r="F69" t="str">
            <v>Réhabilitation d'IES</v>
          </cell>
        </row>
        <row r="70">
          <cell r="B70" t="str">
            <v>A3AC</v>
          </cell>
          <cell r="C70" t="str">
            <v>CSP</v>
          </cell>
          <cell r="E70" t="str">
            <v>A3AC</v>
          </cell>
          <cell r="F70" t="str">
            <v>Maintenance</v>
          </cell>
        </row>
        <row r="71">
          <cell r="B71" t="str">
            <v>A3B</v>
          </cell>
          <cell r="C71" t="str">
            <v>CSP</v>
          </cell>
          <cell r="E71" t="str">
            <v>A3B</v>
          </cell>
          <cell r="F71" t="str">
            <v>ESRS Infrasructures de recherche et de documentation scientifique</v>
          </cell>
        </row>
        <row r="72">
          <cell r="B72" t="str">
            <v>A3JA</v>
          </cell>
          <cell r="C72" t="str">
            <v>CSP</v>
          </cell>
          <cell r="E72" t="str">
            <v>A3JA</v>
          </cell>
          <cell r="F72" t="str">
            <v>Equipement</v>
          </cell>
        </row>
        <row r="73">
          <cell r="B73" t="str">
            <v>A3JB</v>
          </cell>
          <cell r="C73" t="str">
            <v>CSP</v>
          </cell>
          <cell r="E73" t="str">
            <v>A3JB</v>
          </cell>
          <cell r="F73" t="str">
            <v>Réhabilitation</v>
          </cell>
        </row>
        <row r="74">
          <cell r="B74" t="str">
            <v>A3J</v>
          </cell>
          <cell r="C74" t="str">
            <v>CSP</v>
          </cell>
          <cell r="E74" t="str">
            <v>A3J</v>
          </cell>
          <cell r="F74" t="str">
            <v>Maintenance</v>
          </cell>
        </row>
        <row r="75">
          <cell r="B75" t="str">
            <v>A3C</v>
          </cell>
          <cell r="C75" t="str">
            <v>CSP</v>
          </cell>
          <cell r="E75" t="str">
            <v>A3C</v>
          </cell>
          <cell r="F75" t="str">
            <v>ESRS CSP</v>
          </cell>
        </row>
        <row r="76">
          <cell r="B76" t="str">
            <v>A3CA</v>
          </cell>
          <cell r="C76" t="str">
            <v>CSP</v>
          </cell>
          <cell r="E76" t="str">
            <v>A3CA</v>
          </cell>
          <cell r="F76" t="str">
            <v>Suivi de chantiers</v>
          </cell>
        </row>
        <row r="77">
          <cell r="B77" t="str">
            <v>A3CB</v>
          </cell>
          <cell r="C77" t="str">
            <v>CSP</v>
          </cell>
          <cell r="E77" t="str">
            <v>A3CB</v>
          </cell>
          <cell r="F77" t="str">
            <v>Fonctionnement</v>
          </cell>
        </row>
        <row r="78">
          <cell r="B78" t="str">
            <v>A3CC</v>
          </cell>
          <cell r="C78" t="str">
            <v>CSP</v>
          </cell>
          <cell r="E78" t="str">
            <v>A3CC</v>
          </cell>
          <cell r="F78" t="str">
            <v>Etudes et spécialistes</v>
          </cell>
        </row>
        <row r="79">
          <cell r="B79" t="str">
            <v>A3CD</v>
          </cell>
          <cell r="C79" t="str">
            <v>CSP</v>
          </cell>
          <cell r="E79" t="str">
            <v>A3CD</v>
          </cell>
          <cell r="F79" t="str">
            <v>Plan Directeur de la Maintenance</v>
          </cell>
        </row>
        <row r="80">
          <cell r="B80" t="str">
            <v>A4A</v>
          </cell>
          <cell r="C80" t="str">
            <v>DNEP-PE</v>
          </cell>
          <cell r="E80" t="str">
            <v>A4A</v>
          </cell>
          <cell r="F80" t="str">
            <v>MASPFE  Infrastructures du pré scolaire</v>
          </cell>
        </row>
        <row r="81">
          <cell r="B81" t="str">
            <v>A4AA</v>
          </cell>
          <cell r="C81" t="str">
            <v>DNEP-PE</v>
          </cell>
          <cell r="E81" t="str">
            <v>A4AA</v>
          </cell>
          <cell r="F81" t="str">
            <v>40 CEC ONG</v>
          </cell>
        </row>
        <row r="82">
          <cell r="B82" t="str">
            <v>A4AB</v>
          </cell>
          <cell r="C82" t="str">
            <v>DNEP-PE</v>
          </cell>
          <cell r="E82" t="str">
            <v>A4AB</v>
          </cell>
          <cell r="F82" t="str">
            <v>10 CEC CRD/PACV</v>
          </cell>
        </row>
        <row r="83">
          <cell r="B83" t="str">
            <v>A4AC</v>
          </cell>
          <cell r="C83" t="str">
            <v>DNEP-PE</v>
          </cell>
          <cell r="E83" t="str">
            <v>A4AC</v>
          </cell>
          <cell r="F83" t="str">
            <v>Réhabilitation de CEC</v>
          </cell>
        </row>
        <row r="84">
          <cell r="B84" t="str">
            <v>A4AD</v>
          </cell>
          <cell r="C84" t="str">
            <v>DNEP-PE</v>
          </cell>
          <cell r="E84" t="str">
            <v>A4AD</v>
          </cell>
          <cell r="F84" t="str">
            <v>Maintenance des CEC</v>
          </cell>
        </row>
        <row r="85">
          <cell r="B85" t="str">
            <v>B</v>
          </cell>
          <cell r="C85" t="str">
            <v>QUALITE</v>
          </cell>
          <cell r="E85" t="str">
            <v>B</v>
          </cell>
          <cell r="F85" t="str">
            <v>AMELIORATION DE LA QUALITE</v>
          </cell>
        </row>
        <row r="86">
          <cell r="B86" t="str">
            <v>B1A</v>
          </cell>
          <cell r="C86" t="str">
            <v>DNEE</v>
          </cell>
          <cell r="E86" t="str">
            <v>B1A</v>
          </cell>
          <cell r="F86" t="str">
            <v>EPU Enseignement primaire</v>
          </cell>
        </row>
        <row r="87">
          <cell r="B87" t="str">
            <v>B1AA</v>
          </cell>
          <cell r="C87" t="str">
            <v>DNEE</v>
          </cell>
          <cell r="E87" t="str">
            <v>B1AA</v>
          </cell>
          <cell r="F87" t="str">
            <v>Acquisition et gestion des manuels et matériels pédagogiques du primaire</v>
          </cell>
        </row>
        <row r="88">
          <cell r="B88" t="str">
            <v>B1AB</v>
          </cell>
          <cell r="C88" t="str">
            <v>DNEE</v>
          </cell>
          <cell r="E88" t="str">
            <v>B1AB</v>
          </cell>
          <cell r="F88" t="str">
            <v>Fonctionnement des écoles primaires PTDE, subv de fonct</v>
          </cell>
        </row>
        <row r="89">
          <cell r="B89" t="str">
            <v>B1AC</v>
          </cell>
          <cell r="C89" t="str">
            <v>DNEE</v>
          </cell>
          <cell r="E89" t="str">
            <v>B1AC</v>
          </cell>
        </row>
        <row r="90">
          <cell r="B90" t="str">
            <v>B1AD</v>
          </cell>
          <cell r="C90" t="str">
            <v>DNEE</v>
          </cell>
          <cell r="E90" t="str">
            <v>B1AD</v>
          </cell>
          <cell r="F90" t="str">
            <v>Formation Continue des maîtres</v>
          </cell>
        </row>
        <row r="91">
          <cell r="B91" t="str">
            <v>B1AE</v>
          </cell>
          <cell r="C91" t="str">
            <v>DNEE</v>
          </cell>
          <cell r="E91" t="str">
            <v>B1AE</v>
          </cell>
          <cell r="F91" t="str">
            <v>Formation Continue des maîtres : Subv, …</v>
          </cell>
        </row>
        <row r="92">
          <cell r="B92" t="str">
            <v>B1AF</v>
          </cell>
          <cell r="C92" t="str">
            <v>DNEE</v>
          </cell>
          <cell r="E92" t="str">
            <v>B1AF</v>
          </cell>
          <cell r="F92" t="str">
            <v>Fonctionnement de la DNEE</v>
          </cell>
        </row>
        <row r="93">
          <cell r="B93" t="str">
            <v>B1AG</v>
          </cell>
          <cell r="C93" t="str">
            <v>DNEE</v>
          </cell>
          <cell r="E93" t="str">
            <v>B1AG</v>
          </cell>
          <cell r="F93" t="str">
            <v>Etudes et spécialistes</v>
          </cell>
        </row>
        <row r="94">
          <cell r="B94" t="str">
            <v>B1AH</v>
          </cell>
          <cell r="C94" t="str">
            <v>DNEE</v>
          </cell>
          <cell r="E94" t="str">
            <v>B1AH</v>
          </cell>
          <cell r="F94" t="str">
            <v>Développement de l'évaluation en classe</v>
          </cell>
        </row>
        <row r="95">
          <cell r="B95" t="str">
            <v>B1AI</v>
          </cell>
          <cell r="C95" t="str">
            <v>DNEE</v>
          </cell>
          <cell r="E95" t="str">
            <v>B1AI</v>
          </cell>
          <cell r="F95" t="str">
            <v>Développement de l'appprentissage de la lecture</v>
          </cell>
        </row>
        <row r="96">
          <cell r="B96" t="str">
            <v>B1AJ</v>
          </cell>
          <cell r="C96" t="str">
            <v>DNEE</v>
          </cell>
          <cell r="E96" t="str">
            <v>B1AJ</v>
          </cell>
          <cell r="F96" t="str">
            <v>Appui à l'Enseignement multigrade</v>
          </cell>
        </row>
        <row r="97">
          <cell r="B97" t="str">
            <v>B1AK</v>
          </cell>
          <cell r="C97" t="str">
            <v>DNEE</v>
          </cell>
          <cell r="E97" t="str">
            <v>B1AK</v>
          </cell>
          <cell r="F97" t="str">
            <v>Promotion de la scolarisation des filles au primaire</v>
          </cell>
        </row>
        <row r="98">
          <cell r="B98" t="str">
            <v>B1AL</v>
          </cell>
          <cell r="C98" t="str">
            <v>DNEE</v>
          </cell>
          <cell r="E98" t="str">
            <v>B1AL</v>
          </cell>
          <cell r="F98" t="str">
            <v>Fonctionnement des écoles primaires</v>
          </cell>
        </row>
        <row r="99">
          <cell r="B99" t="str">
            <v>B1B</v>
          </cell>
          <cell r="C99" t="str">
            <v>DNES</v>
          </cell>
          <cell r="E99" t="str">
            <v>B1B</v>
          </cell>
          <cell r="F99" t="str">
            <v>EPU Enseignement secondaire</v>
          </cell>
        </row>
        <row r="100">
          <cell r="B100" t="str">
            <v>B1BA</v>
          </cell>
          <cell r="C100" t="str">
            <v>DNES</v>
          </cell>
          <cell r="E100" t="str">
            <v>B1BA</v>
          </cell>
          <cell r="F100" t="str">
            <v>Acquisition et gestion des manuels et matériels pédagogiques du secondaire</v>
          </cell>
        </row>
        <row r="101">
          <cell r="B101" t="str">
            <v>B1BB</v>
          </cell>
          <cell r="C101" t="str">
            <v>DNES</v>
          </cell>
          <cell r="E101" t="str">
            <v>B1BB</v>
          </cell>
          <cell r="F101" t="str">
            <v>Subvention des Projets d'Etablissement des collèges / lycées</v>
          </cell>
        </row>
        <row r="102">
          <cell r="B102" t="str">
            <v>B1BC</v>
          </cell>
          <cell r="C102" t="str">
            <v>DNES</v>
          </cell>
          <cell r="E102" t="str">
            <v>B1BC</v>
          </cell>
          <cell r="F102" t="str">
            <v>Introduction de l'anglais dans les collèges</v>
          </cell>
        </row>
        <row r="103">
          <cell r="B103" t="str">
            <v>B1BD</v>
          </cell>
          <cell r="C103" t="str">
            <v>DNES</v>
          </cell>
          <cell r="E103" t="str">
            <v>B1BD</v>
          </cell>
          <cell r="F103" t="str">
            <v>Enseignement des sciences et de la technologie dans les collèges</v>
          </cell>
        </row>
        <row r="104">
          <cell r="B104" t="str">
            <v>B1BE</v>
          </cell>
          <cell r="C104" t="str">
            <v>DNES</v>
          </cell>
          <cell r="E104" t="str">
            <v>B1BE</v>
          </cell>
          <cell r="F104" t="str">
            <v>Promotion de la scolarisation des filles au secondaire</v>
          </cell>
        </row>
        <row r="105">
          <cell r="B105" t="str">
            <v>B1BF</v>
          </cell>
          <cell r="C105" t="str">
            <v>DNES</v>
          </cell>
          <cell r="E105" t="str">
            <v>B1BF</v>
          </cell>
          <cell r="F105" t="str">
            <v>Fonctionnement de la DNES</v>
          </cell>
        </row>
        <row r="106">
          <cell r="B106" t="str">
            <v>B1BG</v>
          </cell>
          <cell r="C106" t="str">
            <v>DNES</v>
          </cell>
          <cell r="E106" t="str">
            <v>B1BG</v>
          </cell>
          <cell r="F106" t="str">
            <v>Fonctionnement des écoles secondaires</v>
          </cell>
        </row>
        <row r="107">
          <cell r="B107" t="str">
            <v>B1BH</v>
          </cell>
          <cell r="C107" t="str">
            <v>DNES</v>
          </cell>
          <cell r="E107" t="str">
            <v>B1BH</v>
          </cell>
          <cell r="F107" t="str">
            <v>Formation continue des enseignants du secondaire</v>
          </cell>
        </row>
        <row r="108">
          <cell r="B108" t="str">
            <v>B1C</v>
          </cell>
          <cell r="C108" t="str">
            <v>SNFP</v>
          </cell>
          <cell r="E108" t="str">
            <v>B1C</v>
          </cell>
          <cell r="F108" t="str">
            <v>EPU Perfectionnement des personnels</v>
          </cell>
        </row>
        <row r="109">
          <cell r="B109" t="str">
            <v>B1CA</v>
          </cell>
          <cell r="C109" t="str">
            <v>SNFP</v>
          </cell>
          <cell r="E109" t="str">
            <v>B1CA</v>
          </cell>
          <cell r="F109" t="str">
            <v>Elaboration des politiques et stratégies de formation continue des enseignants</v>
          </cell>
        </row>
        <row r="110">
          <cell r="B110" t="str">
            <v>B1CB</v>
          </cell>
          <cell r="C110" t="str">
            <v>SNFP</v>
          </cell>
          <cell r="E110" t="str">
            <v>B1CB</v>
          </cell>
          <cell r="F110" t="str">
            <v>Perfectionnement des personnels non enseignant</v>
          </cell>
        </row>
        <row r="111">
          <cell r="B111" t="str">
            <v>B1CC</v>
          </cell>
          <cell r="C111" t="str">
            <v>SNFP</v>
          </cell>
          <cell r="E111" t="str">
            <v>B1CC</v>
          </cell>
          <cell r="F111" t="str">
            <v>Suivi et évaluation des formations continues</v>
          </cell>
        </row>
        <row r="112">
          <cell r="B112" t="str">
            <v>B1D</v>
          </cell>
          <cell r="C112" t="str">
            <v>INRAP</v>
          </cell>
          <cell r="E112" t="str">
            <v>B1D</v>
          </cell>
          <cell r="F112" t="str">
            <v>EPU Programmes de recherche action pédagogique</v>
          </cell>
        </row>
        <row r="113">
          <cell r="B113" t="str">
            <v>B1DA</v>
          </cell>
          <cell r="C113" t="str">
            <v>INRAP</v>
          </cell>
          <cell r="E113" t="str">
            <v>B1DA</v>
          </cell>
          <cell r="F113" t="str">
            <v>Rénovation curriculaire au primaire</v>
          </cell>
        </row>
        <row r="114">
          <cell r="B114" t="str">
            <v>B1DB</v>
          </cell>
          <cell r="C114" t="str">
            <v>INRAP</v>
          </cell>
          <cell r="E114" t="str">
            <v>B1DB</v>
          </cell>
          <cell r="F114" t="str">
            <v>Mise en œuvre de la pédagogie convergente</v>
          </cell>
        </row>
        <row r="115">
          <cell r="B115" t="str">
            <v>B1DC</v>
          </cell>
          <cell r="C115" t="str">
            <v>INRAP</v>
          </cell>
          <cell r="E115" t="str">
            <v>B1DC</v>
          </cell>
          <cell r="F115" t="str">
            <v>Elaboration de manuels et de guides du primaire</v>
          </cell>
        </row>
        <row r="116">
          <cell r="B116" t="str">
            <v>B1DD</v>
          </cell>
          <cell r="C116" t="str">
            <v>INRAP</v>
          </cell>
          <cell r="E116" t="str">
            <v>B1DD</v>
          </cell>
          <cell r="F116" t="str">
            <v>Diffusion d'émissions interactives par la radio</v>
          </cell>
        </row>
        <row r="117">
          <cell r="B117" t="str">
            <v>B1DE</v>
          </cell>
          <cell r="C117" t="str">
            <v>INRAP</v>
          </cell>
          <cell r="E117" t="str">
            <v>B1DE</v>
          </cell>
          <cell r="F117" t="str">
            <v>Fonctionnement général INRAP</v>
          </cell>
        </row>
        <row r="118">
          <cell r="B118" t="str">
            <v>B1E</v>
          </cell>
          <cell r="C118" t="str">
            <v>CNCESE</v>
          </cell>
          <cell r="E118" t="str">
            <v>B1E</v>
          </cell>
          <cell r="F118" t="str">
            <v>EPU Evaluations des compétences</v>
          </cell>
        </row>
        <row r="119">
          <cell r="B119" t="str">
            <v>B1EA</v>
          </cell>
          <cell r="C119" t="str">
            <v>CNCESE</v>
          </cell>
          <cell r="E119" t="str">
            <v>B1EA</v>
          </cell>
          <cell r="F119" t="str">
            <v>Evaluations des élèves et des maîtres du primaire</v>
          </cell>
        </row>
        <row r="120">
          <cell r="B120" t="str">
            <v>B1EB</v>
          </cell>
          <cell r="C120" t="str">
            <v>CNCESE</v>
          </cell>
          <cell r="E120" t="str">
            <v>B1EB</v>
          </cell>
          <cell r="F120" t="str">
            <v>Evaluations des élèves et des professeurs de collège</v>
          </cell>
        </row>
        <row r="121">
          <cell r="B121" t="str">
            <v>B1EC</v>
          </cell>
          <cell r="C121" t="str">
            <v>CNCESE</v>
          </cell>
          <cell r="E121" t="str">
            <v>B1EC</v>
          </cell>
          <cell r="F121" t="str">
            <v>Evaluations des élèves et des professeurs de lycée</v>
          </cell>
        </row>
        <row r="122">
          <cell r="B122" t="str">
            <v>B1ED</v>
          </cell>
          <cell r="C122" t="str">
            <v>CNCESE</v>
          </cell>
          <cell r="E122" t="str">
            <v>B1ED</v>
          </cell>
          <cell r="F122" t="str">
            <v>Autres évaluations</v>
          </cell>
        </row>
        <row r="123">
          <cell r="B123" t="str">
            <v>B1EE</v>
          </cell>
          <cell r="C123" t="str">
            <v>CNCESE</v>
          </cell>
          <cell r="E123" t="str">
            <v>B1EE</v>
          </cell>
          <cell r="F123" t="str">
            <v>Fonctionnement de la CNCESE</v>
          </cell>
        </row>
        <row r="124">
          <cell r="B124" t="str">
            <v>B1F</v>
          </cell>
          <cell r="C124" t="str">
            <v>SSU</v>
          </cell>
          <cell r="E124" t="str">
            <v>B1F</v>
          </cell>
          <cell r="F124" t="str">
            <v>EPU Nutrition et santé scolaire et IST/VIH/SIDA</v>
          </cell>
        </row>
        <row r="125">
          <cell r="B125" t="str">
            <v>B1FA</v>
          </cell>
          <cell r="C125" t="str">
            <v>SSU</v>
          </cell>
          <cell r="E125" t="str">
            <v>B1FA</v>
          </cell>
          <cell r="F125" t="str">
            <v>Achat et distribution de médicaments et de micro nutriments</v>
          </cell>
        </row>
        <row r="126">
          <cell r="B126" t="str">
            <v>B1FB</v>
          </cell>
          <cell r="C126" t="str">
            <v>SSU</v>
          </cell>
          <cell r="E126" t="str">
            <v>B1FB</v>
          </cell>
          <cell r="F126" t="str">
            <v>Education nutritionnelle et comportementale</v>
          </cell>
        </row>
        <row r="127">
          <cell r="B127" t="str">
            <v>B1FC</v>
          </cell>
          <cell r="C127" t="str">
            <v>SSU</v>
          </cell>
          <cell r="E127" t="str">
            <v>B1FC</v>
          </cell>
          <cell r="F127" t="str">
            <v>SSU</v>
          </cell>
        </row>
        <row r="128">
          <cell r="B128" t="str">
            <v>B1G</v>
          </cell>
          <cell r="C128" t="str">
            <v>SNED</v>
          </cell>
          <cell r="E128" t="str">
            <v>B1G</v>
          </cell>
          <cell r="F128" t="str">
            <v>EPU Formation à distance des enseignants du secondaire</v>
          </cell>
        </row>
        <row r="129">
          <cell r="B129" t="str">
            <v>B1GA</v>
          </cell>
          <cell r="C129" t="str">
            <v>SNED</v>
          </cell>
          <cell r="E129" t="str">
            <v>B1GA</v>
          </cell>
          <cell r="F129" t="str">
            <v>Mise en oeuvre de la formation à distance des enseignants du secondaire</v>
          </cell>
        </row>
        <row r="130">
          <cell r="B130" t="str">
            <v>B1H</v>
          </cell>
          <cell r="C130" t="str">
            <v>SNA</v>
          </cell>
          <cell r="E130" t="str">
            <v>B1H</v>
          </cell>
          <cell r="F130" t="str">
            <v>EPU Alphabétisation des adultes</v>
          </cell>
        </row>
        <row r="131">
          <cell r="B131" t="str">
            <v>B1HA</v>
          </cell>
          <cell r="C131" t="str">
            <v>SNA</v>
          </cell>
          <cell r="E131" t="str">
            <v>B1HA</v>
          </cell>
          <cell r="F131" t="str">
            <v>Organisation et suivi évaluation de l'alphabétisation</v>
          </cell>
        </row>
        <row r="132">
          <cell r="B132" t="str">
            <v>B1HB</v>
          </cell>
          <cell r="C132" t="str">
            <v>SNA</v>
          </cell>
          <cell r="E132" t="str">
            <v>B1HB</v>
          </cell>
          <cell r="F132" t="str">
            <v>Subvention des projets d'alphabétisation</v>
          </cell>
        </row>
        <row r="133">
          <cell r="B133" t="str">
            <v>B1I</v>
          </cell>
          <cell r="C133" t="str">
            <v>CONEBAT</v>
          </cell>
          <cell r="E133" t="str">
            <v>B1I</v>
          </cell>
          <cell r="F133" t="str">
            <v>EPU Education non formelle</v>
          </cell>
        </row>
        <row r="134">
          <cell r="B134" t="str">
            <v>B1IA</v>
          </cell>
          <cell r="C134" t="str">
            <v>CONEBAT</v>
          </cell>
          <cell r="E134" t="str">
            <v>B1IA</v>
          </cell>
          <cell r="F134" t="str">
            <v>Centres NAFA : formation des enfants déscolarisés ou non scolarisés</v>
          </cell>
        </row>
        <row r="135">
          <cell r="B135" t="str">
            <v>B1IB</v>
          </cell>
          <cell r="C135" t="str">
            <v>CONEBAT</v>
          </cell>
          <cell r="E135" t="str">
            <v>B1IB</v>
          </cell>
          <cell r="F135" t="str">
            <v>Autres établissements d'éducation non formelle</v>
          </cell>
        </row>
        <row r="136">
          <cell r="B136" t="str">
            <v>B1J</v>
          </cell>
          <cell r="C136" t="str">
            <v>DNEC</v>
          </cell>
          <cell r="E136" t="str">
            <v>B1J</v>
          </cell>
          <cell r="F136" t="str">
            <v>EPU Education civique</v>
          </cell>
        </row>
        <row r="137">
          <cell r="B137" t="str">
            <v>B1JA</v>
          </cell>
          <cell r="C137" t="str">
            <v>DNEC</v>
          </cell>
          <cell r="E137" t="str">
            <v>B1JA</v>
          </cell>
          <cell r="F137" t="str">
            <v>Education civique</v>
          </cell>
        </row>
        <row r="138">
          <cell r="B138" t="str">
            <v>B1JB</v>
          </cell>
          <cell r="C138" t="str">
            <v>DNEC</v>
          </cell>
          <cell r="E138" t="str">
            <v>B1JB</v>
          </cell>
          <cell r="F138" t="str">
            <v>Lutte contre la violence en milieu scolaire</v>
          </cell>
        </row>
        <row r="139">
          <cell r="B139" t="str">
            <v>B1K</v>
          </cell>
          <cell r="C139" t="str">
            <v>DNSSU</v>
          </cell>
          <cell r="E139" t="str">
            <v>B1K</v>
          </cell>
          <cell r="F139" t="str">
            <v>EPU Education physique et sportive</v>
          </cell>
        </row>
        <row r="140">
          <cell r="B140" t="str">
            <v>B1KA</v>
          </cell>
          <cell r="C140" t="str">
            <v>DNSSU</v>
          </cell>
          <cell r="E140" t="str">
            <v>B1KA</v>
          </cell>
          <cell r="F140" t="str">
            <v>Révision des programmes d'éducation physique et sportive</v>
          </cell>
        </row>
        <row r="141">
          <cell r="B141" t="str">
            <v>B1L</v>
          </cell>
          <cell r="C141" t="str">
            <v>SINDA</v>
          </cell>
          <cell r="E141" t="str">
            <v>B1L</v>
          </cell>
          <cell r="F141" t="str">
            <v>EPU Information documentation archives communication</v>
          </cell>
        </row>
        <row r="142">
          <cell r="B142" t="str">
            <v>B1LA</v>
          </cell>
          <cell r="C142" t="str">
            <v>SINDA</v>
          </cell>
          <cell r="E142" t="str">
            <v>B1LA</v>
          </cell>
          <cell r="F142" t="str">
            <v>Plan de communication du secteur de l'éducation</v>
          </cell>
        </row>
        <row r="143">
          <cell r="B143" t="str">
            <v>B1LB</v>
          </cell>
          <cell r="C143" t="str">
            <v>SINDA</v>
          </cell>
          <cell r="E143" t="str">
            <v>B1LB</v>
          </cell>
          <cell r="F143" t="str">
            <v>Publication de la revue : "L'Educateur"</v>
          </cell>
        </row>
        <row r="144">
          <cell r="B144" t="str">
            <v>B1LC</v>
          </cell>
          <cell r="C144" t="str">
            <v>SINDA</v>
          </cell>
          <cell r="E144" t="str">
            <v>B1LC</v>
          </cell>
          <cell r="F144" t="str">
            <v>Coins lecture</v>
          </cell>
        </row>
        <row r="145">
          <cell r="B145" t="str">
            <v>B2B</v>
          </cell>
          <cell r="C145" t="str">
            <v>DNFPPP</v>
          </cell>
          <cell r="E145" t="str">
            <v>B2B</v>
          </cell>
          <cell r="F145" t="str">
            <v>ETFP Formation initiale des enseignants du primaire</v>
          </cell>
        </row>
        <row r="146">
          <cell r="B146" t="str">
            <v>B2BA</v>
          </cell>
          <cell r="C146" t="str">
            <v>DNFPPP</v>
          </cell>
          <cell r="E146" t="str">
            <v>B2BA</v>
          </cell>
          <cell r="F146" t="str">
            <v>Elaboration/implantation des nouveaux modules de formation des maîtres</v>
          </cell>
        </row>
        <row r="147">
          <cell r="B147" t="str">
            <v>B2BB</v>
          </cell>
          <cell r="C147" t="str">
            <v>DNFPPP</v>
          </cell>
          <cell r="E147" t="str">
            <v>B2BB</v>
          </cell>
          <cell r="F147" t="str">
            <v>Formation initiale des maîtres dans les ENI</v>
          </cell>
        </row>
        <row r="148">
          <cell r="B148" t="str">
            <v>B2BC</v>
          </cell>
          <cell r="C148" t="str">
            <v>DNFPPP</v>
          </cell>
          <cell r="E148" t="str">
            <v>B2BC</v>
          </cell>
          <cell r="F148" t="str">
            <v>Formation pratique des maîtres dans les écoles associées</v>
          </cell>
        </row>
        <row r="149">
          <cell r="B149" t="str">
            <v>B2BD</v>
          </cell>
          <cell r="C149" t="str">
            <v>DNFPPP</v>
          </cell>
          <cell r="E149" t="str">
            <v>B2BD</v>
          </cell>
          <cell r="F149" t="str">
            <v>Perfectionnement des enseignants et des gestionnaires des ENI</v>
          </cell>
        </row>
        <row r="150">
          <cell r="B150" t="str">
            <v>B2D</v>
          </cell>
          <cell r="C150" t="str">
            <v>DNFPPP</v>
          </cell>
          <cell r="E150" t="str">
            <v>B2D</v>
          </cell>
          <cell r="F150" t="str">
            <v>ETFP Ecoles Normales d'Instituteurs</v>
          </cell>
        </row>
        <row r="151">
          <cell r="B151" t="str">
            <v>B2DA</v>
          </cell>
          <cell r="C151" t="str">
            <v>DNFPPP</v>
          </cell>
          <cell r="E151" t="str">
            <v>B2DA</v>
          </cell>
          <cell r="F151" t="str">
            <v>Ecole Normale d'Instituteur de Boké</v>
          </cell>
        </row>
        <row r="152">
          <cell r="B152" t="str">
            <v>B2DB</v>
          </cell>
          <cell r="C152" t="str">
            <v>DNFPPP</v>
          </cell>
          <cell r="E152" t="str">
            <v>B2DB</v>
          </cell>
          <cell r="F152" t="str">
            <v>Ecole Normale d'Instituteur de Conakry</v>
          </cell>
        </row>
        <row r="153">
          <cell r="B153" t="str">
            <v>B2DC</v>
          </cell>
          <cell r="C153" t="str">
            <v>DNFPPP</v>
          </cell>
          <cell r="E153" t="str">
            <v>B2DC</v>
          </cell>
          <cell r="F153" t="str">
            <v>Ecole Normale d'Instituteur de Dubréka</v>
          </cell>
        </row>
        <row r="154">
          <cell r="B154" t="str">
            <v>B2DD</v>
          </cell>
          <cell r="C154" t="str">
            <v>DNFPPP</v>
          </cell>
          <cell r="E154" t="str">
            <v>B2DD</v>
          </cell>
          <cell r="F154" t="str">
            <v>Ecole Normale d'Instituteur de Faranah</v>
          </cell>
        </row>
        <row r="155">
          <cell r="B155" t="str">
            <v>B2DE</v>
          </cell>
          <cell r="C155" t="str">
            <v>DNFPPP</v>
          </cell>
          <cell r="E155" t="str">
            <v>B2DE</v>
          </cell>
          <cell r="F155" t="str">
            <v>Ecole Normale d'Instituteur de Kankan</v>
          </cell>
        </row>
        <row r="156">
          <cell r="B156" t="str">
            <v>B2DF</v>
          </cell>
          <cell r="C156" t="str">
            <v>DNFPPP</v>
          </cell>
          <cell r="E156" t="str">
            <v>B2DF</v>
          </cell>
          <cell r="F156" t="str">
            <v>Ecole Normale d'Instituteur de Kindia</v>
          </cell>
        </row>
        <row r="157">
          <cell r="B157" t="str">
            <v>B2DG</v>
          </cell>
          <cell r="C157" t="str">
            <v>DNFPPP</v>
          </cell>
          <cell r="E157" t="str">
            <v>B2DG</v>
          </cell>
          <cell r="F157" t="str">
            <v>Ecole Normale d'Instituteur de Labé</v>
          </cell>
        </row>
        <row r="158">
          <cell r="B158" t="str">
            <v>B2DH</v>
          </cell>
          <cell r="C158" t="str">
            <v>DNFPPP</v>
          </cell>
          <cell r="E158" t="str">
            <v>B2DH</v>
          </cell>
          <cell r="F158" t="str">
            <v>Ecole Normale d'Instituteur de Nzérékoré</v>
          </cell>
        </row>
        <row r="159">
          <cell r="B159" t="str">
            <v>B2C</v>
          </cell>
          <cell r="C159" t="str">
            <v>DNETFP</v>
          </cell>
          <cell r="E159" t="str">
            <v>B2C</v>
          </cell>
          <cell r="F159" t="str">
            <v>ETFP Centres de Formation Professionnelle</v>
          </cell>
        </row>
        <row r="160">
          <cell r="B160" t="str">
            <v>B2CA</v>
          </cell>
          <cell r="C160" t="str">
            <v>DNETFP</v>
          </cell>
          <cell r="E160" t="str">
            <v>B2CA</v>
          </cell>
          <cell r="F160" t="str">
            <v>CFP Autr</v>
          </cell>
        </row>
        <row r="161">
          <cell r="B161" t="str">
            <v>B2CB</v>
          </cell>
          <cell r="C161" t="str">
            <v>DNETFP</v>
          </cell>
          <cell r="E161" t="str">
            <v>B2CB</v>
          </cell>
          <cell r="F161" t="str">
            <v>CFP Boké</v>
          </cell>
        </row>
        <row r="162">
          <cell r="B162" t="str">
            <v>B2CC</v>
          </cell>
          <cell r="C162" t="str">
            <v>DNETFP</v>
          </cell>
          <cell r="E162" t="str">
            <v>B2CC</v>
          </cell>
          <cell r="F162" t="str">
            <v>CFP Bord</v>
          </cell>
        </row>
        <row r="163">
          <cell r="B163" t="str">
            <v>B2CD</v>
          </cell>
          <cell r="C163" t="str">
            <v>DNETFP</v>
          </cell>
          <cell r="E163" t="str">
            <v>B2CD</v>
          </cell>
          <cell r="F163" t="str">
            <v>CFP Donk</v>
          </cell>
        </row>
        <row r="164">
          <cell r="B164" t="str">
            <v>B2CE</v>
          </cell>
          <cell r="C164" t="str">
            <v>DNETFP</v>
          </cell>
          <cell r="E164" t="str">
            <v>B2CE</v>
          </cell>
          <cell r="F164" t="str">
            <v>CFP Fara</v>
          </cell>
        </row>
        <row r="165">
          <cell r="B165" t="str">
            <v>B2CF</v>
          </cell>
          <cell r="C165" t="str">
            <v>DNETFP</v>
          </cell>
          <cell r="E165" t="str">
            <v>B2CF</v>
          </cell>
          <cell r="F165" t="str">
            <v>CFP Fer</v>
          </cell>
        </row>
        <row r="166">
          <cell r="B166" t="str">
            <v>B2CG</v>
          </cell>
          <cell r="C166" t="str">
            <v>DNETFP</v>
          </cell>
          <cell r="E166" t="str">
            <v>B2CG</v>
          </cell>
          <cell r="F166" t="str">
            <v>CFP Fria</v>
          </cell>
        </row>
        <row r="167">
          <cell r="B167" t="str">
            <v>B2CH</v>
          </cell>
          <cell r="C167" t="str">
            <v>DNETFP</v>
          </cell>
          <cell r="E167" t="str">
            <v>B2CH</v>
          </cell>
          <cell r="F167" t="str">
            <v>CFP Guéc</v>
          </cell>
        </row>
        <row r="168">
          <cell r="B168" t="str">
            <v>B2CI</v>
          </cell>
          <cell r="C168" t="str">
            <v>DNETFP</v>
          </cell>
          <cell r="E168" t="str">
            <v>B2CI</v>
          </cell>
          <cell r="F168" t="str">
            <v>CFP Kank</v>
          </cell>
        </row>
        <row r="169">
          <cell r="B169" t="str">
            <v>B2CJ</v>
          </cell>
          <cell r="C169" t="str">
            <v>DNETFP</v>
          </cell>
          <cell r="E169" t="str">
            <v>B2CJ</v>
          </cell>
          <cell r="F169" t="str">
            <v>CFP Kind</v>
          </cell>
        </row>
        <row r="170">
          <cell r="B170" t="str">
            <v>B2CK</v>
          </cell>
          <cell r="C170" t="str">
            <v>DNETFP</v>
          </cell>
          <cell r="E170" t="str">
            <v>B2CK</v>
          </cell>
          <cell r="F170" t="str">
            <v>CFP Kiss</v>
          </cell>
        </row>
        <row r="171">
          <cell r="B171" t="str">
            <v>B2CL</v>
          </cell>
          <cell r="C171" t="str">
            <v>DNETFP</v>
          </cell>
          <cell r="E171" t="str">
            <v>B2CL</v>
          </cell>
          <cell r="F171" t="str">
            <v>CFP Labé</v>
          </cell>
        </row>
        <row r="172">
          <cell r="B172" t="str">
            <v>B2CM</v>
          </cell>
          <cell r="C172" t="str">
            <v>DNETFP</v>
          </cell>
          <cell r="E172" t="str">
            <v>B2CM</v>
          </cell>
          <cell r="F172" t="str">
            <v>CFP Mamo</v>
          </cell>
        </row>
        <row r="173">
          <cell r="B173" t="str">
            <v>B2CN</v>
          </cell>
          <cell r="C173" t="str">
            <v>DNETFP</v>
          </cell>
          <cell r="E173" t="str">
            <v>B2CN</v>
          </cell>
          <cell r="F173" t="str">
            <v>CFP Mar</v>
          </cell>
        </row>
        <row r="174">
          <cell r="B174" t="str">
            <v>B2CO</v>
          </cell>
          <cell r="C174" t="str">
            <v>DNETFP</v>
          </cell>
          <cell r="E174" t="str">
            <v>B2CO</v>
          </cell>
          <cell r="F174" t="str">
            <v>CFP Mato</v>
          </cell>
        </row>
        <row r="175">
          <cell r="B175" t="str">
            <v>B2CP</v>
          </cell>
          <cell r="C175" t="str">
            <v>DNETFP</v>
          </cell>
          <cell r="E175" t="str">
            <v>B2CP</v>
          </cell>
          <cell r="F175" t="str">
            <v>CFP Nzér</v>
          </cell>
        </row>
        <row r="176">
          <cell r="B176" t="str">
            <v>B2CQ</v>
          </cell>
          <cell r="C176" t="str">
            <v>DNETFP</v>
          </cell>
          <cell r="E176" t="str">
            <v>B2CQ</v>
          </cell>
          <cell r="F176" t="str">
            <v>CFP Rato</v>
          </cell>
        </row>
        <row r="177">
          <cell r="B177" t="str">
            <v>B2CR</v>
          </cell>
          <cell r="C177" t="str">
            <v>DNETFP</v>
          </cell>
          <cell r="E177" t="str">
            <v>B2CR</v>
          </cell>
          <cell r="F177" t="str">
            <v>CFPPP Kipp</v>
          </cell>
        </row>
        <row r="178">
          <cell r="B178" t="str">
            <v>B2A</v>
          </cell>
          <cell r="C178" t="str">
            <v>DNETFP</v>
          </cell>
          <cell r="E178" t="str">
            <v>B2A</v>
          </cell>
          <cell r="F178" t="str">
            <v>ETFP Ens. technique et form. Professionnelle</v>
          </cell>
        </row>
        <row r="179">
          <cell r="B179" t="str">
            <v>B2AA</v>
          </cell>
          <cell r="C179" t="str">
            <v>DNETFP</v>
          </cell>
          <cell r="E179" t="str">
            <v>B2AA</v>
          </cell>
          <cell r="F179" t="str">
            <v>Formation professionnelle duale et post primaire</v>
          </cell>
        </row>
        <row r="180">
          <cell r="B180" t="str">
            <v>B2AB</v>
          </cell>
          <cell r="C180" t="str">
            <v>DNETFP</v>
          </cell>
          <cell r="E180" t="str">
            <v>B2AB</v>
          </cell>
          <cell r="F180" t="str">
            <v>Expérimentation de formations post primaire (FCE)</v>
          </cell>
        </row>
        <row r="181">
          <cell r="B181" t="str">
            <v>B2AC</v>
          </cell>
          <cell r="C181" t="str">
            <v>DNETFP</v>
          </cell>
          <cell r="E181" t="str">
            <v>B2AC</v>
          </cell>
          <cell r="F181" t="str">
            <v>Restructuration de 7 CFP (AMORE)</v>
          </cell>
        </row>
        <row r="182">
          <cell r="B182" t="str">
            <v>B2AD</v>
          </cell>
          <cell r="C182" t="str">
            <v>DNETFP</v>
          </cell>
          <cell r="E182" t="str">
            <v>B2AD</v>
          </cell>
          <cell r="F182" t="str">
            <v>Restructuration du CFP Maritime (RECH)</v>
          </cell>
        </row>
        <row r="183">
          <cell r="B183" t="str">
            <v>B2AE</v>
          </cell>
          <cell r="C183" t="str">
            <v>DNETFP</v>
          </cell>
          <cell r="E183" t="str">
            <v>B2AE</v>
          </cell>
          <cell r="F183" t="str">
            <v>Restructuration du CFP Chemin de Fer (RECH)</v>
          </cell>
        </row>
        <row r="184">
          <cell r="B184" t="str">
            <v>B2AF</v>
          </cell>
          <cell r="C184" t="str">
            <v>DNETFP</v>
          </cell>
          <cell r="E184" t="str">
            <v>B2AF</v>
          </cell>
          <cell r="F184" t="str">
            <v>Restructuration de l'Ecole Nationale des Postes et Télécom (RECH)</v>
          </cell>
        </row>
        <row r="185">
          <cell r="B185" t="str">
            <v>B2AG</v>
          </cell>
          <cell r="C185" t="str">
            <v>DNETFP</v>
          </cell>
          <cell r="E185" t="str">
            <v>B2AG</v>
          </cell>
          <cell r="F185" t="str">
            <v>Formation continue des enseignants de l'ETFP</v>
          </cell>
        </row>
        <row r="186">
          <cell r="B186" t="str">
            <v>B2E</v>
          </cell>
          <cell r="C186" t="str">
            <v>DNETFP</v>
          </cell>
          <cell r="E186" t="str">
            <v>B2E</v>
          </cell>
          <cell r="F186" t="str">
            <v>ETFP Etablissements de formation sanitaire</v>
          </cell>
        </row>
        <row r="187">
          <cell r="B187" t="str">
            <v>B2EA</v>
          </cell>
          <cell r="C187" t="str">
            <v>DNETFP</v>
          </cell>
          <cell r="E187" t="str">
            <v>B2EA</v>
          </cell>
          <cell r="F187" t="str">
            <v>Ecole de Soins de Santé Communautaire de Boké</v>
          </cell>
        </row>
        <row r="188">
          <cell r="B188" t="str">
            <v>B2EB</v>
          </cell>
          <cell r="C188" t="str">
            <v>DNETFP</v>
          </cell>
          <cell r="E188" t="str">
            <v>B2EB</v>
          </cell>
          <cell r="F188" t="str">
            <v>Ecole de Soins de Santé Communautaire de Faranah</v>
          </cell>
        </row>
        <row r="189">
          <cell r="B189" t="str">
            <v>B2EC</v>
          </cell>
          <cell r="C189" t="str">
            <v>DNETFP</v>
          </cell>
          <cell r="E189" t="str">
            <v>B2EC</v>
          </cell>
          <cell r="F189" t="str">
            <v>Ecole de Soins de Santé Communautaire de Kankan</v>
          </cell>
        </row>
        <row r="190">
          <cell r="B190" t="str">
            <v>B2ED</v>
          </cell>
          <cell r="C190" t="str">
            <v>DNETFP</v>
          </cell>
          <cell r="E190" t="str">
            <v>B2ED</v>
          </cell>
          <cell r="F190" t="str">
            <v>Ecole de Soins de Santé Communautaire de Labé</v>
          </cell>
        </row>
        <row r="191">
          <cell r="B191" t="str">
            <v>B2EE</v>
          </cell>
          <cell r="C191" t="str">
            <v>DNETFP</v>
          </cell>
          <cell r="E191" t="str">
            <v>B2EE</v>
          </cell>
          <cell r="F191" t="str">
            <v>Ecole de Soins de Santé Communautaire de Nzérékoré</v>
          </cell>
        </row>
        <row r="192">
          <cell r="B192" t="str">
            <v>B2EF</v>
          </cell>
          <cell r="C192" t="str">
            <v>DNETFP</v>
          </cell>
          <cell r="E192" t="str">
            <v>B2EF</v>
          </cell>
          <cell r="F192" t="str">
            <v>Ecole Nale de la Santé de Kindia</v>
          </cell>
        </row>
        <row r="193">
          <cell r="B193" t="str">
            <v>B2EG</v>
          </cell>
          <cell r="C193" t="str">
            <v>DNETFP</v>
          </cell>
          <cell r="E193" t="str">
            <v>B2EG</v>
          </cell>
          <cell r="F193" t="str">
            <v>Institut de FORmation des personnelS de Santé Donka</v>
          </cell>
        </row>
        <row r="194">
          <cell r="B194" t="str">
            <v>B2F</v>
          </cell>
          <cell r="C194" t="str">
            <v>DNETFP</v>
          </cell>
          <cell r="E194" t="str">
            <v>B2F</v>
          </cell>
          <cell r="F194" t="str">
            <v>ETFP Ecoles d'agriculture, d'élevage et des eaux et forêts</v>
          </cell>
        </row>
        <row r="195">
          <cell r="B195" t="str">
            <v>B2FA</v>
          </cell>
          <cell r="C195" t="str">
            <v>DNETFP</v>
          </cell>
          <cell r="E195" t="str">
            <v>B2FA</v>
          </cell>
          <cell r="F195" t="str">
            <v>Ecole Nale d'Agriculture et d'élevage de Bordo Kankan</v>
          </cell>
        </row>
        <row r="196">
          <cell r="B196" t="str">
            <v>B2FB</v>
          </cell>
          <cell r="C196" t="str">
            <v>DNETFP</v>
          </cell>
          <cell r="E196" t="str">
            <v>B2FB</v>
          </cell>
          <cell r="F196" t="str">
            <v>Ecole Nale d'Agriculture et d'élevage de Koba Boffa</v>
          </cell>
        </row>
        <row r="197">
          <cell r="B197" t="str">
            <v>B2FC</v>
          </cell>
          <cell r="C197" t="str">
            <v>DNETFP</v>
          </cell>
          <cell r="E197" t="str">
            <v>B2FC</v>
          </cell>
          <cell r="F197" t="str">
            <v>Ecole Nale d'Agriculture et d'élevage à Macenta</v>
          </cell>
        </row>
        <row r="198">
          <cell r="B198" t="str">
            <v>B2FD</v>
          </cell>
          <cell r="C198" t="str">
            <v>DNETFP</v>
          </cell>
          <cell r="E198" t="str">
            <v>B2FD</v>
          </cell>
          <cell r="F198" t="str">
            <v>Ecole Nale d'Agriculture et d'élevage de Tolo Mamou</v>
          </cell>
        </row>
        <row r="199">
          <cell r="B199" t="str">
            <v>B2FE</v>
          </cell>
          <cell r="C199" t="str">
            <v>DNETFP</v>
          </cell>
          <cell r="E199" t="str">
            <v>B2FE</v>
          </cell>
          <cell r="F199" t="str">
            <v>Ecole Nale des Agents Techniques des Eaux et Forêts à Mamou</v>
          </cell>
        </row>
        <row r="200">
          <cell r="B200" t="str">
            <v>B2G</v>
          </cell>
          <cell r="C200" t="str">
            <v>DNETFP</v>
          </cell>
          <cell r="E200" t="str">
            <v>B2G</v>
          </cell>
          <cell r="F200" t="str">
            <v>ETFP Centres de Perfectionnement</v>
          </cell>
        </row>
        <row r="201">
          <cell r="B201" t="str">
            <v>B2GA</v>
          </cell>
          <cell r="C201" t="str">
            <v>DNETFP</v>
          </cell>
          <cell r="E201" t="str">
            <v>B2GA</v>
          </cell>
          <cell r="F201" t="str">
            <v>Centre d'Apprentissage de Matoto</v>
          </cell>
        </row>
        <row r="202">
          <cell r="B202" t="str">
            <v>B2GB</v>
          </cell>
          <cell r="C202" t="str">
            <v>DNETFP</v>
          </cell>
          <cell r="E202" t="str">
            <v>B2GB</v>
          </cell>
          <cell r="F202" t="str">
            <v>Centre de Perfectionnemnent aux Techniques Automobiles et Mécaniques (DCE Dixinn)</v>
          </cell>
        </row>
        <row r="203">
          <cell r="B203" t="str">
            <v>B2GC</v>
          </cell>
          <cell r="C203" t="str">
            <v>DNETFP</v>
          </cell>
          <cell r="E203" t="str">
            <v>B2GC</v>
          </cell>
          <cell r="F203" t="str">
            <v>Centre Nal de Perfectionnement à la Gestion (DCE Dixinn)</v>
          </cell>
        </row>
        <row r="204">
          <cell r="B204" t="str">
            <v>B2GD</v>
          </cell>
          <cell r="C204" t="str">
            <v>DNETFP</v>
          </cell>
          <cell r="E204" t="str">
            <v>B2GD</v>
          </cell>
          <cell r="F204" t="str">
            <v>Office National de la Formation et du Perfectionnement Professionnel à Conakry</v>
          </cell>
        </row>
        <row r="205">
          <cell r="B205" t="str">
            <v>B2H</v>
          </cell>
          <cell r="C205" t="str">
            <v>DNETFP</v>
          </cell>
          <cell r="E205" t="str">
            <v>B2H</v>
          </cell>
          <cell r="F205" t="str">
            <v>ETFP Ecoles professionnelles</v>
          </cell>
        </row>
        <row r="206">
          <cell r="B206" t="str">
            <v>B2HA</v>
          </cell>
          <cell r="C206" t="str">
            <v>DNETFP</v>
          </cell>
          <cell r="E206" t="str">
            <v>B2HA</v>
          </cell>
          <cell r="F206" t="str">
            <v>Centre de Formation Touristique et Hotelière (DCE Ratoma)</v>
          </cell>
        </row>
        <row r="207">
          <cell r="B207" t="str">
            <v>B2HB</v>
          </cell>
          <cell r="C207" t="str">
            <v>DNETFP</v>
          </cell>
          <cell r="E207" t="str">
            <v>B2HB</v>
          </cell>
          <cell r="F207" t="str">
            <v>Centre d'Education à l'Environnement et au Développement à Pita</v>
          </cell>
        </row>
        <row r="208">
          <cell r="B208" t="str">
            <v>B2HC</v>
          </cell>
          <cell r="C208" t="str">
            <v>DNETFP</v>
          </cell>
          <cell r="E208" t="str">
            <v>B2HC</v>
          </cell>
          <cell r="F208" t="str">
            <v>Ecole Nale de Secrétariat d'Administration et de Commerce (DCE Dixinn)</v>
          </cell>
        </row>
        <row r="209">
          <cell r="B209" t="str">
            <v>B2HD</v>
          </cell>
          <cell r="C209" t="str">
            <v>DNETFP</v>
          </cell>
          <cell r="E209" t="str">
            <v>B2HD</v>
          </cell>
          <cell r="F209" t="str">
            <v>Ecole Nale d'Education Physique et de Sport à Conakry (DCE Dixinn)</v>
          </cell>
        </row>
        <row r="210">
          <cell r="B210" t="str">
            <v>B2HE</v>
          </cell>
          <cell r="C210" t="str">
            <v>DNETFP</v>
          </cell>
          <cell r="E210" t="str">
            <v>B2HE</v>
          </cell>
          <cell r="F210" t="str">
            <v>Ecole Nale des Arts et Métiers (DCE Matam)</v>
          </cell>
        </row>
        <row r="211">
          <cell r="B211" t="str">
            <v>B2HF</v>
          </cell>
          <cell r="C211" t="str">
            <v>DNETFP</v>
          </cell>
          <cell r="E211" t="str">
            <v>B2HF</v>
          </cell>
          <cell r="F211" t="str">
            <v>Ecole Nale des Postes et Télécommunication (DCE Ratoma)</v>
          </cell>
        </row>
        <row r="212">
          <cell r="B212" t="str">
            <v>B2HG</v>
          </cell>
          <cell r="C212" t="str">
            <v>DNETFP</v>
          </cell>
          <cell r="E212" t="str">
            <v>B2HG</v>
          </cell>
          <cell r="F212" t="str">
            <v>Ecole Normale des Professeurs d'Enseignement Technique et Professionnel (DCE Matoto)</v>
          </cell>
        </row>
        <row r="213">
          <cell r="B213" t="str">
            <v>B2I</v>
          </cell>
          <cell r="C213" t="str">
            <v>DNETFP</v>
          </cell>
          <cell r="E213" t="str">
            <v>B2I</v>
          </cell>
          <cell r="F213" t="str">
            <v>ETFP Ecoles privées</v>
          </cell>
        </row>
        <row r="214">
          <cell r="B214" t="str">
            <v>B2IA</v>
          </cell>
          <cell r="C214" t="str">
            <v>DNETFP</v>
          </cell>
          <cell r="E214" t="str">
            <v>B2IA</v>
          </cell>
          <cell r="F214" t="str">
            <v>Subventions et appuis aux établissements d'ETF privés</v>
          </cell>
        </row>
        <row r="215">
          <cell r="B215" t="str">
            <v>B3C</v>
          </cell>
          <cell r="C215" t="str">
            <v>ISSEG</v>
          </cell>
          <cell r="E215" t="str">
            <v>B3C</v>
          </cell>
          <cell r="F215" t="str">
            <v>ESRS Formation des personnels des ENI et du secondaire</v>
          </cell>
        </row>
        <row r="216">
          <cell r="B216" t="str">
            <v>B3CA</v>
          </cell>
          <cell r="C216" t="str">
            <v>ISSEG</v>
          </cell>
          <cell r="E216" t="str">
            <v>B3CA</v>
          </cell>
          <cell r="F216" t="str">
            <v>Réforme des programmes de l'ISSEG</v>
          </cell>
        </row>
        <row r="217">
          <cell r="B217" t="str">
            <v>B3CB</v>
          </cell>
          <cell r="C217" t="str">
            <v>ISSEG</v>
          </cell>
          <cell r="E217" t="str">
            <v>B3CB</v>
          </cell>
          <cell r="F217" t="str">
            <v>Formation initiale des enseignants du secondaire</v>
          </cell>
        </row>
        <row r="218">
          <cell r="B218" t="str">
            <v>B3CC</v>
          </cell>
          <cell r="C218" t="str">
            <v>ISSEG</v>
          </cell>
          <cell r="E218" t="str">
            <v>B3CC</v>
          </cell>
          <cell r="F218" t="str">
            <v>Conception des modules de formation à distance des enseignants du secondaire</v>
          </cell>
        </row>
        <row r="219">
          <cell r="B219" t="str">
            <v>B3CD</v>
          </cell>
          <cell r="C219" t="str">
            <v>ISSEG</v>
          </cell>
          <cell r="E219" t="str">
            <v>B3CD</v>
          </cell>
          <cell r="F219" t="str">
            <v>Formation des PEN et des CPMF</v>
          </cell>
        </row>
        <row r="220">
          <cell r="B220" t="str">
            <v>B3CE</v>
          </cell>
          <cell r="C220" t="str">
            <v>ISSEG</v>
          </cell>
          <cell r="E220" t="str">
            <v>B3CE</v>
          </cell>
          <cell r="F220" t="str">
            <v>Formation des APES</v>
          </cell>
        </row>
        <row r="221">
          <cell r="B221" t="str">
            <v>B3CF</v>
          </cell>
          <cell r="C221" t="str">
            <v>ISSEG</v>
          </cell>
          <cell r="E221" t="str">
            <v>B3CF</v>
          </cell>
          <cell r="F221" t="str">
            <v>Formation des inspecteurs de l'éducation</v>
          </cell>
        </row>
        <row r="222">
          <cell r="B222" t="str">
            <v>B3CG</v>
          </cell>
          <cell r="C222" t="str">
            <v>ISSEG</v>
          </cell>
          <cell r="E222" t="str">
            <v>B3CG</v>
          </cell>
          <cell r="F222" t="str">
            <v>Formation des gestionnaires des ENI et des établissements secondaires</v>
          </cell>
        </row>
        <row r="223">
          <cell r="B223" t="str">
            <v>B3A</v>
          </cell>
          <cell r="C223" t="str">
            <v>DNESUP</v>
          </cell>
          <cell r="E223" t="str">
            <v>B3A</v>
          </cell>
          <cell r="F223" t="str">
            <v>ESRS Réforme programmes enseignement supérieur</v>
          </cell>
        </row>
        <row r="224">
          <cell r="B224" t="str">
            <v>B3AA</v>
          </cell>
          <cell r="C224" t="str">
            <v>DNESUP</v>
          </cell>
          <cell r="E224" t="str">
            <v>B3AA</v>
          </cell>
          <cell r="F224" t="str">
            <v>Implantation du LMD et des programmes rénovés / nouveaux</v>
          </cell>
        </row>
        <row r="225">
          <cell r="B225" t="str">
            <v>B3AB</v>
          </cell>
          <cell r="C225" t="str">
            <v>DNESUP</v>
          </cell>
          <cell r="E225" t="str">
            <v>B3AB</v>
          </cell>
          <cell r="F225" t="str">
            <v>Formation initiale/continue enseignants, mise à niveau personnel d'appui scientifique</v>
          </cell>
        </row>
        <row r="226">
          <cell r="B226" t="str">
            <v>B3AC</v>
          </cell>
          <cell r="C226" t="str">
            <v>DNESUP</v>
          </cell>
          <cell r="E226" t="str">
            <v>B3AC</v>
          </cell>
          <cell r="F226" t="str">
            <v>Construction et équipement de la BUC</v>
          </cell>
        </row>
        <row r="227">
          <cell r="B227" t="str">
            <v>B3AD</v>
          </cell>
          <cell r="C227" t="str">
            <v>DNESUP</v>
          </cell>
          <cell r="E227" t="str">
            <v>B3AD</v>
          </cell>
          <cell r="F227" t="str">
            <v>Construction et équipement de Centres d'Accès Informatique</v>
          </cell>
        </row>
        <row r="228">
          <cell r="B228" t="str">
            <v>B3AE</v>
          </cell>
          <cell r="C228" t="str">
            <v>DNESUP</v>
          </cell>
          <cell r="E228" t="str">
            <v>B3AE</v>
          </cell>
          <cell r="F228" t="str">
            <v>Développement des bibliothèques de proximité</v>
          </cell>
        </row>
        <row r="229">
          <cell r="B229" t="str">
            <v>B3AF</v>
          </cell>
          <cell r="C229" t="str">
            <v>DNESUP</v>
          </cell>
          <cell r="E229" t="str">
            <v>B3AF</v>
          </cell>
          <cell r="F229" t="str">
            <v>Construction/réhabilitation et équipement de laboratoires (pédagogiques/recherche)</v>
          </cell>
        </row>
        <row r="230">
          <cell r="B230" t="str">
            <v>B3D</v>
          </cell>
          <cell r="C230" t="str">
            <v>DNESUP</v>
          </cell>
          <cell r="E230" t="str">
            <v>B3D</v>
          </cell>
          <cell r="F230" t="str">
            <v>ESRS Instituts d'enseignement supérieur</v>
          </cell>
        </row>
        <row r="231">
          <cell r="B231" t="str">
            <v>B3DA</v>
          </cell>
          <cell r="C231" t="str">
            <v>DNESUP</v>
          </cell>
          <cell r="E231" t="str">
            <v>B3DA</v>
          </cell>
          <cell r="F231" t="str">
            <v>CUR KIND</v>
          </cell>
        </row>
        <row r="232">
          <cell r="B232" t="str">
            <v>B3DB</v>
          </cell>
          <cell r="C232" t="str">
            <v>DNESUP</v>
          </cell>
          <cell r="E232" t="str">
            <v>B3DB</v>
          </cell>
          <cell r="F232" t="str">
            <v>CUR LABE</v>
          </cell>
        </row>
        <row r="233">
          <cell r="B233" t="str">
            <v>B3DC</v>
          </cell>
          <cell r="C233" t="str">
            <v>DNESUP</v>
          </cell>
          <cell r="E233" t="str">
            <v>B3DC</v>
          </cell>
          <cell r="F233" t="str">
            <v>CUR NZER</v>
          </cell>
        </row>
        <row r="234">
          <cell r="B234" t="str">
            <v>B3DD</v>
          </cell>
          <cell r="C234" t="str">
            <v>DNESUP</v>
          </cell>
          <cell r="E234" t="str">
            <v>B3DD</v>
          </cell>
          <cell r="F234" t="str">
            <v>INAUC</v>
          </cell>
        </row>
        <row r="235">
          <cell r="B235" t="str">
            <v>B3DE</v>
          </cell>
          <cell r="C235" t="str">
            <v>DNESUP</v>
          </cell>
          <cell r="E235" t="str">
            <v>B3DE</v>
          </cell>
          <cell r="F235" t="str">
            <v>ISAG</v>
          </cell>
        </row>
        <row r="236">
          <cell r="B236" t="str">
            <v>B3DF</v>
          </cell>
          <cell r="C236" t="str">
            <v>DNESUP</v>
          </cell>
          <cell r="E236" t="str">
            <v>B3DF</v>
          </cell>
          <cell r="F236" t="str">
            <v>ISCAEG</v>
          </cell>
        </row>
        <row r="237">
          <cell r="B237" t="str">
            <v>B3DG</v>
          </cell>
          <cell r="C237" t="str">
            <v>DNESUP</v>
          </cell>
          <cell r="E237" t="str">
            <v>B3DG</v>
          </cell>
          <cell r="F237" t="str">
            <v>ISFAD</v>
          </cell>
        </row>
        <row r="238">
          <cell r="B238" t="str">
            <v>B3DH</v>
          </cell>
          <cell r="C238" t="str">
            <v>DNESUP</v>
          </cell>
          <cell r="E238" t="str">
            <v>B3DH</v>
          </cell>
          <cell r="F238" t="str">
            <v>ISICC</v>
          </cell>
        </row>
        <row r="239">
          <cell r="B239" t="str">
            <v>B3DI</v>
          </cell>
          <cell r="C239" t="str">
            <v>DNESUP</v>
          </cell>
          <cell r="E239" t="str">
            <v>B3DI</v>
          </cell>
          <cell r="F239" t="str">
            <v>ISMGB</v>
          </cell>
        </row>
        <row r="240">
          <cell r="B240" t="str">
            <v>B3DJ</v>
          </cell>
          <cell r="C240" t="str">
            <v>DNESUP</v>
          </cell>
          <cell r="E240" t="str">
            <v>B3DJ</v>
          </cell>
          <cell r="F240" t="str">
            <v>ISSAVF</v>
          </cell>
        </row>
        <row r="241">
          <cell r="B241" t="str">
            <v>B3DK</v>
          </cell>
          <cell r="C241" t="str">
            <v>DNESUP</v>
          </cell>
          <cell r="E241" t="str">
            <v>B3DK</v>
          </cell>
          <cell r="F241" t="str">
            <v>ISSEG</v>
          </cell>
        </row>
        <row r="242">
          <cell r="B242" t="str">
            <v>B3DL</v>
          </cell>
          <cell r="C242" t="str">
            <v>DNESUP</v>
          </cell>
          <cell r="E242" t="str">
            <v>B3DL</v>
          </cell>
          <cell r="F242" t="str">
            <v>ISSVD</v>
          </cell>
        </row>
        <row r="243">
          <cell r="B243" t="str">
            <v>B3DM</v>
          </cell>
          <cell r="C243" t="str">
            <v>DNESUP</v>
          </cell>
          <cell r="E243" t="str">
            <v>B3DM</v>
          </cell>
          <cell r="F243" t="str">
            <v>ISTM</v>
          </cell>
        </row>
        <row r="244">
          <cell r="B244" t="str">
            <v>B3DN</v>
          </cell>
          <cell r="C244" t="str">
            <v>DNESUP</v>
          </cell>
          <cell r="E244" t="str">
            <v>B3DN</v>
          </cell>
          <cell r="F244" t="str">
            <v>UGANC</v>
          </cell>
        </row>
        <row r="245">
          <cell r="B245" t="str">
            <v>B3DO</v>
          </cell>
          <cell r="C245" t="str">
            <v>DNESUP</v>
          </cell>
          <cell r="E245" t="str">
            <v>B3DO</v>
          </cell>
          <cell r="F245" t="str">
            <v>UGLC</v>
          </cell>
        </row>
        <row r="246">
          <cell r="B246" t="str">
            <v>B3DP</v>
          </cell>
          <cell r="C246" t="str">
            <v>DNESUP</v>
          </cell>
          <cell r="E246" t="str">
            <v>B3DP</v>
          </cell>
          <cell r="F246" t="str">
            <v>UJNK</v>
          </cell>
        </row>
        <row r="247">
          <cell r="B247" t="str">
            <v>B3E</v>
          </cell>
          <cell r="C247" t="str">
            <v>DNRS</v>
          </cell>
          <cell r="E247" t="str">
            <v>B3E</v>
          </cell>
          <cell r="F247" t="str">
            <v xml:space="preserve">ESRS Instituts de documentation et de recherche scientifique </v>
          </cell>
        </row>
        <row r="248">
          <cell r="B248" t="str">
            <v>B3EA</v>
          </cell>
          <cell r="C248" t="str">
            <v>DNRST</v>
          </cell>
          <cell r="E248" t="str">
            <v>B3EA</v>
          </cell>
          <cell r="F248" t="str">
            <v>BUC</v>
          </cell>
        </row>
        <row r="249">
          <cell r="B249" t="str">
            <v>B3EB</v>
          </cell>
          <cell r="C249" t="str">
            <v>DNRST</v>
          </cell>
          <cell r="E249" t="str">
            <v>B3EB</v>
          </cell>
          <cell r="F249" t="str">
            <v>CEDUST</v>
          </cell>
        </row>
        <row r="250">
          <cell r="B250" t="str">
            <v>B3EC</v>
          </cell>
          <cell r="C250" t="str">
            <v>DNRST</v>
          </cell>
          <cell r="E250" t="str">
            <v>B3EC</v>
          </cell>
          <cell r="F250" t="str">
            <v>CENDID</v>
          </cell>
        </row>
        <row r="251">
          <cell r="B251" t="str">
            <v>B3ED</v>
          </cell>
          <cell r="C251" t="str">
            <v>DNRST</v>
          </cell>
          <cell r="E251" t="str">
            <v>B3ED</v>
          </cell>
          <cell r="F251" t="str">
            <v>CERESCOR</v>
          </cell>
        </row>
        <row r="252">
          <cell r="B252" t="str">
            <v>B3EE</v>
          </cell>
          <cell r="C252" t="str">
            <v>DNRST</v>
          </cell>
          <cell r="E252" t="str">
            <v>B3EE</v>
          </cell>
          <cell r="F252" t="str">
            <v>CERPA</v>
          </cell>
        </row>
        <row r="253">
          <cell r="B253" t="str">
            <v>B3EF</v>
          </cell>
          <cell r="C253" t="str">
            <v>DNRST</v>
          </cell>
          <cell r="E253" t="str">
            <v>B3EF</v>
          </cell>
          <cell r="F253" t="str">
            <v>CIRITG</v>
          </cell>
        </row>
        <row r="254">
          <cell r="B254" t="str">
            <v>B3EG</v>
          </cell>
          <cell r="C254" t="str">
            <v>DNRST</v>
          </cell>
          <cell r="E254" t="str">
            <v>B3EG</v>
          </cell>
          <cell r="F254" t="str">
            <v>CRDE KANK</v>
          </cell>
        </row>
        <row r="255">
          <cell r="B255" t="str">
            <v>B3EH</v>
          </cell>
          <cell r="C255" t="str">
            <v>DNRST</v>
          </cell>
          <cell r="E255" t="str">
            <v>B3EH</v>
          </cell>
          <cell r="F255" t="str">
            <v>CRDE KIND</v>
          </cell>
        </row>
        <row r="256">
          <cell r="B256" t="str">
            <v>B3EI</v>
          </cell>
          <cell r="C256" t="str">
            <v>DNRST</v>
          </cell>
          <cell r="E256" t="str">
            <v>B3EI</v>
          </cell>
          <cell r="F256" t="str">
            <v>CRDE LABE</v>
          </cell>
        </row>
        <row r="257">
          <cell r="B257" t="str">
            <v>B3EJ</v>
          </cell>
          <cell r="C257" t="str">
            <v>DNRST</v>
          </cell>
          <cell r="E257" t="str">
            <v>B3EJ</v>
          </cell>
          <cell r="F257" t="str">
            <v>CRDE NZER</v>
          </cell>
        </row>
        <row r="258">
          <cell r="B258" t="str">
            <v>B3EK</v>
          </cell>
          <cell r="C258" t="str">
            <v>DNRST</v>
          </cell>
          <cell r="E258" t="str">
            <v>B3EK</v>
          </cell>
          <cell r="F258" t="str">
            <v>CREGED</v>
          </cell>
        </row>
        <row r="259">
          <cell r="B259" t="str">
            <v>B3EL</v>
          </cell>
          <cell r="C259" t="str">
            <v>DNRST</v>
          </cell>
          <cell r="E259" t="str">
            <v>B3EL</v>
          </cell>
          <cell r="F259" t="str">
            <v>CRVPM</v>
          </cell>
        </row>
        <row r="260">
          <cell r="B260" t="str">
            <v>B3EM</v>
          </cell>
          <cell r="C260" t="str">
            <v>DNRST</v>
          </cell>
          <cell r="E260" t="str">
            <v>B3EM</v>
          </cell>
          <cell r="F260" t="str">
            <v>IPG</v>
          </cell>
        </row>
        <row r="261">
          <cell r="B261" t="str">
            <v>B3EN</v>
          </cell>
          <cell r="C261" t="str">
            <v>DNRST</v>
          </cell>
          <cell r="E261" t="str">
            <v>B3EN</v>
          </cell>
          <cell r="F261" t="str">
            <v>IREB</v>
          </cell>
        </row>
        <row r="262">
          <cell r="B262" t="str">
            <v>B3EO</v>
          </cell>
          <cell r="C262" t="str">
            <v>DNRST</v>
          </cell>
          <cell r="E262" t="str">
            <v>B3EO</v>
          </cell>
          <cell r="F262" t="str">
            <v>IRLA</v>
          </cell>
        </row>
        <row r="263">
          <cell r="B263" t="str">
            <v>B3EP</v>
          </cell>
          <cell r="C263" t="str">
            <v>DNRST</v>
          </cell>
          <cell r="E263" t="str">
            <v>B3EP</v>
          </cell>
          <cell r="F263" t="str">
            <v>IRVAG</v>
          </cell>
        </row>
        <row r="264">
          <cell r="B264" t="str">
            <v>B3EQ</v>
          </cell>
          <cell r="C264" t="str">
            <v>DNRST</v>
          </cell>
          <cell r="E264" t="str">
            <v>B3EQ</v>
          </cell>
          <cell r="F264" t="str">
            <v>IRVAK</v>
          </cell>
        </row>
        <row r="265">
          <cell r="B265" t="str">
            <v>B3ER</v>
          </cell>
          <cell r="C265" t="str">
            <v>DNRST</v>
          </cell>
          <cell r="E265" t="str">
            <v>B3ER</v>
          </cell>
          <cell r="F265" t="str">
            <v>ISFAD</v>
          </cell>
        </row>
        <row r="266">
          <cell r="B266" t="str">
            <v>B3ES</v>
          </cell>
          <cell r="C266" t="str">
            <v>DNRST</v>
          </cell>
          <cell r="E266" t="str">
            <v>B3ES</v>
          </cell>
          <cell r="F266" t="str">
            <v>ITAC</v>
          </cell>
        </row>
        <row r="267">
          <cell r="B267" t="str">
            <v>B3ET</v>
          </cell>
          <cell r="C267" t="str">
            <v>DNRST</v>
          </cell>
          <cell r="E267" t="str">
            <v>B3ET</v>
          </cell>
          <cell r="F267" t="str">
            <v>LACONA</v>
          </cell>
        </row>
        <row r="268">
          <cell r="B268" t="str">
            <v>B3EU</v>
          </cell>
          <cell r="C268" t="str">
            <v>DNRST</v>
          </cell>
          <cell r="E268" t="str">
            <v>B3EU</v>
          </cell>
          <cell r="F268" t="str">
            <v>PERTEGUI</v>
          </cell>
        </row>
        <row r="269">
          <cell r="B269" t="str">
            <v>B3EV</v>
          </cell>
          <cell r="C269" t="str">
            <v>DNRST</v>
          </cell>
          <cell r="E269" t="str">
            <v>B3EV</v>
          </cell>
          <cell r="F269" t="str">
            <v>RIIUG</v>
          </cell>
        </row>
        <row r="270">
          <cell r="B270" t="str">
            <v>B3EW</v>
          </cell>
          <cell r="C270" t="str">
            <v>DNRST</v>
          </cell>
          <cell r="E270" t="str">
            <v>B3EW</v>
          </cell>
          <cell r="F270" t="str">
            <v>SNP MAB</v>
          </cell>
        </row>
        <row r="271">
          <cell r="B271" t="str">
            <v>B3EX</v>
          </cell>
          <cell r="C271" t="str">
            <v>DNRST</v>
          </cell>
          <cell r="E271" t="str">
            <v>B3EX</v>
          </cell>
          <cell r="F271" t="str">
            <v>SSMN</v>
          </cell>
        </row>
        <row r="272">
          <cell r="B272" t="str">
            <v>B3EY</v>
          </cell>
          <cell r="C272" t="str">
            <v>DNRST</v>
          </cell>
          <cell r="E272" t="str">
            <v>B3EY</v>
          </cell>
          <cell r="F272" t="str">
            <v>CERE</v>
          </cell>
        </row>
        <row r="273">
          <cell r="B273" t="str">
            <v>B3B</v>
          </cell>
          <cell r="C273" t="str">
            <v>DNRS</v>
          </cell>
          <cell r="E273" t="str">
            <v>B3B</v>
          </cell>
          <cell r="F273" t="str">
            <v>ESRS Fonds de recherche et d'innovation</v>
          </cell>
        </row>
        <row r="274">
          <cell r="B274" t="str">
            <v>B3BA</v>
          </cell>
          <cell r="C274" t="str">
            <v>DNRS</v>
          </cell>
          <cell r="E274" t="str">
            <v>B3BA</v>
          </cell>
          <cell r="F274" t="str">
            <v>Subvention de prog/projets de recherche et d'innovation</v>
          </cell>
        </row>
        <row r="275">
          <cell r="B275" t="str">
            <v>B3F</v>
          </cell>
          <cell r="C275" t="str">
            <v>SNABE</v>
          </cell>
          <cell r="E275" t="str">
            <v>B3F</v>
          </cell>
          <cell r="F275" t="str">
            <v>ESRS Bourses à l'étranger</v>
          </cell>
        </row>
        <row r="276">
          <cell r="B276" t="str">
            <v>B3FA</v>
          </cell>
          <cell r="C276" t="str">
            <v>SNABE</v>
          </cell>
          <cell r="E276" t="str">
            <v>B3FA</v>
          </cell>
          <cell r="F276" t="str">
            <v>Bourses à l'étranger</v>
          </cell>
        </row>
        <row r="277">
          <cell r="B277" t="str">
            <v>B4A</v>
          </cell>
          <cell r="C277" t="str">
            <v>DNEP-PE</v>
          </cell>
          <cell r="E277" t="str">
            <v>B4A</v>
          </cell>
          <cell r="F277" t="str">
            <v>MASPFE Développement de la Petite Enfance</v>
          </cell>
        </row>
        <row r="278">
          <cell r="B278" t="str">
            <v>B4AA</v>
          </cell>
          <cell r="C278" t="str">
            <v>DNEP-PE</v>
          </cell>
          <cell r="E278" t="str">
            <v>B4AA</v>
          </cell>
          <cell r="F278" t="str">
            <v>Suivi et évaluation du Développement de la Petite Enfance</v>
          </cell>
        </row>
        <row r="279">
          <cell r="B279" t="str">
            <v>B4AB</v>
          </cell>
          <cell r="C279" t="str">
            <v>DNEP-PE</v>
          </cell>
          <cell r="E279" t="str">
            <v>B4AB</v>
          </cell>
          <cell r="F279" t="str">
            <v>Matériels didactiques</v>
          </cell>
        </row>
        <row r="280">
          <cell r="B280" t="str">
            <v>B4AC</v>
          </cell>
          <cell r="C280" t="str">
            <v>DNEP-PE</v>
          </cell>
          <cell r="E280" t="str">
            <v>B4AC</v>
          </cell>
          <cell r="F280" t="str">
            <v>Formation des monitrices de CEC</v>
          </cell>
        </row>
        <row r="281">
          <cell r="B281" t="str">
            <v>B4AD</v>
          </cell>
          <cell r="C281" t="str">
            <v>DNEP-PE</v>
          </cell>
          <cell r="E281" t="str">
            <v>B4AD</v>
          </cell>
          <cell r="F281" t="str">
            <v>Encadrement pédagogique des CEC</v>
          </cell>
        </row>
        <row r="282">
          <cell r="B282" t="str">
            <v>B4B</v>
          </cell>
          <cell r="C282" t="str">
            <v>DNPPS</v>
          </cell>
          <cell r="E282" t="str">
            <v>B4B</v>
          </cell>
          <cell r="F282" t="str">
            <v>MASPFE Education spécialisée</v>
          </cell>
        </row>
        <row r="283">
          <cell r="B283" t="str">
            <v>B4BA</v>
          </cell>
          <cell r="C283" t="str">
            <v>DNPPS</v>
          </cell>
          <cell r="E283" t="str">
            <v>B4BA</v>
          </cell>
          <cell r="F283" t="str">
            <v>Mise aux normes d'établissements</v>
          </cell>
        </row>
        <row r="284">
          <cell r="B284" t="str">
            <v>B4BB</v>
          </cell>
          <cell r="C284" t="str">
            <v>DNPPS</v>
          </cell>
          <cell r="E284" t="str">
            <v>B4BB</v>
          </cell>
          <cell r="F284" t="str">
            <v>Appuis aux établissements spécialisés</v>
          </cell>
        </row>
        <row r="285">
          <cell r="B285" t="str">
            <v>C</v>
          </cell>
          <cell r="C285" t="str">
            <v>GESTION</v>
          </cell>
          <cell r="E285" t="str">
            <v>C</v>
          </cell>
          <cell r="F285" t="str">
            <v>RENFORCEMENT DE LA GESTION CENTRALE ET DECONCENTREE</v>
          </cell>
        </row>
        <row r="286">
          <cell r="B286" t="str">
            <v>C1A</v>
          </cell>
          <cell r="C286" t="str">
            <v>SG/MEPU-EC</v>
          </cell>
          <cell r="E286" t="str">
            <v>C1A</v>
          </cell>
          <cell r="F286" t="str">
            <v>EPU Coordination, suivi et contrôle</v>
          </cell>
        </row>
        <row r="287">
          <cell r="B287" t="str">
            <v>C1AA</v>
          </cell>
          <cell r="C287" t="str">
            <v>SG/MEPU-EC</v>
          </cell>
          <cell r="E287" t="str">
            <v>C1AA</v>
          </cell>
          <cell r="F287" t="str">
            <v>Coordination stratégique du PSE</v>
          </cell>
        </row>
        <row r="288">
          <cell r="B288" t="str">
            <v>C1AB</v>
          </cell>
          <cell r="C288" t="str">
            <v>SG/MEPU-EC</v>
          </cell>
          <cell r="E288" t="str">
            <v>C1AB</v>
          </cell>
          <cell r="F288" t="str">
            <v>Activités de la Cellule de Suivi Evaluation</v>
          </cell>
        </row>
        <row r="289">
          <cell r="B289" t="str">
            <v>C1AC</v>
          </cell>
          <cell r="C289" t="str">
            <v>SG/MEPU-EC</v>
          </cell>
          <cell r="E289" t="str">
            <v>C1AC</v>
          </cell>
          <cell r="F289" t="str">
            <v>Activités de la Cellule d'Audit (ex : suivi des dépenses à destination)</v>
          </cell>
        </row>
        <row r="290">
          <cell r="B290" t="str">
            <v>C1B</v>
          </cell>
          <cell r="C290" t="str">
            <v>IGE</v>
          </cell>
          <cell r="E290" t="str">
            <v>C1B</v>
          </cell>
          <cell r="F290" t="str">
            <v>EPU Suivi des politiques sectorielles</v>
          </cell>
        </row>
        <row r="291">
          <cell r="B291" t="str">
            <v>C1BA</v>
          </cell>
          <cell r="C291" t="str">
            <v>IGE</v>
          </cell>
          <cell r="E291" t="str">
            <v>C1BA</v>
          </cell>
          <cell r="F291" t="str">
            <v>Définition des politiques sectorielles</v>
          </cell>
        </row>
        <row r="292">
          <cell r="B292" t="str">
            <v>C1BB</v>
          </cell>
          <cell r="C292" t="str">
            <v>IGE</v>
          </cell>
          <cell r="E292" t="str">
            <v>C1BB</v>
          </cell>
          <cell r="F292" t="str">
            <v>Restructuration des services déconcentrés : IRE/DEV, DPE/DCE</v>
          </cell>
        </row>
        <row r="293">
          <cell r="B293" t="str">
            <v>C1BC</v>
          </cell>
          <cell r="C293" t="str">
            <v>IGE</v>
          </cell>
          <cell r="E293" t="str">
            <v>C1BC</v>
          </cell>
          <cell r="F293" t="str">
            <v>Réforme des examens (CEP et entrée en 6è)</v>
          </cell>
        </row>
        <row r="294">
          <cell r="B294" t="str">
            <v>C1BD</v>
          </cell>
          <cell r="C294" t="str">
            <v>IGE</v>
          </cell>
          <cell r="E294" t="str">
            <v>C1BD</v>
          </cell>
          <cell r="F294" t="str">
            <v>Etude sur le temps effectif d'enseignement au primaire</v>
          </cell>
        </row>
        <row r="295">
          <cell r="B295" t="str">
            <v>C1C</v>
          </cell>
          <cell r="C295" t="str">
            <v>IRE</v>
          </cell>
          <cell r="E295" t="str">
            <v>C1C</v>
          </cell>
          <cell r="F295" t="str">
            <v>EPU Gestion administrative et pédagogique des IRE</v>
          </cell>
        </row>
        <row r="296">
          <cell r="B296" t="str">
            <v>C1CA</v>
          </cell>
          <cell r="C296" t="str">
            <v>IRE</v>
          </cell>
          <cell r="E296" t="str">
            <v>C1CA</v>
          </cell>
          <cell r="F296" t="str">
            <v>Gestion financière</v>
          </cell>
        </row>
        <row r="297">
          <cell r="B297" t="str">
            <v>C1CB</v>
          </cell>
          <cell r="C297" t="str">
            <v>IRE</v>
          </cell>
          <cell r="E297" t="str">
            <v>C1CB</v>
          </cell>
          <cell r="F297" t="str">
            <v>Gestion des ressources humaines</v>
          </cell>
        </row>
        <row r="298">
          <cell r="B298" t="str">
            <v>C1CC</v>
          </cell>
          <cell r="C298" t="str">
            <v>IRE</v>
          </cell>
          <cell r="E298" t="str">
            <v>C1CC</v>
          </cell>
          <cell r="F298" t="str">
            <v>Planification et suivi évaluation</v>
          </cell>
        </row>
        <row r="299">
          <cell r="B299" t="str">
            <v>C1CD</v>
          </cell>
          <cell r="C299" t="str">
            <v>IRE</v>
          </cell>
          <cell r="E299" t="str">
            <v>C1CD</v>
          </cell>
          <cell r="F299" t="str">
            <v>Encadrement pédagogique</v>
          </cell>
        </row>
        <row r="300">
          <cell r="B300" t="str">
            <v>C1CE</v>
          </cell>
          <cell r="C300" t="str">
            <v>IRE</v>
          </cell>
          <cell r="E300" t="str">
            <v>C1CE</v>
          </cell>
        </row>
        <row r="301">
          <cell r="B301" t="str">
            <v>C1CF</v>
          </cell>
          <cell r="C301" t="str">
            <v>IRE</v>
          </cell>
          <cell r="E301" t="str">
            <v>C1CF</v>
          </cell>
        </row>
        <row r="302">
          <cell r="B302" t="str">
            <v>C1CG</v>
          </cell>
          <cell r="C302" t="str">
            <v>IRE</v>
          </cell>
          <cell r="E302" t="str">
            <v>C1CG</v>
          </cell>
          <cell r="F302" t="str">
            <v>Partenariat sectoriel (COGES, APEAE, ALLIANCE, Etablissements communautaires,...)</v>
          </cell>
        </row>
        <row r="303">
          <cell r="B303" t="str">
            <v>C1CH</v>
          </cell>
          <cell r="C303" t="str">
            <v>IRE</v>
          </cell>
          <cell r="E303" t="str">
            <v>C1CH</v>
          </cell>
          <cell r="F303" t="str">
            <v>Fonctionnement général IRE</v>
          </cell>
        </row>
        <row r="304">
          <cell r="B304" t="str">
            <v>C1D</v>
          </cell>
          <cell r="C304" t="str">
            <v>DPE</v>
          </cell>
          <cell r="E304" t="str">
            <v>C1D</v>
          </cell>
          <cell r="F304" t="str">
            <v>EPU Gestion administrative et pédagogique des DPE</v>
          </cell>
        </row>
        <row r="305">
          <cell r="B305" t="str">
            <v>C1DA</v>
          </cell>
          <cell r="C305" t="str">
            <v>DPE</v>
          </cell>
          <cell r="E305" t="str">
            <v>C1DA</v>
          </cell>
          <cell r="F305" t="str">
            <v>Gestion financière</v>
          </cell>
        </row>
        <row r="306">
          <cell r="B306" t="str">
            <v>C1DB</v>
          </cell>
          <cell r="C306" t="str">
            <v>DPE</v>
          </cell>
          <cell r="E306" t="str">
            <v>C1DB</v>
          </cell>
          <cell r="F306" t="str">
            <v>Gestion des ressources humaines</v>
          </cell>
        </row>
        <row r="307">
          <cell r="B307" t="str">
            <v>C1DC</v>
          </cell>
          <cell r="C307" t="str">
            <v>DPE</v>
          </cell>
          <cell r="E307" t="str">
            <v>C1DC</v>
          </cell>
          <cell r="F307" t="str">
            <v>Planification et suivi évaluation</v>
          </cell>
        </row>
        <row r="308">
          <cell r="B308" t="str">
            <v>C1DD</v>
          </cell>
          <cell r="C308" t="str">
            <v>DPE</v>
          </cell>
          <cell r="E308" t="str">
            <v>C1DD</v>
          </cell>
          <cell r="F308" t="str">
            <v>Encadrement pédagogique</v>
          </cell>
        </row>
        <row r="309">
          <cell r="B309" t="str">
            <v>C1DE</v>
          </cell>
          <cell r="C309" t="str">
            <v>DPE</v>
          </cell>
          <cell r="E309" t="str">
            <v>C1DE</v>
          </cell>
        </row>
        <row r="310">
          <cell r="B310" t="str">
            <v>C1DF</v>
          </cell>
          <cell r="C310" t="str">
            <v>DPE</v>
          </cell>
          <cell r="E310" t="str">
            <v>C1DF</v>
          </cell>
          <cell r="F310" t="str">
            <v>Partenariat sectoriel (COGES, APEAE, ALLIANCE, Etbts communautaires,...)</v>
          </cell>
        </row>
        <row r="311">
          <cell r="B311" t="str">
            <v>C1DG</v>
          </cell>
          <cell r="C311" t="str">
            <v>DPE</v>
          </cell>
          <cell r="E311" t="str">
            <v>C1DG</v>
          </cell>
          <cell r="F311" t="str">
            <v>Fonctionnement général DPE</v>
          </cell>
        </row>
        <row r="312">
          <cell r="B312" t="str">
            <v>C1E</v>
          </cell>
          <cell r="C312" t="str">
            <v>DSEE</v>
          </cell>
          <cell r="E312" t="str">
            <v>C1E</v>
          </cell>
          <cell r="F312" t="str">
            <v>EPU Gestion administrative et pédagogique des DSEE</v>
          </cell>
        </row>
        <row r="313">
          <cell r="B313" t="str">
            <v>C1EA</v>
          </cell>
          <cell r="C313" t="str">
            <v>DSEE</v>
          </cell>
          <cell r="E313" t="str">
            <v>C1EA</v>
          </cell>
          <cell r="F313" t="str">
            <v>Gestion financière</v>
          </cell>
        </row>
        <row r="314">
          <cell r="B314" t="str">
            <v>C1EB</v>
          </cell>
          <cell r="C314" t="str">
            <v>DSEE</v>
          </cell>
          <cell r="E314" t="str">
            <v>C1EB</v>
          </cell>
          <cell r="F314" t="str">
            <v>Encadrement pédagogique</v>
          </cell>
        </row>
        <row r="315">
          <cell r="B315" t="str">
            <v>C1EC</v>
          </cell>
          <cell r="C315" t="str">
            <v>DSEE</v>
          </cell>
          <cell r="E315" t="str">
            <v>C1EC</v>
          </cell>
          <cell r="F315" t="str">
            <v>Subvention de fonctionnement des DSEE</v>
          </cell>
        </row>
        <row r="316">
          <cell r="B316" t="str">
            <v>C1ED</v>
          </cell>
          <cell r="C316" t="str">
            <v>DSEE</v>
          </cell>
          <cell r="E316" t="str">
            <v>C1ED</v>
          </cell>
          <cell r="F316" t="str">
            <v>Partenariat sectoriel (COGES, APEAE, ALLIANCE, Etbts communautaires,...)</v>
          </cell>
        </row>
        <row r="317">
          <cell r="B317" t="str">
            <v>C1F</v>
          </cell>
          <cell r="C317" t="str">
            <v>SNIES</v>
          </cell>
          <cell r="E317" t="str">
            <v>C1F</v>
          </cell>
          <cell r="F317" t="str">
            <v>EPU Infratructures et équipements administratifs</v>
          </cell>
        </row>
        <row r="318">
          <cell r="B318" t="str">
            <v>C1FA</v>
          </cell>
          <cell r="C318" t="str">
            <v>SNIES</v>
          </cell>
          <cell r="E318" t="str">
            <v>C1FA</v>
          </cell>
          <cell r="F318" t="str">
            <v>Infrastructures et équipements administratifs niveau central</v>
          </cell>
        </row>
        <row r="319">
          <cell r="B319" t="str">
            <v>C1FB</v>
          </cell>
          <cell r="C319" t="str">
            <v>SNIES</v>
          </cell>
          <cell r="E319" t="str">
            <v>C1FB</v>
          </cell>
          <cell r="F319" t="str">
            <v>Infrastructures et équipements administratifs niveau régional</v>
          </cell>
        </row>
        <row r="320">
          <cell r="B320" t="str">
            <v>C1FC</v>
          </cell>
          <cell r="C320" t="str">
            <v>SNIES</v>
          </cell>
          <cell r="E320" t="str">
            <v>C1FC</v>
          </cell>
          <cell r="F320" t="str">
            <v>Infrastructures et équipements administratifs niveau préfectoral</v>
          </cell>
        </row>
        <row r="321">
          <cell r="B321" t="str">
            <v>C1G</v>
          </cell>
          <cell r="C321" t="str">
            <v>SNEP</v>
          </cell>
          <cell r="E321" t="str">
            <v>C1G</v>
          </cell>
          <cell r="F321" t="str">
            <v>EPU Promotion de l'enseignement privé</v>
          </cell>
        </row>
        <row r="322">
          <cell r="B322" t="str">
            <v>C1GA</v>
          </cell>
          <cell r="C322" t="str">
            <v>SNEP</v>
          </cell>
          <cell r="E322" t="str">
            <v>C1GA</v>
          </cell>
          <cell r="F322" t="str">
            <v>Promotion de l'enseignement privé</v>
          </cell>
        </row>
        <row r="323">
          <cell r="B323" t="str">
            <v>C1H</v>
          </cell>
          <cell r="C323" t="str">
            <v>C/CDMT</v>
          </cell>
          <cell r="E323" t="str">
            <v>C1H</v>
          </cell>
          <cell r="F323" t="str">
            <v>EPU Cadrage budgétaire de l'éducation</v>
          </cell>
        </row>
        <row r="324">
          <cell r="B324" t="str">
            <v>C1HA</v>
          </cell>
          <cell r="C324" t="str">
            <v>C/CDMT</v>
          </cell>
          <cell r="E324" t="str">
            <v>C1HA</v>
          </cell>
          <cell r="F324" t="str">
            <v>Appui aux activités de la Cellule CDMT</v>
          </cell>
        </row>
        <row r="325">
          <cell r="B325" t="str">
            <v>C1I</v>
          </cell>
          <cell r="C325" t="str">
            <v>SSP</v>
          </cell>
          <cell r="E325" t="str">
            <v>C1I</v>
          </cell>
          <cell r="F325" t="str">
            <v>EPU Statistique et planification</v>
          </cell>
        </row>
        <row r="326">
          <cell r="B326" t="str">
            <v>C1IA</v>
          </cell>
          <cell r="C326" t="str">
            <v>SSP</v>
          </cell>
          <cell r="E326" t="str">
            <v>C1IA</v>
          </cell>
          <cell r="F326" t="str">
            <v>Elaboration de la carte scolaire</v>
          </cell>
        </row>
        <row r="327">
          <cell r="B327" t="str">
            <v>C1IB</v>
          </cell>
          <cell r="C327" t="str">
            <v>SSP</v>
          </cell>
          <cell r="E327" t="str">
            <v>C1IB</v>
          </cell>
          <cell r="F327" t="str">
            <v>Production des statistiques scolaires</v>
          </cell>
        </row>
        <row r="328">
          <cell r="B328" t="str">
            <v>C1IC</v>
          </cell>
          <cell r="C328" t="str">
            <v>SSP</v>
          </cell>
          <cell r="E328" t="str">
            <v>C1IC</v>
          </cell>
          <cell r="F328" t="str">
            <v>Elaboration du Système d'Information Géoréférencé de l'Ecole (SIGE)</v>
          </cell>
        </row>
        <row r="329">
          <cell r="B329" t="str">
            <v>C1ID</v>
          </cell>
          <cell r="C329" t="str">
            <v>SSP</v>
          </cell>
          <cell r="E329" t="str">
            <v>C1ID</v>
          </cell>
          <cell r="F329" t="str">
            <v>Développement du Système d'Informations de Gestion</v>
          </cell>
        </row>
        <row r="330">
          <cell r="B330" t="str">
            <v>C1IE</v>
          </cell>
          <cell r="C330" t="str">
            <v>SSP</v>
          </cell>
          <cell r="E330" t="str">
            <v>C1IE</v>
          </cell>
          <cell r="F330" t="str">
            <v>Initiative en faveur de l'accès en zones rurales IFAZOR</v>
          </cell>
        </row>
        <row r="331">
          <cell r="B331" t="str">
            <v>C1IF</v>
          </cell>
          <cell r="C331" t="str">
            <v>SSP</v>
          </cell>
          <cell r="E331" t="str">
            <v>C1IF</v>
          </cell>
          <cell r="F331" t="str">
            <v>Appuis au SSP</v>
          </cell>
        </row>
        <row r="332">
          <cell r="B332" t="str">
            <v>C1J</v>
          </cell>
          <cell r="C332" t="str">
            <v>DAAF</v>
          </cell>
          <cell r="E332" t="str">
            <v>C1J</v>
          </cell>
          <cell r="F332" t="str">
            <v>EPU Gestion financière</v>
          </cell>
        </row>
        <row r="333">
          <cell r="B333" t="str">
            <v>C1JA</v>
          </cell>
          <cell r="C333" t="str">
            <v>DAAF</v>
          </cell>
          <cell r="E333" t="str">
            <v>C1JA</v>
          </cell>
          <cell r="F333" t="str">
            <v>Niveau central : DAAF</v>
          </cell>
        </row>
        <row r="334">
          <cell r="B334" t="str">
            <v>C1K</v>
          </cell>
          <cell r="C334" t="str">
            <v>DRH</v>
          </cell>
          <cell r="E334" t="str">
            <v>C1K</v>
          </cell>
          <cell r="F334" t="str">
            <v>EPU Gestion du personnel</v>
          </cell>
        </row>
        <row r="335">
          <cell r="B335" t="str">
            <v>C1KA</v>
          </cell>
          <cell r="C335" t="str">
            <v>DRH</v>
          </cell>
          <cell r="E335" t="str">
            <v>C1KA</v>
          </cell>
          <cell r="F335" t="str">
            <v>Plan de carrière pour les enseignants contractuels</v>
          </cell>
        </row>
        <row r="336">
          <cell r="B336" t="str">
            <v>C1KB</v>
          </cell>
          <cell r="C336" t="str">
            <v>DRH</v>
          </cell>
          <cell r="E336" t="str">
            <v>C1KB</v>
          </cell>
          <cell r="F336" t="str">
            <v>Appuis à la DRH</v>
          </cell>
        </row>
        <row r="337">
          <cell r="B337" t="str">
            <v>C1L</v>
          </cell>
          <cell r="C337" t="str">
            <v>SG/MEPU</v>
          </cell>
          <cell r="E337" t="str">
            <v>C1L</v>
          </cell>
          <cell r="F337" t="str">
            <v>EPU Renforcement des capacités de gestion au niveau central</v>
          </cell>
        </row>
        <row r="338">
          <cell r="B338" t="str">
            <v>C1LA</v>
          </cell>
          <cell r="C338" t="str">
            <v>SG/MEPU-EC</v>
          </cell>
          <cell r="E338" t="str">
            <v>C1LA</v>
          </cell>
          <cell r="F338" t="str">
            <v>Renforcement des capacités de gestion au niveau central</v>
          </cell>
        </row>
        <row r="339">
          <cell r="B339" t="str">
            <v>C1M</v>
          </cell>
          <cell r="C339" t="str">
            <v>ST/MEPU</v>
          </cell>
          <cell r="E339" t="str">
            <v>C1M</v>
          </cell>
          <cell r="F339" t="str">
            <v>EPU Coordination et gestion du PSE</v>
          </cell>
        </row>
        <row r="340">
          <cell r="B340" t="str">
            <v>C1MA</v>
          </cell>
          <cell r="C340" t="str">
            <v>ST/MEPU</v>
          </cell>
          <cell r="E340" t="str">
            <v>C1MA</v>
          </cell>
          <cell r="F340" t="str">
            <v>Coordination opérationnelle nationale du PSE</v>
          </cell>
        </row>
        <row r="341">
          <cell r="B341" t="str">
            <v>C1MB</v>
          </cell>
          <cell r="C341" t="str">
            <v>ST/MEPU</v>
          </cell>
          <cell r="E341" t="str">
            <v>C1MB</v>
          </cell>
          <cell r="F341" t="str">
            <v>Coordination opérationnelle et gestion des sous composantes EPU-EC du PSE</v>
          </cell>
        </row>
        <row r="342">
          <cell r="B342" t="str">
            <v>C1MC</v>
          </cell>
          <cell r="C342" t="str">
            <v>AFD</v>
          </cell>
          <cell r="E342" t="str">
            <v>C1MC</v>
          </cell>
          <cell r="F342" t="str">
            <v>Coordination projet AFD</v>
          </cell>
        </row>
        <row r="343">
          <cell r="B343" t="str">
            <v>C2A</v>
          </cell>
          <cell r="C343" t="str">
            <v>SG/METFP</v>
          </cell>
          <cell r="E343" t="str">
            <v>C2A</v>
          </cell>
          <cell r="F343" t="str">
            <v>ETFP Suivi des politiques, information et évaluation</v>
          </cell>
        </row>
        <row r="344">
          <cell r="B344" t="str">
            <v>C2AA</v>
          </cell>
          <cell r="C344" t="str">
            <v>SG/METFP</v>
          </cell>
          <cell r="E344" t="str">
            <v>C2AA</v>
          </cell>
          <cell r="F344" t="str">
            <v>Suivi audit et évaluation pédagogique</v>
          </cell>
        </row>
        <row r="345">
          <cell r="B345" t="str">
            <v>C2AB</v>
          </cell>
          <cell r="C345" t="str">
            <v>SG/METFP</v>
          </cell>
          <cell r="E345" t="str">
            <v>C2AB</v>
          </cell>
          <cell r="F345" t="str">
            <v>Suivi indicateurs de performance</v>
          </cell>
        </row>
        <row r="346">
          <cell r="B346" t="str">
            <v>C2B</v>
          </cell>
          <cell r="C346" t="str">
            <v>SESCS</v>
          </cell>
          <cell r="E346" t="str">
            <v>C2B</v>
          </cell>
          <cell r="F346" t="str">
            <v>ETFP Etudes, statistiques et carte scolaire</v>
          </cell>
        </row>
        <row r="347">
          <cell r="B347" t="str">
            <v>C2BA</v>
          </cell>
          <cell r="C347" t="str">
            <v>SESCS</v>
          </cell>
          <cell r="E347" t="str">
            <v>C2BA</v>
          </cell>
          <cell r="F347" t="str">
            <v>Renforcement des capacités du SESCS</v>
          </cell>
        </row>
        <row r="348">
          <cell r="B348" t="str">
            <v>C2C</v>
          </cell>
          <cell r="C348" t="str">
            <v>DAAF/METFP</v>
          </cell>
          <cell r="E348" t="str">
            <v>C2C</v>
          </cell>
          <cell r="F348" t="str">
            <v>ETFP Gestion financière</v>
          </cell>
        </row>
        <row r="349">
          <cell r="B349" t="str">
            <v>C2CA</v>
          </cell>
          <cell r="C349" t="str">
            <v>DAAF/METFP</v>
          </cell>
          <cell r="E349" t="str">
            <v>C2CA</v>
          </cell>
          <cell r="F349" t="str">
            <v>Formation des personnels des Etbs de formation</v>
          </cell>
        </row>
        <row r="350">
          <cell r="B350" t="str">
            <v>C2D</v>
          </cell>
          <cell r="C350" t="str">
            <v>DRH</v>
          </cell>
          <cell r="E350" t="str">
            <v>C2D</v>
          </cell>
          <cell r="F350" t="str">
            <v>ETFP Gestion du personnel</v>
          </cell>
        </row>
        <row r="351">
          <cell r="B351" t="str">
            <v>C2DA</v>
          </cell>
          <cell r="C351" t="str">
            <v>DRH</v>
          </cell>
          <cell r="E351" t="str">
            <v>C2DA</v>
          </cell>
          <cell r="F351" t="str">
            <v>Renforcement de la Division de la GRH</v>
          </cell>
        </row>
        <row r="352">
          <cell r="B352" t="str">
            <v>C2E</v>
          </cell>
          <cell r="C352" t="str">
            <v>SECS</v>
          </cell>
          <cell r="E352" t="str">
            <v>C2E</v>
          </cell>
          <cell r="F352" t="str">
            <v>ETFP Examens et concours scolaires</v>
          </cell>
        </row>
        <row r="353">
          <cell r="B353" t="str">
            <v>C2EA</v>
          </cell>
          <cell r="C353" t="str">
            <v>SECS</v>
          </cell>
          <cell r="E353" t="str">
            <v>C2EA</v>
          </cell>
          <cell r="F353" t="str">
            <v>Examens et concours scolaires</v>
          </cell>
        </row>
        <row r="354">
          <cell r="B354" t="str">
            <v>C2F</v>
          </cell>
          <cell r="C354" t="str">
            <v>COGETEP</v>
          </cell>
          <cell r="E354" t="str">
            <v>C2F</v>
          </cell>
          <cell r="F354" t="str">
            <v>ETFP Equité et genre en ETFP</v>
          </cell>
        </row>
        <row r="355">
          <cell r="B355" t="str">
            <v>C2FA</v>
          </cell>
          <cell r="C355" t="str">
            <v>COGETEP</v>
          </cell>
          <cell r="E355" t="str">
            <v>C2FA</v>
          </cell>
          <cell r="F355" t="str">
            <v>Equité et genre en ETFP</v>
          </cell>
        </row>
        <row r="356">
          <cell r="B356" t="str">
            <v>C2G</v>
          </cell>
          <cell r="C356" t="str">
            <v>SINDA</v>
          </cell>
          <cell r="E356" t="str">
            <v>C2G</v>
          </cell>
          <cell r="F356" t="str">
            <v>ETFP Information communication</v>
          </cell>
        </row>
        <row r="357">
          <cell r="B357" t="str">
            <v>C2GA</v>
          </cell>
          <cell r="C357" t="str">
            <v>SINDA</v>
          </cell>
          <cell r="E357" t="str">
            <v>C2GA</v>
          </cell>
          <cell r="F357" t="str">
            <v>Information et communication</v>
          </cell>
        </row>
        <row r="358">
          <cell r="B358" t="str">
            <v>C2H</v>
          </cell>
          <cell r="C358" t="str">
            <v>DNEPFS</v>
          </cell>
          <cell r="E358" t="str">
            <v>C2H</v>
          </cell>
          <cell r="F358" t="str">
            <v>ETFP Enseignement privé et formation spécialisée</v>
          </cell>
        </row>
        <row r="359">
          <cell r="B359" t="str">
            <v>C2HA</v>
          </cell>
          <cell r="C359" t="str">
            <v>DNEPFS</v>
          </cell>
          <cell r="E359" t="str">
            <v>C2HA</v>
          </cell>
          <cell r="F359" t="str">
            <v>Enseignement privé et formation spécialisée</v>
          </cell>
        </row>
        <row r="360">
          <cell r="B360" t="str">
            <v>C2I</v>
          </cell>
          <cell r="C360" t="str">
            <v>ONFPP</v>
          </cell>
          <cell r="E360" t="str">
            <v>C2I</v>
          </cell>
          <cell r="F360" t="str">
            <v>ETFP ONFPP</v>
          </cell>
        </row>
        <row r="361">
          <cell r="B361" t="str">
            <v>C2IA</v>
          </cell>
          <cell r="C361" t="str">
            <v>ONFPP</v>
          </cell>
          <cell r="E361" t="str">
            <v>C2IA</v>
          </cell>
          <cell r="F361" t="str">
            <v>Office National de Formation et de Perfectionnement Professionnel</v>
          </cell>
        </row>
        <row r="362">
          <cell r="B362" t="str">
            <v>C2J</v>
          </cell>
          <cell r="C362" t="str">
            <v>CNPG</v>
          </cell>
          <cell r="E362" t="str">
            <v>C2J</v>
          </cell>
          <cell r="F362" t="str">
            <v>ETFP CNPG</v>
          </cell>
        </row>
        <row r="363">
          <cell r="B363" t="str">
            <v>C2JA</v>
          </cell>
          <cell r="C363" t="str">
            <v>CNPG</v>
          </cell>
          <cell r="E363" t="str">
            <v>C2JA</v>
          </cell>
          <cell r="F363" t="str">
            <v>Centre National de Perfectionnement à la Gestion</v>
          </cell>
        </row>
        <row r="364">
          <cell r="B364" t="str">
            <v>C2K</v>
          </cell>
          <cell r="C364" t="str">
            <v>ENPETP</v>
          </cell>
          <cell r="E364" t="str">
            <v>C2K</v>
          </cell>
          <cell r="F364" t="str">
            <v>ETFP ENPETP</v>
          </cell>
        </row>
        <row r="365">
          <cell r="B365" t="str">
            <v>C2KA</v>
          </cell>
          <cell r="C365" t="str">
            <v>ENPETP</v>
          </cell>
          <cell r="E365" t="str">
            <v>C2KA</v>
          </cell>
          <cell r="F365" t="str">
            <v>Ecole Normale des Professeurs d'Enseignement Technique et Professionnel</v>
          </cell>
        </row>
        <row r="366">
          <cell r="B366" t="str">
            <v>C2L</v>
          </cell>
          <cell r="C366" t="str">
            <v>ST/METFP</v>
          </cell>
          <cell r="E366" t="str">
            <v>C2L</v>
          </cell>
          <cell r="F366" t="str">
            <v>ETFP Application des NTIC à la formation</v>
          </cell>
        </row>
        <row r="367">
          <cell r="B367" t="str">
            <v>C2LA</v>
          </cell>
          <cell r="C367" t="str">
            <v>ST/METFP</v>
          </cell>
          <cell r="E367" t="str">
            <v>C2LA</v>
          </cell>
          <cell r="F367" t="str">
            <v>Application des NTIC à la formation</v>
          </cell>
        </row>
        <row r="368">
          <cell r="B368" t="str">
            <v>C2M</v>
          </cell>
          <cell r="C368" t="str">
            <v>SG/METFP</v>
          </cell>
          <cell r="E368" t="str">
            <v>C2M</v>
          </cell>
          <cell r="F368" t="str">
            <v>ETFP Renforcement des capacités de gestion au niveau central</v>
          </cell>
        </row>
        <row r="369">
          <cell r="B369" t="str">
            <v>C2MA</v>
          </cell>
          <cell r="C369" t="str">
            <v>SG/METFP</v>
          </cell>
          <cell r="E369" t="str">
            <v>C2MA</v>
          </cell>
          <cell r="F369" t="str">
            <v>Fonctionnement et renforcement des structures centrales</v>
          </cell>
        </row>
        <row r="370">
          <cell r="B370" t="str">
            <v>C2N</v>
          </cell>
          <cell r="C370" t="str">
            <v>ST/METFP</v>
          </cell>
          <cell r="E370" t="str">
            <v>C2N</v>
          </cell>
          <cell r="F370" t="str">
            <v>ETFP Gestion du Programme</v>
          </cell>
        </row>
        <row r="371">
          <cell r="B371" t="str">
            <v>C2NA</v>
          </cell>
          <cell r="C371" t="str">
            <v>ST/METFP</v>
          </cell>
          <cell r="E371" t="str">
            <v>C2NA</v>
          </cell>
          <cell r="F371" t="str">
            <v>Coordination opérationnelle et gestion des sous composantes ETFP du PSE</v>
          </cell>
        </row>
        <row r="372">
          <cell r="B372" t="str">
            <v>C3A</v>
          </cell>
          <cell r="C372" t="str">
            <v>DNESUP</v>
          </cell>
          <cell r="E372" t="str">
            <v>C3A</v>
          </cell>
          <cell r="F372" t="str">
            <v>ESRS Gestion des IES</v>
          </cell>
        </row>
        <row r="373">
          <cell r="B373" t="str">
            <v>C3AA</v>
          </cell>
          <cell r="C373" t="str">
            <v>DNESUP</v>
          </cell>
          <cell r="E373" t="str">
            <v>C3AA</v>
          </cell>
          <cell r="F373" t="str">
            <v>Renforcement des services de scolarité</v>
          </cell>
        </row>
        <row r="374">
          <cell r="B374" t="str">
            <v>C3B</v>
          </cell>
          <cell r="C374" t="str">
            <v>SPS</v>
          </cell>
          <cell r="E374" t="str">
            <v>C3B</v>
          </cell>
          <cell r="F374" t="str">
            <v>ESRS Statistique et planification</v>
          </cell>
        </row>
        <row r="375">
          <cell r="B375" t="str">
            <v>C3BA</v>
          </cell>
          <cell r="C375" t="str">
            <v>SPS</v>
          </cell>
          <cell r="E375" t="str">
            <v>C3BA</v>
          </cell>
          <cell r="F375" t="str">
            <v>Statistique et planification</v>
          </cell>
        </row>
        <row r="376">
          <cell r="B376" t="str">
            <v>C3C</v>
          </cell>
          <cell r="C376" t="str">
            <v>DAAF/MESRS</v>
          </cell>
          <cell r="E376" t="str">
            <v>C3C</v>
          </cell>
          <cell r="F376" t="str">
            <v>ESRS Gestion financière</v>
          </cell>
        </row>
        <row r="377">
          <cell r="B377" t="str">
            <v>C3CA</v>
          </cell>
          <cell r="C377" t="str">
            <v>DAAF/MESRS</v>
          </cell>
          <cell r="E377" t="str">
            <v>C3CA</v>
          </cell>
          <cell r="F377" t="str">
            <v>Gestion financière des IES / IRS</v>
          </cell>
        </row>
        <row r="378">
          <cell r="B378" t="str">
            <v>C3D</v>
          </cell>
          <cell r="C378" t="str">
            <v>DRH/MESRS</v>
          </cell>
          <cell r="E378" t="str">
            <v>C3D</v>
          </cell>
          <cell r="F378" t="str">
            <v>ESRS Gestion des ressources humaines</v>
          </cell>
        </row>
        <row r="379">
          <cell r="B379" t="str">
            <v>C3DA</v>
          </cell>
          <cell r="C379" t="str">
            <v>DRH/MESRS</v>
          </cell>
          <cell r="E379" t="str">
            <v>C3DA</v>
          </cell>
          <cell r="F379" t="str">
            <v>Gestion des ressources humaines</v>
          </cell>
        </row>
        <row r="380">
          <cell r="B380" t="str">
            <v>C3E</v>
          </cell>
          <cell r="C380" t="str">
            <v>SG/MESRS</v>
          </cell>
          <cell r="E380" t="str">
            <v>C3E</v>
          </cell>
          <cell r="F380" t="str">
            <v>ESRS Renforcement des capacités de gestion au niveau central</v>
          </cell>
        </row>
        <row r="381">
          <cell r="B381" t="str">
            <v>C3EA</v>
          </cell>
          <cell r="C381" t="str">
            <v>SG/MESRS</v>
          </cell>
          <cell r="E381" t="str">
            <v>C3EA</v>
          </cell>
          <cell r="F381" t="str">
            <v>Fonctionnement et renforcement des structures centrales</v>
          </cell>
        </row>
        <row r="382">
          <cell r="B382" t="str">
            <v>C3F</v>
          </cell>
          <cell r="C382" t="str">
            <v>ST/MESRS</v>
          </cell>
          <cell r="E382" t="str">
            <v>C3F</v>
          </cell>
          <cell r="F382" t="str">
            <v>ESRS Gestion du Programme Sectoriel de l'Education</v>
          </cell>
        </row>
        <row r="383">
          <cell r="B383" t="str">
            <v>C3FA</v>
          </cell>
          <cell r="C383" t="str">
            <v>ST/MESRS</v>
          </cell>
          <cell r="E383" t="str">
            <v>C3FA</v>
          </cell>
          <cell r="F383" t="str">
            <v>Coordination opérationnelle et gestion des sous composantes ESRS du PSE</v>
          </cell>
        </row>
        <row r="384">
          <cell r="B384" t="str">
            <v>D</v>
          </cell>
          <cell r="C384" t="str">
            <v>N A</v>
          </cell>
          <cell r="E384" t="str">
            <v>D</v>
          </cell>
          <cell r="F384" t="str">
            <v>NON AFFECTES ET NON VENTILES</v>
          </cell>
        </row>
        <row r="385">
          <cell r="B385" t="str">
            <v>D1A</v>
          </cell>
          <cell r="C385" t="str">
            <v>DAAF/MEPU</v>
          </cell>
          <cell r="E385" t="str">
            <v>D1A</v>
          </cell>
          <cell r="F385" t="str">
            <v>EPU Non ventilés</v>
          </cell>
        </row>
        <row r="386">
          <cell r="B386" t="str">
            <v>D1AA</v>
          </cell>
          <cell r="C386" t="str">
            <v>DAAF/MEPU</v>
          </cell>
          <cell r="E386" t="str">
            <v>D1AA</v>
          </cell>
          <cell r="F386" t="str">
            <v>Ensemble services</v>
          </cell>
        </row>
        <row r="387">
          <cell r="B387" t="str">
            <v>D1AB</v>
          </cell>
          <cell r="C387" t="str">
            <v>DAAF/MEPU</v>
          </cell>
          <cell r="E387" t="str">
            <v>D1AB</v>
          </cell>
          <cell r="F387" t="str">
            <v>Services centraux</v>
          </cell>
        </row>
        <row r="388">
          <cell r="B388" t="str">
            <v>D1AC</v>
          </cell>
          <cell r="C388" t="str">
            <v>DAAF/MEPU</v>
          </cell>
          <cell r="E388" t="str">
            <v>D1AC</v>
          </cell>
          <cell r="F388" t="str">
            <v>Services déconcentrés Conakry</v>
          </cell>
        </row>
        <row r="389">
          <cell r="B389" t="str">
            <v>D1AD</v>
          </cell>
          <cell r="C389" t="str">
            <v>DAAF/MEPU</v>
          </cell>
          <cell r="E389" t="str">
            <v>D1AD</v>
          </cell>
          <cell r="F389" t="str">
            <v>Services déconcentrés Intérieur</v>
          </cell>
        </row>
        <row r="390">
          <cell r="B390" t="str">
            <v>D1AE</v>
          </cell>
          <cell r="C390" t="str">
            <v>DAAF/MEPU</v>
          </cell>
          <cell r="E390" t="str">
            <v>D1AE</v>
          </cell>
          <cell r="F390" t="str">
            <v>Autres sces centraux</v>
          </cell>
        </row>
        <row r="391">
          <cell r="B391" t="str">
            <v>D1AF</v>
          </cell>
          <cell r="C391" t="str">
            <v>DAAF/MEPU</v>
          </cell>
          <cell r="E391" t="str">
            <v>D1AF</v>
          </cell>
          <cell r="F391" t="str">
            <v>Ens. Sces Adm. Ckry</v>
          </cell>
        </row>
        <row r="392">
          <cell r="B392" t="str">
            <v>D1AG</v>
          </cell>
          <cell r="C392" t="str">
            <v>DAAF/MEPU</v>
          </cell>
          <cell r="E392" t="str">
            <v>D1AG</v>
          </cell>
          <cell r="F392" t="str">
            <v>Ens. Sces Adm. Intérieur</v>
          </cell>
        </row>
        <row r="393">
          <cell r="B393" t="str">
            <v>D1AH</v>
          </cell>
          <cell r="C393" t="str">
            <v>DAAF/MEPU</v>
          </cell>
          <cell r="E393" t="str">
            <v>D1AH</v>
          </cell>
          <cell r="F393" t="str">
            <v>Prim. Ens.Sces NV</v>
          </cell>
        </row>
        <row r="394">
          <cell r="B394" t="str">
            <v>D1AI</v>
          </cell>
          <cell r="C394" t="str">
            <v>DAAF/MEPU</v>
          </cell>
          <cell r="E394" t="str">
            <v>D1AI</v>
          </cell>
          <cell r="F394" t="str">
            <v>Second. Ens.Sces NV</v>
          </cell>
        </row>
        <row r="395">
          <cell r="B395" t="str">
            <v>D1AJ</v>
          </cell>
          <cell r="C395" t="str">
            <v>DAAF/MEPU</v>
          </cell>
          <cell r="E395" t="str">
            <v>D1AJ</v>
          </cell>
          <cell r="F395" t="str">
            <v>Prim. Ens.Sces Ckry NV</v>
          </cell>
        </row>
        <row r="396">
          <cell r="B396" t="str">
            <v>D1AK</v>
          </cell>
          <cell r="C396" t="str">
            <v>DAAF/MEPU</v>
          </cell>
          <cell r="E396" t="str">
            <v>D1AK</v>
          </cell>
          <cell r="F396" t="str">
            <v>Second. Ens.Sces Ckry NV</v>
          </cell>
        </row>
        <row r="397">
          <cell r="B397" t="str">
            <v>D1AL</v>
          </cell>
          <cell r="C397" t="str">
            <v>DAAF/MEPU</v>
          </cell>
          <cell r="E397" t="str">
            <v>D1AL</v>
          </cell>
          <cell r="F397" t="str">
            <v>Prim. Ens.Sces Intérieur NV</v>
          </cell>
        </row>
        <row r="398">
          <cell r="B398" t="str">
            <v>D1AM</v>
          </cell>
          <cell r="C398" t="str">
            <v>DAAF/MEPU</v>
          </cell>
          <cell r="E398" t="str">
            <v>D1AM</v>
          </cell>
          <cell r="F398" t="str">
            <v>Second. Ens.Sces Intérieur NV</v>
          </cell>
        </row>
        <row r="399">
          <cell r="B399" t="str">
            <v>D1B</v>
          </cell>
          <cell r="C399" t="str">
            <v>CN/PSE</v>
          </cell>
          <cell r="E399" t="str">
            <v>D1B</v>
          </cell>
          <cell r="F399" t="str">
            <v>EPU Non affectés sur projets</v>
          </cell>
        </row>
        <row r="400">
          <cell r="B400" t="str">
            <v>D1BA</v>
          </cell>
          <cell r="C400" t="str">
            <v>AFD</v>
          </cell>
          <cell r="E400" t="str">
            <v>D1BA</v>
          </cell>
          <cell r="F400" t="str">
            <v xml:space="preserve">Non affectés sur projet PEPTG </v>
          </cell>
        </row>
        <row r="401">
          <cell r="B401" t="str">
            <v>D1BB</v>
          </cell>
          <cell r="C401" t="str">
            <v>SNIES</v>
          </cell>
          <cell r="E401" t="str">
            <v>D1BB</v>
          </cell>
          <cell r="F401" t="str">
            <v>Non affectés sur projet BAD EDUCATION IV</v>
          </cell>
        </row>
        <row r="402">
          <cell r="B402" t="str">
            <v>D1BC</v>
          </cell>
          <cell r="C402" t="str">
            <v>SNIES</v>
          </cell>
          <cell r="E402" t="str">
            <v>D1BC</v>
          </cell>
          <cell r="F402" t="str">
            <v>Non affectés sur projet FKDEA</v>
          </cell>
        </row>
        <row r="403">
          <cell r="B403" t="str">
            <v>D1BD</v>
          </cell>
          <cell r="C403" t="str">
            <v>SNIES</v>
          </cell>
          <cell r="E403" t="str">
            <v>D1BD</v>
          </cell>
          <cell r="F403" t="str">
            <v>Non affectés sur projet FSD</v>
          </cell>
        </row>
        <row r="404">
          <cell r="B404" t="str">
            <v>D2A</v>
          </cell>
          <cell r="C404" t="str">
            <v>DAAF/METFP</v>
          </cell>
          <cell r="E404" t="str">
            <v>D2A</v>
          </cell>
          <cell r="F404" t="str">
            <v>ETFP Non ventilés</v>
          </cell>
        </row>
        <row r="405">
          <cell r="B405" t="str">
            <v>D2AA</v>
          </cell>
          <cell r="C405" t="str">
            <v>DAAF/METFP</v>
          </cell>
          <cell r="E405" t="str">
            <v>D2AA</v>
          </cell>
          <cell r="F405" t="str">
            <v>Ensemble services</v>
          </cell>
        </row>
        <row r="406">
          <cell r="B406" t="str">
            <v>D2AB</v>
          </cell>
          <cell r="C406" t="str">
            <v>DAAF/METFP</v>
          </cell>
          <cell r="E406" t="str">
            <v>D2AB</v>
          </cell>
          <cell r="F406" t="str">
            <v>Services centraux</v>
          </cell>
        </row>
        <row r="407">
          <cell r="B407" t="str">
            <v>D2AC</v>
          </cell>
          <cell r="C407" t="str">
            <v>DAAF/METFP</v>
          </cell>
          <cell r="E407" t="str">
            <v>D2AC</v>
          </cell>
          <cell r="F407" t="str">
            <v>Services déconcentrés Conakry</v>
          </cell>
        </row>
        <row r="408">
          <cell r="B408" t="str">
            <v>D2AD</v>
          </cell>
          <cell r="C408" t="str">
            <v>DAAF/METFP</v>
          </cell>
          <cell r="E408" t="str">
            <v>D2AD</v>
          </cell>
          <cell r="F408" t="str">
            <v>Services déconcentrés Intérieur</v>
          </cell>
        </row>
        <row r="409">
          <cell r="B409" t="str">
            <v>D2AE</v>
          </cell>
          <cell r="C409" t="str">
            <v>DAAF/METFP</v>
          </cell>
          <cell r="E409" t="str">
            <v>D2AE</v>
          </cell>
          <cell r="F409" t="str">
            <v>Autres sces centraux</v>
          </cell>
        </row>
        <row r="410">
          <cell r="B410" t="str">
            <v>D2AF</v>
          </cell>
          <cell r="C410" t="str">
            <v>DAAF/METFP</v>
          </cell>
          <cell r="E410" t="str">
            <v>D2AF</v>
          </cell>
          <cell r="F410" t="str">
            <v>Autres sces déc. Conakry</v>
          </cell>
        </row>
        <row r="411">
          <cell r="B411" t="str">
            <v>D2AG</v>
          </cell>
          <cell r="C411" t="str">
            <v>DAAF/METFP</v>
          </cell>
          <cell r="E411" t="str">
            <v>D2AG</v>
          </cell>
          <cell r="F411" t="str">
            <v>Autres sces déc. Intérieur</v>
          </cell>
        </row>
        <row r="412">
          <cell r="B412" t="str">
            <v>D2B</v>
          </cell>
          <cell r="C412" t="str">
            <v>CN/PSE</v>
          </cell>
          <cell r="E412" t="str">
            <v>D2B</v>
          </cell>
          <cell r="F412" t="str">
            <v>ETFP Non affectés sur projets</v>
          </cell>
        </row>
        <row r="413">
          <cell r="B413" t="str">
            <v>D2BA</v>
          </cell>
          <cell r="C413" t="str">
            <v>DAAF/METFP</v>
          </cell>
          <cell r="E413" t="str">
            <v>D2BA</v>
          </cell>
        </row>
        <row r="414">
          <cell r="B414" t="str">
            <v>D2BB</v>
          </cell>
          <cell r="C414" t="str">
            <v>DAAF/METFP</v>
          </cell>
          <cell r="E414" t="str">
            <v>D2BB</v>
          </cell>
        </row>
        <row r="415">
          <cell r="B415" t="str">
            <v>D2BC</v>
          </cell>
          <cell r="C415" t="str">
            <v>DAAF/METFP</v>
          </cell>
          <cell r="E415" t="str">
            <v>D2BC</v>
          </cell>
        </row>
        <row r="416">
          <cell r="B416" t="str">
            <v>D2BD</v>
          </cell>
          <cell r="C416" t="str">
            <v>DAAF/METFP</v>
          </cell>
          <cell r="E416" t="str">
            <v>D2BD</v>
          </cell>
        </row>
        <row r="417">
          <cell r="B417" t="str">
            <v>D3A</v>
          </cell>
          <cell r="C417" t="str">
            <v>DAAF/MESRS</v>
          </cell>
          <cell r="E417" t="str">
            <v>D3A</v>
          </cell>
          <cell r="F417" t="str">
            <v>ESRS Non ventilés</v>
          </cell>
        </row>
        <row r="418">
          <cell r="B418" t="str">
            <v>D3AA</v>
          </cell>
          <cell r="C418" t="str">
            <v>DAAF/MESRS</v>
          </cell>
          <cell r="E418" t="str">
            <v>D3AA</v>
          </cell>
          <cell r="F418" t="str">
            <v>Ensemble services</v>
          </cell>
        </row>
        <row r="419">
          <cell r="B419" t="str">
            <v>D3AB</v>
          </cell>
          <cell r="C419" t="str">
            <v>DAAF/MESRS</v>
          </cell>
          <cell r="E419" t="str">
            <v>D3AB</v>
          </cell>
          <cell r="F419" t="str">
            <v>Services centraux</v>
          </cell>
        </row>
        <row r="420">
          <cell r="B420" t="str">
            <v>D3AC</v>
          </cell>
          <cell r="C420" t="str">
            <v>DAAF/MESRS</v>
          </cell>
          <cell r="E420" t="str">
            <v>D3AC</v>
          </cell>
          <cell r="F420" t="str">
            <v>Services déconcentrés Conakry</v>
          </cell>
        </row>
        <row r="421">
          <cell r="B421" t="str">
            <v>D3AD</v>
          </cell>
          <cell r="C421" t="str">
            <v>DAAF/MESRS</v>
          </cell>
          <cell r="E421" t="str">
            <v>D3AD</v>
          </cell>
          <cell r="F421" t="str">
            <v>Services déconcentrés Intérieur</v>
          </cell>
        </row>
        <row r="422">
          <cell r="B422" t="str">
            <v>D3B</v>
          </cell>
          <cell r="C422" t="str">
            <v>CN/PSE</v>
          </cell>
          <cell r="E422" t="str">
            <v>D3B</v>
          </cell>
          <cell r="F422" t="str">
            <v>ESRS Non affectés sur projets</v>
          </cell>
        </row>
        <row r="423">
          <cell r="B423" t="str">
            <v>D3BA</v>
          </cell>
          <cell r="C423" t="str">
            <v>DAAF/MESRS</v>
          </cell>
          <cell r="E423" t="str">
            <v>D3BA</v>
          </cell>
        </row>
        <row r="424">
          <cell r="B424" t="str">
            <v>D3BB</v>
          </cell>
          <cell r="C424" t="str">
            <v>DAAF/MESRS</v>
          </cell>
          <cell r="E424" t="str">
            <v>D3BB</v>
          </cell>
        </row>
        <row r="425">
          <cell r="B425" t="str">
            <v>D3BC</v>
          </cell>
          <cell r="C425" t="str">
            <v>DAAF/MESRS</v>
          </cell>
          <cell r="E425" t="str">
            <v>D3BC</v>
          </cell>
        </row>
        <row r="426">
          <cell r="B426" t="str">
            <v>D3BD</v>
          </cell>
          <cell r="C426" t="str">
            <v>DAAF/MESRS</v>
          </cell>
          <cell r="E426" t="str">
            <v>D3BD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FI (T1)"/>
      <sheetName val="FISC1(T2a)"/>
      <sheetName val="FISC2(T2b)"/>
      <sheetName val="MON1(T3a)"/>
      <sheetName val="MON2(T3b)"/>
      <sheetName val="BOP(T4)"/>
      <sheetName val="Consistency"/>
      <sheetName val="Medium-Term(TT1)"/>
      <sheetName val="Fisc-sum (TT)"/>
      <sheetName val="Financing Req(T6)"/>
      <sheetName val="PC-SMP (T5)"/>
      <sheetName val="PC-SMP(FRE)"/>
      <sheetName val="Struct-Ref(SMP)"/>
      <sheetName val="PC-ECF(T11)"/>
      <sheetName val="PC-ECF(2012)"/>
      <sheetName val="PC-ECF(2013)"/>
      <sheetName val="PC-ECF 3rd review 2013 (T5)"/>
      <sheetName val="PC-ECF(2012) (FRE)"/>
      <sheetName val="PC-ECF 3rd review 2013FRE"/>
      <sheetName val="RepayECF(T7)"/>
      <sheetName val="Sheet1"/>
      <sheetName val="Repay(RCF)"/>
      <sheetName val="MDG2011"/>
      <sheetName val="MDG 2010"/>
      <sheetName val="MDG (F)"/>
      <sheetName val="Disbursements(T8)"/>
      <sheetName val="PIN"/>
      <sheetName val="Arrears"/>
      <sheetName val="Reserves"/>
      <sheetName val="Chart Data"/>
      <sheetName val="Monthly Data"/>
      <sheetName val="XC Data"/>
      <sheetName val="At A Glance Indicators"/>
      <sheetName val="At a Glance"/>
      <sheetName val="Text Charts"/>
      <sheetName val="Text Charts (2)"/>
      <sheetName val="Measures"/>
      <sheetName val="Structural Indicators"/>
      <sheetName val="Text Table 1"/>
      <sheetName val="Text Table 2"/>
      <sheetName val="Text Table 3"/>
      <sheetName val="BTO-Aug-2011"/>
      <sheetName val="TMU-Assumptions 2nd review"/>
      <sheetName val="TA for information annex 2012"/>
      <sheetName val="TA for Information annex 2013"/>
    </sheetNames>
    <sheetDataSet>
      <sheetData sheetId="0" refreshError="1">
        <row r="4">
          <cell r="Q4" t="str">
            <v>Thousands</v>
          </cell>
          <cell r="R4">
            <v>100000</v>
          </cell>
        </row>
        <row r="5">
          <cell r="Q5" t="str">
            <v>Millions</v>
          </cell>
          <cell r="R5">
            <v>1000</v>
          </cell>
        </row>
        <row r="6">
          <cell r="E6" t="str">
            <v>Guinean</v>
          </cell>
          <cell r="Q6" t="str">
            <v>Billions</v>
          </cell>
          <cell r="R6">
            <v>1</v>
          </cell>
        </row>
        <row r="7">
          <cell r="Q7" t="str">
            <v>Trillions</v>
          </cell>
          <cell r="R7">
            <v>1E-3</v>
          </cell>
        </row>
        <row r="8">
          <cell r="E8" t="str">
            <v>656</v>
          </cell>
        </row>
        <row r="12">
          <cell r="E12">
            <v>2006</v>
          </cell>
        </row>
        <row r="14">
          <cell r="F14" t="str">
            <v>Current</v>
          </cell>
          <cell r="G14" t="str">
            <v>C:\data\gin\dmx\GIN.DMX</v>
          </cell>
        </row>
        <row r="15">
          <cell r="F15" t="str">
            <v>Program</v>
          </cell>
          <cell r="G15" t="str">
            <v>C:\data\gin\dmx\GIN_PGR.DMX</v>
          </cell>
        </row>
        <row r="16">
          <cell r="F16" t="str">
            <v>Brief</v>
          </cell>
        </row>
        <row r="17">
          <cell r="F17" t="str">
            <v>Projection</v>
          </cell>
        </row>
        <row r="18">
          <cell r="F18" t="str">
            <v>Projection 2</v>
          </cell>
        </row>
        <row r="19">
          <cell r="F19" t="str">
            <v>AFR.DMX</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uil2"/>
      <sheetName val="data"/>
      <sheetName val="outp"/>
      <sheetName val="clés"/>
      <sheetName val="Clés 2"/>
      <sheetName val="sorties_all"/>
      <sheetName val="dict traitement"/>
      <sheetName val="Bourses ext &amp; subv uni priv"/>
      <sheetName val="Liste Universités"/>
      <sheetName val="tab annex tech 1"/>
      <sheetName val="outp2"/>
      <sheetName val="tab annex tech 2"/>
      <sheetName val="Zoom Supérieur"/>
      <sheetName val="Tab 5"/>
      <sheetName val="Feuil1"/>
      <sheetName val="Tab 1"/>
      <sheetName val="Tab 3"/>
      <sheetName val="Tab 4"/>
      <sheetName val="Données macro"/>
      <sheetName val="Données macro2"/>
      <sheetName val="Tab 6"/>
      <sheetName val="Graph 1 %GDP"/>
      <sheetName val="Graph 2 % Dep tot"/>
      <sheetName val="Tab1"/>
      <sheetName val="Tab2"/>
      <sheetName val="Données pop"/>
      <sheetName val="Tab4"/>
      <sheetName val="Effectifs"/>
      <sheetName val="Effectifs2"/>
    </sheetNames>
    <sheetDataSet>
      <sheetData sheetId="0"/>
      <sheetData sheetId="1"/>
      <sheetData sheetId="2"/>
      <sheetData sheetId="3"/>
      <sheetData sheetId="4"/>
      <sheetData sheetId="5"/>
      <sheetData sheetId="6">
        <row r="4">
          <cell r="C4" t="str">
            <v>Salaire de base_Fonctionnaires (y c CP)</v>
          </cell>
          <cell r="F4" t="str">
            <v>Etab</v>
          </cell>
          <cell r="I4" t="str">
            <v>Présco public</v>
          </cell>
        </row>
        <row r="5">
          <cell r="C5" t="str">
            <v>Salaire de base_Contractuels temporaires</v>
          </cell>
          <cell r="F5" t="str">
            <v>Bourses locales</v>
          </cell>
          <cell r="I5" t="str">
            <v>Présco communautaires</v>
          </cell>
        </row>
        <row r="6">
          <cell r="C6" t="str">
            <v>Salaire de base_Expatriés contractuels</v>
          </cell>
          <cell r="F6" t="str">
            <v>Boures extérieures</v>
          </cell>
          <cell r="I6" t="str">
            <v>Primaire public</v>
          </cell>
        </row>
        <row r="7">
          <cell r="C7" t="str">
            <v>Salaire de base_Vacataires extra mur</v>
          </cell>
          <cell r="F7" t="str">
            <v>Services connexes (cantine, internat …)</v>
          </cell>
          <cell r="I7" t="str">
            <v>Primaire communautaire</v>
          </cell>
        </row>
        <row r="8">
          <cell r="C8" t="str">
            <v>Primes et traitements_Fonctionnaires (y c CP)</v>
          </cell>
          <cell r="F8" t="str">
            <v>Admin_Central</v>
          </cell>
          <cell r="I8" t="str">
            <v>Prim &amp; Sec. Gen</v>
          </cell>
        </row>
        <row r="9">
          <cell r="C9" t="str">
            <v>Primes et traitements_Contractuels temporaires</v>
          </cell>
          <cell r="F9" t="str">
            <v>Admin_transvers</v>
          </cell>
          <cell r="I9" t="str">
            <v>Sec. Gen 1&amp;2</v>
          </cell>
        </row>
        <row r="10">
          <cell r="C10" t="str">
            <v>Primes et traitements_Expatriés contractuels</v>
          </cell>
          <cell r="F10" t="str">
            <v>Admin_Deconc intérieur</v>
          </cell>
          <cell r="I10" t="str">
            <v>Sec. Gen 1</v>
          </cell>
        </row>
        <row r="11">
          <cell r="C11" t="str">
            <v>Primes et traitements_Vacataires extra mur</v>
          </cell>
          <cell r="F11" t="str">
            <v>Admin_Deconc Conackry</v>
          </cell>
          <cell r="I11" t="str">
            <v>Sec. Gen 2</v>
          </cell>
        </row>
        <row r="12">
          <cell r="C12" t="str">
            <v>Primes et traitement_toutes catégories</v>
          </cell>
          <cell r="I12" t="str">
            <v>EFTP</v>
          </cell>
        </row>
        <row r="13">
          <cell r="C13" t="str">
            <v>Matériels péda &amp; fourn</v>
          </cell>
          <cell r="I13" t="str">
            <v>ENI</v>
          </cell>
        </row>
        <row r="14">
          <cell r="C14" t="str">
            <v>Biens spécifiques</v>
          </cell>
          <cell r="I14" t="str">
            <v>Sup public</v>
          </cell>
        </row>
        <row r="15">
          <cell r="C15" t="str">
            <v>Cantines, internat, médecine scolaire</v>
          </cell>
          <cell r="I15" t="str">
            <v>Sup privé</v>
          </cell>
        </row>
        <row r="16">
          <cell r="C16" t="str">
            <v>Subventions de fonctionnement</v>
          </cell>
          <cell r="I16" t="str">
            <v>Recherche sci &amp; IT</v>
          </cell>
        </row>
        <row r="17">
          <cell r="C17" t="str">
            <v>Transferts</v>
          </cell>
          <cell r="I17" t="str">
            <v>Alpha</v>
          </cell>
        </row>
        <row r="18">
          <cell r="C18" t="str">
            <v>Bourses et autres soutiens aux élèves/familles</v>
          </cell>
          <cell r="I18" t="str">
            <v>Sectoriel</v>
          </cell>
        </row>
        <row r="19">
          <cell r="C19" t="str">
            <v>Autres dépenses courantes</v>
          </cell>
          <cell r="I19" t="str">
            <v>Centres Nafa &amp; Alpha</v>
          </cell>
        </row>
        <row r="20">
          <cell r="C20" t="str">
            <v>Dépenses en capital</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
      <sheetName val="PROGRAMMES"/>
      <sheetName val="SOUSPROGRAMMES"/>
      <sheetName val="RESULTATS"/>
      <sheetName val="STRATEGIES"/>
      <sheetName val="Feuil1"/>
      <sheetName val="Feuil2"/>
      <sheetName val="ACTIVITES"/>
      <sheetName val="financ_bailleur&amp;pgrme"/>
      <sheetName val="financ bailleur"/>
      <sheetName val="financ_sprgrm"/>
      <sheetName val="financ_stratégie"/>
      <sheetName val="Bailleur"/>
      <sheetName val="PAPB 2019-2022"/>
      <sheetName val="PAPB 2019-2022 impri"/>
      <sheetName val="Bailleur (2)"/>
      <sheetName val="Fonds BAS"/>
      <sheetName val="Couverture du GAP"/>
      <sheetName val="PROJETS"/>
      <sheetName val="Mnt_Bailleur_Annuel"/>
      <sheetName val="Mnt_Bailleur_Par_Programme"/>
    </sheetNames>
    <sheetDataSet>
      <sheetData sheetId="0"/>
      <sheetData sheetId="1">
        <row r="1">
          <cell r="E1" t="str">
            <v>CodProg</v>
          </cell>
          <cell r="F1" t="str">
            <v>Programme</v>
          </cell>
        </row>
        <row r="2">
          <cell r="E2">
            <v>1</v>
          </cell>
          <cell r="F2" t="str">
            <v>Accès et équité à l'enseignement général</v>
          </cell>
        </row>
        <row r="3">
          <cell r="E3">
            <v>2</v>
          </cell>
          <cell r="F3" t="str">
            <v>Qualité des enseignements et des apprentissages</v>
          </cell>
        </row>
        <row r="4">
          <cell r="E4">
            <v>3</v>
          </cell>
          <cell r="F4" t="str">
            <v>Expansion et réforme de l’ETFP</v>
          </cell>
        </row>
        <row r="5">
          <cell r="E5">
            <v>4</v>
          </cell>
          <cell r="F5" t="str">
            <v>Réforme de l’enseignement supérieur et la recherche scientifique et de l'innovation</v>
          </cell>
        </row>
        <row r="6">
          <cell r="E6">
            <v>6</v>
          </cell>
          <cell r="F6" t="str">
            <v>Education et alphabétisation des adultes</v>
          </cell>
        </row>
        <row r="7">
          <cell r="E7">
            <v>5</v>
          </cell>
          <cell r="F7" t="str">
            <v>Gouvernance et pilotage du secteur</v>
          </cell>
        </row>
      </sheetData>
      <sheetData sheetId="2">
        <row r="1">
          <cell r="E1" t="str">
            <v>CodSPr</v>
          </cell>
          <cell r="F1" t="str">
            <v>Sous Programme</v>
          </cell>
        </row>
        <row r="2">
          <cell r="E2">
            <v>1</v>
          </cell>
          <cell r="F2" t="str">
            <v>Accès et équité à l'enseignement général</v>
          </cell>
        </row>
        <row r="3">
          <cell r="E3">
            <v>11</v>
          </cell>
          <cell r="F3" t="str">
            <v xml:space="preserve"> Accès équitable au préscolaire</v>
          </cell>
        </row>
        <row r="4">
          <cell r="E4">
            <v>12</v>
          </cell>
          <cell r="F4" t="str">
            <v xml:space="preserve"> Accès équitable et achèvement du primaire</v>
          </cell>
        </row>
        <row r="5">
          <cell r="E5">
            <v>13</v>
          </cell>
          <cell r="F5" t="str">
            <v xml:space="preserve"> Accès à l’éducation non formelle</v>
          </cell>
        </row>
        <row r="6">
          <cell r="E6">
            <v>14</v>
          </cell>
          <cell r="F6" t="str">
            <v xml:space="preserve"> Accès et équité au collège</v>
          </cell>
        </row>
        <row r="7">
          <cell r="E7">
            <v>15</v>
          </cell>
          <cell r="F7" t="str">
            <v xml:space="preserve"> Promotion de l'éducation inclusive, y compris les FA</v>
          </cell>
        </row>
        <row r="8">
          <cell r="E8">
            <v>16</v>
          </cell>
          <cell r="F8" t="str">
            <v xml:space="preserve"> Accès et équité au lycée</v>
          </cell>
        </row>
        <row r="9">
          <cell r="E9">
            <v>17</v>
          </cell>
          <cell r="F9" t="str">
            <v xml:space="preserve"> Santé et hygiène scolaires </v>
          </cell>
        </row>
        <row r="10">
          <cell r="E10">
            <v>2</v>
          </cell>
          <cell r="F10" t="str">
            <v>Qualité des enseignements et des apprentissages</v>
          </cell>
        </row>
        <row r="11">
          <cell r="E11">
            <v>21</v>
          </cell>
          <cell r="F11" t="str">
            <v xml:space="preserve"> Révision/ adaptation des curricula/programmes (place des sciences ; franco-arabe, intégration de l’éducation à la citoyenneté, l'éducation complète à la sexualité, éducation environnementale…)</v>
          </cell>
        </row>
        <row r="12">
          <cell r="E12">
            <v>22</v>
          </cell>
          <cell r="F12" t="str">
            <v xml:space="preserve"> Diversification des filière au lycée</v>
          </cell>
        </row>
        <row r="13">
          <cell r="E13">
            <v>23</v>
          </cell>
          <cell r="F13" t="str">
            <v xml:space="preserve"> Formation initiale et continue des enseignants/éducateurs y compris dans les méthodes pédagogiques innovatntes  </v>
          </cell>
        </row>
        <row r="14">
          <cell r="E14">
            <v>24</v>
          </cell>
          <cell r="F14" t="str">
            <v xml:space="preserve"> Encadrement des enseignants : appui et contrôle</v>
          </cell>
        </row>
        <row r="15">
          <cell r="E15">
            <v>25</v>
          </cell>
          <cell r="F15" t="str">
            <v xml:space="preserve"> Conditions d’apprentissage améliorées </v>
          </cell>
        </row>
        <row r="16">
          <cell r="E16">
            <v>26</v>
          </cell>
          <cell r="F16" t="str">
            <v xml:space="preserve"> Examen et évaluation</v>
          </cell>
        </row>
        <row r="17">
          <cell r="E17">
            <v>27</v>
          </cell>
          <cell r="F17" t="str">
            <v xml:space="preserve"> Introduction de l'enseignement bilingue Français-langues nationales au primaire</v>
          </cell>
        </row>
        <row r="18">
          <cell r="E18">
            <v>27</v>
          </cell>
          <cell r="F18" t="str">
            <v xml:space="preserve"> Promotion des langues nationales</v>
          </cell>
        </row>
        <row r="19">
          <cell r="E19">
            <v>3</v>
          </cell>
          <cell r="F19" t="str">
            <v>Expansion et réforme de l’ETFP</v>
          </cell>
        </row>
        <row r="20">
          <cell r="E20">
            <v>31</v>
          </cell>
          <cell r="F20" t="str">
            <v xml:space="preserve"> Identification des besoins en qualification de l’économie</v>
          </cell>
        </row>
        <row r="21">
          <cell r="E21">
            <v>32</v>
          </cell>
          <cell r="F21" t="str">
            <v xml:space="preserve"> Mise en place d’une ingénierie de formation adaptée aux besoins de l’économie</v>
          </cell>
        </row>
        <row r="22">
          <cell r="E22">
            <v>33</v>
          </cell>
          <cell r="F22" t="str">
            <v xml:space="preserve"> Développement de l’offre de formation professionnelle et technique de qualité</v>
          </cell>
        </row>
        <row r="23">
          <cell r="E23">
            <v>34</v>
          </cell>
          <cell r="F23" t="str">
            <v xml:space="preserve"> le financement du développement de l’ETFP</v>
          </cell>
        </row>
        <row r="24">
          <cell r="E24">
            <v>35</v>
          </cell>
          <cell r="F24" t="str">
            <v xml:space="preserve"> Développement de la formation continue des actifs en situation de travail</v>
          </cell>
        </row>
        <row r="25">
          <cell r="E25">
            <v>36</v>
          </cell>
          <cell r="F25" t="str">
            <v xml:space="preserve"> Renforcement des capacités de pilotage et de gestion dans le cadre d’une gouvernance parteunariale multi niveaux</v>
          </cell>
        </row>
        <row r="26">
          <cell r="E26">
            <v>4</v>
          </cell>
          <cell r="F26" t="str">
            <v>Réforme de l’enseignement supérieur et la recherche scientifique et de l'innovation</v>
          </cell>
        </row>
        <row r="27">
          <cell r="E27">
            <v>41</v>
          </cell>
          <cell r="F27" t="str">
            <v xml:space="preserve"> Gouvernance et pilotage de l’enseignement supérieur et de la recherche scientifique</v>
          </cell>
        </row>
        <row r="28">
          <cell r="E28">
            <v>42</v>
          </cell>
          <cell r="F28" t="str">
            <v xml:space="preserve"> Expansion de l’offre publique pour un système plus équitable en lien avec les priorités nationales </v>
          </cell>
        </row>
        <row r="29">
          <cell r="E29">
            <v>43</v>
          </cell>
          <cell r="F29" t="str">
            <v xml:space="preserve"> Qualité de l’enseignement, de la formation et de la recherche scientifique</v>
          </cell>
        </row>
        <row r="30">
          <cell r="E30">
            <v>44</v>
          </cell>
          <cell r="F30" t="str">
            <v xml:space="preserve"> Conditions de vie du personnel enseignant et de recherche (à reporter dans le programme gouvernance)</v>
          </cell>
        </row>
        <row r="31">
          <cell r="E31">
            <v>5</v>
          </cell>
          <cell r="F31" t="str">
            <v>Gouvernance et pilotage du secteur</v>
          </cell>
        </row>
        <row r="32">
          <cell r="E32">
            <v>51</v>
          </cell>
          <cell r="F32" t="str">
            <v>Gestion des flux (mécanismes, orientations, et passerelles)</v>
          </cell>
        </row>
        <row r="33">
          <cell r="E33">
            <v>52</v>
          </cell>
          <cell r="F33" t="str">
            <v>Déconcentration, décentralisation, et partenariats (implication des communautés et des autres parties prenantes)</v>
          </cell>
        </row>
        <row r="34">
          <cell r="E34">
            <v>53</v>
          </cell>
          <cell r="F34" t="str">
            <v xml:space="preserve"> Systèmes d’information pour la gestion de l'éducation (collecte, analyse, diffusion, et utilisation des informations) </v>
          </cell>
        </row>
        <row r="35">
          <cell r="E35">
            <v>54</v>
          </cell>
          <cell r="F35" t="str">
            <v xml:space="preserve"> Conception de plans de développement et gestion de projets</v>
          </cell>
        </row>
        <row r="36">
          <cell r="E36">
            <v>55</v>
          </cell>
          <cell r="F36" t="str">
            <v xml:space="preserve"> Gestion des RH (recrutement, affectation, motivation, fidélisation, gestion de carrières…)</v>
          </cell>
        </row>
        <row r="37">
          <cell r="E37">
            <v>56</v>
          </cell>
          <cell r="F37" t="str">
            <v xml:space="preserve"> Gestion des ressources financières</v>
          </cell>
        </row>
        <row r="38">
          <cell r="E38">
            <v>57</v>
          </cell>
          <cell r="F38" t="str">
            <v xml:space="preserve"> Coordination sectorielle</v>
          </cell>
        </row>
        <row r="39">
          <cell r="E39">
            <v>58</v>
          </cell>
          <cell r="F39" t="str">
            <v xml:space="preserve"> Renforcement des compétences de l’administration (cadre normatif, poste-profil, évaluation, équipement, formations…)</v>
          </cell>
        </row>
        <row r="40">
          <cell r="E40">
            <v>6</v>
          </cell>
          <cell r="F40" t="str">
            <v>Education et alphabétisation des adultes</v>
          </cell>
        </row>
        <row r="41">
          <cell r="E41">
            <v>61</v>
          </cell>
          <cell r="F41" t="str">
            <v>Mobilisation sociale pour l’accroissement des financements de l’AEA</v>
          </cell>
        </row>
        <row r="42">
          <cell r="E42">
            <v>62</v>
          </cell>
          <cell r="F42" t="str">
            <v xml:space="preserve"> Diversification des approches pour un plus grand accès équitable (modèles, des types de  centres )</v>
          </cell>
        </row>
        <row r="43">
          <cell r="E43">
            <v>63</v>
          </cell>
          <cell r="F43" t="str">
            <v xml:space="preserve"> Amélioration de la qualité </v>
          </cell>
        </row>
        <row r="44">
          <cell r="E44">
            <v>64</v>
          </cell>
          <cell r="F44" t="str">
            <v xml:space="preserve">Développement de la Post-alphabétisation </v>
          </cell>
        </row>
      </sheetData>
      <sheetData sheetId="3">
        <row r="1">
          <cell r="E1" t="str">
            <v>CodRes</v>
          </cell>
          <cell r="F1" t="str">
            <v>Résultat</v>
          </cell>
        </row>
        <row r="2">
          <cell r="E2">
            <v>1</v>
          </cell>
          <cell r="F2" t="str">
            <v>Accès et équité à l'enseignement général</v>
          </cell>
        </row>
        <row r="3">
          <cell r="E3">
            <v>11</v>
          </cell>
          <cell r="F3" t="str">
            <v xml:space="preserve"> Accès équitable au préscolaire</v>
          </cell>
        </row>
        <row r="4">
          <cell r="E4">
            <v>111</v>
          </cell>
          <cell r="F4" t="str">
            <v xml:space="preserve"> Le préscolaire est réorganisé</v>
          </cell>
        </row>
        <row r="5">
          <cell r="E5">
            <v>112</v>
          </cell>
          <cell r="F5" t="str">
            <v xml:space="preserve"> La demande de préscolarisation est stimulée</v>
          </cell>
        </row>
        <row r="6">
          <cell r="E6">
            <v>113</v>
          </cell>
          <cell r="F6" t="str">
            <v xml:space="preserve"> Les capacités d’accueil au préscolaire public et communautaires augmentent en milieux rural et urbain</v>
          </cell>
        </row>
        <row r="7">
          <cell r="E7">
            <v>114</v>
          </cell>
          <cell r="F7" t="str">
            <v xml:space="preserve"> Les CEC et les établissements préscolaires publics sont dotées en éducateurs en nombre suffisant </v>
          </cell>
        </row>
        <row r="8">
          <cell r="E8">
            <v>12</v>
          </cell>
          <cell r="F8" t="str">
            <v xml:space="preserve"> Accès équitable et achèvement du primaire</v>
          </cell>
        </row>
        <row r="9">
          <cell r="E9">
            <v>121</v>
          </cell>
          <cell r="F9" t="str">
            <v xml:space="preserve"> Tous les enfants de 6 ans sont inscrits au primaire </v>
          </cell>
        </row>
        <row r="10">
          <cell r="E10">
            <v>122</v>
          </cell>
          <cell r="F10" t="str">
            <v xml:space="preserve"> Toutes les localités disposent d’écoles primaires avec des infrastructures adéquates  </v>
          </cell>
        </row>
        <row r="11">
          <cell r="E11">
            <v>123</v>
          </cell>
          <cell r="F11" t="str">
            <v xml:space="preserve"> Toutes les écoles primaires publiques et communautaires sont dotées en enseignants en nombre suffisant, y compris les FA</v>
          </cell>
        </row>
        <row r="12">
          <cell r="E12">
            <v>124</v>
          </cell>
          <cell r="F12" t="str">
            <v xml:space="preserve"> Toutes les écoles primaires, y compris les FA, offrent aux élèves des conditions favorables à leur maintien, en particulier, les filles</v>
          </cell>
        </row>
        <row r="13">
          <cell r="E13">
            <v>13</v>
          </cell>
          <cell r="F13" t="str">
            <v xml:space="preserve"> Accès à l’éducation non formelle</v>
          </cell>
        </row>
        <row r="14">
          <cell r="E14">
            <v>131</v>
          </cell>
          <cell r="F14" t="str">
            <v>La demande de scolarisation non formelle est accrue chez les enfants déscolarisés et les non scolarisés</v>
          </cell>
        </row>
        <row r="15">
          <cell r="E15">
            <v>132</v>
          </cell>
          <cell r="F15" t="str">
            <v xml:space="preserve"> L’offre d’éducation non formelle est diversifiée</v>
          </cell>
        </row>
        <row r="16">
          <cell r="E16">
            <v>133</v>
          </cell>
          <cell r="F16" t="str">
            <v>Les capacités d’accueil d’éducation non formelle se sont accrues</v>
          </cell>
        </row>
        <row r="17">
          <cell r="E17">
            <v>14</v>
          </cell>
          <cell r="F17" t="str">
            <v xml:space="preserve"> Accès et équité au collège</v>
          </cell>
        </row>
        <row r="18">
          <cell r="E18">
            <v>141</v>
          </cell>
          <cell r="F18" t="str">
            <v xml:space="preserve"> L’accès au collège est amélioré en tenant compte de l’équité et de l’élargissement de l’éducation de base</v>
          </cell>
        </row>
        <row r="19">
          <cell r="E19">
            <v>142</v>
          </cell>
          <cell r="F19" t="str">
            <v xml:space="preserve"> Tous les Collèges publics sont dotés en enseignants en nombre suffisant </v>
          </cell>
        </row>
        <row r="20">
          <cell r="E20">
            <v>143</v>
          </cell>
          <cell r="F20" t="str">
            <v xml:space="preserve"> Tous les Collèges offrent aux élèves des conditions favorables à leur maintien</v>
          </cell>
        </row>
        <row r="21">
          <cell r="E21">
            <v>15</v>
          </cell>
          <cell r="F21" t="str">
            <v xml:space="preserve"> Promotion de l'éducation inclusive, y compris les FA</v>
          </cell>
        </row>
        <row r="22">
          <cell r="E22">
            <v>151</v>
          </cell>
          <cell r="F22" t="str">
            <v xml:space="preserve"> L'environnement d’enseignement et d'apprentissage est adapté aux besoins spécifiques  des enfants en situation de handicap</v>
          </cell>
        </row>
        <row r="23">
          <cell r="E23">
            <v>152</v>
          </cell>
          <cell r="F23" t="str">
            <v xml:space="preserve"> Un protocole d’assistance matérielle, humaine et technique est élaboré et adopté</v>
          </cell>
        </row>
        <row r="24">
          <cell r="E24">
            <v>153</v>
          </cell>
          <cell r="F24" t="str">
            <v xml:space="preserve"> L'éducation inclusive est intégrée dans la prise de décision par les différents acteurs</v>
          </cell>
        </row>
        <row r="25">
          <cell r="E25">
            <v>16</v>
          </cell>
          <cell r="F25" t="str">
            <v xml:space="preserve"> Accès et équité au lycée</v>
          </cell>
        </row>
        <row r="26">
          <cell r="E26">
            <v>161</v>
          </cell>
          <cell r="F26" t="str">
            <v xml:space="preserve"> L’accès au lycée est maitrisé en tenant compte de l’équité et de la diversification des filières</v>
          </cell>
        </row>
        <row r="27">
          <cell r="E27">
            <v>162</v>
          </cell>
          <cell r="F27" t="str">
            <v> Tous les lycées publics sont dotés en enseignants en nombre suffisant, y compris les FA</v>
          </cell>
        </row>
        <row r="28">
          <cell r="E28">
            <v>17</v>
          </cell>
          <cell r="F28" t="str">
            <v xml:space="preserve"> Santé et hygiène scolaires </v>
          </cell>
        </row>
        <row r="29">
          <cell r="E29">
            <v>171</v>
          </cell>
          <cell r="F29" t="str">
            <v xml:space="preserve"> Les conditions d'hygiène sont améliorées au sein des écoles et établissements</v>
          </cell>
        </row>
        <row r="30">
          <cell r="E30">
            <v>172</v>
          </cell>
          <cell r="F30" t="str">
            <v xml:space="preserve"> La santé scolaire est améliorée au sein des écoles et établissements scolaires, y compris les FA</v>
          </cell>
        </row>
        <row r="31">
          <cell r="E31">
            <v>2</v>
          </cell>
          <cell r="F31" t="str">
            <v>Qualité des enseignements et des apprentissages</v>
          </cell>
        </row>
        <row r="32">
          <cell r="E32">
            <v>21</v>
          </cell>
          <cell r="F32" t="str">
            <v xml:space="preserve"> Révision/ adaptation des curricula/programmes (place des sciences ; franco-arabe, intégration de l’éducation à la citoyenneté, l'éducation complète à la sexualité, éducation environnementale…)</v>
          </cell>
        </row>
        <row r="33">
          <cell r="E33">
            <v>211</v>
          </cell>
          <cell r="F33" t="str">
            <v xml:space="preserve"> les contenus des programmes (du préscolaire, du primaire, 1er et second cycle du secondaire) sont progressivement révisés, adaptés et diversifiés</v>
          </cell>
        </row>
        <row r="34">
          <cell r="E34">
            <v>22</v>
          </cell>
          <cell r="F34" t="str">
            <v xml:space="preserve"> Diversification des filière au lycée</v>
          </cell>
        </row>
        <row r="35">
          <cell r="E35">
            <v>221</v>
          </cell>
          <cell r="F35" t="str">
            <v xml:space="preserve"> Les nouvelles filières de formation au lycée sont introduites</v>
          </cell>
        </row>
        <row r="36">
          <cell r="E36">
            <v>23</v>
          </cell>
          <cell r="F36" t="str">
            <v xml:space="preserve"> Formation initiale et continue des enseignants/éducateurs y compris dans les méthodes pédagogiques innovatntes  </v>
          </cell>
        </row>
        <row r="37">
          <cell r="E37">
            <v>231</v>
          </cell>
          <cell r="F37" t="str">
            <v xml:space="preserve"> Une formation initiale de qualité (polyvalence, méthodes pédagogiques innovantes, éducation inclusive et gestion des classes multigrades) des formateurs et cohérente avec les curricula, est mise en place</v>
          </cell>
        </row>
        <row r="38">
          <cell r="E38">
            <v>232</v>
          </cell>
          <cell r="F38" t="str">
            <v xml:space="preserve"> Les cercles de qualité sont créés et sont opérationnels </v>
          </cell>
        </row>
        <row r="39">
          <cell r="E39">
            <v>233</v>
          </cell>
          <cell r="F39" t="str">
            <v xml:space="preserve"> Une formation continue de qualité, adaptée aux différents profils des enseignants/éducateurs (ceux qui viennent des établissements de formation, ceux qui ont passé le concours à la fonction publique et les autres) et cohérente avec la formation initiale est mise en place</v>
          </cell>
        </row>
        <row r="40">
          <cell r="E40">
            <v>24</v>
          </cell>
          <cell r="F40" t="str">
            <v xml:space="preserve"> Encadrement des enseignants : appui et contrôle</v>
          </cell>
        </row>
        <row r="41">
          <cell r="E41">
            <v>241</v>
          </cell>
          <cell r="F41" t="str">
            <v xml:space="preserve"> Un dispositif efficace d’encadrement est défini (organisation, rôles des différents acteurs)</v>
          </cell>
        </row>
        <row r="42">
          <cell r="E42">
            <v>242</v>
          </cell>
          <cell r="F42" t="str">
            <v xml:space="preserve"> L’encadrement dispose des ressources humaines en nombre nécessaire et en profil pertinent</v>
          </cell>
        </row>
        <row r="43">
          <cell r="E43">
            <v>243</v>
          </cell>
          <cell r="F43" t="str">
            <v xml:space="preserve"> Les acteurs de l’encadrement disposent des ressources matérielles nécessaires pour mener à bien leurs fonctions  </v>
          </cell>
        </row>
        <row r="44">
          <cell r="E44">
            <v>25</v>
          </cell>
          <cell r="F44" t="str">
            <v xml:space="preserve"> Conditions d’apprentissage améliorées </v>
          </cell>
        </row>
        <row r="45">
          <cell r="E45">
            <v>251</v>
          </cell>
          <cell r="F45" t="str">
            <v xml:space="preserve"> Les manuels et guides adaptés aux nouveaux curricula sont développés</v>
          </cell>
        </row>
        <row r="46">
          <cell r="E46">
            <v>252</v>
          </cell>
          <cell r="F46" t="str">
            <v xml:space="preserve"> Les  enseignants sont formés à l'utilisation des manuels et guides de l'enseignant</v>
          </cell>
        </row>
        <row r="47">
          <cell r="E47">
            <v>253</v>
          </cell>
          <cell r="F47" t="str">
            <v xml:space="preserve"> Les élèves du primaire et du secondaire disposent des manuels des matières fondamentales en quantité suffisante.</v>
          </cell>
        </row>
        <row r="48">
          <cell r="E48">
            <v>254</v>
          </cell>
          <cell r="F48" t="str">
            <v xml:space="preserve"> Les enseignants utilisent en classe les matériels didactiques et ludiques</v>
          </cell>
        </row>
        <row r="49">
          <cell r="E49">
            <v>255</v>
          </cell>
          <cell r="F49" t="str">
            <v xml:space="preserve"> les enseignants sont plus ou moins satisfaits de leur conditions de vie</v>
          </cell>
        </row>
        <row r="50">
          <cell r="E50">
            <v>256</v>
          </cell>
          <cell r="F50" t="str">
            <v xml:space="preserve"> Les laboratoires et kits sont installés progressivement dans les établissements secondaires</v>
          </cell>
        </row>
        <row r="51">
          <cell r="E51">
            <v>257</v>
          </cell>
          <cell r="F51" t="str">
            <v xml:space="preserve"> Extension progressive de l'enseignement de l'anglais au secondaire(collège)</v>
          </cell>
        </row>
        <row r="52">
          <cell r="E52">
            <v>258</v>
          </cell>
          <cell r="F52" t="str">
            <v xml:space="preserve"> Les activités extrascolaires sont diversifiées</v>
          </cell>
        </row>
        <row r="53">
          <cell r="E53">
            <v>26</v>
          </cell>
          <cell r="F53" t="str">
            <v xml:space="preserve"> Examen et évaluation</v>
          </cell>
        </row>
        <row r="54">
          <cell r="E54">
            <v>261</v>
          </cell>
          <cell r="F54" t="str">
            <v xml:space="preserve"> Les évaluations des acquis au primaire et secondaire sont régulières, exploitées et disséminées.  </v>
          </cell>
        </row>
        <row r="55">
          <cell r="E55">
            <v>262</v>
          </cell>
          <cell r="F55" t="str">
            <v xml:space="preserve"> La fiabilité des examens nationaux est améliorée</v>
          </cell>
        </row>
        <row r="56">
          <cell r="E56">
            <v>263</v>
          </cell>
          <cell r="F56" t="str">
            <v xml:space="preserve"> Un document référentiel sur la production et l'utilisation des données des évaluations standardisées est mis en place</v>
          </cell>
        </row>
        <row r="57">
          <cell r="E57">
            <v>264</v>
          </cell>
          <cell r="F57" t="str">
            <v xml:space="preserve"> Les capacités des enseignants en méthodes d'évaluation sont renforcés</v>
          </cell>
        </row>
        <row r="58">
          <cell r="E58">
            <v>27</v>
          </cell>
          <cell r="F58" t="str">
            <v xml:space="preserve"> Introduction de l'enseignement bilingue Français-langues nationales au primaire</v>
          </cell>
        </row>
        <row r="59">
          <cell r="E59">
            <v>271</v>
          </cell>
          <cell r="F59" t="str">
            <v xml:space="preserve"> Les résultats de la phase pilote sont capitalisés pour identifier les stratégies d’utilisation des langues nationales dans l’enseignement et l’apprentissageUne instance de pilotage de la réforme du bilinguisme est opérationnelle</v>
          </cell>
        </row>
        <row r="60">
          <cell r="E60">
            <v>272</v>
          </cell>
          <cell r="F60" t="str">
            <v xml:space="preserve"> Des étude sont réalisées pour préparer la mise à l'échelle</v>
          </cell>
        </row>
        <row r="61">
          <cell r="E61">
            <v>273</v>
          </cell>
          <cell r="F61" t="str">
            <v>Une expertise nationale en  langues nationales est disponible</v>
          </cell>
        </row>
        <row r="62">
          <cell r="E62">
            <v>274</v>
          </cell>
          <cell r="F62" t="str">
            <v xml:space="preserve">Les acteurs et partenaires adhèrent à l’approche l’enseignement  et de l’apprentissage des langues nationales </v>
          </cell>
        </row>
        <row r="63">
          <cell r="E63">
            <v>275</v>
          </cell>
          <cell r="F63" t="str">
            <v xml:space="preserve"> L’utilisation des langues nationales dans l’enseignement et l’apprentissage est effective</v>
          </cell>
        </row>
        <row r="64">
          <cell r="E64">
            <v>3</v>
          </cell>
          <cell r="F64" t="str">
            <v>Expansion et réforme de l’ETFP</v>
          </cell>
        </row>
        <row r="65">
          <cell r="E65">
            <v>31</v>
          </cell>
          <cell r="F65" t="str">
            <v xml:space="preserve"> Identification des besoins en qualification de l’économie</v>
          </cell>
        </row>
        <row r="66">
          <cell r="E66">
            <v>311</v>
          </cell>
          <cell r="F66" t="str">
            <v xml:space="preserve"> Les besoins en compétence des secteurs prioritaires sont identifiés</v>
          </cell>
        </row>
        <row r="67">
          <cell r="E67">
            <v>312</v>
          </cell>
          <cell r="F67" t="str">
            <v xml:space="preserve"> Un dispositif de veille sur les métiers, d’anticipation et d’identification des besoins du marché du travail est opérationnel</v>
          </cell>
        </row>
        <row r="68">
          <cell r="E68">
            <v>313</v>
          </cell>
          <cell r="F68" t="str">
            <v xml:space="preserve"> Un mécanisme de suivi de l’insertion est opérationnel</v>
          </cell>
        </row>
        <row r="69">
          <cell r="E69">
            <v>32</v>
          </cell>
          <cell r="F69" t="str">
            <v xml:space="preserve"> Mise en place d’une ingénierie de formation adaptée aux besoins de l’économie</v>
          </cell>
        </row>
        <row r="70">
          <cell r="E70">
            <v>321</v>
          </cell>
          <cell r="F70" t="str">
            <v xml:space="preserve"> Un dispositif institutionnel de formation du personnel de formation et d’ingénierie de formation est mis en place</v>
          </cell>
        </row>
        <row r="71">
          <cell r="E71">
            <v>322</v>
          </cell>
          <cell r="F71" t="str">
            <v xml:space="preserve"> Les TIC et l’économie verte sont prises en compte dans l’élaboration des programmes</v>
          </cell>
        </row>
        <row r="72">
          <cell r="E72">
            <v>323</v>
          </cell>
          <cell r="F72" t="str">
            <v xml:space="preserve"> Un cadre adéquat pour le développement de la formation en milieu du travail est mis en place</v>
          </cell>
        </row>
        <row r="73">
          <cell r="E73">
            <v>33</v>
          </cell>
          <cell r="F73" t="str">
            <v xml:space="preserve"> Développement de l’offre de formation professionnelle et technique de qualité</v>
          </cell>
        </row>
        <row r="74">
          <cell r="E74">
            <v>331</v>
          </cell>
          <cell r="F74" t="str">
            <v xml:space="preserve"> L’accès aux dispositifs de l’ETFP est accrue en lien avec les besoins (quantitatifs et qualitatifs) de l’économie avec une priorité accordée aux filières porteuses dans les secteurs primaire et secondaire</v>
          </cell>
        </row>
        <row r="75">
          <cell r="E75">
            <v>332</v>
          </cell>
          <cell r="F75" t="str">
            <v xml:space="preserve"> L’équité dans l’accès est améliorée (genre, zones, régions, besoins spécifiques)</v>
          </cell>
        </row>
        <row r="76">
          <cell r="E76">
            <v>333</v>
          </cell>
          <cell r="F76" t="str">
            <v xml:space="preserve"> Un dispositif d’appui à l’insertion socioprofessionnelle y compris l’entreprenariat est opérationnel</v>
          </cell>
        </row>
        <row r="77">
          <cell r="E77">
            <v>34</v>
          </cell>
          <cell r="F77" t="str">
            <v xml:space="preserve"> le financement du développement de l’ETFP</v>
          </cell>
        </row>
        <row r="78">
          <cell r="E78">
            <v>341</v>
          </cell>
          <cell r="F78" t="str">
            <v xml:space="preserve"> L’allocation budgétaire de l’ETFP dans le budget de l’éducation est améliorée</v>
          </cell>
        </row>
        <row r="79">
          <cell r="E79">
            <v>342</v>
          </cell>
          <cell r="F79" t="str">
            <v xml:space="preserve"> Le reversement intégral du produit de la taxe de l’apprentissage au FNQP est effectif</v>
          </cell>
        </row>
        <row r="80">
          <cell r="E80">
            <v>343</v>
          </cell>
          <cell r="F80" t="str">
            <v xml:space="preserve"> La contribution du milieu socioprofessionnel dans le partage du coût de formation est accrue</v>
          </cell>
        </row>
        <row r="81">
          <cell r="E81">
            <v>35</v>
          </cell>
          <cell r="F81" t="str">
            <v xml:space="preserve"> Développement de la formation continue des actifs en situation de travail</v>
          </cell>
        </row>
        <row r="82">
          <cell r="E82">
            <v>351</v>
          </cell>
          <cell r="F82" t="str">
            <v xml:space="preserve"> Une stratégie globale de formation continue est développée</v>
          </cell>
        </row>
        <row r="83">
          <cell r="E83">
            <v>352</v>
          </cell>
          <cell r="F83" t="str">
            <v xml:space="preserve"> la stratégie globale de formation continue est mise en œuvre</v>
          </cell>
        </row>
        <row r="84">
          <cell r="E84">
            <v>353</v>
          </cell>
          <cell r="F84" t="str">
            <v xml:space="preserve"> La prestation de service en formation continue est accrue dans les centres</v>
          </cell>
        </row>
        <row r="85">
          <cell r="E85">
            <v>36</v>
          </cell>
          <cell r="F85" t="str">
            <v xml:space="preserve"> Renforcement des capacités de pilotage et de gestion dans le cadre d’une gouvernance parteunariale multi niveaux</v>
          </cell>
        </row>
        <row r="86">
          <cell r="E86">
            <v>361</v>
          </cell>
          <cell r="F86" t="str">
            <v>Des cadres formalisés de concertation entre les acteurs de la formation professionnelle publics, partenaires sociaux économiques, les collectivités territoriales, sont opérationnels</v>
          </cell>
        </row>
        <row r="87">
          <cell r="E87">
            <v>362</v>
          </cell>
          <cell r="F87" t="str">
            <v xml:space="preserve"> L’autonomisation des institutions est accrue dans un cadre de redevabilité</v>
          </cell>
        </row>
        <row r="88">
          <cell r="E88">
            <v>363</v>
          </cell>
          <cell r="F88" t="str">
            <v xml:space="preserve"> La concertation est améliorée au niveaux des autres établissements (établissements non impliqués dans l'expérimentation du nouveau modèle de gouvernance)</v>
          </cell>
        </row>
        <row r="89">
          <cell r="E89">
            <v>364</v>
          </cell>
          <cell r="F89" t="str">
            <v xml:space="preserve"> La capacité de pilotage et de mise en œuvre, technique et financière, de l’ETFP est renforcée</v>
          </cell>
        </row>
        <row r="90">
          <cell r="E90">
            <v>365</v>
          </cell>
          <cell r="F90" t="str">
            <v>Le dispositif de communication et d’orientation professionnelle est opérationnel</v>
          </cell>
        </row>
        <row r="91">
          <cell r="E91">
            <v>366</v>
          </cell>
          <cell r="F91" t="str">
            <v xml:space="preserve"> Un système d’assurance qualité est mis en place</v>
          </cell>
        </row>
        <row r="92">
          <cell r="E92">
            <v>367</v>
          </cell>
          <cell r="F92" t="str">
            <v xml:space="preserve"> Une loi cadre de l’ETFP est élaborée</v>
          </cell>
        </row>
        <row r="93">
          <cell r="E93">
            <v>368</v>
          </cell>
          <cell r="F93" t="str">
            <v xml:space="preserve"> Le cadre juridique et règlementaire est adapté </v>
          </cell>
        </row>
        <row r="94">
          <cell r="E94">
            <v>369</v>
          </cell>
          <cell r="F94" t="str">
            <v xml:space="preserve"> Suivi et évaluation du programme reforme et expansion de l'ETFP est assuré</v>
          </cell>
        </row>
        <row r="95">
          <cell r="E95">
            <v>4</v>
          </cell>
          <cell r="F95" t="str">
            <v>Réforme de l’enseignement supérieur et la recherche scientifique et de l'innovation</v>
          </cell>
        </row>
        <row r="96">
          <cell r="E96">
            <v>41</v>
          </cell>
          <cell r="F96" t="str">
            <v xml:space="preserve"> Gouvernance et pilotage de l’enseignement supérieur et de la recherche scientifique</v>
          </cell>
        </row>
        <row r="97">
          <cell r="E97">
            <v>411</v>
          </cell>
          <cell r="F97" t="str">
            <v xml:space="preserve"> Les textes sont produits/révisés, les manuels de procédure de gestion sont élaborés afin de mieux situer les rôles et les responsabilités. </v>
          </cell>
        </row>
        <row r="98">
          <cell r="E98">
            <v>412</v>
          </cell>
          <cell r="F98" t="str">
            <v xml:space="preserve"> Les ateliers de partage des documents sont tenus</v>
          </cell>
        </row>
        <row r="99">
          <cell r="E99">
            <v>413</v>
          </cell>
          <cell r="F99" t="str">
            <v xml:space="preserve"> Un système d’information efficace et performant est mis en œuvre  afin de favoriser le reporting et la reddition des comptes</v>
          </cell>
        </row>
        <row r="100">
          <cell r="E100">
            <v>414</v>
          </cell>
          <cell r="F100" t="str">
            <v xml:space="preserve"> Les capacités des personnels administratifs et d’appui sont renforcées</v>
          </cell>
        </row>
        <row r="101">
          <cell r="E101">
            <v>415</v>
          </cell>
          <cell r="F101" t="str">
            <v xml:space="preserve"> L’évolution quantitative de l’enseignement supérieur est maitrisée</v>
          </cell>
        </row>
        <row r="102">
          <cell r="E102">
            <v>416</v>
          </cell>
          <cell r="F102" t="str">
            <v xml:space="preserve"> Les organes de gouvernance sont fonctionnels</v>
          </cell>
        </row>
        <row r="103">
          <cell r="E103">
            <v>417</v>
          </cell>
          <cell r="F103" t="str">
            <v xml:space="preserve"> L’autonomie des institutions est renforcée</v>
          </cell>
        </row>
        <row r="104">
          <cell r="E104">
            <v>418</v>
          </cell>
          <cell r="F104" t="str">
            <v xml:space="preserve"> La mobilisation de ressources financières est accrue</v>
          </cell>
        </row>
        <row r="105">
          <cell r="E105">
            <v>419</v>
          </cell>
          <cell r="F105" t="str">
            <v xml:space="preserve"> L’efficacité dans l’utilisation des fonds alloués aux institutions est améliorée</v>
          </cell>
        </row>
        <row r="106">
          <cell r="E106">
            <v>411</v>
          </cell>
          <cell r="F106" t="str">
            <v>. L’efficacité dans l’utilisation des fonds alloués aux institutions est améliorée</v>
          </cell>
        </row>
        <row r="107">
          <cell r="E107">
            <v>42</v>
          </cell>
          <cell r="F107" t="str">
            <v xml:space="preserve"> Expansion de l’offre publique pour un système plus équitable en lien avec les priorités nationales </v>
          </cell>
        </row>
        <row r="108">
          <cell r="E108">
            <v>421</v>
          </cell>
          <cell r="F108" t="str">
            <v xml:space="preserve"> La capacité d’accueil en infrastructures, équipements et en enseignants des institutions est accrue</v>
          </cell>
        </row>
        <row r="109">
          <cell r="E109">
            <v>422</v>
          </cell>
          <cell r="F109" t="str">
            <v xml:space="preserve"> Le nombre des effectifs orientés vers les filières techniques et scientifiques est considérablement augmenté</v>
          </cell>
        </row>
        <row r="110">
          <cell r="E110">
            <v>423</v>
          </cell>
          <cell r="F110" t="str">
            <v xml:space="preserve"> La professionnalisation des filières est effective</v>
          </cell>
        </row>
        <row r="111">
          <cell r="E111">
            <v>424</v>
          </cell>
          <cell r="F111" t="str">
            <v xml:space="preserve"> Le nombre de filles, d’étudiants (es) handicapés (es) et ceux/celles issus (es) des couches défavorisées fréquentant les différentes formations est significativement augmenté</v>
          </cell>
        </row>
        <row r="112">
          <cell r="E112">
            <v>43</v>
          </cell>
          <cell r="F112" t="str">
            <v xml:space="preserve"> Qualité de l’enseignement, de la formation et de la recherche scientifique</v>
          </cell>
        </row>
        <row r="113">
          <cell r="E113">
            <v>431</v>
          </cell>
          <cell r="F113" t="str">
            <v xml:space="preserve"> Le fonctionnement de l'ANAQ est renforcée</v>
          </cell>
        </row>
        <row r="114">
          <cell r="E114">
            <v>432</v>
          </cell>
          <cell r="F114" t="str">
            <v xml:space="preserve"> Les stages pour les étudiants sont renforcés et rendus obligatoires</v>
          </cell>
        </row>
        <row r="115">
          <cell r="E115">
            <v>433</v>
          </cell>
          <cell r="F115" t="str">
            <v xml:space="preserve"> La proportion des diplômés du supérieur ayant des compétences requises notamment en STIM (sciences, en technologies, en ingénierie et en mathématiques) est nettement augmentée</v>
          </cell>
        </row>
        <row r="116">
          <cell r="E116">
            <v>434</v>
          </cell>
          <cell r="F116" t="str">
            <v xml:space="preserve"> Les structures d’accompagnement et de suivi des diplômés sur le marché du travail sont fonctionnelles</v>
          </cell>
        </row>
        <row r="117">
          <cell r="E117">
            <v>435</v>
          </cell>
          <cell r="F117" t="str">
            <v xml:space="preserve"> L’utilisation des TICE dans l’enseignement supérieur et la recherche scientifique est améliorée</v>
          </cell>
        </row>
        <row r="118">
          <cell r="E118">
            <v>436</v>
          </cell>
          <cell r="F118" t="str">
            <v xml:space="preserve"> Une politique nationale de la recherche scientifique et de l’innovation est adoptée</v>
          </cell>
        </row>
        <row r="119">
          <cell r="E119">
            <v>437</v>
          </cell>
          <cell r="F119" t="str">
            <v xml:space="preserve"> Des financements adéquats sont alloués au programme de recherche scientifique et de l’innovation</v>
          </cell>
        </row>
        <row r="120">
          <cell r="E120">
            <v>438</v>
          </cell>
          <cell r="F120" t="str">
            <v xml:space="preserve"> Le niveau de productions scientifiques en quantité et qualité est amélioré et les résultats de la recherche scientifique et de l’innovation sont mieux capitalisés et valorisés</v>
          </cell>
        </row>
        <row r="121">
          <cell r="E121">
            <v>44</v>
          </cell>
          <cell r="F121" t="str">
            <v xml:space="preserve"> Conditions de vie du personnel enseignant et de recherche (à reporter dans le programme gouvernance)</v>
          </cell>
        </row>
        <row r="122">
          <cell r="E122">
            <v>441</v>
          </cell>
          <cell r="F122" t="str">
            <v xml:space="preserve"> L’attractivité du métier d’enseignant-chercheur est relevée</v>
          </cell>
        </row>
        <row r="123">
          <cell r="E123">
            <v>5</v>
          </cell>
          <cell r="F123" t="str">
            <v>Gouvernance et pilotage du secteur</v>
          </cell>
        </row>
        <row r="124">
          <cell r="E124">
            <v>51</v>
          </cell>
          <cell r="F124" t="str">
            <v>Gestion des flux (mécanismes, orientations, et passerelles)</v>
          </cell>
        </row>
        <row r="125">
          <cell r="E125">
            <v>511</v>
          </cell>
          <cell r="F125" t="str">
            <v>Les acteurs se sont appropriés les textes règlementaires et les manuels de procédure définissant la gestion des flux</v>
          </cell>
        </row>
        <row r="126">
          <cell r="E126">
            <v>512</v>
          </cell>
          <cell r="F126" t="str">
            <v>Les acteurs concernés (conseillers et enseignants, parents et communautés) contribuent au respect des normes d'orientation</v>
          </cell>
        </row>
        <row r="127">
          <cell r="E127">
            <v>513</v>
          </cell>
          <cell r="F127" t="str">
            <v xml:space="preserve"> Le logiciel d'immatriculation et de suivi des élèves est amélioré et utilisé</v>
          </cell>
        </row>
        <row r="128">
          <cell r="E128">
            <v>52</v>
          </cell>
          <cell r="F128" t="str">
            <v>Déconcentration, décentralisation, et partenariats (implication des communautés et des autres parties prenantes)</v>
          </cell>
        </row>
        <row r="129">
          <cell r="E129">
            <v>521</v>
          </cell>
          <cell r="F129" t="str">
            <v>Les rôles et responsabilités des acteurs sont clairement définis</v>
          </cell>
        </row>
        <row r="130">
          <cell r="E130">
            <v>522</v>
          </cell>
          <cell r="F130" t="str">
            <v>Les acteurs ont les compétences et les ressources nécessaires pour exercer leurs missions</v>
          </cell>
        </row>
        <row r="131">
          <cell r="E131">
            <v>53</v>
          </cell>
          <cell r="F131" t="str">
            <v xml:space="preserve"> Systèmes d’information pour la gestion de l'éducation (collecte, analyse, diffusion, et utilisation des informations) </v>
          </cell>
        </row>
        <row r="132">
          <cell r="E132">
            <v>531</v>
          </cell>
          <cell r="F132" t="str">
            <v xml:space="preserve"> La production des données permet d’offrir aux différents acteurs et utilisateurs à tous les niveaux l’information dont ils ont besoin</v>
          </cell>
        </row>
        <row r="133">
          <cell r="E133">
            <v>532</v>
          </cell>
          <cell r="F133" t="str">
            <v xml:space="preserve"> Le Système d'Informations et de Gestion de l'Education est intégré et est utilisé pour la prise de décision</v>
          </cell>
        </row>
        <row r="134">
          <cell r="E134">
            <v>533</v>
          </cell>
          <cell r="F134" t="str">
            <v xml:space="preserve"> Le développement de la carte scolaire permet une meilleure planification et gestion du réseau des écoles, établissements/institutions  et de réduire les disparités</v>
          </cell>
        </row>
        <row r="135">
          <cell r="E135">
            <v>534</v>
          </cell>
          <cell r="F135" t="str">
            <v xml:space="preserve"> Les données sont utilisées pour un meilleur pilotage du système/ les activités sont planifiées sur la base d’indicateurs de performance</v>
          </cell>
        </row>
        <row r="136">
          <cell r="E136">
            <v>54</v>
          </cell>
          <cell r="F136" t="str">
            <v xml:space="preserve"> Conception de plans de développement et gestion de projets</v>
          </cell>
        </row>
        <row r="137">
          <cell r="E137">
            <v>541</v>
          </cell>
          <cell r="F137" t="str">
            <v xml:space="preserve"> Les BSD ont les compétences nécessaires à la conception, l’élaboration, le suivi et l’évaluation des projets et plans de dévéloppement</v>
          </cell>
        </row>
        <row r="138">
          <cell r="E138">
            <v>542</v>
          </cell>
          <cell r="F138" t="str">
            <v xml:space="preserve"> Les BSD ont la compétence d’élaborer, de suivre et d’évaluer les plans de développement</v>
          </cell>
        </row>
        <row r="139">
          <cell r="E139">
            <v>55</v>
          </cell>
          <cell r="F139" t="str">
            <v xml:space="preserve"> Gestion des RH (recrutement, affectation, motivation, fidélisation, gestion de carrières…)</v>
          </cell>
        </row>
        <row r="140">
          <cell r="E140">
            <v>551</v>
          </cell>
          <cell r="F140" t="str">
            <v xml:space="preserve"> Assainissement et harmonisation des bases de données sur les personnels</v>
          </cell>
        </row>
        <row r="141">
          <cell r="E141">
            <v>552</v>
          </cell>
          <cell r="F141" t="str">
            <v xml:space="preserve"> La politique nationale de la question enseignante est définie, validée et progressivement mise en œuvre </v>
          </cell>
        </row>
        <row r="142">
          <cell r="E142">
            <v>553</v>
          </cell>
          <cell r="F142" t="str">
            <v xml:space="preserve"> Les procédures et critères de recrutement sont définis et respectés</v>
          </cell>
        </row>
        <row r="143">
          <cell r="E143">
            <v>554</v>
          </cell>
          <cell r="F143" t="str">
            <v xml:space="preserve"> Les critères d’affectation sont clairement définis et respectés</v>
          </cell>
        </row>
        <row r="144">
          <cell r="E144">
            <v>555</v>
          </cell>
          <cell r="F144" t="str">
            <v xml:space="preserve"> Un plan de carrière motivant est validé et utilisé dans le cadre de la gestion des carrières</v>
          </cell>
        </row>
        <row r="145">
          <cell r="E145">
            <v>56</v>
          </cell>
          <cell r="F145" t="str">
            <v xml:space="preserve"> Gestion des ressources financières</v>
          </cell>
        </row>
        <row r="146">
          <cell r="E146">
            <v>561</v>
          </cell>
          <cell r="F146" t="str">
            <v>Le financement du secteur est en adéquation avec les objectifs</v>
          </cell>
        </row>
        <row r="147">
          <cell r="E147">
            <v>562</v>
          </cell>
          <cell r="F147" t="str">
            <v xml:space="preserve"> Les structures bénéficiaires reçoivent à temps les budgets nécessaires pour la mise en œuvre de leurs activités</v>
          </cell>
        </row>
        <row r="148">
          <cell r="E148">
            <v>563</v>
          </cell>
          <cell r="F148" t="str">
            <v xml:space="preserve"> Une plus grande transparence sur l’utilisation des ressources financières permet une utilisation, conforme aux objectifs de la programmation</v>
          </cell>
        </row>
        <row r="149">
          <cell r="E149">
            <v>57</v>
          </cell>
          <cell r="F149" t="str">
            <v xml:space="preserve"> Coordination sectorielle</v>
          </cell>
        </row>
        <row r="150">
          <cell r="E150">
            <v>571</v>
          </cell>
          <cell r="F150" t="str">
            <v xml:space="preserve"> Des organes de pilotage et de coordination interministérielles existent et fonctionnent éfficacement</v>
          </cell>
        </row>
        <row r="151">
          <cell r="E151">
            <v>572</v>
          </cell>
          <cell r="F151" t="str">
            <v xml:space="preserve"> Des organes de pilotage et de coordination du ProDEG sont mis en place et sont fonctionnels</v>
          </cell>
        </row>
        <row r="152">
          <cell r="E152">
            <v>58</v>
          </cell>
          <cell r="F152" t="str">
            <v xml:space="preserve"> Renforcement des compétences de l’administration (cadre normatif, poste-profil, évaluation, équipement, formations…)</v>
          </cell>
        </row>
        <row r="153">
          <cell r="E153">
            <v>581</v>
          </cell>
          <cell r="F153" t="str">
            <v xml:space="preserve"> Les cadres organiques des différentes structures sont redéfinis pour que leur efficacité s’améliore </v>
          </cell>
        </row>
        <row r="154">
          <cell r="E154">
            <v>582</v>
          </cell>
          <cell r="F154" t="str">
            <v xml:space="preserve"> Le plan de relève permet l’existence continue d’un corps administratif compétent</v>
          </cell>
        </row>
        <row r="155">
          <cell r="E155">
            <v>583</v>
          </cell>
          <cell r="F155" t="str">
            <v xml:space="preserve"> Chaque structure dispose des moyens logistiques nécessaires à l’accomplissement de sa mission</v>
          </cell>
        </row>
        <row r="156">
          <cell r="E156">
            <v>584</v>
          </cell>
          <cell r="F156" t="str">
            <v>Les résultats des évaluations régulières des structures centrales et déconcentrées permettent d’améliorer leur performance</v>
          </cell>
        </row>
        <row r="157">
          <cell r="E157">
            <v>585</v>
          </cell>
          <cell r="F157" t="str">
            <v xml:space="preserve">  L’ensemble des acteurs de l’administration éducative sont conscients des vulnérabilités qui menacent la mise œuvre du ProDEG et savent comment y répondre </v>
          </cell>
        </row>
        <row r="158">
          <cell r="E158">
            <v>6</v>
          </cell>
          <cell r="F158" t="str">
            <v>Education et alphabétisation des adultes</v>
          </cell>
        </row>
        <row r="159">
          <cell r="E159">
            <v>61</v>
          </cell>
          <cell r="F159" t="str">
            <v>Mobilisation sociale pour l’accroissement des financements de l’AEA</v>
          </cell>
        </row>
        <row r="160">
          <cell r="E160">
            <v>611</v>
          </cell>
          <cell r="F160" t="str">
            <v xml:space="preserve"> les acteurs et les PTF concernés sont mobilisés en faveur de l’AEA.</v>
          </cell>
        </row>
        <row r="161">
          <cell r="E161">
            <v>612</v>
          </cell>
          <cell r="F161" t="str">
            <v xml:space="preserve"> Une synergie d’actions existe entre les différents départements intervenant en AEA </v>
          </cell>
        </row>
        <row r="162">
          <cell r="E162">
            <v>62</v>
          </cell>
          <cell r="F162" t="str">
            <v xml:space="preserve"> Diversification des approches pour un plus grand accès équitable (modèles, des types de  centres )</v>
          </cell>
        </row>
        <row r="163">
          <cell r="E163">
            <v>621</v>
          </cell>
          <cell r="F163" t="str">
            <v>Plusieurs approches et modèles sont identifiées, validées et développées dans l’AEA</v>
          </cell>
        </row>
        <row r="164">
          <cell r="E164">
            <v>63</v>
          </cell>
          <cell r="F164" t="str">
            <v xml:space="preserve"> Amélioration de la qualité </v>
          </cell>
        </row>
        <row r="165">
          <cell r="E165">
            <v>631</v>
          </cell>
          <cell r="F165" t="str">
            <v xml:space="preserve"> Les curricula sont adaptés et maitrisés par les opérateurs et les formateurs</v>
          </cell>
        </row>
        <row r="166">
          <cell r="E166">
            <v>632</v>
          </cell>
          <cell r="F166" t="str">
            <v xml:space="preserve"> Les bonnes pratiques d’AENF sont identifiées, améliorées et partagées</v>
          </cell>
        </row>
        <row r="167">
          <cell r="E167">
            <v>633</v>
          </cell>
          <cell r="F167" t="str">
            <v xml:space="preserve"> Des modules de formation en andragogie sont intégrés dans les cursus de la formation initiale des enseignants</v>
          </cell>
        </row>
        <row r="168">
          <cell r="E168">
            <v>634</v>
          </cell>
          <cell r="F168" t="str">
            <v xml:space="preserve"> Un dispositif d’accréditation des différents niveaux et de certification en AENF est mis en place.</v>
          </cell>
        </row>
        <row r="169">
          <cell r="E169">
            <v>635</v>
          </cell>
          <cell r="F169" t="str">
            <v xml:space="preserve"> Les compétences linguistiques, pédagogiques et andragogiques des moniteurs, des éducateurs, des animateurs et autres sont renforcées.</v>
          </cell>
        </row>
        <row r="170">
          <cell r="E170">
            <v>636</v>
          </cell>
          <cell r="F170" t="str">
            <v xml:space="preserve"> Les capacités des opérateurs d’AENF en matière de mise en œuvre des activités d'AEA sont renforcées </v>
          </cell>
        </row>
        <row r="171">
          <cell r="E171">
            <v>637</v>
          </cell>
          <cell r="F171" t="str">
            <v xml:space="preserve">Le matériel didactique approprié est disponible en quantité suffisante </v>
          </cell>
        </row>
        <row r="172">
          <cell r="E172">
            <v>638</v>
          </cell>
          <cell r="F172" t="str">
            <v xml:space="preserve"> Le suivi évaluation des activités d'AEA est amélioré et systématisé au niveau central et déconcentré </v>
          </cell>
        </row>
        <row r="173">
          <cell r="E173">
            <v>64</v>
          </cell>
          <cell r="F173" t="str">
            <v xml:space="preserve">Développement de la Post-alphabétisation </v>
          </cell>
        </row>
        <row r="174">
          <cell r="E174">
            <v>641</v>
          </cell>
          <cell r="F174" t="str">
            <v xml:space="preserve">Promotion du développement de la production écrite en langues nationales </v>
          </cell>
        </row>
        <row r="175">
          <cell r="E175">
            <v>642</v>
          </cell>
          <cell r="F175" t="str">
            <v xml:space="preserve"> Les activités génératrices de revenus sont encouragées et soutenues (autour des structures d'alphabétisation)</v>
          </cell>
        </row>
        <row r="176">
          <cell r="E176">
            <v>643</v>
          </cell>
          <cell r="F176" t="str">
            <v xml:space="preserve"> Les activités de post alphabétisation sont soutenues </v>
          </cell>
        </row>
      </sheetData>
      <sheetData sheetId="4">
        <row r="1">
          <cell r="E1" t="str">
            <v>CodStr</v>
          </cell>
          <cell r="F1" t="str">
            <v>Stratégie</v>
          </cell>
        </row>
        <row r="2">
          <cell r="E2">
            <v>1</v>
          </cell>
          <cell r="F2" t="str">
            <v>Accès et équité à l'enseignement général</v>
          </cell>
        </row>
        <row r="3">
          <cell r="E3">
            <v>11</v>
          </cell>
          <cell r="F3" t="str">
            <v xml:space="preserve"> Accès équitable au préscolaire</v>
          </cell>
        </row>
        <row r="4">
          <cell r="E4">
            <v>111</v>
          </cell>
          <cell r="F4" t="str">
            <v xml:space="preserve"> Le préscolaire est réorganisé</v>
          </cell>
        </row>
        <row r="5">
          <cell r="E5">
            <v>1111</v>
          </cell>
          <cell r="F5" t="str">
            <v>Réorganisation de l’offre du préscolaire (de 3 à 2 ans)</v>
          </cell>
        </row>
        <row r="6">
          <cell r="E6">
            <v>1112</v>
          </cell>
          <cell r="F6" t="str">
            <v>Adaptation du mode de fonctionnement du préscolaire</v>
          </cell>
        </row>
        <row r="7">
          <cell r="E7">
            <v>112</v>
          </cell>
          <cell r="F7" t="str">
            <v xml:space="preserve"> La demande de préscolarisation est stimulée</v>
          </cell>
        </row>
        <row r="8">
          <cell r="E8">
            <v>1121</v>
          </cell>
          <cell r="F8" t="str">
            <v>Sensibilisation des communautés sur l'importance de la préscolarisation des enfants et la nouvelle organisation du préscolaire</v>
          </cell>
        </row>
        <row r="9">
          <cell r="E9">
            <v>1122</v>
          </cell>
          <cell r="F9" t="str">
            <v>Prise en charge des enfants du préscolaire par les cantines des écoles situées à proximité</v>
          </cell>
        </row>
        <row r="10">
          <cell r="E10">
            <v>1123</v>
          </cell>
          <cell r="F10" t="str">
            <v>Création de cantines au niveau des CEC éloignés des écoles primaires à cantine</v>
          </cell>
        </row>
        <row r="11">
          <cell r="E11">
            <v>113</v>
          </cell>
          <cell r="F11" t="str">
            <v xml:space="preserve"> Les capacités d’accueil au préscolaire public et communautaires augmentent en milieux rural et urbain</v>
          </cell>
        </row>
        <row r="12">
          <cell r="E12">
            <v>1131</v>
          </cell>
          <cell r="F12" t="str">
            <v>Construction d'établissements préscolaires publics en zone urbaine</v>
          </cell>
        </row>
        <row r="13">
          <cell r="E13">
            <v>1132</v>
          </cell>
          <cell r="F13" t="str">
            <v>Construction de salles d’activités de préprimaire à coté des écoles primaires publiques à cantine en zone rurale</v>
          </cell>
        </row>
        <row r="14">
          <cell r="E14">
            <v>1133</v>
          </cell>
          <cell r="F14" t="str">
            <v>Construction/réhabilitation/rénovation de CEC</v>
          </cell>
        </row>
        <row r="15">
          <cell r="E15">
            <v>114</v>
          </cell>
          <cell r="F15" t="str">
            <v xml:space="preserve"> Les CEC et les établissements préscolaires publics sont dotées en éducateurs en nombre suffisant </v>
          </cell>
        </row>
        <row r="16">
          <cell r="E16">
            <v>1141</v>
          </cell>
          <cell r="F16" t="str">
            <v>Recrutement d’éducateurs en nombre suffisant</v>
          </cell>
        </row>
        <row r="17">
          <cell r="E17">
            <v>1142</v>
          </cell>
          <cell r="F17" t="str">
            <v>Prise en charge progressive de la rémunération des éducateurs communautaires par l’Etat</v>
          </cell>
        </row>
        <row r="18">
          <cell r="E18">
            <v>1143</v>
          </cell>
          <cell r="F18" t="str">
            <v>Prise en charge des aides-éducateurs par l’Etat à travers de subventions aux comités de gestion</v>
          </cell>
        </row>
        <row r="19">
          <cell r="E19">
            <v>12</v>
          </cell>
          <cell r="F19" t="str">
            <v xml:space="preserve"> Accès équitable et achèvement du primaire</v>
          </cell>
        </row>
        <row r="20">
          <cell r="E20">
            <v>121</v>
          </cell>
          <cell r="F20" t="str">
            <v xml:space="preserve"> Tous les enfants de 6 ans sont inscrits au primaire </v>
          </cell>
        </row>
        <row r="21">
          <cell r="E21">
            <v>1211</v>
          </cell>
          <cell r="F21" t="str">
            <v>Identification des causes de la faiblesse de la scolarisation</v>
          </cell>
        </row>
        <row r="22">
          <cell r="E22">
            <v>1212</v>
          </cell>
          <cell r="F22" t="str">
            <v>Information/sensibilisation des parents pour la scolarisation des enfants en particulier les filles dans les zones à faible taux de scolarisation</v>
          </cell>
        </row>
        <row r="23">
          <cell r="E23">
            <v>1213</v>
          </cell>
          <cell r="F23" t="str">
            <v>Incitation de la demande de scolarisation par la création des cantines dans les milieux défavorisés y compris les écoles FA</v>
          </cell>
        </row>
        <row r="24">
          <cell r="E24">
            <v>1214</v>
          </cell>
          <cell r="F24" t="str">
            <v>Mise en place d'une stratégie de scolarisation des enfants des foyers coraniques et des centres de mémorisation du Saint Coran</v>
          </cell>
        </row>
        <row r="25">
          <cell r="E25">
            <v>122</v>
          </cell>
          <cell r="F25" t="str">
            <v xml:space="preserve"> Toutes les localités disposent d’écoles primaires avec des infrastructures adéquates  </v>
          </cell>
        </row>
        <row r="26">
          <cell r="E26">
            <v>1221</v>
          </cell>
          <cell r="F26" t="str">
            <v>Rénovation/réhabilitation de salles de classe en tenant compte de la prévention des catastrophes naturels, y compris dans les FA</v>
          </cell>
        </row>
        <row r="27">
          <cell r="E27">
            <v>1222</v>
          </cell>
          <cell r="F27" t="str">
            <v>Construction et équipement de salles de classe au primaire avec rampe d’accès et en tenant compte de la prévention des catastrophes naturels</v>
          </cell>
        </row>
        <row r="28">
          <cell r="E28">
            <v>123</v>
          </cell>
          <cell r="F28" t="str">
            <v xml:space="preserve"> Toutes les écoles primaires publiques et communautaires sont dotées en enseignants en nombre suffisant, y compris les FA</v>
          </cell>
        </row>
        <row r="29">
          <cell r="E29">
            <v>1231</v>
          </cell>
          <cell r="F29" t="str">
            <v>Recrutement d’enseignants</v>
          </cell>
        </row>
        <row r="30">
          <cell r="E30">
            <v>1232</v>
          </cell>
          <cell r="F30" t="str">
            <v>Prise en charge progressive des enseignants communautaires</v>
          </cell>
        </row>
        <row r="31">
          <cell r="E31">
            <v>1233</v>
          </cell>
          <cell r="F31" t="str">
            <v>Optimisation de l’utilisation des enseignants</v>
          </cell>
        </row>
        <row r="32">
          <cell r="E32">
            <v>1234</v>
          </cell>
          <cell r="F32" t="str">
            <v>Renforcement des mesures incitatives pour le maintien des enseignants dans les zones difficiles</v>
          </cell>
        </row>
        <row r="33">
          <cell r="E33">
            <v>1235</v>
          </cell>
          <cell r="F33" t="str">
            <v>Normalisation des enseignement dans les écoles FA privées</v>
          </cell>
        </row>
        <row r="34">
          <cell r="E34">
            <v>1236</v>
          </cell>
          <cell r="F34" t="str">
            <v>Remplacement de salles de classe précaires, y compris dans les FA</v>
          </cell>
        </row>
        <row r="35">
          <cell r="E35">
            <v>124</v>
          </cell>
          <cell r="F35" t="str">
            <v xml:space="preserve"> Toutes les écoles primaires, y compris les FA, offrent aux élèves des conditions favorables à leur maintien, en particulier, les filles</v>
          </cell>
        </row>
        <row r="36">
          <cell r="E36">
            <v>1241</v>
          </cell>
          <cell r="F36" t="str">
            <v>Adaptation du mode de fonctionnement de l’école aux ressources disponibles pour assurer la continuité éducative</v>
          </cell>
        </row>
        <row r="37">
          <cell r="E37">
            <v>1242</v>
          </cell>
          <cell r="F37" t="str">
            <v>Lutte contre les violences sur le chemin de l’école, dans les écoles, et dans les familles, particulièrement envers les filles</v>
          </cell>
        </row>
        <row r="38">
          <cell r="E38">
            <v>13</v>
          </cell>
          <cell r="F38" t="str">
            <v xml:space="preserve"> Accès à l’éducation non formelle</v>
          </cell>
        </row>
        <row r="39">
          <cell r="E39">
            <v>131</v>
          </cell>
          <cell r="F39" t="str">
            <v>La demande de scolarisation non formelle est accrue chez les enfants déscolarisés et les non scolarisés</v>
          </cell>
        </row>
        <row r="40">
          <cell r="E40">
            <v>1311</v>
          </cell>
          <cell r="F40" t="str">
            <v>Information/sensibilisation des communautés sur l’offre d’éducation non-formelle</v>
          </cell>
        </row>
        <row r="41">
          <cell r="E41">
            <v>1312</v>
          </cell>
          <cell r="F41" t="str">
            <v>Octroi de kits scolaires auxs apprenants</v>
          </cell>
        </row>
        <row r="42">
          <cell r="E42">
            <v>1313</v>
          </cell>
          <cell r="F42" t="str">
            <v>Prise en charge des apprenants du non formelle par les cantines des écoles situées à proximité</v>
          </cell>
        </row>
        <row r="43">
          <cell r="E43">
            <v>132</v>
          </cell>
          <cell r="F43" t="str">
            <v xml:space="preserve"> L’offre d’éducation non formelle est diversifiée</v>
          </cell>
        </row>
        <row r="44">
          <cell r="E44">
            <v>1321</v>
          </cell>
          <cell r="F44" t="str">
            <v>Elargissement de l’approche de la scolarisation primaire accélérée</v>
          </cell>
        </row>
        <row r="45">
          <cell r="E45">
            <v>1322</v>
          </cell>
          <cell r="F45" t="str">
            <v>Réorganisation de l’apprentissage dans les centres NAFA en fonction des besoins locaux et développement des passerelles entre le formel et le non formel</v>
          </cell>
        </row>
        <row r="46">
          <cell r="E46">
            <v>133</v>
          </cell>
          <cell r="F46" t="str">
            <v>Les capacités d’accueil d’éducation non formelle se sont accrues</v>
          </cell>
        </row>
        <row r="47">
          <cell r="E47">
            <v>1331</v>
          </cell>
          <cell r="F47" t="str">
            <v>Construction/Réhabilitation/Renovation des centres NAFA</v>
          </cell>
        </row>
        <row r="48">
          <cell r="E48">
            <v>1332</v>
          </cell>
          <cell r="F48" t="str">
            <v>Dotation des centres NAFA en équipements et mobilier</v>
          </cell>
        </row>
        <row r="49">
          <cell r="E49">
            <v>1333</v>
          </cell>
          <cell r="F49" t="str">
            <v>Dotation des centres NAFA en matières d'œuvre</v>
          </cell>
        </row>
        <row r="50">
          <cell r="E50">
            <v>14</v>
          </cell>
          <cell r="F50" t="str">
            <v xml:space="preserve"> Accès et équité au collège</v>
          </cell>
        </row>
        <row r="51">
          <cell r="E51">
            <v>141</v>
          </cell>
          <cell r="F51" t="str">
            <v xml:space="preserve"> L’accès au collège est amélioré en tenant compte de l’équité et de l’élargissement de l’éducation de base</v>
          </cell>
        </row>
        <row r="52">
          <cell r="E52">
            <v>1411</v>
          </cell>
          <cell r="F52" t="str">
            <v>Réorganisation du collège (tronc commun, collège de proximité etc)</v>
          </cell>
        </row>
        <row r="53">
          <cell r="E53">
            <v>1412</v>
          </cell>
          <cell r="F53" t="str">
            <v>Optimisation de l’utilisation des salles de classe au collège, y compris les FA</v>
          </cell>
        </row>
        <row r="54">
          <cell r="E54">
            <v>1413</v>
          </cell>
          <cell r="F54" t="str">
            <v>Construction/réhabilitation/rénovation de salles de classe avec rampe d’accès au Collège en tenant compte de la prévention des catastrophes naturelles, y compris les FA</v>
          </cell>
        </row>
        <row r="55">
          <cell r="E55">
            <v>142</v>
          </cell>
          <cell r="F55" t="str">
            <v xml:space="preserve"> Tous les Collèges publics sont dotés en enseignants en nombre suffisant </v>
          </cell>
        </row>
        <row r="56">
          <cell r="E56">
            <v>1421</v>
          </cell>
          <cell r="F56" t="str">
            <v>Recrutement d’enseignants en nombre suffisant</v>
          </cell>
        </row>
        <row r="57">
          <cell r="E57">
            <v>1422</v>
          </cell>
          <cell r="F57" t="str">
            <v>Prise en charge progressive des enseignants contractuels communautaire</v>
          </cell>
        </row>
        <row r="58">
          <cell r="E58">
            <v>1423</v>
          </cell>
          <cell r="F58" t="str">
            <v>Optimisation de l’utilisation des enseignants</v>
          </cell>
        </row>
        <row r="59">
          <cell r="E59">
            <v>1424</v>
          </cell>
          <cell r="F59" t="str">
            <v>Renforcement des mesures incitatives pour le maintien des enseignants dans les zones difficiles</v>
          </cell>
        </row>
        <row r="60">
          <cell r="E60">
            <v>143</v>
          </cell>
          <cell r="F60" t="str">
            <v xml:space="preserve"> Tous les Collèges offrent aux élèves des conditions favorables à leur maintien</v>
          </cell>
        </row>
        <row r="61">
          <cell r="E61">
            <v>1431</v>
          </cell>
          <cell r="F61" t="str">
            <v>Adaptation du calendrier scolaire des Collèges aux conditions locales et aux dates des examens nationaux</v>
          </cell>
        </row>
        <row r="62">
          <cell r="E62">
            <v>1432</v>
          </cell>
          <cell r="F62" t="str">
            <v>Lutte contre les violences et les harcèlements subis par les filles sur le chemin de l’école et dans les écoles (pris en compte dans 1242)</v>
          </cell>
        </row>
        <row r="63">
          <cell r="E63">
            <v>15</v>
          </cell>
          <cell r="F63" t="str">
            <v xml:space="preserve"> Promotion de l'éducation inclusive, y compris les FA</v>
          </cell>
        </row>
        <row r="64">
          <cell r="E64">
            <v>151</v>
          </cell>
          <cell r="F64" t="str">
            <v>Construction de rampes d'accès pour les écoles/établissements qui n'en disposent pas</v>
          </cell>
        </row>
        <row r="65">
          <cell r="E65">
            <v>151</v>
          </cell>
          <cell r="F65" t="str">
            <v>Construction de latrines adaptées pour les écoles/établissements qui n'en disposent pas</v>
          </cell>
        </row>
        <row r="66">
          <cell r="E66">
            <v>152</v>
          </cell>
          <cell r="F66" t="str">
            <v xml:space="preserve"> Un protocole d’assistance matérielle, humaine et technique est élaboré et adopté</v>
          </cell>
        </row>
        <row r="67">
          <cell r="E67">
            <v>1521</v>
          </cell>
          <cell r="F67" t="str">
            <v>Mise en place et actualisation de la cartographie des enfants en situation de handicap (ESH)</v>
          </cell>
        </row>
        <row r="68">
          <cell r="E68">
            <v>1522</v>
          </cell>
          <cell r="F68" t="str">
            <v>Prise en charge des ESH en matériels adaptés et en assistance sociale</v>
          </cell>
        </row>
        <row r="69">
          <cell r="E69">
            <v>153</v>
          </cell>
          <cell r="F69" t="str">
            <v xml:space="preserve"> L'éducation inclusive est intégrée dans la prise de décision par les différents acteurs</v>
          </cell>
        </row>
        <row r="70">
          <cell r="E70">
            <v>1531</v>
          </cell>
          <cell r="F70" t="str">
            <v>Renforcement des capacités en éducation inclusive (pilotage, directeurs, enseignants)</v>
          </cell>
        </row>
        <row r="71">
          <cell r="E71">
            <v>1532</v>
          </cell>
          <cell r="F71" t="str">
            <v>Sensibilisation des différents acteurs en éducation sur l'éducation inclusive</v>
          </cell>
        </row>
        <row r="72">
          <cell r="E72">
            <v>1533</v>
          </cell>
          <cell r="F72" t="str">
            <v>Renforcement de la gratuité de l'école primaire</v>
          </cell>
        </row>
        <row r="73">
          <cell r="E73">
            <v>16</v>
          </cell>
          <cell r="F73" t="str">
            <v xml:space="preserve"> Accès et équité au lycée</v>
          </cell>
        </row>
        <row r="74">
          <cell r="E74">
            <v>161</v>
          </cell>
          <cell r="F74" t="str">
            <v xml:space="preserve"> L’accès au lycée est maitrisé en tenant compte de l’équité et de la diversification des filières</v>
          </cell>
        </row>
        <row r="75">
          <cell r="E75">
            <v>1611</v>
          </cell>
          <cell r="F75" t="str">
            <v>Diversification des filières au lycée</v>
          </cell>
        </row>
        <row r="76">
          <cell r="E76">
            <v>1612</v>
          </cell>
          <cell r="F76" t="str">
            <v>Optimisation de l’utilisation des salles de classe au lycée, y compris les FA</v>
          </cell>
        </row>
        <row r="77">
          <cell r="E77">
            <v>1613</v>
          </cell>
          <cell r="F77" t="str">
            <v>Construction de salles de classe avec rampe d’accès au lycée en tenant compte de la prévention des catastrophes naturelles, y compris les FA</v>
          </cell>
        </row>
        <row r="78">
          <cell r="E78">
            <v>1614</v>
          </cell>
          <cell r="F78" t="str">
            <v>Réhabilitation/rénovation de salles de classe au Lycée en tenant compte de la prévention des catastrophes naturelles, y compris les FA</v>
          </cell>
        </row>
        <row r="79">
          <cell r="E79">
            <v>162</v>
          </cell>
          <cell r="F79" t="str">
            <v> Tous les lycées publics sont dotés en enseignants en nombre suffisant, y compris les FA</v>
          </cell>
        </row>
        <row r="80">
          <cell r="E80">
            <v>1621</v>
          </cell>
          <cell r="F80" t="str">
            <v>Recrutement d’enseignants de lycée en nombre suffisant, y compris les FA</v>
          </cell>
        </row>
        <row r="81">
          <cell r="E81">
            <v>1622</v>
          </cell>
          <cell r="F81" t="str">
            <v>Prise en charge progressive des enseignants contractuels au lycée, y compris les FA</v>
          </cell>
        </row>
        <row r="82">
          <cell r="E82">
            <v>1623</v>
          </cell>
          <cell r="F82" t="str">
            <v>Optimisation de l’utilisation des enseignants au lycée, y compris les FA</v>
          </cell>
        </row>
        <row r="83">
          <cell r="E83">
            <v>17</v>
          </cell>
          <cell r="F83" t="str">
            <v xml:space="preserve"> Santé et hygiène scolaires </v>
          </cell>
        </row>
        <row r="84">
          <cell r="E84">
            <v>171</v>
          </cell>
          <cell r="F84" t="str">
            <v xml:space="preserve"> Les conditions d'hygiène sont améliorées au sein des écoles et établissements</v>
          </cell>
        </row>
        <row r="85">
          <cell r="E85">
            <v>1711</v>
          </cell>
          <cell r="F85" t="str">
            <v>Construction/rénovation des latrines séparées</v>
          </cell>
        </row>
        <row r="86">
          <cell r="E86">
            <v>1712</v>
          </cell>
          <cell r="F86" t="str">
            <v>Aménagement/rénovation des point d'eau</v>
          </cell>
        </row>
        <row r="87">
          <cell r="E87">
            <v>1713</v>
          </cell>
          <cell r="F87" t="str">
            <v>Mise en place de kits de lavage des mains dans les écoles et établissements</v>
          </cell>
        </row>
        <row r="88">
          <cell r="E88">
            <v>172</v>
          </cell>
          <cell r="F88" t="str">
            <v xml:space="preserve"> La santé scolaire est améliorée au sein des écoles et établissements scolaires, y compris les FA</v>
          </cell>
        </row>
        <row r="89">
          <cell r="E89">
            <v>1721</v>
          </cell>
          <cell r="F89" t="str">
            <v>Mise à disposition des écoles et établissements d'infirmerie et de boîte à pharmacie</v>
          </cell>
        </row>
        <row r="90">
          <cell r="E90">
            <v>1722</v>
          </cell>
          <cell r="F90" t="str">
            <v>Prévention et lutte contre les maladies en milieu scolaire</v>
          </cell>
        </row>
        <row r="91">
          <cell r="E91">
            <v>1723</v>
          </cell>
          <cell r="F91" t="str">
            <v>Octroi de kits d’hygiène aux filles issues des milieux défavorisés</v>
          </cell>
        </row>
        <row r="92">
          <cell r="E92">
            <v>2</v>
          </cell>
          <cell r="F92" t="str">
            <v>Qualité des enseignements et des apprentissages</v>
          </cell>
        </row>
        <row r="93">
          <cell r="E93">
            <v>21</v>
          </cell>
          <cell r="F93" t="str">
            <v xml:space="preserve"> Révision/ adaptation des curricula/programmes (place des sciences ; franco-arabe, intégration de l’éducation à la citoyenneté, l'éducation complète à la sexualité, éducation environnementale…)</v>
          </cell>
        </row>
        <row r="94">
          <cell r="E94">
            <v>211</v>
          </cell>
          <cell r="F94" t="str">
            <v xml:space="preserve"> les contenus des programmes (du préscolaire, du primaire, 1er et second cycle du secondaire) sont progressivement révisés, adaptés et diversifiés</v>
          </cell>
        </row>
        <row r="95">
          <cell r="E95">
            <v>2111</v>
          </cell>
          <cell r="F95" t="str">
            <v>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ell>
        </row>
        <row r="96">
          <cell r="E96">
            <v>2112</v>
          </cell>
          <cell r="F96" t="str">
            <v>Conception/élaboration et expérimentation de nouveaux curricula/programmes</v>
          </cell>
        </row>
        <row r="97">
          <cell r="E97">
            <v>2113</v>
          </cell>
          <cell r="F97" t="str">
            <v>Formation des enseignants aux nouveaux curricula à tous les niveaux</v>
          </cell>
        </row>
        <row r="98">
          <cell r="E98">
            <v>2114</v>
          </cell>
          <cell r="F98" t="str">
            <v>Adaptation des manuels/matériels pédagogiques et ludiques aux nouveaux curricula à tous les niveaux et pour tous les enfants</v>
          </cell>
        </row>
        <row r="99">
          <cell r="E99">
            <v>2115</v>
          </cell>
          <cell r="F99" t="str">
            <v>Introduction des approches innovantes dans le cursus scolaire</v>
          </cell>
        </row>
        <row r="100">
          <cell r="E100">
            <v>22</v>
          </cell>
          <cell r="F100" t="str">
            <v xml:space="preserve"> Diversification des filière au lycée</v>
          </cell>
        </row>
        <row r="101">
          <cell r="E101">
            <v>221</v>
          </cell>
          <cell r="F101" t="str">
            <v xml:space="preserve"> Les nouvelles filières de formation au lycée sont introduites</v>
          </cell>
        </row>
        <row r="102">
          <cell r="E102">
            <v>2211</v>
          </cell>
          <cell r="F102" t="str">
            <v>Choix et expériementation des filières d’enseignement au lycée</v>
          </cell>
        </row>
        <row r="103">
          <cell r="E103">
            <v>2212</v>
          </cell>
          <cell r="F103" t="str">
            <v>expérimentaion des filières choisies</v>
          </cell>
        </row>
        <row r="104">
          <cell r="E104">
            <v>2213</v>
          </cell>
          <cell r="F104" t="str">
            <v>Elaboration et validation d'un plan d'action opérationnel pour l'implantation progressive des filiéres</v>
          </cell>
        </row>
        <row r="105">
          <cell r="E105">
            <v>23</v>
          </cell>
          <cell r="F105" t="str">
            <v xml:space="preserve"> Formation initiale et continue des enseignants/éducateurs y compris dans les méthodes pédagogiques innovatntes  </v>
          </cell>
        </row>
        <row r="106">
          <cell r="E106">
            <v>231</v>
          </cell>
          <cell r="F106" t="str">
            <v xml:space="preserve"> Une formation initiale de qualité (polyvalence, méthodes pédagogiques innovantes, éducation inclusive et gestion des classes multigrades) des formateurs et cohérente avec les curricula, est mise en place</v>
          </cell>
        </row>
        <row r="107">
          <cell r="E107">
            <v>2311</v>
          </cell>
          <cell r="F107" t="str">
            <v>La mise en place des standards de qualité sur la formation initiale (ENI)</v>
          </cell>
        </row>
        <row r="108">
          <cell r="E108">
            <v>2312</v>
          </cell>
          <cell r="F108" t="str">
            <v>Extension de la formation des éducateurs du préscolaire dans les ENI</v>
          </cell>
        </row>
        <row r="109">
          <cell r="E109">
            <v>2313</v>
          </cell>
          <cell r="F109" t="str">
            <v>Renforcer la formation des enseignants dans la gestion des classes uniques</v>
          </cell>
        </row>
        <row r="110">
          <cell r="E110">
            <v>232</v>
          </cell>
          <cell r="F110" t="str">
            <v xml:space="preserve"> Les cercles de qualité sont créés et sont opérationnels </v>
          </cell>
        </row>
        <row r="111">
          <cell r="E111">
            <v>2321</v>
          </cell>
          <cell r="F111" t="str">
            <v>Institutionnalisation des cercles de qualité aux différents niveaux (DSEE,DPE/DCE/IRE)</v>
          </cell>
        </row>
        <row r="112">
          <cell r="E112">
            <v>233</v>
          </cell>
          <cell r="F112" t="str">
            <v xml:space="preserve"> Une formation continue de qualité, adaptée aux différents profils des enseignants/éducateurs (ceux qui viennent des établissements de formation, ceux qui ont passé le concours à la fonction publique et les autres) et cohérente avec la formation initiale est mise en place</v>
          </cell>
        </row>
        <row r="113">
          <cell r="E113">
            <v>2331</v>
          </cell>
          <cell r="F113" t="str">
            <v>Mise en place des standards de qualité pour la formation continue</v>
          </cell>
        </row>
        <row r="114">
          <cell r="E114">
            <v>2332</v>
          </cell>
          <cell r="F114" t="str">
            <v>Mise en place d'une Ingénierie de la formation continue</v>
          </cell>
        </row>
        <row r="115">
          <cell r="E115">
            <v>2333</v>
          </cell>
          <cell r="F115" t="str">
            <v>Redynamisation des centres de formation continue</v>
          </cell>
        </row>
        <row r="116">
          <cell r="E116">
            <v>2334</v>
          </cell>
          <cell r="F116" t="str">
            <v>Relance des journées d’animation pédagogiques</v>
          </cell>
        </row>
        <row r="117">
          <cell r="E117">
            <v>2335</v>
          </cell>
          <cell r="F117" t="str">
            <v>Suivi pédagogique par le directeur d’école et les Chef d’Unité Pédagogique</v>
          </cell>
        </row>
        <row r="118">
          <cell r="E118">
            <v>2336</v>
          </cell>
          <cell r="F118" t="str">
            <v>Evaluation régulière des compétences des enseignants et éducateurs sortant des établissements de formation initiale</v>
          </cell>
        </row>
        <row r="119">
          <cell r="E119">
            <v>2337</v>
          </cell>
          <cell r="F119" t="str">
            <v>Intégration des méthodes pédagogiques innovantes dans la formation initiale</v>
          </cell>
        </row>
        <row r="120">
          <cell r="E120">
            <v>24</v>
          </cell>
          <cell r="F120" t="str">
            <v xml:space="preserve"> Encadrement des enseignants : appui et contrôle</v>
          </cell>
        </row>
        <row r="121">
          <cell r="E121">
            <v>241</v>
          </cell>
          <cell r="F121" t="str">
            <v xml:space="preserve"> Un dispositif efficace d’encadrement est défini (organisation, rôles des différents acteurs)</v>
          </cell>
        </row>
        <row r="122">
          <cell r="E122">
            <v>2411</v>
          </cell>
          <cell r="F122" t="str">
            <v>Etat des lieux de l’encadrement (Forces et faiblesses)</v>
          </cell>
        </row>
        <row r="123">
          <cell r="E123">
            <v>2412</v>
          </cell>
          <cell r="F123" t="str">
            <v>Conception, élaboration et validation de nouveaux textes relatifs aux rôles et responsabilités des acteurs dans l'encadrement</v>
          </cell>
        </row>
        <row r="124">
          <cell r="E124">
            <v>2413</v>
          </cell>
          <cell r="F124" t="str">
            <v>Dissémination du manuel de procédures d’encadrement et expérimentation</v>
          </cell>
        </row>
        <row r="125">
          <cell r="E125">
            <v>242</v>
          </cell>
          <cell r="F125" t="str">
            <v xml:space="preserve"> L’encadrement dispose des ressources humaines en nombre nécessaire et en profil pertinent</v>
          </cell>
        </row>
        <row r="126">
          <cell r="E126">
            <v>2421</v>
          </cell>
          <cell r="F126" t="str">
            <v>Définition d’un cadre organique (Poste, profil, nombre…)</v>
          </cell>
        </row>
        <row r="127">
          <cell r="E127">
            <v>2422</v>
          </cell>
          <cell r="F127" t="str">
            <v>Mise en place du cadre organique défini</v>
          </cell>
        </row>
        <row r="128">
          <cell r="E128">
            <v>2423</v>
          </cell>
          <cell r="F128" t="str">
            <v>Suivi régulier du respect du cadre organique</v>
          </cell>
        </row>
        <row r="129">
          <cell r="E129">
            <v>243</v>
          </cell>
          <cell r="F129" t="str">
            <v xml:space="preserve"> Les acteurs de l’encadrement disposent des ressources matérielles nécessaires pour mener à bien leurs fonctions  </v>
          </cell>
        </row>
        <row r="130">
          <cell r="E130">
            <v>2431</v>
          </cell>
          <cell r="F130" t="str">
            <v>Identification et mise à disposition des ressources matérielles nécessaires pour chaque corps d’encadreurs</v>
          </cell>
        </row>
        <row r="131">
          <cell r="E131">
            <v>2432</v>
          </cell>
          <cell r="F131" t="str">
            <v>Renforcement de la gestion des écoles</v>
          </cell>
        </row>
        <row r="132">
          <cell r="E132">
            <v>25</v>
          </cell>
          <cell r="F132" t="str">
            <v xml:space="preserve"> Conditions d’apprentissage améliorées </v>
          </cell>
        </row>
        <row r="133">
          <cell r="E133">
            <v>251</v>
          </cell>
          <cell r="F133" t="str">
            <v xml:space="preserve"> Les manuels et guides adaptés aux nouveaux curricula sont développés</v>
          </cell>
        </row>
        <row r="134">
          <cell r="E134">
            <v>2511</v>
          </cell>
          <cell r="F134" t="str">
            <v>Formation des groupes disciplinaires et rédaction des manuels et guides</v>
          </cell>
        </row>
        <row r="135">
          <cell r="E135">
            <v>2512</v>
          </cell>
          <cell r="F135" t="str">
            <v>Validation des contenus et impression des manuels</v>
          </cell>
        </row>
        <row r="136">
          <cell r="E136">
            <v>252</v>
          </cell>
          <cell r="F136" t="str">
            <v xml:space="preserve"> Les  enseignants sont formés à l'utilisation des manuels et guides de l'enseignant</v>
          </cell>
        </row>
        <row r="137">
          <cell r="E137">
            <v>2521</v>
          </cell>
          <cell r="F137" t="str">
            <v>Sensibilisation et Formation des enseignants et éducateurs à l'utilisation des guides et manuels d'enseignants</v>
          </cell>
        </row>
        <row r="138">
          <cell r="E138">
            <v>253</v>
          </cell>
          <cell r="F138" t="str">
            <v xml:space="preserve"> Les élèves du primaire et du secondaire disposent des manuels des matières fondamentales en quantité suffisante.</v>
          </cell>
        </row>
        <row r="139">
          <cell r="E139">
            <v>2531</v>
          </cell>
          <cell r="F139" t="str">
            <v>Distribution des manuels et guides</v>
          </cell>
        </row>
        <row r="140">
          <cell r="E140">
            <v>2532</v>
          </cell>
          <cell r="F140" t="str">
            <v>redynamiser les comités de gestion des manuels</v>
          </cell>
        </row>
        <row r="141">
          <cell r="E141">
            <v>2533</v>
          </cell>
          <cell r="F141" t="str">
            <v>Organisation des audits sur la gestion des manuels</v>
          </cell>
        </row>
        <row r="142">
          <cell r="E142">
            <v>254</v>
          </cell>
          <cell r="F142" t="str">
            <v xml:space="preserve"> Les enseignants utilisent en classe les matériels didactiques et ludiques</v>
          </cell>
        </row>
        <row r="143">
          <cell r="E143">
            <v>2541</v>
          </cell>
          <cell r="F143" t="str">
            <v>Formation des personnes pour le développement des matériels didactiques et ludiques</v>
          </cell>
        </row>
        <row r="144">
          <cell r="E144">
            <v>2542</v>
          </cell>
          <cell r="F144" t="str">
            <v>Développement des matériels ludiques et didactiques et équipement des CEC</v>
          </cell>
        </row>
        <row r="145">
          <cell r="E145">
            <v>2543</v>
          </cell>
          <cell r="F145" t="str">
            <v>Validation du matériel didactique produit</v>
          </cell>
        </row>
        <row r="146">
          <cell r="E146">
            <v>2544</v>
          </cell>
          <cell r="F146" t="str">
            <v>Distribution du matériel validé</v>
          </cell>
        </row>
        <row r="147">
          <cell r="E147">
            <v>255</v>
          </cell>
          <cell r="F147" t="str">
            <v xml:space="preserve"> les enseignants sont plus ou moins satisfaits de leur conditions de vie</v>
          </cell>
        </row>
        <row r="148">
          <cell r="E148">
            <v>2551</v>
          </cell>
          <cell r="F148" t="str">
            <v>Amélioration des conditions de vie des enseignants</v>
          </cell>
        </row>
        <row r="149">
          <cell r="E149">
            <v>256</v>
          </cell>
          <cell r="F149" t="str">
            <v xml:space="preserve"> Les laboratoires et kits sont installés progressivement dans les établissements secondaires</v>
          </cell>
        </row>
        <row r="150">
          <cell r="E150">
            <v>2561</v>
          </cell>
          <cell r="F150" t="str">
            <v>création de conditions pratiques d'enseignement</v>
          </cell>
        </row>
        <row r="151">
          <cell r="E151">
            <v>2562</v>
          </cell>
          <cell r="F151" t="str">
            <v>Promotion de l’initiative de l’enseignement des mathématiques, des sciences au Secondaire</v>
          </cell>
        </row>
        <row r="152">
          <cell r="E152">
            <v>2563</v>
          </cell>
          <cell r="F152" t="str">
            <v>Promotion et développement des TICE dans les enseignements apprentissages</v>
          </cell>
        </row>
        <row r="153">
          <cell r="E153">
            <v>257</v>
          </cell>
          <cell r="F153" t="str">
            <v xml:space="preserve"> Extension progressive de l'enseignement de l'anglais au secondaire(collège)</v>
          </cell>
        </row>
        <row r="154">
          <cell r="E154">
            <v>2571</v>
          </cell>
          <cell r="F154" t="str">
            <v>Recrutement de professeurs d'anglais en quantité suffisante</v>
          </cell>
        </row>
        <row r="155">
          <cell r="E155">
            <v>258</v>
          </cell>
          <cell r="F155" t="str">
            <v xml:space="preserve"> Les activités extrascolaires sont diversifiées</v>
          </cell>
        </row>
        <row r="156">
          <cell r="E156">
            <v>2581</v>
          </cell>
          <cell r="F156" t="str">
            <v>Renforcement des activités artistiques, culturelles et sportives dans les écoles</v>
          </cell>
        </row>
        <row r="157">
          <cell r="E157">
            <v>26</v>
          </cell>
          <cell r="F157" t="str">
            <v xml:space="preserve"> Examen et évaluation</v>
          </cell>
        </row>
        <row r="158">
          <cell r="E158">
            <v>261</v>
          </cell>
          <cell r="F158" t="str">
            <v xml:space="preserve"> Les évaluations des acquis au primaire et secondaire sont régulières, exploitées et disséminées.  </v>
          </cell>
        </row>
        <row r="159">
          <cell r="E159">
            <v>2611</v>
          </cell>
          <cell r="F159" t="str">
            <v>Conception et la validation des outils de collecte de données</v>
          </cell>
        </row>
        <row r="160">
          <cell r="E160">
            <v>2612</v>
          </cell>
          <cell r="F160" t="str">
            <v>Evaluation standardisée des acquis des élèves (CP2, CE2 et CM2) : Mise à échelle "Collecte", analyse et la rédaction du rapport d’évaluation</v>
          </cell>
        </row>
        <row r="161">
          <cell r="E161">
            <v>2613</v>
          </cell>
          <cell r="F161" t="str">
            <v>Evaluation standardisée des acquis des élèves au secondaire : Mise échelle, analyse et la rédaction du rapport d’évaluation</v>
          </cell>
        </row>
        <row r="162">
          <cell r="E162">
            <v>2614</v>
          </cell>
          <cell r="F162" t="str">
            <v>Dissémination des résultats des évaluations à tous les niveaux (Régions, préfecture, DSEE et Ecoles)</v>
          </cell>
        </row>
        <row r="163">
          <cell r="E163">
            <v>2615</v>
          </cell>
          <cell r="F163" t="str">
            <v>Renforcement des capacités du service national d'évaluation</v>
          </cell>
        </row>
        <row r="164">
          <cell r="E164">
            <v>2616</v>
          </cell>
          <cell r="F164" t="str">
            <v>Renforcement des évaluations pilotes</v>
          </cell>
        </row>
        <row r="165">
          <cell r="E165">
            <v>262</v>
          </cell>
          <cell r="F165" t="str">
            <v xml:space="preserve"> La fiabilité des examens nationaux est améliorée</v>
          </cell>
        </row>
        <row r="166">
          <cell r="E166">
            <v>2621</v>
          </cell>
          <cell r="F166" t="str">
            <v>Collecte des données des examens nationaux</v>
          </cell>
        </row>
        <row r="167">
          <cell r="E167">
            <v>2622</v>
          </cell>
          <cell r="F167" t="str">
            <v>Analyse et rédaction du rapport d'audit</v>
          </cell>
        </row>
        <row r="168">
          <cell r="E168">
            <v>2623</v>
          </cell>
          <cell r="F168" t="str">
            <v>Adaptation des textes organisants les examens nationaux</v>
          </cell>
        </row>
        <row r="169">
          <cell r="E169">
            <v>263</v>
          </cell>
          <cell r="F169" t="str">
            <v xml:space="preserve"> Un document référentiel sur la production et l'utilisation des données des évaluations standardisées est mis en place</v>
          </cell>
        </row>
        <row r="170">
          <cell r="E170">
            <v>2631</v>
          </cell>
          <cell r="F170" t="str">
            <v>Rédaction du document de référence</v>
          </cell>
        </row>
        <row r="171">
          <cell r="E171">
            <v>264</v>
          </cell>
          <cell r="F171" t="str">
            <v xml:space="preserve"> Les capacités des enseignants en méthodes d'évaluation sont renforcés</v>
          </cell>
        </row>
        <row r="172">
          <cell r="E172">
            <v>2641</v>
          </cell>
          <cell r="F172" t="str">
            <v>Formation des enseignants en conception d'items/épreuves et en notation (docimologie)</v>
          </cell>
        </row>
        <row r="173">
          <cell r="E173">
            <v>27</v>
          </cell>
          <cell r="F173" t="str">
            <v xml:space="preserve"> Introduction de l'enseignement bilingue Français-langues nationales au primaire</v>
          </cell>
        </row>
        <row r="174">
          <cell r="E174">
            <v>271</v>
          </cell>
          <cell r="F174" t="str">
            <v xml:space="preserve"> Les résultats de la phase pilote sont capitalisés pour identifier les stratégies d’utilisation des langues nationales dans l’enseignement et l’apprentissageUne instance de pilotage de la réforme du bilinguisme est opérationnelle</v>
          </cell>
        </row>
        <row r="175">
          <cell r="E175">
            <v>2711</v>
          </cell>
          <cell r="F175" t="str">
            <v>Recomposition de l'instance de pilotage de la réforme du bilinguisme</v>
          </cell>
        </row>
        <row r="176">
          <cell r="E176">
            <v>272</v>
          </cell>
          <cell r="F176" t="str">
            <v xml:space="preserve"> Des étude sont réalisées pour préparer la mise à l'échelle</v>
          </cell>
        </row>
        <row r="177">
          <cell r="E177">
            <v>2721</v>
          </cell>
          <cell r="F177" t="str">
            <v>Recrutement d'un cabinet spécialisée pour la conduite de l'étude</v>
          </cell>
        </row>
        <row r="178">
          <cell r="E178">
            <v>273</v>
          </cell>
          <cell r="F178" t="str">
            <v>Une expertise nationale en  langues nationales est disponible</v>
          </cell>
        </row>
        <row r="179">
          <cell r="E179">
            <v>2731</v>
          </cell>
          <cell r="F179" t="str">
            <v>Mise en place d’une équipe nationale pour la conduite du processus</v>
          </cell>
        </row>
        <row r="180">
          <cell r="E180">
            <v>274</v>
          </cell>
          <cell r="F180" t="str">
            <v xml:space="preserve">Les acteurs et partenaires adhèrent à l’approche l’enseignement  et de l’apprentissage des langues nationales </v>
          </cell>
        </row>
        <row r="181">
          <cell r="E181">
            <v>2741</v>
          </cell>
          <cell r="F181" t="str">
            <v>Sensibilisation de tous les acteurs et partenaires</v>
          </cell>
        </row>
        <row r="182">
          <cell r="E182">
            <v>275</v>
          </cell>
          <cell r="F182" t="str">
            <v xml:space="preserve"> L’utilisation des langues nationales dans l’enseignement et l’apprentissage est effective</v>
          </cell>
        </row>
        <row r="183">
          <cell r="E183">
            <v>2751</v>
          </cell>
          <cell r="F183" t="str">
            <v>Les langues nationales sont généralisées progressivement dans les écoles</v>
          </cell>
        </row>
        <row r="184">
          <cell r="E184">
            <v>3</v>
          </cell>
          <cell r="F184" t="str">
            <v>Expansion et réforme de l’ETFP</v>
          </cell>
        </row>
        <row r="185">
          <cell r="E185">
            <v>31</v>
          </cell>
          <cell r="F185" t="str">
            <v xml:space="preserve"> Identification des besoins en qualification de l’économie</v>
          </cell>
        </row>
        <row r="186">
          <cell r="E186">
            <v>311</v>
          </cell>
          <cell r="F186" t="str">
            <v xml:space="preserve"> Les besoins en compétence des secteurs prioritaires sont identifiés</v>
          </cell>
        </row>
        <row r="187">
          <cell r="E187">
            <v>3111</v>
          </cell>
          <cell r="F187" t="str">
            <v>Réalisation d’études d'identification impliquant tous les acteurs à tous les niveaux</v>
          </cell>
        </row>
        <row r="188">
          <cell r="E188">
            <v>3112</v>
          </cell>
          <cell r="F188" t="str">
            <v>Organisation de concertations avec tous les acteurs, en particulier avec les professionnels à tous les niveaux</v>
          </cell>
        </row>
        <row r="189">
          <cell r="E189">
            <v>312</v>
          </cell>
          <cell r="F189" t="str">
            <v xml:space="preserve"> Un dispositif de veille sur les métiers, d’anticipation et d’identification des besoins du marché du travail est opérationnel</v>
          </cell>
        </row>
        <row r="190">
          <cell r="E190">
            <v>3121</v>
          </cell>
          <cell r="F190" t="str">
            <v>Définition des missions, du mode de fonctionnement du dispositif</v>
          </cell>
        </row>
        <row r="191">
          <cell r="E191">
            <v>3122</v>
          </cell>
          <cell r="F191" t="str">
            <v>Mise en place et opérationnalisation du dispositif de veille</v>
          </cell>
        </row>
        <row r="192">
          <cell r="E192">
            <v>313</v>
          </cell>
          <cell r="F192" t="str">
            <v xml:space="preserve"> Un mécanisme de suivi de l’insertion est opérationnel</v>
          </cell>
        </row>
        <row r="193">
          <cell r="E193">
            <v>3131</v>
          </cell>
          <cell r="F193" t="str">
            <v>Conception et mise en place du mécanisme de suivi de l’insertion</v>
          </cell>
        </row>
        <row r="194">
          <cell r="E194">
            <v>3132</v>
          </cell>
          <cell r="F194" t="str">
            <v>Réalisation d’actions de suivi et d’analyse de l’insertion des diplômés de l’ETFP</v>
          </cell>
        </row>
        <row r="195">
          <cell r="E195">
            <v>32</v>
          </cell>
          <cell r="F195" t="str">
            <v xml:space="preserve"> Mise en place d’une ingénierie de formation adaptée aux besoins de l’économie</v>
          </cell>
        </row>
        <row r="196">
          <cell r="E196">
            <v>321</v>
          </cell>
          <cell r="F196" t="str">
            <v xml:space="preserve"> Un dispositif institutionnel de formation du personnel de formation et d’ingénierie de formation est mis en place</v>
          </cell>
        </row>
        <row r="197">
          <cell r="E197">
            <v>3211</v>
          </cell>
          <cell r="F197" t="str">
            <v>Définition des missions du dispositif institutionnel de l’ingénierie de formation</v>
          </cell>
        </row>
        <row r="198">
          <cell r="E198">
            <v>3212</v>
          </cell>
          <cell r="F198" t="str">
            <v>Opérationnalisation du dispositif</v>
          </cell>
        </row>
        <row r="199">
          <cell r="E199">
            <v>322</v>
          </cell>
          <cell r="F199" t="str">
            <v xml:space="preserve"> Les TIC et l’économie verte sont prises en compte dans l’élaboration des programmes</v>
          </cell>
        </row>
        <row r="200">
          <cell r="E200">
            <v>3221</v>
          </cell>
          <cell r="F200" t="str">
            <v>Intégration des TIC et prise en compte de l’économie verte dans l’actualisation et l’élaboration des programmes</v>
          </cell>
        </row>
        <row r="201">
          <cell r="E201">
            <v>323</v>
          </cell>
          <cell r="F201" t="str">
            <v xml:space="preserve"> Un cadre adéquat pour le développement de la formation en milieu du travail est mis en place</v>
          </cell>
        </row>
        <row r="202">
          <cell r="E202">
            <v>3231</v>
          </cell>
          <cell r="F202" t="str">
            <v>Définition d’un cadre de développement de l’apprentissage</v>
          </cell>
        </row>
        <row r="203">
          <cell r="E203">
            <v>3232</v>
          </cell>
          <cell r="F203" t="str">
            <v>Définition d’un cadre de développement de l’alternance</v>
          </cell>
        </row>
        <row r="204">
          <cell r="E204">
            <v>3233</v>
          </cell>
          <cell r="F204" t="str">
            <v>Mise en place d’un dispositif de validation des acquis de l’expérience</v>
          </cell>
        </row>
        <row r="205">
          <cell r="E205">
            <v>33</v>
          </cell>
          <cell r="F205" t="str">
            <v xml:space="preserve"> Développement de l’offre de formation professionnelle et technique de qualité</v>
          </cell>
        </row>
        <row r="206">
          <cell r="E206">
            <v>331</v>
          </cell>
          <cell r="F206" t="str">
            <v xml:space="preserve"> L’accès aux dispositifs de l’ETFP est accrue en lien avec les besoins (quantitatifs et qualitatifs) de l’économie avec une priorité accordée aux filières porteuses dans les secteurs primaire et secondaire</v>
          </cell>
        </row>
        <row r="207">
          <cell r="E207">
            <v>3311</v>
          </cell>
          <cell r="F207" t="str">
            <v>Accroissement de la capacité d’accueil (infrastructures, équipements en tenant compte des besoins des apprenants porteurs de handicap et à besoins éducatifs speciaux ainsi que les catastrophes naturelles)</v>
          </cell>
        </row>
        <row r="208">
          <cell r="E208">
            <v>3312</v>
          </cell>
          <cell r="F208" t="str">
            <v>Dotation des établissements en personnel qualifié suffisant</v>
          </cell>
        </row>
        <row r="209">
          <cell r="E209">
            <v>3313</v>
          </cell>
          <cell r="F209" t="str">
            <v>Application de divers modes de formation (apprentissage, résidentiel, alternance, en situation de travail…)</v>
          </cell>
        </row>
        <row r="210">
          <cell r="E210">
            <v>3314</v>
          </cell>
          <cell r="F210" t="str">
            <v>Fournitures de matières d'œuvres</v>
          </cell>
        </row>
        <row r="211">
          <cell r="E211">
            <v>332</v>
          </cell>
          <cell r="F211" t="str">
            <v xml:space="preserve"> L’équité dans l’accès est améliorée (genre, zones, régions, besoins spécifiques)</v>
          </cell>
        </row>
        <row r="212">
          <cell r="E212">
            <v>3321</v>
          </cell>
          <cell r="F212" t="str">
            <v>Définition et Mise en place de mécanismes favorisant l’équité</v>
          </cell>
        </row>
        <row r="213">
          <cell r="E213" t="str">
            <v xml:space="preserve">non </v>
          </cell>
          <cell r="F213" t="str">
            <v>odélisé</v>
          </cell>
        </row>
        <row r="214">
          <cell r="E214">
            <v>333</v>
          </cell>
          <cell r="F214" t="str">
            <v xml:space="preserve"> Un dispositif d’appui à l’insertion socioprofessionnelle y compris l’entreprenariat est opérationnel</v>
          </cell>
        </row>
        <row r="215">
          <cell r="E215">
            <v>3331</v>
          </cell>
          <cell r="F215" t="str">
            <v>Consolidation des mécanismes d’appui à l’insertion</v>
          </cell>
        </row>
        <row r="216">
          <cell r="E216">
            <v>3332</v>
          </cell>
          <cell r="F216" t="str">
            <v>Opérationnalisation,(notamment allocation de ressources) des mécanismes d’appui à l’insertion</v>
          </cell>
        </row>
        <row r="217">
          <cell r="E217">
            <v>3333</v>
          </cell>
          <cell r="F217" t="str">
            <v>Suivi et encadrement des appuyés</v>
          </cell>
        </row>
        <row r="218">
          <cell r="E218">
            <v>3334</v>
          </cell>
          <cell r="F218" t="str">
            <v>Intégration de la dimension entrepreunariale dans le dispositif de formation</v>
          </cell>
        </row>
        <row r="219">
          <cell r="E219">
            <v>34</v>
          </cell>
          <cell r="F219" t="str">
            <v xml:space="preserve"> le financement du développement de l’ETFP</v>
          </cell>
        </row>
        <row r="220">
          <cell r="E220">
            <v>341</v>
          </cell>
          <cell r="F220" t="str">
            <v xml:space="preserve"> L’allocation budgétaire de l’ETFP dans le budget de l’éducation est améliorée</v>
          </cell>
        </row>
        <row r="221">
          <cell r="E221">
            <v>3411</v>
          </cell>
          <cell r="F221" t="str">
            <v>Plaidoyer pour concrétiser la priorité accordée à l’ETFP</v>
          </cell>
        </row>
        <row r="222">
          <cell r="E222">
            <v>3412</v>
          </cell>
          <cell r="F222" t="str">
            <v>Adaptation des lignes budgétaire pour tenir compte des spécificités de l’ETFP</v>
          </cell>
        </row>
        <row r="223">
          <cell r="E223">
            <v>342</v>
          </cell>
          <cell r="F223" t="str">
            <v xml:space="preserve"> Le reversement intégral du produit de la taxe de l’apprentissage au FNQP est effectif</v>
          </cell>
        </row>
        <row r="224">
          <cell r="E224">
            <v>3421</v>
          </cell>
          <cell r="F224" t="str">
            <v>Plaidoyer pour le reversement intégral du produit de la taxe de l’apprentissage au FNQP</v>
          </cell>
        </row>
        <row r="225">
          <cell r="E225">
            <v>3422</v>
          </cell>
          <cell r="F225" t="str">
            <v>Mise en place d’une stratégie de gestion de la taxe d’apprentissage</v>
          </cell>
        </row>
        <row r="226">
          <cell r="E226">
            <v>3423</v>
          </cell>
          <cell r="F226" t="str">
            <v xml:space="preserve">Opérationnalisation de la stratégie de gestion de la taxe
</v>
          </cell>
        </row>
        <row r="227">
          <cell r="E227">
            <v>343</v>
          </cell>
          <cell r="F227" t="str">
            <v xml:space="preserve"> La contribution du milieu socioprofessionnel dans le partage du coût de formation est accrue</v>
          </cell>
        </row>
        <row r="228">
          <cell r="E228">
            <v>3431</v>
          </cell>
          <cell r="F228" t="str">
            <v>Elaboration d’un cadre parteunarial favorisant le partage de coût de la formation avec le milieu socioprofessionnel</v>
          </cell>
        </row>
        <row r="229">
          <cell r="E229">
            <v>3432</v>
          </cell>
          <cell r="F229" t="str">
            <v>Mise en place d’un cadre qui favorise les prestations de services par les institutions de l’ETFP</v>
          </cell>
        </row>
        <row r="230">
          <cell r="E230">
            <v>3433</v>
          </cell>
          <cell r="F230" t="str">
            <v>Elaboration et mise en œuvre d’une stratégie de communication et de sensibilisation du milieu socioprofessionnel</v>
          </cell>
        </row>
        <row r="231">
          <cell r="E231">
            <v>35</v>
          </cell>
          <cell r="F231" t="str">
            <v xml:space="preserve"> Développement de la formation continue des actifs en situation de travail</v>
          </cell>
        </row>
        <row r="232">
          <cell r="E232">
            <v>351</v>
          </cell>
          <cell r="F232" t="str">
            <v xml:space="preserve"> Une stratégie globale de formation continue est développée</v>
          </cell>
        </row>
        <row r="233">
          <cell r="E233">
            <v>3511</v>
          </cell>
          <cell r="F233" t="str">
            <v>Etat des lieux des mécanismes existants en matière de formation continue</v>
          </cell>
        </row>
        <row r="234">
          <cell r="E234">
            <v>352</v>
          </cell>
          <cell r="F234" t="str">
            <v xml:space="preserve"> la stratégie globale de formation continue est mise en œuvre</v>
          </cell>
        </row>
        <row r="235">
          <cell r="E235">
            <v>3521</v>
          </cell>
          <cell r="F235" t="str">
            <v>Elaboration d’une stratégie nationale de formation continue avec l'implication active des professionnels</v>
          </cell>
        </row>
        <row r="236">
          <cell r="E236">
            <v>3522</v>
          </cell>
          <cell r="F236" t="str">
            <v>Promotion de nouveaux mécanismes d'incitation à la formation continue</v>
          </cell>
        </row>
        <row r="237">
          <cell r="E237">
            <v>3523</v>
          </cell>
          <cell r="F237" t="str">
            <v>Opérationnalisation des nouveaux mécanismes de formation continue</v>
          </cell>
        </row>
        <row r="238">
          <cell r="E238">
            <v>353</v>
          </cell>
          <cell r="F238" t="str">
            <v xml:space="preserve"> La prestation de service en formation continue est accrue dans les centres</v>
          </cell>
        </row>
        <row r="239">
          <cell r="E239">
            <v>3531</v>
          </cell>
          <cell r="F239" t="str">
            <v>Renforcement de capacités des centres en prestation de service en matière de formation continue</v>
          </cell>
        </row>
        <row r="240">
          <cell r="E240">
            <v>3532</v>
          </cell>
          <cell r="F240" t="str">
            <v>Mise en œuvre d'actions de formations continues dans les centres</v>
          </cell>
        </row>
        <row r="241">
          <cell r="E241">
            <v>36</v>
          </cell>
          <cell r="F241" t="str">
            <v xml:space="preserve"> Renforcement des capacités de pilotage et de gestion dans le cadre d’une gouvernance parteunariale multi niveaux</v>
          </cell>
        </row>
        <row r="242">
          <cell r="E242">
            <v>361</v>
          </cell>
          <cell r="F242" t="str">
            <v>Des cadres formalisés de concertation entre les acteurs de la formation professionnelle publics, partenaires sociaux économiques, les collectivités territoriales, sont opérationnels</v>
          </cell>
        </row>
        <row r="243">
          <cell r="E243">
            <v>3611</v>
          </cell>
          <cell r="F243" t="str">
            <v>Définition des cadres de concertation</v>
          </cell>
        </row>
        <row r="244">
          <cell r="E244">
            <v>3612</v>
          </cell>
          <cell r="F244" t="str">
            <v xml:space="preserve">Opérationnalisation des cadres
</v>
          </cell>
        </row>
        <row r="245">
          <cell r="E245">
            <v>362</v>
          </cell>
          <cell r="F245" t="str">
            <v xml:space="preserve"> L’autonomisation des institutions est accrue dans un cadre de redevabilité</v>
          </cell>
        </row>
        <row r="246">
          <cell r="E246">
            <v>3621</v>
          </cell>
          <cell r="F246" t="str">
            <v>Définition d’un modèle de fonctionnement des institutions de l’ETFP</v>
          </cell>
        </row>
        <row r="247">
          <cell r="E247">
            <v>3622</v>
          </cell>
          <cell r="F247" t="str">
            <v xml:space="preserve">Déploiement progressif du modèle de fonctionnement retenue
</v>
          </cell>
        </row>
        <row r="248">
          <cell r="E248">
            <v>363</v>
          </cell>
          <cell r="F248" t="str">
            <v xml:space="preserve"> La concertation est améliorée au niveaux des autres établissements (établissements non impliqués dans l'expérimentation du nouveau modèle de gouvernance)</v>
          </cell>
        </row>
        <row r="249">
          <cell r="E249">
            <v>3631</v>
          </cell>
          <cell r="F249" t="str">
            <v>Renforcement du fonctionnement des conseils d'établissements</v>
          </cell>
        </row>
        <row r="250">
          <cell r="E250">
            <v>3632</v>
          </cell>
          <cell r="F250" t="str">
            <v>Elaboration et mise en œuvre des projets d'établissements</v>
          </cell>
        </row>
        <row r="251">
          <cell r="E251">
            <v>364</v>
          </cell>
          <cell r="F251" t="str">
            <v xml:space="preserve"> La capacité de pilotage et de mise en œuvre, technique et financière, de l’ETFP est renforcée</v>
          </cell>
        </row>
        <row r="252">
          <cell r="E252">
            <v>3641</v>
          </cell>
          <cell r="F252" t="str">
            <v xml:space="preserve">Mise en place d’un Système articulé d’information et de gestion de l’ETFP capitalisant et consolidant les données à tous les niveaux
</v>
          </cell>
        </row>
        <row r="253">
          <cell r="E253">
            <v>3642</v>
          </cell>
          <cell r="F253" t="str">
            <v xml:space="preserve">Renforcement de la gestion des ressources humaines chargée de la gestion de l’ETFP
</v>
          </cell>
        </row>
        <row r="254">
          <cell r="E254">
            <v>3643</v>
          </cell>
          <cell r="F254" t="str">
            <v xml:space="preserve">Renforcement des moyens et outils de travail
</v>
          </cell>
        </row>
        <row r="255">
          <cell r="E255">
            <v>3644</v>
          </cell>
          <cell r="F255" t="str">
            <v>Adaptation et mise en cohérence des rôles et responsabilités des différentes structures concernées par l’ETFP</v>
          </cell>
        </row>
        <row r="256">
          <cell r="E256">
            <v>365</v>
          </cell>
          <cell r="F256" t="str">
            <v>Le dispositif de communication et d’orientation professionnelle est opérationnel</v>
          </cell>
        </row>
        <row r="257">
          <cell r="E257">
            <v>3651</v>
          </cell>
          <cell r="F257" t="str">
            <v>Configuration du dispositif de communication et d’orientation professionnelle</v>
          </cell>
        </row>
        <row r="258">
          <cell r="E258">
            <v>3652</v>
          </cell>
          <cell r="F258" t="str">
            <v>Mise en œuvre du dispositif de communication</v>
          </cell>
        </row>
        <row r="259">
          <cell r="E259">
            <v>366</v>
          </cell>
          <cell r="F259" t="str">
            <v xml:space="preserve"> Un système d’assurance qualité est mis en place</v>
          </cell>
        </row>
        <row r="260">
          <cell r="E260">
            <v>3661</v>
          </cell>
          <cell r="F260" t="str">
            <v>Développement du système d’assurance qualité en cours de mise en œuvre</v>
          </cell>
        </row>
        <row r="261">
          <cell r="E261">
            <v>3662</v>
          </cell>
          <cell r="F261" t="str">
            <v>Extension de la mise en œuvre du système d’assurance qualité</v>
          </cell>
        </row>
        <row r="262">
          <cell r="E262">
            <v>3663</v>
          </cell>
          <cell r="F262" t="str">
            <v>Développement d’un Cadre National de Certification et de Qualification (CNCQ)</v>
          </cell>
        </row>
        <row r="263">
          <cell r="E263">
            <v>3664</v>
          </cell>
          <cell r="F263" t="str">
            <v>Application du CNCQ</v>
          </cell>
        </row>
        <row r="264">
          <cell r="E264">
            <v>3665</v>
          </cell>
          <cell r="F264" t="str">
            <v>Participation à la mise en place du cadre régional de certification</v>
          </cell>
        </row>
        <row r="265">
          <cell r="E265">
            <v>367</v>
          </cell>
          <cell r="F265" t="str">
            <v xml:space="preserve"> Une loi cadre de l’ETFP est élaborée</v>
          </cell>
        </row>
        <row r="266">
          <cell r="E266">
            <v>3671</v>
          </cell>
          <cell r="F266" t="str">
            <v xml:space="preserve">élaboration de la loi cadre avec une approche participative
</v>
          </cell>
        </row>
        <row r="267">
          <cell r="E267">
            <v>368</v>
          </cell>
          <cell r="F267" t="str">
            <v xml:space="preserve"> Le cadre juridique et règlementaire est adapté </v>
          </cell>
        </row>
        <row r="268">
          <cell r="E268">
            <v>3681</v>
          </cell>
          <cell r="F268" t="str">
            <v>Revue du cadre existant et adaptation au nouveau cadre</v>
          </cell>
        </row>
        <row r="269">
          <cell r="E269">
            <v>369</v>
          </cell>
          <cell r="F269" t="str">
            <v xml:space="preserve"> Suivi et évaluation du programme reforme et expansion de l'ETFP est assuré</v>
          </cell>
        </row>
        <row r="270">
          <cell r="E270">
            <v>3691</v>
          </cell>
          <cell r="F270" t="str">
            <v xml:space="preserve">Mise en place d'un cadre de suivi-évaluation
</v>
          </cell>
        </row>
        <row r="271">
          <cell r="E271">
            <v>4</v>
          </cell>
          <cell r="F271" t="str">
            <v>Réforme de l’enseignement supérieur et la recherche scientifique et de l'innovation</v>
          </cell>
        </row>
        <row r="272">
          <cell r="E272">
            <v>41</v>
          </cell>
          <cell r="F272" t="str">
            <v xml:space="preserve"> Gouvernance et pilotage de l’enseignement supérieur et de la recherche scientifique</v>
          </cell>
        </row>
        <row r="273">
          <cell r="E273">
            <v>411</v>
          </cell>
          <cell r="F273" t="str">
            <v xml:space="preserve"> Les textes sont produits/révisés, les manuels de procédure de gestion sont élaborés afin de mieux situer les rôles et les responsabilités. </v>
          </cell>
        </row>
        <row r="274">
          <cell r="E274">
            <v>4111</v>
          </cell>
          <cell r="F274" t="str">
            <v>Production/révision des textes et de manuels de procédure</v>
          </cell>
        </row>
        <row r="275">
          <cell r="E275">
            <v>412</v>
          </cell>
          <cell r="F275" t="str">
            <v xml:space="preserve"> Les ateliers de partage des documents sont tenus</v>
          </cell>
        </row>
        <row r="276">
          <cell r="E276">
            <v>4121</v>
          </cell>
          <cell r="F276" t="str">
            <v>Diffusion et partage des documents</v>
          </cell>
        </row>
        <row r="277">
          <cell r="E277">
            <v>413</v>
          </cell>
          <cell r="F277" t="str">
            <v xml:space="preserve"> Un système d’information efficace et performant est mis en œuvre  afin de favoriser le reporting et la reddition des comptes</v>
          </cell>
        </row>
        <row r="278">
          <cell r="E278">
            <v>4131</v>
          </cell>
          <cell r="F278" t="str">
            <v>Diffusion des rapports financiers à l’interne et à l’externe</v>
          </cell>
        </row>
        <row r="279">
          <cell r="E279">
            <v>4132</v>
          </cell>
          <cell r="F279" t="str">
            <v>Introduction et généralisation de la GAR</v>
          </cell>
        </row>
        <row r="280">
          <cell r="E280">
            <v>4133</v>
          </cell>
          <cell r="F280" t="str">
            <v>Renforcement et modernisation de la production des données statistiques pour la gestion et le pilotage</v>
          </cell>
        </row>
        <row r="281">
          <cell r="E281">
            <v>414</v>
          </cell>
          <cell r="F281" t="str">
            <v xml:space="preserve"> Les capacités des personnels administratifs et d’appui sont renforcées</v>
          </cell>
        </row>
        <row r="282">
          <cell r="E282">
            <v>4141</v>
          </cell>
          <cell r="F282" t="str">
            <v>Renforcement des capacités des personnels à tous les niveaux du système dans des domaines pertinents</v>
          </cell>
        </row>
        <row r="283">
          <cell r="E283">
            <v>415</v>
          </cell>
          <cell r="F283" t="str">
            <v xml:space="preserve"> L’évolution quantitative de l’enseignement supérieur est maitrisée</v>
          </cell>
        </row>
        <row r="284">
          <cell r="E284">
            <v>4151</v>
          </cell>
          <cell r="F284" t="str">
            <v>Recensement biométrique des étudiants</v>
          </cell>
        </row>
        <row r="285">
          <cell r="E285">
            <v>4152</v>
          </cell>
          <cell r="F285" t="str">
            <v>Pérennisation de l’orientation en ligne des bacheliers, à travers la plateforme « GUPOL »</v>
          </cell>
        </row>
        <row r="286">
          <cell r="E286">
            <v>4153</v>
          </cell>
          <cell r="F286" t="str">
            <v>Introduction de la politique d’octroi des bourses sur critères</v>
          </cell>
        </row>
        <row r="287">
          <cell r="E287">
            <v>416</v>
          </cell>
          <cell r="F287" t="str">
            <v xml:space="preserve"> Les organes de gouvernance sont fonctionnels</v>
          </cell>
        </row>
        <row r="288">
          <cell r="E288">
            <v>4161</v>
          </cell>
          <cell r="F288" t="str">
            <v>Organisation des Conseils/Comités</v>
          </cell>
        </row>
        <row r="289">
          <cell r="E289">
            <v>4162</v>
          </cell>
          <cell r="F289" t="str">
            <v>Mise en œuvre des textes de gouvernance</v>
          </cell>
        </row>
        <row r="290">
          <cell r="E290">
            <v>417</v>
          </cell>
          <cell r="F290" t="str">
            <v xml:space="preserve"> L’autonomie des institutions est renforcée</v>
          </cell>
        </row>
        <row r="291">
          <cell r="E291">
            <v>4171</v>
          </cell>
          <cell r="F291" t="str">
            <v>Renforcement des capacités en matière de gestion administrative et financière</v>
          </cell>
        </row>
        <row r="292">
          <cell r="E292">
            <v>418</v>
          </cell>
          <cell r="F292" t="str">
            <v xml:space="preserve"> La mobilisation de ressources financières est accrue</v>
          </cell>
        </row>
        <row r="293">
          <cell r="E293">
            <v>4181</v>
          </cell>
          <cell r="F293" t="str">
            <v>Développement de stratégies de coopération avec le secteur privé et à l’internationale pour mobiliser de ressources additionnelles</v>
          </cell>
        </row>
        <row r="294">
          <cell r="E294">
            <v>419</v>
          </cell>
          <cell r="F294" t="str">
            <v xml:space="preserve"> L’efficacité dans l’utilisation des fonds alloués aux institutions est améliorée</v>
          </cell>
        </row>
        <row r="295">
          <cell r="E295">
            <v>4191</v>
          </cell>
          <cell r="F295" t="str">
            <v>Maîtrise de cycle de projets</v>
          </cell>
        </row>
        <row r="296">
          <cell r="E296">
            <v>4192</v>
          </cell>
          <cell r="F296" t="str">
            <v>Adoption de l'élaboration de projets d'établissements pluri-annuels</v>
          </cell>
        </row>
        <row r="297">
          <cell r="E297">
            <v>411</v>
          </cell>
          <cell r="F297" t="str">
            <v xml:space="preserve"> Les textes sont produits/révisés, les manuels de procédure de gestion sont élaborés afin de mieux situer les rôles et les responsabilités. </v>
          </cell>
        </row>
        <row r="298">
          <cell r="E298">
            <v>4110</v>
          </cell>
          <cell r="F298" t="str">
            <v>Modernisation de l'administration</v>
          </cell>
        </row>
        <row r="299">
          <cell r="E299">
            <v>42</v>
          </cell>
          <cell r="F299" t="str">
            <v xml:space="preserve"> Expansion de l’offre publique pour un système plus équitable en lien avec les priorités nationales </v>
          </cell>
        </row>
        <row r="300">
          <cell r="E300">
            <v>421</v>
          </cell>
          <cell r="F300" t="str">
            <v xml:space="preserve"> La capacité d’accueil en infrastructures, équipements et en enseignants des institutions est accrue</v>
          </cell>
        </row>
        <row r="301">
          <cell r="E301">
            <v>4211</v>
          </cell>
          <cell r="F301" t="str">
            <v>Construction/rénovation et équipement de bâtiments administratifs, acquisition d'immobilisation et de matériels</v>
          </cell>
        </row>
        <row r="302">
          <cell r="E302">
            <v>4212</v>
          </cell>
          <cell r="F302" t="str">
            <v>Construction/rénovation et équipement d’infrastructures à usage pédagogique, de recherche et œuvres universitaires, avec rampe d'accès et tenant compte de la prévention des catastrophes naturelles</v>
          </cell>
        </row>
        <row r="303">
          <cell r="E303">
            <v>4213</v>
          </cell>
          <cell r="F303" t="str">
            <v>Recrutement de personnel enseignant en qualité suffisante</v>
          </cell>
        </row>
        <row r="304">
          <cell r="E304">
            <v>422</v>
          </cell>
          <cell r="F304" t="str">
            <v xml:space="preserve"> Le nombre des effectifs orientés vers les filières techniques et scientifiques est considérablement augmenté</v>
          </cell>
        </row>
        <row r="305">
          <cell r="E305">
            <v>4221</v>
          </cell>
          <cell r="F305" t="str">
            <v>Renforcement de la formation binaire des enseignants du secondaire dans les sciences</v>
          </cell>
        </row>
        <row r="306">
          <cell r="E306">
            <v>4222</v>
          </cell>
          <cell r="F306" t="str">
            <v>Mise en place des mesures incitatives</v>
          </cell>
        </row>
        <row r="307">
          <cell r="E307">
            <v>4223</v>
          </cell>
          <cell r="F307" t="str">
            <v>Mise en place de classes préparatoires aux grandes écoles</v>
          </cell>
        </row>
        <row r="308">
          <cell r="E308">
            <v>423</v>
          </cell>
          <cell r="F308" t="str">
            <v xml:space="preserve"> La professionnalisation des filières est effective</v>
          </cell>
        </row>
        <row r="309">
          <cell r="E309">
            <v>4231</v>
          </cell>
          <cell r="F309" t="str">
            <v>Révision et professionnalisation des programmes</v>
          </cell>
        </row>
        <row r="310">
          <cell r="E310">
            <v>424</v>
          </cell>
          <cell r="F310" t="str">
            <v xml:space="preserve"> Le nombre de filles, d’étudiants (es) handicapés (es) et ceux/celles issus (es) des couches défavorisées fréquentant les différentes formations est significativement augmenté</v>
          </cell>
        </row>
        <row r="311">
          <cell r="E311">
            <v>4241</v>
          </cell>
          <cell r="F311" t="str">
            <v>Mise en place d’un fonds pour la valorisation du rôle des étudiantes dans le supérieur</v>
          </cell>
        </row>
        <row r="312">
          <cell r="E312">
            <v>4242</v>
          </cell>
          <cell r="F312" t="str">
            <v>Mise en place d’infrastructures et équipements adaptés</v>
          </cell>
        </row>
        <row r="313">
          <cell r="E313">
            <v>4243</v>
          </cell>
          <cell r="F313" t="str">
            <v>Instauration des mesures d’accompagnement</v>
          </cell>
        </row>
        <row r="314">
          <cell r="E314">
            <v>43</v>
          </cell>
          <cell r="F314" t="str">
            <v xml:space="preserve"> Qualité de l’enseignement, de la formation et de la recherche scientifique</v>
          </cell>
        </row>
        <row r="315">
          <cell r="E315">
            <v>431</v>
          </cell>
          <cell r="F315" t="str">
            <v xml:space="preserve"> Le fonctionnement de l'ANAQ est renforcée</v>
          </cell>
        </row>
        <row r="316">
          <cell r="E316">
            <v>4311</v>
          </cell>
          <cell r="F316" t="str">
            <v>Evaluation de la qualité de l’éducation et de la recherche dans les institutions d’enseignement supérieur et de recherche</v>
          </cell>
        </row>
        <row r="317">
          <cell r="E317">
            <v>4312</v>
          </cell>
          <cell r="F317" t="str">
            <v>Accréditation des programmes de formation et des institutions</v>
          </cell>
        </row>
        <row r="318">
          <cell r="E318">
            <v>432</v>
          </cell>
          <cell r="F318" t="str">
            <v xml:space="preserve"> Les stages pour les étudiants sont renforcés et rendus obligatoires</v>
          </cell>
        </row>
        <row r="319">
          <cell r="E319">
            <v>4321</v>
          </cell>
          <cell r="F319" t="str">
            <v>Elaboration de plans de stages</v>
          </cell>
        </row>
        <row r="320">
          <cell r="E320">
            <v>4322</v>
          </cell>
          <cell r="F320" t="str">
            <v>Création des partenariats avec le secteur privé</v>
          </cell>
        </row>
        <row r="321">
          <cell r="E321">
            <v>433</v>
          </cell>
          <cell r="F321" t="str">
            <v xml:space="preserve"> La proportion des diplômés du supérieur ayant des compétences requises notamment en STIM (sciences, en technologies, en ingénierie et en mathématiques) est nettement augmentée</v>
          </cell>
        </row>
        <row r="322">
          <cell r="E322">
            <v>4331</v>
          </cell>
          <cell r="F322" t="str">
            <v>Réforme des formations en ingénierie</v>
          </cell>
        </row>
        <row r="323">
          <cell r="E323">
            <v>4332</v>
          </cell>
          <cell r="F323" t="str">
            <v>Rénovation et équipement de laboratoires et CDI</v>
          </cell>
        </row>
        <row r="324">
          <cell r="E324">
            <v>4333</v>
          </cell>
          <cell r="F324" t="str">
            <v>Mise en œuvre du projet stratégique « 1000 PhD et 5000 Masters »</v>
          </cell>
        </row>
        <row r="325">
          <cell r="E325">
            <v>4334</v>
          </cell>
          <cell r="F325" t="str">
            <v>Augmentation des publications de travaux de recherche</v>
          </cell>
        </row>
        <row r="326">
          <cell r="E326">
            <v>4335</v>
          </cell>
          <cell r="F326" t="str">
            <v>Renforcement de l’encadrement des mémoires et thèses</v>
          </cell>
        </row>
        <row r="327">
          <cell r="E327">
            <v>434</v>
          </cell>
          <cell r="F327" t="str">
            <v xml:space="preserve"> Les structures d’accompagnement et de suivi des diplômés sur le marché du travail sont fonctionnelles</v>
          </cell>
        </row>
        <row r="328">
          <cell r="E328">
            <v>4341</v>
          </cell>
          <cell r="F328" t="str">
            <v>Création de structures d’accompagnement des étudiants diplômés</v>
          </cell>
        </row>
        <row r="329">
          <cell r="E329">
            <v>4342</v>
          </cell>
          <cell r="F329" t="str">
            <v>Pérennisation du forum des étudiants de Guinée (FEG)</v>
          </cell>
        </row>
        <row r="330">
          <cell r="E330">
            <v>4343</v>
          </cell>
          <cell r="F330" t="str">
            <v>Création des incubateurs dans les institutions</v>
          </cell>
        </row>
        <row r="331">
          <cell r="E331">
            <v>435</v>
          </cell>
          <cell r="F331" t="str">
            <v xml:space="preserve"> L’utilisation des TICE dans l’enseignement supérieur et la recherche scientifique est améliorée</v>
          </cell>
        </row>
        <row r="332">
          <cell r="E332">
            <v>4351</v>
          </cell>
          <cell r="F332" t="str">
            <v>Amélioration de la connectivité à internet (infrastructures de réseaux et bande passante) dans toutes les institutions</v>
          </cell>
        </row>
        <row r="333">
          <cell r="E333">
            <v>4352</v>
          </cell>
          <cell r="F333" t="str">
            <v>Renforcement des capacités des ressources humaines nécessaire pour prendre en charge l’utilisation des TICE</v>
          </cell>
        </row>
        <row r="334">
          <cell r="E334">
            <v>4353</v>
          </cell>
          <cell r="F334" t="str">
            <v>Renforcement de l’usage pédagogique des applications informatiques et de l’Internet (formation à distance, espaces numériques, télé-enseignement)</v>
          </cell>
        </row>
        <row r="335">
          <cell r="E335">
            <v>436</v>
          </cell>
          <cell r="F335" t="str">
            <v xml:space="preserve"> Une politique nationale de la recherche scientifique et de l’innovation est adoptée</v>
          </cell>
        </row>
        <row r="336">
          <cell r="E336">
            <v>4361</v>
          </cell>
          <cell r="F336" t="str">
            <v>Elaboration et adoption de la politique nationale de la recherche et de l’innovation technologique </v>
          </cell>
        </row>
        <row r="337">
          <cell r="E337">
            <v>437</v>
          </cell>
          <cell r="F337" t="str">
            <v xml:space="preserve"> Des financements adéquats sont alloués au programme de recherche scientifique et de l’innovation</v>
          </cell>
        </row>
        <row r="338">
          <cell r="E338">
            <v>4371</v>
          </cell>
          <cell r="F338" t="str">
            <v>Création d’un fonds de recherche et d’innovation technologique en partenariat avec le secteur privé</v>
          </cell>
        </row>
        <row r="339">
          <cell r="E339">
            <v>438</v>
          </cell>
          <cell r="F339" t="str">
            <v xml:space="preserve"> Le niveau de productions scientifiques en quantité et qualité est amélioré et les résultats de la recherche scientifique et de l’innovation sont mieux capitalisés et valorisés</v>
          </cell>
        </row>
        <row r="340">
          <cell r="E340">
            <v>4381</v>
          </cell>
          <cell r="F340" t="str">
            <v>Création de l’académie des sciences de Guinée</v>
          </cell>
        </row>
        <row r="341">
          <cell r="E341">
            <v>4382</v>
          </cell>
          <cell r="F341" t="str">
            <v>Organisation des journées scientifiques dans les institutions</v>
          </cell>
        </row>
        <row r="342">
          <cell r="E342">
            <v>4383</v>
          </cell>
          <cell r="F342" t="str">
            <v>Renforcement des capacités du personnel</v>
          </cell>
        </row>
        <row r="343">
          <cell r="E343">
            <v>4384</v>
          </cell>
          <cell r="F343" t="str">
            <v>Renforcement des moyens mis à la disposition des instituts de recherche</v>
          </cell>
        </row>
        <row r="344">
          <cell r="E344">
            <v>44</v>
          </cell>
          <cell r="F344" t="str">
            <v xml:space="preserve"> Conditions de vie du personnel enseignant et de recherche (à reporter dans le programme gouvernance)</v>
          </cell>
        </row>
        <row r="345">
          <cell r="E345">
            <v>441</v>
          </cell>
          <cell r="F345" t="str">
            <v xml:space="preserve"> L’attractivité du métier d’enseignant-chercheur est relevée</v>
          </cell>
        </row>
        <row r="346">
          <cell r="E346">
            <v>4411</v>
          </cell>
          <cell r="F346" t="str">
            <v>Augmentation des primes allouées aux grades académiques</v>
          </cell>
        </row>
        <row r="347">
          <cell r="E347">
            <v>5</v>
          </cell>
          <cell r="F347" t="str">
            <v>Gouvernance et pilotage du secteur</v>
          </cell>
        </row>
        <row r="348">
          <cell r="E348">
            <v>51</v>
          </cell>
          <cell r="F348" t="str">
            <v>Gestion des flux (mécanismes, orientations, et passerelles)</v>
          </cell>
        </row>
        <row r="349">
          <cell r="E349">
            <v>511</v>
          </cell>
          <cell r="F349" t="str">
            <v>Les acteurs se sont appropriés les textes règlementaires et les manuels de procédure définissant la gestion des flux</v>
          </cell>
        </row>
        <row r="350">
          <cell r="E350">
            <v>5111</v>
          </cell>
          <cell r="F350" t="str">
            <v>Élaboration et validation des textes et des manuels de procédures</v>
          </cell>
        </row>
        <row r="351">
          <cell r="E351">
            <v>5112</v>
          </cell>
          <cell r="F351" t="str">
            <v>Formation des acteurs de mise en œuvre des textes et des manuels de procédures</v>
          </cell>
        </row>
        <row r="352">
          <cell r="E352">
            <v>5113</v>
          </cell>
          <cell r="F352" t="str">
            <v>Suivi de la mise en œuvre des textes et manuels de procédures</v>
          </cell>
        </row>
        <row r="353">
          <cell r="E353">
            <v>512</v>
          </cell>
          <cell r="F353" t="str">
            <v>Les acteurs concernés (conseillers et enseignants, parents et communautés) contribuent au respect des normes d'orientation</v>
          </cell>
        </row>
        <row r="354">
          <cell r="E354">
            <v>5121</v>
          </cell>
          <cell r="F354" t="str">
            <v>Evaluation des compétences des conseillers à l’orientation</v>
          </cell>
        </row>
        <row r="355">
          <cell r="E355">
            <v>513</v>
          </cell>
          <cell r="F355" t="str">
            <v xml:space="preserve"> Le logiciel d'immatriculation et de suivi des élèves est amélioré et utilisé</v>
          </cell>
        </row>
        <row r="356">
          <cell r="E356">
            <v>5131</v>
          </cell>
          <cell r="F356" t="str">
            <v>Amélioration du logiciel d'immatriculation et de suivi des élèves</v>
          </cell>
        </row>
        <row r="357">
          <cell r="E357">
            <v>5131</v>
          </cell>
          <cell r="F357" t="str">
            <v>Mise à jour de la base de données d'immatriculation des élèves</v>
          </cell>
        </row>
        <row r="358">
          <cell r="E358">
            <v>5132</v>
          </cell>
          <cell r="F358" t="str">
            <v>Sensibilisation des élèves, des parents et de la communauté sur l'importance de l’ETFP</v>
          </cell>
        </row>
        <row r="359">
          <cell r="E359">
            <v>52</v>
          </cell>
          <cell r="F359" t="str">
            <v>Déconcentration, décentralisation, et partenariats (implication des communautés et des autres parties prenantes)</v>
          </cell>
        </row>
        <row r="360">
          <cell r="E360">
            <v>521</v>
          </cell>
          <cell r="F360" t="str">
            <v>Les rôles et responsabilités des acteurs sont clairement définis</v>
          </cell>
        </row>
        <row r="361">
          <cell r="E361">
            <v>5211</v>
          </cell>
          <cell r="F361" t="str">
            <v>Production de manuels de procédures pour les différents acteurs (rôles et responsabilités)</v>
          </cell>
        </row>
        <row r="362">
          <cell r="E362">
            <v>522</v>
          </cell>
          <cell r="F362" t="str">
            <v>Les acteurs ont les compétences et les ressources nécessaires pour exercer leurs missions</v>
          </cell>
        </row>
        <row r="363">
          <cell r="E363">
            <v>5221</v>
          </cell>
          <cell r="F363" t="str">
            <v>Renforcement des compétences des structures aux différents niveaux sur la programmation, planification et l’exécution budgétaire (formation, outils, guide, suivi régulier…)</v>
          </cell>
        </row>
        <row r="364">
          <cell r="E364">
            <v>5222</v>
          </cell>
          <cell r="F364" t="str">
            <v>Renforcement des rôles des structures déconcentrées dans la préparation du budget de l’état pour l’éducation</v>
          </cell>
        </row>
        <row r="365">
          <cell r="E365">
            <v>5223</v>
          </cell>
          <cell r="F365" t="str">
            <v>Suivi régulier de l’application des textes et procédures d’exécution budgétaire</v>
          </cell>
        </row>
        <row r="366">
          <cell r="E366">
            <v>53</v>
          </cell>
          <cell r="F366" t="str">
            <v xml:space="preserve"> Systèmes d’information pour la gestion de l'éducation (collecte, analyse, diffusion, et utilisation des informations) </v>
          </cell>
        </row>
        <row r="367">
          <cell r="E367">
            <v>531</v>
          </cell>
          <cell r="F367" t="str">
            <v xml:space="preserve"> La production des données permet d’offrir aux différents acteurs et utilisateurs à tous les niveaux l’information dont ils ont besoin</v>
          </cell>
        </row>
        <row r="368">
          <cell r="E368">
            <v>5311</v>
          </cell>
          <cell r="F368" t="str">
            <v>Organisation de la collecte classique</v>
          </cell>
        </row>
        <row r="369">
          <cell r="E369">
            <v>5312</v>
          </cell>
          <cell r="F369" t="str">
            <v>Mise à l’échelle de la numérisation de la collecte de données</v>
          </cell>
        </row>
        <row r="370">
          <cell r="E370">
            <v>5313</v>
          </cell>
          <cell r="F370" t="str">
            <v>Promotion de l’utilisation des données par les acteurs y compris les bénéficiaires concernés (dépliants, réunions d’échange, …)</v>
          </cell>
        </row>
        <row r="371">
          <cell r="E371">
            <v>532</v>
          </cell>
          <cell r="F371" t="str">
            <v xml:space="preserve"> Le Système d'Informations et de Gestion de l'Education est intégré et est utilisé pour la prise de décision</v>
          </cell>
        </row>
        <row r="372">
          <cell r="E372">
            <v>5321</v>
          </cell>
          <cell r="F372" t="str">
            <v>Intégration des Systèmes d'Informations et de Gestion de l'Education</v>
          </cell>
        </row>
        <row r="373">
          <cell r="E373">
            <v>5322</v>
          </cell>
          <cell r="F373" t="str">
            <v>Mise en place et actualisation d’un site web pour chaque Département ministériel</v>
          </cell>
        </row>
        <row r="374">
          <cell r="E374">
            <v>5323</v>
          </cell>
          <cell r="F374" t="str">
            <v>Renforcement des capacités des structures du secteur de l’éducation aux techniques de production des données, à l’exploitation des bases de données ; et aux techniques d’élaboration d’un rapport d’analyse</v>
          </cell>
        </row>
        <row r="375">
          <cell r="E375">
            <v>533</v>
          </cell>
          <cell r="F375" t="str">
            <v xml:space="preserve"> Le développement de la carte scolaire permet une meilleure planification et gestion du réseau des écoles, établissements/institutions  et de réduire les disparités</v>
          </cell>
        </row>
        <row r="376">
          <cell r="E376">
            <v>5331</v>
          </cell>
          <cell r="F376" t="str">
            <v>Géoréférencement des écoles, établissements, et institutions, et des localités sans école</v>
          </cell>
        </row>
        <row r="377">
          <cell r="E377">
            <v>5332</v>
          </cell>
          <cell r="F377" t="str">
            <v>Identification des sites de construction scolaire</v>
          </cell>
        </row>
        <row r="378">
          <cell r="E378">
            <v>534</v>
          </cell>
          <cell r="F378" t="str">
            <v xml:space="preserve"> Les données sont utilisées pour un meilleur pilotage du système/ les activités sont planifiées sur la base d’indicateurs de performance</v>
          </cell>
        </row>
        <row r="379">
          <cell r="E379">
            <v>5341</v>
          </cell>
          <cell r="F379" t="str">
            <v>Appui aux sessions de pilotage et suivi de la mise en œuvre des recommandations</v>
          </cell>
        </row>
        <row r="380">
          <cell r="E380">
            <v>54</v>
          </cell>
          <cell r="F380" t="str">
            <v xml:space="preserve"> Conception de plans de développement et gestion de projets</v>
          </cell>
        </row>
        <row r="381">
          <cell r="E381">
            <v>541</v>
          </cell>
          <cell r="F381" t="str">
            <v xml:space="preserve"> Les BSD ont les compétences nécessaires à la conception, l’élaboration, le suivi et l’évaluation des projets et plans de dévéloppement</v>
          </cell>
        </row>
        <row r="382">
          <cell r="E382">
            <v>5411</v>
          </cell>
          <cell r="F382" t="str">
            <v>Analyse du fonctionnement et des résultats des BSD dans ce domaine</v>
          </cell>
        </row>
        <row r="383">
          <cell r="E383">
            <v>5412</v>
          </cell>
          <cell r="F383" t="str">
            <v>Renforcement des capacités des BSD</v>
          </cell>
        </row>
        <row r="384">
          <cell r="E384">
            <v>542</v>
          </cell>
          <cell r="F384" t="str">
            <v xml:space="preserve"> Les BSD ont la compétence d’élaborer, de suivre et d’évaluer les plans de développement</v>
          </cell>
        </row>
        <row r="385">
          <cell r="E385">
            <v>5421</v>
          </cell>
          <cell r="F385" t="str">
            <v>Analyse situationnelle</v>
          </cell>
        </row>
        <row r="386">
          <cell r="E386">
            <v>5422</v>
          </cell>
          <cell r="F386" t="str">
            <v>Planification</v>
          </cell>
        </row>
        <row r="387">
          <cell r="E387">
            <v>5423</v>
          </cell>
          <cell r="F387" t="str">
            <v>Suivi et évaluation</v>
          </cell>
        </row>
        <row r="388">
          <cell r="E388">
            <v>55</v>
          </cell>
          <cell r="F388" t="str">
            <v xml:space="preserve"> Gestion des RH (recrutement, affectation, motivation, fidélisation, gestion de carrières…)</v>
          </cell>
        </row>
        <row r="389">
          <cell r="E389">
            <v>551</v>
          </cell>
          <cell r="F389" t="str">
            <v xml:space="preserve"> Assainissement et harmonisation des bases de données sur les personnels</v>
          </cell>
        </row>
        <row r="390">
          <cell r="E390">
            <v>5511</v>
          </cell>
          <cell r="F390" t="str">
            <v>Développement d'un dispositif cohérent d'assainissement et d'harmonisation des bases de données existantes (Analyse des bases de données existantes et leur harmonisation MENA)</v>
          </cell>
        </row>
        <row r="391">
          <cell r="E391">
            <v>5512</v>
          </cell>
          <cell r="F391" t="str">
            <v>Conception d'un système intégré d'information</v>
          </cell>
        </row>
        <row r="392">
          <cell r="E392">
            <v>5513</v>
          </cell>
          <cell r="F392" t="str">
            <v>Formation des gestionnaires et utilisateurs des bases à leur exploitation</v>
          </cell>
        </row>
        <row r="393">
          <cell r="E393">
            <v>552</v>
          </cell>
          <cell r="F393" t="str">
            <v xml:space="preserve"> La politique nationale de la question enseignante est définie, validée et progressivement mise en œuvre </v>
          </cell>
        </row>
        <row r="394">
          <cell r="E394">
            <v>5521</v>
          </cell>
          <cell r="F394" t="str">
            <v>Elaboration d'un état des lieux de la gestion des enseigants du primaire</v>
          </cell>
        </row>
        <row r="395">
          <cell r="E395">
            <v>5522</v>
          </cell>
          <cell r="F395" t="str">
            <v>Développement et validation de la politique nationale des enseigants</v>
          </cell>
        </row>
        <row r="396">
          <cell r="E396">
            <v>5523</v>
          </cell>
          <cell r="F396" t="str">
            <v>Mettre en place les conditions nécessaires pour rendre attractive le métier d'enseignant</v>
          </cell>
        </row>
        <row r="397">
          <cell r="E397">
            <v>553</v>
          </cell>
          <cell r="F397" t="str">
            <v xml:space="preserve"> Les procédures et critères de recrutement sont définis et respectés</v>
          </cell>
        </row>
        <row r="398">
          <cell r="E398">
            <v>5531</v>
          </cell>
          <cell r="F398" t="str">
            <v>Développement de procédures et critères de recrutement par poste</v>
          </cell>
        </row>
        <row r="399">
          <cell r="E399">
            <v>5532</v>
          </cell>
          <cell r="F399" t="str">
            <v>Sensibilisation des acteurs et partenaires sur les procédures et critères de recrutement par poste</v>
          </cell>
        </row>
        <row r="400">
          <cell r="E400">
            <v>5533</v>
          </cell>
          <cell r="F400" t="str">
            <v>Publication régulière d’informations sur le profil des recrutés et le respect des procédures</v>
          </cell>
        </row>
        <row r="401">
          <cell r="E401">
            <v>554</v>
          </cell>
          <cell r="F401" t="str">
            <v xml:space="preserve"> Les critères d’affectation sont clairement définis et respectés</v>
          </cell>
        </row>
        <row r="402">
          <cell r="E402">
            <v>5541</v>
          </cell>
          <cell r="F402" t="str">
            <v>Développement de procédures et critères d’affectation par poste</v>
          </cell>
        </row>
        <row r="403">
          <cell r="E403">
            <v>5542</v>
          </cell>
          <cell r="F403" t="str">
            <v>Sensibilisation des acteurs et partenaires sur les procédures et critères d’affectation par poste</v>
          </cell>
        </row>
        <row r="404">
          <cell r="E404">
            <v>5543</v>
          </cell>
          <cell r="F404" t="str">
            <v>Publication régulière d’informations sur les affectations/mutations et le respect des procédures</v>
          </cell>
        </row>
        <row r="405">
          <cell r="E405">
            <v>5544</v>
          </cell>
          <cell r="F405" t="str">
            <v>Missions de contrôle du respect des critères et procédures d’affectation</v>
          </cell>
        </row>
        <row r="406">
          <cell r="E406">
            <v>555</v>
          </cell>
          <cell r="F406" t="str">
            <v xml:space="preserve"> Un plan de carrière motivant est validé et utilisé dans le cadre de la gestion des carrières</v>
          </cell>
        </row>
        <row r="407">
          <cell r="E407">
            <v>5551</v>
          </cell>
          <cell r="F407" t="str">
            <v>Développement et validation du plan de carrière en collaboration avec le Ministère de la Fonction Publique et les partenaires sociaux</v>
          </cell>
        </row>
        <row r="408">
          <cell r="E408">
            <v>5552</v>
          </cell>
          <cell r="F408" t="str">
            <v>Sensibilisation et vulgarisation du plan de carrière auprès de tous les acteurs et partenaires concernés</v>
          </cell>
        </row>
        <row r="409">
          <cell r="E409">
            <v>5553</v>
          </cell>
          <cell r="F409" t="str">
            <v>Utilisation de la base de données pour le suivi de la mise en œuvre du plan de carrière</v>
          </cell>
        </row>
        <row r="410">
          <cell r="E410">
            <v>5554</v>
          </cell>
          <cell r="F410" t="str">
            <v>Poursuite de la mise en œuvre du systéme de contrôle de présence des enseignants et amélioration par l'usage du telèphone portable (en lien avec le numéro vert de la DPE)</v>
          </cell>
        </row>
        <row r="411">
          <cell r="E411">
            <v>56</v>
          </cell>
          <cell r="F411" t="str">
            <v xml:space="preserve"> Gestion des ressources financières</v>
          </cell>
        </row>
        <row r="412">
          <cell r="E412">
            <v>561</v>
          </cell>
          <cell r="F412" t="str">
            <v>Le financement du secteur est en adéquation avec les objectifs</v>
          </cell>
        </row>
        <row r="413">
          <cell r="E413">
            <v>5611</v>
          </cell>
          <cell r="F413" t="str">
            <v>Sessions de sensibilisation sur l’importance de l’éducation comme investissement auprès de différents publics (parlementaires, médias, communes, …)</v>
          </cell>
        </row>
        <row r="414">
          <cell r="E414">
            <v>5612</v>
          </cell>
          <cell r="F414" t="str">
            <v>Développement de stratégies allant dans le sens de la mobilisation des financements innovants auprès des acteurs économiques</v>
          </cell>
        </row>
        <row r="415">
          <cell r="E415">
            <v>5613</v>
          </cell>
          <cell r="F415" t="str">
            <v>Préparation des documents de plaidoyer auprès des hauts décideurs pour l’accroissement de la part du secteur de l’éducation dans le budget de l’état</v>
          </cell>
        </row>
        <row r="416">
          <cell r="E416">
            <v>562</v>
          </cell>
          <cell r="F416" t="str">
            <v xml:space="preserve"> Les structures bénéficiaires reçoivent à temps les budgets nécessaires pour la mise en œuvre de leurs activités</v>
          </cell>
        </row>
        <row r="417">
          <cell r="E417">
            <v>5621</v>
          </cell>
          <cell r="F417" t="str">
            <v>Publication des allocations budgétaires</v>
          </cell>
        </row>
        <row r="418">
          <cell r="E418">
            <v>5622</v>
          </cell>
          <cell r="F418" t="str">
            <v>Mise en œuvre de mécanismes de suivi des budgets jusqu’à l’école/établissement/institution</v>
          </cell>
        </row>
        <row r="419">
          <cell r="E419">
            <v>5623</v>
          </cell>
          <cell r="F419" t="str">
            <v>Publication des résultats des mécanismes de suivi</v>
          </cell>
        </row>
        <row r="420">
          <cell r="E420">
            <v>563</v>
          </cell>
          <cell r="F420" t="str">
            <v xml:space="preserve"> Une plus grande transparence sur l’utilisation des ressources financières permet une utilisation, conforme aux objectifs de la programmation</v>
          </cell>
        </row>
        <row r="421">
          <cell r="E421">
            <v>5631</v>
          </cell>
          <cell r="F421" t="str">
            <v>Publication des allocations budgétaires</v>
          </cell>
        </row>
        <row r="422">
          <cell r="E422">
            <v>5632</v>
          </cell>
          <cell r="F422" t="str">
            <v>Publication des rapports d’exécution budgétaire</v>
          </cell>
        </row>
        <row r="423">
          <cell r="E423">
            <v>5633</v>
          </cell>
          <cell r="F423" t="str">
            <v>Renforcement des contrôles et audits</v>
          </cell>
        </row>
        <row r="424">
          <cell r="E424">
            <v>5634</v>
          </cell>
          <cell r="F424" t="str">
            <v>Renforcement de la traçabilité des dépenses d'éducation (dépenses publiques)</v>
          </cell>
        </row>
        <row r="425">
          <cell r="E425">
            <v>57</v>
          </cell>
          <cell r="F425" t="str">
            <v xml:space="preserve"> Coordination sectorielle</v>
          </cell>
        </row>
        <row r="426">
          <cell r="E426">
            <v>571</v>
          </cell>
          <cell r="F426" t="str">
            <v xml:space="preserve"> Des organes de pilotage et de coordination interministérielles existent et fonctionnent éfficacement</v>
          </cell>
        </row>
        <row r="427">
          <cell r="E427">
            <v>5711</v>
          </cell>
          <cell r="F427" t="str">
            <v>Analyse du fonctionnement des structures de coordination et de pilotage existantes et recommandations pour l’amélioration de la coordination et de pilotage</v>
          </cell>
        </row>
        <row r="428">
          <cell r="E428">
            <v>5712</v>
          </cell>
          <cell r="F428" t="str">
            <v>Mise en œuvre des recommandations</v>
          </cell>
        </row>
        <row r="429">
          <cell r="E429">
            <v>5713</v>
          </cell>
          <cell r="F429" t="str">
            <v>Appui au fonctionnement des structures de coordination et de pilotage</v>
          </cell>
        </row>
        <row r="430">
          <cell r="E430">
            <v>5714</v>
          </cell>
          <cell r="F430" t="str">
            <v>Partage des rapports et des recommandations des structures de coordination et pilotage avec les acteurs concernés</v>
          </cell>
        </row>
        <row r="431">
          <cell r="E431">
            <v>572</v>
          </cell>
          <cell r="F431" t="str">
            <v xml:space="preserve"> Des organes de pilotage et de coordination du ProDEG sont mis en place et sont fonctionnels</v>
          </cell>
        </row>
        <row r="432">
          <cell r="E432">
            <v>5721</v>
          </cell>
          <cell r="F432" t="str">
            <v>Mise en place des instances de pilotage et de coordination</v>
          </cell>
        </row>
        <row r="433">
          <cell r="E433">
            <v>5722</v>
          </cell>
          <cell r="F433" t="str">
            <v>Opérationnalisation des instances de pilotage et de coordination</v>
          </cell>
        </row>
        <row r="434">
          <cell r="E434">
            <v>5723</v>
          </cell>
          <cell r="F434" t="str">
            <v>Préparation de la mise en œuvre du ProDEG et suivi évaluation</v>
          </cell>
        </row>
        <row r="435">
          <cell r="E435">
            <v>5724</v>
          </cell>
          <cell r="F435" t="str">
            <v>Les unités de gestion des projets d'appui à la mise en eouvre du développemet du seteur sont fonctionnelles</v>
          </cell>
        </row>
        <row r="436">
          <cell r="E436">
            <v>58</v>
          </cell>
          <cell r="F436" t="str">
            <v xml:space="preserve"> Renforcement des compétences de l’administration (cadre normatif, poste-profil, évaluation, équipement, formations…)</v>
          </cell>
        </row>
        <row r="437">
          <cell r="E437">
            <v>581</v>
          </cell>
          <cell r="F437" t="str">
            <v xml:space="preserve"> Les cadres organiques des différentes structures sont redéfinis pour que leur efficacité s’améliore </v>
          </cell>
        </row>
        <row r="438">
          <cell r="E438">
            <v>5811</v>
          </cell>
          <cell r="F438" t="str">
            <v>Évaluation des forces et faiblesses des cadres organiques à tous les niveaux</v>
          </cell>
        </row>
        <row r="439">
          <cell r="E439">
            <v>5812</v>
          </cell>
          <cell r="F439" t="str">
            <v>Développement des cadres organiques adaptés (mission, attributions, organisation, nombre et profil de postes…)</v>
          </cell>
        </row>
        <row r="440">
          <cell r="E440">
            <v>5813</v>
          </cell>
          <cell r="F440" t="str">
            <v>Dissémination des cadres organiques et sensibilisation des acteurs concernés</v>
          </cell>
        </row>
        <row r="441">
          <cell r="E441">
            <v>5814</v>
          </cell>
          <cell r="F441" t="str">
            <v>Collecte et analyse périodique d’informations sur le respect des cadres organiques</v>
          </cell>
        </row>
        <row r="442">
          <cell r="E442">
            <v>582</v>
          </cell>
          <cell r="F442" t="str">
            <v xml:space="preserve"> Le plan de relève permet l’existence continue d’un corps administratif compétent</v>
          </cell>
        </row>
        <row r="443">
          <cell r="E443">
            <v>5821</v>
          </cell>
          <cell r="F443" t="str">
            <v>Création d’un corps d’administrateurs scolaires et d’un corps d’inspecteurs</v>
          </cell>
        </row>
        <row r="444">
          <cell r="E444">
            <v>5822</v>
          </cell>
          <cell r="F444" t="str">
            <v>Organisations de formations régulières pour l’entrée dans les corps des administrateurs scolaires et des inspecteurs</v>
          </cell>
        </row>
        <row r="445">
          <cell r="E445">
            <v>5823</v>
          </cell>
          <cell r="F445" t="str">
            <v>Renforcement des compétences des administrateurs scolaires et inspecteurs (formations continues ; manuels de procédures; guides ; appui)</v>
          </cell>
        </row>
        <row r="446">
          <cell r="E446">
            <v>5824</v>
          </cell>
          <cell r="F446" t="str">
            <v>Développement régulier de plans de formation pour le personnel des différentes structures administratives</v>
          </cell>
        </row>
        <row r="447">
          <cell r="E447">
            <v>5825</v>
          </cell>
          <cell r="F447" t="str">
            <v>Mise en œuvre des plans de formation</v>
          </cell>
        </row>
        <row r="448">
          <cell r="E448">
            <v>583</v>
          </cell>
          <cell r="F448" t="str">
            <v xml:space="preserve"> Chaque structure dispose des moyens logistiques nécessaires à l’accomplissement de sa mission</v>
          </cell>
        </row>
        <row r="449">
          <cell r="E449">
            <v>5831</v>
          </cell>
          <cell r="F449" t="str">
            <v>Evaluation de l'état des lieux et dotation des services en moyens logistiques et équipements</v>
          </cell>
        </row>
        <row r="450">
          <cell r="E450">
            <v>584</v>
          </cell>
          <cell r="F450" t="str">
            <v>Les résultats des évaluations régulières des structures centrales et déconcentrées permettent d’améliorer leur performance</v>
          </cell>
        </row>
        <row r="451">
          <cell r="E451">
            <v>5841</v>
          </cell>
          <cell r="F451" t="str">
            <v>Évaluation périodique de la performance des structures et institutions dans la mise en œuvre des activités</v>
          </cell>
        </row>
        <row r="452">
          <cell r="E452">
            <v>5842</v>
          </cell>
          <cell r="F452" t="str">
            <v>Exploitation des résultats des rapports de performance</v>
          </cell>
        </row>
        <row r="453">
          <cell r="E453">
            <v>585</v>
          </cell>
          <cell r="F453" t="str">
            <v xml:space="preserve">  L’ensemble des acteurs de l’administration éducative sont conscients des vulnérabilités qui menacent la mise œuvre du ProDEG et savent comment y répondre </v>
          </cell>
        </row>
        <row r="454">
          <cell r="E454">
            <v>5851</v>
          </cell>
          <cell r="F454" t="str">
            <v>Elaboration d’une stratégie nationale de prévention et de gestion des risques et des catastrophes naturelles</v>
          </cell>
        </row>
        <row r="455">
          <cell r="E455">
            <v>5852</v>
          </cell>
          <cell r="F455" t="str">
            <v>Sensibilisation des acteurs</v>
          </cell>
        </row>
        <row r="456">
          <cell r="E456">
            <v>5853</v>
          </cell>
          <cell r="F456" t="str">
            <v>Mise en place de mécanismes de la stratégie de prévention et de gestion des risques</v>
          </cell>
        </row>
        <row r="457">
          <cell r="E457">
            <v>6</v>
          </cell>
          <cell r="F457" t="str">
            <v>Education et alphabétisation des adultes</v>
          </cell>
        </row>
        <row r="458">
          <cell r="E458">
            <v>61</v>
          </cell>
          <cell r="F458" t="str">
            <v>Mobilisation sociale pour l’accroissement des financements de l’AEA</v>
          </cell>
        </row>
        <row r="459">
          <cell r="E459">
            <v>611</v>
          </cell>
          <cell r="F459" t="str">
            <v xml:space="preserve"> les acteurs et les PTF concernés sont mobilisés en faveur de l’AEA.</v>
          </cell>
        </row>
        <row r="460">
          <cell r="E460">
            <v>6111</v>
          </cell>
          <cell r="F460" t="str">
            <v>Sensibilisation et plaidoyer en faveur de l'AEA</v>
          </cell>
        </row>
        <row r="461">
          <cell r="E461">
            <v>6112</v>
          </cell>
          <cell r="F461" t="str">
            <v>Augmentation des budgets alloués à l'AEA</v>
          </cell>
        </row>
        <row r="462">
          <cell r="E462">
            <v>6113</v>
          </cell>
          <cell r="F462" t="str">
            <v>Développement de partenariats en faveur des activités d'AEA</v>
          </cell>
        </row>
        <row r="463">
          <cell r="E463">
            <v>6114</v>
          </cell>
          <cell r="F463" t="str">
            <v>Mise en place d'un dispositif de financement de l'alphabétisation</v>
          </cell>
        </row>
        <row r="464">
          <cell r="E464">
            <v>612</v>
          </cell>
          <cell r="F464" t="str">
            <v xml:space="preserve"> Une synergie d’actions existe entre les différents départements intervenant en AEA </v>
          </cell>
        </row>
        <row r="465">
          <cell r="E465">
            <v>6121</v>
          </cell>
          <cell r="F465" t="str">
            <v>Développement et mise en place d'un cadre de concertation</v>
          </cell>
        </row>
        <row r="466">
          <cell r="E466">
            <v>6122</v>
          </cell>
          <cell r="F466" t="str">
            <v>Renforcement des capacités de plaidoyer et de suivi des structures en charge de l'AEA</v>
          </cell>
        </row>
        <row r="467">
          <cell r="E467">
            <v>62</v>
          </cell>
          <cell r="F467" t="str">
            <v xml:space="preserve"> Diversification des approches pour un plus grand accès équitable (modèles, des types de  centres )</v>
          </cell>
        </row>
        <row r="468">
          <cell r="E468">
            <v>621</v>
          </cell>
          <cell r="F468" t="str">
            <v>Plusieurs approches et modèles sont identifiées, validées et développées dans l’AEA</v>
          </cell>
        </row>
        <row r="469">
          <cell r="E469">
            <v>6211</v>
          </cell>
          <cell r="F469" t="str">
            <v>Renforcement des capacités des acteurs sur les nouvelles approches</v>
          </cell>
        </row>
        <row r="470">
          <cell r="E470">
            <v>6212</v>
          </cell>
          <cell r="F470" t="str">
            <v>Mise en œuvre et suivi évaluation de l'apprentissage</v>
          </cell>
        </row>
        <row r="471">
          <cell r="E471">
            <v>63</v>
          </cell>
          <cell r="F471" t="str">
            <v xml:space="preserve"> Amélioration de la qualité </v>
          </cell>
        </row>
        <row r="472">
          <cell r="E472">
            <v>631</v>
          </cell>
          <cell r="F472" t="str">
            <v xml:space="preserve"> Les curricula sont adaptés et maitrisés par les opérateurs et les formateurs</v>
          </cell>
        </row>
        <row r="473">
          <cell r="E473">
            <v>6311</v>
          </cell>
          <cell r="F473" t="str">
            <v>Révision et d'adaptation des curricula de l'AEA</v>
          </cell>
        </row>
        <row r="474">
          <cell r="E474">
            <v>6312</v>
          </cell>
          <cell r="F474" t="str">
            <v>Formation sur les nouveaux curricula</v>
          </cell>
        </row>
        <row r="475">
          <cell r="E475">
            <v>632</v>
          </cell>
          <cell r="F475" t="str">
            <v xml:space="preserve"> Les bonnes pratiques d’AENF sont identifiées, améliorées et partagées</v>
          </cell>
        </row>
        <row r="476">
          <cell r="E476">
            <v>6321</v>
          </cell>
          <cell r="F476" t="str">
            <v>Mise en place d'un dispositif d'identification des innovations</v>
          </cell>
        </row>
        <row r="477">
          <cell r="E477">
            <v>633</v>
          </cell>
          <cell r="F477" t="str">
            <v xml:space="preserve"> Des modules de formation en andragogie sont intégrés dans les cursus de la formation initiale des enseignants</v>
          </cell>
        </row>
        <row r="478">
          <cell r="E478">
            <v>6331</v>
          </cell>
          <cell r="F478" t="str">
            <v>Développement de modules de formations</v>
          </cell>
        </row>
        <row r="479">
          <cell r="E479">
            <v>6332</v>
          </cell>
          <cell r="F479" t="str">
            <v>Implantation des modules de formation sur l'AENF</v>
          </cell>
        </row>
        <row r="480">
          <cell r="E480">
            <v>634</v>
          </cell>
          <cell r="F480" t="str">
            <v xml:space="preserve"> Un dispositif d’accréditation des différents niveaux et de certification en AENF est mis en place.</v>
          </cell>
        </row>
        <row r="481">
          <cell r="E481">
            <v>6341</v>
          </cell>
          <cell r="F481" t="str">
            <v>Définition du dispositif de certification</v>
          </cell>
        </row>
        <row r="482">
          <cell r="E482">
            <v>6342</v>
          </cell>
          <cell r="F482" t="str">
            <v>Certification des apprenants</v>
          </cell>
        </row>
        <row r="483">
          <cell r="E483">
            <v>635</v>
          </cell>
          <cell r="F483" t="str">
            <v xml:space="preserve"> Les compétences linguistiques, pédagogiques et andragogiques des moniteurs, des éducateurs, des animateurs et autres sont renforcées.</v>
          </cell>
        </row>
        <row r="484">
          <cell r="E484">
            <v>6351</v>
          </cell>
          <cell r="F484" t="str">
            <v>Élaboration du matériel et du dispositif de formation</v>
          </cell>
        </row>
        <row r="485">
          <cell r="E485">
            <v>6352</v>
          </cell>
          <cell r="F485" t="str">
            <v>Mise en place du dispositif et organisation régulière des formations</v>
          </cell>
        </row>
        <row r="486">
          <cell r="E486">
            <v>636</v>
          </cell>
          <cell r="F486" t="str">
            <v>Identification de l'ensemble des opérateurs de l'AEA</v>
          </cell>
        </row>
        <row r="487">
          <cell r="E487">
            <v>6362</v>
          </cell>
          <cell r="F487" t="str">
            <v>Production de livrets et de guides</v>
          </cell>
        </row>
        <row r="488">
          <cell r="E488">
            <v>6363</v>
          </cell>
          <cell r="F488" t="str">
            <v>Financement des activités d'AENF pour les operateurs</v>
          </cell>
        </row>
        <row r="489">
          <cell r="E489">
            <v>637</v>
          </cell>
          <cell r="F489" t="str">
            <v xml:space="preserve">Le matériel didactique approprié est disponible en quantité suffisante </v>
          </cell>
        </row>
        <row r="490">
          <cell r="E490">
            <v>6371</v>
          </cell>
          <cell r="F490" t="str">
            <v>Acquisition et distribution de matériel didactique</v>
          </cell>
        </row>
        <row r="491">
          <cell r="E491">
            <v>638</v>
          </cell>
          <cell r="F491" t="str">
            <v xml:space="preserve"> Le suivi évaluation des activités d'AEA est amélioré et systématisé au niveau central et déconcentré </v>
          </cell>
        </row>
        <row r="492">
          <cell r="E492">
            <v>6381</v>
          </cell>
          <cell r="F492" t="str">
            <v>Renforcement des capacités en suivi, évaluation et contrôle au niveau central et local</v>
          </cell>
        </row>
        <row r="493">
          <cell r="E493">
            <v>6382</v>
          </cell>
          <cell r="F493" t="str">
            <v>Renforcement des capacités des cadres et agents d'encadrement</v>
          </cell>
        </row>
        <row r="494">
          <cell r="E494">
            <v>6383</v>
          </cell>
          <cell r="F494" t="str">
            <v>Organisation annuelle de la journée internationale de l'alphabétisation</v>
          </cell>
        </row>
        <row r="495">
          <cell r="E495">
            <v>64</v>
          </cell>
          <cell r="F495" t="str">
            <v xml:space="preserve">Développement de la Post-alphabétisation </v>
          </cell>
        </row>
        <row r="496">
          <cell r="E496">
            <v>641</v>
          </cell>
          <cell r="F496" t="str">
            <v xml:space="preserve">Promotion du développement de la production écrite en langues nationales </v>
          </cell>
        </row>
        <row r="497">
          <cell r="E497">
            <v>6411</v>
          </cell>
          <cell r="F497" t="str">
            <v>Promouvoir la production endogène des ouvrages, journaux, etc écrits en langues nationales</v>
          </cell>
        </row>
        <row r="498">
          <cell r="E498">
            <v>6412</v>
          </cell>
          <cell r="F498" t="str">
            <v>Développement d'actions de plaidoyer pour la production d'enseignes et d'écriteaux en langues nationales</v>
          </cell>
        </row>
        <row r="499">
          <cell r="E499">
            <v>6413</v>
          </cell>
          <cell r="F499" t="str">
            <v>Redynamisation des bibliothèques villageoise</v>
          </cell>
        </row>
        <row r="500">
          <cell r="E500">
            <v>642</v>
          </cell>
          <cell r="F500" t="str">
            <v xml:space="preserve"> Les activités génératrices de revenus sont encouragées et soutenues (autour des structures d'alphabétisation)</v>
          </cell>
        </row>
        <row r="501">
          <cell r="E501">
            <v>6421</v>
          </cell>
          <cell r="F501" t="str">
            <v>Promotion de l'organisation des alphabétisés et des alphabétiseurs en Groupement de métier</v>
          </cell>
        </row>
        <row r="502">
          <cell r="E502">
            <v>6422</v>
          </cell>
          <cell r="F502" t="str">
            <v>Développement de modules de formation en matière de gestion financière, organisation paysanne et communication et formation des membres des groupements</v>
          </cell>
        </row>
        <row r="503">
          <cell r="E503">
            <v>643</v>
          </cell>
          <cell r="F503" t="str">
            <v xml:space="preserve"> Les activités de post alphabétisation sont soutenues </v>
          </cell>
        </row>
        <row r="504">
          <cell r="E504">
            <v>6431</v>
          </cell>
          <cell r="F504" t="str">
            <v>Organisation systématique de formation en post alphabétisation pour les néoalphabétisés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AMMES"/>
      <sheetName val="SOUSPROGRAMMES"/>
      <sheetName val="RESULTATS"/>
      <sheetName val="STRATEGIES"/>
      <sheetName val="Feuil4"/>
      <sheetName val="ACTIVITES"/>
      <sheetName val="PAPB"/>
      <sheetName val="Répartition BAS"/>
      <sheetName val="Feuil2"/>
      <sheetName val="Feuil1"/>
      <sheetName val="Feuil3"/>
      <sheetName val="Feuil5"/>
      <sheetName val="Financement"/>
      <sheetName val="CU"/>
      <sheetName val="PA_programme_bailleur"/>
      <sheetName val="PA_programme"/>
      <sheetName val="PA_program&amp;sous-prog"/>
      <sheetName val="PA_besoinsfinancements"/>
      <sheetName val="MSFE"/>
      <sheetName val="CDMT"/>
      <sheetName val="CDMT2"/>
      <sheetName val="CDMT3"/>
      <sheetName val="BND"/>
      <sheetName val="Programmes_CDM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5">
          <cell r="C5" t="str">
            <v>h/j/f</v>
          </cell>
          <cell r="D5">
            <v>730000</v>
          </cell>
          <cell r="E5">
            <v>650000</v>
          </cell>
          <cell r="G5">
            <v>650000</v>
          </cell>
          <cell r="H5">
            <v>0.67666666666666664</v>
          </cell>
          <cell r="I5">
            <v>74.358974358974351</v>
          </cell>
          <cell r="J5" t="str">
            <v>3. Formation</v>
          </cell>
        </row>
        <row r="6">
          <cell r="C6" t="str">
            <v>h/j/fr</v>
          </cell>
          <cell r="E6">
            <v>546000</v>
          </cell>
          <cell r="H6">
            <v>0.54600000000000004</v>
          </cell>
          <cell r="I6">
            <v>60</v>
          </cell>
          <cell r="J6" t="str">
            <v>3. Formation</v>
          </cell>
        </row>
        <row r="7">
          <cell r="C7" t="str">
            <v>h/f</v>
          </cell>
          <cell r="E7">
            <v>1500000</v>
          </cell>
          <cell r="H7">
            <v>1.5</v>
          </cell>
          <cell r="I7">
            <v>164.83516483516485</v>
          </cell>
          <cell r="J7" t="str">
            <v>3. Formation</v>
          </cell>
        </row>
        <row r="8">
          <cell r="C8" t="str">
            <v>h/j/fp</v>
          </cell>
          <cell r="E8">
            <v>450000</v>
          </cell>
          <cell r="H8">
            <v>0.45</v>
          </cell>
          <cell r="I8">
            <v>49.450549450549453</v>
          </cell>
          <cell r="J8" t="str">
            <v>3. Formation</v>
          </cell>
        </row>
        <row r="9">
          <cell r="C9" t="str">
            <v>h/j/ap</v>
          </cell>
          <cell r="D9">
            <v>300000</v>
          </cell>
          <cell r="E9">
            <v>210000</v>
          </cell>
          <cell r="H9">
            <v>0.255</v>
          </cell>
          <cell r="I9">
            <v>28.021978021978022</v>
          </cell>
          <cell r="J9" t="str">
            <v>3. Dépenses de fonctionnement</v>
          </cell>
        </row>
        <row r="10">
          <cell r="C10" t="str">
            <v>h/j/a</v>
          </cell>
          <cell r="D10">
            <v>730000</v>
          </cell>
          <cell r="E10">
            <v>210000</v>
          </cell>
          <cell r="G10">
            <v>0</v>
          </cell>
          <cell r="H10">
            <v>0.3133333333333333</v>
          </cell>
          <cell r="I10">
            <v>34.432234432234431</v>
          </cell>
          <cell r="J10" t="str">
            <v>3. Formation</v>
          </cell>
        </row>
        <row r="11">
          <cell r="C11" t="str">
            <v>h/j/m</v>
          </cell>
          <cell r="D11">
            <v>720000</v>
          </cell>
          <cell r="E11">
            <v>483333.33333333331</v>
          </cell>
          <cell r="G11">
            <v>1250000</v>
          </cell>
          <cell r="H11">
            <v>0.8177777777777776</v>
          </cell>
          <cell r="I11">
            <v>89.865689865689845</v>
          </cell>
          <cell r="J11" t="str">
            <v>3. Dépenses de fonctionnement</v>
          </cell>
        </row>
        <row r="12">
          <cell r="C12" t="str">
            <v>h/an/fa</v>
          </cell>
          <cell r="D12">
            <v>252000000</v>
          </cell>
          <cell r="H12">
            <v>252</v>
          </cell>
          <cell r="I12">
            <v>27692.307692307691</v>
          </cell>
          <cell r="J12" t="str">
            <v>3. Formation</v>
          </cell>
        </row>
        <row r="13">
          <cell r="C13" t="str">
            <v>h/an/fe</v>
          </cell>
          <cell r="D13">
            <v>95900000</v>
          </cell>
          <cell r="F13">
            <v>120000000</v>
          </cell>
          <cell r="H13">
            <v>107.95</v>
          </cell>
          <cell r="I13">
            <v>11862.637362637362</v>
          </cell>
          <cell r="J13" t="str">
            <v>3. Formation</v>
          </cell>
        </row>
        <row r="14">
          <cell r="C14" t="str">
            <v>voy/per</v>
          </cell>
          <cell r="D14">
            <v>38115000</v>
          </cell>
          <cell r="G14">
            <v>42525000</v>
          </cell>
          <cell r="H14">
            <v>40.32</v>
          </cell>
          <cell r="I14">
            <v>4430.7692307692305</v>
          </cell>
          <cell r="J14" t="str">
            <v>3. Formation</v>
          </cell>
        </row>
        <row r="15">
          <cell r="C15" t="str">
            <v>mallette</v>
          </cell>
          <cell r="G15">
            <v>1764000</v>
          </cell>
          <cell r="H15">
            <v>1.764</v>
          </cell>
          <cell r="I15">
            <v>193.84615384615384</v>
          </cell>
          <cell r="J15" t="str">
            <v>3. Formation</v>
          </cell>
        </row>
        <row r="16">
          <cell r="C16" t="str">
            <v>CU/apprenant</v>
          </cell>
          <cell r="G16">
            <v>41256.107855395763</v>
          </cell>
          <cell r="H16">
            <v>4.1256107855395761E-2</v>
          </cell>
          <cell r="I16">
            <v>4.5336382258676666</v>
          </cell>
          <cell r="J16" t="str">
            <v>3. Formation</v>
          </cell>
        </row>
        <row r="17">
          <cell r="C17" t="str">
            <v>Cu/fe</v>
          </cell>
          <cell r="G17">
            <v>50336534</v>
          </cell>
          <cell r="H17">
            <v>50.336534</v>
          </cell>
          <cell r="I17">
            <v>5531.4872527472526</v>
          </cell>
          <cell r="J17" t="str">
            <v>3. Formation</v>
          </cell>
        </row>
        <row r="18">
          <cell r="C18" t="str">
            <v>Form/an/étranger</v>
          </cell>
          <cell r="F18">
            <v>100000000</v>
          </cell>
          <cell r="H18">
            <v>100</v>
          </cell>
          <cell r="I18">
            <v>10989.010989010989</v>
          </cell>
          <cell r="J18" t="str">
            <v>3. Formation</v>
          </cell>
        </row>
        <row r="19">
          <cell r="C19" t="str">
            <v>h/j/d</v>
          </cell>
          <cell r="G19">
            <v>50000</v>
          </cell>
          <cell r="H19">
            <v>0.05</v>
          </cell>
          <cell r="I19">
            <v>5.4945054945054945</v>
          </cell>
          <cell r="J19" t="str">
            <v>3. Dépenses de fonctionnement</v>
          </cell>
        </row>
        <row r="20">
          <cell r="C20" t="str">
            <v>doc/pol</v>
          </cell>
          <cell r="E20">
            <v>1006586350</v>
          </cell>
          <cell r="H20">
            <v>1006.58635</v>
          </cell>
          <cell r="I20">
            <v>110613.88461538461</v>
          </cell>
          <cell r="J20" t="str">
            <v>3. Dépenses de fonctionnement</v>
          </cell>
        </row>
        <row r="21">
          <cell r="C21" t="str">
            <v>Acc/prog</v>
          </cell>
          <cell r="F21">
            <v>57600000</v>
          </cell>
          <cell r="H21">
            <v>57.6</v>
          </cell>
          <cell r="I21">
            <v>6329.6703296703299</v>
          </cell>
          <cell r="J21" t="str">
            <v>3. Dépenses de fonctionnement</v>
          </cell>
        </row>
        <row r="22">
          <cell r="J22" t="str">
            <v>3. Dépenses de fonctionnement</v>
          </cell>
        </row>
        <row r="23">
          <cell r="C23" t="str">
            <v>diffusion/n</v>
          </cell>
          <cell r="D23">
            <v>1500000</v>
          </cell>
          <cell r="E23">
            <v>1500000</v>
          </cell>
          <cell r="H23">
            <v>1.5</v>
          </cell>
          <cell r="I23">
            <v>164.83516483516485</v>
          </cell>
          <cell r="J23" t="str">
            <v>3. Dépenses de fonctionnement</v>
          </cell>
        </row>
        <row r="24">
          <cell r="C24" t="str">
            <v>diffusion</v>
          </cell>
          <cell r="E24">
            <v>400000</v>
          </cell>
          <cell r="H24">
            <v>0.4</v>
          </cell>
          <cell r="I24">
            <v>43.956043956043956</v>
          </cell>
          <cell r="J24" t="str">
            <v>3. Dépenses de fonctionnement</v>
          </cell>
        </row>
        <row r="25">
          <cell r="C25" t="str">
            <v>Campagne</v>
          </cell>
          <cell r="G25">
            <v>45936800</v>
          </cell>
          <cell r="H25">
            <v>45.936799999999998</v>
          </cell>
          <cell r="I25">
            <v>5048</v>
          </cell>
          <cell r="J25" t="str">
            <v>3. Dépenses de fonctionnement</v>
          </cell>
        </row>
        <row r="26">
          <cell r="C26" t="str">
            <v>Forfait/com</v>
          </cell>
          <cell r="G26">
            <v>50536800</v>
          </cell>
          <cell r="H26">
            <v>50.536799999999999</v>
          </cell>
          <cell r="I26">
            <v>5553.4945054945056</v>
          </cell>
          <cell r="J26" t="str">
            <v>3. Dépenses de fonctionnement</v>
          </cell>
        </row>
        <row r="27">
          <cell r="C27" t="str">
            <v>Kit/DSEE</v>
          </cell>
          <cell r="G27">
            <v>30702576.112412177</v>
          </cell>
          <cell r="H27">
            <v>30.702576112412178</v>
          </cell>
          <cell r="I27">
            <v>3373.9094629024371</v>
          </cell>
          <cell r="J27" t="str">
            <v>3. Dépenses de fonctionnement</v>
          </cell>
        </row>
        <row r="28">
          <cell r="C28" t="str">
            <v>IMP</v>
          </cell>
          <cell r="E28">
            <v>7500</v>
          </cell>
          <cell r="H28">
            <v>7.4999999999999997E-3</v>
          </cell>
          <cell r="I28">
            <v>0.82417582417582413</v>
          </cell>
          <cell r="J28" t="str">
            <v>3. Dépenses de fonctionnement</v>
          </cell>
        </row>
        <row r="29">
          <cell r="C29" t="str">
            <v>annuaire</v>
          </cell>
          <cell r="G29">
            <v>385000</v>
          </cell>
          <cell r="H29">
            <v>0.38500000000000001</v>
          </cell>
          <cell r="I29">
            <v>42.307692307692307</v>
          </cell>
          <cell r="J29" t="str">
            <v>3. Dépenses de fonctionnement</v>
          </cell>
        </row>
        <row r="30">
          <cell r="C30" t="str">
            <v>Heb/site</v>
          </cell>
          <cell r="F30">
            <v>40000000</v>
          </cell>
          <cell r="H30">
            <v>40</v>
          </cell>
          <cell r="I30">
            <v>4395.6043956043959</v>
          </cell>
          <cell r="J30" t="str">
            <v>3. Dépenses de fonctionnement</v>
          </cell>
        </row>
        <row r="31">
          <cell r="C31" t="str">
            <v>abon/an/MESRS</v>
          </cell>
          <cell r="F31">
            <v>180000000</v>
          </cell>
          <cell r="H31">
            <v>180</v>
          </cell>
          <cell r="I31">
            <v>19780.219780219781</v>
          </cell>
          <cell r="J31" t="str">
            <v>3. Dépenses de fonctionnement</v>
          </cell>
        </row>
        <row r="32">
          <cell r="C32" t="str">
            <v>abon/an</v>
          </cell>
          <cell r="G32">
            <v>24000000</v>
          </cell>
          <cell r="H32">
            <v>24</v>
          </cell>
          <cell r="I32">
            <v>2637.3626373626375</v>
          </cell>
          <cell r="J32" t="str">
            <v>3. Dépenses de fonctionnement</v>
          </cell>
        </row>
        <row r="33">
          <cell r="C33" t="str">
            <v>Internet</v>
          </cell>
          <cell r="G33">
            <v>49796365</v>
          </cell>
          <cell r="H33">
            <v>49.796365000000002</v>
          </cell>
          <cell r="I33">
            <v>5472.1280219780219</v>
          </cell>
          <cell r="J33" t="str">
            <v>3. Dépenses de fonctionnement</v>
          </cell>
        </row>
        <row r="34">
          <cell r="C34" t="str">
            <v>chargeur solaire</v>
          </cell>
          <cell r="E34">
            <v>525000</v>
          </cell>
          <cell r="H34">
            <v>0.52500000000000002</v>
          </cell>
          <cell r="I34">
            <v>57.692307692307693</v>
          </cell>
          <cell r="J34" t="str">
            <v>3. Dépenses de fonctionnement</v>
          </cell>
        </row>
        <row r="35">
          <cell r="C35" t="str">
            <v>Clé3G</v>
          </cell>
          <cell r="D35">
            <v>500000</v>
          </cell>
          <cell r="E35">
            <v>450000</v>
          </cell>
          <cell r="F35">
            <v>500000</v>
          </cell>
          <cell r="H35">
            <v>0.48333333333333334</v>
          </cell>
          <cell r="I35">
            <v>53.11355311355311</v>
          </cell>
          <cell r="J35" t="str">
            <v>3. Dépenses de fonctionnement</v>
          </cell>
        </row>
        <row r="36">
          <cell r="C36" t="str">
            <v>tèl+puce</v>
          </cell>
          <cell r="G36">
            <v>200000</v>
          </cell>
          <cell r="H36">
            <v>0.2</v>
          </cell>
          <cell r="I36">
            <v>21.978021978021978</v>
          </cell>
          <cell r="J36" t="str">
            <v>3. Dépenses de fonctionnement</v>
          </cell>
        </row>
        <row r="37">
          <cell r="J37" t="str">
            <v>5. Investissement</v>
          </cell>
        </row>
        <row r="38">
          <cell r="C38" t="str">
            <v>installation</v>
          </cell>
          <cell r="G38">
            <v>57000000</v>
          </cell>
          <cell r="H38">
            <v>57</v>
          </cell>
          <cell r="I38">
            <v>6263.7362637362639</v>
          </cell>
          <cell r="J38" t="str">
            <v>5. Investissement</v>
          </cell>
        </row>
        <row r="39">
          <cell r="C39" t="str">
            <v>EQ/CEC</v>
          </cell>
          <cell r="G39">
            <v>18750000</v>
          </cell>
          <cell r="H39">
            <v>18.75</v>
          </cell>
          <cell r="I39">
            <v>2060.4395604395604</v>
          </cell>
          <cell r="J39" t="str">
            <v>5. Investissement</v>
          </cell>
        </row>
        <row r="40">
          <cell r="C40" t="str">
            <v>EQ/SDC/pr</v>
          </cell>
          <cell r="G40">
            <v>31675000</v>
          </cell>
          <cell r="H40">
            <v>31.675000000000001</v>
          </cell>
          <cell r="I40">
            <v>3480.7692307692309</v>
          </cell>
          <cell r="J40" t="str">
            <v>5. Investissement</v>
          </cell>
        </row>
        <row r="41">
          <cell r="C41" t="str">
            <v>EQ/SDC/prim</v>
          </cell>
          <cell r="G41">
            <v>23333333.333333332</v>
          </cell>
          <cell r="H41">
            <v>23.333333333333332</v>
          </cell>
          <cell r="I41">
            <v>2564.102564102564</v>
          </cell>
          <cell r="J41" t="str">
            <v>5. Investissement</v>
          </cell>
        </row>
        <row r="42">
          <cell r="C42" t="str">
            <v>EQ/SDC/col</v>
          </cell>
          <cell r="G42">
            <v>35000000</v>
          </cell>
          <cell r="H42">
            <v>35</v>
          </cell>
          <cell r="I42">
            <v>3846.1538461538462</v>
          </cell>
          <cell r="J42" t="str">
            <v>5. Investissement</v>
          </cell>
        </row>
        <row r="43">
          <cell r="C43" t="str">
            <v>EQ/SDC/lyc</v>
          </cell>
          <cell r="G43">
            <v>45833333.333333336</v>
          </cell>
          <cell r="H43">
            <v>45.833333333333336</v>
          </cell>
          <cell r="I43">
            <v>5036.6300366300366</v>
          </cell>
          <cell r="J43" t="str">
            <v>5. Investissement</v>
          </cell>
        </row>
        <row r="44">
          <cell r="C44" t="str">
            <v>EQ/infirmerie</v>
          </cell>
          <cell r="E44">
            <v>39550000</v>
          </cell>
          <cell r="H44">
            <v>39.549999999999997</v>
          </cell>
          <cell r="I44">
            <v>4346.1538461538457</v>
          </cell>
          <cell r="J44" t="str">
            <v>5. Investissement</v>
          </cell>
        </row>
        <row r="45">
          <cell r="C45" t="str">
            <v>EQ/sal/inf</v>
          </cell>
          <cell r="D45">
            <v>12791010</v>
          </cell>
          <cell r="H45">
            <v>12.79101</v>
          </cell>
          <cell r="I45">
            <v>1405.6054945054946</v>
          </cell>
          <cell r="J45" t="str">
            <v>5. Investissement</v>
          </cell>
        </row>
        <row r="46">
          <cell r="C46" t="str">
            <v>mob/nafa</v>
          </cell>
          <cell r="E46">
            <v>10012500</v>
          </cell>
          <cell r="H46">
            <v>10.012499999999999</v>
          </cell>
          <cell r="I46">
            <v>1100.2747252747254</v>
          </cell>
          <cell r="J46" t="str">
            <v>5. Investissement</v>
          </cell>
        </row>
        <row r="47">
          <cell r="C47" t="str">
            <v>EQ/nafa</v>
          </cell>
          <cell r="G47">
            <v>8336331.8181818174</v>
          </cell>
          <cell r="H47">
            <v>8.3363318181818169</v>
          </cell>
          <cell r="I47">
            <v>916.0804195804194</v>
          </cell>
          <cell r="J47" t="str">
            <v>5. Investissement</v>
          </cell>
        </row>
        <row r="48">
          <cell r="C48" t="str">
            <v>EQ/bib/vill</v>
          </cell>
          <cell r="E48">
            <v>45000000</v>
          </cell>
          <cell r="H48">
            <v>45</v>
          </cell>
          <cell r="I48">
            <v>4945.0549450549452</v>
          </cell>
          <cell r="J48" t="str">
            <v>5. Investissement</v>
          </cell>
        </row>
        <row r="49">
          <cell r="C49" t="str">
            <v>ordin/portable</v>
          </cell>
          <cell r="D49">
            <v>6000000</v>
          </cell>
          <cell r="E49">
            <v>6000000</v>
          </cell>
          <cell r="F49">
            <v>7000000</v>
          </cell>
          <cell r="H49">
            <v>6.333333333333333</v>
          </cell>
          <cell r="I49">
            <v>695.97069597069594</v>
          </cell>
          <cell r="J49" t="str">
            <v>5. Investissement</v>
          </cell>
        </row>
        <row r="50">
          <cell r="C50" t="str">
            <v>Poste de travail</v>
          </cell>
          <cell r="D50">
            <v>6754804</v>
          </cell>
          <cell r="E50">
            <v>15350000</v>
          </cell>
          <cell r="F50">
            <v>8000000</v>
          </cell>
          <cell r="H50">
            <v>10.034934666666667</v>
          </cell>
          <cell r="I50">
            <v>1102.7400732600731</v>
          </cell>
          <cell r="J50" t="str">
            <v>5. Investissement</v>
          </cell>
        </row>
        <row r="51">
          <cell r="C51" t="str">
            <v>ordinateur</v>
          </cell>
          <cell r="G51">
            <v>5000000</v>
          </cell>
          <cell r="H51">
            <v>5</v>
          </cell>
          <cell r="I51">
            <v>549.45054945054949</v>
          </cell>
          <cell r="J51" t="str">
            <v>5. Investissement</v>
          </cell>
        </row>
        <row r="52">
          <cell r="C52" t="str">
            <v>logiciel</v>
          </cell>
          <cell r="G52">
            <v>10500000</v>
          </cell>
          <cell r="H52">
            <v>10.5</v>
          </cell>
          <cell r="I52">
            <v>1153.8461538461538</v>
          </cell>
          <cell r="J52" t="str">
            <v>5. Investissement</v>
          </cell>
        </row>
        <row r="53">
          <cell r="C53" t="str">
            <v>serveur</v>
          </cell>
          <cell r="E53">
            <v>43000000</v>
          </cell>
          <cell r="F53">
            <v>17000000</v>
          </cell>
          <cell r="H53">
            <v>30</v>
          </cell>
          <cell r="I53">
            <v>3296.7032967032969</v>
          </cell>
          <cell r="J53" t="str">
            <v>5. Investissement</v>
          </cell>
        </row>
        <row r="54">
          <cell r="C54" t="str">
            <v>tablette</v>
          </cell>
          <cell r="E54">
            <v>3000000</v>
          </cell>
          <cell r="H54">
            <v>3</v>
          </cell>
          <cell r="I54">
            <v>329.67032967032969</v>
          </cell>
          <cell r="J54" t="str">
            <v>5. Investissement</v>
          </cell>
        </row>
        <row r="55">
          <cell r="C55" t="str">
            <v>disque dur externe</v>
          </cell>
          <cell r="D55">
            <v>1200000</v>
          </cell>
          <cell r="H55">
            <v>1.2</v>
          </cell>
          <cell r="I55">
            <v>131.86813186813185</v>
          </cell>
          <cell r="J55" t="str">
            <v>5. Investissement</v>
          </cell>
        </row>
        <row r="56">
          <cell r="C56" t="str">
            <v>photocopieur</v>
          </cell>
          <cell r="D56">
            <v>7600000</v>
          </cell>
          <cell r="E56">
            <v>7000000</v>
          </cell>
          <cell r="H56">
            <v>7.3</v>
          </cell>
          <cell r="I56">
            <v>802.19780219780216</v>
          </cell>
          <cell r="J56" t="str">
            <v>5. Investissement</v>
          </cell>
        </row>
        <row r="57">
          <cell r="C57" t="str">
            <v>vidproj</v>
          </cell>
          <cell r="G57">
            <v>5250000</v>
          </cell>
          <cell r="H57">
            <v>5.25</v>
          </cell>
          <cell r="I57">
            <v>576.92307692307691</v>
          </cell>
          <cell r="J57" t="str">
            <v>5. Investissement</v>
          </cell>
        </row>
        <row r="58">
          <cell r="C58" t="str">
            <v>EQ/Sal/inf</v>
          </cell>
          <cell r="G58">
            <v>58400000</v>
          </cell>
          <cell r="H58">
            <v>58.4</v>
          </cell>
          <cell r="I58">
            <v>6417.5824175824173</v>
          </cell>
          <cell r="J58" t="str">
            <v>5. Investissement</v>
          </cell>
        </row>
        <row r="59">
          <cell r="C59" t="str">
            <v>equip/CFP</v>
          </cell>
          <cell r="D59">
            <v>16391000000</v>
          </cell>
          <cell r="H59">
            <v>16391</v>
          </cell>
          <cell r="I59">
            <v>1801208.7912087913</v>
          </cell>
          <cell r="J59" t="str">
            <v>5. Investissement</v>
          </cell>
        </row>
        <row r="60">
          <cell r="C60" t="str">
            <v>equip/ENI</v>
          </cell>
          <cell r="D60">
            <v>645370050</v>
          </cell>
          <cell r="H60">
            <v>645.37004999999999</v>
          </cell>
          <cell r="I60">
            <v>70919.78571428571</v>
          </cell>
          <cell r="J60" t="str">
            <v>5. Investissement</v>
          </cell>
        </row>
        <row r="61">
          <cell r="C61" t="str">
            <v>equip/ERAM</v>
          </cell>
          <cell r="D61">
            <v>17865557500</v>
          </cell>
          <cell r="H61">
            <v>17865.557499999999</v>
          </cell>
          <cell r="I61">
            <v>1963248.076923077</v>
          </cell>
          <cell r="J61" t="str">
            <v>5. Investissement</v>
          </cell>
        </row>
        <row r="62">
          <cell r="C62" t="str">
            <v>EQ/ENPETP</v>
          </cell>
          <cell r="D62">
            <v>645370050</v>
          </cell>
          <cell r="H62">
            <v>645.37004999999999</v>
          </cell>
          <cell r="I62">
            <v>70919.78571428571</v>
          </cell>
          <cell r="J62" t="str">
            <v>5. Investissement</v>
          </cell>
        </row>
        <row r="63">
          <cell r="C63" t="str">
            <v>EQ/ETFP</v>
          </cell>
          <cell r="G63">
            <v>89775000000</v>
          </cell>
          <cell r="H63">
            <v>89775</v>
          </cell>
          <cell r="I63">
            <v>9865384.615384616</v>
          </cell>
          <cell r="J63" t="str">
            <v>5. Investissement</v>
          </cell>
        </row>
        <row r="64">
          <cell r="C64" t="str">
            <v>dot/Ètab</v>
          </cell>
          <cell r="D64">
            <v>400000000</v>
          </cell>
          <cell r="F64">
            <v>400000000</v>
          </cell>
          <cell r="H64">
            <v>400</v>
          </cell>
          <cell r="I64">
            <v>43956.043956043955</v>
          </cell>
          <cell r="J64" t="str">
            <v>5. Investissement</v>
          </cell>
        </row>
        <row r="65">
          <cell r="C65" t="str">
            <v>dot/ENI</v>
          </cell>
          <cell r="D65">
            <v>100000000</v>
          </cell>
          <cell r="H65">
            <v>100</v>
          </cell>
          <cell r="I65">
            <v>10989.010989010989</v>
          </cell>
          <cell r="J65" t="str">
            <v>5. Investissement</v>
          </cell>
        </row>
        <row r="66">
          <cell r="C66" t="str">
            <v>dot/ENAE</v>
          </cell>
          <cell r="D66">
            <v>60000000</v>
          </cell>
          <cell r="H66">
            <v>60</v>
          </cell>
          <cell r="I66">
            <v>6593.4065934065939</v>
          </cell>
          <cell r="J66" t="str">
            <v>5. Investissement</v>
          </cell>
        </row>
        <row r="67">
          <cell r="C67" t="str">
            <v>dot/ISSEG</v>
          </cell>
          <cell r="G67">
            <v>241200000</v>
          </cell>
          <cell r="H67">
            <v>241.2</v>
          </cell>
          <cell r="I67">
            <v>26505.494505494506</v>
          </cell>
          <cell r="J67" t="str">
            <v>5. Investissement</v>
          </cell>
        </row>
        <row r="68">
          <cell r="C68" t="str">
            <v>EQ/a/CFP</v>
          </cell>
          <cell r="D68">
            <v>2718937515</v>
          </cell>
          <cell r="H68">
            <v>2718.9375150000001</v>
          </cell>
          <cell r="I68">
            <v>298784.34230769234</v>
          </cell>
          <cell r="J68" t="str">
            <v>5. Investissement</v>
          </cell>
        </row>
        <row r="69">
          <cell r="C69" t="str">
            <v>Travaux/CFP</v>
          </cell>
          <cell r="D69">
            <v>6175000000</v>
          </cell>
          <cell r="H69">
            <v>6175</v>
          </cell>
          <cell r="I69">
            <v>678571.42857142852</v>
          </cell>
          <cell r="J69" t="str">
            <v>5. Investissement</v>
          </cell>
        </row>
        <row r="70">
          <cell r="C70" t="str">
            <v>EQ/CAFPPS</v>
          </cell>
          <cell r="D70">
            <v>136166666.66666666</v>
          </cell>
          <cell r="H70">
            <v>136.16666666666666</v>
          </cell>
          <cell r="I70">
            <v>14963.369963369962</v>
          </cell>
          <cell r="J70" t="str">
            <v>5. Investissement</v>
          </cell>
        </row>
        <row r="71">
          <cell r="C71" t="str">
            <v>EQ/IRETFP</v>
          </cell>
          <cell r="D71">
            <v>610483887</v>
          </cell>
          <cell r="H71">
            <v>610.48388699999998</v>
          </cell>
          <cell r="I71">
            <v>67086.141428571427</v>
          </cell>
          <cell r="J71" t="str">
            <v>5. Investissement</v>
          </cell>
        </row>
        <row r="72">
          <cell r="C72" t="str">
            <v>Env/UNICEF</v>
          </cell>
          <cell r="G72">
            <v>950000000</v>
          </cell>
          <cell r="H72">
            <v>950</v>
          </cell>
          <cell r="I72">
            <v>104395.6043956044</v>
          </cell>
          <cell r="J72" t="str">
            <v>5. Investissement</v>
          </cell>
        </row>
        <row r="73">
          <cell r="C73" t="str">
            <v>Env/Bus</v>
          </cell>
          <cell r="G73">
            <v>51995976000</v>
          </cell>
          <cell r="H73">
            <v>51995.976000000002</v>
          </cell>
          <cell r="I73">
            <v>5713843.5164835164</v>
          </cell>
          <cell r="J73" t="str">
            <v>5. Investissement</v>
          </cell>
        </row>
        <row r="74">
          <cell r="C74" t="str">
            <v>mat/empreinte</v>
          </cell>
          <cell r="G74">
            <v>472500</v>
          </cell>
          <cell r="H74">
            <v>0.47249999999999998</v>
          </cell>
          <cell r="I74">
            <v>51.92307692307692</v>
          </cell>
          <cell r="J74" t="str">
            <v>5. Investissement</v>
          </cell>
        </row>
        <row r="75">
          <cell r="C75" t="str">
            <v>EQ/SR</v>
          </cell>
          <cell r="G75">
            <v>104500000</v>
          </cell>
          <cell r="H75">
            <v>104.5</v>
          </cell>
          <cell r="I75">
            <v>11483.516483516483</v>
          </cell>
          <cell r="J75" t="str">
            <v>5. Investissement</v>
          </cell>
        </row>
        <row r="76">
          <cell r="C76" t="str">
            <v>EQ/bureau</v>
          </cell>
          <cell r="G76">
            <v>9500000</v>
          </cell>
          <cell r="H76">
            <v>9.5</v>
          </cell>
          <cell r="I76">
            <v>1043.9560439560439</v>
          </cell>
          <cell r="J76" t="str">
            <v>5. Investissement</v>
          </cell>
        </row>
        <row r="77">
          <cell r="J77" t="str">
            <v>5. Investissement</v>
          </cell>
        </row>
        <row r="78">
          <cell r="C78" t="str">
            <v>SDC/pr</v>
          </cell>
          <cell r="E78">
            <v>158800000</v>
          </cell>
          <cell r="G78">
            <v>178500000</v>
          </cell>
          <cell r="H78">
            <v>168.65</v>
          </cell>
          <cell r="I78">
            <v>18532.967032967033</v>
          </cell>
          <cell r="J78" t="str">
            <v>5. Investissement</v>
          </cell>
        </row>
        <row r="79">
          <cell r="C79" t="str">
            <v>cons/cec</v>
          </cell>
          <cell r="E79">
            <v>81135000</v>
          </cell>
          <cell r="H79">
            <v>81.135000000000005</v>
          </cell>
          <cell r="I79">
            <v>8915.9340659340651</v>
          </cell>
          <cell r="J79" t="str">
            <v>5. Investissement</v>
          </cell>
        </row>
        <row r="80">
          <cell r="C80" t="str">
            <v>cons/sdc/prim</v>
          </cell>
          <cell r="E80">
            <v>138000000</v>
          </cell>
          <cell r="H80">
            <v>138</v>
          </cell>
          <cell r="I80">
            <v>15164.835164835165</v>
          </cell>
          <cell r="J80" t="str">
            <v>5. Investissement</v>
          </cell>
        </row>
        <row r="81">
          <cell r="C81" t="str">
            <v>cons/sdc/col</v>
          </cell>
          <cell r="E81">
            <v>187500000</v>
          </cell>
          <cell r="H81">
            <v>187.5</v>
          </cell>
          <cell r="I81">
            <v>20604.395604395606</v>
          </cell>
          <cell r="J81" t="str">
            <v>5. Investissement</v>
          </cell>
        </row>
        <row r="82">
          <cell r="C82" t="str">
            <v>cons/sdc/lyc</v>
          </cell>
          <cell r="E82">
            <v>500000000</v>
          </cell>
          <cell r="H82">
            <v>500</v>
          </cell>
          <cell r="I82">
            <v>54945.054945054944</v>
          </cell>
          <cell r="J82" t="str">
            <v>5. Investissement</v>
          </cell>
        </row>
        <row r="83">
          <cell r="C83" t="str">
            <v>cons/infirmerie</v>
          </cell>
          <cell r="E83">
            <v>187500000</v>
          </cell>
          <cell r="H83">
            <v>187.5</v>
          </cell>
          <cell r="I83">
            <v>20604.395604395606</v>
          </cell>
          <cell r="J83" t="str">
            <v>5. Investissement</v>
          </cell>
        </row>
        <row r="84">
          <cell r="C84" t="str">
            <v>cons/biblio</v>
          </cell>
          <cell r="G84">
            <v>69000000</v>
          </cell>
          <cell r="H84">
            <v>69</v>
          </cell>
          <cell r="I84">
            <v>7582.4175824175827</v>
          </cell>
          <cell r="J84" t="str">
            <v>5. Investissement</v>
          </cell>
        </row>
        <row r="85">
          <cell r="C85" t="str">
            <v>consprim/japon</v>
          </cell>
          <cell r="G85">
            <v>655523271.47401941</v>
          </cell>
          <cell r="H85">
            <v>655.52327147401945</v>
          </cell>
          <cell r="I85">
            <v>72035.524337804323</v>
          </cell>
          <cell r="J85" t="str">
            <v>5. Investissement</v>
          </cell>
        </row>
        <row r="86">
          <cell r="C86" t="str">
            <v>conscol/japon</v>
          </cell>
          <cell r="G86">
            <v>619273136.64596224</v>
          </cell>
          <cell r="H86">
            <v>619.27313664596227</v>
          </cell>
          <cell r="I86">
            <v>68051.993038017827</v>
          </cell>
          <cell r="J86" t="str">
            <v>5. Investissement</v>
          </cell>
        </row>
        <row r="87">
          <cell r="C87" t="str">
            <v>const/cfp</v>
          </cell>
          <cell r="D87">
            <v>25083221000</v>
          </cell>
          <cell r="H87">
            <v>25083.221000000001</v>
          </cell>
          <cell r="I87">
            <v>2756397.9120879122</v>
          </cell>
          <cell r="J87" t="str">
            <v>5. Investissement</v>
          </cell>
        </row>
        <row r="88">
          <cell r="C88" t="str">
            <v>const/cfpp</v>
          </cell>
          <cell r="D88">
            <v>17142857142.857143</v>
          </cell>
          <cell r="H88">
            <v>17142.857142857145</v>
          </cell>
          <cell r="I88">
            <v>1883830.455259027</v>
          </cell>
          <cell r="J88" t="str">
            <v>5. Investissement</v>
          </cell>
        </row>
        <row r="89">
          <cell r="C89" t="str">
            <v>const/eram</v>
          </cell>
          <cell r="D89">
            <v>46289261183</v>
          </cell>
          <cell r="H89">
            <v>46289.261183000002</v>
          </cell>
          <cell r="I89">
            <v>5086731.9981318684</v>
          </cell>
          <cell r="J89" t="str">
            <v>5. Investissement</v>
          </cell>
        </row>
        <row r="90">
          <cell r="C90" t="str">
            <v>const/eni</v>
          </cell>
          <cell r="D90">
            <v>22879500000</v>
          </cell>
          <cell r="H90">
            <v>22879.5</v>
          </cell>
          <cell r="I90">
            <v>2514230.769230769</v>
          </cell>
          <cell r="J90" t="str">
            <v>5. Investissement</v>
          </cell>
        </row>
        <row r="91">
          <cell r="C91" t="str">
            <v>Cons/atelier</v>
          </cell>
          <cell r="D91">
            <v>2363295260</v>
          </cell>
          <cell r="H91">
            <v>2363.2952599999999</v>
          </cell>
          <cell r="I91">
            <v>259702.77582417583</v>
          </cell>
          <cell r="J91" t="str">
            <v>5. Investissement</v>
          </cell>
        </row>
        <row r="92">
          <cell r="C92" t="str">
            <v>centre/nafa</v>
          </cell>
          <cell r="E92">
            <v>320000000</v>
          </cell>
          <cell r="H92">
            <v>320</v>
          </cell>
          <cell r="I92">
            <v>35164.835164835167</v>
          </cell>
          <cell r="J92" t="str">
            <v>5. Investissement</v>
          </cell>
        </row>
        <row r="93">
          <cell r="C93" t="str">
            <v>rampe</v>
          </cell>
          <cell r="E93">
            <v>2760000</v>
          </cell>
          <cell r="H93">
            <v>2.76</v>
          </cell>
          <cell r="I93">
            <v>303.2967032967033</v>
          </cell>
          <cell r="J93" t="str">
            <v>5. Investissement</v>
          </cell>
        </row>
        <row r="94">
          <cell r="C94" t="str">
            <v>latrine/hand</v>
          </cell>
          <cell r="E94">
            <v>48949999.999999993</v>
          </cell>
          <cell r="H94">
            <v>48.949999999999996</v>
          </cell>
          <cell r="I94">
            <v>5379.1208791208783</v>
          </cell>
          <cell r="J94" t="str">
            <v>5. Investissement</v>
          </cell>
        </row>
        <row r="95">
          <cell r="C95" t="str">
            <v>latrine</v>
          </cell>
          <cell r="E95">
            <v>65800000</v>
          </cell>
          <cell r="H95">
            <v>65.8</v>
          </cell>
          <cell r="I95">
            <v>7230.7692307692305</v>
          </cell>
          <cell r="J95" t="str">
            <v>5. Investissement</v>
          </cell>
        </row>
        <row r="96">
          <cell r="C96" t="str">
            <v>point eau</v>
          </cell>
          <cell r="D96">
            <v>60000000</v>
          </cell>
          <cell r="E96">
            <v>55000000</v>
          </cell>
          <cell r="F96">
            <v>65000000</v>
          </cell>
          <cell r="H96">
            <v>60</v>
          </cell>
          <cell r="I96">
            <v>6593.4065934065939</v>
          </cell>
          <cell r="J96" t="str">
            <v>5. Investissement</v>
          </cell>
        </row>
        <row r="97">
          <cell r="C97" t="str">
            <v>reh/point eau</v>
          </cell>
          <cell r="F97">
            <v>19500000</v>
          </cell>
          <cell r="H97">
            <v>19.5</v>
          </cell>
          <cell r="I97">
            <v>2142.8571428571427</v>
          </cell>
          <cell r="J97" t="str">
            <v>5. Investissement</v>
          </cell>
        </row>
        <row r="98">
          <cell r="C98" t="str">
            <v>const/amphi</v>
          </cell>
          <cell r="F98">
            <v>10000000000</v>
          </cell>
          <cell r="H98">
            <v>10000</v>
          </cell>
          <cell r="I98">
            <v>1098901.0989010988</v>
          </cell>
          <cell r="J98" t="str">
            <v>5. Investissement</v>
          </cell>
        </row>
        <row r="99">
          <cell r="C99" t="str">
            <v>UJN/Kankan</v>
          </cell>
          <cell r="G99">
            <v>7500000000</v>
          </cell>
          <cell r="H99">
            <v>7500</v>
          </cell>
          <cell r="I99">
            <v>824175.82417582418</v>
          </cell>
          <cell r="J99" t="str">
            <v>5. Investissement</v>
          </cell>
        </row>
        <row r="100">
          <cell r="C100" t="str">
            <v>ISFAD</v>
          </cell>
          <cell r="G100">
            <v>34560000000</v>
          </cell>
          <cell r="H100">
            <v>34560</v>
          </cell>
          <cell r="I100">
            <v>3797802.1978021977</v>
          </cell>
          <cell r="J100" t="str">
            <v>5. Investissement</v>
          </cell>
        </row>
        <row r="101">
          <cell r="C101" t="str">
            <v>CDR</v>
          </cell>
          <cell r="G101">
            <v>23000000000</v>
          </cell>
          <cell r="H101">
            <v>23000</v>
          </cell>
          <cell r="I101">
            <v>2527472.5274725277</v>
          </cell>
          <cell r="J101" t="str">
            <v>5. Investissement</v>
          </cell>
        </row>
        <row r="102">
          <cell r="C102" t="str">
            <v>cons/MESRS</v>
          </cell>
          <cell r="G102">
            <v>45000000000</v>
          </cell>
          <cell r="H102">
            <v>45000</v>
          </cell>
          <cell r="I102">
            <v>4945054.9450549446</v>
          </cell>
          <cell r="J102" t="str">
            <v>5. Investissement</v>
          </cell>
        </row>
        <row r="103">
          <cell r="C103" t="str">
            <v>const/ENSAC</v>
          </cell>
          <cell r="D103">
            <v>9225691963</v>
          </cell>
          <cell r="H103">
            <v>9225.6919629999993</v>
          </cell>
          <cell r="I103">
            <v>1013812.3036263736</v>
          </cell>
          <cell r="J103" t="str">
            <v>5. Investissement</v>
          </cell>
        </row>
        <row r="104">
          <cell r="C104" t="str">
            <v>const/ENEPS</v>
          </cell>
          <cell r="D104">
            <v>5099777000</v>
          </cell>
          <cell r="H104">
            <v>5099.777</v>
          </cell>
          <cell r="I104">
            <v>560415.05494505493</v>
          </cell>
          <cell r="J104" t="str">
            <v>5. Investissement</v>
          </cell>
        </row>
        <row r="105">
          <cell r="C105" t="str">
            <v>airdejeux</v>
          </cell>
          <cell r="E105">
            <v>20800000</v>
          </cell>
          <cell r="H105">
            <v>20.8</v>
          </cell>
          <cell r="I105">
            <v>2285.7142857142858</v>
          </cell>
          <cell r="J105" t="str">
            <v>5. Investissement</v>
          </cell>
        </row>
        <row r="106">
          <cell r="C106" t="str">
            <v>cons/IRETFP</v>
          </cell>
          <cell r="D106">
            <v>173224743</v>
          </cell>
          <cell r="H106">
            <v>173.22474299999999</v>
          </cell>
          <cell r="I106">
            <v>19035.686043956044</v>
          </cell>
          <cell r="J106" t="str">
            <v>5. Investissement</v>
          </cell>
        </row>
        <row r="107">
          <cell r="C107" t="str">
            <v>const/CAFPPS</v>
          </cell>
          <cell r="D107">
            <v>17142857143</v>
          </cell>
          <cell r="H107">
            <v>17142.857143000001</v>
          </cell>
          <cell r="I107">
            <v>1883830.4552747256</v>
          </cell>
          <cell r="J107" t="str">
            <v>5. Investissement</v>
          </cell>
        </row>
        <row r="108">
          <cell r="C108" t="str">
            <v>clo/ENI</v>
          </cell>
          <cell r="D108">
            <v>2499604000</v>
          </cell>
          <cell r="H108">
            <v>2499.6039999999998</v>
          </cell>
          <cell r="I108">
            <v>274681.75824175822</v>
          </cell>
          <cell r="J108" t="str">
            <v>5. Investissement</v>
          </cell>
        </row>
        <row r="109">
          <cell r="C109" t="str">
            <v>renov/CFP</v>
          </cell>
          <cell r="D109">
            <v>8366500000</v>
          </cell>
          <cell r="H109">
            <v>8366.5</v>
          </cell>
          <cell r="I109">
            <v>919395.60439560434</v>
          </cell>
          <cell r="J109" t="str">
            <v>5. Investissement</v>
          </cell>
        </row>
        <row r="110">
          <cell r="C110" t="str">
            <v>travaux/ETFP</v>
          </cell>
          <cell r="G110">
            <v>95550000000</v>
          </cell>
          <cell r="H110">
            <v>95550</v>
          </cell>
          <cell r="I110">
            <v>10500000</v>
          </cell>
          <cell r="J110" t="str">
            <v>5. Investissement</v>
          </cell>
        </row>
        <row r="111">
          <cell r="C111" t="str">
            <v>LT</v>
          </cell>
          <cell r="G111">
            <v>16000000000</v>
          </cell>
          <cell r="H111">
            <v>16000</v>
          </cell>
          <cell r="I111">
            <v>1758241.7582417582</v>
          </cell>
          <cell r="J111" t="str">
            <v>5. Investissement</v>
          </cell>
        </row>
        <row r="112">
          <cell r="C112" t="str">
            <v>réh/CEC</v>
          </cell>
          <cell r="G112">
            <v>24340500</v>
          </cell>
          <cell r="H112">
            <v>24.340499999999999</v>
          </cell>
          <cell r="I112">
            <v>2674.7802197802198</v>
          </cell>
          <cell r="J112" t="str">
            <v>5. Investissement</v>
          </cell>
        </row>
        <row r="113">
          <cell r="C113" t="str">
            <v>réh/sdc/prim</v>
          </cell>
          <cell r="E113">
            <v>25000000</v>
          </cell>
          <cell r="H113">
            <v>25</v>
          </cell>
          <cell r="I113">
            <v>2747.2527472527472</v>
          </cell>
          <cell r="J113" t="str">
            <v>5. Investissement</v>
          </cell>
        </row>
        <row r="114">
          <cell r="C114" t="str">
            <v>réh/sdc/Lyc</v>
          </cell>
          <cell r="E114">
            <v>83350000</v>
          </cell>
          <cell r="H114">
            <v>83.35</v>
          </cell>
          <cell r="I114">
            <v>9159.3406593406598</v>
          </cell>
          <cell r="J114" t="str">
            <v>5. Investissement</v>
          </cell>
        </row>
        <row r="115">
          <cell r="C115" t="str">
            <v>réh/sdc/col</v>
          </cell>
          <cell r="E115">
            <v>33750000</v>
          </cell>
          <cell r="H115">
            <v>33.75</v>
          </cell>
          <cell r="I115">
            <v>3708.7912087912086</v>
          </cell>
          <cell r="J115" t="str">
            <v>5. Investissement</v>
          </cell>
        </row>
        <row r="116">
          <cell r="C116" t="str">
            <v>réh/nafa</v>
          </cell>
          <cell r="G116">
            <v>48000000</v>
          </cell>
          <cell r="H116">
            <v>48</v>
          </cell>
          <cell r="I116">
            <v>5274.7252747252751</v>
          </cell>
          <cell r="J116" t="str">
            <v>5. Investissement</v>
          </cell>
        </row>
        <row r="117">
          <cell r="C117" t="str">
            <v>reh/lat</v>
          </cell>
          <cell r="E117">
            <v>15444000</v>
          </cell>
          <cell r="H117">
            <v>15.444000000000001</v>
          </cell>
          <cell r="I117">
            <v>1697.1428571428571</v>
          </cell>
          <cell r="J117" t="str">
            <v>5. Investissement</v>
          </cell>
        </row>
        <row r="118">
          <cell r="C118" t="str">
            <v>reh/point eau</v>
          </cell>
          <cell r="E118">
            <v>18900000</v>
          </cell>
          <cell r="F118">
            <v>20000000</v>
          </cell>
          <cell r="H118">
            <v>19.45</v>
          </cell>
          <cell r="I118">
            <v>2137.3626373626375</v>
          </cell>
          <cell r="J118" t="str">
            <v>5. Investissement</v>
          </cell>
        </row>
        <row r="119">
          <cell r="C119" t="str">
            <v>réh/infirmerie</v>
          </cell>
          <cell r="E119">
            <v>33750000</v>
          </cell>
          <cell r="H119">
            <v>33.75</v>
          </cell>
          <cell r="I119">
            <v>3708.7912087912086</v>
          </cell>
          <cell r="J119" t="str">
            <v>5. Investissement</v>
          </cell>
        </row>
        <row r="120">
          <cell r="C120" t="str">
            <v>UGAN</v>
          </cell>
          <cell r="E120">
            <v>47891000000</v>
          </cell>
          <cell r="H120">
            <v>47891</v>
          </cell>
          <cell r="I120">
            <v>5262747.2527472526</v>
          </cell>
          <cell r="J120" t="str">
            <v>5. Investissement</v>
          </cell>
        </row>
        <row r="121">
          <cell r="C121" t="str">
            <v>reh/universités</v>
          </cell>
          <cell r="E121">
            <v>361835000000</v>
          </cell>
          <cell r="H121">
            <v>361835</v>
          </cell>
          <cell r="I121">
            <v>39762087.91208791</v>
          </cell>
          <cell r="J121" t="str">
            <v>5. Investissement</v>
          </cell>
        </row>
        <row r="122">
          <cell r="C122" t="str">
            <v>ISAV-VGE</v>
          </cell>
          <cell r="E122">
            <v>53078000000</v>
          </cell>
          <cell r="H122">
            <v>53078</v>
          </cell>
          <cell r="I122">
            <v>5832747.2527472526</v>
          </cell>
          <cell r="J122" t="str">
            <v>5. Investissement</v>
          </cell>
        </row>
        <row r="123">
          <cell r="J123" t="str">
            <v>3. Manuels scolaires et matériels pédagogiques</v>
          </cell>
        </row>
        <row r="124">
          <cell r="C124" t="str">
            <v>Imp/pr</v>
          </cell>
          <cell r="E124">
            <v>30000</v>
          </cell>
          <cell r="H124">
            <v>0.03</v>
          </cell>
          <cell r="I124">
            <v>3.2967032967032965</v>
          </cell>
          <cell r="J124" t="str">
            <v>3. Manuels scolaires et matériels pédagogiques</v>
          </cell>
        </row>
        <row r="125">
          <cell r="C125" t="str">
            <v>man/présc</v>
          </cell>
          <cell r="G125">
            <v>126905.60000000001</v>
          </cell>
          <cell r="H125">
            <v>0.12690560000000001</v>
          </cell>
          <cell r="I125">
            <v>13.94567032967033</v>
          </cell>
          <cell r="J125" t="str">
            <v>3. Manuels scolaires et matériels pédagogiques</v>
          </cell>
        </row>
        <row r="126">
          <cell r="C126" t="str">
            <v>guide/ens/pr</v>
          </cell>
          <cell r="G126">
            <v>22000</v>
          </cell>
          <cell r="H126">
            <v>2.1999999999999999E-2</v>
          </cell>
          <cell r="I126">
            <v>2.4175824175824174</v>
          </cell>
          <cell r="J126" t="str">
            <v>3. Manuels scolaires et matériels pédagogiques</v>
          </cell>
        </row>
        <row r="127">
          <cell r="C127" t="str">
            <v>guide/ens/sec</v>
          </cell>
          <cell r="G127">
            <v>46000</v>
          </cell>
          <cell r="H127">
            <v>4.5999999999999999E-2</v>
          </cell>
          <cell r="I127">
            <v>5.0549450549450547</v>
          </cell>
          <cell r="J127" t="str">
            <v>3. Manuels scolaires et matériels pédagogiques</v>
          </cell>
        </row>
        <row r="128">
          <cell r="C128" t="str">
            <v>manuel/pr</v>
          </cell>
          <cell r="G128">
            <v>22272</v>
          </cell>
          <cell r="H128">
            <v>2.2272E-2</v>
          </cell>
          <cell r="I128">
            <v>2.4474725274725273</v>
          </cell>
          <cell r="J128" t="str">
            <v>3. Manuels scolaires et matériels pédagogiques</v>
          </cell>
        </row>
        <row r="129">
          <cell r="C129" t="str">
            <v>manuel/col</v>
          </cell>
          <cell r="G129">
            <v>40753</v>
          </cell>
          <cell r="H129">
            <v>4.0752999999999998E-2</v>
          </cell>
          <cell r="I129">
            <v>4.4783516483516488</v>
          </cell>
          <cell r="J129" t="str">
            <v>3. Manuels scolaires et matériels pédagogiques</v>
          </cell>
        </row>
        <row r="130">
          <cell r="C130" t="str">
            <v>manuel/lyc</v>
          </cell>
          <cell r="G130">
            <v>56650</v>
          </cell>
          <cell r="H130">
            <v>5.6649999999999999E-2</v>
          </cell>
          <cell r="I130">
            <v>6.2252747252747254</v>
          </cell>
          <cell r="J130" t="str">
            <v>3. Manuels scolaires et matériels pédagogiques</v>
          </cell>
        </row>
        <row r="131">
          <cell r="C131" t="str">
            <v>m.lud/cec</v>
          </cell>
          <cell r="G131">
            <v>3500000</v>
          </cell>
          <cell r="H131">
            <v>3.5</v>
          </cell>
          <cell r="I131">
            <v>384.61538461538464</v>
          </cell>
          <cell r="J131" t="str">
            <v>3. Manuels scolaires et matériels pédagogiques</v>
          </cell>
        </row>
        <row r="132">
          <cell r="C132" t="str">
            <v>airdejeux/CEC</v>
          </cell>
          <cell r="G132">
            <v>2850000000</v>
          </cell>
          <cell r="H132">
            <v>2850</v>
          </cell>
          <cell r="I132">
            <v>313186.8131868132</v>
          </cell>
          <cell r="J132" t="str">
            <v>3. Manuels scolaires et matériels pédagogiques</v>
          </cell>
        </row>
        <row r="133">
          <cell r="C133" t="str">
            <v>EQ/ECU/MEP</v>
          </cell>
          <cell r="G133">
            <v>52800000</v>
          </cell>
          <cell r="H133">
            <v>52.8</v>
          </cell>
          <cell r="I133">
            <v>5802.197802197802</v>
          </cell>
          <cell r="J133" t="str">
            <v>3. Manuels scolaires et matériels pédagogiques</v>
          </cell>
        </row>
        <row r="134">
          <cell r="C134" t="str">
            <v>kit/élév/ca</v>
          </cell>
          <cell r="G134">
            <v>60923138</v>
          </cell>
          <cell r="H134">
            <v>60.923138000000002</v>
          </cell>
          <cell r="I134">
            <v>6694.8503296703293</v>
          </cell>
          <cell r="J134" t="str">
            <v>3. Manuels scolaires et matériels pédagogiques</v>
          </cell>
        </row>
        <row r="135">
          <cell r="C135" t="str">
            <v>kit/app</v>
          </cell>
          <cell r="G135">
            <v>120000</v>
          </cell>
          <cell r="H135">
            <v>0.12</v>
          </cell>
          <cell r="I135">
            <v>13.186813186813186</v>
          </cell>
          <cell r="J135" t="str">
            <v>3. Manuels scolaires et matériels pédagogiques</v>
          </cell>
        </row>
        <row r="136">
          <cell r="C136" t="str">
            <v>kit/élév</v>
          </cell>
          <cell r="G136">
            <v>100000</v>
          </cell>
          <cell r="H136">
            <v>0.1</v>
          </cell>
          <cell r="I136">
            <v>10.989010989010989</v>
          </cell>
          <cell r="J136" t="str">
            <v>3. Manuels scolaires et matériels pédagogiques</v>
          </cell>
        </row>
        <row r="137">
          <cell r="C137" t="str">
            <v>Kit/atelier</v>
          </cell>
          <cell r="G137">
            <v>30000000</v>
          </cell>
          <cell r="H137">
            <v>30</v>
          </cell>
          <cell r="I137">
            <v>3296.7032967032969</v>
          </cell>
          <cell r="J137" t="str">
            <v>3. Manuels scolaires et matériels pédagogiques</v>
          </cell>
        </row>
        <row r="138">
          <cell r="C138" t="str">
            <v>Lot/inn</v>
          </cell>
          <cell r="G138">
            <v>891000000</v>
          </cell>
          <cell r="H138">
            <v>891</v>
          </cell>
          <cell r="I138">
            <v>97912.087912087911</v>
          </cell>
          <cell r="J138" t="str">
            <v>3. Manuels scolaires et matériels pédagogiques</v>
          </cell>
        </row>
        <row r="139">
          <cell r="C139" t="str">
            <v>dot/ETFP</v>
          </cell>
          <cell r="D139">
            <v>6750000</v>
          </cell>
          <cell r="H139">
            <v>6.75</v>
          </cell>
          <cell r="I139">
            <v>741.75824175824175</v>
          </cell>
          <cell r="J139" t="str">
            <v>3. Manuels scolaires et matériels pédagogiques</v>
          </cell>
        </row>
        <row r="140">
          <cell r="C140" t="str">
            <v>dot/nafa</v>
          </cell>
          <cell r="E140">
            <v>5750000</v>
          </cell>
          <cell r="H140">
            <v>5.75</v>
          </cell>
          <cell r="I140">
            <v>631.86813186813185</v>
          </cell>
          <cell r="J140" t="str">
            <v>3. Manuels scolaires et matériels pédagogiques</v>
          </cell>
        </row>
        <row r="141">
          <cell r="C141" t="str">
            <v>dot/préscol</v>
          </cell>
          <cell r="G141">
            <v>1000000</v>
          </cell>
          <cell r="H141">
            <v>1</v>
          </cell>
          <cell r="I141">
            <v>109.89010989010988</v>
          </cell>
          <cell r="J141" t="str">
            <v>3. Manuels scolaires et matériels pédagogiques</v>
          </cell>
        </row>
        <row r="142">
          <cell r="C142" t="str">
            <v>man/alpha/educ</v>
          </cell>
          <cell r="E142">
            <v>18000</v>
          </cell>
          <cell r="H142">
            <v>1.7999999999999999E-2</v>
          </cell>
          <cell r="I142">
            <v>1.9780219780219781</v>
          </cell>
          <cell r="J142" t="str">
            <v>3. Manuels scolaires et matériels pédagogiques</v>
          </cell>
        </row>
        <row r="143">
          <cell r="C143" t="str">
            <v>apprenant/alpha</v>
          </cell>
          <cell r="E143">
            <v>18000</v>
          </cell>
          <cell r="H143">
            <v>1.7999999999999999E-2</v>
          </cell>
          <cell r="I143">
            <v>1.9780219780219781</v>
          </cell>
          <cell r="J143" t="str">
            <v>3. Manuels scolaires et matériels pédagogiques</v>
          </cell>
        </row>
        <row r="144">
          <cell r="C144" t="str">
            <v>guide/opér</v>
          </cell>
          <cell r="E144">
            <v>18000</v>
          </cell>
          <cell r="H144">
            <v>1.7999999999999999E-2</v>
          </cell>
          <cell r="I144">
            <v>1.9780219780219781</v>
          </cell>
          <cell r="J144" t="str">
            <v>3. Manuels scolaires et matériels pédagogiques</v>
          </cell>
        </row>
        <row r="145">
          <cell r="C145" t="str">
            <v>per/alpha</v>
          </cell>
          <cell r="G145">
            <v>156129</v>
          </cell>
          <cell r="H145">
            <v>0.15612899999999999</v>
          </cell>
          <cell r="I145">
            <v>17.157032967032968</v>
          </cell>
          <cell r="J145" t="str">
            <v>3. Manuels scolaires et matériels pédagogiques</v>
          </cell>
        </row>
        <row r="146">
          <cell r="C146" t="str">
            <v>per/post alpha</v>
          </cell>
          <cell r="G146">
            <v>31150</v>
          </cell>
          <cell r="H146">
            <v>3.1150000000000001E-2</v>
          </cell>
          <cell r="I146">
            <v>3.4230769230769229</v>
          </cell>
          <cell r="J146" t="str">
            <v>3. Manuels scolaires et matériels pédagogiques</v>
          </cell>
        </row>
        <row r="147">
          <cell r="C147" t="str">
            <v>dot/rep mat</v>
          </cell>
          <cell r="G147">
            <v>300000000</v>
          </cell>
          <cell r="H147">
            <v>300</v>
          </cell>
          <cell r="I147">
            <v>32967.032967032967</v>
          </cell>
          <cell r="J147" t="str">
            <v>3. Manuels scolaires et matériels pédagogiques</v>
          </cell>
        </row>
        <row r="148">
          <cell r="C148" t="str">
            <v>Forfait/ens scien</v>
          </cell>
          <cell r="G148">
            <v>5000000000</v>
          </cell>
          <cell r="H148">
            <v>5000</v>
          </cell>
          <cell r="I148">
            <v>549450.54945054941</v>
          </cell>
          <cell r="J148" t="str">
            <v>3. Manuels scolaires et matériels pédagogiques</v>
          </cell>
        </row>
        <row r="149">
          <cell r="C149" t="str">
            <v>Forfait/ens lang</v>
          </cell>
          <cell r="G149">
            <v>327750000</v>
          </cell>
          <cell r="H149">
            <v>327.75</v>
          </cell>
          <cell r="I149">
            <v>36016.483516483517</v>
          </cell>
          <cell r="J149" t="str">
            <v>3. Manuels scolaires et matériels pédagogiques</v>
          </cell>
        </row>
        <row r="150">
          <cell r="C150" t="str">
            <v>Kit/bibliothéque</v>
          </cell>
          <cell r="E150">
            <v>275000</v>
          </cell>
          <cell r="H150">
            <v>0.27500000000000002</v>
          </cell>
          <cell r="I150">
            <v>30.219780219780219</v>
          </cell>
          <cell r="J150" t="str">
            <v>3. Manuels scolaires et matériels pédagogiques</v>
          </cell>
        </row>
        <row r="151">
          <cell r="J151" t="str">
            <v>2. Personnel</v>
          </cell>
        </row>
        <row r="152">
          <cell r="C152" t="str">
            <v>edu</v>
          </cell>
          <cell r="G152">
            <v>26979451.490762979</v>
          </cell>
          <cell r="H152">
            <v>26.97945149076298</v>
          </cell>
          <cell r="I152">
            <v>2964.7748890948328</v>
          </cell>
          <cell r="J152" t="str">
            <v>2. Personnel</v>
          </cell>
        </row>
        <row r="153">
          <cell r="C153" t="str">
            <v>sub/ed</v>
          </cell>
          <cell r="G153">
            <v>13489725.745381435</v>
          </cell>
          <cell r="H153">
            <v>13.489725745381435</v>
          </cell>
          <cell r="I153">
            <v>1482.3874445474105</v>
          </cell>
          <cell r="J153" t="str">
            <v>2. Personnel</v>
          </cell>
        </row>
        <row r="154">
          <cell r="C154" t="str">
            <v>sal/ens</v>
          </cell>
          <cell r="G154">
            <v>25101235.436167225</v>
          </cell>
          <cell r="H154">
            <v>25.101235436167226</v>
          </cell>
          <cell r="I154">
            <v>2758.377520457937</v>
          </cell>
          <cell r="J154" t="str">
            <v>2. Personnel</v>
          </cell>
        </row>
        <row r="155">
          <cell r="C155" t="str">
            <v>sal/ens/col</v>
          </cell>
          <cell r="G155">
            <v>24008179.985529881</v>
          </cell>
          <cell r="H155">
            <v>24.008179985529882</v>
          </cell>
          <cell r="I155">
            <v>2638.2615368714155</v>
          </cell>
          <cell r="J155" t="str">
            <v>2. Personnel</v>
          </cell>
        </row>
        <row r="156">
          <cell r="C156" t="str">
            <v>sal/ens/col/vac</v>
          </cell>
          <cell r="G156">
            <v>6534737.038959695</v>
          </cell>
          <cell r="H156">
            <v>6.5347370389596948</v>
          </cell>
          <cell r="I156">
            <v>718.10297131425216</v>
          </cell>
          <cell r="J156" t="str">
            <v>2. Personnel</v>
          </cell>
        </row>
        <row r="157">
          <cell r="C157" t="str">
            <v>sal/ens/Lyc</v>
          </cell>
          <cell r="G157">
            <v>35366873.292398706</v>
          </cell>
          <cell r="H157">
            <v>35.366873292398708</v>
          </cell>
          <cell r="I157">
            <v>3886.4695925712863</v>
          </cell>
          <cell r="J157" t="str">
            <v>2. Personnel</v>
          </cell>
        </row>
        <row r="158">
          <cell r="C158" t="str">
            <v>vac/an/ens</v>
          </cell>
          <cell r="G158">
            <v>10982290.870327735</v>
          </cell>
          <cell r="H158">
            <v>10.982290870327736</v>
          </cell>
          <cell r="I158">
            <v>1206.8451505854655</v>
          </cell>
          <cell r="J158" t="str">
            <v>2. Personnel</v>
          </cell>
        </row>
        <row r="159">
          <cell r="C159" t="str">
            <v>MS/préscolaire</v>
          </cell>
          <cell r="G159">
            <v>46555023127.581047</v>
          </cell>
          <cell r="H159">
            <v>46555.023127581044</v>
          </cell>
          <cell r="I159">
            <v>5115936.6074264888</v>
          </cell>
          <cell r="J159" t="str">
            <v>2. Personnel</v>
          </cell>
        </row>
        <row r="160">
          <cell r="C160" t="str">
            <v>MS/primaire</v>
          </cell>
          <cell r="G160">
            <v>853398985436.31702</v>
          </cell>
          <cell r="H160">
            <v>853398.98543631705</v>
          </cell>
          <cell r="I160">
            <v>93780108.289705172</v>
          </cell>
          <cell r="J160" t="str">
            <v>2. Personnel</v>
          </cell>
        </row>
        <row r="161">
          <cell r="C161" t="str">
            <v>MS/col</v>
          </cell>
          <cell r="G161">
            <v>217355719702.71701</v>
          </cell>
          <cell r="H161">
            <v>217355.719702717</v>
          </cell>
          <cell r="I161">
            <v>23885243.923375495</v>
          </cell>
          <cell r="J161" t="str">
            <v>2. Personnel</v>
          </cell>
        </row>
        <row r="162">
          <cell r="C162" t="str">
            <v>MS/lyc</v>
          </cell>
          <cell r="G162">
            <v>105961457681.81</v>
          </cell>
          <cell r="H162">
            <v>105961.45768181</v>
          </cell>
          <cell r="I162">
            <v>11644116.228770329</v>
          </cell>
          <cell r="J162" t="str">
            <v>2. Personnel</v>
          </cell>
        </row>
        <row r="163">
          <cell r="C163" t="str">
            <v>MS/MENA</v>
          </cell>
          <cell r="G163">
            <v>191872632967.95148</v>
          </cell>
          <cell r="H163">
            <v>191872.63296795147</v>
          </cell>
          <cell r="I163">
            <v>21084904.721752908</v>
          </cell>
          <cell r="J163" t="str">
            <v>2. Personnel</v>
          </cell>
        </row>
        <row r="164">
          <cell r="C164" t="str">
            <v>MS/METFP</v>
          </cell>
          <cell r="G164">
            <v>14578589454.048</v>
          </cell>
          <cell r="H164">
            <v>14578.589454048</v>
          </cell>
          <cell r="I164">
            <v>1602042.797148132</v>
          </cell>
          <cell r="J164" t="str">
            <v>2. Personnel</v>
          </cell>
        </row>
        <row r="165">
          <cell r="C165" t="str">
            <v>MS/étab/METFP</v>
          </cell>
          <cell r="G165">
            <v>70656731413.700897</v>
          </cell>
          <cell r="H165">
            <v>70656.731413700894</v>
          </cell>
          <cell r="I165">
            <v>7764475.9795275712</v>
          </cell>
          <cell r="J165" t="str">
            <v>2. Personnel</v>
          </cell>
        </row>
        <row r="166">
          <cell r="C166" t="str">
            <v>MS/ENI</v>
          </cell>
          <cell r="G166">
            <v>9719135888.5830708</v>
          </cell>
          <cell r="H166">
            <v>9719.1358885830705</v>
          </cell>
          <cell r="I166">
            <v>1068036.9108333045</v>
          </cell>
          <cell r="J166" t="str">
            <v>2. Personnel</v>
          </cell>
        </row>
        <row r="167">
          <cell r="C167" t="str">
            <v>MS/MESRS</v>
          </cell>
          <cell r="G167">
            <v>255321596485.922</v>
          </cell>
          <cell r="H167">
            <v>255321.596485922</v>
          </cell>
          <cell r="I167">
            <v>28057318.295156263</v>
          </cell>
          <cell r="J167" t="str">
            <v>2. Personnel</v>
          </cell>
        </row>
        <row r="168">
          <cell r="J168" t="str">
            <v>4. Transferts et subventions</v>
          </cell>
        </row>
        <row r="169">
          <cell r="C169" t="str">
            <v>rat/éléve</v>
          </cell>
          <cell r="G169">
            <v>250000</v>
          </cell>
          <cell r="H169">
            <v>0.25</v>
          </cell>
          <cell r="I169">
            <v>27.472527472527471</v>
          </cell>
          <cell r="J169" t="str">
            <v>4. Transferts et subventions</v>
          </cell>
        </row>
        <row r="170">
          <cell r="C170" t="str">
            <v>dot/an/DSSE</v>
          </cell>
          <cell r="G170">
            <v>600000</v>
          </cell>
          <cell r="H170">
            <v>0.6</v>
          </cell>
          <cell r="I170">
            <v>65.934065934065927</v>
          </cell>
          <cell r="J170" t="str">
            <v>4. Transferts et subventions</v>
          </cell>
        </row>
        <row r="171">
          <cell r="C171" t="str">
            <v>forfait/prix</v>
          </cell>
          <cell r="G171">
            <v>100000000</v>
          </cell>
          <cell r="H171">
            <v>100</v>
          </cell>
          <cell r="I171">
            <v>10989.010989010989</v>
          </cell>
          <cell r="J171" t="str">
            <v>4. Transferts et subventions</v>
          </cell>
        </row>
        <row r="172">
          <cell r="C172" t="str">
            <v>dépar/élève</v>
          </cell>
          <cell r="E172">
            <v>50000</v>
          </cell>
          <cell r="H172">
            <v>0.05</v>
          </cell>
          <cell r="I172">
            <v>5.4945054945054945</v>
          </cell>
          <cell r="J172" t="str">
            <v>4. Transferts et subventions</v>
          </cell>
        </row>
        <row r="173">
          <cell r="C173" t="str">
            <v>micro/élève</v>
          </cell>
          <cell r="E173">
            <v>50000</v>
          </cell>
          <cell r="H173">
            <v>0.05</v>
          </cell>
          <cell r="I173">
            <v>5.4945054945054945</v>
          </cell>
          <cell r="J173" t="str">
            <v>4. Transferts et subventions</v>
          </cell>
        </row>
        <row r="174">
          <cell r="C174" t="str">
            <v>Kit/fille</v>
          </cell>
          <cell r="D174">
            <v>100000</v>
          </cell>
          <cell r="H174">
            <v>0.1</v>
          </cell>
          <cell r="I174">
            <v>10.989010989010989</v>
          </cell>
          <cell r="J174" t="str">
            <v>4. Transferts et subventions</v>
          </cell>
        </row>
        <row r="175">
          <cell r="C175" t="str">
            <v>dot/an/dsee</v>
          </cell>
          <cell r="E175">
            <v>2000000</v>
          </cell>
          <cell r="H175">
            <v>2</v>
          </cell>
          <cell r="I175">
            <v>219.78021978021977</v>
          </cell>
          <cell r="J175" t="str">
            <v>4. Transferts et subventions</v>
          </cell>
        </row>
        <row r="176">
          <cell r="C176" t="str">
            <v>dot/STGE</v>
          </cell>
          <cell r="E176">
            <v>100000000</v>
          </cell>
          <cell r="H176">
            <v>100</v>
          </cell>
          <cell r="I176">
            <v>10989.010989010989</v>
          </cell>
          <cell r="J176" t="str">
            <v>4. Transferts et subventions</v>
          </cell>
        </row>
        <row r="177">
          <cell r="C177" t="str">
            <v>dot/esh</v>
          </cell>
          <cell r="G177">
            <v>548041496.41382301</v>
          </cell>
          <cell r="H177">
            <v>548.04149641382298</v>
          </cell>
          <cell r="I177">
            <v>60224.340265255276</v>
          </cell>
          <cell r="J177" t="str">
            <v>4. Transferts et subventions</v>
          </cell>
        </row>
        <row r="178">
          <cell r="C178" t="str">
            <v>dot/an/mena</v>
          </cell>
          <cell r="E178">
            <v>185475000</v>
          </cell>
          <cell r="H178">
            <v>185.47499999999999</v>
          </cell>
          <cell r="I178">
            <v>20381.86813186813</v>
          </cell>
          <cell r="J178" t="str">
            <v>4. Transferts et subventions</v>
          </cell>
        </row>
        <row r="179">
          <cell r="C179" t="str">
            <v>dot/an/mesrs</v>
          </cell>
          <cell r="F179">
            <v>100000000</v>
          </cell>
          <cell r="H179">
            <v>100</v>
          </cell>
          <cell r="I179">
            <v>10989.010989010989</v>
          </cell>
          <cell r="J179" t="str">
            <v>4. Transferts et subventions</v>
          </cell>
        </row>
        <row r="180">
          <cell r="C180" t="str">
            <v>envel/an</v>
          </cell>
          <cell r="G180">
            <v>1000000000</v>
          </cell>
          <cell r="H180">
            <v>1000</v>
          </cell>
          <cell r="I180">
            <v>109890.10989010989</v>
          </cell>
          <cell r="J180" t="str">
            <v>4. Transferts et subventions</v>
          </cell>
        </row>
        <row r="181">
          <cell r="C181" t="str">
            <v>kit/mains</v>
          </cell>
          <cell r="E181">
            <v>1500000</v>
          </cell>
          <cell r="H181">
            <v>1.5</v>
          </cell>
          <cell r="I181">
            <v>164.83516483516485</v>
          </cell>
          <cell r="J181" t="str">
            <v>4. Transferts et subventions</v>
          </cell>
        </row>
        <row r="182">
          <cell r="C182" t="str">
            <v>Forf/AGR</v>
          </cell>
          <cell r="E182">
            <v>20175000</v>
          </cell>
          <cell r="H182">
            <v>20.175000000000001</v>
          </cell>
          <cell r="I182">
            <v>2217.032967032967</v>
          </cell>
          <cell r="J182" t="str">
            <v>4. Transferts et subventions</v>
          </cell>
        </row>
        <row r="183">
          <cell r="C183" t="str">
            <v>Bourse/étud/etfp</v>
          </cell>
          <cell r="G183">
            <v>16876081738.4408</v>
          </cell>
          <cell r="H183">
            <v>16876.0817384408</v>
          </cell>
          <cell r="I183">
            <v>1854514.4767517361</v>
          </cell>
          <cell r="J183" t="str">
            <v>4. Transferts et subventions</v>
          </cell>
        </row>
        <row r="184">
          <cell r="C184" t="str">
            <v>Bourse/étud/sup</v>
          </cell>
          <cell r="G184">
            <v>52229201482.749199</v>
          </cell>
          <cell r="H184">
            <v>52229.201482749202</v>
          </cell>
          <cell r="I184">
            <v>5739472.6904119998</v>
          </cell>
          <cell r="J184" t="str">
            <v>4. Transferts et subventions</v>
          </cell>
        </row>
        <row r="185">
          <cell r="C185" t="str">
            <v>Enveloppe/an</v>
          </cell>
          <cell r="G185">
            <v>61533247835.2789</v>
          </cell>
          <cell r="H185">
            <v>61533.247835278897</v>
          </cell>
          <cell r="I185">
            <v>6761895.366514165</v>
          </cell>
          <cell r="J185" t="str">
            <v>4. Transferts et subventions</v>
          </cell>
        </row>
        <row r="186">
          <cell r="C186" t="str">
            <v>Enveloppe/privé</v>
          </cell>
          <cell r="G186">
            <v>91174700000</v>
          </cell>
          <cell r="H186">
            <v>91174.7</v>
          </cell>
          <cell r="I186">
            <v>10019197.802197803</v>
          </cell>
          <cell r="J186" t="str">
            <v>4. Transferts et subventions</v>
          </cell>
        </row>
        <row r="187">
          <cell r="C187" t="str">
            <v>All_Stage/étud</v>
          </cell>
          <cell r="F187">
            <v>300000</v>
          </cell>
          <cell r="H187">
            <v>0.3</v>
          </cell>
          <cell r="I187">
            <v>32.967032967032964</v>
          </cell>
          <cell r="J187" t="str">
            <v>4. Transferts et subventions</v>
          </cell>
        </row>
        <row r="188">
          <cell r="C188" t="str">
            <v>subv/incub</v>
          </cell>
          <cell r="F188">
            <v>1000000000</v>
          </cell>
          <cell r="H188">
            <v>1000</v>
          </cell>
          <cell r="I188">
            <v>109890.10989010989</v>
          </cell>
          <cell r="J188" t="str">
            <v>4. Transferts et subventions</v>
          </cell>
        </row>
        <row r="189">
          <cell r="C189" t="str">
            <v>compl/fille</v>
          </cell>
          <cell r="D189">
            <v>1800000</v>
          </cell>
          <cell r="H189">
            <v>1.8</v>
          </cell>
          <cell r="I189">
            <v>197.80219780219781</v>
          </cell>
          <cell r="J189" t="str">
            <v>4. Transferts et subventions</v>
          </cell>
        </row>
        <row r="190">
          <cell r="C190" t="str">
            <v>dot/infirm</v>
          </cell>
          <cell r="E190">
            <v>41190000</v>
          </cell>
          <cell r="H190">
            <v>41.19</v>
          </cell>
          <cell r="I190">
            <v>4526.3736263736264</v>
          </cell>
          <cell r="J190" t="str">
            <v>4. Transferts et subventions</v>
          </cell>
        </row>
        <row r="191">
          <cell r="C191" t="str">
            <v>boite/phar</v>
          </cell>
          <cell r="E191">
            <v>250000</v>
          </cell>
          <cell r="H191">
            <v>0.25</v>
          </cell>
          <cell r="I191">
            <v>27.472527472527471</v>
          </cell>
          <cell r="J191" t="str">
            <v>4. Transferts et subventions</v>
          </cell>
        </row>
        <row r="192">
          <cell r="C192" t="str">
            <v>Kit/insertion</v>
          </cell>
          <cell r="G192">
            <v>20000000</v>
          </cell>
          <cell r="H192">
            <v>20</v>
          </cell>
          <cell r="I192">
            <v>2197.802197802198</v>
          </cell>
          <cell r="J192" t="str">
            <v>4. Transferts et subventions</v>
          </cell>
        </row>
        <row r="193">
          <cell r="C193" t="str">
            <v>forf/APE</v>
          </cell>
          <cell r="G193">
            <v>950000000</v>
          </cell>
          <cell r="H193">
            <v>950</v>
          </cell>
          <cell r="I193">
            <v>104395.6043956044</v>
          </cell>
          <cell r="J193" t="str">
            <v>4. Transferts et subventions</v>
          </cell>
        </row>
        <row r="194">
          <cell r="C194" t="str">
            <v>env/FA</v>
          </cell>
          <cell r="G194">
            <v>16029660670.5131</v>
          </cell>
          <cell r="H194">
            <v>16029.6606705131</v>
          </cell>
          <cell r="I194">
            <v>1761501.1725838571</v>
          </cell>
          <cell r="J194" t="str">
            <v>4. Transferts et subventions</v>
          </cell>
        </row>
        <row r="195">
          <cell r="C195" t="str">
            <v>sub/foyers cor/an</v>
          </cell>
          <cell r="G195">
            <v>1046000000</v>
          </cell>
          <cell r="H195">
            <v>1046</v>
          </cell>
          <cell r="I195">
            <v>114945.05494505494</v>
          </cell>
          <cell r="J195" t="str">
            <v>4. Transferts et subventions</v>
          </cell>
        </row>
        <row r="196">
          <cell r="J196" t="str">
            <v>3. Dépenses de fonctionnement</v>
          </cell>
        </row>
        <row r="197">
          <cell r="C197" t="str">
            <v>h/m/Ci</v>
          </cell>
          <cell r="D197">
            <v>208095947</v>
          </cell>
          <cell r="G197">
            <v>231000000</v>
          </cell>
          <cell r="H197">
            <v>219.54797350000001</v>
          </cell>
          <cell r="I197">
            <v>24126.150934065936</v>
          </cell>
          <cell r="J197" t="str">
            <v>3. Dépenses de fonctionnement</v>
          </cell>
        </row>
        <row r="198">
          <cell r="C198" t="str">
            <v>h/m/Cn</v>
          </cell>
          <cell r="D198">
            <v>53030903</v>
          </cell>
          <cell r="H198">
            <v>53.030903000000002</v>
          </cell>
          <cell r="I198">
            <v>5827.5717582417583</v>
          </cell>
          <cell r="J198" t="str">
            <v>3. Dépenses de fonctionnement</v>
          </cell>
        </row>
        <row r="199">
          <cell r="C199" t="str">
            <v>h/an/cn</v>
          </cell>
          <cell r="G199">
            <v>342000000</v>
          </cell>
          <cell r="H199">
            <v>342</v>
          </cell>
          <cell r="I199">
            <v>37582.417582417584</v>
          </cell>
          <cell r="J199" t="str">
            <v>3. Dépenses de fonctionnement</v>
          </cell>
        </row>
        <row r="200">
          <cell r="C200" t="str">
            <v>h/j/Ci</v>
          </cell>
          <cell r="D200">
            <v>10404797</v>
          </cell>
          <cell r="H200">
            <v>10.404797</v>
          </cell>
          <cell r="I200">
            <v>1143.3842857142856</v>
          </cell>
          <cell r="J200" t="str">
            <v>3. Dépenses de fonctionnement</v>
          </cell>
        </row>
        <row r="201">
          <cell r="C201" t="str">
            <v>h/j/Cn</v>
          </cell>
          <cell r="D201">
            <v>2651545</v>
          </cell>
          <cell r="H201">
            <v>2.651545</v>
          </cell>
          <cell r="I201">
            <v>291.37857142857143</v>
          </cell>
          <cell r="J201" t="str">
            <v>3. Dépenses de fonctionnement</v>
          </cell>
        </row>
        <row r="202">
          <cell r="C202" t="str">
            <v>forfait/sup</v>
          </cell>
          <cell r="F202">
            <v>10000000000</v>
          </cell>
          <cell r="H202">
            <v>10000</v>
          </cell>
          <cell r="I202">
            <v>1098901.0989010988</v>
          </cell>
          <cell r="J202" t="str">
            <v>5. Investissement</v>
          </cell>
        </row>
        <row r="203">
          <cell r="C203" t="str">
            <v>étude suivi /ERAM</v>
          </cell>
          <cell r="D203">
            <v>3703140895</v>
          </cell>
          <cell r="H203">
            <v>3703.140895</v>
          </cell>
          <cell r="I203">
            <v>406938.55989010987</v>
          </cell>
          <cell r="J203" t="str">
            <v>5. Investissement</v>
          </cell>
        </row>
        <row r="204">
          <cell r="C204" t="str">
            <v>forfait /viol</v>
          </cell>
          <cell r="G204">
            <v>855000000</v>
          </cell>
          <cell r="H204">
            <v>855</v>
          </cell>
          <cell r="I204">
            <v>93956.043956043955</v>
          </cell>
          <cell r="J204" t="str">
            <v>3. Dépenses de fonctionnement</v>
          </cell>
        </row>
        <row r="205">
          <cell r="C205" t="str">
            <v>forfait/étud/fscol</v>
          </cell>
          <cell r="G205">
            <v>262500000</v>
          </cell>
          <cell r="H205">
            <v>262.5</v>
          </cell>
          <cell r="I205">
            <v>28846.153846153848</v>
          </cell>
          <cell r="J205" t="str">
            <v>3. Dépenses de fonctionnement</v>
          </cell>
        </row>
        <row r="206">
          <cell r="C206" t="str">
            <v>forfait /EI</v>
          </cell>
          <cell r="G206">
            <v>285000000</v>
          </cell>
          <cell r="H206">
            <v>285</v>
          </cell>
          <cell r="I206">
            <v>31318.68131868132</v>
          </cell>
          <cell r="J206" t="str">
            <v>3. Dépenses de fonctionnement</v>
          </cell>
        </row>
        <row r="207">
          <cell r="C207" t="str">
            <v>forfait /GRH</v>
          </cell>
          <cell r="G207">
            <v>1207500000</v>
          </cell>
          <cell r="H207">
            <v>1207.5</v>
          </cell>
          <cell r="I207">
            <v>132692.30769230769</v>
          </cell>
          <cell r="J207" t="str">
            <v>3. Dépenses de fonctionnement</v>
          </cell>
        </row>
        <row r="208">
          <cell r="C208" t="str">
            <v>forfait /tice</v>
          </cell>
          <cell r="G208">
            <v>475000000</v>
          </cell>
          <cell r="H208">
            <v>475</v>
          </cell>
          <cell r="I208">
            <v>52197.802197802201</v>
          </cell>
          <cell r="J208" t="str">
            <v>3. Dépenses de fonctionnement</v>
          </cell>
        </row>
        <row r="209">
          <cell r="C209" t="str">
            <v>forfait /éval</v>
          </cell>
          <cell r="G209">
            <v>285000000</v>
          </cell>
          <cell r="H209">
            <v>285</v>
          </cell>
          <cell r="I209">
            <v>31318.68131868132</v>
          </cell>
          <cell r="J209" t="str">
            <v>3. Dépenses de fonctionnement</v>
          </cell>
        </row>
        <row r="210">
          <cell r="C210" t="str">
            <v>forfait /PAPB</v>
          </cell>
          <cell r="G210">
            <v>819000000</v>
          </cell>
          <cell r="H210">
            <v>819</v>
          </cell>
          <cell r="I210">
            <v>90000</v>
          </cell>
          <cell r="J210" t="str">
            <v>3. Dépenses de fonctionnement</v>
          </cell>
        </row>
        <row r="211">
          <cell r="C211" t="str">
            <v>Evaluation/prim</v>
          </cell>
          <cell r="E211">
            <v>1152000000</v>
          </cell>
          <cell r="H211">
            <v>1152</v>
          </cell>
          <cell r="I211">
            <v>126593.40659340659</v>
          </cell>
          <cell r="J211" t="str">
            <v>3. Dépenses de fonctionnement</v>
          </cell>
        </row>
        <row r="212">
          <cell r="C212" t="str">
            <v>Evaluation/Col</v>
          </cell>
          <cell r="E212">
            <v>889637500</v>
          </cell>
          <cell r="H212">
            <v>889.63750000000005</v>
          </cell>
          <cell r="I212">
            <v>97762.362637362632</v>
          </cell>
          <cell r="J212" t="str">
            <v>3. Dépenses de fonctionnement</v>
          </cell>
        </row>
        <row r="213">
          <cell r="C213" t="str">
            <v>éval/pasec</v>
          </cell>
          <cell r="G213">
            <v>3325000000</v>
          </cell>
          <cell r="H213">
            <v>3325</v>
          </cell>
          <cell r="I213">
            <v>365384.61538461538</v>
          </cell>
          <cell r="J213" t="str">
            <v>3. Dépenses de fonctionnement</v>
          </cell>
        </row>
        <row r="214">
          <cell r="C214" t="str">
            <v>éval/egra</v>
          </cell>
          <cell r="G214">
            <v>538003000</v>
          </cell>
          <cell r="H214">
            <v>538.00300000000004</v>
          </cell>
          <cell r="I214">
            <v>59121.208791208788</v>
          </cell>
          <cell r="J214" t="str">
            <v>3. Dépenses de fonctionnement</v>
          </cell>
        </row>
        <row r="215">
          <cell r="C215" t="str">
            <v>évaluation</v>
          </cell>
          <cell r="G215">
            <v>570000000</v>
          </cell>
          <cell r="H215">
            <v>570</v>
          </cell>
          <cell r="I215">
            <v>62637.362637362639</v>
          </cell>
          <cell r="J215" t="str">
            <v>3. Dépenses de fonctionnement</v>
          </cell>
        </row>
        <row r="216">
          <cell r="C216" t="str">
            <v>étude suivi /CFP</v>
          </cell>
          <cell r="D216">
            <v>2006657680</v>
          </cell>
          <cell r="H216">
            <v>2006.65768</v>
          </cell>
          <cell r="I216">
            <v>220511.83296703297</v>
          </cell>
          <cell r="J216" t="str">
            <v>3. Dépenses de fonctionnement</v>
          </cell>
        </row>
        <row r="217">
          <cell r="C217" t="str">
            <v>sup</v>
          </cell>
          <cell r="E217">
            <v>7176000</v>
          </cell>
          <cell r="H217">
            <v>7.1760000000000002</v>
          </cell>
          <cell r="I217">
            <v>788.57142857142856</v>
          </cell>
          <cell r="J217" t="str">
            <v>3. Dépenses de fonctionnement</v>
          </cell>
        </row>
        <row r="218">
          <cell r="C218" t="str">
            <v>sup/lat</v>
          </cell>
          <cell r="E218">
            <v>3421600</v>
          </cell>
          <cell r="H218">
            <v>3.4216000000000002</v>
          </cell>
          <cell r="I218">
            <v>376</v>
          </cell>
          <cell r="J218" t="str">
            <v>3. Dépenses de fonctionnement</v>
          </cell>
        </row>
        <row r="219">
          <cell r="C219" t="str">
            <v>sup/reh</v>
          </cell>
          <cell r="E219">
            <v>1755000</v>
          </cell>
          <cell r="H219">
            <v>1.7549999999999999</v>
          </cell>
          <cell r="I219">
            <v>192.85714285714286</v>
          </cell>
          <cell r="J219" t="str">
            <v>5. Investissement</v>
          </cell>
        </row>
        <row r="220">
          <cell r="C220" t="str">
            <v>RDP</v>
          </cell>
          <cell r="G220">
            <v>760000000</v>
          </cell>
          <cell r="H220">
            <v>760</v>
          </cell>
          <cell r="I220">
            <v>83516.483516483509</v>
          </cell>
          <cell r="J220" t="str">
            <v>3. Dépenses de fonctionnement</v>
          </cell>
        </row>
        <row r="221">
          <cell r="C221" t="str">
            <v xml:space="preserve">Saisie/quest </v>
          </cell>
          <cell r="E221">
            <v>10000</v>
          </cell>
          <cell r="H221">
            <v>0.01</v>
          </cell>
          <cell r="I221">
            <v>1.098901098901099</v>
          </cell>
          <cell r="J221" t="str">
            <v>3. Dépenses de fonctionnement</v>
          </cell>
        </row>
        <row r="222">
          <cell r="J222" t="str">
            <v>3. Dépenses de fonctionnement</v>
          </cell>
        </row>
        <row r="223">
          <cell r="C223" t="str">
            <v>Concours/etfp</v>
          </cell>
          <cell r="G223">
            <v>41384007740.617996</v>
          </cell>
          <cell r="H223">
            <v>41384.007740617999</v>
          </cell>
          <cell r="I223">
            <v>4547693.1583096702</v>
          </cell>
          <cell r="J223" t="str">
            <v>3. Dépenses de fonctionnement</v>
          </cell>
        </row>
        <row r="224">
          <cell r="C224" t="str">
            <v>Conc-exam/mena</v>
          </cell>
          <cell r="G224">
            <v>45791453339.168198</v>
          </cell>
          <cell r="H224">
            <v>45791.453339168198</v>
          </cell>
          <cell r="I224">
            <v>5032027.8394690324</v>
          </cell>
          <cell r="J224" t="str">
            <v>3. Dépenses de fonctionnement</v>
          </cell>
        </row>
        <row r="225">
          <cell r="C225" t="str">
            <v>forf/cerémonie</v>
          </cell>
          <cell r="E225">
            <v>200000000</v>
          </cell>
          <cell r="H225">
            <v>200</v>
          </cell>
          <cell r="I225">
            <v>21978.021978021978</v>
          </cell>
          <cell r="J225" t="str">
            <v>3. Dépenses de fonctionnement</v>
          </cell>
        </row>
        <row r="226">
          <cell r="C226" t="str">
            <v>subv/structure</v>
          </cell>
          <cell r="F226">
            <v>50000000</v>
          </cell>
          <cell r="H226">
            <v>50</v>
          </cell>
          <cell r="I226">
            <v>5494.5054945054944</v>
          </cell>
          <cell r="J226" t="str">
            <v>3. Dépenses de fonctionnement</v>
          </cell>
        </row>
        <row r="227">
          <cell r="C227" t="str">
            <v>envel/an/CC</v>
          </cell>
          <cell r="F227">
            <v>500000000</v>
          </cell>
          <cell r="H227">
            <v>500</v>
          </cell>
          <cell r="I227">
            <v>54945.054945054944</v>
          </cell>
          <cell r="J227" t="str">
            <v>3. Dépenses de fonctionnement</v>
          </cell>
        </row>
        <row r="228">
          <cell r="C228" t="str">
            <v>forfait/fi/educ</v>
          </cell>
          <cell r="E228">
            <v>570000000</v>
          </cell>
          <cell r="H228">
            <v>570</v>
          </cell>
          <cell r="I228">
            <v>62637.362637362639</v>
          </cell>
          <cell r="J228" t="str">
            <v>3. Dépenses de fonctionnement</v>
          </cell>
        </row>
        <row r="229">
          <cell r="C229" t="str">
            <v>dot/fonct</v>
          </cell>
          <cell r="G229">
            <v>28879505391</v>
          </cell>
          <cell r="H229">
            <v>28879.505390999999</v>
          </cell>
          <cell r="I229">
            <v>3173572.020989011</v>
          </cell>
          <cell r="J229" t="str">
            <v>3. Dépenses de fonctionnement</v>
          </cell>
        </row>
        <row r="230">
          <cell r="C230" t="str">
            <v>dot/fonct/AC/MENA</v>
          </cell>
          <cell r="G230">
            <v>32221870422.193401</v>
          </cell>
          <cell r="H230">
            <v>32221.870422193402</v>
          </cell>
          <cell r="I230">
            <v>3540864.8815597142</v>
          </cell>
          <cell r="J230" t="str">
            <v>3. Dépenses de fonctionnement</v>
          </cell>
        </row>
        <row r="231">
          <cell r="C231" t="str">
            <v>dot/fonct/METFP</v>
          </cell>
          <cell r="G231">
            <v>7704705452.2202902</v>
          </cell>
          <cell r="H231">
            <v>7704.7054522202898</v>
          </cell>
          <cell r="I231">
            <v>846670.92881541653</v>
          </cell>
          <cell r="J231" t="str">
            <v>3. Dépenses de fonctionnement</v>
          </cell>
        </row>
        <row r="232">
          <cell r="C232" t="str">
            <v>dot/fonct/MESRS</v>
          </cell>
          <cell r="G232">
            <v>10483764696.7255</v>
          </cell>
          <cell r="H232">
            <v>10483.7646967255</v>
          </cell>
          <cell r="I232">
            <v>1152062.0545852198</v>
          </cell>
          <cell r="J232" t="str">
            <v>3. Dépenses de fonctionnement</v>
          </cell>
        </row>
        <row r="233">
          <cell r="C233" t="str">
            <v>fonct/ST/PRODEG</v>
          </cell>
          <cell r="G233">
            <v>1311000000</v>
          </cell>
          <cell r="H233">
            <v>1311</v>
          </cell>
          <cell r="I233">
            <v>144065.93406593407</v>
          </cell>
          <cell r="J233" t="str">
            <v>3. Dépenses de fonctionnement</v>
          </cell>
        </row>
        <row r="234">
          <cell r="C234" t="str">
            <v>revue</v>
          </cell>
          <cell r="G234">
            <v>215000000</v>
          </cell>
          <cell r="H234">
            <v>215</v>
          </cell>
          <cell r="I234">
            <v>23626.373626373625</v>
          </cell>
          <cell r="J234" t="str">
            <v>3. Dépenses de fonctionnement</v>
          </cell>
        </row>
        <row r="235">
          <cell r="C235" t="str">
            <v>sub/étabETFP</v>
          </cell>
          <cell r="G235">
            <v>11105788684.4839</v>
          </cell>
          <cell r="H235">
            <v>11105.788684483899</v>
          </cell>
          <cell r="I235">
            <v>1220416.3389542748</v>
          </cell>
          <cell r="J235" t="str">
            <v>3. Dépenses de fonctionnement</v>
          </cell>
        </row>
        <row r="236">
          <cell r="C236" t="str">
            <v>sub/ENI</v>
          </cell>
          <cell r="G236">
            <v>2253878345.1118598</v>
          </cell>
          <cell r="H236">
            <v>2253.8783451118597</v>
          </cell>
          <cell r="I236">
            <v>247678.9390232813</v>
          </cell>
          <cell r="J236" t="str">
            <v>3. Dépenses de fonctionnement</v>
          </cell>
        </row>
        <row r="237">
          <cell r="C237" t="str">
            <v>sub/IES</v>
          </cell>
          <cell r="G237">
            <v>150012512659.918</v>
          </cell>
          <cell r="H237">
            <v>150012.51265991799</v>
          </cell>
          <cell r="I237">
            <v>16484891.50108989</v>
          </cell>
          <cell r="J237" t="str">
            <v>3. Dépenses de fonctionnement</v>
          </cell>
        </row>
        <row r="238">
          <cell r="C238" t="str">
            <v>sub/IRS</v>
          </cell>
          <cell r="G238">
            <v>50737009102.768997</v>
          </cell>
          <cell r="H238">
            <v>50737.009102769</v>
          </cell>
          <cell r="I238">
            <v>5575495.5057987906</v>
          </cell>
          <cell r="J238" t="str">
            <v>3. Dépenses de fonctionnement</v>
          </cell>
        </row>
        <row r="239">
          <cell r="C239" t="str">
            <v>sub/ensdist</v>
          </cell>
          <cell r="G239">
            <v>2273931271.90978</v>
          </cell>
          <cell r="H239">
            <v>2273.9312719097802</v>
          </cell>
          <cell r="I239">
            <v>249882.55735272309</v>
          </cell>
          <cell r="J239" t="str">
            <v>3. Dépenses de fonctionnement</v>
          </cell>
        </row>
        <row r="240">
          <cell r="C240" t="str">
            <v>forfait/suivi</v>
          </cell>
          <cell r="G240">
            <v>125714.28571428571</v>
          </cell>
          <cell r="H240">
            <v>0.12571428571428572</v>
          </cell>
          <cell r="I240">
            <v>13.814756671899531</v>
          </cell>
          <cell r="J240" t="str">
            <v>3. Dépenses de fonctionnement</v>
          </cell>
        </row>
        <row r="241">
          <cell r="C241" t="str">
            <v>sup/app</v>
          </cell>
          <cell r="G241">
            <v>25906700</v>
          </cell>
          <cell r="H241">
            <v>25.906700000000001</v>
          </cell>
          <cell r="I241">
            <v>2846.8901098901097</v>
          </cell>
          <cell r="J241" t="str">
            <v>3. Dépenses de fonctionnement</v>
          </cell>
        </row>
        <row r="242">
          <cell r="C242" t="str">
            <v>dot/CSS</v>
          </cell>
          <cell r="E242">
            <v>9500</v>
          </cell>
          <cell r="H242">
            <v>9.4999999999999998E-3</v>
          </cell>
          <cell r="I242">
            <v>1.043956043956044</v>
          </cell>
          <cell r="J242" t="str">
            <v>3. Dépenses de fonctionnement</v>
          </cell>
        </row>
        <row r="243">
          <cell r="C243" t="str">
            <v>sub/école</v>
          </cell>
          <cell r="G243">
            <v>2234856.6207357277</v>
          </cell>
          <cell r="H243">
            <v>2.2348566207357279</v>
          </cell>
          <cell r="I243">
            <v>245.58863964128875</v>
          </cell>
          <cell r="J243" t="str">
            <v>3. Dépenses de fonctionnement</v>
          </cell>
        </row>
        <row r="244">
          <cell r="C244" t="str">
            <v>sub/col</v>
          </cell>
          <cell r="G244">
            <v>4092967816.9176898</v>
          </cell>
          <cell r="H244">
            <v>4092.96781691769</v>
          </cell>
          <cell r="I244">
            <v>449776.68317776814</v>
          </cell>
          <cell r="J244" t="str">
            <v>3. Dépenses de fonctionnement</v>
          </cell>
        </row>
        <row r="245">
          <cell r="C245" t="str">
            <v>sub/lyc</v>
          </cell>
          <cell r="G245">
            <v>1900632919.16205</v>
          </cell>
          <cell r="H245">
            <v>1900.63291916205</v>
          </cell>
          <cell r="I245">
            <v>208860.76034747803</v>
          </cell>
          <cell r="J245" t="str">
            <v>3. Dépenses de fonctionnement</v>
          </cell>
        </row>
        <row r="246">
          <cell r="C246" t="str">
            <v>contribution</v>
          </cell>
          <cell r="G246">
            <v>736221374.04580164</v>
          </cell>
          <cell r="H246">
            <v>736.22137404580167</v>
          </cell>
          <cell r="I246">
            <v>80903.447697340845</v>
          </cell>
          <cell r="J246" t="str">
            <v>3. Dépenses de fonctionnement</v>
          </cell>
        </row>
        <row r="247">
          <cell r="C247" t="str">
            <v>sub/IRS</v>
          </cell>
          <cell r="G247">
            <v>51369347352.76902</v>
          </cell>
          <cell r="H247">
            <v>51369.347352769022</v>
          </cell>
          <cell r="I247">
            <v>5644983.2255790131</v>
          </cell>
          <cell r="J247" t="str">
            <v>3. Dépenses de fonctionnement</v>
          </cell>
        </row>
        <row r="248">
          <cell r="C248" t="str">
            <v>sub/IES</v>
          </cell>
          <cell r="G248">
            <v>49671000000</v>
          </cell>
          <cell r="H248">
            <v>49671</v>
          </cell>
          <cell r="I248">
            <v>5458351.6483516479</v>
          </cell>
          <cell r="J248" t="str">
            <v>3. Dépenses de fonctionnement</v>
          </cell>
        </row>
        <row r="249">
          <cell r="C249" t="str">
            <v>forfait /Foceb</v>
          </cell>
          <cell r="G249">
            <v>4302800866.6666603</v>
          </cell>
          <cell r="H249">
            <v>4302.8008666666601</v>
          </cell>
          <cell r="I249">
            <v>472835.26007325936</v>
          </cell>
          <cell r="J249" t="str">
            <v>3. Dépenses de fonctionnement</v>
          </cell>
        </row>
        <row r="250">
          <cell r="C250" t="str">
            <v>forfait /PAFISAM</v>
          </cell>
          <cell r="G250">
            <v>2940000000</v>
          </cell>
          <cell r="H250">
            <v>2940</v>
          </cell>
          <cell r="I250">
            <v>323076.92307692306</v>
          </cell>
          <cell r="J250" t="str">
            <v>3. Dépenses de fonctionnement</v>
          </cell>
        </row>
        <row r="251">
          <cell r="C251" t="str">
            <v>forfait /BOCEJ</v>
          </cell>
          <cell r="G251">
            <v>7295050000</v>
          </cell>
          <cell r="H251">
            <v>7295.05</v>
          </cell>
          <cell r="I251">
            <v>801653.84615384613</v>
          </cell>
          <cell r="J251" t="str">
            <v>3. Dépenses de fonctionnement</v>
          </cell>
        </row>
        <row r="252">
          <cell r="C252" t="str">
            <v>forfait /proBM</v>
          </cell>
          <cell r="G252">
            <v>3562500000</v>
          </cell>
          <cell r="H252">
            <v>3562.5</v>
          </cell>
          <cell r="I252">
            <v>391483.51648351649</v>
          </cell>
          <cell r="J252" t="str">
            <v>3. Dépenses de fonctionnement</v>
          </cell>
        </row>
        <row r="253">
          <cell r="J253" t="str">
            <v>5. Investissement</v>
          </cell>
        </row>
        <row r="254">
          <cell r="C254" t="str">
            <v>moto</v>
          </cell>
          <cell r="D254">
            <v>15000000</v>
          </cell>
          <cell r="H254">
            <v>15</v>
          </cell>
          <cell r="I254">
            <v>1648.3516483516485</v>
          </cell>
          <cell r="J254" t="str">
            <v>5. Investissement</v>
          </cell>
        </row>
        <row r="255">
          <cell r="C255" t="str">
            <v>véhicule 4x4</v>
          </cell>
          <cell r="D255">
            <v>300000000</v>
          </cell>
          <cell r="H255">
            <v>300</v>
          </cell>
          <cell r="I255">
            <v>32967.032967032967</v>
          </cell>
          <cell r="J255" t="str">
            <v>5. Investissement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BEMK_CAMARA" refreshedDate="44755.553512500002" createdVersion="6" refreshedVersion="8" minRefreshableVersion="3" recordCount="2165" xr:uid="{00000000-000A-0000-FFFF-FFFF00000000}">
  <cacheSource type="worksheet">
    <worksheetSource ref="F2:AD2167" sheet="PAPB INTEGRAL"/>
  </cacheSource>
  <cacheFields count="25">
    <cacheField name="Activités" numFmtId="0">
      <sharedItems longText="1"/>
    </cacheField>
    <cacheField name="Nature" numFmtId="0">
      <sharedItems containsBlank="1"/>
    </cacheField>
    <cacheField name="Unité de compte" numFmtId="0">
      <sharedItems containsBlank="1"/>
    </cacheField>
    <cacheField name="Qnté 2021" numFmtId="2">
      <sharedItems containsString="0" containsBlank="1" containsNumber="1" minValue="0" maxValue="537970.24"/>
    </cacheField>
    <cacheField name="Qnté 2022" numFmtId="2">
      <sharedItems containsBlank="1" containsMixedTypes="1" containsNumber="1" minValue="0" maxValue="3006184.5260999999"/>
    </cacheField>
    <cacheField name="Qnté 2023" numFmtId="2">
      <sharedItems containsString="0" containsBlank="1" containsNumber="1" minValue="0" maxValue="1966379"/>
    </cacheField>
    <cacheField name="Qnté 2024" numFmtId="2">
      <sharedItems containsString="0" containsBlank="1" containsNumber="1" minValue="0" maxValue="1998417"/>
    </cacheField>
    <cacheField name="Qnté Total" numFmtId="2">
      <sharedItems containsString="0" containsBlank="1" containsNumber="1" minValue="0" maxValue="5885155.5"/>
    </cacheField>
    <cacheField name="Coût Unitaire" numFmtId="2">
      <sharedItems containsBlank="1" containsMixedTypes="1" containsNumber="1" minValue="0" maxValue="853398.98543631705"/>
    </cacheField>
    <cacheField name="Montant 2021" numFmtId="2">
      <sharedItems containsString="0" containsBlank="1" containsNumber="1" minValue="0" maxValue="3269236"/>
    </cacheField>
    <cacheField name="Montant 2022" numFmtId="2">
      <sharedItems containsString="0" containsBlank="1" containsNumber="1" minValue="0" maxValue="793367.02733857802"/>
    </cacheField>
    <cacheField name="Montant 2023" numFmtId="2">
      <sharedItems containsString="0" containsBlank="1" containsNumber="1" minValue="0" maxValue="875789.89795781672"/>
    </cacheField>
    <cacheField name="Montant 2024" numFmtId="2">
      <sharedItems containsString="0" containsBlank="1" containsNumber="1" minValue="0" maxValue="963466.18050785351"/>
    </cacheField>
    <cacheField name="Montant Total 2021-2024" numFmtId="2">
      <sharedItems containsString="0" containsBlank="1" containsNumber="1" minValue="0" maxValue="3553681"/>
    </cacheField>
    <cacheField name="Financement" numFmtId="0">
      <sharedItems containsBlank="1" count="22">
        <m/>
        <s v="BM"/>
        <s v="GG"/>
        <s v="CHILDFUND"/>
        <s v="UNICEF"/>
        <s v="PLAN"/>
        <s v="BAS"/>
        <s v="AIDE ET ACTION"/>
        <s v="FoCEB"/>
        <s v="PAM"/>
        <s v="BID"/>
        <s v="UNESCO"/>
        <s v="Allemagne"/>
        <s v="AR"/>
        <s v="FONDS KOWEITIEN"/>
        <s v="FONDS SAOUDIEN"/>
        <s v="JICA"/>
        <s v="UE"/>
        <s v="PNUD"/>
        <s v="AFD"/>
        <s v="AFD/PAFISAM"/>
        <s v="BM/BoCEJ"/>
      </sharedItems>
    </cacheField>
    <cacheField name="Code_CDMT_programme" numFmtId="166">
      <sharedItems containsBlank="1"/>
    </cacheField>
    <cacheField name="Code_CDMT_nature de la dépense" numFmtId="166">
      <sharedItems containsBlank="1"/>
    </cacheField>
    <cacheField name="Services responsables" numFmtId="166">
      <sharedItems containsBlank="1"/>
    </cacheField>
    <cacheField name="Services de mise en œuvre " numFmtId="166">
      <sharedItems containsBlank="1"/>
    </cacheField>
    <cacheField name="Départements" numFmtId="166">
      <sharedItems containsBlank="1" count="5">
        <s v="MENA"/>
        <s v="METFP"/>
        <s v="MESRS"/>
        <m/>
        <s v="MENA, METFP, MESRS"/>
      </sharedItems>
    </cacheField>
    <cacheField name="Programme" numFmtId="166">
      <sharedItems count="6">
        <s v="1-Accès et équité à l'enseignement général"/>
        <s v="2-Qualité des enseignements et des apprentissages"/>
        <s v="3-Expansion et réforme de l’ETFP"/>
        <s v="4-Réforme de l’enseignement supérieur et la recherche scientifique et de l'innovation"/>
        <s v="5-Gouvernance et pilotage du secteur"/>
        <s v="6-Education et alphabétisation des adultes"/>
      </sharedItems>
    </cacheField>
    <cacheField name="Sous programme" numFmtId="166">
      <sharedItems count="42">
        <s v="1-Accès et équité à l'enseignement général"/>
        <s v="11- Accès équitable au préscolaire"/>
        <s v="12- Accès équitable et achèvement du primaire"/>
        <s v="13- Accès à l’éducation non formelle"/>
        <s v="14- Accès et équité au collège"/>
        <s v="15- Promotion de l'éducation inclusive, y compris les FA"/>
        <s v="16- Accès et équité au lycée"/>
        <s v="17- Santé et hygiène scolaires "/>
        <s v="2-Qualité des enseignements et des apprentissages"/>
        <s v="21- Révision/ adaptation des curricula/programmes (place des sciences ; franco-arabe, intégration de l’éducation à la citoyenneté, l'éducation complète à la sexualité, éducation environnementale…)"/>
        <s v="22- Diversification des filière au lycée"/>
        <s v="23- Formation initiale et continue des enseignants/éducateurs y compris dans les méthodes pédagogiques innovatntes  "/>
        <s v="24- Encadrement des enseignants : appui et contrôle"/>
        <s v="25- Conditions d’apprentissage améliorées "/>
        <s v="26- Examen et évaluation"/>
        <s v="27- Introduction de l'enseignement bilingue Français-langues nationales au primaire"/>
        <s v="3-Expansion et réforme de l’ETFP"/>
        <s v="31- Identification des besoins en qualification de l’économie"/>
        <s v="32- Mise en place d’une ingénierie de formation adaptée aux besoins de l’économie"/>
        <s v="33- Développement de l’offre de formation professionnelle et technique de qualité"/>
        <s v="34- le financement du développement de l’ETFP"/>
        <s v="35- Développement de la formation continue des actifs en situation de travail"/>
        <s v="36- Renforcement des capacités de pilotage et de gestion dans le cadre d’une gouvernance parteunariale multi niveaux"/>
        <s v="4-Réforme de l’enseignement supérieur et la recherche scientifique et de l'innovation"/>
        <s v="41- Gouvernance et pilotage de l’enseignement supérieur et de la recherche scientifique"/>
        <s v="42- Expansion de l’offre publique pour un système plus équitable en lien avec les priorités nationales "/>
        <s v="43- Qualité de l’enseignement, de la formation et de la recherche scientifique"/>
        <s v="44- Conditions de vie du personnel enseignant et de recherche (à reporter dans le programme gouvernance)"/>
        <s v="5-Gouvernance et pilotage du secteur"/>
        <s v="51-Gestion des flux (mécanismes, orientations, et passerelles)"/>
        <s v="52-Déconcentration, décentralisation, et partenariats (implication des communautés et des autres parties prenantes)"/>
        <s v="53- Systèmes d’information pour la gestion de l'éducation (collecte, analyse, diffusion, et utilisation des informations) "/>
        <s v="54- Conception de plans de développement et gestion de projets"/>
        <s v="55- Gestion des RH (recrutement, affectation, motivation, fidélisation, gestion de carrières…)"/>
        <s v="56- Gestion des ressources financières"/>
        <s v="57- Coordination sectorielle"/>
        <s v="58- Renforcement des compétences de l’administration (cadre normatif, poste-profil, évaluation, équipement, formations…)"/>
        <s v="6-Education et alphabétisation des adultes"/>
        <s v="61-Mobilisation sociale pour l’accroissement des financements de l’AEA"/>
        <s v="62- Diversification des approches pour un plus grand accès équitable (modèles, des types de  centres )"/>
        <s v="63- Amélioration de la qualité "/>
        <s v="64-Développement de la Post-alphabétisation "/>
      </sharedItems>
    </cacheField>
    <cacheField name="Resultats" numFmtId="0">
      <sharedItems longText="1"/>
    </cacheField>
    <cacheField name="Stratégie" numFmtId="0">
      <sharedItems count="497" longText="1">
        <s v="1-Accès et équité à l'enseignement général"/>
        <s v="11- Accès équitable au préscolaire"/>
        <s v="111- Le préscolaire est réorganisé"/>
        <s v="1111-Réorganisation de l’offre du préscolaire (de 3 à 2 ans)"/>
        <s v="1112-Adaptation du mode de fonctionnement du préscolaire"/>
        <s v="112- La demande de préscolarisation est stimulée"/>
        <s v="1121-Sensibilisation des communautés sur l'importance de la préscolarisation des enfants et la nouvelle organisation du préscolaire"/>
        <s v="1122-Prise en charge des enfants du préscolaire par les cantines des écoles situées à proximité"/>
        <s v="1123-Création de cantines au niveau des CEC éloignés des écoles primaires à cantine"/>
        <s v="113- Les capacités d’accueil au préscolaire public et communautaires augmentent en milieux rural et urbain"/>
        <s v="1131-Construction d'établissements préscolaires publics en zone urbaine"/>
        <s v="1132-Construction de salles d’activités de préprimaire à coté des écoles primaires publiques à cantine en zone rurale"/>
        <s v="1133-Construction/réhabilitation/rénovation de CEC"/>
        <s v="114- Les CEC et les établissements préscolaires publics sont dotées en éducateurs en nombre suffisant "/>
        <s v="1141-Recrutement d’éducateurs en nombre suffisant"/>
        <s v="1142-Prise en charge progressive de la rémunération des éducateurs communautaires par l’Etat"/>
        <s v="1143-Prise en charge des aides-éducateurs par l’Etat à travers de subventions aux comités de gestion"/>
        <s v="12- Accès équitable et achèvement du primaire"/>
        <s v="121- Tous les enfants de 6 ans sont inscrits au primaire "/>
        <s v="1211-Identification des causes de la faiblesse de la scolarisation"/>
        <s v="1212-Information/sensibilisation des parents pour la scolarisation des enfants en particulier les filles dans les zones à faible taux de scolarisation"/>
        <s v="1213-Incitation de la demande de scolarisation par la création des cantines dans les milieux défavorisés y compris les écoles FA"/>
        <s v="1214-Mise en place d'une stratégie de scolarisation des enfants des foyers coraniques et des centres de mémorisation du Saint Coran"/>
        <s v="122- Toutes les localités disposent d’écoles primaires avec des infrastructures adéquates  "/>
        <s v="1221-Rénovation/réhabilitation de salles de classe en tenant compte de la prévention des catastrophes naturels, y compris dans les FA"/>
        <s v="1222-Construction et équipement de salles de classe au primaire avec rampe d’accès et en tenant compte de la prévention des catastrophes naturels"/>
        <s v="123- Toutes les écoles primaires publiques et communautaires sont dotées en enseignants en nombre suffisant, y compris les FA"/>
        <s v="1231-Recrutement d’enseignants"/>
        <s v="1232-Prise en charge progressive des enseignants communautaires"/>
        <s v="1233-Optimisation de l’utilisation des enseignants"/>
        <s v="1234-Renforcement des mesures incitatives pour le maintien des enseignants dans les zones difficiles"/>
        <s v="1235-Normalisation des enseignement dans les écoles FA privées"/>
        <s v="1236-Remplacement de salles de classe précaires, y compris dans les FA"/>
        <s v="124- Toutes les écoles primaires, y compris les FA, offrent aux élèves des conditions favorables à leur maintien, en particulier, les filles"/>
        <s v="1241-Adaptation du mode de fonctionnement de l’école aux ressources disponibles pour assurer la continuité éducative"/>
        <s v="1242-Lutte contre les violences sur le chemin de l’école, dans les écoles, et dans les familles, particulièrement envers les filles"/>
        <s v="13- Accès à l’éducation non formelle"/>
        <s v="131-La demande de scolarisation non formelle est accrue chez les enfants déscolarisés et les non scolarisés"/>
        <s v="1311-Information/sensibilisation des communautés sur l’offre d’éducation non-formelle"/>
        <s v="1312-Octroi de kits scolaires auxs apprenants"/>
        <s v="1313-Prise en charge des apprenants du non formelle par les cantines des écoles situées à proximité"/>
        <s v="132- L’offre d’éducation non formelle est diversifiée"/>
        <s v="1321-Elargissement de l’approche de la scolarisation primaire accélérée"/>
        <s v="1322-Réorganisation de l’apprentissage dans les centres NAFA en fonction des besoins locaux et développement des passerelles entre le formel et le non formel"/>
        <s v="133-Les capacités d’accueil d’éducation non formelle se sont accrues"/>
        <s v="1331-Construction/Réhabilitation/Renovation des centres NAFA"/>
        <s v="1332-Dotation des centres NAFA en équipements et mobilier"/>
        <s v="1333-Dotation des centres NAFA en matières d'œuvre"/>
        <s v="14- Accès et équité au collège"/>
        <s v="141- L’accès au collège est amélioré en tenant compte de l’équité et de l’élargissement de l’éducation de base"/>
        <s v="1411-Réorganisation du collège (tronc commun, collège de proximité etc)"/>
        <s v="1412-Optimisation de l’utilisation des salles de classe au collège, y compris les FA"/>
        <s v="1413-Construction/réhabilitation/rénovation de salles de classe avec rampe d’accès au Collège en tenant compte de la prévention des catastrophes naturelles, y compris les FA"/>
        <s v="142- Tous les Collèges publics sont dotés en enseignants en nombre suffisant "/>
        <s v="1421-Recrutement d’enseignants en nombre suffisant"/>
        <s v="1422-Prise en charge progressive des enseignants contractuels communautaire"/>
        <s v="1423-Optimisation de l’utilisation des enseignants"/>
        <s v="1424-Renforcement des mesures incitatives pour le maintien des enseignants dans les zones difficiles"/>
        <s v="143- Tous les Collèges offrent aux élèves des conditions favorables à leur maintien"/>
        <s v="1431-Adaptation du calendrier scolaire des Collèges aux conditions locales et aux dates des examens nationaux"/>
        <s v="1432-Lutte contre les violences et les harcèlements subis par les filles sur le chemin de l’école et dans les écoles (pris en compte dans 1242)"/>
        <s v="15- Promotion de l'éducation inclusive, y compris les FA"/>
        <s v="151-Construction de rampes d'accès pour les écoles/établissements qui n'en disposent pas"/>
        <s v="152- Un protocole d’assistance matérielle, humaine et technique est élaboré et adopté"/>
        <s v="1521-Mise en place et actualisation de la cartographie des enfants en situation de handicap (ESH)"/>
        <s v="1522-Prise en charge des ESH en matériels adaptés et en assistance sociale"/>
        <s v="153- L'éducation inclusive est intégrée dans la prise de décision par les différents acteurs"/>
        <s v="1531-Renforcement des capacités en éducation inclusive (pilotage, directeurs, enseignants)"/>
        <s v="1532-Sensibilisation des différents acteurs en éducation sur l'éducation inclusive"/>
        <s v="1533-Renforcement de la gratuité de l'école primaire"/>
        <s v="16- Accès et équité au lycée"/>
        <s v="161- L’accès au lycée est maitrisé en tenant compte de l’équité et de la diversification des filières"/>
        <s v="1611-Diversification des filières au lycée"/>
        <s v="1612-Optimisation de l’utilisation des salles de classe au lycée, y compris les FA"/>
        <s v="1613-Construction de salles de classe avec rampe d’accès au lycée en tenant compte de la prévention des catastrophes naturelles, y compris les FA"/>
        <s v="1614-Réhabilitation/rénovation de salles de classe au Lycée en tenant compte de la prévention des catastrophes naturelles, y compris les FA"/>
        <s v="162- Tous les lycées publics sont dotés en enseignants en nombre suffisant, y compris les FA"/>
        <s v="1621-Recrutement d’enseignants de lycée en nombre suffisant, y compris les FA"/>
        <s v="1622-Prise en charge progressive des enseignants contractuels au lycée, y compris les FA"/>
        <s v="1623-Optimisation de l’utilisation des enseignants au lycée, y compris les FA"/>
        <s v="17- Santé et hygiène scolaires "/>
        <s v="171- Les conditions d'hygiène sont améliorées au sein des écoles et établissements"/>
        <s v="1711-Construction/rénovation des latrines séparées"/>
        <s v="1712-Aménagement/rénovation des point d'eau"/>
        <s v="1713-Mise en place de kits de lavage des mains dans les écoles et établissements"/>
        <s v="172- La santé scolaire est améliorée au sein des écoles et établissements scolaires, y compris les FA"/>
        <s v="1721-Mise à disposition des écoles et établissements d'infirmerie et de boîte à pharmacie"/>
        <s v="1722-Prévention et lutte contre les maladies en milieu scolaire"/>
        <s v="1723-Octroi de kits d’hygiène aux filles issues des milieux défavorisés"/>
        <s v="2-Qualité des enseignements et des apprentissages"/>
        <s v="21- Révision/ adaptation des curricula/programmes (place des sciences ; franco-arabe, intégration de l’éducation à la citoyenneté, l'éducation complète à la sexualité, éducation environnementale…)"/>
        <s v="211- les contenus des programmes (du préscolaire, du primaire, 1er et second cycle du secondaire) sont progressivement révisés, adaptés et diversifiés"/>
        <s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
        <s v="2112-Conception/élaboration et expérimentation de nouveaux curricula/programmes"/>
        <s v="2113-Formation des enseignants aux nouveaux curricula à tous les niveaux"/>
        <s v="2114-Adaptation des manuels/matériels pédagogiques et ludiques aux nouveaux curricula à tous les niveaux et pour tous les enfants"/>
        <s v="2115-Introduction des approches innovantes dans le cursus scolaire"/>
        <s v="22- Diversification des filière au lycée"/>
        <s v="221- Les nouvelles filières de formation au lycée sont introduites"/>
        <s v="2211-Choix et expériementation des filières d’enseignement au lycée"/>
        <s v="2212-expérimentaion des filières choisies"/>
        <s v="2213-Elaboration et validation d'un plan d'action opérationnel pour l'implantation progressive des filiéres"/>
        <s v="23- Formation initiale et continue des enseignants/éducateurs y compris dans les méthodes pédagogiques innovatntes  "/>
        <s v="231- Une formation initiale de qualité (polyvalence, méthodes pédagogiques innovantes, éducation inclusive et gestion des classes multigrades) des formateurs et cohérente avec les curricula, est mise en place"/>
        <s v="2311-La mise en place des standards de qualité sur la formation initiale (ENI)"/>
        <s v="2312-Extension de la formation des éducateurs du préscolaire dans les ENI"/>
        <s v="2313-Renforcer la formation des enseignants dans la gestion des classes uniques"/>
        <s v="232- Les cercles de qualité sont créés et sont opérationnels "/>
        <s v="2321-Institutionnalisation des cercles de qualité aux différents niveaux (DSEE,DPE/DCE/IRE)"/>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s v="2331-Mise en place des standards de qualité pour la formation continue"/>
        <s v="2332-Mise en place d'une Ingénierie de la formation continue"/>
        <s v="2333-Redynamisation des centres de formation continue"/>
        <s v="2334-Relance des journées d’animation pédagogiques"/>
        <s v="2335-Suivi pédagogique par le directeur d’école et les Chef d’Unité Pédagogique"/>
        <s v="2336-Evaluation régulière des compétences des enseignants et éducateurs sortant des établissements de formation initiale"/>
        <s v="2337-Intégration des méthodes pédagogiques innovantes dans la formation initiale"/>
        <s v="24- Encadrement des enseignants : appui et contrôle"/>
        <s v="241- Un dispositif efficace d’encadrement est défini (organisation, rôles des différents acteurs)"/>
        <s v="2411-Etat des lieux de l’encadrement (Forces et faiblesses)"/>
        <s v="2412-Conception, élaboration et validation de nouveaux textes relatifs aux rôles et responsabilités des acteurs dans l'encadrement"/>
        <s v="2413-Dissémination du manuel de procédures d’encadrement et expérimentation"/>
        <s v="242- L’encadrement dispose des ressources humaines en nombre nécessaire et en profil pertinent"/>
        <s v="2421-Définition d’un cadre organique (Poste, profil, nombre…)"/>
        <s v="2422-Mise en place du cadre organique défini"/>
        <s v="2423-Suivi régulier du respect du cadre organique"/>
        <s v="243- Les acteurs de l’encadrement disposent des ressources matérielles nécessaires pour mener à bien leurs fonctions  "/>
        <s v="2431-Identification et mise à disposition des ressources matérielles nécessaires pour chaque corps d’encadreurs"/>
        <s v="2432-Renforcement de la gestion des écoles"/>
        <s v="25- Conditions d’apprentissage améliorées "/>
        <s v="251- Les manuels et guides adaptés aux nouveaux curricula sont développés"/>
        <s v="2511-Formation des groupes disciplinaires et rédaction des manuels et guides"/>
        <s v="2512-Validation des contenus et impression des manuels"/>
        <s v="252- Les  enseignants sont formés à l'utilisation des manuels et guides de l'enseignant"/>
        <s v="2521-Sensibilisation et Formation des enseignants et éducateurs à l'utilisation des guides et manuels d'enseignants"/>
        <s v="253- Les élèves du primaire et du secondaire disposent des manuels des matières fondamentales en quantité suffisante."/>
        <s v="2531-Distribution des manuels et guides"/>
        <s v="2532-redynamiser les comités de gestion des manuels"/>
        <s v="2533-Organisation des audits sur la gestion des manuels"/>
        <s v="254- Les enseignants utilisent en classe les matériels didactiques et ludiques"/>
        <s v="2541-Formation des personnes pour le développement des matériels didactiques et ludiques"/>
        <s v="2542-Développement des matériels ludiques et didactiques et équipement des CEC"/>
        <s v="2543-Validation du matériel didactique produit"/>
        <s v="2544-Distribution du matériel validé"/>
        <s v="255- les enseignants sont plus ou moins satisfaits de leur conditions de vie"/>
        <s v="2551-Amélioration des conditions de vie des enseignants"/>
        <s v="256- Les laboratoires et kits sont installés progressivement dans les établissements secondaires"/>
        <s v="2561-création de conditions pratiques d'enseignement"/>
        <s v="2562-Promotion de l’initiative de l’enseignement des mathématiques, des sciences au Secondaire"/>
        <s v="2563-Promotion et développement des TICE dans les enseignements apprentissages"/>
        <s v="257- Extension progressive de l'enseignement de l'anglais au secondaire(collège)"/>
        <s v="2571-Recrutement de professeurs d'anglais en quantité suffisante"/>
        <s v="258- Les activités extrascolaires sont diversifiées"/>
        <s v="2581-Renforcement des activités artistiques, culturelles et sportives dans les écoles"/>
        <s v="26- Examen et évaluation"/>
        <s v="261- Les évaluations des acquis au primaire et secondaire sont régulières, exploitées et disséminées.  "/>
        <s v="2611-Conception et la validation des outils de collecte de données"/>
        <s v="2612-Evaluation standardisée des acquis des élèves (CP2, CE2 et CM2) : Mise à échelle &quot;Collecte&quot;, analyse et la rédaction du rapport d’évaluation"/>
        <s v="2613-Evaluation standardisée des acquis des élèves au secondaire : Mise échelle, analyse et la rédaction du rapport d’évaluation"/>
        <s v="2614-Dissémination des résultats des évaluations à tous les niveaux (Régions, préfecture, DSEE et Ecoles)"/>
        <s v="2615-Renforcement des capacités du service national d'évaluation"/>
        <s v="2616-Renforcement des évaluations pilotes"/>
        <s v="262- La fiabilité des examens nationaux est améliorée"/>
        <s v="2621-Collecte des données des examens nationaux"/>
        <s v="2622-Analyse et rédaction du rapport d'audit"/>
        <s v="2623-Adaptation des textes organisants les examens nationaux"/>
        <s v="263- Un document référentiel sur la production et l'utilisation des données des évaluations standardisées est mis en place"/>
        <s v="2631-Rédaction du document de référence"/>
        <s v="264- Les capacités des enseignants en méthodes d'évaluation sont renforcés"/>
        <s v="2641-Formation des enseignants en conception d'items/épreuves et en notation (docimologie)"/>
        <s v="27- Introduction de l'enseignement bilingue Français-langues nationales au primaire"/>
        <s v="271- Les résultats de la phase pilote sont capitalisés pour identifier les stratégies d’utilisation des langues nationales dans l’enseignement et l’apprentissageUne instance de pilotage de la réforme du bilinguisme est opérationnelle"/>
        <s v="2711-Recomposition de l'instance de pilotage de la réforme du bilinguisme"/>
        <s v="272- Des étude sont réalisées pour préparer la mise à l'échelle"/>
        <s v="2721-Recrutement d'un cabinet spécialisée pour la conduite de l'étude"/>
        <s v="273-Une expertise nationale en  langues nationales est disponible"/>
        <s v="2731-Mise en place d’une équipe nationale pour la conduite du processus"/>
        <s v="274-Les acteurs et partenaires adhèrent à l’approche l’enseignement  et de l’apprentissage des langues nationales "/>
        <s v="2741-Sensibilisation de tous les acteurs et partenaires"/>
        <s v="275- L’utilisation des langues nationales dans l’enseignement et l’apprentissage est effective"/>
        <s v="2751-Les langues nationales sont généralisées progressivement dans les écoles"/>
        <s v="3-Expansion et réforme de l’ETFP"/>
        <s v="31- Identification des besoins en qualification de l’économie"/>
        <s v="311- Les besoins en compétence des secteurs prioritaires sont identifiés"/>
        <s v="3111-Réalisation d’études d'identification impliquant tous les acteurs à tous les niveaux"/>
        <s v="3112-Organisation de concertations avec tous les acteurs, en particulier avec les professionnels à tous les niveaux"/>
        <s v="312- Un dispositif de veille sur les métiers, d’anticipation et d’identification des besoins du marché du travail est opérationnel"/>
        <s v="3121-Définition des missions, du mode de fonctionnement du dispositif"/>
        <s v="3122-Mise en place et opérationnalisation du dispositif de veille"/>
        <s v="313- Un mécanisme de suivi de l’insertion est opérationnel"/>
        <s v="3131-Conception et mise en place du mécanisme de suivi de l’insertion"/>
        <s v="3132-Réalisation d’actions de suivi et d’analyse de l’insertion des diplômés de l’ETFP"/>
        <s v="32- Mise en place d’une ingénierie de formation adaptée aux besoins de l’économie"/>
        <s v="321- Un dispositif institutionnel de formation du personnel de formation et d’ingénierie de formation est mis en place"/>
        <s v="3211-Définition des missions du dispositif institutionnel de l’ingénierie de formation"/>
        <s v="3212-Opérationnalisation du dispositif"/>
        <s v="322- Les TIC et l’économie verte sont prises en compte dans l’élaboration des programmes"/>
        <s v="3221-Intégration des TIC et prise en compte de l’économie verte dans l’actualisation et l’élaboration des programmes"/>
        <s v="323- Un cadre adéquat pour le développement de la formation en milieu du travail est mis en place"/>
        <s v="3231-Définition d’un cadre de développement de l’apprentissage"/>
        <s v="3232-Définition d’un cadre de développement de l’alternance"/>
        <s v="3233-Mise en place d’un dispositif de validation des acquis de l’expérience"/>
        <s v="33- Développement de l’offre de formation professionnelle et technique de qualité"/>
        <s v="331- L’accès aux dispositifs de l’ETFP est accrue en lien avec les besoins (quantitatifs et qualitatifs) de l’économie avec une priorité accordée aux filières porteuses dans les secteurs primaire et secondaire"/>
        <s v="3311-Accroissement de la capacité d’accueil (infrastructures, équipements en tenant compte des besoins des apprenants porteurs de handicap et à besoins éducatifs speciaux ainsi que les catastrophes naturelles)"/>
        <s v="3312-Dotation des établissements en personnel qualifié suffisant"/>
        <s v="3313-Application de divers modes de formation (apprentissage, résidentiel, alternance, en situation de travail…)"/>
        <s v="3314-Fournitures de matières d'œuvres"/>
        <s v="332- L’équité dans l’accès est améliorée (genre, zones, régions, besoins spécifiques)"/>
        <s v="3321-Définition et Mise en place de mécanismes favorisant l’équité"/>
        <s v="333- Un dispositif d’appui à l’insertion socioprofessionnelle y compris l’entreprenariat est opérationnel"/>
        <s v="3331-Consolidation des mécanismes d’appui à l’insertion"/>
        <s v="3332-Opérationnalisation,(notamment allocation de ressources) des mécanismes d’appui à l’insertion"/>
        <s v="3333-Suivi et encadrement des appuyés"/>
        <s v="3334-Intégration de la dimension entrepreunariale dans le dispositif de formation"/>
        <s v="34- le financement du développement de l’ETFP"/>
        <s v="341- L’allocation budgétaire de l’ETFP dans le budget de l’éducation est améliorée"/>
        <s v="3411-Plaidoyer pour concrétiser la priorité accordée à l’ETFP"/>
        <s v="3412-Adaptation des lignes budgétaire pour tenir compte des spécificités de l’ETFP"/>
        <s v="342- Le reversement intégral du produit de la taxe de l’apprentissage au FNQP est effectif"/>
        <s v="3421-Plaidoyer pour le reversement intégral du produit de la taxe de l’apprentissage au FNQP"/>
        <s v="3422-Mise en place d’une stratégie de gestion de la taxe d’apprentissage"/>
        <s v="3423-Opérationnalisation de la stratégie de gestion de la taxe_x000a_"/>
        <s v="343- La contribution du milieu socioprofessionnel dans le partage du coût de formation est accrue"/>
        <s v="3431-Elaboration d’un cadre parteunarial favorisant le partage de coût de la formation avec le milieu socioprofessionnel"/>
        <s v="3432-Mise en place d’un cadre qui favorise les prestations de services par les institutions de l’ETFP"/>
        <s v="3433-Elaboration et mise en œuvre d’une stratégie de communication et de sensibilisation du milieu socioprofessionnel"/>
        <s v="35- Développement de la formation continue des actifs en situation de travail"/>
        <s v="352- la stratégie globale de formation continue est mise en œuvre"/>
        <s v="3521-Elaboration d’une stratégie nationale de formation continue avec l'implication active des professionnels"/>
        <s v="3522-Promotion de nouveaux mécanismes d'incitation à la formation continue"/>
        <s v="3523-Opérationnalisation des nouveaux mécanismes de formation continue"/>
        <s v="353- La prestation de service en formation continue est accrue dans les centres"/>
        <s v="3531-Renforcement de capacités des centres en prestation de service en matière de formation continue"/>
        <s v="3532-Mise en œuvre d'actions de formations continues dans les centres"/>
        <s v="36- Renforcement des capacités de pilotage et de gestion dans le cadre d’une gouvernance parteunariale multi niveaux"/>
        <s v="361-Des cadres formalisés de concertation entre les acteurs de la formation professionnelle publics, partenaires sociaux économiques, les collectivités territoriales, sont opérationnels"/>
        <s v="3611-Définition des cadres de concertation"/>
        <s v="3612-Opérationnalisation des cadres_x000a_"/>
        <s v="362- L’autonomisation des institutions est accrue dans un cadre de redevabilité"/>
        <s v="3621-Définition d’un modèle de fonctionnement des institutions de l’ETFP"/>
        <s v="3622-Déploiement progressif du modèle de fonctionnement retenue_x000a__x000a_"/>
        <s v="363- La concertation est améliorée au niveaux des autres établissements (établissements non impliqués dans l'expérimentation du nouveau modèle de gouvernance)"/>
        <s v="3631-Renforcement du fonctionnement des conseils d'établissements"/>
        <s v="3632-Elaboration et mise en œuvre des projets d'établissements"/>
        <s v="364- La capacité de pilotage et de mise en œuvre, technique et financière, de l’ETFP est renforcée"/>
        <s v="3641-Mise en place d’un Système articulé d’information et de gestion de l’ETFP capitalisant et consolidant les données à tous les niveaux_x000a_"/>
        <s v="3642-Renforcement de la gestion des ressources humaines chargée de la gestion de l’ETFP_x000a_"/>
        <s v="3643-Renforcement des moyens et outils de travail_x000a_"/>
        <s v="3644-Adaptation et mise en cohérence des rôles et responsabilités des différentes structures concernées par l’ETFP"/>
        <s v="365-Le dispositif de communication et d’orientation professionnelle est opérationnel"/>
        <s v="3651-Configuration du dispositif de communication et d’orientation professionnelle"/>
        <s v="3652-Mise en œuvre du dispositif de communication"/>
        <s v="366- Un système d’assurance qualité est mis en place"/>
        <s v="3661-Développement du système d’assurance qualité en cours de mise en œuvre"/>
        <s v="3662-Extension de la mise en œuvre du système d’assurance qualité"/>
        <s v="3663-Développement d’un Cadre National de Certification et de Qualification (CNCQ)"/>
        <s v="3664-Application du CNCQ"/>
        <s v="3665-Participation à la mise en place du cadre régional de certification"/>
        <s v="367- Une loi cadre de l’ETFP est élaborée"/>
        <s v="3671-élaboration de la loi cadre avec une approche participative_x000a_"/>
        <s v="368- Le cadre juridique et règlementaire est adapté "/>
        <s v="3681-Revue du cadre existant et adaptation au nouveau cadre"/>
        <s v="369- Suivi et évaluation du programme reforme et expansion de l'ETFP est assuré"/>
        <s v="3691-Mise en place d'un cadre de suivi-évaluation_x000a_"/>
        <s v="4-Réforme de l’enseignement supérieur et la recherche scientifique et de l'innovation"/>
        <s v="41- Gouvernance et pilotage de l’enseignement supérieur et de la recherche scientifique"/>
        <s v="411- Les textes sont produits/révisés, les manuels de procédure de gestion sont élaborés afin de mieux situer les rôles et les responsabilités. "/>
        <s v="4111-Production/révision des textes et de manuels de procédure"/>
        <s v="412- Les ateliers de partage des documents sont tenus"/>
        <s v="4121-Diffusion et partage des documents"/>
        <s v="413- Un système d’information efficace et performant est mis en œuvre  afin de favoriser le reporting et la reddition des comptes"/>
        <s v="4131-Diffusion des rapports financiers à l’interne et à l’externe"/>
        <s v="4132-Introduction et généralisation de la GAR"/>
        <s v="4133-Renforcement et modernisation de la production des données statistiques pour la gestion et le pilotage"/>
        <s v="414- Les capacités des personnels administratifs et d’appui sont renforcées"/>
        <s v="4141-Renforcement des capacités des personnels à tous les niveaux du système dans des domaines pertinents"/>
        <s v="415- L’évolution quantitative de l’enseignement supérieur est maitrisée"/>
        <s v="4151-Recensement biométrique des étudiants"/>
        <s v="4152-Pérennisation de l’orientation en ligne des bacheliers, à travers la plateforme « GUPOL »"/>
        <s v="4153-Introduction de la politique d’octroi des bourses sur critères"/>
        <s v="416- Les organes de gouvernance sont fonctionnels"/>
        <s v="4161-Organisation des Conseils/Comités"/>
        <s v="4162-Mise en œuvre des textes de gouvernance"/>
        <s v="417- L’autonomie des institutions est renforcée"/>
        <s v="4171-Renforcement des capacités en matière de gestion administrative et financière"/>
        <s v="418- La mobilisation de ressources financières est accrue"/>
        <s v="4181-Développement de stratégies de coopération avec le secteur privé et à l’internationale pour mobiliser de ressources additionnelles"/>
        <s v="419- L’efficacité dans l’utilisation des fonds alloués aux institutions est améliorée"/>
        <s v="4191-Maîtrise de cycle de projets"/>
        <s v="4192-Adoption de l'élaboration de projets d'établissements pluri-annuels"/>
        <s v="4110-Modernisation de l'administration"/>
        <s v="42- Expansion de l’offre publique pour un système plus équitable en lien avec les priorités nationales "/>
        <s v="421- La capacité d’accueil en infrastructures, équipements et en enseignants des institutions est accrue"/>
        <s v="4211-Construction/rénovation et équipement de bâtiments administratifs, acquisition d'immobilisation et de matériels"/>
        <s v="4212-Construction/rénovation et équipement d’infrastructures à usage pédagogique, de recherche et œuvres universitaires, avec rampe d'accès et tenant compte de la prévention des catastrophes naturelles"/>
        <s v="4213-Recrutement de personnel enseignant en qualité suffisante"/>
        <s v="422- Le nombre des effectifs orientés vers les filières techniques et scientifiques est considérablement augmenté"/>
        <s v="4221-Renforcement de la formation binaire des enseignants du secondaire dans les sciences"/>
        <s v="4222-Mise en place des mesures incitatives"/>
        <s v="4223-Mise en place de classes préparatoires aux grandes écoles"/>
        <s v="423- La professionnalisation des filières est effective"/>
        <s v="4231-Révision et professionnalisation des programmes"/>
        <s v="424- Le nombre de filles, d’étudiants (es) handicapés (es) et ceux/celles issus (es) des couches défavorisées fréquentant les différentes formations est significativement augmenté"/>
        <s v="4241-Mise en place d’un fonds pour la valorisation du rôle des étudiantes dans le supérieur"/>
        <s v="4242-Mise en place d’infrastructures et équipements adaptés"/>
        <s v="4243-Instauration des mesures d’accompagnement"/>
        <s v="43- Qualité de l’enseignement, de la formation et de la recherche scientifique"/>
        <s v="431- Le fonctionnement de l'ANAQ est renforcée"/>
        <s v="4311-Evaluation de la qualité de l’éducation et de la recherche dans les institutions d’enseignement supérieur et de recherche"/>
        <s v="4312-Accréditation des programmes de formation et des institutions"/>
        <s v="432- Les stages pour les étudiants sont renforcés et rendus obligatoires"/>
        <s v="4321-Elaboration de plans de stages"/>
        <s v="4322-Création des partenariats avec le secteur privé"/>
        <s v="433- La proportion des diplômés du supérieur ayant des compétences requises notamment en STIM (sciences, en technologies, en ingénierie et en mathématiques) est nettement augmentée"/>
        <s v="4331-Réforme des formations en ingénierie"/>
        <s v="4332-Rénovation et équipement de laboratoires et CDI"/>
        <s v="4333-Mise en œuvre du projet stratégique « 1000 PhD et 5000 Masters »"/>
        <s v="4334-Augmentation des publications de travaux de recherche"/>
        <s v="4335-Renforcement de l’encadrement des mémoires et thèses"/>
        <s v="434- Les structures d’accompagnement et de suivi des diplômés sur le marché du travail sont fonctionnelles"/>
        <s v="4341-Création de structures d’accompagnement des étudiants diplômés"/>
        <s v="4342-Pérennisation du forum des étudiants de Guinée (FEG)"/>
        <s v="4343-Création des incubateurs dans les institutions"/>
        <s v="435- L’utilisation des TICE dans l’enseignement supérieur et la recherche scientifique est améliorée"/>
        <s v="4351-Amélioration de la connectivité à internet (infrastructures de réseaux et bande passante) dans toutes les institutions"/>
        <s v="4352-Renforcement des capacités des ressources humaines nécessaire pour prendre en charge l’utilisation des TICE"/>
        <s v="4353-Renforcement de l’usage pédagogique des applications informatiques et de l’Internet (formation à distance, espaces numériques, télé-enseignement)"/>
        <s v="436- Une politique nationale de la recherche scientifique et de l’innovation est adoptée"/>
        <s v="4361-Elaboration et adoption de la politique nationale de la recherche et de l’innovation technologique "/>
        <s v="437- Des financements adéquats sont alloués au programme de recherche scientifique et de l’innovation"/>
        <s v="4371-Création d’un fonds de recherche et d’innovation technologique en partenariat avec le secteur privé"/>
        <s v="438- Le niveau de productions scientifiques en quantité et qualité est amélioré et les résultats de la recherche scientifique et de l’innovation sont mieux capitalisés et valorisés"/>
        <s v="4381-Création de l’académie des sciences de Guinée"/>
        <s v="4382-Organisation des journées scientifiques dans les institutions"/>
        <s v="4383-Renforcement des capacités du personnel"/>
        <s v="4384-Renforcement des moyens mis à la disposition des instituts de recherche"/>
        <s v="44- Conditions de vie du personnel enseignant et de recherche (à reporter dans le programme gouvernance)"/>
        <s v="441- L’attractivité du métier d’enseignant-chercheur est relevée"/>
        <s v="4411-Augmentation des primes allouées aux grades académiques"/>
        <s v="5-Gouvernance et pilotage du secteur"/>
        <s v="51-Gestion des flux (mécanismes, orientations, et passerelles)"/>
        <s v="511-Les acteurs se sont appropriés les textes règlementaires et les manuels de procédure définissant la gestion des flux"/>
        <s v="5111-Élaboration et validation des textes et des manuels de procédures"/>
        <s v="5112-Formation des acteurs de mise en œuvre des textes et des manuels de procédures"/>
        <s v="5113-Suivi de la mise en œuvre des textes et manuels de procédures"/>
        <s v="512-Les acteurs concernés (conseillers et enseignants, parents et communautés) contribuent au respect des normes d'orientation"/>
        <s v="5121-Evaluation des compétences des conseillers à l’orientation"/>
        <s v="513- Le logiciel d'immatriculation et de suivi des élèves est amélioré et utilisé"/>
        <s v="5131-Amélioration du logiciel d'immatriculation et de suivi des élèves"/>
        <s v="5132-Sensibilisation des élèves, des parents et de la communauté sur l'importance de l’ETFP"/>
        <s v="52-Déconcentration, décentralisation, et partenariats (implication des communautés et des autres parties prenantes)"/>
        <s v="521-Les rôles et responsabilités des acteurs sont clairement définis"/>
        <s v="5211-Production de manuels de procédures pour les différents acteurs (rôles et responsabilités)"/>
        <s v="522-Les acteurs ont les compétences et les ressources nécessaires pour exercer leurs missions"/>
        <s v="5221-Renforcement des compétences des structures aux différents niveaux sur la programmation, planification et l’exécution budgétaire (formation, outils, guide, suivi régulier…)"/>
        <s v="5222-Renforcement des rôles des structures déconcentrées dans la préparation du budget de l’état pour l’éducation"/>
        <s v="5223-Suivi régulier de l’application des textes et procédures d’exécution budgétaire"/>
        <s v="53- Systèmes d’information pour la gestion de l'éducation (collecte, analyse, diffusion, et utilisation des informations) "/>
        <s v="531- La production des données permet d’offrir aux différents acteurs et utilisateurs à tous les niveaux l’information dont ils ont besoin"/>
        <s v="5311-Organisation de la collecte classique"/>
        <s v="5312-Mise à l’échelle de la numérisation de la collecte de données"/>
        <s v="5313-Promotion de l’utilisation des données par les acteurs y compris les bénéficiaires concernés (dépliants, réunions d’échange, …)"/>
        <s v="532- Le Système d'Informations et de Gestion de l'Education est intégré et est utilisé pour la prise de décision"/>
        <s v="5321-Intégration des Systèmes d'Informations et de Gestion de l'Education"/>
        <s v="5322-Mise en place et actualisation d’un site web pour chaque Département ministériel"/>
        <s v="5323-Renforcement des capacités des structures du secteur de l’éducation aux techniques de production des données, à l’exploitation des bases de données ; et aux techniques d’élaboration d’un rapport d’analyse"/>
        <s v="533- Le développement de la carte scolaire permet une meilleure planification et gestion du réseau des écoles, établissements/institutions  et de réduire les disparités"/>
        <s v="5331-Géoréférencement des écoles, établissements, et institutions, et des localités sans école"/>
        <s v="5332-Identification des sites de construction scolaire"/>
        <s v="534- Les données sont utilisées pour un meilleur pilotage du système/ les activités sont planifiées sur la base d’indicateurs de performance"/>
        <s v="5341-Appui aux sessions de pilotage et suivi de la mise en œuvre des recommandations"/>
        <s v="54- Conception de plans de développement et gestion de projets"/>
        <s v="541- Les BSD ont les compétences nécessaires à la conception, l’élaboration, le suivi et l’évaluation des projets et plans de dévéloppement"/>
        <s v="5411-Analyse du fonctionnement et des résultats des BSD dans ce domaine"/>
        <s v="5412-Renforcement des capacités des BSD"/>
        <s v="542- Les BSD ont la compétence d’élaborer, de suivre et d’évaluer les plans de développement"/>
        <s v="5421-Analyse situationnelle"/>
        <s v="5422-Planification"/>
        <s v="5423-Suivi et évaluation"/>
        <s v="55- Gestion des RH (recrutement, affectation, motivation, fidélisation, gestion de carrières…)"/>
        <s v="551- Assainissement et harmonisation des bases de données sur les personnels"/>
        <s v="5511-Développement d'un dispositif cohérent d'assainissement et d'harmonisation des bases de données existantes (Analyse des bases de données existantes et leur harmonisation MENA)"/>
        <s v="5512-Conception d'un système intégré d'information"/>
        <s v="5513-Formation des gestionnaires et utilisateurs des bases à leur exploitation"/>
        <s v="552- La politique nationale de la question enseignante est définie, validée et progressivement mise en œuvre "/>
        <s v="5521-Elaboration d'un état des lieux de la gestion des enseigants du primaire"/>
        <s v="5522-Développement et validation de la politique nationale des enseigants"/>
        <s v="5523-Mettre en place les conditions nécessaires pour rendre attractive le métier d'enseignant"/>
        <s v="553- Les procédures et critères de recrutement sont définis et respectés"/>
        <s v="5531-Développement de procédures et critères de recrutement par poste"/>
        <s v="5532-Sensibilisation des acteurs et partenaires sur les procédures et critères de recrutement par poste"/>
        <s v="5533-Publication régulière d’informations sur le profil des recrutés et le respect des procédures"/>
        <s v="554- Les critères d’affectation sont clairement définis et respectés"/>
        <s v="5541-Développement de procédures et critères d’affectation par poste"/>
        <s v="5542-Sensibilisation des acteurs et partenaires sur les procédures et critères d’affectation par poste"/>
        <s v="5543-Publication régulière d’informations sur les affectations/mutations et le respect des procédures"/>
        <s v="5544-Missions de contrôle du respect des critères et procédures d’affectation"/>
        <s v="555- Un plan de carrière motivant est validé et utilisé dans le cadre de la gestion des carrières"/>
        <s v="5551-Développement et validation du plan de carrière en collaboration avec le Ministère de la Fonction Publique et les partenaires sociaux"/>
        <s v="5552-Sensibilisation et vulgarisation du plan de carrière auprès de tous les acteurs et partenaires concernés"/>
        <s v="5553-Utilisation de la base de données pour le suivi de la mise en œuvre du plan de carrière"/>
        <s v="5554-Poursuite de la mise en œuvre du systéme de contrôle de présence des enseignants et amélioration par l'usage du telèphone portable (en lien avec le numéro vert de la DPE)"/>
        <s v="56- Gestion des ressources financières"/>
        <s v="561-Le financement du secteur est en adéquation avec les objectifs"/>
        <s v="5611-Sessions de sensibilisation sur l’importance de l’éducation comme investissement auprès de différents publics (parlementaires, médias, communes, …)"/>
        <s v="5612-Développement de stratégies allant dans le sens de la mobilisation des financements innovants auprès des acteurs économiques"/>
        <s v="5613-Préparation des documents de plaidoyer auprès des hauts décideurs pour l’accroissement de la part du secteur de l’éducation dans le budget de l’état"/>
        <s v="562- Les structures bénéficiaires reçoivent à temps les budgets nécessaires pour la mise en œuvre de leurs activités"/>
        <s v="5621-Publication des allocations budgétaires"/>
        <s v="5622-Mise en œuvre de mécanismes de suivi des budgets jusqu’à l’école/établissement/institution"/>
        <s v="5623-Publication des résultats des mécanismes de suivi"/>
        <s v="563- Une plus grande transparence sur l’utilisation des ressources financières permet une utilisation, conforme aux objectifs de la programmation"/>
        <s v="5631-Publication des allocations budgétaires"/>
        <s v="5632-Publication des rapports d’exécution budgétaire"/>
        <s v="5633-Renforcement des contrôles et audits"/>
        <s v="5634-Renforcement de la traçabilité des dépenses d'éducation (dépenses publiques)"/>
        <s v="57- Coordination sectorielle"/>
        <s v="571- Des organes de pilotage et de coordination interministérielles existent et fonctionnent éfficacement"/>
        <s v="5711-Analyse du fonctionnement des structures de coordination et de pilotage existantes et recommandations pour l’amélioration de la coordination et de pilotage"/>
        <s v="5712-Mise en œuvre des recommandations"/>
        <s v="5713-Appui au fonctionnement des structures de coordination et de pilotage"/>
        <s v="5714-Partage des rapports et des recommandations des structures de coordination et pilotage avec les acteurs concernés"/>
        <s v="572- Des organes de pilotage et de coordination du ProDEG sont mis en place et sont fonctionnels"/>
        <s v="5721-Mise en place des instances de pilotage et de coordination"/>
        <s v="5722-Opérationnalisation des instances de pilotage et de coordination"/>
        <s v="5723-Préparation de la mise en œuvre du ProDEG et suivi évaluation"/>
        <s v="5724-Les unités de gestion des projets d'appui à la mise en eouvre du développemet du seteur sont fonctionnelles"/>
        <s v="582- Le plan de relève permet l’existence continue d’un corps administratif compétent"/>
        <s v="58- Renforcement des compétences de l’administration (cadre normatif, poste-profil, évaluation, équipement, formations…)"/>
        <s v="581- Les cadres organiques des différentes structures sont redéfinis pour que leur efficacité s’améliore "/>
        <s v="5811-Évaluation des forces et faiblesses des cadres organiques à tous les niveaux"/>
        <s v="5812-Développement des cadres organiques adaptés (mission, attributions, organisation, nombre et profil de postes…)"/>
        <s v="5813-Dissémination des cadres organiques et sensibilisation des acteurs concernés"/>
        <s v="5814-Collecte et analyse périodique d’informations sur le respect des cadres organiques"/>
        <s v="5821-Création d’un corps d’administrateurs scolaires et d’un corps d’inspecteurs"/>
        <s v="5822-Organisations de formations régulières pour l’entrée dans les corps des administrateurs scolaires et des inspecteurs"/>
        <s v="5823-Renforcement des compétences des administrateurs scolaires et inspecteurs (formations continues ; manuels de procédures; guides ; appui)"/>
        <s v="5824-Développement régulier de plans de formation pour le personnel des différentes structures administratives"/>
        <s v="5825-Mise en œuvre des plans de formation"/>
        <s v="583- Chaque structure dispose des moyens logistiques nécessaires à l’accomplissement de sa mission"/>
        <s v="5831-Evaluation de l'état des lieux et dotation des services en moyens logistiques et équipements"/>
        <s v="584-Les résultats des évaluations régulières des structures centrales et déconcentrées permettent d’améliorer leur performance"/>
        <s v="5841-Évaluation périodique de la performance des structures et institutions dans la mise en œuvre des activités"/>
        <s v="5842-Exploitation des résultats des rapports de performance"/>
        <s v="585-  L’ensemble des acteurs de l’administration éducative sont conscients des vulnérabilités qui menacent la mise œuvre du ProDEG et savent comment y répondre "/>
        <s v="5851-Elaboration d’une stratégie nationale de prévention et de gestion des risques et des catastrophes naturelles"/>
        <s v="5852-Sensibilisation des acteurs"/>
        <s v="5853-Mise en place de mécanismes de la stratégie de prévention et de gestion des risques"/>
        <s v="6-Education et alphabétisation des adultes"/>
        <s v="61-Mobilisation sociale pour l’accroissement des financements de l’AEA"/>
        <s v="611- les acteurs et les PTF concernés sont mobilisés en faveur de l’AEA."/>
        <s v="6111-Sensibilisation et plaidoyer en faveur de l'AEA"/>
        <s v="6112-Augmentation des budgets alloués à l'AEA"/>
        <s v="6113-Développement de partenariats en faveur des activités d'AEA"/>
        <s v="6114-Mise en place d'un dispositif de financement de l'alphabétisation"/>
        <s v="612- Une synergie d’actions existe entre les différents départements intervenant en AEA "/>
        <s v="6121-Développement et mise en place d'un cadre de concertation"/>
        <s v="6122-Renforcement des capacités de plaidoyer et de suivi des structures en charge de l'AEA"/>
        <s v="62- Diversification des approches pour un plus grand accès équitable (modèles, des types de  centres )"/>
        <s v="621-Plusieurs approches et modèles sont identifiées, validées et développées dans l’AEA"/>
        <s v="6211-Renforcement des capacités des acteurs sur les nouvelles approches"/>
        <s v="6212-Mise en œuvre et suivi évaluation de l'apprentissage"/>
        <s v="63- Amélioration de la qualité "/>
        <s v="631- Les curricula sont adaptés et maitrisés par les opérateurs et les formateurs"/>
        <s v="6311-Révision et d'adaptation des curricula de l'AEA"/>
        <s v="6312-Formation sur les nouveaux curricula"/>
        <s v="632- Les bonnes pratiques d’AENF sont identifiées, améliorées et partagées"/>
        <s v="6321-Mise en place d'un dispositif d'identification des innovations"/>
        <s v="633- Des modules de formation en andragogie sont intégrés dans les cursus de la formation initiale des enseignants"/>
        <s v="6331-Développement de modules de formations"/>
        <s v="6332-Implantation des modules de formation sur l'AENF"/>
        <s v="634- Un dispositif d’accréditation des différents niveaux et de certification en AENF est mis en place."/>
        <s v="6341-Définition du dispositif de certification"/>
        <s v="6342-Certification des apprenants"/>
        <s v="635- Les compétences linguistiques, pédagogiques et andragogiques des moniteurs, des éducateurs, des animateurs et autres sont renforcées."/>
        <s v="6351-Élaboration du matériel et du dispositif de formation"/>
        <s v="6352-Mise en place du dispositif et organisation régulière des formations"/>
        <s v="636-Identification de l'ensemble des opérateurs de l'AEA"/>
        <s v="6362-Production de livrets et de guides"/>
        <s v="6363-Financement des activités d'AENF pour les operateurs"/>
        <s v="637-Le matériel didactique approprié est disponible en quantité suffisante "/>
        <s v="6371-Acquisition et distribution de matériel didactique"/>
        <s v="638- Le suivi évaluation des activités d'AEA est amélioré et systématisé au niveau central et déconcentré "/>
        <s v="6381-Renforcement des capacités en suivi, évaluation et contrôle au niveau central et local"/>
        <s v="6382-Renforcement des capacités des cadres et agents d'encadrement"/>
        <s v="6383-Organisation annuelle de la journée internationale de l'alphabétisation"/>
        <s v="64-Développement de la Post-alphabétisation "/>
        <s v="641-Promotion du développement de la production écrite en langues nationales "/>
        <s v="6411-Promouvoir la production endogène des ouvrages, journaux, etc écrits en langues nationales"/>
        <s v="6412-Développement d'actions de plaidoyer pour la production d'enseignes et d'écriteaux en langues nationales"/>
        <s v="6413-Redynamisation des bibliothèques villageoise"/>
        <s v="642- Les activités génératrices de revenus sont encouragées et soutenues (autour des structures d'alphabétisation)"/>
        <s v="6421-Promotion de l'organisation des alphabétisés et des alphabétiseurs en Groupement de métier"/>
        <s v="6422-Développement de modules de formation en matière de gestion financière, organisation paysanne et communication et formation des membres des groupements"/>
        <s v="643- Les activités de post alphabétisation sont soutenues "/>
        <s v="6431-Organisation systématique de formation en post alphabétisation pour les néoalphabétisés"/>
      </sharedItems>
    </cacheField>
    <cacheField name="Code_Activité"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65">
  <r>
    <s v="Accès et équité à l'enseignement général"/>
    <m/>
    <m/>
    <m/>
    <m/>
    <m/>
    <m/>
    <m/>
    <m/>
    <m/>
    <m/>
    <m/>
    <m/>
    <m/>
    <x v="0"/>
    <m/>
    <m/>
    <m/>
    <m/>
    <x v="0"/>
    <x v="0"/>
    <x v="0"/>
    <s v="1-Accès et équité à l'enseignement général"/>
    <x v="0"/>
    <s v="1-Accès et équité à l'enseignement général"/>
  </r>
  <r>
    <s v="Accès équitable au préscolaire"/>
    <m/>
    <m/>
    <m/>
    <m/>
    <m/>
    <m/>
    <m/>
    <m/>
    <m/>
    <m/>
    <m/>
    <m/>
    <m/>
    <x v="0"/>
    <m/>
    <m/>
    <m/>
    <m/>
    <x v="0"/>
    <x v="0"/>
    <x v="1"/>
    <s v="11- Accès équitable au préscolaire"/>
    <x v="1"/>
    <s v="11-Accès équitable au préscolaire"/>
  </r>
  <r>
    <s v=" Le préscolaire est réorganisé"/>
    <m/>
    <m/>
    <m/>
    <m/>
    <m/>
    <m/>
    <m/>
    <m/>
    <m/>
    <m/>
    <m/>
    <m/>
    <m/>
    <x v="0"/>
    <m/>
    <m/>
    <m/>
    <m/>
    <x v="0"/>
    <x v="0"/>
    <x v="1"/>
    <s v="111- Le préscolaire est réorganisé"/>
    <x v="2"/>
    <s v="111- Le préscolaire est réorganisé"/>
  </r>
  <r>
    <s v="Réorganisation de l’offre du préscolaire (de 3 à 2 ans)"/>
    <m/>
    <m/>
    <m/>
    <m/>
    <m/>
    <m/>
    <m/>
    <m/>
    <m/>
    <m/>
    <m/>
    <m/>
    <m/>
    <x v="0"/>
    <m/>
    <m/>
    <m/>
    <m/>
    <x v="0"/>
    <x v="0"/>
    <x v="1"/>
    <s v="111- Le préscolaire est réorganisé"/>
    <x v="3"/>
    <s v="1111-Réorganisation de l’offre du préscolaire (de 3 à 2 ans)"/>
  </r>
  <r>
    <s v="Validation politique des normes et standards du préscolaire (projet disponible)"/>
    <s v="Atelier"/>
    <s v="h/j/a"/>
    <n v="50"/>
    <m/>
    <m/>
    <m/>
    <n v="50"/>
    <n v="0.3133333333333333"/>
    <n v="15.666666666666664"/>
    <n v="0"/>
    <n v="0"/>
    <n v="0"/>
    <n v="15.666666666666664"/>
    <x v="1"/>
    <s v="MENA_Programme 2. Développement du préscolaire"/>
    <s v="3. Formation"/>
    <s v="DNEP"/>
    <s v="DNEP"/>
    <x v="0"/>
    <x v="0"/>
    <x v="1"/>
    <s v="111- Le préscolaire est réorganisé"/>
    <x v="3"/>
    <s v="11111-Validation politique des normes et standards du préscolaire (projet disponible)"/>
  </r>
  <r>
    <s v="Finalisation du document politique du préscolaire"/>
    <s v="Atelier"/>
    <s v="h/j/a"/>
    <n v="125"/>
    <n v="125"/>
    <m/>
    <m/>
    <n v="250"/>
    <n v="0.3133333333333333"/>
    <n v="39.166666666666664"/>
    <n v="39.166666666666664"/>
    <n v="0"/>
    <n v="0"/>
    <n v="78.333333333333329"/>
    <x v="1"/>
    <s v="MENA_Programme 2. Développement du préscolaire"/>
    <s v="3. Formation"/>
    <s v="DNEP"/>
    <s v="DNEP"/>
    <x v="0"/>
    <x v="0"/>
    <x v="1"/>
    <s v="111- Le préscolaire est réorganisé"/>
    <x v="3"/>
    <s v="11112-Finalisation du document politique du préscolaire"/>
  </r>
  <r>
    <s v="Reprographie du document de politique du préscolaire et les normes et standards"/>
    <s v="Impression"/>
    <s v="IMP/PR"/>
    <m/>
    <n v="2000"/>
    <m/>
    <m/>
    <n v="2000"/>
    <n v="0.03"/>
    <n v="0"/>
    <n v="60"/>
    <n v="0"/>
    <n v="0"/>
    <n v="60"/>
    <x v="1"/>
    <s v="MENA_Programme 2. Développement du préscolaire"/>
    <s v="3. Manuels scolaires et matériels pédagogiques"/>
    <s v="DNEP"/>
    <s v="DNEP"/>
    <x v="0"/>
    <x v="0"/>
    <x v="1"/>
    <s v="111- Le préscolaire est réorganisé"/>
    <x v="3"/>
    <s v="11113-Reprographie du document de politique du préscolaire et les normes et standards"/>
  </r>
  <r>
    <s v="Vulgarisation au niveau régional de la politique et les normes et standards du préscolaire  "/>
    <s v="Ateliers "/>
    <s v="h/j/a"/>
    <m/>
    <n v="640"/>
    <m/>
    <m/>
    <n v="640"/>
    <n v="0.3133333333333333"/>
    <n v="0"/>
    <n v="200.5333333333333"/>
    <n v="0"/>
    <n v="0"/>
    <n v="200.5333333333333"/>
    <x v="1"/>
    <s v="MENA_Programme 2. Développement du préscolaire"/>
    <s v="3. Formation"/>
    <s v="DNEP"/>
    <s v="DNEP"/>
    <x v="0"/>
    <x v="0"/>
    <x v="1"/>
    <s v="111- Le préscolaire est réorganisé"/>
    <x v="3"/>
    <s v="11114-Vulgarisation au niveau régional de la politique et les normes et standards du préscolaire  "/>
  </r>
  <r>
    <s v="Vulgarisation au niveau préfectoral du document de politique du préscolaire et des normes et standards  "/>
    <s v="Ateliers "/>
    <s v="h/j/a"/>
    <m/>
    <n v="1708"/>
    <n v="1708"/>
    <m/>
    <n v="3416"/>
    <n v="0.3133333333333333"/>
    <n v="0"/>
    <n v="535.17333333333329"/>
    <n v="535.17333333333329"/>
    <n v="0"/>
    <n v="1070.3466666666666"/>
    <x v="1"/>
    <s v="MENA_Programme 2. Développement du préscolaire"/>
    <s v="3. Formation"/>
    <s v="DNEP"/>
    <s v="DNEP"/>
    <x v="0"/>
    <x v="0"/>
    <x v="1"/>
    <s v="111- Le préscolaire est réorganisé"/>
    <x v="3"/>
    <s v="11115-Vulgarisation au niveau préfectoral du document de politique du préscolaire et des normes et standards  "/>
  </r>
  <r>
    <s v="Adaptation du mode de fonctionnement du préscolaire"/>
    <m/>
    <m/>
    <m/>
    <m/>
    <m/>
    <m/>
    <m/>
    <m/>
    <m/>
    <m/>
    <m/>
    <m/>
    <m/>
    <x v="0"/>
    <m/>
    <m/>
    <m/>
    <m/>
    <x v="0"/>
    <x v="0"/>
    <x v="1"/>
    <s v="111- Le préscolaire est réorganisé"/>
    <x v="4"/>
    <s v="1112-Adaptation du mode de fonctionnement du préscolaire"/>
  </r>
  <r>
    <s v="Formation des encadreurs du préscolaire au niveau IRE, DPE/DCE, DSEE sur l'encadrement du préscolaire (y compris les classes uniques au Préscolaire)/pris en compte dans activité 23327"/>
    <s v="Formation"/>
    <s v="h/f"/>
    <m/>
    <n v="483"/>
    <m/>
    <m/>
    <n v="483"/>
    <n v="1.5"/>
    <n v="67.2"/>
    <n v="724.5"/>
    <n v="0"/>
    <n v="0"/>
    <n v="791.7"/>
    <x v="1"/>
    <s v="MENA_Programme 2. Développement du préscolaire"/>
    <s v="3. Formation"/>
    <s v="DNEP"/>
    <s v="DNEP"/>
    <x v="0"/>
    <x v="0"/>
    <x v="1"/>
    <s v="111- Le préscolaire est réorganisé"/>
    <x v="4"/>
    <s v="11121-Formation des encadreurs du préscolaire au niveau IRE, DPE/DCE, DSEE sur l'encadrement du préscolaire (y compris les classes uniques au Préscolaire)/pris en compte dans activité 23327"/>
  </r>
  <r>
    <s v="Mise en place des classes uniques du préscolaire dans les écoles primaires publiques en zone rurale"/>
    <s v="Décision"/>
    <s v="sif"/>
    <m/>
    <n v="1"/>
    <n v="1"/>
    <n v="1"/>
    <n v="3"/>
    <n v="0"/>
    <m/>
    <m/>
    <m/>
    <m/>
    <m/>
    <x v="2"/>
    <s v="MENA_Programme 2. Développement du préscolaire"/>
    <s v=""/>
    <s v="DNEP"/>
    <s v="DNEP"/>
    <x v="0"/>
    <x v="0"/>
    <x v="1"/>
    <s v="111- Le préscolaire est réorganisé"/>
    <x v="4"/>
    <s v="11122-Mise en place des classes uniques du préscolaire dans les écoles primaires publiques en zone rurale"/>
  </r>
  <r>
    <s v="Supervision des CEC et des établissements préscolaires publics"/>
    <s v="Mission"/>
    <s v="h/j/m"/>
    <n v="132.53760000000003"/>
    <n v="132.53760000000003"/>
    <n v="220.89600000000002"/>
    <n v="220.89600000000002"/>
    <n v="706.86720000000014"/>
    <n v="0.8177777777777776"/>
    <n v="108.386304"/>
    <n v="108.386304"/>
    <n v="180.64383999999998"/>
    <n v="180.64383999999998"/>
    <n v="578.0602879999999"/>
    <x v="2"/>
    <s v="MENA_Programme 2. Développement du préscolaire"/>
    <s v="3. Dépenses de fonctionnement"/>
    <s v="DNEP"/>
    <s v="DNEP"/>
    <x v="0"/>
    <x v="0"/>
    <x v="1"/>
    <s v="111- Le préscolaire est réorganisé"/>
    <x v="4"/>
    <s v="11123-Supervision des CEC et des établissements préscolaires publics"/>
  </r>
  <r>
    <s v="Supervision des CEC et des établissements préscolaires publics"/>
    <s v="Mission"/>
    <s v="h/j/m"/>
    <n v="11.462400000000001"/>
    <n v="11.462400000000001"/>
    <n v="19.103999999999999"/>
    <n v="19.103999999999999"/>
    <n v="61.132800000000003"/>
    <n v="0.8177777777777776"/>
    <n v="9.3736959999999989"/>
    <n v="9.3736959999999989"/>
    <n v="15.622826666666663"/>
    <n v="15.622826666666663"/>
    <n v="49.99304533333332"/>
    <x v="3"/>
    <s v="MENA_Programme 2. Développement du préscolaire"/>
    <s v="3. Dépenses de fonctionnement"/>
    <s v="DNEP"/>
    <s v="DNEP"/>
    <x v="0"/>
    <x v="0"/>
    <x v="1"/>
    <s v="111- Le préscolaire est réorganisé"/>
    <x v="4"/>
    <s v="11123-Supervision des CEC et des établissements préscolaires publics"/>
  </r>
  <r>
    <s v="Formation des éducateurs sur la gestion des classes uniques "/>
    <s v="Formation"/>
    <s v="h/f"/>
    <n v="11.200000000000001"/>
    <n v="129"/>
    <n v="129"/>
    <n v="129"/>
    <n v="398.2"/>
    <n v="1.5"/>
    <n v="16.8"/>
    <n v="193.5"/>
    <n v="193.5"/>
    <n v="193.5"/>
    <n v="597.29999999999995"/>
    <x v="1"/>
    <s v="MENA_Programme 2. Développement du préscolaire"/>
    <s v="3. Formation"/>
    <s v="DNEP"/>
    <s v="IRE/DPE"/>
    <x v="0"/>
    <x v="0"/>
    <x v="1"/>
    <s v="111- Le préscolaire est réorganisé"/>
    <x v="4"/>
    <s v="11124-Formation des éducateurs sur la gestion des classes uniques "/>
  </r>
  <r>
    <s v="Formation des éducateurs sur la gestion des classes uniques "/>
    <s v="Formation"/>
    <s v="h/f"/>
    <n v="44.800000000000004"/>
    <n v="516"/>
    <n v="516"/>
    <n v="516"/>
    <n v="1592.8"/>
    <n v="1.5"/>
    <n v="67.2"/>
    <n v="774"/>
    <n v="774"/>
    <n v="774"/>
    <n v="2389.1999999999998"/>
    <x v="1"/>
    <s v="MENA_Programme 2. Développement du préscolaire"/>
    <s v="3. Formation"/>
    <s v="DNEP"/>
    <s v="IRE/DPE"/>
    <x v="0"/>
    <x v="0"/>
    <x v="1"/>
    <s v="111- Le préscolaire est réorganisé"/>
    <x v="4"/>
    <s v="11124-Formation des éducateurs sur la gestion des classes uniques "/>
  </r>
  <r>
    <s v=" La demande de préscolarisation est stimulée"/>
    <m/>
    <m/>
    <m/>
    <m/>
    <m/>
    <m/>
    <m/>
    <m/>
    <m/>
    <m/>
    <m/>
    <m/>
    <m/>
    <x v="0"/>
    <m/>
    <m/>
    <m/>
    <m/>
    <x v="0"/>
    <x v="0"/>
    <x v="1"/>
    <s v="112- La demande de préscolarisation est stimulée"/>
    <x v="5"/>
    <s v="112- La demande de préscolarisation est stimulée"/>
  </r>
  <r>
    <s v="Sensibilisation des communautés sur l'importance de la préscolarisation des enfants et la nouvelle organisation du préscolaire"/>
    <m/>
    <m/>
    <m/>
    <m/>
    <m/>
    <m/>
    <m/>
    <m/>
    <m/>
    <m/>
    <m/>
    <m/>
    <m/>
    <x v="0"/>
    <m/>
    <m/>
    <m/>
    <m/>
    <x v="0"/>
    <x v="0"/>
    <x v="1"/>
    <s v="112- La demande de préscolarisation est stimulée"/>
    <x v="6"/>
    <s v="1121-Sensibilisation des communautés sur l'importance de la préscolarisation des enfants et la nouvelle organisation du préscolaire"/>
  </r>
  <r>
    <s v="Conception des messages publicitaires et des affiches sur la préscolarisation des enfants"/>
    <s v="Atelier"/>
    <s v="h/j/ap"/>
    <m/>
    <n v="100"/>
    <m/>
    <m/>
    <n v="100"/>
    <n v="0.255"/>
    <n v="0"/>
    <n v="25.5"/>
    <n v="0"/>
    <n v="0"/>
    <n v="25.5"/>
    <x v="4"/>
    <s v="MENA_Programme 2. Développement du préscolaire"/>
    <s v="3. Dépenses de fonctionnement"/>
    <s v="DNEP"/>
    <s v="DNEP"/>
    <x v="0"/>
    <x v="0"/>
    <x v="1"/>
    <s v="112- La demande de préscolarisation est stimulée"/>
    <x v="6"/>
    <s v="11211-Conception des messages publicitaires et des affiches sur la préscolarisation des enfants"/>
  </r>
  <r>
    <s v="Impression et distribution des outils de sensibilisation des communautés sur la préscolarisation des enfants (Affiches, boîtes à image, etc.)"/>
    <s v="outils de sensibilisation"/>
    <s v="Kit/DSEE"/>
    <m/>
    <n v="30"/>
    <n v="27"/>
    <n v="25"/>
    <n v="82"/>
    <n v="30.702576112412178"/>
    <n v="0"/>
    <n v="921.07728337236529"/>
    <n v="828.96955503512879"/>
    <n v="767.5644028103045"/>
    <n v="2517.6112412177986"/>
    <x v="4"/>
    <s v="MENA_Programme 2. Développement du préscolaire"/>
    <s v="3. Dépenses de fonctionnement"/>
    <s v="DNEP"/>
    <s v="DNEP"/>
    <x v="0"/>
    <x v="0"/>
    <x v="1"/>
    <s v="112- La demande de préscolarisation est stimulée"/>
    <x v="6"/>
    <s v="11212-Impression et distribution des outils de sensibilisation des communautés sur la préscolarisation des enfants (Affiches, boîtes à image, etc.)"/>
  </r>
  <r>
    <s v="Impression et distribution des outils de sensibilisation des communautés sur la préscolarisation des enfants (Affiches, boîtes à image, etc.)"/>
    <s v="outils de sensibilisation"/>
    <s v="Kit/DSEE"/>
    <m/>
    <n v="70"/>
    <n v="70"/>
    <n v="70"/>
    <n v="210"/>
    <n v="30.702576112412178"/>
    <n v="0"/>
    <n v="2149.1803278688526"/>
    <n v="2149.1803278688526"/>
    <n v="2149.1803278688526"/>
    <n v="6447.5409836065573"/>
    <x v="1"/>
    <s v="MENA_Programme 2. Développement du préscolaire"/>
    <s v="3. Dépenses de fonctionnement"/>
    <s v="DNEP"/>
    <s v="DNEP"/>
    <x v="0"/>
    <x v="0"/>
    <x v="1"/>
    <s v="112- La demande de préscolarisation est stimulée"/>
    <x v="6"/>
    <s v="11212-Impression et distribution des outils de sensibilisation des communautés sur la préscolarisation des enfants (Affiches, boîtes à image, etc.)"/>
  </r>
  <r>
    <s v="Impression et distribution des outils de sensibilisation des communautés sur la préscolarisation des enfants (Affiches, boîtes à image, etc.)"/>
    <s v="outils de sensibilisation"/>
    <s v="Kit/DSEE"/>
    <n v="8"/>
    <n v="20"/>
    <n v="10"/>
    <n v="5"/>
    <n v="43"/>
    <n v="30.702576112412178"/>
    <n v="245.62060889929742"/>
    <n v="614.0515222482436"/>
    <n v="307.0257611241218"/>
    <n v="153.5128805620609"/>
    <n v="1320.2107728337237"/>
    <x v="2"/>
    <s v="MENA_Programme 2. Développement du préscolaire"/>
    <s v="3. Dépenses de fonctionnement"/>
    <s v="DNEP"/>
    <s v="DNEP"/>
    <x v="0"/>
    <x v="0"/>
    <x v="1"/>
    <s v="112- La demande de préscolarisation est stimulée"/>
    <x v="6"/>
    <s v="11212-Impression et distribution des outils de sensibilisation des communautés sur la préscolarisation des enfants (Affiches, boîtes à image, etc.)"/>
  </r>
  <r>
    <s v="Diffusions des messages dans les médias sur la préscolarisation des enfants"/>
    <s v="Emission"/>
    <s v="diffusion"/>
    <m/>
    <n v="346"/>
    <n v="346"/>
    <n v="346"/>
    <n v="1038"/>
    <n v="0.4"/>
    <n v="0"/>
    <n v="138.4"/>
    <n v="138.4"/>
    <n v="138.4"/>
    <n v="415.20000000000005"/>
    <x v="4"/>
    <s v="MENA_Programme 2. Développement du préscolaire"/>
    <s v="3. Dépenses de fonctionnement"/>
    <s v="DNEP"/>
    <s v="DNEP"/>
    <x v="0"/>
    <x v="0"/>
    <x v="1"/>
    <s v="112- La demande de préscolarisation est stimulée"/>
    <x v="6"/>
    <s v="11213-Diffusions des messages dans les médias sur la préscolarisation des enfants"/>
  </r>
  <r>
    <s v="Diffusions des messages dans les médias sur la préscolarisation des enfants"/>
    <s v="Emission"/>
    <s v="diffusion"/>
    <n v="29"/>
    <n v="149"/>
    <n v="149"/>
    <n v="149"/>
    <n v="476"/>
    <n v="0.4"/>
    <n v="11.600000000000001"/>
    <n v="59.6"/>
    <n v="59.6"/>
    <n v="59.6"/>
    <n v="190.4"/>
    <x v="2"/>
    <s v="MENA_Programme 2. Développement du préscolaire"/>
    <s v="3. Dépenses de fonctionnement"/>
    <s v="DNEP"/>
    <s v="DNEP"/>
    <x v="0"/>
    <x v="0"/>
    <x v="1"/>
    <s v="112- La demande de préscolarisation est stimulée"/>
    <x v="6"/>
    <s v="11213-Diffusions des messages dans les médias sur la préscolarisation des enfants"/>
  </r>
  <r>
    <s v="Sensibilisation des communautés sur la préscolarisation des enfants à l'intérieur du pays "/>
    <s v="campagne de sensibilisation"/>
    <s v="campagne"/>
    <n v="8"/>
    <n v="7"/>
    <n v="1"/>
    <n v="1"/>
    <n v="17"/>
    <n v="45.936799999999998"/>
    <n v="367.49439999999998"/>
    <n v="321.55759999999998"/>
    <n v="45.936799999999998"/>
    <n v="45.936799999999998"/>
    <n v="780.9255999999998"/>
    <x v="4"/>
    <s v="MENA_Programme 2. Développement du préscolaire"/>
    <s v="3. Dépenses de fonctionnement"/>
    <s v="DNEP"/>
    <s v="DPE/DCE"/>
    <x v="0"/>
    <x v="0"/>
    <x v="1"/>
    <s v="112- La demande de préscolarisation est stimulée"/>
    <x v="6"/>
    <s v="11214-Sensibilisation des communautés sur la préscolarisation des enfants à l'intérieur du pays "/>
  </r>
  <r>
    <s v="Sensibilisation des communautés sur la préscolarisation des enfants à l'intérieur du pays "/>
    <s v="campagne de sensibilisation"/>
    <s v="campagne"/>
    <n v="276.13800000000003"/>
    <n v="1"/>
    <n v="1"/>
    <n v="1"/>
    <n v="279.13800000000003"/>
    <n v="45.936799999999998"/>
    <n v="12684.896078400001"/>
    <n v="45.936799999999998"/>
    <n v="45.936799999999998"/>
    <n v="45.936799999999998"/>
    <n v="12822.706478399999"/>
    <x v="2"/>
    <s v="MENA_Programme 2. Développement du préscolaire"/>
    <s v="3. Dépenses de fonctionnement"/>
    <s v="DNEP"/>
    <s v="DPE/DCE"/>
    <x v="0"/>
    <x v="0"/>
    <x v="1"/>
    <s v="112- La demande de préscolarisation est stimulée"/>
    <x v="6"/>
    <s v="11214-Sensibilisation des communautés sur la préscolarisation des enfants à l'intérieur du pays "/>
  </r>
  <r>
    <s v="Prise en charge des enfants du préscolaire par les cantines des écoles situées à proximité"/>
    <m/>
    <m/>
    <n v="183.86199999999999"/>
    <m/>
    <m/>
    <m/>
    <m/>
    <m/>
    <m/>
    <m/>
    <m/>
    <m/>
    <m/>
    <x v="0"/>
    <m/>
    <m/>
    <m/>
    <m/>
    <x v="0"/>
    <x v="0"/>
    <x v="1"/>
    <s v="112- La demande de préscolarisation est stimulée"/>
    <x v="7"/>
    <s v="1122-Prise en charge des enfants du préscolaire par les cantines des écoles situées à proximité"/>
  </r>
  <r>
    <s v="Identification des CEC situés à proximité des écoles à cantines"/>
    <s v="Travaux administratifs"/>
    <s v="sif"/>
    <n v="203.80499999999998"/>
    <m/>
    <m/>
    <m/>
    <n v="203.80499999999998"/>
    <n v="0"/>
    <m/>
    <m/>
    <m/>
    <m/>
    <m/>
    <x v="2"/>
    <s v="MENA_Programme 2. Développement du préscolaire"/>
    <s v=""/>
    <s v="DNEP"/>
    <s v="DNCAS"/>
    <x v="0"/>
    <x v="0"/>
    <x v="1"/>
    <s v="112- La demande de préscolarisation est stimulée"/>
    <x v="7"/>
    <s v="11221-Identification des CEC situés à proximité des écoles à cantines"/>
  </r>
  <r>
    <s v="Acquisition et distribution des vivres supplémentaires"/>
    <s v="Ration alimentaire"/>
    <s v="rat/éléve"/>
    <n v="0"/>
    <m/>
    <n v="6000"/>
    <n v="18000"/>
    <n v="24000"/>
    <n v="0.25"/>
    <n v="0"/>
    <n v="0"/>
    <n v="1500"/>
    <n v="4500"/>
    <n v="6000"/>
    <x v="1"/>
    <s v="MENA_Programme 2. Développement du préscolaire"/>
    <s v="4. Transferts et subventions"/>
    <s v="DNEP"/>
    <s v="DNCAS"/>
    <x v="0"/>
    <x v="0"/>
    <x v="1"/>
    <s v="112- La demande de préscolarisation est stimulée"/>
    <x v="7"/>
    <s v="11222-Acquisition et distribution des vivres supplémentaires"/>
  </r>
  <r>
    <s v="Suivi de la gestion des cantines scolaires"/>
    <s v="Mission"/>
    <s v="h/j/m"/>
    <n v="0"/>
    <n v="300"/>
    <n v="450"/>
    <n v="600"/>
    <n v="1350"/>
    <n v="0.8177777777777776"/>
    <n v="0"/>
    <n v="245.33333333333329"/>
    <n v="367.99999999999994"/>
    <n v="490.66666666666657"/>
    <n v="1103.9999999999998"/>
    <x v="1"/>
    <s v="MENA_Programme 2. Développement du préscolaire"/>
    <s v="3. Dépenses de fonctionnement"/>
    <s v="DNEP"/>
    <s v="DNCAS"/>
    <x v="0"/>
    <x v="0"/>
    <x v="1"/>
    <s v="112- La demande de préscolarisation est stimulée"/>
    <x v="7"/>
    <s v="11223-Suivi de la gestion des cantines scolaires"/>
  </r>
  <r>
    <s v="Création de cantines au niveau des CEC éloignés des écoles primaires à cantine"/>
    <m/>
    <m/>
    <n v="0"/>
    <m/>
    <m/>
    <m/>
    <m/>
    <m/>
    <m/>
    <m/>
    <m/>
    <m/>
    <m/>
    <x v="0"/>
    <m/>
    <m/>
    <m/>
    <m/>
    <x v="0"/>
    <x v="0"/>
    <x v="1"/>
    <s v="112- La demande de préscolarisation est stimulée"/>
    <x v="8"/>
    <s v="1123-Création de cantines au niveau des CEC éloignés des écoles primaires à cantine"/>
  </r>
  <r>
    <s v="Identification des CEC éloignés des écoles primaires à cantine"/>
    <s v="Travaux administratifs"/>
    <s v="sif"/>
    <n v="0"/>
    <m/>
    <n v="2"/>
    <m/>
    <n v="2"/>
    <n v="0"/>
    <m/>
    <m/>
    <m/>
    <m/>
    <m/>
    <x v="2"/>
    <s v="MENA_Programme 2. Développement du préscolaire"/>
    <s v=""/>
    <s v="DNEP"/>
    <s v="DNCAS"/>
    <x v="0"/>
    <x v="0"/>
    <x v="1"/>
    <s v="112- La demande de préscolarisation est stimulée"/>
    <x v="8"/>
    <s v="11231-Identification des CEC éloignés des écoles primaires à cantine"/>
  </r>
  <r>
    <s v="Implantation des nouvelles cantines dans les CEC en concertation avec les communautés "/>
    <s v="Mission"/>
    <s v="h/j/m"/>
    <n v="0"/>
    <n v="1"/>
    <m/>
    <m/>
    <n v="1"/>
    <n v="0.8177777777777776"/>
    <n v="0"/>
    <n v="0.8177777777777776"/>
    <n v="0"/>
    <n v="0"/>
    <n v="0.8177777777777776"/>
    <x v="2"/>
    <s v="MENA_Programme 2. Développement du préscolaire"/>
    <s v="3. Dépenses de fonctionnement"/>
    <s v="DNEP"/>
    <s v="DNCAS"/>
    <x v="0"/>
    <x v="0"/>
    <x v="1"/>
    <s v="112- La demande de préscolarisation est stimulée"/>
    <x v="8"/>
    <s v="11232-Implantation des nouvelles cantines dans les CEC en concertation avec les communautés "/>
  </r>
  <r>
    <s v="Acquisition et distribution des vivres aux CEC à cantine"/>
    <s v="Ration alimentaire"/>
    <s v="rat/éléve"/>
    <n v="0"/>
    <n v="2897"/>
    <n v="3488"/>
    <n v="4134"/>
    <n v="10519"/>
    <n v="0.25"/>
    <n v="0"/>
    <n v="724.25"/>
    <n v="872"/>
    <n v="1033.5"/>
    <n v="2629.75"/>
    <x v="3"/>
    <s v="MENA_Programme 2. Développement du préscolaire"/>
    <s v="4. Transferts et subventions"/>
    <s v="DNEP"/>
    <s v="DNCAS"/>
    <x v="0"/>
    <x v="0"/>
    <x v="1"/>
    <s v="112- La demande de préscolarisation est stimulée"/>
    <x v="8"/>
    <s v="11233-Acquisition et distribution des vivres aux CEC à cantine"/>
  </r>
  <r>
    <s v="Acquisition et distribution des vivres aux CEC à cantine"/>
    <s v="Ration alimentaire"/>
    <s v="rat/éléve"/>
    <n v="0"/>
    <n v="2896"/>
    <n v="3488"/>
    <n v="4134"/>
    <n v="10518"/>
    <n v="0.25"/>
    <n v="0"/>
    <n v="724"/>
    <n v="872"/>
    <n v="1033.5"/>
    <n v="2629.5"/>
    <x v="2"/>
    <s v="MENA_Programme 2. Développement du préscolaire"/>
    <s v="4. Transferts et subventions"/>
    <s v="DNEP"/>
    <s v="DNCAS"/>
    <x v="0"/>
    <x v="0"/>
    <x v="1"/>
    <s v="112- La demande de préscolarisation est stimulée"/>
    <x v="8"/>
    <s v="11233-Acquisition et distribution des vivres aux CEC à cantine"/>
  </r>
  <r>
    <s v="Suivi de la gestion des cantines préscolaires (pris en compte dans activité 11223)"/>
    <s v="pm"/>
    <s v="sif"/>
    <n v="0"/>
    <m/>
    <n v="1"/>
    <n v="1"/>
    <n v="2"/>
    <n v="0"/>
    <m/>
    <m/>
    <m/>
    <m/>
    <m/>
    <x v="2"/>
    <s v="MENA_Programme 2. Développement du préscolaire"/>
    <s v=""/>
    <s v="DNEP"/>
    <s v="DNCAS"/>
    <x v="0"/>
    <x v="0"/>
    <x v="1"/>
    <s v="112- La demande de préscolarisation est stimulée"/>
    <x v="8"/>
    <s v="11234-Suivi de la gestion des cantines préscolaires (pris en compte dans activité 11223)"/>
  </r>
  <r>
    <s v=" Les capacités d’accueil au préscolaire public et communautaires augmentent en milieux rural et urbain"/>
    <m/>
    <m/>
    <n v="0"/>
    <m/>
    <m/>
    <m/>
    <m/>
    <m/>
    <m/>
    <m/>
    <m/>
    <m/>
    <m/>
    <x v="0"/>
    <m/>
    <m/>
    <m/>
    <m/>
    <x v="0"/>
    <x v="0"/>
    <x v="1"/>
    <s v="113- Les capacités d’accueil au préscolaire public et communautaires augmentent en milieux rural et urbain"/>
    <x v="9"/>
    <s v="113- Les capacités d’accueil au préscolaire public et communautaires augmentent en milieux rural et urbain"/>
  </r>
  <r>
    <s v="Construction d'établissements préscolaires publics en zone urbaine"/>
    <m/>
    <m/>
    <n v="100"/>
    <m/>
    <m/>
    <m/>
    <m/>
    <m/>
    <m/>
    <m/>
    <m/>
    <m/>
    <m/>
    <x v="0"/>
    <m/>
    <m/>
    <m/>
    <m/>
    <x v="0"/>
    <x v="0"/>
    <x v="1"/>
    <s v="113- Les capacités d’accueil au préscolaire public et communautaires augmentent en milieux rural et urbain"/>
    <x v="10"/>
    <s v="1131-Construction d'établissements préscolaires publics en zone urbaine"/>
  </r>
  <r>
    <s v="Identification des sites de construction des établissements préscolaires publics"/>
    <s v="Travaux administratifs"/>
    <s v="sif"/>
    <n v="100"/>
    <m/>
    <m/>
    <m/>
    <n v="100"/>
    <n v="0"/>
    <m/>
    <m/>
    <m/>
    <m/>
    <m/>
    <x v="2"/>
    <s v="MENA_Programme 2. Développement du préscolaire"/>
    <s v=""/>
    <s v="DNEP"/>
    <s v="BSD"/>
    <x v="0"/>
    <x v="0"/>
    <x v="1"/>
    <s v="113- Les capacités d’accueil au préscolaire public et communautaires augmentent en milieux rural et urbain"/>
    <x v="10"/>
    <s v="11311-Identification des sites de construction des établissements préscolaires publics"/>
  </r>
  <r>
    <s v="Confirmation des sites de construction des établissements préscolaires publics"/>
    <s v="Mission"/>
    <s v="h/j/m"/>
    <n v="0"/>
    <n v="40"/>
    <n v="80"/>
    <n v="120"/>
    <n v="240"/>
    <n v="0.8177777777777776"/>
    <n v="0"/>
    <n v="32.711111111111101"/>
    <n v="65.422222222222203"/>
    <n v="98.133333333333312"/>
    <n v="196.26666666666659"/>
    <x v="2"/>
    <s v="MENA_Programme 2. Développement du préscolaire"/>
    <s v="3. Dépenses de fonctionnement"/>
    <s v="BSD"/>
    <s v="SNIES"/>
    <x v="0"/>
    <x v="0"/>
    <x v="1"/>
    <s v="113- Les capacités d’accueil au préscolaire public et communautaires augmentent en milieux rural et urbain"/>
    <x v="10"/>
    <s v="11312-Confirmation des sites de construction des établissements préscolaires publics"/>
  </r>
  <r>
    <s v="Etude du plan-type d'établissement préscolaire préfectoral public"/>
    <s v="assistance technique"/>
    <s v="h/j/cn"/>
    <n v="1"/>
    <n v="15"/>
    <m/>
    <m/>
    <n v="16"/>
    <n v="2.651545"/>
    <n v="2.651545"/>
    <n v="39.773175000000002"/>
    <n v="0"/>
    <n v="0"/>
    <n v="42.424720000000001"/>
    <x v="1"/>
    <s v="MENA_Programme 2. Développement du préscolaire"/>
    <s v="3. Dépenses de fonctionnement"/>
    <s v="DNEP"/>
    <s v="SNIES"/>
    <x v="0"/>
    <x v="0"/>
    <x v="1"/>
    <s v="113- Les capacités d’accueil au préscolaire public et communautaires augmentent en milieux rural et urbain"/>
    <x v="10"/>
    <s v="11313-Etude du plan-type d'établissement préscolaire préfectoral public"/>
  </r>
  <r>
    <s v="Exécution des travaux de construction des établissements préscolaires publics"/>
    <s v="Construction"/>
    <s v="SDC/pr"/>
    <n v="0"/>
    <n v="24"/>
    <n v="48"/>
    <n v="72"/>
    <n v="144"/>
    <n v="168.65"/>
    <n v="0"/>
    <n v="4047.6000000000004"/>
    <n v="8095.2000000000007"/>
    <n v="12142.800000000001"/>
    <n v="24285.600000000002"/>
    <x v="2"/>
    <s v="MENA_Programme 2. Développement du préscolaire"/>
    <s v="5. Investissement"/>
    <s v="DNEP"/>
    <s v="SNIES"/>
    <x v="0"/>
    <x v="0"/>
    <x v="1"/>
    <s v="113- Les capacités d’accueil au préscolaire public et communautaires augmentent en milieux rural et urbain"/>
    <x v="10"/>
    <s v="11314-Exécution des travaux de construction des établissements préscolaires publics"/>
  </r>
  <r>
    <s v="Equipement des établissements préscolaires public en mobiliers et matériels ludiques"/>
    <s v="Equipement"/>
    <s v="EQ/SDC/pr"/>
    <n v="23"/>
    <m/>
    <n v="24"/>
    <n v="48"/>
    <n v="95"/>
    <n v="31.675000000000001"/>
    <n v="728.52499999999998"/>
    <n v="0"/>
    <n v="760.2"/>
    <n v="1520.4"/>
    <n v="3009.125"/>
    <x v="2"/>
    <s v="MENA_Programme 2. Développement du préscolaire"/>
    <s v="5. Investissement"/>
    <s v="DNEP"/>
    <s v="SNIES"/>
    <x v="0"/>
    <x v="0"/>
    <x v="1"/>
    <s v="113- Les capacités d’accueil au préscolaire public et communautaires augmentent en milieux rural et urbain"/>
    <x v="10"/>
    <s v="11315-Equipement des établissements préscolaires public en mobiliers et matériels ludiques"/>
  </r>
  <r>
    <s v="Supervision des travaux de construction des établissements préscolaires publics"/>
    <s v="Supervision"/>
    <s v="sup"/>
    <n v="453"/>
    <n v="24"/>
    <n v="48"/>
    <n v="72"/>
    <n v="597"/>
    <n v="7.1760000000000002"/>
    <n v="3250.7280000000001"/>
    <n v="172.22399999999999"/>
    <n v="344.44799999999998"/>
    <n v="516.67200000000003"/>
    <n v="4284.0720000000001"/>
    <x v="2"/>
    <s v="MENA_Programme 2. Développement du préscolaire"/>
    <s v="3. Dépenses de fonctionnement"/>
    <s v="SNIES"/>
    <s v="SNIES"/>
    <x v="0"/>
    <x v="0"/>
    <x v="1"/>
    <s v="113- Les capacités d’accueil au préscolaire public et communautaires augmentent en milieux rural et urbain"/>
    <x v="10"/>
    <s v="11316-Supervision des travaux de construction des établissements préscolaires publics"/>
  </r>
  <r>
    <s v="Construction de salles d’activités de préprimaire à coté des écoles primaires publiques à cantine en zone rurale"/>
    <m/>
    <m/>
    <n v="0"/>
    <m/>
    <m/>
    <m/>
    <m/>
    <m/>
    <m/>
    <m/>
    <m/>
    <m/>
    <m/>
    <x v="0"/>
    <m/>
    <m/>
    <m/>
    <m/>
    <x v="0"/>
    <x v="0"/>
    <x v="1"/>
    <s v="113- Les capacités d’accueil au préscolaire public et communautaires augmentent en milieux rural et urbain"/>
    <x v="11"/>
    <s v="1132-Construction de salles d’activités de préprimaire à coté des écoles primaires publiques à cantine en zone rurale"/>
  </r>
  <r>
    <s v="Identification des sites de construction des salles d’activités de pré primaire "/>
    <s v="Travaux administratifs"/>
    <s v="sif"/>
    <n v="12102.9548"/>
    <m/>
    <m/>
    <m/>
    <n v="12102.9548"/>
    <n v="0"/>
    <m/>
    <m/>
    <m/>
    <m/>
    <m/>
    <x v="2"/>
    <s v="MENA_Programme 2. Développement du préscolaire"/>
    <s v=""/>
    <s v="DNEP"/>
    <s v="BSD"/>
    <x v="0"/>
    <x v="0"/>
    <x v="1"/>
    <s v="113- Les capacités d’accueil au préscolaire public et communautaires augmentent en milieux rural et urbain"/>
    <x v="11"/>
    <s v="11321-Identification des sites de construction des salles d’activités de pré primaire "/>
  </r>
  <r>
    <s v="Confirmation des sites de construction des salles d’activités de pré primaire "/>
    <s v="Mission"/>
    <s v="h/j/m"/>
    <n v="537970.24"/>
    <n v="80"/>
    <n v="112"/>
    <n v="160"/>
    <n v="538322.24"/>
    <n v="0.8177777777777776"/>
    <n v="439940.10737777769"/>
    <n v="65.422222222222203"/>
    <n v="91.59111111111109"/>
    <n v="130.84444444444441"/>
    <n v="440227.96515555546"/>
    <x v="1"/>
    <s v="MENA_Programme 2. Développement du préscolaire"/>
    <s v="3. Dépenses de fonctionnement"/>
    <s v="BSD"/>
    <s v="SNIES"/>
    <x v="0"/>
    <x v="0"/>
    <x v="1"/>
    <s v="113- Les capacités d’accueil au préscolaire public et communautaires augmentent en milieux rural et urbain"/>
    <x v="11"/>
    <s v="11322-Confirmation des sites de construction des salles d’activités de pré primaire "/>
  </r>
  <r>
    <s v="Exécution des travaux de construction des salles d'activité de pré primaire"/>
    <s v="Construction de salle"/>
    <s v="SDC/pr"/>
    <n v="0"/>
    <n v="200"/>
    <n v="300"/>
    <n v="300"/>
    <n v="800"/>
    <n v="168.65"/>
    <n v="0"/>
    <n v="33730"/>
    <n v="50595"/>
    <n v="50595"/>
    <n v="134920"/>
    <x v="1"/>
    <s v="MENA_Programme 2. Développement du préscolaire"/>
    <s v="5. Investissement"/>
    <s v="DNEP"/>
    <s v="SNIES"/>
    <x v="0"/>
    <x v="0"/>
    <x v="1"/>
    <s v="113- Les capacités d’accueil au préscolaire public et communautaires augmentent en milieux rural et urbain"/>
    <x v="11"/>
    <s v="11323-Exécution des travaux de construction des salles d'activité de pré primaire"/>
  </r>
  <r>
    <s v="Equipement des salles de pré primaire en mobiliers et matériels ludiques"/>
    <s v="Equipement par salle"/>
    <s v="EQ/SDC/pr"/>
    <n v="0"/>
    <n v="40"/>
    <n v="56"/>
    <n v="80"/>
    <n v="176"/>
    <n v="31.675000000000001"/>
    <n v="0"/>
    <n v="1267"/>
    <n v="1773.8"/>
    <n v="2534"/>
    <n v="5574.8"/>
    <x v="1"/>
    <s v="MENA_Programme 2. Développement du préscolaire"/>
    <s v="5. Investissement"/>
    <s v="DNEP"/>
    <s v="SNIES"/>
    <x v="0"/>
    <x v="0"/>
    <x v="1"/>
    <s v="113- Les capacités d’accueil au préscolaire public et communautaires augmentent en milieux rural et urbain"/>
    <x v="11"/>
    <s v="11324-Equipement des salles de pré primaire en mobiliers et matériels ludiques"/>
  </r>
  <r>
    <s v="Equipement des salles de pré primaire en mobiliers et matériels ludiques"/>
    <s v="Equipement par salle"/>
    <s v="EQ/SDC/pr"/>
    <n v="0"/>
    <n v="40"/>
    <n v="56"/>
    <n v="80"/>
    <n v="176"/>
    <n v="31.675000000000001"/>
    <n v="0"/>
    <n v="1267"/>
    <n v="1773.8"/>
    <n v="2534"/>
    <n v="5574.8"/>
    <x v="1"/>
    <s v="MENA_Programme 2. Développement du préscolaire"/>
    <s v="5. Investissement"/>
    <s v="DNEP"/>
    <s v="SNIES"/>
    <x v="0"/>
    <x v="0"/>
    <x v="1"/>
    <s v="113- Les capacités d’accueil au préscolaire public et communautaires augmentent en milieux rural et urbain"/>
    <x v="11"/>
    <s v="11324-Equipement des salles de pré primaire en mobiliers et matériels ludiques"/>
  </r>
  <r>
    <s v="Supervision des travaux de construction et d'équipement des salles d'activité de pré primaire"/>
    <s v="Supervision"/>
    <s v="sup"/>
    <n v="0"/>
    <n v="200"/>
    <n v="300"/>
    <n v="300"/>
    <n v="800"/>
    <n v="7.1760000000000002"/>
    <n v="0"/>
    <n v="1435.2"/>
    <n v="2152.8000000000002"/>
    <n v="2152.8000000000002"/>
    <n v="5740.8"/>
    <x v="1"/>
    <s v="MENA_Programme 2. Développement du préscolaire"/>
    <s v="3. Dépenses de fonctionnement"/>
    <s v="SNIES"/>
    <s v="SNIES"/>
    <x v="0"/>
    <x v="0"/>
    <x v="1"/>
    <s v="113- Les capacités d’accueil au préscolaire public et communautaires augmentent en milieux rural et urbain"/>
    <x v="11"/>
    <s v="11325-Supervision des travaux de construction et d'équipement des salles d'activité de pré primaire"/>
  </r>
  <r>
    <s v="Construction/réhabilitation/rénovation de CEC"/>
    <m/>
    <m/>
    <n v="0"/>
    <m/>
    <m/>
    <m/>
    <m/>
    <m/>
    <m/>
    <m/>
    <m/>
    <m/>
    <m/>
    <x v="0"/>
    <m/>
    <m/>
    <m/>
    <m/>
    <x v="0"/>
    <x v="0"/>
    <x v="1"/>
    <s v="113- Les capacités d’accueil au préscolaire public et communautaires augmentent en milieux rural et urbain"/>
    <x v="12"/>
    <s v="1133-Construction/réhabilitation/rénovation de CEC"/>
  </r>
  <r>
    <s v="Evaluation/inventaire des CEC existants "/>
    <s v="Mission"/>
    <s v="sif"/>
    <n v="189"/>
    <m/>
    <m/>
    <m/>
    <n v="189"/>
    <n v="0"/>
    <m/>
    <m/>
    <m/>
    <m/>
    <m/>
    <x v="2"/>
    <s v="MENA_Programme 2. Développement du préscolaire"/>
    <s v=""/>
    <s v="DNEP"/>
    <s v="BSD"/>
    <x v="0"/>
    <x v="0"/>
    <x v="1"/>
    <s v="113- Les capacités d’accueil au préscolaire public et communautaires augmentent en milieux rural et urbain"/>
    <x v="12"/>
    <s v="11331-Evaluation/inventaire des CEC existants "/>
  </r>
  <r>
    <s v="Identification des CEC à rénover/réhabiliter "/>
    <s v="Réunion"/>
    <s v="sif"/>
    <n v="912"/>
    <m/>
    <m/>
    <m/>
    <n v="912"/>
    <n v="0"/>
    <m/>
    <m/>
    <m/>
    <m/>
    <m/>
    <x v="2"/>
    <s v="MENA_Programme 2. Développement du préscolaire"/>
    <s v=""/>
    <s v="DNEP"/>
    <s v="BSD"/>
    <x v="0"/>
    <x v="0"/>
    <x v="1"/>
    <s v="113- Les capacités d’accueil au préscolaire public et communautaires augmentent en milieux rural et urbain"/>
    <x v="12"/>
    <s v="11332-Identification des CEC à rénover/réhabiliter "/>
  </r>
  <r>
    <s v="Confirmation des sites de construction des nouveaux CEC (par les partenaires)"/>
    <s v="pm"/>
    <s v="sif"/>
    <n v="20"/>
    <n v="1"/>
    <n v="1"/>
    <n v="1"/>
    <n v="23"/>
    <n v="0"/>
    <m/>
    <m/>
    <m/>
    <m/>
    <m/>
    <x v="2"/>
    <s v="MENA_Programme 2. Développement du préscolaire"/>
    <s v=""/>
    <s v="BSD"/>
    <s v="SNIES"/>
    <x v="0"/>
    <x v="0"/>
    <x v="1"/>
    <s v="113- Les capacités d’accueil au préscolaire public et communautaires augmentent en milieux rural et urbain"/>
    <x v="12"/>
    <s v="11333-Confirmation des sites de construction des nouveaux CEC (par les partenaires)"/>
  </r>
  <r>
    <s v="Exécution des travaux de réhabilitation/rénovation des CEC"/>
    <s v="Construction"/>
    <s v="réh/cec"/>
    <n v="18"/>
    <n v="10.199999999999999"/>
    <n v="10.199999999999999"/>
    <n v="34"/>
    <n v="72.400000000000006"/>
    <n v="24.340499999999999"/>
    <n v="438.12899999999996"/>
    <n v="248.27309999999997"/>
    <n v="248.27309999999997"/>
    <n v="827.577"/>
    <n v="1762.2521999999999"/>
    <x v="4"/>
    <s v="MENA_Programme 2. Développement du préscolaire"/>
    <s v="5. Investissement"/>
    <s v="DNEP"/>
    <s v="SNIES"/>
    <x v="0"/>
    <x v="0"/>
    <x v="1"/>
    <s v="113- Les capacités d’accueil au préscolaire public et communautaires augmentent en milieux rural et urbain"/>
    <x v="12"/>
    <s v="11334-Exécution des travaux de réhabilitation/rénovation des CEC"/>
  </r>
  <r>
    <s v="Exécution des travaux de construction des nouveaux CEC"/>
    <s v="Construction"/>
    <s v="cons/cec"/>
    <n v="29"/>
    <n v="20"/>
    <m/>
    <m/>
    <n v="49"/>
    <n v="81.135000000000005"/>
    <n v="2352.915"/>
    <n v="1622.7"/>
    <n v="0"/>
    <n v="0"/>
    <n v="3975.6149999999998"/>
    <x v="4"/>
    <s v="MENA_Programme 2. Développement du préscolaire"/>
    <s v="5. Investissement"/>
    <s v="DNEP"/>
    <s v="SNIES"/>
    <x v="0"/>
    <x v="0"/>
    <x v="1"/>
    <s v="113- Les capacités d’accueil au préscolaire public et communautaires augmentent en milieux rural et urbain"/>
    <x v="12"/>
    <s v="11335-Exécution des travaux de construction des nouveaux CEC"/>
  </r>
  <r>
    <s v="Exécution des travaux de construction des nouveaux CEC"/>
    <s v="Construction"/>
    <s v="cons/cec"/>
    <n v="0"/>
    <m/>
    <n v="7"/>
    <m/>
    <n v="7"/>
    <n v="81.135000000000005"/>
    <n v="0"/>
    <n v="0"/>
    <n v="567.94500000000005"/>
    <n v="0"/>
    <n v="567.94500000000005"/>
    <x v="3"/>
    <s v="MENA_Programme 2. Développement du préscolaire"/>
    <s v="5. Investissement"/>
    <s v="DNEP"/>
    <s v="SNIES"/>
    <x v="0"/>
    <x v="0"/>
    <x v="1"/>
    <s v="113- Les capacités d’accueil au préscolaire public et communautaires augmentent en milieux rural et urbain"/>
    <x v="12"/>
    <s v="11335-Exécution des travaux de construction des nouveaux CEC"/>
  </r>
  <r>
    <s v="Exécution des travaux de construction des nouveaux CEC"/>
    <s v="Construction"/>
    <s v="cons/cec"/>
    <n v="8"/>
    <m/>
    <n v="10"/>
    <m/>
    <n v="18"/>
    <n v="81.135000000000005"/>
    <n v="649.08000000000004"/>
    <n v="0"/>
    <n v="811.35"/>
    <n v="0"/>
    <n v="1460.43"/>
    <x v="5"/>
    <s v="MENA_Programme 2. Développement du préscolaire"/>
    <s v="5. Investissement"/>
    <s v="DNEP"/>
    <s v="SNIES"/>
    <x v="0"/>
    <x v="0"/>
    <x v="1"/>
    <s v="113- Les capacités d’accueil au préscolaire public et communautaires augmentent en milieux rural et urbain"/>
    <x v="12"/>
    <s v="11335-Exécution des travaux de construction des nouveaux CEC"/>
  </r>
  <r>
    <s v="Exécution des travaux de construction des nouveaux CEC"/>
    <s v="Construction"/>
    <s v="cons/cec"/>
    <n v="50"/>
    <m/>
    <m/>
    <n v="5"/>
    <n v="55"/>
    <n v="81.135000000000005"/>
    <n v="4056.7500000000005"/>
    <n v="0"/>
    <n v="0"/>
    <n v="405.67500000000001"/>
    <n v="4462.4250000000002"/>
    <x v="2"/>
    <s v="MENA_Programme 2. Développement du préscolaire"/>
    <s v="5. Investissement"/>
    <s v="DNEP"/>
    <s v="SNIES"/>
    <x v="0"/>
    <x v="0"/>
    <x v="1"/>
    <s v="113- Les capacités d’accueil au préscolaire public et communautaires augmentent en milieux rural et urbain"/>
    <x v="12"/>
    <s v="11335-Exécution des travaux de construction des nouveaux CEC"/>
  </r>
  <r>
    <s v="Equipement des CEC en mobiliers "/>
    <s v="Mobilier par salle"/>
    <s v="EQ/CEC"/>
    <n v="29"/>
    <n v="20"/>
    <n v="0"/>
    <n v="0"/>
    <n v="49"/>
    <n v="18.75"/>
    <n v="543.75"/>
    <n v="375"/>
    <n v="0"/>
    <n v="0"/>
    <n v="918.75"/>
    <x v="4"/>
    <s v="MENA_Programme 2. Développement du préscolaire"/>
    <s v="5. Investissement"/>
    <s v="DNEP"/>
    <s v="SNIES"/>
    <x v="0"/>
    <x v="0"/>
    <x v="1"/>
    <s v="113- Les capacités d’accueil au préscolaire public et communautaires augmentent en milieux rural et urbain"/>
    <x v="12"/>
    <s v="11336-Equipement des CEC en mobiliers "/>
  </r>
  <r>
    <s v="Equipement des CEC en mobiliers "/>
    <s v="Mobilier par salle"/>
    <s v="EQ/CEC"/>
    <n v="68"/>
    <n v="10.199999999999999"/>
    <n v="10.199999999999999"/>
    <n v="39"/>
    <n v="127.4"/>
    <n v="18.75"/>
    <n v="1275"/>
    <n v="191.25"/>
    <n v="191.25"/>
    <n v="731.25"/>
    <n v="2388.75"/>
    <x v="2"/>
    <s v="MENA_Programme 2. Développement du préscolaire"/>
    <s v="5. Investissement"/>
    <s v="DNEP"/>
    <s v="SNIES"/>
    <x v="0"/>
    <x v="0"/>
    <x v="1"/>
    <s v="113- Les capacités d’accueil au préscolaire public et communautaires augmentent en milieux rural et urbain"/>
    <x v="12"/>
    <s v="11336-Equipement des CEC en mobiliers "/>
  </r>
  <r>
    <s v="Equipement des CEC en matériels ludiques"/>
    <s v="Equipement "/>
    <s v="m.lud/cec"/>
    <n v="276.13800000000003"/>
    <n v="18.72936"/>
    <n v="16.928460000000001"/>
    <n v="21.0105"/>
    <n v="332.80632000000003"/>
    <n v="3.5"/>
    <n v="966.48300000000017"/>
    <n v="65.552760000000006"/>
    <n v="59.249610000000004"/>
    <n v="73.536749999999998"/>
    <n v="1164.8221200000003"/>
    <x v="4"/>
    <s v="MENA_Programme 2. Développement du préscolaire"/>
    <s v="3. Manuels scolaires et matériels pédagogiques"/>
    <s v="DNEP"/>
    <s v="SNIES"/>
    <x v="0"/>
    <x v="0"/>
    <x v="1"/>
    <s v="113- Les capacités d’accueil au préscolaire public et communautaires augmentent en milieux rural et urbain"/>
    <x v="12"/>
    <s v="11337-Equipement des CEC en matériels ludiques"/>
  </r>
  <r>
    <s v="Equipement des CEC en matériels ludiques"/>
    <s v="Equipement "/>
    <s v="m.lud/cec"/>
    <n v="183.86199999999999"/>
    <n v="12.47064"/>
    <n v="11.27154"/>
    <n v="13.9895"/>
    <n v="221.59367999999998"/>
    <n v="3.5"/>
    <n v="643.51699999999994"/>
    <n v="43.647239999999996"/>
    <n v="39.450389999999999"/>
    <n v="48.963250000000002"/>
    <n v="775.57787999999994"/>
    <x v="1"/>
    <s v="MENA_Programme 2. Développement du préscolaire"/>
    <s v="3. Manuels scolaires et matériels pédagogiques"/>
    <s v="DNEP"/>
    <s v="SNIES"/>
    <x v="0"/>
    <x v="0"/>
    <x v="1"/>
    <s v="113- Les capacités d’accueil au préscolaire public et communautaires augmentent en milieux rural et urbain"/>
    <x v="12"/>
    <s v="11337-Equipement des CEC en matériels ludiques"/>
  </r>
  <r>
    <s v="Supervision des travaux de construction/ réhabilitation/ rénovation /équipement des CEC"/>
    <s v="Supervisions"/>
    <s v="sup/reh"/>
    <n v="183.86199999999999"/>
    <n v="12.47064"/>
    <n v="11.27154"/>
    <n v="13.9895"/>
    <n v="221.59367999999998"/>
    <n v="1.7549999999999999"/>
    <n v="322.67780999999997"/>
    <n v="21.885973199999999"/>
    <n v="19.781552699999999"/>
    <n v="24.551572499999999"/>
    <n v="388.89690840000003"/>
    <x v="4"/>
    <s v="MENA_Programme 2. Développement du préscolaire"/>
    <s v="5. Investissement"/>
    <s v="SNIES"/>
    <s v="SNIES"/>
    <x v="0"/>
    <x v="0"/>
    <x v="1"/>
    <s v="113- Les capacités d’accueil au préscolaire public et communautaires augmentent en milieux rural et urbain"/>
    <x v="12"/>
    <s v="11338-Supervision des travaux de construction/ réhabilitation/ rénovation /équipement des CEC"/>
  </r>
  <r>
    <s v="Supervision des travaux de construction/ réhabilitation/ rénovation /équipement des CEC"/>
    <s v="Supervisions"/>
    <s v="sup/reh"/>
    <n v="50"/>
    <n v="0"/>
    <n v="0"/>
    <n v="5"/>
    <n v="55"/>
    <n v="1.7549999999999999"/>
    <n v="87.75"/>
    <n v="0"/>
    <n v="0"/>
    <n v="8.7749999999999986"/>
    <n v="96.525000000000006"/>
    <x v="2"/>
    <s v="MENA_Programme 2. Développement du préscolaire"/>
    <s v="5. Investissement"/>
    <s v="SNIES"/>
    <s v="SNIES"/>
    <x v="0"/>
    <x v="0"/>
    <x v="1"/>
    <s v="113- Les capacités d’accueil au préscolaire public et communautaires augmentent en milieux rural et urbain"/>
    <x v="12"/>
    <s v="11338-Supervision des travaux de construction/ réhabilitation/ rénovation /équipement des CEC"/>
  </r>
  <r>
    <s v=" Les CEC et les établissements préscolaires publics sont dotées en éducateurs en nombre suffisant "/>
    <m/>
    <m/>
    <m/>
    <m/>
    <m/>
    <m/>
    <m/>
    <m/>
    <m/>
    <m/>
    <m/>
    <m/>
    <m/>
    <x v="0"/>
    <m/>
    <m/>
    <m/>
    <m/>
    <x v="0"/>
    <x v="0"/>
    <x v="1"/>
    <s v="114- Les CEC et les établissements préscolaires publics sont dotées en éducateurs en nombre suffisant "/>
    <x v="13"/>
    <s v="114- Les CEC et les établissements préscolaires publics sont dotées en éducateurs en nombre suffisant "/>
  </r>
  <r>
    <s v="Recrutement d’éducateurs en nombre suffisant"/>
    <m/>
    <m/>
    <m/>
    <m/>
    <m/>
    <m/>
    <m/>
    <m/>
    <m/>
    <m/>
    <m/>
    <m/>
    <m/>
    <x v="0"/>
    <m/>
    <m/>
    <m/>
    <m/>
    <x v="0"/>
    <x v="0"/>
    <x v="1"/>
    <s v="114- Les CEC et les établissements préscolaires publics sont dotées en éducateurs en nombre suffisant "/>
    <x v="14"/>
    <s v="1141-Recrutement d’éducateurs en nombre suffisant"/>
  </r>
  <r>
    <s v="Identification des besoins en tenant compte des capacités d'accueil"/>
    <s v="Travaux administratifs"/>
    <s v="sif"/>
    <n v="1"/>
    <n v="1"/>
    <n v="1"/>
    <n v="1"/>
    <n v="4"/>
    <n v="0"/>
    <m/>
    <m/>
    <m/>
    <m/>
    <m/>
    <x v="2"/>
    <s v="MENA_Programme 2. Développement du préscolaire"/>
    <s v=""/>
    <s v="DRH"/>
    <s v="BSD"/>
    <x v="0"/>
    <x v="0"/>
    <x v="1"/>
    <s v="114- Les CEC et les établissements préscolaires publics sont dotées en éducateurs en nombre suffisant "/>
    <x v="14"/>
    <s v="11411-Identification des besoins en tenant compte des capacités d'accueil"/>
  </r>
  <r>
    <s v="Organisation de concours de recrutement des éducateurs au niveau déconcentré/décentralisé (organisé par la fonction publique)"/>
    <s v="pm"/>
    <s v="sif"/>
    <n v="1"/>
    <n v="1"/>
    <n v="1"/>
    <n v="1"/>
    <n v="4"/>
    <n v="0"/>
    <m/>
    <m/>
    <m/>
    <m/>
    <m/>
    <x v="2"/>
    <s v="MENA_Programme 2. Développement du préscolaire"/>
    <s v=""/>
    <s v="DRH"/>
    <s v="FP"/>
    <x v="0"/>
    <x v="0"/>
    <x v="1"/>
    <s v="114- Les CEC et les établissements préscolaires publics sont dotées en éducateurs en nombre suffisant "/>
    <x v="14"/>
    <s v="11412-Organisation de concours de recrutement des éducateurs au niveau déconcentré/décentralisé (organisé par la fonction publique)"/>
  </r>
  <r>
    <s v="Prise en charge des candidats retenus après leur prise de service"/>
    <s v="Salaire"/>
    <s v="edu"/>
    <m/>
    <n v="64.137599999999992"/>
    <n v="62.251199999999997"/>
    <n v="59.421599999999998"/>
    <n v="185.81039999999999"/>
    <n v="26.97945149076298"/>
    <n v="0"/>
    <n v="1730.3972679339595"/>
    <n v="1679.5032306417843"/>
    <n v="1603.1621747035215"/>
    <n v="5013.0626732792653"/>
    <x v="2"/>
    <s v="MENA_Programme 2. Développement du préscolaire"/>
    <s v="2. Personnel"/>
    <s v="DRH"/>
    <s v="FP"/>
    <x v="0"/>
    <x v="0"/>
    <x v="1"/>
    <s v="114- Les CEC et les établissements préscolaires publics sont dotées en éducateurs en nombre suffisant "/>
    <x v="14"/>
    <s v="11413-Prise en charge des candidats retenus après leur prise de service"/>
  </r>
  <r>
    <s v="Prise en charge des candidats retenus après leur prise de service"/>
    <s v="Salaire"/>
    <s v="edu"/>
    <m/>
    <n v="3.8623999999999996"/>
    <n v="3.7487999999999997"/>
    <n v="3.5783999999999998"/>
    <n v="11.189599999999999"/>
    <n v="26.97945149076298"/>
    <n v="0"/>
    <n v="104.20543343792292"/>
    <n v="101.14056774857225"/>
    <n v="96.543269214546243"/>
    <n v="301.88927040104141"/>
    <x v="2"/>
    <s v="MENA_Programme 2. Développement du préscolaire"/>
    <s v="2. Personnel"/>
    <s v="DRH"/>
    <s v="FP"/>
    <x v="0"/>
    <x v="0"/>
    <x v="1"/>
    <s v="114- Les CEC et les établissements préscolaires publics sont dotées en éducateurs en nombre suffisant "/>
    <x v="14"/>
    <s v="11413-Prise en charge des candidats retenus après leur prise de service"/>
  </r>
  <r>
    <s v="prise en charge des salaires du personnel dans les établissements du préscolaire"/>
    <s v="salaires"/>
    <s v="MS/préscolaire"/>
    <n v="0.64587672675183305"/>
    <n v="0.65612691651796995"/>
    <n v="0.98880131112164604"/>
    <n v="1.35507177236038"/>
    <n v="3.6458767267518288"/>
    <n v="46555.023127581044"/>
    <n v="30068.805951497929"/>
    <n v="30546.003773122527"/>
    <n v="46033.667907850693"/>
    <n v="63085.397701769725"/>
    <n v="169733.87533424087"/>
    <x v="2"/>
    <s v="MENA_Programme 2. Développement du préscolaire"/>
    <s v="2. Personnel"/>
    <s v="DRH"/>
    <s v="BSD"/>
    <x v="0"/>
    <x v="0"/>
    <x v="1"/>
    <s v="114- Les CEC et les établissements préscolaires publics sont dotées en éducateurs en nombre suffisant "/>
    <x v="14"/>
    <s v="11414-prise en charge des salaires du personnel dans les établissements du préscolaire"/>
  </r>
  <r>
    <s v="Suivi de l'allocation des éducateurs aux établissements (pris en compte dans gouvernance)"/>
    <s v="pm"/>
    <s v="sif"/>
    <n v="1"/>
    <n v="1"/>
    <n v="1"/>
    <n v="1"/>
    <m/>
    <n v="0"/>
    <m/>
    <m/>
    <m/>
    <m/>
    <m/>
    <x v="2"/>
    <s v="MENA_Programme 2. Développement du préscolaire"/>
    <s v=""/>
    <s v="DRH"/>
    <s v="DRH"/>
    <x v="0"/>
    <x v="0"/>
    <x v="1"/>
    <s v="114- Les CEC et les établissements préscolaires publics sont dotées en éducateurs en nombre suffisant "/>
    <x v="14"/>
    <s v="11415-Suivi de l'allocation des éducateurs aux établissements (pris en compte dans gouvernance)"/>
  </r>
  <r>
    <s v="Prise en charge progressive de la rémunération des éducateurs communautaires par l’Etat"/>
    <m/>
    <m/>
    <m/>
    <m/>
    <m/>
    <m/>
    <m/>
    <m/>
    <m/>
    <m/>
    <m/>
    <m/>
    <m/>
    <x v="0"/>
    <m/>
    <m/>
    <m/>
    <m/>
    <x v="0"/>
    <x v="0"/>
    <x v="1"/>
    <s v="114- Les CEC et les établissements préscolaires publics sont dotées en éducateurs en nombre suffisant "/>
    <x v="15"/>
    <s v="1142-Prise en charge progressive de la rémunération des éducateurs communautaires par l’Etat"/>
  </r>
  <r>
    <s v="Identification et évaluation des éducateurs communautaires en service"/>
    <s v="Mission"/>
    <s v="h/j/m"/>
    <m/>
    <n v="160"/>
    <m/>
    <m/>
    <n v="160"/>
    <n v="0.8177777777777776"/>
    <n v="0"/>
    <n v="130.84444444444441"/>
    <n v="0"/>
    <n v="0"/>
    <n v="130.84444444444441"/>
    <x v="2"/>
    <s v="MENA_Programme 2. Développement du préscolaire"/>
    <s v="3. Dépenses de fonctionnement"/>
    <s v="DRH"/>
    <s v="FP"/>
    <x v="0"/>
    <x v="0"/>
    <x v="1"/>
    <s v="114- Les CEC et les établissements préscolaires publics sont dotées en éducateurs en nombre suffisant "/>
    <x v="15"/>
    <s v="11421-Identification et évaluation des éducateurs communautaires en service"/>
  </r>
  <r>
    <s v="Prise en charge des élèves-éducateurs certifiés après leur reprise de service"/>
    <s v="Subvention par éducateur"/>
    <s v="sub/ed"/>
    <m/>
    <n v="145"/>
    <n v="211"/>
    <n v="293"/>
    <n v="649"/>
    <n v="13.489725745381435"/>
    <n v="0"/>
    <n v="1956.0102330803081"/>
    <n v="2846.3321322754828"/>
    <n v="3952.4896433967606"/>
    <n v="8754.8320087525517"/>
    <x v="2"/>
    <s v="MENA_Programme 2. Développement du préscolaire"/>
    <s v="2. Personnel"/>
    <s v="DRH"/>
    <s v="DRH"/>
    <x v="0"/>
    <x v="0"/>
    <x v="1"/>
    <s v="114- Les CEC et les établissements préscolaires publics sont dotées en éducateurs en nombre suffisant "/>
    <x v="15"/>
    <s v="11422-Prise en charge des élèves-éducateurs certifiés après leur reprise de service"/>
  </r>
  <r>
    <s v="Prise en charge des aides-éducateurs par l’Etat à travers de subventions aux comités de gestion"/>
    <m/>
    <m/>
    <m/>
    <m/>
    <m/>
    <m/>
    <m/>
    <m/>
    <m/>
    <m/>
    <m/>
    <m/>
    <m/>
    <x v="0"/>
    <m/>
    <m/>
    <m/>
    <m/>
    <x v="0"/>
    <x v="0"/>
    <x v="1"/>
    <s v="114- Les CEC et les établissements préscolaires publics sont dotées en éducateurs en nombre suffisant "/>
    <x v="16"/>
    <s v="1143-Prise en charge des aides-éducateurs par l’Etat à travers de subventions aux comités de gestion"/>
  </r>
  <r>
    <s v="Identification et évaluation des aides-éducateurs communautaires en service ( Voir activité 11421)"/>
    <s v="pm"/>
    <s v="sif"/>
    <m/>
    <n v="1"/>
    <m/>
    <m/>
    <n v="1"/>
    <n v="0"/>
    <m/>
    <m/>
    <m/>
    <m/>
    <m/>
    <x v="2"/>
    <s v="MENA_Programme 2. Développement du préscolaire"/>
    <s v=""/>
    <s v="DNEP"/>
    <s v="CT"/>
    <x v="0"/>
    <x v="0"/>
    <x v="1"/>
    <s v="114- Les CEC et les établissements préscolaires publics sont dotées en éducateurs en nombre suffisant "/>
    <x v="16"/>
    <s v="11431-Identification et évaluation des aides-éducateurs communautaires en service ( Voir activité 11421)"/>
  </r>
  <r>
    <s v="Elaboration et adoption d'un protocole d'accord avec les CR pour la prise en charge des aides-éducateurs"/>
    <s v="Atelier"/>
    <s v="h/j/ap"/>
    <m/>
    <n v="90"/>
    <m/>
    <m/>
    <n v="90"/>
    <n v="0.255"/>
    <n v="0"/>
    <n v="22.95"/>
    <n v="0"/>
    <n v="0"/>
    <n v="22.95"/>
    <x v="2"/>
    <s v="MENA_Programme 2. Développement du préscolaire"/>
    <s v="3. Dépenses de fonctionnement"/>
    <s v="DNEP"/>
    <s v="CT"/>
    <x v="0"/>
    <x v="0"/>
    <x v="1"/>
    <s v="114- Les CEC et les établissements préscolaires publics sont dotées en éducateurs en nombre suffisant "/>
    <x v="16"/>
    <s v="11432-Elaboration et adoption d'un protocole d'accord avec les CR pour la prise en charge des aides-éducateurs"/>
  </r>
  <r>
    <s v="Prise en charge des aides-éducateurs suivant le protocole adopté (pris en charge par les CT)"/>
    <s v="pm"/>
    <s v="sif"/>
    <m/>
    <n v="872"/>
    <n v="970"/>
    <n v="1074"/>
    <n v="2916"/>
    <n v="0"/>
    <m/>
    <m/>
    <m/>
    <m/>
    <m/>
    <x v="2"/>
    <s v="MENA_Programme 2. Développement du préscolaire"/>
    <s v=""/>
    <s v="DNEP"/>
    <s v="CT"/>
    <x v="0"/>
    <x v="0"/>
    <x v="1"/>
    <s v="114- Les CEC et les établissements préscolaires publics sont dotées en éducateurs en nombre suffisant "/>
    <x v="16"/>
    <s v="11433-Prise en charge des aides-éducateurs suivant le protocole adopté (pris en charge par les CT)"/>
  </r>
  <r>
    <s v=" Accès équitable et achèvement du primaire"/>
    <m/>
    <m/>
    <m/>
    <m/>
    <m/>
    <m/>
    <m/>
    <m/>
    <m/>
    <m/>
    <m/>
    <m/>
    <m/>
    <x v="0"/>
    <m/>
    <m/>
    <m/>
    <m/>
    <x v="0"/>
    <x v="0"/>
    <x v="2"/>
    <s v="12- Accès équitable et achèvement du primaire"/>
    <x v="17"/>
    <s v="12- Accès équitable et achèvement du primaire"/>
  </r>
  <r>
    <s v=" Tous les enfants de 6 ans sont inscrits au primaire "/>
    <m/>
    <m/>
    <m/>
    <m/>
    <m/>
    <m/>
    <m/>
    <m/>
    <m/>
    <m/>
    <m/>
    <m/>
    <m/>
    <x v="0"/>
    <m/>
    <m/>
    <m/>
    <m/>
    <x v="0"/>
    <x v="0"/>
    <x v="2"/>
    <s v="121- Tous les enfants de 6 ans sont inscrits au primaire "/>
    <x v="18"/>
    <s v="121- Tous les enfants de 6 ans sont inscrits au primaire "/>
  </r>
  <r>
    <s v="Identification des causes de la faiblesse de la scolarisation"/>
    <m/>
    <m/>
    <m/>
    <m/>
    <m/>
    <m/>
    <m/>
    <m/>
    <m/>
    <m/>
    <m/>
    <m/>
    <m/>
    <x v="0"/>
    <m/>
    <m/>
    <m/>
    <m/>
    <x v="0"/>
    <x v="0"/>
    <x v="2"/>
    <s v="121- Tous les enfants de 6 ans sont inscrits au primaire "/>
    <x v="19"/>
    <s v="1211-Identification des causes de la faiblesse de la scolarisation"/>
  </r>
  <r>
    <s v="Etude sur les causes de la faible scolarisation"/>
    <s v="assistance technique"/>
    <s v="forfait/étud/fscol"/>
    <n v="0"/>
    <m/>
    <n v="1"/>
    <m/>
    <n v="1"/>
    <n v="262.5"/>
    <n v="0"/>
    <n v="0"/>
    <n v="262.5"/>
    <n v="0"/>
    <n v="262.5"/>
    <x v="6"/>
    <s v="MENA_Programme 3. Enseignement élémentaire"/>
    <s v="3. Dépenses de fonctionnement"/>
    <s v="BSD"/>
    <s v="BSD"/>
    <x v="0"/>
    <x v="0"/>
    <x v="2"/>
    <s v="121- Tous les enfants de 6 ans sont inscrits au primaire "/>
    <x v="19"/>
    <s v="12111-Etude sur les causes de la faible scolarisation"/>
  </r>
  <r>
    <s v="Information/sensibilisation des parents pour la scolarisation des enfants en particulier les filles dans les zones à faible taux de scolarisation"/>
    <m/>
    <m/>
    <m/>
    <m/>
    <m/>
    <m/>
    <m/>
    <m/>
    <m/>
    <m/>
    <m/>
    <m/>
    <m/>
    <x v="0"/>
    <m/>
    <m/>
    <m/>
    <m/>
    <x v="0"/>
    <x v="0"/>
    <x v="2"/>
    <s v="121- Tous les enfants de 6 ans sont inscrits au primaire "/>
    <x v="20"/>
    <s v="1212-Information/sensibilisation des parents pour la scolarisation des enfants en particulier les filles dans les zones à faible taux de scolarisation"/>
  </r>
  <r>
    <s v="Conception de messages publicitaires"/>
    <s v="Atelier"/>
    <s v="h/j/a"/>
    <n v="0"/>
    <m/>
    <m/>
    <m/>
    <n v="0"/>
    <n v="0.3133333333333333"/>
    <n v="0"/>
    <n v="0"/>
    <n v="0"/>
    <n v="0"/>
    <n v="0"/>
    <x v="6"/>
    <s v="MENA_Programme 3. Enseignement élémentaire"/>
    <s v="3. Formation"/>
    <s v="STGE"/>
    <s v="STGE"/>
    <x v="0"/>
    <x v="0"/>
    <x v="2"/>
    <s v="121- Tous les enfants de 6 ans sont inscrits au primaire "/>
    <x v="20"/>
    <s v="12121-Conception de messages publicitaires"/>
  </r>
  <r>
    <s v="Diffusions des messages dans les médias"/>
    <s v="Emission"/>
    <s v="diffusion"/>
    <n v="0"/>
    <n v="228"/>
    <n v="570"/>
    <n v="570"/>
    <n v="1368"/>
    <n v="0.4"/>
    <n v="0"/>
    <n v="91.2"/>
    <n v="228"/>
    <n v="228"/>
    <n v="547.20000000000005"/>
    <x v="6"/>
    <s v="MENA_Programme 3. Enseignement élémentaire"/>
    <s v="3. Dépenses de fonctionnement"/>
    <s v="STGE"/>
    <s v="STGE"/>
    <x v="0"/>
    <x v="0"/>
    <x v="2"/>
    <s v="121- Tous les enfants de 6 ans sont inscrits au primaire "/>
    <x v="20"/>
    <s v="12122-Diffusions des messages dans les médias"/>
  </r>
  <r>
    <s v="Diffusions des messages dans les médias"/>
    <s v="Emission"/>
    <s v="diffusion"/>
    <n v="0"/>
    <n v="570"/>
    <n v="570"/>
    <n v="570"/>
    <n v="1710"/>
    <n v="0.4"/>
    <n v="0"/>
    <n v="228"/>
    <n v="228"/>
    <n v="228"/>
    <n v="684"/>
    <x v="1"/>
    <s v="MENA_Programme 3. Enseignement élémentaire"/>
    <s v="3. Dépenses de fonctionnement"/>
    <s v="STGE"/>
    <s v="STGE"/>
    <x v="0"/>
    <x v="0"/>
    <x v="2"/>
    <s v="121- Tous les enfants de 6 ans sont inscrits au primaire "/>
    <x v="20"/>
    <s v="12122-Diffusions des messages dans les médias"/>
  </r>
  <r>
    <s v="Missions de sensibilisation des communautés dans les sous-préfectures les moins scolarisées (genre et entrées précoces)"/>
    <s v="Mission"/>
    <s v="h/j/m"/>
    <n v="203.80499999999998"/>
    <n v="203.80499999999998"/>
    <n v="203.80499999999998"/>
    <n v="203.80499999999998"/>
    <n v="815.21999999999991"/>
    <n v="0.8177777777777776"/>
    <n v="166.66719999999995"/>
    <n v="166.66719999999995"/>
    <n v="166.66719999999995"/>
    <n v="166.66719999999995"/>
    <n v="666.66879999999981"/>
    <x v="4"/>
    <s v="MENA_Programme 3. Enseignement élémentaire"/>
    <s v="3. Dépenses de fonctionnement"/>
    <s v="STGE"/>
    <s v="STGE"/>
    <x v="0"/>
    <x v="0"/>
    <x v="2"/>
    <s v="121- Tous les enfants de 6 ans sont inscrits au primaire "/>
    <x v="20"/>
    <s v="12123-Missions de sensibilisation des communautés dans les sous-préfectures les moins scolarisées (genre et entrées précoces)"/>
  </r>
  <r>
    <s v="Missions de sensibilisation des communautés dans les sous-préfectures les moins scolarisées (genre et entrées précoces)"/>
    <s v="Mission"/>
    <s v="h/j/m"/>
    <n v="0"/>
    <n v="6.1950000000000003"/>
    <n v="6.1950000000000003"/>
    <n v="6.1950000000000003"/>
    <n v="18.585000000000001"/>
    <n v="0.8177777777777776"/>
    <n v="0"/>
    <n v="5.0661333333333323"/>
    <n v="5.0661333333333323"/>
    <n v="5.0661333333333323"/>
    <n v="15.198399999999996"/>
    <x v="7"/>
    <s v="MENA_Programme 3. Enseignement élémentaire"/>
    <s v="3. Dépenses de fonctionnement"/>
    <s v="STGE"/>
    <s v="STGE"/>
    <x v="0"/>
    <x v="0"/>
    <x v="2"/>
    <s v="121- Tous les enfants de 6 ans sont inscrits au primaire "/>
    <x v="20"/>
    <s v="12123-Missions de sensibilisation des communautés dans les sous-préfectures les moins scolarisées (genre et entrées précoces)"/>
  </r>
  <r>
    <s v="Sensibilisation des enseignants et encadreurs sur la question de genre et les entrées précoces à l'école"/>
    <s v="Mission"/>
    <s v="h/j/m"/>
    <n v="0"/>
    <n v="0"/>
    <n v="0"/>
    <n v="0"/>
    <n v="0"/>
    <n v="0.8177777777777776"/>
    <n v="0"/>
    <m/>
    <m/>
    <m/>
    <n v="0"/>
    <x v="8"/>
    <s v="MENA_Programme 3. Enseignement élémentaire"/>
    <s v="3. Dépenses de fonctionnement"/>
    <s v="STGE"/>
    <s v="IRE/DPE/DCE"/>
    <x v="0"/>
    <x v="0"/>
    <x v="2"/>
    <s v="121- Tous les enfants de 6 ans sont inscrits au primaire "/>
    <x v="20"/>
    <s v="12124-Sensibilisation des enseignants et encadreurs sur la question de genre et les entrées précoces à l'école"/>
  </r>
  <r>
    <s v="Sensibilisation des enseignants et encadreurs sur la question de genre et les entrées précoces à l'école"/>
    <s v="Mission"/>
    <s v="h/j/m"/>
    <n v="0"/>
    <n v="160"/>
    <n v="160"/>
    <n v="160"/>
    <n v="480"/>
    <n v="0.8177777777777776"/>
    <m/>
    <n v="130.84444444444441"/>
    <n v="130.84444444444441"/>
    <n v="130.84444444444441"/>
    <n v="392.53333333333319"/>
    <x v="2"/>
    <s v="MENA_Programme 3. Enseignement élémentaire"/>
    <s v="3. Dépenses de fonctionnement"/>
    <s v="STGE"/>
    <s v="IRE/DPE/DCE"/>
    <x v="0"/>
    <x v="0"/>
    <x v="2"/>
    <s v="121- Tous les enfants de 6 ans sont inscrits au primaire "/>
    <x v="20"/>
    <s v="12124-Sensibilisation des enseignants et encadreurs sur la question de genre et les entrées précoces à l'école"/>
  </r>
  <r>
    <s v="Incitation de la demande de scolarisation par la création des cantines dans les milieux défavorisés y compris les écoles FA"/>
    <m/>
    <m/>
    <n v="0"/>
    <m/>
    <m/>
    <m/>
    <m/>
    <m/>
    <m/>
    <m/>
    <m/>
    <m/>
    <m/>
    <x v="0"/>
    <m/>
    <m/>
    <m/>
    <m/>
    <x v="0"/>
    <x v="0"/>
    <x v="2"/>
    <s v="121- Tous les enfants de 6 ans sont inscrits au primaire "/>
    <x v="21"/>
    <s v="1213-Incitation de la demande de scolarisation par la création des cantines dans les milieux défavorisés y compris les écoles FA"/>
  </r>
  <r>
    <s v="DéFinition concertée de critères de choix des écoles devant bénéficier de cantines"/>
    <s v="Travaux administratif"/>
    <s v="sif"/>
    <n v="0"/>
    <n v="1"/>
    <m/>
    <m/>
    <n v="1"/>
    <n v="0"/>
    <m/>
    <m/>
    <m/>
    <m/>
    <m/>
    <x v="2"/>
    <s v="MENA_Programme 3. Enseignement élémentaire"/>
    <s v=""/>
    <s v="BSD"/>
    <s v="BSD"/>
    <x v="0"/>
    <x v="0"/>
    <x v="2"/>
    <s v="121- Tous les enfants de 6 ans sont inscrits au primaire "/>
    <x v="21"/>
    <s v="12131-DéFinition concertée de critères de choix des écoles devant bénéficier de cantines"/>
  </r>
  <r>
    <s v="Identification des écoles prioritaires sur la base des critères retenus"/>
    <s v="Travaux administratifs"/>
    <s v="sif"/>
    <n v="0"/>
    <n v="1"/>
    <n v="1"/>
    <n v="1"/>
    <n v="3"/>
    <n v="0"/>
    <m/>
    <m/>
    <m/>
    <m/>
    <m/>
    <x v="2"/>
    <s v="MENA_Programme 3. Enseignement élémentaire"/>
    <s v=""/>
    <s v="BSD"/>
    <s v="BSD"/>
    <x v="0"/>
    <x v="0"/>
    <x v="2"/>
    <s v="121- Tous les enfants de 6 ans sont inscrits au primaire "/>
    <x v="21"/>
    <s v="12132-Identification des écoles prioritaires sur la base des critères retenus"/>
  </r>
  <r>
    <s v="Implantation des nouvelles cantines en concertation avec les communautés "/>
    <s v="Mission"/>
    <s v="h/j/m"/>
    <n v="0"/>
    <n v="80"/>
    <n v="56"/>
    <n v="56"/>
    <n v="192"/>
    <n v="0.8177777777777776"/>
    <n v="0"/>
    <n v="65.422222222222203"/>
    <n v="45.795555555555545"/>
    <n v="45.795555555555545"/>
    <n v="157.01333333333329"/>
    <x v="2"/>
    <s v="MENA_Programme 3. Enseignement élémentaire"/>
    <s v="3. Dépenses de fonctionnement"/>
    <s v="DNCAS"/>
    <s v="DNCAS"/>
    <x v="0"/>
    <x v="0"/>
    <x v="2"/>
    <s v="121- Tous les enfants de 6 ans sont inscrits au primaire "/>
    <x v="21"/>
    <s v="12133-Implantation des nouvelles cantines en concertation avec les communautés "/>
  </r>
  <r>
    <s v="Implantation des nouvelles cantines en concertation avec les communautés "/>
    <s v="Mission"/>
    <s v="h/j/m"/>
    <n v="0"/>
    <n v="320"/>
    <n v="224"/>
    <n v="224"/>
    <n v="768"/>
    <n v="0.8177777777777776"/>
    <n v="0"/>
    <n v="261.68888888888881"/>
    <n v="183.18222222222218"/>
    <n v="183.18222222222218"/>
    <n v="628.05333333333317"/>
    <x v="9"/>
    <s v="MENA_Programme 3. Enseignement élémentaire"/>
    <s v="3. Dépenses de fonctionnement"/>
    <s v="DNCAS"/>
    <s v="DNCAS"/>
    <x v="0"/>
    <x v="0"/>
    <x v="2"/>
    <s v="121- Tous les enfants de 6 ans sont inscrits au primaire "/>
    <x v="21"/>
    <s v="12133-Implantation des nouvelles cantines en concertation avec les communautés "/>
  </r>
  <r>
    <s v="Acquisition et distribution des vivres pour les cantines scolaires"/>
    <s v="Ration alimentaire"/>
    <s v="rat/éléve"/>
    <n v="0"/>
    <n v="39795.351353295802"/>
    <n v="45505.129520436807"/>
    <n v="51355.324285016402"/>
    <n v="136655.80515874902"/>
    <n v="0.25"/>
    <n v="0"/>
    <n v="9948.8378383239506"/>
    <n v="11376.282380109202"/>
    <n v="12838.831071254101"/>
    <n v="34163.951289687255"/>
    <x v="2"/>
    <s v="MENA_Programme 3. Enseignement élémentaire"/>
    <s v="4. Transferts et subventions"/>
    <s v="DNCAS"/>
    <s v="DNCAS"/>
    <x v="0"/>
    <x v="0"/>
    <x v="2"/>
    <s v="121- Tous les enfants de 6 ans sont inscrits au primaire "/>
    <x v="21"/>
    <s v="12134-Acquisition et distribution des vivres pour les cantines scolaires"/>
  </r>
  <r>
    <s v="Acquisition et distribution des vivres pour les cantines scolaires"/>
    <s v="Ration alimentaire"/>
    <s v="rat/éléve"/>
    <n v="0"/>
    <n v="149232.56757485925"/>
    <n v="170644.23570163801"/>
    <n v="192582.46606881151"/>
    <n v="512459.26934530877"/>
    <n v="0.25"/>
    <n v="0"/>
    <n v="37308.141893714812"/>
    <n v="42661.058925409503"/>
    <n v="48145.616517202878"/>
    <n v="128114.81733632719"/>
    <x v="9"/>
    <s v="MENA_Programme 3. Enseignement élémentaire"/>
    <s v="4. Transferts et subventions"/>
    <s v="DNCAS"/>
    <s v="DNCAS"/>
    <x v="0"/>
    <x v="0"/>
    <x v="2"/>
    <s v="121- Tous les enfants de 6 ans sont inscrits au primaire "/>
    <x v="21"/>
    <s v="12134-Acquisition et distribution des vivres pour les cantines scolaires"/>
  </r>
  <r>
    <s v="Acquisition et distribution des vivres pour les cantines scolaires"/>
    <s v="Ration alimentaire"/>
    <s v="rat/éléve"/>
    <n v="0"/>
    <n v="9948.8378383239615"/>
    <n v="11376.282380109187"/>
    <n v="12838.831071254099"/>
    <n v="34163.951289687247"/>
    <n v="0.25"/>
    <n v="0"/>
    <n v="2487.2094595809904"/>
    <n v="2844.0705950272968"/>
    <n v="3209.7077678135247"/>
    <n v="8540.9878224218119"/>
    <x v="9"/>
    <s v="MENA_Programme 3. Enseignement élémentaire"/>
    <s v="4. Transferts et subventions"/>
    <s v="DNCAS"/>
    <s v="DNCAS"/>
    <x v="0"/>
    <x v="0"/>
    <x v="2"/>
    <s v="121- Tous les enfants de 6 ans sont inscrits au primaire "/>
    <x v="21"/>
    <s v="12134-Acquisition et distribution des vivres pour les cantines scolaires"/>
  </r>
  <r>
    <s v="Suivi des cantines scolaires"/>
    <s v="Mission"/>
    <s v="h/j/m"/>
    <n v="0"/>
    <n v="48.032000000000004"/>
    <n v="48.032000000000004"/>
    <n v="72.048000000000002"/>
    <n v="168.11200000000002"/>
    <n v="0.8177777777777776"/>
    <n v="0"/>
    <n v="39.27950222222222"/>
    <n v="39.27950222222222"/>
    <n v="58.919253333333323"/>
    <n v="137.47825777777777"/>
    <x v="1"/>
    <s v="MENA_Programme 3. Enseignement élémentaire"/>
    <s v="3. Dépenses de fonctionnement"/>
    <s v="DNCAS"/>
    <s v="DNCAS"/>
    <x v="0"/>
    <x v="0"/>
    <x v="2"/>
    <s v="121- Tous les enfants de 6 ans sont inscrits au primaire "/>
    <x v="21"/>
    <s v="12135-Suivi des cantines scolaires"/>
  </r>
  <r>
    <s v="Suivi des cantines scolaires"/>
    <s v="Mission"/>
    <s v="h/j/m"/>
    <n v="0"/>
    <n v="223.96799999999999"/>
    <n v="223.96799999999999"/>
    <n v="335.952"/>
    <n v="783.88799999999992"/>
    <n v="0.8177777777777776"/>
    <n v="0"/>
    <n v="183.15605333333329"/>
    <n v="183.15605333333329"/>
    <n v="274.73407999999995"/>
    <n v="641.04618666666647"/>
    <x v="9"/>
    <s v="MENA_Programme 3. Enseignement élémentaire"/>
    <s v="3. Dépenses de fonctionnement"/>
    <s v="DNCAS"/>
    <s v="DNCAS"/>
    <x v="0"/>
    <x v="0"/>
    <x v="2"/>
    <s v="121- Tous les enfants de 6 ans sont inscrits au primaire "/>
    <x v="21"/>
    <s v="12135-Suivi des cantines scolaires"/>
  </r>
  <r>
    <s v="Suivi des cantines scolaires"/>
    <s v="Mission"/>
    <s v="h/j/m"/>
    <n v="0"/>
    <n v="48"/>
    <n v="48"/>
    <n v="72"/>
    <n v="168"/>
    <n v="0.8177777777777776"/>
    <n v="0"/>
    <n v="39.253333333333323"/>
    <n v="39.253333333333323"/>
    <n v="58.879999999999988"/>
    <n v="137.38666666666663"/>
    <x v="1"/>
    <s v="MENA_Programme 3. Enseignement élémentaire"/>
    <s v="3. Dépenses de fonctionnement"/>
    <s v="DNCAS"/>
    <s v="DNCAS"/>
    <x v="0"/>
    <x v="0"/>
    <x v="2"/>
    <s v="121- Tous les enfants de 6 ans sont inscrits au primaire "/>
    <x v="21"/>
    <s v="12135-Suivi des cantines scolaires"/>
  </r>
  <r>
    <s v="Mise en place d'une stratégie de scolarisation des enfants des foyers coraniques et des centres de mémorisation du Saint Coran"/>
    <m/>
    <m/>
    <n v="0"/>
    <m/>
    <m/>
    <m/>
    <m/>
    <m/>
    <m/>
    <m/>
    <m/>
    <m/>
    <m/>
    <x v="0"/>
    <m/>
    <m/>
    <m/>
    <m/>
    <x v="0"/>
    <x v="0"/>
    <x v="2"/>
    <s v="121- Tous les enfants de 6 ans sont inscrits au primaire "/>
    <x v="22"/>
    <s v="1214-Mise en place d'une stratégie de scolarisation des enfants des foyers coraniques et des centres de mémorisation du Saint Coran"/>
  </r>
  <r>
    <s v="Recensement des écoles arabo-islamiques, des foyers coraniques et des centres de mémorisation du saint Coran"/>
    <s v="Mission"/>
    <s v="h/j/m"/>
    <n v="0"/>
    <n v="2562"/>
    <m/>
    <m/>
    <n v="2562"/>
    <n v="0.8177777777777776"/>
    <n v="0"/>
    <n v="2095.1466666666661"/>
    <n v="0"/>
    <n v="0"/>
    <n v="2095.1466666666661"/>
    <x v="10"/>
    <s v="MENA_Programme 3. Enseignement élémentaire"/>
    <s v="3. Dépenses de fonctionnement"/>
    <s v="DNEF"/>
    <s v="DSEE"/>
    <x v="0"/>
    <x v="0"/>
    <x v="2"/>
    <s v="121- Tous les enfants de 6 ans sont inscrits au primaire "/>
    <x v="22"/>
    <s v="12141-Recensement des écoles arabo-islamiques, des foyers coraniques et des centres de mémorisation du saint Coran"/>
  </r>
  <r>
    <s v="Elaboration d'une stratégie de scolarisation des enfants des écoles arabo-islamiques, des foyers coraniques et des centres de mémorisation du saint Coran"/>
    <s v="Etude"/>
    <s v="h/j/cn"/>
    <n v="0"/>
    <n v="59.967999999999996"/>
    <m/>
    <m/>
    <n v="59.967999999999996"/>
    <n v="2.651545"/>
    <n v="0"/>
    <n v="159.00785055999998"/>
    <n v="0"/>
    <n v="0"/>
    <n v="159.00785055999998"/>
    <x v="10"/>
    <s v="MENA_Programme 3. Enseignement élémentaire"/>
    <s v="3. Dépenses de fonctionnement"/>
    <s v="DNEF"/>
    <s v="Consultant national"/>
    <x v="0"/>
    <x v="0"/>
    <x v="2"/>
    <s v="121- Tous les enfants de 6 ans sont inscrits au primaire "/>
    <x v="22"/>
    <s v="12142-Elaboration d'une stratégie de scolarisation des enfants des écoles arabo-islamiques, des foyers coraniques et des centres de mémorisation du saint Coran"/>
  </r>
  <r>
    <s v="Elaboration d'une stratégie de scolarisation des enfants des écoles arabo-islamiques, des foyers coraniques et des centres de mémorisation du saint Coran"/>
    <s v="Etude"/>
    <s v="h/j/cn"/>
    <n v="0"/>
    <n v="20.032"/>
    <m/>
    <m/>
    <n v="20.032"/>
    <n v="2.651545"/>
    <n v="0"/>
    <n v="53.115749440000002"/>
    <n v="0"/>
    <n v="0"/>
    <n v="53.115749440000002"/>
    <x v="11"/>
    <s v="MENA_Programme 3. Enseignement élémentaire"/>
    <s v="3. Dépenses de fonctionnement"/>
    <s v="DNEF"/>
    <s v="Consultant national"/>
    <x v="0"/>
    <x v="0"/>
    <x v="2"/>
    <s v="121- Tous les enfants de 6 ans sont inscrits au primaire "/>
    <x v="22"/>
    <s v="12142-Elaboration d'une stratégie de scolarisation des enfants des écoles arabo-islamiques, des foyers coraniques et des centres de mémorisation du saint Coran"/>
  </r>
  <r>
    <s v="Validation et diffusion de la stratégie de scolarisation des enfants des écoles arabo-islamiques, des foyers coraniques et des centres de mémorisation du saint Coran"/>
    <s v="Atelier"/>
    <s v="h/j/a"/>
    <n v="0"/>
    <m/>
    <n v="90"/>
    <m/>
    <n v="90"/>
    <n v="0.3133333333333333"/>
    <n v="0"/>
    <n v="0"/>
    <n v="28.199999999999996"/>
    <n v="0"/>
    <n v="28.199999999999996"/>
    <x v="10"/>
    <s v="MENA_Programme 3. Enseignement élémentaire"/>
    <s v="3. Formation"/>
    <s v="DNEF"/>
    <s v="Consultant national"/>
    <x v="0"/>
    <x v="0"/>
    <x v="2"/>
    <s v="121- Tous les enfants de 6 ans sont inscrits au primaire "/>
    <x v="22"/>
    <s v="12143-Validation et diffusion de la stratégie de scolarisation des enfants des écoles arabo-islamiques, des foyers coraniques et des centres de mémorisation du saint Coran"/>
  </r>
  <r>
    <s v="Mise en œuvre de la stratégie de scolarisation des enfants des écoles arabo-islamiques, des foyers coraniques et des centres de mémorisation du saint Coran"/>
    <s v="Appui"/>
    <s v="sub/foyers cor/an"/>
    <n v="0"/>
    <m/>
    <m/>
    <n v="0.5"/>
    <n v="0.5"/>
    <n v="1046"/>
    <n v="0"/>
    <n v="0"/>
    <n v="0"/>
    <n v="523"/>
    <n v="523"/>
    <x v="10"/>
    <s v="MENA_Programme 3. Enseignement élémentaire"/>
    <s v="4. Transferts et subventions"/>
    <s v="DNEF"/>
    <s v="DNEF"/>
    <x v="0"/>
    <x v="0"/>
    <x v="2"/>
    <s v="121- Tous les enfants de 6 ans sont inscrits au primaire "/>
    <x v="22"/>
    <s v="12144-Mise en œuvre de la stratégie de scolarisation des enfants des écoles arabo-islamiques, des foyers coraniques et des centres de mémorisation du saint Coran"/>
  </r>
  <r>
    <s v="Mise en œuvre de la stratégie de scolarisation des enfants des écoles arabo-islamiques, des foyers coraniques et des centres de mémorisation du saint Coran"/>
    <s v="Appui"/>
    <s v="sub/foyers cor/an"/>
    <n v="0"/>
    <m/>
    <m/>
    <n v="0.5"/>
    <n v="0.5"/>
    <n v="1046"/>
    <n v="0"/>
    <n v="0"/>
    <n v="0"/>
    <n v="523"/>
    <n v="523"/>
    <x v="11"/>
    <s v="MENA_Programme 3. Enseignement élémentaire"/>
    <s v="4. Transferts et subventions"/>
    <s v="DNEF"/>
    <s v="DNEF"/>
    <x v="0"/>
    <x v="0"/>
    <x v="2"/>
    <s v="121- Tous les enfants de 6 ans sont inscrits au primaire "/>
    <x v="22"/>
    <s v="12144-Mise en œuvre de la stratégie de scolarisation des enfants des écoles arabo-islamiques, des foyers coraniques et des centres de mémorisation du saint Coran"/>
  </r>
  <r>
    <s v="Suivi/évaluation de la mise en œuvre de la stratégie"/>
    <s v="Mission"/>
    <s v="h/j/m"/>
    <n v="0"/>
    <m/>
    <n v="160"/>
    <n v="80"/>
    <n v="240"/>
    <n v="0.8177777777777776"/>
    <n v="0"/>
    <n v="0"/>
    <n v="130.84444444444441"/>
    <n v="65.422222222222203"/>
    <n v="196.26666666666659"/>
    <x v="10"/>
    <s v="MENA_Programme 3. Enseignement élémentaire"/>
    <s v="3. Dépenses de fonctionnement"/>
    <s v="DNEF"/>
    <s v="DNEF"/>
    <x v="0"/>
    <x v="0"/>
    <x v="2"/>
    <s v="121- Tous les enfants de 6 ans sont inscrits au primaire "/>
    <x v="22"/>
    <s v="12145-Suivi/évaluation de la mise en œuvre de la stratégie"/>
  </r>
  <r>
    <s v="Suivi/évaluation de la mise en œuvre de la stratégie"/>
    <s v="Mission"/>
    <s v="h/j/m"/>
    <n v="0"/>
    <m/>
    <n v="160"/>
    <n v="80"/>
    <n v="240"/>
    <n v="0.8177777777777776"/>
    <n v="0"/>
    <n v="0"/>
    <n v="130.84444444444441"/>
    <n v="65.422222222222203"/>
    <n v="196.26666666666659"/>
    <x v="11"/>
    <s v="MENA_Programme 3. Enseignement élémentaire"/>
    <s v="3. Dépenses de fonctionnement"/>
    <s v="DNEF"/>
    <s v="DNEF"/>
    <x v="0"/>
    <x v="0"/>
    <x v="2"/>
    <s v="121- Tous les enfants de 6 ans sont inscrits au primaire "/>
    <x v="22"/>
    <s v="12145-Suivi/évaluation de la mise en œuvre de la stratégie"/>
  </r>
  <r>
    <s v=" Toutes les localités disposent d’écoles primaires avec des infrastructures adéquates  "/>
    <m/>
    <m/>
    <n v="0"/>
    <m/>
    <m/>
    <m/>
    <m/>
    <m/>
    <m/>
    <m/>
    <m/>
    <m/>
    <m/>
    <x v="0"/>
    <m/>
    <m/>
    <m/>
    <m/>
    <x v="0"/>
    <x v="0"/>
    <x v="2"/>
    <s v="122- Toutes les localités disposent d’écoles primaires avec des infrastructures adéquates  "/>
    <x v="23"/>
    <s v="122- Toutes les localités disposent d’écoles primaires avec des infrastructures adéquates  "/>
  </r>
  <r>
    <s v="Rénovation/réhabilitation de salles de classe en tenant compte de la prévention des catastrophes naturels, y compris dans les FA"/>
    <m/>
    <m/>
    <n v="0"/>
    <m/>
    <m/>
    <m/>
    <m/>
    <m/>
    <m/>
    <m/>
    <m/>
    <m/>
    <m/>
    <x v="0"/>
    <m/>
    <m/>
    <m/>
    <m/>
    <x v="0"/>
    <x v="0"/>
    <x v="2"/>
    <s v="122- Toutes les localités disposent d’écoles primaires avec des infrastructures adéquates  "/>
    <x v="24"/>
    <s v="1221-Rénovation/réhabilitation de salles de classe en tenant compte de la prévention des catastrophes naturels, y compris dans les FA"/>
  </r>
  <r>
    <s v="Identification des écoles devant bénéficier de réhabilitation ou de rénovation de salles de classe en tenant compte de la prévention des catastrophes naturels (travaux effectués par les communes)"/>
    <s v="pm"/>
    <s v="sif"/>
    <n v="0"/>
    <m/>
    <m/>
    <m/>
    <m/>
    <n v="0"/>
    <m/>
    <m/>
    <m/>
    <m/>
    <m/>
    <x v="2"/>
    <s v="MENA_Programme 3. Enseignement élémentaire"/>
    <s v=""/>
    <s v="Communes"/>
    <s v="ANAFIC"/>
    <x v="0"/>
    <x v="0"/>
    <x v="2"/>
    <s v="122- Toutes les localités disposent d’écoles primaires avec des infrastructures adéquates  "/>
    <x v="24"/>
    <s v="12211-Identification des écoles devant bénéficier de réhabilitation ou de rénovation de salles de classe en tenant compte de la prévention des catastrophes naturels (travaux effectués par les communes)"/>
  </r>
  <r>
    <s v="Rénovation/réhabilitation de salles de classe, y compris dans les FA"/>
    <s v="Rénovation d'une classe"/>
    <s v="réh/sdc/prim"/>
    <n v="0"/>
    <n v="232"/>
    <n v="232"/>
    <n v="232"/>
    <n v="696"/>
    <n v="25"/>
    <n v="0"/>
    <n v="5800"/>
    <n v="5800"/>
    <n v="5800"/>
    <n v="17400"/>
    <x v="2"/>
    <s v="MENA_Programme 3. Enseignement élémentaire"/>
    <s v="5. Investissement"/>
    <s v="Communes"/>
    <s v="Communes/ANAFIC/SNIES/"/>
    <x v="0"/>
    <x v="0"/>
    <x v="2"/>
    <s v="122- Toutes les localités disposent d’écoles primaires avec des infrastructures adéquates  "/>
    <x v="24"/>
    <s v="12212-Rénovation/réhabilitation de salles de classe, y compris dans les FA"/>
  </r>
  <r>
    <s v="Supervision des travaux de réhabilitation/rénovation des salles de classe"/>
    <s v="Supervision"/>
    <s v="sup/reh"/>
    <n v="0"/>
    <n v="232"/>
    <n v="232"/>
    <n v="232"/>
    <n v="696"/>
    <n v="1.7549999999999999"/>
    <n v="0"/>
    <n v="407.15999999999997"/>
    <n v="407.15999999999997"/>
    <n v="407.15999999999997"/>
    <n v="1221.48"/>
    <x v="2"/>
    <s v="MENA_Programme 3. Enseignement élémentaire"/>
    <s v="5. Investissement"/>
    <s v="Communes"/>
    <s v="Communes/ANAFIC/SNIES/"/>
    <x v="0"/>
    <x v="0"/>
    <x v="2"/>
    <s v="122- Toutes les localités disposent d’écoles primaires avec des infrastructures adéquates  "/>
    <x v="24"/>
    <s v="12213-Supervision des travaux de réhabilitation/rénovation des salles de classe"/>
  </r>
  <r>
    <s v="Suivi/évaluation de la réhabilitation/rénovation des salles de classe (voir suivi construction activité 122210)"/>
    <s v="Mission pm"/>
    <s v="sif"/>
    <n v="0"/>
    <n v="1"/>
    <n v="1"/>
    <n v="1"/>
    <n v="3"/>
    <n v="0"/>
    <m/>
    <m/>
    <m/>
    <m/>
    <m/>
    <x v="2"/>
    <s v="MENA_Programme 3. Enseignement élémentaire"/>
    <s v=""/>
    <s v="Communes"/>
    <s v="Communes/ANAFIC/SNIES/"/>
    <x v="0"/>
    <x v="0"/>
    <x v="2"/>
    <s v="122- Toutes les localités disposent d’écoles primaires avec des infrastructures adéquates  "/>
    <x v="24"/>
    <s v="12214-Suivi/évaluation de la réhabilitation/rénovation des salles de classe (voir suivi construction activité 122210)"/>
  </r>
  <r>
    <s v="Construction et équipement de salles de classe au primaire avec rampe d’accès et en tenant compte de la prévention des catastrophes naturels"/>
    <m/>
    <m/>
    <n v="0"/>
    <m/>
    <m/>
    <m/>
    <m/>
    <m/>
    <m/>
    <m/>
    <m/>
    <m/>
    <m/>
    <x v="0"/>
    <m/>
    <m/>
    <m/>
    <m/>
    <x v="0"/>
    <x v="0"/>
    <x v="2"/>
    <s v="122- Toutes les localités disposent d’écoles primaires avec des infrastructures adéquates  "/>
    <x v="25"/>
    <s v="1222-Construction et équipement de salles de classe au primaire avec rampe d’accès et en tenant compte de la prévention des catastrophes naturels"/>
  </r>
  <r>
    <s v="Identification de sites de nouvelles constructions ou d'extension"/>
    <s v="travaux administratifs"/>
    <s v="sif"/>
    <n v="0"/>
    <n v="1"/>
    <n v="1"/>
    <n v="1"/>
    <n v="3"/>
    <n v="0"/>
    <m/>
    <m/>
    <m/>
    <m/>
    <m/>
    <x v="2"/>
    <s v="MENA_Programme 3. Enseignement élémentaire"/>
    <s v=""/>
    <s v="BSD"/>
    <s v="DPE/DCE"/>
    <x v="0"/>
    <x v="0"/>
    <x v="2"/>
    <s v="122- Toutes les localités disposent d’écoles primaires avec des infrastructures adéquates  "/>
    <x v="25"/>
    <s v="12221-Identification de sites de nouvelles constructions ou d'extension"/>
  </r>
  <r>
    <s v="Validation des sites devant bénéficier de construction de salles de classe"/>
    <s v="Mission"/>
    <s v="h/j/m"/>
    <n v="0"/>
    <m/>
    <n v="300"/>
    <n v="150"/>
    <n v="450"/>
    <n v="0.8177777777777776"/>
    <n v="0"/>
    <n v="0"/>
    <n v="245.33333333333329"/>
    <n v="122.66666666666664"/>
    <n v="367.99999999999994"/>
    <x v="6"/>
    <s v="MENA_Programme 3. Enseignement élémentaire"/>
    <s v="3. Dépenses de fonctionnement"/>
    <s v="BSD"/>
    <s v="SNIES"/>
    <x v="0"/>
    <x v="0"/>
    <x v="2"/>
    <s v="122- Toutes les localités disposent d’écoles primaires avec des infrastructures adéquates  "/>
    <x v="25"/>
    <s v="12222-Validation des sites devant bénéficier de construction de salles de classe"/>
  </r>
  <r>
    <s v="Réalisation des travaux de construction des salles de classe maitrise d'ouvrage des communes"/>
    <s v="Construction"/>
    <s v="cons/sdc/prim"/>
    <n v="0"/>
    <n v="416.70000000000005"/>
    <n v="1041.75"/>
    <n v="625.04999999999995"/>
    <n v="2083.5"/>
    <n v="138"/>
    <n v="0"/>
    <n v="57504.600000000006"/>
    <n v="143761.5"/>
    <n v="86256.9"/>
    <n v="287523"/>
    <x v="2"/>
    <s v="MENA_Programme 3. Enseignement élémentaire"/>
    <s v="5. Investissement"/>
    <s v="ANAFIC"/>
    <s v="Communes"/>
    <x v="0"/>
    <x v="0"/>
    <x v="2"/>
    <s v="122- Toutes les localités disposent d’écoles primaires avec des infrastructures adéquates  "/>
    <x v="25"/>
    <s v="12223-Réalisation des travaux de construction des salles de classe maitrise d'ouvrage des communes"/>
  </r>
  <r>
    <s v="Réalisation des travaux de construction des salles de classe maitrise d'ouvrage SNIES"/>
    <s v="Construction"/>
    <s v="cons/sdc/prim"/>
    <n v="0"/>
    <m/>
    <m/>
    <m/>
    <n v="0"/>
    <n v="138"/>
    <n v="0"/>
    <n v="0"/>
    <n v="0"/>
    <n v="0"/>
    <n v="0"/>
    <x v="8"/>
    <s v="MENA_Programme 3. Enseignement élémentaire"/>
    <s v="5. Investissement"/>
    <s v="SNIES"/>
    <s v="SNIES"/>
    <x v="0"/>
    <x v="0"/>
    <x v="2"/>
    <s v="122- Toutes les localités disposent d’écoles primaires avec des infrastructures adéquates  "/>
    <x v="25"/>
    <s v="12224-Réalisation des travaux de construction des salles de classe maitrise d'ouvrage SNIES"/>
  </r>
  <r>
    <s v="Réalisation des travaux de construction des salles de classe maitrise d'ouvrage SNIES"/>
    <s v="Construction"/>
    <s v="cons/sdc/prim"/>
    <n v="0"/>
    <n v="0"/>
    <n v="180"/>
    <n v="90"/>
    <n v="270"/>
    <n v="138"/>
    <n v="0"/>
    <n v="0"/>
    <n v="24840"/>
    <n v="12420"/>
    <n v="37260"/>
    <x v="6"/>
    <s v="MENA_Programme 3. Enseignement élémentaire"/>
    <s v="5. Investissement"/>
    <s v="SNIES"/>
    <s v="SNIES"/>
    <x v="0"/>
    <x v="0"/>
    <x v="2"/>
    <s v="122- Toutes les localités disposent d’écoles primaires avec des infrastructures adéquates  "/>
    <x v="25"/>
    <s v="12224-Réalisation des travaux de construction des salles de classe maitrise d'ouvrage SNIES"/>
  </r>
  <r>
    <s v="Réalisation des travaux de construction des salles de classe maitrise d'ouvrage SNIES"/>
    <s v="Construction"/>
    <s v="cons/sdc/prim"/>
    <n v="0"/>
    <n v="208.35"/>
    <n v="340.875"/>
    <n v="222.52499999999998"/>
    <n v="771.75"/>
    <n v="138"/>
    <n v="0"/>
    <n v="28752.3"/>
    <n v="47040.75"/>
    <n v="30708.449999999997"/>
    <n v="106501.5"/>
    <x v="2"/>
    <s v="MENA_Programme 3. Enseignement élémentaire"/>
    <s v="5. Investissement"/>
    <s v="SNIES"/>
    <s v="SNIES"/>
    <x v="0"/>
    <x v="0"/>
    <x v="2"/>
    <s v="122- Toutes les localités disposent d’écoles primaires avec des infrastructures adéquates  "/>
    <x v="25"/>
    <s v="12224-Réalisation des travaux de construction des salles de classe maitrise d'ouvrage SNIES"/>
  </r>
  <r>
    <s v="Réalisation des travaux de construction des salles de classe maitrise d'ouvrage ONG"/>
    <s v="Construction"/>
    <s v="cons/sdc/prim"/>
    <n v="0"/>
    <n v="0"/>
    <n v="123.35999999999999"/>
    <n v="61.679999999999993"/>
    <n v="185.03999999999996"/>
    <n v="138"/>
    <n v="0"/>
    <n v="0"/>
    <n v="17023.679999999997"/>
    <n v="8511.8399999999983"/>
    <n v="25535.519999999997"/>
    <x v="12"/>
    <s v="MENA_Programme 3. Enseignement élémentaire"/>
    <s v="5. Investissement"/>
    <s v="SNIES"/>
    <s v="ONG"/>
    <x v="0"/>
    <x v="0"/>
    <x v="2"/>
    <s v="122- Toutes les localités disposent d’écoles primaires avec des infrastructures adéquates  "/>
    <x v="25"/>
    <s v="12225-Réalisation des travaux de construction des salles de classe maitrise d'ouvrage ONG"/>
  </r>
  <r>
    <s v="Réalisation des travaux de construction des salles de classe maitrise d'ouvrage ONG"/>
    <s v="Construction"/>
    <s v="cons/sdc/prim"/>
    <n v="0"/>
    <n v="0"/>
    <n v="26.64"/>
    <n v="13.32"/>
    <n v="39.96"/>
    <n v="138"/>
    <n v="0"/>
    <n v="0"/>
    <n v="3676.32"/>
    <n v="1838.16"/>
    <n v="5514.4800000000005"/>
    <x v="13"/>
    <s v="MENA_Programme 3. Enseignement élémentaire"/>
    <s v="5. Investissement"/>
    <s v="SNIES"/>
    <s v="ONG"/>
    <x v="0"/>
    <x v="0"/>
    <x v="2"/>
    <s v="122- Toutes les localités disposent d’écoles primaires avec des infrastructures adéquates  "/>
    <x v="25"/>
    <s v="12225-Réalisation des travaux de construction des salles de classe maitrise d'ouvrage ONG"/>
  </r>
  <r>
    <s v="Réalisation des travaux de construction de 123 salles de classe, latrines et équipement (maitrise d'ouvrage partenaire)"/>
    <s v="Construction"/>
    <s v="consprim/japon"/>
    <n v="0"/>
    <m/>
    <m/>
    <m/>
    <n v="0"/>
    <n v="655.52327147401945"/>
    <n v="0"/>
    <n v="0"/>
    <n v="0"/>
    <n v="0"/>
    <n v="0"/>
    <x v="8"/>
    <s v="MENA_Programme 3. Enseignement élémentaire"/>
    <s v="5. Investissement"/>
    <s v="ANAFIC"/>
    <s v="Communes"/>
    <x v="0"/>
    <x v="0"/>
    <x v="2"/>
    <s v="122- Toutes les localités disposent d’écoles primaires avec des infrastructures adéquates  "/>
    <x v="25"/>
    <s v="12226-Réalisation des travaux de construction de 123 salles de classe, latrines et équipement (maitrise d'ouvrage partenaire)"/>
  </r>
  <r>
    <s v="Équipement des salles de classe en mobiliers scolaires (communes)"/>
    <s v="Equipement"/>
    <s v="EQ/SDC/prim"/>
    <n v="0"/>
    <n v="416.70000000000005"/>
    <n v="1041.75"/>
    <n v="625.04999999999995"/>
    <n v="2083.5"/>
    <n v="23.333333333333332"/>
    <n v="0"/>
    <n v="9723"/>
    <n v="24307.5"/>
    <n v="14584.499999999998"/>
    <n v="48615"/>
    <x v="2"/>
    <s v="MENA_Programme 3. Enseignement élémentaire"/>
    <s v="5. Investissement"/>
    <s v="SNIES"/>
    <s v="SNIES"/>
    <x v="0"/>
    <x v="0"/>
    <x v="2"/>
    <s v="122- Toutes les localités disposent d’écoles primaires avec des infrastructures adéquates  "/>
    <x v="25"/>
    <s v="12227-Équipement des salles de classe en mobiliers scolaires (communes)"/>
  </r>
  <r>
    <s v="Equipement des salles de classe en mobiliers scolaires (SNIES)"/>
    <s v="Equipement"/>
    <s v="EQ/SDC/prim"/>
    <n v="0"/>
    <m/>
    <m/>
    <m/>
    <n v="0"/>
    <n v="23.333333333333332"/>
    <n v="0"/>
    <n v="0"/>
    <n v="0"/>
    <n v="0"/>
    <n v="0"/>
    <x v="8"/>
    <s v="MENA_Programme 3. Enseignement élémentaire"/>
    <s v="5. Investissement"/>
    <s v="SNIES"/>
    <s v="ONG"/>
    <x v="0"/>
    <x v="0"/>
    <x v="2"/>
    <s v="122- Toutes les localités disposent d’écoles primaires avec des infrastructures adéquates  "/>
    <x v="25"/>
    <s v="12228-Equipement des salles de classe en mobiliers scolaires (SNIES)"/>
  </r>
  <r>
    <s v="Equipement des salles de classe en mobiliers scolaires (SNIES)"/>
    <s v="Equipement"/>
    <s v="EQ/SDC/prim"/>
    <n v="0"/>
    <m/>
    <n v="360"/>
    <n v="90"/>
    <n v="450"/>
    <n v="23.333333333333332"/>
    <n v="0"/>
    <n v="0"/>
    <n v="8400"/>
    <n v="2100"/>
    <n v="10500"/>
    <x v="6"/>
    <s v="MENA_Programme 3. Enseignement élémentaire"/>
    <s v="5. Investissement"/>
    <s v="SNIES"/>
    <s v="ONG"/>
    <x v="0"/>
    <x v="0"/>
    <x v="2"/>
    <s v="122- Toutes les localités disposent d’écoles primaires avec des infrastructures adéquates  "/>
    <x v="25"/>
    <s v="12228-Equipement des salles de classe en mobiliers scolaires (SNIES)"/>
  </r>
  <r>
    <s v="Equipement des salles de classe en mobiliers scolaires (SNIES)"/>
    <s v="Equipement"/>
    <s v="EQ/SDC/prim"/>
    <n v="0"/>
    <n v="208.35"/>
    <n v="340.875"/>
    <n v="222.52499999999998"/>
    <n v="771.75"/>
    <n v="23.333333333333332"/>
    <n v="0"/>
    <n v="4861.5"/>
    <n v="7953.75"/>
    <n v="5192.2499999999991"/>
    <n v="18007.5"/>
    <x v="10"/>
    <s v="MENA_Programme 3. Enseignement élémentaire"/>
    <s v="5. Investissement"/>
    <s v="SNIES"/>
    <s v="ONG"/>
    <x v="0"/>
    <x v="0"/>
    <x v="2"/>
    <s v="122- Toutes les localités disposent d’écoles primaires avec des infrastructures adéquates  "/>
    <x v="25"/>
    <s v="12228-Equipement des salles de classe en mobiliers scolaires (SNIES)"/>
  </r>
  <r>
    <s v="Equipement des salles de classe en mobiliers scolaires (ONG)"/>
    <s v="Equipement"/>
    <s v="EQ/SDC/prim"/>
    <n v="0"/>
    <n v="0"/>
    <n v="26.64"/>
    <n v="13.32"/>
    <n v="39.96"/>
    <n v="23.333333333333332"/>
    <n v="0"/>
    <n v="0"/>
    <n v="621.6"/>
    <n v="310.8"/>
    <n v="932.40000000000009"/>
    <x v="12"/>
    <s v="MENA_Programme 3. Enseignement élémentaire"/>
    <s v="5. Investissement"/>
    <s v="SNIES"/>
    <s v="SNIES"/>
    <x v="0"/>
    <x v="0"/>
    <x v="2"/>
    <s v="122- Toutes les localités disposent d’écoles primaires avec des infrastructures adéquates  "/>
    <x v="25"/>
    <s v="12229-Equipement des salles de classe en mobiliers scolaires (ONG)"/>
  </r>
  <r>
    <s v="Supervision des travaux de construction et d'équipement des salles de classe (maitrise d'ouvrage des communes)"/>
    <s v="Mission"/>
    <s v="sup"/>
    <n v="0"/>
    <n v="416.70000000000005"/>
    <n v="1041.75"/>
    <n v="625.04999999999995"/>
    <n v="2083.5"/>
    <n v="7.1760000000000002"/>
    <n v="0"/>
    <n v="2990.2392000000004"/>
    <n v="7475.598"/>
    <n v="4485.3588"/>
    <n v="14951.196"/>
    <x v="2"/>
    <s v="MENA_Programme 3. Enseignement élémentaire"/>
    <s v="3. Dépenses de fonctionnement"/>
    <s v="SNIES"/>
    <s v="SNIES"/>
    <x v="0"/>
    <x v="0"/>
    <x v="2"/>
    <s v="122- Toutes les localités disposent d’écoles primaires avec des infrastructures adéquates  "/>
    <x v="25"/>
    <s v="122210-Supervision des travaux de construction et d'équipement des salles de classe (maitrise d'ouvrage des communes)"/>
  </r>
  <r>
    <s v="Supervision des travaux de construction et d'équipement des salles de classe (maitrise d'ouvrage SNIES)"/>
    <s v="Mission"/>
    <s v="sup"/>
    <n v="0"/>
    <n v="0"/>
    <n v="360"/>
    <n v="90"/>
    <n v="450"/>
    <n v="7.1760000000000002"/>
    <n v="0"/>
    <n v="0"/>
    <n v="2583.36"/>
    <n v="645.84"/>
    <n v="3229.2000000000003"/>
    <x v="6"/>
    <s v="MENA_Programme 3. Enseignement élémentaire"/>
    <s v="3. Dépenses de fonctionnement"/>
    <s v="SNIES"/>
    <s v="SNIES"/>
    <x v="0"/>
    <x v="0"/>
    <x v="2"/>
    <s v="122- Toutes les localités disposent d’écoles primaires avec des infrastructures adéquates  "/>
    <x v="25"/>
    <s v="122210-Supervision des travaux de construction et d'équipement des salles de classe (maitrise d'ouvrage SNIES)"/>
  </r>
  <r>
    <s v="Supervision des travaux de construction et d'équipement des salles de classe (maitrise d'ouvrage ONG)"/>
    <s v="Mission"/>
    <s v="sup"/>
    <n v="0"/>
    <n v="0"/>
    <n v="26.64"/>
    <n v="13.32"/>
    <n v="39.96"/>
    <n v="7.1760000000000002"/>
    <n v="0"/>
    <n v="0"/>
    <n v="191.16864000000001"/>
    <n v="95.584320000000005"/>
    <n v="286.75296000000003"/>
    <x v="12"/>
    <s v="MENA_Programme 3. Enseignement élémentaire"/>
    <s v="3. Dépenses de fonctionnement"/>
    <s v="SNIES"/>
    <s v="SNIES"/>
    <x v="0"/>
    <x v="0"/>
    <x v="2"/>
    <s v="122- Toutes les localités disposent d’écoles primaires avec des infrastructures adéquates  "/>
    <x v="25"/>
    <s v="122210-Supervision des travaux de construction et d'équipement des salles de classe (maitrise d'ouvrage ONG)"/>
  </r>
  <r>
    <s v="Suivi évaluation des constructions (à tous les niveaux de l'enseignement général et les réhabilitations)"/>
    <s v="Mission"/>
    <s v="h/j/m"/>
    <n v="0"/>
    <n v="0"/>
    <n v="240"/>
    <n v="120"/>
    <n v="360"/>
    <n v="0.8177777777777776"/>
    <n v="0"/>
    <n v="0"/>
    <n v="196.26666666666662"/>
    <n v="98.133333333333312"/>
    <n v="294.39999999999992"/>
    <x v="6"/>
    <s v="MENA_Programme 3. Enseignement élémentaire"/>
    <s v="3. Dépenses de fonctionnement"/>
    <s v="BSD"/>
    <s v="BSD"/>
    <x v="0"/>
    <x v="0"/>
    <x v="2"/>
    <s v="122- Toutes les localités disposent d’écoles primaires avec des infrastructures adéquates  "/>
    <x v="25"/>
    <s v="122211-Suivi évaluation des constructions (à tous les niveaux de l'enseignement général et les réhabilitations)"/>
  </r>
  <r>
    <s v="Suivi évaluation des constructions (à tous les niveaux de l'enseignement général et les réhabilitations)"/>
    <s v="Mission"/>
    <s v="h/j/m"/>
    <n v="0"/>
    <n v="120"/>
    <n v="120"/>
    <n v="120"/>
    <n v="360"/>
    <n v="0.8177777777777776"/>
    <n v="0"/>
    <n v="98.133333333333312"/>
    <n v="98.133333333333312"/>
    <n v="98.133333333333312"/>
    <n v="294.39999999999992"/>
    <x v="10"/>
    <s v="MENA_Programme 3. Enseignement élémentaire"/>
    <s v="3. Dépenses de fonctionnement"/>
    <s v="BSD"/>
    <s v="BSD"/>
    <x v="0"/>
    <x v="0"/>
    <x v="2"/>
    <s v="122- Toutes les localités disposent d’écoles primaires avec des infrastructures adéquates  "/>
    <x v="25"/>
    <s v="122211-Suivi évaluation des constructions (à tous les niveaux de l'enseignement général et les réhabilitations)"/>
  </r>
  <r>
    <s v=" Toutes les écoles primaires publiques et communautaires sont dotées en enseignants en nombre suffisant, y compris les FA"/>
    <m/>
    <m/>
    <n v="0"/>
    <m/>
    <m/>
    <m/>
    <m/>
    <m/>
    <m/>
    <m/>
    <m/>
    <m/>
    <m/>
    <x v="0"/>
    <m/>
    <m/>
    <m/>
    <m/>
    <x v="0"/>
    <x v="0"/>
    <x v="2"/>
    <s v="123- Toutes les écoles primaires publiques et communautaires sont dotées en enseignants en nombre suffisant, y compris les FA"/>
    <x v="26"/>
    <s v="123- Toutes les écoles primaires publiques et communautaires sont dotées en enseignants en nombre suffisant, y compris les FA"/>
  </r>
  <r>
    <s v="Recrutement d’enseignants"/>
    <m/>
    <m/>
    <n v="0"/>
    <m/>
    <m/>
    <m/>
    <m/>
    <m/>
    <m/>
    <m/>
    <m/>
    <m/>
    <m/>
    <x v="0"/>
    <m/>
    <m/>
    <m/>
    <m/>
    <x v="0"/>
    <x v="0"/>
    <x v="2"/>
    <s v="123- Toutes les écoles primaires publiques et communautaires sont dotées en enseignants en nombre suffisant, y compris les FA"/>
    <x v="27"/>
    <s v="1231-Recrutement d’enseignants"/>
  </r>
  <r>
    <s v="Identification des besoins en enseignants"/>
    <s v="travaux administratifs"/>
    <s v="sif"/>
    <n v="0"/>
    <n v="1"/>
    <n v="1"/>
    <n v="1"/>
    <n v="3"/>
    <n v="0"/>
    <m/>
    <m/>
    <m/>
    <m/>
    <m/>
    <x v="2"/>
    <s v="MENA_Programme 3. Enseignement élémentaire"/>
    <s v=""/>
    <s v="DRH"/>
    <s v="FP/DPE/DCE/ Communes"/>
    <x v="0"/>
    <x v="0"/>
    <x v="2"/>
    <s v="123- Toutes les écoles primaires publiques et communautaires sont dotées en enseignants en nombre suffisant, y compris les FA"/>
    <x v="27"/>
    <s v="12311-Identification des besoins en enseignants"/>
  </r>
  <r>
    <s v="Organisation de concours de recrutement des enseignants au niveau déconcentré/décentralisé (pris en charge par les frais d'inscription)"/>
    <s v="Concours"/>
    <s v="sif"/>
    <n v="0"/>
    <n v="1"/>
    <n v="1"/>
    <n v="1"/>
    <n v="3"/>
    <n v="0"/>
    <m/>
    <m/>
    <m/>
    <m/>
    <m/>
    <x v="2"/>
    <s v="MENA_Programme 3. Enseignement élémentaire"/>
    <s v=""/>
    <s v="DRH"/>
    <s v="FP/MDB"/>
    <x v="0"/>
    <x v="0"/>
    <x v="2"/>
    <s v="123- Toutes les écoles primaires publiques et communautaires sont dotées en enseignants en nombre suffisant, y compris les FA"/>
    <x v="27"/>
    <s v="12312-Organisation de concours de recrutement des enseignants au niveau déconcentré/décentralisé (pris en charge par les frais d'inscription)"/>
  </r>
  <r>
    <s v="Prise en charge des candidats retenus après leur prise de service"/>
    <s v="masse salariale annuelle des nouveaux enseignant"/>
    <s v="sal/ens"/>
    <n v="0"/>
    <n v="2509"/>
    <n v="2554"/>
    <n v="2528"/>
    <n v="7591"/>
    <n v="25.101235436167226"/>
    <n v="0"/>
    <n v="62978.999709343567"/>
    <n v="64108.555303971094"/>
    <n v="63455.923182630744"/>
    <n v="190543.47819594541"/>
    <x v="2"/>
    <s v="MENA_Programme 3. Enseignement élémentaire"/>
    <s v="2. Personnel"/>
    <s v="DRH"/>
    <s v="BSD/DRH"/>
    <x v="0"/>
    <x v="0"/>
    <x v="2"/>
    <s v="123- Toutes les écoles primaires publiques et communautaires sont dotées en enseignants en nombre suffisant, y compris les FA"/>
    <x v="27"/>
    <s v="12313-Prise en charge des candidats retenus après leur prise de service"/>
  </r>
  <r>
    <s v="Suivi de l'allocation des enseignants"/>
    <s v="Mission"/>
    <s v="h/j/m"/>
    <n v="0"/>
    <n v="1064"/>
    <n v="1064"/>
    <n v="1064"/>
    <n v="3192"/>
    <n v="0.8177777777777776"/>
    <n v="0"/>
    <n v="870.11555555555537"/>
    <n v="870.11555555555537"/>
    <n v="870.11555555555537"/>
    <n v="2610.3466666666664"/>
    <x v="1"/>
    <s v="MENA_Programme 3. Enseignement élémentaire"/>
    <s v="3. Dépenses de fonctionnement"/>
    <s v="DRH"/>
    <s v="BSD/DRH"/>
    <x v="0"/>
    <x v="0"/>
    <x v="2"/>
    <s v="123- Toutes les écoles primaires publiques et communautaires sont dotées en enseignants en nombre suffisant, y compris les FA"/>
    <x v="27"/>
    <s v="12314-Suivi de l'allocation des enseignants"/>
  </r>
  <r>
    <s v="Prise en charge progressive des enseignants communautaires"/>
    <m/>
    <m/>
    <n v="0"/>
    <m/>
    <m/>
    <m/>
    <m/>
    <m/>
    <m/>
    <m/>
    <m/>
    <m/>
    <m/>
    <x v="0"/>
    <m/>
    <m/>
    <m/>
    <m/>
    <x v="0"/>
    <x v="0"/>
    <x v="2"/>
    <s v="123- Toutes les écoles primaires publiques et communautaires sont dotées en enseignants en nombre suffisant, y compris les FA"/>
    <x v="28"/>
    <s v="1232-Prise en charge progressive des enseignants communautaires"/>
  </r>
  <r>
    <s v="Identification de qualification des enseignants communautaires en service"/>
    <s v="Mission"/>
    <s v="sif"/>
    <n v="0"/>
    <n v="1"/>
    <m/>
    <m/>
    <n v="1"/>
    <n v="0"/>
    <m/>
    <m/>
    <m/>
    <m/>
    <m/>
    <x v="2"/>
    <s v="MENA_Programme 3. Enseignement élémentaire"/>
    <s v=""/>
    <s v="DRH"/>
    <s v="DPE/DSEE"/>
    <x v="0"/>
    <x v="0"/>
    <x v="2"/>
    <s v="123- Toutes les écoles primaires publiques et communautaires sont dotées en enseignants en nombre suffisant, y compris les FA"/>
    <x v="28"/>
    <s v="12321-Identification de qualification des enseignants communautaires en service"/>
  </r>
  <r>
    <s v="Formation des enseignants communautaires à l'ENI (pris en compte dans budget ENI)"/>
    <s v="PM"/>
    <s v="sif"/>
    <n v="0"/>
    <n v="1"/>
    <n v="1"/>
    <n v="1"/>
    <n v="3"/>
    <n v="0"/>
    <m/>
    <m/>
    <m/>
    <m/>
    <m/>
    <x v="2"/>
    <s v="MENA_Programme 3. Enseignement élémentaire"/>
    <s v=""/>
    <s v="DRH"/>
    <s v="ENI"/>
    <x v="0"/>
    <x v="0"/>
    <x v="2"/>
    <s v="123- Toutes les écoles primaires publiques et communautaires sont dotées en enseignants en nombre suffisant, y compris les FA"/>
    <x v="28"/>
    <s v="12322-Formation des enseignants communautaires à l'ENI (pris en compte dans budget ENI)"/>
  </r>
  <r>
    <s v="Prise en charge des maîtres communautaires certifiés (pris en compte dans activité 12313)"/>
    <s v="PM"/>
    <s v="sif"/>
    <n v="0"/>
    <n v="1"/>
    <n v="1"/>
    <n v="1"/>
    <n v="3"/>
    <n v="0"/>
    <m/>
    <m/>
    <m/>
    <m/>
    <m/>
    <x v="2"/>
    <s v="MENA_Programme 3. Enseignement élémentaire"/>
    <s v=""/>
    <s v="DRH"/>
    <s v="DRH"/>
    <x v="0"/>
    <x v="0"/>
    <x v="2"/>
    <s v="123- Toutes les écoles primaires publiques et communautaires sont dotées en enseignants en nombre suffisant, y compris les FA"/>
    <x v="28"/>
    <s v="12323-Prise en charge des maîtres communautaires certifiés (pris en compte dans activité 12313)"/>
  </r>
  <r>
    <s v="Optimisation de l’utilisation des enseignants"/>
    <m/>
    <m/>
    <n v="0"/>
    <m/>
    <m/>
    <m/>
    <m/>
    <m/>
    <m/>
    <m/>
    <m/>
    <m/>
    <m/>
    <x v="0"/>
    <m/>
    <m/>
    <m/>
    <m/>
    <x v="0"/>
    <x v="0"/>
    <x v="2"/>
    <s v="123- Toutes les écoles primaires publiques et communautaires sont dotées en enseignants en nombre suffisant, y compris les FA"/>
    <x v="29"/>
    <s v="1233-Optimisation de l’utilisation des enseignants"/>
  </r>
  <r>
    <s v="Réactualisation des critères de redéploiement des enseignants en concertation avec les syndicats"/>
    <s v="Atelier"/>
    <s v="h/j/ap"/>
    <n v="0"/>
    <n v="150"/>
    <n v="150"/>
    <n v="150"/>
    <n v="450"/>
    <n v="0.255"/>
    <n v="0"/>
    <n v="38.25"/>
    <n v="38.25"/>
    <n v="38.25"/>
    <n v="114.75"/>
    <x v="6"/>
    <s v="MENA_Programme 3. Enseignement élémentaire"/>
    <s v="3. Dépenses de fonctionnement"/>
    <s v="DRH"/>
    <s v="DRH"/>
    <x v="0"/>
    <x v="0"/>
    <x v="2"/>
    <s v="123- Toutes les écoles primaires publiques et communautaires sont dotées en enseignants en nombre suffisant, y compris les FA"/>
    <x v="29"/>
    <s v="12331-Réactualisation des critères de redéploiement des enseignants en concertation avec les syndicats"/>
  </r>
  <r>
    <s v="Identification des enseignants sans charge horaire (pris en compte dans le budget des structures déconcentrées)"/>
    <s v="Travaux administratif"/>
    <s v="sif"/>
    <n v="0"/>
    <n v="1"/>
    <n v="1"/>
    <n v="1"/>
    <n v="3"/>
    <n v="0"/>
    <m/>
    <m/>
    <m/>
    <m/>
    <m/>
    <x v="2"/>
    <s v="MENA_Programme 3. Enseignement élémentaire"/>
    <s v=""/>
    <s v="DRH"/>
    <s v="DPE/DCE"/>
    <x v="0"/>
    <x v="0"/>
    <x v="2"/>
    <s v="123- Toutes les écoles primaires publiques et communautaires sont dotées en enseignants en nombre suffisant, y compris les FA"/>
    <x v="29"/>
    <s v="12332-Identification des enseignants sans charge horaire (pris en compte dans le budget des structures déconcentrées)"/>
  </r>
  <r>
    <s v="Redéploiement des enseignants sans charge vers les zones déficitaires"/>
    <s v="Décision"/>
    <s v="sif"/>
    <n v="0"/>
    <n v="1"/>
    <n v="1"/>
    <n v="1"/>
    <n v="3"/>
    <n v="0"/>
    <m/>
    <m/>
    <m/>
    <m/>
    <m/>
    <x v="2"/>
    <s v="MENA_Programme 3. Enseignement élémentaire"/>
    <s v=""/>
    <s v="Cabinet"/>
    <s v="SG"/>
    <x v="0"/>
    <x v="0"/>
    <x v="2"/>
    <s v="123- Toutes les écoles primaires publiques et communautaires sont dotées en enseignants en nombre suffisant, y compris les FA"/>
    <x v="29"/>
    <s v="12333-Redéploiement des enseignants sans charge vers les zones déficitaires"/>
  </r>
  <r>
    <s v="Suivi du redéploiement des enseignants (pris en compte dans activité 12314)"/>
    <s v="pm"/>
    <s v="sif"/>
    <n v="0"/>
    <n v="1"/>
    <n v="1"/>
    <n v="1"/>
    <n v="3"/>
    <n v="0"/>
    <m/>
    <m/>
    <m/>
    <m/>
    <m/>
    <x v="2"/>
    <s v="MENA_Programme 3. Enseignement élémentaire"/>
    <s v=""/>
    <s v="DRH"/>
    <s v="DRH"/>
    <x v="0"/>
    <x v="0"/>
    <x v="2"/>
    <s v="123- Toutes les écoles primaires publiques et communautaires sont dotées en enseignants en nombre suffisant, y compris les FA"/>
    <x v="29"/>
    <s v="12334-Suivi du redéploiement des enseignants (pris en compte dans activité 12314)"/>
  </r>
  <r>
    <s v="Paiement des salaires des enseignants en service"/>
    <s v="salaires"/>
    <s v="MS/primaire"/>
    <n v="0"/>
    <n v="0.92965546113574704"/>
    <n v="1.02623733201423"/>
    <n v="1.12897507139086"/>
    <n v="3.0848678645408372"/>
    <n v="853398.98543631705"/>
    <n v="0"/>
    <n v="793367.02733857802"/>
    <n v="875789.89795781672"/>
    <n v="963466.18050785351"/>
    <n v="2632623.1058042482"/>
    <x v="2"/>
    <s v="MENA_Programme 3. Enseignement élémentaire"/>
    <s v="2. Personnel"/>
    <s v="DRH"/>
    <s v="DRH"/>
    <x v="0"/>
    <x v="0"/>
    <x v="2"/>
    <s v="123- Toutes les écoles primaires publiques et communautaires sont dotées en enseignants en nombre suffisant, y compris les FA"/>
    <x v="29"/>
    <s v="12335-Paiement des salaires des enseignants en service"/>
  </r>
  <r>
    <s v="Renforcement des mesures incitatives pour le maintien des enseignants dans les zones difficiles"/>
    <m/>
    <m/>
    <n v="0"/>
    <m/>
    <m/>
    <m/>
    <m/>
    <m/>
    <m/>
    <m/>
    <m/>
    <m/>
    <m/>
    <x v="0"/>
    <m/>
    <m/>
    <m/>
    <m/>
    <x v="0"/>
    <x v="0"/>
    <x v="2"/>
    <s v="123- Toutes les écoles primaires publiques et communautaires sont dotées en enseignants en nombre suffisant, y compris les FA"/>
    <x v="30"/>
    <s v="1234-Renforcement des mesures incitatives pour le maintien des enseignants dans les zones difficiles"/>
  </r>
  <r>
    <s v="Travaux préparatoires de la concertation sur les mesures incitatives à mettre en place en faveur des enseignants (enveloppes des primes accordées aux enseignants, nombre de bénéficiaires : craie, prime de zone, multigrade, critères, etc.)"/>
    <s v="Travaux administratif"/>
    <s v="sif"/>
    <n v="0"/>
    <n v="1"/>
    <m/>
    <m/>
    <n v="1"/>
    <n v="0"/>
    <m/>
    <m/>
    <m/>
    <m/>
    <m/>
    <x v="2"/>
    <s v="MENA_Programme 3. Enseignement élémentaire"/>
    <s v=""/>
    <s v="DRH"/>
    <s v="DRH"/>
    <x v="0"/>
    <x v="0"/>
    <x v="2"/>
    <s v="123- Toutes les écoles primaires publiques et communautaires sont dotées en enseignants en nombre suffisant, y compris les FA"/>
    <x v="30"/>
    <s v="12341-Travaux préparatoires de la concertation sur les mesures incitatives à mettre en place en faveur des enseignants (enveloppes des primes accordées aux enseignants, nombre de bénéficiaires : craie, prime de zone, multigrade, critères, etc.)"/>
  </r>
  <r>
    <s v="Concertation avec les partenaires sociaux (en particulier les syndicats) pour l'identification des mesures incitatives pour le maintien des enseignants dans les zones difficiles"/>
    <s v="Concertation"/>
    <s v="h/j/a"/>
    <n v="0"/>
    <n v="648"/>
    <n v="648"/>
    <n v="648"/>
    <n v="1944"/>
    <n v="0.3133333333333333"/>
    <n v="0"/>
    <n v="203.03999999999996"/>
    <n v="203.03999999999996"/>
    <n v="203.03999999999996"/>
    <n v="609.11999999999989"/>
    <x v="6"/>
    <s v="MENA_Programme 3. Enseignement élémentaire"/>
    <s v="3. Formation"/>
    <s v="Cabinet"/>
    <s v="DRH"/>
    <x v="0"/>
    <x v="0"/>
    <x v="2"/>
    <s v="123- Toutes les écoles primaires publiques et communautaires sont dotées en enseignants en nombre suffisant, y compris les FA"/>
    <x v="30"/>
    <s v="12342-Concertation avec les partenaires sociaux (en particulier les syndicats) pour l'identification des mesures incitatives pour le maintien des enseignants dans les zones difficiles"/>
  </r>
  <r>
    <s v="Validation des mesures incitatives et des modalités de paiement pour le maintien des enseignants dans les zones difficiles "/>
    <s v="Atelier"/>
    <s v="h/j/a"/>
    <n v="0"/>
    <m/>
    <n v="150"/>
    <m/>
    <n v="150"/>
    <n v="0.3133333333333333"/>
    <n v="0"/>
    <n v="0"/>
    <n v="46.999999999999993"/>
    <n v="0"/>
    <n v="46.999999999999993"/>
    <x v="6"/>
    <s v="MENA_Programme 3. Enseignement élémentaire"/>
    <s v="3. Formation"/>
    <s v="Cabinet"/>
    <s v="DRH"/>
    <x v="0"/>
    <x v="0"/>
    <x v="2"/>
    <s v="123- Toutes les écoles primaires publiques et communautaires sont dotées en enseignants en nombre suffisant, y compris les FA"/>
    <x v="30"/>
    <s v="12343-Validation des mesures incitatives et des modalités de paiement pour le maintien des enseignants dans les zones difficiles "/>
  </r>
  <r>
    <s v="Adoption du document portant les modalités d'octroi et de paiement des primes aux enseignants (craie, zones, etc.)"/>
    <s v="travaux administratifs"/>
    <s v="sif"/>
    <n v="0"/>
    <n v="1"/>
    <m/>
    <m/>
    <n v="1"/>
    <n v="0"/>
    <m/>
    <m/>
    <m/>
    <m/>
    <m/>
    <x v="2"/>
    <s v="MENA_Programme 3. Enseignement élémentaire"/>
    <s v=""/>
    <s v="Cabinet"/>
    <s v="DRH"/>
    <x v="0"/>
    <x v="0"/>
    <x v="2"/>
    <s v="123- Toutes les écoles primaires publiques et communautaires sont dotées en enseignants en nombre suffisant, y compris les FA"/>
    <x v="30"/>
    <s v="12344-Adoption du document portant les modalités d'octroi et de paiement des primes aux enseignants (craie, zones, etc.)"/>
  </r>
  <r>
    <s v="Identification annuelle des enseignants des zones difficiles devant bénéficier des mesures incitatives (pris en compte dans budget services déconcentrés)"/>
    <s v="PM"/>
    <s v="sif"/>
    <n v="0"/>
    <m/>
    <n v="1"/>
    <n v="1"/>
    <n v="2"/>
    <n v="0"/>
    <m/>
    <m/>
    <m/>
    <m/>
    <m/>
    <x v="2"/>
    <s v="MENA_Programme 3. Enseignement élémentaire"/>
    <s v=""/>
    <s v="DRH"/>
    <s v="DPE/DCE"/>
    <x v="0"/>
    <x v="0"/>
    <x v="2"/>
    <s v="123- Toutes les écoles primaires publiques et communautaires sont dotées en enseignants en nombre suffisant, y compris les FA"/>
    <x v="30"/>
    <s v="12345-Identification annuelle des enseignants des zones difficiles devant bénéficier des mesures incitatives (pris en compte dans budget services déconcentrés)"/>
  </r>
  <r>
    <s v="Octroi des avantages aux enseignants évoluant dans les zones difficiles (pris en compte dans le salaire moyen des enseignants)"/>
    <s v="PM"/>
    <s v="sif"/>
    <n v="0"/>
    <n v="1"/>
    <n v="1"/>
    <n v="1"/>
    <n v="3"/>
    <n v="0"/>
    <m/>
    <m/>
    <m/>
    <m/>
    <m/>
    <x v="2"/>
    <s v="MENA_Programme 3. Enseignement élémentaire"/>
    <s v=""/>
    <s v="DRH"/>
    <s v="DRH/FP/Budget"/>
    <x v="0"/>
    <x v="0"/>
    <x v="2"/>
    <s v="123- Toutes les écoles primaires publiques et communautaires sont dotées en enseignants en nombre suffisant, y compris les FA"/>
    <x v="30"/>
    <s v="12346-Octroi des avantages aux enseignants évoluant dans les zones difficiles (pris en compte dans le salaire moyen des enseignants)"/>
  </r>
  <r>
    <s v="Suivi de l'octroi des primes et autres avantages (pour tous les niveaux)"/>
    <s v="Mission"/>
    <s v="h/j/m"/>
    <n v="0"/>
    <m/>
    <n v="640"/>
    <n v="320"/>
    <n v="960"/>
    <n v="0.8177777777777776"/>
    <n v="0"/>
    <n v="0"/>
    <n v="523.37777777777762"/>
    <n v="261.68888888888881"/>
    <n v="785.06666666666638"/>
    <x v="6"/>
    <s v="MENA_Programme 3. Enseignement élémentaire"/>
    <s v="3. Dépenses de fonctionnement"/>
    <s v="DRH"/>
    <s v="DRH/IGE/BSD"/>
    <x v="0"/>
    <x v="0"/>
    <x v="2"/>
    <s v="123- Toutes les écoles primaires publiques et communautaires sont dotées en enseignants en nombre suffisant, y compris les FA"/>
    <x v="30"/>
    <s v="12347-Suivi de l'octroi des primes et autres avantages (pour tous les niveaux)"/>
  </r>
  <r>
    <s v="Normalisation des enseignement dans les écoles FA privées"/>
    <m/>
    <m/>
    <n v="0"/>
    <m/>
    <m/>
    <m/>
    <m/>
    <m/>
    <m/>
    <m/>
    <m/>
    <m/>
    <m/>
    <x v="0"/>
    <m/>
    <m/>
    <m/>
    <m/>
    <x v="0"/>
    <x v="0"/>
    <x v="2"/>
    <s v="123- Toutes les écoles primaires publiques et communautaires sont dotées en enseignants en nombre suffisant, y compris les FA"/>
    <x v="31"/>
    <s v="1235-Normalisation des enseignement dans les écoles FA privées"/>
  </r>
  <r>
    <s v="Etude diagnostique de l'enseignement FA en Guinée"/>
    <s v="mission"/>
    <s v="h/j/m"/>
    <n v="0"/>
    <n v="480"/>
    <m/>
    <m/>
    <n v="480"/>
    <n v="0.8177777777777776"/>
    <n v="0"/>
    <n v="392.53333333333325"/>
    <n v="0"/>
    <n v="0"/>
    <n v="392.53333333333325"/>
    <x v="10"/>
    <s v="MENA_Programme 3. Enseignement élémentaire"/>
    <s v="3. Dépenses de fonctionnement"/>
    <s v="IGE"/>
    <s v="DPE/DCE"/>
    <x v="0"/>
    <x v="0"/>
    <x v="2"/>
    <s v="123- Toutes les écoles primaires publiques et communautaires sont dotées en enseignants en nombre suffisant, y compris les FA"/>
    <x v="31"/>
    <s v="12351-Etude diagnostique de l'enseignement FA en Guinée"/>
  </r>
  <r>
    <s v="Elaboration d'un cahier de charge type et d'un modèle d'un plan de modernisation "/>
    <s v="Atelier"/>
    <s v="h/j/ap"/>
    <n v="0"/>
    <n v="50"/>
    <m/>
    <m/>
    <n v="50"/>
    <n v="0.255"/>
    <n v="0"/>
    <n v="12.75"/>
    <n v="0"/>
    <n v="0"/>
    <n v="12.75"/>
    <x v="10"/>
    <s v="MENA_Programme 3. Enseignement élémentaire"/>
    <s v="3. Dépenses de fonctionnement"/>
    <s v="IGE"/>
    <s v="IGE"/>
    <x v="0"/>
    <x v="0"/>
    <x v="2"/>
    <s v="123- Toutes les écoles primaires publiques et communautaires sont dotées en enseignants en nombre suffisant, y compris les FA"/>
    <x v="31"/>
    <s v="12352-Elaboration d'un cahier de charge type et d'un modèle d'un plan de modernisation "/>
  </r>
  <r>
    <s v="Concertation et diffusion auprès des promoteurs des écoles FA"/>
    <s v="Atelier"/>
    <s v="h/j/a"/>
    <n v="0"/>
    <n v="100"/>
    <m/>
    <m/>
    <n v="100"/>
    <n v="0.3133333333333333"/>
    <n v="0"/>
    <n v="31.333333333333329"/>
    <n v="0"/>
    <n v="0"/>
    <n v="31.333333333333329"/>
    <x v="10"/>
    <s v="MENA_Programme 3. Enseignement élémentaire"/>
    <s v="3. Formation"/>
    <s v="IGE"/>
    <s v="IGE"/>
    <x v="0"/>
    <x v="0"/>
    <x v="2"/>
    <s v="123- Toutes les écoles primaires publiques et communautaires sont dotées en enseignants en nombre suffisant, y compris les FA"/>
    <x v="31"/>
    <s v="12353-Concertation et diffusion auprès des promoteurs des écoles FA"/>
  </r>
  <r>
    <s v="Elaboration de plan de normalisation par les écoles FA "/>
    <s v="pm"/>
    <s v="sif"/>
    <n v="0"/>
    <n v="1"/>
    <m/>
    <n v="1"/>
    <n v="2"/>
    <n v="0"/>
    <m/>
    <m/>
    <m/>
    <m/>
    <m/>
    <x v="10"/>
    <s v="MENA_Programme 3. Enseignement élémentaire"/>
    <s v=""/>
    <s v="IGE"/>
    <s v="FA"/>
    <x v="0"/>
    <x v="0"/>
    <x v="2"/>
    <s v="123- Toutes les écoles primaires publiques et communautaires sont dotées en enseignants en nombre suffisant, y compris les FA"/>
    <x v="31"/>
    <s v="12354-Elaboration de plan de normalisation par les écoles FA "/>
  </r>
  <r>
    <s v="Choix des écoles à normaliser et signature de contrat de normalisation"/>
    <s v="Travaux administratif"/>
    <s v="sif"/>
    <n v="0"/>
    <n v="1"/>
    <m/>
    <n v="1"/>
    <n v="2"/>
    <n v="0"/>
    <m/>
    <m/>
    <m/>
    <m/>
    <m/>
    <x v="10"/>
    <s v="MENA_Programme 3. Enseignement élémentaire"/>
    <s v=""/>
    <s v="IGE"/>
    <s v="IGE"/>
    <x v="0"/>
    <x v="0"/>
    <x v="2"/>
    <s v="123- Toutes les écoles primaires publiques et communautaires sont dotées en enseignants en nombre suffisant, y compris les FA"/>
    <x v="31"/>
    <s v="12355-Choix des écoles à normaliser et signature de contrat de normalisation"/>
  </r>
  <r>
    <s v="Appui aux écoles retenues"/>
    <s v="dotation annuelle "/>
    <s v="env/FA"/>
    <n v="0"/>
    <n v="0.76753395380891098"/>
    <n v="1.0611362869919501"/>
    <n v="1.1713297591991401"/>
    <n v="3.0000000000000009"/>
    <n v="16029.6606705131"/>
    <n v="0"/>
    <n v="12303.308832654118"/>
    <n v="17009.654605649164"/>
    <n v="18776.018573236037"/>
    <n v="48088.982011539323"/>
    <x v="10"/>
    <s v="MENA_Programme 3. Enseignement élémentaire"/>
    <s v="4. Transferts et subventions"/>
    <s v="IGE"/>
    <s v="IRE"/>
    <x v="0"/>
    <x v="0"/>
    <x v="2"/>
    <s v="123- Toutes les écoles primaires publiques et communautaires sont dotées en enseignants en nombre suffisant, y compris les FA"/>
    <x v="31"/>
    <s v="12356-Appui aux écoles retenues"/>
  </r>
  <r>
    <s v="Suivi de la normalisation des écoles retenues"/>
    <s v="Mission"/>
    <s v="h/j/m"/>
    <n v="0"/>
    <n v="20"/>
    <n v="100"/>
    <n v="60"/>
    <n v="180"/>
    <n v="0.8177777777777776"/>
    <n v="0"/>
    <n v="16.355555555555551"/>
    <n v="81.777777777777757"/>
    <n v="49.066666666666656"/>
    <n v="147.19999999999996"/>
    <x v="10"/>
    <s v="MENA_Programme 3. Enseignement élémentaire"/>
    <s v="3. Dépenses de fonctionnement"/>
    <s v="IGE"/>
    <s v="IRE"/>
    <x v="0"/>
    <x v="0"/>
    <x v="2"/>
    <s v="123- Toutes les écoles primaires publiques et communautaires sont dotées en enseignants en nombre suffisant, y compris les FA"/>
    <x v="31"/>
    <s v="12357-Suivi de la normalisation des écoles retenues"/>
  </r>
  <r>
    <s v="Remplacement de salles de classe précaires, y compris dans les FA"/>
    <m/>
    <m/>
    <n v="0"/>
    <m/>
    <m/>
    <m/>
    <m/>
    <m/>
    <m/>
    <m/>
    <m/>
    <m/>
    <m/>
    <x v="0"/>
    <m/>
    <m/>
    <m/>
    <m/>
    <x v="0"/>
    <x v="0"/>
    <x v="2"/>
    <s v="123- Toutes les écoles primaires publiques et communautaires sont dotées en enseignants en nombre suffisant, y compris les FA"/>
    <x v="32"/>
    <s v="1236-Remplacement de salles de classe précaires, y compris dans les FA"/>
  </r>
  <r>
    <s v="Identification des écoles avec des classes précaires (hangars, banco, paille, etc.)"/>
    <s v="travaux administratifs"/>
    <s v="sif"/>
    <n v="0"/>
    <n v="1"/>
    <n v="1"/>
    <n v="1"/>
    <n v="3"/>
    <n v="0"/>
    <m/>
    <m/>
    <n v="0"/>
    <m/>
    <m/>
    <x v="6"/>
    <s v="MENA_Programme 3. Enseignement élémentaire"/>
    <s v=""/>
    <s v="BSD"/>
    <s v="DPE/DCE"/>
    <x v="0"/>
    <x v="0"/>
    <x v="2"/>
    <s v="123- Toutes les écoles primaires publiques et communautaires sont dotées en enseignants en nombre suffisant, y compris les FA"/>
    <x v="32"/>
    <s v="12361-Identification des écoles avec des classes précaires (hangars, banco, paille, etc.)"/>
  </r>
  <r>
    <s v="Construction de salles de classe pour le remplacement des salles de classe précaires, y compris dans les FA (maitrise d'ouvrage communes)"/>
    <s v="Construction"/>
    <s v="cons/sdc/prim"/>
    <n v="0"/>
    <n v="53.400000000000006"/>
    <n v="133.5"/>
    <n v="80.099999999999994"/>
    <n v="267"/>
    <n v="138"/>
    <n v="0"/>
    <n v="7369.2000000000007"/>
    <n v="18423"/>
    <n v="11053.8"/>
    <n v="36846"/>
    <x v="2"/>
    <s v="MENA_Programme 3. Enseignement élémentaire"/>
    <s v="5. Investissement"/>
    <s v="ANAFIC"/>
    <s v="Communes"/>
    <x v="0"/>
    <x v="0"/>
    <x v="2"/>
    <s v="123- Toutes les écoles primaires publiques et communautaires sont dotées en enseignants en nombre suffisant, y compris les FA"/>
    <x v="32"/>
    <s v="12362-Construction de salles de classe pour le remplacement des salles de classe précaires, y compris dans les FA (maitrise d'ouvrage communes)"/>
  </r>
  <r>
    <s v="Construction de salles de classe pour le remplacement des salles de classe précaires, y compris dans les FA maitrise d'ouvrage SNIES"/>
    <s v="Construction"/>
    <s v="cons/sdc/prim"/>
    <n v="0"/>
    <n v="0"/>
    <n v="90"/>
    <n v="45"/>
    <n v="135"/>
    <n v="138"/>
    <n v="0"/>
    <n v="0"/>
    <n v="12420"/>
    <n v="6210"/>
    <n v="18630"/>
    <x v="6"/>
    <s v="MENA_Programme 3. Enseignement élémentaire"/>
    <s v="5. Investissement"/>
    <s v="SNIES"/>
    <s v="SNIES"/>
    <x v="0"/>
    <x v="0"/>
    <x v="2"/>
    <s v="123- Toutes les écoles primaires publiques et communautaires sont dotées en enseignants en nombre suffisant, y compris les FA"/>
    <x v="32"/>
    <s v="12363-Construction de salles de classe pour le remplacement des salles de classe précaires, y compris dans les FA maitrise d'ouvrage SNIES"/>
  </r>
  <r>
    <s v="Construction de salles de classe pour le remplacement des salles de classe précaires, y compris dans les FA maitrise d'ouvrage ONG"/>
    <s v="Construction"/>
    <s v="cons/sdc/prim"/>
    <n v="0"/>
    <n v="26.700000000000003"/>
    <n v="66.75"/>
    <n v="40.049999999999997"/>
    <n v="133.5"/>
    <n v="138"/>
    <n v="0"/>
    <n v="3684.6000000000004"/>
    <n v="9211.5"/>
    <n v="5526.9"/>
    <n v="18423"/>
    <x v="12"/>
    <s v="MENA_Programme 3. Enseignement élémentaire"/>
    <s v="5. Investissement"/>
    <s v="SNIES"/>
    <s v="ONG"/>
    <x v="0"/>
    <x v="0"/>
    <x v="2"/>
    <s v="123- Toutes les écoles primaires publiques et communautaires sont dotées en enseignants en nombre suffisant, y compris les FA"/>
    <x v="32"/>
    <s v="12364-Construction de salles de classe pour le remplacement des salles de classe précaires, y compris dans les FA maitrise d'ouvrage ONG"/>
  </r>
  <r>
    <s v="Equipement des salles de classe en mobiliers scolaires (communes)"/>
    <s v="Equipement"/>
    <s v="EQ/SDC/prim"/>
    <n v="0"/>
    <n v="53.400000000000006"/>
    <n v="133.5"/>
    <n v="80.099999999999994"/>
    <n v="267"/>
    <n v="23.333333333333332"/>
    <n v="0"/>
    <n v="1246"/>
    <n v="3115"/>
    <n v="1868.9999999999998"/>
    <n v="6230"/>
    <x v="2"/>
    <s v="MENA_Programme 3. Enseignement élémentaire"/>
    <s v="5. Investissement"/>
    <s v="ANAFIC"/>
    <s v="Communes"/>
    <x v="0"/>
    <x v="0"/>
    <x v="2"/>
    <s v="123- Toutes les écoles primaires publiques et communautaires sont dotées en enseignants en nombre suffisant, y compris les FA"/>
    <x v="32"/>
    <s v="12365-Equipement des salles de classe en mobiliers scolaires (communes)"/>
  </r>
  <r>
    <s v="Equipement des salles de classe en mobiliers scolaires (SNIES)"/>
    <s v="Equipement"/>
    <s v="EQ/SDC/prim"/>
    <n v="0"/>
    <n v="0"/>
    <n v="180"/>
    <n v="45"/>
    <n v="225"/>
    <n v="23.333333333333332"/>
    <n v="0"/>
    <n v="0"/>
    <n v="4200"/>
    <n v="1050"/>
    <n v="5250"/>
    <x v="6"/>
    <s v="MENA_Programme 3. Enseignement élémentaire"/>
    <s v="5. Investissement"/>
    <s v="SNIES"/>
    <s v="SNIES"/>
    <x v="0"/>
    <x v="0"/>
    <x v="2"/>
    <s v="123- Toutes les écoles primaires publiques et communautaires sont dotées en enseignants en nombre suffisant, y compris les FA"/>
    <x v="32"/>
    <s v="12366-Equipement des salles de classe en mobiliers scolaires (SNIES)"/>
  </r>
  <r>
    <s v="Equipement des salles de classe en mobiliers scolaires (ONG)"/>
    <s v="Equipement"/>
    <s v="EQ/SDC/prim"/>
    <n v="0"/>
    <n v="26.700000000000003"/>
    <n v="66.75"/>
    <n v="40.049999999999997"/>
    <n v="133.5"/>
    <n v="23.333333333333332"/>
    <n v="0"/>
    <n v="623"/>
    <n v="1557.5"/>
    <n v="934.49999999999989"/>
    <n v="3115"/>
    <x v="12"/>
    <s v="MENA_Programme 3. Enseignement élémentaire"/>
    <s v="5. Investissement"/>
    <s v="SNIES"/>
    <s v="ONG"/>
    <x v="0"/>
    <x v="0"/>
    <x v="2"/>
    <s v="123- Toutes les écoles primaires publiques et communautaires sont dotées en enseignants en nombre suffisant, y compris les FA"/>
    <x v="32"/>
    <s v="12367-Equipement des salles de classe en mobiliers scolaires (ONG)"/>
  </r>
  <r>
    <s v="Supervision des travaux de construction de salles de classe pour le remplacement des salles de classe précaires, y compris dans les FA"/>
    <s v="Mission"/>
    <s v="sup"/>
    <n v="0"/>
    <n v="0"/>
    <n v="279.23309999999998"/>
    <n v="78.421589999999995"/>
    <n v="357.65468999999996"/>
    <n v="7.1760000000000002"/>
    <n v="0"/>
    <n v="0"/>
    <n v="2003.7767256"/>
    <n v="562.75332983999999"/>
    <n v="2566.5300554400001"/>
    <x v="6"/>
    <s v="MENA_Programme 3. Enseignement élémentaire"/>
    <s v="3. Dépenses de fonctionnement"/>
    <s v="SNIES"/>
    <s v="SNIES"/>
    <x v="0"/>
    <x v="0"/>
    <x v="2"/>
    <s v="123- Toutes les écoles primaires publiques et communautaires sont dotées en enseignants en nombre suffisant, y compris les FA"/>
    <x v="32"/>
    <s v="12368-Supervision des travaux de construction de salles de classe pour le remplacement des salles de classe précaires, y compris dans les FA"/>
  </r>
  <r>
    <s v="Supervision des travaux de construction de salles de classe pour le remplacement des salles de classe précaires, y compris dans les FA"/>
    <s v="Mission"/>
    <s v="sup"/>
    <n v="0"/>
    <n v="20.568640000000006"/>
    <n v="84.883450000000011"/>
    <n v="47.678410000000007"/>
    <n v="153.13050000000001"/>
    <n v="7.1760000000000002"/>
    <n v="0"/>
    <n v="147.60056064000005"/>
    <n v="609.12363720000008"/>
    <n v="342.14027016000006"/>
    <n v="1098.8644680000002"/>
    <x v="10"/>
    <s v="MENA_Programme 3. Enseignement élémentaire"/>
    <s v="3. Dépenses de fonctionnement"/>
    <s v="SNIES"/>
    <s v="SNIES"/>
    <x v="0"/>
    <x v="0"/>
    <x v="2"/>
    <s v="123- Toutes les écoles primaires publiques et communautaires sont dotées en enseignants en nombre suffisant, y compris les FA"/>
    <x v="32"/>
    <s v="12368-Supervision des travaux de construction de salles de classe pour le remplacement des salles de classe précaires, y compris dans les FA"/>
  </r>
  <r>
    <s v="Suivi/évaluation de la réhabilitation/rénovation des salles de classe (voir suivi construction activité 122210)"/>
    <s v="PM"/>
    <s v="sif"/>
    <n v="0"/>
    <n v="1"/>
    <n v="1"/>
    <n v="1"/>
    <n v="3"/>
    <n v="0"/>
    <m/>
    <m/>
    <m/>
    <m/>
    <m/>
    <x v="2"/>
    <s v="MENA_Programme 3. Enseignement élémentaire"/>
    <s v=""/>
    <s v="Communes"/>
    <s v="Communes/ANAFIC/SNIES/"/>
    <x v="0"/>
    <x v="0"/>
    <x v="2"/>
    <s v="123- Toutes les écoles primaires publiques et communautaires sont dotées en enseignants en nombre suffisant, y compris les FA"/>
    <x v="32"/>
    <s v="12369-Suivi/évaluation de la réhabilitation/rénovation des salles de classe (voir suivi construction activité 122210)"/>
  </r>
  <r>
    <s v=" Toutes les écoles primaires, y compris les FA, offrent aux élèves des conditions favorables à leur maintien, en particulier, les filles"/>
    <m/>
    <m/>
    <n v="0"/>
    <m/>
    <m/>
    <m/>
    <m/>
    <m/>
    <m/>
    <m/>
    <m/>
    <m/>
    <m/>
    <x v="0"/>
    <m/>
    <m/>
    <m/>
    <m/>
    <x v="0"/>
    <x v="0"/>
    <x v="2"/>
    <s v="124- Toutes les écoles primaires, y compris les FA, offrent aux élèves des conditions favorables à leur maintien, en particulier, les filles"/>
    <x v="33"/>
    <s v="124- Toutes les écoles primaires, y compris les FA, offrent aux élèves des conditions favorables à leur maintien, en particulier, les filles"/>
  </r>
  <r>
    <s v="Adaptation du mode de fonctionnement de l’école aux ressources disponibles pour assurer la continuité éducative"/>
    <m/>
    <m/>
    <n v="0"/>
    <m/>
    <m/>
    <m/>
    <m/>
    <m/>
    <m/>
    <m/>
    <m/>
    <m/>
    <m/>
    <x v="0"/>
    <m/>
    <m/>
    <m/>
    <m/>
    <x v="0"/>
    <x v="0"/>
    <x v="2"/>
    <s v="124- Toutes les écoles primaires, y compris les FA, offrent aux élèves des conditions favorables à leur maintien, en particulier, les filles"/>
    <x v="34"/>
    <s v="1241-Adaptation du mode de fonctionnement de l’école aux ressources disponibles pour assurer la continuité éducative"/>
  </r>
  <r>
    <s v="Voyage d'études pour s'enquérir des expériences de certains pays dans la mise en place des écoles à classe unique"/>
    <s v="Voyage"/>
    <s v="voy/per"/>
    <n v="0"/>
    <m/>
    <m/>
    <m/>
    <n v="0"/>
    <n v="40.32"/>
    <n v="0"/>
    <n v="0"/>
    <n v="0"/>
    <n v="0"/>
    <n v="0"/>
    <x v="8"/>
    <s v="MENA_Programme 3. Enseignement élémentaire"/>
    <s v="3. Formation"/>
    <s v="DNEF"/>
    <s v="PSE"/>
    <x v="0"/>
    <x v="0"/>
    <x v="2"/>
    <s v="124- Toutes les écoles primaires, y compris les FA, offrent aux élèves des conditions favorables à leur maintien, en particulier, les filles"/>
    <x v="34"/>
    <s v="12411-Voyage d'études pour s'enquérir des expériences de certains pays dans la mise en place des écoles à classe unique"/>
  </r>
  <r>
    <s v="Atelier intégré pour dégager les rôles et responsabilités, formation, capitalisation des acquis du voyage d'études et actualisation du reférentiel de compétences"/>
    <s v="atelier"/>
    <s v="h/j/a"/>
    <n v="0"/>
    <m/>
    <m/>
    <m/>
    <n v="0"/>
    <n v="0.3133333333333333"/>
    <n v="0"/>
    <n v="0"/>
    <n v="0"/>
    <n v="0"/>
    <n v="0"/>
    <x v="8"/>
    <s v="MENA_Programme 3. Enseignement élémentaire"/>
    <s v="3. Formation"/>
    <s v="DNEF"/>
    <s v="PSE"/>
    <x v="0"/>
    <x v="0"/>
    <x v="2"/>
    <s v="124- Toutes les écoles primaires, y compris les FA, offrent aux élèves des conditions favorables à leur maintien, en particulier, les filles"/>
    <x v="34"/>
    <s v="12412-Atelier intégré pour dégager les rôles et responsabilités, formation, capitalisation des acquis du voyage d'études et actualisation du reférentiel de compétences"/>
  </r>
  <r>
    <s v="Atelier intégré pour dégager les rôles et responsabilités, formation, capitalisation des acquis du voyage d'études et actualisation du reférentiel de compétences"/>
    <s v="atelier"/>
    <s v="h/j/a"/>
    <n v="0"/>
    <m/>
    <m/>
    <m/>
    <n v="0"/>
    <n v="0.3133333333333333"/>
    <n v="0"/>
    <n v="0"/>
    <n v="0"/>
    <n v="0"/>
    <n v="0"/>
    <x v="13"/>
    <s v="MENA_Programme 3. Enseignement élémentaire"/>
    <s v="3. Formation"/>
    <s v="DNEF"/>
    <s v="PSE"/>
    <x v="0"/>
    <x v="0"/>
    <x v="2"/>
    <s v="124- Toutes les écoles primaires, y compris les FA, offrent aux élèves des conditions favorables à leur maintien, en particulier, les filles"/>
    <x v="34"/>
    <s v="12412-Atelier intégré pour dégager les rôles et responsabilités, formation, capitalisation des acquis du voyage d'études et actualisation du reférentiel de compétences"/>
  </r>
  <r>
    <s v="Révision des normes de fonctionnement des écoles (mode de recrutement, Ratio élèves/enseignant maximum, minimum, double-vacation, CMG, etc.)"/>
    <s v="Atelier"/>
    <s v="h/j/ap"/>
    <n v="0"/>
    <n v="125"/>
    <m/>
    <m/>
    <n v="125"/>
    <n v="0.255"/>
    <n v="0"/>
    <n v="31.875"/>
    <n v="0"/>
    <n v="0"/>
    <n v="31.875"/>
    <x v="6"/>
    <s v="MENA_Programme 3. Enseignement élémentaire"/>
    <s v="3. Dépenses de fonctionnement"/>
    <s v="DNEF"/>
    <s v="DNEF"/>
    <x v="0"/>
    <x v="0"/>
    <x v="2"/>
    <s v="124- Toutes les écoles primaires, y compris les FA, offrent aux élèves des conditions favorables à leur maintien, en particulier, les filles"/>
    <x v="34"/>
    <s v="12413-Révision des normes de fonctionnement des écoles (mode de recrutement, Ratio élèves/enseignant maximum, minimum, double-vacation, CMG, etc.)"/>
  </r>
  <r>
    <s v="Formation des encadreurs au niveau IRE, DPE/DCE, DSEE sur la stratégie d'optimisation de l'utilisation des ressources (salles, enseignants) : Double-flux, CMG"/>
    <s v="Atelier"/>
    <s v="h/j/f"/>
    <n v="0"/>
    <n v="750"/>
    <n v="900"/>
    <n v="900"/>
    <n v="2550"/>
    <n v="0.67666666666666664"/>
    <n v="0"/>
    <n v="507.5"/>
    <n v="609"/>
    <n v="609"/>
    <n v="1725.5"/>
    <x v="6"/>
    <s v="MENA_Programme 3. Enseignement élémentaire"/>
    <s v="3. Formation"/>
    <s v="DNEF"/>
    <s v="DNEF"/>
    <x v="0"/>
    <x v="0"/>
    <x v="2"/>
    <s v="124- Toutes les écoles primaires, y compris les FA, offrent aux élèves des conditions favorables à leur maintien, en particulier, les filles"/>
    <x v="34"/>
    <s v="12414-Formation des encadreurs au niveau IRE, DPE/DCE, DSEE sur la stratégie d'optimisation de l'utilisation des ressources (salles, enseignants) : Double-flux, CMG"/>
  </r>
  <r>
    <s v="Mise en place des classes multigrades, double vacation dans les écoles primaires en fonction de leur situation"/>
    <s v="Décision"/>
    <s v="sif"/>
    <n v="0"/>
    <n v="1"/>
    <n v="1"/>
    <n v="1"/>
    <n v="3"/>
    <n v="0"/>
    <m/>
    <m/>
    <m/>
    <m/>
    <m/>
    <x v="2"/>
    <s v="MENA_Programme 3. Enseignement élémentaire"/>
    <s v=""/>
    <s v="DNEF"/>
    <s v="DPE/DSEE"/>
    <x v="0"/>
    <x v="0"/>
    <x v="2"/>
    <s v="124- Toutes les écoles primaires, y compris les FA, offrent aux élèves des conditions favorables à leur maintien, en particulier, les filles"/>
    <x v="34"/>
    <s v="12415-Mise en place des classes multigrades, double vacation dans les écoles primaires en fonction de leur situation"/>
  </r>
  <r>
    <s v="Formation des enseignants sur la gestion des classes multigrades, uniques ou à effectif pléthoriques"/>
    <s v="Atelier"/>
    <s v="h/f"/>
    <n v="0"/>
    <m/>
    <m/>
    <m/>
    <n v="0"/>
    <n v="1.5"/>
    <n v="0"/>
    <n v="0"/>
    <n v="0"/>
    <n v="0"/>
    <n v="0"/>
    <x v="8"/>
    <s v="MENA_Programme 3. Enseignement élémentaire"/>
    <s v="3. Formation"/>
    <s v="DNEF"/>
    <s v="DPE/DSSE"/>
    <x v="0"/>
    <x v="0"/>
    <x v="2"/>
    <s v="124- Toutes les écoles primaires, y compris les FA, offrent aux élèves des conditions favorables à leur maintien, en particulier, les filles"/>
    <x v="34"/>
    <s v="12416-Formation des enseignants sur la gestion des classes multigrades, uniques ou à effectif pléthoriques"/>
  </r>
  <r>
    <s v="Formation des enseignants sur la gestion des classes multigrades, uniques ou à effectif pléthoriques"/>
    <s v="Atelier"/>
    <s v="h/f"/>
    <n v="0"/>
    <m/>
    <n v="6000"/>
    <n v="6000"/>
    <n v="12000"/>
    <n v="1.5"/>
    <n v="0"/>
    <n v="0"/>
    <n v="9000"/>
    <n v="9000"/>
    <n v="18000"/>
    <x v="6"/>
    <s v="MENA_Programme 3. Enseignement élémentaire"/>
    <s v="3. Formation"/>
    <s v="DNEF"/>
    <s v="DPE/DSSE"/>
    <x v="0"/>
    <x v="0"/>
    <x v="2"/>
    <s v="124- Toutes les écoles primaires, y compris les FA, offrent aux élèves des conditions favorables à leur maintien, en particulier, les filles"/>
    <x v="34"/>
    <s v="12416-Formation des enseignants sur la gestion des classes multigrades, uniques ou à effectif pléthoriques"/>
  </r>
  <r>
    <s v="Supervision du fonctionnement des CMG, des CDV, classe unique"/>
    <s v="Mission"/>
    <s v="h/j/m"/>
    <n v="0"/>
    <m/>
    <m/>
    <m/>
    <n v="0"/>
    <n v="0.8177777777777776"/>
    <n v="0"/>
    <n v="0"/>
    <n v="0"/>
    <n v="0"/>
    <n v="0"/>
    <x v="8"/>
    <s v="MENA_Programme 3. Enseignement élémentaire"/>
    <s v="3. Dépenses de fonctionnement"/>
    <s v="DNEF"/>
    <s v="DNEF"/>
    <x v="0"/>
    <x v="0"/>
    <x v="2"/>
    <s v="124- Toutes les écoles primaires, y compris les FA, offrent aux élèves des conditions favorables à leur maintien, en particulier, les filles"/>
    <x v="34"/>
    <s v="12417-Supervision du fonctionnement des CMG, des CDV, classe unique"/>
  </r>
  <r>
    <s v="Supervision du fonctionnement des CMG, des CDV, classe unique"/>
    <s v="Mission"/>
    <s v="h/j/m"/>
    <n v="0"/>
    <m/>
    <n v="800"/>
    <n v="160"/>
    <n v="960"/>
    <n v="0.8177777777777776"/>
    <n v="0"/>
    <n v="0"/>
    <n v="654.22222222222206"/>
    <n v="130.84444444444441"/>
    <n v="785.06666666666649"/>
    <x v="6"/>
    <s v="MENA_Programme 3. Enseignement élémentaire"/>
    <s v="3. Dépenses de fonctionnement"/>
    <s v="DNEF"/>
    <s v="DNEF"/>
    <x v="0"/>
    <x v="0"/>
    <x v="2"/>
    <s v="124- Toutes les écoles primaires, y compris les FA, offrent aux élèves des conditions favorables à leur maintien, en particulier, les filles"/>
    <x v="34"/>
    <s v="12417-Supervision du fonctionnement des CMG, des CDV, classe unique"/>
  </r>
  <r>
    <s v="Lutte contre les violences sur le chemin de l’école, dans les écoles, et dans les familles, particulièrement envers les filles"/>
    <m/>
    <m/>
    <n v="0"/>
    <m/>
    <m/>
    <m/>
    <m/>
    <m/>
    <m/>
    <m/>
    <m/>
    <m/>
    <m/>
    <x v="0"/>
    <m/>
    <m/>
    <m/>
    <m/>
    <x v="0"/>
    <x v="0"/>
    <x v="2"/>
    <s v="124- Toutes les écoles primaires, y compris les FA, offrent aux élèves des conditions favorables à leur maintien, en particulier, les filles"/>
    <x v="35"/>
    <s v="1242-Lutte contre les violences sur le chemin de l’école, dans les écoles, et dans les familles, particulièrement envers les filles"/>
  </r>
  <r>
    <s v="Etude sur les violences en milieu scolaire"/>
    <s v="Etude"/>
    <s v="forfait /viol"/>
    <n v="0"/>
    <m/>
    <n v="1"/>
    <m/>
    <n v="1"/>
    <n v="855"/>
    <n v="0"/>
    <n v="0"/>
    <n v="855"/>
    <n v="0"/>
    <n v="855"/>
    <x v="6"/>
    <s v="MENA_Programme 3. Enseignement élémentaire"/>
    <s v="3. Dépenses de fonctionnement"/>
    <s v="DNEC"/>
    <s v="DNEC"/>
    <x v="0"/>
    <x v="0"/>
    <x v="2"/>
    <s v="124- Toutes les écoles primaires, y compris les FA, offrent aux élèves des conditions favorables à leur maintien, en particulier, les filles"/>
    <x v="35"/>
    <s v="12421-Etude sur les violences en milieu scolaire"/>
  </r>
  <r>
    <s v="Actualisation des textes règlementaires sur les violences en milieu scolaire"/>
    <s v="Atelier"/>
    <s v="h/j/ap"/>
    <n v="0"/>
    <n v="100"/>
    <m/>
    <m/>
    <n v="100"/>
    <n v="0.255"/>
    <n v="0"/>
    <n v="25.5"/>
    <n v="0"/>
    <n v="0"/>
    <n v="25.5"/>
    <x v="6"/>
    <s v="MENA_Programme 3. Enseignement élémentaire"/>
    <s v="3. Dépenses de fonctionnement"/>
    <s v="DNEC"/>
    <s v="ST/CGE/DNEC/IGE"/>
    <x v="0"/>
    <x v="0"/>
    <x v="2"/>
    <s v="124- Toutes les écoles primaires, y compris les FA, offrent aux élèves des conditions favorables à leur maintien, en particulier, les filles"/>
    <x v="35"/>
    <s v="12422-Actualisation des textes règlementaires sur les violences en milieu scolaire"/>
  </r>
  <r>
    <s v="Impression des textes règlementaires sur les violences en milieu scolaire"/>
    <s v="Impression"/>
    <s v="Imp"/>
    <n v="0"/>
    <m/>
    <n v="1000000"/>
    <m/>
    <n v="1000000"/>
    <n v="7.4999999999999997E-3"/>
    <n v="0"/>
    <n v="0"/>
    <n v="7500"/>
    <n v="0"/>
    <n v="7500"/>
    <x v="6"/>
    <s v="MENA_Programme 3. Enseignement élémentaire"/>
    <s v="3. Dépenses de fonctionnement"/>
    <s v="DNEC"/>
    <s v="DNEC"/>
    <x v="0"/>
    <x v="0"/>
    <x v="2"/>
    <s v="124- Toutes les écoles primaires, y compris les FA, offrent aux élèves des conditions favorables à leur maintien, en particulier, les filles"/>
    <x v="35"/>
    <s v="12423-Impression des textes règlementaires sur les violences en milieu scolaire"/>
  </r>
  <r>
    <s v="Vulgarisation des textes règlementaires sur les violences en milieu scolaire"/>
    <s v="Ateliers"/>
    <s v="h/j/a"/>
    <n v="0"/>
    <m/>
    <n v="2400"/>
    <m/>
    <n v="2400"/>
    <n v="0.3133333333333333"/>
    <n v="0"/>
    <n v="0"/>
    <n v="751.99999999999989"/>
    <n v="0"/>
    <n v="751.99999999999989"/>
    <x v="6"/>
    <s v="MENA_Programme 3. Enseignement élémentaire"/>
    <s v="3. Formation"/>
    <s v="DNEC"/>
    <s v="ST/CGE/DNEC"/>
    <x v="0"/>
    <x v="0"/>
    <x v="2"/>
    <s v="124- Toutes les écoles primaires, y compris les FA, offrent aux élèves des conditions favorables à leur maintien, en particulier, les filles"/>
    <x v="35"/>
    <s v="12424-Vulgarisation des textes règlementaires sur les violences en milieu scolaire"/>
  </r>
  <r>
    <s v="Sensibilisation des élèves, enseignants et parents d'élèves sur les méfaits des différentes formes de violences "/>
    <s v="mission"/>
    <s v="h/j/m"/>
    <n v="0"/>
    <m/>
    <n v="2562"/>
    <n v="1193.8920000000001"/>
    <n v="3755.8919999999998"/>
    <n v="0.8177777777777776"/>
    <n v="0"/>
    <n v="0"/>
    <n v="2095.1466666666661"/>
    <n v="976.33834666666655"/>
    <n v="3071.4850133333325"/>
    <x v="6"/>
    <s v="MENA_Programme 3. Enseignement élémentaire"/>
    <s v="3. Dépenses de fonctionnement"/>
    <s v="DNEC"/>
    <s v="DPE/DCE"/>
    <x v="0"/>
    <x v="0"/>
    <x v="2"/>
    <s v="124- Toutes les écoles primaires, y compris les FA, offrent aux élèves des conditions favorables à leur maintien, en particulier, les filles"/>
    <x v="35"/>
    <s v="12425-Sensibilisation des élèves, enseignants et parents d'élèves sur les méfaits des différentes formes de violences "/>
  </r>
  <r>
    <s v="Sensibilisation des élèves, enseignants et parents d'élèves sur les méfaits des différentes formes de violences "/>
    <s v="mission"/>
    <s v="h/j/m"/>
    <n v="0"/>
    <n v="1193.8920000000001"/>
    <n v="1193.8920000000001"/>
    <n v="1193.8920000000001"/>
    <n v="3581.6760000000004"/>
    <n v="0.8177777777777776"/>
    <n v="0"/>
    <n v="976.33834666666655"/>
    <n v="976.33834666666655"/>
    <n v="976.33834666666655"/>
    <n v="2929.0150399999998"/>
    <x v="13"/>
    <s v="MENA_Programme 3. Enseignement élémentaire"/>
    <s v="3. Dépenses de fonctionnement"/>
    <s v="DNEC"/>
    <s v="DPE/DCE"/>
    <x v="0"/>
    <x v="0"/>
    <x v="2"/>
    <s v="124- Toutes les écoles primaires, y compris les FA, offrent aux élèves des conditions favorables à leur maintien, en particulier, les filles"/>
    <x v="35"/>
    <s v="12425-Sensibilisation des élèves, enseignants et parents d'élèves sur les méfaits des différentes formes de violences "/>
  </r>
  <r>
    <s v="Sensibilisation des élèves, enseignants et parents d'élèves sur les méfaits des différentes formes de violences "/>
    <s v="mission"/>
    <s v="h/j/m"/>
    <m/>
    <n v="174.21600000000001"/>
    <n v="174.21600000000001"/>
    <n v="174.21600000000001"/>
    <n v="522.64800000000002"/>
    <n v="0.8177777777777776"/>
    <n v="0"/>
    <n v="142.46997333333331"/>
    <n v="142.46997333333331"/>
    <n v="142.46997333333331"/>
    <n v="427.40991999999994"/>
    <x v="4"/>
    <s v="MENA_Programme 3. Enseignement élémentaire"/>
    <s v="3. Dépenses de fonctionnement"/>
    <s v="DNEC"/>
    <s v="DPE/DCE"/>
    <x v="0"/>
    <x v="0"/>
    <x v="2"/>
    <s v="124- Toutes les écoles primaires, y compris les FA, offrent aux élèves des conditions favorables à leur maintien, en particulier, les filles"/>
    <x v="35"/>
    <s v="12425-Sensibilisation des élèves, enseignants et parents d'élèves sur les méfaits des différentes formes de violences "/>
  </r>
  <r>
    <s v="Mise en place de structures de veille sur les violences en milieu scolaires"/>
    <s v="Concertation"/>
    <s v="h/j/m"/>
    <n v="0"/>
    <m/>
    <n v="4270"/>
    <m/>
    <n v="4270"/>
    <n v="0.8177777777777776"/>
    <n v="0"/>
    <n v="0"/>
    <n v="3491.9111111111106"/>
    <n v="0"/>
    <n v="3491.9111111111106"/>
    <x v="6"/>
    <s v="MENA_Programme 3. Enseignement élémentaire"/>
    <s v="3. Dépenses de fonctionnement"/>
    <s v="DNEC"/>
    <s v="DPE/DCE"/>
    <x v="0"/>
    <x v="0"/>
    <x v="2"/>
    <s v="124- Toutes les écoles primaires, y compris les FA, offrent aux élèves des conditions favorables à leur maintien, en particulier, les filles"/>
    <x v="35"/>
    <s v="12426-Mise en place de structures de veille sur les violences en milieu scolaires"/>
  </r>
  <r>
    <s v="Mise en place de structures de veille sur les violences en milieu scolaires"/>
    <s v="Concertation"/>
    <s v="h/j/m"/>
    <n v="0"/>
    <m/>
    <n v="3416"/>
    <m/>
    <n v="3416"/>
    <n v="0.8177777777777776"/>
    <n v="0"/>
    <n v="0"/>
    <n v="2793.5288888888881"/>
    <n v="0"/>
    <n v="2793.5288888888881"/>
    <x v="7"/>
    <s v="MENA_Programme 3. Enseignement élémentaire"/>
    <s v="3. Dépenses de fonctionnement"/>
    <s v="DNEC"/>
    <s v="DPE/DCE"/>
    <x v="0"/>
    <x v="0"/>
    <x v="2"/>
    <s v="124- Toutes les écoles primaires, y compris les FA, offrent aux élèves des conditions favorables à leur maintien, en particulier, les filles"/>
    <x v="35"/>
    <s v="12426-Mise en place de structures de veille sur les violences en milieu scolaires"/>
  </r>
  <r>
    <s v="Mise en place de structures de veille sur les violences en milieu scolaires"/>
    <s v="Concertation"/>
    <s v="h/j/m"/>
    <m/>
    <m/>
    <n v="854"/>
    <m/>
    <n v="854"/>
    <n v="0.8177777777777776"/>
    <n v="0"/>
    <n v="0"/>
    <n v="698.38222222222203"/>
    <n v="0"/>
    <n v="698.38222222222203"/>
    <x v="4"/>
    <s v="MENA_Programme 3. Enseignement élémentaire"/>
    <s v="3. Dépenses de fonctionnement"/>
    <s v="DNEC"/>
    <s v="DPE/DCE"/>
    <x v="0"/>
    <x v="0"/>
    <x v="2"/>
    <s v="124- Toutes les écoles primaires, y compris les FA, offrent aux élèves des conditions favorables à leur maintien, en particulier, les filles"/>
    <x v="35"/>
    <s v="12426-Mise en place de structures de veille sur les violences en milieu scolaires"/>
  </r>
  <r>
    <s v="Renforcement des conseils de discipline au sein des établissements scolaires en matière de violences"/>
    <s v="Décision"/>
    <s v="sif"/>
    <n v="0"/>
    <n v="1"/>
    <m/>
    <m/>
    <n v="1"/>
    <n v="0"/>
    <m/>
    <m/>
    <m/>
    <m/>
    <m/>
    <x v="2"/>
    <s v="MENA_Programme 3. Enseignement élémentaire"/>
    <s v=""/>
    <s v="IGE"/>
    <s v="DPE/DCE"/>
    <x v="0"/>
    <x v="0"/>
    <x v="2"/>
    <s v="124- Toutes les écoles primaires, y compris les FA, offrent aux élèves des conditions favorables à leur maintien, en particulier, les filles"/>
    <x v="35"/>
    <s v="12427-Renforcement des conseils de discipline au sein des établissements scolaires en matière de violences"/>
  </r>
  <r>
    <s v="Appui à la stratégie de tutorat en faveur des élèves vulnérables, notamment les filles (par les communautés)"/>
    <s v="décision"/>
    <s v="sif"/>
    <n v="0"/>
    <n v="1"/>
    <n v="1"/>
    <n v="1"/>
    <n v="3"/>
    <n v="0"/>
    <m/>
    <m/>
    <m/>
    <m/>
    <m/>
    <x v="2"/>
    <s v="MENA_Programme 3. Enseignement élémentaire"/>
    <s v=""/>
    <s v="ST/CGE"/>
    <s v="Communes"/>
    <x v="0"/>
    <x v="0"/>
    <x v="2"/>
    <s v="124- Toutes les écoles primaires, y compris les FA, offrent aux élèves des conditions favorables à leur maintien, en particulier, les filles"/>
    <x v="35"/>
    <s v="12428-Appui à la stratégie de tutorat en faveur des élèves vulnérables, notamment les filles (par les communautés)"/>
  </r>
  <r>
    <s v="Prise en charge psychosociale des filles victimes de violences"/>
    <s v="Appui"/>
    <s v="dot/an/dsee"/>
    <n v="0"/>
    <m/>
    <n v="256.2"/>
    <n v="124.47049999999999"/>
    <n v="380.67049999999995"/>
    <n v="2"/>
    <n v="0"/>
    <n v="0"/>
    <n v="512.4"/>
    <n v="248.94099999999997"/>
    <n v="761.34099999999989"/>
    <x v="6"/>
    <s v="MENA_Programme 3. Enseignement élémentaire"/>
    <s v="4. Transferts et subventions"/>
    <s v="DNEC"/>
    <s v="DSEE"/>
    <x v="0"/>
    <x v="0"/>
    <x v="2"/>
    <s v="124- Toutes les écoles primaires, y compris les FA, offrent aux élèves des conditions favorables à leur maintien, en particulier, les filles"/>
    <x v="35"/>
    <s v="12429-Prise en charge psychosociale des filles victimes de violences"/>
  </r>
  <r>
    <s v="Prise en charge psychosociale des filles victimes de violences"/>
    <s v="Appui"/>
    <s v="dot/an/dsee"/>
    <n v="0"/>
    <n v="124.42779999999999"/>
    <n v="124.42779999999999"/>
    <n v="124.42779999999999"/>
    <n v="373.28339999999997"/>
    <n v="2"/>
    <n v="0"/>
    <n v="248.85559999999998"/>
    <n v="248.85559999999998"/>
    <n v="248.85559999999998"/>
    <n v="746.56679999999994"/>
    <x v="7"/>
    <s v="MENA_Programme 3. Enseignement élémentaire"/>
    <s v="4. Transferts et subventions"/>
    <s v="DNEC"/>
    <s v="DSEE"/>
    <x v="0"/>
    <x v="0"/>
    <x v="2"/>
    <s v="124- Toutes les écoles primaires, y compris les FA, offrent aux élèves des conditions favorables à leur maintien, en particulier, les filles"/>
    <x v="35"/>
    <s v="12429-Prise en charge psychosociale des filles victimes de violences"/>
  </r>
  <r>
    <s v="Prise en charge psychosociale des filles victimes de violences"/>
    <s v="Appui"/>
    <s v="dot/an/dsee"/>
    <m/>
    <n v="178.10170000000002"/>
    <n v="178.10170000000002"/>
    <n v="178.10170000000002"/>
    <n v="534.30510000000004"/>
    <n v="2"/>
    <n v="0"/>
    <n v="356.20340000000004"/>
    <n v="356.20340000000004"/>
    <n v="356.20340000000004"/>
    <n v="1068.6102000000001"/>
    <x v="14"/>
    <s v="MENA_Programme 3. Enseignement élémentaire"/>
    <s v="4. Transferts et subventions"/>
    <s v="DNEC"/>
    <s v="DSEE"/>
    <x v="0"/>
    <x v="0"/>
    <x v="2"/>
    <s v="124- Toutes les écoles primaires, y compris les FA, offrent aux élèves des conditions favorables à leur maintien, en particulier, les filles"/>
    <x v="35"/>
    <s v="12429-Prise en charge psychosociale des filles victimes de violences"/>
  </r>
  <r>
    <s v="Suivi/évaluation des activités sur les violences en milieu scolaire"/>
    <s v="mission"/>
    <s v="h/j/m"/>
    <n v="0"/>
    <n v="63.2"/>
    <n v="160"/>
    <n v="63.2"/>
    <n v="286.39999999999998"/>
    <n v="0.8177777777777776"/>
    <n v="0"/>
    <n v="51.68355555555555"/>
    <n v="130.84444444444441"/>
    <n v="51.68355555555555"/>
    <n v="234.21155555555552"/>
    <x v="6"/>
    <s v="MENA_Programme 3. Enseignement élémentaire"/>
    <s v="3. Dépenses de fonctionnement"/>
    <s v="DNEC"/>
    <s v="DNEC/ST/CGE/IGE"/>
    <x v="0"/>
    <x v="0"/>
    <x v="2"/>
    <s v="124- Toutes les écoles primaires, y compris les FA, offrent aux élèves des conditions favorables à leur maintien, en particulier, les filles"/>
    <x v="35"/>
    <s v="124210-Suivi/évaluation des activités sur les violences en milieu scolaire"/>
  </r>
  <r>
    <s v="Suivi/évaluation des activités sur les violences en milieu scolaire"/>
    <s v="mission"/>
    <s v="h/j/m"/>
    <m/>
    <n v="96.8"/>
    <n v="96.8"/>
    <n v="96.8"/>
    <n v="290.39999999999998"/>
    <n v="0.8177777777777776"/>
    <n v="0"/>
    <n v="79.160888888888863"/>
    <n v="79.160888888888863"/>
    <n v="79.160888888888863"/>
    <n v="237.4826666666666"/>
    <x v="4"/>
    <s v="MENA_Programme 3. Enseignement élémentaire"/>
    <s v="3. Dépenses de fonctionnement"/>
    <s v="DNEC"/>
    <s v="DNEC/ST/CGE/IGE"/>
    <x v="0"/>
    <x v="0"/>
    <x v="2"/>
    <s v="124- Toutes les écoles primaires, y compris les FA, offrent aux élèves des conditions favorables à leur maintien, en particulier, les filles"/>
    <x v="35"/>
    <s v="124210-Suivi/évaluation des activités sur les violences en milieu scolaire"/>
  </r>
  <r>
    <s v=" Accès à l’éducation non formelle"/>
    <m/>
    <m/>
    <n v="0"/>
    <m/>
    <m/>
    <m/>
    <m/>
    <m/>
    <m/>
    <m/>
    <m/>
    <m/>
    <m/>
    <x v="0"/>
    <m/>
    <m/>
    <m/>
    <m/>
    <x v="0"/>
    <x v="0"/>
    <x v="3"/>
    <s v="13- Accès à l’éducation non formelle"/>
    <x v="36"/>
    <s v="13- Accès à l’éducation non formelle"/>
  </r>
  <r>
    <s v="La demande de scolarisation non formelle est accrue chez les enfants déscolarisés et les non scolarisés"/>
    <m/>
    <m/>
    <n v="0"/>
    <m/>
    <m/>
    <m/>
    <m/>
    <m/>
    <m/>
    <m/>
    <m/>
    <m/>
    <m/>
    <x v="0"/>
    <m/>
    <m/>
    <m/>
    <m/>
    <x v="0"/>
    <x v="0"/>
    <x v="3"/>
    <s v="131-La demande de scolarisation non formelle est accrue chez les enfants déscolarisés et les non scolarisés"/>
    <x v="37"/>
    <s v="131-La demande de scolarisation non formelle est accrue chez les enfants déscolarisés et les non scolarisés"/>
  </r>
  <r>
    <s v="Information/sensibilisation des communautés sur l’offre d’éducation non-formelle"/>
    <m/>
    <m/>
    <n v="0"/>
    <m/>
    <m/>
    <m/>
    <m/>
    <m/>
    <m/>
    <m/>
    <m/>
    <m/>
    <m/>
    <x v="0"/>
    <m/>
    <m/>
    <m/>
    <m/>
    <x v="0"/>
    <x v="0"/>
    <x v="3"/>
    <s v="131-La demande de scolarisation non formelle est accrue chez les enfants déscolarisés et les non scolarisés"/>
    <x v="38"/>
    <s v="1311-Information/sensibilisation des communautés sur l’offre d’éducation non-formelle"/>
  </r>
  <r>
    <s v="Conception de messages publicitaires"/>
    <s v="Atelier"/>
    <s v="h/j/ap"/>
    <n v="0"/>
    <m/>
    <n v="250"/>
    <m/>
    <n v="250"/>
    <n v="0.255"/>
    <n v="0"/>
    <n v="0"/>
    <n v="63.75"/>
    <n v="0"/>
    <n v="63.75"/>
    <x v="6"/>
    <s v="MENA_Programme 5. Alphabétisation et éducation non formelle"/>
    <s v="3. Dépenses de fonctionnement"/>
    <s v="DNAENF"/>
    <s v="DNAENF"/>
    <x v="0"/>
    <x v="0"/>
    <x v="3"/>
    <s v="131-La demande de scolarisation non formelle est accrue chez les enfants déscolarisés et les non scolarisés"/>
    <x v="38"/>
    <s v="13111-Conception de messages publicitaires"/>
  </r>
  <r>
    <s v="Diffusions des messages dans les médias"/>
    <s v="Emission"/>
    <s v="diffusion"/>
    <n v="0"/>
    <n v="0"/>
    <n v="6600"/>
    <n v="990"/>
    <n v="7590"/>
    <n v="0.4"/>
    <n v="0"/>
    <n v="0"/>
    <n v="2640"/>
    <n v="396"/>
    <n v="3036"/>
    <x v="6"/>
    <s v="MENA_Programme 5. Alphabétisation et éducation non formelle"/>
    <s v="3. Dépenses de fonctionnement"/>
    <s v="DNAENF"/>
    <s v="DPE/DCE"/>
    <x v="0"/>
    <x v="0"/>
    <x v="3"/>
    <s v="131-La demande de scolarisation non formelle est accrue chez les enfants déscolarisés et les non scolarisés"/>
    <x v="38"/>
    <s v="13112-Diffusions des messages dans les médias"/>
  </r>
  <r>
    <s v="Missions de sensibilisation des communautés "/>
    <s v="Mission"/>
    <s v="h/j/m"/>
    <n v="0"/>
    <m/>
    <n v="1280"/>
    <n v="640"/>
    <n v="1920"/>
    <n v="0.8177777777777776"/>
    <n v="0"/>
    <n v="1046.7555555555552"/>
    <n v="1046.7555555555552"/>
    <n v="523.37777777777762"/>
    <n v="2616.8888888888882"/>
    <x v="6"/>
    <s v="MENA_Programme 5. Alphabétisation et éducation non formelle"/>
    <s v="3. Dépenses de fonctionnement"/>
    <s v="DNAENF"/>
    <s v="DPE/DCE"/>
    <x v="0"/>
    <x v="0"/>
    <x v="3"/>
    <s v="131-La demande de scolarisation non formelle est accrue chez les enfants déscolarisés et les non scolarisés"/>
    <x v="38"/>
    <s v="13113-Missions de sensibilisation des communautés "/>
  </r>
  <r>
    <s v="Octroi de kits scolaires auxs apprenants"/>
    <m/>
    <m/>
    <n v="0"/>
    <m/>
    <m/>
    <m/>
    <m/>
    <m/>
    <m/>
    <m/>
    <m/>
    <m/>
    <m/>
    <x v="0"/>
    <m/>
    <m/>
    <m/>
    <m/>
    <x v="0"/>
    <x v="0"/>
    <x v="3"/>
    <s v="131-La demande de scolarisation non formelle est accrue chez les enfants déscolarisés et les non scolarisés"/>
    <x v="39"/>
    <s v="1312-Octroi de kits scolaires auxs apprenants"/>
  </r>
  <r>
    <s v="Acquisition et distribution des kits scolaires"/>
    <s v="Kit par apprenant"/>
    <s v="Kit/app"/>
    <n v="0"/>
    <n v="2073.6"/>
    <n v="3856.8"/>
    <n v="5399.2000000000007"/>
    <n v="11329.6"/>
    <n v="0.12"/>
    <n v="248.83199999999999"/>
    <n v="248.83199999999999"/>
    <n v="462.81600000000003"/>
    <n v="647.90400000000011"/>
    <n v="1608.384"/>
    <x v="2"/>
    <s v="MENA_Programme 5. Alphabétisation et éducation non formelle"/>
    <s v="3. Manuels scolaires et matériels pédagogiques"/>
    <s v="DNAENF"/>
    <s v="DNAENF"/>
    <x v="0"/>
    <x v="0"/>
    <x v="3"/>
    <s v="131-La demande de scolarisation non formelle est accrue chez les enfants déscolarisés et les non scolarisés"/>
    <x v="39"/>
    <s v="13121-Acquisition et distribution des kits scolaires"/>
  </r>
  <r>
    <s v="Acquisition et distribution des kits scolaires"/>
    <s v="Kit par apprenant"/>
    <s v="Kit/app"/>
    <n v="0"/>
    <n v="518.4"/>
    <n v="964.2"/>
    <n v="1349.8000000000002"/>
    <n v="2832.4"/>
    <n v="0.12"/>
    <n v="62.207999999999998"/>
    <n v="62.207999999999998"/>
    <n v="115.70400000000001"/>
    <n v="161.97600000000003"/>
    <n v="402.096"/>
    <x v="14"/>
    <s v="MENA_Programme 5. Alphabétisation et éducation non formelle"/>
    <s v="3. Manuels scolaires et matériels pédagogiques"/>
    <s v="DNAENF"/>
    <s v="DNAENF"/>
    <x v="0"/>
    <x v="0"/>
    <x v="3"/>
    <s v="131-La demande de scolarisation non formelle est accrue chez les enfants déscolarisés et les non scolarisés"/>
    <x v="39"/>
    <s v="13121-Acquisition et distribution des kits scolaires"/>
  </r>
  <r>
    <s v="Suivi/évaluation de la distribution des kits scolaires"/>
    <s v="Mission"/>
    <s v="sup"/>
    <n v="0"/>
    <n v="256.03200000000004"/>
    <n v="256.03200000000004"/>
    <n v="256.03200000000004"/>
    <n v="768.09600000000012"/>
    <n v="7.1760000000000002"/>
    <n v="1837.2856320000003"/>
    <n v="1837.2856320000003"/>
    <n v="1837.2856320000003"/>
    <n v="1837.2856320000003"/>
    <n v="7349.1425280000012"/>
    <x v="2"/>
    <s v="MENA_Programme 5. Alphabétisation et éducation non formelle"/>
    <s v="3. Dépenses de fonctionnement"/>
    <s v="DNAENF"/>
    <s v="IRE"/>
    <x v="0"/>
    <x v="0"/>
    <x v="3"/>
    <s v="131-La demande de scolarisation non formelle est accrue chez les enfants déscolarisés et les non scolarisés"/>
    <x v="39"/>
    <s v="13122-Suivi/évaluation de la distribution des kits scolaires"/>
  </r>
  <r>
    <s v="Suivi/évaluation de la distribution des kits scolaires"/>
    <s v="Mission"/>
    <s v="sup"/>
    <n v="0"/>
    <n v="63.967999999999996"/>
    <n v="63.967999999999996"/>
    <n v="63.967999999999996"/>
    <n v="191.904"/>
    <n v="7.1760000000000002"/>
    <n v="459.03436799999997"/>
    <n v="459.03436799999997"/>
    <n v="459.03436799999997"/>
    <n v="459.03436799999997"/>
    <n v="1836.1374719999999"/>
    <x v="14"/>
    <s v="MENA_Programme 5. Alphabétisation et éducation non formelle"/>
    <s v="3. Dépenses de fonctionnement"/>
    <s v="DNAENF"/>
    <s v="IRE"/>
    <x v="0"/>
    <x v="0"/>
    <x v="3"/>
    <s v="131-La demande de scolarisation non formelle est accrue chez les enfants déscolarisés et les non scolarisés"/>
    <x v="39"/>
    <s v="13122-Suivi/évaluation de la distribution des kits scolaires"/>
  </r>
  <r>
    <s v="Prise en charge des apprenants du non formelle par les cantines des écoles situées à proximité"/>
    <m/>
    <m/>
    <n v="0"/>
    <m/>
    <m/>
    <m/>
    <m/>
    <m/>
    <m/>
    <m/>
    <m/>
    <m/>
    <m/>
    <x v="0"/>
    <m/>
    <m/>
    <m/>
    <m/>
    <x v="0"/>
    <x v="0"/>
    <x v="3"/>
    <s v="131-La demande de scolarisation non formelle est accrue chez les enfants déscolarisés et les non scolarisés"/>
    <x v="40"/>
    <s v="1313-Prise en charge des apprenants du non formelle par les cantines des écoles situées à proximité"/>
  </r>
  <r>
    <s v="Identification des centres Nafa situés à proximité des écoles à cantines"/>
    <s v="Mission"/>
    <s v="h/j/m"/>
    <n v="0"/>
    <n v="128.01600000000002"/>
    <m/>
    <m/>
    <n v="128.01600000000002"/>
    <n v="0.8177777777777776"/>
    <n v="104.68863999999999"/>
    <n v="104.68863999999999"/>
    <n v="0"/>
    <n v="0"/>
    <n v="209.37727999999998"/>
    <x v="2"/>
    <s v="MENA_Programme 5. Alphabétisation et éducation non formelle"/>
    <s v="3. Dépenses de fonctionnement"/>
    <s v="DNAENF"/>
    <s v="DPE/DCE"/>
    <x v="0"/>
    <x v="0"/>
    <x v="3"/>
    <s v="131-La demande de scolarisation non formelle est accrue chez les enfants déscolarisés et les non scolarisés"/>
    <x v="40"/>
    <s v="13131-Identification des centres Nafa situés à proximité des écoles à cantines"/>
  </r>
  <r>
    <s v="Identification des centres Nafa situés à proximité des écoles à cantines"/>
    <s v="Mission"/>
    <s v="h/j/m"/>
    <n v="0"/>
    <n v="31.983999999999998"/>
    <m/>
    <m/>
    <n v="31.983999999999998"/>
    <n v="0.8177777777777776"/>
    <n v="26.155804444444438"/>
    <n v="26.155804444444438"/>
    <n v="0"/>
    <n v="0"/>
    <n v="52.311608888888877"/>
    <x v="15"/>
    <s v="MENA_Programme 5. Alphabétisation et éducation non formelle"/>
    <s v="3. Dépenses de fonctionnement"/>
    <s v="DNAENF"/>
    <s v="DPE/DCE"/>
    <x v="0"/>
    <x v="0"/>
    <x v="3"/>
    <s v="131-La demande de scolarisation non formelle est accrue chez les enfants déscolarisés et les non scolarisés"/>
    <x v="40"/>
    <s v="13131-Identification des centres Nafa situés à proximité des écoles à cantines"/>
  </r>
  <r>
    <s v="Acquisition et distribution des vivres supplémentaires"/>
    <s v="Ration"/>
    <s v="rat/éléve"/>
    <n v="0"/>
    <n v="51.03606528000001"/>
    <n v="104.18566680000002"/>
    <n v="159.89622816000008"/>
    <n v="315.11796024000012"/>
    <n v="0.25"/>
    <n v="12.759016320000002"/>
    <n v="12.759016320000002"/>
    <n v="26.046416700000005"/>
    <n v="39.974057040000019"/>
    <n v="91.53850638000003"/>
    <x v="2"/>
    <s v="MENA_Programme 5. Alphabétisation et éducation non formelle"/>
    <s v="4. Transferts et subventions"/>
    <s v="DNCAS"/>
    <s v="DNCAS"/>
    <x v="0"/>
    <x v="0"/>
    <x v="3"/>
    <s v="131-La demande de scolarisation non formelle est accrue chez les enfants déscolarisés et les non scolarisés"/>
    <x v="40"/>
    <s v="13132-Acquisition et distribution des vivres supplémentaires"/>
  </r>
  <r>
    <s v="Acquisition et distribution des vivres supplémentaires"/>
    <s v="Ration"/>
    <s v="rat/éléve"/>
    <n v="0"/>
    <n v="204.01673471999999"/>
    <n v="416.48233319999997"/>
    <n v="639.18537184000013"/>
    <n v="1259.6844397600003"/>
    <n v="0.25"/>
    <n v="51.004183679999997"/>
    <n v="51.004183679999997"/>
    <n v="104.12058329999999"/>
    <n v="159.79634296000003"/>
    <n v="365.92529362000005"/>
    <x v="15"/>
    <s v="MENA_Programme 5. Alphabétisation et éducation non formelle"/>
    <s v="4. Transferts et subventions"/>
    <s v="DNCAS"/>
    <s v="DNCAS"/>
    <x v="0"/>
    <x v="0"/>
    <x v="3"/>
    <s v="131-La demande de scolarisation non formelle est accrue chez les enfants déscolarisés et les non scolarisés"/>
    <x v="40"/>
    <s v="13132-Acquisition et distribution des vivres supplémentaires"/>
  </r>
  <r>
    <s v="Suivi de la gestion des cantines scolaires dans les centres Nafa (voir suivi cantines activités 12125)"/>
    <s v="pm"/>
    <s v="sif"/>
    <n v="0"/>
    <n v="1"/>
    <n v="1"/>
    <n v="1"/>
    <m/>
    <n v="0"/>
    <m/>
    <m/>
    <m/>
    <m/>
    <m/>
    <x v="2"/>
    <s v="MENA_Programme 5. Alphabétisation et éducation non formelle"/>
    <s v=""/>
    <s v="DNCAS"/>
    <s v="DNCAS"/>
    <x v="0"/>
    <x v="0"/>
    <x v="3"/>
    <s v="131-La demande de scolarisation non formelle est accrue chez les enfants déscolarisés et les non scolarisés"/>
    <x v="40"/>
    <s v="13133-Suivi de la gestion des cantines scolaires dans les centres Nafa (voir suivi cantines activités 12125)"/>
  </r>
  <r>
    <s v=" L’offre d’éducation non formelle est diversifiée"/>
    <m/>
    <m/>
    <n v="0"/>
    <m/>
    <m/>
    <m/>
    <m/>
    <m/>
    <m/>
    <m/>
    <m/>
    <m/>
    <m/>
    <x v="0"/>
    <m/>
    <m/>
    <m/>
    <m/>
    <x v="0"/>
    <x v="0"/>
    <x v="3"/>
    <s v="132- L’offre d’éducation non formelle est diversifiée"/>
    <x v="41"/>
    <s v="132- L’offre d’éducation non formelle est diversifiée"/>
  </r>
  <r>
    <s v="Elargissement de l’approche de la scolarisation primaire accélérée"/>
    <m/>
    <m/>
    <n v="0"/>
    <m/>
    <m/>
    <m/>
    <m/>
    <m/>
    <m/>
    <m/>
    <m/>
    <m/>
    <m/>
    <x v="0"/>
    <m/>
    <m/>
    <m/>
    <m/>
    <x v="0"/>
    <x v="0"/>
    <x v="3"/>
    <s v="132- L’offre d’éducation non formelle est diversifiée"/>
    <x v="42"/>
    <s v="1321-Elargissement de l’approche de la scolarisation primaire accélérée"/>
  </r>
  <r>
    <s v="Elargissement progressif de l’approche de la scolarisation primaire accélérée"/>
    <s v="Décision"/>
    <s v="sif"/>
    <n v="0"/>
    <n v="1"/>
    <m/>
    <m/>
    <n v="1"/>
    <n v="0"/>
    <m/>
    <m/>
    <n v="0"/>
    <m/>
    <m/>
    <x v="6"/>
    <s v="MENA_Programme 5. Alphabétisation et éducation non formelle"/>
    <s v=""/>
    <s v="DNAENF"/>
    <s v="SG"/>
    <x v="0"/>
    <x v="0"/>
    <x v="3"/>
    <s v="132- L’offre d’éducation non formelle est diversifiée"/>
    <x v="42"/>
    <s v="13211-Elargissement progressif de l’approche de la scolarisation primaire accélérée"/>
  </r>
  <r>
    <s v="Partage de l'expérience de Télimélé sur l’approche de la scolarisation primaire accélérée"/>
    <s v="Atelier"/>
    <s v="h/j/a"/>
    <n v="0"/>
    <n v="150"/>
    <n v="150"/>
    <m/>
    <n v="300"/>
    <n v="0.3133333333333333"/>
    <n v="0"/>
    <n v="46.999999999999993"/>
    <n v="46.999999999999993"/>
    <n v="0"/>
    <n v="93.999999999999986"/>
    <x v="6"/>
    <s v="MENA_Programme 5. Alphabétisation et éducation non formelle"/>
    <s v="3. Formation"/>
    <s v="DNAENF"/>
    <s v="DNAENF"/>
    <x v="0"/>
    <x v="0"/>
    <x v="3"/>
    <s v="132- L’offre d’éducation non formelle est diversifiée"/>
    <x v="42"/>
    <s v="13212-Partage de l'expérience de Télimélé sur l’approche de la scolarisation primaire accélérée"/>
  </r>
  <r>
    <s v="Toilettage des programmes des classes accélérés"/>
    <s v="Atelier"/>
    <s v="h/j/ap"/>
    <n v="0"/>
    <n v="100"/>
    <n v="100"/>
    <m/>
    <n v="200"/>
    <n v="0.255"/>
    <n v="0"/>
    <n v="25.5"/>
    <n v="25.5"/>
    <n v="0"/>
    <n v="51"/>
    <x v="6"/>
    <s v="MENA_Programme 5. Alphabétisation et éducation non formelle"/>
    <s v="3. Dépenses de fonctionnement"/>
    <s v="DNAENF"/>
    <s v="INRAP"/>
    <x v="0"/>
    <x v="0"/>
    <x v="3"/>
    <s v="132- L’offre d’éducation non formelle est diversifiée"/>
    <x v="42"/>
    <s v="13213-Toilettage des programmes des classes accélérés"/>
  </r>
  <r>
    <s v="Validation des nouveaux programmes"/>
    <s v="Atelier"/>
    <s v="h/j/a"/>
    <n v="0"/>
    <n v="60"/>
    <m/>
    <m/>
    <n v="60"/>
    <n v="0.3133333333333333"/>
    <n v="0"/>
    <n v="18.799999999999997"/>
    <n v="0"/>
    <n v="0"/>
    <n v="18.799999999999997"/>
    <x v="6"/>
    <s v="MENA_Programme 5. Alphabétisation et éducation non formelle"/>
    <s v="3. Formation"/>
    <s v="DNAENF"/>
    <s v="DNAENF"/>
    <x v="0"/>
    <x v="0"/>
    <x v="3"/>
    <s v="132- L’offre d’éducation non formelle est diversifiée"/>
    <x v="42"/>
    <s v="13214-Validation des nouveaux programmes"/>
  </r>
  <r>
    <s v="Reprographie des nouveaux programmes et des guides"/>
    <s v="Impression"/>
    <s v="imp/pr"/>
    <n v="0"/>
    <m/>
    <n v="1440"/>
    <m/>
    <n v="1440"/>
    <n v="0.03"/>
    <n v="0"/>
    <n v="0"/>
    <n v="43.199999999999996"/>
    <n v="0"/>
    <n v="43.199999999999996"/>
    <x v="6"/>
    <s v="MENA_Programme 5. Alphabétisation et éducation non formelle"/>
    <s v="3. Manuels scolaires et matériels pédagogiques"/>
    <s v="DNAENF"/>
    <s v="DNAENF"/>
    <x v="0"/>
    <x v="0"/>
    <x v="3"/>
    <s v="132- L’offre d’éducation non formelle est diversifiée"/>
    <x v="42"/>
    <s v="13215-Reprographie des nouveaux programmes et des guides"/>
  </r>
  <r>
    <s v="Vulgarisation et formation des encadreurs sur les programmes accéléré"/>
    <s v="Formation"/>
    <s v="h/j/fr"/>
    <n v="0"/>
    <n v="20"/>
    <n v="2000"/>
    <n v="320.04000000000002"/>
    <n v="2340.04"/>
    <n v="0.54600000000000004"/>
    <n v="0"/>
    <n v="10.920000000000002"/>
    <n v="1092"/>
    <n v="174.74184000000002"/>
    <n v="1277.6618400000002"/>
    <x v="6"/>
    <s v="MENA_Programme 5. Alphabétisation et éducation non formelle"/>
    <s v="3. Formation"/>
    <s v="DNAENF"/>
    <s v="IRE"/>
    <x v="0"/>
    <x v="0"/>
    <x v="3"/>
    <s v="132- L’offre d’éducation non formelle est diversifiée"/>
    <x v="42"/>
    <s v="13216-Vulgarisation et formation des encadreurs sur les programmes accéléré"/>
  </r>
  <r>
    <s v="Vulgarisation et formation des encadreurs sur les programmes accéléré"/>
    <s v="Formation"/>
    <s v="h/j/fr"/>
    <n v="0"/>
    <n v="79.959999999999994"/>
    <m/>
    <n v="79.959999999999994"/>
    <n v="159.91999999999999"/>
    <n v="0.54600000000000004"/>
    <n v="43.658160000000002"/>
    <n v="43.658160000000002"/>
    <n v="0"/>
    <n v="43.658160000000002"/>
    <n v="130.97448"/>
    <x v="13"/>
    <s v="MENA_Programme 5. Alphabétisation et éducation non formelle"/>
    <s v="3. Formation"/>
    <s v="DNAENF"/>
    <s v="IRE"/>
    <x v="0"/>
    <x v="0"/>
    <x v="3"/>
    <s v="132- L’offre d’éducation non formelle est diversifiée"/>
    <x v="42"/>
    <s v="13216-Vulgarisation et formation des encadreurs sur les programmes accéléré"/>
  </r>
  <r>
    <s v="Formation des enseignants à l'approche de la scolarisation primaire accélérée (évaluation des élèves, etc.)"/>
    <s v="Formation"/>
    <s v="h/f"/>
    <m/>
    <n v="60"/>
    <n v="60"/>
    <n v="60"/>
    <n v="180"/>
    <n v="1.5"/>
    <n v="90"/>
    <n v="90"/>
    <n v="90"/>
    <n v="90"/>
    <n v="360"/>
    <x v="4"/>
    <s v="MENA_Programme 5. Alphabétisation et éducation non formelle"/>
    <s v="3. Formation"/>
    <s v="DNAENF"/>
    <s v="IRE"/>
    <x v="0"/>
    <x v="0"/>
    <x v="3"/>
    <s v="132- L’offre d’éducation non formelle est diversifiée"/>
    <x v="42"/>
    <s v="13217-Formation des enseignants à l'approche de la scolarisation primaire accélérée (évaluation des élèves, etc.)"/>
  </r>
  <r>
    <s v="Formation des enseignants à l'approche de la scolarisation primaire accélérée (évaluation des élèves, etc.)"/>
    <s v="Formation"/>
    <s v="h/f"/>
    <n v="0"/>
    <n v="180"/>
    <n v="240"/>
    <n v="300"/>
    <n v="720"/>
    <n v="1.5"/>
    <n v="270"/>
    <n v="270"/>
    <n v="360"/>
    <n v="450"/>
    <n v="1350"/>
    <x v="2"/>
    <s v="MENA_Programme 5. Alphabétisation et éducation non formelle"/>
    <s v="3. Formation"/>
    <s v="DNAENF"/>
    <s v="IRE"/>
    <x v="0"/>
    <x v="0"/>
    <x v="3"/>
    <s v="132- L’offre d’éducation non formelle est diversifiée"/>
    <x v="42"/>
    <s v="13217-Formation des enseignants à l'approche de la scolarisation primaire accélérée (évaluation des élèves, etc.)"/>
  </r>
  <r>
    <s v="Sensibilisation des parents et du personnel enseignant à l'approche de la scolarisation primaire accélérée "/>
    <s v="mission de sensibilisation"/>
    <s v="h/j/m"/>
    <n v="0"/>
    <m/>
    <n v="960"/>
    <n v="468.96"/>
    <n v="1428.96"/>
    <n v="0.8177777777777776"/>
    <n v="0"/>
    <n v="0"/>
    <n v="785.06666666666649"/>
    <n v="383.50506666666655"/>
    <n v="1168.571733333333"/>
    <x v="6"/>
    <s v="MENA_Programme 5. Alphabétisation et éducation non formelle"/>
    <s v="3. Dépenses de fonctionnement"/>
    <s v="DNAENF"/>
    <s v="DPE/DCE"/>
    <x v="0"/>
    <x v="0"/>
    <x v="3"/>
    <s v="132- L’offre d’éducation non formelle est diversifiée"/>
    <x v="42"/>
    <s v="13218-Sensibilisation des parents et du personnel enseignant à l'approche de la scolarisation primaire accélérée "/>
  </r>
  <r>
    <s v="Sensibilisation des parents et du personnel enseignant à l'approche de la scolarisation primaire accélérée "/>
    <s v="mission de sensibilisation"/>
    <s v="h/j/m"/>
    <m/>
    <n v="331.04"/>
    <n v="331.04"/>
    <n v="331.04"/>
    <n v="993.12000000000012"/>
    <n v="0.8177777777777776"/>
    <n v="0"/>
    <n v="270.71715555555551"/>
    <n v="270.71715555555551"/>
    <n v="270.71715555555551"/>
    <n v="812.15146666666647"/>
    <x v="4"/>
    <s v="MENA_Programme 5. Alphabétisation et éducation non formelle"/>
    <s v="3. Dépenses de fonctionnement"/>
    <s v="DNAENF"/>
    <s v="DPE/DCE"/>
    <x v="0"/>
    <x v="0"/>
    <x v="3"/>
    <s v="132- L’offre d’éducation non formelle est diversifiée"/>
    <x v="42"/>
    <s v="13218-Sensibilisation des parents et du personnel enseignant à l'approche de la scolarisation primaire accélérée "/>
  </r>
  <r>
    <s v="Mise place progressive de l'approche de la scolarisation primaire accélérée dans les écoles "/>
    <s v="Décision"/>
    <s v="sif"/>
    <n v="0"/>
    <m/>
    <n v="1"/>
    <n v="1"/>
    <n v="2"/>
    <n v="0"/>
    <m/>
    <m/>
    <n v="0"/>
    <m/>
    <m/>
    <x v="6"/>
    <s v="MENA_Programme 5. Alphabétisation et éducation non formelle"/>
    <s v=""/>
    <s v="DNAENF"/>
    <s v="DPE/DCE"/>
    <x v="0"/>
    <x v="0"/>
    <x v="3"/>
    <s v="132- L’offre d’éducation non formelle est diversifiée"/>
    <x v="42"/>
    <s v="13219-Mise place progressive de l'approche de la scolarisation primaire accélérée dans les écoles "/>
  </r>
  <r>
    <s v="Acquisition et distribution de fourniture scolaire et de matériel didactique pour les élèves au primaire)"/>
    <s v="Fourniture"/>
    <s v="kit/élév/ca"/>
    <n v="0"/>
    <n v="0.80010000000000003"/>
    <n v="1"/>
    <n v="0.80010000000000003"/>
    <n v="2.6002000000000001"/>
    <n v="60.923138000000002"/>
    <n v="0"/>
    <n v="48.744602713800006"/>
    <n v="60.923138000000002"/>
    <n v="48.744602713800006"/>
    <n v="158.41234342760004"/>
    <x v="6"/>
    <s v="MENA_Programme 5. Alphabétisation et éducation non formelle"/>
    <s v="3. Manuels scolaires et matériels pédagogiques"/>
    <s v="DNAENF"/>
    <s v="DPE/DCE"/>
    <x v="0"/>
    <x v="0"/>
    <x v="3"/>
    <s v="132- L’offre d’éducation non formelle est diversifiée"/>
    <x v="42"/>
    <s v="132110-Acquisition et distribution de fourniture scolaire et de matériel didactique pour les élèves au primaire)"/>
  </r>
  <r>
    <s v="Acquisition et distribution de fourniture scolaire et de matériel didactique pour les élèves au primaire)"/>
    <s v="Fourniture"/>
    <s v="kit/élév/ca"/>
    <n v="0"/>
    <n v="0.19989999999999999"/>
    <n v="0.19989999999999999"/>
    <n v="0.19989999999999999"/>
    <n v="0.59970000000000001"/>
    <n v="60.923138000000002"/>
    <n v="0"/>
    <n v="12.178535286200001"/>
    <n v="12.178535286200001"/>
    <n v="12.178535286200001"/>
    <n v="36.5356058586"/>
    <x v="13"/>
    <s v="MENA_Programme 5. Alphabétisation et éducation non formelle"/>
    <s v="3. Manuels scolaires et matériels pédagogiques"/>
    <s v="DNAENF"/>
    <s v="DPE/DCE"/>
    <x v="0"/>
    <x v="0"/>
    <x v="3"/>
    <s v="132- L’offre d’éducation non formelle est diversifiée"/>
    <x v="42"/>
    <s v="132110-Acquisition et distribution de fourniture scolaire et de matériel didactique pour les élèves au primaire)"/>
  </r>
  <r>
    <s v="Réorganisation de l'horaire des cours pour optimiser l’utilisation des infrastructures existantes en vue d’assurer la scolarisation accélérée"/>
    <s v="travaux administratifs"/>
    <s v="sif"/>
    <n v="0"/>
    <n v="1"/>
    <n v="1"/>
    <n v="1"/>
    <n v="3"/>
    <n v="0"/>
    <m/>
    <m/>
    <m/>
    <m/>
    <m/>
    <x v="2"/>
    <s v="MENA_Programme 5. Alphabétisation et éducation non formelle"/>
    <s v=""/>
    <s v="DNAENF"/>
    <s v="IRE"/>
    <x v="0"/>
    <x v="0"/>
    <x v="3"/>
    <s v="132- L’offre d’éducation non formelle est diversifiée"/>
    <x v="42"/>
    <s v="132111-Réorganisation de l'horaire des cours pour optimiser l’utilisation des infrastructures existantes en vue d’assurer la scolarisation accélérée"/>
  </r>
  <r>
    <s v="Suivi/évaluation de l'approche de la scolarisation primaire accélérée"/>
    <s v="mission"/>
    <s v="h/j/m"/>
    <n v="0"/>
    <m/>
    <n v="304"/>
    <n v="256.03200000000004"/>
    <n v="560.03200000000004"/>
    <n v="0.8177777777777776"/>
    <n v="0"/>
    <n v="0"/>
    <n v="248.6044444444444"/>
    <n v="209.37727999999998"/>
    <n v="457.98172444444435"/>
    <x v="6"/>
    <s v="MENA_Programme 5. Alphabétisation et éducation non formelle"/>
    <s v="3. Dépenses de fonctionnement"/>
    <s v="DNAENF"/>
    <s v="DNAENF"/>
    <x v="0"/>
    <x v="0"/>
    <x v="3"/>
    <s v="132- L’offre d’éducation non formelle est diversifiée"/>
    <x v="42"/>
    <s v="132112-Suivi/évaluation de l'approche de la scolarisation primaire accélérée"/>
  </r>
  <r>
    <s v="Suivi/évaluation de l'approche de la scolarisation primaire accélérée"/>
    <s v="mission"/>
    <s v="h/j/m"/>
    <n v="0"/>
    <m/>
    <n v="63.967999999999996"/>
    <n v="63.967999999999996"/>
    <n v="127.93599999999999"/>
    <n v="0.8177777777777776"/>
    <n v="0"/>
    <n v="0"/>
    <n v="52.311608888888877"/>
    <n v="52.311608888888877"/>
    <n v="104.62321777777775"/>
    <x v="13"/>
    <s v="MENA_Programme 5. Alphabétisation et éducation non formelle"/>
    <s v="3. Dépenses de fonctionnement"/>
    <s v="DNAENF"/>
    <s v="DNAENF"/>
    <x v="0"/>
    <x v="0"/>
    <x v="3"/>
    <s v="132- L’offre d’éducation non formelle est diversifiée"/>
    <x v="42"/>
    <s v="132112-Suivi/évaluation de l'approche de la scolarisation primaire accélérée"/>
  </r>
  <r>
    <s v="Réorganisation de l’apprentissage dans les centres NAFA en fonction des besoins locaux et développement des passerelles entre le formel et le non formel"/>
    <m/>
    <m/>
    <n v="0"/>
    <m/>
    <m/>
    <m/>
    <m/>
    <m/>
    <m/>
    <m/>
    <m/>
    <m/>
    <m/>
    <x v="0"/>
    <m/>
    <m/>
    <m/>
    <m/>
    <x v="0"/>
    <x v="0"/>
    <x v="3"/>
    <s v="132- L’offre d’éducation non formelle est diversifiée"/>
    <x v="43"/>
    <s v="1322-Réorganisation de l’apprentissage dans les centres NAFA en fonction des besoins locaux et développement des passerelles entre le formel et le non formel"/>
  </r>
  <r>
    <s v="Révision des contenus des programmes pour favoriser les passerelles (programmes NAFA)"/>
    <s v="Atelier"/>
    <s v="h/j/ap"/>
    <n v="0"/>
    <m/>
    <n v="640"/>
    <m/>
    <n v="640"/>
    <n v="0.255"/>
    <n v="0"/>
    <n v="0"/>
    <n v="163.19999999999999"/>
    <n v="0"/>
    <n v="163.19999999999999"/>
    <x v="6"/>
    <s v="MENA_Programme 5. Alphabétisation et éducation non formelle"/>
    <s v="3. Dépenses de fonctionnement"/>
    <s v="DNAENF"/>
    <s v="INRAP"/>
    <x v="0"/>
    <x v="0"/>
    <x v="3"/>
    <s v="132- L’offre d’éducation non formelle est diversifiée"/>
    <x v="43"/>
    <s v="13221-Révision des contenus des programmes pour favoriser les passerelles (programmes NAFA)"/>
  </r>
  <r>
    <s v="Validation des nouveaux programmes"/>
    <s v="Atelier"/>
    <s v="h/j/a"/>
    <n v="0"/>
    <n v="60"/>
    <m/>
    <m/>
    <n v="60"/>
    <n v="0.3133333333333333"/>
    <n v="0"/>
    <n v="18.799999999999997"/>
    <n v="0"/>
    <n v="0"/>
    <n v="18.799999999999997"/>
    <x v="6"/>
    <s v="MENA_Programme 5. Alphabétisation et éducation non formelle"/>
    <s v="3. Formation"/>
    <s v="DNAENF"/>
    <s v="INRAP"/>
    <x v="0"/>
    <x v="0"/>
    <x v="3"/>
    <s v="132- L’offre d’éducation non formelle est diversifiée"/>
    <x v="43"/>
    <s v="13222-Validation des nouveaux programmes"/>
  </r>
  <r>
    <s v="Reprographie des nouveaux programmes et des guides"/>
    <s v="Impression"/>
    <s v="imp/pr"/>
    <n v="0"/>
    <m/>
    <n v="25000"/>
    <m/>
    <n v="25000"/>
    <n v="0.03"/>
    <n v="0"/>
    <n v="0"/>
    <n v="750"/>
    <n v="0"/>
    <n v="750"/>
    <x v="6"/>
    <s v="MENA_Programme 5. Alphabétisation et éducation non formelle"/>
    <s v="3. Manuels scolaires et matériels pédagogiques"/>
    <s v="DNAENF"/>
    <s v="DNAENF"/>
    <x v="0"/>
    <x v="0"/>
    <x v="3"/>
    <s v="132- L’offre d’éducation non formelle est diversifiée"/>
    <x v="43"/>
    <s v="13223-Reprographie des nouveaux programmes et des guides"/>
  </r>
  <r>
    <s v="Formation des enseignants "/>
    <s v="Atelier"/>
    <s v="h/f"/>
    <n v="0"/>
    <n v="46"/>
    <n v="184"/>
    <m/>
    <n v="230"/>
    <n v="1.5"/>
    <n v="0"/>
    <n v="69"/>
    <n v="276"/>
    <n v="0"/>
    <n v="345"/>
    <x v="6"/>
    <s v="MENA_Programme 5. Alphabétisation et éducation non formelle"/>
    <s v="3. Formation"/>
    <s v="DNAENF"/>
    <s v="DNAENF"/>
    <x v="0"/>
    <x v="0"/>
    <x v="3"/>
    <s v="132- L’offre d’éducation non formelle est diversifiée"/>
    <x v="43"/>
    <s v="13224-Formation des enseignants "/>
  </r>
  <r>
    <s v="Formation des enseignants "/>
    <s v="Atelier"/>
    <s v="h/f"/>
    <n v="0"/>
    <n v="46"/>
    <n v="46"/>
    <m/>
    <n v="92"/>
    <n v="1.5"/>
    <n v="0"/>
    <n v="69"/>
    <n v="69"/>
    <n v="0"/>
    <n v="138"/>
    <x v="16"/>
    <s v="MENA_Programme 5. Alphabétisation et éducation non formelle"/>
    <s v="3. Formation"/>
    <s v="DNAENF"/>
    <s v="DNAENF"/>
    <x v="0"/>
    <x v="0"/>
    <x v="3"/>
    <s v="132- L’offre d’éducation non formelle est diversifiée"/>
    <x v="43"/>
    <s v="13224-Formation des enseignants "/>
  </r>
  <r>
    <s v="Suivi/évaluation de l'application des passerelles"/>
    <s v="supervision"/>
    <s v="sif"/>
    <n v="0"/>
    <n v="1"/>
    <n v="1"/>
    <n v="1"/>
    <n v="3"/>
    <n v="0"/>
    <m/>
    <m/>
    <n v="0"/>
    <m/>
    <m/>
    <x v="6"/>
    <s v="MENA_Programme 5. Alphabétisation et éducation non formelle"/>
    <s v=""/>
    <s v="IRE"/>
    <s v="DCE/DPE"/>
    <x v="0"/>
    <x v="0"/>
    <x v="3"/>
    <s v="132- L’offre d’éducation non formelle est diversifiée"/>
    <x v="43"/>
    <s v="13225-Suivi/évaluation de l'application des passerelles"/>
  </r>
  <r>
    <s v="Diversification des métiers en fonction de l'économie locale"/>
    <s v="travaux administratifs"/>
    <s v="sif"/>
    <n v="0"/>
    <m/>
    <m/>
    <m/>
    <n v="0"/>
    <n v="0"/>
    <m/>
    <m/>
    <n v="0"/>
    <m/>
    <m/>
    <x v="6"/>
    <s v="MENA_Programme 5. Alphabétisation et éducation non formelle"/>
    <s v=""/>
    <s v="DNAENF"/>
    <s v="DNAENF"/>
    <x v="0"/>
    <x v="0"/>
    <x v="3"/>
    <s v="132- L’offre d’éducation non formelle est diversifiée"/>
    <x v="43"/>
    <s v="13226-Diversification des métiers en fonction de l'économie locale"/>
  </r>
  <r>
    <s v="Formation des animateurs à l'approche Nafa"/>
    <s v="Atelier"/>
    <s v="h/f"/>
    <n v="0"/>
    <m/>
    <n v="1500"/>
    <n v="800"/>
    <n v="2300"/>
    <n v="1.5"/>
    <n v="0"/>
    <n v="0"/>
    <n v="2250"/>
    <n v="1200"/>
    <n v="3450"/>
    <x v="6"/>
    <s v="MENA_Programme 5. Alphabétisation et éducation non formelle"/>
    <s v="3. Formation"/>
    <s v="DNAENF"/>
    <s v="DNAENF"/>
    <x v="0"/>
    <x v="0"/>
    <x v="3"/>
    <s v="132- L’offre d’éducation non formelle est diversifiée"/>
    <x v="43"/>
    <s v="13227-Formation des animateurs à l'approche Nafa"/>
  </r>
  <r>
    <s v="Formation des animateurs à l'approche Nafa"/>
    <s v="Atelier"/>
    <s v="h/f"/>
    <n v="0"/>
    <n v="200"/>
    <m/>
    <n v="200"/>
    <n v="400"/>
    <n v="1.5"/>
    <n v="0"/>
    <n v="300"/>
    <n v="0"/>
    <n v="300"/>
    <n v="600"/>
    <x v="16"/>
    <s v="MENA_Programme 5. Alphabétisation et éducation non formelle"/>
    <s v="3. Formation"/>
    <s v="DNAENF"/>
    <s v="DNAENF"/>
    <x v="0"/>
    <x v="0"/>
    <x v="3"/>
    <s v="132- L’offre d’éducation non formelle est diversifiée"/>
    <x v="43"/>
    <s v="13227-Formation des animateurs à l'approche Nafa"/>
  </r>
  <r>
    <s v="Les capacités d’accueil d’éducation non formelle se sont accrues"/>
    <m/>
    <m/>
    <n v="0"/>
    <m/>
    <m/>
    <m/>
    <m/>
    <m/>
    <m/>
    <m/>
    <m/>
    <m/>
    <m/>
    <x v="0"/>
    <m/>
    <m/>
    <m/>
    <m/>
    <x v="0"/>
    <x v="0"/>
    <x v="3"/>
    <s v="133-Les capacités d’accueil d’éducation non formelle se sont accrues"/>
    <x v="44"/>
    <s v="133-Les capacités d’accueil d’éducation non formelle se sont accrues"/>
  </r>
  <r>
    <s v="Construction/Réhabilitation/Renovation des centres NAFA"/>
    <m/>
    <m/>
    <n v="0"/>
    <m/>
    <m/>
    <m/>
    <m/>
    <m/>
    <m/>
    <m/>
    <m/>
    <m/>
    <m/>
    <x v="0"/>
    <m/>
    <m/>
    <m/>
    <m/>
    <x v="0"/>
    <x v="0"/>
    <x v="3"/>
    <s v="133-Les capacités d’accueil d’éducation non formelle se sont accrues"/>
    <x v="45"/>
    <s v="1331-Construction/Réhabilitation/Renovation des centres NAFA"/>
  </r>
  <r>
    <s v="Identification des centres à rénover et des sites de construction de nouveaux centres NAFA (effectuée par les structures déconcentrées)"/>
    <s v="pm"/>
    <s v="sif"/>
    <n v="0"/>
    <m/>
    <m/>
    <m/>
    <m/>
    <n v="0"/>
    <m/>
    <m/>
    <n v="0"/>
    <m/>
    <m/>
    <x v="6"/>
    <s v="MENA_Programme 5. Alphabétisation et éducation non formelle"/>
    <s v=""/>
    <s v="DNAENF"/>
    <s v="BSD"/>
    <x v="0"/>
    <x v="0"/>
    <x v="3"/>
    <s v="133-Les capacités d’accueil d’éducation non formelle se sont accrues"/>
    <x v="45"/>
    <s v="13311-Identification des centres à rénover et des sites de construction de nouveaux centres NAFA (effectuée par les structures déconcentrées)"/>
  </r>
  <r>
    <s v="Réhabilitation des centres existants"/>
    <s v="Réhabilitation"/>
    <s v="réh/nafa"/>
    <n v="0"/>
    <n v="4.0005000000000006"/>
    <n v="4"/>
    <n v="4.8006000000000002"/>
    <n v="12.801100000000002"/>
    <n v="48"/>
    <n v="0"/>
    <n v="192.02400000000003"/>
    <n v="192"/>
    <n v="230.42880000000002"/>
    <n v="614.45280000000002"/>
    <x v="6"/>
    <s v="MENA_Programme 5. Alphabétisation et éducation non formelle"/>
    <s v="5. Investissement"/>
    <s v="SNIES"/>
    <s v="SNIES"/>
    <x v="0"/>
    <x v="0"/>
    <x v="3"/>
    <s v="133-Les capacités d’accueil d’éducation non formelle se sont accrues"/>
    <x v="45"/>
    <s v="13312-Réhabilitation des centres existants"/>
  </r>
  <r>
    <s v="Réhabilitation des centres existants"/>
    <s v="Réhabilitation"/>
    <s v="réh/nafa"/>
    <n v="0"/>
    <n v="0.99949999999999994"/>
    <n v="0.99949999999999994"/>
    <n v="1.1994"/>
    <n v="3.1983999999999999"/>
    <n v="48"/>
    <n v="0"/>
    <n v="47.975999999999999"/>
    <n v="47.975999999999999"/>
    <n v="57.571200000000005"/>
    <n v="153.5232"/>
    <x v="16"/>
    <s v="MENA_Programme 5. Alphabétisation et éducation non formelle"/>
    <s v="5. Investissement"/>
    <s v="SNIES"/>
    <s v="SNIES"/>
    <x v="0"/>
    <x v="0"/>
    <x v="3"/>
    <s v="133-Les capacités d’accueil d’éducation non formelle se sont accrues"/>
    <x v="45"/>
    <s v="13312-Réhabilitation des centres existants"/>
  </r>
  <r>
    <s v="Construction de nouveaux centres Nafa"/>
    <s v="Construction"/>
    <s v="centre/nafa"/>
    <n v="0"/>
    <m/>
    <n v="8"/>
    <n v="8.8000000000000007"/>
    <n v="16.8"/>
    <n v="320"/>
    <n v="0"/>
    <n v="0"/>
    <n v="2560"/>
    <n v="2816"/>
    <n v="5376"/>
    <x v="6"/>
    <s v="MENA_Programme 5. Alphabétisation et éducation non formelle"/>
    <s v="5. Investissement"/>
    <s v="SNIES"/>
    <s v="SNIES"/>
    <x v="0"/>
    <x v="0"/>
    <x v="3"/>
    <s v="133-Les capacités d’accueil d’éducation non formelle se sont accrues"/>
    <x v="45"/>
    <s v="13313-Construction de nouveaux centres Nafa"/>
  </r>
  <r>
    <s v="Construction de nouveaux centres Nafa"/>
    <s v="Construction"/>
    <s v="centre/nafa"/>
    <n v="0"/>
    <m/>
    <n v="2"/>
    <n v="2.2000000000000002"/>
    <n v="4.2"/>
    <n v="320"/>
    <n v="0"/>
    <n v="0"/>
    <n v="640"/>
    <n v="704"/>
    <n v="1344"/>
    <x v="16"/>
    <s v="MENA_Programme 5. Alphabétisation et éducation non formelle"/>
    <s v="5. Investissement"/>
    <s v="SNIES"/>
    <s v="SNIES"/>
    <x v="0"/>
    <x v="0"/>
    <x v="3"/>
    <s v="133-Les capacités d’accueil d’éducation non formelle se sont accrues"/>
    <x v="45"/>
    <s v="13313-Construction de nouveaux centres Nafa"/>
  </r>
  <r>
    <s v="Supervision des travaux de construction/réhabilitation des centres Nafa"/>
    <s v="Supervision"/>
    <s v="sup"/>
    <n v="0"/>
    <n v="0"/>
    <n v="2.9994999999999998"/>
    <n v="3.3994"/>
    <n v="6.3988999999999994"/>
    <n v="7.1760000000000002"/>
    <n v="0"/>
    <n v="0"/>
    <n v="21.524411999999998"/>
    <n v="24.3940944"/>
    <n v="45.918506399999998"/>
    <x v="6"/>
    <s v="MENA_Programme 5. Alphabétisation et éducation non formelle"/>
    <s v="3. Dépenses de fonctionnement"/>
    <s v="SNIES"/>
    <s v="IRE/DPE/DCE"/>
    <x v="0"/>
    <x v="0"/>
    <x v="3"/>
    <s v="133-Les capacités d’accueil d’éducation non formelle se sont accrues"/>
    <x v="45"/>
    <s v="13314-Supervision des travaux de construction/réhabilitation des centres Nafa"/>
  </r>
  <r>
    <s v="Dotation des centres NAFA en équipements et mobilier"/>
    <m/>
    <m/>
    <n v="0"/>
    <m/>
    <m/>
    <m/>
    <m/>
    <m/>
    <m/>
    <m/>
    <m/>
    <m/>
    <m/>
    <x v="0"/>
    <m/>
    <m/>
    <m/>
    <m/>
    <x v="0"/>
    <x v="0"/>
    <x v="3"/>
    <s v="133-Les capacités d’accueil d’éducation non formelle se sont accrues"/>
    <x v="46"/>
    <s v="1332-Dotation des centres NAFA en équipements et mobilier"/>
  </r>
  <r>
    <s v="Estimation des besoins en mobilier et équipement des centres Nafa"/>
    <s v="travaux administratifs"/>
    <s v="sif"/>
    <n v="0"/>
    <n v="1"/>
    <m/>
    <m/>
    <n v="1"/>
    <n v="0"/>
    <m/>
    <m/>
    <n v="0"/>
    <m/>
    <m/>
    <x v="6"/>
    <s v="MENA_Programme 5. Alphabétisation et éducation non formelle"/>
    <s v=""/>
    <s v="DNAENF"/>
    <s v="BSD"/>
    <x v="0"/>
    <x v="0"/>
    <x v="3"/>
    <s v="133-Les capacités d’accueil d’éducation non formelle se sont accrues"/>
    <x v="46"/>
    <s v="13321-Estimation des besoins en mobilier et équipement des centres Nafa"/>
  </r>
  <r>
    <s v="Acquisition et distribution des mobiliers pour les nouveaux centres Nafa"/>
    <s v="mobilier"/>
    <s v="mob/nafa"/>
    <n v="0"/>
    <m/>
    <n v="2"/>
    <n v="2.2000000000000002"/>
    <n v="4.2"/>
    <n v="10.012499999999999"/>
    <n v="0"/>
    <n v="0"/>
    <n v="20.024999999999999"/>
    <n v="22.0275"/>
    <n v="42.052499999999995"/>
    <x v="6"/>
    <s v="MENA_Programme 5. Alphabétisation et éducation non formelle"/>
    <s v="5. Investissement"/>
    <s v="SNIES"/>
    <s v="SNIES"/>
    <x v="0"/>
    <x v="0"/>
    <x v="3"/>
    <s v="133-Les capacités d’accueil d’éducation non formelle se sont accrues"/>
    <x v="46"/>
    <s v="13322-Acquisition et distribution des mobiliers pour les nouveaux centres Nafa"/>
  </r>
  <r>
    <s v="Acquisition et distribution des équipements pour les centres Nafa"/>
    <s v="équipement "/>
    <s v="EQ/nafa"/>
    <n v="0"/>
    <n v="0.79929990000000017"/>
    <n v="2.3976000000000002"/>
    <n v="2.7173998799999999"/>
    <n v="5.9142997800000003"/>
    <n v="8.3363318181818169"/>
    <n v="0"/>
    <n v="6.6632291886395461"/>
    <n v="19.987189167272724"/>
    <n v="22.65314708236745"/>
    <n v="49.303565438279719"/>
    <x v="6"/>
    <s v="MENA_Programme 5. Alphabétisation et éducation non formelle"/>
    <s v="5. Investissement"/>
    <s v="DNAENF"/>
    <s v="DNAENF"/>
    <x v="0"/>
    <x v="0"/>
    <x v="3"/>
    <s v="133-Les capacités d’accueil d’éducation non formelle se sont accrues"/>
    <x v="46"/>
    <s v="13323-Acquisition et distribution des équipements pour les centres Nafa"/>
  </r>
  <r>
    <s v="Acquisition et distribution des équipements pour les centres Nafa"/>
    <s v="équipement "/>
    <s v="EQ/nafa"/>
    <n v="0"/>
    <n v="3.2012001000000003"/>
    <n v="9.6023999999999994"/>
    <n v="10.88320012"/>
    <n v="23.686800220000002"/>
    <n v="8.3363318181818169"/>
    <n v="0"/>
    <n v="26.686266249996816"/>
    <n v="80.048792650909078"/>
    <n v="90.725967443996169"/>
    <n v="197.46102634490205"/>
    <x v="16"/>
    <s v="MENA_Programme 5. Alphabétisation et éducation non formelle"/>
    <s v="5. Investissement"/>
    <s v="DNAENF"/>
    <s v="DNAENF"/>
    <x v="0"/>
    <x v="0"/>
    <x v="3"/>
    <s v="133-Les capacités d’accueil d’éducation non formelle se sont accrues"/>
    <x v="46"/>
    <s v="13323-Acquisition et distribution des équipements pour les centres Nafa"/>
  </r>
  <r>
    <s v="Suivi de la distribution des mobiliers et équipements des centres Nafa"/>
    <s v="PM"/>
    <s v="sif"/>
    <n v="0"/>
    <n v="1"/>
    <n v="1"/>
    <n v="1"/>
    <n v="3"/>
    <n v="0"/>
    <m/>
    <m/>
    <n v="0"/>
    <m/>
    <m/>
    <x v="6"/>
    <s v="MENA_Programme 5. Alphabétisation et éducation non formelle"/>
    <s v=""/>
    <s v="DNAENF"/>
    <s v="IRE/DPE/DCE"/>
    <x v="0"/>
    <x v="0"/>
    <x v="3"/>
    <s v="133-Les capacités d’accueil d’éducation non formelle se sont accrues"/>
    <x v="46"/>
    <s v="13324-Suivi de la distribution des mobiliers et équipements des centres Nafa"/>
  </r>
  <r>
    <s v="Dotation des centres NAFA en matières d'œuvre"/>
    <m/>
    <m/>
    <n v="0"/>
    <m/>
    <m/>
    <m/>
    <m/>
    <m/>
    <m/>
    <m/>
    <m/>
    <m/>
    <m/>
    <x v="0"/>
    <m/>
    <m/>
    <m/>
    <m/>
    <x v="0"/>
    <x v="0"/>
    <x v="3"/>
    <s v="133-Les capacités d’accueil d’éducation non formelle se sont accrues"/>
    <x v="47"/>
    <s v="1333-Dotation des centres NAFA en matières d'œuvre"/>
  </r>
  <r>
    <s v="Acquisition et distribution de matières d'œuvre "/>
    <s v="Dotation par centre"/>
    <s v="dot/nafa"/>
    <n v="0"/>
    <m/>
    <m/>
    <m/>
    <n v="0"/>
    <n v="5.75"/>
    <n v="0"/>
    <n v="0"/>
    <n v="0"/>
    <n v="0"/>
    <n v="0"/>
    <x v="8"/>
    <s v="MENA_Programme 5. Alphabétisation et éducation non formelle"/>
    <s v="3. Manuels scolaires et matériels pédagogiques"/>
    <s v="DNAENF"/>
    <s v="IRE"/>
    <x v="0"/>
    <x v="0"/>
    <x v="3"/>
    <s v="133-Les capacités d’accueil d’éducation non formelle se sont accrues"/>
    <x v="47"/>
    <s v="13331-Acquisition et distribution de matières d'œuvre "/>
  </r>
  <r>
    <s v="Acquisition et distribution de matières d'œuvre "/>
    <s v="Dotation par centre"/>
    <s v="dot/nafa"/>
    <n v="0"/>
    <n v="112"/>
    <n v="230.40240019999999"/>
    <n v="240.00480019999998"/>
    <n v="582.40720039999997"/>
    <n v="5.75"/>
    <n v="0"/>
    <n v="644"/>
    <n v="1324.81380115"/>
    <n v="1380.0276011499998"/>
    <n v="3348.8414022999996"/>
    <x v="6"/>
    <s v="MENA_Programme 5. Alphabétisation et éducation non formelle"/>
    <s v="3. Manuels scolaires et matériels pédagogiques"/>
    <s v="DNAENF"/>
    <s v="IRE"/>
    <x v="0"/>
    <x v="0"/>
    <x v="3"/>
    <s v="133-Les capacités d’accueil d’éducation non formelle se sont accrues"/>
    <x v="47"/>
    <s v="13331-Acquisition et distribution de matières d'œuvre "/>
  </r>
  <r>
    <s v="Suivi/évaluation de la distribution des matières d'œuvre"/>
    <s v="Mission"/>
    <s v="h/j/m"/>
    <n v="0"/>
    <n v="112"/>
    <n v="112"/>
    <n v="112"/>
    <n v="336"/>
    <n v="0.8177777777777776"/>
    <n v="0"/>
    <n v="91.59111111111109"/>
    <n v="91.59111111111109"/>
    <n v="91.59111111111109"/>
    <n v="274.77333333333326"/>
    <x v="6"/>
    <s v="MENA_Programme 5. Alphabétisation et éducation non formelle"/>
    <s v="3. Dépenses de fonctionnement"/>
    <s v="DNAENF"/>
    <s v="DNAENF"/>
    <x v="0"/>
    <x v="0"/>
    <x v="3"/>
    <s v="133-Les capacités d’accueil d’éducation non formelle se sont accrues"/>
    <x v="47"/>
    <s v="13332-Suivi/évaluation de la distribution des matières d'œuvre"/>
  </r>
  <r>
    <s v=" Accès et équité au collège"/>
    <m/>
    <m/>
    <n v="0"/>
    <m/>
    <m/>
    <m/>
    <m/>
    <m/>
    <m/>
    <m/>
    <m/>
    <m/>
    <m/>
    <x v="0"/>
    <m/>
    <m/>
    <m/>
    <m/>
    <x v="0"/>
    <x v="0"/>
    <x v="4"/>
    <s v="14- Accès et équité au collège"/>
    <x v="48"/>
    <s v="14- Accès et équité au collège"/>
  </r>
  <r>
    <s v=" L’accès au collège est amélioré en tenant compte de l’équité et de l’élargissement de l’éducation de base"/>
    <m/>
    <m/>
    <n v="0"/>
    <m/>
    <m/>
    <m/>
    <m/>
    <m/>
    <m/>
    <m/>
    <m/>
    <m/>
    <m/>
    <x v="0"/>
    <m/>
    <m/>
    <m/>
    <m/>
    <x v="0"/>
    <x v="0"/>
    <x v="4"/>
    <s v="141- L’accès au collège est amélioré en tenant compte de l’équité et de l’élargissement de l’éducation de base"/>
    <x v="49"/>
    <s v="141- L’accès au collège est amélioré en tenant compte de l’équité et de l’élargissement de l’éducation de base"/>
  </r>
  <r>
    <s v="Réorganisation du collège (tronc commun, collège de proximité etc)"/>
    <m/>
    <m/>
    <n v="0"/>
    <m/>
    <m/>
    <m/>
    <m/>
    <m/>
    <m/>
    <m/>
    <m/>
    <m/>
    <m/>
    <x v="0"/>
    <m/>
    <m/>
    <m/>
    <m/>
    <x v="0"/>
    <x v="0"/>
    <x v="4"/>
    <s v="141- L’accès au collège est amélioré en tenant compte de l’équité et de l’élargissement de l’éducation de base"/>
    <x v="50"/>
    <s v="1411-Réorganisation du collège (tronc commun, collège de proximité etc)"/>
  </r>
  <r>
    <s v="Révision des textes de fonctionnement des collèges"/>
    <s v="travaux administratifs"/>
    <s v="sif"/>
    <n v="0"/>
    <n v="1"/>
    <m/>
    <m/>
    <n v="1"/>
    <n v="0"/>
    <m/>
    <m/>
    <m/>
    <m/>
    <m/>
    <x v="2"/>
    <s v="MENA_Sous-programme 4.1. Collège "/>
    <s v=""/>
    <s v="DNESGT"/>
    <s v="DNESGT"/>
    <x v="0"/>
    <x v="0"/>
    <x v="4"/>
    <s v="141- L’accès au collège est amélioré en tenant compte de l’équité et de l’élargissement de l’éducation de base"/>
    <x v="50"/>
    <s v="14111-Révision des textes de fonctionnement des collèges"/>
  </r>
  <r>
    <s v="Diffusion et partage des nouveaux textes"/>
    <s v="Atelier"/>
    <s v="h/j/a"/>
    <n v="0"/>
    <n v="432"/>
    <m/>
    <m/>
    <n v="432"/>
    <n v="0.3133333333333333"/>
    <n v="0"/>
    <n v="135.35999999999999"/>
    <n v="0"/>
    <n v="0"/>
    <n v="135.35999999999999"/>
    <x v="6"/>
    <s v="MENA_Sous-programme 4.1. Collège "/>
    <s v="3. Formation"/>
    <s v="DNESGT"/>
    <s v="DNESGT"/>
    <x v="0"/>
    <x v="0"/>
    <x v="4"/>
    <s v="141- L’accès au collège est amélioré en tenant compte de l’équité et de l’élargissement de l’éducation de base"/>
    <x v="50"/>
    <s v="14112-Diffusion et partage des nouveaux textes"/>
  </r>
  <r>
    <s v="Adaptation des curricula des collèges (voir qualité)"/>
    <s v="PM"/>
    <s v="sif"/>
    <n v="0"/>
    <m/>
    <m/>
    <m/>
    <m/>
    <n v="0"/>
    <m/>
    <m/>
    <m/>
    <m/>
    <m/>
    <x v="2"/>
    <s v="MENA_Sous-programme 4.1. Collège "/>
    <s v=""/>
    <s v="DNESGT"/>
    <s v="INRAP"/>
    <x v="0"/>
    <x v="0"/>
    <x v="4"/>
    <s v="141- L’accès au collège est amélioré en tenant compte de l’équité et de l’élargissement de l’éducation de base"/>
    <x v="50"/>
    <s v="14113-Adaptation des curricula des collèges (voir qualité)"/>
  </r>
  <r>
    <s v="Introduction progressive de l'apprentissage des métiers traditionnels locaux au collège"/>
    <s v="Décision"/>
    <s v="sif"/>
    <n v="0"/>
    <m/>
    <n v="1"/>
    <m/>
    <n v="1"/>
    <n v="0"/>
    <m/>
    <m/>
    <m/>
    <m/>
    <m/>
    <x v="2"/>
    <s v="MENA_Sous-programme 4.1. Collège "/>
    <s v=""/>
    <s v="DNESGT"/>
    <s v="DNESGT"/>
    <x v="0"/>
    <x v="0"/>
    <x v="4"/>
    <s v="141- L’accès au collège est amélioré en tenant compte de l’équité et de l’élargissement de l’éducation de base"/>
    <x v="50"/>
    <s v="14114-Introduction progressive de l'apprentissage des métiers traditionnels locaux au collège"/>
  </r>
  <r>
    <s v="Suivi/évaluation du fonctionnement des nouveaux collèges (voir implantation des nouveaux programmes)"/>
    <s v="PM"/>
    <s v="sif"/>
    <n v="0"/>
    <m/>
    <m/>
    <m/>
    <m/>
    <n v="0"/>
    <m/>
    <m/>
    <m/>
    <m/>
    <m/>
    <x v="2"/>
    <s v="MENA_Sous-programme 4.1. Collège "/>
    <s v=""/>
    <s v="DNESGT"/>
    <s v="IGE"/>
    <x v="0"/>
    <x v="0"/>
    <x v="4"/>
    <s v="141- L’accès au collège est amélioré en tenant compte de l’équité et de l’élargissement de l’éducation de base"/>
    <x v="50"/>
    <s v="14115-Suivi/évaluation du fonctionnement des nouveaux collèges (voir implantation des nouveaux programmes)"/>
  </r>
  <r>
    <s v="Optimisation de l’utilisation des salles de classe au collège, y compris les FA"/>
    <m/>
    <m/>
    <n v="0"/>
    <m/>
    <m/>
    <m/>
    <m/>
    <m/>
    <m/>
    <m/>
    <m/>
    <m/>
    <m/>
    <x v="0"/>
    <m/>
    <m/>
    <m/>
    <m/>
    <x v="0"/>
    <x v="0"/>
    <x v="4"/>
    <s v="141- L’accès au collège est amélioré en tenant compte de l’équité et de l’élargissement de l’éducation de base"/>
    <x v="51"/>
    <s v="1412-Optimisation de l’utilisation des salles de classe au collège, y compris les FA"/>
  </r>
  <r>
    <s v="Généralisation progressive de la stratégie de double flux aux collèges ruraux"/>
    <s v="Décision"/>
    <s v="sif"/>
    <n v="0"/>
    <m/>
    <n v="1"/>
    <m/>
    <n v="1"/>
    <n v="0"/>
    <m/>
    <m/>
    <m/>
    <m/>
    <m/>
    <x v="2"/>
    <s v="MENA_Sous-programme 4.1. Collège "/>
    <s v=""/>
    <s v="DNESGT"/>
    <s v="DNESGT"/>
    <x v="0"/>
    <x v="0"/>
    <x v="4"/>
    <s v="141- L’accès au collège est amélioré en tenant compte de l’équité et de l’élargissement de l’éducation de base"/>
    <x v="51"/>
    <s v="14121-Généralisation progressive de la stratégie de double flux aux collèges ruraux"/>
  </r>
  <r>
    <s v="Suivi/évaluation du fonctionnement des double-flux collèges (Pris en compte dans les budgets des IRE)"/>
    <s v="PM"/>
    <s v="sif"/>
    <n v="0"/>
    <m/>
    <m/>
    <n v="1"/>
    <n v="1"/>
    <n v="0"/>
    <m/>
    <m/>
    <m/>
    <m/>
    <m/>
    <x v="2"/>
    <s v="MENA_Sous-programme 4.1. Collège "/>
    <s v=""/>
    <s v="DNESGT"/>
    <s v="IGE"/>
    <x v="0"/>
    <x v="0"/>
    <x v="4"/>
    <s v="141- L’accès au collège est amélioré en tenant compte de l’équité et de l’élargissement de l’éducation de base"/>
    <x v="51"/>
    <s v="14122-Suivi/évaluation du fonctionnement des double-flux collèges (Pris en compte dans les budgets des IRE)"/>
  </r>
  <r>
    <s v="Construction/réhabilitation/rénovation de salles de classe avec rampe d’accès au Collège en tenant compte de la prévention des catastrophes naturelles, y compris les FA"/>
    <m/>
    <m/>
    <n v="0"/>
    <m/>
    <m/>
    <m/>
    <m/>
    <m/>
    <m/>
    <m/>
    <m/>
    <m/>
    <m/>
    <x v="0"/>
    <m/>
    <m/>
    <m/>
    <m/>
    <x v="0"/>
    <x v="0"/>
    <x v="4"/>
    <s v="141- L’accès au collège est amélioré en tenant compte de l’équité et de l’élargissement de l’éducation de base"/>
    <x v="52"/>
    <s v="1413-Construction/réhabilitation/rénovation de salles de classe avec rampe d’accès au Collège en tenant compte de la prévention des catastrophes naturelles, y compris les FA"/>
  </r>
  <r>
    <s v="Identification des établissements et des localités devant bénéficier de construction de réhabilitation ou de rénovation de salles de classe au Collège (budget IRE)"/>
    <s v="PM"/>
    <s v="sif"/>
    <n v="0"/>
    <n v="1"/>
    <n v="1"/>
    <n v="1"/>
    <n v="3"/>
    <n v="0"/>
    <m/>
    <m/>
    <m/>
    <m/>
    <m/>
    <x v="2"/>
    <s v="MENA_Sous-programme 4.1. Collège "/>
    <s v=""/>
    <s v="BSD"/>
    <s v="IRE"/>
    <x v="0"/>
    <x v="0"/>
    <x v="4"/>
    <s v="141- L’accès au collège est amélioré en tenant compte de l’équité et de l’élargissement de l’éducation de base"/>
    <x v="52"/>
    <s v="14131-Identification des établissements et des localités devant bénéficier de construction de réhabilitation ou de rénovation de salles de classe au Collège (budget IRE)"/>
  </r>
  <r>
    <s v="Validation des sites devant bénéficier de construction de salles de classe"/>
    <s v="Mission"/>
    <s v="h/j/m"/>
    <n v="0"/>
    <n v="140"/>
    <n v="96"/>
    <n v="112"/>
    <n v="348"/>
    <n v="0.8177777777777776"/>
    <n v="0"/>
    <n v="114.48888888888887"/>
    <n v="78.506666666666646"/>
    <n v="91.59111111111109"/>
    <n v="284.58666666666659"/>
    <x v="6"/>
    <s v="MENA_Sous-programme 4.1. Collège "/>
    <s v="3. Dépenses de fonctionnement"/>
    <s v="BSD"/>
    <s v="SNIES"/>
    <x v="0"/>
    <x v="0"/>
    <x v="4"/>
    <s v="141- L’accès au collège est amélioré en tenant compte de l’équité et de l’élargissement de l’éducation de base"/>
    <x v="52"/>
    <s v="14132-Validation des sites devant bénéficier de construction de salles de classe"/>
  </r>
  <r>
    <s v="Réalisation des travaux de réhabilitation ou de rénovation des salles de classe"/>
    <s v="Réhabilitation"/>
    <s v="réh/sdc/col"/>
    <n v="0"/>
    <n v="21.6"/>
    <n v="54"/>
    <n v="32.4"/>
    <n v="108"/>
    <n v="33.75"/>
    <n v="0"/>
    <n v="729"/>
    <n v="1822.5"/>
    <n v="1093.5"/>
    <n v="3645"/>
    <x v="2"/>
    <s v="MENA_Sous-programme 4.1. Collège "/>
    <s v="5. Investissement"/>
    <s v="SNIES"/>
    <s v="SNIES"/>
    <x v="0"/>
    <x v="0"/>
    <x v="4"/>
    <s v="141- L’accès au collège est amélioré en tenant compte de l’équité et de l’élargissement de l’éducation de base"/>
    <x v="52"/>
    <s v="14133-Réalisation des travaux de réhabilitation ou de rénovation des salles de classe"/>
  </r>
  <r>
    <s v="Réalisation des travaux de construction des salles de classe"/>
    <s v="Construction"/>
    <s v="cons/sdc/col"/>
    <n v="0"/>
    <m/>
    <m/>
    <m/>
    <n v="0"/>
    <n v="187.5"/>
    <n v="0"/>
    <n v="0"/>
    <n v="0"/>
    <n v="0"/>
    <n v="0"/>
    <x v="8"/>
    <s v="MENA_Sous-programme 4.1. Collège "/>
    <s v="5. Investissement"/>
    <s v="SNIES"/>
    <s v="SNIES"/>
    <x v="0"/>
    <x v="0"/>
    <x v="4"/>
    <s v="141- L’accès au collège est amélioré en tenant compte de l’équité et de l’élargissement de l’éducation de base"/>
    <x v="52"/>
    <s v="14134-Réalisation des travaux de construction des salles de classe"/>
  </r>
  <r>
    <s v="Réalisation des travaux de construction des salles de classe"/>
    <s v="Construction"/>
    <s v="cons/sdc/col"/>
    <n v="0"/>
    <n v="376.20000000000005"/>
    <n v="840.5"/>
    <n v="464.29999999999995"/>
    <n v="1681"/>
    <n v="187.5"/>
    <n v="0"/>
    <n v="70537.500000000015"/>
    <n v="157593.75"/>
    <n v="87056.249999999985"/>
    <n v="315187.5"/>
    <x v="2"/>
    <s v="MENA_Sous-programme 4.1. Collège "/>
    <s v="5. Investissement"/>
    <s v="SNIES"/>
    <s v="SNIES"/>
    <x v="0"/>
    <x v="0"/>
    <x v="4"/>
    <s v="141- L’accès au collège est amélioré en tenant compte de l’équité et de l’élargissement de l’éducation de base"/>
    <x v="52"/>
    <s v="14134-Réalisation des travaux de construction des salles de classe"/>
  </r>
  <r>
    <s v="Réalisation des travaux de construction des salles de classe"/>
    <s v="Construction"/>
    <s v="cons/sdc/col"/>
    <n v="0"/>
    <n v="0"/>
    <n v="100"/>
    <n v="100"/>
    <n v="200"/>
    <n v="187.5"/>
    <n v="0"/>
    <n v="0"/>
    <n v="18750"/>
    <n v="18750"/>
    <n v="37500"/>
    <x v="6"/>
    <s v="MENA_Sous-programme 4.1. Collège "/>
    <s v="5. Investissement"/>
    <s v="SNIES"/>
    <s v="SNIES"/>
    <x v="0"/>
    <x v="0"/>
    <x v="4"/>
    <s v="141- L’accès au collège est amélioré en tenant compte de l’équité et de l’élargissement de l’éducation de base"/>
    <x v="52"/>
    <s v="14134-Réalisation des travaux de construction des salles de classe"/>
  </r>
  <r>
    <s v="Construction de 63 classes, latrines et équipement (maitrise d'ouvrage partenaire)"/>
    <s v="Construction"/>
    <s v="conscol/japon"/>
    <n v="0"/>
    <m/>
    <m/>
    <m/>
    <n v="0"/>
    <n v="619.27313664596227"/>
    <n v="0"/>
    <n v="0"/>
    <n v="0"/>
    <n v="0"/>
    <n v="0"/>
    <x v="16"/>
    <s v="MENA_Sous-programme 4.1. Collège "/>
    <s v="5. Investissement"/>
    <s v="SNIES"/>
    <s v="SNIES"/>
    <x v="0"/>
    <x v="0"/>
    <x v="4"/>
    <s v="141- L’accès au collège est amélioré en tenant compte de l’équité et de l’élargissement de l’éducation de base"/>
    <x v="52"/>
    <s v="14135-Construction de 63 classes, latrines et équipement (maitrise d'ouvrage partenaire)"/>
  </r>
  <r>
    <s v="Equipement des salles de classe en mobiliers scolaires"/>
    <s v="Mobilier"/>
    <s v="EQ/SDC/col"/>
    <n v="0"/>
    <m/>
    <m/>
    <m/>
    <n v="0"/>
    <n v="35"/>
    <n v="0"/>
    <n v="0"/>
    <n v="0"/>
    <n v="0"/>
    <n v="0"/>
    <x v="8"/>
    <s v="MENA_Sous-programme 4.1. Collège "/>
    <s v="5. Investissement"/>
    <s v="SNIES"/>
    <s v="SNIES"/>
    <x v="0"/>
    <x v="0"/>
    <x v="4"/>
    <s v="141- L’accès au collège est amélioré en tenant compte de l’équité et de l’élargissement de l’éducation de base"/>
    <x v="52"/>
    <s v="14136-Equipement des salles de classe en mobiliers scolaires"/>
  </r>
  <r>
    <s v="Equipement des salles de classe en mobiliers scolaires"/>
    <s v="Mobilier"/>
    <s v="EQ/SDC/col"/>
    <n v="0"/>
    <n v="0"/>
    <n v="100"/>
    <n v="100"/>
    <n v="200"/>
    <n v="35"/>
    <n v="0"/>
    <n v="0"/>
    <n v="3500"/>
    <n v="3500"/>
    <n v="7000"/>
    <x v="6"/>
    <s v="MENA_Sous-programme 4.1. Collège "/>
    <s v="5. Investissement"/>
    <s v="SNIES"/>
    <s v="SNIES"/>
    <x v="0"/>
    <x v="0"/>
    <x v="4"/>
    <s v="141- L’accès au collège est amélioré en tenant compte de l’équité et de l’élargissement de l’éducation de base"/>
    <x v="52"/>
    <s v="14136-Equipement des salles de classe en mobiliers scolaires"/>
  </r>
  <r>
    <s v="Equipement des salles de classe en mobiliers scolaires"/>
    <s v="Mobilier"/>
    <s v="EQ/SDC/col"/>
    <n v="0"/>
    <n v="21.6"/>
    <n v="54"/>
    <n v="32.4"/>
    <n v="108"/>
    <n v="35"/>
    <n v="0"/>
    <n v="756"/>
    <n v="1890"/>
    <n v="1134"/>
    <n v="3780"/>
    <x v="2"/>
    <s v="MENA_Sous-programme 4.1. Collège "/>
    <s v="5. Investissement"/>
    <s v="SNIES"/>
    <s v="SNIES"/>
    <x v="0"/>
    <x v="0"/>
    <x v="4"/>
    <s v="141- L’accès au collège est amélioré en tenant compte de l’équité et de l’élargissement de l’éducation de base"/>
    <x v="52"/>
    <s v="14136-Equipement des salles de classe en mobiliers scolaires"/>
  </r>
  <r>
    <s v="Supervision de la construction, réhabilitation et de l'équipement des salles de classe"/>
    <s v="Mission"/>
    <s v="sup"/>
    <n v="0"/>
    <m/>
    <m/>
    <m/>
    <n v="0"/>
    <n v="7.1760000000000002"/>
    <n v="0"/>
    <n v="0"/>
    <n v="0"/>
    <n v="0"/>
    <n v="0"/>
    <x v="8"/>
    <s v="MENA_Sous-programme 4.1. Collège "/>
    <s v="3. Dépenses de fonctionnement"/>
    <s v="SNIES"/>
    <s v="IRE"/>
    <x v="0"/>
    <x v="0"/>
    <x v="4"/>
    <s v="141- L’accès au collège est amélioré en tenant compte de l’équité et de l’élargissement de l’éducation de base"/>
    <x v="52"/>
    <s v="14137-Supervision de la construction, réhabilitation et de l'équipement des salles de classe"/>
  </r>
  <r>
    <s v="Supervision de la construction, réhabilitation et de l'équipement des salles de classe"/>
    <s v="Mission"/>
    <s v="sup"/>
    <n v="0"/>
    <m/>
    <m/>
    <m/>
    <n v="0"/>
    <n v="7.1760000000000002"/>
    <n v="0"/>
    <n v="0"/>
    <n v="0"/>
    <n v="0"/>
    <n v="0"/>
    <x v="8"/>
    <s v="MENA_Sous-programme 4.1. Collège "/>
    <s v="3. Dépenses de fonctionnement"/>
    <s v="SNIES"/>
    <s v="IRE"/>
    <x v="0"/>
    <x v="0"/>
    <x v="4"/>
    <s v="141- L’accès au collège est amélioré en tenant compte de l’équité et de l’élargissement de l’éducation de base"/>
    <x v="52"/>
    <s v="14137-Supervision de la construction, réhabilitation et de l'équipement des salles de classe"/>
  </r>
  <r>
    <s v="Supervision de la construction, réhabilitation et de l'équipement des salles de classe"/>
    <s v="Mission"/>
    <s v="sup"/>
    <n v="0"/>
    <n v="0"/>
    <n v="100"/>
    <n v="100"/>
    <n v="200"/>
    <n v="7.1760000000000002"/>
    <n v="0"/>
    <n v="0"/>
    <n v="717.6"/>
    <n v="717.6"/>
    <n v="1435.2"/>
    <x v="6"/>
    <s v="MENA_Sous-programme 4.1. Collège "/>
    <s v="3. Dépenses de fonctionnement"/>
    <s v="SNIES"/>
    <s v="IRE"/>
    <x v="0"/>
    <x v="0"/>
    <x v="4"/>
    <s v="141- L’accès au collège est amélioré en tenant compte de l’équité et de l’élargissement de l’éducation de base"/>
    <x v="52"/>
    <s v="14137-Supervision de la construction, réhabilitation et de l'équipement des salles de classe"/>
  </r>
  <r>
    <s v="Supervision de la construction, réhabilitation et de l'équipement des salles de classe"/>
    <s v="Mission"/>
    <s v="sup"/>
    <n v="0"/>
    <n v="21.6"/>
    <n v="54"/>
    <n v="32.4"/>
    <n v="108"/>
    <n v="7.1760000000000002"/>
    <n v="0"/>
    <n v="155.00160000000002"/>
    <n v="387.50400000000002"/>
    <n v="232.50239999999999"/>
    <n v="775.00800000000004"/>
    <x v="2"/>
    <s v="MENA_Sous-programme 4.1. Collège "/>
    <s v="3. Dépenses de fonctionnement"/>
    <s v="SNIES"/>
    <s v="IRE"/>
    <x v="0"/>
    <x v="0"/>
    <x v="4"/>
    <s v="141- L’accès au collège est amélioré en tenant compte de l’équité et de l’élargissement de l’éducation de base"/>
    <x v="52"/>
    <s v="14137-Supervision de la construction, réhabilitation et de l'équipement des salles de classe"/>
  </r>
  <r>
    <s v=" Tous les Collèges publics sont dotés en enseignants en nombre suffisant "/>
    <m/>
    <m/>
    <n v="0"/>
    <m/>
    <m/>
    <m/>
    <m/>
    <m/>
    <m/>
    <m/>
    <m/>
    <m/>
    <m/>
    <x v="0"/>
    <m/>
    <m/>
    <m/>
    <m/>
    <x v="0"/>
    <x v="0"/>
    <x v="4"/>
    <s v="142- Tous les Collèges publics sont dotés en enseignants en nombre suffisant "/>
    <x v="53"/>
    <s v="142- Tous les Collèges publics sont dotés en enseignants en nombre suffisant "/>
  </r>
  <r>
    <s v="Recrutement d’enseignants en nombre suffisant"/>
    <m/>
    <m/>
    <n v="0"/>
    <m/>
    <m/>
    <m/>
    <m/>
    <m/>
    <m/>
    <m/>
    <m/>
    <m/>
    <m/>
    <x v="0"/>
    <m/>
    <m/>
    <m/>
    <m/>
    <x v="0"/>
    <x v="0"/>
    <x v="4"/>
    <s v="142- Tous les Collèges publics sont dotés en enseignants en nombre suffisant "/>
    <x v="54"/>
    <s v="1421-Recrutement d’enseignants en nombre suffisant"/>
  </r>
  <r>
    <s v="Identification des besoins en tenant compte des capacités d'accueil"/>
    <s v="travaux administratifs"/>
    <s v="sif"/>
    <n v="0"/>
    <n v="1"/>
    <n v="1"/>
    <n v="1"/>
    <n v="3"/>
    <n v="0"/>
    <m/>
    <m/>
    <m/>
    <m/>
    <m/>
    <x v="2"/>
    <s v="MENA_Sous-programme 4.1. Collège "/>
    <s v=""/>
    <s v="DRH"/>
    <s v="BSD/IRE"/>
    <x v="0"/>
    <x v="0"/>
    <x v="4"/>
    <s v="142- Tous les Collèges publics sont dotés en enseignants en nombre suffisant "/>
    <x v="54"/>
    <s v="14211-Identification des besoins en tenant compte des capacités d'accueil"/>
  </r>
  <r>
    <s v="Organisation de concours de recrutement des enseignants au niveau déconcentré/décentralisé "/>
    <s v="MP"/>
    <s v="sif"/>
    <n v="0"/>
    <n v="1"/>
    <n v="1"/>
    <n v="1"/>
    <n v="3"/>
    <n v="0"/>
    <m/>
    <m/>
    <m/>
    <m/>
    <m/>
    <x v="2"/>
    <s v="MENA_Sous-programme 4.1. Collège "/>
    <s v=""/>
    <s v="DRH"/>
    <s v="IRE"/>
    <x v="0"/>
    <x v="0"/>
    <x v="4"/>
    <s v="142- Tous les Collèges publics sont dotés en enseignants en nombre suffisant "/>
    <x v="54"/>
    <s v="14212-Organisation de concours de recrutement des enseignants au niveau déconcentré/décentralisé "/>
  </r>
  <r>
    <s v="Prise en charge des candidats retenus après leur prise de service"/>
    <s v="Salaire"/>
    <s v="sal/ens/col"/>
    <n v="0"/>
    <n v="1103"/>
    <n v="1198"/>
    <n v="1292"/>
    <n v="3593"/>
    <n v="24.008179985529882"/>
    <n v="0"/>
    <n v="26481.022524039461"/>
    <n v="28761.799622664799"/>
    <n v="31018.568541304609"/>
    <n v="86261.390688008862"/>
    <x v="2"/>
    <s v="MENA_Sous-programme 4.1. Collège "/>
    <s v="2. Personnel"/>
    <s v="DRH"/>
    <s v="FP"/>
    <x v="0"/>
    <x v="0"/>
    <x v="4"/>
    <s v="142- Tous les Collèges publics sont dotés en enseignants en nombre suffisant "/>
    <x v="54"/>
    <s v="14213-Prise en charge des candidats retenus après leur prise de service"/>
  </r>
  <r>
    <s v="Prise en charge du personnel en service dans les établissements du premier cycle du secondaire"/>
    <s v="Salaire"/>
    <s v="MS/col"/>
    <n v="0"/>
    <n v="0.90884271076613798"/>
    <n v="1.03044911307633"/>
    <n v="1.1660636487281899"/>
    <n v="3.1053554725706576"/>
    <n v="217355.719702717"/>
    <n v="0"/>
    <n v="197542.16149514218"/>
    <n v="223974.00858973214"/>
    <n v="253450.60358849191"/>
    <n v="674966.77367336629"/>
    <x v="2"/>
    <s v="MENA_Sous-programme 4.1. Collège "/>
    <s v="2. Personnel"/>
    <s v="DRH"/>
    <s v="FP"/>
    <x v="0"/>
    <x v="0"/>
    <x v="4"/>
    <s v="142- Tous les Collèges publics sont dotés en enseignants en nombre suffisant "/>
    <x v="54"/>
    <s v="14214-Prise en charge du personnel en service dans les établissements du premier cycle du secondaire"/>
  </r>
  <r>
    <s v="Suivi de l'allocation des enseignants"/>
    <s v="Mission"/>
    <s v="h/j/m"/>
    <n v="0"/>
    <m/>
    <n v="320"/>
    <n v="160"/>
    <n v="480"/>
    <n v="0.8177777777777776"/>
    <n v="0"/>
    <n v="0"/>
    <n v="261.68888888888881"/>
    <n v="130.84444444444441"/>
    <n v="392.53333333333319"/>
    <x v="6"/>
    <s v="MENA_Sous-programme 4.1. Collège "/>
    <s v="3. Dépenses de fonctionnement"/>
    <s v="DRH"/>
    <s v="BSD/IRE"/>
    <x v="0"/>
    <x v="0"/>
    <x v="4"/>
    <s v="142- Tous les Collèges publics sont dotés en enseignants en nombre suffisant "/>
    <x v="54"/>
    <s v="14215-Suivi de l'allocation des enseignants"/>
  </r>
  <r>
    <s v="Prise en charge progressive des enseignants contractuels communautaire"/>
    <m/>
    <m/>
    <n v="0"/>
    <m/>
    <m/>
    <m/>
    <m/>
    <m/>
    <m/>
    <m/>
    <m/>
    <m/>
    <m/>
    <x v="0"/>
    <m/>
    <m/>
    <m/>
    <m/>
    <x v="0"/>
    <x v="0"/>
    <x v="4"/>
    <s v="142- Tous les Collèges publics sont dotés en enseignants en nombre suffisant "/>
    <x v="55"/>
    <s v="1422-Prise en charge progressive des enseignants contractuels communautaire"/>
  </r>
  <r>
    <s v="Identification et évaluation des enseignants contractuels communautaire en service"/>
    <s v="Mission"/>
    <s v="h/j/m"/>
    <n v="0"/>
    <n v="320"/>
    <m/>
    <m/>
    <n v="320"/>
    <n v="0.8177777777777776"/>
    <n v="0"/>
    <n v="261.68888888888881"/>
    <n v="0"/>
    <n v="0"/>
    <n v="261.68888888888881"/>
    <x v="2"/>
    <s v="MENA_Sous-programme 4.1. Collège "/>
    <s v="3. Dépenses de fonctionnement"/>
    <s v="DRH"/>
    <s v="SNFPP"/>
    <x v="0"/>
    <x v="0"/>
    <x v="4"/>
    <s v="142- Tous les Collèges publics sont dotés en enseignants en nombre suffisant "/>
    <x v="55"/>
    <s v="14221-Identification et évaluation des enseignants contractuels communautaire en service"/>
  </r>
  <r>
    <s v="Formation des enseignants communautaires en service ayant les qualifications nécessaires à l'ISSEG (Budget ISSEG)"/>
    <s v="PM"/>
    <s v="sif"/>
    <n v="0"/>
    <n v="1"/>
    <n v="1"/>
    <n v="1"/>
    <n v="3"/>
    <n v="0"/>
    <m/>
    <m/>
    <m/>
    <m/>
    <m/>
    <x v="2"/>
    <s v="MENA_Sous-programme 4.1. Collège "/>
    <s v=""/>
    <s v="DRH"/>
    <s v="ISSEG"/>
    <x v="0"/>
    <x v="0"/>
    <x v="4"/>
    <s v="142- Tous les Collèges publics sont dotés en enseignants en nombre suffisant "/>
    <x v="55"/>
    <s v="14222-Formation des enseignants communautaires en service ayant les qualifications nécessaires à l'ISSEG (Budget ISSEG)"/>
  </r>
  <r>
    <s v="Prise en charge des élèves-enseignants certifiés après leur reprise de service (pris en compte dans activité 14213)"/>
    <s v="pm"/>
    <s v="sif"/>
    <n v="0"/>
    <m/>
    <m/>
    <n v="1"/>
    <n v="1"/>
    <n v="0"/>
    <m/>
    <m/>
    <m/>
    <m/>
    <m/>
    <x v="2"/>
    <s v="MENA_Sous-programme 4.1. Collège "/>
    <s v=""/>
    <s v="DRH"/>
    <s v="FP"/>
    <x v="0"/>
    <x v="0"/>
    <x v="4"/>
    <s v="142- Tous les Collèges publics sont dotés en enseignants en nombre suffisant "/>
    <x v="55"/>
    <s v="14223-Prise en charge des élèves-enseignants certifiés après leur reprise de service (pris en compte dans activité 14213)"/>
  </r>
  <r>
    <s v="Optimisation de l’utilisation des enseignants"/>
    <m/>
    <m/>
    <n v="0"/>
    <m/>
    <m/>
    <m/>
    <m/>
    <m/>
    <m/>
    <m/>
    <m/>
    <m/>
    <m/>
    <x v="0"/>
    <m/>
    <m/>
    <m/>
    <m/>
    <x v="0"/>
    <x v="0"/>
    <x v="4"/>
    <s v="142- Tous les Collèges publics sont dotés en enseignants en nombre suffisant "/>
    <x v="56"/>
    <s v="1423-Optimisation de l’utilisation des enseignants"/>
  </r>
  <r>
    <s v="DéFinition des normes et critères de fonctionnement des Collèges (Ratio élèves/GP maximum, minimum, double-vacation.)"/>
    <s v="Atelier"/>
    <s v="h/j/ap"/>
    <n v="0"/>
    <n v="30"/>
    <m/>
    <m/>
    <n v="30"/>
    <n v="0.255"/>
    <n v="0"/>
    <n v="7.65"/>
    <n v="0"/>
    <n v="0"/>
    <n v="7.65"/>
    <x v="6"/>
    <s v="MENA_Sous-programme 4.1. Collège "/>
    <s v="3. Dépenses de fonctionnement"/>
    <s v="DNESGT"/>
    <s v="IGE"/>
    <x v="0"/>
    <x v="0"/>
    <x v="4"/>
    <s v="142- Tous les Collèges publics sont dotés en enseignants en nombre suffisant "/>
    <x v="56"/>
    <s v="14231-DéFinition des normes et critères de fonctionnement des Collèges (Ratio élèves/GP maximum, minimum, double-vacation.)"/>
  </r>
  <r>
    <s v="Validation des normes et critères de fonctionnement des Collèges (Ratio élèves/GP maximum, minimum, double-vacation.)"/>
    <s v="Atelier"/>
    <s v="h/j/ap"/>
    <n v="0"/>
    <n v="80"/>
    <m/>
    <m/>
    <n v="80"/>
    <n v="0.255"/>
    <n v="0"/>
    <n v="20.399999999999999"/>
    <n v="0"/>
    <n v="0"/>
    <n v="20.399999999999999"/>
    <x v="6"/>
    <s v="MENA_Sous-programme 4.1. Collège "/>
    <s v="3. Dépenses de fonctionnement"/>
    <s v="DNESGT"/>
    <s v="IGE"/>
    <x v="0"/>
    <x v="0"/>
    <x v="4"/>
    <s v="142- Tous les Collèges publics sont dotés en enseignants en nombre suffisant "/>
    <x v="56"/>
    <s v="14232-Validation des normes et critères de fonctionnement des Collèges (Ratio élèves/GP maximum, minimum, double-vacation.)"/>
  </r>
  <r>
    <s v="Formation des encadreurs au niveau IRE, DPE/DCE sur la stratégie d'optimisation de l'utilisation des ressources (salles, enseignants)"/>
    <s v="formation"/>
    <s v="h/j/fr"/>
    <n v="0"/>
    <m/>
    <n v="240"/>
    <m/>
    <n v="240"/>
    <n v="0.54600000000000004"/>
    <n v="0"/>
    <n v="0"/>
    <n v="131.04000000000002"/>
    <n v="0"/>
    <n v="131.04000000000002"/>
    <x v="6"/>
    <s v="MENA_Sous-programme 4.1. Collège "/>
    <s v="3. Formation"/>
    <s v="DNESGT"/>
    <s v="DNESGT"/>
    <x v="0"/>
    <x v="0"/>
    <x v="4"/>
    <s v="142- Tous les Collèges publics sont dotés en enseignants en nombre suffisant "/>
    <x v="56"/>
    <s v="14233-Formation des encadreurs au niveau IRE, DPE/DCE sur la stratégie d'optimisation de l'utilisation des ressources (salles, enseignants)"/>
  </r>
  <r>
    <s v="Supervision de l'utilisation des enseignants et salles de classe (pris en compte dans budget structures déconcentrées)"/>
    <s v="pm"/>
    <s v="sif"/>
    <n v="0"/>
    <n v="1"/>
    <n v="1"/>
    <n v="1"/>
    <n v="3"/>
    <n v="0"/>
    <m/>
    <m/>
    <n v="0"/>
    <m/>
    <m/>
    <x v="6"/>
    <s v="MENA_Sous-programme 4.1. Collège "/>
    <s v=""/>
    <s v="DNESGT"/>
    <s v="IRE"/>
    <x v="0"/>
    <x v="0"/>
    <x v="4"/>
    <s v="142- Tous les Collèges publics sont dotés en enseignants en nombre suffisant "/>
    <x v="56"/>
    <s v="14234-Supervision de l'utilisation des enseignants et salles de classe (pris en compte dans budget structures déconcentrées)"/>
  </r>
  <r>
    <s v="Renforcement des mesures incitatives pour le maintien des enseignants dans les zones difficiles"/>
    <m/>
    <m/>
    <n v="0"/>
    <m/>
    <m/>
    <m/>
    <m/>
    <m/>
    <m/>
    <m/>
    <m/>
    <m/>
    <m/>
    <x v="0"/>
    <m/>
    <m/>
    <m/>
    <m/>
    <x v="0"/>
    <x v="0"/>
    <x v="4"/>
    <s v="142- Tous les Collèges publics sont dotés en enseignants en nombre suffisant "/>
    <x v="57"/>
    <s v="1424-Renforcement des mesures incitatives pour le maintien des enseignants dans les zones difficiles"/>
  </r>
  <r>
    <s v="Identification des mesures incitatives pour le maintien des enseignants dans les zones difficiles en concertation avec les syndicats, y compris la prime de zone (voir activité 12341)"/>
    <s v="PM"/>
    <s v="sif"/>
    <n v="0"/>
    <n v="1"/>
    <n v="1"/>
    <n v="1"/>
    <n v="3"/>
    <n v="0"/>
    <m/>
    <m/>
    <n v="0"/>
    <m/>
    <m/>
    <x v="6"/>
    <s v="MENA_Sous-programme 4.1. Collège "/>
    <s v=""/>
    <s v="DRH"/>
    <s v="DRH"/>
    <x v="0"/>
    <x v="0"/>
    <x v="4"/>
    <s v="142- Tous les Collèges publics sont dotés en enseignants en nombre suffisant "/>
    <x v="57"/>
    <s v="14241-Identification des mesures incitatives pour le maintien des enseignants dans les zones difficiles en concertation avec les syndicats, y compris la prime de zone (voir activité 12341)"/>
  </r>
  <r>
    <s v="Validation et adoption des mesures incitatives (activité 12342 et 12343)"/>
    <s v="PM"/>
    <s v="sif"/>
    <n v="0"/>
    <n v="1"/>
    <n v="1"/>
    <n v="1"/>
    <n v="3"/>
    <n v="0"/>
    <m/>
    <m/>
    <n v="0"/>
    <m/>
    <m/>
    <x v="6"/>
    <s v="MENA_Sous-programme 4.1. Collège "/>
    <s v=""/>
    <s v="DRH"/>
    <s v="FP"/>
    <x v="0"/>
    <x v="0"/>
    <x v="4"/>
    <s v="142- Tous les Collèges publics sont dotés en enseignants en nombre suffisant "/>
    <x v="57"/>
    <s v="14242-Validation et adoption des mesures incitatives (activité 12342 et 12343)"/>
  </r>
  <r>
    <s v="Identification des enseignants dans zones difficiles devant bénéficier des avantages (voir activité 12345)"/>
    <s v="PM"/>
    <s v="sif"/>
    <n v="0"/>
    <n v="1"/>
    <n v="1"/>
    <n v="1"/>
    <n v="3"/>
    <n v="0"/>
    <m/>
    <m/>
    <n v="0"/>
    <m/>
    <m/>
    <x v="6"/>
    <s v="MENA_Sous-programme 4.1. Collège "/>
    <s v=""/>
    <s v="DRH"/>
    <s v="BSD"/>
    <x v="0"/>
    <x v="0"/>
    <x v="4"/>
    <s v="142- Tous les Collèges publics sont dotés en enseignants en nombre suffisant "/>
    <x v="57"/>
    <s v="14243-Identification des enseignants dans zones difficiles devant bénéficier des avantages (voir activité 12345)"/>
  </r>
  <r>
    <s v="Octroi des avantages aux enseignants évoluant dans les zones difficiles (pris en compte dans le salaire moyen des enseignants)"/>
    <s v="PM"/>
    <s v="sif"/>
    <n v="0"/>
    <m/>
    <m/>
    <m/>
    <m/>
    <n v="0"/>
    <m/>
    <m/>
    <m/>
    <m/>
    <m/>
    <x v="2"/>
    <s v="MENA_Sous-programme 4.1. Collège "/>
    <s v=""/>
    <s v="DRH"/>
    <s v="MDB"/>
    <x v="0"/>
    <x v="0"/>
    <x v="4"/>
    <s v="142- Tous les Collèges publics sont dotés en enseignants en nombre suffisant "/>
    <x v="57"/>
    <s v="14244-Octroi des avantages aux enseignants évoluant dans les zones difficiles (pris en compte dans le salaire moyen des enseignants)"/>
  </r>
  <r>
    <s v="Suivi de l'octroi des primes et autres avantages et réactualisation annuelles des listes (activité 12347)"/>
    <s v="PM"/>
    <s v="sif"/>
    <n v="0"/>
    <m/>
    <n v="1"/>
    <n v="1"/>
    <n v="2"/>
    <n v="0"/>
    <m/>
    <m/>
    <m/>
    <m/>
    <m/>
    <x v="2"/>
    <s v="MENA_Sous-programme 4.1. Collège "/>
    <s v=""/>
    <s v="DRH"/>
    <s v="DRH"/>
    <x v="0"/>
    <x v="0"/>
    <x v="4"/>
    <s v="142- Tous les Collèges publics sont dotés en enseignants en nombre suffisant "/>
    <x v="57"/>
    <s v="14245-Suivi de l'octroi des primes et autres avantages et réactualisation annuelles des listes (activité 12347)"/>
  </r>
  <r>
    <s v=" Tous les Collèges offrent aux élèves des conditions favorables à leur maintien"/>
    <m/>
    <m/>
    <n v="0"/>
    <m/>
    <m/>
    <m/>
    <m/>
    <m/>
    <m/>
    <m/>
    <m/>
    <m/>
    <m/>
    <x v="0"/>
    <m/>
    <m/>
    <m/>
    <m/>
    <x v="0"/>
    <x v="0"/>
    <x v="4"/>
    <s v="143- Tous les Collèges offrent aux élèves des conditions favorables à leur maintien"/>
    <x v="58"/>
    <s v="143- Tous les Collèges offrent aux élèves des conditions favorables à leur maintien"/>
  </r>
  <r>
    <s v="Adaptation du calendrier scolaire des Collèges aux conditions locales et aux dates des examens nationaux"/>
    <m/>
    <m/>
    <n v="0"/>
    <m/>
    <m/>
    <m/>
    <m/>
    <m/>
    <m/>
    <m/>
    <m/>
    <m/>
    <m/>
    <x v="0"/>
    <m/>
    <m/>
    <m/>
    <m/>
    <x v="0"/>
    <x v="0"/>
    <x v="4"/>
    <s v="143- Tous les Collèges offrent aux élèves des conditions favorables à leur maintien"/>
    <x v="59"/>
    <s v="1431-Adaptation du calendrier scolaire des Collèges aux conditions locales et aux dates des examens nationaux"/>
  </r>
  <r>
    <s v="Concertation sur les critères d'adaptation du calendrier scolaire aux réalités locales et en tenant compte du calendrier des examens nationaux (activité organisée par les structures déconcentrées sur leur budget)"/>
    <s v="pm"/>
    <s v="sif"/>
    <n v="0"/>
    <n v="1"/>
    <m/>
    <m/>
    <n v="1"/>
    <n v="0"/>
    <m/>
    <m/>
    <m/>
    <m/>
    <m/>
    <x v="2"/>
    <s v="MENA_Sous-programme 4.1. Collège "/>
    <s v=""/>
    <s v="DNESGT"/>
    <s v="IRE"/>
    <x v="0"/>
    <x v="0"/>
    <x v="4"/>
    <s v="143- Tous les Collèges offrent aux élèves des conditions favorables à leur maintien"/>
    <x v="59"/>
    <s v="14311-Concertation sur les critères d'adaptation du calendrier scolaire aux réalités locales et en tenant compte du calendrier des examens nationaux (activité organisée par les structures déconcentrées sur leur budget)"/>
  </r>
  <r>
    <s v="Aménagement des calendriers scolaires en fonction des réalités de chaque établissement"/>
    <s v="Textes"/>
    <s v="sif"/>
    <n v="0"/>
    <m/>
    <n v="1"/>
    <n v="1"/>
    <n v="2"/>
    <n v="0"/>
    <m/>
    <m/>
    <m/>
    <m/>
    <m/>
    <x v="2"/>
    <s v="MENA_Sous-programme 4.1. Collège "/>
    <s v=""/>
    <s v="DNESGT"/>
    <s v="IRE/DPE/DCE"/>
    <x v="0"/>
    <x v="0"/>
    <x v="4"/>
    <s v="143- Tous les Collèges offrent aux élèves des conditions favorables à leur maintien"/>
    <x v="59"/>
    <s v="14312-Aménagement des calendriers scolaires en fonction des réalités de chaque établissement"/>
  </r>
  <r>
    <s v="Lutte contre les violences et les harcèlements subis par les filles sur le chemin de l’école et dans les écoles (pris en compte dans 1242)"/>
    <m/>
    <m/>
    <n v="0"/>
    <m/>
    <m/>
    <m/>
    <m/>
    <m/>
    <m/>
    <m/>
    <m/>
    <m/>
    <m/>
    <x v="0"/>
    <m/>
    <m/>
    <m/>
    <m/>
    <x v="0"/>
    <x v="0"/>
    <x v="4"/>
    <s v="143- Tous les Collèges offrent aux élèves des conditions favorables à leur maintien"/>
    <x v="60"/>
    <s v="1432-Lutte contre les violences et les harcèlements subis par les filles sur le chemin de l’école et dans les écoles (pris en compte dans 1242)"/>
  </r>
  <r>
    <s v="Actualisation des textes règlementaires sur les violences en milieu scolaire (pris en compte dans act. 12421)"/>
    <s v="PM"/>
    <s v="sif"/>
    <n v="0"/>
    <n v="1"/>
    <m/>
    <m/>
    <n v="1"/>
    <n v="0"/>
    <m/>
    <m/>
    <m/>
    <m/>
    <m/>
    <x v="2"/>
    <s v="MENA_Sous-programme 4.1. Collège "/>
    <s v=""/>
    <s v="DNEC"/>
    <s v="ST/CGE/DNEC/IGE"/>
    <x v="0"/>
    <x v="0"/>
    <x v="4"/>
    <s v="143- Tous les Collèges offrent aux élèves des conditions favorables à leur maintien"/>
    <x v="60"/>
    <s v="14321-Actualisation des textes règlementaires sur les violences en milieu scolaire (pris en compte dans act. 12421)"/>
  </r>
  <r>
    <s v="Impression des textes règlementaires sur les violences en milieu scolaire "/>
    <s v="impression"/>
    <s v="imp"/>
    <n v="0"/>
    <m/>
    <n v="1000"/>
    <m/>
    <n v="1000"/>
    <n v="7.4999999999999997E-3"/>
    <n v="0"/>
    <n v="0"/>
    <n v="7.5"/>
    <n v="0"/>
    <n v="7.5"/>
    <x v="6"/>
    <s v="MENA_Sous-programme 4.1. Collège "/>
    <s v="3. Dépenses de fonctionnement"/>
    <s v="DNEC"/>
    <s v="DNEC"/>
    <x v="0"/>
    <x v="0"/>
    <x v="4"/>
    <s v="143- Tous les Collèges offrent aux élèves des conditions favorables à leur maintien"/>
    <x v="60"/>
    <s v="14322-Impression des textes règlementaires sur les violences en milieu scolaire "/>
  </r>
  <r>
    <s v="Vulgarisation des textes règlementaires sur les violences en milieu scolaire (compris dans activité 12423)"/>
    <s v="PM"/>
    <s v="sif"/>
    <n v="0"/>
    <n v="1"/>
    <m/>
    <m/>
    <n v="1"/>
    <n v="0"/>
    <m/>
    <m/>
    <n v="0"/>
    <m/>
    <m/>
    <x v="6"/>
    <s v="MENA_Sous-programme 4.1. Collège "/>
    <s v=""/>
    <s v="DNEC"/>
    <s v="ST/CGE/DNEC"/>
    <x v="0"/>
    <x v="0"/>
    <x v="4"/>
    <s v="143- Tous les Collèges offrent aux élèves des conditions favorables à leur maintien"/>
    <x v="60"/>
    <s v="14323-Vulgarisation des textes règlementaires sur les violences en milieu scolaire (compris dans activité 12423)"/>
  </r>
  <r>
    <s v="Sensibilisation des élèves, enseignants et parents d'élèves sur les méfaits des différentes formes de violences "/>
    <s v="sensibilisation"/>
    <s v="campagne"/>
    <n v="0"/>
    <n v="1"/>
    <n v="3"/>
    <n v="2"/>
    <n v="6"/>
    <n v="45.936799999999998"/>
    <n v="0"/>
    <n v="45.936799999999998"/>
    <n v="137.81039999999999"/>
    <n v="91.873599999999996"/>
    <n v="275.62079999999997"/>
    <x v="6"/>
    <s v="MENA_Sous-programme 4.1. Collège "/>
    <s v="3. Dépenses de fonctionnement"/>
    <s v="DNEC"/>
    <s v="DPE/DCE"/>
    <x v="0"/>
    <x v="0"/>
    <x v="4"/>
    <s v="143- Tous les Collèges offrent aux élèves des conditions favorables à leur maintien"/>
    <x v="60"/>
    <s v="14324-Sensibilisation des élèves, enseignants et parents d'élèves sur les méfaits des différentes formes de violences "/>
  </r>
  <r>
    <s v="Mise en place de structures de veille sur les violences en milieu scolaires (12425)"/>
    <s v="PM"/>
    <s v="sif"/>
    <n v="0"/>
    <m/>
    <n v="1"/>
    <n v="1"/>
    <n v="2"/>
    <n v="0"/>
    <m/>
    <m/>
    <m/>
    <m/>
    <m/>
    <x v="2"/>
    <s v="MENA_Sous-programme 4.1. Collège "/>
    <s v=""/>
    <s v="DNEC"/>
    <s v="DNEC"/>
    <x v="0"/>
    <x v="0"/>
    <x v="4"/>
    <s v="143- Tous les Collèges offrent aux élèves des conditions favorables à leur maintien"/>
    <x v="60"/>
    <s v="14325-Mise en place de structures de veille sur les violences en milieu scolaires (12425)"/>
  </r>
  <r>
    <s v="Renforcement des conseils de discipline au sein des établissements scolaires en matière de violences"/>
    <s v="PM"/>
    <s v="sif"/>
    <n v="0"/>
    <m/>
    <m/>
    <m/>
    <m/>
    <n v="0"/>
    <m/>
    <m/>
    <m/>
    <m/>
    <m/>
    <x v="2"/>
    <s v="MENA_Sous-programme 4.1. Collège "/>
    <s v=""/>
    <s v="DNEC"/>
    <s v="IRE"/>
    <x v="0"/>
    <x v="0"/>
    <x v="4"/>
    <s v="143- Tous les Collèges offrent aux élèves des conditions favorables à leur maintien"/>
    <x v="60"/>
    <s v="14326-Renforcement des conseils de discipline au sein des établissements scolaires en matière de violences"/>
  </r>
  <r>
    <s v="Appui à la stratégie de tutorat en faveur des élèves vulnérables, notamment les filles"/>
    <s v="PM"/>
    <s v="sif"/>
    <n v="0"/>
    <n v="1"/>
    <n v="1"/>
    <n v="1"/>
    <n v="3"/>
    <n v="0"/>
    <m/>
    <m/>
    <m/>
    <m/>
    <m/>
    <x v="2"/>
    <s v="MENA_Sous-programme 4.1. Collège "/>
    <s v=""/>
    <s v="ST/CGE"/>
    <s v="ST/CGE"/>
    <x v="0"/>
    <x v="0"/>
    <x v="4"/>
    <s v="143- Tous les Collèges offrent aux élèves des conditions favorables à leur maintien"/>
    <x v="60"/>
    <s v="14327-Appui à la stratégie de tutorat en faveur des élèves vulnérables, notamment les filles"/>
  </r>
  <r>
    <s v="Prise en charge psychosociale des filles victimes de violences"/>
    <s v="dotation"/>
    <s v="dot/STGE"/>
    <n v="0"/>
    <n v="0"/>
    <n v="38"/>
    <n v="19.003799999999998"/>
    <n v="57.003799999999998"/>
    <n v="100"/>
    <n v="0"/>
    <n v="0"/>
    <n v="3800"/>
    <n v="1900.3799999999999"/>
    <n v="5700.38"/>
    <x v="6"/>
    <s v="MENA_Sous-programme 4.1. Collège "/>
    <s v="4. Transferts et subventions"/>
    <s v="DNEC"/>
    <s v="ST/CGE"/>
    <x v="0"/>
    <x v="0"/>
    <x v="4"/>
    <s v="143- Tous les Collèges offrent aux élèves des conditions favorables à leur maintien"/>
    <x v="60"/>
    <s v="14328-Prise en charge psychosociale des filles victimes de violences"/>
  </r>
  <r>
    <s v="Prise en charge psychosociale des filles victimes de violences"/>
    <s v="dotation"/>
    <s v="dot/STGE"/>
    <n v="0"/>
    <n v="11.798999999999999"/>
    <n v="11.798999999999999"/>
    <n v="11.798999999999999"/>
    <n v="35.396999999999998"/>
    <n v="100"/>
    <n v="0"/>
    <n v="1179.8999999999999"/>
    <n v="1179.8999999999999"/>
    <n v="1179.8999999999999"/>
    <n v="3539.7"/>
    <x v="13"/>
    <s v="MENA_Sous-programme 4.1. Collège "/>
    <s v="4. Transferts et subventions"/>
    <s v="DNEC"/>
    <s v="ST/CGE"/>
    <x v="0"/>
    <x v="0"/>
    <x v="4"/>
    <s v="143- Tous les Collèges offrent aux élèves des conditions favorables à leur maintien"/>
    <x v="60"/>
    <s v="14328-Prise en charge psychosociale des filles victimes de violences"/>
  </r>
  <r>
    <s v="Prise en charge psychosociale des filles victimes de violences"/>
    <s v="dotation"/>
    <s v="dot/STGE"/>
    <m/>
    <n v="7.1972000000000005"/>
    <n v="7.1972000000000005"/>
    <n v="7.1972000000000005"/>
    <n v="21.5916"/>
    <n v="100"/>
    <n v="0"/>
    <n v="719.72"/>
    <n v="719.72"/>
    <n v="719.72"/>
    <n v="2159.16"/>
    <x v="4"/>
    <s v="MENA_Sous-programme 4.1. Collège "/>
    <s v="4. Transferts et subventions"/>
    <s v="DNEC"/>
    <s v="ST/CGE"/>
    <x v="0"/>
    <x v="0"/>
    <x v="4"/>
    <s v="143- Tous les Collèges offrent aux élèves des conditions favorables à leur maintien"/>
    <x v="60"/>
    <s v="14328-Prise en charge psychosociale des filles victimes de violences"/>
  </r>
  <r>
    <s v="Suivi/évaluation des activités sur les violences en milieu scolaire (activité 12429)"/>
    <s v="PM"/>
    <s v="sif"/>
    <n v="0"/>
    <n v="1"/>
    <n v="1"/>
    <n v="1"/>
    <n v="3"/>
    <n v="0"/>
    <m/>
    <m/>
    <n v="0"/>
    <m/>
    <m/>
    <x v="6"/>
    <s v="MENA_Sous-programme 4.1. Collège "/>
    <s v=""/>
    <s v="DNEC"/>
    <s v="ST/CGE"/>
    <x v="0"/>
    <x v="0"/>
    <x v="4"/>
    <s v="143- Tous les Collèges offrent aux élèves des conditions favorables à leur maintien"/>
    <x v="60"/>
    <s v="14329-Suivi/évaluation des activités sur les violences en milieu scolaire (activité 12429)"/>
  </r>
  <r>
    <s v=" Promotion de l'éducation inclusive, y compris les FA"/>
    <m/>
    <m/>
    <n v="0"/>
    <m/>
    <m/>
    <m/>
    <m/>
    <m/>
    <m/>
    <m/>
    <m/>
    <m/>
    <m/>
    <x v="0"/>
    <m/>
    <m/>
    <m/>
    <m/>
    <x v="0"/>
    <x v="0"/>
    <x v="5"/>
    <s v="15- Promotion de l'éducation inclusive, y compris les FA"/>
    <x v="61"/>
    <s v="15- Promotion de l'éducation inclusive, y compris les FA"/>
  </r>
  <r>
    <s v=" L'environnement d’enseignement et d'apprentissage est adapté aux besoins spécifiques  des enfants en situation de handicap"/>
    <m/>
    <m/>
    <n v="0"/>
    <m/>
    <m/>
    <m/>
    <m/>
    <m/>
    <m/>
    <m/>
    <m/>
    <m/>
    <m/>
    <x v="0"/>
    <m/>
    <m/>
    <m/>
    <m/>
    <x v="0"/>
    <x v="0"/>
    <x v="5"/>
    <s v="151- L'environnement d’enseignement et d'apprentissage est adapté aux besoins spécifiques  des enfants en situation de handicap"/>
    <x v="62"/>
    <s v="151- L'environnement d’enseignement et d'apprentissage est adapté aux besoins spécifiques  des enfants en situation de handicap"/>
  </r>
  <r>
    <s v="Identification des établissements devant bénéficier de construction de rampes d'accès (activité 12221)"/>
    <s v="PM"/>
    <s v="sif"/>
    <n v="0"/>
    <n v="1"/>
    <n v="1"/>
    <m/>
    <n v="2"/>
    <n v="0"/>
    <m/>
    <m/>
    <n v="0"/>
    <m/>
    <m/>
    <x v="6"/>
    <s v="MENA_Programme 3. Enseignement élémentaire"/>
    <s v=""/>
    <s v="DNEF"/>
    <s v="BSD/DPE/DCE"/>
    <x v="0"/>
    <x v="0"/>
    <x v="5"/>
    <s v="151- L'environnement d’enseignement et d'apprentissage est adapté aux besoins spécifiques  des enfants en situation de handicap"/>
    <x v="62"/>
    <s v="15111-Identification des établissements devant bénéficier de construction de rampes d'accès (activité 12221)"/>
  </r>
  <r>
    <s v="Réalisation des travaux de construction des rampes d'accès"/>
    <s v="Construction"/>
    <s v="rampe"/>
    <n v="0"/>
    <m/>
    <n v="1070.0000000000002"/>
    <n v="535.00000000000011"/>
    <n v="1605.0000000000005"/>
    <n v="2.76"/>
    <n v="0"/>
    <n v="0"/>
    <n v="2953.2000000000003"/>
    <n v="1476.6000000000001"/>
    <n v="4429.8"/>
    <x v="6"/>
    <s v="MENA_Programme 3. Enseignement élémentaire"/>
    <s v="5. Investissement"/>
    <s v="SNIES"/>
    <s v="IRE"/>
    <x v="0"/>
    <x v="0"/>
    <x v="5"/>
    <s v="151- L'environnement d’enseignement et d'apprentissage est adapté aux besoins spécifiques  des enfants en situation de handicap"/>
    <x v="62"/>
    <s v="15112-Réalisation des travaux de construction des rampes d'accès"/>
  </r>
  <r>
    <s v="Réalisation des travaux de construction des rampes d'accès"/>
    <s v="Construction"/>
    <s v="rampe"/>
    <n v="0"/>
    <n v="356.66666666666674"/>
    <n v="356.66666666666674"/>
    <n v="356.66666666666674"/>
    <n v="1070.0000000000002"/>
    <n v="2.76"/>
    <n v="0"/>
    <n v="984.40000000000009"/>
    <n v="984.40000000000009"/>
    <n v="984.40000000000009"/>
    <n v="2953.2000000000003"/>
    <x v="16"/>
    <s v="MENA_Programme 3. Enseignement élémentaire"/>
    <s v="5. Investissement"/>
    <s v="SNIES"/>
    <s v="IRE"/>
    <x v="0"/>
    <x v="0"/>
    <x v="5"/>
    <s v="151- L'environnement d’enseignement et d'apprentissage est adapté aux besoins spécifiques  des enfants en situation de handicap"/>
    <x v="62"/>
    <s v="15112-Réalisation des travaux de construction des rampes d'accès"/>
  </r>
  <r>
    <s v="Supervision de la construction des rampes d'accès (pris en compte dans supervision des constructions et de la réhabilitation)"/>
    <s v="PM"/>
    <s v="sif"/>
    <n v="0"/>
    <n v="1"/>
    <n v="1"/>
    <n v="1"/>
    <n v="3"/>
    <n v="0"/>
    <m/>
    <m/>
    <n v="0"/>
    <m/>
    <m/>
    <x v="6"/>
    <s v="MENA_Programme 3. Enseignement élémentaire"/>
    <s v=""/>
    <s v="SNIES"/>
    <s v="IRE"/>
    <x v="0"/>
    <x v="0"/>
    <x v="5"/>
    <s v="151- L'environnement d’enseignement et d'apprentissage est adapté aux besoins spécifiques  des enfants en situation de handicap"/>
    <x v="62"/>
    <s v="15113-Supervision de la construction des rampes d'accès (pris en compte dans supervision des constructions et de la réhabilitation)"/>
  </r>
  <r>
    <s v="Identification des sites devant bénéficier de construction de latrines adaptées aux personnes vivant avec un handicap en fonction de la disponibilité de rampes d'accès"/>
    <s v="travaux administratifs"/>
    <s v="sif"/>
    <n v="0"/>
    <n v="1"/>
    <n v="1"/>
    <n v="1"/>
    <n v="3"/>
    <n v="0"/>
    <m/>
    <m/>
    <n v="0"/>
    <m/>
    <m/>
    <x v="6"/>
    <s v="MENA_Programme 3. Enseignement élémentaire"/>
    <s v=""/>
    <s v="BSD"/>
    <s v="DPE/DCE"/>
    <x v="0"/>
    <x v="0"/>
    <x v="5"/>
    <s v="151- L'environnement d’enseignement et d'apprentissage est adapté aux besoins spécifiques  des enfants en situation de handicap"/>
    <x v="62"/>
    <s v="15121-Identification des sites devant bénéficier de construction de latrines adaptées aux personnes vivant avec un handicap en fonction de la disponibilité de rampes d'accès"/>
  </r>
  <r>
    <s v="Validation des sites devant bénéficier de construction de latrines adaptées aux personnes vivant avec un handicap en fonction de la disponibilité de rampes d'accès"/>
    <s v="travaux administratifs"/>
    <s v="sif"/>
    <n v="0"/>
    <n v="1"/>
    <n v="1"/>
    <n v="1"/>
    <n v="3"/>
    <n v="0"/>
    <m/>
    <m/>
    <n v="0"/>
    <m/>
    <m/>
    <x v="6"/>
    <s v="MENA_Programme 3. Enseignement élémentaire"/>
    <s v=""/>
    <s v="SNIES"/>
    <s v="SNIES/BSD"/>
    <x v="0"/>
    <x v="0"/>
    <x v="5"/>
    <s v="151- L'environnement d’enseignement et d'apprentissage est adapté aux besoins spécifiques  des enfants en situation de handicap"/>
    <x v="62"/>
    <s v="15122-Validation des sites devant bénéficier de construction de latrines adaptées aux personnes vivant avec un handicap en fonction de la disponibilité de rampes d'accès"/>
  </r>
  <r>
    <s v="Réalisation des travaux de construction des latrines adaptées"/>
    <s v="construction"/>
    <s v="latrine/hand"/>
    <n v="0"/>
    <n v="28.95"/>
    <n v="48.25"/>
    <n v="19.3"/>
    <n v="96.5"/>
    <n v="48.949999999999996"/>
    <n v="0"/>
    <n v="1417.1024999999997"/>
    <n v="2361.8374999999996"/>
    <n v="944.7349999999999"/>
    <n v="4723.6749999999993"/>
    <x v="16"/>
    <s v="MENA_Programme 3. Enseignement élémentaire"/>
    <s v="5. Investissement"/>
    <s v="SNIES"/>
    <s v="IRE"/>
    <x v="0"/>
    <x v="0"/>
    <x v="5"/>
    <s v="151- L'environnement d’enseignement et d'apprentissage est adapté aux besoins spécifiques  des enfants en situation de handicap"/>
    <x v="62"/>
    <s v="15123-Réalisation des travaux de construction des latrines adaptées"/>
  </r>
  <r>
    <s v="Réalisation des travaux de construction des latrines adaptées"/>
    <s v="construction"/>
    <s v="latrine/hand"/>
    <n v="0"/>
    <n v="28.95"/>
    <n v="48.25"/>
    <n v="19.3"/>
    <n v="96.5"/>
    <n v="48.949999999999996"/>
    <n v="0"/>
    <n v="1417.1024999999997"/>
    <n v="2361.8374999999996"/>
    <n v="944.7349999999999"/>
    <n v="4723.6749999999993"/>
    <x v="13"/>
    <s v="MENA_Programme 3. Enseignement élémentaire"/>
    <s v="5. Investissement"/>
    <s v="SNIES"/>
    <s v="IRE"/>
    <x v="0"/>
    <x v="0"/>
    <x v="5"/>
    <s v="151- L'environnement d’enseignement et d'apprentissage est adapté aux besoins spécifiques  des enfants en situation de handicap"/>
    <x v="62"/>
    <s v="15123-Réalisation des travaux de construction des latrines adaptées"/>
  </r>
  <r>
    <s v="Construction de latrines (pris en compte dans activité 12226 et 14135)"/>
    <s v="pm"/>
    <s v="sif"/>
    <n v="0"/>
    <m/>
    <m/>
    <m/>
    <m/>
    <n v="0"/>
    <m/>
    <m/>
    <n v="0"/>
    <m/>
    <m/>
    <x v="6"/>
    <s v="MENA_Programme 3. Enseignement élémentaire"/>
    <s v=""/>
    <s v="SNIES"/>
    <s v="SNIES"/>
    <x v="0"/>
    <x v="0"/>
    <x v="5"/>
    <s v="151- L'environnement d’enseignement et d'apprentissage est adapté aux besoins spécifiques  des enfants en situation de handicap"/>
    <x v="62"/>
    <s v="15124-Construction de latrines (pris en compte dans activité 12226 et 14135)"/>
  </r>
  <r>
    <s v="Supervision de la construction des latrines adaptées (pris en compte dans supervision des constructions et de la réhabilitation)"/>
    <s v="PM"/>
    <s v="sif"/>
    <n v="0"/>
    <n v="1"/>
    <n v="1"/>
    <n v="1"/>
    <n v="3"/>
    <n v="0"/>
    <m/>
    <m/>
    <n v="0"/>
    <m/>
    <m/>
    <x v="6"/>
    <s v="MENA_Programme 3. Enseignement élémentaire"/>
    <s v=""/>
    <s v="SNIES"/>
    <s v="DPE/DCE"/>
    <x v="0"/>
    <x v="0"/>
    <x v="5"/>
    <s v="151- L'environnement d’enseignement et d'apprentissage est adapté aux besoins spécifiques  des enfants en situation de handicap"/>
    <x v="62"/>
    <s v="15125-Supervision de la construction des latrines adaptées (pris en compte dans supervision des constructions et de la réhabilitation)"/>
  </r>
  <r>
    <s v=" Un protocole d’assistance matérielle, humaine et technique est élaboré et adopté"/>
    <m/>
    <m/>
    <n v="0"/>
    <m/>
    <m/>
    <m/>
    <m/>
    <m/>
    <m/>
    <m/>
    <m/>
    <m/>
    <m/>
    <x v="0"/>
    <m/>
    <m/>
    <m/>
    <m/>
    <x v="0"/>
    <x v="0"/>
    <x v="5"/>
    <s v="152- Un protocole d’assistance matérielle, humaine et technique est élaboré et adopté"/>
    <x v="63"/>
    <s v="152- Un protocole d’assistance matérielle, humaine et technique est élaboré et adopté"/>
  </r>
  <r>
    <s v="Mise en place et actualisation de la cartographie des enfants en situation de handicap (ESH)"/>
    <m/>
    <m/>
    <n v="0"/>
    <m/>
    <m/>
    <m/>
    <m/>
    <m/>
    <m/>
    <m/>
    <m/>
    <m/>
    <m/>
    <x v="0"/>
    <m/>
    <m/>
    <m/>
    <m/>
    <x v="0"/>
    <x v="0"/>
    <x v="5"/>
    <s v="152- Un protocole d’assistance matérielle, humaine et technique est élaboré et adopté"/>
    <x v="64"/>
    <s v="1521-Mise en place et actualisation de la cartographie des enfants en situation de handicap (ESH)"/>
  </r>
  <r>
    <s v="Elaboration des outils de collecte des données sur les élèves en situation de handicap à intégrer dans le questionnaire de collecte des BSD"/>
    <s v="Atelier"/>
    <s v="h/j/ap"/>
    <n v="0"/>
    <m/>
    <n v="60"/>
    <m/>
    <n v="60"/>
    <n v="0.255"/>
    <n v="0"/>
    <n v="0"/>
    <n v="15.3"/>
    <n v="0"/>
    <n v="15.3"/>
    <x v="6"/>
    <s v="MENA_Programme 3. Enseignement élémentaire"/>
    <s v="3. Dépenses de fonctionnement"/>
    <s v="DNEF"/>
    <s v="BSD"/>
    <x v="0"/>
    <x v="0"/>
    <x v="5"/>
    <s v="152- Un protocole d’assistance matérielle, humaine et technique est élaboré et adopté"/>
    <x v="64"/>
    <s v="15211-Elaboration des outils de collecte des données sur les élèves en situation de handicap à intégrer dans le questionnaire de collecte des BSD"/>
  </r>
  <r>
    <s v="Validation des outils de collecte des données sur les élèves en situation de handicap à intégrer dans le questionnaire de collecte des BSD"/>
    <s v="Atelier"/>
    <s v="h/j/ap"/>
    <n v="0"/>
    <n v="50"/>
    <m/>
    <m/>
    <n v="50"/>
    <n v="0.255"/>
    <n v="0"/>
    <n v="12.75"/>
    <n v="0"/>
    <n v="0"/>
    <n v="12.75"/>
    <x v="6"/>
    <s v="MENA_Programme 3. Enseignement élémentaire"/>
    <s v="3. Dépenses de fonctionnement"/>
    <s v="DNEF"/>
    <s v="DNEF"/>
    <x v="0"/>
    <x v="0"/>
    <x v="5"/>
    <s v="152- Un protocole d’assistance matérielle, humaine et technique est élaboré et adopté"/>
    <x v="64"/>
    <s v="15212-Validation des outils de collecte des données sur les élèves en situation de handicap à intégrer dans le questionnaire de collecte des BSD"/>
  </r>
  <r>
    <s v="Intégration des outils de collecte des données sur les élèves en situation de handicap dans la BDD du BSD"/>
    <s v="PM"/>
    <s v="sif"/>
    <n v="0"/>
    <m/>
    <n v="1"/>
    <m/>
    <n v="1"/>
    <n v="0"/>
    <m/>
    <m/>
    <n v="0"/>
    <m/>
    <m/>
    <x v="6"/>
    <s v="MENA_Programme 3. Enseignement élémentaire"/>
    <s v=""/>
    <s v="DNEF"/>
    <s v="BSD"/>
    <x v="0"/>
    <x v="0"/>
    <x v="5"/>
    <s v="152- Un protocole d’assistance matérielle, humaine et technique est élaboré et adopté"/>
    <x v="64"/>
    <s v="15213-Intégration des outils de collecte des données sur les élèves en situation de handicap dans la BDD du BSD"/>
  </r>
  <r>
    <s v="Formation des agents de collecte sur les outils (pris en compte dans formation des enquêteurs)"/>
    <s v="PM"/>
    <s v="sif"/>
    <n v="0"/>
    <m/>
    <n v="1"/>
    <m/>
    <n v="1"/>
    <n v="0"/>
    <m/>
    <m/>
    <n v="0"/>
    <m/>
    <m/>
    <x v="6"/>
    <s v="MENA_Programme 3. Enseignement élémentaire"/>
    <s v=""/>
    <s v="BSD"/>
    <s v="DNEF"/>
    <x v="0"/>
    <x v="0"/>
    <x v="5"/>
    <s v="152- Un protocole d’assistance matérielle, humaine et technique est élaboré et adopté"/>
    <x v="64"/>
    <s v="15214-Formation des agents de collecte sur les outils (pris en compte dans formation des enquêteurs)"/>
  </r>
  <r>
    <s v="Collecte des données sur les ESH (dans le cadre de l'enquête annuelle)"/>
    <s v="PM"/>
    <s v="sif"/>
    <n v="0"/>
    <m/>
    <n v="1"/>
    <n v="1"/>
    <n v="2"/>
    <n v="0"/>
    <m/>
    <m/>
    <n v="0"/>
    <m/>
    <m/>
    <x v="6"/>
    <s v="MENA_Programme 3. Enseignement élémentaire"/>
    <s v=""/>
    <s v="BSD"/>
    <s v="BSD"/>
    <x v="0"/>
    <x v="0"/>
    <x v="5"/>
    <s v="152- Un protocole d’assistance matérielle, humaine et technique est élaboré et adopté"/>
    <x v="64"/>
    <s v="15215-Collecte des données sur les ESH (dans le cadre de l'enquête annuelle)"/>
  </r>
  <r>
    <s v="Traitement des données sur les ESH (dans le cadre de l'enquête annuelle)"/>
    <s v="PM"/>
    <s v="sif"/>
    <n v="0"/>
    <m/>
    <n v="1"/>
    <n v="1"/>
    <n v="2"/>
    <n v="0"/>
    <m/>
    <m/>
    <n v="0"/>
    <m/>
    <m/>
    <x v="6"/>
    <s v="MENA_Programme 3. Enseignement élémentaire"/>
    <s v=""/>
    <s v="BSD"/>
    <s v="BSD"/>
    <x v="0"/>
    <x v="0"/>
    <x v="5"/>
    <s v="152- Un protocole d’assistance matérielle, humaine et technique est élaboré et adopté"/>
    <x v="64"/>
    <s v="15216-Traitement des données sur les ESH (dans le cadre de l'enquête annuelle)"/>
  </r>
  <r>
    <s v="Prise en charge des ESH en matériels adaptés et en assistance sociale"/>
    <m/>
    <m/>
    <n v="0"/>
    <m/>
    <m/>
    <m/>
    <m/>
    <m/>
    <m/>
    <m/>
    <m/>
    <m/>
    <m/>
    <x v="0"/>
    <m/>
    <m/>
    <m/>
    <m/>
    <x v="0"/>
    <x v="0"/>
    <x v="5"/>
    <s v="152- Un protocole d’assistance matérielle, humaine et technique est élaboré et adopté"/>
    <x v="65"/>
    <s v="1522-Prise en charge des ESH en matériels adaptés et en assistance sociale"/>
  </r>
  <r>
    <s v="Identification des équipements et matériels spécialisés nécessaires par type de handicap"/>
    <s v="Exploitation des données"/>
    <s v="sif"/>
    <m/>
    <m/>
    <m/>
    <m/>
    <m/>
    <n v="0"/>
    <m/>
    <m/>
    <m/>
    <m/>
    <m/>
    <x v="4"/>
    <s v="MENA_Programme 3. Enseignement élémentaire"/>
    <s v=""/>
    <s v="DNEF"/>
    <s v="DNEF"/>
    <x v="0"/>
    <x v="0"/>
    <x v="5"/>
    <s v="152- Un protocole d’assistance matérielle, humaine et technique est élaboré et adopté"/>
    <x v="65"/>
    <s v="15221-Identification des équipements et matériels spécialisés nécessaires par type de handicap"/>
  </r>
  <r>
    <s v="Plaidoirie pour la mobilisation des équipements et matériels spécialisés (appareillages orthopédiques, prothèses auditives, lunettes, canne, béquilles et fauteuils roulants)"/>
    <s v="Forum"/>
    <s v="h/j/a"/>
    <n v="100"/>
    <n v="50"/>
    <m/>
    <n v="50"/>
    <n v="200"/>
    <n v="0.3133333333333333"/>
    <n v="31.333333333333329"/>
    <n v="15.666666666666664"/>
    <n v="0"/>
    <n v="15.666666666666664"/>
    <n v="62.666666666666657"/>
    <x v="4"/>
    <s v="MENA_Programme 3. Enseignement élémentaire"/>
    <s v="3. Formation"/>
    <s v="DNEF"/>
    <s v="DNEF"/>
    <x v="0"/>
    <x v="0"/>
    <x v="5"/>
    <s v="152- Un protocole d’assistance matérielle, humaine et technique est élaboré et adopté"/>
    <x v="65"/>
    <s v="15222-Plaidoirie pour la mobilisation des équipements et matériels spécialisés (appareillages orthopédiques, prothèses auditives, lunettes, canne, béquilles et fauteuils roulants)"/>
  </r>
  <r>
    <s v="Plaidoirie pour la mobilisation des équipements et matériels spécialisés (appareillages orthopédiques, prothèses auditives, lunettes, canne, béquilles et fauteuils roulants)"/>
    <s v="Forum"/>
    <s v="h/j/a"/>
    <n v="0"/>
    <n v="50"/>
    <m/>
    <n v="50"/>
    <n v="100"/>
    <n v="0.3133333333333333"/>
    <n v="0"/>
    <n v="15.666666666666664"/>
    <n v="0"/>
    <n v="15.666666666666664"/>
    <n v="31.333333333333329"/>
    <x v="13"/>
    <s v="MENA_Programme 3. Enseignement élémentaire"/>
    <s v="3. Formation"/>
    <s v="DNEF"/>
    <s v="DNEF"/>
    <x v="0"/>
    <x v="0"/>
    <x v="5"/>
    <s v="152- Un protocole d’assistance matérielle, humaine et technique est élaboré et adopté"/>
    <x v="65"/>
    <s v="15222-Plaidoirie pour la mobilisation des équipements et matériels spécialisés (appareillages orthopédiques, prothèses auditives, lunettes, canne, béquilles et fauteuils roulants)"/>
  </r>
  <r>
    <s v="Acquisition des équipements et matériels spécialisés en faveur des ESH (Divers dons en nature et acquisition de compléments)"/>
    <s v="pm"/>
    <s v="sif"/>
    <m/>
    <m/>
    <m/>
    <m/>
    <m/>
    <n v="0"/>
    <m/>
    <m/>
    <m/>
    <m/>
    <m/>
    <x v="4"/>
    <s v="MENA_Programme 3. Enseignement élémentaire"/>
    <s v=""/>
    <s v="DNEF"/>
    <s v="DNEF"/>
    <x v="0"/>
    <x v="0"/>
    <x v="5"/>
    <s v="152- Un protocole d’assistance matérielle, humaine et technique est élaboré et adopté"/>
    <x v="65"/>
    <s v="15223-Acquisition des équipements et matériels spécialisés en faveur des ESH (Divers dons en nature et acquisition de compléments)"/>
  </r>
  <r>
    <s v="Distribution des équipements et matériels spécialisés en faveur des ESH dans les écoles et établissements scolaires "/>
    <s v="acquisition matériels spécialisés"/>
    <s v="dot/esh"/>
    <n v="100"/>
    <n v="0.5"/>
    <n v="0.5"/>
    <n v="0.5"/>
    <n v="101.5"/>
    <n v="548.04149641382298"/>
    <n v="54804.149641382297"/>
    <n v="274.02074820691149"/>
    <n v="274.02074820691149"/>
    <n v="274.02074820691149"/>
    <n v="55626.211886003024"/>
    <x v="4"/>
    <s v="MENA_Programme 3. Enseignement élémentaire"/>
    <s v="4. Transferts et subventions"/>
    <s v="DNEF"/>
    <s v="DNEF"/>
    <x v="0"/>
    <x v="0"/>
    <x v="5"/>
    <s v="152- Un protocole d’assistance matérielle, humaine et technique est élaboré et adopté"/>
    <x v="65"/>
    <s v="15224-Distribution des équipements et matériels spécialisés en faveur des ESH dans les écoles et établissements scolaires "/>
  </r>
  <r>
    <s v="Distribution des équipements et matériels spécialisés en faveur des ESH dans les écoles et établissements scolaires "/>
    <s v="acquisition matériels spécialisés"/>
    <s v="dot/esh"/>
    <n v="0"/>
    <n v="0.5"/>
    <n v="0.5"/>
    <n v="0.5"/>
    <n v="1.5"/>
    <n v="548.04149641382298"/>
    <n v="0"/>
    <n v="274.02074820691149"/>
    <n v="274.02074820691149"/>
    <n v="274.02074820691149"/>
    <n v="822.06224462073442"/>
    <x v="13"/>
    <s v="MENA_Programme 3. Enseignement élémentaire"/>
    <s v="4. Transferts et subventions"/>
    <s v="DNEF"/>
    <s v="DNEF"/>
    <x v="0"/>
    <x v="0"/>
    <x v="5"/>
    <s v="152- Un protocole d’assistance matérielle, humaine et technique est élaboré et adopté"/>
    <x v="65"/>
    <s v="15224-Distribution des équipements et matériels spécialisés en faveur des ESH dans les écoles et établissements scolaires "/>
  </r>
  <r>
    <s v="Plaidoirie pour la mobilisation des personnes ressources (assistants, interprètes/traducteurs, guides, soutien scolaire)"/>
    <s v="campagne de sensibilisation"/>
    <s v="campagne"/>
    <m/>
    <n v="0.5"/>
    <m/>
    <n v="0.5"/>
    <n v="1"/>
    <n v="45.936799999999998"/>
    <n v="0"/>
    <n v="22.968399999999999"/>
    <n v="0"/>
    <n v="22.968399999999999"/>
    <n v="45.936799999999998"/>
    <x v="4"/>
    <s v="MENA_Programme 3. Enseignement élémentaire"/>
    <s v="3. Dépenses de fonctionnement"/>
    <s v="DNEF"/>
    <s v="DNEF"/>
    <x v="0"/>
    <x v="0"/>
    <x v="5"/>
    <s v="152- Un protocole d’assistance matérielle, humaine et technique est élaboré et adopté"/>
    <x v="65"/>
    <s v="15225-Plaidoirie pour la mobilisation des personnes ressources (assistants, interprètes/traducteurs, guides, soutien scolaire)"/>
  </r>
  <r>
    <s v="Plaidoirie pour la mobilisation des personnes ressources (assistants, interprètes/traducteurs, guides, soutien scolaire)"/>
    <s v="campagne de sensibilisation"/>
    <s v="campagne"/>
    <n v="0"/>
    <n v="0.5"/>
    <m/>
    <n v="0.5"/>
    <n v="1"/>
    <n v="45.936799999999998"/>
    <n v="0"/>
    <n v="22.968399999999999"/>
    <n v="0"/>
    <n v="22.968399999999999"/>
    <n v="45.936799999999998"/>
    <x v="13"/>
    <s v="MENA_Programme 3. Enseignement élémentaire"/>
    <s v="3. Dépenses de fonctionnement"/>
    <s v="DNEF"/>
    <s v="DNEF"/>
    <x v="0"/>
    <x v="0"/>
    <x v="5"/>
    <s v="152- Un protocole d’assistance matérielle, humaine et technique est élaboré et adopté"/>
    <x v="65"/>
    <s v="15225-Plaidoirie pour la mobilisation des personnes ressources (assistants, interprètes/traducteurs, guides, soutien scolaire)"/>
  </r>
  <r>
    <s v=" L'éducation inclusive est intégrée dans la prise de décision par les différents acteurs"/>
    <m/>
    <m/>
    <n v="0"/>
    <m/>
    <m/>
    <m/>
    <m/>
    <m/>
    <m/>
    <m/>
    <m/>
    <m/>
    <m/>
    <x v="0"/>
    <m/>
    <m/>
    <m/>
    <m/>
    <x v="0"/>
    <x v="0"/>
    <x v="5"/>
    <s v="153- L'éducation inclusive est intégrée dans la prise de décision par les différents acteurs"/>
    <x v="66"/>
    <s v="153- L'éducation inclusive est intégrée dans la prise de décision par les différents acteurs"/>
  </r>
  <r>
    <s v="Renforcement des capacités en éducation inclusive (pilotage, directeurs, enseignants)"/>
    <m/>
    <m/>
    <n v="0"/>
    <m/>
    <m/>
    <m/>
    <m/>
    <m/>
    <m/>
    <m/>
    <m/>
    <m/>
    <m/>
    <x v="0"/>
    <m/>
    <m/>
    <m/>
    <m/>
    <x v="0"/>
    <x v="0"/>
    <x v="5"/>
    <s v="153- L'éducation inclusive est intégrée dans la prise de décision par les différents acteurs"/>
    <x v="67"/>
    <s v="1531-Renforcement des capacités en éducation inclusive (pilotage, directeurs, enseignants)"/>
  </r>
  <r>
    <s v="Elaboration d'une politique et de normes pour l'éducation inclusive et mise en place de mécanismes de soutien aux écoles"/>
    <s v="divers"/>
    <s v="forfait /EI"/>
    <m/>
    <m/>
    <m/>
    <m/>
    <n v="0"/>
    <n v="285"/>
    <n v="0"/>
    <n v="0"/>
    <n v="0"/>
    <n v="0"/>
    <n v="0"/>
    <x v="4"/>
    <s v="MENA_Programme 3. Enseignement élémentaire"/>
    <s v="3. Dépenses de fonctionnement"/>
    <s v="DNEF"/>
    <s v="DNEF"/>
    <x v="0"/>
    <x v="0"/>
    <x v="5"/>
    <s v="153- L'éducation inclusive est intégrée dans la prise de décision par les différents acteurs"/>
    <x v="67"/>
    <s v="15311-Elaboration d'une politique et de normes pour l'éducation inclusive et mise en place de mécanismes de soutien aux écoles"/>
  </r>
  <r>
    <s v="Constitution d'une équipe de cadre nationaux pour la prise en charge des ESH"/>
    <s v="Décision"/>
    <s v="sif"/>
    <n v="0"/>
    <m/>
    <m/>
    <m/>
    <n v="0"/>
    <n v="0"/>
    <m/>
    <m/>
    <n v="0"/>
    <m/>
    <m/>
    <x v="6"/>
    <s v="MENA_Programme 3. Enseignement élémentaire"/>
    <s v=""/>
    <s v="DNEF"/>
    <s v="DNEF"/>
    <x v="0"/>
    <x v="0"/>
    <x v="5"/>
    <s v="153- L'éducation inclusive est intégrée dans la prise de décision par les différents acteurs"/>
    <x v="67"/>
    <s v="15312-Constitution d'une équipe de cadre nationaux pour la prise en charge des ESH"/>
  </r>
  <r>
    <s v="Renforcement des capacités de l'équipe nationale dans la prise en charge des ESH"/>
    <s v="Formation à l'extérieur"/>
    <s v="Cu/fe"/>
    <n v="0"/>
    <n v="2.5004999999999997"/>
    <m/>
    <m/>
    <n v="2.5004999999999997"/>
    <n v="50.336534"/>
    <n v="0"/>
    <n v="125.86650326699998"/>
    <n v="0"/>
    <n v="0"/>
    <n v="125.86650326699998"/>
    <x v="6"/>
    <s v="MENA_Programme 3. Enseignement élémentaire"/>
    <s v="3. Formation"/>
    <s v="DNEF"/>
    <s v="DNEF"/>
    <x v="0"/>
    <x v="0"/>
    <x v="5"/>
    <s v="153- L'éducation inclusive est intégrée dans la prise de décision par les différents acteurs"/>
    <x v="67"/>
    <s v="15313-Renforcement des capacités de l'équipe nationale dans la prise en charge des ESH"/>
  </r>
  <r>
    <s v="Renforcement des capacités de l'équipe nationale dans la prise en charge des ESH"/>
    <s v="Formation à l'extérieur"/>
    <s v="Cu/fe"/>
    <n v="0"/>
    <n v="2.2164999999999999"/>
    <m/>
    <m/>
    <n v="2.2164999999999999"/>
    <n v="50.336534"/>
    <n v="0"/>
    <n v="111.570927611"/>
    <n v="0"/>
    <n v="0"/>
    <n v="111.570927611"/>
    <x v="13"/>
    <s v="MENA_Programme 3. Enseignement élémentaire"/>
    <s v="3. Formation"/>
    <s v="DNEF"/>
    <s v="DNEF"/>
    <x v="0"/>
    <x v="0"/>
    <x v="5"/>
    <s v="153- L'éducation inclusive est intégrée dans la prise de décision par les différents acteurs"/>
    <x v="67"/>
    <s v="15313-Renforcement des capacités de l'équipe nationale dans la prise en charge des ESH"/>
  </r>
  <r>
    <s v="Renforcement des capacités de l'équipe nationale dans la prise en charge des ESH"/>
    <s v="Formation à l'extérieur"/>
    <s v="Cu/fe"/>
    <m/>
    <n v="0.28300000000000003"/>
    <m/>
    <m/>
    <n v="0.28300000000000003"/>
    <n v="50.336534"/>
    <n v="0"/>
    <n v="14.245239122000001"/>
    <n v="0"/>
    <n v="0"/>
    <n v="14.245239122000001"/>
    <x v="4"/>
    <s v="MENA_Programme 3. Enseignement élémentaire"/>
    <s v="3. Formation"/>
    <s v="DNEF"/>
    <s v="DNEF"/>
    <x v="0"/>
    <x v="0"/>
    <x v="5"/>
    <s v="153- L'éducation inclusive est intégrée dans la prise de décision par les différents acteurs"/>
    <x v="67"/>
    <s v="15313-Renforcement des capacités de l'équipe nationale dans la prise en charge des ESH"/>
  </r>
  <r>
    <s v="Diffusion des textes de loi sur l'inclusion"/>
    <s v="réprographie"/>
    <s v="imp"/>
    <n v="0"/>
    <m/>
    <n v="50"/>
    <m/>
    <n v="50"/>
    <n v="7.4999999999999997E-3"/>
    <n v="0"/>
    <n v="0"/>
    <n v="0.375"/>
    <n v="0"/>
    <n v="0.375"/>
    <x v="6"/>
    <s v="MENA_Programme 3. Enseignement élémentaire"/>
    <s v="3. Dépenses de fonctionnement"/>
    <s v="DNEF"/>
    <s v="DNEF"/>
    <x v="0"/>
    <x v="0"/>
    <x v="5"/>
    <s v="153- L'éducation inclusive est intégrée dans la prise de décision par les différents acteurs"/>
    <x v="67"/>
    <s v="15314-Diffusion des textes de loi sur l'inclusion"/>
  </r>
  <r>
    <s v="Formation des encadreurs régionaux et préfectoraux par l'équipe nationale en stratégie de prise en charge des ESH"/>
    <s v="formation"/>
    <s v="h/j/fr"/>
    <n v="0"/>
    <n v="60"/>
    <m/>
    <m/>
    <n v="60"/>
    <n v="0.54600000000000004"/>
    <n v="0"/>
    <n v="32.760000000000005"/>
    <n v="0"/>
    <n v="0"/>
    <n v="32.760000000000005"/>
    <x v="6"/>
    <s v="MENA_Programme 3. Enseignement élémentaire"/>
    <s v="3. Formation"/>
    <s v="DNEF"/>
    <s v="DNEF"/>
    <x v="0"/>
    <x v="0"/>
    <x v="5"/>
    <s v="153- L'éducation inclusive est intégrée dans la prise de décision par les différents acteurs"/>
    <x v="67"/>
    <s v="15315-Formation des encadreurs régionaux et préfectoraux par l'équipe nationale en stratégie de prise en charge des ESH"/>
  </r>
  <r>
    <s v="Formation des encadreurs régionaux et préfectoraux par l'équipe nationale en stratégie de prise en charge des ESH"/>
    <s v="formation"/>
    <s v="h/j/fr"/>
    <n v="0"/>
    <n v="547.79999999999995"/>
    <m/>
    <m/>
    <n v="547.79999999999995"/>
    <n v="0.54600000000000004"/>
    <n v="0"/>
    <n v="299.09879999999998"/>
    <n v="0"/>
    <n v="0"/>
    <n v="299.09879999999998"/>
    <x v="13"/>
    <s v="MENA_Programme 3. Enseignement élémentaire"/>
    <s v="3. Formation"/>
    <s v="DNEF"/>
    <s v="DNEF"/>
    <x v="0"/>
    <x v="0"/>
    <x v="5"/>
    <s v="153- L'éducation inclusive est intégrée dans la prise de décision par les différents acteurs"/>
    <x v="67"/>
    <s v="15315-Formation des encadreurs régionaux et préfectoraux par l'équipe nationale en stratégie de prise en charge des ESH"/>
  </r>
  <r>
    <s v="Formation des encadreurs régionaux et préfectoraux par l'équipe nationale en stratégie de prise en charge des ESH"/>
    <s v="formation"/>
    <s v="h/j/fr"/>
    <n v="23"/>
    <n v="52.08"/>
    <m/>
    <m/>
    <n v="75.08"/>
    <n v="0.54600000000000004"/>
    <n v="12.558000000000002"/>
    <n v="28.435680000000001"/>
    <n v="0"/>
    <n v="0"/>
    <n v="40.993680000000005"/>
    <x v="4"/>
    <s v="MENA_Programme 3. Enseignement élémentaire"/>
    <s v="3. Formation"/>
    <s v="DNEF"/>
    <s v="DNEF"/>
    <x v="0"/>
    <x v="0"/>
    <x v="5"/>
    <s v="153- L'éducation inclusive est intégrée dans la prise de décision par les différents acteurs"/>
    <x v="67"/>
    <s v="15315-Formation des encadreurs régionaux et préfectoraux par l'équipe nationale en stratégie de prise en charge des ESH"/>
  </r>
  <r>
    <s v="Formation des directeurs d'école et enseignants en stratégie de prise en charge des ESH par les structures déconcentrées"/>
    <s v="formation"/>
    <s v="h/j/fp"/>
    <n v="0"/>
    <m/>
    <n v="125"/>
    <n v="500.25000000000006"/>
    <n v="625.25"/>
    <n v="0.45"/>
    <n v="0"/>
    <n v="0"/>
    <n v="56.25"/>
    <n v="225.11250000000004"/>
    <n v="281.36250000000007"/>
    <x v="6"/>
    <s v="MENA_Programme 3. Enseignement élémentaire"/>
    <s v="3. Formation"/>
    <s v="DNEF"/>
    <s v="DPE/DCE"/>
    <x v="0"/>
    <x v="0"/>
    <x v="5"/>
    <s v="153- L'éducation inclusive est intégrée dans la prise de décision par les différents acteurs"/>
    <x v="67"/>
    <s v="15316-Formation des directeurs d'école et enseignants en stratégie de prise en charge des ESH par les structures déconcentrées"/>
  </r>
  <r>
    <s v="Formation des directeurs d'école et enseignants en stratégie de prise en charge des ESH par les structures déconcentrées"/>
    <s v="formation"/>
    <s v="h/j/fp"/>
    <n v="0"/>
    <n v="1266.5999999999999"/>
    <n v="1583.25"/>
    <n v="1583.25"/>
    <n v="4433.1000000000004"/>
    <n v="0.45"/>
    <n v="0"/>
    <n v="569.97"/>
    <n v="712.46249999999998"/>
    <n v="712.46249999999998"/>
    <n v="1994.895"/>
    <x v="13"/>
    <s v="MENA_Programme 3. Enseignement élémentaire"/>
    <s v="3. Formation"/>
    <s v="DNEF"/>
    <s v="DPE/DCE"/>
    <x v="0"/>
    <x v="0"/>
    <x v="5"/>
    <s v="153- L'éducation inclusive est intégrée dans la prise de décision par les différents acteurs"/>
    <x v="67"/>
    <s v="15316-Formation des directeurs d'école et enseignants en stratégie de prise en charge des ESH par les structures déconcentrées"/>
  </r>
  <r>
    <s v="Formation des directeurs d'école et enseignants en stratégie de prise en charge des ESH par les structures déconcentrées"/>
    <s v="formation"/>
    <s v="h/j/fp"/>
    <n v="453"/>
    <n v="333.2"/>
    <n v="416.5"/>
    <n v="416.5"/>
    <n v="1619.2"/>
    <n v="0.45"/>
    <n v="203.85"/>
    <n v="149.94"/>
    <n v="187.42500000000001"/>
    <n v="187.42500000000001"/>
    <n v="728.63999999999987"/>
    <x v="4"/>
    <s v="MENA_Programme 3. Enseignement élémentaire"/>
    <s v="3. Formation"/>
    <s v="DNEF"/>
    <s v="DPE/DCE"/>
    <x v="0"/>
    <x v="0"/>
    <x v="5"/>
    <s v="153- L'éducation inclusive est intégrée dans la prise de décision par les différents acteurs"/>
    <x v="67"/>
    <s v="15316-Formation des directeurs d'école et enseignants en stratégie de prise en charge des ESH par les structures déconcentrées"/>
  </r>
  <r>
    <s v="Sensibilisation des différents acteurs en éducation sur l'éducation inclusive"/>
    <m/>
    <m/>
    <n v="0"/>
    <m/>
    <m/>
    <m/>
    <m/>
    <m/>
    <m/>
    <m/>
    <m/>
    <m/>
    <m/>
    <x v="0"/>
    <m/>
    <m/>
    <m/>
    <m/>
    <x v="0"/>
    <x v="0"/>
    <x v="5"/>
    <s v="153- L'éducation inclusive est intégrée dans la prise de décision par les différents acteurs"/>
    <x v="68"/>
    <s v="1532-Sensibilisation des différents acteurs en éducation sur l'éducation inclusive"/>
  </r>
  <r>
    <s v="Production des supports de sensibilisation des différents acteurs (décideurs, structures déconcentrées, directeurs, enseignants, communautés, OPH) sur la prise en charge des enfants en situation de handicap"/>
    <s v="Atelier"/>
    <s v="h/j/ap"/>
    <n v="0"/>
    <m/>
    <n v="100"/>
    <m/>
    <n v="100"/>
    <n v="0.255"/>
    <n v="0"/>
    <n v="0"/>
    <n v="25.5"/>
    <n v="0"/>
    <n v="25.5"/>
    <x v="6"/>
    <s v="MENA_Programme 3. Enseignement élémentaire"/>
    <s v="3. Dépenses de fonctionnement"/>
    <s v="DNEF"/>
    <s v="DNEF"/>
    <x v="0"/>
    <x v="0"/>
    <x v="5"/>
    <s v="153- L'éducation inclusive est intégrée dans la prise de décision par les différents acteurs"/>
    <x v="68"/>
    <s v="15321-Production des supports de sensibilisation des différents acteurs (décideurs, structures déconcentrées, directeurs, enseignants, communautés, OPH) sur la prise en charge des enfants en situation de handicap"/>
  </r>
  <r>
    <s v="Diffusion des outils de sensibilisation des différents acteurs sur la prise en charge des enfants en situation de handicap à travers les médias"/>
    <s v="Message"/>
    <s v="diffusion"/>
    <n v="0"/>
    <n v="28.5"/>
    <n v="114"/>
    <m/>
    <n v="142.5"/>
    <n v="0.4"/>
    <n v="0"/>
    <n v="11.4"/>
    <n v="45.6"/>
    <n v="0"/>
    <n v="57"/>
    <x v="6"/>
    <s v="MENA_Programme 3. Enseignement élémentaire"/>
    <s v="3. Dépenses de fonctionnement"/>
    <s v="DNEF"/>
    <s v="DNEF"/>
    <x v="0"/>
    <x v="0"/>
    <x v="5"/>
    <s v="153- L'éducation inclusive est intégrée dans la prise de décision par les différents acteurs"/>
    <x v="68"/>
    <s v="15322-Diffusion des outils de sensibilisation des différents acteurs sur la prise en charge des enfants en situation de handicap à travers les médias"/>
  </r>
  <r>
    <s v="Diffusion des outils de sensibilisation des différents acteurs sur la prise en charge des enfants en situation de handicap à travers les médias"/>
    <s v="Message"/>
    <s v="diffusion"/>
    <n v="0"/>
    <n v="266.81700000000001"/>
    <n v="266.81700000000001"/>
    <m/>
    <n v="533.63400000000001"/>
    <n v="0.4"/>
    <n v="0"/>
    <n v="106.72680000000001"/>
    <n v="106.72680000000001"/>
    <n v="0"/>
    <n v="213.45360000000002"/>
    <x v="13"/>
    <s v="MENA_Programme 3. Enseignement élémentaire"/>
    <s v="3. Dépenses de fonctionnement"/>
    <s v="DNEF"/>
    <s v="DNEF"/>
    <x v="0"/>
    <x v="0"/>
    <x v="5"/>
    <s v="153- L'éducation inclusive est intégrée dans la prise de décision par les différents acteurs"/>
    <x v="68"/>
    <s v="15322-Diffusion des outils de sensibilisation des différents acteurs sur la prise en charge des enfants en situation de handicap à travers les médias"/>
  </r>
  <r>
    <s v="Diffusion des outils de sensibilisation des différents acteurs sur la prise en charge des enfants en situation de handicap à travers les médias"/>
    <s v="Message"/>
    <s v="diffusion"/>
    <m/>
    <n v="189.126"/>
    <n v="189.126"/>
    <m/>
    <n v="378.25200000000001"/>
    <n v="0.4"/>
    <n v="0"/>
    <n v="75.650400000000005"/>
    <n v="75.650400000000005"/>
    <n v="0"/>
    <n v="151.30080000000001"/>
    <x v="13"/>
    <s v="MENA_Programme 3. Enseignement élémentaire"/>
    <s v="3. Dépenses de fonctionnement"/>
    <s v="DNEF"/>
    <s v="DNEF"/>
    <x v="0"/>
    <x v="0"/>
    <x v="5"/>
    <s v="153- L'éducation inclusive est intégrée dans la prise de décision par les différents acteurs"/>
    <x v="68"/>
    <s v="15322-Diffusion des outils de sensibilisation des différents acteurs sur la prise en charge des enfants en situation de handicap à travers les médias"/>
  </r>
  <r>
    <s v="Sensibilisation des parents d'enfants en situation de handicap pour la scolarisation de leurs enfants "/>
    <s v="campagne de sensibilisation"/>
    <s v="campagne"/>
    <n v="0"/>
    <n v="0"/>
    <n v="2"/>
    <n v="2"/>
    <n v="4"/>
    <n v="45.936799999999998"/>
    <n v="0"/>
    <n v="0"/>
    <n v="91.873599999999996"/>
    <n v="91.873599999999996"/>
    <n v="183.74719999999999"/>
    <x v="6"/>
    <s v="MENA_Programme 3. Enseignement élémentaire"/>
    <s v="3. Dépenses de fonctionnement"/>
    <s v=" DPE/DCE"/>
    <s v="DE"/>
    <x v="0"/>
    <x v="0"/>
    <x v="5"/>
    <s v="153- L'éducation inclusive est intégrée dans la prise de décision par les différents acteurs"/>
    <x v="68"/>
    <s v="15323-Sensibilisation des parents d'enfants en situation de handicap pour la scolarisation de leurs enfants "/>
  </r>
  <r>
    <s v="Sensibilisation des parents d'enfants en situation de handicap pour la scolarisation de leurs enfants "/>
    <s v="campagne de sensibilisation"/>
    <s v="campagne"/>
    <n v="0"/>
    <n v="0.1714"/>
    <n v="0.1714"/>
    <n v="0.1714"/>
    <n v="0.51419999999999999"/>
    <n v="45.936799999999998"/>
    <n v="0"/>
    <n v="7.8735675199999999"/>
    <n v="7.8735675199999999"/>
    <n v="7.8735675199999999"/>
    <n v="23.620702559999998"/>
    <x v="13"/>
    <s v="MENA_Programme 3. Enseignement élémentaire"/>
    <s v="3. Dépenses de fonctionnement"/>
    <s v=" DPE/DCE"/>
    <s v="DE"/>
    <x v="0"/>
    <x v="0"/>
    <x v="5"/>
    <s v="153- L'éducation inclusive est intégrée dans la prise de décision par les différents acteurs"/>
    <x v="68"/>
    <s v="15323-Sensibilisation des parents d'enfants en situation de handicap pour la scolarisation de leurs enfants "/>
  </r>
  <r>
    <s v="Renforcement de la gratuité de l'école primaire"/>
    <m/>
    <m/>
    <n v="0"/>
    <m/>
    <m/>
    <m/>
    <m/>
    <m/>
    <m/>
    <m/>
    <m/>
    <m/>
    <m/>
    <x v="0"/>
    <m/>
    <m/>
    <m/>
    <m/>
    <x v="0"/>
    <x v="0"/>
    <x v="5"/>
    <s v="153- L'éducation inclusive est intégrée dans la prise de décision par les différents acteurs"/>
    <x v="69"/>
    <s v="1533-Renforcement de la gratuité de l'école primaire"/>
  </r>
  <r>
    <s v="Etude d'opportunité et appui à la mobilisation de Financements locaux pour la prise en charge des coûts indirects de la scolarisation des enfants issus des milieux défavorisés"/>
    <s v="divers"/>
    <s v="forfait /viol"/>
    <n v="0"/>
    <n v="1"/>
    <m/>
    <m/>
    <n v="1"/>
    <n v="855"/>
    <n v="0"/>
    <n v="855"/>
    <n v="0"/>
    <n v="0"/>
    <n v="855"/>
    <x v="6"/>
    <s v="MENA_Programme 3. Enseignement élémentaire"/>
    <s v="3. Dépenses de fonctionnement"/>
    <s v="DNEF"/>
    <s v="DNEF"/>
    <x v="0"/>
    <x v="0"/>
    <x v="5"/>
    <s v="153- L'éducation inclusive est intégrée dans la prise de décision par les différents acteurs"/>
    <x v="69"/>
    <s v="15331-Etude d'opportunité et appui à la mobilisation de Financements locaux pour la prise en charge des coûts indirects de la scolarisation des enfants issus des milieux défavorisés"/>
  </r>
  <r>
    <s v="DéFinition concertée des critères de choix des élèves devant bénéficier de fournitures scolaires"/>
    <s v="travaux administratifs"/>
    <s v="sif"/>
    <n v="0"/>
    <n v="1"/>
    <m/>
    <m/>
    <n v="1"/>
    <n v="0"/>
    <m/>
    <m/>
    <m/>
    <m/>
    <m/>
    <x v="2"/>
    <s v="MENA_Programme 3. Enseignement élémentaire"/>
    <s v=""/>
    <s v="DNEF"/>
    <s v="DNEF"/>
    <x v="0"/>
    <x v="0"/>
    <x v="5"/>
    <s v="153- L'éducation inclusive est intégrée dans la prise de décision par les différents acteurs"/>
    <x v="69"/>
    <s v="15332-DéFinition concertée des critères de choix des élèves devant bénéficier de fournitures scolaires"/>
  </r>
  <r>
    <s v="Identification des élèves devant bénéficier de fournitures scolaires sur la base des critères retenus"/>
    <s v="travaux administratifs"/>
    <s v="sif"/>
    <n v="0"/>
    <n v="1"/>
    <n v="1"/>
    <n v="1"/>
    <n v="3"/>
    <n v="0"/>
    <m/>
    <m/>
    <m/>
    <m/>
    <m/>
    <x v="2"/>
    <s v="MENA_Programme 3. Enseignement élémentaire"/>
    <s v=""/>
    <s v="DNEF"/>
    <s v="IRE/DPE/DCE"/>
    <x v="0"/>
    <x v="0"/>
    <x v="5"/>
    <s v="153- L'éducation inclusive est intégrée dans la prise de décision par les différents acteurs"/>
    <x v="69"/>
    <s v="15333-Identification des élèves devant bénéficier de fournitures scolaires sur la base des critères retenus"/>
  </r>
  <r>
    <s v="Acquisition et distribution des fournitures aux enfants défavorisés"/>
    <s v="Achat"/>
    <s v="kit/élév"/>
    <n v="0"/>
    <n v="81151.4476"/>
    <n v="84062.761660000004"/>
    <n v="867132.8144400001"/>
    <n v="1032347.0237000001"/>
    <n v="0.1"/>
    <n v="0"/>
    <n v="8115.1447600000001"/>
    <n v="8406.2761660000015"/>
    <n v="86713.281444000022"/>
    <n v="103234.70237000003"/>
    <x v="2"/>
    <s v="MENA_Programme 3. Enseignement élémentaire"/>
    <s v="3. Manuels scolaires et matériels pédagogiques"/>
    <s v="DNEF"/>
    <s v="DAF"/>
    <x v="0"/>
    <x v="0"/>
    <x v="5"/>
    <s v="153- L'éducation inclusive est intégrée dans la prise de décision par les différents acteurs"/>
    <x v="69"/>
    <s v="15334-Acquisition et distribution des fournitures aux enfants défavorisés"/>
  </r>
  <r>
    <s v="Acquisition et distribution des fournitures aux enfants défavorisés"/>
    <s v="Achat"/>
    <s v="kit/élév"/>
    <n v="0"/>
    <n v="53635.882799999999"/>
    <n v="55560.073980000008"/>
    <n v="573118.96932000003"/>
    <n v="682314.92610000004"/>
    <n v="0.1"/>
    <n v="0"/>
    <n v="5363.5882799999999"/>
    <n v="5556.0073980000016"/>
    <n v="57311.896932000003"/>
    <n v="68231.492610000001"/>
    <x v="13"/>
    <s v="MENA_Programme 3. Enseignement élémentaire"/>
    <s v="3. Manuels scolaires et matériels pédagogiques"/>
    <s v="DNEF"/>
    <s v="DAF"/>
    <x v="0"/>
    <x v="0"/>
    <x v="5"/>
    <s v="153- L'éducation inclusive est intégrée dans la prise de décision par les différents acteurs"/>
    <x v="69"/>
    <s v="15334-Acquisition et distribution des fournitures aux enfants défavorisés"/>
  </r>
  <r>
    <s v="Acquisition et distribution des fournitures aux enfants défavorisés"/>
    <s v="Achat"/>
    <s v="kit/élév"/>
    <n v="0"/>
    <n v="210.90939999999998"/>
    <n v="218.47579000000002"/>
    <n v="2253.6438600000001"/>
    <n v="2683.0290500000001"/>
    <n v="0.1"/>
    <n v="0"/>
    <n v="21.09094"/>
    <n v="21.847579000000003"/>
    <n v="225.36438600000002"/>
    <n v="268.30290500000001"/>
    <x v="5"/>
    <s v="MENA_Programme 3. Enseignement élémentaire"/>
    <s v="3. Manuels scolaires et matériels pédagogiques"/>
    <s v="DNEF"/>
    <s v="DAF"/>
    <x v="0"/>
    <x v="0"/>
    <x v="5"/>
    <s v="153- L'éducation inclusive est intégrée dans la prise de décision par les différents acteurs"/>
    <x v="69"/>
    <s v="15334-Acquisition et distribution des fournitures aux enfants défavorisés"/>
  </r>
  <r>
    <s v="Acquisition et distribution des fournitures aux enfants défavorisés"/>
    <s v="Achat"/>
    <s v="kit/élév"/>
    <n v="0"/>
    <n v="15136.805399999999"/>
    <n v="15679.839390000001"/>
    <n v="161742.28625999999"/>
    <n v="192558.93104999998"/>
    <n v="0.1"/>
    <n v="0"/>
    <n v="1513.6805400000001"/>
    <n v="1567.9839390000002"/>
    <n v="16174.228626"/>
    <n v="19255.893104999999"/>
    <x v="12"/>
    <s v="MENA_Programme 3. Enseignement élémentaire"/>
    <s v="3. Manuels scolaires et matériels pédagogiques"/>
    <s v="DNEF"/>
    <s v="DAF"/>
    <x v="0"/>
    <x v="0"/>
    <x v="5"/>
    <s v="153- L'éducation inclusive est intégrée dans la prise de décision par les différents acteurs"/>
    <x v="69"/>
    <s v="15334-Acquisition et distribution des fournitures aux enfants défavorisés"/>
  </r>
  <r>
    <s v="Acquisition et distribution des fournitures aux enfants défavorisés"/>
    <s v="Achat"/>
    <s v="kit/élév"/>
    <n v="12102.9548"/>
    <n v="12102.9548"/>
    <n v="12537.14918"/>
    <n v="129324.48612000002"/>
    <n v="166067.54490000001"/>
    <n v="0.1"/>
    <n v="1210.29548"/>
    <n v="1210.29548"/>
    <n v="1253.7149180000001"/>
    <n v="12932.448612000002"/>
    <n v="16606.754490000003"/>
    <x v="4"/>
    <s v="MENA_Programme 3. Enseignement élémentaire"/>
    <s v="3. Manuels scolaires et matériels pédagogiques"/>
    <s v="DNEF"/>
    <s v="DAF"/>
    <x v="0"/>
    <x v="0"/>
    <x v="5"/>
    <s v="153- L'éducation inclusive est intégrée dans la prise de décision par les différents acteurs"/>
    <x v="69"/>
    <s v="15334-Acquisition et distribution des fournitures aux enfants défavorisés"/>
  </r>
  <r>
    <s v="Suivi/évaluation de la distribution des fournitures scolaires (audit échantillon annuel)"/>
    <s v="Mission"/>
    <s v="h/j/m"/>
    <n v="0"/>
    <n v="346.5"/>
    <n v="346.5"/>
    <n v="346.5"/>
    <n v="1039.5"/>
    <n v="0.8177777777777776"/>
    <n v="0"/>
    <n v="283.35999999999996"/>
    <n v="283.35999999999996"/>
    <n v="283.35999999999996"/>
    <n v="850.07999999999993"/>
    <x v="2"/>
    <s v="MENA_Programme 3. Enseignement élémentaire"/>
    <s v="3. Dépenses de fonctionnement"/>
    <s v="DNEF"/>
    <s v="Audit/DAF"/>
    <x v="0"/>
    <x v="0"/>
    <x v="5"/>
    <s v="153- L'éducation inclusive est intégrée dans la prise de décision par les différents acteurs"/>
    <x v="69"/>
    <s v="15335-Suivi/évaluation de la distribution des fournitures scolaires (audit échantillon annuel)"/>
  </r>
  <r>
    <s v="Suivi/évaluation de la distribution des fournitures scolaires (audit échantillon annuel)"/>
    <s v="Mission"/>
    <s v="h/j/m"/>
    <n v="0"/>
    <n v="346.5"/>
    <n v="346.5"/>
    <n v="346.5"/>
    <n v="1039.5"/>
    <n v="0.8177777777777776"/>
    <n v="0"/>
    <n v="283.35999999999996"/>
    <n v="283.35999999999996"/>
    <n v="283.35999999999996"/>
    <n v="850.07999999999993"/>
    <x v="13"/>
    <s v="MENA_Programme 3. Enseignement élémentaire"/>
    <s v="3. Dépenses de fonctionnement"/>
    <s v="DNEF"/>
    <s v="Audit/DAF"/>
    <x v="0"/>
    <x v="0"/>
    <x v="5"/>
    <s v="153- L'éducation inclusive est intégrée dans la prise de décision par les différents acteurs"/>
    <x v="69"/>
    <s v="15335-Suivi/évaluation de la distribution des fournitures scolaires (audit échantillon annuel)"/>
  </r>
  <r>
    <s v=" Accès et équité au lycée"/>
    <m/>
    <m/>
    <n v="0"/>
    <m/>
    <m/>
    <m/>
    <m/>
    <m/>
    <m/>
    <m/>
    <m/>
    <m/>
    <m/>
    <x v="0"/>
    <m/>
    <m/>
    <m/>
    <m/>
    <x v="0"/>
    <x v="0"/>
    <x v="6"/>
    <s v="16- Accès et équité au lycée"/>
    <x v="70"/>
    <s v="16- Accès et équité au lycée"/>
  </r>
  <r>
    <s v=" L’accès au lycée est maitrisé en tenant compte de l’équité et de la diversification des filières"/>
    <m/>
    <m/>
    <n v="0"/>
    <m/>
    <m/>
    <m/>
    <m/>
    <m/>
    <m/>
    <m/>
    <m/>
    <m/>
    <m/>
    <x v="0"/>
    <m/>
    <m/>
    <m/>
    <m/>
    <x v="0"/>
    <x v="0"/>
    <x v="6"/>
    <s v="161- L’accès au lycée est maitrisé en tenant compte de l’équité et de la diversification des filières"/>
    <x v="71"/>
    <s v="161- L’accès au lycée est maitrisé en tenant compte de l’équité et de la diversification des filières"/>
  </r>
  <r>
    <s v="Diversification des filières au lycée"/>
    <m/>
    <m/>
    <n v="0"/>
    <m/>
    <m/>
    <m/>
    <m/>
    <m/>
    <m/>
    <m/>
    <m/>
    <m/>
    <m/>
    <x v="0"/>
    <m/>
    <m/>
    <m/>
    <m/>
    <x v="0"/>
    <x v="0"/>
    <x v="6"/>
    <s v="161- L’accès au lycée est maitrisé en tenant compte de l’équité et de la diversification des filières"/>
    <x v="72"/>
    <s v="1611-Diversification des filières au lycée"/>
  </r>
  <r>
    <s v="Construction et équipement de lycées techniques"/>
    <s v="construction"/>
    <s v="LT"/>
    <n v="0"/>
    <m/>
    <n v="0.5"/>
    <n v="0.5"/>
    <n v="1"/>
    <n v="16000"/>
    <n v="0"/>
    <n v="0"/>
    <n v="8000"/>
    <n v="8000"/>
    <n v="16000"/>
    <x v="2"/>
    <s v="MENA_Sous-programme 4.2. Lycée"/>
    <s v="5. Investissement"/>
    <s v="DNESGT"/>
    <s v="SNIES"/>
    <x v="0"/>
    <x v="0"/>
    <x v="6"/>
    <s v="161- L’accès au lycée est maitrisé en tenant compte de l’équité et de la diversification des filières"/>
    <x v="72"/>
    <s v="16111-Construction et équipement de lycées techniques"/>
  </r>
  <r>
    <s v="Optimisation de l’utilisation des salles de classe au lycée, y compris les FA"/>
    <m/>
    <m/>
    <n v="0"/>
    <m/>
    <m/>
    <m/>
    <m/>
    <m/>
    <m/>
    <m/>
    <m/>
    <m/>
    <m/>
    <x v="0"/>
    <m/>
    <m/>
    <m/>
    <m/>
    <x v="0"/>
    <x v="0"/>
    <x v="6"/>
    <s v="161- L’accès au lycée est maitrisé en tenant compte de l’équité et de la diversification des filières"/>
    <x v="73"/>
    <s v="1612-Optimisation de l’utilisation des salles de classe au lycée, y compris les FA"/>
  </r>
  <r>
    <s v="Identification d'une stratégie d'optimisation de l'utilisation des salles de classes et des enseignants dans les établissements"/>
    <s v="travaux administratifs"/>
    <s v="sif"/>
    <n v="0"/>
    <n v="1"/>
    <m/>
    <m/>
    <n v="1"/>
    <n v="0"/>
    <m/>
    <m/>
    <m/>
    <m/>
    <m/>
    <x v="2"/>
    <s v="MENA_Sous-programme 4.2. Lycée"/>
    <s v=""/>
    <s v="DNESGT"/>
    <s v="DNESGT"/>
    <x v="0"/>
    <x v="0"/>
    <x v="6"/>
    <s v="161- L’accès au lycée est maitrisé en tenant compte de l’équité et de la diversification des filières"/>
    <x v="73"/>
    <s v="16121-Identification d'une stratégie d'optimisation de l'utilisation des salles de classes et des enseignants dans les établissements"/>
  </r>
  <r>
    <s v="Mise en place de la stratégie d'optimisation de l'utilisation des salles de classes et des enseignants dans les établissements"/>
    <s v="Décision"/>
    <s v="sif"/>
    <n v="0"/>
    <n v="1"/>
    <m/>
    <m/>
    <n v="1"/>
    <n v="0"/>
    <m/>
    <m/>
    <m/>
    <m/>
    <m/>
    <x v="2"/>
    <s v="MENA_Sous-programme 4.2. Lycée"/>
    <s v=""/>
    <s v="DNESGT"/>
    <s v="DNESGT"/>
    <x v="0"/>
    <x v="0"/>
    <x v="6"/>
    <s v="161- L’accès au lycée est maitrisé en tenant compte de l’équité et de la diversification des filières"/>
    <x v="73"/>
    <s v="16122-Mise en place de la stratégie d'optimisation de l'utilisation des salles de classes et des enseignants dans les établissements"/>
  </r>
  <r>
    <s v="Suivi/évaluation du fonctionnement des établissements en lien avec la nouvelle organisation"/>
    <s v="suivi par les IRE"/>
    <s v="sif"/>
    <n v="0"/>
    <n v="1"/>
    <n v="1"/>
    <n v="1"/>
    <n v="3"/>
    <n v="0"/>
    <m/>
    <m/>
    <m/>
    <m/>
    <m/>
    <x v="2"/>
    <s v="MENA_Sous-programme 4.2. Lycée"/>
    <s v=""/>
    <s v="DNESGT"/>
    <s v="IRE"/>
    <x v="0"/>
    <x v="0"/>
    <x v="6"/>
    <s v="161- L’accès au lycée est maitrisé en tenant compte de l’équité et de la diversification des filières"/>
    <x v="73"/>
    <s v="16123-Suivi/évaluation du fonctionnement des établissements en lien avec la nouvelle organisation"/>
  </r>
  <r>
    <s v="Construction de salles de classe avec rampe d’accès au lycée en tenant compte de la prévention des catastrophes naturelles, y compris les FA"/>
    <m/>
    <m/>
    <n v="0"/>
    <m/>
    <m/>
    <m/>
    <m/>
    <m/>
    <m/>
    <m/>
    <m/>
    <m/>
    <m/>
    <x v="0"/>
    <m/>
    <m/>
    <m/>
    <m/>
    <x v="0"/>
    <x v="0"/>
    <x v="6"/>
    <s v="161- L’accès au lycée est maitrisé en tenant compte de l’équité et de la diversification des filières"/>
    <x v="74"/>
    <s v="1613-Construction de salles de classe avec rampe d’accès au lycée en tenant compte de la prévention des catastrophes naturelles, y compris les FA"/>
  </r>
  <r>
    <s v="Identification des établissements et des localités devant bénéficier de construction de salles de classe au Lycée (pris en compte dans activité 12222)"/>
    <s v="PM"/>
    <s v="sif"/>
    <n v="0"/>
    <n v="1"/>
    <n v="1"/>
    <n v="1"/>
    <n v="3"/>
    <n v="0"/>
    <m/>
    <m/>
    <m/>
    <m/>
    <m/>
    <x v="2"/>
    <s v="MENA_Sous-programme 4.2. Lycée"/>
    <s v=""/>
    <s v="BSD"/>
    <s v="IRE"/>
    <x v="0"/>
    <x v="0"/>
    <x v="6"/>
    <s v="161- L’accès au lycée est maitrisé en tenant compte de l’équité et de la diversification des filières"/>
    <x v="74"/>
    <s v="16131-Identification des établissements et des localités devant bénéficier de construction de salles de classe au Lycée (pris en compte dans activité 12222)"/>
  </r>
  <r>
    <s v="Validation des sites devant bénéficier de construction de salles de classe (Pris en compte dans activité 12222)"/>
    <s v="PM"/>
    <s v="sif"/>
    <n v="0"/>
    <m/>
    <m/>
    <m/>
    <m/>
    <n v="0"/>
    <m/>
    <m/>
    <m/>
    <m/>
    <m/>
    <x v="2"/>
    <s v="MENA_Sous-programme 4.2. Lycée"/>
    <s v=""/>
    <s v="SNIES"/>
    <s v="BSD/SNIES/IRE"/>
    <x v="0"/>
    <x v="0"/>
    <x v="6"/>
    <s v="161- L’accès au lycée est maitrisé en tenant compte de l’équité et de la diversification des filières"/>
    <x v="74"/>
    <s v="16132-Validation des sites devant bénéficier de construction de salles de classe (Pris en compte dans activité 12222)"/>
  </r>
  <r>
    <s v="Réalisation des travaux de construction des salles de classe"/>
    <s v="Construction"/>
    <s v="cons/sdc/lyc"/>
    <n v="0"/>
    <n v="78.75"/>
    <n v="131.25"/>
    <n v="52.5"/>
    <n v="262.5"/>
    <n v="500"/>
    <n v="0"/>
    <n v="39375"/>
    <n v="65625"/>
    <n v="26250"/>
    <n v="131250"/>
    <x v="2"/>
    <s v="MENA_Sous-programme 4.2. Lycée"/>
    <s v="5. Investissement"/>
    <s v="SNIES"/>
    <s v="SNIES"/>
    <x v="0"/>
    <x v="0"/>
    <x v="6"/>
    <s v="161- L’accès au lycée est maitrisé en tenant compte de l’équité et de la diversification des filières"/>
    <x v="74"/>
    <s v="16133-Réalisation des travaux de construction des salles de classe"/>
  </r>
  <r>
    <s v="Réalisation des travaux de construction des salles de classe"/>
    <s v="Construction"/>
    <s v="cons/sdc/lyc"/>
    <n v="0"/>
    <n v="78.75"/>
    <n v="131.25"/>
    <n v="52.5"/>
    <n v="262.5"/>
    <n v="500"/>
    <n v="0"/>
    <n v="39375"/>
    <n v="65625"/>
    <n v="26250"/>
    <n v="131250"/>
    <x v="13"/>
    <s v="MENA_Sous-programme 4.2. Lycée"/>
    <s v="5. Investissement"/>
    <s v="SNIES"/>
    <s v="SNIES"/>
    <x v="0"/>
    <x v="0"/>
    <x v="6"/>
    <s v="161- L’accès au lycée est maitrisé en tenant compte de l’équité et de la diversification des filières"/>
    <x v="74"/>
    <s v="16133-Réalisation des travaux de construction des salles de classe"/>
  </r>
  <r>
    <s v="Equipement des salles de classe en mobiliers scolaires"/>
    <s v="Mobilier"/>
    <s v="EQ/SDC/lyc"/>
    <n v="0"/>
    <n v="39.375"/>
    <n v="65.625"/>
    <n v="26.25"/>
    <n v="131.25"/>
    <n v="45.833333333333336"/>
    <n v="0"/>
    <n v="1804.6875"/>
    <n v="3007.8125"/>
    <n v="1203.125"/>
    <n v="6015.625"/>
    <x v="2"/>
    <s v="MENA_Sous-programme 4.2. Lycée"/>
    <s v="5. Investissement"/>
    <s v="SNIES"/>
    <s v="SNIES"/>
    <x v="0"/>
    <x v="0"/>
    <x v="6"/>
    <s v="161- L’accès au lycée est maitrisé en tenant compte de l’équité et de la diversification des filières"/>
    <x v="74"/>
    <s v="16134-Equipement des salles de classe en mobiliers scolaires"/>
  </r>
  <r>
    <s v="Equipement des salles de classe en mobiliers scolaires"/>
    <s v="Mobilier"/>
    <s v="EQ/SDC/lyc"/>
    <n v="0"/>
    <n v="39.375"/>
    <n v="65.625"/>
    <n v="26.25"/>
    <n v="131.25"/>
    <n v="45.833333333333336"/>
    <n v="0"/>
    <n v="1804.6875"/>
    <n v="3007.8125"/>
    <n v="1203.125"/>
    <n v="6015.625"/>
    <x v="13"/>
    <s v="MENA_Sous-programme 4.2. Lycée"/>
    <s v="5. Investissement"/>
    <s v="SNIES"/>
    <s v="SNIES"/>
    <x v="0"/>
    <x v="0"/>
    <x v="6"/>
    <s v="161- L’accès au lycée est maitrisé en tenant compte de l’équité et de la diversification des filières"/>
    <x v="74"/>
    <s v="16134-Equipement des salles de classe en mobiliers scolaires"/>
  </r>
  <r>
    <s v="Supervision de la construction des salles de classe "/>
    <s v="supervision"/>
    <s v="sup"/>
    <n v="0"/>
    <n v="39.375"/>
    <n v="65.625"/>
    <n v="26.25"/>
    <n v="131.25"/>
    <n v="7.1760000000000002"/>
    <n v="0"/>
    <n v="282.55500000000001"/>
    <n v="470.92500000000001"/>
    <n v="188.37"/>
    <n v="941.85"/>
    <x v="2"/>
    <s v="MENA_Sous-programme 4.2. Lycée"/>
    <s v="3. Dépenses de fonctionnement"/>
    <s v="SNIES"/>
    <s v="SNIES"/>
    <x v="0"/>
    <x v="0"/>
    <x v="6"/>
    <s v="161- L’accès au lycée est maitrisé en tenant compte de l’équité et de la diversification des filières"/>
    <x v="74"/>
    <s v="16135-Supervision de la construction des salles de classe "/>
  </r>
  <r>
    <s v="Supervision de la construction des salles de classe "/>
    <s v="supervision"/>
    <s v="sup"/>
    <n v="0"/>
    <n v="39.375"/>
    <n v="65.625"/>
    <n v="26.25"/>
    <n v="131.25"/>
    <n v="7.1760000000000002"/>
    <n v="0"/>
    <n v="282.55500000000001"/>
    <n v="470.92500000000001"/>
    <n v="188.37"/>
    <n v="941.85"/>
    <x v="13"/>
    <s v="MENA_Sous-programme 4.2. Lycée"/>
    <s v="3. Dépenses de fonctionnement"/>
    <s v="SNIES"/>
    <s v="SNIES"/>
    <x v="0"/>
    <x v="0"/>
    <x v="6"/>
    <s v="161- L’accès au lycée est maitrisé en tenant compte de l’équité et de la diversification des filières"/>
    <x v="74"/>
    <s v="16135-Supervision de la construction des salles de classe "/>
  </r>
  <r>
    <s v="Réhabilitation/rénovation de salles de classe au Lycée en tenant compte de la prévention des catastrophes naturelles, y compris les FA"/>
    <m/>
    <m/>
    <n v="0"/>
    <m/>
    <m/>
    <m/>
    <m/>
    <m/>
    <m/>
    <m/>
    <m/>
    <m/>
    <m/>
    <x v="0"/>
    <m/>
    <m/>
    <m/>
    <m/>
    <x v="0"/>
    <x v="0"/>
    <x v="6"/>
    <s v="161- L’accès au lycée est maitrisé en tenant compte de l’équité et de la diversification des filières"/>
    <x v="75"/>
    <s v="1614-Réhabilitation/rénovation de salles de classe au Lycée en tenant compte de la prévention des catastrophes naturelles, y compris les FA"/>
  </r>
  <r>
    <s v="Identification des établissements et des localités devant bénéficier de réhabilitation ou de rénovation de salles de classe (activité 12222)"/>
    <s v="PM"/>
    <s v="sif"/>
    <n v="0"/>
    <n v="1"/>
    <n v="1"/>
    <n v="1"/>
    <n v="3"/>
    <n v="0"/>
    <m/>
    <m/>
    <m/>
    <m/>
    <m/>
    <x v="2"/>
    <s v="MENA_Sous-programme 4.2. Lycée"/>
    <s v=""/>
    <s v="BSD"/>
    <s v="BSD/IRE"/>
    <x v="0"/>
    <x v="0"/>
    <x v="6"/>
    <s v="161- L’accès au lycée est maitrisé en tenant compte de l’équité et de la diversification des filières"/>
    <x v="75"/>
    <s v="16141-Identification des établissements et des localités devant bénéficier de réhabilitation ou de rénovation de salles de classe (activité 12222)"/>
  </r>
  <r>
    <s v="Validation des sites devant bénéficier de réhabilitation/rénovation (activité 12222)"/>
    <s v="PM"/>
    <s v="sif"/>
    <n v="0"/>
    <n v="1"/>
    <n v="1"/>
    <n v="1"/>
    <n v="3"/>
    <n v="0"/>
    <m/>
    <m/>
    <m/>
    <m/>
    <m/>
    <x v="2"/>
    <s v="MENA_Sous-programme 4.2. Lycée"/>
    <s v=""/>
    <s v="SNIES"/>
    <s v="SNIES/BSD"/>
    <x v="0"/>
    <x v="0"/>
    <x v="6"/>
    <s v="161- L’accès au lycée est maitrisé en tenant compte de l’équité et de la diversification des filières"/>
    <x v="75"/>
    <s v="16142-Validation des sites devant bénéficier de réhabilitation/rénovation (activité 12222)"/>
  </r>
  <r>
    <s v="Réalisation des travaux de réhabilitation ou de rénovation des salles de classe"/>
    <s v="Réhabilitation"/>
    <s v="réh/sdc/Lyc"/>
    <n v="0"/>
    <n v="9"/>
    <n v="15"/>
    <n v="6"/>
    <n v="30"/>
    <n v="83.35"/>
    <n v="0"/>
    <n v="750.15"/>
    <n v="1250.25"/>
    <n v="500.09999999999997"/>
    <n v="2500.5"/>
    <x v="2"/>
    <s v="MENA_Sous-programme 4.2. Lycée"/>
    <s v="5. Investissement"/>
    <s v="SNIES"/>
    <s v="Entreprises"/>
    <x v="0"/>
    <x v="0"/>
    <x v="6"/>
    <s v="161- L’accès au lycée est maitrisé en tenant compte de l’équité et de la diversification des filières"/>
    <x v="75"/>
    <s v="16143-Réalisation des travaux de réhabilitation ou de rénovation des salles de classe"/>
  </r>
  <r>
    <s v="Equipement des salles de classe en mobiliers scolaires"/>
    <s v="Mobilier"/>
    <s v="EQ/SDC/lyc"/>
    <n v="0"/>
    <n v="9"/>
    <n v="15"/>
    <n v="6"/>
    <n v="30"/>
    <n v="45.833333333333336"/>
    <n v="0"/>
    <n v="412.5"/>
    <n v="687.5"/>
    <n v="275"/>
    <n v="1375"/>
    <x v="2"/>
    <s v="MENA_Sous-programme 4.2. Lycée"/>
    <s v="5. Investissement"/>
    <s v="SNIES"/>
    <s v="Entreprises"/>
    <x v="0"/>
    <x v="0"/>
    <x v="6"/>
    <s v="161- L’accès au lycée est maitrisé en tenant compte de l’équité et de la diversification des filières"/>
    <x v="75"/>
    <s v="16144-Equipement des salles de classe en mobiliers scolaires"/>
  </r>
  <r>
    <s v="Supervision de la réhabilitation et de l'équipement des salles de classe "/>
    <s v="supervision"/>
    <s v="sup/reh"/>
    <n v="0"/>
    <n v="9"/>
    <n v="15"/>
    <n v="6"/>
    <n v="30"/>
    <n v="1.7549999999999999"/>
    <n v="0"/>
    <n v="15.794999999999998"/>
    <n v="26.324999999999999"/>
    <n v="10.53"/>
    <n v="52.65"/>
    <x v="2"/>
    <s v="MENA_Sous-programme 4.2. Lycée"/>
    <s v="5. Investissement"/>
    <s v="SNIES"/>
    <s v="Superviseurs"/>
    <x v="0"/>
    <x v="0"/>
    <x v="6"/>
    <s v="161- L’accès au lycée est maitrisé en tenant compte de l’équité et de la diversification des filières"/>
    <x v="75"/>
    <s v="16145-Supervision de la réhabilitation et de l'équipement des salles de classe "/>
  </r>
  <r>
    <s v=" Tous les lycées publics sont dotés en enseignants en nombre suffisant, y compris les FA"/>
    <m/>
    <m/>
    <n v="0"/>
    <m/>
    <m/>
    <m/>
    <m/>
    <m/>
    <m/>
    <m/>
    <m/>
    <m/>
    <m/>
    <x v="0"/>
    <m/>
    <m/>
    <m/>
    <m/>
    <x v="0"/>
    <x v="0"/>
    <x v="6"/>
    <s v="162- Tous les lycées publics sont dotés en enseignants en nombre suffisant, y compris les FA"/>
    <x v="76"/>
    <s v="162- Tous les lycées publics sont dotés en enseignants en nombre suffisant, y compris les FA"/>
  </r>
  <r>
    <s v="Recrutement d’enseignants de lycée en nombre suffisant, y compris les FA"/>
    <m/>
    <m/>
    <n v="0"/>
    <m/>
    <m/>
    <m/>
    <m/>
    <m/>
    <m/>
    <m/>
    <m/>
    <m/>
    <m/>
    <x v="0"/>
    <m/>
    <m/>
    <m/>
    <m/>
    <x v="0"/>
    <x v="0"/>
    <x v="6"/>
    <s v="162- Tous les lycées publics sont dotés en enseignants en nombre suffisant, y compris les FA"/>
    <x v="77"/>
    <s v="1621-Recrutement d’enseignants de lycée en nombre suffisant, y compris les FA"/>
  </r>
  <r>
    <s v="Identification des besoins en tenant compte des capacités d'accueil"/>
    <s v="travaux administratifs"/>
    <s v="sif"/>
    <n v="0"/>
    <m/>
    <m/>
    <m/>
    <m/>
    <n v="0"/>
    <m/>
    <m/>
    <m/>
    <m/>
    <m/>
    <x v="2"/>
    <s v="MENA_Sous-programme 4.2. Lycée"/>
    <s v=""/>
    <s v="DRH"/>
    <s v="BSD/IRE"/>
    <x v="0"/>
    <x v="0"/>
    <x v="6"/>
    <s v="162- Tous les lycées publics sont dotés en enseignants en nombre suffisant, y compris les FA"/>
    <x v="77"/>
    <s v="16211-Identification des besoins en tenant compte des capacités d'accueil"/>
  </r>
  <r>
    <s v="Organisation de concours de recrutement des enseignants "/>
    <s v="pm"/>
    <s v="sif"/>
    <n v="0"/>
    <n v="1"/>
    <n v="1"/>
    <n v="1"/>
    <n v="3"/>
    <n v="0"/>
    <m/>
    <m/>
    <m/>
    <m/>
    <m/>
    <x v="2"/>
    <s v="MENA_Sous-programme 4.2. Lycée"/>
    <s v=""/>
    <s v="DRH"/>
    <s v="FP/IRE"/>
    <x v="0"/>
    <x v="0"/>
    <x v="6"/>
    <s v="162- Tous les lycées publics sont dotés en enseignants en nombre suffisant, y compris les FA"/>
    <x v="77"/>
    <s v="16212-Organisation de concours de recrutement des enseignants "/>
  </r>
  <r>
    <s v="Prise en charge des candidats retenus après leur prise de service"/>
    <s v="Masse salariale annuelle des nouveaux enseignant"/>
    <s v="sal/ens/Lyc"/>
    <n v="0"/>
    <n v="392"/>
    <n v="427"/>
    <n v="463"/>
    <n v="1282"/>
    <n v="35.366873292398708"/>
    <n v="0"/>
    <n v="13863.814330620293"/>
    <n v="15101.654895854248"/>
    <n v="16374.862334380601"/>
    <n v="45340.331560855142"/>
    <x v="2"/>
    <s v="MENA_Sous-programme 4.2. Lycée"/>
    <s v="2. Personnel"/>
    <s v="DRH"/>
    <s v="FP/MDB"/>
    <x v="0"/>
    <x v="0"/>
    <x v="6"/>
    <s v="162- Tous les lycées publics sont dotés en enseignants en nombre suffisant, y compris les FA"/>
    <x v="77"/>
    <s v="16213-Prise en charge des candidats retenus après leur prise de service"/>
  </r>
  <r>
    <s v="Prise en charge du personnel dans les établissements du secondaire second cycle"/>
    <s v="Masse salariale annuelle "/>
    <s v="MS/lyc"/>
    <n v="0"/>
    <n v="0.90732456960101504"/>
    <n v="1.0302361279168499"/>
    <n v="1.16928919941153"/>
    <n v="3.1068498969293952"/>
    <n v="105961.45768181"/>
    <n v="0"/>
    <n v="96141.433985444426"/>
    <n v="109165.32187053309"/>
    <n v="123899.58802124234"/>
    <n v="329206.34387721989"/>
    <x v="2"/>
    <s v="MENA_Sous-programme 4.2. Lycée"/>
    <s v="2. Personnel"/>
    <s v="DRH"/>
    <s v="FP/MDB"/>
    <x v="0"/>
    <x v="0"/>
    <x v="6"/>
    <s v="162- Tous les lycées publics sont dotés en enseignants en nombre suffisant, y compris les FA"/>
    <x v="77"/>
    <s v="16214-Prise en charge du personnel dans les établissements du secondaire second cycle"/>
  </r>
  <r>
    <s v="Suivi de l'allocation des enseignants (pris en compte activité 12314)"/>
    <s v="pm"/>
    <s v="sif"/>
    <n v="0"/>
    <n v="1"/>
    <n v="1"/>
    <n v="1"/>
    <n v="3"/>
    <n v="0"/>
    <m/>
    <m/>
    <m/>
    <m/>
    <m/>
    <x v="2"/>
    <s v="MENA_Sous-programme 4.2. Lycée"/>
    <s v=""/>
    <s v="DNESGT"/>
    <s v="IGE"/>
    <x v="0"/>
    <x v="0"/>
    <x v="6"/>
    <s v="162- Tous les lycées publics sont dotés en enseignants en nombre suffisant, y compris les FA"/>
    <x v="77"/>
    <s v="16215-Suivi de l'allocation des enseignants (pris en compte activité 12314)"/>
  </r>
  <r>
    <s v="Prise en charge progressive des enseignants contractuels au lycée, y compris les FA"/>
    <m/>
    <m/>
    <n v="0"/>
    <m/>
    <m/>
    <m/>
    <m/>
    <m/>
    <m/>
    <m/>
    <m/>
    <m/>
    <m/>
    <x v="0"/>
    <m/>
    <m/>
    <m/>
    <m/>
    <x v="0"/>
    <x v="0"/>
    <x v="6"/>
    <s v="162- Tous les lycées publics sont dotés en enseignants en nombre suffisant, y compris les FA"/>
    <x v="78"/>
    <s v="1622-Prise en charge progressive des enseignants contractuels au lycée, y compris les FA"/>
  </r>
  <r>
    <s v="Identification et évaluation des enseignants contractuels en service"/>
    <s v="Mission"/>
    <s v="h/j/m"/>
    <n v="0"/>
    <n v="320"/>
    <m/>
    <m/>
    <n v="320"/>
    <n v="0.8177777777777776"/>
    <n v="0"/>
    <n v="261.68888888888881"/>
    <n v="0"/>
    <n v="0"/>
    <n v="261.68888888888881"/>
    <x v="2"/>
    <s v="MENA_Sous-programme 4.2. Lycée"/>
    <s v="3. Dépenses de fonctionnement"/>
    <s v="DRH"/>
    <s v="SNFPP"/>
    <x v="0"/>
    <x v="0"/>
    <x v="6"/>
    <s v="162- Tous les lycées publics sont dotés en enseignants en nombre suffisant, y compris les FA"/>
    <x v="78"/>
    <s v="16221-Identification et évaluation des enseignants contractuels en service"/>
  </r>
  <r>
    <s v="Formation des enseignants communautaires en service ayant les qualifications nécessaires à l'ISSEG (Budget ISSEG)"/>
    <s v="PM"/>
    <s v="sif"/>
    <n v="0"/>
    <n v="1"/>
    <n v="1"/>
    <n v="1"/>
    <n v="3"/>
    <n v="0"/>
    <m/>
    <m/>
    <m/>
    <m/>
    <m/>
    <x v="2"/>
    <s v="MENA_Sous-programme 4.2. Lycée"/>
    <s v=""/>
    <s v="DRH"/>
    <s v="ISSEG"/>
    <x v="0"/>
    <x v="0"/>
    <x v="6"/>
    <s v="162- Tous les lycées publics sont dotés en enseignants en nombre suffisant, y compris les FA"/>
    <x v="78"/>
    <s v="16222-Formation des enseignants communautaires en service ayant les qualifications nécessaires à l'ISSEG (Budget ISSEG)"/>
  </r>
  <r>
    <s v="Prise en charge des élèves-enseignants certifiés après leur reprise de service (pris en compte dans activité 16213)"/>
    <s v="pm"/>
    <s v="sif"/>
    <n v="0"/>
    <m/>
    <m/>
    <n v="1"/>
    <n v="1"/>
    <n v="0"/>
    <m/>
    <m/>
    <m/>
    <m/>
    <m/>
    <x v="2"/>
    <s v="MENA_Sous-programme 4.2. Lycée"/>
    <s v=""/>
    <s v="DRH"/>
    <s v="FP"/>
    <x v="0"/>
    <x v="0"/>
    <x v="6"/>
    <s v="162- Tous les lycées publics sont dotés en enseignants en nombre suffisant, y compris les FA"/>
    <x v="78"/>
    <s v="16223-Prise en charge des élèves-enseignants certifiés après leur reprise de service (pris en compte dans activité 16213)"/>
  </r>
  <r>
    <s v="Optimisation de l’utilisation des enseignants au lycée, y compris les FA"/>
    <m/>
    <m/>
    <n v="0"/>
    <m/>
    <m/>
    <m/>
    <m/>
    <m/>
    <m/>
    <m/>
    <m/>
    <m/>
    <m/>
    <x v="0"/>
    <m/>
    <m/>
    <m/>
    <m/>
    <x v="0"/>
    <x v="0"/>
    <x v="6"/>
    <s v="162- Tous les lycées publics sont dotés en enseignants en nombre suffisant, y compris les FA"/>
    <x v="79"/>
    <s v="1623-Optimisation de l’utilisation des enseignants au lycée, y compris les FA"/>
  </r>
  <r>
    <s v="DéFinition des normes et critères de fonctionnement des lycées (Ratio élèves/GP maximum, minimum, double-vacation.)"/>
    <s v="Atelier"/>
    <s v="h/j/ap"/>
    <n v="0"/>
    <n v="60"/>
    <m/>
    <m/>
    <n v="60"/>
    <n v="0.255"/>
    <n v="0"/>
    <n v="15.3"/>
    <n v="0"/>
    <n v="0"/>
    <n v="15.3"/>
    <x v="2"/>
    <s v="MENA_Sous-programme 4.2. Lycée"/>
    <s v="3. Dépenses de fonctionnement"/>
    <s v="DNESGT"/>
    <s v="IGE"/>
    <x v="0"/>
    <x v="0"/>
    <x v="6"/>
    <s v="162- Tous les lycées publics sont dotés en enseignants en nombre suffisant, y compris les FA"/>
    <x v="79"/>
    <s v="16231-DéFinition des normes et critères de fonctionnement des lycées (Ratio élèves/GP maximum, minimum, double-vacation.)"/>
  </r>
  <r>
    <s v="Validation des normes et critères de fonctionnement des Lycées (Ratio élèves/GP maximum, minimum, double-vacation.)"/>
    <s v="Atelier"/>
    <s v="h/j/ap"/>
    <n v="0"/>
    <n v="80"/>
    <m/>
    <m/>
    <n v="80"/>
    <n v="0.255"/>
    <n v="0"/>
    <n v="20.399999999999999"/>
    <n v="0"/>
    <n v="0"/>
    <n v="20.399999999999999"/>
    <x v="2"/>
    <s v="MENA_Sous-programme 4.2. Lycée"/>
    <s v="3. Dépenses de fonctionnement"/>
    <s v="DNESGT"/>
    <s v="IGE"/>
    <x v="0"/>
    <x v="0"/>
    <x v="6"/>
    <s v="162- Tous les lycées publics sont dotés en enseignants en nombre suffisant, y compris les FA"/>
    <x v="79"/>
    <s v="16232-Validation des normes et critères de fonctionnement des Lycées (Ratio élèves/GP maximum, minimum, double-vacation.)"/>
  </r>
  <r>
    <s v="Formation des encadreurs au niveau IRE, DPE/DCE sur la stratégie d'optimisation de l'utilisation des ressources (salles, enseignants)"/>
    <s v="Atelier"/>
    <s v="h/j/fr"/>
    <n v="0"/>
    <m/>
    <n v="360"/>
    <m/>
    <n v="360"/>
    <n v="0.54600000000000004"/>
    <n v="0"/>
    <n v="0"/>
    <n v="196.56"/>
    <n v="0"/>
    <n v="196.56"/>
    <x v="2"/>
    <s v="MENA_Sous-programme 4.2. Lycée"/>
    <s v="3. Formation"/>
    <s v="DNESGT"/>
    <s v="DNESGT"/>
    <x v="0"/>
    <x v="0"/>
    <x v="6"/>
    <s v="162- Tous les lycées publics sont dotés en enseignants en nombre suffisant, y compris les FA"/>
    <x v="79"/>
    <s v="16233-Formation des encadreurs au niveau IRE, DPE/DCE sur la stratégie d'optimisation de l'utilisation des ressources (salles, enseignants)"/>
  </r>
  <r>
    <s v="Supervision de l'utilisation des enseignants et salles de classe (pris en compte dans budget structures déconcentrées)"/>
    <s v="pm"/>
    <s v="sif"/>
    <n v="0"/>
    <n v="1"/>
    <n v="1"/>
    <n v="1"/>
    <n v="3"/>
    <n v="0"/>
    <m/>
    <m/>
    <m/>
    <m/>
    <m/>
    <x v="2"/>
    <s v="MENA_Sous-programme 4.2. Lycée"/>
    <s v=""/>
    <s v="DNESGT"/>
    <s v="IRE"/>
    <x v="0"/>
    <x v="0"/>
    <x v="6"/>
    <s v="162- Tous les lycées publics sont dotés en enseignants en nombre suffisant, y compris les FA"/>
    <x v="79"/>
    <s v="16234-Supervision de l'utilisation des enseignants et salles de classe (pris en compte dans budget structures déconcentrées)"/>
  </r>
  <r>
    <s v=" Santé et hygiène scolaires "/>
    <m/>
    <m/>
    <n v="0"/>
    <m/>
    <m/>
    <m/>
    <m/>
    <m/>
    <m/>
    <m/>
    <m/>
    <m/>
    <m/>
    <x v="0"/>
    <m/>
    <m/>
    <m/>
    <m/>
    <x v="0"/>
    <x v="0"/>
    <x v="7"/>
    <s v="17- Santé et hygiène scolaires "/>
    <x v="80"/>
    <s v="17- Santé et hygiène scolaires "/>
  </r>
  <r>
    <s v=" Les conditions d'hygiène sont améliorées au sein des écoles et établissements"/>
    <m/>
    <m/>
    <n v="0"/>
    <m/>
    <m/>
    <m/>
    <m/>
    <m/>
    <m/>
    <m/>
    <m/>
    <m/>
    <m/>
    <x v="0"/>
    <m/>
    <m/>
    <m/>
    <m/>
    <x v="0"/>
    <x v="0"/>
    <x v="7"/>
    <s v="171- Les conditions d'hygiène sont améliorées au sein des écoles et établissements"/>
    <x v="81"/>
    <s v="171- Les conditions d'hygiène sont améliorées au sein des écoles et établissements"/>
  </r>
  <r>
    <s v="Construction/rénovation des latrines séparées"/>
    <m/>
    <m/>
    <n v="0"/>
    <m/>
    <m/>
    <m/>
    <m/>
    <m/>
    <m/>
    <m/>
    <m/>
    <m/>
    <m/>
    <x v="0"/>
    <m/>
    <m/>
    <m/>
    <m/>
    <x v="0"/>
    <x v="0"/>
    <x v="7"/>
    <s v="171- Les conditions d'hygiène sont améliorées au sein des écoles et établissements"/>
    <x v="82"/>
    <s v="1711-Construction/rénovation des latrines séparées"/>
  </r>
  <r>
    <s v="Identification des centres, écoles et établissements devant bénéficier de construction ou de rénovation de latrines"/>
    <s v="PM"/>
    <s v="sif"/>
    <n v="0"/>
    <m/>
    <m/>
    <m/>
    <m/>
    <n v="0"/>
    <m/>
    <m/>
    <n v="0"/>
    <m/>
    <m/>
    <x v="6"/>
    <s v="MENA_Programme 3. Enseignement élémentaire"/>
    <s v=""/>
    <s v="BSD"/>
    <s v="IRE/DPE/DCE"/>
    <x v="0"/>
    <x v="0"/>
    <x v="7"/>
    <s v="171- Les conditions d'hygiène sont améliorées au sein des écoles et établissements"/>
    <x v="82"/>
    <s v="17111-Identification des centres, écoles et établissements devant bénéficier de construction ou de rénovation de latrines"/>
  </r>
  <r>
    <s v="Confirmation des sites de construction ou de rénovation de latrines (activité 12222)"/>
    <s v="PM"/>
    <s v="sif"/>
    <n v="0"/>
    <m/>
    <m/>
    <m/>
    <m/>
    <n v="0"/>
    <m/>
    <m/>
    <n v="0"/>
    <m/>
    <m/>
    <x v="6"/>
    <s v="MENA_Programme 3. Enseignement élémentaire"/>
    <s v=""/>
    <s v="SNIES"/>
    <s v="SNIES/BSD"/>
    <x v="0"/>
    <x v="0"/>
    <x v="7"/>
    <s v="171- Les conditions d'hygiène sont améliorées au sein des écoles et établissements"/>
    <x v="82"/>
    <s v="17112-Confirmation des sites de construction ou de rénovation de latrines (activité 12222)"/>
  </r>
  <r>
    <s v="Rénovation/réhabilitation de latrines, y compris dans les FA (réhabilitation de 30% des latrines ayant besoin d'être réhabilités existantes courant ProDEG)"/>
    <s v="Réhabilitation"/>
    <s v="reh/lat"/>
    <n v="0"/>
    <n v="138.97737000000001"/>
    <n v="231.62895"/>
    <n v="92.65158000000001"/>
    <n v="463.25790000000001"/>
    <n v="15.444000000000001"/>
    <n v="0"/>
    <n v="2146.3665022800001"/>
    <n v="3577.2775038000004"/>
    <n v="1430.9110015200001"/>
    <n v="7154.5550076000009"/>
    <x v="2"/>
    <s v="MENA_Programme 3. Enseignement élémentaire"/>
    <s v="5. Investissement"/>
    <s v="SNIES"/>
    <s v="SNIES"/>
    <x v="0"/>
    <x v="0"/>
    <x v="7"/>
    <s v="171- Les conditions d'hygiène sont améliorées au sein des écoles et établissements"/>
    <x v="82"/>
    <s v="17113-Rénovation/réhabilitation de latrines, y compris dans les FA (réhabilitation de 30% des latrines ayant besoin d'être réhabilités existantes courant ProDEG)"/>
  </r>
  <r>
    <s v="Rénovation/réhabilitation de latrines, y compris dans les FA (réhabilitation de 30% des latrines ayant besoin d'être réhabilités existantes courant ProDEG)"/>
    <s v="Réhabilitation"/>
    <s v="reh/lat"/>
    <n v="0"/>
    <n v="34.722629999999995"/>
    <n v="57.871049999999997"/>
    <n v="23.148420000000002"/>
    <n v="115.74209999999999"/>
    <n v="15.444000000000001"/>
    <n v="0"/>
    <n v="536.25629771999991"/>
    <n v="893.76049620000003"/>
    <n v="357.50419848000007"/>
    <n v="1787.5209924000001"/>
    <x v="13"/>
    <s v="MENA_Programme 3. Enseignement élémentaire"/>
    <s v="5. Investissement"/>
    <s v="SNIES"/>
    <s v="SNIES"/>
    <x v="0"/>
    <x v="0"/>
    <x v="7"/>
    <s v="171- Les conditions d'hygiène sont améliorées au sein des écoles et établissements"/>
    <x v="82"/>
    <s v="17113-Rénovation/réhabilitation de latrines, y compris dans les FA (réhabilitation de 30% des latrines ayant besoin d'être réhabilités existantes courant ProDEG)"/>
  </r>
  <r>
    <s v="Construction de latrines séparées (filles/garçons) en faveur des écoles, centres et établissement scolaires, y compris les FA ne disposant pas de latrines (dotation de 30% sur la période)"/>
    <s v="Construction"/>
    <s v="latrine"/>
    <n v="0"/>
    <m/>
    <m/>
    <m/>
    <n v="0"/>
    <n v="65.8"/>
    <n v="0"/>
    <n v="0"/>
    <n v="0"/>
    <n v="0"/>
    <n v="0"/>
    <x v="8"/>
    <s v="MENA_Programme 3. Enseignement élémentaire"/>
    <s v="5. Investissement"/>
    <s v="SNIES"/>
    <s v="SNIES"/>
    <x v="0"/>
    <x v="0"/>
    <x v="7"/>
    <s v="171- Les conditions d'hygiène sont améliorées au sein des écoles et établissements"/>
    <x v="82"/>
    <s v="17114-Construction de latrines séparées (filles/garçons) en faveur des écoles, centres et établissement scolaires, y compris les FA ne disposant pas de latrines (dotation de 30% sur la période)"/>
  </r>
  <r>
    <s v="Construction de latrines séparées (filles/garçons) en faveur des écoles, centres et établissement scolaires, y compris les FA ne disposant pas de latrines (dotation de 30% sur la période)"/>
    <s v="Construction"/>
    <s v="latrine"/>
    <n v="0"/>
    <n v="146.79999999999998"/>
    <n v="176.79999999999998"/>
    <n v="176.79999999999998"/>
    <n v="500.4"/>
    <n v="65.8"/>
    <n v="0"/>
    <n v="9659.4399999999987"/>
    <n v="11633.439999999999"/>
    <n v="11633.439999999999"/>
    <n v="32926.319999999992"/>
    <x v="2"/>
    <s v="MENA_Programme 3. Enseignement élémentaire"/>
    <s v="5. Investissement"/>
    <s v="SNIES"/>
    <s v="SNIES"/>
    <x v="0"/>
    <x v="0"/>
    <x v="7"/>
    <s v="171- Les conditions d'hygiène sont améliorées au sein des écoles et établissements"/>
    <x v="82"/>
    <s v="17114-Construction de latrines séparées (filles/garçons) en faveur des écoles, centres et établissement scolaires, y compris les FA ne disposant pas de latrines (dotation de 30% sur la période)"/>
  </r>
  <r>
    <s v="Construction de latrines séparées (filles/garçons) en faveur des écoles, centres et établissement scolaires, y compris les FA ne disposant pas de latrines (dotation de 30% sur la période)"/>
    <s v="Construction"/>
    <s v="latrine"/>
    <n v="0"/>
    <n v="100"/>
    <n v="70"/>
    <n v="70"/>
    <n v="240"/>
    <n v="65.8"/>
    <n v="0"/>
    <n v="6580"/>
    <n v="4606"/>
    <n v="4606"/>
    <n v="15792"/>
    <x v="13"/>
    <s v="MENA_Programme 3. Enseignement élémentaire"/>
    <s v="5. Investissement"/>
    <s v="SNIES"/>
    <s v="SNIES"/>
    <x v="0"/>
    <x v="0"/>
    <x v="7"/>
    <s v="171- Les conditions d'hygiène sont améliorées au sein des écoles et établissements"/>
    <x v="82"/>
    <s v="17114-Construction de latrines séparées (filles/garçons) en faveur des écoles, centres et établissement scolaires, y compris les FA ne disposant pas de latrines (dotation de 30% sur la période)"/>
  </r>
  <r>
    <s v="Construction de bloc de latrines séparées (filles/garçons) en faveur des écoles, établissement scolaires, construits (100% des nouvelles écoles disposent de latrines)"/>
    <s v="Construction"/>
    <s v="latrine"/>
    <n v="0"/>
    <m/>
    <m/>
    <m/>
    <n v="0"/>
    <n v="65.8"/>
    <n v="0"/>
    <n v="0"/>
    <n v="0"/>
    <n v="0"/>
    <n v="0"/>
    <x v="8"/>
    <s v="MENA_Programme 3. Enseignement élémentaire"/>
    <s v="5. Investissement"/>
    <s v="SNIES"/>
    <s v="SNIES"/>
    <x v="0"/>
    <x v="0"/>
    <x v="7"/>
    <s v="171- Les conditions d'hygiène sont améliorées au sein des écoles et établissements"/>
    <x v="82"/>
    <s v="17115-Construction de bloc de latrines séparées (filles/garçons) en faveur des écoles, établissement scolaires, construits (100% des nouvelles écoles disposent de latrines)"/>
  </r>
  <r>
    <s v="Construction de bloc de latrines séparées (filles/garçons) en faveur des écoles, établissement scolaires, construits (100% des nouvelles écoles disposent de latrines)"/>
    <s v="Construction"/>
    <s v="latrine"/>
    <n v="0"/>
    <n v="40"/>
    <n v="50"/>
    <n v="35"/>
    <n v="125"/>
    <n v="65.8"/>
    <n v="0"/>
    <n v="2632"/>
    <n v="3290"/>
    <n v="2303"/>
    <n v="8225"/>
    <x v="6"/>
    <s v="MENA_Programme 3. Enseignement élémentaire"/>
    <s v="5. Investissement"/>
    <s v="SNIES"/>
    <s v="SNIES"/>
    <x v="0"/>
    <x v="0"/>
    <x v="7"/>
    <s v="171- Les conditions d'hygiène sont améliorées au sein des écoles et établissements"/>
    <x v="82"/>
    <s v="17115-Construction de bloc de latrines séparées (filles/garçons) en faveur des écoles, établissement scolaires, construits (100% des nouvelles écoles disposent de latrines)"/>
  </r>
  <r>
    <s v="Construction de bloc de latrines séparées (filles/garçons) en faveur des écoles, établissement scolaires, construits (100% des nouvelles écoles disposent de latrines)"/>
    <s v="Construction"/>
    <s v="latrine"/>
    <n v="0"/>
    <n v="428.59999999999997"/>
    <n v="731"/>
    <n v="277.40000000000003"/>
    <n v="1437"/>
    <n v="65.8"/>
    <n v="0"/>
    <n v="28201.879999999997"/>
    <n v="48099.799999999996"/>
    <n v="18252.920000000002"/>
    <n v="94554.599999999991"/>
    <x v="2"/>
    <s v="MENA_Programme 3. Enseignement élémentaire"/>
    <s v="5. Investissement"/>
    <s v="SNIES"/>
    <s v="SNIES"/>
    <x v="0"/>
    <x v="0"/>
    <x v="7"/>
    <s v="171- Les conditions d'hygiène sont améliorées au sein des écoles et établissements"/>
    <x v="82"/>
    <s v="17115-Construction de bloc de latrines séparées (filles/garçons) en faveur des écoles, établissement scolaires, construits (100% des nouvelles écoles disposent de latrines)"/>
  </r>
  <r>
    <s v="Construction de latrines (pris en compte dans activité 12226 et 14135)"/>
    <s v="pm"/>
    <s v="sif"/>
    <n v="0"/>
    <m/>
    <m/>
    <m/>
    <m/>
    <n v="0"/>
    <m/>
    <m/>
    <n v="0"/>
    <m/>
    <m/>
    <x v="6"/>
    <s v="MENA_Programme 3. Enseignement élémentaire"/>
    <s v=""/>
    <s v="SNIES"/>
    <s v="SNIES"/>
    <x v="0"/>
    <x v="0"/>
    <x v="7"/>
    <s v="171- Les conditions d'hygiène sont améliorées au sein des écoles et établissements"/>
    <x v="82"/>
    <s v="17116-Construction de latrines (pris en compte dans activité 12226 et 14135)"/>
  </r>
  <r>
    <s v="Supervision de la construction/rénovation des latrines et de points d'eau"/>
    <s v="supervision"/>
    <s v="sup/lat"/>
    <n v="0"/>
    <n v="0"/>
    <n v="0"/>
    <n v="0"/>
    <n v="0"/>
    <n v="3.4216000000000002"/>
    <n v="0"/>
    <n v="0"/>
    <n v="0"/>
    <n v="0"/>
    <n v="0"/>
    <x v="8"/>
    <s v="MENA_Programme 3. Enseignement élémentaire"/>
    <s v="3. Dépenses de fonctionnement"/>
    <s v="SNIES"/>
    <s v="SNIES"/>
    <x v="0"/>
    <x v="0"/>
    <x v="7"/>
    <s v="171- Les conditions d'hygiène sont améliorées au sein des écoles et établissements"/>
    <x v="82"/>
    <s v="17117-Supervision de la construction/rénovation des latrines et de points d'eau"/>
  </r>
  <r>
    <s v="Suivi/évaluation de la construction/rénovation des latrines (voir 12226)"/>
    <s v="PM"/>
    <s v="sif"/>
    <n v="0"/>
    <n v="1"/>
    <n v="1"/>
    <n v="1"/>
    <n v="3"/>
    <n v="0"/>
    <m/>
    <m/>
    <n v="0"/>
    <m/>
    <m/>
    <x v="6"/>
    <s v="MENA_Programme 3. Enseignement élémentaire"/>
    <s v=""/>
    <s v="BSD"/>
    <s v="BSD/IRE/DPE"/>
    <x v="0"/>
    <x v="0"/>
    <x v="7"/>
    <s v="171- Les conditions d'hygiène sont améliorées au sein des écoles et établissements"/>
    <x v="82"/>
    <s v="17118-Suivi/évaluation de la construction/rénovation des latrines (voir 12226)"/>
  </r>
  <r>
    <s v="Aménagement/rénovation des point d'eau"/>
    <m/>
    <m/>
    <n v="0"/>
    <m/>
    <m/>
    <m/>
    <m/>
    <m/>
    <m/>
    <m/>
    <m/>
    <m/>
    <m/>
    <x v="0"/>
    <m/>
    <m/>
    <m/>
    <m/>
    <x v="0"/>
    <x v="0"/>
    <x v="7"/>
    <s v="171- Les conditions d'hygiène sont améliorées au sein des écoles et établissements"/>
    <x v="83"/>
    <s v="1712-Aménagement/rénovation des point d'eau"/>
  </r>
  <r>
    <s v="Identification des centres, écoles et établissements devant bénéficier d'aménagement ou de réhabilitation de points d'eau"/>
    <s v="PM"/>
    <m/>
    <n v="0"/>
    <m/>
    <m/>
    <m/>
    <m/>
    <n v="0"/>
    <m/>
    <m/>
    <n v="0"/>
    <m/>
    <m/>
    <x v="6"/>
    <s v="MENA_Programme 3. Enseignement élémentaire"/>
    <s v=""/>
    <s v="BSD"/>
    <s v="IRE/DPE/DCE"/>
    <x v="0"/>
    <x v="0"/>
    <x v="7"/>
    <s v="171- Les conditions d'hygiène sont améliorées au sein des écoles et établissements"/>
    <x v="83"/>
    <s v="17121-Identification des centres, écoles et établissements devant bénéficier d'aménagement ou de réhabilitation de points d'eau"/>
  </r>
  <r>
    <s v="Confirmation des sites d'aménagement des points d'eau"/>
    <s v="PM"/>
    <m/>
    <n v="0"/>
    <m/>
    <m/>
    <m/>
    <m/>
    <n v="0"/>
    <m/>
    <m/>
    <n v="0"/>
    <m/>
    <m/>
    <x v="6"/>
    <s v="MENA_Programme 3. Enseignement élémentaire"/>
    <s v=""/>
    <s v="SNIES"/>
    <s v="SNIES/BSD"/>
    <x v="0"/>
    <x v="0"/>
    <x v="7"/>
    <s v="171- Les conditions d'hygiène sont améliorées au sein des écoles et établissements"/>
    <x v="83"/>
    <s v="17122-Confirmation des sites d'aménagement des points d'eau"/>
  </r>
  <r>
    <s v="Rénovation/réhabilitation de points d'eau, y compris dans les FA"/>
    <s v="travaux "/>
    <s v="reh/point eau"/>
    <n v="0"/>
    <n v="58.327289999999998"/>
    <n v="97.212150000000008"/>
    <n v="38.884860000000003"/>
    <n v="194.42430000000002"/>
    <n v="19.5"/>
    <n v="0"/>
    <n v="1137.382155"/>
    <n v="1895.6369250000002"/>
    <n v="758.25477000000001"/>
    <n v="3791.27385"/>
    <x v="2"/>
    <s v="MENA_Programme 3. Enseignement élémentaire"/>
    <s v="5. Investissement"/>
    <s v="SNIES"/>
    <s v="SNIES"/>
    <x v="0"/>
    <x v="0"/>
    <x v="7"/>
    <s v="171- Les conditions d'hygiène sont améliorées au sein des écoles et établissements"/>
    <x v="83"/>
    <s v="17123-Rénovation/réhabilitation de points d'eau, y compris dans les FA"/>
  </r>
  <r>
    <s v="Rénovation/réhabilitation de points d'eau, y compris dans les FA"/>
    <s v="travaux "/>
    <s v="reh/point eau"/>
    <n v="0"/>
    <n v="14.572709999999997"/>
    <n v="24.287849999999999"/>
    <n v="9.7151399999999999"/>
    <n v="48.575699999999991"/>
    <n v="19.5"/>
    <n v="0"/>
    <n v="284.16784499999994"/>
    <n v="473.61307499999998"/>
    <n v="189.44523000000001"/>
    <n v="947.22614999999996"/>
    <x v="13"/>
    <s v="MENA_Programme 3. Enseignement élémentaire"/>
    <s v="5. Investissement"/>
    <s v="SNIES"/>
    <s v="SNIES"/>
    <x v="0"/>
    <x v="0"/>
    <x v="7"/>
    <s v="171- Les conditions d'hygiène sont améliorées au sein des écoles et établissements"/>
    <x v="83"/>
    <s v="17123-Rénovation/réhabilitation de points d'eau, y compris dans les FA"/>
  </r>
  <r>
    <s v="Aménagement de points d’eau en faveur des écoles, centres et établissement scolaires nouveaux"/>
    <s v="travaux "/>
    <s v="point eau"/>
    <n v="0"/>
    <m/>
    <m/>
    <m/>
    <n v="0"/>
    <n v="60"/>
    <n v="0"/>
    <n v="0"/>
    <n v="0"/>
    <n v="0"/>
    <n v="0"/>
    <x v="8"/>
    <s v="MENA_Programme 3. Enseignement élémentaire"/>
    <s v="5. Investissement"/>
    <s v="SNIES"/>
    <s v="SNIES"/>
    <x v="0"/>
    <x v="0"/>
    <x v="7"/>
    <s v="171- Les conditions d'hygiène sont améliorées au sein des écoles et établissements"/>
    <x v="83"/>
    <s v="17124-Aménagement de points d’eau en faveur des écoles, centres et établissement scolaires nouveaux"/>
  </r>
  <r>
    <s v="Aménagement de points d’eau en faveur des écoles, centres et établissement scolaires nouveaux"/>
    <s v="travaux "/>
    <s v="point eau"/>
    <n v="0"/>
    <m/>
    <n v="105"/>
    <n v="55"/>
    <n v="160"/>
    <n v="60"/>
    <n v="0"/>
    <n v="0"/>
    <n v="6300"/>
    <n v="3300"/>
    <n v="9600"/>
    <x v="6"/>
    <s v="MENA_Programme 3. Enseignement élémentaire"/>
    <s v="5. Investissement"/>
    <s v="SNIES"/>
    <s v="SNIES"/>
    <x v="0"/>
    <x v="0"/>
    <x v="7"/>
    <s v="171- Les conditions d'hygiène sont améliorées au sein des écoles et établissements"/>
    <x v="83"/>
    <s v="17124-Aménagement de points d’eau en faveur des écoles, centres et établissement scolaires nouveaux"/>
  </r>
  <r>
    <s v="Aménagement de points d’eau en faveur des écoles, centres et établissement scolaires nouveaux"/>
    <s v="travaux "/>
    <s v="point eau"/>
    <n v="0"/>
    <n v="399.77499999999901"/>
    <n v="561.29166666666504"/>
    <n v="211.51666666666603"/>
    <n v="1172.5833333333301"/>
    <n v="60"/>
    <n v="0"/>
    <n v="23986.499999999942"/>
    <n v="33677.499999999905"/>
    <n v="12690.999999999962"/>
    <n v="70354.999999999811"/>
    <x v="13"/>
    <s v="MENA_Programme 3. Enseignement élémentaire"/>
    <s v="5. Investissement"/>
    <s v="SNIES"/>
    <s v="SNIES"/>
    <x v="0"/>
    <x v="0"/>
    <x v="7"/>
    <s v="171- Les conditions d'hygiène sont améliorées au sein des écoles et établissements"/>
    <x v="83"/>
    <s v="17124-Aménagement de points d’eau en faveur des écoles, centres et établissement scolaires nouveaux"/>
  </r>
  <r>
    <s v="Aménagement de points d’eau en faveur des écoles, centres et établissement scolaires existants, y compris les FA"/>
    <s v="travaux "/>
    <s v="point eau"/>
    <n v="0"/>
    <m/>
    <m/>
    <m/>
    <n v="0"/>
    <n v="60"/>
    <n v="0"/>
    <n v="0"/>
    <n v="0"/>
    <n v="0"/>
    <n v="0"/>
    <x v="8"/>
    <s v="MENA_Programme 3. Enseignement élémentaire"/>
    <s v="5. Investissement"/>
    <s v="SNIES"/>
    <s v="SNIES"/>
    <x v="0"/>
    <x v="0"/>
    <x v="7"/>
    <s v="171- Les conditions d'hygiène sont améliorées au sein des écoles et établissements"/>
    <x v="83"/>
    <s v="17125-Aménagement de points d’eau en faveur des écoles, centres et établissement scolaires existants, y compris les FA"/>
  </r>
  <r>
    <s v="Aménagement de points d’eau en faveur des écoles, centres et établissement scolaires existants, y compris les FA"/>
    <s v="travaux "/>
    <s v="point eau"/>
    <n v="0"/>
    <m/>
    <n v="260"/>
    <n v="130"/>
    <n v="390"/>
    <n v="60"/>
    <n v="0"/>
    <n v="0"/>
    <n v="15600"/>
    <n v="7800"/>
    <n v="23400"/>
    <x v="6"/>
    <s v="MENA_Programme 3. Enseignement élémentaire"/>
    <s v="5. Investissement"/>
    <s v="SNIES"/>
    <s v="SNIES"/>
    <x v="0"/>
    <x v="0"/>
    <x v="7"/>
    <s v="171- Les conditions d'hygiène sont améliorées au sein des écoles et établissements"/>
    <x v="83"/>
    <s v="17125-Aménagement de points d’eau en faveur des écoles, centres et établissement scolaires existants, y compris les FA"/>
  </r>
  <r>
    <s v="Aménagement de points d’eau en faveur des écoles, centres et établissement scolaires existants, y compris les FA"/>
    <s v="travaux "/>
    <s v="point eau"/>
    <n v="0"/>
    <n v="391.46666666666664"/>
    <n v="131.46666666666664"/>
    <n v="261.46666666666664"/>
    <n v="784.39999999999986"/>
    <n v="60"/>
    <n v="0"/>
    <n v="23488"/>
    <n v="7887.9999999999982"/>
    <n v="15687.999999999998"/>
    <n v="47064"/>
    <x v="13"/>
    <s v="MENA_Programme 3. Enseignement élémentaire"/>
    <s v="5. Investissement"/>
    <s v="SNIES"/>
    <s v="SNIES"/>
    <x v="0"/>
    <x v="0"/>
    <x v="7"/>
    <s v="171- Les conditions d'hygiène sont améliorées au sein des écoles et établissements"/>
    <x v="83"/>
    <s v="17125-Aménagement de points d’eau en faveur des écoles, centres et établissement scolaires existants, y compris les FA"/>
  </r>
  <r>
    <s v="Supervision de l'aménagement/rénovation des points d'eau (pris en compte dans supervision construction latrines)"/>
    <s v="pm"/>
    <s v="sif"/>
    <n v="0"/>
    <n v="1"/>
    <n v="1"/>
    <n v="1"/>
    <n v="3"/>
    <n v="0"/>
    <m/>
    <m/>
    <n v="0"/>
    <m/>
    <m/>
    <x v="6"/>
    <s v="MENA_Programme 3. Enseignement élémentaire"/>
    <s v=""/>
    <s v="SNIES"/>
    <s v="SNIES"/>
    <x v="0"/>
    <x v="0"/>
    <x v="7"/>
    <s v="171- Les conditions d'hygiène sont améliorées au sein des écoles et établissements"/>
    <x v="83"/>
    <s v="17126-Supervision de l'aménagement/rénovation des points d'eau (pris en compte dans supervision construction latrines)"/>
  </r>
  <r>
    <s v="Suivi/évaluation de l'aménagement/rénovation des points d'eau (suivi travaux construction"/>
    <s v="pm"/>
    <s v="sif"/>
    <n v="0"/>
    <n v="1"/>
    <n v="1"/>
    <n v="1"/>
    <n v="3"/>
    <n v="0"/>
    <m/>
    <m/>
    <n v="0"/>
    <m/>
    <m/>
    <x v="6"/>
    <s v="MENA_Programme 3. Enseignement élémentaire"/>
    <s v=""/>
    <s v="BSD"/>
    <s v="BSD/IRE/DPE"/>
    <x v="0"/>
    <x v="0"/>
    <x v="7"/>
    <s v="171- Les conditions d'hygiène sont améliorées au sein des écoles et établissements"/>
    <x v="83"/>
    <s v="17127-Suivi/évaluation de l'aménagement/rénovation des points d'eau (suivi travaux construction"/>
  </r>
  <r>
    <s v="Mise en place de kits de lavage des mains dans les écoles et établissements"/>
    <m/>
    <m/>
    <n v="0"/>
    <m/>
    <m/>
    <m/>
    <m/>
    <m/>
    <m/>
    <m/>
    <m/>
    <m/>
    <m/>
    <x v="0"/>
    <m/>
    <m/>
    <m/>
    <m/>
    <x v="0"/>
    <x v="0"/>
    <x v="7"/>
    <s v="171- Les conditions d'hygiène sont améliorées au sein des écoles et établissements"/>
    <x v="84"/>
    <s v="1713-Mise en place de kits de lavage des mains dans les écoles et établissements"/>
  </r>
  <r>
    <s v="Identification des écoles et établissements devant bénéficier de kits de lavage des mains et estimation des besoins en savon et eau de javel"/>
    <s v="travaux administratifs"/>
    <s v="sif"/>
    <n v="0"/>
    <m/>
    <m/>
    <m/>
    <m/>
    <n v="0"/>
    <m/>
    <m/>
    <m/>
    <m/>
    <m/>
    <x v="12"/>
    <s v="MENA_Programme 3. Enseignement élémentaire"/>
    <s v=""/>
    <s v="BSD"/>
    <s v="IRE/DPE/DCE"/>
    <x v="0"/>
    <x v="0"/>
    <x v="7"/>
    <s v="171- Les conditions d'hygiène sont améliorées au sein des écoles et établissements"/>
    <x v="84"/>
    <s v="17131-Identification des écoles et établissements devant bénéficier de kits de lavage des mains et estimation des besoins en savon et eau de javel"/>
  </r>
  <r>
    <s v="Acquisition et distribution de kits de lavage des mains"/>
    <s v="Achat de kits"/>
    <s v="kit/mains"/>
    <n v="0"/>
    <n v="1222.7"/>
    <n v="666.5"/>
    <n v="666.5"/>
    <n v="2555.6999999999998"/>
    <n v="1.5"/>
    <n v="0"/>
    <n v="1834.0500000000002"/>
    <n v="999.75"/>
    <n v="999.75"/>
    <n v="3833.55"/>
    <x v="12"/>
    <s v="MENA_Programme 3. Enseignement élémentaire"/>
    <s v="4. Transferts et subventions"/>
    <s v="SNSSU"/>
    <s v="SNSSU"/>
    <x v="0"/>
    <x v="0"/>
    <x v="7"/>
    <s v="171- Les conditions d'hygiène sont améliorées au sein des écoles et établissements"/>
    <x v="84"/>
    <s v="17132-Acquisition et distribution de kits de lavage des mains"/>
  </r>
  <r>
    <s v="Acquisition et distribution de kits de lavage des mains"/>
    <s v="Achat de kits"/>
    <s v="kit/mains"/>
    <n v="0"/>
    <n v="1222.7"/>
    <n v="666.5"/>
    <n v="666.5"/>
    <n v="2555.6999999999998"/>
    <n v="1.5"/>
    <n v="0"/>
    <n v="1834.0500000000002"/>
    <n v="999.75"/>
    <n v="999.75"/>
    <n v="3833.55"/>
    <x v="13"/>
    <s v="MENA_Programme 3. Enseignement élémentaire"/>
    <s v="4. Transferts et subventions"/>
    <s v="SNSSU"/>
    <s v="SNSSU"/>
    <x v="0"/>
    <x v="0"/>
    <x v="7"/>
    <s v="171- Les conditions d'hygiène sont améliorées au sein des écoles et établissements"/>
    <x v="84"/>
    <s v="17132-Acquisition et distribution de kits de lavage des mains"/>
  </r>
  <r>
    <s v="Acquisition et distribution de savon et eau de javel aux écoles (pris en compte dans subvention aux écoles)"/>
    <s v="PM"/>
    <m/>
    <n v="0"/>
    <m/>
    <m/>
    <m/>
    <m/>
    <n v="0"/>
    <m/>
    <m/>
    <m/>
    <m/>
    <m/>
    <x v="12"/>
    <s v="MENA_Programme 3. Enseignement élémentaire"/>
    <s v=""/>
    <s v="SNSSU"/>
    <s v="SNSSU"/>
    <x v="0"/>
    <x v="0"/>
    <x v="7"/>
    <s v="171- Les conditions d'hygiène sont améliorées au sein des écoles et établissements"/>
    <x v="84"/>
    <s v="17133-Acquisition et distribution de savon et eau de javel aux écoles (pris en compte dans subvention aux écoles)"/>
  </r>
  <r>
    <s v="Sensibilisation des APEAE sur la fourniture régulière de savon et eau de javel aux écoles"/>
    <s v="PM"/>
    <s v="sif"/>
    <n v="0"/>
    <m/>
    <m/>
    <m/>
    <m/>
    <n v="0"/>
    <m/>
    <m/>
    <m/>
    <m/>
    <m/>
    <x v="12"/>
    <s v="MENA_Programme 3. Enseignement élémentaire"/>
    <s v=""/>
    <s v="DPE/DCE"/>
    <s v="DE/CES"/>
    <x v="0"/>
    <x v="0"/>
    <x v="7"/>
    <s v="171- Les conditions d'hygiène sont améliorées au sein des écoles et établissements"/>
    <x v="84"/>
    <s v="17134-Sensibilisation des APEAE sur la fourniture régulière de savon et eau de javel aux écoles"/>
  </r>
  <r>
    <s v="Suivi/évaluation de l'utilisation des kits de lavage des mains dans les établissements"/>
    <s v="pm"/>
    <s v="sif"/>
    <n v="0"/>
    <m/>
    <m/>
    <m/>
    <m/>
    <n v="0"/>
    <m/>
    <m/>
    <m/>
    <m/>
    <m/>
    <x v="12"/>
    <s v="MENA_Programme 3. Enseignement élémentaire"/>
    <s v=""/>
    <s v="BSD"/>
    <s v="DPE/DCE"/>
    <x v="0"/>
    <x v="0"/>
    <x v="7"/>
    <s v="171- Les conditions d'hygiène sont améliorées au sein des écoles et établissements"/>
    <x v="84"/>
    <s v="17135-Suivi/évaluation de l'utilisation des kits de lavage des mains dans les établissements"/>
  </r>
  <r>
    <s v=" La santé scolaire est améliorée au sein des écoles et établissements scolaires, y compris les FA"/>
    <m/>
    <m/>
    <n v="0"/>
    <m/>
    <m/>
    <m/>
    <m/>
    <m/>
    <m/>
    <m/>
    <m/>
    <m/>
    <m/>
    <x v="0"/>
    <m/>
    <m/>
    <m/>
    <m/>
    <x v="0"/>
    <x v="0"/>
    <x v="7"/>
    <s v="172- La santé scolaire est améliorée au sein des écoles et établissements scolaires, y compris les FA"/>
    <x v="85"/>
    <s v="172- La santé scolaire est améliorée au sein des écoles et établissements scolaires, y compris les FA"/>
  </r>
  <r>
    <s v="Mise à disposition des écoles et établissements d'infirmerie et de boîte à pharmacie"/>
    <m/>
    <m/>
    <n v="0"/>
    <m/>
    <m/>
    <m/>
    <m/>
    <m/>
    <m/>
    <m/>
    <m/>
    <m/>
    <m/>
    <x v="0"/>
    <m/>
    <m/>
    <m/>
    <m/>
    <x v="0"/>
    <x v="0"/>
    <x v="7"/>
    <s v="172- La santé scolaire est améliorée au sein des écoles et établissements scolaires, y compris les FA"/>
    <x v="86"/>
    <s v="1721-Mise à disposition des écoles et établissements d'infirmerie et de boîte à pharmacie"/>
  </r>
  <r>
    <s v="Classification des écoles et établissements selon la taille et identification des infirmeries scolaires existantes"/>
    <s v="travaux administratifs"/>
    <s v="sif"/>
    <n v="0"/>
    <m/>
    <m/>
    <m/>
    <m/>
    <n v="0"/>
    <m/>
    <m/>
    <m/>
    <m/>
    <m/>
    <x v="2"/>
    <s v="MENA_Programme 3. Enseignement élémentaire"/>
    <s v=""/>
    <s v="SNSSU"/>
    <s v="BSD"/>
    <x v="0"/>
    <x v="0"/>
    <x v="7"/>
    <s v="172- La santé scolaire est améliorée au sein des écoles et établissements scolaires, y compris les FA"/>
    <x v="86"/>
    <s v="17211-Classification des écoles et établissements selon la taille et identification des infirmeries scolaires existantes"/>
  </r>
  <r>
    <s v="Rénovation des infirmeries scolaires"/>
    <s v="Rénovation"/>
    <s v="réh/infirmerie"/>
    <n v="0"/>
    <n v="9.9"/>
    <n v="16.5"/>
    <n v="6.6000000000000005"/>
    <n v="33"/>
    <n v="33.75"/>
    <n v="0"/>
    <n v="334.125"/>
    <n v="556.875"/>
    <n v="222.75000000000003"/>
    <n v="1113.75"/>
    <x v="2"/>
    <s v="MENA_Programme 3. Enseignement élémentaire"/>
    <s v="5. Investissement"/>
    <s v="SNIES"/>
    <s v="Entreprise"/>
    <x v="0"/>
    <x v="0"/>
    <x v="7"/>
    <s v="172- La santé scolaire est améliorée au sein des écoles et établissements scolaires, y compris les FA"/>
    <x v="86"/>
    <s v="17212-Rénovation des infirmeries scolaires"/>
  </r>
  <r>
    <s v="Equipement des infirmeries scolaires"/>
    <s v="Equipement"/>
    <s v="EQ/infirmerie"/>
    <n v="0"/>
    <n v="19.899999999999999"/>
    <n v="26.5"/>
    <n v="16.600000000000001"/>
    <n v="63"/>
    <n v="39.549999999999997"/>
    <n v="0"/>
    <n v="787.04499999999985"/>
    <n v="1048.0749999999998"/>
    <n v="656.53"/>
    <n v="2491.6499999999996"/>
    <x v="2"/>
    <s v="MENA_Programme 3. Enseignement élémentaire"/>
    <s v="5. Investissement"/>
    <s v="SNSSU"/>
    <s v="MS"/>
    <x v="0"/>
    <x v="0"/>
    <x v="7"/>
    <s v="172- La santé scolaire est améliorée au sein des écoles et établissements scolaires, y compris les FA"/>
    <x v="86"/>
    <s v="17213-Equipement des infirmeries scolaires"/>
  </r>
  <r>
    <s v="Approvisionnement des infirmeries en médicaments et consommables"/>
    <s v="Achat"/>
    <s v="dot/infirm"/>
    <n v="0"/>
    <n v="29.9"/>
    <n v="66.400000000000006"/>
    <n v="93"/>
    <n v="189.3"/>
    <n v="41.19"/>
    <n v="0"/>
    <n v="1231.5809999999999"/>
    <n v="2735.0160000000001"/>
    <n v="3830.6699999999996"/>
    <n v="7797.2669999999998"/>
    <x v="2"/>
    <s v="MENA_Programme 3. Enseignement élémentaire"/>
    <s v="4. Transferts et subventions"/>
    <s v="SNSSU"/>
    <s v="MS"/>
    <x v="0"/>
    <x v="0"/>
    <x v="7"/>
    <s v="172- La santé scolaire est améliorée au sein des écoles et établissements scolaires, y compris les FA"/>
    <x v="86"/>
    <s v="17214-Approvisionnement des infirmeries en médicaments et consommables"/>
  </r>
  <r>
    <s v="Affectation de personnels soignants aux infirmeries scolaires rénovées (par le Ministère de la santé)"/>
    <s v="Acte administratif"/>
    <s v="sif"/>
    <n v="0"/>
    <n v="10"/>
    <n v="17"/>
    <n v="7"/>
    <n v="34"/>
    <n v="0"/>
    <m/>
    <m/>
    <m/>
    <m/>
    <m/>
    <x v="2"/>
    <s v="MENA_Programme 3. Enseignement élémentaire"/>
    <s v=""/>
    <s v="SNSSU"/>
    <s v="MS"/>
    <x v="0"/>
    <x v="0"/>
    <x v="7"/>
    <s v="172- La santé scolaire est améliorée au sein des écoles et établissements scolaires, y compris les FA"/>
    <x v="86"/>
    <s v="17215-Affectation de personnels soignants aux infirmeries scolaires rénovées (par le Ministère de la santé)"/>
  </r>
  <r>
    <s v="Acquisition et distribution de boîtes à pharmacie aux écoles (pris en compte dans subventions écoles)"/>
    <s v="Achat"/>
    <s v="boite/phar"/>
    <n v="0"/>
    <n v="8264.1"/>
    <n v="8227.6"/>
    <n v="8201"/>
    <n v="24692.7"/>
    <n v="0.25"/>
    <n v="0"/>
    <n v="2066.0250000000001"/>
    <n v="2056.9"/>
    <n v="2050.25"/>
    <n v="6173.1750000000002"/>
    <x v="2"/>
    <s v="MENA_Programme 3. Enseignement élémentaire"/>
    <s v="4. Transferts et subventions"/>
    <s v="SNSSU"/>
    <s v="MS"/>
    <x v="0"/>
    <x v="0"/>
    <x v="7"/>
    <s v="172- La santé scolaire est améliorée au sein des écoles et établissements scolaires, y compris les FA"/>
    <x v="86"/>
    <s v="17216-Acquisition et distribution de boîtes à pharmacie aux écoles (pris en compte dans subventions écoles)"/>
  </r>
  <r>
    <s v="Formation des enseignants des écoles et établissements à faible effectif aux soins de secours"/>
    <s v="Formation"/>
    <s v="h/j/f"/>
    <n v="0"/>
    <n v="2000"/>
    <n v="8228"/>
    <n v="8201"/>
    <n v="18429"/>
    <n v="0.67666666666666664"/>
    <n v="0"/>
    <n v="1353.3333333333333"/>
    <n v="5567.6133333333328"/>
    <n v="5549.3433333333332"/>
    <n v="12470.289999999999"/>
    <x v="2"/>
    <s v="MENA_Programme 3. Enseignement élémentaire"/>
    <s v="3. Formation"/>
    <s v="SNSSU"/>
    <s v="SNSSU"/>
    <x v="0"/>
    <x v="0"/>
    <x v="7"/>
    <s v="172- La santé scolaire est améliorée au sein des écoles et établissements scolaires, y compris les FA"/>
    <x v="86"/>
    <s v="17217-Formation des enseignants des écoles et établissements à faible effectif aux soins de secours"/>
  </r>
  <r>
    <s v="Suivi/évaluation du fonctionnement des infirmeries et boîtes à pharmacie scolaires"/>
    <s v="mission"/>
    <s v="h/j/m"/>
    <n v="0"/>
    <m/>
    <n v="800"/>
    <n v="400"/>
    <n v="1200"/>
    <n v="0.8177777777777776"/>
    <n v="0"/>
    <n v="0"/>
    <n v="654.22222222222206"/>
    <n v="327.11111111111103"/>
    <n v="981.33333333333303"/>
    <x v="6"/>
    <s v="MENA_Programme 3. Enseignement élémentaire"/>
    <s v="3. Dépenses de fonctionnement"/>
    <s v="SNSSU"/>
    <s v="BSD/IRE/DPE"/>
    <x v="0"/>
    <x v="0"/>
    <x v="7"/>
    <s v="172- La santé scolaire est améliorée au sein des écoles et établissements scolaires, y compris les FA"/>
    <x v="86"/>
    <s v="17218-Suivi/évaluation du fonctionnement des infirmeries et boîtes à pharmacie scolaires"/>
  </r>
  <r>
    <s v="Prévention et lutte contre les maladies en milieu scolaire"/>
    <m/>
    <m/>
    <n v="0"/>
    <m/>
    <m/>
    <m/>
    <m/>
    <m/>
    <m/>
    <m/>
    <m/>
    <m/>
    <m/>
    <x v="0"/>
    <m/>
    <m/>
    <m/>
    <m/>
    <x v="0"/>
    <x v="0"/>
    <x v="7"/>
    <s v="172- La santé scolaire est améliorée au sein des écoles et établissements scolaires, y compris les FA"/>
    <x v="87"/>
    <s v="1722-Prévention et lutte contre les maladies en milieu scolaire"/>
  </r>
  <r>
    <s v="Sensibilisation et information des enseignants, élèves et parents d'élèves sur l'organisation des visites médicales, des campagnes de déparasitage"/>
    <s v="Communiqués radiotélévisés"/>
    <s v="diffusion"/>
    <n v="0"/>
    <n v="456"/>
    <n v="456"/>
    <n v="456"/>
    <n v="1368"/>
    <n v="0.4"/>
    <n v="0"/>
    <n v="182.4"/>
    <n v="182.4"/>
    <n v="182.4"/>
    <n v="547.20000000000005"/>
    <x v="2"/>
    <s v="MENA_Programme 3. Enseignement élémentaire"/>
    <s v="3. Dépenses de fonctionnement"/>
    <s v="SNSSU"/>
    <s v="SNSSU"/>
    <x v="0"/>
    <x v="0"/>
    <x v="7"/>
    <s v="172- La santé scolaire est améliorée au sein des écoles et établissements scolaires, y compris les FA"/>
    <x v="87"/>
    <s v="17221-Sensibilisation et information des enseignants, élèves et parents d'élèves sur l'organisation des visites médicales, des campagnes de déparasitage"/>
  </r>
  <r>
    <s v="Sensibilisation et information des enseignants, élèves et parents d'élèves sur l'organisation des visites médicales, des campagnes de déparasitage"/>
    <s v="Communiqués radiotélévisés"/>
    <s v="diffusion"/>
    <n v="0"/>
    <n v="684"/>
    <n v="684"/>
    <n v="684"/>
    <n v="2052"/>
    <n v="0.4"/>
    <n v="0"/>
    <n v="273.60000000000002"/>
    <n v="273.60000000000002"/>
    <n v="273.60000000000002"/>
    <n v="820.80000000000007"/>
    <x v="13"/>
    <s v="MENA_Programme 3. Enseignement élémentaire"/>
    <s v="3. Dépenses de fonctionnement"/>
    <s v="SNSSU"/>
    <s v="SNSSU"/>
    <x v="0"/>
    <x v="0"/>
    <x v="7"/>
    <s v="172- La santé scolaire est améliorée au sein des écoles et établissements scolaires, y compris les FA"/>
    <x v="87"/>
    <s v="17221-Sensibilisation et information des enseignants, élèves et parents d'élèves sur l'organisation des visites médicales, des campagnes de déparasitage"/>
  </r>
  <r>
    <s v="Organisation de visites médicales annuelles en faveur des élèves (dans les écoles pour le primaire et dans les structures sanitaires pour le secondaire, un agent effectue en moyenne 28 enfants par jour)"/>
    <s v="coût de déplacement d'un agent de santé"/>
    <s v="h/j/d"/>
    <n v="0"/>
    <n v="46428.571428571398"/>
    <n v="48749.999999999971"/>
    <n v="51187.499999999971"/>
    <n v="146366.07142857133"/>
    <n v="0.05"/>
    <n v="0"/>
    <n v="2321.4285714285702"/>
    <n v="2437.4999999999986"/>
    <n v="2559.3749999999986"/>
    <n v="7318.303571428567"/>
    <x v="2"/>
    <s v="MENA_Programme 3. Enseignement élémentaire"/>
    <s v="3. Dépenses de fonctionnement"/>
    <s v="SNSSU"/>
    <s v="MS/DPE"/>
    <x v="0"/>
    <x v="0"/>
    <x v="7"/>
    <s v="172- La santé scolaire est améliorée au sein des écoles et établissements scolaires, y compris les FA"/>
    <x v="87"/>
    <s v="17222-Organisation de visites médicales annuelles en faveur des élèves (dans les écoles pour le primaire et dans les structures sanitaires pour le secondaire, un agent effectue en moyenne 28 enfants par jour)"/>
  </r>
  <r>
    <s v="Acquisition de déparasitant en faveur des élèves"/>
    <s v="dose par éléve"/>
    <s v="dépar/élève"/>
    <n v="0"/>
    <n v="840746.61569999997"/>
    <n v="878667.19829999993"/>
    <n v="913946.75280000002"/>
    <n v="2633360.5667999997"/>
    <n v="0.05"/>
    <n v="0"/>
    <n v="42037.330784999998"/>
    <n v="43933.359915000001"/>
    <n v="45697.337640000005"/>
    <n v="131668.02834000002"/>
    <x v="2"/>
    <s v="MENA_Programme 3. Enseignement élémentaire"/>
    <s v="4. Transferts et subventions"/>
    <s v="SNSSU"/>
    <s v="MS"/>
    <x v="0"/>
    <x v="0"/>
    <x v="7"/>
    <s v="172- La santé scolaire est améliorée au sein des écoles et établissements scolaires, y compris les FA"/>
    <x v="87"/>
    <s v="17223-Acquisition de déparasitant en faveur des élèves"/>
  </r>
  <r>
    <s v="Acquisition de déparasitant en faveur des élèves"/>
    <s v="dose par éléve"/>
    <s v="dépar/élève"/>
    <n v="0"/>
    <n v="302440.14429999999"/>
    <n v="316081.24169999996"/>
    <n v="328772.28719999996"/>
    <n v="947293.67319999984"/>
    <n v="0.05"/>
    <n v="0"/>
    <n v="15122.007215"/>
    <n v="15804.062084999998"/>
    <n v="16438.61436"/>
    <n v="47364.683659999995"/>
    <x v="13"/>
    <s v="MENA_Programme 3. Enseignement élémentaire"/>
    <s v="4. Transferts et subventions"/>
    <s v="SNSSU"/>
    <s v="MS"/>
    <x v="0"/>
    <x v="0"/>
    <x v="7"/>
    <s v="172- La santé scolaire est améliorée au sein des écoles et établissements scolaires, y compris les FA"/>
    <x v="87"/>
    <s v="17223-Acquisition de déparasitant en faveur des élèves"/>
  </r>
  <r>
    <s v="Acquisition de déparasitant en faveur des élèves"/>
    <s v="dose par éléve"/>
    <s v="dépar/élève"/>
    <n v="537970.24"/>
    <n v="537970.24"/>
    <n v="562234.56000000006"/>
    <n v="584808.95999999996"/>
    <n v="2222984"/>
    <n v="0.05"/>
    <n v="26898.512000000002"/>
    <n v="26898.512000000002"/>
    <n v="28111.728000000003"/>
    <n v="29240.448"/>
    <n v="111149.20000000001"/>
    <x v="4"/>
    <s v="MENA_Programme 3. Enseignement élémentaire"/>
    <s v="4. Transferts et subventions"/>
    <s v="SNSSU"/>
    <s v="MS"/>
    <x v="0"/>
    <x v="0"/>
    <x v="7"/>
    <s v="172- La santé scolaire est améliorée au sein des écoles et établissements scolaires, y compris les FA"/>
    <x v="87"/>
    <s v="17223-Acquisition de déparasitant en faveur des élèves"/>
  </r>
  <r>
    <s v=" Acquisition de micronutriments en faveur des élèves du préscolaire et du primaire (des cantines)"/>
    <s v="dose par éléve"/>
    <s v="micro/élève"/>
    <n v="0"/>
    <n v="338.97053519999997"/>
    <n v="217.02780000000001"/>
    <n v="215.10720000000001"/>
    <n v="771.10553519999996"/>
    <n v="0.05"/>
    <n v="0"/>
    <n v="16.94852676"/>
    <n v="10.851390000000002"/>
    <n v="10.755360000000001"/>
    <n v="38.555276760000005"/>
    <x v="2"/>
    <s v="MENA_Programme 3. Enseignement élémentaire"/>
    <s v="4. Transferts et subventions"/>
    <s v="SNSSU"/>
    <s v="MS"/>
    <x v="0"/>
    <x v="0"/>
    <x v="7"/>
    <s v="172- La santé scolaire est améliorée au sein des écoles et établissements scolaires, y compris les FA"/>
    <x v="87"/>
    <s v="17224- Acquisition de micronutriments en faveur des élèves du préscolaire et du primaire (des cantines)"/>
  </r>
  <r>
    <s v=" Acquisition de micronutriments en faveur des élèves du préscolaire et du primaire (des cantines)"/>
    <s v="dose par éléve"/>
    <s v="micro/élève"/>
    <n v="0"/>
    <n v="7.0596800000000001E-2"/>
    <n v="4.5200000000000004E-2"/>
    <n v="4.48E-2"/>
    <n v="0.16059680000000001"/>
    <n v="0.05"/>
    <n v="0"/>
    <n v="3.5298400000000002E-3"/>
    <n v="2.2600000000000003E-3"/>
    <n v="2.2400000000000002E-3"/>
    <n v="8.0298400000000016E-3"/>
    <x v="13"/>
    <s v="MENA_Programme 3. Enseignement élémentaire"/>
    <s v="4. Transferts et subventions"/>
    <s v="SNSSU"/>
    <s v="MS"/>
    <x v="0"/>
    <x v="0"/>
    <x v="7"/>
    <s v="172- La santé scolaire est améliorée au sein des écoles et établissements scolaires, y compris les FA"/>
    <x v="87"/>
    <s v="17224- Acquisition de micronutriments en faveur des élèves du préscolaire et du primaire (des cantines)"/>
  </r>
  <r>
    <s v=" Acquisition de micronutriments en faveur des élèves du préscolaire et du primaire (des cantines)"/>
    <s v="dose par éléve"/>
    <s v="micro/élève"/>
    <n v="0"/>
    <n v="1688.4033030337444"/>
    <n v="1939.3439498958537"/>
    <n v="2198.1442102704682"/>
    <n v="5825.8914632000669"/>
    <n v="0.05"/>
    <n v="0"/>
    <n v="84.420165151687229"/>
    <n v="96.967197494792686"/>
    <n v="109.90721051352341"/>
    <n v="291.29457316000332"/>
    <x v="9"/>
    <s v="MENA_Programme 3. Enseignement élémentaire"/>
    <s v="4. Transferts et subventions"/>
    <s v="SNSSU"/>
    <s v="MS"/>
    <x v="0"/>
    <x v="0"/>
    <x v="7"/>
    <s v="172- La santé scolaire est améliorée au sein des écoles et établissements scolaires, y compris les FA"/>
    <x v="87"/>
    <s v="17224- Acquisition de micronutriments en faveur des élèves du préscolaire et du primaire (des cantines)"/>
  </r>
  <r>
    <s v="Organisation de campagnes de déparasitages en faveur des élèves (pris en compte dans visite médicale)"/>
    <s v="pm"/>
    <s v="sif"/>
    <n v="0"/>
    <m/>
    <m/>
    <m/>
    <m/>
    <n v="0"/>
    <m/>
    <m/>
    <m/>
    <m/>
    <m/>
    <x v="2"/>
    <s v="MENA_Programme 3. Enseignement élémentaire"/>
    <s v=""/>
    <s v="SNSSU"/>
    <s v="MS/DPE"/>
    <x v="0"/>
    <x v="0"/>
    <x v="7"/>
    <s v="172- La santé scolaire est améliorée au sein des écoles et établissements scolaires, y compris les FA"/>
    <x v="87"/>
    <s v="17225-Organisation de campagnes de déparasitages en faveur des élèves (pris en compte dans visite médicale)"/>
  </r>
  <r>
    <s v=" Organisation de campagnes d'administration de micronutriments en faveur des élèves du préscolaire et du primaire (pris en compte dans visite médicale)"/>
    <s v="PM"/>
    <s v="sif"/>
    <n v="0"/>
    <m/>
    <m/>
    <m/>
    <m/>
    <n v="0"/>
    <m/>
    <m/>
    <m/>
    <m/>
    <m/>
    <x v="2"/>
    <s v="MENA_Programme 3. Enseignement élémentaire"/>
    <s v=""/>
    <s v="SNSSU"/>
    <s v="MS/DPE"/>
    <x v="0"/>
    <x v="0"/>
    <x v="7"/>
    <s v="172- La santé scolaire est améliorée au sein des écoles et établissements scolaires, y compris les FA"/>
    <x v="87"/>
    <s v="17226- Organisation de campagnes d'administration de micronutriments en faveur des élèves du préscolaire et du primaire (pris en compte dans visite médicale)"/>
  </r>
  <r>
    <s v="Formation des encadreurs régionaux et préfectoraux/communaux sur les IST/VIH-Sida en milieu scolaire et sur la prévention des grossesses"/>
    <s v="Atelier"/>
    <s v="h/j/a"/>
    <n v="0"/>
    <n v="600"/>
    <n v="600"/>
    <n v="600"/>
    <n v="1800"/>
    <n v="0.3133333333333333"/>
    <n v="0"/>
    <n v="187.99999999999997"/>
    <n v="187.99999999999997"/>
    <n v="187.99999999999997"/>
    <n v="563.99999999999989"/>
    <x v="2"/>
    <s v="MENA_Programme 3. Enseignement élémentaire"/>
    <s v="3. Formation"/>
    <s v="SNSSU"/>
    <s v="SNSSU"/>
    <x v="0"/>
    <x v="0"/>
    <x v="7"/>
    <s v="172- La santé scolaire est améliorée au sein des écoles et établissements scolaires, y compris les FA"/>
    <x v="87"/>
    <s v="17227-Formation des encadreurs régionaux et préfectoraux/communaux sur les IST/VIH-Sida en milieu scolaire et sur la prévention des grossesses"/>
  </r>
  <r>
    <s v="Formation des encadreurs régionaux et préfectoraux/communaux sur les IST/VIH-Sida en milieu scolaire et sur la prévention des grossesses"/>
    <s v="Atelier"/>
    <s v="h/j/a"/>
    <n v="0"/>
    <n v="600"/>
    <n v="600"/>
    <n v="600"/>
    <n v="1800"/>
    <n v="0.3133333333333333"/>
    <n v="0"/>
    <n v="187.99999999999997"/>
    <n v="187.99999999999997"/>
    <n v="187.99999999999997"/>
    <n v="563.99999999999989"/>
    <x v="13"/>
    <s v="MENA_Programme 3. Enseignement élémentaire"/>
    <s v="3. Formation"/>
    <s v="SNSSU"/>
    <s v="SNSSU"/>
    <x v="0"/>
    <x v="0"/>
    <x v="7"/>
    <s v="172- La santé scolaire est améliorée au sein des écoles et établissements scolaires, y compris les FA"/>
    <x v="87"/>
    <s v="17227-Formation des encadreurs régionaux et préfectoraux/communaux sur les IST/VIH-Sida en milieu scolaire et sur la prévention des grossesses"/>
  </r>
  <r>
    <s v="Sensibilisation des élèves sur les IST/VIH-Sida en milieu scolaire "/>
    <s v="campagne de sensibilisation"/>
    <s v="campagne"/>
    <n v="0"/>
    <n v="1"/>
    <n v="1"/>
    <n v="1"/>
    <n v="3"/>
    <n v="45.936799999999998"/>
    <n v="0"/>
    <n v="45.936799999999998"/>
    <n v="45.936799999999998"/>
    <n v="45.936799999999998"/>
    <n v="137.81039999999999"/>
    <x v="6"/>
    <s v="MENA_Programme 3. Enseignement élémentaire"/>
    <s v="3. Dépenses de fonctionnement"/>
    <s v="SNSSU"/>
    <s v="DPE/DCE"/>
    <x v="0"/>
    <x v="0"/>
    <x v="7"/>
    <s v="172- La santé scolaire est améliorée au sein des écoles et établissements scolaires, y compris les FA"/>
    <x v="87"/>
    <s v="17228-Sensibilisation des élèves sur les IST/VIH-Sida en milieu scolaire "/>
  </r>
  <r>
    <s v="Sensibilisation des filles sur la prévention des grossesses précoces et non désirées"/>
    <s v="Mission"/>
    <s v="h/j/m"/>
    <n v="0"/>
    <m/>
    <n v="760"/>
    <n v="380"/>
    <n v="1140"/>
    <n v="0.8177777777777776"/>
    <n v="0"/>
    <n v="0"/>
    <n v="621.51111111111095"/>
    <n v="310.75555555555547"/>
    <n v="932.26666666666642"/>
    <x v="6"/>
    <s v="MENA_Programme 3. Enseignement élémentaire"/>
    <s v="3. Dépenses de fonctionnement"/>
    <s v="SNSSU"/>
    <s v="DPE/DCE"/>
    <x v="0"/>
    <x v="0"/>
    <x v="7"/>
    <s v="172- La santé scolaire est améliorée au sein des écoles et établissements scolaires, y compris les FA"/>
    <x v="87"/>
    <s v="17229-Sensibilisation des filles sur la prévention des grossesses précoces et non désirées"/>
  </r>
  <r>
    <s v="Sensibilisation des filles sur la prévention des grossesses précoces et non désirées"/>
    <s v="Mission"/>
    <s v="h/j/m"/>
    <n v="0"/>
    <n v="380"/>
    <n v="380"/>
    <n v="380"/>
    <n v="1140"/>
    <n v="0.8177777777777776"/>
    <n v="0"/>
    <n v="310.75555555555547"/>
    <n v="310.75555555555547"/>
    <n v="310.75555555555547"/>
    <n v="932.26666666666642"/>
    <x v="13"/>
    <s v="MENA_Programme 3. Enseignement élémentaire"/>
    <s v="3. Dépenses de fonctionnement"/>
    <s v="SNSSU"/>
    <s v="DPE/DCE"/>
    <x v="0"/>
    <x v="0"/>
    <x v="7"/>
    <s v="172- La santé scolaire est améliorée au sein des écoles et établissements scolaires, y compris les FA"/>
    <x v="87"/>
    <s v="17229-Sensibilisation des filles sur la prévention des grossesses précoces et non désirées"/>
  </r>
  <r>
    <s v="Octroi de kits d’hygiène aux filles issues des milieux défavorisés"/>
    <m/>
    <m/>
    <n v="0"/>
    <m/>
    <m/>
    <m/>
    <m/>
    <m/>
    <m/>
    <m/>
    <m/>
    <m/>
    <m/>
    <x v="0"/>
    <m/>
    <m/>
    <m/>
    <m/>
    <x v="0"/>
    <x v="0"/>
    <x v="7"/>
    <s v="172- La santé scolaire est améliorée au sein des écoles et établissements scolaires, y compris les FA"/>
    <x v="88"/>
    <s v="1723-Octroi de kits d’hygiène aux filles issues des milieux défavorisés"/>
  </r>
  <r>
    <s v="Ciblage des filles matures en zone rurale"/>
    <s v="travaux administratifs"/>
    <s v="sif"/>
    <n v="0"/>
    <n v="1"/>
    <n v="1"/>
    <n v="1"/>
    <n v="3"/>
    <n v="0"/>
    <m/>
    <m/>
    <m/>
    <m/>
    <m/>
    <x v="2"/>
    <s v="MENA_Programme 3. Enseignement élémentaire"/>
    <s v=""/>
    <s v="SNSSU"/>
    <s v="SNSSU"/>
    <x v="0"/>
    <x v="0"/>
    <x v="7"/>
    <s v="172- La santé scolaire est améliorée au sein des écoles et établissements scolaires, y compris les FA"/>
    <x v="88"/>
    <s v="17231-Ciblage des filles matures en zone rurale"/>
  </r>
  <r>
    <s v="Acquisition et distribution régulière de kits d'hygiène aux filles"/>
    <s v="Kit d'hygiène"/>
    <s v="Kit/fille"/>
    <m/>
    <n v="50000"/>
    <n v="60000"/>
    <n v="60000"/>
    <n v="170000"/>
    <n v="0.1"/>
    <n v="0"/>
    <n v="5000"/>
    <n v="6000"/>
    <n v="6000"/>
    <n v="17000"/>
    <x v="4"/>
    <s v="MENA_Programme 3. Enseignement élémentaire"/>
    <s v="4. Transferts et subventions"/>
    <s v="SNSSU"/>
    <s v="SNSSU"/>
    <x v="0"/>
    <x v="0"/>
    <x v="7"/>
    <s v="172- La santé scolaire est améliorée au sein des écoles et établissements scolaires, y compris les FA"/>
    <x v="88"/>
    <s v="17232-Acquisition et distribution régulière de kits d'hygiène aux filles"/>
  </r>
  <r>
    <s v="Acquisition et distribution régulière de kits d'hygiène aux filles"/>
    <s v="Kit d'hygiène"/>
    <s v="Kit/fille"/>
    <m/>
    <n v="50000"/>
    <n v="60000"/>
    <n v="60000"/>
    <n v="170000"/>
    <n v="0.1"/>
    <n v="0"/>
    <n v="5000"/>
    <n v="6000"/>
    <n v="6000"/>
    <n v="17000"/>
    <x v="13"/>
    <s v="MENA_Programme 3. Enseignement élémentaire"/>
    <s v="4. Transferts et subventions"/>
    <s v="SNSSU"/>
    <s v="SNSSU"/>
    <x v="0"/>
    <x v="0"/>
    <x v="7"/>
    <s v="172- La santé scolaire est améliorée au sein des écoles et établissements scolaires, y compris les FA"/>
    <x v="88"/>
    <s v="17232-Acquisition et distribution régulière de kits d'hygiène aux filles"/>
  </r>
  <r>
    <s v="Suivi/évaluation de la distribution des kits d'hygiène"/>
    <s v="pm"/>
    <s v="sif"/>
    <m/>
    <n v="1"/>
    <n v="1"/>
    <n v="1"/>
    <n v="3"/>
    <n v="0"/>
    <m/>
    <m/>
    <m/>
    <m/>
    <m/>
    <x v="4"/>
    <s v="MENA_Programme 3. Enseignement élémentaire"/>
    <s v=""/>
    <s v="SNSSU"/>
    <s v="BSD/IRE/DPE"/>
    <x v="0"/>
    <x v="0"/>
    <x v="7"/>
    <s v="172- La santé scolaire est améliorée au sein des écoles et établissements scolaires, y compris les FA"/>
    <x v="88"/>
    <s v="17233-Suivi/évaluation de la distribution des kits d'hygiène"/>
  </r>
  <r>
    <s v="Qualité des enseignements et des apprentissages"/>
    <m/>
    <m/>
    <n v="0"/>
    <m/>
    <m/>
    <m/>
    <m/>
    <m/>
    <m/>
    <m/>
    <m/>
    <m/>
    <m/>
    <x v="0"/>
    <m/>
    <m/>
    <m/>
    <m/>
    <x v="0"/>
    <x v="1"/>
    <x v="8"/>
    <s v="2-Qualité des enseignements et des apprentissages"/>
    <x v="89"/>
    <s v="2-Qualité des enseignements et des apprentissages"/>
  </r>
  <r>
    <s v=" Révision/ adaptation des curricula/programmes (place des sciences ; franco-arabe, intégration de l’éducation à la citoyenneté, l'éducation complète à la sexualité, éducation environnementale…)"/>
    <m/>
    <m/>
    <n v="0"/>
    <m/>
    <m/>
    <m/>
    <m/>
    <m/>
    <m/>
    <m/>
    <m/>
    <m/>
    <m/>
    <x v="0"/>
    <m/>
    <m/>
    <m/>
    <m/>
    <x v="0"/>
    <x v="1"/>
    <x v="9"/>
    <s v="21- Révision/ adaptation des curricula/programmes (place des sciences ; franco-arabe, intégration de l’éducation à la citoyenneté, l'éducation complète à la sexualité, éducation environnementale…)"/>
    <x v="90"/>
    <s v="21- Révision/ adaptation des curricula/programmes (place des sciences ; franco-arabe, intégration de l’éducation à la citoyenneté, l'éducation complète à la sexualité, éducation environnementale…)"/>
  </r>
  <r>
    <s v=" les contenus des programmes (du préscolaire, du primaire, 1er et second cycle du secondaire) sont progressivement révisés, adaptés et diversifiés"/>
    <m/>
    <m/>
    <n v="0"/>
    <m/>
    <m/>
    <m/>
    <m/>
    <m/>
    <m/>
    <m/>
    <m/>
    <m/>
    <m/>
    <x v="0"/>
    <m/>
    <m/>
    <m/>
    <m/>
    <x v="0"/>
    <x v="1"/>
    <x v="9"/>
    <s v="211- les contenus des programmes (du préscolaire, du primaire, 1er et second cycle du secondaire) sont progressivement révisés, adaptés et diversifiés"/>
    <x v="91"/>
    <s v="211- les contenus des programmes (du préscolaire, du primaire, 1er et second cycle du secondaire) sont progressivement révisés, adaptés et diversifiés"/>
  </r>
  <r>
    <s v="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
    <m/>
    <m/>
    <n v="0"/>
    <m/>
    <m/>
    <m/>
    <m/>
    <m/>
    <m/>
    <m/>
    <m/>
    <m/>
    <m/>
    <x v="0"/>
    <m/>
    <m/>
    <m/>
    <m/>
    <x v="0"/>
    <x v="1"/>
    <x v="9"/>
    <s v="211- les contenus des programmes (du préscolaire, du primaire, 1er et second cycle du secondaire) sont progressivement révisés, adaptés et diversifiés"/>
    <x v="92"/>
    <s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
  </r>
  <r>
    <s v="Etudes pour l'élargissement de l'éducation de base (curriculas, examens,  architecture des collèges de petite taille, évolution du profils des enseignants) et diversification des filières au secondaire"/>
    <s v="Assistance technique"/>
    <s v="h/j/ci"/>
    <n v="0"/>
    <m/>
    <m/>
    <m/>
    <n v="0"/>
    <n v="10.404797"/>
    <n v="0"/>
    <n v="0"/>
    <n v="0"/>
    <n v="0"/>
    <n v="0"/>
    <x v="8"/>
    <s v="MENA_Transversal"/>
    <s v="3. Dépenses de fonctionnement"/>
    <s v="SG"/>
    <s v="INRAP"/>
    <x v="0"/>
    <x v="1"/>
    <x v="9"/>
    <s v="211- les contenus des programmes (du préscolaire, du primaire, 1er et second cycle du secondaire) sont progressivement révisés, adaptés et diversifiés"/>
    <x v="92"/>
    <s v="21111-Etudes pour l'élargissement de l'éducation de base (curriculas, examens,  architecture des collèges de petite taille, évolution du profils des enseignants) et diversification des filières au secondaire"/>
  </r>
  <r>
    <s v="Organisation d'un voyage d'étude sur l'élargissement de l'éducation de base (pays d'Afrique)"/>
    <s v="voyage étude"/>
    <s v="voy/per"/>
    <n v="0"/>
    <m/>
    <m/>
    <m/>
    <n v="0"/>
    <n v="40.32"/>
    <n v="0"/>
    <n v="0"/>
    <n v="0"/>
    <n v="0"/>
    <n v="0"/>
    <x v="8"/>
    <s v="MENA_Transversal"/>
    <s v="3. Formation"/>
    <s v="SG"/>
    <s v="INRAP"/>
    <x v="0"/>
    <x v="1"/>
    <x v="9"/>
    <s v="211- les contenus des programmes (du préscolaire, du primaire, 1er et second cycle du secondaire) sont progressivement révisés, adaptés et diversifiés"/>
    <x v="92"/>
    <s v="21112-Organisation d'un voyage d'étude sur l'élargissement de l'éducation de base (pays d'Afrique)"/>
  </r>
  <r>
    <s v="Mise en place de l'équipe chargée du pilotage de la révision des programmes (préscolaire, primaire, collège et lycée et de la formation initiale des enseignants)"/>
    <s v="Texte"/>
    <s v="sif"/>
    <n v="0"/>
    <n v="1"/>
    <m/>
    <m/>
    <n v="1"/>
    <n v="0"/>
    <m/>
    <m/>
    <m/>
    <m/>
    <m/>
    <x v="2"/>
    <s v="MENA_Transversal"/>
    <s v=""/>
    <s v="SG"/>
    <s v="INRAP"/>
    <x v="0"/>
    <x v="1"/>
    <x v="9"/>
    <s v="211- les contenus des programmes (du préscolaire, du primaire, 1er et second cycle du secondaire) sont progressivement révisés, adaptés et diversifiés"/>
    <x v="92"/>
    <s v="21113-Mise en place de l'équipe chargée du pilotage de la révision des programmes (préscolaire, primaire, collège et lycée et de la formation initiale des enseignants)"/>
  </r>
  <r>
    <s v="Elaboration des TdR et recrutement d'une assistance technique pour la déFinition des profils de sortie de différents niveaux et l'élaboration d'un cahier de charges et d'un plan d'actions pour la révision des curricula"/>
    <s v="travaux administratifs"/>
    <s v="sif"/>
    <n v="0"/>
    <n v="1"/>
    <m/>
    <m/>
    <n v="1"/>
    <n v="0"/>
    <m/>
    <m/>
    <m/>
    <m/>
    <m/>
    <x v="2"/>
    <s v="MENA_Transversal"/>
    <s v=""/>
    <s v="Equipe pilotage (EP)"/>
    <s v="INRAP"/>
    <x v="0"/>
    <x v="1"/>
    <x v="9"/>
    <s v="211- les contenus des programmes (du préscolaire, du primaire, 1er et second cycle du secondaire) sont progressivement révisés, adaptés et diversifiés"/>
    <x v="92"/>
    <s v="21114-Elaboration des TdR et recrutement d'une assistance technique pour la déFinition des profils de sortie de différents niveaux et l'élaboration d'un cahier de charges et d'un plan d'actions pour la révision des curricula"/>
  </r>
  <r>
    <s v="Elaboration des profils de sortie, du cahier des charges et du plan d'actions (Directions : préscolaire, Enseignement fondamental, Enseignement secondaire)"/>
    <s v="Assistance technique"/>
    <s v="h/j/ci"/>
    <n v="0"/>
    <n v="60"/>
    <n v="30"/>
    <m/>
    <n v="90"/>
    <n v="10.404797"/>
    <n v="0"/>
    <n v="624.28782000000001"/>
    <n v="312.14391000000001"/>
    <n v="0"/>
    <n v="936.43173000000002"/>
    <x v="1"/>
    <s v="MENA_Transversal"/>
    <s v="3. Dépenses de fonctionnement"/>
    <s v="EP"/>
    <s v="INRAP"/>
    <x v="0"/>
    <x v="1"/>
    <x v="9"/>
    <s v="211- les contenus des programmes (du préscolaire, du primaire, 1er et second cycle du secondaire) sont progressivement révisés, adaptés et diversifiés"/>
    <x v="92"/>
    <s v="21115-Elaboration des profils de sortie, du cahier des charges et du plan d'actions (Directions : préscolaire, Enseignement fondamental, Enseignement secondaire)"/>
  </r>
  <r>
    <s v="Concertation et partage"/>
    <s v="Atelier"/>
    <s v="h/j/a"/>
    <n v="0"/>
    <m/>
    <n v="250"/>
    <m/>
    <n v="250"/>
    <n v="0.3133333333333333"/>
    <n v="0"/>
    <n v="0"/>
    <n v="78.333333333333329"/>
    <n v="0"/>
    <n v="78.333333333333329"/>
    <x v="1"/>
    <s v="MENA_Transversal"/>
    <s v="3. Formation"/>
    <s v="EP"/>
    <s v="INRAP"/>
    <x v="0"/>
    <x v="1"/>
    <x v="9"/>
    <s v="211- les contenus des programmes (du préscolaire, du primaire, 1er et second cycle du secondaire) sont progressivement révisés, adaptés et diversifiés"/>
    <x v="92"/>
    <s v="21116-Concertation et partage"/>
  </r>
  <r>
    <s v="Validation des profils"/>
    <s v="Atelier"/>
    <s v="h/j/a"/>
    <n v="0"/>
    <m/>
    <n v="75"/>
    <m/>
    <n v="75"/>
    <n v="0.3133333333333333"/>
    <n v="0"/>
    <n v="0"/>
    <n v="23.499999999999996"/>
    <n v="0"/>
    <n v="23.499999999999996"/>
    <x v="1"/>
    <s v="MENA_Transversal"/>
    <s v="3. Formation"/>
    <s v="EP"/>
    <s v="INRAP"/>
    <x v="0"/>
    <x v="1"/>
    <x v="9"/>
    <s v="211- les contenus des programmes (du préscolaire, du primaire, 1er et second cycle du secondaire) sont progressivement révisés, adaptés et diversifiés"/>
    <x v="92"/>
    <s v="21117-Validation des profils"/>
  </r>
  <r>
    <s v="Conception/élaboration et expérimentation de nouveaux curricula/programmes"/>
    <m/>
    <m/>
    <n v="0"/>
    <m/>
    <m/>
    <m/>
    <m/>
    <m/>
    <m/>
    <m/>
    <m/>
    <m/>
    <m/>
    <x v="0"/>
    <m/>
    <m/>
    <m/>
    <m/>
    <x v="0"/>
    <x v="1"/>
    <x v="9"/>
    <s v="211- les contenus des programmes (du préscolaire, du primaire, 1er et second cycle du secondaire) sont progressivement révisés, adaptés et diversifiés"/>
    <x v="93"/>
    <s v="2112-Conception/élaboration et expérimentation de nouveaux curricula/programmes"/>
  </r>
  <r>
    <s v="Mise en place des équipes techniques de rédaction des curricula"/>
    <s v="texte"/>
    <s v="sif"/>
    <n v="0"/>
    <m/>
    <n v="1"/>
    <m/>
    <n v="1"/>
    <n v="0"/>
    <m/>
    <m/>
    <m/>
    <m/>
    <m/>
    <x v="2"/>
    <s v="MENA_Transversal"/>
    <s v=""/>
    <s v="SG"/>
    <s v="EP"/>
    <x v="0"/>
    <x v="1"/>
    <x v="9"/>
    <s v="211- les contenus des programmes (du préscolaire, du primaire, 1er et second cycle du secondaire) sont progressivement révisés, adaptés et diversifiés"/>
    <x v="93"/>
    <s v="21121-Mise en place des équipes techniques de rédaction des curricula"/>
  </r>
  <r>
    <s v="Mobilisation d'une assistance technique pour l'accompagnement de la révision des curricula"/>
    <s v="Assistance technique"/>
    <s v="h/m/ci"/>
    <n v="0"/>
    <m/>
    <n v="6"/>
    <n v="6"/>
    <n v="12"/>
    <n v="219.54797350000001"/>
    <n v="0"/>
    <n v="0"/>
    <n v="1317.2878410000001"/>
    <n v="1317.2878410000001"/>
    <n v="2634.5756820000001"/>
    <x v="1"/>
    <s v="MENA_Transversal"/>
    <s v="3. Dépenses de fonctionnement"/>
    <s v="C/ProDEG"/>
    <s v="EP"/>
    <x v="0"/>
    <x v="1"/>
    <x v="9"/>
    <s v="211- les contenus des programmes (du préscolaire, du primaire, 1er et second cycle du secondaire) sont progressivement révisés, adaptés et diversifiés"/>
    <x v="93"/>
    <s v="21122-Mobilisation d'une assistance technique pour l'accompagnement de la révision des curricula"/>
  </r>
  <r>
    <s v="Révision du curriculum du préscolaire"/>
    <s v="Atelier"/>
    <s v="h/j/ap"/>
    <n v="0"/>
    <m/>
    <n v="250"/>
    <m/>
    <n v="250"/>
    <n v="0.255"/>
    <n v="0"/>
    <n v="0"/>
    <n v="63.75"/>
    <n v="0"/>
    <n v="63.75"/>
    <x v="1"/>
    <s v="MENA_Transversal"/>
    <s v="3. Dépenses de fonctionnement"/>
    <s v="DNEPSCE"/>
    <s v="INRAP"/>
    <x v="0"/>
    <x v="1"/>
    <x v="9"/>
    <s v="211- les contenus des programmes (du préscolaire, du primaire, 1er et second cycle du secondaire) sont progressivement révisés, adaptés et diversifiés"/>
    <x v="93"/>
    <s v="21123-Révision du curriculum du préscolaire"/>
  </r>
  <r>
    <s v="Révision du curriculum du collège"/>
    <s v="Atelier"/>
    <s v="h/j/ap"/>
    <n v="0"/>
    <m/>
    <n v="3600"/>
    <m/>
    <n v="3600"/>
    <n v="0.255"/>
    <n v="0"/>
    <n v="0"/>
    <n v="918"/>
    <n v="0"/>
    <n v="918"/>
    <x v="1"/>
    <s v="MENA_Transversal"/>
    <s v="3. Dépenses de fonctionnement"/>
    <s v="DNEF"/>
    <s v="INRAP"/>
    <x v="0"/>
    <x v="1"/>
    <x v="9"/>
    <s v="211- les contenus des programmes (du préscolaire, du primaire, 1er et second cycle du secondaire) sont progressivement révisés, adaptés et diversifiés"/>
    <x v="93"/>
    <s v="21124-Révision du curriculum du collège"/>
  </r>
  <r>
    <s v="Révision du curriculum du lycée en rapport avec les nouvelles filières (11éme année)"/>
    <s v="Atelier"/>
    <s v="h/j/ap"/>
    <n v="0"/>
    <m/>
    <n v="1200"/>
    <n v="600"/>
    <n v="1800"/>
    <n v="0.255"/>
    <n v="0"/>
    <n v="0"/>
    <n v="306"/>
    <n v="153"/>
    <n v="459"/>
    <x v="1"/>
    <s v="MENA_Transversal"/>
    <s v="3. Dépenses de fonctionnement"/>
    <s v="DNESGT"/>
    <s v="INRAP"/>
    <x v="0"/>
    <x v="1"/>
    <x v="9"/>
    <s v="211- les contenus des programmes (du préscolaire, du primaire, 1er et second cycle du secondaire) sont progressivement révisés, adaptés et diversifiés"/>
    <x v="93"/>
    <s v="21125-Révision du curriculum du lycée en rapport avec les nouvelles filières (11éme année)"/>
  </r>
  <r>
    <s v="Révision du curriculum de la formation initiale des enseignants du préscolaire avec l'INRAP"/>
    <s v="atelier de production"/>
    <s v="h/j/ap"/>
    <n v="0"/>
    <m/>
    <n v="150"/>
    <m/>
    <n v="150"/>
    <n v="0.255"/>
    <n v="0"/>
    <n v="0"/>
    <n v="38.25"/>
    <n v="0"/>
    <n v="38.25"/>
    <x v="1"/>
    <s v="MENA_Transversal"/>
    <s v="3. Dépenses de fonctionnement"/>
    <s v="DNEPSCE"/>
    <s v="ENI"/>
    <x v="0"/>
    <x v="1"/>
    <x v="9"/>
    <s v="211- les contenus des programmes (du préscolaire, du primaire, 1er et second cycle du secondaire) sont progressivement révisés, adaptés et diversifiés"/>
    <x v="93"/>
    <s v="21126-Révision du curriculum de la formation initiale des enseignants du préscolaire avec l'INRAP"/>
  </r>
  <r>
    <s v="Révision du curriculum de la formation initiale des formateurs des ENIs en tenant compte des nouveaux programmes du préscolaire et du primaire avec l'ENI et l'INRAP"/>
    <s v="atelier de production"/>
    <s v="h/j/ap"/>
    <n v="0"/>
    <m/>
    <m/>
    <n v="250"/>
    <n v="250"/>
    <n v="0.255"/>
    <n v="0"/>
    <n v="0"/>
    <n v="0"/>
    <n v="63.75"/>
    <n v="63.75"/>
    <x v="1"/>
    <s v="MENA_Transversal"/>
    <s v="3. Dépenses de fonctionnement"/>
    <s v="DNEF"/>
    <s v="ISSEG"/>
    <x v="0"/>
    <x v="1"/>
    <x v="9"/>
    <s v="211- les contenus des programmes (du préscolaire, du primaire, 1er et second cycle du secondaire) sont progressivement révisés, adaptés et diversifiés"/>
    <x v="93"/>
    <s v="21127-Révision du curriculum de la formation initiale des formateurs des ENIs en tenant compte des nouveaux programmes du préscolaire et du primaire avec l'ENI et l'INRAP"/>
  </r>
  <r>
    <s v="Révision du curriculum de la formation initiale des enseignants en tenant compte des nouvelles filières au secondaire avec la DNESGT"/>
    <s v="atelier de production"/>
    <s v="h/j/ap"/>
    <n v="0"/>
    <m/>
    <n v="150"/>
    <n v="150"/>
    <n v="300"/>
    <n v="0.255"/>
    <n v="0"/>
    <n v="0"/>
    <n v="38.25"/>
    <n v="38.25"/>
    <n v="76.5"/>
    <x v="1"/>
    <s v="MENA_Transversal"/>
    <s v="3. Dépenses de fonctionnement"/>
    <s v="DNESGT"/>
    <s v="ISSEG"/>
    <x v="0"/>
    <x v="1"/>
    <x v="9"/>
    <s v="211- les contenus des programmes (du préscolaire, du primaire, 1er et second cycle du secondaire) sont progressivement révisés, adaptés et diversifiés"/>
    <x v="93"/>
    <s v="21128-Révision du curriculum de la formation initiale des enseignants en tenant compte des nouvelles filières au secondaire avec la DNESGT"/>
  </r>
  <r>
    <s v="Formation des enseignants chargés de l'expérimentation au préscolaire avec la DNPSCE"/>
    <s v="Formation"/>
    <s v="h/f"/>
    <n v="0"/>
    <m/>
    <n v="300"/>
    <m/>
    <n v="300"/>
    <n v="1.5"/>
    <n v="0"/>
    <n v="0"/>
    <n v="450"/>
    <n v="0"/>
    <n v="450"/>
    <x v="1"/>
    <s v="MENA_Transversal"/>
    <s v="3. Formation"/>
    <s v="DNEPSCE"/>
    <s v="ENI"/>
    <x v="0"/>
    <x v="1"/>
    <x v="9"/>
    <s v="211- les contenus des programmes (du préscolaire, du primaire, 1er et second cycle du secondaire) sont progressivement révisés, adaptés et diversifiés"/>
    <x v="93"/>
    <s v="21129-Formation des enseignants chargés de l'expérimentation au préscolaire avec la DNPSCE"/>
  </r>
  <r>
    <s v=" formation des enseignants chargés de l'expérimentation au collège avec la DNEF et DNESGT"/>
    <s v="Formation"/>
    <s v="h/j/f"/>
    <n v="0"/>
    <m/>
    <m/>
    <n v="800"/>
    <n v="800"/>
    <n v="0.67666666666666664"/>
    <n v="0"/>
    <n v="0"/>
    <n v="0"/>
    <n v="541.33333333333326"/>
    <n v="541.33333333333326"/>
    <x v="1"/>
    <s v="MENA_Transversal"/>
    <s v="3. Formation"/>
    <s v="DNEF"/>
    <s v="ISSEG"/>
    <x v="0"/>
    <x v="1"/>
    <x v="9"/>
    <s v="211- les contenus des programmes (du préscolaire, du primaire, 1er et second cycle du secondaire) sont progressivement révisés, adaptés et diversifiés"/>
    <x v="93"/>
    <s v="211210- formation des enseignants chargés de l'expérimentation au collège avec la DNEF et DNESGT"/>
  </r>
  <r>
    <s v="Choix des écoles pour l'expérimentation au préscolaire, collège et lycée (DNPSCE, DNEF, DNESGT, IRE, DPE/DCE)"/>
    <s v="Texte"/>
    <s v="sif"/>
    <n v="0"/>
    <m/>
    <n v="1"/>
    <n v="1"/>
    <n v="2"/>
    <n v="0"/>
    <m/>
    <m/>
    <m/>
    <m/>
    <m/>
    <x v="2"/>
    <s v="MENA_Transversal"/>
    <s v=""/>
    <s v="SG"/>
    <s v="EP"/>
    <x v="0"/>
    <x v="1"/>
    <x v="9"/>
    <s v="211- les contenus des programmes (du préscolaire, du primaire, 1er et second cycle du secondaire) sont progressivement révisés, adaptés et diversifiés"/>
    <x v="93"/>
    <s v="211211-Choix des écoles pour l'expérimentation au préscolaire, collège et lycée (DNPSCE, DNEF, DNESGT, IRE, DPE/DCE)"/>
  </r>
  <r>
    <s v="formation des enseignants chargés de l'expérimentation au lycée avec la DNESGT"/>
    <s v="Formation"/>
    <s v="h/j/f"/>
    <n v="0"/>
    <m/>
    <m/>
    <n v="800"/>
    <n v="800"/>
    <n v="0.67666666666666664"/>
    <n v="0"/>
    <n v="0"/>
    <n v="0"/>
    <n v="541.33333333333326"/>
    <n v="541.33333333333326"/>
    <x v="2"/>
    <s v="MENA_Transversal"/>
    <s v="3. Formation"/>
    <s v="DNESGT"/>
    <s v="ISSEG"/>
    <x v="0"/>
    <x v="1"/>
    <x v="9"/>
    <s v="211- les contenus des programmes (du préscolaire, du primaire, 1er et second cycle du secondaire) sont progressivement révisés, adaptés et diversifiés"/>
    <x v="93"/>
    <s v="211212-formation des enseignants chargés de l'expérimentation au lycée avec la DNESGT"/>
  </r>
  <r>
    <s v="formation des enseignants chargés de l'expérimentation pour les ENI avec DNEF"/>
    <s v="Formation"/>
    <s v="h/j/f"/>
    <n v="0"/>
    <m/>
    <m/>
    <n v="300"/>
    <n v="300"/>
    <n v="0.67666666666666664"/>
    <n v="0"/>
    <n v="0"/>
    <n v="0"/>
    <n v="203"/>
    <n v="203"/>
    <x v="1"/>
    <s v="MENA_Transversal"/>
    <s v="3. Formation"/>
    <s v="EP"/>
    <s v="ENI"/>
    <x v="1"/>
    <x v="1"/>
    <x v="9"/>
    <s v="211- les contenus des programmes (du préscolaire, du primaire, 1er et second cycle du secondaire) sont progressivement révisés, adaptés et diversifiés"/>
    <x v="93"/>
    <s v="211213-formation des enseignants chargés de l'expérimentation pour les ENI avec DNEF"/>
  </r>
  <r>
    <s v="Formation des enseignants chargés de l'expérimentation à l'ISSEG avec la DNESGT"/>
    <s v="Formation"/>
    <s v="h/j/f"/>
    <n v="0"/>
    <m/>
    <m/>
    <n v="300"/>
    <n v="300"/>
    <n v="0.67666666666666664"/>
    <n v="0"/>
    <n v="0"/>
    <n v="0"/>
    <n v="203"/>
    <n v="203"/>
    <x v="1"/>
    <s v="MENA_Transversal"/>
    <s v="3. Formation"/>
    <s v="EP"/>
    <s v="ISSEG"/>
    <x v="2"/>
    <x v="1"/>
    <x v="9"/>
    <s v="211- les contenus des programmes (du préscolaire, du primaire, 1er et second cycle du secondaire) sont progressivement révisés, adaptés et diversifiés"/>
    <x v="93"/>
    <s v="211214-Formation des enseignants chargés de l'expérimentation à l'ISSEG avec la DNESGT"/>
  </r>
  <r>
    <s v="Suivi de l'expérimentation avec DNEPSCE, DNEF et DNESGT"/>
    <s v="Mission"/>
    <s v="h/j/m"/>
    <n v="0"/>
    <m/>
    <m/>
    <n v="300"/>
    <n v="300"/>
    <n v="0.8177777777777776"/>
    <n v="0"/>
    <n v="0"/>
    <n v="0"/>
    <n v="245.33333333333329"/>
    <n v="245.33333333333329"/>
    <x v="1"/>
    <s v="MENA_Transversal"/>
    <s v="3. Dépenses de fonctionnement"/>
    <s v="EP"/>
    <s v="INRAP"/>
    <x v="0"/>
    <x v="1"/>
    <x v="9"/>
    <s v="211- les contenus des programmes (du préscolaire, du primaire, 1er et second cycle du secondaire) sont progressivement révisés, adaptés et diversifiés"/>
    <x v="93"/>
    <s v="211215-Suivi de l'expérimentation avec DNEPSCE, DNEF et DNESGT"/>
  </r>
  <r>
    <s v="Réajustement des curricula expérimenté du préscolaire avec la DNEPSCE"/>
    <s v="Atelier"/>
    <s v="h/j/ap"/>
    <n v="0"/>
    <m/>
    <m/>
    <n v="70"/>
    <n v="70"/>
    <n v="0.255"/>
    <n v="0"/>
    <n v="0"/>
    <n v="0"/>
    <n v="17.850000000000001"/>
    <n v="17.850000000000001"/>
    <x v="1"/>
    <s v="MENA_Transversal"/>
    <s v="3. Dépenses de fonctionnement"/>
    <s v="DNEPSCE"/>
    <s v="INRAP"/>
    <x v="0"/>
    <x v="1"/>
    <x v="9"/>
    <s v="211- les contenus des programmes (du préscolaire, du primaire, 1er et second cycle du secondaire) sont progressivement révisés, adaptés et diversifiés"/>
    <x v="93"/>
    <s v="211216-Réajustement des curricula expérimenté du préscolaire avec la DNEPSCE"/>
  </r>
  <r>
    <s v="Suivi de l'expérimentation en 11ième Année avec la DNESGT"/>
    <s v="Mission"/>
    <s v="h/j/m"/>
    <n v="0"/>
    <m/>
    <m/>
    <n v="300"/>
    <n v="300"/>
    <n v="0.8177777777777776"/>
    <n v="0"/>
    <n v="0"/>
    <n v="0"/>
    <n v="245.33333333333329"/>
    <n v="245.33333333333329"/>
    <x v="2"/>
    <s v="MENA_Transversal"/>
    <s v="3. Dépenses de fonctionnement"/>
    <s v="DNESGT"/>
    <s v="INRAP"/>
    <x v="0"/>
    <x v="1"/>
    <x v="9"/>
    <s v="211- les contenus des programmes (du préscolaire, du primaire, 1er et second cycle du secondaire) sont progressivement révisés, adaptés et diversifiés"/>
    <x v="93"/>
    <s v="211217-Suivi de l'expérimentation en 11ième Année avec la DNESGT"/>
  </r>
  <r>
    <s v="Formation des enseignants aux nouveaux curricula à tous les niveaux"/>
    <m/>
    <m/>
    <n v="0"/>
    <m/>
    <m/>
    <m/>
    <m/>
    <m/>
    <m/>
    <m/>
    <m/>
    <m/>
    <m/>
    <x v="0"/>
    <m/>
    <m/>
    <m/>
    <m/>
    <x v="0"/>
    <x v="1"/>
    <x v="9"/>
    <s v="211- les contenus des programmes (du préscolaire, du primaire, 1er et second cycle du secondaire) sont progressivement révisés, adaptés et diversifiés"/>
    <x v="94"/>
    <s v="2113-Formation des enseignants aux nouveaux curricula à tous les niveaux"/>
  </r>
  <r>
    <s v="PM à intégrer dans la seconde phase de mise en œuvre du PRODEG"/>
    <m/>
    <m/>
    <n v="0"/>
    <m/>
    <m/>
    <m/>
    <m/>
    <m/>
    <m/>
    <m/>
    <m/>
    <m/>
    <m/>
    <x v="1"/>
    <s v="MENA_Transversal"/>
    <s v=""/>
    <m/>
    <m/>
    <x v="0"/>
    <x v="1"/>
    <x v="9"/>
    <s v="211- les contenus des programmes (du préscolaire, du primaire, 1er et second cycle du secondaire) sont progressivement révisés, adaptés et diversifiés"/>
    <x v="94"/>
    <s v="-PM à intégrer dans la seconde phase de mise en œuvre du PRODEG"/>
  </r>
  <r>
    <s v="Adaptation des manuels/matériels pédagogiques et ludiques aux nouveaux curricula à tous les niveaux et pour tous les enfants"/>
    <m/>
    <m/>
    <n v="0"/>
    <m/>
    <m/>
    <m/>
    <m/>
    <m/>
    <m/>
    <m/>
    <m/>
    <m/>
    <m/>
    <x v="0"/>
    <m/>
    <m/>
    <m/>
    <m/>
    <x v="0"/>
    <x v="1"/>
    <x v="9"/>
    <s v="211- les contenus des programmes (du préscolaire, du primaire, 1er et second cycle du secondaire) sont progressivement révisés, adaptés et diversifiés"/>
    <x v="95"/>
    <s v="2114-Adaptation des manuels/matériels pédagogiques et ludiques aux nouveaux curricula à tous les niveaux et pour tous les enfants"/>
  </r>
  <r>
    <s v="Adaptation des matériels pédagogiques du préscolaire"/>
    <s v="Atelier"/>
    <s v="h/j/ap"/>
    <n v="0"/>
    <m/>
    <n v="175"/>
    <m/>
    <n v="175"/>
    <n v="0.255"/>
    <n v="0"/>
    <n v="0"/>
    <n v="44.625"/>
    <n v="0"/>
    <n v="44.625"/>
    <x v="1"/>
    <s v="MENA_Transversal"/>
    <s v="3. Dépenses de fonctionnement"/>
    <s v="DNEPSCE"/>
    <s v="INRAP"/>
    <x v="0"/>
    <x v="1"/>
    <x v="9"/>
    <s v="211- les contenus des programmes (du préscolaire, du primaire, 1er et second cycle du secondaire) sont progressivement révisés, adaptés et diversifiés"/>
    <x v="95"/>
    <s v="21141-Adaptation des matériels pédagogiques du préscolaire"/>
  </r>
  <r>
    <s v="Appui aux enseignants à l'utilisation du matériel pédagogique du préscolaire"/>
    <s v="Atelier"/>
    <s v="h/j/f"/>
    <n v="0"/>
    <m/>
    <m/>
    <n v="800"/>
    <n v="800"/>
    <n v="0.67666666666666664"/>
    <n v="0"/>
    <n v="0"/>
    <n v="0"/>
    <n v="541.33333333333326"/>
    <n v="541.33333333333326"/>
    <x v="1"/>
    <s v="MENA_Transversal"/>
    <s v="3. Formation"/>
    <s v="INRAP"/>
    <s v="DNPSCE"/>
    <x v="0"/>
    <x v="1"/>
    <x v="9"/>
    <s v="211- les contenus des programmes (du préscolaire, du primaire, 1er et second cycle du secondaire) sont progressivement révisés, adaptés et diversifiés"/>
    <x v="95"/>
    <s v="21142-Appui aux enseignants à l'utilisation du matériel pédagogique du préscolaire"/>
  </r>
  <r>
    <s v="Introduction des approches innovantes dans le cursus scolaire"/>
    <m/>
    <m/>
    <n v="0"/>
    <m/>
    <m/>
    <m/>
    <m/>
    <m/>
    <m/>
    <m/>
    <m/>
    <m/>
    <m/>
    <x v="0"/>
    <m/>
    <m/>
    <m/>
    <m/>
    <x v="0"/>
    <x v="1"/>
    <x v="9"/>
    <s v="211- les contenus des programmes (du préscolaire, du primaire, 1er et second cycle du secondaire) sont progressivement révisés, adaptés et diversifiés"/>
    <x v="96"/>
    <s v="2115-Introduction des approches innovantes dans le cursus scolaire"/>
  </r>
  <r>
    <s v="Révision des supports pédagogiques EGRA (guides et affiches) "/>
    <s v="Atelier"/>
    <s v="h/j/ap"/>
    <n v="0"/>
    <m/>
    <m/>
    <m/>
    <n v="0"/>
    <n v="0.255"/>
    <n v="0"/>
    <n v="0"/>
    <n v="0"/>
    <n v="0"/>
    <n v="0"/>
    <x v="8"/>
    <s v="MENA_Transversal"/>
    <s v="3. Dépenses de fonctionnement"/>
    <s v="INRAP"/>
    <s v="INRAP"/>
    <x v="0"/>
    <x v="1"/>
    <x v="9"/>
    <s v="211- les contenus des programmes (du préscolaire, du primaire, 1er et second cycle du secondaire) sont progressivement révisés, adaptés et diversifiés"/>
    <x v="96"/>
    <s v="21151-Révision des supports pédagogiques EGRA (guides et affiches) "/>
  </r>
  <r>
    <s v="réprographie et distribution du matériel pédagogique EGRA au enseignants et aux élèves"/>
    <s v="reprographie"/>
    <s v="Lot/inn"/>
    <n v="0"/>
    <m/>
    <m/>
    <m/>
    <n v="0"/>
    <n v="891"/>
    <n v="0"/>
    <n v="0"/>
    <n v="0"/>
    <n v="0"/>
    <n v="0"/>
    <x v="8"/>
    <s v="MENA_Transversal"/>
    <s v="3. Manuels scolaires et matériels pédagogiques"/>
    <s v="INRAP"/>
    <s v="INRAP"/>
    <x v="0"/>
    <x v="1"/>
    <x v="9"/>
    <s v="211- les contenus des programmes (du préscolaire, du primaire, 1er et second cycle du secondaire) sont progressivement révisés, adaptés et diversifiés"/>
    <x v="96"/>
    <s v="21152-réprographie et distribution du matériel pédagogique EGRA au enseignants et aux élèves"/>
  </r>
  <r>
    <s v="Formation des enseignants, encadreurs, représentants APEAE sur les techniques d'enseignement et d'apprentissage de la lecture au primaire"/>
    <s v="formation"/>
    <s v="h/f"/>
    <n v="0"/>
    <n v="84.179999999999993"/>
    <n v="126.26999999999998"/>
    <n v="168.35999999999999"/>
    <n v="378.80999999999995"/>
    <n v="1.5"/>
    <n v="0"/>
    <n v="126.26999999999998"/>
    <n v="189.40499999999997"/>
    <n v="252.53999999999996"/>
    <n v="568.21499999999992"/>
    <x v="1"/>
    <s v="MENA_Transversal"/>
    <s v="3. Formation"/>
    <s v="INRAP"/>
    <s v="INRAP"/>
    <x v="0"/>
    <x v="1"/>
    <x v="9"/>
    <s v="211- les contenus des programmes (du préscolaire, du primaire, 1er et second cycle du secondaire) sont progressivement révisés, adaptés et diversifiés"/>
    <x v="96"/>
    <s v="21153-Formation des enseignants, encadreurs, représentants APEAE sur les techniques d'enseignement et d'apprentissage de la lecture au primaire"/>
  </r>
  <r>
    <s v="Formation des enseignants, encadreurs, représentants APEAE sur les techniques d'enseignement et d'apprentissage de la lecture au primaire"/>
    <s v="formation"/>
    <s v="h/f"/>
    <n v="0"/>
    <n v="76.38"/>
    <n v="114.57"/>
    <n v="152.76"/>
    <n v="343.71"/>
    <n v="1.5"/>
    <n v="0"/>
    <n v="114.57"/>
    <n v="171.85499999999999"/>
    <n v="229.14"/>
    <n v="515.56499999999994"/>
    <x v="12"/>
    <s v="MENA_Transversal"/>
    <s v="3. Formation"/>
    <s v="INRAP"/>
    <s v="INRAP"/>
    <x v="0"/>
    <x v="1"/>
    <x v="9"/>
    <s v="211- les contenus des programmes (du préscolaire, du primaire, 1er et second cycle du secondaire) sont progressivement révisés, adaptés et diversifiés"/>
    <x v="96"/>
    <s v="21153-Formation des enseignants, encadreurs, représentants APEAE sur les techniques d'enseignement et d'apprentissage de la lecture au primaire"/>
  </r>
  <r>
    <s v="Formation des enseignants, encadreurs, représentants APEAE sur les techniques d'enseignement et d'apprentissage de la lecture au primaire"/>
    <s v="formation"/>
    <s v="h/f"/>
    <n v="0"/>
    <n v="439.43999999999994"/>
    <n v="659.16"/>
    <n v="878.87999999999988"/>
    <n v="1977.4799999999998"/>
    <n v="1.5"/>
    <n v="0"/>
    <n v="659.15999999999985"/>
    <n v="988.74"/>
    <n v="1318.3199999999997"/>
    <n v="2966.2199999999993"/>
    <x v="1"/>
    <s v="MENA_Transversal"/>
    <s v="3. Formation"/>
    <s v="INRAP"/>
    <s v="INRAP"/>
    <x v="0"/>
    <x v="1"/>
    <x v="9"/>
    <s v="211- les contenus des programmes (du préscolaire, du primaire, 1er et second cycle du secondaire) sont progressivement révisés, adaptés et diversifiés"/>
    <x v="96"/>
    <s v="21153-Formation des enseignants, encadreurs, représentants APEAE sur les techniques d'enseignement et d'apprentissage de la lecture au primaire"/>
  </r>
  <r>
    <s v=" Diversification des filière au lycée"/>
    <m/>
    <m/>
    <n v="0"/>
    <m/>
    <m/>
    <m/>
    <m/>
    <m/>
    <m/>
    <m/>
    <m/>
    <m/>
    <m/>
    <x v="0"/>
    <m/>
    <m/>
    <m/>
    <m/>
    <x v="0"/>
    <x v="1"/>
    <x v="10"/>
    <s v="22- Diversification des filière au lycée"/>
    <x v="97"/>
    <s v="22- Diversification des filière au lycée"/>
  </r>
  <r>
    <s v=" Les nouvelles filières de formation au lycée sont introduites"/>
    <m/>
    <m/>
    <n v="0"/>
    <m/>
    <m/>
    <m/>
    <m/>
    <m/>
    <m/>
    <m/>
    <m/>
    <m/>
    <m/>
    <x v="0"/>
    <m/>
    <m/>
    <m/>
    <m/>
    <x v="0"/>
    <x v="1"/>
    <x v="10"/>
    <s v="221- Les nouvelles filières de formation au lycée sont introduites"/>
    <x v="98"/>
    <s v="221- Les nouvelles filières de formation au lycée sont introduites"/>
  </r>
  <r>
    <s v="Choix et expériementation des filières d’enseignement au lycée"/>
    <m/>
    <m/>
    <n v="0"/>
    <m/>
    <m/>
    <m/>
    <m/>
    <m/>
    <m/>
    <m/>
    <m/>
    <m/>
    <m/>
    <x v="0"/>
    <m/>
    <m/>
    <m/>
    <m/>
    <x v="0"/>
    <x v="1"/>
    <x v="10"/>
    <s v="221- Les nouvelles filières de formation au lycée sont introduites"/>
    <x v="99"/>
    <s v="2211-Choix et expériementation des filières d’enseignement au lycée"/>
  </r>
  <r>
    <s v="Identification et mise place d'une équipe technique chargée de l'implantation des filières"/>
    <s v="texte"/>
    <s v="sif"/>
    <n v="0"/>
    <n v="1"/>
    <m/>
    <m/>
    <n v="1"/>
    <n v="0"/>
    <m/>
    <m/>
    <m/>
    <m/>
    <m/>
    <x v="2"/>
    <s v="MENA_Sous-programme 4.2. Lycée"/>
    <s v=""/>
    <s v="SG"/>
    <s v="DNESGT"/>
    <x v="0"/>
    <x v="1"/>
    <x v="10"/>
    <s v="221- Les nouvelles filières de formation au lycée sont introduites"/>
    <x v="99"/>
    <s v="22111-Identification et mise place d'une équipe technique chargée de l'implantation des filières"/>
  </r>
  <r>
    <s v="Elaboration des profils de sortie et du cahier de charges avec DNESGT et l'IGE (pris en charge dans activité 21113) "/>
    <s v="pm"/>
    <s v="sif"/>
    <n v="0"/>
    <n v="1"/>
    <m/>
    <m/>
    <n v="1"/>
    <n v="0"/>
    <m/>
    <m/>
    <m/>
    <m/>
    <m/>
    <x v="2"/>
    <s v="MENA_Sous-programme 4.2. Lycée"/>
    <s v=""/>
    <s v="DNESGT"/>
    <s v="INRAP"/>
    <x v="0"/>
    <x v="1"/>
    <x v="10"/>
    <s v="221- Les nouvelles filières de formation au lycée sont introduites"/>
    <x v="99"/>
    <s v="22112-Elaboration des profils de sortie et du cahier de charges avec DNESGT et l'IGE (pris en charge dans activité 21113) "/>
  </r>
  <r>
    <s v="Spécification des matériels/équipements nécessaires pour les lycées expérimentaux avec la DNESGT (pris en compte dans activité 21125) "/>
    <s v="travaux administratifs"/>
    <s v="sif"/>
    <n v="0"/>
    <m/>
    <n v="1"/>
    <n v="1"/>
    <n v="2"/>
    <n v="0"/>
    <m/>
    <m/>
    <m/>
    <m/>
    <m/>
    <x v="2"/>
    <s v="MENA_Sous-programme 4.2. Lycée"/>
    <s v=""/>
    <s v="DNESGT"/>
    <s v="INRAP"/>
    <x v="0"/>
    <x v="1"/>
    <x v="10"/>
    <s v="221- Les nouvelles filières de formation au lycée sont introduites"/>
    <x v="99"/>
    <s v="22113-Spécification des matériels/équipements nécessaires pour les lycées expérimentaux avec la DNESGT (pris en compte dans activité 21125) "/>
  </r>
  <r>
    <s v="expérimentaion des filières choisies"/>
    <m/>
    <m/>
    <n v="0"/>
    <m/>
    <m/>
    <m/>
    <m/>
    <m/>
    <m/>
    <m/>
    <m/>
    <m/>
    <m/>
    <x v="0"/>
    <m/>
    <m/>
    <m/>
    <m/>
    <x v="0"/>
    <x v="1"/>
    <x v="10"/>
    <s v="221- Les nouvelles filières de formation au lycée sont introduites"/>
    <x v="100"/>
    <s v="2212-expérimentaion des filières choisies"/>
  </r>
  <r>
    <s v="PM à intégrer dans la seconde phase de mise en œuvre du PRODEG"/>
    <m/>
    <m/>
    <n v="0"/>
    <m/>
    <m/>
    <m/>
    <m/>
    <s v=""/>
    <m/>
    <m/>
    <m/>
    <m/>
    <m/>
    <x v="2"/>
    <s v="MENA_Sous-programme 4.2. Lycée"/>
    <s v=""/>
    <m/>
    <m/>
    <x v="0"/>
    <x v="1"/>
    <x v="10"/>
    <s v="221- Les nouvelles filières de formation au lycée sont introduites"/>
    <x v="100"/>
    <s v="-PM à intégrer dans la seconde phase de mise en œuvre du PRODEG"/>
  </r>
  <r>
    <s v="Elaboration et validation d'un plan d'action opérationnel pour l'implantation progressive des filiéres"/>
    <m/>
    <m/>
    <n v="0"/>
    <m/>
    <m/>
    <m/>
    <m/>
    <m/>
    <m/>
    <m/>
    <m/>
    <m/>
    <m/>
    <x v="0"/>
    <m/>
    <m/>
    <m/>
    <m/>
    <x v="0"/>
    <x v="1"/>
    <x v="10"/>
    <s v="221- Les nouvelles filières de formation au lycée sont introduites"/>
    <x v="101"/>
    <s v="2213-Elaboration et validation d'un plan d'action opérationnel pour l'implantation progressive des filiéres"/>
  </r>
  <r>
    <s v="PM à intégrer dans la seconde phase de mise en œuvre du PRODEG"/>
    <m/>
    <m/>
    <n v="0"/>
    <m/>
    <m/>
    <m/>
    <m/>
    <s v=""/>
    <m/>
    <m/>
    <m/>
    <m/>
    <m/>
    <x v="2"/>
    <s v="MENA_Sous-programme 4.2. Lycée"/>
    <s v=""/>
    <m/>
    <m/>
    <x v="0"/>
    <x v="1"/>
    <x v="10"/>
    <s v="221- Les nouvelles filières de formation au lycée sont introduites"/>
    <x v="101"/>
    <s v="-PM à intégrer dans la seconde phase de mise en œuvre du PRODEG"/>
  </r>
  <r>
    <s v=" Formation initiale et continue des enseignants/éducateurs y compris dans les méthodes pédagogiques innovatntes  "/>
    <m/>
    <m/>
    <n v="0"/>
    <m/>
    <m/>
    <m/>
    <m/>
    <m/>
    <m/>
    <m/>
    <m/>
    <m/>
    <m/>
    <x v="0"/>
    <m/>
    <m/>
    <m/>
    <m/>
    <x v="0"/>
    <x v="1"/>
    <x v="11"/>
    <s v="23- Formation initiale et continue des enseignants/éducateurs y compris dans les méthodes pédagogiques innovatntes  "/>
    <x v="102"/>
    <s v="23- Formation initiale et continue des enseignants/éducateurs y compris dans les méthodes pédagogiques innovatntes  "/>
  </r>
  <r>
    <s v=" Une formation initiale de qualité (polyvalence, méthodes pédagogiques innovantes, éducation inclusive et gestion des classes multigrades) des formateurs et cohérente avec les curricula, est mise en place"/>
    <m/>
    <m/>
    <n v="0"/>
    <m/>
    <m/>
    <m/>
    <m/>
    <m/>
    <m/>
    <m/>
    <m/>
    <m/>
    <m/>
    <x v="0"/>
    <m/>
    <m/>
    <m/>
    <m/>
    <x v="0"/>
    <x v="1"/>
    <x v="11"/>
    <s v="231- Une formation initiale de qualité (polyvalence, méthodes pédagogiques innovantes, éducation inclusive et gestion des classes multigrades) des formateurs et cohérente avec les curricula, est mise en place"/>
    <x v="103"/>
    <s v="231- Une formation initiale de qualité (polyvalence, méthodes pédagogiques innovantes, éducation inclusive et gestion des classes multigrades) des formateurs et cohérente avec les curricula, est mise en place"/>
  </r>
  <r>
    <s v="La mise en place des standards de qualité sur la formation initiale (ENI)"/>
    <m/>
    <m/>
    <n v="0"/>
    <m/>
    <m/>
    <m/>
    <m/>
    <m/>
    <m/>
    <m/>
    <m/>
    <m/>
    <m/>
    <x v="0"/>
    <m/>
    <m/>
    <m/>
    <m/>
    <x v="0"/>
    <x v="1"/>
    <x v="11"/>
    <s v="231- Une formation initiale de qualité (polyvalence, méthodes pédagogiques innovantes, éducation inclusive et gestion des classes multigrades) des formateurs et cohérente avec les curricula, est mise en place"/>
    <x v="104"/>
    <s v="2311-La mise en place des standards de qualité sur la formation initiale (ENI)"/>
  </r>
  <r>
    <s v="Mise en place d'une équipe technique nationale chargée de déFinir les standards de qualité sur la formation initiale "/>
    <s v="Texte"/>
    <s v="sif"/>
    <n v="0"/>
    <n v="1"/>
    <m/>
    <m/>
    <n v="1"/>
    <n v="0"/>
    <m/>
    <m/>
    <m/>
    <m/>
    <m/>
    <x v="2"/>
    <s v=""/>
    <s v=""/>
    <s v="SG"/>
    <s v="ETN"/>
    <x v="0"/>
    <x v="1"/>
    <x v="11"/>
    <s v="231- Une formation initiale de qualité (polyvalence, méthodes pédagogiques innovantes, éducation inclusive et gestion des classes multigrades) des formateurs et cohérente avec les curricula, est mise en place"/>
    <x v="104"/>
    <s v="23111-Mise en place d'une équipe technique nationale chargée de déFinir les standards de qualité sur la formation initiale "/>
  </r>
  <r>
    <s v="Recrutement d'une expertise internationale d'appui à l'équipe "/>
    <s v="assistance technique"/>
    <s v="h/j/ci"/>
    <n v="0"/>
    <m/>
    <n v="48"/>
    <m/>
    <n v="48"/>
    <n v="10.404797"/>
    <n v="0"/>
    <n v="0"/>
    <n v="499.43025599999999"/>
    <n v="0"/>
    <n v="499.43025599999999"/>
    <x v="1"/>
    <s v=""/>
    <s v="3. Dépenses de fonctionnement"/>
    <s v="C/ProDEG"/>
    <s v="ETN"/>
    <x v="0"/>
    <x v="1"/>
    <x v="11"/>
    <s v="231- Une formation initiale de qualité (polyvalence, méthodes pédagogiques innovantes, éducation inclusive et gestion des classes multigrades) des formateurs et cohérente avec les curricula, est mise en place"/>
    <x v="104"/>
    <s v="23112-Recrutement d'une expertise internationale d'appui à l'équipe "/>
  </r>
  <r>
    <s v="DéFinition des standards de qualité sur la formation initiale avec les ENI et l'ISSEG"/>
    <s v="Atelier"/>
    <s v="h/j/ap"/>
    <n v="0"/>
    <m/>
    <n v="75"/>
    <m/>
    <n v="75"/>
    <n v="0.255"/>
    <n v="0"/>
    <n v="0"/>
    <n v="19.125"/>
    <n v="0"/>
    <n v="19.125"/>
    <x v="1"/>
    <s v=""/>
    <s v="3. Dépenses de fonctionnement"/>
    <s v="ETN"/>
    <s v=" Consultant"/>
    <x v="0"/>
    <x v="1"/>
    <x v="11"/>
    <s v="231- Une formation initiale de qualité (polyvalence, méthodes pédagogiques innovantes, éducation inclusive et gestion des classes multigrades) des formateurs et cohérente avec les curricula, est mise en place"/>
    <x v="104"/>
    <s v="23113-DéFinition des standards de qualité sur la formation initiale avec les ENI et l'ISSEG"/>
  </r>
  <r>
    <s v="Partage et validation des standards de qualité sur la formation initiale avec les ENI et l'ISSEG"/>
    <s v="Atelier"/>
    <s v="h/j/a"/>
    <n v="0"/>
    <m/>
    <n v="50"/>
    <m/>
    <n v="50"/>
    <n v="0.3133333333333333"/>
    <n v="0"/>
    <n v="0"/>
    <n v="15.666666666666664"/>
    <n v="0"/>
    <n v="15.666666666666664"/>
    <x v="1"/>
    <s v=""/>
    <s v="3. Formation"/>
    <s v="ETN"/>
    <s v="IGE"/>
    <x v="0"/>
    <x v="1"/>
    <x v="11"/>
    <s v="231- Une formation initiale de qualité (polyvalence, méthodes pédagogiques innovantes, éducation inclusive et gestion des classes multigrades) des formateurs et cohérente avec les curricula, est mise en place"/>
    <x v="104"/>
    <s v="23114-Partage et validation des standards de qualité sur la formation initiale avec les ENI et l'ISSEG"/>
  </r>
  <r>
    <s v="Suivi de l'application des standards de qualité sur la formation initiale"/>
    <s v="Mission"/>
    <s v="h/j/a"/>
    <n v="0"/>
    <m/>
    <m/>
    <n v="54"/>
    <n v="54"/>
    <n v="0.3133333333333333"/>
    <n v="0"/>
    <n v="0"/>
    <n v="0"/>
    <n v="16.919999999999998"/>
    <n v="16.919999999999998"/>
    <x v="1"/>
    <s v=""/>
    <s v="3. Formation"/>
    <s v="ETN"/>
    <s v="IGE"/>
    <x v="0"/>
    <x v="1"/>
    <x v="11"/>
    <s v="231- Une formation initiale de qualité (polyvalence, méthodes pédagogiques innovantes, éducation inclusive et gestion des classes multigrades) des formateurs et cohérente avec les curricula, est mise en place"/>
    <x v="104"/>
    <s v="23116-Suivi de l'application des standards de qualité sur la formation initiale"/>
  </r>
  <r>
    <s v="Disponibilité de personnel qualifié dans les ENI"/>
    <s v="masse salariale"/>
    <s v="MS/ENI"/>
    <n v="0"/>
    <n v="0.94137365202581103"/>
    <n v="1.0918583057434701"/>
    <n v="1.2054357578161301"/>
    <n v="3.2386677155854109"/>
    <n v="9719.1358885830705"/>
    <n v="0"/>
    <n v="9149.3384459705703"/>
    <n v="10611.919244598866"/>
    <n v="11715.79393517208"/>
    <n v="31477.051625741515"/>
    <x v="2"/>
    <s v=""/>
    <s v="2. Personnel"/>
    <s v="ETN"/>
    <s v="IGE"/>
    <x v="0"/>
    <x v="1"/>
    <x v="11"/>
    <s v="231- Une formation initiale de qualité (polyvalence, méthodes pédagogiques innovantes, éducation inclusive et gestion des classes multigrades) des formateurs et cohérente avec les curricula, est mise en place"/>
    <x v="104"/>
    <s v="23117-Disponibilité de personnel qualifié dans les ENI"/>
  </r>
  <r>
    <s v="dotation des ENI en ressources suffisantes pour le fonctionnement"/>
    <s v="Subvention des ENI"/>
    <s v="sub/ENI"/>
    <n v="0"/>
    <n v="2"/>
    <n v="3"/>
    <n v="4"/>
    <n v="9"/>
    <n v="2253.8783451118597"/>
    <n v="0"/>
    <n v="4507.7566902237195"/>
    <n v="6761.6350353355792"/>
    <n v="9015.513380447439"/>
    <n v="20284.905106006736"/>
    <x v="6"/>
    <s v=""/>
    <s v="3. Dépenses de fonctionnement"/>
    <s v="ETN"/>
    <s v="IGE"/>
    <x v="0"/>
    <x v="1"/>
    <x v="11"/>
    <s v="231- Une formation initiale de qualité (polyvalence, méthodes pédagogiques innovantes, éducation inclusive et gestion des classes multigrades) des formateurs et cohérente avec les curricula, est mise en place"/>
    <x v="104"/>
    <s v="23118-dotation des ENI en ressources suffisantes pour le fonctionnement"/>
  </r>
  <r>
    <s v="Extension de la formation des éducateurs du préscolaire dans les ENI"/>
    <m/>
    <m/>
    <n v="0"/>
    <m/>
    <m/>
    <m/>
    <m/>
    <m/>
    <m/>
    <m/>
    <m/>
    <m/>
    <m/>
    <x v="0"/>
    <m/>
    <m/>
    <m/>
    <m/>
    <x v="0"/>
    <x v="1"/>
    <x v="11"/>
    <s v="231- Une formation initiale de qualité (polyvalence, méthodes pédagogiques innovantes, éducation inclusive et gestion des classes multigrades) des formateurs et cohérente avec les curricula, est mise en place"/>
    <x v="105"/>
    <s v="2312-Extension de la formation des éducateurs du préscolaire dans les ENI"/>
  </r>
  <r>
    <s v="Appui à la généralisation de la formation initiale des éducateurs du préscolaire dans les ENI"/>
    <s v="Divers"/>
    <s v="forfait/fi/educ"/>
    <m/>
    <n v="0.75"/>
    <n v="0.75"/>
    <n v="0.75"/>
    <n v="2.25"/>
    <n v="570"/>
    <n v="0"/>
    <n v="427.5"/>
    <n v="427.5"/>
    <n v="427.5"/>
    <n v="1282.5"/>
    <x v="4"/>
    <s v=""/>
    <s v="3. Dépenses de fonctionnement"/>
    <s v="DNEP"/>
    <s v="ENI"/>
    <x v="0"/>
    <x v="1"/>
    <x v="11"/>
    <s v="231- Une formation initiale de qualité (polyvalence, méthodes pédagogiques innovantes, éducation inclusive et gestion des classes multigrades) des formateurs et cohérente avec les curricula, est mise en place"/>
    <x v="105"/>
    <s v="23121-Appui à la généralisation de la formation initiale des éducateurs du préscolaire dans les ENI"/>
  </r>
  <r>
    <s v="Appui à la généralisation de la formation initiale des éducateurs du préscolaire dans les ENI"/>
    <s v="Divers"/>
    <s v="forfait/fi/educ"/>
    <n v="0"/>
    <n v="0.25"/>
    <n v="0.25"/>
    <n v="0.25"/>
    <n v="0.75"/>
    <n v="570"/>
    <n v="0"/>
    <n v="142.5"/>
    <n v="142.5"/>
    <n v="142.5"/>
    <n v="427.5"/>
    <x v="1"/>
    <s v=""/>
    <s v="3. Dépenses de fonctionnement"/>
    <s v="DNEP"/>
    <s v="ENI"/>
    <x v="0"/>
    <x v="1"/>
    <x v="11"/>
    <s v="231- Une formation initiale de qualité (polyvalence, méthodes pédagogiques innovantes, éducation inclusive et gestion des classes multigrades) des formateurs et cohérente avec les curricula, est mise en place"/>
    <x v="105"/>
    <s v="23121-Appui à la généralisation de la formation initiale des éducateurs du préscolaire dans les ENI"/>
  </r>
  <r>
    <s v="Renforcer la formation des enseignants dans la gestion des classes uniques"/>
    <m/>
    <m/>
    <n v="0"/>
    <m/>
    <m/>
    <m/>
    <m/>
    <m/>
    <m/>
    <m/>
    <m/>
    <m/>
    <m/>
    <x v="0"/>
    <m/>
    <m/>
    <m/>
    <m/>
    <x v="0"/>
    <x v="1"/>
    <x v="11"/>
    <s v="231- Une formation initiale de qualité (polyvalence, méthodes pédagogiques innovantes, éducation inclusive et gestion des classes multigrades) des formateurs et cohérente avec les curricula, est mise en place"/>
    <x v="106"/>
    <s v="2313-Renforcer la formation des enseignants dans la gestion des classes uniques"/>
  </r>
  <r>
    <s v="Elaboration d'un référentiel de compétences pour la gestion des classes uniques"/>
    <s v="atelier"/>
    <s v="h/j/ap"/>
    <n v="0"/>
    <m/>
    <m/>
    <m/>
    <n v="0"/>
    <n v="0.255"/>
    <n v="0"/>
    <n v="0"/>
    <n v="0"/>
    <n v="0"/>
    <n v="0"/>
    <x v="8"/>
    <s v=""/>
    <s v="3. Dépenses de fonctionnement"/>
    <s v="DNEF"/>
    <s v="DNEF"/>
    <x v="0"/>
    <x v="1"/>
    <x v="11"/>
    <s v="231- Une formation initiale de qualité (polyvalence, méthodes pédagogiques innovantes, éducation inclusive et gestion des classes multigrades) des formateurs et cohérente avec les curricula, est mise en place"/>
    <x v="106"/>
    <s v="23131-Elaboration d'un référentiel de compétences pour la gestion des classes uniques"/>
  </r>
  <r>
    <s v="Elaboration d'un guide de gestion des classes uniques"/>
    <s v="atelier"/>
    <s v="h/j/ap"/>
    <n v="0"/>
    <m/>
    <m/>
    <m/>
    <n v="0"/>
    <n v="0.255"/>
    <n v="0"/>
    <n v="0"/>
    <n v="0"/>
    <n v="0"/>
    <n v="0"/>
    <x v="8"/>
    <s v=""/>
    <s v="3. Dépenses de fonctionnement"/>
    <s v="DNEF"/>
    <s v="DNEF"/>
    <x v="0"/>
    <x v="1"/>
    <x v="11"/>
    <s v="231- Une formation initiale de qualité (polyvalence, méthodes pédagogiques innovantes, éducation inclusive et gestion des classes multigrades) des formateurs et cohérente avec les curricula, est mise en place"/>
    <x v="106"/>
    <s v="23132-Elaboration d'un guide de gestion des classes uniques"/>
  </r>
  <r>
    <s v="Prise en compte du reférentiel dans les programmes des ENI"/>
    <s v="atelier"/>
    <s v="h/j/ap"/>
    <n v="0"/>
    <m/>
    <m/>
    <m/>
    <n v="0"/>
    <n v="0.255"/>
    <n v="0"/>
    <n v="0"/>
    <n v="0"/>
    <n v="0"/>
    <n v="0"/>
    <x v="8"/>
    <s v=""/>
    <s v="3. Dépenses de fonctionnement"/>
    <s v="DNEF"/>
    <s v="ENI"/>
    <x v="0"/>
    <x v="1"/>
    <x v="11"/>
    <s v="231- Une formation initiale de qualité (polyvalence, méthodes pédagogiques innovantes, éducation inclusive et gestion des classes multigrades) des formateurs et cohérente avec les curricula, est mise en place"/>
    <x v="106"/>
    <s v="23133-Prise en compte du reférentiel dans les programmes des ENI"/>
  </r>
  <r>
    <s v="Acquisition de matériel et équipement pédagogique pour le fonctionnement des écoles primaire à classe unique"/>
    <s v="divers"/>
    <s v="EQ/ECU/MEP"/>
    <n v="0"/>
    <m/>
    <m/>
    <m/>
    <n v="0"/>
    <n v="52.8"/>
    <n v="0"/>
    <n v="0"/>
    <n v="0"/>
    <n v="0"/>
    <n v="0"/>
    <x v="8"/>
    <s v=""/>
    <s v="3. Manuels scolaires et matériels pédagogiques"/>
    <s v="DNEF"/>
    <s v="DNEF"/>
    <x v="0"/>
    <x v="1"/>
    <x v="11"/>
    <s v="231- Une formation initiale de qualité (polyvalence, méthodes pédagogiques innovantes, éducation inclusive et gestion des classes multigrades) des formateurs et cohérente avec les curricula, est mise en place"/>
    <x v="106"/>
    <s v="23134-Acquisition de matériel et équipement pédagogique pour le fonctionnement des écoles primaire à classe unique"/>
  </r>
  <r>
    <s v=" Les cercles de qualité sont créés et sont opérationnels "/>
    <m/>
    <m/>
    <n v="0"/>
    <m/>
    <m/>
    <m/>
    <m/>
    <m/>
    <m/>
    <m/>
    <m/>
    <m/>
    <m/>
    <x v="0"/>
    <m/>
    <m/>
    <m/>
    <m/>
    <x v="0"/>
    <x v="1"/>
    <x v="11"/>
    <s v="232- Les cercles de qualité sont créés et sont opérationnels "/>
    <x v="107"/>
    <s v="232- Les cercles de qualité sont créés et sont opérationnels "/>
  </r>
  <r>
    <s v="Institutionnalisation des cercles de qualité aux différents niveaux (DSEE,DPE/DCE/IRE)"/>
    <m/>
    <m/>
    <n v="0"/>
    <m/>
    <m/>
    <m/>
    <m/>
    <m/>
    <m/>
    <m/>
    <m/>
    <m/>
    <m/>
    <x v="0"/>
    <m/>
    <m/>
    <m/>
    <m/>
    <x v="0"/>
    <x v="1"/>
    <x v="11"/>
    <s v="232- Les cercles de qualité sont créés et sont opérationnels "/>
    <x v="108"/>
    <s v="2321-Institutionnalisation des cercles de qualité aux différents niveaux (DSEE,DPE/DCE/IRE)"/>
  </r>
  <r>
    <s v="Textes instituant les cercles de qualité avec le préscolaire, l'enseignement fondamental et le secondaire"/>
    <s v="Texte"/>
    <s v="sif"/>
    <n v="0"/>
    <n v="1"/>
    <m/>
    <m/>
    <n v="1"/>
    <n v="0"/>
    <m/>
    <m/>
    <m/>
    <m/>
    <m/>
    <x v="2"/>
    <s v=""/>
    <s v=""/>
    <s v="SG"/>
    <s v="IGE"/>
    <x v="0"/>
    <x v="1"/>
    <x v="11"/>
    <s v="232- Les cercles de qualité sont créés et sont opérationnels "/>
    <x v="108"/>
    <s v="23211-Textes instituant les cercles de qualité avec le préscolaire, l'enseignement fondamental et le secondaire"/>
  </r>
  <r>
    <s v="Formation d'un noyau pour la formation des cercles de qualité à la démarche qualité"/>
    <s v="Formation"/>
    <s v="h/j/f"/>
    <n v="0"/>
    <m/>
    <n v="250"/>
    <m/>
    <n v="250"/>
    <n v="0.67666666666666664"/>
    <n v="0"/>
    <n v="0"/>
    <n v="169.16666666666666"/>
    <n v="0"/>
    <n v="169.16666666666666"/>
    <x v="1"/>
    <s v=""/>
    <s v="3. Formation"/>
    <s v="ETN"/>
    <s v="IRE,DPE/DCE, DSEE"/>
    <x v="0"/>
    <x v="1"/>
    <x v="11"/>
    <s v="232- Les cercles de qualité sont créés et sont opérationnels "/>
    <x v="108"/>
    <s v="23212-Formation d'un noyau pour la formation des cercles de qualité à la démarche qualité"/>
  </r>
  <r>
    <s v="Rencontre périodique des cercles de qualité"/>
    <s v="Rencontres"/>
    <s v="h/j/a"/>
    <n v="0"/>
    <m/>
    <m/>
    <n v="384"/>
    <n v="384"/>
    <n v="0.3133333333333333"/>
    <n v="0"/>
    <n v="0"/>
    <n v="0"/>
    <n v="120.32"/>
    <n v="120.32"/>
    <x v="1"/>
    <s v=""/>
    <s v="3. Formation"/>
    <s v="ETN"/>
    <s v="DPE/DCE,DSEE,DE"/>
    <x v="0"/>
    <x v="1"/>
    <x v="11"/>
    <s v="232- Les cercles de qualité sont créés et sont opérationnels "/>
    <x v="108"/>
    <s v="23213-Rencontre périodique des cercles de qualité"/>
  </r>
  <r>
    <s v="Capitalisation des pratiques innovantes avec le préscolaire, l'enseignement fondamental et le secondaire"/>
    <s v="atelier de partage"/>
    <s v="h/j/a"/>
    <n v="0"/>
    <m/>
    <m/>
    <n v="160"/>
    <n v="160"/>
    <n v="0.3133333333333333"/>
    <n v="0"/>
    <n v="0"/>
    <n v="0"/>
    <n v="50.133333333333326"/>
    <n v="50.133333333333326"/>
    <x v="1"/>
    <s v=""/>
    <s v="3. Formation"/>
    <s v="ETN"/>
    <s v="IGE"/>
    <x v="0"/>
    <x v="1"/>
    <x v="11"/>
    <s v="232- Les cercles de qualité sont créés et sont opérationnels "/>
    <x v="108"/>
    <s v="23214-Capitalisation des pratiques innovantes avec le préscolaire, l'enseignement fondamental et le secondaire"/>
  </r>
  <r>
    <s v=" Une formation continue de qualité, adaptée aux différents profils des enseignants/éducateurs (ceux qui viennent des établissements de formation, ceux qui ont passé le concours à la fonction publique et les autres) et cohérente avec la formation initiale est mise en place"/>
    <m/>
    <m/>
    <n v="0"/>
    <m/>
    <m/>
    <m/>
    <m/>
    <m/>
    <m/>
    <m/>
    <m/>
    <m/>
    <m/>
    <x v="0"/>
    <m/>
    <m/>
    <m/>
    <m/>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09"/>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r>
  <r>
    <s v="Mise en place des standards de qualité pour la formation continue"/>
    <m/>
    <m/>
    <n v="0"/>
    <m/>
    <m/>
    <m/>
    <m/>
    <m/>
    <m/>
    <m/>
    <m/>
    <m/>
    <m/>
    <x v="0"/>
    <m/>
    <m/>
    <m/>
    <m/>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0"/>
    <s v="2331-Mise en place des standards de qualité pour la formation continue"/>
  </r>
  <r>
    <s v="Mise en place d'une équipe technique nationale chargée de déFinir les standards de qualité sur la formation continue (DNPSCE, DNEF, DNESGT, IGE)"/>
    <s v="texte"/>
    <s v="sif"/>
    <n v="0"/>
    <n v="1"/>
    <m/>
    <m/>
    <n v="1"/>
    <n v="0"/>
    <m/>
    <m/>
    <m/>
    <m/>
    <m/>
    <x v="2"/>
    <s v=""/>
    <s v=""/>
    <s v="SG"/>
    <s v="ETN"/>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0"/>
    <s v="23311-Mise en place d'une équipe technique nationale chargée de déFinir les standards de qualité sur la formation continue (DNPSCE, DNEF, DNESGT, IGE)"/>
  </r>
  <r>
    <s v="Recrutement d'une expertise internationale d'appui à l’équipe (DNPSCE, DNEF, DNESGT, IGE) "/>
    <s v="Assistance technique"/>
    <s v="h/j/ci"/>
    <n v="0"/>
    <n v="60"/>
    <n v="10"/>
    <m/>
    <n v="70"/>
    <n v="10.404797"/>
    <n v="0"/>
    <n v="624.28782000000001"/>
    <n v="104.04797000000001"/>
    <n v="0"/>
    <n v="728.33578999999997"/>
    <x v="1"/>
    <s v=""/>
    <s v="3. Dépenses de fonctionnement"/>
    <s v="ETN"/>
    <s v="C/ProDEG"/>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0"/>
    <s v="23312-Recrutement d'une expertise internationale d'appui à l’équipe (DNPSCE, DNEF, DNESGT, IGE) "/>
  </r>
  <r>
    <s v="DéFinition des standards de qualité sur la formation continue (DNPSCE, DNEF, DNESGT, IGE)"/>
    <s v="atelier"/>
    <s v="h/j/ap"/>
    <n v="0"/>
    <n v="50"/>
    <m/>
    <m/>
    <n v="50"/>
    <n v="0.255"/>
    <n v="0"/>
    <n v="12.75"/>
    <n v="0"/>
    <n v="0"/>
    <n v="12.75"/>
    <x v="1"/>
    <s v=""/>
    <s v="3. Dépenses de fonctionnement"/>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0"/>
    <s v="23313-DéFinition des standards de qualité sur la formation continue (DNPSCE, DNEF, DNESGT, IGE)"/>
  </r>
  <r>
    <s v="Partage et validation des standards de qualité sur la formation continue (DNPSCE, DNEF, DNESGT, IGE)"/>
    <s v="atelier"/>
    <s v="h/j/a"/>
    <n v="0"/>
    <n v="50"/>
    <m/>
    <m/>
    <n v="50"/>
    <n v="0.3133333333333333"/>
    <n v="0"/>
    <n v="15.666666666666664"/>
    <n v="0"/>
    <n v="0"/>
    <n v="15.666666666666664"/>
    <x v="1"/>
    <s v=""/>
    <s v="3. Formation"/>
    <s v="ETN"/>
    <s v="IG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0"/>
    <s v="23314-Partage et validation des standards de qualité sur la formation continue (DNPSCE, DNEF, DNESGT, IGE)"/>
  </r>
  <r>
    <s v="Mise en place d'une Ingénierie de la formation continue"/>
    <m/>
    <m/>
    <n v="0"/>
    <m/>
    <m/>
    <m/>
    <m/>
    <m/>
    <m/>
    <m/>
    <m/>
    <m/>
    <m/>
    <x v="0"/>
    <m/>
    <m/>
    <m/>
    <m/>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Mise en place d'une Ingénierie de la formation continue"/>
  </r>
  <r>
    <s v="Recrutement d'une expertise internationale (Compris dans l'activité 23212)"/>
    <s v="pm"/>
    <s v="sif"/>
    <n v="0"/>
    <n v="1"/>
    <m/>
    <m/>
    <n v="1"/>
    <n v="0"/>
    <m/>
    <m/>
    <m/>
    <m/>
    <m/>
    <x v="1"/>
    <s v=""/>
    <s v=""/>
    <s v="ETN"/>
    <s v="C/ProDEG"/>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Recrutement d'une expertise internationale (Compris dans l'activité 23212)"/>
  </r>
  <r>
    <s v="Identification d'un dispositif d'ingénierie de la formation en adéquation avec la stratégie de formation continue des enseignants (Voir activité 23141)"/>
    <s v="pm"/>
    <s v="sif"/>
    <n v="0"/>
    <n v="1"/>
    <m/>
    <m/>
    <n v="1"/>
    <n v="0"/>
    <m/>
    <m/>
    <m/>
    <m/>
    <m/>
    <x v="2"/>
    <s v=""/>
    <s v=""/>
    <s v="ETN"/>
    <s v="Consultant"/>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2-Identification d'un dispositif d'ingénierie de la formation en adéquation avec la stratégie de formation continue des enseignants (Voir activité 23141)"/>
  </r>
  <r>
    <s v="Développement des outils pour l'opérationnalisation du dispositif"/>
    <s v="Atelier"/>
    <s v="h/j/ap"/>
    <n v="0"/>
    <n v="100"/>
    <m/>
    <m/>
    <n v="100"/>
    <n v="0.255"/>
    <n v="0"/>
    <n v="25.5"/>
    <n v="0"/>
    <n v="0"/>
    <n v="25.5"/>
    <x v="1"/>
    <s v=""/>
    <s v="3. Dépenses de fonctionnement"/>
    <s v="ETN"/>
    <s v="Consultant"/>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3-Développement des outils pour l'opérationnalisation du dispositif"/>
  </r>
  <r>
    <s v="validation et diffusion des outils"/>
    <s v="Atelier"/>
    <s v="h/j/a"/>
    <n v="0"/>
    <n v="32"/>
    <m/>
    <m/>
    <n v="32"/>
    <n v="0.3133333333333333"/>
    <n v="0"/>
    <n v="10.026666666666666"/>
    <n v="0"/>
    <n v="0"/>
    <n v="10.026666666666666"/>
    <x v="1"/>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4-validation et diffusion des outils"/>
  </r>
  <r>
    <s v="Identification des besoins de formation aux différents niveaux"/>
    <s v="travaux administratif"/>
    <s v="sif"/>
    <n v="0"/>
    <m/>
    <n v="1"/>
    <m/>
    <n v="1"/>
    <n v="0"/>
    <m/>
    <m/>
    <m/>
    <m/>
    <m/>
    <x v="2"/>
    <s v=""/>
    <s v=""/>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5-Identification des besoins de formation aux différents niveaux"/>
  </r>
  <r>
    <s v="Elaboration d'un plan de formation continue sur 3 ans (à actualiser annuellement)"/>
    <s v="Atelier"/>
    <s v="h/j/ap"/>
    <n v="0"/>
    <m/>
    <n v="100"/>
    <m/>
    <n v="100"/>
    <n v="0.255"/>
    <n v="0"/>
    <n v="0"/>
    <n v="25.5"/>
    <n v="0"/>
    <n v="25.5"/>
    <x v="1"/>
    <s v=""/>
    <s v="3. Dépenses de fonctionnement"/>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6-Elaboration d'un plan de formation continue sur 3 ans (à actualiser annuellement)"/>
  </r>
  <r>
    <s v="Organisation des sessions de formation continue à l'intention des éducateurs du préscolaire Y compris du communautaire"/>
    <s v="formation "/>
    <s v="h/f"/>
    <n v="0"/>
    <n v="413.3184"/>
    <n v="211.60320000000002"/>
    <n v="217.2064"/>
    <n v="842.12800000000004"/>
    <n v="1.5"/>
    <n v="0"/>
    <n v="619.97759999999994"/>
    <n v="317.40480000000002"/>
    <n v="325.80959999999999"/>
    <n v="1263.192"/>
    <x v="1"/>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7-Organisation des sessions de formation continue à l'intention des éducateurs du préscolaire Y compris du communautaire"/>
  </r>
  <r>
    <s v="Organisation des sessions de formation continue à l'intention des éducateurs du préscolaire Y compris du communautaire"/>
    <s v="formation "/>
    <s v="h/f"/>
    <n v="0"/>
    <n v="400.77839999999998"/>
    <n v="205.1832"/>
    <n v="210.6164"/>
    <n v="816.57799999999997"/>
    <n v="1.5"/>
    <n v="0"/>
    <n v="601.16759999999999"/>
    <n v="307.77480000000003"/>
    <n v="315.9246"/>
    <n v="1224.867"/>
    <x v="13"/>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7-Organisation des sessions de formation continue à l'intention des éducateurs du préscolaire Y compris du communautaire"/>
  </r>
  <r>
    <s v="Organisation des sessions de formation continue à l'intention des éducateurs du préscolaire Y compris du communautaire"/>
    <s v="formation "/>
    <s v="h/f"/>
    <n v="0"/>
    <n v="51.6648"/>
    <n v="26.450400000000002"/>
    <n v="27.1508"/>
    <n v="105.26600000000001"/>
    <n v="1.5"/>
    <n v="0"/>
    <n v="77.497199999999992"/>
    <n v="39.675600000000003"/>
    <n v="40.726199999999999"/>
    <n v="157.899"/>
    <x v="5"/>
    <s v="MENA_Programme 2. Développement du préscolaire"/>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7-Organisation des sessions de formation continue à l'intention des éducateurs du préscolaire Y compris du communautaire"/>
  </r>
  <r>
    <s v="Organisation des sessions de formation continue à l'intention des éducateurs du préscolaire Y compris du communautaire"/>
    <s v="formation "/>
    <s v="h/f"/>
    <n v="0"/>
    <n v="388.23839999999996"/>
    <n v="198.76319999999998"/>
    <n v="204.0264"/>
    <n v="791.02799999999991"/>
    <n v="1.5"/>
    <n v="0"/>
    <n v="582.35759999999993"/>
    <n v="298.14479999999998"/>
    <n v="306.03960000000001"/>
    <n v="1186.5419999999999"/>
    <x v="1"/>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7-Organisation des sessions de formation continue à l'intention des éducateurs du préscolaire Y compris du communautaire"/>
  </r>
  <r>
    <s v="Organisation des sessions de formation continue à l'intention des enseignants du primaire"/>
    <s v="formation "/>
    <s v="h/f"/>
    <n v="0"/>
    <n v="1141.5"/>
    <n v="599"/>
    <n v="6260"/>
    <n v="8000.5"/>
    <n v="1.5"/>
    <n v="0"/>
    <n v="1712.25"/>
    <n v="898.5"/>
    <n v="9390"/>
    <n v="12000.75"/>
    <x v="6"/>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8-Organisation des sessions de formation continue à l'intention des enseignants du primaire"/>
  </r>
  <r>
    <s v="Organisation des sessions de formation continue à l'intention des enseignants du primaire"/>
    <s v="formation "/>
    <s v="h/f"/>
    <n v="0"/>
    <n v="6057.9404999999997"/>
    <n v="6357.7859999999991"/>
    <n v="6644.3639999999996"/>
    <n v="19060.090499999998"/>
    <n v="1.5"/>
    <n v="0"/>
    <n v="9086.9107499999991"/>
    <n v="9536.6789999999983"/>
    <n v="9966.5459999999985"/>
    <n v="28590.135749999998"/>
    <x v="13"/>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8-Organisation des sessions de formation continue à l'intention des enseignants du primaire"/>
  </r>
  <r>
    <s v="Organisation des sessions de formation continue à l'intention des enseignants du primaire"/>
    <s v="formation "/>
    <s v="h/f"/>
    <n v="0"/>
    <n v="3028.3995000000004"/>
    <n v="3178.2940000000003"/>
    <n v="3321.5560000000005"/>
    <n v="9528.2495000000017"/>
    <n v="1.5"/>
    <n v="0"/>
    <n v="4542.5992500000011"/>
    <n v="4767.4410000000007"/>
    <n v="4982.3340000000007"/>
    <n v="14292.374250000003"/>
    <x v="1"/>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8-Organisation des sessions de formation continue à l'intention des enseignants du primaire"/>
  </r>
  <r>
    <s v="Organisation des sessions de formation continue à l'intention des enseignants du primaire"/>
    <s v="formation "/>
    <s v="h/f"/>
    <m/>
    <n v="458.88299999999992"/>
    <n v="481.59599999999989"/>
    <n v="503.30399999999992"/>
    <n v="1443.7829999999997"/>
    <n v="1.5"/>
    <n v="0"/>
    <n v="688.32449999999994"/>
    <n v="722.39399999999978"/>
    <n v="754.9559999999999"/>
    <n v="2165.6744999999996"/>
    <x v="4"/>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8-Organisation des sessions de formation continue à l'intention des enseignants du primaire"/>
  </r>
  <r>
    <s v="Organisation des sessions de formation continue à l'intention des enseignants du collège"/>
    <s v="formation "/>
    <s v="h/f"/>
    <n v="0"/>
    <n v="500"/>
    <n v="500"/>
    <n v="3500"/>
    <n v="4500"/>
    <n v="1.5"/>
    <n v="0"/>
    <n v="750"/>
    <n v="750"/>
    <n v="5250"/>
    <n v="6750"/>
    <x v="6"/>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9-Organisation des sessions de formation continue à l'intention des enseignants du collège"/>
  </r>
  <r>
    <s v="Organisation des sessions de formation continue à l'intention des enseignants du collège"/>
    <s v="formation "/>
    <s v="h/f"/>
    <n v="0"/>
    <n v="2882.3112466551606"/>
    <n v="3228.8238737649549"/>
    <n v="3505.4598587078754"/>
    <n v="9616.5949791279909"/>
    <n v="1.5"/>
    <n v="0"/>
    <n v="4323.4668699827407"/>
    <n v="4843.2358106474321"/>
    <n v="5258.1897880618126"/>
    <n v="14424.892468691985"/>
    <x v="13"/>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9-Organisation des sessions de formation continue à l'intention des enseignants du collège"/>
  </r>
  <r>
    <s v="Organisation des sessions de formation continue à l'intention des enseignants du lycée"/>
    <s v="formation "/>
    <s v="h/f"/>
    <n v="0"/>
    <n v="58"/>
    <n v="58"/>
    <n v="1287.9000000000001"/>
    <n v="1403.9"/>
    <n v="1.5"/>
    <n v="0"/>
    <n v="87"/>
    <n v="87"/>
    <n v="1931.8500000000001"/>
    <n v="2105.8500000000004"/>
    <x v="6"/>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0-Organisation des sessions de formation continue à l'intention des enseignants du lycée"/>
  </r>
  <r>
    <s v="Organisation des sessions de formation continue à l'intention des enseignants du lycée"/>
    <s v="formation "/>
    <s v="h/f"/>
    <n v="0"/>
    <n v="928"/>
    <n v="1052.8"/>
    <n v="1144.8"/>
    <n v="3125.6"/>
    <n v="1.5"/>
    <n v="0"/>
    <n v="1392"/>
    <n v="1579.1999999999998"/>
    <n v="1717.1999999999998"/>
    <n v="4688.3999999999996"/>
    <x v="13"/>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0-Organisation des sessions de formation continue à l'intention des enseignants du lycée"/>
  </r>
  <r>
    <s v="Organisation de sessions de formation à l'intention des formateurs des centres NAFA"/>
    <s v="formation "/>
    <s v="h/f"/>
    <n v="0"/>
    <n v="50"/>
    <n v="100"/>
    <n v="600"/>
    <n v="750"/>
    <n v="1.5"/>
    <n v="0"/>
    <n v="75"/>
    <n v="150"/>
    <n v="900"/>
    <n v="1125"/>
    <x v="6"/>
    <s v=""/>
    <s v="3. Formation"/>
    <s v="DNAENF"/>
    <s v="DNAENF"/>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1-Organisation de sessions de formation à l'intention des formateurs des centres NAFA"/>
  </r>
  <r>
    <s v="Supervision pédagogique des enseignants formés"/>
    <s v="suivi"/>
    <s v="h/j/m"/>
    <n v="0"/>
    <n v="128.06400000000002"/>
    <n v="128.06400000000002"/>
    <n v="128.06400000000002"/>
    <n v="384.19200000000006"/>
    <n v="0.8177777777777776"/>
    <n v="0"/>
    <n v="104.72789333333333"/>
    <n v="104.72789333333333"/>
    <n v="104.72789333333333"/>
    <n v="314.18367999999998"/>
    <x v="1"/>
    <s v=""/>
    <s v="3. Dépenses de fonctionnement"/>
    <s v="ETN"/>
    <s v="SNCE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2-Supervision pédagogique des enseignants formés"/>
  </r>
  <r>
    <s v="Supervision pédagogique des enseignants formés"/>
    <s v="suivi"/>
    <s v="h/j/m"/>
    <n v="0"/>
    <n v="325.82400000000001"/>
    <n v="325.82400000000001"/>
    <n v="325.82400000000001"/>
    <n v="977.47199999999998"/>
    <n v="0.8177777777777776"/>
    <n v="0"/>
    <n v="266.45162666666664"/>
    <n v="266.45162666666664"/>
    <n v="266.45162666666664"/>
    <n v="799.35487999999987"/>
    <x v="13"/>
    <s v=""/>
    <s v="3. Dépenses de fonctionnement"/>
    <s v="ETN"/>
    <s v="SNCE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2-Supervision pédagogique des enseignants formés"/>
  </r>
  <r>
    <s v="Supervision pédagogique des enseignants formés"/>
    <s v="suivi"/>
    <s v="h/j/m"/>
    <n v="0"/>
    <n v="28.544"/>
    <n v="28.544"/>
    <n v="28.544"/>
    <n v="85.632000000000005"/>
    <n v="0.8177777777777776"/>
    <n v="0"/>
    <n v="23.342648888888885"/>
    <n v="23.342648888888885"/>
    <n v="23.342648888888885"/>
    <n v="70.027946666666651"/>
    <x v="1"/>
    <s v=""/>
    <s v="3. Dépenses de fonctionnement"/>
    <s v="ETN"/>
    <s v="SNCE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2-Supervision pédagogique des enseignants formés"/>
  </r>
  <r>
    <s v="Supervision pédagogique des enseignants formés"/>
    <s v="suivi"/>
    <s v="h/j/m"/>
    <n v="0"/>
    <m/>
    <m/>
    <m/>
    <n v="0"/>
    <n v="0.8177777777777776"/>
    <n v="0"/>
    <n v="0"/>
    <n v="0"/>
    <n v="0"/>
    <n v="0"/>
    <x v="8"/>
    <s v=""/>
    <s v="3. Dépenses de fonctionnement"/>
    <s v="ETN"/>
    <s v="SNCE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2-Supervision pédagogique des enseignants formés"/>
  </r>
  <r>
    <s v="Collecte des informations sur le suivi des actions de formation continue "/>
    <s v="Mission"/>
    <s v="h/j/m"/>
    <n v="0"/>
    <m/>
    <n v="192"/>
    <n v="320"/>
    <n v="512"/>
    <n v="0.8177777777777776"/>
    <n v="0"/>
    <n v="0"/>
    <n v="157.01333333333329"/>
    <n v="261.68888888888881"/>
    <n v="418.70222222222208"/>
    <x v="1"/>
    <s v=""/>
    <s v="3. Dépenses de fonctionnement"/>
    <s v="ETN"/>
    <s v="SNCE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3-Collecte des informations sur le suivi des actions de formation continue "/>
  </r>
  <r>
    <s v="Traitement et analyse des informations sur le dispositif de formation continue"/>
    <s v="Atelier"/>
    <s v="h/j/ap"/>
    <n v="0"/>
    <m/>
    <m/>
    <n v="105"/>
    <n v="105"/>
    <n v="0.255"/>
    <n v="0"/>
    <n v="0"/>
    <n v="0"/>
    <n v="26.775000000000002"/>
    <n v="26.775000000000002"/>
    <x v="1"/>
    <s v=""/>
    <s v="3. Dépenses de fonctionnement"/>
    <s v="ETN"/>
    <s v="SNCE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4-Traitement et analyse des informations sur le dispositif de formation continue"/>
  </r>
  <r>
    <s v="Rédaction et validation du rapport d'évaluation"/>
    <s v="Atelier"/>
    <s v="h/j/ap"/>
    <n v="0"/>
    <m/>
    <m/>
    <n v="40"/>
    <n v="40"/>
    <n v="0.255"/>
    <n v="0"/>
    <n v="0"/>
    <n v="0"/>
    <n v="10.199999999999999"/>
    <n v="10.199999999999999"/>
    <x v="1"/>
    <s v=""/>
    <s v="3. Dépenses de fonctionnement"/>
    <s v="ETN"/>
    <s v="SNCE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1"/>
    <s v="233215-Rédaction et validation du rapport d'évaluation"/>
  </r>
  <r>
    <s v="Redynamisation des centres de formation continue"/>
    <m/>
    <m/>
    <n v="0"/>
    <m/>
    <m/>
    <m/>
    <m/>
    <m/>
    <m/>
    <m/>
    <m/>
    <m/>
    <m/>
    <x v="0"/>
    <m/>
    <m/>
    <m/>
    <m/>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2"/>
    <s v="2333-Redynamisation des centres de formation continue"/>
  </r>
  <r>
    <s v="Etude de faisabilité pour la redynamisation des centres régionaux de formation continue"/>
    <s v="Assistance technique"/>
    <s v="h/j/ci"/>
    <n v="0"/>
    <m/>
    <n v="60"/>
    <n v="30"/>
    <n v="90"/>
    <n v="10.404797"/>
    <n v="0"/>
    <n v="0"/>
    <n v="624.28782000000001"/>
    <n v="312.14391000000001"/>
    <n v="936.43173000000002"/>
    <x v="1"/>
    <s v=""/>
    <s v="3. Dépenses de fonctionnement"/>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2"/>
    <s v="23331-Etude de faisabilité pour la redynamisation des centres régionaux de formation continue"/>
  </r>
  <r>
    <s v="Restitution et validation des résultats de l'étude"/>
    <s v="Assistance technique"/>
    <s v="h/j/ci"/>
    <n v="0"/>
    <m/>
    <n v="60"/>
    <m/>
    <n v="60"/>
    <n v="10.404797"/>
    <n v="0"/>
    <n v="0"/>
    <n v="624.28782000000001"/>
    <n v="0"/>
    <n v="624.28782000000001"/>
    <x v="1"/>
    <s v=""/>
    <s v="3. Dépenses de fonctionnement"/>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2"/>
    <s v="23332-Restitution et validation des résultats de l'étude"/>
  </r>
  <r>
    <s v="Elaboration d'un plan d'actions pour la redynamisation des centres régionaux"/>
    <s v="pm"/>
    <s v="sif"/>
    <n v="0"/>
    <m/>
    <m/>
    <n v="1"/>
    <n v="1"/>
    <n v="0"/>
    <m/>
    <m/>
    <m/>
    <m/>
    <m/>
    <x v="2"/>
    <s v=""/>
    <s v=""/>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2"/>
    <s v="23333-Elaboration d'un plan d'actions pour la redynamisation des centres régionaux"/>
  </r>
  <r>
    <s v="Validation du plan d'actions pour la redynamisation des centres régionaux"/>
    <s v="atelier"/>
    <s v="h/j/a"/>
    <n v="0"/>
    <m/>
    <m/>
    <n v="50"/>
    <n v="50"/>
    <n v="0.3133333333333333"/>
    <n v="0"/>
    <n v="0"/>
    <n v="0"/>
    <n v="15.666666666666664"/>
    <n v="15.666666666666664"/>
    <x v="1"/>
    <s v=""/>
    <s v="3. Formation"/>
    <s v="ETN"/>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2"/>
    <s v="23334-Validation du plan d'actions pour la redynamisation des centres régionaux"/>
  </r>
  <r>
    <s v="Relance des journées d’animation pédagogiques"/>
    <m/>
    <m/>
    <n v="0"/>
    <m/>
    <m/>
    <m/>
    <m/>
    <m/>
    <m/>
    <m/>
    <m/>
    <m/>
    <m/>
    <x v="0"/>
    <m/>
    <m/>
    <m/>
    <m/>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3"/>
    <s v="2334-Relance des journées d’animation pédagogiques"/>
  </r>
  <r>
    <s v="Institutionnalisation des journées d'animation pédagogique"/>
    <s v="Texte"/>
    <s v="sif"/>
    <n v="0"/>
    <n v="1"/>
    <m/>
    <m/>
    <n v="1"/>
    <n v="0"/>
    <m/>
    <m/>
    <m/>
    <m/>
    <m/>
    <x v="2"/>
    <s v=""/>
    <s v=""/>
    <s v="SG"/>
    <s v="DFC"/>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3"/>
    <s v="23341-Institutionnalisation des journées d'animation pédagogique"/>
  </r>
  <r>
    <s v="Identification du contenu des journées d'animation pédagogique"/>
    <s v="Atelier"/>
    <s v="h/j/ap"/>
    <n v="0"/>
    <n v="50"/>
    <m/>
    <m/>
    <n v="50"/>
    <n v="0.255"/>
    <n v="0"/>
    <n v="12.75"/>
    <n v="0"/>
    <n v="0"/>
    <n v="12.75"/>
    <x v="1"/>
    <s v=""/>
    <s v="3. Dépenses de fonctionnement"/>
    <s v="ETN"/>
    <s v=" IRE, DPE/DCE, DSEE, D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3"/>
    <s v="23342-Identification du contenu des journées d'animation pédagogique"/>
  </r>
  <r>
    <s v="Organisation des journées d'animation pédagogique dans chaque DPE/DCE (voir subvention)"/>
    <s v="subvention annuelle"/>
    <s v="sif"/>
    <n v="0"/>
    <m/>
    <n v="38"/>
    <n v="38"/>
    <n v="76"/>
    <n v="0"/>
    <m/>
    <m/>
    <m/>
    <m/>
    <m/>
    <x v="2"/>
    <s v=""/>
    <s v=""/>
    <s v="ETN"/>
    <s v=" IRE, DPE/DCE, DSEE, D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3"/>
    <s v="23343-Organisation des journées d'animation pédagogique dans chaque DPE/DCE (voir subvention)"/>
  </r>
  <r>
    <s v="Suivi des journées d'animation pédagogique"/>
    <s v="Mission"/>
    <s v="h/j/m"/>
    <n v="0"/>
    <m/>
    <n v="192"/>
    <n v="192"/>
    <n v="384"/>
    <n v="0.8177777777777776"/>
    <n v="0"/>
    <n v="0"/>
    <n v="157.01333333333329"/>
    <n v="157.01333333333329"/>
    <n v="314.02666666666659"/>
    <x v="1"/>
    <s v=""/>
    <s v="3. Dépenses de fonctionnement"/>
    <s v="ETN"/>
    <s v="DNESGT"/>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3"/>
    <s v="23344-Suivi des journées d'animation pédagogique"/>
  </r>
  <r>
    <s v="Suivi pédagogique par le directeur d’école et les Chef d’Unité Pédagogique"/>
    <m/>
    <m/>
    <n v="0"/>
    <m/>
    <m/>
    <m/>
    <m/>
    <m/>
    <m/>
    <m/>
    <m/>
    <m/>
    <m/>
    <x v="0"/>
    <m/>
    <m/>
    <m/>
    <m/>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4"/>
    <s v="2335-Suivi pédagogique par le directeur d’école et les Chef d’Unité Pédagogique"/>
  </r>
  <r>
    <s v="Elaboration et validation des outils standardisés de suivi pédagogique"/>
    <s v="Atelier"/>
    <s v="h/j/ap"/>
    <n v="0"/>
    <n v="100"/>
    <m/>
    <m/>
    <n v="100"/>
    <n v="0.255"/>
    <n v="0"/>
    <n v="25.5"/>
    <n v="0"/>
    <n v="0"/>
    <n v="25.5"/>
    <x v="1"/>
    <s v=""/>
    <s v="3. Dépenses de fonctionnement"/>
    <s v="ETN"/>
    <s v="IRE, DPE/DCE, DSEE, D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4"/>
    <s v="23351-Elaboration et validation des outils standardisés de suivi pédagogique"/>
  </r>
  <r>
    <s v="Elaboration d'un manuel de suivi pédagogique"/>
    <s v="Atelier"/>
    <s v="h/j/ap"/>
    <n v="0"/>
    <n v="50"/>
    <m/>
    <m/>
    <n v="50"/>
    <n v="0.255"/>
    <n v="0"/>
    <n v="12.75"/>
    <n v="0"/>
    <n v="0"/>
    <n v="12.75"/>
    <x v="1"/>
    <s v=""/>
    <s v="3. Dépenses de fonctionnement"/>
    <s v="ETN"/>
    <s v="IRE, DPE/DCE, DSEE, D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4"/>
    <s v="23352-Elaboration d'un manuel de suivi pédagogique"/>
  </r>
  <r>
    <s v="Validation des outils et du manuel"/>
    <s v="atelier"/>
    <s v="h/j/a"/>
    <n v="0"/>
    <n v="50"/>
    <m/>
    <m/>
    <n v="50"/>
    <n v="0.3133333333333333"/>
    <n v="0"/>
    <n v="15.666666666666664"/>
    <n v="0"/>
    <n v="0"/>
    <n v="15.666666666666664"/>
    <x v="1"/>
    <s v=""/>
    <s v="3. Formation"/>
    <s v="ETN"/>
    <s v="IRE, DPE/DCE, DSEE, D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4"/>
    <s v="23353-Validation des outils et du manuel"/>
  </r>
  <r>
    <s v="Diffusion des outils et du manuel aux directeurs d'école et aux chefs de groupe pédagogique "/>
    <s v="Impression"/>
    <s v="iMP"/>
    <n v="0"/>
    <m/>
    <n v="22050.600000000002"/>
    <m/>
    <n v="22050.600000000002"/>
    <n v="7.4999999999999997E-3"/>
    <n v="0"/>
    <n v="0"/>
    <n v="165.37950000000001"/>
    <n v="0"/>
    <n v="165.37950000000001"/>
    <x v="1"/>
    <s v=""/>
    <s v="3. Dépenses de fonctionnement"/>
    <s v="ETN"/>
    <s v="IRE, DPE/DCE, DSEE, D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4"/>
    <s v="23354-Diffusion des outils et du manuel aux directeurs d'école et aux chefs de groupe pédagogique "/>
  </r>
  <r>
    <s v="Evaluation régulière des compétences des enseignants et éducateurs sortant des établissements de formation initiale"/>
    <m/>
    <m/>
    <n v="0"/>
    <m/>
    <m/>
    <m/>
    <m/>
    <m/>
    <m/>
    <m/>
    <m/>
    <m/>
    <m/>
    <x v="0"/>
    <m/>
    <m/>
    <m/>
    <m/>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Evaluation régulière des compétences des enseignants et éducateurs sortant des établissements de formation initiale"/>
  </r>
  <r>
    <s v="Mise en place d'un dispositif de suivi-évaluation des cohortes sortant des institutions de formations initiales avec DNPSCE, DNEF, DNESGT, DFC DRH"/>
    <s v="Atelier"/>
    <s v="h/j/ap"/>
    <n v="0"/>
    <m/>
    <n v="150"/>
    <m/>
    <n v="150"/>
    <n v="0.255"/>
    <n v="0"/>
    <n v="0"/>
    <n v="38.25"/>
    <n v="0"/>
    <n v="38.25"/>
    <x v="1"/>
    <s v=""/>
    <s v="3. Dépenses de fonctionnement"/>
    <s v="ETN"/>
    <s v="DRH"/>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1-Mise en place d'un dispositif de suivi-évaluation des cohortes sortant des institutions de formations initiales avec DNPSCE, DNEF, DNESGT, DFC DRH"/>
  </r>
  <r>
    <s v="Conception d'une base de données de suivi des cohortes des sortants des ENI (avec DNPSCE, DNEF, DRH)"/>
    <s v="assistance technique"/>
    <s v="h/j/cn"/>
    <n v="0"/>
    <m/>
    <n v="60"/>
    <n v="10"/>
    <n v="70"/>
    <n v="2.651545"/>
    <n v="0"/>
    <n v="0"/>
    <n v="159.09270000000001"/>
    <n v="26.515450000000001"/>
    <n v="185.60815000000002"/>
    <x v="1"/>
    <s v=""/>
    <s v="3. Dépenses de fonctionnement"/>
    <s v="ETN"/>
    <s v="DRH"/>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2-Conception d'une base de données de suivi des cohortes des sortants des ENI (avec DNPSCE, DNEF, DRH)"/>
  </r>
  <r>
    <s v="Rédaction du manuel d'utilisation de la base de données (pris en compte dans activité 23132) (avec DNPSCE, DNEF, DNESGT, DRH)"/>
    <s v="pm"/>
    <s v="sif"/>
    <n v="0"/>
    <m/>
    <m/>
    <n v="1"/>
    <n v="1"/>
    <n v="0"/>
    <m/>
    <m/>
    <m/>
    <m/>
    <m/>
    <x v="2"/>
    <s v=""/>
    <s v=""/>
    <s v="ETN"/>
    <s v="DRH"/>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3-Rédaction du manuel d'utilisation de la base de données (pris en compte dans activité 23132) (avec DNPSCE, DNEF, DNESGT, DRH)"/>
  </r>
  <r>
    <s v="Conception des outils de collecte de données des cohortes (pris en compte dans activité 23132) (avec DNPSCE, DNEF, DNESGT, DRH)"/>
    <s v="pm"/>
    <s v="sif"/>
    <n v="0"/>
    <m/>
    <m/>
    <n v="1"/>
    <n v="1"/>
    <n v="0"/>
    <m/>
    <m/>
    <m/>
    <m/>
    <m/>
    <x v="2"/>
    <s v=""/>
    <s v=""/>
    <s v="ETN"/>
    <s v="DRH"/>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4-Conception des outils de collecte de données des cohortes (pris en compte dans activité 23132) (avec DNPSCE, DNEF, DNESGT, DRH)"/>
  </r>
  <r>
    <s v="Validation des outils de collecte et du manuel d'utilisation de la base de données"/>
    <s v="atelier"/>
    <s v="h/j/a"/>
    <n v="0"/>
    <m/>
    <m/>
    <n v="50"/>
    <n v="50"/>
    <n v="0.3133333333333333"/>
    <n v="0"/>
    <n v="0"/>
    <n v="0"/>
    <n v="15.666666666666664"/>
    <n v="15.666666666666664"/>
    <x v="1"/>
    <s v=""/>
    <s v="3. Formation"/>
    <s v="ETN"/>
    <s v="IG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5-Validation des outils de collecte et du manuel d'utilisation de la base de données"/>
  </r>
  <r>
    <s v="Formation des encadreurs et mise à disposition des outils pour la collecte de données"/>
    <s v="Atelier"/>
    <s v="h/j/fr"/>
    <n v="0"/>
    <m/>
    <m/>
    <n v="80"/>
    <n v="80"/>
    <n v="0.54600000000000004"/>
    <n v="0"/>
    <n v="0"/>
    <n v="0"/>
    <n v="43.680000000000007"/>
    <n v="43.680000000000007"/>
    <x v="1"/>
    <s v=""/>
    <s v="3. Formation"/>
    <s v="ETN"/>
    <s v="DRH"/>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6-Formation des encadreurs et mise à disposition des outils pour la collecte de données"/>
  </r>
  <r>
    <s v="Traitement et analyse des données collectées (codification saisie et toilettage des fichiers)"/>
    <s v="Atelier"/>
    <s v="h/j/ap"/>
    <n v="0"/>
    <m/>
    <m/>
    <n v="100"/>
    <n v="100"/>
    <n v="0.255"/>
    <n v="0"/>
    <n v="0"/>
    <n v="0"/>
    <n v="25.5"/>
    <n v="25.5"/>
    <x v="1"/>
    <s v=""/>
    <s v="3. Dépenses de fonctionnement"/>
    <s v="ETN"/>
    <s v="CNSC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7-Traitement et analyse des données collectées (codification saisie et toilettage des fichiers)"/>
  </r>
  <r>
    <s v="Rédaction du rapport d'analyse"/>
    <s v="Atelier"/>
    <s v="h/j/ap"/>
    <n v="0"/>
    <m/>
    <m/>
    <n v="40"/>
    <n v="40"/>
    <n v="0.255"/>
    <n v="0"/>
    <n v="0"/>
    <n v="0"/>
    <n v="10.199999999999999"/>
    <n v="10.199999999999999"/>
    <x v="1"/>
    <s v=""/>
    <s v="3. Dépenses de fonctionnement"/>
    <s v="ETN"/>
    <s v="CNSC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8-Rédaction du rapport d'analyse"/>
  </r>
  <r>
    <s v="Partage du résultat (rapport) avec les institutions de formation initiale"/>
    <s v="Atelier"/>
    <s v="h/j/a"/>
    <n v="0"/>
    <m/>
    <m/>
    <n v="50"/>
    <n v="50"/>
    <n v="0.3133333333333333"/>
    <n v="0"/>
    <n v="0"/>
    <n v="0"/>
    <n v="15.666666666666664"/>
    <n v="15.666666666666664"/>
    <x v="1"/>
    <s v=""/>
    <s v="3. Formation"/>
    <s v="ETN"/>
    <s v="CNSCSE"/>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5"/>
    <s v="23369-Partage du résultat (rapport) avec les institutions de formation initiale"/>
  </r>
  <r>
    <s v="Intégration des méthodes pédagogiques innovantes dans la formation initiale"/>
    <m/>
    <m/>
    <n v="0"/>
    <m/>
    <m/>
    <m/>
    <m/>
    <m/>
    <m/>
    <m/>
    <m/>
    <m/>
    <m/>
    <x v="0"/>
    <m/>
    <m/>
    <m/>
    <m/>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6"/>
    <s v="2337-Intégration des méthodes pédagogiques innovantes dans la formation initiale"/>
  </r>
  <r>
    <s v="Intégration des innovations porteuses (e.g. approche EGRA, EGMA, Pédagogie Active, APC, approche FIERE pour tous etc.) dans les programmes de formation initiale dans les ENI (Pris en compte dans les activités 23214)"/>
    <s v="PM "/>
    <m/>
    <n v="0"/>
    <m/>
    <m/>
    <m/>
    <m/>
    <n v="0"/>
    <m/>
    <m/>
    <m/>
    <m/>
    <m/>
    <x v="1"/>
    <s v=""/>
    <s v=""/>
    <s v="INRAP"/>
    <s v="ENI, ISSEG"/>
    <x v="0"/>
    <x v="1"/>
    <x v="11"/>
    <s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
    <x v="116"/>
    <s v="23371-Intégration des innovations porteuses (e.g. approche EGRA, EGMA, Pédagogie Active, APC, approche FIERE pour tous etc.) dans les programmes de formation initiale dans les ENI (Pris en compte dans les activités 23214)"/>
  </r>
  <r>
    <s v=" Encadrement des enseignants : appui et contrôle"/>
    <m/>
    <m/>
    <n v="0"/>
    <m/>
    <m/>
    <m/>
    <m/>
    <m/>
    <m/>
    <m/>
    <m/>
    <m/>
    <m/>
    <x v="0"/>
    <m/>
    <m/>
    <m/>
    <m/>
    <x v="0"/>
    <x v="1"/>
    <x v="12"/>
    <s v="24- Encadrement des enseignants : appui et contrôle"/>
    <x v="117"/>
    <s v="24- Encadrement des enseignants : appui et contrôle"/>
  </r>
  <r>
    <s v=" Un dispositif efficace d’encadrement est déFini (organisation, rôles des différents acteurs)"/>
    <m/>
    <m/>
    <n v="0"/>
    <m/>
    <m/>
    <m/>
    <m/>
    <m/>
    <m/>
    <m/>
    <m/>
    <m/>
    <m/>
    <x v="0"/>
    <m/>
    <m/>
    <m/>
    <m/>
    <x v="0"/>
    <x v="1"/>
    <x v="12"/>
    <s v="241- Un dispositif efficace d’encadrement est défini (organisation, rôles des différents acteurs)"/>
    <x v="118"/>
    <s v="241- Un dispositif efficace d’encadrement est déFini (organisation, rôles des différents acteurs)"/>
  </r>
  <r>
    <s v="Etat des lieux de l’encadrement (Forces et faiblesses)"/>
    <m/>
    <m/>
    <n v="0"/>
    <m/>
    <m/>
    <m/>
    <m/>
    <m/>
    <m/>
    <m/>
    <m/>
    <m/>
    <m/>
    <x v="0"/>
    <m/>
    <m/>
    <m/>
    <m/>
    <x v="0"/>
    <x v="1"/>
    <x v="12"/>
    <s v="241- Un dispositif efficace d’encadrement est défini (organisation, rôles des différents acteurs)"/>
    <x v="119"/>
    <s v="2411-Etat des lieux de l’encadrement (Forces et faiblesses)"/>
  </r>
  <r>
    <s v="Préparation des outils du diagnostic"/>
    <s v="Atelier"/>
    <s v="h/j/ap"/>
    <n v="0"/>
    <n v="75"/>
    <m/>
    <m/>
    <n v="75"/>
    <n v="0.255"/>
    <n v="0"/>
    <n v="19.125"/>
    <n v="0"/>
    <n v="0"/>
    <n v="19.125"/>
    <x v="1"/>
    <s v="MENA_Transversal"/>
    <s v="3. Dépenses de fonctionnement"/>
    <s v="ETN"/>
    <s v="CNECSE"/>
    <x v="0"/>
    <x v="1"/>
    <x v="12"/>
    <s v="241- Un dispositif efficace d’encadrement est défini (organisation, rôles des différents acteurs)"/>
    <x v="119"/>
    <s v="24111-Préparation des outils du diagnostic"/>
  </r>
  <r>
    <s v="Recueil des informations qualitatives et quantitatives sur la pertinence de l'encadrement actuel"/>
    <s v="Mission"/>
    <s v="h/j/m"/>
    <n v="0"/>
    <n v="40"/>
    <m/>
    <m/>
    <n v="40"/>
    <n v="0.8177777777777776"/>
    <n v="0"/>
    <n v="32.711111111111101"/>
    <n v="0"/>
    <n v="0"/>
    <n v="32.711111111111101"/>
    <x v="1"/>
    <s v="MENA_Transversal"/>
    <s v="3. Dépenses de fonctionnement"/>
    <s v="ETN"/>
    <s v="CNECSE"/>
    <x v="0"/>
    <x v="1"/>
    <x v="12"/>
    <s v="241- Un dispositif efficace d’encadrement est défini (organisation, rôles des différents acteurs)"/>
    <x v="119"/>
    <s v="24112-Recueil des informations qualitatives et quantitatives sur la pertinence de l'encadrement actuel"/>
  </r>
  <r>
    <s v="Traitement et analyse des informations collectées"/>
    <s v="Atelier"/>
    <s v="h/j/ap"/>
    <n v="0"/>
    <n v="45"/>
    <m/>
    <m/>
    <n v="45"/>
    <n v="0.255"/>
    <n v="0"/>
    <n v="11.475"/>
    <n v="0"/>
    <n v="0"/>
    <n v="11.475"/>
    <x v="1"/>
    <s v="MENA_Transversal"/>
    <s v="3. Dépenses de fonctionnement"/>
    <s v="ETN"/>
    <s v="CNECSE"/>
    <x v="0"/>
    <x v="1"/>
    <x v="12"/>
    <s v="241- Un dispositif efficace d’encadrement est défini (organisation, rôles des différents acteurs)"/>
    <x v="119"/>
    <s v="24113-Traitement et analyse des informations collectées"/>
  </r>
  <r>
    <s v="Partage et validation des résultats issus du diagnostic"/>
    <s v="Atelier"/>
    <s v="h/j/a"/>
    <n v="0"/>
    <n v="75"/>
    <m/>
    <m/>
    <n v="75"/>
    <n v="0.3133333333333333"/>
    <n v="0"/>
    <n v="23.499999999999996"/>
    <n v="0"/>
    <n v="0"/>
    <n v="23.499999999999996"/>
    <x v="1"/>
    <s v="MENA_Transversal"/>
    <s v="3. Formation"/>
    <s v="ETN"/>
    <s v="CNECSE"/>
    <x v="0"/>
    <x v="1"/>
    <x v="12"/>
    <s v="241- Un dispositif efficace d’encadrement est défini (organisation, rôles des différents acteurs)"/>
    <x v="119"/>
    <s v="24114-Partage et validation des résultats issus du diagnostic"/>
  </r>
  <r>
    <s v="Conception, élaboration et validation de nouveaux textes relatifs aux rôles et responsabilités des acteurs dans l'encadrement"/>
    <m/>
    <m/>
    <n v="0"/>
    <m/>
    <m/>
    <m/>
    <m/>
    <m/>
    <m/>
    <m/>
    <m/>
    <m/>
    <m/>
    <x v="0"/>
    <m/>
    <m/>
    <m/>
    <m/>
    <x v="0"/>
    <x v="1"/>
    <x v="12"/>
    <s v="241- Un dispositif efficace d’encadrement est défini (organisation, rôles des différents acteurs)"/>
    <x v="120"/>
    <s v="2412-Conception, élaboration et validation de nouveaux textes relatifs aux rôles et responsabilités des acteurs dans l'encadrement"/>
  </r>
  <r>
    <s v="Elaboration et mise en œuvre d'une feuille de route pour l'encadrement des enseignants"/>
    <s v="Atelier"/>
    <s v="h/j/a"/>
    <n v="0"/>
    <m/>
    <n v="20"/>
    <m/>
    <n v="20"/>
    <n v="0.3133333333333333"/>
    <n v="0"/>
    <n v="0"/>
    <n v="6.2666666666666657"/>
    <n v="0"/>
    <n v="6.2666666666666657"/>
    <x v="1"/>
    <s v="MENA_Transversal"/>
    <s v="3. Formation"/>
    <s v="ETN"/>
    <s v="IGE"/>
    <x v="0"/>
    <x v="1"/>
    <x v="12"/>
    <s v="241- Un dispositif efficace d’encadrement est défini (organisation, rôles des différents acteurs)"/>
    <x v="120"/>
    <s v="24121-Elaboration et mise en œuvre d'une feuille de route pour l'encadrement des enseignants"/>
  </r>
  <r>
    <s v="Conception, élaboration et validation de nouveaux textes et manuel de procédures relatifs aux rôles et responsabilités des acteurs dans l'encadrement"/>
    <s v="Atelier"/>
    <s v="h/j/a"/>
    <n v="0"/>
    <m/>
    <n v="100"/>
    <m/>
    <n v="100"/>
    <n v="0.3133333333333333"/>
    <n v="0"/>
    <n v="0"/>
    <n v="31.333333333333329"/>
    <n v="0"/>
    <n v="31.333333333333329"/>
    <x v="1"/>
    <s v="MENA_Transversal"/>
    <s v="3. Formation"/>
    <s v="ETN"/>
    <s v="IGE"/>
    <x v="0"/>
    <x v="1"/>
    <x v="12"/>
    <s v="241- Un dispositif efficace d’encadrement est défini (organisation, rôles des différents acteurs)"/>
    <x v="120"/>
    <s v="24122-Conception, élaboration et validation de nouveaux textes et manuel de procédures relatifs aux rôles et responsabilités des acteurs dans l'encadrement"/>
  </r>
  <r>
    <s v="Dissémination du manuel de procédures d’encadrement et expérimentation"/>
    <m/>
    <m/>
    <n v="0"/>
    <m/>
    <m/>
    <m/>
    <m/>
    <m/>
    <m/>
    <m/>
    <m/>
    <m/>
    <m/>
    <x v="0"/>
    <m/>
    <m/>
    <m/>
    <m/>
    <x v="0"/>
    <x v="1"/>
    <x v="12"/>
    <s v="241- Un dispositif efficace d’encadrement est défini (organisation, rôles des différents acteurs)"/>
    <x v="121"/>
    <s v="2413-Dissémination du manuel de procédures d’encadrement et expérimentation"/>
  </r>
  <r>
    <s v="Dissémination du manuel de procédures d’encadrement"/>
    <s v="Manuel/encadreur"/>
    <s v="IMP"/>
    <n v="0"/>
    <m/>
    <n v="647.79999999999995"/>
    <m/>
    <n v="647.79999999999995"/>
    <n v="7.4999999999999997E-3"/>
    <n v="0"/>
    <n v="0"/>
    <n v="4.8584999999999994"/>
    <n v="0"/>
    <n v="4.8584999999999994"/>
    <x v="1"/>
    <s v="MENA_Transversal"/>
    <s v="3. Dépenses de fonctionnement"/>
    <s v="ETN"/>
    <s v="IRE,DPE/DCE"/>
    <x v="0"/>
    <x v="1"/>
    <x v="12"/>
    <s v="241- Un dispositif efficace d’encadrement est défini (organisation, rôles des différents acteurs)"/>
    <x v="121"/>
    <s v="24131-Dissémination du manuel de procédures d’encadrement"/>
  </r>
  <r>
    <s v="Suivi du respect du manuel de procédures de l'encadrement"/>
    <s v="Mission"/>
    <s v="h/j/m"/>
    <n v="0"/>
    <m/>
    <m/>
    <n v="288"/>
    <n v="288"/>
    <n v="0.8177777777777776"/>
    <n v="0"/>
    <n v="0"/>
    <n v="0"/>
    <n v="235.51999999999995"/>
    <n v="235.51999999999995"/>
    <x v="1"/>
    <s v="MENA_Transversal"/>
    <s v="3. Dépenses de fonctionnement"/>
    <s v="ETN"/>
    <s v="IGE"/>
    <x v="0"/>
    <x v="1"/>
    <x v="12"/>
    <s v="241- Un dispositif efficace d’encadrement est défini (organisation, rôles des différents acteurs)"/>
    <x v="121"/>
    <s v="24132-Suivi du respect du manuel de procédures de l'encadrement"/>
  </r>
  <r>
    <s v=" L’encadrement dispose des ressources humaines en nombre nécessaire et en profil pertinent"/>
    <m/>
    <m/>
    <n v="0"/>
    <m/>
    <m/>
    <m/>
    <m/>
    <m/>
    <m/>
    <m/>
    <m/>
    <m/>
    <m/>
    <x v="0"/>
    <m/>
    <m/>
    <m/>
    <m/>
    <x v="0"/>
    <x v="1"/>
    <x v="12"/>
    <s v="242- L’encadrement dispose des ressources humaines en nombre nécessaire et en profil pertinent"/>
    <x v="122"/>
    <s v="242- L’encadrement dispose des ressources humaines en nombre nécessaire et en profil pertinent"/>
  </r>
  <r>
    <s v="DéFinition d’un cadre organique (Poste, profil, nombre…)"/>
    <m/>
    <m/>
    <n v="0"/>
    <m/>
    <m/>
    <m/>
    <m/>
    <m/>
    <m/>
    <m/>
    <m/>
    <m/>
    <m/>
    <x v="0"/>
    <m/>
    <m/>
    <m/>
    <m/>
    <x v="0"/>
    <x v="1"/>
    <x v="12"/>
    <s v="242- L’encadrement dispose des ressources humaines en nombre nécessaire et en profil pertinent"/>
    <x v="123"/>
    <s v="2421-DéFinition d’un cadre organique (Poste, profil, nombre…)"/>
  </r>
  <r>
    <s v="Audit organisationnel des services chargés de l'encadrement "/>
    <s v="assistance technique"/>
    <s v="h/j/ci"/>
    <n v="0"/>
    <n v="90"/>
    <m/>
    <m/>
    <n v="90"/>
    <n v="10.404797"/>
    <n v="0"/>
    <n v="936.43173000000002"/>
    <n v="0"/>
    <n v="0"/>
    <n v="936.43173000000002"/>
    <x v="1"/>
    <s v="MENA_Transversal"/>
    <s v="3. Dépenses de fonctionnement"/>
    <s v="ETN"/>
    <s v="Sevice d'audit"/>
    <x v="0"/>
    <x v="1"/>
    <x v="12"/>
    <s v="242- L’encadrement dispose des ressources humaines en nombre nécessaire et en profil pertinent"/>
    <x v="123"/>
    <s v="24211-Audit organisationnel des services chargés de l'encadrement "/>
  </r>
  <r>
    <s v="Validation des résultats de l'audit organisationnel"/>
    <s v="atelier"/>
    <s v="h/j/a"/>
    <n v="0"/>
    <n v="30"/>
    <m/>
    <m/>
    <n v="30"/>
    <n v="0.3133333333333333"/>
    <n v="0"/>
    <n v="9.3999999999999986"/>
    <n v="0"/>
    <n v="0"/>
    <n v="9.3999999999999986"/>
    <x v="1"/>
    <s v="MENA_Transversal"/>
    <s v="3. Formation"/>
    <s v="IGE"/>
    <s v="ETN"/>
    <x v="0"/>
    <x v="1"/>
    <x v="12"/>
    <s v="242- L’encadrement dispose des ressources humaines en nombre nécessaire et en profil pertinent"/>
    <x v="123"/>
    <s v="24212-Validation des résultats de l'audit organisationnel"/>
  </r>
  <r>
    <s v="DéFinition des redéploiements nécessaires, des recrutements du personnel et des mécanismes d'affectation aux postes (pris en compte dans activité 24211)"/>
    <s v="pm"/>
    <s v="sif"/>
    <n v="0"/>
    <n v="1"/>
    <m/>
    <m/>
    <n v="1"/>
    <n v="0"/>
    <n v="0"/>
    <n v="0"/>
    <n v="0"/>
    <n v="0"/>
    <m/>
    <x v="2"/>
    <s v="MENA_Transversal"/>
    <s v=""/>
    <s v="ETN"/>
    <s v="DRH"/>
    <x v="0"/>
    <x v="1"/>
    <x v="12"/>
    <s v="242- L’encadrement dispose des ressources humaines en nombre nécessaire et en profil pertinent"/>
    <x v="123"/>
    <s v="24213-DéFinition des redéploiements nécessaires, des recrutements du personnel et des mécanismes d'affectation aux postes (pris en compte dans activité 24211)"/>
  </r>
  <r>
    <s v="Adoption des textes organisant les services d'encadrement et l'affectation aux postes  "/>
    <s v="textes"/>
    <s v="sif"/>
    <n v="0"/>
    <m/>
    <n v="1"/>
    <m/>
    <n v="1"/>
    <n v="0"/>
    <n v="0"/>
    <n v="0"/>
    <n v="0"/>
    <n v="0"/>
    <m/>
    <x v="2"/>
    <s v="MENA_Transversal"/>
    <s v=""/>
    <s v="ETN"/>
    <s v="DRH"/>
    <x v="0"/>
    <x v="1"/>
    <x v="12"/>
    <s v="242- L’encadrement dispose des ressources humaines en nombre nécessaire et en profil pertinent"/>
    <x v="123"/>
    <s v="24214-Adoption des textes organisant les services d'encadrement et l'affectation aux postes  "/>
  </r>
  <r>
    <s v="Renforcement des capacités des inspecteurs"/>
    <s v="formation"/>
    <s v="Cu/fe"/>
    <n v="0"/>
    <m/>
    <m/>
    <m/>
    <n v="0"/>
    <n v="50.336534"/>
    <n v="0"/>
    <n v="0"/>
    <n v="0"/>
    <n v="0"/>
    <n v="0"/>
    <x v="8"/>
    <s v="MENA_Transversal"/>
    <s v="3. Formation"/>
    <s v="ETN"/>
    <s v="DRH"/>
    <x v="0"/>
    <x v="1"/>
    <x v="12"/>
    <s v="242- L’encadrement dispose des ressources humaines en nombre nécessaire et en profil pertinent"/>
    <x v="123"/>
    <s v="24215-Renforcement des capacités des inspecteurs"/>
  </r>
  <r>
    <s v="Renforcement des capacités des inspecteurs (démultiplication de la formation)"/>
    <s v="formation"/>
    <s v="h/j/fr"/>
    <n v="0"/>
    <m/>
    <m/>
    <m/>
    <n v="0"/>
    <n v="0.54600000000000004"/>
    <n v="0"/>
    <n v="0"/>
    <n v="0"/>
    <n v="0"/>
    <n v="0"/>
    <x v="8"/>
    <s v="MENA_Transversal"/>
    <s v="3. Formation"/>
    <s v="ETN"/>
    <s v="DRH"/>
    <x v="0"/>
    <x v="1"/>
    <x v="12"/>
    <s v="242- L’encadrement dispose des ressources humaines en nombre nécessaire et en profil pertinent"/>
    <x v="123"/>
    <s v="24216-Renforcement des capacités des inspecteurs (démultiplication de la formation)"/>
  </r>
  <r>
    <s v="Renforcement des capacités des inspecteurs (démultiplication de la formation)"/>
    <s v="formation"/>
    <s v="h/j/fr"/>
    <n v="0"/>
    <m/>
    <m/>
    <m/>
    <n v="0"/>
    <n v="0.54600000000000004"/>
    <n v="0"/>
    <n v="0"/>
    <n v="0"/>
    <n v="0"/>
    <n v="0"/>
    <x v="13"/>
    <s v="MENA_Transversal"/>
    <s v="3. Formation"/>
    <s v="ETN"/>
    <s v="DRH"/>
    <x v="0"/>
    <x v="1"/>
    <x v="12"/>
    <s v="242- L’encadrement dispose des ressources humaines en nombre nécessaire et en profil pertinent"/>
    <x v="123"/>
    <s v="24216-Renforcement des capacités des inspecteurs (démultiplication de la formation)"/>
  </r>
  <r>
    <s v="Mise en place du cadre organique déFini"/>
    <m/>
    <m/>
    <n v="0"/>
    <m/>
    <m/>
    <m/>
    <m/>
    <m/>
    <m/>
    <m/>
    <m/>
    <m/>
    <m/>
    <x v="0"/>
    <m/>
    <m/>
    <m/>
    <m/>
    <x v="0"/>
    <x v="1"/>
    <x v="12"/>
    <s v="242- L’encadrement dispose des ressources humaines en nombre nécessaire et en profil pertinent"/>
    <x v="124"/>
    <s v="2422-Mise en place du cadre organique déFini"/>
  </r>
  <r>
    <s v="Conception, élaboration et validation de nouveaux textes et un dispositif relatif aux rôles et responsabilités des acteurs dans l'encadrement"/>
    <s v="Atelier"/>
    <s v="h/j/ap"/>
    <n v="0"/>
    <m/>
    <n v="80"/>
    <m/>
    <n v="80"/>
    <n v="0.255"/>
    <n v="0"/>
    <n v="0"/>
    <n v="20.399999999999999"/>
    <n v="0"/>
    <n v="20.399999999999999"/>
    <x v="6"/>
    <s v="MENA_Transversal"/>
    <s v="3. Dépenses de fonctionnement"/>
    <s v="ETN"/>
    <s v="IGE"/>
    <x v="0"/>
    <x v="1"/>
    <x v="12"/>
    <s v="242- L’encadrement dispose des ressources humaines en nombre nécessaire et en profil pertinent"/>
    <x v="124"/>
    <s v="24221-Conception, élaboration et validation de nouveaux textes et un dispositif relatif aux rôles et responsabilités des acteurs dans l'encadrement"/>
  </r>
  <r>
    <s v="Elaboration et dissémination d’un manuel de procédures d’encadrement"/>
    <s v="Atelier"/>
    <s v="h/j/a"/>
    <n v="0"/>
    <m/>
    <n v="400"/>
    <m/>
    <n v="400"/>
    <n v="0.3133333333333333"/>
    <n v="0"/>
    <n v="0"/>
    <n v="125.33333333333331"/>
    <n v="0"/>
    <n v="125.33333333333331"/>
    <x v="6"/>
    <s v="MENA_Transversal"/>
    <s v="3. Formation"/>
    <s v="ETN"/>
    <s v="IGE"/>
    <x v="0"/>
    <x v="1"/>
    <x v="12"/>
    <s v="242- L’encadrement dispose des ressources humaines en nombre nécessaire et en profil pertinent"/>
    <x v="124"/>
    <s v="24222-Elaboration et dissémination d’un manuel de procédures d’encadrement"/>
  </r>
  <r>
    <s v="Redéploiement des profils nécessaires pour la mise en place des cadres organiques"/>
    <s v="travaux administratif"/>
    <s v="sif"/>
    <n v="0"/>
    <m/>
    <n v="1"/>
    <m/>
    <n v="1"/>
    <n v="0"/>
    <n v="0"/>
    <n v="0"/>
    <n v="0"/>
    <n v="0"/>
    <m/>
    <x v="2"/>
    <s v="MENA_Transversal"/>
    <s v=""/>
    <s v="ETN"/>
    <s v="DRH"/>
    <x v="0"/>
    <x v="1"/>
    <x v="12"/>
    <s v="242- L’encadrement dispose des ressources humaines en nombre nécessaire et en profil pertinent"/>
    <x v="124"/>
    <s v="24223-Redéploiement des profils nécessaires pour la mise en place des cadres organiques"/>
  </r>
  <r>
    <s v="Suivi régulier du respect du cadre organique"/>
    <m/>
    <m/>
    <n v="0"/>
    <m/>
    <m/>
    <m/>
    <m/>
    <m/>
    <m/>
    <m/>
    <m/>
    <m/>
    <m/>
    <x v="0"/>
    <m/>
    <m/>
    <m/>
    <m/>
    <x v="0"/>
    <x v="1"/>
    <x v="12"/>
    <s v="242- L’encadrement dispose des ressources humaines en nombre nécessaire et en profil pertinent"/>
    <x v="125"/>
    <s v="2423-Suivi régulier du respect du cadre organique"/>
  </r>
  <r>
    <s v="Suivi du respect de la mise en œuvre des cadres organiques"/>
    <s v="mission"/>
    <s v="h/j/m"/>
    <n v="0"/>
    <m/>
    <m/>
    <n v="448"/>
    <n v="448"/>
    <n v="0.8177777777777776"/>
    <n v="0"/>
    <n v="0"/>
    <n v="0"/>
    <n v="366.36444444444436"/>
    <n v="366.36444444444436"/>
    <x v="6"/>
    <s v="MENA_Transversal"/>
    <s v="3. Dépenses de fonctionnement"/>
    <s v="ETN"/>
    <s v="DRH"/>
    <x v="0"/>
    <x v="1"/>
    <x v="12"/>
    <s v="242- L’encadrement dispose des ressources humaines en nombre nécessaire et en profil pertinent"/>
    <x v="125"/>
    <s v="24231-Suivi du respect de la mise en œuvre des cadres organiques"/>
  </r>
  <r>
    <s v="identification et mise en œuvre des correctifs nécessaires"/>
    <s v="travail administratif"/>
    <s v="sif"/>
    <n v="0"/>
    <m/>
    <m/>
    <n v="1"/>
    <n v="1"/>
    <n v="0"/>
    <n v="0"/>
    <n v="0"/>
    <n v="0"/>
    <n v="0"/>
    <m/>
    <x v="6"/>
    <s v="MENA_Transversal"/>
    <s v=""/>
    <s v="ETN"/>
    <s v="IGE"/>
    <x v="0"/>
    <x v="1"/>
    <x v="12"/>
    <s v="242- L’encadrement dispose des ressources humaines en nombre nécessaire et en profil pertinent"/>
    <x v="125"/>
    <s v="24232-identification et mise en œuvre des correctifs nécessaires"/>
  </r>
  <r>
    <s v=" Les acteurs de l’encadrement disposent des ressources matérielles nécessaires pour mener à bien leurs fonctions  "/>
    <m/>
    <m/>
    <n v="0"/>
    <m/>
    <m/>
    <m/>
    <m/>
    <m/>
    <m/>
    <m/>
    <m/>
    <m/>
    <m/>
    <x v="0"/>
    <m/>
    <m/>
    <m/>
    <m/>
    <x v="0"/>
    <x v="1"/>
    <x v="12"/>
    <s v="243- Les acteurs de l’encadrement disposent des ressources matérielles nécessaires pour mener à bien leurs fonctions  "/>
    <x v="126"/>
    <s v="243- Les acteurs de l’encadrement disposent des ressources matérielles nécessaires pour mener à bien leurs fonctions  "/>
  </r>
  <r>
    <s v="Identification et mise à disposition des ressources matérielles nécessaires pour chaque corps d’encadreurs"/>
    <m/>
    <m/>
    <n v="0"/>
    <m/>
    <m/>
    <m/>
    <m/>
    <m/>
    <m/>
    <m/>
    <m/>
    <m/>
    <m/>
    <x v="0"/>
    <m/>
    <m/>
    <m/>
    <m/>
    <x v="0"/>
    <x v="1"/>
    <x v="12"/>
    <s v="243- Les acteurs de l’encadrement disposent des ressources matérielles nécessaires pour mener à bien leurs fonctions  "/>
    <x v="127"/>
    <s v="2431-Identification et mise à disposition des ressources matérielles nécessaires pour chaque corps d’encadreurs"/>
  </r>
  <r>
    <s v="Détermination des besoins en ressources matériels liées au poste d'encadrement (pris en compte dans l'audit)"/>
    <s v="travail administratif"/>
    <s v="sif"/>
    <n v="0"/>
    <m/>
    <m/>
    <n v="1"/>
    <n v="1"/>
    <n v="0"/>
    <n v="0"/>
    <n v="0"/>
    <n v="0"/>
    <n v="0"/>
    <m/>
    <x v="6"/>
    <s v="MENA_Transversal"/>
    <s v=""/>
    <s v="ETN"/>
    <s v="DAAF"/>
    <x v="0"/>
    <x v="1"/>
    <x v="12"/>
    <s v="243- Les acteurs de l’encadrement disposent des ressources matérielles nécessaires pour mener à bien leurs fonctions  "/>
    <x v="127"/>
    <s v="24311-Détermination des besoins en ressources matériels liées au poste d'encadrement (pris en compte dans l'audit)"/>
  </r>
  <r>
    <s v="Analyse des besoins en ressources matérielles existantes"/>
    <s v="travail administratif"/>
    <s v="sif"/>
    <n v="0"/>
    <m/>
    <n v="1"/>
    <m/>
    <n v="1"/>
    <n v="0"/>
    <n v="0"/>
    <n v="0"/>
    <n v="0"/>
    <n v="0"/>
    <m/>
    <x v="6"/>
    <s v="MENA_Transversal"/>
    <s v=""/>
    <s v="ETN"/>
    <s v="IGE"/>
    <x v="0"/>
    <x v="1"/>
    <x v="12"/>
    <s v="243- Les acteurs de l’encadrement disposent des ressources matérielles nécessaires pour mener à bien leurs fonctions  "/>
    <x v="127"/>
    <s v="24312-Analyse des besoins en ressources matérielles existantes"/>
  </r>
  <r>
    <s v="Mise à disposition des ressources matérielles ( en partie dans gouvernance)"/>
    <s v="forfait"/>
    <s v="Env/UNICEF"/>
    <n v="189"/>
    <m/>
    <m/>
    <n v="0.5"/>
    <n v="189.5"/>
    <n v="950"/>
    <n v="179550"/>
    <n v="0"/>
    <n v="0"/>
    <n v="475"/>
    <n v="180025"/>
    <x v="4"/>
    <s v="MENA_Transversal"/>
    <s v="5. Investissement"/>
    <s v="C/ProDEG"/>
    <s v="IGE"/>
    <x v="0"/>
    <x v="1"/>
    <x v="12"/>
    <s v="243- Les acteurs de l’encadrement disposent des ressources matérielles nécessaires pour mener à bien leurs fonctions  "/>
    <x v="127"/>
    <s v="24313-Mise à disposition des ressources matérielles ( en partie dans gouvernance)"/>
  </r>
  <r>
    <s v="Mise à disposition des ressources matérielles ( en partie dans gouvernance)"/>
    <s v="forfait"/>
    <s v="Env/UNICEF"/>
    <n v="0"/>
    <m/>
    <m/>
    <n v="0.5"/>
    <n v="0.5"/>
    <n v="950"/>
    <n v="0"/>
    <n v="0"/>
    <n v="0"/>
    <n v="475"/>
    <n v="475"/>
    <x v="13"/>
    <s v="MENA_Transversal"/>
    <s v="5. Investissement"/>
    <s v="C/ProDEG"/>
    <s v="IGE"/>
    <x v="0"/>
    <x v="1"/>
    <x v="12"/>
    <s v="243- Les acteurs de l’encadrement disposent des ressources matérielles nécessaires pour mener à bien leurs fonctions  "/>
    <x v="127"/>
    <s v="24313-Mise à disposition des ressources matérielles ( en partie dans gouvernance)"/>
  </r>
  <r>
    <s v="Renforcement de la gestion des écoles"/>
    <m/>
    <m/>
    <n v="0"/>
    <m/>
    <m/>
    <m/>
    <m/>
    <m/>
    <m/>
    <m/>
    <m/>
    <m/>
    <m/>
    <x v="0"/>
    <m/>
    <m/>
    <m/>
    <m/>
    <x v="0"/>
    <x v="1"/>
    <x v="12"/>
    <s v="243- Les acteurs de l’encadrement disposent des ressources matérielles nécessaires pour mener à bien leurs fonctions  "/>
    <x v="128"/>
    <s v="2432-Renforcement de la gestion des écoles"/>
  </r>
  <r>
    <s v="Appui technique à la genéralisation de l'approche gestion à la base"/>
    <s v="assistance technique"/>
    <s v="h/j/ci"/>
    <n v="0"/>
    <m/>
    <m/>
    <m/>
    <n v="0"/>
    <n v="10.404797"/>
    <n v="0"/>
    <n v="0"/>
    <n v="0"/>
    <n v="0"/>
    <n v="0"/>
    <x v="8"/>
    <s v="MENA_Transversal"/>
    <s v="3. Dépenses de fonctionnement"/>
    <s v="IGE"/>
    <s v="IGE"/>
    <x v="0"/>
    <x v="1"/>
    <x v="12"/>
    <s v="243- Les acteurs de l’encadrement disposent des ressources matérielles nécessaires pour mener à bien leurs fonctions  "/>
    <x v="128"/>
    <s v="24321-Appui technique à la genéralisation de l'approche gestion à la base"/>
  </r>
  <r>
    <s v="Renforcement des capacités des acteurs et des partenaires sur le terrain à la genéralisation de l'approche gestion à la base"/>
    <s v="formation"/>
    <s v="h/j/fr"/>
    <n v="0"/>
    <m/>
    <m/>
    <m/>
    <n v="0"/>
    <n v="0.54600000000000004"/>
    <n v="0"/>
    <n v="0"/>
    <n v="0"/>
    <n v="0"/>
    <n v="0"/>
    <x v="8"/>
    <s v="MENA_Transversal"/>
    <s v="3. Formation"/>
    <s v="IGE"/>
    <s v="DPE/DCE"/>
    <x v="0"/>
    <x v="1"/>
    <x v="12"/>
    <s v="243- Les acteurs de l’encadrement disposent des ressources matérielles nécessaires pour mener à bien leurs fonctions  "/>
    <x v="128"/>
    <s v="24322-Renforcement des capacités des acteurs et des partenaires sur le terrain à la genéralisation de l'approche gestion à la base"/>
  </r>
  <r>
    <s v="Suivi de l'opérationnalisation du dispositif de l'approche gestion à la base "/>
    <s v="suivi"/>
    <s v="h/j/m"/>
    <n v="0"/>
    <m/>
    <m/>
    <m/>
    <n v="0"/>
    <n v="0.8177777777777776"/>
    <n v="0"/>
    <n v="0"/>
    <n v="0"/>
    <n v="0"/>
    <n v="0"/>
    <x v="8"/>
    <s v="MENA_Transversal"/>
    <s v="3. Dépenses de fonctionnement"/>
    <s v="IGE"/>
    <s v="DPE/DCE"/>
    <x v="0"/>
    <x v="1"/>
    <x v="12"/>
    <s v="243- Les acteurs de l’encadrement disposent des ressources matérielles nécessaires pour mener à bien leurs fonctions  "/>
    <x v="128"/>
    <s v="24323-Suivi de l'opérationnalisation du dispositif de l'approche gestion à la base "/>
  </r>
  <r>
    <s v="Suivi de l'opérationnalisation du dispositif de l'approche gestion à la base "/>
    <s v="suivi"/>
    <s v="h/j/m"/>
    <n v="0"/>
    <n v="40"/>
    <n v="100"/>
    <n v="200"/>
    <n v="340"/>
    <n v="0.8177777777777776"/>
    <n v="0"/>
    <n v="32.711111111111101"/>
    <n v="81.777777777777757"/>
    <n v="163.55555555555551"/>
    <n v="278.04444444444437"/>
    <x v="6"/>
    <s v="MENA_Transversal"/>
    <s v="3. Dépenses de fonctionnement"/>
    <s v="IGE"/>
    <s v="DPE/DCE"/>
    <x v="0"/>
    <x v="1"/>
    <x v="12"/>
    <s v="243- Les acteurs de l’encadrement disposent des ressources matérielles nécessaires pour mener à bien leurs fonctions  "/>
    <x v="128"/>
    <s v="24323-Suivi de l'opérationnalisation du dispositif de l'approche gestion à la base "/>
  </r>
  <r>
    <s v="Renforcement des capacités des structures déconcentrées sur les procédures de mise en œuvre des PAE "/>
    <s v="formation"/>
    <s v="h/j/fr"/>
    <n v="0"/>
    <m/>
    <m/>
    <m/>
    <n v="0"/>
    <n v="0.54600000000000004"/>
    <n v="0"/>
    <n v="0"/>
    <n v="0"/>
    <n v="0"/>
    <n v="0"/>
    <x v="8"/>
    <s v="MENA_Transversal"/>
    <s v="3. Formation"/>
    <s v="DNEF"/>
    <s v="DNEF"/>
    <x v="0"/>
    <x v="1"/>
    <x v="12"/>
    <s v="243- Les acteurs de l’encadrement disposent des ressources matérielles nécessaires pour mener à bien leurs fonctions  "/>
    <x v="128"/>
    <s v="24324-Renforcement des capacités des structures déconcentrées sur les procédures de mise en œuvre des PAE "/>
  </r>
  <r>
    <s v="Renforcement des capacités des structures déconcentrées sur les procédures de mise en œuvre des PAE "/>
    <s v="formation"/>
    <s v="h/j/fr"/>
    <n v="0"/>
    <m/>
    <m/>
    <n v="500"/>
    <n v="500"/>
    <n v="0.54600000000000004"/>
    <n v="0"/>
    <n v="0"/>
    <n v="0"/>
    <n v="273"/>
    <n v="273"/>
    <x v="6"/>
    <s v="MENA_Transversal"/>
    <s v="3. Formation"/>
    <s v="DNEF"/>
    <s v="DNEF"/>
    <x v="0"/>
    <x v="1"/>
    <x v="12"/>
    <s v="243- Les acteurs de l’encadrement disposent des ressources matérielles nécessaires pour mener à bien leurs fonctions  "/>
    <x v="128"/>
    <s v="24324-Renforcement des capacités des structures déconcentrées sur les procédures de mise en œuvre des PAE "/>
  </r>
  <r>
    <s v="Renforcement des associations des parents d'élèves et leur implication dans la gestion des écoles"/>
    <s v="divers"/>
    <s v="forf/APE"/>
    <n v="912"/>
    <n v="0.25"/>
    <n v="0.25"/>
    <n v="0.25"/>
    <n v="912.75"/>
    <n v="950"/>
    <n v="866400"/>
    <n v="237.5"/>
    <n v="237.5"/>
    <n v="237.5"/>
    <n v="867112.5"/>
    <x v="4"/>
    <s v="MENA_Transversal"/>
    <s v="4. Transferts et subventions"/>
    <s v="DNEF"/>
    <s v="DPE/DCE"/>
    <x v="0"/>
    <x v="1"/>
    <x v="12"/>
    <s v="243- Les acteurs de l’encadrement disposent des ressources matérielles nécessaires pour mener à bien leurs fonctions  "/>
    <x v="128"/>
    <s v="24325-Renforcement des associations des parents d'élèves et leur implication dans la gestion des écoles"/>
  </r>
  <r>
    <s v="Renforcement des associations des parents d'élèves et leur implication dans la gestion des écoles"/>
    <s v="divers"/>
    <s v="forf/APE"/>
    <n v="0"/>
    <n v="0.75"/>
    <n v="0.75"/>
    <n v="0.75"/>
    <n v="2.25"/>
    <n v="950"/>
    <n v="0"/>
    <n v="712.5"/>
    <n v="712.5"/>
    <n v="712.5"/>
    <n v="2137.5"/>
    <x v="13"/>
    <s v="MENA_Transversal"/>
    <s v="4. Transferts et subventions"/>
    <s v="DNEF"/>
    <s v="DPE/DCE"/>
    <x v="0"/>
    <x v="1"/>
    <x v="12"/>
    <s v="243- Les acteurs de l’encadrement disposent des ressources matérielles nécessaires pour mener à bien leurs fonctions  "/>
    <x v="128"/>
    <s v="24325-Renforcement des associations des parents d'élèves et leur implication dans la gestion des écoles"/>
  </r>
  <r>
    <s v="Renforcement du développement et de la mise en œuvre des projets de développement des écoles primaires"/>
    <s v="subvention"/>
    <s v="sub/école"/>
    <n v="0"/>
    <m/>
    <m/>
    <m/>
    <n v="0"/>
    <n v="2.2348566207357279"/>
    <n v="0"/>
    <n v="0"/>
    <n v="0"/>
    <n v="0"/>
    <n v="0"/>
    <x v="8"/>
    <s v="MENA_Transversal"/>
    <s v="3. Dépenses de fonctionnement"/>
    <s v="DNEF"/>
    <s v="DPE/DCE"/>
    <x v="0"/>
    <x v="1"/>
    <x v="12"/>
    <s v="243- Les acteurs de l’encadrement disposent des ressources matérielles nécessaires pour mener à bien leurs fonctions  "/>
    <x v="128"/>
    <s v="24326-Renforcement du développement et de la mise en œuvre des projets de développement des écoles primaires"/>
  </r>
  <r>
    <s v="Suivi de la mise en eouvre des PAE "/>
    <s v="suivi"/>
    <s v="h/j/m"/>
    <n v="0"/>
    <m/>
    <m/>
    <m/>
    <n v="0"/>
    <n v="0.8177777777777776"/>
    <n v="0"/>
    <n v="0"/>
    <n v="0"/>
    <n v="0"/>
    <n v="0"/>
    <x v="8"/>
    <s v="MENA_Transversal"/>
    <s v="3. Dépenses de fonctionnement"/>
    <s v="DNEF"/>
    <s v="DNEF"/>
    <x v="0"/>
    <x v="1"/>
    <x v="12"/>
    <s v="243- Les acteurs de l’encadrement disposent des ressources matérielles nécessaires pour mener à bien leurs fonctions  "/>
    <x v="128"/>
    <s v="24327-Suivi de la mise en eouvre des PAE "/>
  </r>
  <r>
    <s v="Renforcement du développement et de la mise en œuvre des projets de développement des écoles primaires"/>
    <s v="subvention"/>
    <s v="sub/école"/>
    <n v="0"/>
    <n v="4188.5375399999994"/>
    <n v="4397.9644170000001"/>
    <n v="4617.8626378500003"/>
    <n v="13204.364594850002"/>
    <n v="2.2348566207357279"/>
    <n v="0"/>
    <n v="9360.7808524691372"/>
    <n v="9828.8198950925962"/>
    <n v="10320.260889847226"/>
    <n v="29509.861637408962"/>
    <x v="1"/>
    <s v="MENA_Transversal"/>
    <s v="3. Dépenses de fonctionnement"/>
    <s v="DNEF"/>
    <s v="DPE/DCE"/>
    <x v="0"/>
    <x v="1"/>
    <x v="12"/>
    <s v="243- Les acteurs de l’encadrement disposent des ressources matérielles nécessaires pour mener à bien leurs fonctions  "/>
    <x v="128"/>
    <s v="24326-Renforcement du développement et de la mise en œuvre des projets de développement des écoles primaires"/>
  </r>
  <r>
    <s v="Renforcement du développement et de la mise en œuvre des projets de développement des écoles primaires"/>
    <s v="subvention"/>
    <s v="sub/école"/>
    <n v="0"/>
    <n v="1712.7692999999999"/>
    <n v="1798.4077649999999"/>
    <n v="1888.32815325"/>
    <n v="5399.5052182500003"/>
    <n v="2.2348566207357279"/>
    <n v="0"/>
    <n v="3827.793809897898"/>
    <n v="4019.1835003927927"/>
    <n v="4220.1426754124332"/>
    <n v="12067.119985703124"/>
    <x v="13"/>
    <s v="MENA_Transversal"/>
    <s v="3. Dépenses de fonctionnement"/>
    <s v="DNEF"/>
    <s v="DPE/DCE"/>
    <x v="0"/>
    <x v="1"/>
    <x v="12"/>
    <s v="243- Les acteurs de l’encadrement disposent des ressources matérielles nécessaires pour mener à bien leurs fonctions  "/>
    <x v="128"/>
    <s v="24326-Renforcement du développement et de la mise en œuvre des projets de développement des écoles primaires"/>
  </r>
  <r>
    <s v="Renforcement du développement et de la mise en œuvre des projets de développement des écoles primaires"/>
    <s v="subvention"/>
    <s v="sub/école"/>
    <n v="0"/>
    <n v="2093.85"/>
    <n v="2198.5425"/>
    <n v="2308.4696250000002"/>
    <n v="6600.8621249999997"/>
    <n v="2.2348566207357279"/>
    <n v="0"/>
    <n v="4679.4545353275034"/>
    <n v="4913.4272620938791"/>
    <n v="5159.0986251985732"/>
    <n v="14751.980422619956"/>
    <x v="1"/>
    <s v="MENA_Transversal"/>
    <s v="3. Dépenses de fonctionnement"/>
    <s v="DNEF"/>
    <s v="DPE/DCE"/>
    <x v="0"/>
    <x v="1"/>
    <x v="12"/>
    <s v="243- Les acteurs de l’encadrement disposent des ressources matérielles nécessaires pour mener à bien leurs fonctions  "/>
    <x v="128"/>
    <s v="24326-Renforcement du développement et de la mise en œuvre des projets de développement des écoles primaires"/>
  </r>
  <r>
    <s v="Renforcement du développement et de la mise en œuvre des projets de développement des écoles primaires"/>
    <s v="subvention"/>
    <s v="sub/école"/>
    <n v="0"/>
    <n v="0"/>
    <n v="0"/>
    <n v="0"/>
    <n v="0"/>
    <n v="2.2348566207357279"/>
    <n v="0"/>
    <n v="0"/>
    <n v="0"/>
    <n v="0"/>
    <n v="0"/>
    <x v="8"/>
    <s v="MENA_Transversal"/>
    <s v="3. Dépenses de fonctionnement"/>
    <s v="DNEF"/>
    <s v="DPE/DCE"/>
    <x v="0"/>
    <x v="1"/>
    <x v="12"/>
    <s v="243- Les acteurs de l’encadrement disposent des ressources matérielles nécessaires pour mener à bien leurs fonctions  "/>
    <x v="128"/>
    <s v="24326-Renforcement du développement et de la mise en œuvre des projets de développement des écoles primaires"/>
  </r>
  <r>
    <s v="Suivi de la mise en eouvre des PAE "/>
    <s v="suivi"/>
    <s v="h/j/m"/>
    <n v="0"/>
    <n v="60.02000000000001"/>
    <n v="66.022000000000006"/>
    <n v="69.02300000000001"/>
    <n v="195.06500000000003"/>
    <n v="0.8177777777777776"/>
    <n v="0"/>
    <n v="49.083022222222219"/>
    <n v="53.991324444444437"/>
    <n v="56.445475555555554"/>
    <n v="159.51982222222222"/>
    <x v="1"/>
    <s v="MENA_Transversal"/>
    <s v="3. Dépenses de fonctionnement"/>
    <s v="DNEF"/>
    <s v="DNEF"/>
    <x v="0"/>
    <x v="1"/>
    <x v="12"/>
    <s v="243- Les acteurs de l’encadrement disposent des ressources matérielles nécessaires pour mener à bien leurs fonctions  "/>
    <x v="128"/>
    <s v="24327-Suivi de la mise en eouvre des PAE "/>
  </r>
  <r>
    <s v="Suivi de la mise en eouvre des PAE "/>
    <s v="suivi"/>
    <s v="h/j/m"/>
    <n v="0"/>
    <n v="89.2"/>
    <n v="98.12"/>
    <n v="102.58"/>
    <n v="289.89999999999998"/>
    <n v="0.8177777777777776"/>
    <n v="0"/>
    <n v="72.945777777777764"/>
    <n v="80.240355555555539"/>
    <n v="83.887644444444419"/>
    <n v="237.07377777777774"/>
    <x v="13"/>
    <s v="MENA_Transversal"/>
    <s v="3. Dépenses de fonctionnement"/>
    <s v="DNEF"/>
    <s v="DNEF"/>
    <x v="0"/>
    <x v="1"/>
    <x v="12"/>
    <s v="243- Les acteurs de l’encadrement disposent des ressources matérielles nécessaires pour mener à bien leurs fonctions  "/>
    <x v="128"/>
    <s v="24327-Suivi de la mise en eouvre des PAE "/>
  </r>
  <r>
    <s v="Suivi de la mise en eouvre des PAE "/>
    <s v="suivi"/>
    <s v="h/j/m"/>
    <n v="0"/>
    <n v="0"/>
    <n v="0"/>
    <n v="0"/>
    <n v="0"/>
    <n v="0.8177777777777776"/>
    <n v="0"/>
    <n v="0"/>
    <n v="0"/>
    <n v="0"/>
    <n v="0"/>
    <x v="8"/>
    <s v="MENA_Transversal"/>
    <s v="3. Dépenses de fonctionnement"/>
    <s v="DNEF"/>
    <s v="DNEF"/>
    <x v="0"/>
    <x v="1"/>
    <x v="12"/>
    <s v="243- Les acteurs de l’encadrement disposent des ressources matérielles nécessaires pour mener à bien leurs fonctions  "/>
    <x v="128"/>
    <s v="24327-Suivi de la mise en eouvre des PAE "/>
  </r>
  <r>
    <s v="Mise en place progressive de subvention de fonctionnement pour les collèges"/>
    <s v="subvention"/>
    <s v="sub/col"/>
    <n v="0"/>
    <n v="0.90634441087613304"/>
    <n v="0.99697885196374603"/>
    <n v="1.09667673716012"/>
    <n v="2.9999999999999991"/>
    <n v="4092.96781691769"/>
    <n v="0"/>
    <n v="3709.6385047592362"/>
    <n v="4080.6023552351585"/>
    <n v="4488.6625907586722"/>
    <n v="12278.903450753067"/>
    <x v="1"/>
    <s v="MENA_Transversal"/>
    <s v="3. Dépenses de fonctionnement"/>
    <s v="DNESGT"/>
    <s v="DNESGT"/>
    <x v="0"/>
    <x v="1"/>
    <x v="12"/>
    <s v="243- Les acteurs de l’encadrement disposent des ressources matérielles nécessaires pour mener à bien leurs fonctions  "/>
    <x v="128"/>
    <s v="24328-Mise en place progressive de subvention de fonctionnement pour les collèges"/>
  </r>
  <r>
    <s v="Mise en place progressive de subvention de fonctionnement pour les Lycées"/>
    <s v="subvention"/>
    <s v="sub/lyc"/>
    <n v="0"/>
    <n v="0.82417582417582502"/>
    <n v="0.98901098901099005"/>
    <n v="1.1868131868131899"/>
    <n v="3.0000000000000053"/>
    <n v="1900.63291916205"/>
    <n v="0"/>
    <n v="1566.4557026060868"/>
    <n v="1879.7468431273041"/>
    <n v="2255.6962117527687"/>
    <n v="5701.8987574861603"/>
    <x v="2"/>
    <s v="MENA_Transversal"/>
    <s v="3. Dépenses de fonctionnement"/>
    <s v="DNESGT"/>
    <s v="DNESGT"/>
    <x v="0"/>
    <x v="1"/>
    <x v="12"/>
    <s v="243- Les acteurs de l’encadrement disposent des ressources matérielles nécessaires pour mener à bien leurs fonctions  "/>
    <x v="128"/>
    <s v="24329-Mise en place progressive de subvention de fonctionnement pour les Lycées"/>
  </r>
  <r>
    <s v=" Conditions d’apprentissage améliorées "/>
    <m/>
    <m/>
    <n v="0"/>
    <m/>
    <m/>
    <m/>
    <m/>
    <m/>
    <m/>
    <m/>
    <m/>
    <m/>
    <m/>
    <x v="0"/>
    <m/>
    <m/>
    <m/>
    <m/>
    <x v="0"/>
    <x v="1"/>
    <x v="13"/>
    <s v="25- Conditions d’apprentissage améliorées "/>
    <x v="129"/>
    <s v="25- Conditions d’apprentissage améliorées "/>
  </r>
  <r>
    <s v=" Les manuels et guides adaptés aux nouveaux curricula sont développés"/>
    <m/>
    <m/>
    <n v="0"/>
    <m/>
    <m/>
    <m/>
    <m/>
    <m/>
    <m/>
    <m/>
    <m/>
    <m/>
    <m/>
    <x v="0"/>
    <m/>
    <m/>
    <m/>
    <m/>
    <x v="0"/>
    <x v="1"/>
    <x v="13"/>
    <s v="251- Les manuels et guides adaptés aux nouveaux curricula sont développés"/>
    <x v="130"/>
    <s v="251- Les manuels et guides adaptés aux nouveaux curricula sont développés"/>
  </r>
  <r>
    <s v="Formation des groupes disciplinaires et rédaction des manuels et guides"/>
    <m/>
    <m/>
    <n v="0"/>
    <m/>
    <m/>
    <m/>
    <m/>
    <m/>
    <m/>
    <m/>
    <m/>
    <m/>
    <m/>
    <x v="0"/>
    <m/>
    <m/>
    <m/>
    <m/>
    <x v="0"/>
    <x v="1"/>
    <x v="13"/>
    <s v="251- Les manuels et guides adaptés aux nouveaux curricula sont développés"/>
    <x v="131"/>
    <s v="2511-Formation des groupes disciplinaires et rédaction des manuels et guides"/>
  </r>
  <r>
    <s v="Révision des textes relatifs à l'élaboration de matériels scolaires (pris en compte dans l'activité 21121)"/>
    <s v="texte"/>
    <s v="sif"/>
    <n v="0"/>
    <n v="1"/>
    <m/>
    <m/>
    <n v="1"/>
    <n v="0"/>
    <n v="0"/>
    <n v="0"/>
    <n v="0"/>
    <n v="0"/>
    <m/>
    <x v="2"/>
    <s v="MENA_Transversal"/>
    <s v=""/>
    <s v="SG"/>
    <s v="ETN"/>
    <x v="0"/>
    <x v="1"/>
    <x v="13"/>
    <s v="251- Les manuels et guides adaptés aux nouveaux curricula sont développés"/>
    <x v="131"/>
    <s v="25112-Révision des textes relatifs à l'élaboration de matériels scolaires (pris en compte dans l'activité 21121)"/>
  </r>
  <r>
    <s v="Mise en place des équipes multidisciplinaire de rédaction (inspecteurs, enseignants, formateurs.)"/>
    <s v="acte"/>
    <s v="sif"/>
    <n v="0"/>
    <n v="1"/>
    <m/>
    <m/>
    <n v="1"/>
    <n v="0"/>
    <n v="0"/>
    <n v="0"/>
    <n v="0"/>
    <n v="0"/>
    <m/>
    <x v="2"/>
    <s v="MENA_Transversal"/>
    <s v=""/>
    <s v="ETN"/>
    <s v="INRAP"/>
    <x v="0"/>
    <x v="1"/>
    <x v="13"/>
    <s v="251- Les manuels et guides adaptés aux nouveaux curricula sont développés"/>
    <x v="131"/>
    <s v="25113-Mise en place des équipes multidisciplinaire de rédaction (inspecteurs, enseignants, formateurs.)"/>
  </r>
  <r>
    <s v="Renforcement des capacités des équipes à l'élaboration des manuels scolaires et guides"/>
    <s v="atelier"/>
    <s v="h/j/f"/>
    <n v="0"/>
    <m/>
    <n v="50"/>
    <n v="500"/>
    <n v="550"/>
    <n v="0.67666666666666664"/>
    <n v="0"/>
    <n v="0"/>
    <n v="33.833333333333329"/>
    <n v="338.33333333333331"/>
    <n v="372.16666666666663"/>
    <x v="1"/>
    <s v="MENA_Transversal"/>
    <s v="3. Formation"/>
    <s v="ETN"/>
    <s v="INRAP"/>
    <x v="0"/>
    <x v="1"/>
    <x v="13"/>
    <s v="251- Les manuels et guides adaptés aux nouveaux curricula sont développés"/>
    <x v="131"/>
    <s v="25114-Renforcement des capacités des équipes à l'élaboration des manuels scolaires et guides"/>
  </r>
  <r>
    <s v="Rédaction des manuels scolaires et guides"/>
    <s v="atelier"/>
    <s v="h/j/ap"/>
    <n v="0"/>
    <m/>
    <n v="100"/>
    <n v="2000"/>
    <n v="2100"/>
    <n v="0.255"/>
    <n v="0"/>
    <n v="0"/>
    <n v="25.5"/>
    <n v="510"/>
    <n v="535.5"/>
    <x v="1"/>
    <s v="MENA_Transversal"/>
    <s v="3. Dépenses de fonctionnement"/>
    <s v="ETN"/>
    <s v="Equipes disciplinaires"/>
    <x v="0"/>
    <x v="1"/>
    <x v="13"/>
    <s v="251- Les manuels et guides adaptés aux nouveaux curricula sont développés"/>
    <x v="131"/>
    <s v="25115-Rédaction des manuels scolaires et guides"/>
  </r>
  <r>
    <s v="Validation des contenus et impression des manuels"/>
    <s v="ateler"/>
    <s v="h/j/ap"/>
    <n v="0"/>
    <m/>
    <m/>
    <m/>
    <m/>
    <m/>
    <m/>
    <m/>
    <m/>
    <m/>
    <m/>
    <x v="2"/>
    <s v="MENA_Transversal"/>
    <s v="3. Dépenses de fonctionnement"/>
    <s v="SG"/>
    <m/>
    <x v="0"/>
    <x v="1"/>
    <x v="13"/>
    <s v="251- Les manuels et guides adaptés aux nouveaux curricula sont développés"/>
    <x v="132"/>
    <s v="2512-Validation des contenus et impression des manuels"/>
  </r>
  <r>
    <s v="Mise en place d'un comité scientifique chargé de la lecture et de l'évaluation du contenu"/>
    <s v="texte"/>
    <s v="sif"/>
    <n v="0"/>
    <m/>
    <n v="1"/>
    <n v="1"/>
    <n v="2"/>
    <n v="0"/>
    <n v="0"/>
    <n v="0"/>
    <n v="0"/>
    <n v="0"/>
    <m/>
    <x v="2"/>
    <s v="MENA_Transversal"/>
    <s v=""/>
    <s v="SG"/>
    <s v="IGE"/>
    <x v="0"/>
    <x v="1"/>
    <x v="13"/>
    <s v="251- Les manuels et guides adaptés aux nouveaux curricula sont développés"/>
    <x v="132"/>
    <s v="25121-Mise en place d'un comité scientifique chargé de la lecture et de l'évaluation du contenu"/>
  </r>
  <r>
    <s v="Partage et validation du contenu des manuels scolaires et guides élaborés"/>
    <s v="atelier"/>
    <s v="h/j/a"/>
    <n v="0"/>
    <m/>
    <n v="90"/>
    <n v="600"/>
    <n v="690"/>
    <n v="0.3133333333333333"/>
    <n v="0"/>
    <n v="0"/>
    <n v="28.199999999999996"/>
    <n v="187.99999999999997"/>
    <n v="216.19999999999996"/>
    <x v="1"/>
    <s v="MENA_Transversal"/>
    <s v="3. Formation"/>
    <s v="ETN"/>
    <s v="Comité scientifique (CS)"/>
    <x v="0"/>
    <x v="1"/>
    <x v="13"/>
    <s v="251- Les manuels et guides adaptés aux nouveaux curricula sont développés"/>
    <x v="132"/>
    <s v="25122-Partage et validation du contenu des manuels scolaires et guides élaborés"/>
  </r>
  <r>
    <s v="Impression des manuels scolaires et guides pour l'expérimentation des manuels et guides du préscolaire"/>
    <s v="reproduction de documents"/>
    <s v="IMP"/>
    <n v="0"/>
    <m/>
    <n v="7920"/>
    <m/>
    <n v="7920"/>
    <n v="7.4999999999999997E-3"/>
    <n v="0"/>
    <n v="0"/>
    <n v="59.4"/>
    <n v="0"/>
    <n v="59.4"/>
    <x v="1"/>
    <s v="MENA_Transversal"/>
    <s v="3. Dépenses de fonctionnement"/>
    <s v="C/ProDEG"/>
    <s v="DNEPSCE"/>
    <x v="0"/>
    <x v="1"/>
    <x v="13"/>
    <s v="251- Les manuels et guides adaptés aux nouveaux curricula sont développés"/>
    <x v="132"/>
    <s v="25123-Impression des manuels scolaires et guides pour l'expérimentation des manuels et guides du préscolaire"/>
  </r>
  <r>
    <s v="Impression des manuels scolaires et guides pour l'expérimentation des manuels et guides en 7éme année"/>
    <s v="reproduction de documents"/>
    <s v="IMP"/>
    <n v="0"/>
    <m/>
    <m/>
    <n v="230578.24675324676"/>
    <n v="230578.24675324676"/>
    <n v="7.4999999999999997E-3"/>
    <n v="0"/>
    <n v="0"/>
    <n v="0"/>
    <n v="1729.3368506493507"/>
    <n v="1729.3368506493507"/>
    <x v="6"/>
    <s v="MENA_Transversal"/>
    <s v="3. Dépenses de fonctionnement"/>
    <s v="C/ProDEG"/>
    <s v="DNESGT"/>
    <x v="0"/>
    <x v="1"/>
    <x v="13"/>
    <s v="251- Les manuels et guides adaptés aux nouveaux curricula sont développés"/>
    <x v="132"/>
    <s v="25124-Impression des manuels scolaires et guides pour l'expérimentation des manuels et guides en 7éme année"/>
  </r>
  <r>
    <s v="Reproduction et distribution des manuels scolaires et des guides dans les établissements du préscolaire"/>
    <s v="Manuel et guide par béneficiaire"/>
    <s v="man/présc"/>
    <n v="0"/>
    <m/>
    <m/>
    <n v="92093.023255813954"/>
    <n v="92093.023255813954"/>
    <n v="0.12690560000000001"/>
    <n v="0"/>
    <n v="0"/>
    <n v="0"/>
    <n v="11687.120372093024"/>
    <n v="11687.120372093024"/>
    <x v="1"/>
    <s v="MENA_Transversal"/>
    <s v="3. Manuels scolaires et matériels pédagogiques"/>
    <s v="C/ProDEG"/>
    <s v="DNEPSCE"/>
    <x v="0"/>
    <x v="1"/>
    <x v="13"/>
    <s v="251- Les manuels et guides adaptés aux nouveaux curricula sont développés"/>
    <x v="132"/>
    <s v="25125-Reproduction et distribution des manuels scolaires et des guides dans les établissements du préscolaire"/>
  </r>
  <r>
    <s v=" Les  enseignants sont formés à l'utilisation des manuels et guides de l'enseignant"/>
    <s v="formation"/>
    <m/>
    <n v="0"/>
    <m/>
    <m/>
    <m/>
    <m/>
    <m/>
    <m/>
    <m/>
    <m/>
    <m/>
    <m/>
    <x v="0"/>
    <m/>
    <m/>
    <m/>
    <m/>
    <x v="0"/>
    <x v="1"/>
    <x v="13"/>
    <s v="252- Les  enseignants sont formés à l'utilisation des manuels et guides de l'enseignant"/>
    <x v="133"/>
    <s v="252- Les  enseignants sont formés à l'utilisation des manuels et guides de l'enseignant"/>
  </r>
  <r>
    <s v="Sensibilisation et Formation des enseignants et éducateurs à l'utilisation des guides et manuels d'enseignants"/>
    <m/>
    <m/>
    <n v="0"/>
    <m/>
    <m/>
    <m/>
    <m/>
    <m/>
    <m/>
    <m/>
    <m/>
    <m/>
    <m/>
    <x v="0"/>
    <m/>
    <m/>
    <m/>
    <m/>
    <x v="0"/>
    <x v="1"/>
    <x v="13"/>
    <s v="252- Les  enseignants sont formés à l'utilisation des manuels et guides de l'enseignant"/>
    <x v="134"/>
    <s v="2521-Sensibilisation et Formation des enseignants et éducateurs à l'utilisation des guides et manuels d'enseignants"/>
  </r>
  <r>
    <s v="Formation des enseignants et éducateurs à l'utilisation des manuels et guides d'enseignants au préscolaire"/>
    <s v="Atelier"/>
    <s v="h/f"/>
    <n v="0"/>
    <m/>
    <m/>
    <n v="500"/>
    <n v="500"/>
    <n v="1.5"/>
    <n v="0"/>
    <n v="0"/>
    <n v="0"/>
    <n v="750"/>
    <n v="750"/>
    <x v="1"/>
    <s v="MENA_Transversal"/>
    <s v="3. Formation"/>
    <s v="DNEPSCE"/>
    <s v="INRAP"/>
    <x v="0"/>
    <x v="1"/>
    <x v="13"/>
    <s v="252- Les  enseignants sont formés à l'utilisation des manuels et guides de l'enseignant"/>
    <x v="134"/>
    <s v="25211-Formation des enseignants et éducateurs à l'utilisation des manuels et guides d'enseignants au préscolaire"/>
  </r>
  <r>
    <s v="Formation des enseignants et éducateurs à l'utilisation des manuels et guides "/>
    <s v="Atelier"/>
    <s v="h/f"/>
    <n v="0"/>
    <m/>
    <m/>
    <m/>
    <n v="0"/>
    <n v="1.5"/>
    <n v="0"/>
    <n v="0"/>
    <n v="0"/>
    <n v="0"/>
    <n v="0"/>
    <x v="8"/>
    <s v="MENA_Transversal"/>
    <s v="3. Formation"/>
    <s v="DNEPSCE"/>
    <s v="INRAP"/>
    <x v="0"/>
    <x v="1"/>
    <x v="13"/>
    <s v="252- Les  enseignants sont formés à l'utilisation des manuels et guides de l'enseignant"/>
    <x v="134"/>
    <s v="25212-Formation des enseignants et éducateurs à l'utilisation des manuels et guides "/>
  </r>
  <r>
    <s v="Formation des enseignants et éducateurs à l'utilisation des manuels et guides "/>
    <s v="Atelier"/>
    <s v="h/f"/>
    <n v="0"/>
    <n v="230"/>
    <n v="500"/>
    <n v="400"/>
    <n v="1130"/>
    <n v="1.5"/>
    <n v="0"/>
    <n v="345"/>
    <n v="750"/>
    <n v="600"/>
    <n v="1695"/>
    <x v="1"/>
    <s v="MENA_Transversal"/>
    <s v="3. Formation"/>
    <s v="DNEPSCE"/>
    <s v="INRAP"/>
    <x v="0"/>
    <x v="1"/>
    <x v="13"/>
    <s v="252- Les  enseignants sont formés à l'utilisation des manuels et guides de l'enseignant"/>
    <x v="134"/>
    <s v="25212-Formation des enseignants et éducateurs à l'utilisation des manuels et guides "/>
  </r>
  <r>
    <s v="Production des outils de suivi de l'utilisation des manuels et guides"/>
    <s v="Atelier"/>
    <s v="h/j/ap"/>
    <n v="0"/>
    <m/>
    <m/>
    <n v="50"/>
    <n v="50"/>
    <n v="0.255"/>
    <n v="0"/>
    <n v="0"/>
    <n v="0"/>
    <n v="12.75"/>
    <n v="12.75"/>
    <x v="1"/>
    <s v="MENA_Transversal"/>
    <s v="3. Dépenses de fonctionnement"/>
    <s v="ETN"/>
    <s v="INRAP"/>
    <x v="0"/>
    <x v="1"/>
    <x v="13"/>
    <s v="252- Les  enseignants sont formés à l'utilisation des manuels et guides de l'enseignant"/>
    <x v="134"/>
    <s v="25213-Production des outils de suivi de l'utilisation des manuels et guides"/>
  </r>
  <r>
    <s v="Collecte de données sur l'utilisation des manuels et guides"/>
    <s v="Texte"/>
    <s v="sif"/>
    <n v="0"/>
    <m/>
    <m/>
    <n v="1"/>
    <n v="1"/>
    <n v="0"/>
    <n v="0"/>
    <n v="0"/>
    <n v="0"/>
    <n v="0"/>
    <m/>
    <x v="1"/>
    <s v="MENA_Transversal"/>
    <s v=""/>
    <s v="ETN"/>
    <s v="INRAP"/>
    <x v="0"/>
    <x v="1"/>
    <x v="13"/>
    <s v="252- Les  enseignants sont formés à l'utilisation des manuels et guides de l'enseignant"/>
    <x v="134"/>
    <s v="25214-Collecte de données sur l'utilisation des manuels et guides"/>
  </r>
  <r>
    <s v="Suivi des enseignants à l'utilisation des manuels et guides par les services déconcentrés"/>
    <s v="encadrement"/>
    <s v="sif"/>
    <n v="0"/>
    <m/>
    <m/>
    <n v="1"/>
    <n v="1"/>
    <n v="0"/>
    <n v="0"/>
    <n v="0"/>
    <n v="0"/>
    <n v="0"/>
    <m/>
    <x v="1"/>
    <s v="MENA_Transversal"/>
    <s v=""/>
    <s v="ETN"/>
    <s v="IRE/DCE/DPE/DSEE"/>
    <x v="0"/>
    <x v="1"/>
    <x v="13"/>
    <s v="252- Les  enseignants sont formés à l'utilisation des manuels et guides de l'enseignant"/>
    <x v="134"/>
    <s v="25215-Suivi des enseignants à l'utilisation des manuels et guides par les services déconcentrés"/>
  </r>
  <r>
    <s v="Rédaction du rapport"/>
    <s v="Atelier"/>
    <s v="h/j/ap"/>
    <n v="0"/>
    <m/>
    <m/>
    <n v="50"/>
    <n v="50"/>
    <n v="0.255"/>
    <n v="0"/>
    <n v="0"/>
    <n v="0"/>
    <n v="12.75"/>
    <n v="12.75"/>
    <x v="1"/>
    <s v="MENA_Transversal"/>
    <s v="3. Dépenses de fonctionnement"/>
    <s v="IGE"/>
    <s v="DNEF,DNESGT,DNPSEC,IGE, IRE,DPE/DCE,DSEE,DE"/>
    <x v="0"/>
    <x v="1"/>
    <x v="13"/>
    <s v="252- Les  enseignants sont formés à l'utilisation des manuels et guides de l'enseignant"/>
    <x v="134"/>
    <s v="25216-Rédaction du rapport"/>
  </r>
  <r>
    <s v=" Les élèves du primaire et du secondaire disposent des manuels des matières fondamentales en quantité suffisante."/>
    <m/>
    <m/>
    <n v="0"/>
    <m/>
    <m/>
    <m/>
    <m/>
    <m/>
    <m/>
    <m/>
    <m/>
    <m/>
    <m/>
    <x v="0"/>
    <m/>
    <m/>
    <m/>
    <m/>
    <x v="0"/>
    <x v="1"/>
    <x v="13"/>
    <s v="253- Les élèves du primaire et du secondaire disposent des manuels des matières fondamentales en quantité suffisante."/>
    <x v="135"/>
    <s v="253- Les élèves du primaire et du secondaire disposent des manuels des matières fondamentales en quantité suffisante."/>
  </r>
  <r>
    <s v="Distribution des manuels et guides"/>
    <m/>
    <m/>
    <n v="0"/>
    <m/>
    <m/>
    <m/>
    <m/>
    <m/>
    <m/>
    <m/>
    <m/>
    <m/>
    <m/>
    <x v="0"/>
    <m/>
    <m/>
    <m/>
    <m/>
    <x v="0"/>
    <x v="1"/>
    <x v="13"/>
    <s v="253- Les élèves du primaire et du secondaire disposent des manuels des matières fondamentales en quantité suffisante."/>
    <x v="136"/>
    <s v="2531-Distribution des manuels et guides"/>
  </r>
  <r>
    <s v="acquisition de manuels pour le primaire"/>
    <s v="Reproduction"/>
    <s v="manuel/pr"/>
    <n v="0"/>
    <m/>
    <m/>
    <m/>
    <n v="0"/>
    <n v="2.2272E-2"/>
    <n v="0"/>
    <n v="0"/>
    <n v="0"/>
    <n v="0"/>
    <n v="0"/>
    <x v="8"/>
    <s v="MENA_Transversal"/>
    <s v="3. Manuels scolaires et matériels pédagogiques"/>
    <s v="DNEF"/>
    <s v="INRAP"/>
    <x v="0"/>
    <x v="1"/>
    <x v="13"/>
    <s v="253- Les élèves du primaire et du secondaire disposent des manuels des matières fondamentales en quantité suffisante."/>
    <x v="136"/>
    <s v="25311-acquisition de manuels pour le primaire"/>
  </r>
  <r>
    <s v="acquisition de guides pour le primaire"/>
    <s v="Reproduction"/>
    <s v="guide/ens/pr"/>
    <n v="0"/>
    <m/>
    <m/>
    <m/>
    <n v="0"/>
    <n v="2.1999999999999999E-2"/>
    <n v="0"/>
    <n v="0"/>
    <n v="0"/>
    <n v="0"/>
    <n v="0"/>
    <x v="8"/>
    <s v="MENA_Transversal"/>
    <s v="3. Manuels scolaires et matériels pédagogiques"/>
    <s v="DNEF"/>
    <s v="INRAP"/>
    <x v="0"/>
    <x v="1"/>
    <x v="13"/>
    <s v="253- Les élèves du primaire et du secondaire disposent des manuels des matières fondamentales en quantité suffisante."/>
    <x v="136"/>
    <s v="25312-acquisition de guides pour le primaire"/>
  </r>
  <r>
    <s v="acquisition de manuels pour le primaire"/>
    <s v="Reproduction"/>
    <s v="manuel/pr"/>
    <n v="0"/>
    <n v="576107.85"/>
    <n v="589913.69999999995"/>
    <n v="599525.1"/>
    <n v="1765546.65"/>
    <n v="2.2272E-2"/>
    <n v="0"/>
    <n v="12831.074035199999"/>
    <n v="13138.557926399999"/>
    <n v="13352.623027199999"/>
    <n v="39322.254988799992"/>
    <x v="1"/>
    <s v="MENA_Transversal"/>
    <s v="3. Manuels scolaires et matériels pédagogiques"/>
    <s v="DNEF"/>
    <s v="INRAP"/>
    <x v="0"/>
    <x v="1"/>
    <x v="13"/>
    <s v="253- Les élèves du primaire et du secondaire disposent des manuels des matières fondamentales en quantité suffisante."/>
    <x v="136"/>
    <s v="25311-acquisition de manuels pour le primaire"/>
  </r>
  <r>
    <s v="acquisition de manuels pour le primaire"/>
    <s v="Reproduction"/>
    <s v="manuel/pr"/>
    <n v="0"/>
    <n v="600000"/>
    <n v="1200000"/>
    <n v="1998417"/>
    <n v="3798417"/>
    <n v="2.2272E-2"/>
    <n v="0"/>
    <n v="13363.2"/>
    <n v="26726.400000000001"/>
    <n v="44508.743424"/>
    <n v="84598.343424000006"/>
    <x v="6"/>
    <s v="MENA_Transversal"/>
    <s v="3. Manuels scolaires et matériels pédagogiques"/>
    <s v="DNEF"/>
    <s v="INRAP"/>
    <x v="0"/>
    <x v="1"/>
    <x v="13"/>
    <s v="253- Les élèves du primaire et du secondaire disposent des manuels des matières fondamentales en quantité suffisante."/>
    <x v="136"/>
    <s v="25311-acquisition de manuels pour le primaire"/>
  </r>
  <r>
    <s v="acquisition de manuels pour le primaire"/>
    <s v="Reproduction"/>
    <s v="manuel/pr"/>
    <n v="0"/>
    <n v="1920359.5"/>
    <n v="1966379"/>
    <n v="1998417"/>
    <n v="5885155.5"/>
    <n v="2.2272E-2"/>
    <n v="0"/>
    <n v="42770.246784000003"/>
    <n v="43795.193088"/>
    <n v="44508.743424"/>
    <n v="131074.183296"/>
    <x v="2"/>
    <s v="MENA_Transversal"/>
    <s v="3. Manuels scolaires et matériels pédagogiques"/>
    <s v="DNEF"/>
    <s v="INRAP"/>
    <x v="0"/>
    <x v="1"/>
    <x v="13"/>
    <s v="253- Les élèves du primaire et du secondaire disposent des manuels des matières fondamentales en quantité suffisante."/>
    <x v="136"/>
    <s v="25311-acquisition de manuels pour le primaire"/>
  </r>
  <r>
    <s v="acquisition de guides pour le primaire"/>
    <s v="Reproduction"/>
    <s v="guide/ens/pr"/>
    <n v="0"/>
    <n v="32197.350600000002"/>
    <n v="33062.226800000004"/>
    <n v="3589.4914000000003"/>
    <n v="68849.068800000008"/>
    <n v="2.1999999999999999E-2"/>
    <n v="0"/>
    <n v="708.34171319999996"/>
    <n v="727.36898960000008"/>
    <n v="78.9688108"/>
    <n v="1514.6795136000001"/>
    <x v="1"/>
    <s v="MENA_Transversal"/>
    <s v="3. Manuels scolaires et matériels pédagogiques"/>
    <s v="DNEF"/>
    <s v="INRAP"/>
    <x v="0"/>
    <x v="1"/>
    <x v="13"/>
    <s v="253- Les élèves du primaire et du secondaire disposent des manuels des matières fondamentales en quantité suffisante."/>
    <x v="136"/>
    <s v="25312-acquisition de guides pour le primaire"/>
  </r>
  <r>
    <s v="acquisition de guides pour le primaire"/>
    <s v="Reproduction"/>
    <s v="guide/ens/pr"/>
    <n v="0"/>
    <n v="19541.496599999999"/>
    <n v="20066.414799999999"/>
    <n v="2178.5654"/>
    <n v="41786.476799999997"/>
    <n v="2.1999999999999999E-2"/>
    <n v="0"/>
    <n v="429.91292519999996"/>
    <n v="441.46112559999995"/>
    <n v="47.928438799999995"/>
    <n v="919.30248959999983"/>
    <x v="13"/>
    <s v="MENA_Transversal"/>
    <s v="3. Manuels scolaires et matériels pédagogiques"/>
    <s v="DNEF"/>
    <s v="INRAP"/>
    <x v="0"/>
    <x v="1"/>
    <x v="13"/>
    <s v="253- Les élèves du primaire et du secondaire disposent des manuels des matières fondamentales en quantité suffisante."/>
    <x v="136"/>
    <s v="25312-acquisition de guides pour le primaire"/>
  </r>
  <r>
    <s v="acquisition de guides pour le primaire"/>
    <s v="Reproduction"/>
    <s v="guide/ens/pr"/>
    <n v="0"/>
    <n v="21246.819299999999"/>
    <n v="21817.545399999999"/>
    <n v="2368.6817000000001"/>
    <n v="45433.046399999999"/>
    <n v="2.1999999999999999E-2"/>
    <n v="0"/>
    <n v="467.43002459999997"/>
    <n v="479.98599879999995"/>
    <n v="52.110997400000002"/>
    <n v="999.52702079999983"/>
    <x v="1"/>
    <s v="MENA_Transversal"/>
    <s v="3. Manuels scolaires et matériels pédagogiques"/>
    <s v="DNEF"/>
    <s v="INRAP"/>
    <x v="0"/>
    <x v="1"/>
    <x v="13"/>
    <s v="253- Les élèves du primaire et du secondaire disposent des manuels des matières fondamentales en quantité suffisante."/>
    <x v="136"/>
    <s v="25312-acquisition de guides pour le primaire"/>
  </r>
  <r>
    <s v="acquisition de guides pour le primaire"/>
    <s v="Reproduction"/>
    <s v="guide/ens/pr"/>
    <n v="0"/>
    <n v="0"/>
    <n v="0"/>
    <n v="0"/>
    <n v="0"/>
    <n v="2.1999999999999999E-2"/>
    <n v="0"/>
    <n v="0"/>
    <n v="0"/>
    <n v="0"/>
    <n v="0"/>
    <x v="8"/>
    <s v="MENA_Transversal"/>
    <s v="3. Manuels scolaires et matériels pédagogiques"/>
    <s v="DNEF"/>
    <s v="INRAP"/>
    <x v="0"/>
    <x v="1"/>
    <x v="13"/>
    <s v="253- Les élèves du primaire et du secondaire disposent des manuels des matières fondamentales en quantité suffisante."/>
    <x v="136"/>
    <s v="25312-acquisition de guides pour le primaire"/>
  </r>
  <r>
    <s v="Acquisition de manuels pour le collège (hors 7ème année)"/>
    <s v="Reproduction"/>
    <s v="manuel/col"/>
    <n v="0"/>
    <n v="3006184.5260999999"/>
    <n v="731715.45299999998"/>
    <m/>
    <n v="3737899.9791000001"/>
    <n v="4.0752999999999998E-2"/>
    <n v="0"/>
    <n v="122511.03799215329"/>
    <n v="29819.599856108998"/>
    <n v="0"/>
    <n v="152330.6378482623"/>
    <x v="13"/>
    <s v="MENA_Transversal"/>
    <s v="3. Manuels scolaires et matériels pédagogiques"/>
    <s v="DNEF"/>
    <s v="INRAP"/>
    <x v="0"/>
    <x v="1"/>
    <x v="13"/>
    <s v="253- Les élèves du primaire et du secondaire disposent des manuels des matières fondamentales en quantité suffisante."/>
    <x v="136"/>
    <s v="25313-Acquisition de manuels pour le collège (hors 7ème année)"/>
  </r>
  <r>
    <s v="Acquisition de manuels pour le collège (hors 7ème année)"/>
    <s v="Reproduction"/>
    <s v="manuel/col"/>
    <n v="0"/>
    <n v="751076.47389999998"/>
    <n v="182814.54699999999"/>
    <m/>
    <n v="933891.0209"/>
    <n v="4.0752999999999998E-2"/>
    <n v="0"/>
    <n v="30608.619540846699"/>
    <n v="7450.241233890999"/>
    <n v="0"/>
    <n v="38058.860774737695"/>
    <x v="13"/>
    <s v="MENA_Transversal"/>
    <s v="3. Manuels scolaires et matériels pédagogiques"/>
    <s v="DNEF"/>
    <s v="INRAP"/>
    <x v="0"/>
    <x v="1"/>
    <x v="13"/>
    <s v="253- Les élèves du primaire et du secondaire disposent des manuels des matières fondamentales en quantité suffisante."/>
    <x v="136"/>
    <s v="25313-Acquisition de manuels pour le collège (hors 7ème année)"/>
  </r>
  <r>
    <s v="Acquisition de guides pour le collège (hors 7ème année)"/>
    <s v="Reproduction"/>
    <s v="guide/ens/sec"/>
    <n v="0"/>
    <m/>
    <m/>
    <m/>
    <n v="0"/>
    <n v="4.5999999999999999E-2"/>
    <n v="0"/>
    <n v="0"/>
    <n v="0"/>
    <n v="0"/>
    <n v="0"/>
    <x v="8"/>
    <s v="MENA_Transversal"/>
    <s v="3. Manuels scolaires et matériels pédagogiques"/>
    <s v="DNEF"/>
    <s v="INRAP"/>
    <x v="0"/>
    <x v="1"/>
    <x v="13"/>
    <s v="253- Les élèves du primaire et du secondaire disposent des manuels des matières fondamentales en quantité suffisante."/>
    <x v="136"/>
    <s v="25314-Acquisition de guides pour le collège (hors 7ème année)"/>
  </r>
  <r>
    <s v="Acquisition de guides pour le collège (hors 7ème année)"/>
    <s v="Reproduction"/>
    <s v="guide/ens/sec"/>
    <n v="0"/>
    <n v="77310"/>
    <n v="11000"/>
    <m/>
    <n v="88310"/>
    <n v="4.5999999999999999E-2"/>
    <n v="0"/>
    <n v="3556.2599999999998"/>
    <n v="506"/>
    <n v="0"/>
    <n v="4062.2599999999998"/>
    <x v="1"/>
    <s v="MENA_Transversal"/>
    <s v="3. Manuels scolaires et matériels pédagogiques"/>
    <s v="DNEF"/>
    <s v="INRAP"/>
    <x v="0"/>
    <x v="1"/>
    <x v="13"/>
    <s v="253- Les élèves du primaire et du secondaire disposent des manuels des matières fondamentales en quantité suffisante."/>
    <x v="136"/>
    <s v="25314-Acquisition de guides pour le collège (hors 7ème année)"/>
  </r>
  <r>
    <s v="Acquisition de manuels (Français et Mathématiques) pour le Lycée (hors 11ème année)"/>
    <s v="Reproduction"/>
    <s v="manuel/Lyc"/>
    <n v="0"/>
    <n v="419947"/>
    <n v="101330"/>
    <m/>
    <n v="521277"/>
    <n v="5.6649999999999999E-2"/>
    <n v="0"/>
    <n v="23789.99755"/>
    <n v="5740.3445000000002"/>
    <n v="0"/>
    <n v="29530.342049999999"/>
    <x v="2"/>
    <s v="MENA_Transversal"/>
    <s v="3. Manuels scolaires et matériels pédagogiques"/>
    <s v="DNESGT"/>
    <s v="INRAP"/>
    <x v="0"/>
    <x v="1"/>
    <x v="13"/>
    <s v="253- Les élèves du primaire et du secondaire disposent des manuels des matières fondamentales en quantité suffisante."/>
    <x v="136"/>
    <s v="25315-Acquisition de manuels (Français et Mathématiques) pour le Lycée (hors 11ème année)"/>
  </r>
  <r>
    <s v="Acquisition de guides pour le Lyce (hors 11ème année)"/>
    <s v="Reproduction"/>
    <s v="guide/ens/sec"/>
    <n v="0"/>
    <n v="38483.288699999997"/>
    <n v="40820.538699999997"/>
    <m/>
    <n v="79303.827399999995"/>
    <n v="4.5999999999999999E-2"/>
    <n v="0"/>
    <n v="1770.2312801999999"/>
    <n v="1877.7447801999999"/>
    <n v="0"/>
    <n v="3647.9760603999998"/>
    <x v="2"/>
    <s v="MENA_Transversal"/>
    <s v="3. Manuels scolaires et matériels pédagogiques"/>
    <s v="DNEF"/>
    <s v="INRAP"/>
    <x v="0"/>
    <x v="1"/>
    <x v="13"/>
    <s v="253- Les élèves du primaire et du secondaire disposent des manuels des matières fondamentales en quantité suffisante."/>
    <x v="136"/>
    <s v="25316-Acquisition de guides pour le Lyce (hors 11ème année)"/>
  </r>
  <r>
    <s v="Acquisition de guides pour le Lyce (hors 11ème année)"/>
    <s v="Reproduction"/>
    <s v="guide/ens/sec"/>
    <n v="0"/>
    <n v="0"/>
    <n v="0"/>
    <n v="0"/>
    <n v="0"/>
    <n v="4.5999999999999999E-2"/>
    <n v="0"/>
    <n v="0"/>
    <n v="0"/>
    <n v="0"/>
    <n v="0"/>
    <x v="8"/>
    <s v="MENA_Transversal"/>
    <s v="3. Manuels scolaires et matériels pédagogiques"/>
    <s v="DNEF"/>
    <s v="INRAP"/>
    <x v="0"/>
    <x v="1"/>
    <x v="13"/>
    <s v="253- Les élèves du primaire et du secondaire disposent des manuels des matières fondamentales en quantité suffisante."/>
    <x v="136"/>
    <s v="25316-Acquisition de guides pour le Lyce (hors 11ème année)"/>
  </r>
  <r>
    <s v="redynamiser les comités de gestion des manuels"/>
    <m/>
    <m/>
    <n v="0"/>
    <m/>
    <m/>
    <m/>
    <m/>
    <m/>
    <m/>
    <m/>
    <m/>
    <m/>
    <m/>
    <x v="0"/>
    <m/>
    <m/>
    <m/>
    <m/>
    <x v="0"/>
    <x v="1"/>
    <x v="13"/>
    <s v="253- Les élèves du primaire et du secondaire disposent des manuels des matières fondamentales en quantité suffisante."/>
    <x v="137"/>
    <s v="2532-redynamiser les comités de gestion des manuels"/>
  </r>
  <r>
    <s v="Sensibilisation sur la distribution des manuels scolaires "/>
    <s v="sensibilisation"/>
    <s v="campagne"/>
    <n v="0"/>
    <m/>
    <m/>
    <m/>
    <n v="0"/>
    <n v="45.936799999999998"/>
    <n v="0"/>
    <n v="0"/>
    <n v="0"/>
    <n v="0"/>
    <n v="0"/>
    <x v="8"/>
    <s v="MENA_Transversal"/>
    <s v="3. Dépenses de fonctionnement"/>
    <s v="ETN"/>
    <s v="IGE"/>
    <x v="0"/>
    <x v="1"/>
    <x v="13"/>
    <s v="253- Les élèves du primaire et du secondaire disposent des manuels des matières fondamentales en quantité suffisante."/>
    <x v="137"/>
    <s v="25321-Sensibilisation sur la distribution des manuels scolaires "/>
  </r>
  <r>
    <s v="Révision des textes organisant, la gestion et la conservation des manuels (en tenant compte des résultats de l'audit activité 25331)"/>
    <s v="texte administratif"/>
    <s v="sif"/>
    <n v="0"/>
    <n v="1"/>
    <m/>
    <m/>
    <n v="1"/>
    <n v="0"/>
    <n v="0"/>
    <n v="0"/>
    <n v="0"/>
    <n v="0"/>
    <m/>
    <x v="2"/>
    <s v="MENA_Transversal"/>
    <s v=""/>
    <s v="SG"/>
    <s v="ETN"/>
    <x v="0"/>
    <x v="1"/>
    <x v="13"/>
    <s v="253- Les élèves du primaire et du secondaire disposent des manuels des matières fondamentales en quantité suffisante."/>
    <x v="137"/>
    <s v="25322-Révision des textes organisant, la gestion et la conservation des manuels (en tenant compte des résultats de l'audit activité 25331)"/>
  </r>
  <r>
    <s v="Partage et diffusion des textes"/>
    <s v="impression"/>
    <s v="IMP"/>
    <n v="0"/>
    <n v="14231.800000000001"/>
    <m/>
    <m/>
    <n v="14231.800000000001"/>
    <n v="7.4999999999999997E-3"/>
    <n v="0"/>
    <n v="106.7385"/>
    <n v="0"/>
    <n v="0"/>
    <n v="106.7385"/>
    <x v="6"/>
    <s v="MENA_Transversal"/>
    <s v="3. Dépenses de fonctionnement"/>
    <s v="ETN"/>
    <s v="IGE"/>
    <x v="0"/>
    <x v="1"/>
    <x v="13"/>
    <s v="253- Les élèves du primaire et du secondaire disposent des manuels des matières fondamentales en quantité suffisante."/>
    <x v="137"/>
    <s v="25323-Partage et diffusion des textes"/>
  </r>
  <r>
    <s v="Organisation des audits sur la gestion des manuels"/>
    <m/>
    <m/>
    <n v="0"/>
    <m/>
    <m/>
    <m/>
    <m/>
    <m/>
    <m/>
    <m/>
    <m/>
    <m/>
    <m/>
    <x v="0"/>
    <m/>
    <m/>
    <m/>
    <m/>
    <x v="0"/>
    <x v="1"/>
    <x v="13"/>
    <s v="253- Les élèves du primaire et du secondaire disposent des manuels des matières fondamentales en quantité suffisante."/>
    <x v="138"/>
    <s v="2533-Organisation des audits sur la gestion des manuels"/>
  </r>
  <r>
    <s v="Organisation d'un audit sur la gestion des manuels scolaires"/>
    <s v="Assistance technique"/>
    <s v="h/j/ci"/>
    <n v="0"/>
    <m/>
    <m/>
    <m/>
    <n v="0"/>
    <n v="10.404797"/>
    <n v="0"/>
    <n v="0"/>
    <n v="0"/>
    <n v="0"/>
    <n v="0"/>
    <x v="6"/>
    <s v="MENA_Transversal"/>
    <s v="3. Dépenses de fonctionnement"/>
    <s v="IGE"/>
    <s v="Audit"/>
    <x v="0"/>
    <x v="1"/>
    <x v="13"/>
    <s v="253- Les élèves du primaire et du secondaire disposent des manuels des matières fondamentales en quantité suffisante."/>
    <x v="138"/>
    <s v="25331-Organisation d'un audit sur la gestion des manuels scolaires"/>
  </r>
  <r>
    <s v="Mise en place de mécanismes de suivi de la gestion des manuels et développement des outils appropriés sur la base des recommandations de l'audit"/>
    <s v="Atelier"/>
    <s v="h/j/ap"/>
    <n v="0"/>
    <n v="50"/>
    <m/>
    <m/>
    <n v="50"/>
    <n v="0.255"/>
    <n v="0"/>
    <n v="12.75"/>
    <n v="0"/>
    <n v="0"/>
    <n v="12.75"/>
    <x v="6"/>
    <s v="MENA_Transversal"/>
    <s v="3. Dépenses de fonctionnement"/>
    <s v="ETN"/>
    <s v="IGE"/>
    <x v="0"/>
    <x v="1"/>
    <x v="13"/>
    <s v="253- Les élèves du primaire et du secondaire disposent des manuels des matières fondamentales en quantité suffisante."/>
    <x v="138"/>
    <s v="25332-Mise en place de mécanismes de suivi de la gestion des manuels et développement des outils appropriés sur la base des recommandations de l'audit"/>
  </r>
  <r>
    <s v="Organisation de missions régulières de suivi de la mise en œuvre des textes organisant la gestion et la conservation"/>
    <s v="Mission"/>
    <s v="h/j/m"/>
    <n v="0"/>
    <m/>
    <n v="320"/>
    <n v="640"/>
    <n v="960"/>
    <n v="0.8177777777777776"/>
    <n v="0"/>
    <n v="0"/>
    <n v="261.68888888888881"/>
    <n v="523.37777777777762"/>
    <n v="785.06666666666638"/>
    <x v="6"/>
    <s v="MENA_Transversal"/>
    <s v="3. Dépenses de fonctionnement"/>
    <s v="IGE"/>
    <s v="IGE"/>
    <x v="0"/>
    <x v="1"/>
    <x v="13"/>
    <s v="253- Les élèves du primaire et du secondaire disposent des manuels des matières fondamentales en quantité suffisante."/>
    <x v="138"/>
    <s v="25333-Organisation de missions régulières de suivi de la mise en œuvre des textes organisant la gestion et la conservation"/>
  </r>
  <r>
    <s v="Partage et diffusion des résultats du suivi"/>
    <s v="atelier"/>
    <s v="h/j/a"/>
    <n v="0"/>
    <m/>
    <n v="20"/>
    <n v="180"/>
    <n v="200"/>
    <n v="0.3133333333333333"/>
    <n v="0"/>
    <n v="0"/>
    <n v="6.2666666666666657"/>
    <n v="56.399999999999991"/>
    <n v="62.666666666666657"/>
    <x v="6"/>
    <s v="MENA_Transversal"/>
    <s v="3. Formation"/>
    <s v="IGE"/>
    <s v="IGE"/>
    <x v="0"/>
    <x v="1"/>
    <x v="13"/>
    <s v="253- Les élèves du primaire et du secondaire disposent des manuels des matières fondamentales en quantité suffisante."/>
    <x v="138"/>
    <s v="25334-Partage et diffusion des résultats du suivi"/>
  </r>
  <r>
    <s v="Mise en place des remédiations préconisées par la mission de suivi"/>
    <s v="acte administratif"/>
    <s v="sif"/>
    <n v="0"/>
    <m/>
    <n v="1"/>
    <n v="1"/>
    <n v="2"/>
    <n v="0"/>
    <n v="0"/>
    <n v="0"/>
    <n v="0"/>
    <n v="0"/>
    <m/>
    <x v="2"/>
    <s v="MENA_Transversal"/>
    <s v=""/>
    <s v="IGE"/>
    <s v="IGE"/>
    <x v="0"/>
    <x v="1"/>
    <x v="13"/>
    <s v="253- Les élèves du primaire et du secondaire disposent des manuels des matières fondamentales en quantité suffisante."/>
    <x v="138"/>
    <s v="25335-Mise en place des remédiations préconisées par la mission de suivi"/>
  </r>
  <r>
    <s v=" Les enseignants utilisent en classe les matériels didactiques et ludiques"/>
    <m/>
    <m/>
    <n v="0"/>
    <m/>
    <m/>
    <m/>
    <m/>
    <m/>
    <m/>
    <m/>
    <m/>
    <m/>
    <m/>
    <x v="0"/>
    <m/>
    <m/>
    <m/>
    <m/>
    <x v="0"/>
    <x v="1"/>
    <x v="13"/>
    <s v="254- Les enseignants utilisent en classe les matériels didactiques et ludiques"/>
    <x v="139"/>
    <s v="254- Les enseignants utilisent en classe les matériels didactiques et ludiques"/>
  </r>
  <r>
    <s v="Formation des personnes pour le développement des matériels didactiques et ludiques"/>
    <m/>
    <m/>
    <n v="0"/>
    <m/>
    <m/>
    <m/>
    <m/>
    <m/>
    <m/>
    <m/>
    <m/>
    <m/>
    <m/>
    <x v="0"/>
    <m/>
    <m/>
    <m/>
    <m/>
    <x v="0"/>
    <x v="1"/>
    <x v="13"/>
    <s v="254- Les enseignants utilisent en classe les matériels didactiques et ludiques"/>
    <x v="140"/>
    <s v="2541-Formation des personnes pour le développement des matériels didactiques et ludiques"/>
  </r>
  <r>
    <s v="Identification des enseignants devant élaborer les matériels didactiques et ludiques"/>
    <s v="Texte"/>
    <s v="sif"/>
    <n v="0"/>
    <n v="1"/>
    <n v="1"/>
    <n v="1"/>
    <n v="3"/>
    <n v="0"/>
    <n v="0"/>
    <n v="0"/>
    <n v="0"/>
    <n v="0"/>
    <m/>
    <x v="2"/>
    <s v="MENA_Transversal"/>
    <s v=""/>
    <s v="SG"/>
    <s v="INRAP"/>
    <x v="0"/>
    <x v="1"/>
    <x v="13"/>
    <s v="254- Les enseignants utilisent en classe les matériels didactiques et ludiques"/>
    <x v="140"/>
    <s v="25411-Identification des enseignants devant élaborer les matériels didactiques et ludiques"/>
  </r>
  <r>
    <s v="Appui au développement des modules de formation à la conception du matériel didactiques et ludiques"/>
    <s v="assistance technique"/>
    <s v="h/j/cn"/>
    <n v="20"/>
    <n v="20"/>
    <m/>
    <m/>
    <n v="40"/>
    <n v="2.651545"/>
    <n v="53.030900000000003"/>
    <n v="53.030900000000003"/>
    <n v="0"/>
    <n v="0"/>
    <n v="106.06180000000001"/>
    <x v="4"/>
    <s v="MENA_Transversal"/>
    <s v="3. Dépenses de fonctionnement"/>
    <s v="INRAP"/>
    <s v="Assistancetechnique"/>
    <x v="0"/>
    <x v="1"/>
    <x v="13"/>
    <s v="254- Les enseignants utilisent en classe les matériels didactiques et ludiques"/>
    <x v="140"/>
    <s v="25412-Appui au développement des modules de formation à la conception du matériel didactiques et ludiques"/>
  </r>
  <r>
    <s v="Elaboration de modules sur la conception et la fabrication matériels didactiques avec l'appui de l'assistance technique (activité 25412)"/>
    <s v="Atelier"/>
    <s v="h/j/f"/>
    <m/>
    <n v="100"/>
    <m/>
    <m/>
    <n v="100"/>
    <n v="0.67666666666666664"/>
    <n v="0"/>
    <n v="67.666666666666657"/>
    <n v="0"/>
    <n v="0"/>
    <n v="67.666666666666657"/>
    <x v="13"/>
    <s v="MENA_Transversal"/>
    <s v="3. Formation"/>
    <s v="INRAP"/>
    <s v="Assistancetechnique"/>
    <x v="0"/>
    <x v="1"/>
    <x v="13"/>
    <s v="254- Les enseignants utilisent en classe les matériels didactiques et ludiques"/>
    <x v="140"/>
    <s v="25413-Elaboration de modules sur la conception et la fabrication matériels didactiques avec l'appui de l'assistance technique (activité 25412)"/>
  </r>
  <r>
    <s v="Elaboration de modules sur la fabrication matériels ludiques avec l'appui de l'assistance technique (activité 25412)"/>
    <s v="Atelier"/>
    <s v="h/j/f"/>
    <m/>
    <n v="100"/>
    <m/>
    <m/>
    <n v="100"/>
    <n v="0.67666666666666664"/>
    <n v="0"/>
    <n v="67.666666666666657"/>
    <n v="0"/>
    <n v="0"/>
    <n v="67.666666666666657"/>
    <x v="13"/>
    <s v="MENA_Transversal"/>
    <s v="3. Formation"/>
    <s v="INRAP"/>
    <s v="Assistancetechnique"/>
    <x v="0"/>
    <x v="1"/>
    <x v="13"/>
    <s v="254- Les enseignants utilisent en classe les matériels didactiques et ludiques"/>
    <x v="140"/>
    <s v="25414-Elaboration de modules sur la fabrication matériels ludiques avec l'appui de l'assistance technique (activité 25412)"/>
  </r>
  <r>
    <s v="Formation des formateurs des éducateurs au développement de matériels ludiques (niveau DSEE)"/>
    <s v="Atelier"/>
    <s v="h/j/a"/>
    <n v="0"/>
    <m/>
    <n v="213.5"/>
    <n v="213.5"/>
    <n v="427"/>
    <n v="0.3133333333333333"/>
    <n v="0"/>
    <n v="0"/>
    <n v="66.896666666666661"/>
    <n v="66.896666666666661"/>
    <n v="133.79333333333332"/>
    <x v="1"/>
    <s v="MENA_Transversal"/>
    <s v="3. Formation"/>
    <s v="ETN"/>
    <s v="INRAP"/>
    <x v="0"/>
    <x v="1"/>
    <x v="13"/>
    <s v="254- Les enseignants utilisent en classe les matériels didactiques et ludiques"/>
    <x v="140"/>
    <s v="25415-Formation des formateurs des éducateurs au développement de matériels ludiques (niveau DSEE)"/>
  </r>
  <r>
    <s v="Formation des formateurs des éducateurs au développement de matériels ludiques (niveau DSEE)"/>
    <s v="Atelier"/>
    <s v="h/j/a"/>
    <n v="0"/>
    <m/>
    <n v="213.5"/>
    <n v="213.5"/>
    <n v="427"/>
    <n v="0.3133333333333333"/>
    <n v="0"/>
    <n v="0"/>
    <n v="66.896666666666661"/>
    <n v="66.896666666666661"/>
    <n v="133.79333333333332"/>
    <x v="1"/>
    <s v="MENA_Transversal"/>
    <s v="3. Formation"/>
    <s v="ETN"/>
    <s v="INRAP"/>
    <x v="0"/>
    <x v="1"/>
    <x v="13"/>
    <s v="254- Les enseignants utilisent en classe les matériels didactiques et ludiques"/>
    <x v="140"/>
    <s v="25415-Formation des formateurs des éducateurs au développement de matériels ludiques (niveau DSEE)"/>
  </r>
  <r>
    <s v="Conception des outils de suivi des enseignants à l'utilisation des matériels didactiques et ludiques"/>
    <s v="Atelier"/>
    <s v="h/j/ap"/>
    <m/>
    <m/>
    <n v="30"/>
    <m/>
    <n v="30"/>
    <n v="0.255"/>
    <n v="0"/>
    <n v="0"/>
    <n v="7.65"/>
    <n v="0"/>
    <n v="7.65"/>
    <x v="4"/>
    <s v="MENA_Transversal"/>
    <s v="3. Dépenses de fonctionnement"/>
    <s v="ETN"/>
    <s v="INRAP"/>
    <x v="0"/>
    <x v="1"/>
    <x v="13"/>
    <s v="254- Les enseignants utilisent en classe les matériels didactiques et ludiques"/>
    <x v="140"/>
    <s v="25416-Conception des outils de suivi des enseignants à l'utilisation des matériels didactiques et ludiques"/>
  </r>
  <r>
    <s v="Formation du noyau des formateurs à la production du matériel didactique"/>
    <s v="formation"/>
    <s v="h/j/f"/>
    <n v="8"/>
    <m/>
    <n v="400"/>
    <m/>
    <n v="408"/>
    <n v="0.67666666666666664"/>
    <n v="5.4133333333333331"/>
    <n v="0"/>
    <n v="270.66666666666663"/>
    <n v="0"/>
    <n v="276.08"/>
    <x v="4"/>
    <s v="MENA_Transversal"/>
    <s v="3. Formation"/>
    <s v="ETN"/>
    <s v="INRAP"/>
    <x v="0"/>
    <x v="1"/>
    <x v="13"/>
    <s v="254- Les enseignants utilisent en classe les matériels didactiques et ludiques"/>
    <x v="140"/>
    <s v="25417-Formation du noyau des formateurs à la production du matériel didactique"/>
  </r>
  <r>
    <s v="Formation du noyau des formateurs à la production du matériel didactique"/>
    <s v="formation"/>
    <s v="h/j/f"/>
    <n v="0"/>
    <m/>
    <n v="400"/>
    <m/>
    <n v="400"/>
    <n v="0.67666666666666664"/>
    <n v="0"/>
    <n v="0"/>
    <n v="270.66666666666663"/>
    <n v="0"/>
    <n v="270.66666666666663"/>
    <x v="1"/>
    <s v="MENA_Transversal"/>
    <s v="3. Formation"/>
    <s v="ETN"/>
    <s v="INRAP"/>
    <x v="0"/>
    <x v="1"/>
    <x v="13"/>
    <s v="254- Les enseignants utilisent en classe les matériels didactiques et ludiques"/>
    <x v="140"/>
    <s v="25417-Formation du noyau des formateurs à la production du matériel didactique"/>
  </r>
  <r>
    <s v="Développement des matériels ludiques et didactiques et équipement des CEC"/>
    <m/>
    <m/>
    <n v="0"/>
    <m/>
    <m/>
    <m/>
    <m/>
    <m/>
    <m/>
    <m/>
    <m/>
    <m/>
    <m/>
    <x v="0"/>
    <m/>
    <m/>
    <m/>
    <m/>
    <x v="0"/>
    <x v="1"/>
    <x v="13"/>
    <s v="254- Les enseignants utilisent en classe les matériels didactiques et ludiques"/>
    <x v="141"/>
    <s v="2542-Développement des matériels ludiques et didactiques et équipement des CEC"/>
  </r>
  <r>
    <s v="production du matériel ludiques par les éducateurs (acquisition de petits matériels)"/>
    <s v="Acquisition matériels"/>
    <s v="dot/préscol"/>
    <n v="50"/>
    <m/>
    <n v="50"/>
    <n v="75"/>
    <n v="175"/>
    <n v="1"/>
    <n v="50"/>
    <n v="0"/>
    <n v="50"/>
    <n v="75"/>
    <n v="175"/>
    <x v="4"/>
    <s v="MENA_Transversal"/>
    <s v="3. Manuels scolaires et matériels pédagogiques"/>
    <s v="DNEPSCE"/>
    <s v="INRAP"/>
    <x v="0"/>
    <x v="1"/>
    <x v="13"/>
    <s v="254- Les enseignants utilisent en classe les matériels didactiques et ludiques"/>
    <x v="141"/>
    <s v="25421-production du matériel ludiques par les éducateurs (acquisition de petits matériels)"/>
  </r>
  <r>
    <s v="production du matériel ludiques par les éducateurs (acquisition de petits matériels)"/>
    <s v="Acquisition matériels"/>
    <s v="dot/préscol"/>
    <n v="0"/>
    <m/>
    <n v="50"/>
    <n v="75"/>
    <n v="125"/>
    <n v="1"/>
    <n v="0"/>
    <n v="0"/>
    <n v="50"/>
    <n v="75"/>
    <n v="125"/>
    <x v="1"/>
    <s v="MENA_Transversal"/>
    <s v="3. Manuels scolaires et matériels pédagogiques"/>
    <s v="DNEPSCE"/>
    <s v="INRAP"/>
    <x v="0"/>
    <x v="1"/>
    <x v="13"/>
    <s v="254- Les enseignants utilisent en classe les matériels didactiques et ludiques"/>
    <x v="141"/>
    <s v="25421-production du matériel ludiques par les éducateurs (acquisition de petits matériels)"/>
  </r>
  <r>
    <s v="Appui à la production du matériel didactique par les IRE/DPE (subvention de fonctionnement)"/>
    <s v="pm "/>
    <s v="sif"/>
    <n v="0"/>
    <m/>
    <n v="1"/>
    <n v="1"/>
    <n v="2"/>
    <n v="0"/>
    <n v="0"/>
    <n v="0"/>
    <n v="0"/>
    <n v="0"/>
    <m/>
    <x v="2"/>
    <s v="MENA_Transversal"/>
    <s v=""/>
    <s v="ETN"/>
    <s v="INRAP"/>
    <x v="0"/>
    <x v="1"/>
    <x v="13"/>
    <s v="254- Les enseignants utilisent en classe les matériels didactiques et ludiques"/>
    <x v="141"/>
    <s v="25422-Appui à la production du matériel didactique par les IRE/DPE (subvention de fonctionnement)"/>
  </r>
  <r>
    <s v="Suivi des enseignants à l'utilisation des matériels didactiques et ludiques"/>
    <s v="travail de la DPE/DSEE"/>
    <s v="sif"/>
    <n v="0"/>
    <m/>
    <n v="1"/>
    <n v="1"/>
    <n v="2"/>
    <n v="0"/>
    <n v="0"/>
    <n v="0"/>
    <n v="0"/>
    <n v="0"/>
    <m/>
    <x v="2"/>
    <s v="MENA_Transversal"/>
    <s v=""/>
    <s v="ETN"/>
    <s v="INRAP"/>
    <x v="0"/>
    <x v="1"/>
    <x v="13"/>
    <s v="254- Les enseignants utilisent en classe les matériels didactiques et ludiques"/>
    <x v="141"/>
    <s v="25423-Suivi des enseignants à l'utilisation des matériels didactiques et ludiques"/>
  </r>
  <r>
    <s v="Aménagement et installations d'aires de jeux et de malle à lire dans les CEC"/>
    <s v="Divers"/>
    <s v="airdejeux/CEC"/>
    <m/>
    <n v="0.12504999999999999"/>
    <n v="0.12504999999999999"/>
    <n v="0.12504999999999999"/>
    <n v="0.37514999999999998"/>
    <n v="2850"/>
    <n v="2850"/>
    <n v="356.39249999999998"/>
    <n v="356.39249999999998"/>
    <n v="356.39249999999998"/>
    <n v="3919.1774999999998"/>
    <x v="13"/>
    <s v="MENA_Transversal"/>
    <s v="3. Manuels scolaires et matériels pédagogiques"/>
    <s v="DNEPSCE"/>
    <s v="DNEPSCE"/>
    <x v="0"/>
    <x v="1"/>
    <x v="13"/>
    <s v="254- Les enseignants utilisent en classe les matériels didactiques et ludiques"/>
    <x v="141"/>
    <s v="25424-Aménagement et installations d'aires de jeux et de malle à lire dans les CEC"/>
  </r>
  <r>
    <s v="Aménagement et installations d'aires de jeux et de malle à lire dans les CEC"/>
    <s v="Divers"/>
    <s v="airdejeux/CEC"/>
    <n v="0"/>
    <n v="0.15759999999999999"/>
    <n v="0.15759999999999999"/>
    <n v="0.15759999999999999"/>
    <n v="0.4728"/>
    <n v="2850"/>
    <n v="0"/>
    <n v="449.15999999999997"/>
    <n v="449.15999999999997"/>
    <n v="449.15999999999997"/>
    <n v="1347.48"/>
    <x v="13"/>
    <s v="MENA_Transversal"/>
    <s v="3. Manuels scolaires et matériels pédagogiques"/>
    <s v="DNEPSCE"/>
    <s v="DNEPSCE"/>
    <x v="0"/>
    <x v="1"/>
    <x v="13"/>
    <s v="254- Les enseignants utilisent en classe les matériels didactiques et ludiques"/>
    <x v="141"/>
    <s v="25424-Aménagement et installations d'aires de jeux et de malle à lire dans les CEC"/>
  </r>
  <r>
    <s v="Aménagement et installations d'aires de jeux et de malle à lire dans les CEC"/>
    <s v="Divers"/>
    <s v="airdejeux/CEC"/>
    <n v="0"/>
    <n v="0.21734999999999999"/>
    <n v="0.21734999999999999"/>
    <n v="0.21734999999999999"/>
    <n v="0.65205000000000002"/>
    <n v="2850"/>
    <n v="0"/>
    <n v="619.44749999999999"/>
    <n v="619.44749999999999"/>
    <n v="619.44749999999999"/>
    <n v="1858.3425"/>
    <x v="4"/>
    <s v="MENA_Transversal"/>
    <s v="3. Manuels scolaires et matériels pédagogiques"/>
    <s v="DNEPSCE"/>
    <s v="DNEPSCE"/>
    <x v="0"/>
    <x v="1"/>
    <x v="13"/>
    <s v="254- Les enseignants utilisent en classe les matériels didactiques et ludiques"/>
    <x v="141"/>
    <s v="25424-Aménagement et installations d'aires de jeux et de malle à lire dans les CEC"/>
  </r>
  <r>
    <s v="Validation du matériel didactique produit"/>
    <m/>
    <m/>
    <n v="0"/>
    <m/>
    <m/>
    <m/>
    <m/>
    <m/>
    <m/>
    <m/>
    <m/>
    <m/>
    <m/>
    <x v="0"/>
    <m/>
    <m/>
    <m/>
    <m/>
    <x v="0"/>
    <x v="1"/>
    <x v="13"/>
    <s v="254- Les enseignants utilisent en classe les matériels didactiques et ludiques"/>
    <x v="142"/>
    <s v="2543-Validation du matériel didactique produit"/>
  </r>
  <r>
    <s v="Identification par les IRE et les DPE des productions les plus pertinentes et partage avec la commission scientifique (voir activité 25121)"/>
    <s v="pm"/>
    <s v="sif"/>
    <n v="0"/>
    <m/>
    <n v="1"/>
    <n v="1"/>
    <n v="2"/>
    <n v="0"/>
    <n v="0"/>
    <n v="0"/>
    <n v="0"/>
    <n v="0"/>
    <m/>
    <x v="2"/>
    <s v="MENA_Transversal"/>
    <s v=""/>
    <s v="ETN"/>
    <s v="INRAP"/>
    <x v="0"/>
    <x v="1"/>
    <x v="13"/>
    <s v="254- Les enseignants utilisent en classe les matériels didactiques et ludiques"/>
    <x v="142"/>
    <s v="25431-Identification par les IRE et les DPE des productions les plus pertinentes et partage avec la commission scientifique (voir activité 25121)"/>
  </r>
  <r>
    <s v="choix par le comité scientifique des productions à vulgariser"/>
    <s v="Atelier"/>
    <s v="h/j/a"/>
    <n v="0"/>
    <m/>
    <n v="125"/>
    <n v="125"/>
    <n v="250"/>
    <n v="0.3133333333333333"/>
    <n v="0"/>
    <n v="0"/>
    <n v="39.166666666666664"/>
    <n v="39.166666666666664"/>
    <n v="78.333333333333329"/>
    <x v="1"/>
    <s v="MENA_Transversal"/>
    <s v="3. Formation"/>
    <s v="ETN"/>
    <s v="CS"/>
    <x v="0"/>
    <x v="1"/>
    <x v="13"/>
    <s v="254- Les enseignants utilisent en classe les matériels didactiques et ludiques"/>
    <x v="142"/>
    <s v="25432-choix par le comité scientifique des productions à vulgariser"/>
  </r>
  <r>
    <s v="Distribution du matériel validé"/>
    <m/>
    <m/>
    <n v="0"/>
    <m/>
    <m/>
    <m/>
    <m/>
    <m/>
    <m/>
    <m/>
    <m/>
    <m/>
    <m/>
    <x v="0"/>
    <m/>
    <m/>
    <m/>
    <m/>
    <x v="0"/>
    <x v="1"/>
    <x v="13"/>
    <s v="254- Les enseignants utilisent en classe les matériels didactiques et ludiques"/>
    <x v="143"/>
    <s v="2544-Distribution du matériel validé"/>
  </r>
  <r>
    <s v="Reproduction et distribution du matériel retenu"/>
    <s v="Matériel"/>
    <s v="dot/rep mat"/>
    <n v="0"/>
    <n v="1"/>
    <n v="1"/>
    <n v="1"/>
    <n v="3"/>
    <n v="300"/>
    <n v="0"/>
    <n v="300"/>
    <n v="300"/>
    <n v="300"/>
    <n v="900"/>
    <x v="1"/>
    <s v="MENA_Transversal"/>
    <s v="3. Manuels scolaires et matériels pédagogiques"/>
    <s v="ETN"/>
    <s v="INRAP"/>
    <x v="0"/>
    <x v="1"/>
    <x v="13"/>
    <s v="254- Les enseignants utilisent en classe les matériels didactiques et ludiques"/>
    <x v="143"/>
    <s v="25441-Reproduction et distribution du matériel retenu"/>
  </r>
  <r>
    <s v=" les enseignants sont plus ou moins satisfaits de leur conditions de vie"/>
    <m/>
    <m/>
    <n v="0"/>
    <m/>
    <m/>
    <m/>
    <m/>
    <m/>
    <m/>
    <m/>
    <m/>
    <m/>
    <m/>
    <x v="0"/>
    <m/>
    <m/>
    <m/>
    <m/>
    <x v="0"/>
    <x v="1"/>
    <x v="13"/>
    <s v="255- les enseignants sont plus ou moins satisfaits de leur conditions de vie"/>
    <x v="144"/>
    <s v="255- les enseignants sont plus ou moins satisfaits de leur conditions de vie"/>
  </r>
  <r>
    <s v="Amélioration des conditions de vie des enseignants"/>
    <m/>
    <m/>
    <n v="0"/>
    <m/>
    <m/>
    <m/>
    <m/>
    <m/>
    <m/>
    <m/>
    <m/>
    <m/>
    <m/>
    <x v="0"/>
    <m/>
    <m/>
    <m/>
    <m/>
    <x v="0"/>
    <x v="1"/>
    <x v="13"/>
    <s v="255- les enseignants sont plus ou moins satisfaits de leur conditions de vie"/>
    <x v="145"/>
    <s v="2551-Amélioration des conditions de vie des enseignants"/>
  </r>
  <r>
    <s v=" Mise en place d’un mécanisme de dialogue permanent syndicats des enseignants et gouvernement"/>
    <s v="atelier"/>
    <s v="h/j/a"/>
    <n v="0"/>
    <m/>
    <m/>
    <m/>
    <n v="0"/>
    <n v="0.3133333333333333"/>
    <n v="0"/>
    <n v="0"/>
    <n v="0"/>
    <n v="0"/>
    <n v="0"/>
    <x v="2"/>
    <s v="MENA_Transversal"/>
    <s v="3. Formation"/>
    <s v="DRH"/>
    <s v="IGE"/>
    <x v="0"/>
    <x v="1"/>
    <x v="13"/>
    <s v="255- les enseignants sont plus ou moins satisfaits de leur conditions de vie"/>
    <x v="145"/>
    <s v="25511- Mise en place d’un mécanisme de dialogue permanent syndicats des enseignants et gouvernement"/>
  </r>
  <r>
    <s v=" Identifier des canaux porteurs pour l’attractivité du métier d’enseignant en Guinée"/>
    <s v="atelier"/>
    <s v="h/j/a"/>
    <n v="0"/>
    <m/>
    <m/>
    <m/>
    <n v="0"/>
    <n v="0.3133333333333333"/>
    <n v="0"/>
    <n v="0"/>
    <n v="0"/>
    <n v="0"/>
    <n v="0"/>
    <x v="2"/>
    <s v="MENA_Transversal"/>
    <s v="3. Formation"/>
    <s v="Syndicats"/>
    <s v="DRH"/>
    <x v="0"/>
    <x v="1"/>
    <x v="13"/>
    <s v="255- les enseignants sont plus ou moins satisfaits de leur conditions de vie"/>
    <x v="145"/>
    <s v="25512- Identifier des canaux porteurs pour l’attractivité du métier d’enseignant en Guinée"/>
  </r>
  <r>
    <s v="Renforcement des capacités professionnelles des enseignants"/>
    <s v="atelier"/>
    <s v="h/j/a"/>
    <n v="0"/>
    <n v="175"/>
    <m/>
    <m/>
    <n v="175"/>
    <n v="0.3133333333333333"/>
    <n v="0"/>
    <n v="54.833333333333329"/>
    <n v="0"/>
    <n v="0"/>
    <n v="54.833333333333329"/>
    <x v="2"/>
    <s v="MENA_Transversal"/>
    <s v="3. Formation"/>
    <s v="Syndicats"/>
    <s v="DRH"/>
    <x v="0"/>
    <x v="1"/>
    <x v="13"/>
    <s v="255- les enseignants sont plus ou moins satisfaits de leur conditions de vie"/>
    <x v="145"/>
    <s v="25513-Renforcement des capacités professionnelles des enseignants"/>
  </r>
  <r>
    <s v=" Les laboratoires et kits sont installés progressivement dans les établissements secondaires"/>
    <m/>
    <m/>
    <n v="0"/>
    <m/>
    <m/>
    <m/>
    <m/>
    <m/>
    <m/>
    <m/>
    <m/>
    <m/>
    <m/>
    <x v="0"/>
    <m/>
    <m/>
    <m/>
    <m/>
    <x v="0"/>
    <x v="1"/>
    <x v="13"/>
    <s v="256- Les laboratoires et kits sont installés progressivement dans les établissements secondaires"/>
    <x v="146"/>
    <s v="256- Les laboratoires et kits sont installés progressivement dans les établissements secondaires"/>
  </r>
  <r>
    <s v="création de conditions pratiques d'enseignement"/>
    <m/>
    <m/>
    <n v="0"/>
    <m/>
    <m/>
    <m/>
    <m/>
    <m/>
    <m/>
    <m/>
    <m/>
    <m/>
    <m/>
    <x v="0"/>
    <m/>
    <m/>
    <m/>
    <m/>
    <x v="0"/>
    <x v="1"/>
    <x v="13"/>
    <s v="256- Les laboratoires et kits sont installés progressivement dans les établissements secondaires"/>
    <x v="147"/>
    <s v="2561-création de conditions pratiques d'enseignement"/>
  </r>
  <r>
    <s v="Mise en place d'un comité pour la déFinition d'une stratégie pour le renforcement de l'enseignement scientifique dans le secondaire"/>
    <s v="décision"/>
    <s v="sif"/>
    <n v="0"/>
    <n v="1"/>
    <m/>
    <m/>
    <n v="1"/>
    <n v="0"/>
    <n v="0"/>
    <n v="0"/>
    <n v="0"/>
    <n v="0"/>
    <m/>
    <x v="2"/>
    <s v="MENA_Transversal"/>
    <s v=""/>
    <s v="SG"/>
    <s v="DNESGT"/>
    <x v="0"/>
    <x v="1"/>
    <x v="13"/>
    <s v="256- Les laboratoires et kits sont installés progressivement dans les établissements secondaires"/>
    <x v="147"/>
    <s v="25611-Mise en place d'un comité pour la déFinition d'une stratégie pour le renforcement de l'enseignement scientifique dans le secondaire"/>
  </r>
  <r>
    <s v="Spécification par le comité du matériel à utiliser pour l'expérimentation dans des lycées pilotes"/>
    <s v="Atelier"/>
    <s v="h/j/a"/>
    <n v="0"/>
    <m/>
    <n v="100"/>
    <m/>
    <n v="100"/>
    <n v="0.3133333333333333"/>
    <n v="0"/>
    <n v="0"/>
    <n v="31.333333333333329"/>
    <n v="0"/>
    <n v="31.333333333333329"/>
    <x v="2"/>
    <s v="MENA_Transversal"/>
    <s v="3. Formation"/>
    <s v="DNESGT"/>
    <s v="CS"/>
    <x v="0"/>
    <x v="1"/>
    <x v="13"/>
    <s v="256- Les laboratoires et kits sont installés progressivement dans les établissements secondaires"/>
    <x v="147"/>
    <s v="25612-Spécification par le comité du matériel à utiliser pour l'expérimentation dans des lycées pilotes"/>
  </r>
  <r>
    <s v="Acquisition de matériel adaptés pour l'expérimentation"/>
    <s v="Matériel"/>
    <s v="Forfait/ens scien"/>
    <n v="0"/>
    <m/>
    <n v="1"/>
    <n v="1"/>
    <n v="2"/>
    <n v="5000"/>
    <n v="0"/>
    <n v="0"/>
    <n v="5000"/>
    <n v="5000"/>
    <n v="10000"/>
    <x v="2"/>
    <s v="MENA_Transversal"/>
    <s v="3. Manuels scolaires et matériels pédagogiques"/>
    <s v="C/ProDEG"/>
    <s v="DNESGT"/>
    <x v="0"/>
    <x v="1"/>
    <x v="13"/>
    <s v="256- Les laboratoires et kits sont installés progressivement dans les établissements secondaires"/>
    <x v="147"/>
    <s v="25613-Acquisition de matériel adaptés pour l'expérimentation"/>
  </r>
  <r>
    <s v="Démarrage de l'expérimentation dans les établissements pilotes"/>
    <s v="Décision"/>
    <s v="sif"/>
    <n v="0"/>
    <m/>
    <m/>
    <n v="1"/>
    <n v="1"/>
    <n v="0"/>
    <n v="0"/>
    <n v="0"/>
    <n v="0"/>
    <n v="0"/>
    <m/>
    <x v="2"/>
    <s v="MENA_Transversal"/>
    <s v=""/>
    <s v="ETN"/>
    <s v="DNESGT"/>
    <x v="0"/>
    <x v="1"/>
    <x v="13"/>
    <s v="256- Les laboratoires et kits sont installés progressivement dans les établissements secondaires"/>
    <x v="147"/>
    <s v="25614-Démarrage de l'expérimentation dans les établissements pilotes"/>
  </r>
  <r>
    <s v="Suivi de l'expérimentation"/>
    <s v="mission"/>
    <s v="h/j/m"/>
    <n v="0"/>
    <m/>
    <n v="100"/>
    <n v="100"/>
    <n v="200"/>
    <n v="0.8177777777777776"/>
    <n v="0"/>
    <n v="0"/>
    <n v="81.777777777777757"/>
    <n v="81.777777777777757"/>
    <n v="163.55555555555551"/>
    <x v="2"/>
    <s v="MENA_Transversal"/>
    <s v="3. Dépenses de fonctionnement"/>
    <s v="ETN"/>
    <s v="DNESGT"/>
    <x v="0"/>
    <x v="1"/>
    <x v="13"/>
    <s v="256- Les laboratoires et kits sont installés progressivement dans les établissements secondaires"/>
    <x v="147"/>
    <s v="25615-Suivi de l'expérimentation"/>
  </r>
  <r>
    <s v="Acquisition de mallettes pédagogiques "/>
    <s v="matériel"/>
    <s v="mallette"/>
    <n v="0"/>
    <m/>
    <m/>
    <m/>
    <n v="0"/>
    <n v="1.764"/>
    <n v="0"/>
    <n v="0"/>
    <n v="0"/>
    <n v="0"/>
    <n v="0"/>
    <x v="8"/>
    <s v="MENA_Transversal"/>
    <s v="3. Formation"/>
    <s v="ETN"/>
    <s v="DNESGT"/>
    <x v="0"/>
    <x v="1"/>
    <x v="13"/>
    <s v="256- Les laboratoires et kits sont installés progressivement dans les établissements secondaires"/>
    <x v="147"/>
    <s v="25616-Acquisition de mallettes pédagogiques "/>
  </r>
  <r>
    <s v="Promotion de l’initiative de l’enseignement des mathématiques, des sciences au Secondaire"/>
    <m/>
    <m/>
    <n v="0"/>
    <m/>
    <m/>
    <m/>
    <m/>
    <m/>
    <m/>
    <m/>
    <m/>
    <m/>
    <m/>
    <x v="0"/>
    <m/>
    <m/>
    <m/>
    <m/>
    <x v="0"/>
    <x v="1"/>
    <x v="13"/>
    <s v="256- Les laboratoires et kits sont installés progressivement dans les établissements secondaires"/>
    <x v="148"/>
    <s v="2562-Promotion de l’initiative de l’enseignement des mathématiques, des sciences au Secondaire"/>
  </r>
  <r>
    <s v="Création d'un Comité du programme MS4SSA             "/>
    <s v="Texte"/>
    <s v="sif"/>
    <n v="0"/>
    <n v="1"/>
    <m/>
    <m/>
    <n v="1"/>
    <n v="0"/>
    <n v="0"/>
    <n v="0"/>
    <n v="0"/>
    <n v="0"/>
    <m/>
    <x v="2"/>
    <s v="MENA_Transversal"/>
    <s v=""/>
    <s v="SG"/>
    <s v="DNESGT"/>
    <x v="0"/>
    <x v="1"/>
    <x v="13"/>
    <s v="256- Les laboratoires et kits sont installés progressivement dans les établissements secondaires"/>
    <x v="148"/>
    <s v="25621-Création d'un Comité du programme MS4SSA             "/>
  </r>
  <r>
    <s v="Sélection de 20 écoles pilotes (14 régions administratives et 6 à Conakry).                    "/>
    <s v="Acte administratif"/>
    <s v="sif"/>
    <n v="0"/>
    <n v="1"/>
    <m/>
    <m/>
    <n v="1"/>
    <n v="0"/>
    <n v="0"/>
    <n v="0"/>
    <n v="0"/>
    <n v="0"/>
    <m/>
    <x v="2"/>
    <s v="MENA_Transversal"/>
    <s v=""/>
    <s v="DNESGT"/>
    <s v="IRE, DPE/DCE, DE"/>
    <x v="0"/>
    <x v="1"/>
    <x v="13"/>
    <s v="256- Les laboratoires et kits sont installés progressivement dans les établissements secondaires"/>
    <x v="148"/>
    <s v="25622-Sélection de 20 écoles pilotes (14 régions administratives et 6 à Conakry).                    "/>
  </r>
  <r>
    <s v="Choix d'une équipe de 20 formateurs de formateurs."/>
    <s v="Acte administratif"/>
    <s v="sif"/>
    <n v="0"/>
    <n v="1"/>
    <m/>
    <m/>
    <n v="1"/>
    <n v="0"/>
    <n v="0"/>
    <n v="0"/>
    <n v="0"/>
    <n v="0"/>
    <m/>
    <x v="2"/>
    <s v="MENA_Transversal"/>
    <s v=""/>
    <s v="DNESGT"/>
    <s v="IRE, DPE/DCE, DE"/>
    <x v="0"/>
    <x v="1"/>
    <x v="13"/>
    <s v="256- Les laboratoires et kits sont installés progressivement dans les établissements secondaires"/>
    <x v="148"/>
    <s v="25623-Choix d'une équipe de 20 formateurs de formateurs."/>
  </r>
  <r>
    <s v="Formation de 20 formateurs à l'étranger de l'initiative MS4SSA"/>
    <s v="formation"/>
    <s v="Cu/fe"/>
    <n v="0"/>
    <n v="20"/>
    <m/>
    <m/>
    <n v="20"/>
    <n v="50.336534"/>
    <n v="0"/>
    <n v="1006.73068"/>
    <n v="0"/>
    <n v="0"/>
    <n v="1006.73068"/>
    <x v="1"/>
    <s v="MENA_Transversal"/>
    <s v="3. Formation"/>
    <s v="C/ProDEG"/>
    <s v="DNESGT"/>
    <x v="0"/>
    <x v="1"/>
    <x v="13"/>
    <s v="256- Les laboratoires et kits sont installés progressivement dans les établissements secondaires"/>
    <x v="148"/>
    <s v="25624-Formation de 20 formateurs à l'étranger de l'initiative MS4SSA"/>
  </r>
  <r>
    <s v="Equipement en ressources informatiques des structures en charge de MS4SSA"/>
    <s v="Informatique"/>
    <s v="poste de travail"/>
    <n v="0"/>
    <n v="20"/>
    <m/>
    <m/>
    <n v="20"/>
    <n v="10.034934666666667"/>
    <n v="0"/>
    <n v="200.69869333333332"/>
    <n v="0"/>
    <n v="0"/>
    <n v="200.69869333333332"/>
    <x v="1"/>
    <s v="MENA_Transversal"/>
    <s v="5. Investissement"/>
    <s v="C/ProDEG"/>
    <s v="DNESGT"/>
    <x v="0"/>
    <x v="1"/>
    <x v="13"/>
    <s v="256- Les laboratoires et kits sont installés progressivement dans les établissements secondaires"/>
    <x v="148"/>
    <s v="25625-Equipement en ressources informatiques des structures en charge de MS4SSA"/>
  </r>
  <r>
    <s v="Equipement d'une salle de formation des formateurs en informatique (ISSEG)"/>
    <s v="Informatique"/>
    <s v="ordinateur"/>
    <n v="0"/>
    <n v="20"/>
    <m/>
    <m/>
    <n v="20"/>
    <n v="5"/>
    <n v="0"/>
    <n v="100"/>
    <n v="0"/>
    <n v="0"/>
    <n v="100"/>
    <x v="1"/>
    <s v="MENA_Transversal"/>
    <s v="5. Investissement"/>
    <s v="C/ProDEG"/>
    <s v="DNESGT"/>
    <x v="0"/>
    <x v="1"/>
    <x v="13"/>
    <s v="256- Les laboratoires et kits sont installés progressivement dans les établissements secondaires"/>
    <x v="148"/>
    <s v="25626-Equipement d'une salle de formation des formateurs en informatique (ISSEG)"/>
  </r>
  <r>
    <s v="Acquisition d'équipement informatique pour les formateurs (ISSEG)"/>
    <s v="Informatique"/>
    <s v="ordin/portable"/>
    <n v="0"/>
    <n v="11"/>
    <m/>
    <m/>
    <n v="11"/>
    <n v="6.333333333333333"/>
    <n v="0"/>
    <n v="69.666666666666657"/>
    <n v="0"/>
    <n v="0"/>
    <n v="69.666666666666657"/>
    <x v="1"/>
    <s v="MENA_Transversal"/>
    <s v="5. Investissement"/>
    <s v="C/ProDEG"/>
    <s v="DNESGT"/>
    <x v="0"/>
    <x v="1"/>
    <x v="13"/>
    <s v="256- Les laboratoires et kits sont installés progressivement dans les établissements secondaires"/>
    <x v="148"/>
    <s v="25627-Acquisition d'équipement informatique pour les formateurs (ISSEG)"/>
  </r>
  <r>
    <s v="Complément d'équipement de projection pour la salle (ISSEG)"/>
    <s v="Accessoires divers"/>
    <s v="dot/ISSEG"/>
    <n v="0"/>
    <n v="1"/>
    <m/>
    <m/>
    <n v="1"/>
    <n v="241.2"/>
    <n v="0"/>
    <n v="241.2"/>
    <n v="0"/>
    <n v="0"/>
    <n v="241.2"/>
    <x v="1"/>
    <s v="MENA_Transversal"/>
    <s v="5. Investissement"/>
    <s v="C/ProDEG"/>
    <s v="DNESGT"/>
    <x v="0"/>
    <x v="1"/>
    <x v="13"/>
    <s v="256- Les laboratoires et kits sont installés progressivement dans les établissements secondaires"/>
    <x v="148"/>
    <s v="25628-Complément d'équipement de projection pour la salle (ISSEG)"/>
  </r>
  <r>
    <s v="Acquisition de véhicule pour la liaison  "/>
    <s v="Matériel roulant"/>
    <s v="véhicule 4x4"/>
    <n v="0"/>
    <m/>
    <n v="1"/>
    <m/>
    <n v="1"/>
    <n v="300"/>
    <n v="0"/>
    <n v="0"/>
    <n v="300"/>
    <n v="0"/>
    <n v="300"/>
    <x v="1"/>
    <s v="MENA_Transversal"/>
    <s v="5. Investissement"/>
    <s v="C/ProDEG"/>
    <s v="DNESGT"/>
    <x v="0"/>
    <x v="1"/>
    <x v="13"/>
    <s v="256- Les laboratoires et kits sont installés progressivement dans les établissements secondaires"/>
    <x v="148"/>
    <s v="25629-Acquisition de véhicule pour la liaison  "/>
  </r>
  <r>
    <s v="Reproduction des modules MS4SSA"/>
    <s v="impression"/>
    <s v="imp"/>
    <n v="0"/>
    <n v="63900"/>
    <m/>
    <m/>
    <n v="63900"/>
    <n v="7.4999999999999997E-3"/>
    <n v="0"/>
    <n v="479.25"/>
    <n v="0"/>
    <n v="0"/>
    <n v="479.25"/>
    <x v="1"/>
    <s v="MENA_Transversal"/>
    <s v="3. Dépenses de fonctionnement"/>
    <s v="DNESGT"/>
    <s v="DNESGT"/>
    <x v="0"/>
    <x v="1"/>
    <x v="13"/>
    <s v="256- Les laboratoires et kits sont installés progressivement dans les établissements secondaires"/>
    <x v="148"/>
    <s v="256210-Reproduction des modules MS4SSA"/>
  </r>
  <r>
    <s v="Expérimentation dans les établissements pilotes"/>
    <s v="Travaux administratif"/>
    <s v="sif"/>
    <n v="0"/>
    <m/>
    <n v="1"/>
    <n v="1"/>
    <n v="2"/>
    <n v="0"/>
    <n v="0"/>
    <n v="0"/>
    <n v="0"/>
    <n v="0"/>
    <m/>
    <x v="1"/>
    <s v="MENA_Transversal"/>
    <s v=""/>
    <s v="DNESGT"/>
    <s v="IRE, DPE/DCE, DE"/>
    <x v="0"/>
    <x v="1"/>
    <x v="13"/>
    <s v="256- Les laboratoires et kits sont installés progressivement dans les établissements secondaires"/>
    <x v="148"/>
    <s v="256211-Expérimentation dans les établissements pilotes"/>
  </r>
  <r>
    <s v="Préparation des fiches d’évaluation des modules MS4SSA pour les établissements pilotes"/>
    <s v="Atelier"/>
    <s v="h/j/ap"/>
    <n v="0"/>
    <m/>
    <n v="20"/>
    <m/>
    <n v="20"/>
    <n v="0.255"/>
    <n v="0"/>
    <n v="0"/>
    <n v="5.0999999999999996"/>
    <n v="0"/>
    <n v="5.0999999999999996"/>
    <x v="1"/>
    <s v="MENA_Transversal"/>
    <s v="3. Dépenses de fonctionnement"/>
    <s v="DNESGT"/>
    <s v="IGE, INRAP, SNCESE)"/>
    <x v="0"/>
    <x v="1"/>
    <x v="13"/>
    <s v="256- Les laboratoires et kits sont installés progressivement dans les établissements secondaires"/>
    <x v="148"/>
    <s v="256212-Préparation des fiches d’évaluation des modules MS4SSA pour les établissements pilotes"/>
  </r>
  <r>
    <s v="Observation de classe des enseignants dans l'enseignement des modules MS4SSA"/>
    <s v="Mission"/>
    <s v="h/j/m"/>
    <n v="0"/>
    <m/>
    <n v="50"/>
    <n v="50"/>
    <n v="100"/>
    <n v="0.8177777777777776"/>
    <n v="0"/>
    <n v="0"/>
    <n v="40.888888888888879"/>
    <n v="40.888888888888879"/>
    <n v="81.777777777777757"/>
    <x v="1"/>
    <s v="MENA_Transversal"/>
    <s v="3. Dépenses de fonctionnement"/>
    <s v="DNESGT"/>
    <s v="IGE"/>
    <x v="0"/>
    <x v="1"/>
    <x v="13"/>
    <s v="256- Les laboratoires et kits sont installés progressivement dans les établissements secondaires"/>
    <x v="148"/>
    <s v="256213-Observation de classe des enseignants dans l'enseignement des modules MS4SSA"/>
  </r>
  <r>
    <s v="Traitement et analyse des données recueillies (élaboration du rapport de suivi)"/>
    <s v="atelier"/>
    <s v="h/j/ap"/>
    <n v="0"/>
    <m/>
    <n v="30"/>
    <n v="24"/>
    <n v="54"/>
    <n v="0.255"/>
    <n v="0"/>
    <n v="0"/>
    <n v="7.65"/>
    <n v="6.12"/>
    <n v="13.77"/>
    <x v="1"/>
    <s v="MENA_Transversal"/>
    <s v="3. Dépenses de fonctionnement"/>
    <s v="DNESGT"/>
    <s v="IGE, INRAP, ISSEG"/>
    <x v="0"/>
    <x v="1"/>
    <x v="13"/>
    <s v="256- Les laboratoires et kits sont installés progressivement dans les établissements secondaires"/>
    <x v="148"/>
    <s v="256214-Traitement et analyse des données recueillies (élaboration du rapport de suivi)"/>
  </r>
  <r>
    <s v=" validation du rapport de suivi"/>
    <s v="Atelier"/>
    <s v="h/j/ap"/>
    <n v="0"/>
    <m/>
    <m/>
    <n v="60"/>
    <n v="60"/>
    <n v="0.255"/>
    <n v="0"/>
    <n v="0"/>
    <n v="0"/>
    <n v="15.3"/>
    <n v="15.3"/>
    <x v="1"/>
    <s v="MENA_Transversal"/>
    <s v="3. Dépenses de fonctionnement"/>
    <s v="DNESGT"/>
    <s v="IGE, INRAP, ISSEG"/>
    <x v="0"/>
    <x v="1"/>
    <x v="13"/>
    <s v="256- Les laboratoires et kits sont installés progressivement dans les établissements secondaires"/>
    <x v="148"/>
    <s v="256215- validation du rapport de suivi"/>
  </r>
  <r>
    <s v="Promotion et développement des TICE dans les enseignements apprentissages"/>
    <m/>
    <m/>
    <n v="0"/>
    <m/>
    <m/>
    <m/>
    <m/>
    <m/>
    <m/>
    <m/>
    <m/>
    <m/>
    <m/>
    <x v="0"/>
    <m/>
    <m/>
    <m/>
    <m/>
    <x v="0"/>
    <x v="1"/>
    <x v="13"/>
    <s v="256- Les laboratoires et kits sont installés progressivement dans les établissements secondaires"/>
    <x v="149"/>
    <s v="2563-Promotion et développement des TICE dans les enseignements apprentissages"/>
  </r>
  <r>
    <s v="Elaboration d'un document de politique d'introduction des TICE dans l'éducation"/>
    <s v="étude"/>
    <s v="forfait /tice"/>
    <n v="0"/>
    <m/>
    <m/>
    <m/>
    <n v="0"/>
    <n v="475"/>
    <n v="0"/>
    <n v="0"/>
    <n v="0"/>
    <n v="0"/>
    <n v="0"/>
    <x v="4"/>
    <s v="MENA_Transversal"/>
    <s v="3. Dépenses de fonctionnement"/>
    <s v="SITIC"/>
    <s v="SITIC"/>
    <x v="0"/>
    <x v="1"/>
    <x v="13"/>
    <s v="256- Les laboratoires et kits sont installés progressivement dans les établissements secondaires"/>
    <x v="149"/>
    <s v="25631-Elaboration d'un document de politique d'introduction des TICE dans l'éducation"/>
  </r>
  <r>
    <s v="Elaboration des outils de collecte des informations sur l'utilisation des TICE dans les établissements scolaires"/>
    <s v="Atelier"/>
    <s v="h/j/ap"/>
    <n v="0"/>
    <n v="50"/>
    <m/>
    <m/>
    <n v="50"/>
    <n v="0.255"/>
    <n v="0"/>
    <n v="12.75"/>
    <n v="0"/>
    <n v="0"/>
    <n v="12.75"/>
    <x v="1"/>
    <s v="MENA_Transversal"/>
    <s v="3. Dépenses de fonctionnement"/>
    <s v="SITIC"/>
    <s v=" DNESGT"/>
    <x v="0"/>
    <x v="1"/>
    <x v="13"/>
    <s v="256- Les laboratoires et kits sont installés progressivement dans les établissements secondaires"/>
    <x v="149"/>
    <s v="25632-Elaboration des outils de collecte des informations sur l'utilisation des TICE dans les établissements scolaires"/>
  </r>
  <r>
    <s v="Validation des outils"/>
    <s v="atelier"/>
    <s v="h/j/a"/>
    <n v="0"/>
    <n v="20"/>
    <m/>
    <m/>
    <n v="20"/>
    <n v="0.3133333333333333"/>
    <n v="0"/>
    <n v="6.2666666666666657"/>
    <n v="0"/>
    <n v="0"/>
    <n v="6.2666666666666657"/>
    <x v="1"/>
    <s v="MENA_Transversal"/>
    <s v="3. Formation"/>
    <s v="SITIC"/>
    <s v=" DNESGT"/>
    <x v="0"/>
    <x v="1"/>
    <x v="13"/>
    <s v="256- Les laboratoires et kits sont installés progressivement dans les établissements secondaires"/>
    <x v="149"/>
    <s v="25633-Validation des outils"/>
  </r>
  <r>
    <s v="Manuel de remplissage du questionnaire (prise en compte dans l'activité 23261)"/>
    <s v="pm"/>
    <s v="sif"/>
    <n v="0"/>
    <n v="1"/>
    <m/>
    <m/>
    <n v="1"/>
    <n v="0"/>
    <n v="0"/>
    <n v="0"/>
    <n v="0"/>
    <n v="0"/>
    <m/>
    <x v="1"/>
    <s v="MENA_Transversal"/>
    <s v=""/>
    <s v="SITIC"/>
    <s v=" DNESGT"/>
    <x v="0"/>
    <x v="1"/>
    <x v="13"/>
    <s v="256- Les laboratoires et kits sont installés progressivement dans les établissements secondaires"/>
    <x v="149"/>
    <s v="25634-Manuel de remplissage du questionnaire (prise en compte dans l'activité 23261)"/>
  </r>
  <r>
    <s v="Collecte des données (dans le cadre de l'enquête statistique annuelle)"/>
    <s v="pm"/>
    <s v="sif"/>
    <n v="0"/>
    <m/>
    <n v="1"/>
    <m/>
    <n v="1"/>
    <n v="0"/>
    <n v="0"/>
    <n v="0"/>
    <n v="0"/>
    <n v="0"/>
    <m/>
    <x v="1"/>
    <s v="MENA_Transversal"/>
    <s v=""/>
    <s v="SITIC"/>
    <s v="BSD"/>
    <x v="0"/>
    <x v="1"/>
    <x v="13"/>
    <s v="256- Les laboratoires et kits sont installés progressivement dans les établissements secondaires"/>
    <x v="149"/>
    <s v="25635-Collecte des données (dans le cadre de l'enquête statistique annuelle)"/>
  </r>
  <r>
    <s v="Traitement et analyse des données recueillies et rédaction du rapport diagnostic"/>
    <s v="Travaux administratif"/>
    <s v="sif"/>
    <n v="0"/>
    <m/>
    <n v="1"/>
    <m/>
    <n v="1"/>
    <n v="0"/>
    <n v="0"/>
    <n v="0"/>
    <n v="0"/>
    <n v="0"/>
    <m/>
    <x v="1"/>
    <s v="MENA_Transversal"/>
    <s v=""/>
    <s v="SITIC"/>
    <s v="BSD"/>
    <x v="0"/>
    <x v="1"/>
    <x v="13"/>
    <s v="256- Les laboratoires et kits sont installés progressivement dans les établissements secondaires"/>
    <x v="149"/>
    <s v="25636-Traitement et analyse des données recueillies et rédaction du rapport diagnostic"/>
  </r>
  <r>
    <s v="Validation du rapport diagnostic des TICE"/>
    <s v="Atelier"/>
    <s v="h/j/a"/>
    <n v="0"/>
    <m/>
    <n v="60"/>
    <m/>
    <n v="60"/>
    <n v="0.3133333333333333"/>
    <n v="0"/>
    <n v="0"/>
    <n v="18.799999999999997"/>
    <n v="0"/>
    <n v="18.799999999999997"/>
    <x v="1"/>
    <s v="MENA_Transversal"/>
    <s v="3. Formation"/>
    <s v="SITIC"/>
    <s v="DNESGT"/>
    <x v="0"/>
    <x v="1"/>
    <x v="13"/>
    <s v="256- Les laboratoires et kits sont installés progressivement dans les établissements secondaires"/>
    <x v="149"/>
    <s v="25637-Validation du rapport diagnostic des TICE"/>
  </r>
  <r>
    <s v="Elaboration d'un schéma directeur d'informatisation des établissements du secondaire"/>
    <s v="Atelier"/>
    <s v="h/j/ap"/>
    <n v="0"/>
    <m/>
    <n v="100"/>
    <m/>
    <n v="100"/>
    <n v="0.255"/>
    <n v="0"/>
    <n v="0"/>
    <n v="25.5"/>
    <n v="0"/>
    <n v="25.5"/>
    <x v="1"/>
    <s v="MENA_Transversal"/>
    <s v="3. Dépenses de fonctionnement"/>
    <s v="SITIC"/>
    <s v="DNESGT"/>
    <x v="0"/>
    <x v="1"/>
    <x v="13"/>
    <s v="256- Les laboratoires et kits sont installés progressivement dans les établissements secondaires"/>
    <x v="149"/>
    <s v="25638-Elaboration d'un schéma directeur d'informatisation des établissements du secondaire"/>
  </r>
  <r>
    <s v="Formation de 4 cadres du SITIC à l'extérieure sur Utilisation professionnelle de la micro-informatique et des technologies mobiles "/>
    <s v="Formation"/>
    <s v="Cu/fe"/>
    <n v="0"/>
    <m/>
    <n v="4"/>
    <m/>
    <n v="4"/>
    <n v="50.336534"/>
    <n v="0"/>
    <n v="0"/>
    <n v="201.346136"/>
    <n v="0"/>
    <n v="201.346136"/>
    <x v="1"/>
    <s v="MENA_Transversal"/>
    <s v="3. Formation"/>
    <s v="C/ProDEG"/>
    <s v="SITIC"/>
    <x v="0"/>
    <x v="1"/>
    <x v="13"/>
    <s v="256- Les laboratoires et kits sont installés progressivement dans les établissements secondaires"/>
    <x v="149"/>
    <s v="25639-Formation de 4 cadres du SITIC à l'extérieure sur Utilisation professionnelle de la micro-informatique et des technologies mobiles "/>
  </r>
  <r>
    <s v="Transfert de compétence aux cadres du SITIC sur la micro-informatique et les technologies mobiles"/>
    <s v="Travaux administratif"/>
    <s v="sif"/>
    <n v="0"/>
    <m/>
    <m/>
    <n v="1"/>
    <n v="1"/>
    <n v="0"/>
    <n v="0"/>
    <n v="0"/>
    <n v="0"/>
    <n v="0"/>
    <m/>
    <x v="2"/>
    <s v="MENA_Transversal"/>
    <s v=""/>
    <s v="SITIC"/>
    <s v="DNESGT"/>
    <x v="0"/>
    <x v="1"/>
    <x v="13"/>
    <s v="256- Les laboratoires et kits sont installés progressivement dans les établissements secondaires"/>
    <x v="149"/>
    <s v="256310-Transfert de compétence aux cadres du SITIC sur la micro-informatique et les technologies mobiles"/>
  </r>
  <r>
    <s v="Elaboration de procédures d'utilisation de suivi, d'évaluation et de gestion des cyber centres dans les établissements."/>
    <s v="Atelier"/>
    <s v="h/j/ap"/>
    <n v="0"/>
    <n v="50"/>
    <m/>
    <m/>
    <n v="50"/>
    <n v="0.255"/>
    <n v="0"/>
    <n v="12.75"/>
    <n v="0"/>
    <n v="0"/>
    <n v="12.75"/>
    <x v="1"/>
    <s v="MENA_Transversal"/>
    <s v="3. Dépenses de fonctionnement"/>
    <s v="SITIC"/>
    <s v="DNESGT"/>
    <x v="0"/>
    <x v="1"/>
    <x v="13"/>
    <s v="256- Les laboratoires et kits sont installés progressivement dans les établissements secondaires"/>
    <x v="149"/>
    <s v="256311-Elaboration de procédures d'utilisation de suivi, d'évaluation et de gestion des cyber centres dans les établissements."/>
  </r>
  <r>
    <s v="Choix des écoles pilotes pour la mise en œuvre progressive du schéma directeur/ (établissements disposants de cyber centre)"/>
    <s v="Texte"/>
    <s v="sif"/>
    <n v="0"/>
    <m/>
    <n v="1"/>
    <m/>
    <n v="1"/>
    <n v="0"/>
    <n v="0"/>
    <n v="0"/>
    <n v="0"/>
    <n v="0"/>
    <m/>
    <x v="1"/>
    <s v="MENA_Transversal"/>
    <s v=""/>
    <s v="SG"/>
    <s v="DNESGT"/>
    <x v="0"/>
    <x v="1"/>
    <x v="13"/>
    <s v="256- Les laboratoires et kits sont installés progressivement dans les établissements secondaires"/>
    <x v="149"/>
    <s v="256312-Choix des écoles pilotes pour la mise en œuvre progressive du schéma directeur/ (établissements disposants de cyber centre)"/>
  </r>
  <r>
    <s v="Formation des animateurs des centres des établissements pilotes"/>
    <s v="Atelier"/>
    <s v="h/j/f"/>
    <n v="0"/>
    <m/>
    <n v="150"/>
    <m/>
    <n v="150"/>
    <n v="0.67666666666666664"/>
    <n v="0"/>
    <n v="0"/>
    <n v="101.5"/>
    <n v="0"/>
    <n v="101.5"/>
    <x v="1"/>
    <s v="MENA_Transversal"/>
    <s v="3. Formation"/>
    <s v="SITIC"/>
    <s v="DNESGT"/>
    <x v="0"/>
    <x v="1"/>
    <x v="13"/>
    <s v="256- Les laboratoires et kits sont installés progressivement dans les établissements secondaires"/>
    <x v="149"/>
    <s v="256313-Formation des animateurs des centres des établissements pilotes"/>
  </r>
  <r>
    <s v="Dotation en complément d'équipements pour les centres informatique des établissements pilotes"/>
    <s v="équipement divers"/>
    <s v="EQ/Sal/inf"/>
    <n v="0"/>
    <m/>
    <n v="30"/>
    <m/>
    <n v="30"/>
    <n v="12.79101"/>
    <n v="0"/>
    <n v="0"/>
    <n v="383.7303"/>
    <n v="0"/>
    <n v="383.7303"/>
    <x v="1"/>
    <s v="MENA_Transversal"/>
    <s v="5. Investissement"/>
    <s v="C/ProDEG"/>
    <s v="DNESGT"/>
    <x v="0"/>
    <x v="1"/>
    <x v="13"/>
    <s v="256- Les laboratoires et kits sont installés progressivement dans les établissements secondaires"/>
    <x v="149"/>
    <s v="256314-Dotation en complément d'équipements pour les centres informatique des établissements pilotes"/>
  </r>
  <r>
    <s v="Suivi et évaluation des établissements pilotes "/>
    <s v="Mission"/>
    <s v="h/j/m"/>
    <n v="0"/>
    <m/>
    <m/>
    <n v="128"/>
    <n v="128"/>
    <n v="0.8177777777777776"/>
    <n v="0"/>
    <n v="0"/>
    <n v="0"/>
    <n v="104.67555555555553"/>
    <n v="104.67555555555553"/>
    <x v="1"/>
    <s v="MENA_Transversal"/>
    <s v="3. Dépenses de fonctionnement"/>
    <s v="SITIC"/>
    <s v="DNESGT"/>
    <x v="0"/>
    <x v="1"/>
    <x v="13"/>
    <s v="256- Les laboratoires et kits sont installés progressivement dans les établissements secondaires"/>
    <x v="149"/>
    <s v="256315-Suivi et évaluation des établissements pilotes "/>
  </r>
  <r>
    <s v="Partage des résultats de l'évaluation"/>
    <s v="Atelier"/>
    <s v="h/j/a"/>
    <n v="0"/>
    <m/>
    <m/>
    <n v="50"/>
    <n v="50"/>
    <n v="0.3133333333333333"/>
    <n v="0"/>
    <n v="0"/>
    <n v="0"/>
    <n v="15.666666666666664"/>
    <n v="15.666666666666664"/>
    <x v="1"/>
    <s v="MENA_Transversal"/>
    <s v="3. Formation"/>
    <s v="SITIC"/>
    <s v="DNESGT"/>
    <x v="0"/>
    <x v="1"/>
    <x v="13"/>
    <s v="256- Les laboratoires et kits sont installés progressivement dans les établissements secondaires"/>
    <x v="149"/>
    <s v="256316-Partage des résultats de l'évaluation"/>
  </r>
  <r>
    <s v="Amendement du schéma directeur et des différents outils en fonction des résultats de l'évaluation"/>
    <s v="Atelier"/>
    <s v="h/j/ap"/>
    <n v="0"/>
    <m/>
    <m/>
    <n v="40"/>
    <n v="40"/>
    <n v="0.255"/>
    <n v="0"/>
    <n v="0"/>
    <n v="0"/>
    <n v="10.199999999999999"/>
    <n v="10.199999999999999"/>
    <x v="1"/>
    <s v="MENA_Transversal"/>
    <s v="3. Dépenses de fonctionnement"/>
    <s v="SITIC"/>
    <s v="DNESGT"/>
    <x v="0"/>
    <x v="1"/>
    <x v="13"/>
    <s v="256- Les laboratoires et kits sont installés progressivement dans les établissements secondaires"/>
    <x v="149"/>
    <s v="256317-Amendement du schéma directeur et des différents outils en fonction des résultats de l'évaluation"/>
  </r>
  <r>
    <s v="Préparation de l'expansion (choix des établissements, calendrier, …)"/>
    <s v="Travaux administratif"/>
    <s v="sif"/>
    <n v="0"/>
    <m/>
    <m/>
    <n v="1"/>
    <n v="1"/>
    <n v="0"/>
    <n v="0"/>
    <n v="0"/>
    <n v="0"/>
    <n v="0"/>
    <m/>
    <x v="1"/>
    <s v="MENA_Transversal"/>
    <s v=""/>
    <s v="SITIC"/>
    <s v="DNESGT"/>
    <x v="0"/>
    <x v="1"/>
    <x v="13"/>
    <s v="256- Les laboratoires et kits sont installés progressivement dans les établissements secondaires"/>
    <x v="149"/>
    <s v="256318-Préparation de l'expansion (choix des établissements, calendrier, …)"/>
  </r>
  <r>
    <s v=" Extension progressive de l'enseignement de l'anglais au secondaire(collège)"/>
    <m/>
    <m/>
    <n v="0"/>
    <m/>
    <m/>
    <m/>
    <m/>
    <m/>
    <m/>
    <m/>
    <m/>
    <m/>
    <m/>
    <x v="0"/>
    <m/>
    <m/>
    <m/>
    <m/>
    <x v="0"/>
    <x v="1"/>
    <x v="13"/>
    <s v="257- Extension progressive de l'enseignement de l'anglais au secondaire(collège)"/>
    <x v="150"/>
    <s v="257- Extension progressive de l'enseignement de l'anglais au secondaire(collège)"/>
  </r>
  <r>
    <s v="Recrutement de professeurs d'anglais en quantité suffisante"/>
    <m/>
    <m/>
    <n v="0"/>
    <m/>
    <m/>
    <m/>
    <m/>
    <m/>
    <m/>
    <m/>
    <m/>
    <m/>
    <m/>
    <x v="0"/>
    <m/>
    <m/>
    <m/>
    <m/>
    <x v="0"/>
    <x v="1"/>
    <x v="13"/>
    <s v="257- Extension progressive de l'enseignement de l'anglais au secondaire(collège)"/>
    <x v="151"/>
    <s v="2571-Recrutement de professeurs d'anglais en quantité suffisante"/>
  </r>
  <r>
    <s v="Réalisation d'une étude de suivi évaluation de l'initiative (besoins en enseignants anglophones, profils, besoins en formation continue, disponibilité ressources matérielles, pertinence, etc.)"/>
    <s v="Missions"/>
    <s v="h/j/m"/>
    <n v="0"/>
    <n v="320"/>
    <m/>
    <m/>
    <n v="320"/>
    <n v="0.8177777777777776"/>
    <n v="0"/>
    <n v="261.68888888888881"/>
    <n v="0"/>
    <n v="0"/>
    <n v="261.68888888888881"/>
    <x v="13"/>
    <s v="MENA_Transversal"/>
    <s v="3. Dépenses de fonctionnement"/>
    <s v="EDP"/>
    <s v="DNESGT"/>
    <x v="0"/>
    <x v="1"/>
    <x v="13"/>
    <s v="257- Extension progressive de l'enseignement de l'anglais au secondaire(collège)"/>
    <x v="151"/>
    <s v="25711-Réalisation d'une étude de suivi évaluation de l'initiative (besoins en enseignants anglophones, profils, besoins en formation continue, disponibilité ressources matérielles, pertinence, etc.)"/>
  </r>
  <r>
    <s v="Conception et élaboration des modules"/>
    <s v="Atelier"/>
    <s v="h/j/a"/>
    <n v="0"/>
    <n v="50"/>
    <m/>
    <m/>
    <n v="50"/>
    <n v="0.3133333333333333"/>
    <n v="0"/>
    <n v="15.666666666666664"/>
    <n v="0"/>
    <n v="0"/>
    <n v="15.666666666666664"/>
    <x v="13"/>
    <s v="MENA_Transversal"/>
    <s v="3. Formation"/>
    <s v="EDP"/>
    <s v="DNESGT"/>
    <x v="0"/>
    <x v="1"/>
    <x v="13"/>
    <s v="257- Extension progressive de l'enseignement de l'anglais au secondaire(collège)"/>
    <x v="151"/>
    <s v="25712-Conception et élaboration des modules"/>
  </r>
  <r>
    <s v="Dotation des enseignants d'anglais aux collèges"/>
    <s v="PM (Programme accès)"/>
    <s v="SIF"/>
    <n v="0"/>
    <m/>
    <m/>
    <m/>
    <m/>
    <n v="0"/>
    <m/>
    <m/>
    <m/>
    <m/>
    <m/>
    <x v="13"/>
    <s v="MENA_Transversal"/>
    <s v=""/>
    <s v="DRH"/>
    <s v="DNESGT"/>
    <x v="0"/>
    <x v="1"/>
    <x v="13"/>
    <s v="257- Extension progressive de l'enseignement de l'anglais au secondaire(collège)"/>
    <x v="151"/>
    <s v="25713-Dotation des enseignants d'anglais aux collèges"/>
  </r>
  <r>
    <s v="Appui en formation continue des professeurs d'anglais"/>
    <s v="Atelier"/>
    <s v="h/j/a"/>
    <n v="0"/>
    <n v="700"/>
    <m/>
    <m/>
    <n v="700"/>
    <n v="0.3133333333333333"/>
    <n v="0"/>
    <n v="219.33333333333331"/>
    <n v="0"/>
    <n v="0"/>
    <n v="219.33333333333331"/>
    <x v="13"/>
    <s v="MENA_Transversal"/>
    <s v="3. Formation"/>
    <s v="EDP"/>
    <s v="DNESGT"/>
    <x v="0"/>
    <x v="1"/>
    <x v="13"/>
    <s v="257- Extension progressive de l'enseignement de l'anglais au secondaire(collège)"/>
    <x v="151"/>
    <s v="25714-Appui en formation continue des professeurs d'anglais"/>
  </r>
  <r>
    <s v=" Les activités extrascolaires sont diversifiées"/>
    <m/>
    <m/>
    <n v="0"/>
    <m/>
    <m/>
    <m/>
    <m/>
    <m/>
    <m/>
    <m/>
    <m/>
    <m/>
    <m/>
    <x v="0"/>
    <m/>
    <m/>
    <m/>
    <m/>
    <x v="0"/>
    <x v="1"/>
    <x v="13"/>
    <s v="258- Les activités extrascolaires sont diversifiées"/>
    <x v="152"/>
    <s v="258- Les activités extrascolaires sont diversifiées"/>
  </r>
  <r>
    <s v="Renforcement des activités artistiques, culturelles et sportives dans les écoles"/>
    <m/>
    <m/>
    <n v="0"/>
    <m/>
    <m/>
    <m/>
    <m/>
    <m/>
    <m/>
    <m/>
    <m/>
    <m/>
    <m/>
    <x v="0"/>
    <m/>
    <m/>
    <m/>
    <m/>
    <x v="0"/>
    <x v="1"/>
    <x v="13"/>
    <s v="258- Les activités extrascolaires sont diversifiées"/>
    <x v="153"/>
    <s v="2581-Renforcement des activités artistiques, culturelles et sportives dans les écoles"/>
  </r>
  <r>
    <s v="Actualisation du document de politique sur les activités artistiques, culturelles et sportives en milieu scolaire"/>
    <s v="Atelier"/>
    <s v="h/j/ap"/>
    <n v="0"/>
    <n v="100"/>
    <m/>
    <m/>
    <n v="100"/>
    <n v="0.255"/>
    <n v="0"/>
    <n v="25.5"/>
    <n v="0"/>
    <n v="0"/>
    <n v="25.5"/>
    <x v="13"/>
    <s v="MENA_Transversal"/>
    <s v="3. Dépenses de fonctionnement"/>
    <s v="SNSS"/>
    <s v="SNSS"/>
    <x v="0"/>
    <x v="1"/>
    <x v="13"/>
    <s v="258- Les activités extrascolaires sont diversifiées"/>
    <x v="153"/>
    <s v="25811-Actualisation du document de politique sur les activités artistiques, culturelles et sportives en milieu scolaire"/>
  </r>
  <r>
    <s v="Validation du document de politique sur les activités artistiques, culturelles et sportives en milieu scolaire"/>
    <s v="Atelier"/>
    <s v="h/j/a"/>
    <n v="0"/>
    <n v="100"/>
    <m/>
    <m/>
    <n v="100"/>
    <n v="0.3133333333333333"/>
    <n v="0"/>
    <n v="31.333333333333329"/>
    <n v="0"/>
    <n v="0"/>
    <n v="31.333333333333329"/>
    <x v="13"/>
    <s v="MENA_Transversal"/>
    <s v="3. Formation"/>
    <s v="SNSS"/>
    <s v="SNSS"/>
    <x v="0"/>
    <x v="1"/>
    <x v="13"/>
    <s v="258- Les activités extrascolaires sont diversifiées"/>
    <x v="153"/>
    <s v="25812-Validation du document de politique sur les activités artistiques, culturelles et sportives en milieu scolaire"/>
  </r>
  <r>
    <s v="Impression du document de politique sur les activités artistiques, culturelles et sportives en milieu scolaire"/>
    <s v="Impression"/>
    <s v="Imp"/>
    <n v="0"/>
    <n v="1000"/>
    <m/>
    <m/>
    <n v="1000"/>
    <n v="7.4999999999999997E-3"/>
    <n v="0"/>
    <n v="7.5"/>
    <n v="0"/>
    <n v="0"/>
    <n v="7.5"/>
    <x v="13"/>
    <s v="MENA_Transversal"/>
    <s v="3. Dépenses de fonctionnement"/>
    <s v="SNSS"/>
    <s v="SNSS"/>
    <x v="0"/>
    <x v="1"/>
    <x v="13"/>
    <s v="258- Les activités extrascolaires sont diversifiées"/>
    <x v="153"/>
    <s v="25813-Impression du document de politique sur les activités artistiques, culturelles et sportives en milieu scolaire"/>
  </r>
  <r>
    <s v="Vulgarisation du document de politique sur les activités artistiques, culturelles et sportives en milieu scolaire"/>
    <s v="Atelier"/>
    <s v="h/j/a"/>
    <n v="0"/>
    <m/>
    <n v="480"/>
    <m/>
    <n v="480"/>
    <n v="0.3133333333333333"/>
    <n v="0"/>
    <n v="0"/>
    <n v="150.39999999999998"/>
    <n v="0"/>
    <n v="150.39999999999998"/>
    <x v="13"/>
    <s v="MENA_Transversal"/>
    <s v="3. Formation"/>
    <s v="SNSS"/>
    <s v="SNSS"/>
    <x v="0"/>
    <x v="1"/>
    <x v="13"/>
    <s v="258- Les activités extrascolaires sont diversifiées"/>
    <x v="153"/>
    <s v="25814-Vulgarisation du document de politique sur les activités artistiques, culturelles et sportives en milieu scolaire"/>
  </r>
  <r>
    <s v="Organisation de compétitions sportives, artistiques et culturelles au niveau DSEE (prise en compte dans activité 12438)"/>
    <s v="pm"/>
    <s v="sif"/>
    <n v="0"/>
    <n v="427"/>
    <n v="427"/>
    <n v="427"/>
    <n v="1281"/>
    <n v="0"/>
    <n v="0"/>
    <n v="0"/>
    <n v="0"/>
    <n v="0"/>
    <m/>
    <x v="2"/>
    <s v="MENA_Transversal"/>
    <s v=""/>
    <s v="DPE/DCE"/>
    <s v="DSEE"/>
    <x v="0"/>
    <x v="1"/>
    <x v="13"/>
    <s v="258- Les activités extrascolaires sont diversifiées"/>
    <x v="153"/>
    <s v="25815-Organisation de compétitions sportives, artistiques et culturelles au niveau DSEE (prise en compte dans activité 12438)"/>
  </r>
  <r>
    <s v="Organisation de compétitions sportives, artistiques et culturelles au niveau DPE/DCE (prise en compte dans activité 12438)"/>
    <s v="pm"/>
    <s v="sif"/>
    <n v="0"/>
    <n v="38"/>
    <n v="38"/>
    <n v="38"/>
    <n v="114"/>
    <n v="0"/>
    <n v="0"/>
    <n v="0"/>
    <n v="0"/>
    <n v="0"/>
    <m/>
    <x v="2"/>
    <s v="MENA_Transversal"/>
    <s v=""/>
    <s v="IRE"/>
    <s v="DPE/DCE"/>
    <x v="0"/>
    <x v="1"/>
    <x v="13"/>
    <s v="258- Les activités extrascolaires sont diversifiées"/>
    <x v="153"/>
    <s v="25816-Organisation de compétitions sportives, artistiques et culturelles au niveau DPE/DCE (prise en compte dans activité 12438)"/>
  </r>
  <r>
    <s v="Organisation de compétitions sportives, artistiques et culturelles au niveau IRE (prise en compte dans activité 12438)"/>
    <s v="pm"/>
    <s v="sif"/>
    <n v="0"/>
    <n v="8"/>
    <n v="8"/>
    <n v="8"/>
    <n v="24"/>
    <n v="0"/>
    <n v="0"/>
    <n v="0"/>
    <n v="0"/>
    <n v="0"/>
    <m/>
    <x v="2"/>
    <s v="MENA_Transversal"/>
    <s v=""/>
    <s v="SNSS"/>
    <s v="IRE"/>
    <x v="0"/>
    <x v="1"/>
    <x v="13"/>
    <s v="258- Les activités extrascolaires sont diversifiées"/>
    <x v="153"/>
    <s v="25817-Organisation de compétitions sportives, artistiques et culturelles au niveau IRE (prise en compte dans activité 12438)"/>
  </r>
  <r>
    <s v="Organisation de compétitions sportives, artistiques et culturelles au niveau National"/>
    <s v="Forfait"/>
    <s v="dot/an/mena"/>
    <n v="0"/>
    <n v="1"/>
    <n v="1"/>
    <n v="1"/>
    <n v="3"/>
    <n v="185.47499999999999"/>
    <n v="0"/>
    <n v="185.47499999999999"/>
    <n v="185.47499999999999"/>
    <n v="185.47499999999999"/>
    <n v="556.42499999999995"/>
    <x v="2"/>
    <s v="MENA_Transversal"/>
    <s v="4. Transferts et subventions"/>
    <s v="SNSS"/>
    <s v="SNSS"/>
    <x v="0"/>
    <x v="1"/>
    <x v="13"/>
    <s v="258- Les activités extrascolaires sont diversifiées"/>
    <x v="153"/>
    <s v="25818-Organisation de compétitions sportives, artistiques et culturelles au niveau National"/>
  </r>
  <r>
    <s v=" Examen et évaluation"/>
    <m/>
    <m/>
    <n v="0"/>
    <m/>
    <m/>
    <m/>
    <m/>
    <m/>
    <m/>
    <m/>
    <m/>
    <m/>
    <m/>
    <x v="0"/>
    <m/>
    <m/>
    <m/>
    <m/>
    <x v="0"/>
    <x v="1"/>
    <x v="14"/>
    <s v="26- Examen et évaluation"/>
    <x v="154"/>
    <s v="26- Examen et évaluation"/>
  </r>
  <r>
    <s v=" Les évaluations des acquis au primaire et secondaire sont régulières, exploitées et disséminées.  "/>
    <m/>
    <m/>
    <n v="0"/>
    <m/>
    <m/>
    <m/>
    <m/>
    <m/>
    <m/>
    <m/>
    <m/>
    <m/>
    <m/>
    <x v="0"/>
    <m/>
    <m/>
    <m/>
    <m/>
    <x v="0"/>
    <x v="1"/>
    <x v="14"/>
    <s v="261- Les évaluations des acquis au primaire et secondaire sont régulières, exploitées et disséminées.  "/>
    <x v="155"/>
    <s v="261- Les évaluations des acquis au primaire et secondaire sont régulières, exploitées et disséminées.  "/>
  </r>
  <r>
    <s v="Conception et la validation des outils de collecte de données"/>
    <m/>
    <m/>
    <n v="0"/>
    <m/>
    <m/>
    <m/>
    <m/>
    <m/>
    <m/>
    <m/>
    <m/>
    <m/>
    <m/>
    <x v="0"/>
    <m/>
    <m/>
    <m/>
    <m/>
    <x v="0"/>
    <x v="1"/>
    <x v="14"/>
    <s v="261- Les évaluations des acquis au primaire et secondaire sont régulières, exploitées et disséminées.  "/>
    <x v="156"/>
    <s v="2611-Conception et la validation des outils de collecte de données"/>
  </r>
  <r>
    <s v="Actualisation des outils d'évaluation au primaire"/>
    <s v="Atelier"/>
    <s v="h/j/ap"/>
    <n v="0"/>
    <m/>
    <n v="70"/>
    <m/>
    <n v="70"/>
    <n v="0.255"/>
    <n v="0"/>
    <n v="0"/>
    <n v="17.850000000000001"/>
    <n v="0"/>
    <n v="17.850000000000001"/>
    <x v="1"/>
    <s v="MENA_Transversal"/>
    <s v="3. Dépenses de fonctionnement"/>
    <s v="DNEF"/>
    <s v="SNCESE"/>
    <x v="0"/>
    <x v="1"/>
    <x v="14"/>
    <s v="261- Les évaluations des acquis au primaire et secondaire sont régulières, exploitées et disséminées.  "/>
    <x v="156"/>
    <s v="26111-Actualisation des outils d'évaluation au primaire"/>
  </r>
  <r>
    <s v="Conception des outils d'évaluation des acquis des élèves au collège"/>
    <s v="Atelier"/>
    <s v="h/j/a"/>
    <n v="0"/>
    <m/>
    <n v="175"/>
    <m/>
    <n v="175"/>
    <n v="0.3133333333333333"/>
    <n v="0"/>
    <n v="0"/>
    <n v="54.833333333333329"/>
    <n v="0"/>
    <n v="54.833333333333329"/>
    <x v="1"/>
    <s v="MENA_Transversal"/>
    <s v="3. Formation"/>
    <s v="DNESGT"/>
    <s v="SNCESE"/>
    <x v="0"/>
    <x v="1"/>
    <x v="14"/>
    <s v="261- Les évaluations des acquis au primaire et secondaire sont régulières, exploitées et disséminées.  "/>
    <x v="156"/>
    <s v="26112-Conception des outils d'évaluation des acquis des élèves au collège"/>
  </r>
  <r>
    <s v="Formation des administrateurs de test pour l'expérimentation des outils"/>
    <s v="Atelier"/>
    <s v="h/j/a"/>
    <n v="0"/>
    <m/>
    <n v="80"/>
    <m/>
    <n v="80"/>
    <n v="0.3133333333333333"/>
    <n v="0"/>
    <n v="0"/>
    <n v="25.066666666666663"/>
    <n v="0"/>
    <n v="25.066666666666663"/>
    <x v="1"/>
    <s v="MENA_Transversal"/>
    <s v="3. Formation"/>
    <s v="SNCESE"/>
    <s v="SNCESE"/>
    <x v="0"/>
    <x v="1"/>
    <x v="14"/>
    <s v="261- Les évaluations des acquis au primaire et secondaire sont régulières, exploitées et disséminées.  "/>
    <x v="156"/>
    <s v="26113-Formation des administrateurs de test pour l'expérimentation des outils"/>
  </r>
  <r>
    <s v="Collecte de données sur le terrain dans 20 écoles pour tester les outils"/>
    <s v="Mission"/>
    <s v="h/j/a"/>
    <n v="0"/>
    <m/>
    <n v="80"/>
    <m/>
    <n v="80"/>
    <n v="0.3133333333333333"/>
    <n v="0"/>
    <n v="0"/>
    <n v="25.066666666666663"/>
    <n v="0"/>
    <n v="25.066666666666663"/>
    <x v="1"/>
    <s v="MENA_Transversal"/>
    <s v="3. Formation"/>
    <s v="SNCESE"/>
    <s v="SNCESE"/>
    <x v="0"/>
    <x v="1"/>
    <x v="14"/>
    <s v="261- Les évaluations des acquis au primaire et secondaire sont régulières, exploitées et disséminées.  "/>
    <x v="156"/>
    <s v="26114-Collecte de données sur le terrain dans 20 écoles pour tester les outils"/>
  </r>
  <r>
    <s v="Analyse psychométrique des items et Finalisation des instruments de collecte"/>
    <s v="Atelier"/>
    <s v="h/j/ap"/>
    <n v="0"/>
    <m/>
    <n v="100"/>
    <m/>
    <n v="100"/>
    <n v="0.255"/>
    <n v="0"/>
    <n v="0"/>
    <n v="25.5"/>
    <n v="0"/>
    <n v="25.5"/>
    <x v="1"/>
    <s v="MENA_Transversal"/>
    <s v="3. Dépenses de fonctionnement"/>
    <s v="SNCESE"/>
    <s v="SNCESE"/>
    <x v="0"/>
    <x v="1"/>
    <x v="14"/>
    <s v="261- Les évaluations des acquis au primaire et secondaire sont régulières, exploitées et disséminées.  "/>
    <x v="156"/>
    <s v="26115-Analyse psychométrique des items et Finalisation des instruments de collecte"/>
  </r>
  <r>
    <s v="Evaluation standardisée des acquis des élèves (CP2, CE2 et CM2) : Mise à échelle &quot;Collecte&quot;, analyse et la rédaction du rapport d’évaluation"/>
    <m/>
    <m/>
    <n v="0"/>
    <m/>
    <m/>
    <m/>
    <m/>
    <m/>
    <m/>
    <m/>
    <m/>
    <m/>
    <m/>
    <x v="0"/>
    <m/>
    <m/>
    <m/>
    <m/>
    <x v="0"/>
    <x v="1"/>
    <x v="14"/>
    <s v="261- Les évaluations des acquis au primaire et secondaire sont régulières, exploitées et disséminées.  "/>
    <x v="157"/>
    <s v="2612-Evaluation standardisée des acquis des élèves (CP2, CE2 et CM2) : Mise à échelle &quot;Collecte&quot;, analyse et la rédaction du rapport d’évaluation"/>
  </r>
  <r>
    <s v="Evaluation des acquis des élèves du CP2 (Reprographie des outils, colisage, échantillonnage, achat de petit matériel, formation, collecte, traitement, etc.)"/>
    <s v="Evaluation"/>
    <s v="Evaluation/prim"/>
    <n v="0"/>
    <m/>
    <m/>
    <n v="1"/>
    <n v="1"/>
    <n v="1152"/>
    <n v="0"/>
    <n v="0"/>
    <n v="0"/>
    <n v="1152"/>
    <n v="1152"/>
    <x v="1"/>
    <s v="MENA_Transversal"/>
    <s v="3. Dépenses de fonctionnement"/>
    <s v="DNEF"/>
    <s v="SNCESE"/>
    <x v="0"/>
    <x v="1"/>
    <x v="14"/>
    <s v="261- Les évaluations des acquis au primaire et secondaire sont régulières, exploitées et disséminées.  "/>
    <x v="157"/>
    <s v="26121-Evaluation des acquis des élèves du CP2 (Reprographie des outils, colisage, échantillonnage, achat de petit matériel, formation, collecte, traitement, etc.)"/>
  </r>
  <r>
    <s v="Evaluation des acquis des élèves du CE2 (Reprographie des outils, colisage, échantillonnage, achat de petit matériel, formation, collecte, traitement, etc.)"/>
    <s v="Evaluation"/>
    <s v="Evaluation/prim"/>
    <n v="0"/>
    <m/>
    <n v="1"/>
    <m/>
    <n v="1"/>
    <n v="1152"/>
    <n v="0"/>
    <n v="0"/>
    <n v="1152"/>
    <n v="0"/>
    <n v="1152"/>
    <x v="1"/>
    <s v="MENA_Transversal"/>
    <s v="3. Dépenses de fonctionnement"/>
    <s v="DNEF"/>
    <s v="SNCESE"/>
    <x v="0"/>
    <x v="1"/>
    <x v="14"/>
    <s v="261- Les évaluations des acquis au primaire et secondaire sont régulières, exploitées et disséminées.  "/>
    <x v="157"/>
    <s v="26122-Evaluation des acquis des élèves du CE2 (Reprographie des outils, colisage, échantillonnage, achat de petit matériel, formation, collecte, traitement, etc.)"/>
  </r>
  <r>
    <s v="Evaluation des acquis des élèves du CM2 (Reprographie des outils, colisage, échantillonnage, achat de petit matériel, formation, collecte, traitement, etc.)"/>
    <s v="Evaluation"/>
    <s v="Evaluation/prim"/>
    <n v="0"/>
    <n v="1"/>
    <m/>
    <m/>
    <n v="1"/>
    <n v="1152"/>
    <n v="0"/>
    <n v="1152"/>
    <n v="0"/>
    <n v="0"/>
    <n v="1152"/>
    <x v="1"/>
    <s v="MENA_Transversal"/>
    <s v="3. Dépenses de fonctionnement"/>
    <s v="DNEF"/>
    <s v="SNCESE"/>
    <x v="0"/>
    <x v="1"/>
    <x v="14"/>
    <s v="261- Les évaluations des acquis au primaire et secondaire sont régulières, exploitées et disséminées.  "/>
    <x v="157"/>
    <s v="26123-Evaluation des acquis des élèves du CM2 (Reprographie des outils, colisage, échantillonnage, achat de petit matériel, formation, collecte, traitement, etc.)"/>
  </r>
  <r>
    <s v="Evaluation Internationale PASEC2019"/>
    <s v="Evaluation"/>
    <s v="éval/pasec"/>
    <n v="0"/>
    <m/>
    <m/>
    <m/>
    <n v="0"/>
    <n v="3325"/>
    <n v="0"/>
    <n v="0"/>
    <n v="0"/>
    <n v="0"/>
    <n v="0"/>
    <x v="8"/>
    <s v="MENA_Transversal"/>
    <s v="3. Dépenses de fonctionnement"/>
    <s v="Cabinet MEN-A"/>
    <s v="PASEC-Guinée"/>
    <x v="0"/>
    <x v="1"/>
    <x v="14"/>
    <s v="261- Les évaluations des acquis au primaire et secondaire sont régulières, exploitées et disséminées.  "/>
    <x v="157"/>
    <s v="26124-Evaluation Internationale PASEC2019"/>
  </r>
  <r>
    <s v="Evaluation de type EGRA"/>
    <s v="evaluation"/>
    <s v="éval/egra"/>
    <n v="0"/>
    <m/>
    <m/>
    <m/>
    <n v="0"/>
    <n v="538.00300000000004"/>
    <n v="0"/>
    <n v="0"/>
    <n v="0"/>
    <n v="0"/>
    <n v="0"/>
    <x v="8"/>
    <s v="MENA_Transversal"/>
    <s v="3. Dépenses de fonctionnement"/>
    <s v="INRAP"/>
    <s v="SNCESE"/>
    <x v="0"/>
    <x v="1"/>
    <x v="14"/>
    <s v="261- Les évaluations des acquis au primaire et secondaire sont régulières, exploitées et disséminées.  "/>
    <x v="157"/>
    <s v="26125-Evaluation de type EGRA"/>
  </r>
  <r>
    <s v="Evaluation de type EGRA"/>
    <s v="evaluation"/>
    <s v="éval/egra"/>
    <n v="0"/>
    <m/>
    <m/>
    <n v="1"/>
    <n v="1"/>
    <n v="538.00300000000004"/>
    <n v="0"/>
    <n v="0"/>
    <n v="0"/>
    <n v="538.00300000000004"/>
    <n v="538.00300000000004"/>
    <x v="1"/>
    <s v="MENA_Transversal"/>
    <s v="3. Dépenses de fonctionnement"/>
    <s v="INRAP"/>
    <s v="SNCESE"/>
    <x v="0"/>
    <x v="1"/>
    <x v="14"/>
    <s v="261- Les évaluations des acquis au primaire et secondaire sont régulières, exploitées et disséminées.  "/>
    <x v="157"/>
    <s v="26125-Evaluation de type EGRA"/>
  </r>
  <r>
    <s v="Evaluation standardisée des acquis des élèves au secondaire : Mise échelle, analyse et la rédaction du rapport d’évaluation"/>
    <m/>
    <m/>
    <n v="0"/>
    <m/>
    <m/>
    <m/>
    <m/>
    <m/>
    <m/>
    <m/>
    <m/>
    <m/>
    <m/>
    <x v="0"/>
    <m/>
    <m/>
    <m/>
    <m/>
    <x v="0"/>
    <x v="1"/>
    <x v="14"/>
    <s v="261- Les évaluations des acquis au primaire et secondaire sont régulières, exploitées et disséminées.  "/>
    <x v="158"/>
    <s v="2613-Evaluation standardisée des acquis des élèves au secondaire : Mise échelle, analyse et la rédaction du rapport d’évaluation"/>
  </r>
  <r>
    <s v="Evaluation des acquis des élèves de la 9éme année (Reprographie des outils, colisage, échantillonnage, achat de petit matériel, formation, collecte, traitement, etc.)"/>
    <s v="Evaluation"/>
    <s v="Evaluation/Col"/>
    <n v="0"/>
    <m/>
    <m/>
    <n v="1"/>
    <n v="1"/>
    <n v="889.63750000000005"/>
    <n v="0"/>
    <n v="0"/>
    <n v="0"/>
    <n v="889.63750000000005"/>
    <n v="889.63750000000005"/>
    <x v="1"/>
    <s v="MENA_Transversal"/>
    <s v="3. Dépenses de fonctionnement"/>
    <s v="DNESGT"/>
    <s v="SNCESE"/>
    <x v="0"/>
    <x v="1"/>
    <x v="14"/>
    <s v="261- Les évaluations des acquis au primaire et secondaire sont régulières, exploitées et disséminées.  "/>
    <x v="158"/>
    <s v="26131-Evaluation des acquis des élèves de la 9éme année (Reprographie des outils, colisage, échantillonnage, achat de petit matériel, formation, collecte, traitement, etc.)"/>
  </r>
  <r>
    <s v="Dissémination des résultats des évaluations à tous les niveaux (Régions, préfecture, DSEE et Ecoles)"/>
    <m/>
    <m/>
    <n v="0"/>
    <m/>
    <m/>
    <m/>
    <m/>
    <m/>
    <m/>
    <m/>
    <m/>
    <m/>
    <m/>
    <x v="0"/>
    <m/>
    <m/>
    <m/>
    <m/>
    <x v="0"/>
    <x v="1"/>
    <x v="14"/>
    <s v="261- Les évaluations des acquis au primaire et secondaire sont régulières, exploitées et disséminées.  "/>
    <x v="159"/>
    <s v="2614-Dissémination des résultats des évaluations à tous les niveaux (Régions, préfecture, DSEE et Ecoles)"/>
  </r>
  <r>
    <s v="Partage des résultats des rapports d'évaluation au niveau déconcentré "/>
    <s v="Atelier"/>
    <s v="h/j/a"/>
    <n v="0"/>
    <m/>
    <n v="184"/>
    <n v="184"/>
    <n v="368"/>
    <n v="0.3133333333333333"/>
    <n v="0"/>
    <n v="0"/>
    <n v="57.653333333333329"/>
    <n v="57.653333333333329"/>
    <n v="115.30666666666666"/>
    <x v="1"/>
    <s v="MENA_Transversal"/>
    <s v="3. Formation"/>
    <s v="SNCESE"/>
    <s v="SNCESE"/>
    <x v="0"/>
    <x v="1"/>
    <x v="14"/>
    <s v="261- Les évaluations des acquis au primaire et secondaire sont régulières, exploitées et disséminées.  "/>
    <x v="159"/>
    <s v="26141-Partage des résultats des rapports d'évaluation au niveau déconcentré "/>
  </r>
  <r>
    <s v="Partage des résultats du rapport d'analyse des examens nationaux au niveau déconcentré "/>
    <s v="Atelier"/>
    <s v="h/j/f"/>
    <n v="0"/>
    <m/>
    <n v="184"/>
    <n v="184"/>
    <n v="92"/>
    <n v="0.67666666666666664"/>
    <n v="0"/>
    <n v="0"/>
    <n v="124.50666666666666"/>
    <n v="124.50666666666666"/>
    <n v="249.01333333333332"/>
    <x v="1"/>
    <s v="MENA_Transversal"/>
    <s v="3. Formation"/>
    <s v="SNECOS"/>
    <s v="SNCESE"/>
    <x v="0"/>
    <x v="1"/>
    <x v="14"/>
    <s v="261- Les évaluations des acquis au primaire et secondaire sont régulières, exploitées et disséminées.  "/>
    <x v="159"/>
    <s v="26142-Partage des résultats du rapport d'analyse des examens nationaux au niveau déconcentré "/>
  </r>
  <r>
    <s v="Renforcement des capacités du service national d'évaluation"/>
    <m/>
    <m/>
    <n v="0"/>
    <m/>
    <m/>
    <m/>
    <m/>
    <m/>
    <m/>
    <m/>
    <m/>
    <m/>
    <m/>
    <x v="0"/>
    <m/>
    <m/>
    <m/>
    <m/>
    <x v="0"/>
    <x v="1"/>
    <x v="14"/>
    <s v="261- Les évaluations des acquis au primaire et secondaire sont régulières, exploitées et disséminées.  "/>
    <x v="160"/>
    <s v="2615-Renforcement des capacités du service national d'évaluation"/>
  </r>
  <r>
    <s v="Formation à l'extérieur de 4 cadres du SNCESE en analyse psychométrique et en analyse des données"/>
    <s v="formation à l'étranger"/>
    <s v="h/an/fe"/>
    <n v="0"/>
    <n v="2"/>
    <n v="2"/>
    <m/>
    <n v="4"/>
    <n v="107.95"/>
    <n v="0"/>
    <n v="215.9"/>
    <n v="215.9"/>
    <n v="0"/>
    <n v="431.8"/>
    <x v="1"/>
    <s v="MENA_Transversal"/>
    <s v="3. Formation"/>
    <s v="C/ProDEG"/>
    <s v="SNCESE"/>
    <x v="0"/>
    <x v="1"/>
    <x v="14"/>
    <s v="261- Les évaluations des acquis au primaire et secondaire sont régulières, exploitées et disséminées.  "/>
    <x v="160"/>
    <s v="26151-Formation à l'extérieur de 4 cadres du SNCESE en analyse psychométrique et en analyse des données"/>
  </r>
  <r>
    <s v="Transfert de compétence de 20 cadres du SNCESE en analyse du 1er degré (Statistique descriptive, nettoyage des fichiers, conception d'un masque de saisie etc.) en faisant faire "/>
    <s v="travaux"/>
    <s v="sif"/>
    <n v="0"/>
    <m/>
    <n v="1"/>
    <n v="1"/>
    <n v="2"/>
    <n v="0"/>
    <n v="0"/>
    <n v="0"/>
    <n v="0"/>
    <n v="0"/>
    <m/>
    <x v="1"/>
    <s v="MENA_Transversal"/>
    <s v=""/>
    <s v="SNCESE"/>
    <s v="SNCESE"/>
    <x v="0"/>
    <x v="1"/>
    <x v="14"/>
    <s v="261- Les évaluations des acquis au primaire et secondaire sont régulières, exploitées et disséminées.  "/>
    <x v="160"/>
    <s v="26152-Transfert de compétence de 20 cadres du SNCESE en analyse du 1er degré (Statistique descriptive, nettoyage des fichiers, conception d'un masque de saisie etc.) en faisant faire "/>
  </r>
  <r>
    <s v="Equipement en matériel informatique du service d'évaluation"/>
    <s v="informatique"/>
    <s v="poste de travail"/>
    <n v="0"/>
    <m/>
    <n v="20"/>
    <n v="10"/>
    <n v="30"/>
    <n v="10.034934666666667"/>
    <n v="0"/>
    <n v="0"/>
    <n v="200.69869333333332"/>
    <n v="100.34934666666666"/>
    <n v="301.04804000000001"/>
    <x v="1"/>
    <s v="MENA_Transversal"/>
    <s v="5. Investissement"/>
    <s v="C/ProDEG"/>
    <s v="SNCESE"/>
    <x v="0"/>
    <x v="1"/>
    <x v="14"/>
    <s v="261- Les évaluations des acquis au primaire et secondaire sont régulières, exploitées et disséminées.  "/>
    <x v="160"/>
    <s v="26153-Equipement en matériel informatique du service d'évaluation"/>
  </r>
  <r>
    <s v="Acquisition de logiciels de traitement de données&quot;SPSS, SPAD&quot;"/>
    <s v="accessoires"/>
    <s v="Logiciel"/>
    <n v="0"/>
    <m/>
    <n v="16"/>
    <m/>
    <n v="16"/>
    <n v="10.5"/>
    <n v="0"/>
    <n v="0"/>
    <n v="168"/>
    <n v="0"/>
    <n v="168"/>
    <x v="1"/>
    <s v="MENA_Transversal"/>
    <s v="5. Investissement"/>
    <s v="C/ProDEG"/>
    <s v="SNCESE"/>
    <x v="0"/>
    <x v="1"/>
    <x v="14"/>
    <s v="261- Les évaluations des acquis au primaire et secondaire sont régulières, exploitées et disséminées.  "/>
    <x v="160"/>
    <s v="26154-Acquisition de logiciels de traitement de données&quot;SPSS, SPAD&quot;"/>
  </r>
  <r>
    <s v="Acquisition d'un véhicule pour la supervision des activités d'évaluation"/>
    <s v="Matériel roulant"/>
    <s v="véhicule 4x4"/>
    <n v="0"/>
    <m/>
    <n v="1"/>
    <m/>
    <n v="1"/>
    <n v="300"/>
    <n v="0"/>
    <n v="0"/>
    <n v="300"/>
    <n v="0"/>
    <n v="300"/>
    <x v="1"/>
    <s v="MENA_Transversal"/>
    <s v="5. Investissement"/>
    <s v="C/ProDEG"/>
    <s v="SNCESE"/>
    <x v="0"/>
    <x v="1"/>
    <x v="14"/>
    <s v="261- Les évaluations des acquis au primaire et secondaire sont régulières, exploitées et disséminées.  "/>
    <x v="160"/>
    <s v="26155-Acquisition d'un véhicule pour la supervision des activités d'évaluation"/>
  </r>
  <r>
    <s v="Renforcement des évaluations pilotes"/>
    <m/>
    <m/>
    <n v="0"/>
    <m/>
    <m/>
    <m/>
    <m/>
    <m/>
    <m/>
    <m/>
    <m/>
    <m/>
    <m/>
    <x v="0"/>
    <m/>
    <m/>
    <m/>
    <m/>
    <x v="0"/>
    <x v="1"/>
    <x v="14"/>
    <s v="261- Les évaluations des acquis au primaire et secondaire sont régulières, exploitées et disséminées.  "/>
    <x v="161"/>
    <s v="2616-Renforcement des évaluations pilotes"/>
  </r>
  <r>
    <s v="Evaluation des acquis scolaires et préscolaires dans les communes de convergence"/>
    <s v="Divers"/>
    <s v="évaluation"/>
    <n v="1"/>
    <m/>
    <m/>
    <m/>
    <n v="1"/>
    <n v="570"/>
    <n v="0"/>
    <n v="0"/>
    <n v="0"/>
    <n v="0"/>
    <n v="0"/>
    <x v="4"/>
    <s v="MENA_Transversal"/>
    <s v="3. Dépenses de fonctionnement"/>
    <s v="SNCESE"/>
    <s v="SNCESE"/>
    <x v="0"/>
    <x v="1"/>
    <x v="14"/>
    <s v="261- Les évaluations des acquis au primaire et secondaire sont régulières, exploitées et disséminées.  "/>
    <x v="161"/>
    <s v="26161-Evaluation des acquis scolaires et préscolaires dans les communes de convergence"/>
  </r>
  <r>
    <s v=" La fiabilité des examens nationaux est améliorée"/>
    <m/>
    <m/>
    <n v="0"/>
    <m/>
    <m/>
    <m/>
    <m/>
    <m/>
    <m/>
    <m/>
    <m/>
    <m/>
    <m/>
    <x v="0"/>
    <m/>
    <m/>
    <m/>
    <m/>
    <x v="0"/>
    <x v="1"/>
    <x v="14"/>
    <s v="262- La fiabilité des examens nationaux est améliorée"/>
    <x v="162"/>
    <s v="262- La fiabilité des examens nationaux est améliorée"/>
  </r>
  <r>
    <s v="Collecte des données des examens nationaux"/>
    <m/>
    <m/>
    <n v="0"/>
    <m/>
    <m/>
    <m/>
    <m/>
    <m/>
    <m/>
    <m/>
    <m/>
    <m/>
    <m/>
    <x v="0"/>
    <m/>
    <m/>
    <m/>
    <m/>
    <x v="0"/>
    <x v="1"/>
    <x v="14"/>
    <s v="262- La fiabilité des examens nationaux est améliorée"/>
    <x v="163"/>
    <s v="2621-Collecte des données des examens nationaux"/>
  </r>
  <r>
    <s v="Conception d'un questionnaire d'informations des élèves candidats (par échantillon)"/>
    <s v="Atelier"/>
    <s v="h/j/ap"/>
    <n v="0"/>
    <n v="50"/>
    <m/>
    <m/>
    <n v="50"/>
    <n v="0.255"/>
    <n v="0"/>
    <n v="12.75"/>
    <n v="0"/>
    <n v="0"/>
    <n v="12.75"/>
    <x v="2"/>
    <s v="MENA_Transversal"/>
    <s v="3. Dépenses de fonctionnement"/>
    <s v="ETN"/>
    <s v="SNCESE"/>
    <x v="0"/>
    <x v="1"/>
    <x v="14"/>
    <s v="262- La fiabilité des examens nationaux est améliorée"/>
    <x v="163"/>
    <s v="26211-Conception d'un questionnaire d'informations des élèves candidats (par échantillon)"/>
  </r>
  <r>
    <s v="Collecte annuelle des fichiers de base des résultats des examens nationaux (Entrée en 7ième, BEPC et BAC)"/>
    <s v="décision"/>
    <s v="sif"/>
    <n v="0"/>
    <n v="1"/>
    <n v="1"/>
    <n v="1"/>
    <n v="3"/>
    <n v="0"/>
    <n v="0"/>
    <n v="0"/>
    <n v="0"/>
    <n v="0"/>
    <m/>
    <x v="2"/>
    <s v="MENA_Transversal"/>
    <s v=""/>
    <s v="ETN"/>
    <s v="SNCESE"/>
    <x v="0"/>
    <x v="1"/>
    <x v="14"/>
    <s v="262- La fiabilité des examens nationaux est améliorée"/>
    <x v="163"/>
    <s v="26212-Collecte annuelle des fichiers de base des résultats des examens nationaux (Entrée en 7ième, BEPC et BAC)"/>
  </r>
  <r>
    <s v="Formation des administrateurs de test (superviseurs des examens)"/>
    <s v="formation"/>
    <s v="h/j/f"/>
    <n v="0"/>
    <n v="38"/>
    <n v="38"/>
    <n v="38"/>
    <n v="114"/>
    <n v="0.67666666666666664"/>
    <n v="0"/>
    <n v="25.713333333333331"/>
    <n v="25.713333333333331"/>
    <n v="25.713333333333331"/>
    <n v="77.139999999999986"/>
    <x v="2"/>
    <s v="MENA_Transversal"/>
    <s v="3. Formation"/>
    <s v="SNCESE"/>
    <s v="SNCESE"/>
    <x v="0"/>
    <x v="1"/>
    <x v="14"/>
    <s v="262- La fiabilité des examens nationaux est améliorée"/>
    <x v="163"/>
    <s v="26213-Formation des administrateurs de test (superviseurs des examens)"/>
  </r>
  <r>
    <s v="Reproduction des questionnaires"/>
    <s v="reprographie"/>
    <s v="IMP"/>
    <n v="0"/>
    <n v="7600"/>
    <n v="7600"/>
    <n v="7600"/>
    <n v="22800"/>
    <n v="7.4999999999999997E-3"/>
    <n v="0"/>
    <n v="57"/>
    <n v="57"/>
    <n v="57"/>
    <n v="171"/>
    <x v="2"/>
    <s v="MENA_Transversal"/>
    <s v="3. Dépenses de fonctionnement"/>
    <s v="SNCESE"/>
    <s v="SNCESE"/>
    <x v="0"/>
    <x v="1"/>
    <x v="14"/>
    <s v="262- La fiabilité des examens nationaux est améliorée"/>
    <x v="163"/>
    <s v="26214-Reproduction des questionnaires"/>
  </r>
  <r>
    <s v="Remplissage des questionnaires par l'échantillon sous l'administration des superviseurs des examens (pris en charge dans budget examen)"/>
    <s v="pm"/>
    <s v="sif"/>
    <n v="0"/>
    <m/>
    <m/>
    <m/>
    <m/>
    <n v="0"/>
    <m/>
    <m/>
    <m/>
    <m/>
    <m/>
    <x v="2"/>
    <s v="MENA_Transversal"/>
    <s v=""/>
    <s v="SNCESE"/>
    <s v="SNCESE"/>
    <x v="0"/>
    <x v="1"/>
    <x v="14"/>
    <s v="262- La fiabilité des examens nationaux est améliorée"/>
    <x v="163"/>
    <s v="26215-Remplissage des questionnaires par l'échantillon sous l'administration des superviseurs des examens (pris en charge dans budget examen)"/>
  </r>
  <r>
    <s v="Traitement des données (codification, saisie et toilettage des fichiers)"/>
    <s v="Atelier"/>
    <s v="h/j/ap"/>
    <n v="0"/>
    <n v="120"/>
    <n v="120"/>
    <n v="120"/>
    <n v="360"/>
    <n v="0.255"/>
    <n v="0"/>
    <n v="30.6"/>
    <n v="30.6"/>
    <n v="30.6"/>
    <n v="91.800000000000011"/>
    <x v="2"/>
    <s v="MENA_Transversal"/>
    <s v="3. Dépenses de fonctionnement"/>
    <s v="SNCESE"/>
    <s v="SNCESE"/>
    <x v="0"/>
    <x v="1"/>
    <x v="14"/>
    <s v="262- La fiabilité des examens nationaux est améliorée"/>
    <x v="163"/>
    <s v="26216-Traitement des données (codification, saisie et toilettage des fichiers)"/>
  </r>
  <r>
    <s v="Analyse et rédaction du rapport d'évaluation"/>
    <s v="Atelier"/>
    <s v="h/j/ap"/>
    <n v="0"/>
    <n v="100"/>
    <n v="100"/>
    <n v="100"/>
    <n v="300"/>
    <n v="0.255"/>
    <n v="0"/>
    <n v="25.5"/>
    <n v="25.5"/>
    <n v="25.5"/>
    <n v="76.5"/>
    <x v="2"/>
    <s v="MENA_Transversal"/>
    <s v="3. Dépenses de fonctionnement"/>
    <s v="SNCESE"/>
    <s v="SNCESE"/>
    <x v="0"/>
    <x v="1"/>
    <x v="14"/>
    <s v="262- La fiabilité des examens nationaux est améliorée"/>
    <x v="163"/>
    <s v="26217-Analyse et rédaction du rapport d'évaluation"/>
  </r>
  <r>
    <s v="Analyse et rédaction du rapport d'audit"/>
    <m/>
    <m/>
    <n v="0"/>
    <m/>
    <m/>
    <m/>
    <m/>
    <m/>
    <m/>
    <m/>
    <m/>
    <m/>
    <m/>
    <x v="0"/>
    <m/>
    <m/>
    <m/>
    <m/>
    <x v="0"/>
    <x v="1"/>
    <x v="14"/>
    <s v="262- La fiabilité des examens nationaux est améliorée"/>
    <x v="164"/>
    <s v="2622-Analyse et rédaction du rapport d'audit"/>
  </r>
  <r>
    <s v="Contrôle de conformité entre la note et la production de l'élève, entre la note sur la copie et celle sur la fiche de centralisation, entre la note sur la fiche de centralisation et la note saisie)"/>
    <s v="Mission"/>
    <s v="h/j/m"/>
    <n v="0"/>
    <n v="224"/>
    <n v="224"/>
    <n v="224"/>
    <n v="672"/>
    <n v="0.8177777777777776"/>
    <n v="0"/>
    <n v="183.18222222222218"/>
    <n v="183.18222222222218"/>
    <n v="183.18222222222218"/>
    <n v="549.54666666666651"/>
    <x v="2"/>
    <s v="MENA_Transversal"/>
    <s v="3. Dépenses de fonctionnement"/>
    <s v="IGE"/>
    <s v="SNECSO"/>
    <x v="0"/>
    <x v="1"/>
    <x v="14"/>
    <s v="262- La fiabilité des examens nationaux est améliorée"/>
    <x v="164"/>
    <s v="26221-Contrôle de conformité entre la note et la production de l'élève, entre la note sur la copie et celle sur la fiche de centralisation, entre la note sur la fiche de centralisation et la note saisie)"/>
  </r>
  <r>
    <s v="Rédaction du rapport d'audit"/>
    <s v="Atelier"/>
    <s v="h/j/a"/>
    <n v="0"/>
    <n v="160"/>
    <n v="160"/>
    <n v="160"/>
    <n v="480"/>
    <n v="0.3133333333333333"/>
    <n v="0"/>
    <n v="50.133333333333326"/>
    <n v="50.133333333333326"/>
    <n v="50.133333333333326"/>
    <n v="150.39999999999998"/>
    <x v="2"/>
    <s v="MENA_Transversal"/>
    <s v="3. Formation"/>
    <s v="IGE"/>
    <s v="SNECSO"/>
    <x v="0"/>
    <x v="1"/>
    <x v="14"/>
    <s v="262- La fiabilité des examens nationaux est améliorée"/>
    <x v="164"/>
    <s v="26222-Rédaction du rapport d'audit"/>
  </r>
  <r>
    <s v="Adaptation des textes organisants les examens nationaux"/>
    <m/>
    <m/>
    <n v="0"/>
    <m/>
    <m/>
    <m/>
    <m/>
    <m/>
    <m/>
    <m/>
    <m/>
    <m/>
    <m/>
    <x v="0"/>
    <m/>
    <m/>
    <m/>
    <m/>
    <x v="0"/>
    <x v="1"/>
    <x v="14"/>
    <s v="262- La fiabilité des examens nationaux est améliorée"/>
    <x v="165"/>
    <s v="2623-Adaptation des textes organisants les examens nationaux"/>
  </r>
  <r>
    <s v="Mise en place d'une commission nationale pour la révision des procédures de passation des examens pour les rendre plus transparents"/>
    <s v="décison"/>
    <s v="sif"/>
    <n v="0"/>
    <n v="1"/>
    <m/>
    <m/>
    <n v="1"/>
    <n v="0"/>
    <n v="0"/>
    <n v="0"/>
    <n v="0"/>
    <n v="0"/>
    <m/>
    <x v="2"/>
    <s v="MENA_Transversal"/>
    <s v=""/>
    <s v="ETN"/>
    <s v="IGE"/>
    <x v="0"/>
    <x v="1"/>
    <x v="14"/>
    <s v="262- La fiabilité des examens nationaux est améliorée"/>
    <x v="165"/>
    <s v="26231-Mise en place d'une commission nationale pour la révision des procédures de passation des examens pour les rendre plus transparents"/>
  </r>
  <r>
    <s v="Proposition de révision des procédures du déroulement des examens par la commission en concertation avec les partenaires et les acteurs (syndicats, les APEAE, les structures déconcentrées et le service des examens)"/>
    <s v="atelier"/>
    <s v="h/j/a"/>
    <n v="0"/>
    <n v="160"/>
    <m/>
    <m/>
    <n v="160"/>
    <n v="0.3133333333333333"/>
    <n v="0"/>
    <n v="50.133333333333326"/>
    <n v="0"/>
    <n v="0"/>
    <n v="50.133333333333326"/>
    <x v="2"/>
    <s v="MENA_Transversal"/>
    <s v="3. Formation"/>
    <s v="ETN"/>
    <s v="IGE"/>
    <x v="0"/>
    <x v="1"/>
    <x v="14"/>
    <s v="262- La fiabilité des examens nationaux est améliorée"/>
    <x v="165"/>
    <s v="26232-Proposition de révision des procédures du déroulement des examens par la commission en concertation avec les partenaires et les acteurs (syndicats, les APEAE, les structures déconcentrées et le service des examens)"/>
  </r>
  <r>
    <s v="Validation de la proposition de révision des procédures du déroulement des examens "/>
    <s v="atelier"/>
    <s v="h/j/a"/>
    <n v="0"/>
    <n v="30"/>
    <m/>
    <m/>
    <n v="30"/>
    <n v="0.3133333333333333"/>
    <n v="0"/>
    <n v="9.3999999999999986"/>
    <n v="0"/>
    <n v="0"/>
    <n v="9.3999999999999986"/>
    <x v="2"/>
    <s v="MENA_Transversal"/>
    <s v="3. Formation"/>
    <s v="ETN"/>
    <s v="IGE"/>
    <x v="0"/>
    <x v="1"/>
    <x v="14"/>
    <s v="262- La fiabilité des examens nationaux est améliorée"/>
    <x v="165"/>
    <s v="26233-Validation de la proposition de révision des procédures du déroulement des examens "/>
  </r>
  <r>
    <s v="Adoption des textes fixant les procédures de déroulement des examens "/>
    <s v="textes"/>
    <s v="sif"/>
    <n v="0"/>
    <m/>
    <n v="1"/>
    <m/>
    <n v="1"/>
    <n v="0"/>
    <n v="0"/>
    <n v="0"/>
    <n v="0"/>
    <n v="0"/>
    <m/>
    <x v="2"/>
    <s v="MENA_Transversal"/>
    <s v=""/>
    <s v="ETN"/>
    <s v="IGE"/>
    <x v="0"/>
    <x v="1"/>
    <x v="14"/>
    <s v="262- La fiabilité des examens nationaux est améliorée"/>
    <x v="165"/>
    <s v="26234-Adoption des textes fixant les procédures de déroulement des examens "/>
  </r>
  <r>
    <s v="Organisation des examens et concours"/>
    <s v="examens et concours"/>
    <s v="Conc-exam/mena"/>
    <n v="0"/>
    <n v="0.94444920263311705"/>
    <n v="0.99959583372921401"/>
    <n v="1.0559549636376699"/>
    <n v="3.0000000000000009"/>
    <n v="45791.453339168198"/>
    <n v="0"/>
    <n v="43247.701593588987"/>
    <n v="45772.945978238233"/>
    <n v="48353.712445677411"/>
    <n v="137374.36001750463"/>
    <x v="2"/>
    <s v="MENA_Transversal"/>
    <s v="3. Dépenses de fonctionnement"/>
    <s v="ETN"/>
    <s v="IGE"/>
    <x v="0"/>
    <x v="1"/>
    <x v="14"/>
    <s v="262- La fiabilité des examens nationaux est améliorée"/>
    <x v="165"/>
    <s v="26235-Organisation des examens et concours"/>
  </r>
  <r>
    <s v=" Un document référentiel sur la production et l'utilisation des données des évaluations standardisées est mis en place"/>
    <m/>
    <m/>
    <n v="0"/>
    <m/>
    <m/>
    <m/>
    <m/>
    <m/>
    <m/>
    <m/>
    <m/>
    <m/>
    <m/>
    <x v="0"/>
    <m/>
    <m/>
    <m/>
    <m/>
    <x v="0"/>
    <x v="1"/>
    <x v="14"/>
    <s v="263- Un document référentiel sur la production et l'utilisation des données des évaluations standardisées est mis en place"/>
    <x v="166"/>
    <s v="263- Un document référentiel sur la production et l'utilisation des données des évaluations standardisées est mis en place"/>
  </r>
  <r>
    <s v="Rédaction du document de référence"/>
    <m/>
    <m/>
    <n v="0"/>
    <m/>
    <m/>
    <m/>
    <m/>
    <m/>
    <m/>
    <m/>
    <m/>
    <m/>
    <m/>
    <x v="0"/>
    <m/>
    <m/>
    <m/>
    <m/>
    <x v="0"/>
    <x v="1"/>
    <x v="14"/>
    <s v="263- Un document référentiel sur la production et l'utilisation des données des évaluations standardisées est mis en place"/>
    <x v="167"/>
    <s v="2631-Rédaction du document de référence"/>
  </r>
  <r>
    <s v="Mise en place de l'équipe chargée de l'élaboration du document de référence sur la production et l'utilisation des données des évaluations"/>
    <s v="décision"/>
    <s v="sif"/>
    <n v="0"/>
    <m/>
    <m/>
    <m/>
    <m/>
    <n v="0"/>
    <m/>
    <m/>
    <m/>
    <m/>
    <m/>
    <x v="2"/>
    <s v="MENA_Transversal"/>
    <s v=""/>
    <s v="SG"/>
    <s v="SNCESE"/>
    <x v="0"/>
    <x v="1"/>
    <x v="14"/>
    <s v="263- Un document référentiel sur la production et l'utilisation des données des évaluations standardisées est mis en place"/>
    <x v="167"/>
    <s v="26311-Mise en place de l'équipe chargée de l'élaboration du document de référence sur la production et l'utilisation des données des évaluations"/>
  </r>
  <r>
    <s v="Recrutement d'une expertise internationale d'appui à l'équipe "/>
    <s v="assistance technique"/>
    <s v="h/j/ci"/>
    <n v="0"/>
    <n v="20"/>
    <m/>
    <m/>
    <n v="20"/>
    <n v="10.404797"/>
    <n v="0"/>
    <n v="208.09594000000001"/>
    <n v="0"/>
    <n v="0"/>
    <n v="208.09594000000001"/>
    <x v="1"/>
    <s v="MENA_Transversal"/>
    <s v="3. Dépenses de fonctionnement"/>
    <s v="ETN"/>
    <s v="SNCESE"/>
    <x v="0"/>
    <x v="1"/>
    <x v="14"/>
    <s v="263- Un document référentiel sur la production et l'utilisation des données des évaluations standardisées est mis en place"/>
    <x v="167"/>
    <s v="26312-Recrutement d'une expertise internationale d'appui à l'équipe "/>
  </r>
  <r>
    <s v="Rédaction du document de référentiel sur la production et l'utilisation des données des évaluations avec l'appui de l'expertise"/>
    <s v="Atelier"/>
    <s v="h/j/ap"/>
    <n v="0"/>
    <n v="200"/>
    <m/>
    <m/>
    <n v="200"/>
    <n v="0.255"/>
    <n v="0"/>
    <n v="51"/>
    <n v="0"/>
    <n v="0"/>
    <n v="51"/>
    <x v="1"/>
    <s v="MENA_Transversal"/>
    <s v="3. Dépenses de fonctionnement"/>
    <s v="ETN"/>
    <s v="SNCESE"/>
    <x v="0"/>
    <x v="1"/>
    <x v="14"/>
    <s v="263- Un document référentiel sur la production et l'utilisation des données des évaluations standardisées est mis en place"/>
    <x v="167"/>
    <s v="26313-Rédaction du document de référentiel sur la production et l'utilisation des données des évaluations avec l'appui de l'expertise"/>
  </r>
  <r>
    <s v="Validation du document"/>
    <s v="Atelier"/>
    <s v="h/j/a"/>
    <n v="0"/>
    <n v="30"/>
    <m/>
    <m/>
    <n v="30"/>
    <n v="0.3133333333333333"/>
    <n v="0"/>
    <n v="9.3999999999999986"/>
    <n v="0"/>
    <n v="0"/>
    <n v="9.3999999999999986"/>
    <x v="1"/>
    <s v="MENA_Transversal"/>
    <s v="3. Formation"/>
    <s v="ETN"/>
    <s v="SNCESE"/>
    <x v="0"/>
    <x v="1"/>
    <x v="14"/>
    <s v="263- Un document référentiel sur la production et l'utilisation des données des évaluations standardisées est mis en place"/>
    <x v="167"/>
    <s v="26314-Validation du document"/>
  </r>
  <r>
    <s v="Partage du document au niveau central et déconcentré"/>
    <s v="reproduction"/>
    <s v="IMP"/>
    <n v="0"/>
    <m/>
    <n v="532"/>
    <m/>
    <n v="532"/>
    <n v="7.4999999999999997E-3"/>
    <n v="0"/>
    <n v="0"/>
    <n v="3.9899999999999998"/>
    <n v="0"/>
    <n v="3.9899999999999998"/>
    <x v="1"/>
    <s v="MENA_Transversal"/>
    <s v="3. Dépenses de fonctionnement"/>
    <s v="SNCESE"/>
    <s v="ETN"/>
    <x v="0"/>
    <x v="1"/>
    <x v="14"/>
    <s v="263- Un document référentiel sur la production et l'utilisation des données des évaluations standardisées est mis en place"/>
    <x v="167"/>
    <s v="26315-Partage du document au niveau central et déconcentré"/>
  </r>
  <r>
    <s v=" Les capacités des enseignants en méthodes d'évaluation sont renforcés"/>
    <m/>
    <m/>
    <n v="0"/>
    <m/>
    <m/>
    <m/>
    <m/>
    <m/>
    <m/>
    <m/>
    <m/>
    <m/>
    <m/>
    <x v="0"/>
    <m/>
    <m/>
    <m/>
    <m/>
    <x v="0"/>
    <x v="1"/>
    <x v="14"/>
    <s v="264- Les capacités des enseignants en méthodes d'évaluation sont renforcés"/>
    <x v="168"/>
    <s v="264- Les capacités des enseignants en méthodes d'évaluation sont renforcés"/>
  </r>
  <r>
    <s v="Formation des enseignants en conception d'items/épreuves et en notation (docimologie)"/>
    <m/>
    <m/>
    <n v="0"/>
    <m/>
    <m/>
    <m/>
    <m/>
    <m/>
    <m/>
    <m/>
    <m/>
    <m/>
    <m/>
    <x v="0"/>
    <m/>
    <m/>
    <m/>
    <m/>
    <x v="0"/>
    <x v="1"/>
    <x v="14"/>
    <s v="264- Les capacités des enseignants en méthodes d'évaluation sont renforcés"/>
    <x v="169"/>
    <s v="2641-Formation des enseignants en conception d'items/épreuves et en notation (docimologie)"/>
  </r>
  <r>
    <s v="Formation des cadres du niveau central et déconcentré en docimologie"/>
    <s v="formation"/>
    <s v="h/j/f"/>
    <n v="0"/>
    <m/>
    <n v="160"/>
    <m/>
    <n v="160"/>
    <n v="0.67666666666666664"/>
    <n v="0"/>
    <n v="0"/>
    <n v="108.26666666666667"/>
    <n v="0"/>
    <n v="108.26666666666667"/>
    <x v="6"/>
    <s v="MENA_Transversal"/>
    <s v="3. Formation"/>
    <s v="SNCESE"/>
    <s v="SNESCO"/>
    <x v="0"/>
    <x v="1"/>
    <x v="14"/>
    <s v="264- Les capacités des enseignants en méthodes d'évaluation sont renforcés"/>
    <x v="169"/>
    <s v="26411-Formation des cadres du niveau central et déconcentré en docimologie"/>
  </r>
  <r>
    <s v="Duplication des formations auprès des enseignants correcteurs par les responsables des évaluations au niveau déconcentré "/>
    <s v="formation"/>
    <s v="h/j/fr"/>
    <n v="0"/>
    <m/>
    <n v="300"/>
    <n v="500"/>
    <n v="800"/>
    <n v="0.54600000000000004"/>
    <n v="0"/>
    <n v="0"/>
    <n v="163.80000000000001"/>
    <n v="273"/>
    <n v="436.8"/>
    <x v="6"/>
    <s v="MENA_Transversal"/>
    <s v="3. Formation"/>
    <s v="SNCESE"/>
    <s v="IRE/DFE/DCE/DSEE"/>
    <x v="0"/>
    <x v="1"/>
    <x v="14"/>
    <s v="264- Les capacités des enseignants en méthodes d'évaluation sont renforcés"/>
    <x v="169"/>
    <s v="26412-Duplication des formations auprès des enseignants correcteurs par les responsables des évaluations au niveau déconcentré "/>
  </r>
  <r>
    <s v=" Introduction de l'enseignement bilingue Français-langues nationales au primaire"/>
    <m/>
    <m/>
    <n v="0"/>
    <m/>
    <m/>
    <m/>
    <m/>
    <m/>
    <m/>
    <m/>
    <m/>
    <m/>
    <m/>
    <x v="0"/>
    <m/>
    <m/>
    <m/>
    <m/>
    <x v="0"/>
    <x v="1"/>
    <x v="15"/>
    <s v="27- Introduction de l'enseignement bilingue Français-langues nationales au primaire"/>
    <x v="170"/>
    <s v="27- Introduction de l'enseignement bilingue Français-langues nationales au primaire"/>
  </r>
  <r>
    <s v=" Les résultats de la phase pilote sont capitalisés pour identifier les stratégies d’utilisation des langues nationales dans l’enseignement et l’apprentissageUne instance de pilotage de la réforme du bilinguisme est opérationnelle"/>
    <m/>
    <m/>
    <n v="0"/>
    <m/>
    <m/>
    <m/>
    <m/>
    <m/>
    <m/>
    <m/>
    <m/>
    <m/>
    <m/>
    <x v="0"/>
    <m/>
    <m/>
    <m/>
    <m/>
    <x v="0"/>
    <x v="1"/>
    <x v="15"/>
    <s v="271- Les résultats de la phase pilote sont capitalisés pour identifier les stratégies d’utilisation des langues nationales dans l’enseignement et l’apprentissageUne instance de pilotage de la réforme du bilinguisme est opérationnelle"/>
    <x v="171"/>
    <s v="271- Les résultats de la phase pilote sont capitalisés pour identifier les stratégies d’utilisation des langues nationales dans l’enseignement et l’apprentissageUne instance de pilotage de la réforme du bilinguisme est opérationnelle"/>
  </r>
  <r>
    <s v="Recomposition de l'instance de pilotage de la réforme du bilinguisme"/>
    <m/>
    <m/>
    <n v="0"/>
    <m/>
    <m/>
    <m/>
    <m/>
    <m/>
    <m/>
    <m/>
    <m/>
    <m/>
    <m/>
    <x v="0"/>
    <m/>
    <m/>
    <m/>
    <m/>
    <x v="0"/>
    <x v="1"/>
    <x v="15"/>
    <s v="271- Les résultats de la phase pilote sont capitalisés pour identifier les stratégies d’utilisation des langues nationales dans l’enseignement et l’apprentissageUne instance de pilotage de la réforme du bilinguisme est opérationnelle"/>
    <x v="172"/>
    <s v="2711-Recomposition de l'instance de pilotage de la réforme du bilinguisme"/>
  </r>
  <r>
    <s v="Création d’une instance de pilotage de la réforme des langues nationales "/>
    <s v="Travaux adm"/>
    <s v="sif"/>
    <n v="0"/>
    <m/>
    <m/>
    <m/>
    <n v="0"/>
    <n v="0"/>
    <n v="0"/>
    <n v="0"/>
    <n v="0"/>
    <n v="0"/>
    <m/>
    <x v="2"/>
    <s v="MENA_Programme 5. Alphabétisation et éducation non formelle"/>
    <s v=""/>
    <s v="Instance de pilotage (IDP)"/>
    <s v="DNEF"/>
    <x v="0"/>
    <x v="1"/>
    <x v="15"/>
    <s v="271- Les résultats de la phase pilote sont capitalisés pour identifier les stratégies d’utilisation des langues nationales dans l’enseignement et l’apprentissageUne instance de pilotage de la réforme du bilinguisme est opérationnelle"/>
    <x v="172"/>
    <s v="27111-Création d’une instance de pilotage de la réforme des langues nationales "/>
  </r>
  <r>
    <s v="Poursuite de la mise en œuvre de la phase pilote actuelle"/>
    <s v="forfait annuel"/>
    <s v="Forfait/ens lang"/>
    <n v="0"/>
    <m/>
    <m/>
    <m/>
    <n v="0"/>
    <n v="327.75"/>
    <n v="0"/>
    <n v="0"/>
    <n v="0"/>
    <n v="0"/>
    <n v="0"/>
    <x v="4"/>
    <s v="MENA_Programme 5. Alphabétisation et éducation non formelle"/>
    <s v="3. Manuels scolaires et matériels pédagogiques"/>
    <s v="SG"/>
    <s v="DNEF"/>
    <x v="0"/>
    <x v="1"/>
    <x v="15"/>
    <s v="271- Les résultats de la phase pilote sont capitalisés pour identifier les stratégies d’utilisation des langues nationales dans l’enseignement et l’apprentissageUne instance de pilotage de la réforme du bilinguisme est opérationnelle"/>
    <x v="172"/>
    <s v="27112-Poursuite de la mise en œuvre de la phase pilote actuelle"/>
  </r>
  <r>
    <s v="Poursuite de la mise en œuvre de la phase pilote actuelle"/>
    <s v="forfait annuel"/>
    <s v="Forfait/ens lang"/>
    <n v="0"/>
    <n v="10"/>
    <n v="20"/>
    <n v="25"/>
    <n v="55"/>
    <n v="327.75"/>
    <n v="0"/>
    <n v="3277.5"/>
    <n v="6555"/>
    <n v="8193.75"/>
    <n v="18026.25"/>
    <x v="2"/>
    <s v="MENA_Programme 5. Alphabétisation et éducation non formelle"/>
    <s v="3. Manuels scolaires et matériels pédagogiques"/>
    <s v="SG"/>
    <s v="DNEF"/>
    <x v="0"/>
    <x v="1"/>
    <x v="15"/>
    <s v="271- Les résultats de la phase pilote sont capitalisés pour identifier les stratégies d’utilisation des langues nationales dans l’enseignement et l’apprentissageUne instance de pilotage de la réforme du bilinguisme est opérationnelle"/>
    <x v="172"/>
    <s v="27112-Poursuite de la mise en œuvre de la phase pilote actuelle"/>
  </r>
  <r>
    <s v="Evaluation des résultats de la phase pilote"/>
    <s v="divers"/>
    <s v="forfait /éval"/>
    <n v="0"/>
    <m/>
    <m/>
    <n v="1"/>
    <n v="1"/>
    <n v="285"/>
    <n v="0"/>
    <n v="0"/>
    <n v="0"/>
    <n v="285"/>
    <n v="285"/>
    <x v="2"/>
    <s v="MENA_Programme 5. Alphabétisation et éducation non formelle"/>
    <s v="3. Dépenses de fonctionnement"/>
    <s v="SG/C/PRoDEG"/>
    <s v="DNEF"/>
    <x v="0"/>
    <x v="1"/>
    <x v="15"/>
    <s v="271- Les résultats de la phase pilote sont capitalisés pour identifier les stratégies d’utilisation des langues nationales dans l’enseignement et l’apprentissageUne instance de pilotage de la réforme du bilinguisme est opérationnelle"/>
    <x v="172"/>
    <s v="27113-Evaluation des résultats de la phase pilote"/>
  </r>
  <r>
    <s v="Suivi-supervision de la phase pilote "/>
    <s v="missions"/>
    <s v="h/j/m"/>
    <n v="0"/>
    <n v="320"/>
    <n v="320"/>
    <n v="320"/>
    <n v="960"/>
    <n v="0.8177777777777776"/>
    <n v="0"/>
    <n v="261.68888888888881"/>
    <n v="261.68888888888881"/>
    <n v="261.68888888888881"/>
    <n v="785.06666666666638"/>
    <x v="2"/>
    <s v="MENA_Programme 5. Alphabétisation et éducation non formelle"/>
    <s v="3. Dépenses de fonctionnement"/>
    <s v="DNEF"/>
    <s v="DNEF"/>
    <x v="0"/>
    <x v="1"/>
    <x v="15"/>
    <s v="271- Les résultats de la phase pilote sont capitalisés pour identifier les stratégies d’utilisation des langues nationales dans l’enseignement et l’apprentissageUne instance de pilotage de la réforme du bilinguisme est opérationnelle"/>
    <x v="172"/>
    <s v="27114-Suivi-supervision de la phase pilote "/>
  </r>
  <r>
    <s v=" Des étude sont réalisées pour préparer la mise à l'échelle"/>
    <m/>
    <m/>
    <n v="0"/>
    <m/>
    <m/>
    <m/>
    <m/>
    <m/>
    <m/>
    <m/>
    <m/>
    <m/>
    <m/>
    <x v="0"/>
    <m/>
    <m/>
    <m/>
    <m/>
    <x v="0"/>
    <x v="1"/>
    <x v="15"/>
    <s v="272- Des étude sont réalisées pour préparer la mise à l'échelle"/>
    <x v="173"/>
    <s v="272- Des étude sont réalisées pour préparer la mise à l'échelle"/>
  </r>
  <r>
    <s v="Recrutement d'un cabinet spécialisée pour la conduite de l'étude"/>
    <m/>
    <m/>
    <n v="0"/>
    <m/>
    <m/>
    <m/>
    <m/>
    <m/>
    <m/>
    <m/>
    <m/>
    <m/>
    <m/>
    <x v="0"/>
    <m/>
    <m/>
    <m/>
    <m/>
    <x v="0"/>
    <x v="1"/>
    <x v="15"/>
    <s v="272- Des étude sont réalisées pour préparer la mise à l'échelle"/>
    <x v="174"/>
    <s v="2721-Recrutement d'un cabinet spécialisée pour la conduite de l'étude"/>
  </r>
  <r>
    <s v="Elaboration des TDR"/>
    <s v="Travaux adm"/>
    <s v="sif"/>
    <n v="0"/>
    <n v="1"/>
    <m/>
    <m/>
    <n v="1"/>
    <n v="0"/>
    <n v="0"/>
    <n v="0"/>
    <n v="0"/>
    <n v="0"/>
    <m/>
    <x v="2"/>
    <s v="MENA_Programme 5. Alphabétisation et éducation non formelle"/>
    <s v=""/>
    <s v="IDP"/>
    <s v="DNEF"/>
    <x v="0"/>
    <x v="1"/>
    <x v="15"/>
    <s v="272- Des étude sont réalisées pour préparer la mise à l'échelle"/>
    <x v="174"/>
    <s v="27211-Elaboration des TDR"/>
  </r>
  <r>
    <s v="Réalisation de l'étude sociolinguistique (aires linguistiques, compétences linguistiques des enseignants, etc.)"/>
    <s v="Assistance technique"/>
    <s v="h/j/ci"/>
    <n v="0"/>
    <n v="270"/>
    <n v="270"/>
    <m/>
    <n v="540"/>
    <n v="10.404797"/>
    <n v="0"/>
    <n v="2809.2951900000003"/>
    <n v="2809.2951900000003"/>
    <n v="0"/>
    <n v="5618.5903800000006"/>
    <x v="2"/>
    <s v="MENA_Programme 5. Alphabétisation et éducation non formelle"/>
    <s v="3. Dépenses de fonctionnement"/>
    <s v="IDP"/>
    <s v="DNEF"/>
    <x v="0"/>
    <x v="1"/>
    <x v="15"/>
    <s v="272- Des étude sont réalisées pour préparer la mise à l'échelle"/>
    <x v="174"/>
    <s v="27212-Réalisation de l'étude sociolinguistique (aires linguistiques, compétences linguistiques des enseignants, etc.)"/>
  </r>
  <r>
    <s v="Concertation et validation du rapport de l'étude"/>
    <s v="Atelier"/>
    <s v="h/j/a"/>
    <n v="0"/>
    <n v="180"/>
    <n v="160"/>
    <m/>
    <n v="340"/>
    <n v="0.3133333333333333"/>
    <n v="0"/>
    <n v="56.399999999999991"/>
    <n v="50.133333333333326"/>
    <n v="0"/>
    <n v="106.53333333333332"/>
    <x v="2"/>
    <s v="MENA_Programme 5. Alphabétisation et éducation non formelle"/>
    <s v="3. Formation"/>
    <s v="IDP"/>
    <s v="DNEF"/>
    <x v="0"/>
    <x v="1"/>
    <x v="15"/>
    <s v="272- Des étude sont réalisées pour préparer la mise à l'échelle"/>
    <x v="174"/>
    <s v="27213-Concertation et validation du rapport de l'étude"/>
  </r>
  <r>
    <s v="Une expertise nationale en  langues nationales est disponible"/>
    <m/>
    <m/>
    <n v="0"/>
    <m/>
    <m/>
    <m/>
    <m/>
    <m/>
    <m/>
    <m/>
    <m/>
    <m/>
    <m/>
    <x v="0"/>
    <m/>
    <m/>
    <m/>
    <m/>
    <x v="0"/>
    <x v="1"/>
    <x v="15"/>
    <s v="273-Une expertise nationale en  langues nationales est disponible"/>
    <x v="175"/>
    <s v="273-Une expertise nationale en  langues nationales est disponible"/>
  </r>
  <r>
    <s v="Mise en place d’une équipe nationale pour la conduite du processus"/>
    <m/>
    <m/>
    <n v="0"/>
    <m/>
    <m/>
    <m/>
    <m/>
    <m/>
    <m/>
    <m/>
    <m/>
    <m/>
    <m/>
    <x v="0"/>
    <m/>
    <m/>
    <m/>
    <m/>
    <x v="0"/>
    <x v="1"/>
    <x v="15"/>
    <s v="273-Une expertise nationale en  langues nationales est disponible"/>
    <x v="176"/>
    <s v="2731-Mise en place d’une équipe nationale pour la conduite du processus"/>
  </r>
  <r>
    <s v="Création du comité national"/>
    <s v="SIF"/>
    <m/>
    <n v="0"/>
    <n v="1"/>
    <m/>
    <m/>
    <n v="1"/>
    <n v="0"/>
    <n v="0"/>
    <n v="0"/>
    <n v="0"/>
    <n v="0"/>
    <m/>
    <x v="2"/>
    <s v="MENA_Programme 5. Alphabétisation et éducation non formelle"/>
    <s v=""/>
    <s v="SG"/>
    <s v="DNEF"/>
    <x v="0"/>
    <x v="1"/>
    <x v="15"/>
    <s v="273-Une expertise nationale en  langues nationales est disponible"/>
    <x v="176"/>
    <s v="27311-Création du comité national"/>
  </r>
  <r>
    <s v="Conception et élaboration des modules"/>
    <s v="atelier"/>
    <s v="h/j/ap"/>
    <n v="0"/>
    <n v="350"/>
    <m/>
    <m/>
    <n v="350"/>
    <n v="0.255"/>
    <n v="0"/>
    <n v="89.25"/>
    <n v="0"/>
    <n v="0"/>
    <n v="89.25"/>
    <x v="2"/>
    <s v="MENA_Programme 5. Alphabétisation et éducation non formelle"/>
    <s v="3. Dépenses de fonctionnement"/>
    <s v="IDP"/>
    <s v="DNEF"/>
    <x v="0"/>
    <x v="1"/>
    <x v="15"/>
    <s v="273-Une expertise nationale en  langues nationales est disponible"/>
    <x v="176"/>
    <s v="27312-Conception et élaboration des modules"/>
  </r>
  <r>
    <s v="Formation des enseignants à l'approche"/>
    <s v="atelier"/>
    <s v="h/f"/>
    <n v="0"/>
    <n v="500"/>
    <m/>
    <m/>
    <n v="500"/>
    <n v="1.5"/>
    <n v="0"/>
    <n v="750"/>
    <n v="0"/>
    <n v="0"/>
    <n v="750"/>
    <x v="2"/>
    <s v="MENA_Programme 5. Alphabétisation et éducation non formelle"/>
    <s v="3. Formation"/>
    <s v="IDP"/>
    <s v="DNEF"/>
    <x v="0"/>
    <x v="1"/>
    <x v="15"/>
    <s v="273-Une expertise nationale en  langues nationales est disponible"/>
    <x v="176"/>
    <s v="27313-Formation des enseignants à l'approche"/>
  </r>
  <r>
    <s v="Intégrations de la formation en enseignement bilingue dans les institutions de formation initiale"/>
    <s v="atelier"/>
    <s v="h/j/ap"/>
    <n v="0"/>
    <n v="600"/>
    <m/>
    <m/>
    <n v="600"/>
    <n v="0.255"/>
    <n v="0"/>
    <n v="153"/>
    <n v="0"/>
    <n v="0"/>
    <n v="153"/>
    <x v="2"/>
    <s v="MENA_Programme 5. Alphabétisation et éducation non formelle"/>
    <s v="3. Dépenses de fonctionnement"/>
    <s v="IDP"/>
    <s v="DNEF"/>
    <x v="0"/>
    <x v="1"/>
    <x v="15"/>
    <s v="273-Une expertise nationale en  langues nationales est disponible"/>
    <x v="176"/>
    <s v="27314-Intégrations de la formation en enseignement bilingue dans les institutions de formation initiale"/>
  </r>
  <r>
    <s v="Les acteurs et partenaires adhèrent à l’approche l’enseignement  et de l’apprentissage des langues nationales "/>
    <m/>
    <m/>
    <n v="0"/>
    <m/>
    <m/>
    <m/>
    <m/>
    <m/>
    <m/>
    <m/>
    <m/>
    <m/>
    <m/>
    <x v="0"/>
    <m/>
    <m/>
    <m/>
    <m/>
    <x v="0"/>
    <x v="1"/>
    <x v="15"/>
    <s v="274-Les acteurs et partenaires adhèrent à l’approche l’enseignement  et de l’apprentissage des langues nationales "/>
    <x v="177"/>
    <s v="274-Les acteurs et partenaires adhèrent à l’approche l’enseignement  et de l’apprentissage des langues nationales "/>
  </r>
  <r>
    <s v="Sensibilisation de tous les acteurs et partenaires"/>
    <m/>
    <m/>
    <n v="0"/>
    <m/>
    <m/>
    <m/>
    <m/>
    <m/>
    <m/>
    <m/>
    <m/>
    <m/>
    <m/>
    <x v="0"/>
    <m/>
    <m/>
    <m/>
    <m/>
    <x v="0"/>
    <x v="1"/>
    <x v="15"/>
    <s v="274-Les acteurs et partenaires adhèrent à l’approche l’enseignement  et de l’apprentissage des langues nationales "/>
    <x v="178"/>
    <s v="2741-Sensibilisation de tous les acteurs et partenaires"/>
  </r>
  <r>
    <s v="Conception et diffusion de messages radio/télé, affiches, etc."/>
    <s v="Publicité"/>
    <s v="diffusion"/>
    <n v="0"/>
    <n v="120"/>
    <m/>
    <m/>
    <n v="120"/>
    <n v="0.4"/>
    <n v="0"/>
    <n v="48"/>
    <n v="0"/>
    <n v="0"/>
    <n v="48"/>
    <x v="2"/>
    <s v="MENA_Programme 5. Alphabétisation et éducation non formelle"/>
    <s v="3. Dépenses de fonctionnement"/>
    <s v="IDP"/>
    <s v="DNEF"/>
    <x v="0"/>
    <x v="1"/>
    <x v="15"/>
    <s v="274-Les acteurs et partenaires adhèrent à l’approche l’enseignement  et de l’apprentissage des langues nationales "/>
    <x v="178"/>
    <s v="27411-Conception et diffusion de messages radio/télé, affiches, etc."/>
  </r>
  <r>
    <s v="Organisation de plaidoyers"/>
    <s v="missions"/>
    <s v="h/j/m"/>
    <n v="0"/>
    <n v="192"/>
    <m/>
    <m/>
    <n v="192"/>
    <n v="0.8177777777777776"/>
    <n v="0"/>
    <n v="157.01333333333329"/>
    <n v="0"/>
    <n v="0"/>
    <n v="157.01333333333329"/>
    <x v="2"/>
    <s v="MENA_Programme 5. Alphabétisation et éducation non formelle"/>
    <s v="3. Dépenses de fonctionnement"/>
    <s v="IDP"/>
    <s v="DNEF"/>
    <x v="0"/>
    <x v="1"/>
    <x v="15"/>
    <s v="274-Les acteurs et partenaires adhèrent à l’approche l’enseignement  et de l’apprentissage des langues nationales "/>
    <x v="178"/>
    <s v="27412-Organisation de plaidoyers"/>
  </r>
  <r>
    <s v="Bilan du processus"/>
    <s v="évaluation"/>
    <s v="h/j/ap"/>
    <n v="0"/>
    <m/>
    <n v="120"/>
    <m/>
    <n v="120"/>
    <n v="0.255"/>
    <n v="0"/>
    <n v="0"/>
    <n v="30.6"/>
    <n v="0"/>
    <n v="30.6"/>
    <x v="2"/>
    <s v="MENA_Programme 5. Alphabétisation et éducation non formelle"/>
    <s v="3. Dépenses de fonctionnement"/>
    <s v="IDP"/>
    <s v="DNEF"/>
    <x v="0"/>
    <x v="1"/>
    <x v="15"/>
    <s v="274-Les acteurs et partenaires adhèrent à l’approche l’enseignement  et de l’apprentissage des langues nationales "/>
    <x v="178"/>
    <s v="27413-Bilan du processus"/>
  </r>
  <r>
    <s v=" L’utilisation des langues nationales dans l’enseignement et l’apprentissage est effective"/>
    <m/>
    <m/>
    <n v="0"/>
    <m/>
    <m/>
    <m/>
    <m/>
    <m/>
    <m/>
    <m/>
    <m/>
    <m/>
    <m/>
    <x v="0"/>
    <m/>
    <m/>
    <m/>
    <m/>
    <x v="0"/>
    <x v="1"/>
    <x v="15"/>
    <s v="275- L’utilisation des langues nationales dans l’enseignement et l’apprentissage est effective"/>
    <x v="179"/>
    <s v="275- L’utilisation des langues nationales dans l’enseignement et l’apprentissage est effective"/>
  </r>
  <r>
    <s v="Les langues nationales sont généralisées progressivement dans les écoles"/>
    <m/>
    <m/>
    <n v="0"/>
    <m/>
    <m/>
    <m/>
    <m/>
    <m/>
    <m/>
    <m/>
    <m/>
    <m/>
    <m/>
    <x v="0"/>
    <m/>
    <m/>
    <m/>
    <m/>
    <x v="0"/>
    <x v="1"/>
    <x v="15"/>
    <s v="275- L’utilisation des langues nationales dans l’enseignement et l’apprentissage est effective"/>
    <x v="180"/>
    <s v="2751-Les langues nationales sont généralisées progressivement dans les écoles"/>
  </r>
  <r>
    <s v="Elaboration des supports didactiques"/>
    <s v="atelier"/>
    <s v="h/j/a"/>
    <n v="0"/>
    <m/>
    <m/>
    <n v="150"/>
    <n v="150"/>
    <n v="0.3133333333333333"/>
    <n v="0"/>
    <n v="0"/>
    <n v="0"/>
    <n v="46.999999999999993"/>
    <n v="46.999999999999993"/>
    <x v="2"/>
    <s v="MENA_Programme 5. Alphabétisation et éducation non formelle"/>
    <s v="3. Formation"/>
    <s v="IDP"/>
    <s v="DNEF"/>
    <x v="0"/>
    <x v="1"/>
    <x v="15"/>
    <s v="275- L’utilisation des langues nationales dans l’enseignement et l’apprentissage est effective"/>
    <x v="180"/>
    <s v="27511-Elaboration des supports didactiques"/>
  </r>
  <r>
    <s v="Dissémination des supports didactiques"/>
    <s v="missions"/>
    <s v="h/j/m"/>
    <n v="0"/>
    <m/>
    <m/>
    <n v="1140"/>
    <n v="1140"/>
    <n v="0.8177777777777776"/>
    <n v="0"/>
    <n v="0"/>
    <n v="0"/>
    <n v="932.26666666666642"/>
    <n v="932.26666666666642"/>
    <x v="2"/>
    <s v="MENA_Programme 5. Alphabétisation et éducation non formelle"/>
    <s v="3. Dépenses de fonctionnement"/>
    <s v="DNEF"/>
    <s v="DNEF"/>
    <x v="0"/>
    <x v="1"/>
    <x v="15"/>
    <s v="275- L’utilisation des langues nationales dans l’enseignement et l’apprentissage est effective"/>
    <x v="180"/>
    <s v="27512-Dissémination des supports didactiques"/>
  </r>
  <r>
    <s v="Formation des enseignants et encadreurs"/>
    <s v="atelier"/>
    <s v="h/f"/>
    <n v="0"/>
    <m/>
    <m/>
    <n v="244"/>
    <n v="244"/>
    <n v="1.5"/>
    <n v="0"/>
    <n v="0"/>
    <n v="0"/>
    <n v="366"/>
    <n v="366"/>
    <x v="2"/>
    <s v="MENA_Programme 5. Alphabétisation et éducation non formelle"/>
    <s v="3. Formation"/>
    <s v="DNEF"/>
    <s v="DNEF"/>
    <x v="0"/>
    <x v="1"/>
    <x v="15"/>
    <s v="275- L’utilisation des langues nationales dans l’enseignement et l’apprentissage est effective"/>
    <x v="180"/>
    <s v="27513-Formation des enseignants et encadreurs"/>
  </r>
  <r>
    <s v="Expansion et réforme de l’ETFP"/>
    <m/>
    <m/>
    <n v="0"/>
    <m/>
    <m/>
    <m/>
    <m/>
    <m/>
    <m/>
    <m/>
    <m/>
    <m/>
    <m/>
    <x v="0"/>
    <m/>
    <m/>
    <m/>
    <m/>
    <x v="1"/>
    <x v="2"/>
    <x v="16"/>
    <s v="3-Expansion et réforme de l’ETFP"/>
    <x v="181"/>
    <s v="3-Expansion et réforme de l’ETFP"/>
  </r>
  <r>
    <s v="Identification des besoins en qualification de l’économie"/>
    <m/>
    <m/>
    <n v="0"/>
    <m/>
    <m/>
    <m/>
    <m/>
    <m/>
    <m/>
    <m/>
    <m/>
    <m/>
    <m/>
    <x v="0"/>
    <m/>
    <m/>
    <m/>
    <m/>
    <x v="1"/>
    <x v="2"/>
    <x v="17"/>
    <s v="31- Identification des besoins en qualification de l’économie"/>
    <x v="182"/>
    <s v="31-Identification des besoins en qualification de l’économie"/>
  </r>
  <r>
    <s v="Les besoins en compétence des secteurs prioritaires sont identifiés"/>
    <m/>
    <m/>
    <n v="0"/>
    <m/>
    <m/>
    <m/>
    <m/>
    <m/>
    <m/>
    <m/>
    <m/>
    <m/>
    <m/>
    <x v="0"/>
    <m/>
    <m/>
    <m/>
    <m/>
    <x v="1"/>
    <x v="2"/>
    <x v="17"/>
    <s v="311- Les besoins en compétence des secteurs prioritaires sont identifiés"/>
    <x v="183"/>
    <s v="311-Les besoins en compétence des secteurs prioritaires sont identifiés"/>
  </r>
  <r>
    <s v="Réalisation d’études d'identification impliquant tous les acteurs à tous les niveaux"/>
    <m/>
    <m/>
    <n v="0"/>
    <m/>
    <m/>
    <m/>
    <m/>
    <m/>
    <m/>
    <m/>
    <m/>
    <m/>
    <m/>
    <x v="0"/>
    <m/>
    <m/>
    <m/>
    <m/>
    <x v="1"/>
    <x v="2"/>
    <x v="17"/>
    <s v="311- Les besoins en compétence des secteurs prioritaires sont identifiés"/>
    <x v="184"/>
    <s v="3111-Réalisation d’études d'identification impliquant tous les acteurs à tous les niveaux"/>
  </r>
  <r>
    <s v="Appui à l'identification des études à mener et élaboration des TDR (y compris les données pouvant être régulièrement collectées)"/>
    <s v="Assistance technique"/>
    <s v="h/j/ci"/>
    <n v="0"/>
    <n v="0"/>
    <m/>
    <m/>
    <n v="0"/>
    <n v="10.404797"/>
    <n v="0"/>
    <n v="0"/>
    <n v="0"/>
    <n v="0"/>
    <n v="0"/>
    <x v="2"/>
    <s v="METFP-ET_Programme 1. Renforcement de la gouvernance au niveau central et déconcentré"/>
    <s v="3. Dépenses de fonctionnement"/>
    <s v="BSD"/>
    <s v="consultant"/>
    <x v="1"/>
    <x v="2"/>
    <x v="17"/>
    <s v="311- Les besoins en compétence des secteurs prioritaires sont identifiés"/>
    <x v="184"/>
    <s v="31111-Appui à l'identification des études à mener et élaboration des TDR (y compris les données pouvant être régulièrement collectées)"/>
  </r>
  <r>
    <s v="Etudes sur les besoins des secteurs prioritaires"/>
    <s v="Assistance technique"/>
    <s v="h/m/ci"/>
    <n v="0"/>
    <n v="0"/>
    <n v="6"/>
    <n v="0"/>
    <n v="6"/>
    <n v="219.54797350000001"/>
    <n v="0"/>
    <n v="0"/>
    <n v="1317.2878410000001"/>
    <n v="0"/>
    <n v="1317.2878410000001"/>
    <x v="6"/>
    <s v="METFP-ET_Programme 1. Renforcement de la gouvernance au niveau central et déconcentré"/>
    <s v="3. Dépenses de fonctionnement"/>
    <s v="BSD"/>
    <s v="consultant"/>
    <x v="1"/>
    <x v="2"/>
    <x v="17"/>
    <s v="311- Les besoins en compétence des secteurs prioritaires sont identifiés"/>
    <x v="184"/>
    <s v="31112-Etudes sur les besoins des secteurs prioritaires"/>
  </r>
  <r>
    <s v="Collecte de données pour l'étude sur les besoins en emploi des secteurs prioritaires (regroupement par région administrative)"/>
    <s v="Mission de collecte"/>
    <s v="h/j/m"/>
    <n v="0"/>
    <n v="8"/>
    <n v="1"/>
    <m/>
    <n v="9"/>
    <n v="0.8177777777777776"/>
    <n v="0"/>
    <n v="6.5422222222222208"/>
    <n v="0.8177777777777776"/>
    <n v="0"/>
    <n v="7.3599999999999985"/>
    <x v="6"/>
    <s v="METFP-ET_Programme 1. Renforcement de la gouvernance au niveau central et déconcentré"/>
    <s v="3. Dépenses de fonctionnement"/>
    <s v="Direction Nationale"/>
    <s v="IRETFP"/>
    <x v="1"/>
    <x v="2"/>
    <x v="17"/>
    <s v="311- Les besoins en compétence des secteurs prioritaires sont identifiés"/>
    <x v="184"/>
    <s v="31113-Collecte de données pour l'étude sur les besoins en emploi des secteurs prioritaires (regroupement par région administrative)"/>
  </r>
  <r>
    <s v="Organisation de concertations avec tous les acteurs, en particulier avec les professionnels à tous les niveaux"/>
    <m/>
    <m/>
    <n v="0"/>
    <m/>
    <m/>
    <m/>
    <m/>
    <m/>
    <m/>
    <m/>
    <m/>
    <m/>
    <m/>
    <x v="0"/>
    <m/>
    <m/>
    <m/>
    <m/>
    <x v="1"/>
    <x v="2"/>
    <x v="17"/>
    <s v="311- Les besoins en compétence des secteurs prioritaires sont identifiés"/>
    <x v="185"/>
    <s v="3112-Organisation de concertations avec tous les acteurs, en particulier avec les professionnels à tous les niveaux"/>
  </r>
  <r>
    <s v="Organisation de rencontres de concertation et de partage des résultats des études"/>
    <s v="Atelier"/>
    <s v="h/j/a"/>
    <n v="0"/>
    <m/>
    <n v="540"/>
    <m/>
    <n v="540"/>
    <n v="0.3133333333333333"/>
    <n v="0"/>
    <n v="0"/>
    <n v="169.2"/>
    <n v="0"/>
    <n v="169.2"/>
    <x v="13"/>
    <s v="METFP-ET_Programme 1. Renforcement de la gouvernance au niveau central et déconcentré"/>
    <s v="3. Formation"/>
    <s v="DNL"/>
    <s v="IRET"/>
    <x v="1"/>
    <x v="2"/>
    <x v="17"/>
    <s v="311- Les besoins en compétence des secteurs prioritaires sont identifiés"/>
    <x v="185"/>
    <s v="31121-Organisation de rencontres de concertation et de partage des résultats des études"/>
  </r>
  <r>
    <s v="Identification des filières prioritaires à développer"/>
    <s v="Assistance technique"/>
    <s v="h/j/ci"/>
    <n v="0"/>
    <m/>
    <n v="45"/>
    <m/>
    <n v="45"/>
    <n v="10.404797"/>
    <n v="0"/>
    <n v="0"/>
    <n v="468.21586500000001"/>
    <n v="0"/>
    <n v="468.21586500000001"/>
    <x v="13"/>
    <s v="METFP-ET_Programme 1. Renforcement de la gouvernance au niveau central et déconcentré"/>
    <s v="3. Dépenses de fonctionnement"/>
    <s v="DNL"/>
    <s v="Centres de formation"/>
    <x v="1"/>
    <x v="2"/>
    <x v="17"/>
    <s v="311- Les besoins en compétence des secteurs prioritaires sont identifiés"/>
    <x v="185"/>
    <s v="31122-Identification des filières prioritaires à développer"/>
  </r>
  <r>
    <s v="Validation du choix des filières"/>
    <s v="Atelier"/>
    <s v="h/j/a"/>
    <n v="0"/>
    <m/>
    <n v="60"/>
    <m/>
    <n v="60"/>
    <n v="0.3133333333333333"/>
    <n v="0"/>
    <n v="0"/>
    <n v="18.799999999999997"/>
    <n v="0"/>
    <n v="18.799999999999997"/>
    <x v="2"/>
    <s v="METFP-ET_Programme 1. Renforcement de la gouvernance au niveau central et déconcentré"/>
    <s v="3. Formation"/>
    <s v="DNL"/>
    <s v="centre de formation"/>
    <x v="1"/>
    <x v="2"/>
    <x v="17"/>
    <s v="311- Les besoins en compétence des secteurs prioritaires sont identifiés"/>
    <x v="185"/>
    <s v="31123-Validation du choix des filières"/>
  </r>
  <r>
    <s v=" Un dispositif de veille sur les métiers, d’anticipation et d’identification des besoins du marché du travail est opérationnel"/>
    <m/>
    <m/>
    <n v="0"/>
    <m/>
    <m/>
    <m/>
    <m/>
    <m/>
    <m/>
    <m/>
    <m/>
    <m/>
    <m/>
    <x v="0"/>
    <m/>
    <m/>
    <m/>
    <m/>
    <x v="1"/>
    <x v="2"/>
    <x v="17"/>
    <s v="312- Un dispositif de veille sur les métiers, d’anticipation et d’identification des besoins du marché du travail est opérationnel"/>
    <x v="186"/>
    <s v="312- Un dispositif de veille sur les métiers, d’anticipation et d’identification des besoins du marché du travail est opérationnel"/>
  </r>
  <r>
    <s v="DéFinition des missions, du mode de fonctionnement du dispositif"/>
    <m/>
    <m/>
    <n v="0"/>
    <m/>
    <m/>
    <m/>
    <m/>
    <m/>
    <m/>
    <m/>
    <m/>
    <m/>
    <m/>
    <x v="0"/>
    <m/>
    <m/>
    <m/>
    <m/>
    <x v="1"/>
    <x v="2"/>
    <x v="17"/>
    <s v="312- Un dispositif de veille sur les métiers, d’anticipation et d’identification des besoins du marché du travail est opérationnel"/>
    <x v="187"/>
    <s v="3121-DéFinition des missions, du mode de fonctionnement du dispositif"/>
  </r>
  <r>
    <s v="Organisation de rencontres de concertation pour la déFinition des missions et du mode de fonctionnement du dispositif de veille"/>
    <s v="Atelier"/>
    <s v="h/j/ap"/>
    <n v="0"/>
    <n v="540"/>
    <m/>
    <m/>
    <n v="540"/>
    <n v="0.255"/>
    <n v="0"/>
    <n v="137.69999999999999"/>
    <n v="0"/>
    <n v="0"/>
    <n v="137.69999999999999"/>
    <x v="13"/>
    <s v="METFP-ET_Programme 1. Renforcement de la gouvernance au niveau central et déconcentré"/>
    <s v="3. Dépenses de fonctionnement"/>
    <s v="DNL"/>
    <s v="IRETF"/>
    <x v="1"/>
    <x v="2"/>
    <x v="17"/>
    <s v="312- Un dispositif de veille sur les métiers, d’anticipation et d’identification des besoins du marché du travail est opérationnel"/>
    <x v="187"/>
    <s v="31211-Organisation de rencontres de concertation pour la déFinition des missions et du mode de fonctionnement du dispositif de veille"/>
  </r>
  <r>
    <s v="Identification du dispositif sur la base des résultats de la concertation"/>
    <s v="travaux administratifs"/>
    <s v="sif"/>
    <n v="0"/>
    <n v="1"/>
    <m/>
    <m/>
    <n v="1"/>
    <n v="0"/>
    <n v="0"/>
    <n v="0"/>
    <n v="0"/>
    <n v="0"/>
    <m/>
    <x v="2"/>
    <s v="METFP-ET_Programme 1. Renforcement de la gouvernance au niveau central et déconcentré"/>
    <s v=""/>
    <s v="DNL"/>
    <s v="IRETF"/>
    <x v="1"/>
    <x v="2"/>
    <x v="17"/>
    <s v="312- Un dispositif de veille sur les métiers, d’anticipation et d’identification des besoins du marché du travail est opérationnel"/>
    <x v="187"/>
    <s v="31212-Identification du dispositif sur la base des résultats de la concertation"/>
  </r>
  <r>
    <s v="Mise en place et opérationnalisation du dispositif de veille"/>
    <m/>
    <m/>
    <n v="0"/>
    <m/>
    <m/>
    <m/>
    <m/>
    <m/>
    <m/>
    <m/>
    <m/>
    <m/>
    <m/>
    <x v="0"/>
    <m/>
    <m/>
    <m/>
    <m/>
    <x v="1"/>
    <x v="2"/>
    <x v="17"/>
    <s v="312- Un dispositif de veille sur les métiers, d’anticipation et d’identification des besoins du marché du travail est opérationnel"/>
    <x v="188"/>
    <s v="3122-Mise en place et opérationnalisation du dispositif de veille"/>
  </r>
  <r>
    <s v="Elaboration, adoption et diffusion des textes réglementaires (gestion paritaire)"/>
    <s v="Textes juridiques"/>
    <s v="h/j/ap"/>
    <n v="0"/>
    <n v="100"/>
    <m/>
    <m/>
    <n v="100"/>
    <n v="0.255"/>
    <n v="0"/>
    <n v="25.5"/>
    <n v="0"/>
    <n v="0"/>
    <n v="25.5"/>
    <x v="2"/>
    <s v="METFP-ET_Programme 1. Renforcement de la gouvernance au niveau central et déconcentré"/>
    <s v="3. Dépenses de fonctionnement"/>
    <s v="DNL"/>
    <s v="IRETFP"/>
    <x v="1"/>
    <x v="2"/>
    <x v="17"/>
    <s v="312- Un dispositif de veille sur les métiers, d’anticipation et d’identification des besoins du marché du travail est opérationnel"/>
    <x v="188"/>
    <s v="31221-Elaboration, adoption et diffusion des textes réglementaires (gestion paritaire)"/>
  </r>
  <r>
    <s v="Appui technique pour l'élaboration de fiches de collecte et du guide de remplissage des fiches sur les métiers porteurs par zone (sur la base des résultats de l'activité 31112)"/>
    <s v="pm"/>
    <s v="sif"/>
    <n v="0"/>
    <n v="1"/>
    <n v="1"/>
    <m/>
    <n v="2"/>
    <n v="0"/>
    <n v="0"/>
    <n v="0"/>
    <n v="0"/>
    <n v="0"/>
    <m/>
    <x v="2"/>
    <s v="METFP-ET_Programme 1. Renforcement de la gouvernance au niveau central et déconcentré"/>
    <s v=""/>
    <m/>
    <m/>
    <x v="1"/>
    <x v="2"/>
    <x v="17"/>
    <s v="312- Un dispositif de veille sur les métiers, d’anticipation et d’identification des besoins du marché du travail est opérationnel"/>
    <x v="188"/>
    <s v="31222-Appui technique pour l'élaboration de fiches de collecte et du guide de remplissage des fiches sur les métiers porteurs par zone (sur la base des résultats de l'activité 31112)"/>
  </r>
  <r>
    <s v="Appui technique pour la mise en place d'une base de données sur les métiers porteurs par zone (sur la base des résultats de l'activité 31112)"/>
    <s v="Assistance technique"/>
    <s v="h/j/cn"/>
    <n v="0"/>
    <m/>
    <n v="60"/>
    <m/>
    <n v="60"/>
    <n v="2.651545"/>
    <n v="0"/>
    <n v="0"/>
    <n v="159.09270000000001"/>
    <n v="0"/>
    <n v="159.09270000000001"/>
    <x v="17"/>
    <s v="METFP-ET_Programme 1. Renforcement de la gouvernance au niveau central et déconcentré"/>
    <s v="3. Dépenses de fonctionnement"/>
    <s v="BSD"/>
    <s v="Consultant national"/>
    <x v="1"/>
    <x v="2"/>
    <x v="17"/>
    <s v="312- Un dispositif de veille sur les métiers, d’anticipation et d’identification des besoins du marché du travail est opérationnel"/>
    <x v="188"/>
    <s v="31223-Appui technique pour la mise en place d'une base de données sur les métiers porteurs par zone (sur la base des résultats de l'activité 31112)"/>
  </r>
  <r>
    <s v="Elaboration d'un guide d'utilisation de la base de données (prise en compte dans activité 31223)"/>
    <s v="pm"/>
    <s v="sif"/>
    <n v="0"/>
    <m/>
    <n v="1"/>
    <m/>
    <n v="1"/>
    <n v="0"/>
    <n v="0"/>
    <n v="0"/>
    <n v="0"/>
    <n v="0"/>
    <m/>
    <x v="2"/>
    <s v="METFP-ET_Programme 1. Renforcement de la gouvernance au niveau central et déconcentré"/>
    <s v=""/>
    <m/>
    <m/>
    <x v="1"/>
    <x v="2"/>
    <x v="17"/>
    <s v="312- Un dispositif de veille sur les métiers, d’anticipation et d’identification des besoins du marché du travail est opérationnel"/>
    <x v="188"/>
    <s v="31224-Elaboration d'un guide d'utilisation de la base de données (prise en compte dans activité 31223)"/>
  </r>
  <r>
    <s v="Collecte périodique des données sur le marché de l'emploi"/>
    <s v="Impression"/>
    <s v="imp"/>
    <n v="0"/>
    <n v="320"/>
    <n v="2400"/>
    <n v="0"/>
    <n v="2720"/>
    <n v="7.4999999999999997E-3"/>
    <n v="0"/>
    <n v="2.4"/>
    <n v="18"/>
    <n v="0"/>
    <n v="20.399999999999999"/>
    <x v="6"/>
    <s v="METFP-ET_Programme 1. Renforcement de la gouvernance au niveau central et déconcentré"/>
    <s v="3. Dépenses de fonctionnement"/>
    <s v="BSD"/>
    <s v="SSP"/>
    <x v="1"/>
    <x v="2"/>
    <x v="17"/>
    <s v="312- Un dispositif de veille sur les métiers, d’anticipation et d’identification des besoins du marché du travail est opérationnel"/>
    <x v="188"/>
    <s v="31225-Collecte périodique des données sur le marché de l'emploi"/>
  </r>
  <r>
    <s v="Saisie et analyse des données collectées"/>
    <s v="Atelier"/>
    <s v="h/j/ap"/>
    <n v="0"/>
    <m/>
    <n v="1920"/>
    <n v="0"/>
    <n v="1920"/>
    <n v="0.255"/>
    <n v="0"/>
    <n v="0"/>
    <n v="489.6"/>
    <n v="0"/>
    <n v="489.6"/>
    <x v="6"/>
    <s v="METFP-ET_Programme 1. Renforcement de la gouvernance au niveau central et déconcentré"/>
    <s v="3. Dépenses de fonctionnement"/>
    <m/>
    <m/>
    <x v="1"/>
    <x v="2"/>
    <x v="17"/>
    <s v="312- Un dispositif de veille sur les métiers, d’anticipation et d’identification des besoins du marché du travail est opérationnel"/>
    <x v="188"/>
    <s v="31226-Saisie et analyse des données collectées"/>
  </r>
  <r>
    <s v="Organisation des rencontres du groupe de gestion paritaire du dispositif de veille"/>
    <s v="Rencontre"/>
    <s v="h/j/ap"/>
    <n v="0"/>
    <m/>
    <n v="40"/>
    <n v="40"/>
    <n v="80"/>
    <n v="0.255"/>
    <n v="0"/>
    <n v="0"/>
    <n v="10.199999999999999"/>
    <n v="10.199999999999999"/>
    <n v="20.399999999999999"/>
    <x v="2"/>
    <s v="METFP-ET_Programme 1. Renforcement de la gouvernance au niveau central et déconcentré"/>
    <s v="3. Dépenses de fonctionnement"/>
    <s v="BSD"/>
    <s v="Partenaires socio-professionnels"/>
    <x v="1"/>
    <x v="2"/>
    <x v="17"/>
    <s v="312- Un dispositif de veille sur les métiers, d’anticipation et d’identification des besoins du marché du travail est opérationnel"/>
    <x v="188"/>
    <s v="31227-Organisation des rencontres du groupe de gestion paritaire du dispositif de veille"/>
  </r>
  <r>
    <s v=" Un mécanisme de suivi de l’insertion est opérationnel"/>
    <m/>
    <m/>
    <n v="0"/>
    <m/>
    <m/>
    <m/>
    <m/>
    <m/>
    <m/>
    <m/>
    <m/>
    <m/>
    <m/>
    <x v="0"/>
    <m/>
    <m/>
    <m/>
    <m/>
    <x v="1"/>
    <x v="2"/>
    <x v="17"/>
    <s v="313- Un mécanisme de suivi de l’insertion est opérationnel"/>
    <x v="189"/>
    <s v="313- Un mécanisme de suivi de l’insertion est opérationnel"/>
  </r>
  <r>
    <s v="Conception et mise en place du mécanisme de suivi de l’insertion"/>
    <m/>
    <m/>
    <n v="0"/>
    <m/>
    <m/>
    <m/>
    <m/>
    <m/>
    <m/>
    <m/>
    <m/>
    <m/>
    <m/>
    <x v="0"/>
    <m/>
    <m/>
    <m/>
    <m/>
    <x v="1"/>
    <x v="2"/>
    <x v="17"/>
    <s v="313- Un mécanisme de suivi de l’insertion est opérationnel"/>
    <x v="190"/>
    <s v="3131-Conception et mise en place du mécanisme de suivi de l’insertion"/>
  </r>
  <r>
    <s v="Appui à la mise en place et à l'opérationnalisation d'un dispositif de suivi de l'insertion socioprofessionnelle"/>
    <s v="Assistance technique longue durée"/>
    <s v="h/m/ci"/>
    <n v="0"/>
    <n v="4"/>
    <n v="2"/>
    <n v="1"/>
    <n v="7"/>
    <n v="219.54797350000001"/>
    <n v="0"/>
    <n v="878.19189400000005"/>
    <n v="439.09594700000002"/>
    <n v="219.54797350000001"/>
    <n v="1536.8358145000002"/>
    <x v="18"/>
    <s v="METFP-ET_Programme 1. Renforcement de la gouvernance au niveau central et déconcentré"/>
    <s v="3. Dépenses de fonctionnement"/>
    <s v="BSD"/>
    <s v="DNL"/>
    <x v="1"/>
    <x v="2"/>
    <x v="17"/>
    <s v="313- Un mécanisme de suivi de l’insertion est opérationnel"/>
    <x v="190"/>
    <s v="31311-Appui à la mise en place et à l'opérationnalisation d'un dispositif de suivi de l'insertion socioprofessionnelle"/>
  </r>
  <r>
    <s v="DéFinition du mécanisme de suivi de l'insertion"/>
    <s v="ateliers de travail"/>
    <s v="h/j/ap"/>
    <n v="0"/>
    <n v="100"/>
    <m/>
    <m/>
    <n v="100"/>
    <n v="0.255"/>
    <n v="0"/>
    <n v="25.5"/>
    <n v="0"/>
    <n v="0"/>
    <n v="25.5"/>
    <x v="19"/>
    <s v="METFP-ET_Programme 1. Renforcement de la gouvernance au niveau central et déconcentré"/>
    <s v="3. Dépenses de fonctionnement"/>
    <s v="DNL"/>
    <s v="DNL"/>
    <x v="1"/>
    <x v="2"/>
    <x v="17"/>
    <s v="313- Un mécanisme de suivi de l’insertion est opérationnel"/>
    <x v="190"/>
    <s v="31312-DéFinition du mécanisme de suivi de l'insertion"/>
  </r>
  <r>
    <s v="la mise en place du dispositif d'insertion"/>
    <s v="texte réglementaire"/>
    <s v="sif"/>
    <n v="0"/>
    <m/>
    <n v="1"/>
    <m/>
    <n v="1"/>
    <n v="0"/>
    <n v="0"/>
    <n v="0"/>
    <n v="0"/>
    <n v="0"/>
    <m/>
    <x v="2"/>
    <s v="METFP-ET_Programme 1. Renforcement de la gouvernance au niveau central et déconcentré"/>
    <s v=""/>
    <s v="DNL"/>
    <s v="DNL"/>
    <x v="1"/>
    <x v="2"/>
    <x v="17"/>
    <s v="313- Un mécanisme de suivi de l’insertion est opérationnel"/>
    <x v="190"/>
    <s v="31313-la mise en place du dispositif d'insertion"/>
  </r>
  <r>
    <s v="Réalisation d’actions de suivi et d’analyse de l’insertion des diplômés de l’ETFP"/>
    <m/>
    <m/>
    <n v="0"/>
    <m/>
    <m/>
    <m/>
    <m/>
    <m/>
    <m/>
    <m/>
    <m/>
    <m/>
    <m/>
    <x v="0"/>
    <m/>
    <m/>
    <m/>
    <m/>
    <x v="1"/>
    <x v="2"/>
    <x v="17"/>
    <s v="313- Un mécanisme de suivi de l’insertion est opérationnel"/>
    <x v="191"/>
    <s v="3132-Réalisation d’actions de suivi et d’analyse de l’insertion des diplômés de l’ETFP"/>
  </r>
  <r>
    <s v="Elaboration de guide d'enquête pour le suivi de l'insertion professionnelle (pris en compte dans activité 31311)"/>
    <s v="pm"/>
    <s v="sif"/>
    <n v="0"/>
    <m/>
    <n v="1"/>
    <m/>
    <n v="1"/>
    <n v="0"/>
    <n v="0"/>
    <n v="0"/>
    <n v="0"/>
    <n v="0"/>
    <m/>
    <x v="2"/>
    <s v="METFP-ET_Programme 1. Renforcement de la gouvernance au niveau central et déconcentré"/>
    <s v=""/>
    <m/>
    <m/>
    <x v="1"/>
    <x v="2"/>
    <x v="17"/>
    <s v="313- Un mécanisme de suivi de l’insertion est opérationnel"/>
    <x v="191"/>
    <s v="31321-Elaboration de guide d'enquête pour le suivi de l'insertion professionnelle (pris en compte dans activité 31311)"/>
  </r>
  <r>
    <s v="Développement d'une application pour le suivi de l'insertion (niveau établissement et niveau national pris en charge dans activité 31311)"/>
    <s v="pm"/>
    <s v="sif"/>
    <n v="0"/>
    <m/>
    <n v="1"/>
    <m/>
    <n v="1"/>
    <n v="0"/>
    <n v="0"/>
    <n v="0"/>
    <n v="0"/>
    <n v="0"/>
    <m/>
    <x v="2"/>
    <s v="METFP-ET_Programme 1. Renforcement de la gouvernance au niveau central et déconcentré"/>
    <s v=""/>
    <m/>
    <m/>
    <x v="1"/>
    <x v="2"/>
    <x v="17"/>
    <s v="313- Un mécanisme de suivi de l’insertion est opérationnel"/>
    <x v="191"/>
    <s v="31322-Développement d'une application pour le suivi de l'insertion (niveau établissement et niveau national pris en charge dans activité 31311)"/>
  </r>
  <r>
    <s v="Collecte périodique des données sur l'insertion professionnelle au niveau des institutions de formation et des entreprises (voir budget établissement)"/>
    <s v="pm"/>
    <s v="sif"/>
    <n v="0"/>
    <m/>
    <n v="1"/>
    <n v="1"/>
    <n v="2"/>
    <n v="0"/>
    <n v="0"/>
    <n v="0"/>
    <n v="0"/>
    <n v="0"/>
    <m/>
    <x v="2"/>
    <s v="METFP-ET_Programme 1. Renforcement de la gouvernance au niveau central et déconcentré"/>
    <s v=""/>
    <m/>
    <m/>
    <x v="1"/>
    <x v="2"/>
    <x v="17"/>
    <s v="313- Un mécanisme de suivi de l’insertion est opérationnel"/>
    <x v="191"/>
    <s v="31323-Collecte périodique des données sur l'insertion professionnelle au niveau des institutions de formation et des entreprises (voir budget établissement)"/>
  </r>
  <r>
    <s v="Analyse et partage des résultats annuels du suivi de l'insertion"/>
    <s v="Atelier"/>
    <s v="h/j/ap"/>
    <n v="0"/>
    <m/>
    <n v="1600"/>
    <n v="0"/>
    <n v="1600"/>
    <n v="0.255"/>
    <n v="0"/>
    <n v="0"/>
    <n v="408"/>
    <n v="0"/>
    <n v="408"/>
    <x v="6"/>
    <s v="METFP-ET_Programme 1. Renforcement de la gouvernance au niveau central et déconcentré"/>
    <s v="3. Dépenses de fonctionnement"/>
    <s v="BSD"/>
    <s v="DNL"/>
    <x v="1"/>
    <x v="2"/>
    <x v="17"/>
    <s v="313- Un mécanisme de suivi de l’insertion est opérationnel"/>
    <x v="191"/>
    <s v="31324-Analyse et partage des résultats annuels du suivi de l'insertion"/>
  </r>
  <r>
    <s v="Prise en charge dans les programmes de formation des constats de l'analyse du suivi de l'insertion "/>
    <s v="texte réglementaire"/>
    <s v="sif"/>
    <n v="0"/>
    <m/>
    <n v="1"/>
    <n v="1"/>
    <n v="2"/>
    <n v="0"/>
    <n v="0"/>
    <n v="0"/>
    <n v="0"/>
    <n v="0"/>
    <m/>
    <x v="2"/>
    <s v="METFP-ET_Programme 1. Renforcement de la gouvernance au niveau central et déconcentré"/>
    <s v=""/>
    <s v="DNL"/>
    <s v="DNL"/>
    <x v="1"/>
    <x v="2"/>
    <x v="17"/>
    <s v="313- Un mécanisme de suivi de l’insertion est opérationnel"/>
    <x v="191"/>
    <s v="31325-Prise en charge dans les programmes de formation des constats de l'analyse du suivi de l'insertion "/>
  </r>
  <r>
    <s v=" Mise en place d’une ingénierie de formation adaptée aux besoins de l’économie"/>
    <m/>
    <m/>
    <n v="0"/>
    <m/>
    <m/>
    <m/>
    <m/>
    <m/>
    <m/>
    <m/>
    <m/>
    <m/>
    <m/>
    <x v="0"/>
    <m/>
    <m/>
    <m/>
    <m/>
    <x v="1"/>
    <x v="2"/>
    <x v="18"/>
    <s v="32- Mise en place d’une ingénierie de formation adaptée aux besoins de l’économie"/>
    <x v="192"/>
    <s v="32- Mise en place d’une ingénierie de formation adaptée aux besoins de l’économie"/>
  </r>
  <r>
    <s v=" Un dispositif institutionnel de formation du personnel de formation et d’ingénierie de formation est mis en place"/>
    <m/>
    <m/>
    <n v="0"/>
    <m/>
    <m/>
    <m/>
    <m/>
    <m/>
    <m/>
    <m/>
    <m/>
    <m/>
    <m/>
    <x v="0"/>
    <m/>
    <m/>
    <m/>
    <m/>
    <x v="1"/>
    <x v="2"/>
    <x v="18"/>
    <s v="321- Un dispositif institutionnel de formation du personnel de formation et d’ingénierie de formation est mis en place"/>
    <x v="193"/>
    <s v="321- Un dispositif institutionnel de formation du personnel de formation et d’ingénierie de formation est mis en place"/>
  </r>
  <r>
    <s v="DéFinition des missions du dispositif institutionnel de l’ingénierie de formation"/>
    <m/>
    <m/>
    <n v="0"/>
    <m/>
    <m/>
    <m/>
    <m/>
    <m/>
    <m/>
    <m/>
    <m/>
    <m/>
    <m/>
    <x v="0"/>
    <m/>
    <m/>
    <m/>
    <m/>
    <x v="1"/>
    <x v="2"/>
    <x v="18"/>
    <s v="321- Un dispositif institutionnel de formation du personnel de formation et d’ingénierie de formation est mis en place"/>
    <x v="194"/>
    <s v="3211-DéFinition des missions du dispositif institutionnel de l’ingénierie de formation"/>
  </r>
  <r>
    <s v="Appui à la déFinition du dispositif institutionnel et à l'accompagnement de l'ingénierie de formation (appui long terme sur l'ensemble du processus)"/>
    <s v="Assistance technique longue durée"/>
    <s v="h/m/ci"/>
    <n v="0"/>
    <m/>
    <n v="8"/>
    <n v="4"/>
    <n v="12"/>
    <n v="219.54797350000001"/>
    <n v="0"/>
    <n v="0"/>
    <n v="1756.3837880000001"/>
    <n v="878.19189400000005"/>
    <n v="2634.5756820000001"/>
    <x v="19"/>
    <s v="METFP-ET_Programme 2. Développement de la formation professionnelle et technique"/>
    <s v="3. Dépenses de fonctionnement"/>
    <s v="DNL"/>
    <s v="Centres de formation"/>
    <x v="1"/>
    <x v="2"/>
    <x v="18"/>
    <s v="321- Un dispositif institutionnel de formation du personnel de formation et d’ingénierie de formation est mis en place"/>
    <x v="194"/>
    <s v="32111-Appui à la déFinition du dispositif institutionnel et à l'accompagnement de l'ingénierie de formation (appui long terme sur l'ensemble du processus)"/>
  </r>
  <r>
    <s v="Elaboration d'un cahier de charges (pris en compte dans 32111)"/>
    <s v="pm"/>
    <s v="sif"/>
    <n v="0"/>
    <m/>
    <n v="1"/>
    <m/>
    <n v="1"/>
    <n v="0"/>
    <n v="0"/>
    <n v="0"/>
    <n v="0"/>
    <n v="0"/>
    <m/>
    <x v="2"/>
    <s v="METFP-ET_Programme 2. Développement de la formation professionnelle et technique"/>
    <s v=""/>
    <m/>
    <m/>
    <x v="1"/>
    <x v="2"/>
    <x v="18"/>
    <s v="321- Un dispositif institutionnel de formation du personnel de formation et d’ingénierie de formation est mis en place"/>
    <x v="194"/>
    <s v="32112-Elaboration d'un cahier de charges (pris en compte dans 32111)"/>
  </r>
  <r>
    <s v="Partage et validation du projet de dispositif "/>
    <s v="Atelier"/>
    <s v="h/j/a"/>
    <n v="0"/>
    <m/>
    <n v="60"/>
    <n v="60"/>
    <n v="120"/>
    <n v="0.3133333333333333"/>
    <n v="0"/>
    <n v="0"/>
    <n v="18.799999999999997"/>
    <n v="18.799999999999997"/>
    <n v="37.599999999999994"/>
    <x v="6"/>
    <s v="METFP-ET_Programme 2. Développement de la formation professionnelle et technique"/>
    <s v="3. Formation"/>
    <s v="BSD"/>
    <s v="DNL"/>
    <x v="1"/>
    <x v="2"/>
    <x v="18"/>
    <s v="321- Un dispositif institutionnel de formation du personnel de formation et d’ingénierie de formation est mis en place"/>
    <x v="194"/>
    <s v="32113-Partage et validation du projet de dispositif "/>
  </r>
  <r>
    <s v="Elaboration et adoption des textes réglementant le fonctionnement du dispositif"/>
    <s v="Texte"/>
    <s v="sif"/>
    <n v="0"/>
    <m/>
    <n v="1"/>
    <m/>
    <n v="1"/>
    <n v="0"/>
    <n v="0"/>
    <n v="0"/>
    <n v="0"/>
    <n v="0"/>
    <m/>
    <x v="2"/>
    <s v="METFP-ET_Programme 2. Développement de la formation professionnelle et technique"/>
    <s v=""/>
    <s v="DNL"/>
    <s v="DNL"/>
    <x v="1"/>
    <x v="2"/>
    <x v="18"/>
    <s v="321- Un dispositif institutionnel de formation du personnel de formation et d’ingénierie de formation est mis en place"/>
    <x v="194"/>
    <s v="32114-Elaboration et adoption des textes réglementant le fonctionnement du dispositif"/>
  </r>
  <r>
    <s v="Opérationnalisation du dispositif"/>
    <m/>
    <m/>
    <n v="0"/>
    <m/>
    <m/>
    <m/>
    <m/>
    <m/>
    <m/>
    <m/>
    <m/>
    <m/>
    <m/>
    <x v="0"/>
    <m/>
    <m/>
    <m/>
    <m/>
    <x v="1"/>
    <x v="2"/>
    <x v="18"/>
    <s v="321- Un dispositif institutionnel de formation du personnel de formation et d’ingénierie de formation est mis en place"/>
    <x v="195"/>
    <s v="3212-Opérationnalisation du dispositif"/>
  </r>
  <r>
    <s v="DéFinition de critères de sélection de conseillers pédagogiques pour la rédaction des programmes et de formateurs de formateurs en APC"/>
    <s v="travaux administratifs"/>
    <s v="sif"/>
    <n v="0"/>
    <m/>
    <n v="1"/>
    <m/>
    <n v="1"/>
    <n v="0"/>
    <n v="0"/>
    <n v="0"/>
    <n v="0"/>
    <n v="0"/>
    <m/>
    <x v="2"/>
    <s v="METFP-ET_Programme 2. Développement de la formation professionnelle et technique"/>
    <s v=""/>
    <s v="DNL"/>
    <s v="DNL"/>
    <x v="1"/>
    <x v="2"/>
    <x v="18"/>
    <s v="321- Un dispositif institutionnel de formation du personnel de formation et d’ingénierie de formation est mis en place"/>
    <x v="195"/>
    <s v="32121-DéFinition de critères de sélection de conseillers pédagogiques pour la rédaction des programmes et de formateurs de formateurs en APC"/>
  </r>
  <r>
    <s v="Elaboration de plans et supports de formation (Pris en compte dans 32111)"/>
    <s v="pm"/>
    <s v="sif"/>
    <n v="0"/>
    <m/>
    <n v="1"/>
    <m/>
    <n v="1"/>
    <n v="0"/>
    <n v="0"/>
    <n v="0"/>
    <n v="0"/>
    <n v="0"/>
    <m/>
    <x v="2"/>
    <s v="METFP-ET_Programme 2. Développement de la formation professionnelle et technique"/>
    <s v=""/>
    <m/>
    <m/>
    <x v="1"/>
    <x v="2"/>
    <x v="18"/>
    <s v="321- Un dispositif institutionnel de formation du personnel de formation et d’ingénierie de formation est mis en place"/>
    <x v="195"/>
    <s v="32122-Elaboration de plans et supports de formation (Pris en compte dans 32111)"/>
  </r>
  <r>
    <s v="Recrutement de conseillers pour la rédaction des programmes"/>
    <s v="acte administratif"/>
    <s v="sif"/>
    <n v="0"/>
    <m/>
    <n v="1"/>
    <m/>
    <n v="1"/>
    <n v="0"/>
    <n v="0"/>
    <n v="0"/>
    <n v="0"/>
    <n v="0"/>
    <m/>
    <x v="2"/>
    <s v="METFP-ET_Programme 2. Développement de la formation professionnelle et technique"/>
    <s v=""/>
    <s v="DNL"/>
    <s v="DNL"/>
    <x v="1"/>
    <x v="2"/>
    <x v="18"/>
    <s v="321- Un dispositif institutionnel de formation du personnel de formation et d’ingénierie de formation est mis en place"/>
    <x v="195"/>
    <s v="32123-Recrutement de conseillers pour la rédaction des programmes"/>
  </r>
  <r>
    <s v="Formation de conseillers sur la méthodologie APC "/>
    <s v="Formation"/>
    <s v="h/j/f"/>
    <n v="0"/>
    <m/>
    <n v="9600"/>
    <m/>
    <n v="9600"/>
    <n v="0.67666666666666664"/>
    <n v="0"/>
    <n v="0"/>
    <n v="6496"/>
    <n v="0"/>
    <n v="6496"/>
    <x v="6"/>
    <s v="METFP-ET_Programme 2. Développement de la formation professionnelle et technique"/>
    <s v="3. Formation"/>
    <s v="DNL"/>
    <s v="DNL"/>
    <x v="1"/>
    <x v="2"/>
    <x v="18"/>
    <s v="321- Un dispositif institutionnel de formation du personnel de formation et d’ingénierie de formation est mis en place"/>
    <x v="195"/>
    <s v="32124-Formation de conseillers sur la méthodologie APC "/>
  </r>
  <r>
    <s v="Appui développement des nouveaux programmes pour les nouvelles filières (pris en compte dans activité 32111)"/>
    <s v="pm"/>
    <s v="sif"/>
    <n v="0"/>
    <m/>
    <n v="1"/>
    <n v="1"/>
    <n v="2"/>
    <n v="0"/>
    <n v="0"/>
    <n v="0"/>
    <n v="0"/>
    <n v="0"/>
    <m/>
    <x v="2"/>
    <s v="METFP-ET_Programme 2. Développement de la formation professionnelle et technique"/>
    <s v=""/>
    <m/>
    <m/>
    <x v="1"/>
    <x v="2"/>
    <x v="18"/>
    <s v="321- Un dispositif institutionnel de formation du personnel de formation et d’ingénierie de formation est mis en place"/>
    <x v="195"/>
    <s v="32125-Appui développement des nouveaux programmes pour les nouvelles filières (pris en compte dans activité 32111)"/>
  </r>
  <r>
    <s v="Elaboration des nouveaux programmes et des guides d'accompagnement"/>
    <s v="ateliers"/>
    <s v="h/j/ap"/>
    <n v="0"/>
    <m/>
    <n v="1400"/>
    <n v="0"/>
    <n v="1400"/>
    <n v="0.255"/>
    <n v="0"/>
    <n v="0"/>
    <n v="357"/>
    <n v="0"/>
    <n v="357"/>
    <x v="6"/>
    <s v="METFP-ET_Programme 2. Développement de la formation professionnelle et technique"/>
    <s v="3. Dépenses de fonctionnement"/>
    <s v="DNL"/>
    <s v="Division Développement des Programmes"/>
    <x v="1"/>
    <x v="2"/>
    <x v="18"/>
    <s v="321- Un dispositif institutionnel de formation du personnel de formation et d’ingénierie de formation est mis en place"/>
    <x v="195"/>
    <s v="32126-Elaboration des nouveaux programmes et des guides d'accompagnement"/>
  </r>
  <r>
    <s v="Révision des programmes existants selon l'APC"/>
    <s v="ateliers"/>
    <s v="h/j/ap"/>
    <n v="0"/>
    <m/>
    <n v="4000"/>
    <n v="0"/>
    <n v="4000"/>
    <n v="0.255"/>
    <n v="0"/>
    <n v="0"/>
    <n v="1020"/>
    <n v="0"/>
    <n v="1020"/>
    <x v="6"/>
    <s v="METFP-ET_Programme 2. Développement de la formation professionnelle et technique"/>
    <s v="3. Dépenses de fonctionnement"/>
    <s v="DNL"/>
    <s v="Division Développement des Programmes"/>
    <x v="1"/>
    <x v="2"/>
    <x v="18"/>
    <s v="321- Un dispositif institutionnel de formation du personnel de formation et d’ingénierie de formation est mis en place"/>
    <x v="195"/>
    <s v="32127-Révision des programmes existants selon l'APC"/>
  </r>
  <r>
    <s v="Recrutement de formateurs pour la formation des formateurs en méthodologie APC (pris en compte activité 32111"/>
    <s v="acte administratif"/>
    <s v="sif"/>
    <n v="0"/>
    <m/>
    <n v="1"/>
    <n v="1"/>
    <n v="2"/>
    <n v="0"/>
    <n v="0"/>
    <n v="0"/>
    <n v="0"/>
    <n v="0"/>
    <m/>
    <x v="2"/>
    <s v="METFP-ET_Programme 2. Développement de la formation professionnelle et technique"/>
    <s v=""/>
    <m/>
    <m/>
    <x v="1"/>
    <x v="2"/>
    <x v="18"/>
    <s v="321- Un dispositif institutionnel de formation du personnel de formation et d’ingénierie de formation est mis en place"/>
    <x v="195"/>
    <s v="32128-Recrutement de formateurs pour la formation des formateurs en méthodologie APC (pris en compte activité 32111"/>
  </r>
  <r>
    <s v="Formation de formateurs (formateurs d l'ENPETP) en méthodologie APC"/>
    <s v="formation"/>
    <s v="h/j/f"/>
    <n v="0"/>
    <m/>
    <n v="1050"/>
    <n v="0"/>
    <n v="1050"/>
    <n v="0.67666666666666664"/>
    <n v="0"/>
    <n v="0"/>
    <n v="710.5"/>
    <n v="0"/>
    <n v="710.5"/>
    <x v="6"/>
    <s v="METFP-ET_Programme 2. Développement de la formation professionnelle et technique"/>
    <s v="3. Formation"/>
    <s v="DNL"/>
    <s v="ENPETP"/>
    <x v="1"/>
    <x v="2"/>
    <x v="18"/>
    <s v="321- Un dispositif institutionnel de formation du personnel de formation et d’ingénierie de formation est mis en place"/>
    <x v="195"/>
    <s v="32129-Formation de formateurs (formateurs d l'ENPETP) en méthodologie APC"/>
  </r>
  <r>
    <s v="Acquisition d'équipements pour l'ENPETP"/>
    <s v="Equipement"/>
    <s v="EQ/ENPETP"/>
    <n v="0"/>
    <m/>
    <n v="1"/>
    <m/>
    <n v="1"/>
    <n v="645.37004999999999"/>
    <n v="0"/>
    <n v="0"/>
    <n v="645.37004999999999"/>
    <n v="0"/>
    <n v="645.37004999999999"/>
    <x v="6"/>
    <s v="METFP-ET_Programme 2. Développement de la formation professionnelle et technique"/>
    <s v="5. Investissement"/>
    <m/>
    <m/>
    <x v="1"/>
    <x v="2"/>
    <x v="18"/>
    <s v="321- Un dispositif institutionnel de formation du personnel de formation et d’ingénierie de formation est mis en place"/>
    <x v="195"/>
    <s v="321210-Acquisition d'équipements pour l'ENPETP"/>
  </r>
  <r>
    <s v="Appui à la déFinition d'outils de gestion et d'encadrement pour l'ENPETP"/>
    <s v="Assistance technique"/>
    <s v="h/j/ci"/>
    <n v="0"/>
    <n v="45"/>
    <m/>
    <m/>
    <n v="45"/>
    <n v="10.404797"/>
    <n v="0"/>
    <n v="468.21586500000001"/>
    <n v="0"/>
    <n v="0"/>
    <n v="468.21586500000001"/>
    <x v="6"/>
    <s v="METFP-ET_Programme 2. Développement de la formation professionnelle et technique"/>
    <s v="3. Dépenses de fonctionnement"/>
    <s v="DNL"/>
    <s v="Consultant"/>
    <x v="1"/>
    <x v="2"/>
    <x v="18"/>
    <s v="321- Un dispositif institutionnel de formation du personnel de formation et d’ingénierie de formation est mis en place"/>
    <x v="195"/>
    <s v="321211-Appui à la déFinition d'outils de gestion et d'encadrement pour l'ENPETP"/>
  </r>
  <r>
    <s v="Formation du personnel d'encadrement de l'ENPET à l'utilisation des outils"/>
    <s v="Atelier"/>
    <s v="h/j/ap"/>
    <n v="0"/>
    <n v="50"/>
    <n v="50"/>
    <n v="50"/>
    <n v="150"/>
    <n v="0.255"/>
    <n v="0"/>
    <n v="12.75"/>
    <n v="12.75"/>
    <n v="12.75"/>
    <n v="38.25"/>
    <x v="6"/>
    <s v="METFP-ET_Programme 2. Développement de la formation professionnelle et technique"/>
    <s v="3. Dépenses de fonctionnement"/>
    <s v="DNL"/>
    <s v="ENPETP"/>
    <x v="1"/>
    <x v="2"/>
    <x v="18"/>
    <s v="321- Un dispositif institutionnel de formation du personnel de formation et d’ingénierie de formation est mis en place"/>
    <x v="195"/>
    <s v="321212-Formation du personnel d'encadrement de l'ENPET à l'utilisation des outils"/>
  </r>
  <r>
    <s v="Formation de formateurs (Prof CFP, ENAE, Ecoles de santé) de l'ENPETP à l'APC"/>
    <s v="Atelier"/>
    <s v="h/j/f"/>
    <n v="0"/>
    <m/>
    <n v="600"/>
    <n v="600"/>
    <n v="1200"/>
    <n v="0.67666666666666664"/>
    <n v="0"/>
    <n v="0"/>
    <n v="406"/>
    <n v="406"/>
    <n v="812"/>
    <x v="2"/>
    <s v="METFP-ET_Programme 2. Développement de la formation professionnelle et technique"/>
    <s v="3. Formation"/>
    <s v="DNL"/>
    <s v="ENPETP"/>
    <x v="1"/>
    <x v="2"/>
    <x v="18"/>
    <s v="321- Un dispositif institutionnel de formation du personnel de formation et d’ingénierie de formation est mis en place"/>
    <x v="195"/>
    <s v="321212-Formation de formateurs (Prof CFP, ENAE, Ecoles de santé) de l'ENPETP à l'APC"/>
  </r>
  <r>
    <s v="Organisation des examens de sortie et concours d'entrée dans les institutions de l'ETFPET"/>
    <s v="Examen"/>
    <s v="Concours/etfp"/>
    <n v="0"/>
    <n v="1"/>
    <n v="1"/>
    <n v="1"/>
    <n v="3"/>
    <n v="41384.007740617999"/>
    <n v="0"/>
    <n v="41384.007740617999"/>
    <n v="41384.007740617999"/>
    <n v="41384.007740617999"/>
    <n v="124152.023221854"/>
    <x v="2"/>
    <s v="METFP-ET_Programme 2. Développement de la formation professionnelle et technique"/>
    <s v="3. Dépenses de fonctionnement"/>
    <s v="DAF"/>
    <s v="SECSP"/>
    <x v="1"/>
    <x v="2"/>
    <x v="18"/>
    <s v="321- Un dispositif institutionnel de formation du personnel de formation et d’ingénierie de formation est mis en place"/>
    <x v="195"/>
    <s v="321213-Organisation des examens de sortie et concours d'entrée dans les institutions de l'ETFPET"/>
  </r>
  <r>
    <s v=" Les TIC et l’économie verte sont prises en compte dans l’élaboration des programmes"/>
    <m/>
    <m/>
    <n v="0"/>
    <m/>
    <m/>
    <m/>
    <m/>
    <m/>
    <m/>
    <m/>
    <m/>
    <m/>
    <m/>
    <x v="0"/>
    <m/>
    <m/>
    <m/>
    <m/>
    <x v="1"/>
    <x v="2"/>
    <x v="18"/>
    <s v="322- Les TIC et l’économie verte sont prises en compte dans l’élaboration des programmes"/>
    <x v="196"/>
    <s v="322- Les TIC et l’économie verte sont prises en compte dans l’élaboration des programmes"/>
  </r>
  <r>
    <s v="Intégration des TIC et prise en compte de l’économie verte dans l’actualisation et l’élaboration des programmes"/>
    <m/>
    <m/>
    <n v="0"/>
    <m/>
    <m/>
    <m/>
    <m/>
    <m/>
    <m/>
    <m/>
    <m/>
    <m/>
    <m/>
    <x v="0"/>
    <m/>
    <m/>
    <m/>
    <m/>
    <x v="1"/>
    <x v="2"/>
    <x v="18"/>
    <s v="322- Les TIC et l’économie verte sont prises en compte dans l’élaboration des programmes"/>
    <x v="197"/>
    <s v="3221-Intégration des TIC et prise en compte de l’économie verte dans l’actualisation et l’élaboration des programmes"/>
  </r>
  <r>
    <s v="Prise en compte des TIC et de l'économie verte dans les nouveaux programmes et dans les programmes révisés (pris en compte dans activités 32126 et 32127)"/>
    <s v="PM"/>
    <m/>
    <n v="0"/>
    <m/>
    <n v="1"/>
    <n v="1"/>
    <n v="2"/>
    <n v="0"/>
    <n v="0"/>
    <n v="0"/>
    <n v="0"/>
    <n v="0"/>
    <m/>
    <x v="2"/>
    <s v="METFP-ET_Programme 2. Développement de la formation professionnelle et technique"/>
    <s v=""/>
    <s v="DNL"/>
    <s v="Service TIC du Ministère"/>
    <x v="1"/>
    <x v="2"/>
    <x v="18"/>
    <s v="322- Les TIC et l’économie verte sont prises en compte dans l’élaboration des programmes"/>
    <x v="197"/>
    <s v="32211-Prise en compte des TIC et de l'économie verte dans les nouveaux programmes et dans les programmes révisés (pris en compte dans activités 32126 et 32127)"/>
  </r>
  <r>
    <s v="Equipement des ERAM en matériel informatiques (voir activité 33117)"/>
    <s v="pm"/>
    <s v="sif"/>
    <n v="0"/>
    <m/>
    <m/>
    <m/>
    <n v="0"/>
    <n v="0"/>
    <n v="0"/>
    <n v="0"/>
    <n v="0"/>
    <n v="0"/>
    <m/>
    <x v="2"/>
    <s v="METFP-ET_Programme 2. Développement de la formation professionnelle et technique"/>
    <s v=""/>
    <s v="DAF"/>
    <s v="SNIEM"/>
    <x v="1"/>
    <x v="2"/>
    <x v="18"/>
    <s v="322- Les TIC et l’économie verte sont prises en compte dans l’élaboration des programmes"/>
    <x v="197"/>
    <s v="32212-Equipement des ERAM en matériel informatiques (voir activité 33117)"/>
  </r>
  <r>
    <s v="Equipement des ENI en matériel informatiques"/>
    <s v="Matériel informatique"/>
    <s v="dot/ENI"/>
    <n v="0"/>
    <n v="0"/>
    <n v="8"/>
    <n v="0"/>
    <n v="8"/>
    <n v="100"/>
    <n v="0"/>
    <n v="0"/>
    <n v="800"/>
    <n v="0"/>
    <n v="800"/>
    <x v="6"/>
    <s v="METFP-ET_Programme 2. Développement de la formation professionnelle et technique"/>
    <s v="5. Investissement"/>
    <s v="DAF"/>
    <s v="SNIEM"/>
    <x v="1"/>
    <x v="2"/>
    <x v="18"/>
    <s v="322- Les TIC et l’économie verte sont prises en compte dans l’élaboration des programmes"/>
    <x v="197"/>
    <s v="32213-Equipement des ENI en matériel informatiques"/>
  </r>
  <r>
    <s v="Equipement des ENAE en matériel informatiques"/>
    <s v="Matériel informatique"/>
    <s v="dot/ENAE"/>
    <n v="0"/>
    <m/>
    <m/>
    <m/>
    <n v="0"/>
    <n v="60"/>
    <n v="0"/>
    <n v="0"/>
    <n v="0"/>
    <n v="0"/>
    <n v="0"/>
    <x v="2"/>
    <s v="METFP-ET_Programme 2. Développement de la formation professionnelle et technique"/>
    <s v="5. Investissement"/>
    <s v="DAF"/>
    <s v="SNIEM"/>
    <x v="1"/>
    <x v="2"/>
    <x v="18"/>
    <s v="322- Les TIC et l’économie verte sont prises en compte dans l’élaboration des programmes"/>
    <x v="197"/>
    <s v="32214-Equipement des ENAE en matériel informatiques"/>
  </r>
  <r>
    <s v="Formation des responsables TIC des ENI, ERAM, ENAE, Ecoles de santé"/>
    <s v="formation"/>
    <s v="h/j/f"/>
    <n v="0"/>
    <n v="10"/>
    <m/>
    <m/>
    <n v="10"/>
    <n v="0.67666666666666664"/>
    <n v="0"/>
    <n v="6.7666666666666666"/>
    <n v="0"/>
    <n v="0"/>
    <n v="6.7666666666666666"/>
    <x v="6"/>
    <s v="METFP-ET_Programme 2. Développement de la formation professionnelle et technique"/>
    <s v="3. Formation"/>
    <s v="DAF"/>
    <s v="Service TIC"/>
    <x v="1"/>
    <x v="2"/>
    <x v="18"/>
    <s v="322- Les TIC et l’économie verte sont prises en compte dans l’élaboration des programmes"/>
    <x v="197"/>
    <s v="32215-Formation des responsables TIC des ENI, ERAM, ENAE, Ecoles de santé"/>
  </r>
  <r>
    <s v=" Un cadre adéquat pour le développement de la formation en milieu du travail est mis en place"/>
    <m/>
    <m/>
    <n v="0"/>
    <m/>
    <m/>
    <m/>
    <m/>
    <m/>
    <m/>
    <m/>
    <m/>
    <m/>
    <m/>
    <x v="0"/>
    <m/>
    <m/>
    <m/>
    <m/>
    <x v="1"/>
    <x v="2"/>
    <x v="18"/>
    <s v="323- Un cadre adéquat pour le développement de la formation en milieu du travail est mis en place"/>
    <x v="198"/>
    <s v="323- Un cadre adéquat pour le développement de la formation en milieu du travail est mis en place"/>
  </r>
  <r>
    <s v="DéFinition d’un cadre de développement de l’apprentissage"/>
    <m/>
    <m/>
    <n v="0"/>
    <m/>
    <m/>
    <m/>
    <m/>
    <m/>
    <m/>
    <m/>
    <m/>
    <m/>
    <m/>
    <x v="0"/>
    <m/>
    <m/>
    <m/>
    <m/>
    <x v="1"/>
    <x v="2"/>
    <x v="18"/>
    <s v="323- Un cadre adéquat pour le développement de la formation en milieu du travail est mis en place"/>
    <x v="199"/>
    <s v="3231-DéFinition d’un cadre de développement de l’apprentissage"/>
  </r>
  <r>
    <s v="Appui à la déFinition d'un cadre de développement de l'apprentissage (assistance technique longue durée pour accompagner le processus dans son ensemble)"/>
    <s v="Assistance technique"/>
    <s v="h/m/ci"/>
    <n v="0"/>
    <n v="6"/>
    <n v="4"/>
    <n v="2"/>
    <n v="12"/>
    <n v="219.54797350000001"/>
    <n v="0"/>
    <n v="1317.2878410000001"/>
    <n v="878.19189400000005"/>
    <n v="439.09594700000002"/>
    <n v="2634.5756819999997"/>
    <x v="6"/>
    <s v="METFP-ET_Programme 2. Développement de la formation professionnelle et technique"/>
    <s v="3. Dépenses de fonctionnement"/>
    <s v="DNL"/>
    <s v="Consultant"/>
    <x v="1"/>
    <x v="2"/>
    <x v="18"/>
    <s v="323- Un cadre adéquat pour le développement de la formation en milieu du travail est mis en place"/>
    <x v="199"/>
    <s v="32311-Appui à la déFinition d'un cadre de développement de l'apprentissage (assistance technique longue durée pour accompagner le processus dans son ensemble)"/>
  </r>
  <r>
    <s v="Elaboration d'une fiche de collecte pour l'identification des maitres apprentis et des cadres d'apprentissage (en collaboration avec les fédérations)"/>
    <s v="atelier"/>
    <s v="h/j/ap"/>
    <n v="0"/>
    <n v="75"/>
    <m/>
    <m/>
    <n v="75"/>
    <n v="0.255"/>
    <n v="0"/>
    <n v="19.125"/>
    <n v="0"/>
    <n v="0"/>
    <n v="19.125"/>
    <x v="13"/>
    <s v="METFP-ET_Programme 2. Développement de la formation professionnelle et technique"/>
    <s v="3. Dépenses de fonctionnement"/>
    <s v="DNL"/>
    <s v="DNL"/>
    <x v="1"/>
    <x v="2"/>
    <x v="18"/>
    <s v="323- Un cadre adéquat pour le développement de la formation en milieu du travail est mis en place"/>
    <x v="199"/>
    <s v="32312-Elaboration d'une fiche de collecte pour l'identification des maitres apprentis et des cadres d'apprentissage (en collaboration avec les fédérations)"/>
  </r>
  <r>
    <s v="Identification/Recensement des maitres apprentis et des cadres d'apprentissage adéquats (A faire par les fédérations)"/>
    <s v="Missions pour la collecte des données"/>
    <s v="h/j/m"/>
    <n v="0"/>
    <n v="0"/>
    <m/>
    <n v="1"/>
    <n v="1"/>
    <n v="0.8177777777777776"/>
    <n v="0"/>
    <n v="0"/>
    <n v="0"/>
    <n v="0.8177777777777776"/>
    <n v="0.8177777777777776"/>
    <x v="6"/>
    <s v="METFP-ET_Programme 2. Développement de la formation professionnelle et technique"/>
    <s v="3. Dépenses de fonctionnement"/>
    <s v="DNL"/>
    <s v="OP/Inspections Régionales"/>
    <x v="1"/>
    <x v="2"/>
    <x v="18"/>
    <s v="323- Un cadre adéquat pour le développement de la formation en milieu du travail est mis en place"/>
    <x v="199"/>
    <s v="32313-Identification/Recensement des maitres apprentis et des cadres d'apprentissage adéquats (A faire par les fédérations)"/>
  </r>
  <r>
    <s v="Validation par les acteurs au niveau régional et national des résultats de la collecte et déFinition des appuis à mener "/>
    <s v="Ateliers"/>
    <s v="h/j/a"/>
    <n v="0"/>
    <n v="270"/>
    <m/>
    <n v="270"/>
    <n v="540"/>
    <n v="0.3133333333333333"/>
    <n v="0"/>
    <n v="84.6"/>
    <n v="0"/>
    <n v="84.6"/>
    <n v="169.2"/>
    <x v="2"/>
    <s v="METFP-ET_Programme 2. Développement de la formation professionnelle et technique"/>
    <s v="3. Formation"/>
    <s v="DNL"/>
    <s v="OP/Inspections Régionales"/>
    <x v="1"/>
    <x v="2"/>
    <x v="18"/>
    <s v="323- Un cadre adéquat pour le développement de la formation en milieu du travail est mis en place"/>
    <x v="199"/>
    <s v="32314-Validation par les acteurs au niveau régional et national des résultats de la collecte et déFinition des appuis à mener "/>
  </r>
  <r>
    <s v="Partage des résultats de l'étude sur le cadre de l'apprentissage"/>
    <s v="atelier de partage "/>
    <s v="h/j/a"/>
    <n v="0"/>
    <n v="90"/>
    <m/>
    <m/>
    <n v="90"/>
    <n v="0.3133333333333333"/>
    <n v="0"/>
    <n v="28.199999999999996"/>
    <n v="0"/>
    <n v="0"/>
    <n v="28.199999999999996"/>
    <x v="13"/>
    <s v="METFP-ET_Programme 2. Développement de la formation professionnelle et technique"/>
    <s v="3. Formation"/>
    <s v="DNL"/>
    <s v="IRETFP/OP"/>
    <x v="1"/>
    <x v="2"/>
    <x v="18"/>
    <s v="323- Un cadre adéquat pour le développement de la formation en milieu du travail est mis en place"/>
    <x v="199"/>
    <s v="32315-Partage des résultats de l'étude sur le cadre de l'apprentissage"/>
  </r>
  <r>
    <s v="Adoption du nouveau cadre d'apprentissage"/>
    <s v="textes"/>
    <s v="sif"/>
    <n v="0"/>
    <m/>
    <n v="1"/>
    <n v="1"/>
    <n v="2"/>
    <n v="0"/>
    <n v="0"/>
    <n v="0"/>
    <n v="0"/>
    <n v="0"/>
    <m/>
    <x v="2"/>
    <s v="METFP-ET_Programme 2. Développement de la formation professionnelle et technique"/>
    <s v=""/>
    <s v="DNL"/>
    <s v="IRETFP/OP"/>
    <x v="1"/>
    <x v="2"/>
    <x v="18"/>
    <s v="323- Un cadre adéquat pour le développement de la formation en milieu du travail est mis en place"/>
    <x v="199"/>
    <s v="32316-Adoption du nouveau cadre d'apprentissage"/>
  </r>
  <r>
    <s v="DéFinition d’un cadre de développement de l’alternance"/>
    <m/>
    <m/>
    <n v="0"/>
    <m/>
    <m/>
    <m/>
    <m/>
    <m/>
    <m/>
    <m/>
    <m/>
    <m/>
    <m/>
    <x v="0"/>
    <m/>
    <m/>
    <m/>
    <m/>
    <x v="1"/>
    <x v="2"/>
    <x v="18"/>
    <s v="323- Un cadre adéquat pour le développement de la formation en milieu du travail est mis en place"/>
    <x v="200"/>
    <s v="3232-DéFinition d’un cadre de développement de l’alternance"/>
  </r>
  <r>
    <s v="Appui à la déFinition d'un cadre de développement de l'alternance (compris dans l'activité 32311)"/>
    <s v="pm"/>
    <s v="sif"/>
    <n v="0"/>
    <n v="1"/>
    <m/>
    <m/>
    <n v="1"/>
    <n v="0"/>
    <n v="0"/>
    <n v="0"/>
    <n v="0"/>
    <n v="0"/>
    <m/>
    <x v="2"/>
    <s v="METFP-ET_Programme 2. Développement de la formation professionnelle et technique"/>
    <s v=""/>
    <m/>
    <m/>
    <x v="1"/>
    <x v="2"/>
    <x v="18"/>
    <s v="323- Un cadre adéquat pour le développement de la formation en milieu du travail est mis en place"/>
    <x v="200"/>
    <s v="32321-Appui à la déFinition d'un cadre de développement de l'alternance (compris dans l'activité 32311)"/>
  </r>
  <r>
    <s v="Conception des fiches d'identification des entreprises (compris dans 32311)"/>
    <s v="pm"/>
    <s v="sif"/>
    <n v="0"/>
    <n v="1"/>
    <m/>
    <m/>
    <n v="1"/>
    <n v="0"/>
    <n v="0"/>
    <n v="0"/>
    <n v="0"/>
    <n v="0"/>
    <m/>
    <x v="2"/>
    <s v="METFP-ET_Programme 2. Développement de la formation professionnelle et technique"/>
    <s v=""/>
    <m/>
    <m/>
    <x v="1"/>
    <x v="2"/>
    <x v="18"/>
    <s v="323- Un cadre adéquat pour le développement de la formation en milieu du travail est mis en place"/>
    <x v="200"/>
    <s v="32322-Conception des fiches d'identification des entreprises (compris dans 32311)"/>
  </r>
  <r>
    <s v="Validation des fiches de collecte par les acteurs concernés"/>
    <s v="atelier"/>
    <s v="h/j/a"/>
    <n v="0"/>
    <n v="90"/>
    <m/>
    <m/>
    <n v="90"/>
    <n v="0.3133333333333333"/>
    <n v="0"/>
    <n v="28.199999999999996"/>
    <n v="0"/>
    <n v="0"/>
    <n v="28.199999999999996"/>
    <x v="2"/>
    <s v="METFP-ET_Programme 2. Développement de la formation professionnelle et technique"/>
    <s v="3. Formation"/>
    <s v="DNL"/>
    <s v="IRETFP/OP"/>
    <x v="1"/>
    <x v="2"/>
    <x v="18"/>
    <s v="323- Un cadre adéquat pour le développement de la formation en milieu du travail est mis en place"/>
    <x v="200"/>
    <s v="32323-Validation des fiches de collecte par les acteurs concernés"/>
  </r>
  <r>
    <s v="Identification des entreprises par zone et par secteur d'activité"/>
    <s v="Missions pour la collecte des données"/>
    <s v="h/j/m"/>
    <n v="0"/>
    <n v="225"/>
    <m/>
    <n v="135"/>
    <n v="360"/>
    <n v="0.8177777777777776"/>
    <n v="0"/>
    <n v="183.99999999999997"/>
    <n v="0"/>
    <n v="110.39999999999998"/>
    <n v="294.39999999999998"/>
    <x v="2"/>
    <s v="METFP-ET_Programme 2. Développement de la formation professionnelle et technique"/>
    <s v="3. Dépenses de fonctionnement"/>
    <s v="BSD"/>
    <s v="DNL/IRETPF/OP"/>
    <x v="1"/>
    <x v="2"/>
    <x v="18"/>
    <s v="323- Un cadre adéquat pour le développement de la formation en milieu du travail est mis en place"/>
    <x v="200"/>
    <s v="32324-Identification des entreprises par zone et par secteur d'activité"/>
  </r>
  <r>
    <s v="Validation du cadre de l'alternance"/>
    <s v="Atelier"/>
    <s v="h/j/a"/>
    <n v="0"/>
    <m/>
    <n v="90"/>
    <m/>
    <n v="90"/>
    <n v="0.3133333333333333"/>
    <n v="0"/>
    <n v="0"/>
    <n v="28.199999999999996"/>
    <n v="0"/>
    <n v="28.199999999999996"/>
    <x v="2"/>
    <s v="METFP-ET_Programme 2. Développement de la formation professionnelle et technique"/>
    <s v="3. Formation"/>
    <s v="DNL"/>
    <s v="IRETFP/OP"/>
    <x v="1"/>
    <x v="2"/>
    <x v="18"/>
    <s v="323- Un cadre adéquat pour le développement de la formation en milieu du travail est mis en place"/>
    <x v="200"/>
    <s v="32325-Validation du cadre de l'alternance"/>
  </r>
  <r>
    <s v="Elaboration et adoption des textes organisant l'alternance"/>
    <s v="textes"/>
    <s v="sif"/>
    <n v="0"/>
    <m/>
    <n v="1"/>
    <m/>
    <n v="1"/>
    <n v="0"/>
    <n v="0"/>
    <n v="0"/>
    <n v="0"/>
    <n v="0"/>
    <m/>
    <x v="2"/>
    <s v="METFP-ET_Programme 2. Développement de la formation professionnelle et technique"/>
    <s v=""/>
    <s v="DNL"/>
    <s v="IRETFP/OP"/>
    <x v="1"/>
    <x v="2"/>
    <x v="18"/>
    <s v="323- Un cadre adéquat pour le développement de la formation en milieu du travail est mis en place"/>
    <x v="200"/>
    <s v="32326-Elaboration et adoption des textes organisant l'alternance"/>
  </r>
  <r>
    <s v="Mise en place d’un dispositif de validation des acquis de l’expérience"/>
    <m/>
    <m/>
    <n v="0"/>
    <m/>
    <m/>
    <m/>
    <m/>
    <m/>
    <m/>
    <m/>
    <m/>
    <m/>
    <m/>
    <x v="0"/>
    <m/>
    <m/>
    <m/>
    <m/>
    <x v="1"/>
    <x v="2"/>
    <x v="18"/>
    <s v="323- Un cadre adéquat pour le développement de la formation en milieu du travail est mis en place"/>
    <x v="201"/>
    <s v="3233-Mise en place d’un dispositif de validation des acquis de l’expérience"/>
  </r>
  <r>
    <s v="Appui à la mise en place d'un dispositif de validation des acquis (voir activité 32311)"/>
    <s v="pm"/>
    <s v="sif"/>
    <n v="0"/>
    <n v="1"/>
    <n v="0"/>
    <n v="0"/>
    <n v="1"/>
    <n v="0"/>
    <n v="0"/>
    <n v="0"/>
    <n v="0"/>
    <n v="0"/>
    <m/>
    <x v="6"/>
    <s v="METFP-ET_Programme 2. Développement de la formation professionnelle et technique"/>
    <s v=""/>
    <m/>
    <m/>
    <x v="1"/>
    <x v="2"/>
    <x v="18"/>
    <s v="323- Un cadre adéquat pour le développement de la formation en milieu du travail est mis en place"/>
    <x v="201"/>
    <s v="32331-Appui à la mise en place d'un dispositif de validation des acquis (voir activité 32311)"/>
  </r>
  <r>
    <s v="Concertation sur la proposition de dispositif de validation des acquis"/>
    <s v="ateliers"/>
    <s v="h/j/ap"/>
    <n v="0"/>
    <m/>
    <n v="200"/>
    <n v="0"/>
    <n v="200"/>
    <n v="0.255"/>
    <n v="0"/>
    <n v="0"/>
    <n v="51"/>
    <n v="0"/>
    <n v="51"/>
    <x v="6"/>
    <s v="METFP-ET_Programme 2. Développement de la formation professionnelle et technique"/>
    <s v="3. Dépenses de fonctionnement"/>
    <s v="IGETFP"/>
    <s v="DNL"/>
    <x v="1"/>
    <x v="2"/>
    <x v="18"/>
    <s v="323- Un cadre adéquat pour le développement de la formation en milieu du travail est mis en place"/>
    <x v="201"/>
    <s v="32332-Concertation sur la proposition de dispositif de validation des acquis"/>
  </r>
  <r>
    <s v="Elaboration des textes règlementant la validation des acquis des apprentissages"/>
    <s v="textes"/>
    <s v="sif"/>
    <n v="0"/>
    <m/>
    <n v="1"/>
    <m/>
    <n v="1"/>
    <n v="0"/>
    <n v="0"/>
    <n v="0"/>
    <n v="0"/>
    <n v="0"/>
    <m/>
    <x v="2"/>
    <s v="METFP-ET_Programme 2. Développement de la formation professionnelle et technique"/>
    <s v=""/>
    <s v="IGETFP"/>
    <s v="DNL"/>
    <x v="1"/>
    <x v="2"/>
    <x v="18"/>
    <s v="323- Un cadre adéquat pour le développement de la formation en milieu du travail est mis en place"/>
    <x v="201"/>
    <s v="32333-Elaboration des textes règlementant la validation des acquis des apprentissages"/>
  </r>
  <r>
    <s v=" Développement de l’offre de formation professionnelle et technique de qualité"/>
    <m/>
    <m/>
    <n v="0"/>
    <m/>
    <m/>
    <m/>
    <m/>
    <m/>
    <m/>
    <m/>
    <m/>
    <m/>
    <m/>
    <x v="0"/>
    <m/>
    <m/>
    <m/>
    <m/>
    <x v="1"/>
    <x v="2"/>
    <x v="19"/>
    <s v="33- Développement de l’offre de formation professionnelle et technique de qualité"/>
    <x v="202"/>
    <s v="33- Développement de l’offre de formation professionnelle et technique de qualité"/>
  </r>
  <r>
    <s v=" L’accès aux dispositifs de l’ETFP est accrue en lien avec les besoins (quantitatifs et qualitatifs) de l’économie avec une priorité accordée aux filières porteuses dans les secteurs primaire et secondaire"/>
    <m/>
    <m/>
    <n v="0"/>
    <m/>
    <m/>
    <m/>
    <m/>
    <m/>
    <m/>
    <m/>
    <m/>
    <m/>
    <m/>
    <x v="0"/>
    <m/>
    <m/>
    <m/>
    <m/>
    <x v="1"/>
    <x v="2"/>
    <x v="19"/>
    <s v="331- L’accès aux dispositifs de l’ETFP est accrue en lien avec les besoins (quantitatifs et qualitatifs) de l’économie avec une priorité accordée aux filières porteuses dans les secteurs primaire et secondaire"/>
    <x v="203"/>
    <s v="331- L’accès aux dispositifs de l’ETFP est accrue en lien avec les besoins (quantitatifs et qualitatifs) de l’économie avec une priorité accordée aux filières porteuses dans les secteurs primaire et secondaire"/>
  </r>
  <r>
    <s v="Accroissement de la capacité d’accueil (infrastructures, équipements en tenant compte des besoins des apprenants porteurs de handicap et à besoins éducatifs speciaux ainsi que les catastrophes naturelles)"/>
    <m/>
    <m/>
    <n v="0"/>
    <m/>
    <m/>
    <m/>
    <m/>
    <m/>
    <m/>
    <m/>
    <m/>
    <m/>
    <m/>
    <x v="0"/>
    <m/>
    <m/>
    <m/>
    <m/>
    <x v="1"/>
    <x v="2"/>
    <x v="19"/>
    <s v="331- L’accès aux dispositifs de l’ETFP est accrue en lien avec les besoins (quantitatifs et qualitatifs) de l’économie avec une priorité accordée aux filières porteuses dans les secteurs primaire et secondaire"/>
    <x v="204"/>
    <s v="3311-Accroissement de la capacité d’accueil (infrastructures, équipements en tenant compte des besoins des apprenants porteurs de handicap et à besoins éducatifs speciaux ainsi que les catastrophes naturelles)"/>
  </r>
  <r>
    <s v="Etudes et supervisions des travaux de rénovation des CFP en cours"/>
    <s v="étude et suivi travaux en cours"/>
    <s v="étude suivi /CFP"/>
    <n v="0"/>
    <m/>
    <m/>
    <m/>
    <n v="0"/>
    <n v="2006.65768"/>
    <n v="0"/>
    <n v="0"/>
    <n v="0"/>
    <n v="0"/>
    <n v="0"/>
    <x v="20"/>
    <s v="METFP-ET_Programme 2. Développement de la formation professionnelle et technique"/>
    <s v="3. Dépenses de fonctionnement"/>
    <s v="DAF"/>
    <s v="SNIEM"/>
    <x v="1"/>
    <x v="2"/>
    <x v="19"/>
    <s v="331- L’accès aux dispositifs de l’ETFP est accrue en lien avec les besoins (quantitatifs et qualitatifs) de l’économie avec une priorité accordée aux filières porteuses dans les secteurs primaire et secondaire"/>
    <x v="204"/>
    <s v="33111-Etudes et supervisions des travaux de rénovation des CFP en cours"/>
  </r>
  <r>
    <s v="Etudes et supervisions des ERAM "/>
    <s v="Sup"/>
    <s v="étude suivi /ERAM"/>
    <n v="0"/>
    <n v="0"/>
    <n v="1"/>
    <n v="0"/>
    <n v="1"/>
    <n v="3703.140895"/>
    <n v="0"/>
    <n v="0"/>
    <n v="3703.140895"/>
    <n v="0"/>
    <n v="3703.140895"/>
    <x v="6"/>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2-Etudes et supervisions des ERAM "/>
  </r>
  <r>
    <s v="Construction et équipement du complexe sectoriel BTP hôtellerie (Don fondation Mohamed VI"/>
    <s v="pm"/>
    <s v="pm"/>
    <n v="0"/>
    <n v="0.2"/>
    <m/>
    <m/>
    <n v="0.2"/>
    <n v="0"/>
    <n v="0"/>
    <n v="0"/>
    <n v="0"/>
    <n v="0"/>
    <m/>
    <x v="2"/>
    <s v="METFP-ET_Programme 2. Développement de la formation professionnelle et technique"/>
    <s v=""/>
    <m/>
    <m/>
    <x v="1"/>
    <x v="2"/>
    <x v="19"/>
    <s v="331- L’accès aux dispositifs de l’ETFP est accrue en lien avec les besoins (quantitatifs et qualitatifs) de l’économie avec une priorité accordée aux filières porteuses dans les secteurs primaire et secondaire"/>
    <x v="204"/>
    <s v="33113-Construction et équipement du complexe sectoriel BTP hôtellerie (Don fondation Mohamed VI"/>
  </r>
  <r>
    <s v="Travaux d’extension ENSAC"/>
    <s v="Constructions"/>
    <s v="const/ENSAC"/>
    <n v="0"/>
    <n v="0.2"/>
    <m/>
    <m/>
    <n v="0.2"/>
    <n v="9225.6919629999993"/>
    <n v="0"/>
    <n v="1845.1383925999999"/>
    <n v="0"/>
    <n v="0"/>
    <n v="1845.1383925999999"/>
    <x v="2"/>
    <s v="METFP-ET_Programme 2. Développement de la formation professionnelle et technique"/>
    <s v="5. Investissement"/>
    <m/>
    <m/>
    <x v="1"/>
    <x v="2"/>
    <x v="19"/>
    <s v="331- L’accès aux dispositifs de l’ETFP est accrue en lien avec les besoins (quantitatifs et qualitatifs) de l’économie avec une priorité accordée aux filières porteuses dans les secteurs primaire et secondaire"/>
    <x v="204"/>
    <s v="33114-Travaux d’extension ENSAC"/>
  </r>
  <r>
    <s v="Construction du CFP de Lambanyi"/>
    <s v="Constructions"/>
    <s v="const/CFP"/>
    <n v="0"/>
    <n v="0.6"/>
    <m/>
    <m/>
    <n v="0.6"/>
    <n v="25083.221000000001"/>
    <n v="0"/>
    <n v="15049.9326"/>
    <n v="0"/>
    <n v="0"/>
    <n v="15049.9326"/>
    <x v="2"/>
    <s v="METFP-ET_Programme 2. Développement de la formation professionnelle et technique"/>
    <s v="5. Investissement"/>
    <m/>
    <m/>
    <x v="1"/>
    <x v="2"/>
    <x v="19"/>
    <s v="331- L’accès aux dispositifs de l’ETFP est accrue en lien avec les besoins (quantitatifs et qualitatifs) de l’économie avec une priorité accordée aux filières porteuses dans les secteurs primaire et secondaire"/>
    <x v="204"/>
    <s v="33115-Construction du CFP de Lambanyi"/>
  </r>
  <r>
    <s v="Construction des ERAM de Coyah et Dabola"/>
    <s v="Constructions"/>
    <s v="const/ERAM"/>
    <n v="0"/>
    <n v="0.2"/>
    <m/>
    <m/>
    <n v="0.2"/>
    <n v="46289.261183000002"/>
    <n v="0"/>
    <n v="9257.8522366000016"/>
    <n v="0"/>
    <n v="0"/>
    <n v="9257.8522366000016"/>
    <x v="2"/>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6-Construction des ERAM de Coyah et Dabola"/>
  </r>
  <r>
    <s v="Equipement de 4 ERAM : Boké, Labé, Siguiri et N’Zérékoré"/>
    <s v="Equipement"/>
    <s v="equip/ERAM"/>
    <n v="0"/>
    <m/>
    <m/>
    <m/>
    <n v="0"/>
    <n v="17865.557499999999"/>
    <n v="0"/>
    <n v="0"/>
    <n v="0"/>
    <n v="0"/>
    <n v="0"/>
    <x v="2"/>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7-Equipement de 4 ERAM : Boké, Labé, Siguiri et N’Zérékoré"/>
  </r>
  <r>
    <s v="Construction de 2 ERAM : Mamou et Kindia"/>
    <s v="Constructions"/>
    <s v="const/ERAM"/>
    <n v="0"/>
    <m/>
    <n v="0.5"/>
    <n v="0.5"/>
    <n v="1"/>
    <n v="46289.261183000002"/>
    <n v="0"/>
    <n v="0"/>
    <n v="23144.630591500001"/>
    <n v="23144.630591500001"/>
    <n v="46289.261183000002"/>
    <x v="2"/>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8-Construction de 2 ERAM : Mamou et Kindia"/>
  </r>
  <r>
    <s v="Construction et Equipement ENI Mamou"/>
    <s v="Constructions/ Equipement"/>
    <s v="const/eni"/>
    <n v="0"/>
    <m/>
    <m/>
    <m/>
    <n v="0"/>
    <n v="22879.5"/>
    <n v="0"/>
    <n v="0"/>
    <n v="0"/>
    <n v="0"/>
    <n v="0"/>
    <x v="16"/>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9-Construction et Equipement ENI Mamou"/>
  </r>
  <r>
    <s v="Sécurisation du Site de l’ENEPS"/>
    <s v="Constructions"/>
    <s v="const/ENEPS"/>
    <n v="0"/>
    <n v="0"/>
    <n v="1"/>
    <n v="0"/>
    <n v="1"/>
    <n v="5099.777"/>
    <n v="0"/>
    <n v="0"/>
    <n v="5099.777"/>
    <n v="0"/>
    <n v="5099.777"/>
    <x v="6"/>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10-Sécurisation du Site de l’ENEPS"/>
  </r>
  <r>
    <s v="Construction de CAFPPS"/>
    <s v="Constructions"/>
    <s v="const/CAFPPS"/>
    <n v="0"/>
    <n v="2"/>
    <n v="6"/>
    <n v="2"/>
    <n v="10"/>
    <n v="17142.857143000001"/>
    <n v="0"/>
    <n v="34285.714286000002"/>
    <n v="102857.14285800001"/>
    <n v="34285.714286000002"/>
    <n v="171428.57143000001"/>
    <x v="2"/>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11-Construction de CAFPPS"/>
  </r>
  <r>
    <s v="Equipement de CAFPPS"/>
    <s v="Equipement"/>
    <s v="EQ/CAFPPS"/>
    <n v="0"/>
    <m/>
    <n v="1"/>
    <n v="0"/>
    <n v="1"/>
    <n v="136.16666666666666"/>
    <n v="0"/>
    <n v="0"/>
    <n v="136.16666666666666"/>
    <n v="0"/>
    <n v="136.16666666666666"/>
    <x v="6"/>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12-Equipement de CAFPPS"/>
  </r>
  <r>
    <s v="Construction de la clôture de l’ENI et du CFP de Mamou"/>
    <s v="Constructions"/>
    <s v="clo/ENI"/>
    <n v="0"/>
    <n v="0.4"/>
    <m/>
    <m/>
    <n v="0.4"/>
    <n v="2499.6039999999998"/>
    <n v="0"/>
    <n v="999.84159999999997"/>
    <n v="0"/>
    <n v="0"/>
    <n v="999.84159999999997"/>
    <x v="2"/>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13-Construction de la clôture de l’ENI et du CFP de Mamou"/>
  </r>
  <r>
    <s v="Rénovation et extension du CFP de Ratoma"/>
    <s v="Rénovation"/>
    <s v="renov/CFP"/>
    <n v="0"/>
    <n v="0.6"/>
    <n v="0.3"/>
    <m/>
    <n v="0.89999999999999991"/>
    <n v="8366.5"/>
    <n v="0"/>
    <n v="5019.8999999999996"/>
    <n v="2509.9499999999998"/>
    <n v="0"/>
    <n v="7529.8499999999995"/>
    <x v="21"/>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15-Rénovation et extension du CFP de Ratoma"/>
  </r>
  <r>
    <s v="Rénovation et extension du CFP Bordo Kankan"/>
    <s v="Rénovation"/>
    <s v="renov/CFP"/>
    <n v="0"/>
    <n v="0.6"/>
    <n v="0.3"/>
    <m/>
    <n v="0.89999999999999991"/>
    <n v="8366.5"/>
    <n v="0"/>
    <n v="5019.8999999999996"/>
    <n v="2509.9499999999998"/>
    <n v="0"/>
    <n v="7529.8499999999995"/>
    <x v="2"/>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16-Rénovation et extension du CFP Bordo Kankan"/>
  </r>
  <r>
    <s v="Equipement des ERAM de Coyah, Dabola, Kindia et Mamou"/>
    <s v="Equipement"/>
    <s v="equip/ERAM"/>
    <n v="0"/>
    <n v="0"/>
    <n v="4"/>
    <n v="1"/>
    <n v="5"/>
    <n v="17865.557499999999"/>
    <n v="0"/>
    <n v="0"/>
    <n v="71462.23"/>
    <n v="17865.557499999999"/>
    <n v="89327.787499999991"/>
    <x v="6"/>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18-Equipement des ERAM de Coyah, Dabola, Kindia et Mamou"/>
  </r>
  <r>
    <s v="Equipement des CFP"/>
    <s v="Equipement"/>
    <s v="equip/CFP"/>
    <n v="0"/>
    <n v="3"/>
    <n v="4"/>
    <n v="3"/>
    <n v="10"/>
    <n v="16391"/>
    <n v="0"/>
    <n v="49173"/>
    <n v="65564"/>
    <n v="49173"/>
    <n v="163910"/>
    <x v="2"/>
    <s v="METFP-ET_Programme 2. Développement de la formation professionnelle et technique"/>
    <s v="5. Investissement"/>
    <s v="DAF"/>
    <s v="SNIEM"/>
    <x v="1"/>
    <x v="2"/>
    <x v="19"/>
    <s v="331- L’accès aux dispositifs de l’ETFP est accrue en lien avec les besoins (quantitatifs et qualitatifs) de l’économie avec une priorité accordée aux filières porteuses dans les secteurs primaire et secondaire"/>
    <x v="204"/>
    <s v="331119-Equipement des CFP"/>
  </r>
  <r>
    <s v="Rénovation et extension des infrastructures de l'ENAM, de l'ENPET, de CEPERTAM, des CFP et ENAE de Matoto,  Beyla, Fria, Boké, Koba, Tolo,Macenta et du CAFPPS Macenta"/>
    <s v="Travaux"/>
    <s v="travaux/ETFP"/>
    <n v="0"/>
    <n v="0.6"/>
    <n v="0.3"/>
    <m/>
    <n v="0.89999999999999991"/>
    <n v="95550"/>
    <n v="0"/>
    <n v="57330"/>
    <n v="28665"/>
    <n v="0"/>
    <n v="85995"/>
    <x v="20"/>
    <s v="METFP-ET_Programme 2. Développement de la formation professionnelle et technique"/>
    <s v="5. Investissement"/>
    <s v="UC/PAFISAM"/>
    <s v="UC/PAFISAM"/>
    <x v="1"/>
    <x v="2"/>
    <x v="19"/>
    <s v="331- L’accès aux dispositifs de l’ETFP est accrue en lien avec les besoins (quantitatifs et qualitatifs) de l’économie avec une priorité accordée aux filières porteuses dans les secteurs primaire et secondaire"/>
    <x v="204"/>
    <s v="331120-Rénovation et extension des infrastructures de l'ENAM, de l'ENPET, de CEPERTAM, des CFP et ENAE de Matoto,  Beyla, Fria, Boké, Koba, Tolo,Macenta et du CAFPPS Macenta"/>
  </r>
  <r>
    <s v="Equipement ateliers de l'ENAM, de l'ENPET, de CEPERTAM, des CFP et ENAE de Matoto, Macenta, Beyla, Fria, Boké, Koba, Tolo, et du CAFPPS Macenta"/>
    <s v="Equipement"/>
    <s v="EQ/ETFP"/>
    <n v="0"/>
    <n v="0.1"/>
    <n v="0.9"/>
    <m/>
    <n v="1"/>
    <n v="89775"/>
    <n v="0"/>
    <n v="8977.5"/>
    <n v="80797.5"/>
    <n v="0"/>
    <n v="89775"/>
    <x v="20"/>
    <s v="METFP-ET_Programme 2. Développement de la formation professionnelle et technique"/>
    <s v="5. Investissement"/>
    <s v="UC/PAFISAM"/>
    <s v="UC/PAFISAM"/>
    <x v="1"/>
    <x v="2"/>
    <x v="19"/>
    <s v="331- L’accès aux dispositifs de l’ETFP est accrue en lien avec les besoins (quantitatifs et qualitatifs) de l’économie avec une priorité accordée aux filières porteuses dans les secteurs primaire et secondaire"/>
    <x v="204"/>
    <s v="331121-Equipement ateliers de l'ENAM, de l'ENPET, de CEPERTAM, des CFP et ENAE de Matoto, Macenta, Beyla, Fria, Boké, Koba, Tolo, et du CAFPPS Macenta"/>
  </r>
  <r>
    <s v="Rénovation et équipement des ateliers des CFP Donka, Ratoma, CENFOTH"/>
    <s v="Travaux"/>
    <s v="Travaux/CFP"/>
    <n v="0"/>
    <n v="0.4"/>
    <m/>
    <m/>
    <n v="0.4"/>
    <n v="6175"/>
    <n v="0"/>
    <n v="2470"/>
    <n v="0"/>
    <n v="0"/>
    <n v="2470"/>
    <x v="21"/>
    <s v="METFP-ET_Programme 2. Développement de la formation professionnelle et technique"/>
    <s v="5. Investissement"/>
    <s v="UC/BoCEJ"/>
    <s v="Institutions de formation"/>
    <x v="1"/>
    <x v="2"/>
    <x v="19"/>
    <s v="331- L’accès aux dispositifs de l’ETFP est accrue en lien avec les besoins (quantitatifs et qualitatifs) de l’économie avec une priorité accordée aux filières porteuses dans les secteurs primaire et secondaire"/>
    <x v="204"/>
    <s v="331122-Rénovation et équipement des ateliers des CFP Donka, Ratoma, CENFOTH"/>
  </r>
  <r>
    <s v="Dotation des établissements en personnel qualifié suffisant"/>
    <m/>
    <m/>
    <n v="0"/>
    <m/>
    <m/>
    <m/>
    <m/>
    <m/>
    <m/>
    <m/>
    <m/>
    <m/>
    <m/>
    <x v="0"/>
    <m/>
    <m/>
    <m/>
    <m/>
    <x v="1"/>
    <x v="2"/>
    <x v="19"/>
    <s v="331- L’accès aux dispositifs de l’ETFP est accrue en lien avec les besoins (quantitatifs et qualitatifs) de l’économie avec une priorité accordée aux filières porteuses dans les secteurs primaire et secondaire"/>
    <x v="205"/>
    <s v="3312-Dotation des établissements en personnel qualifié suffisant"/>
  </r>
  <r>
    <s v="Recrutement du personnel de formation pour les centres de formation (hors ENI)"/>
    <s v="masse salariale du personnel dans les établissements"/>
    <s v="MS/étab/METFP"/>
    <n v="0"/>
    <n v="0.86929068308295498"/>
    <n v="1.0731920814281699"/>
    <n v="1.35448177220855"/>
    <n v="3.2969645367196749"/>
    <n v="70656.731413700894"/>
    <n v="0"/>
    <n v="61421.238315024937"/>
    <n v="75828.244652780821"/>
    <n v="95703.254783693119"/>
    <n v="232952.73775149888"/>
    <x v="2"/>
    <s v="METFP-ET_Programme 2. Développement de la formation professionnelle et technique"/>
    <s v="2. Personnel"/>
    <s v="Fonction Publique"/>
    <s v="DRH"/>
    <x v="1"/>
    <x v="2"/>
    <x v="19"/>
    <s v="331- L’accès aux dispositifs de l’ETFP est accrue en lien avec les besoins (quantitatifs et qualitatifs) de l’économie avec une priorité accordée aux filières porteuses dans les secteurs primaire et secondaire"/>
    <x v="205"/>
    <s v="33121-Recrutement du personnel de formation pour les centres de formation (hors ENI)"/>
  </r>
  <r>
    <s v="Formation du personnel enseignant à l’ENPET (CFP, ENAE, Ecoles de SANTE)"/>
    <s v="pm"/>
    <s v="sif"/>
    <n v="0"/>
    <n v="400"/>
    <n v="400"/>
    <n v="400"/>
    <n v="1200"/>
    <n v="0"/>
    <n v="0"/>
    <n v="0"/>
    <n v="0"/>
    <n v="0"/>
    <m/>
    <x v="2"/>
    <s v="METFP-ET_Programme 2. Développement de la formation professionnelle et technique"/>
    <s v=""/>
    <m/>
    <m/>
    <x v="1"/>
    <x v="2"/>
    <x v="19"/>
    <s v="331- L’accès aux dispositifs de l’ETFP est accrue en lien avec les besoins (quantitatifs et qualitatifs) de l’économie avec une priorité accordée aux filières porteuses dans les secteurs primaire et secondaire"/>
    <x v="205"/>
    <s v="33122-Formation du personnel enseignant à l’ENPET (CFP, ENAE, Ecoles de SANTE)"/>
  </r>
  <r>
    <s v="Formation du personnel enseignant des ERAM à l'étranger"/>
    <s v="Fomation"/>
    <s v="h/an/fa"/>
    <n v="0"/>
    <n v="0"/>
    <n v="30"/>
    <m/>
    <n v="30"/>
    <n v="252"/>
    <n v="0"/>
    <n v="0"/>
    <n v="7560"/>
    <n v="0"/>
    <n v="7560"/>
    <x v="2"/>
    <s v="METFP-ET_Programme 2. Développement de la formation professionnelle et technique"/>
    <s v="3. Formation"/>
    <m/>
    <m/>
    <x v="1"/>
    <x v="2"/>
    <x v="19"/>
    <s v="331- L’accès aux dispositifs de l’ETFP est accrue en lien avec les besoins (quantitatifs et qualitatifs) de l’économie avec une priorité accordée aux filières porteuses dans les secteurs primaire et secondaire"/>
    <x v="205"/>
    <s v="33123-Formation du personnel enseignant des ERAM à l'étranger"/>
  </r>
  <r>
    <s v="Dotation des établissements du post primaire pour la prise en charge de la vacation des professionnels (voir budget établissement)"/>
    <s v="pm"/>
    <s v="sif"/>
    <n v="0"/>
    <n v="256"/>
    <n v="269"/>
    <n v="295.45"/>
    <n v="820.45"/>
    <n v="0"/>
    <n v="0"/>
    <n v="0"/>
    <n v="0"/>
    <n v="0"/>
    <m/>
    <x v="2"/>
    <s v="METFP-ET_Programme 2. Développement de la formation professionnelle et technique"/>
    <s v=""/>
    <s v="DAF"/>
    <s v="DRH, DN, Institution"/>
    <x v="1"/>
    <x v="2"/>
    <x v="19"/>
    <s v="331- L’accès aux dispositifs de l’ETFP est accrue en lien avec les besoins (quantitatifs et qualitatifs) de l’économie avec une priorité accordée aux filières porteuses dans les secteurs primaire et secondaire"/>
    <x v="205"/>
    <s v="33124-Dotation des établissements du post primaire pour la prise en charge de la vacation des professionnels (voir budget établissement)"/>
  </r>
  <r>
    <s v="Application de divers modes de formation (apprentissage, résidentiel, alternance, en situation de travail…)"/>
    <m/>
    <m/>
    <n v="0"/>
    <m/>
    <m/>
    <m/>
    <m/>
    <m/>
    <m/>
    <m/>
    <m/>
    <m/>
    <m/>
    <x v="0"/>
    <m/>
    <m/>
    <m/>
    <m/>
    <x v="1"/>
    <x v="2"/>
    <x v="19"/>
    <s v="331- L’accès aux dispositifs de l’ETFP est accrue en lien avec les besoins (quantitatifs et qualitatifs) de l’économie avec une priorité accordée aux filières porteuses dans les secteurs primaire et secondaire"/>
    <x v="206"/>
    <s v="3313-Application de divers modes de formation (apprentissage, résidentiel, alternance, en situation de travail…)"/>
  </r>
  <r>
    <s v="Encadrement et appui méthodologique aux maitres apprentis retenus"/>
    <s v="Suivi"/>
    <s v="forfait/suivi"/>
    <n v="0"/>
    <m/>
    <m/>
    <n v="11107"/>
    <n v="11107"/>
    <n v="0.12571428571428572"/>
    <n v="0"/>
    <n v="0"/>
    <n v="0"/>
    <n v="1396.3085714285714"/>
    <n v="1396.3085714285714"/>
    <x v="2"/>
    <s v="METFP-ET_Programme 2. Développement de la formation professionnelle et technique"/>
    <s v="3. Dépenses de fonctionnement"/>
    <s v="DN"/>
    <s v="OP"/>
    <x v="1"/>
    <x v="2"/>
    <x v="19"/>
    <s v="331- L’accès aux dispositifs de l’ETFP est accrue en lien avec les besoins (quantitatifs et qualitatifs) de l’économie avec une priorité accordée aux filières porteuses dans les secteurs primaire et secondaire"/>
    <x v="206"/>
    <s v="33131-Encadrement et appui méthodologique aux maitres apprentis retenus"/>
  </r>
  <r>
    <s v="Acquisition de Kit d'apprentissage pour les apprentis encadrés"/>
    <s v="Petits outillages"/>
    <s v="kit/atelier"/>
    <n v="0"/>
    <m/>
    <m/>
    <n v="555.35"/>
    <n v="555.35"/>
    <n v="30"/>
    <n v="0"/>
    <n v="0"/>
    <n v="0"/>
    <n v="16660.5"/>
    <n v="16660.5"/>
    <x v="2"/>
    <s v="METFP-ET_Programme 2. Développement de la formation professionnelle et technique"/>
    <s v="3. Manuels scolaires et matériels pédagogiques"/>
    <s v="DAF"/>
    <s v="DN et OP"/>
    <x v="1"/>
    <x v="2"/>
    <x v="19"/>
    <s v="331- L’accès aux dispositifs de l’ETFP est accrue en lien avec les besoins (quantitatifs et qualitatifs) de l’économie avec une priorité accordée aux filières porteuses dans les secteurs primaire et secondaire"/>
    <x v="206"/>
    <s v="33132-Acquisition de Kit d'apprentissage pour les apprentis encadrés"/>
  </r>
  <r>
    <s v="Orientation professionnelle et placement des apprentis"/>
    <s v="Mission"/>
    <s v="h/j/m"/>
    <n v="0"/>
    <m/>
    <m/>
    <n v="31.734285714285715"/>
    <n v="31.734285714285715"/>
    <n v="0.8177777777777776"/>
    <n v="0"/>
    <n v="0"/>
    <n v="0"/>
    <n v="25.951593650793647"/>
    <n v="25.951593650793647"/>
    <x v="2"/>
    <s v="METFP-ET_Programme 2. Développement de la formation professionnelle et technique"/>
    <s v="3. Dépenses de fonctionnement"/>
    <s v="IRET"/>
    <s v="Institutions de formation"/>
    <x v="1"/>
    <x v="2"/>
    <x v="19"/>
    <s v="331- L’accès aux dispositifs de l’ETFP est accrue en lien avec les besoins (quantitatifs et qualitatifs) de l’économie avec une priorité accordée aux filières porteuses dans les secteurs primaire et secondaire"/>
    <x v="206"/>
    <s v="33133-Orientation professionnelle et placement des apprentis"/>
  </r>
  <r>
    <s v="Recrutement des superviseurs (Post primaire, CFP, ENI, ENAE, Ecoles de Santé)"/>
    <s v="texte d'affectation"/>
    <s v="sif"/>
    <n v="0"/>
    <m/>
    <n v="1"/>
    <m/>
    <n v="1"/>
    <n v="0"/>
    <n v="0"/>
    <n v="0"/>
    <n v="0"/>
    <n v="0"/>
    <m/>
    <x v="2"/>
    <s v="METFP-ET_Programme 2. Développement de la formation professionnelle et technique"/>
    <s v=""/>
    <s v="IRET"/>
    <s v="Institutions de formation"/>
    <x v="1"/>
    <x v="2"/>
    <x v="19"/>
    <s v="331- L’accès aux dispositifs de l’ETFP est accrue en lien avec les besoins (quantitatifs et qualitatifs) de l’économie avec une priorité accordée aux filières porteuses dans les secteurs primaire et secondaire"/>
    <x v="206"/>
    <s v="33134-Recrutement des superviseurs (Post primaire, CFP, ENI, ENAE, Ecoles de Santé)"/>
  </r>
  <r>
    <s v="Développement de guide de supervision pédagogique"/>
    <s v="Atelier"/>
    <s v="h/j/ap"/>
    <n v="0"/>
    <m/>
    <n v="100"/>
    <n v="100"/>
    <n v="200"/>
    <n v="0.255"/>
    <n v="0"/>
    <n v="0"/>
    <n v="25.5"/>
    <n v="25.5"/>
    <n v="51"/>
    <x v="2"/>
    <s v="METFP-ET_Programme 2. Développement de la formation professionnelle et technique"/>
    <s v="3. Dépenses de fonctionnement"/>
    <s v="DN"/>
    <s v="IRET"/>
    <x v="1"/>
    <x v="2"/>
    <x v="19"/>
    <s v="331- L’accès aux dispositifs de l’ETFP est accrue en lien avec les besoins (quantitatifs et qualitatifs) de l’économie avec une priorité accordée aux filières porteuses dans les secteurs primaire et secondaire"/>
    <x v="206"/>
    <s v="33135-Développement de guide de supervision pédagogique"/>
  </r>
  <r>
    <s v="Formation des superviseurs (Post primaire, CFP, ENI, ENAE, Ecoles de Santé)"/>
    <s v="Formation"/>
    <s v="h/j/f"/>
    <n v="0"/>
    <m/>
    <n v="63.46857142857143"/>
    <n v="260.78476190476192"/>
    <n v="324.25333333333333"/>
    <n v="0.67666666666666664"/>
    <n v="0"/>
    <n v="0"/>
    <n v="42.947066666666665"/>
    <n v="176.46435555555556"/>
    <n v="219.41142222222223"/>
    <x v="2"/>
    <s v="METFP-ET_Programme 2. Développement de la formation professionnelle et technique"/>
    <s v="3. Formation"/>
    <s v="DN"/>
    <s v=" IRET"/>
    <x v="1"/>
    <x v="2"/>
    <x v="19"/>
    <s v="331- L’accès aux dispositifs de l’ETFP est accrue en lien avec les besoins (quantitatifs et qualitatifs) de l’économie avec une priorité accordée aux filières porteuses dans les secteurs primaire et secondaire"/>
    <x v="206"/>
    <s v="33136-Formation des superviseurs (Post primaire, CFP, ENI, ENAE, Ecoles de Santé)"/>
  </r>
  <r>
    <s v="Dotation des superviseurs en Moto"/>
    <s v="Matériel"/>
    <s v="moto"/>
    <n v="0"/>
    <m/>
    <m/>
    <n v="63"/>
    <n v="63"/>
    <n v="15"/>
    <n v="0"/>
    <n v="0"/>
    <n v="0"/>
    <n v="945"/>
    <n v="945"/>
    <x v="2"/>
    <s v="METFP-ET_Programme 2. Développement de la formation professionnelle et technique"/>
    <s v="5. Investissement"/>
    <s v="DAF"/>
    <s v="Fournisseur"/>
    <x v="1"/>
    <x v="2"/>
    <x v="19"/>
    <s v="331- L’accès aux dispositifs de l’ETFP est accrue en lien avec les besoins (quantitatifs et qualitatifs) de l’économie avec une priorité accordée aux filières porteuses dans les secteurs primaire et secondaire"/>
    <x v="206"/>
    <s v="33137-Dotation des superviseurs en Moto"/>
  </r>
  <r>
    <s v="Organisation des activités de supervision"/>
    <s v="Mission terrain"/>
    <s v="h/j/m"/>
    <n v="0"/>
    <m/>
    <m/>
    <n v="95.202857142857141"/>
    <n v="95.202857142857141"/>
    <n v="0.8177777777777776"/>
    <n v="0"/>
    <n v="0"/>
    <n v="0"/>
    <n v="77.854780952380935"/>
    <n v="77.854780952380935"/>
    <x v="2"/>
    <s v="METFP-ET_Programme 2. Développement de la formation professionnelle et technique"/>
    <s v="3. Dépenses de fonctionnement"/>
    <s v="DAF"/>
    <s v="Superviseurs"/>
    <x v="1"/>
    <x v="2"/>
    <x v="19"/>
    <s v="331- L’accès aux dispositifs de l’ETFP est accrue en lien avec les besoins (quantitatifs et qualitatifs) de l’économie avec une priorité accordée aux filières porteuses dans les secteurs primaire et secondaire"/>
    <x v="206"/>
    <s v="33138-Organisation des activités de supervision"/>
  </r>
  <r>
    <s v="Fournitures de matières d'œuvres"/>
    <m/>
    <m/>
    <n v="0"/>
    <m/>
    <m/>
    <m/>
    <m/>
    <m/>
    <m/>
    <m/>
    <m/>
    <m/>
    <m/>
    <x v="0"/>
    <m/>
    <m/>
    <m/>
    <m/>
    <x v="1"/>
    <x v="2"/>
    <x v="19"/>
    <s v="331- L’accès aux dispositifs de l’ETFP est accrue en lien avec les besoins (quantitatifs et qualitatifs) de l’économie avec une priorité accordée aux filières porteuses dans les secteurs primaire et secondaire"/>
    <x v="207"/>
    <s v="3314-Fournitures de matières d'œuvres"/>
  </r>
  <r>
    <s v="Allocations pour l'achat de matières d'œuvre pour les institutions de formation (hors ENI)"/>
    <s v="subvention aux établissements"/>
    <s v="sub/étabETFP"/>
    <n v="0"/>
    <n v="0.88219879567267101"/>
    <n v="1.0571857240256399"/>
    <n v="1.3133731127672701"/>
    <n v="3.2527576324655811"/>
    <n v="11105.788684483899"/>
    <n v="0"/>
    <n v="9797.5134024468734"/>
    <n v="11740.881251281871"/>
    <n v="14586.044254276145"/>
    <n v="36124.438908004886"/>
    <x v="2"/>
    <s v="METFP-ET_Programme 2. Développement de la formation professionnelle et technique"/>
    <s v="3. Dépenses de fonctionnement"/>
    <s v="DAF"/>
    <s v="Institutions de formation"/>
    <x v="1"/>
    <x v="2"/>
    <x v="19"/>
    <s v="331- L’accès aux dispositifs de l’ETFP est accrue en lien avec les besoins (quantitatifs et qualitatifs) de l’économie avec une priorité accordée aux filières porteuses dans les secteurs primaire et secondaire"/>
    <x v="207"/>
    <s v="33141-Allocations pour l'achat de matières d'œuvre pour les institutions de formation (hors ENI)"/>
  </r>
  <r>
    <s v=" L’équité dans l’accès est améliorée (genre, zones, régions, besoins spécifiques)"/>
    <m/>
    <m/>
    <n v="0"/>
    <m/>
    <m/>
    <m/>
    <m/>
    <m/>
    <m/>
    <m/>
    <m/>
    <m/>
    <m/>
    <x v="0"/>
    <m/>
    <m/>
    <m/>
    <m/>
    <x v="1"/>
    <x v="2"/>
    <x v="19"/>
    <s v="332- L’équité dans l’accès est améliorée (genre, zones, régions, besoins spécifiques)"/>
    <x v="208"/>
    <s v="332- L’équité dans l’accès est améliorée (genre, zones, régions, besoins spécifiques)"/>
  </r>
  <r>
    <s v="DéFinition et Mise en place de mécanismes favorisant l’équité"/>
    <m/>
    <m/>
    <n v="0"/>
    <m/>
    <m/>
    <m/>
    <m/>
    <m/>
    <m/>
    <m/>
    <m/>
    <m/>
    <m/>
    <x v="0"/>
    <m/>
    <m/>
    <m/>
    <m/>
    <x v="1"/>
    <x v="2"/>
    <x v="19"/>
    <s v="332- L’équité dans l’accès est améliorée (genre, zones, régions, besoins spécifiques)"/>
    <x v="209"/>
    <s v="3321-DéFinition et Mise en place de mécanismes favorisant l’équité"/>
  </r>
  <r>
    <s v="DéFinition de critères pour l'octroi de bourses aux filles dans les filières du secteur primaire et secondaire"/>
    <s v="texte"/>
    <s v="sif"/>
    <n v="0"/>
    <n v="1"/>
    <m/>
    <m/>
    <n v="1"/>
    <n v="0"/>
    <n v="0"/>
    <n v="0"/>
    <n v="0"/>
    <n v="0"/>
    <m/>
    <x v="2"/>
    <s v="METFP-ET_Programme 2. Développement de la formation professionnelle et technique"/>
    <s v=""/>
    <s v="Genre Equité"/>
    <s v="Institutions de formation"/>
    <x v="1"/>
    <x v="2"/>
    <x v="19"/>
    <s v="332- L’équité dans l’accès est améliorée (genre, zones, régions, besoins spécifiques)"/>
    <x v="209"/>
    <s v="33211-DéFinition de critères pour l'octroi de bourses aux filles dans les filières du secteur primaire et secondaire"/>
  </r>
  <r>
    <s v="Modélisé"/>
    <m/>
    <m/>
    <n v="0"/>
    <m/>
    <m/>
    <m/>
    <m/>
    <m/>
    <m/>
    <m/>
    <m/>
    <m/>
    <m/>
    <x v="0"/>
    <m/>
    <m/>
    <m/>
    <m/>
    <x v="1"/>
    <x v="2"/>
    <x v="19"/>
    <s v="332- L’équité dans l’accès est améliorée (genre, zones, régions, besoins spécifiques)"/>
    <x v="204"/>
    <s v="33211-Modélisé"/>
  </r>
  <r>
    <s v="Attribution de bourses pour les filles retenues"/>
    <s v="boursiére"/>
    <s v="compl/fille"/>
    <n v="0"/>
    <n v="500"/>
    <n v="750"/>
    <n v="1000"/>
    <n v="2250"/>
    <n v="1.8"/>
    <n v="0"/>
    <n v="900"/>
    <n v="1350"/>
    <n v="1800"/>
    <n v="4050"/>
    <x v="2"/>
    <s v="METFP-ET_Programme 2. Développement de la formation professionnelle et technique"/>
    <s v="4. Transferts et subventions"/>
    <s v="DAF"/>
    <s v="Genre équité"/>
    <x v="1"/>
    <x v="2"/>
    <x v="19"/>
    <s v="332- L’équité dans l’accès est améliorée (genre, zones, régions, besoins spécifiques)"/>
    <x v="205"/>
    <s v="33212-Attribution de bourses pour les filles retenues"/>
  </r>
  <r>
    <s v="Attribution de bourses pour les élèves maitres dans les ENI"/>
    <s v="boursiers"/>
    <s v="Bourse/étud/etfp"/>
    <n v="0"/>
    <n v="0.96474039200074402"/>
    <n v="1.1027134346771701"/>
    <n v="1.1946954631281199"/>
    <n v="3.2621492898060342"/>
    <n v="16876.0817384408"/>
    <n v="0"/>
    <n v="16281.037711779974"/>
    <n v="18609.482057688721"/>
    <n v="20161.778288294539"/>
    <n v="55052.298057763233"/>
    <x v="2"/>
    <s v="METFP-ET_Programme 2. Développement de la formation professionnelle et technique"/>
    <s v="4. Transferts et subventions"/>
    <s v="DAF"/>
    <s v="Institutions de formation(ENI)"/>
    <x v="1"/>
    <x v="2"/>
    <x v="19"/>
    <s v="332- L’équité dans l’accès est améliorée (genre, zones, régions, besoins spécifiques)"/>
    <x v="206"/>
    <s v="33213-Attribution de bourses pour les élèves maitres dans les ENI"/>
  </r>
  <r>
    <s v=" Un dispositif d’appui à l’insertion socioprofessionnelle y compris l’entreprenariat est opérationnel"/>
    <m/>
    <m/>
    <n v="0"/>
    <m/>
    <m/>
    <m/>
    <m/>
    <m/>
    <m/>
    <m/>
    <m/>
    <m/>
    <m/>
    <x v="0"/>
    <m/>
    <m/>
    <m/>
    <m/>
    <x v="1"/>
    <x v="2"/>
    <x v="19"/>
    <s v="333- Un dispositif d’appui à l’insertion socioprofessionnelle y compris l’entreprenariat est opérationnel"/>
    <x v="210"/>
    <s v="333- Un dispositif d’appui à l’insertion socioprofessionnelle y compris l’entreprenariat est opérationnel"/>
  </r>
  <r>
    <s v="Consolidation des mécanismes d’appui à l’insertion"/>
    <m/>
    <m/>
    <n v="0"/>
    <m/>
    <m/>
    <m/>
    <m/>
    <m/>
    <m/>
    <m/>
    <m/>
    <m/>
    <m/>
    <x v="0"/>
    <m/>
    <m/>
    <m/>
    <m/>
    <x v="1"/>
    <x v="2"/>
    <x v="19"/>
    <s v="333- Un dispositif d’appui à l’insertion socioprofessionnelle y compris l’entreprenariat est opérationnel"/>
    <x v="211"/>
    <s v="3331-Consolidation des mécanismes d’appui à l’insertion"/>
  </r>
  <r>
    <s v="Réalisation d'un état des lieux des dispositifs d'insertion existants"/>
    <s v="assistance technique"/>
    <s v="h/j/ci"/>
    <n v="0"/>
    <n v="30"/>
    <m/>
    <m/>
    <n v="30"/>
    <n v="10.404797"/>
    <n v="0"/>
    <n v="312.14391000000001"/>
    <n v="0"/>
    <n v="0"/>
    <n v="312.14391000000001"/>
    <x v="20"/>
    <s v="METFP-ET_Programme 2. Développement de la formation professionnelle et technique"/>
    <s v="3. Dépenses de fonctionnement"/>
    <s v="DN"/>
    <s v="Service consultant"/>
    <x v="1"/>
    <x v="2"/>
    <x v="19"/>
    <s v="333- Un dispositif d’appui à l’insertion socioprofessionnelle y compris l’entreprenariat est opérationnel"/>
    <x v="211"/>
    <s v="33311-Réalisation d'un état des lieux des dispositifs d'insertion existants"/>
  </r>
  <r>
    <s v="Choix et adoption d'un dispositif d'insertion"/>
    <s v="atelier"/>
    <s v="h/j/a"/>
    <n v="0"/>
    <n v="90"/>
    <m/>
    <m/>
    <n v="90"/>
    <n v="0.3133333333333333"/>
    <n v="0"/>
    <n v="28.199999999999996"/>
    <n v="0"/>
    <n v="0"/>
    <n v="28.199999999999996"/>
    <x v="13"/>
    <s v="METFP-ET_Programme 2. Développement de la formation professionnelle et technique"/>
    <s v="3. Formation"/>
    <s v="DN"/>
    <s v="Service consultant"/>
    <x v="1"/>
    <x v="2"/>
    <x v="19"/>
    <s v="333- Un dispositif d’appui à l’insertion socioprofessionnelle y compris l’entreprenariat est opérationnel"/>
    <x v="211"/>
    <s v="33312-Choix et adoption d'un dispositif d'insertion"/>
  </r>
  <r>
    <s v="Opérationnalisation,(notamment allocation de ressources) des mécanismes d’appui à l’insertion"/>
    <m/>
    <m/>
    <n v="0"/>
    <m/>
    <m/>
    <m/>
    <m/>
    <m/>
    <m/>
    <m/>
    <m/>
    <m/>
    <m/>
    <x v="0"/>
    <m/>
    <m/>
    <m/>
    <m/>
    <x v="1"/>
    <x v="2"/>
    <x v="19"/>
    <s v="333- Un dispositif d’appui à l’insertion socioprofessionnelle y compris l’entreprenariat est opérationnel"/>
    <x v="212"/>
    <s v="3332-Opérationnalisation,(notamment allocation de ressources) des mécanismes d’appui à l’insertion"/>
  </r>
  <r>
    <s v="Amélioration de l'adhésion des jeunes diplômés dans les organisations professionnelles"/>
    <s v="Atelier"/>
    <s v="h/j/a"/>
    <n v="0"/>
    <n v="400"/>
    <n v="400"/>
    <n v="400"/>
    <n v="1200"/>
    <n v="0.3133333333333333"/>
    <n v="0"/>
    <n v="125.33333333333331"/>
    <n v="125.33333333333331"/>
    <n v="125.33333333333331"/>
    <n v="375.99999999999994"/>
    <x v="2"/>
    <s v="METFP-ET_Programme 2. Développement de la formation professionnelle et technique"/>
    <s v="3. Formation"/>
    <s v="DN"/>
    <s v="OP, Institutions de formation"/>
    <x v="1"/>
    <x v="2"/>
    <x v="19"/>
    <s v="333- Un dispositif d’appui à l’insertion socioprofessionnelle y compris l’entreprenariat est opérationnel"/>
    <x v="212"/>
    <s v="33321-Amélioration de l'adhésion des jeunes diplômés dans les organisations professionnelles"/>
  </r>
  <r>
    <s v="Plaidoyer auprès des institutions Financières pour le Financement des projets d'insertion (auto-emploi)"/>
    <s v="Rencontres"/>
    <s v="sif"/>
    <n v="0"/>
    <n v="1"/>
    <n v="1"/>
    <n v="1"/>
    <n v="3"/>
    <n v="0"/>
    <n v="0"/>
    <n v="0"/>
    <n v="0"/>
    <n v="0"/>
    <m/>
    <x v="2"/>
    <s v="METFP-ET_Programme 2. Développement de la formation professionnelle et technique"/>
    <s v=""/>
    <s v="SG"/>
    <s v="BSD"/>
    <x v="1"/>
    <x v="2"/>
    <x v="19"/>
    <s v="333- Un dispositif d’appui à l’insertion socioprofessionnelle y compris l’entreprenariat est opérationnel"/>
    <x v="212"/>
    <s v="33322-Plaidoyer auprès des institutions Financières pour le Financement des projets d'insertion (auto-emploi)"/>
  </r>
  <r>
    <s v="Etude de faisabilité de la mise en œuvre d'un fonds d'insertion"/>
    <s v="Assistance technique"/>
    <s v="h/j/ci"/>
    <n v="0"/>
    <n v="30"/>
    <m/>
    <m/>
    <n v="30"/>
    <n v="10.404797"/>
    <n v="0"/>
    <n v="312.14391000000001"/>
    <n v="0"/>
    <n v="0"/>
    <n v="312.14391000000001"/>
    <x v="20"/>
    <s v="METFP-ET_Programme 2. Développement de la formation professionnelle et technique"/>
    <s v="3. Dépenses de fonctionnement"/>
    <s v="BSD"/>
    <s v="assistance technique"/>
    <x v="1"/>
    <x v="2"/>
    <x v="19"/>
    <s v="333- Un dispositif d’appui à l’insertion socioprofessionnelle y compris l’entreprenariat est opérationnel"/>
    <x v="212"/>
    <s v="33323-Etude de faisabilité de la mise en œuvre d'un fonds d'insertion"/>
  </r>
  <r>
    <s v="Dotation de kits d'appui à l'insertion"/>
    <s v="outillage"/>
    <s v="Kit/insertion"/>
    <n v="0"/>
    <m/>
    <m/>
    <n v="156"/>
    <n v="156"/>
    <n v="20"/>
    <n v="0"/>
    <n v="0"/>
    <n v="0"/>
    <n v="3120"/>
    <n v="3120"/>
    <x v="2"/>
    <s v="METFP-ET_Programme 2. Développement de la formation professionnelle et technique"/>
    <s v="4. Transferts et subventions"/>
    <s v="DN"/>
    <s v="Institutions de formation_x000a_IRETFP_x000a_OP"/>
    <x v="1"/>
    <x v="2"/>
    <x v="19"/>
    <s v="333- Un dispositif d’appui à l’insertion socioprofessionnelle y compris l’entreprenariat est opérationnel"/>
    <x v="212"/>
    <s v="33324-Dotation de kits d'appui à l'insertion"/>
  </r>
  <r>
    <s v="Suivi et encadrement des appuyés"/>
    <m/>
    <m/>
    <n v="0"/>
    <m/>
    <m/>
    <m/>
    <m/>
    <m/>
    <m/>
    <m/>
    <m/>
    <m/>
    <m/>
    <x v="0"/>
    <m/>
    <m/>
    <m/>
    <m/>
    <x v="1"/>
    <x v="2"/>
    <x v="19"/>
    <s v="333- Un dispositif d’appui à l’insertion socioprofessionnelle y compris l’entreprenariat est opérationnel"/>
    <x v="213"/>
    <s v="3333-Suivi et encadrement des appuyés"/>
  </r>
  <r>
    <s v="Travaux de supervisions des apprentissages"/>
    <s v="indemnités des superviseurs"/>
    <s v="sup/app"/>
    <n v="0"/>
    <m/>
    <m/>
    <n v="31.734285714285715"/>
    <n v="31.734285714285715"/>
    <n v="25.906700000000001"/>
    <n v="0"/>
    <n v="0"/>
    <n v="0"/>
    <n v="822.13061971428579"/>
    <n v="822.13061971428579"/>
    <x v="2"/>
    <s v="METFP-ET_Programme 2. Développement de la formation professionnelle et technique"/>
    <s v="3. Dépenses de fonctionnement"/>
    <s v="DN"/>
    <s v="Institutions de formation_x000a_IRETFP_x000a_OP"/>
    <x v="1"/>
    <x v="2"/>
    <x v="19"/>
    <s v="333- Un dispositif d’appui à l’insertion socioprofessionnelle y compris l’entreprenariat est opérationnel"/>
    <x v="213"/>
    <s v="33331-Travaux de supervisions des apprentissages"/>
  </r>
  <r>
    <s v="Intégration de la dimension entrepreunariale dans le dispositif de formation"/>
    <m/>
    <m/>
    <n v="0"/>
    <m/>
    <m/>
    <m/>
    <m/>
    <m/>
    <m/>
    <m/>
    <m/>
    <m/>
    <m/>
    <x v="0"/>
    <m/>
    <m/>
    <m/>
    <m/>
    <x v="1"/>
    <x v="2"/>
    <x v="19"/>
    <s v="333- Un dispositif d’appui à l’insertion socioprofessionnelle y compris l’entreprenariat est opérationnel"/>
    <x v="214"/>
    <s v="3334-Intégration de la dimension entrepreunariale dans le dispositif de formation"/>
  </r>
  <r>
    <s v="Introduction dans les cursus de formation du développement de projet personnel"/>
    <s v="Décision administratif"/>
    <s v="sif"/>
    <n v="0"/>
    <m/>
    <n v="1"/>
    <n v="1"/>
    <n v="2"/>
    <n v="0"/>
    <n v="0"/>
    <n v="0"/>
    <n v="0"/>
    <n v="0"/>
    <m/>
    <x v="2"/>
    <s v="METFP-ET_Programme 2. Développement de la formation professionnelle et technique"/>
    <s v=""/>
    <s v="IRETFP"/>
    <s v="Instituitions de formation"/>
    <x v="1"/>
    <x v="2"/>
    <x v="19"/>
    <s v="333- Un dispositif d’appui à l’insertion socioprofessionnelle y compris l’entreprenariat est opérationnel"/>
    <x v="214"/>
    <s v="33341-Introduction dans les cursus de formation du développement de projet personnel"/>
  </r>
  <r>
    <s v="Etude pour la mise en place d'incubateurs"/>
    <s v="assistance technique"/>
    <s v="h/j/ci"/>
    <n v="0"/>
    <m/>
    <n v="30"/>
    <m/>
    <n v="30"/>
    <n v="10.404797"/>
    <n v="0"/>
    <n v="0"/>
    <n v="312.14391000000001"/>
    <n v="0"/>
    <n v="312.14391000000001"/>
    <x v="13"/>
    <s v="METFP-ET_Programme 2. Développement de la formation professionnelle et technique"/>
    <s v="3. Dépenses de fonctionnement"/>
    <s v="BSD"/>
    <s v="assistance technique"/>
    <x v="1"/>
    <x v="2"/>
    <x v="19"/>
    <s v="333- Un dispositif d’appui à l’insertion socioprofessionnelle y compris l’entreprenariat est opérationnel"/>
    <x v="214"/>
    <s v="33342-Etude pour la mise en place d'incubateurs"/>
  </r>
  <r>
    <s v=" le Financement du développement de l’ETFP"/>
    <m/>
    <m/>
    <n v="0"/>
    <m/>
    <m/>
    <m/>
    <m/>
    <m/>
    <m/>
    <m/>
    <m/>
    <m/>
    <m/>
    <x v="0"/>
    <m/>
    <m/>
    <m/>
    <m/>
    <x v="1"/>
    <x v="2"/>
    <x v="20"/>
    <s v="34- le financement du développement de l’ETFP"/>
    <x v="215"/>
    <s v="34- le Financement du développement de l’ETFP"/>
  </r>
  <r>
    <s v=" L’allocation budgétaire de l’ETFP dans le budget de l’éducation est améliorée"/>
    <m/>
    <m/>
    <n v="0"/>
    <m/>
    <m/>
    <m/>
    <m/>
    <m/>
    <m/>
    <m/>
    <m/>
    <m/>
    <m/>
    <x v="0"/>
    <m/>
    <m/>
    <m/>
    <m/>
    <x v="1"/>
    <x v="2"/>
    <x v="20"/>
    <s v="341- L’allocation budgétaire de l’ETFP dans le budget de l’éducation est améliorée"/>
    <x v="216"/>
    <s v="341- L’allocation budgétaire de l’ETFP dans le budget de l’éducation est améliorée"/>
  </r>
  <r>
    <s v="Plaidoyer pour concrétiser la priorité accordée à l’ETFP"/>
    <m/>
    <m/>
    <n v="0"/>
    <m/>
    <m/>
    <m/>
    <m/>
    <m/>
    <m/>
    <m/>
    <m/>
    <m/>
    <m/>
    <x v="0"/>
    <m/>
    <m/>
    <m/>
    <m/>
    <x v="1"/>
    <x v="2"/>
    <x v="20"/>
    <s v="341- L’allocation budgétaire de l’ETFP dans le budget de l’éducation est améliorée"/>
    <x v="217"/>
    <s v="3411-Plaidoyer pour concrétiser la priorité accordée à l’ETFP"/>
  </r>
  <r>
    <s v="Réorganisation et réorientation des projets de budget en lien avec la réforme de l'ETFP"/>
    <s v="Travail administratif"/>
    <s v="sif"/>
    <n v="0"/>
    <n v="1"/>
    <n v="1"/>
    <n v="1"/>
    <n v="3"/>
    <n v="0"/>
    <n v="0"/>
    <n v="0"/>
    <n v="0"/>
    <n v="0"/>
    <m/>
    <x v="2"/>
    <s v="METFP-ET_Programme 1. Renforcement de la gouvernance au niveau central et déconcentré"/>
    <s v=""/>
    <s v="DAF"/>
    <s v="DN"/>
    <x v="1"/>
    <x v="2"/>
    <x v="20"/>
    <s v="341- L’allocation budgétaire de l’ETFP dans le budget de l’éducation est améliorée"/>
    <x v="217"/>
    <s v="34111-Réorganisation et réorientation des projets de budget en lien avec la réforme de l'ETFP"/>
  </r>
  <r>
    <s v="Organisation de réunion de concertation et d'information avec les services techniques du budget et du plan"/>
    <s v="travail administratif"/>
    <s v="sif"/>
    <n v="0"/>
    <n v="1"/>
    <n v="1"/>
    <n v="1"/>
    <n v="3"/>
    <n v="0"/>
    <n v="0"/>
    <n v="0"/>
    <n v="0"/>
    <n v="0"/>
    <m/>
    <x v="2"/>
    <s v="METFP-ET_Programme 1. Renforcement de la gouvernance au niveau central et déconcentré"/>
    <s v=""/>
    <s v="DAF"/>
    <s v="DN"/>
    <x v="1"/>
    <x v="2"/>
    <x v="20"/>
    <s v="341- L’allocation budgétaire de l’ETFP dans le budget de l’éducation est améliorée"/>
    <x v="217"/>
    <s v="34112-Organisation de réunion de concertation et d'information avec les services techniques du budget et du plan"/>
  </r>
  <r>
    <s v="Adaptation des lignes budgétaire pour tenir compte des spécificités de l’ETFP"/>
    <m/>
    <m/>
    <n v="0"/>
    <m/>
    <m/>
    <m/>
    <m/>
    <m/>
    <m/>
    <m/>
    <m/>
    <m/>
    <m/>
    <x v="0"/>
    <m/>
    <m/>
    <m/>
    <m/>
    <x v="1"/>
    <x v="2"/>
    <x v="20"/>
    <s v="341- L’allocation budgétaire de l’ETFP dans le budget de l’éducation est améliorée"/>
    <x v="218"/>
    <s v="3412-Adaptation des lignes budgétaire pour tenir compte des spécificités de l’ETFP"/>
  </r>
  <r>
    <s v="Proposition de lignes budgétaires pour les activités spécifiques à l'ETFP"/>
    <s v="travail administratif"/>
    <s v="sif"/>
    <n v="0"/>
    <s v=" "/>
    <m/>
    <m/>
    <n v="0"/>
    <n v="0"/>
    <n v="0"/>
    <n v="0"/>
    <n v="0"/>
    <n v="0"/>
    <m/>
    <x v="2"/>
    <s v="METFP-ET_Programme 1. Renforcement de la gouvernance au niveau central et déconcentré"/>
    <s v=""/>
    <s v="DAF"/>
    <s v="DN"/>
    <x v="1"/>
    <x v="2"/>
    <x v="20"/>
    <s v="341- L’allocation budgétaire de l’ETFP dans le budget de l’éducation est améliorée"/>
    <x v="218"/>
    <s v="34121-Proposition de lignes budgétaires pour les activités spécifiques à l'ETFP"/>
  </r>
  <r>
    <s v="Validation de lignes budgétaires par la direction nationale du budget"/>
    <s v="travail administratif"/>
    <s v="sif"/>
    <n v="0"/>
    <m/>
    <m/>
    <m/>
    <n v="0"/>
    <n v="0"/>
    <n v="0"/>
    <n v="0"/>
    <n v="0"/>
    <n v="0"/>
    <m/>
    <x v="2"/>
    <s v="METFP-ET_Programme 1. Renforcement de la gouvernance au niveau central et déconcentré"/>
    <s v=""/>
    <s v="DAF"/>
    <s v="DN"/>
    <x v="1"/>
    <x v="2"/>
    <x v="20"/>
    <s v="341- L’allocation budgétaire de l’ETFP dans le budget de l’éducation est améliorée"/>
    <x v="218"/>
    <s v="34122-Validation de lignes budgétaires par la direction nationale du budget"/>
  </r>
  <r>
    <s v=" Le reversement intégral du produit de la taxe de l’apprentissage au FNQP est effectif"/>
    <m/>
    <m/>
    <n v="0"/>
    <m/>
    <m/>
    <m/>
    <m/>
    <m/>
    <m/>
    <m/>
    <m/>
    <m/>
    <m/>
    <x v="0"/>
    <m/>
    <m/>
    <m/>
    <m/>
    <x v="1"/>
    <x v="2"/>
    <x v="20"/>
    <s v="342- Le reversement intégral du produit de la taxe de l’apprentissage au FNQP est effectif"/>
    <x v="219"/>
    <s v="342- Le reversement intégral du produit de la taxe de l’apprentissage au FNQP est effectif"/>
  </r>
  <r>
    <s v="Plaidoyer pour le reversement intégral du produit de la taxe de l’apprentissage au FNQP"/>
    <m/>
    <m/>
    <n v="0"/>
    <m/>
    <m/>
    <m/>
    <m/>
    <m/>
    <m/>
    <m/>
    <m/>
    <m/>
    <m/>
    <x v="0"/>
    <m/>
    <m/>
    <m/>
    <m/>
    <x v="1"/>
    <x v="2"/>
    <x v="20"/>
    <s v="342- Le reversement intégral du produit de la taxe de l’apprentissage au FNQP est effectif"/>
    <x v="220"/>
    <s v="3421-Plaidoyer pour le reversement intégral du produit de la taxe de l’apprentissage au FNQP"/>
  </r>
  <r>
    <s v="Elaboration et adoption des textes instaurant le reversement de la taxe d'apprentissage pour le Financement de la formation professionnelle"/>
    <s v="Texte"/>
    <s v="sif"/>
    <n v="0"/>
    <n v="1"/>
    <m/>
    <m/>
    <n v="1"/>
    <n v="0"/>
    <n v="0"/>
    <n v="0"/>
    <n v="0"/>
    <n v="0"/>
    <m/>
    <x v="2"/>
    <s v="METFP-ET_Programme 1. Renforcement de la gouvernance au niveau central et déconcentré"/>
    <s v=""/>
    <s v="DAF"/>
    <s v="ONFPP"/>
    <x v="1"/>
    <x v="2"/>
    <x v="20"/>
    <s v="342- Le reversement intégral du produit de la taxe de l’apprentissage au FNQP est effectif"/>
    <x v="220"/>
    <s v="34211-Elaboration et adoption des textes instaurant le reversement de la taxe d'apprentissage pour le Financement de la formation professionnelle"/>
  </r>
  <r>
    <s v="Révision des textes régissant le fonds national pour la qualification professionnelle"/>
    <s v="travail administratif"/>
    <s v="sif"/>
    <n v="0"/>
    <n v="1"/>
    <m/>
    <m/>
    <n v="1"/>
    <n v="0"/>
    <n v="0"/>
    <n v="0"/>
    <n v="0"/>
    <n v="0"/>
    <m/>
    <x v="2"/>
    <s v="METFP-ET_Programme 1. Renforcement de la gouvernance au niveau central et déconcentré"/>
    <s v=""/>
    <s v="DAF"/>
    <s v="ONFPP"/>
    <x v="1"/>
    <x v="2"/>
    <x v="20"/>
    <s v="342- Le reversement intégral du produit de la taxe de l’apprentissage au FNQP est effectif"/>
    <x v="220"/>
    <s v="34212-Révision des textes régissant le fonds national pour la qualification professionnelle"/>
  </r>
  <r>
    <s v="Introduction dans le contrat des sociétés minières le paiement de la CFPCA pour la mise à niveau de la main d'œuvre nationale"/>
    <s v="travail administratif"/>
    <s v="sif"/>
    <n v="0"/>
    <n v="1"/>
    <m/>
    <m/>
    <n v="1"/>
    <n v="0"/>
    <n v="0"/>
    <n v="0"/>
    <n v="0"/>
    <n v="0"/>
    <m/>
    <x v="2"/>
    <s v="METFP-ET_Programme 1. Renforcement de la gouvernance au niveau central et déconcentré"/>
    <s v=""/>
    <s v="DAF"/>
    <s v="ONFPP"/>
    <x v="1"/>
    <x v="2"/>
    <x v="20"/>
    <s v="342- Le reversement intégral du produit de la taxe de l’apprentissage au FNQP est effectif"/>
    <x v="220"/>
    <s v="34213-Introduction dans le contrat des sociétés minières le paiement de la CFPCA pour la mise à niveau de la main d'œuvre nationale"/>
  </r>
  <r>
    <s v="Mise en place d’une stratégie de gestion de la taxe d’apprentissage"/>
    <m/>
    <m/>
    <n v="0"/>
    <m/>
    <m/>
    <m/>
    <m/>
    <m/>
    <m/>
    <m/>
    <m/>
    <m/>
    <m/>
    <x v="0"/>
    <m/>
    <m/>
    <m/>
    <m/>
    <x v="1"/>
    <x v="2"/>
    <x v="20"/>
    <s v="342- Le reversement intégral du produit de la taxe de l’apprentissage au FNQP est effectif"/>
    <x v="221"/>
    <s v="3422-Mise en place d’une stratégie de gestion de la taxe d’apprentissage"/>
  </r>
  <r>
    <s v="Organisation de rencontres avec les services concernés (ONFPP, différents services du METFP-ET et employeurs) pour la déFinition de stratégie de gestion de la taxe d'apprentissage"/>
    <s v="rencontre"/>
    <s v="h/j/a"/>
    <n v="0"/>
    <m/>
    <n v="280"/>
    <n v="280"/>
    <n v="560"/>
    <n v="0.3133333333333333"/>
    <n v="0"/>
    <n v="0"/>
    <n v="87.73333333333332"/>
    <n v="87.73333333333332"/>
    <n v="175.46666666666664"/>
    <x v="2"/>
    <s v="METFP-ET_Programme 1. Renforcement de la gouvernance au niveau central et déconcentré"/>
    <s v="3. Formation"/>
    <s v="DAF"/>
    <s v="ONFPP"/>
    <x v="1"/>
    <x v="2"/>
    <x v="20"/>
    <s v="342- Le reversement intégral du produit de la taxe de l’apprentissage au FNQP est effectif"/>
    <x v="221"/>
    <s v="34221-Organisation de rencontres avec les services concernés (ONFPP, différents services du METFP-ET et employeurs) pour la déFinition de stratégie de gestion de la taxe d'apprentissage"/>
  </r>
  <r>
    <s v="Opérationnalisation de la stratégie de gestion de la taxe_x000a_"/>
    <m/>
    <m/>
    <n v="0"/>
    <m/>
    <m/>
    <m/>
    <m/>
    <m/>
    <m/>
    <m/>
    <m/>
    <m/>
    <m/>
    <x v="0"/>
    <m/>
    <m/>
    <m/>
    <m/>
    <x v="1"/>
    <x v="2"/>
    <x v="20"/>
    <s v="342- Le reversement intégral du produit de la taxe de l’apprentissage au FNQP est effectif"/>
    <x v="222"/>
    <s v="3423-Opérationnalisation de la stratégie de gestion de la taxe_x000a_"/>
  </r>
  <r>
    <s v="Mise en œuvre des activités Financées par la taxe d'apprentissage par l'ONFPP"/>
    <s v="PM"/>
    <m/>
    <n v="0"/>
    <m/>
    <n v="1"/>
    <n v="1"/>
    <n v="2"/>
    <n v="0"/>
    <n v="0"/>
    <n v="0"/>
    <n v="0"/>
    <n v="0"/>
    <m/>
    <x v="2"/>
    <s v="METFP-ET_Programme 1. Renforcement de la gouvernance au niveau central et déconcentré"/>
    <s v=""/>
    <s v="ONFPP"/>
    <s v="Entreprises_x000a_institutions de formation"/>
    <x v="1"/>
    <x v="2"/>
    <x v="20"/>
    <s v="342- Le reversement intégral du produit de la taxe de l’apprentissage au FNQP est effectif"/>
    <x v="222"/>
    <s v="34231-Mise en œuvre des activités Financées par la taxe d'apprentissage par l'ONFPP"/>
  </r>
  <r>
    <s v=" La contribution du milieu socioprofessionnel dans le partage du coût de formation est accrue"/>
    <m/>
    <m/>
    <n v="0"/>
    <m/>
    <m/>
    <m/>
    <m/>
    <m/>
    <m/>
    <m/>
    <m/>
    <m/>
    <m/>
    <x v="0"/>
    <m/>
    <m/>
    <m/>
    <m/>
    <x v="1"/>
    <x v="2"/>
    <x v="20"/>
    <s v="343- La contribution du milieu socioprofessionnel dans le partage du coût de formation est accrue"/>
    <x v="223"/>
    <s v="343- La contribution du milieu socioprofessionnel dans le partage du coût de formation est accrue"/>
  </r>
  <r>
    <s v="Elaboration d’un cadre parteunarial favorisant le partage de coût de la formation avec le milieu socioprofessionnel"/>
    <m/>
    <m/>
    <n v="0"/>
    <m/>
    <m/>
    <m/>
    <m/>
    <m/>
    <m/>
    <m/>
    <m/>
    <m/>
    <m/>
    <x v="0"/>
    <m/>
    <m/>
    <m/>
    <m/>
    <x v="1"/>
    <x v="2"/>
    <x v="20"/>
    <s v="343- La contribution du milieu socioprofessionnel dans le partage du coût de formation est accrue"/>
    <x v="224"/>
    <s v="3431-Elaboration d’un cadre parteunarial favorisant le partage de coût de la formation avec le milieu socioprofessionnel"/>
  </r>
  <r>
    <s v="Organisation d'un état des lieux"/>
    <s v="Consultation _x000a_nationale"/>
    <s v="h/j/cn"/>
    <n v="0"/>
    <n v="30"/>
    <m/>
    <m/>
    <n v="30"/>
    <n v="2.651545"/>
    <n v="0"/>
    <n v="79.546350000000004"/>
    <n v="0"/>
    <n v="0"/>
    <n v="79.546350000000004"/>
    <x v="6"/>
    <s v="METFP-ET_Programme 1. Renforcement de la gouvernance au niveau central et déconcentré"/>
    <s v="3. Dépenses de fonctionnement"/>
    <s v="BSD"/>
    <s v="Service consultant"/>
    <x v="1"/>
    <x v="2"/>
    <x v="20"/>
    <s v="343- La contribution du milieu socioprofessionnel dans le partage du coût de formation est accrue"/>
    <x v="224"/>
    <s v="34311-Organisation d'un état des lieux"/>
  </r>
  <r>
    <s v="Identification des partenaires potentiels (pris en compte dans l'activité 34311)"/>
    <s v="travail administratif"/>
    <s v="sif"/>
    <n v="0"/>
    <n v="1"/>
    <m/>
    <m/>
    <n v="1"/>
    <n v="0"/>
    <n v="0"/>
    <n v="0"/>
    <n v="0"/>
    <n v="0"/>
    <m/>
    <x v="2"/>
    <s v="METFP-ET_Programme 1. Renforcement de la gouvernance au niveau central et déconcentré"/>
    <s v=""/>
    <m/>
    <m/>
    <x v="1"/>
    <x v="2"/>
    <x v="20"/>
    <s v="343- La contribution du milieu socioprofessionnel dans le partage du coût de formation est accrue"/>
    <x v="224"/>
    <s v="34312-Identification des partenaires potentiels (pris en compte dans l'activité 34311)"/>
  </r>
  <r>
    <s v="Identification de grandes orientations et axes de partenariats (pris en compte dans l'activité 34311)"/>
    <s v="travail administratif"/>
    <s v="sif"/>
    <n v="0"/>
    <n v="1"/>
    <m/>
    <m/>
    <n v="1"/>
    <n v="0"/>
    <n v="0"/>
    <n v="0"/>
    <n v="0"/>
    <n v="0"/>
    <m/>
    <x v="2"/>
    <s v="METFP-ET_Programme 1. Renforcement de la gouvernance au niveau central et déconcentré"/>
    <s v=""/>
    <m/>
    <m/>
    <x v="1"/>
    <x v="2"/>
    <x v="20"/>
    <s v="343- La contribution du milieu socioprofessionnel dans le partage du coût de formation est accrue"/>
    <x v="224"/>
    <s v="34313-Identification de grandes orientations et axes de partenariats (pris en compte dans l'activité 34311)"/>
  </r>
  <r>
    <s v="formalisation du cadre partenarial"/>
    <s v="texte"/>
    <s v="sif"/>
    <n v="0"/>
    <m/>
    <n v="1"/>
    <m/>
    <n v="1"/>
    <n v="0"/>
    <n v="0"/>
    <n v="0"/>
    <n v="0"/>
    <n v="0"/>
    <m/>
    <x v="2"/>
    <s v="METFP-ET_Programme 1. Renforcement de la gouvernance au niveau central et déconcentré"/>
    <s v=""/>
    <s v="DN"/>
    <s v="OP, Institutions de formation"/>
    <x v="1"/>
    <x v="2"/>
    <x v="20"/>
    <s v="343- La contribution du milieu socioprofessionnel dans le partage du coût de formation est accrue"/>
    <x v="224"/>
    <s v="34314-formalisation du cadre partenarial"/>
  </r>
  <r>
    <s v="fonctionnement du cadre partenarial"/>
    <s v="Rencontre"/>
    <s v="h/j/a"/>
    <n v="0"/>
    <m/>
    <n v="270"/>
    <n v="270"/>
    <n v="540"/>
    <n v="0.3133333333333333"/>
    <n v="0"/>
    <n v="0"/>
    <n v="84.6"/>
    <n v="84.6"/>
    <n v="169.2"/>
    <x v="2"/>
    <s v="METFP-ET_Programme 1. Renforcement de la gouvernance au niveau central et déconcentré"/>
    <s v="3. Formation"/>
    <s v="DN"/>
    <s v="OP, Institutions de formation"/>
    <x v="1"/>
    <x v="2"/>
    <x v="20"/>
    <s v="343- La contribution du milieu socioprofessionnel dans le partage du coût de formation est accrue"/>
    <x v="224"/>
    <s v="34315-fonctionnement du cadre partenarial"/>
  </r>
  <r>
    <s v="Mise en place d’un cadre qui favorise les prestations de services par les institutions de l’ETFP"/>
    <m/>
    <m/>
    <n v="0"/>
    <m/>
    <m/>
    <m/>
    <m/>
    <m/>
    <m/>
    <m/>
    <m/>
    <m/>
    <m/>
    <x v="0"/>
    <m/>
    <m/>
    <m/>
    <m/>
    <x v="1"/>
    <x v="2"/>
    <x v="20"/>
    <s v="343- La contribution du milieu socioprofessionnel dans le partage du coût de formation est accrue"/>
    <x v="225"/>
    <s v="3432-Mise en place d’un cadre qui favorise les prestations de services par les institutions de l’ETFP"/>
  </r>
  <r>
    <s v="Elaboration de lignes directrices et d'orientation qui favorisent les prestations de services par les institutions de l'ETFP"/>
    <s v="Assistance Technique"/>
    <s v="h/J/ci"/>
    <n v="0"/>
    <n v="25"/>
    <m/>
    <m/>
    <n v="25"/>
    <n v="10.404797"/>
    <n v="0"/>
    <n v="260.11992500000002"/>
    <n v="0"/>
    <n v="0"/>
    <n v="260.11992500000002"/>
    <x v="6"/>
    <s v="METFP-ET_Programme 1. Renforcement de la gouvernance au niveau central et déconcentré"/>
    <s v="3. Dépenses de fonctionnement"/>
    <s v="DN"/>
    <s v="OP, Institutions de formation"/>
    <x v="1"/>
    <x v="2"/>
    <x v="20"/>
    <s v="343- La contribution du milieu socioprofessionnel dans le partage du coût de formation est accrue"/>
    <x v="225"/>
    <s v="34321-Elaboration de lignes directrices et d'orientation qui favorisent les prestations de services par les institutions de l'ETFP"/>
  </r>
  <r>
    <s v="Vulgarisation des textes élaborés"/>
    <s v="Ateliers"/>
    <s v="h/j/a"/>
    <n v="0"/>
    <n v="540"/>
    <m/>
    <m/>
    <n v="540"/>
    <n v="0.3133333333333333"/>
    <n v="0"/>
    <n v="169.2"/>
    <n v="0"/>
    <n v="0"/>
    <n v="169.2"/>
    <x v="6"/>
    <s v="METFP-ET_Programme 1. Renforcement de la gouvernance au niveau central et déconcentré"/>
    <s v="3. Formation"/>
    <s v="DN"/>
    <s v="OP, Institutions de formation"/>
    <x v="1"/>
    <x v="2"/>
    <x v="20"/>
    <s v="343- La contribution du milieu socioprofessionnel dans le partage du coût de formation est accrue"/>
    <x v="225"/>
    <s v="34322-Vulgarisation des textes élaborés"/>
  </r>
  <r>
    <s v="Elaboration et mise en œuvre d’une stratégie de communication et de sensibilisation du milieu socioprofessionnel"/>
    <m/>
    <m/>
    <n v="0"/>
    <m/>
    <m/>
    <m/>
    <m/>
    <m/>
    <m/>
    <m/>
    <m/>
    <m/>
    <m/>
    <x v="0"/>
    <m/>
    <m/>
    <m/>
    <m/>
    <x v="1"/>
    <x v="2"/>
    <x v="20"/>
    <s v="343- La contribution du milieu socioprofessionnel dans le partage du coût de formation est accrue"/>
    <x v="226"/>
    <s v="3433-Elaboration et mise en œuvre d’une stratégie de communication et de sensibilisation du milieu socioprofessionnel"/>
  </r>
  <r>
    <s v="Etat des lieux"/>
    <s v="Consultation Nationale"/>
    <s v="h/j/Cn"/>
    <n v="0"/>
    <n v="30"/>
    <m/>
    <m/>
    <n v="30"/>
    <n v="2.651545"/>
    <n v="0"/>
    <n v="79.546350000000004"/>
    <n v="0"/>
    <n v="0"/>
    <n v="79.546350000000004"/>
    <x v="6"/>
    <s v="METFP-ET_Programme 1. Renforcement de la gouvernance au niveau central et déconcentré"/>
    <s v="3. Dépenses de fonctionnement"/>
    <s v="DN"/>
    <s v="assistance technique"/>
    <x v="1"/>
    <x v="2"/>
    <x v="20"/>
    <s v="343- La contribution du milieu socioprofessionnel dans le partage du coût de formation est accrue"/>
    <x v="226"/>
    <s v="34331-Etat des lieux"/>
  </r>
  <r>
    <s v="Elaboration d’un plan de communication (pris en compte dans activité 34331)"/>
    <s v="PM "/>
    <m/>
    <n v="0"/>
    <n v="1"/>
    <m/>
    <m/>
    <n v="1"/>
    <n v="0"/>
    <n v="0"/>
    <n v="0"/>
    <n v="0"/>
    <n v="0"/>
    <m/>
    <x v="2"/>
    <s v="METFP-ET_Programme 1. Renforcement de la gouvernance au niveau central et déconcentré"/>
    <s v=""/>
    <s v="DN"/>
    <s v="assistance technique"/>
    <x v="1"/>
    <x v="2"/>
    <x v="20"/>
    <s v="343- La contribution du milieu socioprofessionnel dans le partage du coût de formation est accrue"/>
    <x v="226"/>
    <s v="34332-Elaboration d’un plan de communication (pris en compte dans activité 34331)"/>
  </r>
  <r>
    <s v="vulgarisation du plan de communication"/>
    <s v="atelier "/>
    <s v="h/J/a"/>
    <n v="0"/>
    <m/>
    <n v="945"/>
    <m/>
    <n v="945"/>
    <n v="0.3133333333333333"/>
    <n v="0"/>
    <n v="0"/>
    <n v="296.09999999999997"/>
    <n v="0"/>
    <n v="296.09999999999997"/>
    <x v="6"/>
    <s v="METFP-ET_Programme 1. Renforcement de la gouvernance au niveau central et déconcentré"/>
    <s v="3. Formation"/>
    <s v="Service Communication"/>
    <s v="DN _x000a_IRETFP"/>
    <x v="1"/>
    <x v="2"/>
    <x v="20"/>
    <s v="343- La contribution du milieu socioprofessionnel dans le partage du coût de formation est accrue"/>
    <x v="226"/>
    <s v="34333-vulgarisation du plan de communication"/>
  </r>
  <r>
    <s v="Mise en œuvre d'activités de communication"/>
    <s v="communication"/>
    <s v="Forfait/com"/>
    <n v="0"/>
    <m/>
    <n v="1"/>
    <n v="1"/>
    <n v="2"/>
    <n v="50.536799999999999"/>
    <n v="0"/>
    <n v="0"/>
    <n v="50.536799999999999"/>
    <n v="50.536799999999999"/>
    <n v="101.0736"/>
    <x v="6"/>
    <s v="METFP-ET_Programme 1. Renforcement de la gouvernance au niveau central et déconcentré"/>
    <s v="3. Dépenses de fonctionnement"/>
    <m/>
    <m/>
    <x v="1"/>
    <x v="2"/>
    <x v="20"/>
    <s v="343- La contribution du milieu socioprofessionnel dans le partage du coût de formation est accrue"/>
    <x v="226"/>
    <s v="34334-Mise en œuvre d'activités de communication"/>
  </r>
  <r>
    <s v=" Développement de la formation continue des actifs en situation de travail"/>
    <m/>
    <m/>
    <n v="0"/>
    <m/>
    <m/>
    <m/>
    <m/>
    <m/>
    <m/>
    <m/>
    <m/>
    <m/>
    <m/>
    <x v="0"/>
    <m/>
    <m/>
    <m/>
    <m/>
    <x v="1"/>
    <x v="2"/>
    <x v="21"/>
    <s v="35- Développement de la formation continue des actifs en situation de travail"/>
    <x v="227"/>
    <s v="35- Développement de la formation continue des actifs en situation de travail"/>
  </r>
  <r>
    <s v=" la stratégie globale de formation continue est mise en œuvre"/>
    <m/>
    <m/>
    <n v="0"/>
    <m/>
    <m/>
    <m/>
    <m/>
    <m/>
    <m/>
    <m/>
    <m/>
    <m/>
    <m/>
    <x v="0"/>
    <m/>
    <m/>
    <m/>
    <m/>
    <x v="1"/>
    <x v="2"/>
    <x v="21"/>
    <s v="352- la stratégie globale de formation continue est mise en œuvre"/>
    <x v="228"/>
    <s v="352- la stratégie globale de formation continue est mise en œuvre"/>
  </r>
  <r>
    <s v="Elaboration d’une stratégie nationale de formation continue avec l'implication active des professionnels"/>
    <m/>
    <m/>
    <n v="0"/>
    <m/>
    <m/>
    <m/>
    <m/>
    <m/>
    <m/>
    <m/>
    <m/>
    <m/>
    <m/>
    <x v="0"/>
    <m/>
    <m/>
    <m/>
    <m/>
    <x v="1"/>
    <x v="2"/>
    <x v="21"/>
    <s v="352- la stratégie globale de formation continue est mise en œuvre"/>
    <x v="229"/>
    <s v="3521-Elaboration d’une stratégie nationale de formation continue avec l'implication active des professionnels"/>
  </r>
  <r>
    <s v="Réalisation d'une étude"/>
    <s v="Assistance Technique"/>
    <s v="h/j/ci"/>
    <n v="0"/>
    <n v="30"/>
    <m/>
    <m/>
    <n v="30"/>
    <n v="10.404797"/>
    <n v="0"/>
    <n v="312.14391000000001"/>
    <n v="0"/>
    <n v="0"/>
    <n v="312.14391000000001"/>
    <x v="2"/>
    <s v="METFP-ET_Programme 3. Promotion de l’emploi et du travail"/>
    <s v="3. Dépenses de fonctionnement"/>
    <s v="BSD"/>
    <s v="DN_x000a_IRETFP_x000a_Institutions de formation"/>
    <x v="1"/>
    <x v="2"/>
    <x v="21"/>
    <s v="352- la stratégie globale de formation continue est mise en œuvre"/>
    <x v="229"/>
    <s v="35111-Réalisation d'une étude"/>
  </r>
  <r>
    <s v="Organisation d'atelier d'élaboration"/>
    <s v="Ateliers"/>
    <s v="h/j/ap"/>
    <n v="0"/>
    <n v="540"/>
    <m/>
    <m/>
    <n v="540"/>
    <n v="0.255"/>
    <n v="0"/>
    <n v="137.69999999999999"/>
    <n v="0"/>
    <n v="0"/>
    <n v="137.69999999999999"/>
    <x v="2"/>
    <s v="METFP-ET_Programme 3. Promotion de l’emploi et du travail"/>
    <s v="3. Dépenses de fonctionnement"/>
    <s v="BSD"/>
    <s v="DN_x000a_IRETFP_x000a_"/>
    <x v="1"/>
    <x v="2"/>
    <x v="21"/>
    <s v="352- la stratégie globale de formation continue est mise en œuvre"/>
    <x v="229"/>
    <s v="35211-Organisation d'atelier d'élaboration"/>
  </r>
  <r>
    <s v="Adoption de la stratégie nationale de formation continue"/>
    <s v="acte administratif"/>
    <s v="sif"/>
    <n v="0"/>
    <m/>
    <n v="1"/>
    <m/>
    <n v="1"/>
    <n v="0"/>
    <n v="0"/>
    <n v="0"/>
    <n v="0"/>
    <n v="0"/>
    <m/>
    <x v="2"/>
    <s v="METFP-ET_Programme 3. Promotion de l’emploi et du travail"/>
    <s v=""/>
    <s v="DN"/>
    <s v="IRET_x000a_Institutions"/>
    <x v="1"/>
    <x v="2"/>
    <x v="21"/>
    <s v="352- la stratégie globale de formation continue est mise en œuvre"/>
    <x v="229"/>
    <s v="35212-Adoption de la stratégie nationale de formation continue"/>
  </r>
  <r>
    <s v="Promotion de nouveaux mécanismes d'incitation à la formation continue"/>
    <m/>
    <m/>
    <n v="0"/>
    <m/>
    <m/>
    <m/>
    <m/>
    <m/>
    <m/>
    <m/>
    <m/>
    <m/>
    <m/>
    <x v="0"/>
    <m/>
    <m/>
    <m/>
    <m/>
    <x v="1"/>
    <x v="2"/>
    <x v="21"/>
    <s v="352- la stratégie globale de formation continue est mise en œuvre"/>
    <x v="230"/>
    <s v="3522-Promotion de nouveaux mécanismes d'incitation à la formation continue"/>
  </r>
  <r>
    <s v="pm sera pris en compte dans la seconde phase du PRODEG"/>
    <m/>
    <m/>
    <n v="0"/>
    <m/>
    <m/>
    <m/>
    <m/>
    <m/>
    <m/>
    <m/>
    <m/>
    <m/>
    <m/>
    <x v="2"/>
    <s v="METFP-ET_Programme 3. Promotion de l’emploi et du travail"/>
    <s v=""/>
    <m/>
    <m/>
    <x v="1"/>
    <x v="2"/>
    <x v="21"/>
    <s v="352- la stratégie globale de formation continue est mise en œuvre"/>
    <x v="230"/>
    <s v="-pm sera pris en compte dans la seconde phase du PRODEG"/>
  </r>
  <r>
    <s v="Opérationnalisation des nouveaux mécanismes de formation continue"/>
    <m/>
    <m/>
    <n v="0"/>
    <m/>
    <m/>
    <m/>
    <m/>
    <m/>
    <m/>
    <m/>
    <m/>
    <m/>
    <m/>
    <x v="0"/>
    <m/>
    <m/>
    <m/>
    <m/>
    <x v="1"/>
    <x v="2"/>
    <x v="21"/>
    <s v="352- la stratégie globale de formation continue est mise en œuvre"/>
    <x v="231"/>
    <s v="3523-Opérationnalisation des nouveaux mécanismes de formation continue"/>
  </r>
  <r>
    <s v="pm sera pris en compte dans la seconde phase du PRODEG"/>
    <m/>
    <m/>
    <n v="0"/>
    <m/>
    <m/>
    <m/>
    <m/>
    <m/>
    <m/>
    <m/>
    <m/>
    <m/>
    <m/>
    <x v="2"/>
    <s v="METFP-ET_Programme 3. Promotion de l’emploi et du travail"/>
    <s v=""/>
    <m/>
    <m/>
    <x v="1"/>
    <x v="2"/>
    <x v="21"/>
    <s v="352- la stratégie globale de formation continue est mise en œuvre"/>
    <x v="231"/>
    <s v="-pm sera pris en compte dans la seconde phase du PRODEG"/>
  </r>
  <r>
    <s v=" La prestation de service en formation continue est accrue dans les centres"/>
    <m/>
    <m/>
    <n v="0"/>
    <m/>
    <m/>
    <m/>
    <m/>
    <m/>
    <m/>
    <m/>
    <m/>
    <m/>
    <m/>
    <x v="0"/>
    <m/>
    <m/>
    <m/>
    <m/>
    <x v="1"/>
    <x v="2"/>
    <x v="21"/>
    <s v="353- La prestation de service en formation continue est accrue dans les centres"/>
    <x v="232"/>
    <s v="353- La prestation de service en formation continue est accrue dans les centres"/>
  </r>
  <r>
    <s v="Renforcement de capacités des centres en prestation de service en matière de formation continue"/>
    <m/>
    <m/>
    <n v="0"/>
    <m/>
    <m/>
    <m/>
    <m/>
    <m/>
    <m/>
    <m/>
    <m/>
    <m/>
    <m/>
    <x v="0"/>
    <m/>
    <m/>
    <m/>
    <m/>
    <x v="1"/>
    <x v="2"/>
    <x v="21"/>
    <s v="353- La prestation de service en formation continue est accrue dans les centres"/>
    <x v="233"/>
    <s v="3531-Renforcement de capacités des centres en prestation de service en matière de formation continue"/>
  </r>
  <r>
    <s v="pm sera pris en compte dans la seconde phase du PRODEG"/>
    <m/>
    <m/>
    <n v="0"/>
    <m/>
    <m/>
    <m/>
    <m/>
    <m/>
    <m/>
    <m/>
    <m/>
    <m/>
    <m/>
    <x v="2"/>
    <s v="METFP-ET_Programme 3. Promotion de l’emploi et du travail"/>
    <s v=""/>
    <m/>
    <m/>
    <x v="1"/>
    <x v="2"/>
    <x v="21"/>
    <s v="353- La prestation de service en formation continue est accrue dans les centres"/>
    <x v="233"/>
    <s v="-pm sera pris en compte dans la seconde phase du PRODEG"/>
  </r>
  <r>
    <s v="Mise en œuvre d'actions de formations continues dans les centres"/>
    <m/>
    <m/>
    <n v="0"/>
    <m/>
    <m/>
    <m/>
    <m/>
    <m/>
    <m/>
    <m/>
    <m/>
    <m/>
    <m/>
    <x v="0"/>
    <m/>
    <m/>
    <m/>
    <m/>
    <x v="1"/>
    <x v="2"/>
    <x v="21"/>
    <s v="353- La prestation de service en formation continue est accrue dans les centres"/>
    <x v="234"/>
    <s v="3532-Mise en œuvre d'actions de formations continues dans les centres"/>
  </r>
  <r>
    <s v="pm sera pris en compte dans la seconde phase du PRODEG"/>
    <m/>
    <m/>
    <n v="0"/>
    <m/>
    <m/>
    <m/>
    <m/>
    <m/>
    <m/>
    <m/>
    <m/>
    <m/>
    <m/>
    <x v="2"/>
    <s v="METFP-ET_Programme 3. Promotion de l’emploi et du travail"/>
    <s v=""/>
    <m/>
    <m/>
    <x v="1"/>
    <x v="2"/>
    <x v="21"/>
    <s v="353- La prestation de service en formation continue est accrue dans les centres"/>
    <x v="234"/>
    <s v="-pm sera pris en compte dans la seconde phase du PRODEG"/>
  </r>
  <r>
    <s v=" Renforcement des capacités de pilotage et de gestion dans le cadre d’une gouvernance parteunariale multi niveaux"/>
    <m/>
    <m/>
    <n v="0"/>
    <m/>
    <m/>
    <m/>
    <m/>
    <m/>
    <m/>
    <m/>
    <m/>
    <m/>
    <m/>
    <x v="0"/>
    <m/>
    <m/>
    <m/>
    <m/>
    <x v="1"/>
    <x v="2"/>
    <x v="22"/>
    <s v="36- Renforcement des capacités de pilotage et de gestion dans le cadre d’une gouvernance parteunariale multi niveaux"/>
    <x v="235"/>
    <s v="36- Renforcement des capacités de pilotage et de gestion dans le cadre d’une gouvernance parteunariale multi niveaux"/>
  </r>
  <r>
    <s v="Des cadres formalisés de concertation entre les acteurs de la formation professionnelle publics, partenaires sociaux économiques, les collectivités territoriales, sont opérationnels"/>
    <m/>
    <m/>
    <n v="0"/>
    <m/>
    <m/>
    <m/>
    <m/>
    <m/>
    <m/>
    <m/>
    <m/>
    <m/>
    <m/>
    <x v="0"/>
    <m/>
    <m/>
    <m/>
    <m/>
    <x v="1"/>
    <x v="2"/>
    <x v="22"/>
    <s v="361-Des cadres formalisés de concertation entre les acteurs de la formation professionnelle publics, partenaires sociaux économiques, les collectivités territoriales, sont opérationnels"/>
    <x v="236"/>
    <s v="361-Des cadres formalisés de concertation entre les acteurs de la formation professionnelle publics, partenaires sociaux économiques, les collectivités territoriales, sont opérationnels"/>
  </r>
  <r>
    <s v="DéFinition des cadres de concertation"/>
    <m/>
    <m/>
    <n v="0"/>
    <m/>
    <m/>
    <m/>
    <m/>
    <m/>
    <m/>
    <m/>
    <m/>
    <m/>
    <m/>
    <x v="0"/>
    <m/>
    <m/>
    <m/>
    <m/>
    <x v="1"/>
    <x v="2"/>
    <x v="22"/>
    <s v="361-Des cadres formalisés de concertation entre les acteurs de la formation professionnelle publics, partenaires sociaux économiques, les collectivités territoriales, sont opérationnels"/>
    <x v="237"/>
    <s v="3611-DéFinition des cadres de concertation"/>
  </r>
  <r>
    <s v="Identification, information et sensibilisation de tous les partenaires pour la déFinition des cadres de concertation à tous les niveaux (local, régional et national)"/>
    <s v="ateliers"/>
    <s v="h/j/a"/>
    <n v="0"/>
    <n v="1215"/>
    <m/>
    <m/>
    <n v="1215"/>
    <n v="0.3133333333333333"/>
    <n v="0"/>
    <n v="380.69999999999993"/>
    <n v="0"/>
    <n v="0"/>
    <n v="380.69999999999993"/>
    <x v="2"/>
    <s v="METFP-ET_Programme 1. Renforcement de la gouvernance au niveau central et déconcentré"/>
    <s v="3. Formation"/>
    <s v="DN"/>
    <s v="IRETFP_x000a_OP"/>
    <x v="1"/>
    <x v="2"/>
    <x v="22"/>
    <s v="361-Des cadres formalisés de concertation entre les acteurs de la formation professionnelle publics, partenaires sociaux économiques, les collectivités territoriales, sont opérationnels"/>
    <x v="237"/>
    <s v="36111-Identification, information et sensibilisation de tous les partenaires pour la déFinition des cadres de concertation à tous les niveaux (local, régional et national)"/>
  </r>
  <r>
    <s v="Elaboration de textes régissant le fonctionnement des cadres de concertation à tous les niveaux"/>
    <s v="Atelier"/>
    <s v="h/j/ap"/>
    <n v="0"/>
    <n v="45"/>
    <m/>
    <m/>
    <n v="45"/>
    <n v="0.255"/>
    <n v="0"/>
    <n v="11.475"/>
    <n v="0"/>
    <n v="0"/>
    <n v="11.475"/>
    <x v="2"/>
    <s v="METFP-ET_Programme 1. Renforcement de la gouvernance au niveau central et déconcentré"/>
    <s v="3. Dépenses de fonctionnement"/>
    <s v="DN"/>
    <s v="IRETFP_x000a_OP_x000a_BSD"/>
    <x v="1"/>
    <x v="2"/>
    <x v="22"/>
    <s v="361-Des cadres formalisés de concertation entre les acteurs de la formation professionnelle publics, partenaires sociaux économiques, les collectivités territoriales, sont opérationnels"/>
    <x v="237"/>
    <s v="36112-Elaboration de textes régissant le fonctionnement des cadres de concertation à tous les niveaux"/>
  </r>
  <r>
    <s v="Opérationnalisation des cadres_x000a_"/>
    <m/>
    <m/>
    <n v="0"/>
    <m/>
    <m/>
    <m/>
    <m/>
    <m/>
    <m/>
    <m/>
    <m/>
    <m/>
    <m/>
    <x v="0"/>
    <m/>
    <m/>
    <m/>
    <m/>
    <x v="1"/>
    <x v="2"/>
    <x v="22"/>
    <s v="361-Des cadres formalisés de concertation entre les acteurs de la formation professionnelle publics, partenaires sociaux économiques, les collectivités territoriales, sont opérationnels"/>
    <x v="238"/>
    <s v="3612-Opérationnalisation des cadres_x000a_"/>
  </r>
  <r>
    <s v="Prise en charge des frais de concertation"/>
    <s v="Perdiems"/>
    <s v="h/j/a"/>
    <n v="0"/>
    <m/>
    <n v="810"/>
    <n v="810"/>
    <n v="1620"/>
    <n v="0.3133333333333333"/>
    <n v="0"/>
    <n v="0"/>
    <n v="253.79999999999998"/>
    <n v="253.79999999999998"/>
    <n v="507.59999999999997"/>
    <x v="2"/>
    <s v="METFP-ET_Programme 1. Renforcement de la gouvernance au niveau central et déconcentré"/>
    <s v="3. Formation"/>
    <s v="DAF"/>
    <s v="DN_x000a_IRETFP_x000a_institutions de fortmation"/>
    <x v="1"/>
    <x v="2"/>
    <x v="22"/>
    <s v="361-Des cadres formalisés de concertation entre les acteurs de la formation professionnelle publics, partenaires sociaux économiques, les collectivités territoriales, sont opérationnels"/>
    <x v="238"/>
    <s v="36121-Prise en charge des frais de concertation"/>
  </r>
  <r>
    <s v="Formation des acteurs impliqués dans les concertations"/>
    <s v="Atelier"/>
    <s v="h/j/f"/>
    <n v="0"/>
    <m/>
    <n v="846"/>
    <m/>
    <n v="846"/>
    <n v="0.67666666666666664"/>
    <n v="0"/>
    <n v="0"/>
    <n v="572.45999999999992"/>
    <n v="0"/>
    <n v="572.45999999999992"/>
    <x v="2"/>
    <s v="METFP-ET_Programme 1. Renforcement de la gouvernance au niveau central et déconcentré"/>
    <s v="3. Formation"/>
    <s v="DAF"/>
    <s v="DN_x000a_IRETFP_x000a_institutions de fortmation"/>
    <x v="1"/>
    <x v="2"/>
    <x v="22"/>
    <s v="361-Des cadres formalisés de concertation entre les acteurs de la formation professionnelle publics, partenaires sociaux économiques, les collectivités territoriales, sont opérationnels"/>
    <x v="238"/>
    <s v="36122-Formation des acteurs impliqués dans les concertations"/>
  </r>
  <r>
    <s v=" L’autonomisation des institutions est accrue dans un cadre de redevabilité"/>
    <m/>
    <m/>
    <n v="0"/>
    <m/>
    <m/>
    <m/>
    <m/>
    <m/>
    <m/>
    <m/>
    <m/>
    <m/>
    <m/>
    <x v="0"/>
    <m/>
    <m/>
    <m/>
    <m/>
    <x v="1"/>
    <x v="2"/>
    <x v="22"/>
    <s v="362- L’autonomisation des institutions est accrue dans un cadre de redevabilité"/>
    <x v="239"/>
    <s v="362- L’autonomisation des institutions est accrue dans un cadre de redevabilité"/>
  </r>
  <r>
    <s v="DéFinition d’un modèle de fonctionnement des institutions de l’ETFP"/>
    <m/>
    <m/>
    <n v="0"/>
    <m/>
    <m/>
    <m/>
    <m/>
    <m/>
    <m/>
    <m/>
    <m/>
    <m/>
    <m/>
    <x v="0"/>
    <m/>
    <m/>
    <m/>
    <m/>
    <x v="1"/>
    <x v="2"/>
    <x v="22"/>
    <s v="362- L’autonomisation des institutions est accrue dans un cadre de redevabilité"/>
    <x v="240"/>
    <s v="3621-DéFinition d’un modèle de fonctionnement des institutions de l’ETFP"/>
  </r>
  <r>
    <s v="Etude sur la gouvernance des établissements de l'ETFP"/>
    <s v="Assistance technique"/>
    <s v="h/j/ci"/>
    <n v="0"/>
    <n v="40"/>
    <m/>
    <m/>
    <n v="40"/>
    <n v="10.404797"/>
    <n v="0"/>
    <n v="416.19188000000003"/>
    <n v="0"/>
    <n v="0"/>
    <n v="416.19188000000003"/>
    <x v="6"/>
    <s v="METFP-ET_Programme 1. Renforcement de la gouvernance au niveau central et déconcentré"/>
    <s v="3. Dépenses de fonctionnement"/>
    <s v="BSD"/>
    <s v="Service consultant"/>
    <x v="1"/>
    <x v="2"/>
    <x v="22"/>
    <s v="362- L’autonomisation des institutions est accrue dans un cadre de redevabilité"/>
    <x v="240"/>
    <s v="36211-Etude sur la gouvernance des établissements de l'ETFP"/>
  </r>
  <r>
    <s v="Concertation et validation des recommandations des résultats de l'étude"/>
    <s v="atelier"/>
    <s v="h/j/a"/>
    <n v="0"/>
    <n v="135"/>
    <m/>
    <m/>
    <n v="135"/>
    <n v="0.3133333333333333"/>
    <n v="0"/>
    <n v="42.3"/>
    <n v="0"/>
    <n v="0"/>
    <n v="42.3"/>
    <x v="6"/>
    <s v="METFP-ET_Programme 1. Renforcement de la gouvernance au niveau central et déconcentré"/>
    <s v="3. Formation"/>
    <s v="BSD"/>
    <s v="DN_x000a_IRETFP_x000a_OP_x000a_Institutions"/>
    <x v="1"/>
    <x v="2"/>
    <x v="22"/>
    <s v="362- L’autonomisation des institutions est accrue dans un cadre de redevabilité"/>
    <x v="240"/>
    <s v="36212-Concertation et validation des recommandations des résultats de l'étude"/>
  </r>
  <r>
    <s v="Elaboration et adoption des textes réglementaires et organisationnels des établissements pilotes"/>
    <s v="travail administratif"/>
    <s v="sif"/>
    <n v="0"/>
    <m/>
    <n v="1"/>
    <m/>
    <n v="1"/>
    <n v="0"/>
    <n v="0"/>
    <n v="0"/>
    <n v="0"/>
    <n v="0"/>
    <m/>
    <x v="2"/>
    <s v="METFP-ET_Programme 1. Renforcement de la gouvernance au niveau central et déconcentré"/>
    <s v=""/>
    <s v="DN"/>
    <s v="DN_x000a_IRETFP_x000a_OP_x000a_Institutions"/>
    <x v="1"/>
    <x v="2"/>
    <x v="22"/>
    <s v="362- L’autonomisation des institutions est accrue dans un cadre de redevabilité"/>
    <x v="240"/>
    <s v="36213-Elaboration et adoption des textes réglementaires et organisationnels des établissements pilotes"/>
  </r>
  <r>
    <s v="Déploiement progressif du modèle de fonctionnement retenue_x000a__x000a_"/>
    <m/>
    <m/>
    <n v="0"/>
    <m/>
    <m/>
    <m/>
    <m/>
    <m/>
    <m/>
    <m/>
    <m/>
    <m/>
    <m/>
    <x v="0"/>
    <m/>
    <m/>
    <m/>
    <m/>
    <x v="1"/>
    <x v="2"/>
    <x v="22"/>
    <s v="362- L’autonomisation des institutions est accrue dans un cadre de redevabilité"/>
    <x v="241"/>
    <s v="3622-Déploiement progressif du modèle de fonctionnement retenue_x000a__x000a_"/>
  </r>
  <r>
    <s v="Identification des besoins en formation et en organisation des établissements pilotes pour la mise en place du nouveau modèle de fonctionnement (pris en compte dans activité 36211)"/>
    <s v="pm"/>
    <s v="sif"/>
    <n v="0"/>
    <n v="1"/>
    <m/>
    <m/>
    <n v="1"/>
    <n v="0"/>
    <n v="0"/>
    <n v="0"/>
    <n v="0"/>
    <n v="0"/>
    <m/>
    <x v="2"/>
    <s v="METFP-ET_Programme 1. Renforcement de la gouvernance au niveau central et déconcentré"/>
    <s v=""/>
    <s v="BSD"/>
    <s v="DN_x000a_IRETFP"/>
    <x v="1"/>
    <x v="2"/>
    <x v="22"/>
    <s v="362- L’autonomisation des institutions est accrue dans un cadre de redevabilité"/>
    <x v="241"/>
    <s v="36221-Identification des besoins en formation et en organisation des établissements pilotes pour la mise en place du nouveau modèle de fonctionnement (pris en compte dans activité 36211)"/>
  </r>
  <r>
    <s v="Formation des ressources humaines des établissements"/>
    <s v="atelier"/>
    <s v="h/j/f"/>
    <n v="0"/>
    <m/>
    <n v="1000"/>
    <m/>
    <n v="1000"/>
    <n v="0.67666666666666664"/>
    <n v="0"/>
    <n v="0"/>
    <n v="676.66666666666663"/>
    <n v="0"/>
    <n v="676.66666666666663"/>
    <x v="2"/>
    <s v="METFP-ET_Programme 1. Renforcement de la gouvernance au niveau central et déconcentré"/>
    <s v="3. Formation"/>
    <s v="DN"/>
    <s v="DAF_x000a_IRETFP_x000a_DRH "/>
    <x v="1"/>
    <x v="2"/>
    <x v="22"/>
    <s v="362- L’autonomisation des institutions est accrue dans un cadre de redevabilité"/>
    <x v="241"/>
    <s v="36222-Formation des ressources humaines des établissements"/>
  </r>
  <r>
    <s v="Financement des sessions des organes de gestion (pris en compte dans la subvention des établissements)"/>
    <s v="PM"/>
    <m/>
    <n v="0"/>
    <n v="1"/>
    <n v="1"/>
    <n v="1"/>
    <n v="3"/>
    <n v="0"/>
    <n v="0"/>
    <n v="0"/>
    <n v="0"/>
    <n v="0"/>
    <m/>
    <x v="2"/>
    <s v="METFP-ET_Programme 1. Renforcement de la gouvernance au niveau central et déconcentré"/>
    <s v=""/>
    <s v="DAF"/>
    <s v="Institutions de formation"/>
    <x v="1"/>
    <x v="2"/>
    <x v="22"/>
    <s v="362- L’autonomisation des institutions est accrue dans un cadre de redevabilité"/>
    <x v="241"/>
    <s v="36223-Financement des sessions des organes de gestion (pris en compte dans la subvention des établissements)"/>
  </r>
  <r>
    <s v="Réalisation des audits annuels des comptes des établissements pilotes "/>
    <s v="Assistance technique"/>
    <s v="h/j/cn"/>
    <n v="0"/>
    <m/>
    <m/>
    <n v="400"/>
    <n v="400"/>
    <n v="2.651545"/>
    <n v="0"/>
    <n v="0"/>
    <n v="0"/>
    <n v="1060.6179999999999"/>
    <n v="1060.6179999999999"/>
    <x v="2"/>
    <s v="METFP-ET_Programme 1. Renforcement de la gouvernance au niveau central et déconcentré"/>
    <s v="3. Dépenses de fonctionnement"/>
    <s v="DAF"/>
    <s v="Service consultant"/>
    <x v="1"/>
    <x v="2"/>
    <x v="22"/>
    <s v="362- L’autonomisation des institutions est accrue dans un cadre de redevabilité"/>
    <x v="241"/>
    <s v="36224-Réalisation des audits annuels des comptes des établissements pilotes "/>
  </r>
  <r>
    <s v=" La concertation est améliorée au niveaux des autres établissements (établissements non impliqués dans l'expérimentation du nouveau modèle de gouvernance)"/>
    <m/>
    <m/>
    <n v="0"/>
    <m/>
    <m/>
    <m/>
    <m/>
    <m/>
    <m/>
    <m/>
    <m/>
    <m/>
    <m/>
    <x v="0"/>
    <m/>
    <m/>
    <m/>
    <m/>
    <x v="1"/>
    <x v="2"/>
    <x v="22"/>
    <s v="363- La concertation est améliorée au niveaux des autres établissements (établissements non impliqués dans l'expérimentation du nouveau modèle de gouvernance)"/>
    <x v="242"/>
    <s v="363- La concertation est améliorée au niveaux des autres établissements (établissements non impliqués dans l'expérimentation du nouveau modèle de gouvernance)"/>
  </r>
  <r>
    <s v="Renforcement du fonctionnement des conseils d'établissements"/>
    <m/>
    <m/>
    <n v="0"/>
    <m/>
    <m/>
    <m/>
    <m/>
    <m/>
    <m/>
    <m/>
    <m/>
    <m/>
    <m/>
    <x v="0"/>
    <m/>
    <m/>
    <m/>
    <m/>
    <x v="1"/>
    <x v="2"/>
    <x v="22"/>
    <s v="363- La concertation est améliorée au niveaux des autres établissements (établissements non impliqués dans l'expérimentation du nouveau modèle de gouvernance)"/>
    <x v="243"/>
    <s v="3631-Renforcement du fonctionnement des conseils d'établissements"/>
  </r>
  <r>
    <s v="Information, sensibilisation des partenaires sur la mise en place et l'importance des conseils d'établissement"/>
    <s v="mission"/>
    <s v="h/j/m"/>
    <n v="0"/>
    <n v="20"/>
    <n v="20"/>
    <n v="20"/>
    <n v="60"/>
    <n v="0.8177777777777776"/>
    <n v="0"/>
    <n v="16.355555555555551"/>
    <n v="16.355555555555551"/>
    <n v="16.355555555555551"/>
    <n v="49.066666666666649"/>
    <x v="2"/>
    <s v="METFP-ET_Programme 1. Renforcement de la gouvernance au niveau central et déconcentré"/>
    <s v="3. Dépenses de fonctionnement"/>
    <s v="DN"/>
    <s v="OP_x000a_IRETFP"/>
    <x v="1"/>
    <x v="2"/>
    <x v="22"/>
    <s v="363- La concertation est améliorée au niveaux des autres établissements (établissements non impliqués dans l'expérimentation du nouveau modèle de gouvernance)"/>
    <x v="243"/>
    <s v="36311-Information, sensibilisation des partenaires sur la mise en place et l'importance des conseils d'établissement"/>
  </r>
  <r>
    <s v="Identification des points forts et des points faibles des centres de formation en termes d'implication du secteur privé"/>
    <s v="Assistance technique"/>
    <s v="h/j/cn"/>
    <n v="0"/>
    <n v="10"/>
    <n v="10"/>
    <n v="10"/>
    <n v="30"/>
    <n v="2.651545"/>
    <n v="0"/>
    <n v="26.515450000000001"/>
    <n v="26.515450000000001"/>
    <n v="26.515450000000001"/>
    <n v="79.546350000000004"/>
    <x v="6"/>
    <s v="METFP-ET_Programme 1. Renforcement de la gouvernance au niveau central et déconcentré"/>
    <s v="3. Dépenses de fonctionnement"/>
    <s v="DN"/>
    <s v="OP_x000a_IRETFP"/>
    <x v="1"/>
    <x v="2"/>
    <x v="22"/>
    <s v="363- La concertation est améliorée au niveaux des autres établissements (établissements non impliqués dans l'expérimentation du nouveau modèle de gouvernance)"/>
    <x v="243"/>
    <s v="36312-Identification des points forts et des points faibles des centres de formation en termes d'implication du secteur privé"/>
  </r>
  <r>
    <s v="Renforcement de capacités des membres des conseils d'établissement"/>
    <s v="Ateliers d'information"/>
    <s v="h/j/a"/>
    <n v="0"/>
    <n v="600"/>
    <n v="200"/>
    <m/>
    <n v="800"/>
    <n v="0.3133333333333333"/>
    <n v="0"/>
    <n v="187.99999999999997"/>
    <n v="62.666666666666657"/>
    <n v="0"/>
    <n v="250.66666666666663"/>
    <x v="2"/>
    <s v="METFP-ET_Programme 1. Renforcement de la gouvernance au niveau central et déconcentré"/>
    <s v="3. Formation"/>
    <s v="DN"/>
    <s v="OP_x000a_IRETFP"/>
    <x v="1"/>
    <x v="2"/>
    <x v="22"/>
    <s v="363- La concertation est améliorée au niveaux des autres établissements (établissements non impliqués dans l'expérimentation du nouveau modèle de gouvernance)"/>
    <x v="243"/>
    <s v="36313-Renforcement de capacités des membres des conseils d'établissement"/>
  </r>
  <r>
    <s v="Elaboration et mise en œuvre des projets d'établissements"/>
    <m/>
    <m/>
    <n v="0"/>
    <m/>
    <m/>
    <m/>
    <m/>
    <m/>
    <m/>
    <m/>
    <m/>
    <m/>
    <m/>
    <x v="0"/>
    <m/>
    <m/>
    <m/>
    <m/>
    <x v="1"/>
    <x v="2"/>
    <x v="22"/>
    <s v="363- La concertation est améliorée au niveaux des autres établissements (établissements non impliqués dans l'expérimentation du nouveau modèle de gouvernance)"/>
    <x v="244"/>
    <s v="3632-Elaboration et mise en œuvre des projets d'établissements"/>
  </r>
  <r>
    <s v="pm seconde phase du PRODEG"/>
    <m/>
    <m/>
    <n v="0"/>
    <m/>
    <m/>
    <m/>
    <m/>
    <m/>
    <m/>
    <m/>
    <m/>
    <m/>
    <m/>
    <x v="2"/>
    <s v="METFP-ET_Programme 1. Renforcement de la gouvernance au niveau central et déconcentré"/>
    <s v=""/>
    <m/>
    <m/>
    <x v="1"/>
    <x v="2"/>
    <x v="22"/>
    <s v="363- La concertation est améliorée au niveaux des autres établissements (établissements non impliqués dans l'expérimentation du nouveau modèle de gouvernance)"/>
    <x v="244"/>
    <s v="-pm seconde phase du PRODEG"/>
  </r>
  <r>
    <s v=" La capacité de pilotage et de mise en œuvre, technique et Financière, de l’ETFP est renforcée"/>
    <m/>
    <m/>
    <n v="0"/>
    <m/>
    <m/>
    <m/>
    <m/>
    <m/>
    <m/>
    <m/>
    <m/>
    <m/>
    <m/>
    <x v="0"/>
    <m/>
    <m/>
    <m/>
    <m/>
    <x v="1"/>
    <x v="2"/>
    <x v="22"/>
    <s v="364- La capacité de pilotage et de mise en œuvre, technique et financière, de l’ETFP est renforcée"/>
    <x v="245"/>
    <s v="364- La capacité de pilotage et de mise en œuvre, technique et Financière, de l’ETFP est renforcée"/>
  </r>
  <r>
    <s v="Mise en place d’un Système articulé d’information et de gestion de l’ETFP capitalisant et consolidant les données à tous les niveaux_x000a_"/>
    <m/>
    <m/>
    <n v="0"/>
    <m/>
    <m/>
    <m/>
    <m/>
    <m/>
    <m/>
    <m/>
    <m/>
    <m/>
    <m/>
    <x v="0"/>
    <m/>
    <m/>
    <m/>
    <m/>
    <x v="1"/>
    <x v="2"/>
    <x v="22"/>
    <s v="364- La capacité de pilotage et de mise en œuvre, technique et financière, de l’ETFP est renforcée"/>
    <x v="246"/>
    <s v="3641-Mise en place d’un Système articulé d’information et de gestion de l’ETFP capitalisant et consolidant les données à tous les niveaux_x000a_"/>
  </r>
  <r>
    <s v="DéFinition de l'architecture d'un système d'information articulé aux différents niveaux"/>
    <s v="assistance technique"/>
    <s v="h/J/ci"/>
    <n v="0"/>
    <m/>
    <m/>
    <m/>
    <n v="0"/>
    <n v="10.404797"/>
    <n v="0"/>
    <n v="0"/>
    <n v="0"/>
    <n v="0"/>
    <n v="0"/>
    <x v="21"/>
    <s v="METFP-ET_Programme 1. Renforcement de la gouvernance au niveau central et déconcentré"/>
    <s v="3. Dépenses de fonctionnement"/>
    <s v="BSD/UCBoCEJ"/>
    <s v="Service consultant"/>
    <x v="1"/>
    <x v="2"/>
    <x v="22"/>
    <s v="364- La capacité de pilotage et de mise en œuvre, technique et financière, de l’ETFP est renforcée"/>
    <x v="246"/>
    <s v="36411-DéFinition de l'architecture d'un système d'information articulé aux différents niveaux"/>
  </r>
  <r>
    <s v="Développement du système d'information pour les différents niveaux et l'identification des équipements et des compétences nécessaires à sa mise en place"/>
    <s v="assistance technique"/>
    <s v="h/J/ci"/>
    <n v="0"/>
    <n v="24"/>
    <m/>
    <m/>
    <n v="24"/>
    <n v="10.404797"/>
    <n v="0"/>
    <n v="249.71512799999999"/>
    <n v="0"/>
    <n v="0"/>
    <n v="249.71512799999999"/>
    <x v="21"/>
    <s v="METFP-ET_Programme 1. Renforcement de la gouvernance au niveau central et déconcentré"/>
    <s v="3. Dépenses de fonctionnement"/>
    <s v="BSD/UC BoCEJ"/>
    <s v="Service consultant"/>
    <x v="1"/>
    <x v="2"/>
    <x v="22"/>
    <s v="364- La capacité de pilotage et de mise en œuvre, technique et financière, de l’ETFP est renforcée"/>
    <x v="246"/>
    <s v="36412-Développement du système d'information pour les différents niveaux et l'identification des équipements et des compétences nécessaires à sa mise en place"/>
  </r>
  <r>
    <s v="Développement du système d'information pour les différents niveaux et l'identification des équipements et des compétences nécessaires à sa mise en place"/>
    <s v="assistance technique"/>
    <s v="h/J/ci"/>
    <n v="0"/>
    <n v="96"/>
    <m/>
    <m/>
    <n v="96"/>
    <n v="10.404797"/>
    <n v="0"/>
    <n v="998.86051199999997"/>
    <n v="0"/>
    <n v="0"/>
    <n v="998.86051199999997"/>
    <x v="6"/>
    <s v="METFP-ET_Programme 1. Renforcement de la gouvernance au niveau central et déconcentré"/>
    <s v="3. Dépenses de fonctionnement"/>
    <s v="BSD/UC BoCEJ"/>
    <s v="Service consultant"/>
    <x v="1"/>
    <x v="2"/>
    <x v="22"/>
    <s v="364- La capacité de pilotage et de mise en œuvre, technique et financière, de l’ETFP est renforcée"/>
    <x v="246"/>
    <s v="36412-Développement du système d'information pour les différents niveaux et l'identification des équipements et des compétences nécessaires à sa mise en place"/>
  </r>
  <r>
    <s v="Elaboration d'un plan d'opérationnalisation du système d'information (pris en compte dans activité 36312)"/>
    <s v="PM"/>
    <m/>
    <n v="0"/>
    <n v="1"/>
    <m/>
    <m/>
    <n v="1"/>
    <n v="0"/>
    <n v="0"/>
    <n v="0"/>
    <n v="0"/>
    <n v="0"/>
    <m/>
    <x v="2"/>
    <s v="METFP-ET_Programme 1. Renforcement de la gouvernance au niveau central et déconcentré"/>
    <s v=""/>
    <m/>
    <m/>
    <x v="1"/>
    <x v="2"/>
    <x v="22"/>
    <s v="364- La capacité de pilotage et de mise en œuvre, technique et financière, de l’ETFP est renforcée"/>
    <x v="246"/>
    <s v="36413-Elaboration d'un plan d'opérationnalisation du système d'information (pris en compte dans activité 36312)"/>
  </r>
  <r>
    <s v="Renforcement de la gestion des ressources humaines chargée de la gestion de l’ETFP_x000a_"/>
    <m/>
    <m/>
    <n v="0"/>
    <m/>
    <m/>
    <m/>
    <m/>
    <m/>
    <m/>
    <m/>
    <m/>
    <m/>
    <m/>
    <x v="0"/>
    <m/>
    <m/>
    <m/>
    <m/>
    <x v="1"/>
    <x v="2"/>
    <x v="22"/>
    <s v="364- La capacité de pilotage et de mise en œuvre, technique et financière, de l’ETFP est renforcée"/>
    <x v="247"/>
    <s v="3642-Renforcement de la gestion des ressources humaines chargée de la gestion de l’ETFP_x000a_"/>
  </r>
  <r>
    <s v="Elaboration d'un audit organisationnel du METFP (déFinition des postes et des profils et adéquation profils poste et identification des besoins en formation et élaboration d'un plan de formation) "/>
    <s v="assistance technique"/>
    <s v="h/j/ci"/>
    <n v="0"/>
    <m/>
    <n v="80"/>
    <m/>
    <n v="80"/>
    <n v="10.404797"/>
    <n v="0"/>
    <n v="0"/>
    <n v="832.38376000000005"/>
    <n v="0"/>
    <n v="832.38376000000005"/>
    <x v="6"/>
    <s v="METFP-ET_Programme 1. Renforcement de la gouvernance au niveau central et déconcentré"/>
    <s v="3. Dépenses de fonctionnement"/>
    <s v="DRH"/>
    <s v="Service consultant"/>
    <x v="1"/>
    <x v="2"/>
    <x v="22"/>
    <s v="364- La capacité de pilotage et de mise en œuvre, technique et financière, de l’ETFP est renforcée"/>
    <x v="247"/>
    <s v="36421-Elaboration d'un audit organisationnel du METFP (déFinition des postes et des profils et adéquation profils poste et identification des besoins en formation et élaboration d'un plan de formation) "/>
  </r>
  <r>
    <s v="DéFinition d'un mécanisme d'évaluation des performances du personnel de l'ETFP"/>
    <s v="Atelier interministériel"/>
    <s v="h/j/ap"/>
    <n v="0"/>
    <m/>
    <n v="100"/>
    <m/>
    <n v="100"/>
    <n v="0.255"/>
    <n v="0"/>
    <n v="0"/>
    <n v="25.5"/>
    <n v="0"/>
    <n v="25.5"/>
    <x v="13"/>
    <s v="METFP-ET_Programme 1. Renforcement de la gouvernance au niveau central et déconcentré"/>
    <s v="3. Dépenses de fonctionnement"/>
    <s v="BSD"/>
    <s v="DN_x000a_"/>
    <x v="1"/>
    <x v="2"/>
    <x v="22"/>
    <s v="364- La capacité de pilotage et de mise en œuvre, technique et financière, de l’ETFP est renforcée"/>
    <x v="247"/>
    <s v="36422-DéFinition d'un mécanisme d'évaluation des performances du personnel de l'ETFP"/>
  </r>
  <r>
    <s v="Renforcement des moyens et outils de travail_x000a_"/>
    <m/>
    <m/>
    <n v="0"/>
    <m/>
    <m/>
    <m/>
    <m/>
    <m/>
    <m/>
    <m/>
    <m/>
    <m/>
    <m/>
    <x v="0"/>
    <m/>
    <m/>
    <m/>
    <m/>
    <x v="1"/>
    <x v="2"/>
    <x v="22"/>
    <s v="364- La capacité de pilotage et de mise en œuvre, technique et financière, de l’ETFP est renforcée"/>
    <x v="248"/>
    <s v="3643-Renforcement des moyens et outils de travail_x000a_"/>
  </r>
  <r>
    <s v="Réalisation d'une étude sur les couts unitaires des programmes d'études"/>
    <s v="assistance technique"/>
    <s v="h/j/ci"/>
    <n v="0"/>
    <m/>
    <m/>
    <m/>
    <n v="0"/>
    <n v="10.404797"/>
    <n v="0"/>
    <n v="0"/>
    <n v="0"/>
    <n v="0"/>
    <n v="0"/>
    <x v="21"/>
    <s v="METFP-ET_Programme 1. Renforcement de la gouvernance au niveau central et déconcentré"/>
    <s v="3. Dépenses de fonctionnement"/>
    <s v="BSD/UC BoCEJ"/>
    <s v="assistance technique"/>
    <x v="1"/>
    <x v="2"/>
    <x v="22"/>
    <s v="364- La capacité de pilotage et de mise en œuvre, technique et financière, de l’ETFP est renforcée"/>
    <x v="248"/>
    <s v="36431-Réalisation d'une étude sur les couts unitaires des programmes d'études"/>
  </r>
  <r>
    <s v="Elaboration d'un manuel de procédures de gestion des ressources humaines"/>
    <s v="assistance technique"/>
    <s v="h/j/ci"/>
    <n v="0"/>
    <n v="30"/>
    <m/>
    <m/>
    <n v="30"/>
    <n v="10.404797"/>
    <n v="0"/>
    <n v="312.14391000000001"/>
    <n v="0"/>
    <n v="0"/>
    <n v="312.14391000000001"/>
    <x v="6"/>
    <s v="METFP-ET_Programme 1. Renforcement de la gouvernance au niveau central et déconcentré"/>
    <s v="3. Dépenses de fonctionnement"/>
    <s v="DRH"/>
    <s v="BSD/UC BoCEJ_x000a_DN"/>
    <x v="1"/>
    <x v="2"/>
    <x v="22"/>
    <s v="364- La capacité de pilotage et de mise en œuvre, technique et financière, de l’ETFP est renforcée"/>
    <x v="248"/>
    <s v="36432-Elaboration d'un manuel de procédures de gestion des ressources humaines"/>
  </r>
  <r>
    <s v="Validation et diffusion du manuel de GRH"/>
    <s v="atelier "/>
    <s v="h/j/a"/>
    <n v="0"/>
    <n v="135"/>
    <m/>
    <m/>
    <n v="135"/>
    <n v="0.3133333333333333"/>
    <n v="0"/>
    <n v="42.3"/>
    <n v="0"/>
    <n v="0"/>
    <n v="42.3"/>
    <x v="6"/>
    <s v="METFP-ET_Programme 1. Renforcement de la gouvernance au niveau central et déconcentré"/>
    <s v="3. Formation"/>
    <s v="DRH"/>
    <s v="BSD/UC BoCEJ_x000a_DN"/>
    <x v="1"/>
    <x v="2"/>
    <x v="22"/>
    <s v="364- La capacité de pilotage et de mise en œuvre, technique et financière, de l’ETFP est renforcée"/>
    <x v="248"/>
    <s v="36433-Validation et diffusion du manuel de GRH"/>
  </r>
  <r>
    <s v="Acquisition de matériels informatiques pour la GRH"/>
    <s v="informatique"/>
    <s v="poste de travail"/>
    <n v="0"/>
    <m/>
    <n v="51"/>
    <m/>
    <n v="51"/>
    <n v="10.034934666666667"/>
    <n v="0"/>
    <n v="0"/>
    <n v="511.78166799999997"/>
    <n v="0"/>
    <n v="511.78166799999997"/>
    <x v="2"/>
    <s v="METFP-ET_Programme 1. Renforcement de la gouvernance au niveau central et déconcentré"/>
    <s v="5. Investissement"/>
    <s v="DAF"/>
    <s v="DRH"/>
    <x v="1"/>
    <x v="2"/>
    <x v="22"/>
    <s v="364- La capacité de pilotage et de mise en œuvre, technique et financière, de l’ETFP est renforcée"/>
    <x v="248"/>
    <s v="36434-Acquisition de matériels informatiques pour la GRH"/>
  </r>
  <r>
    <s v="Acquisition de MODEMS internet"/>
    <s v="clef"/>
    <s v="Clé3G"/>
    <n v="0"/>
    <m/>
    <n v="51"/>
    <m/>
    <n v="51"/>
    <n v="0.48333333333333334"/>
    <n v="0"/>
    <n v="0"/>
    <n v="24.65"/>
    <n v="0"/>
    <n v="24.65"/>
    <x v="2"/>
    <s v="METFP-ET_Programme 1. Renforcement de la gouvernance au niveau central et déconcentré"/>
    <s v="3. Dépenses de fonctionnement"/>
    <s v="DAF"/>
    <s v="DN_x000a_DRH"/>
    <x v="1"/>
    <x v="2"/>
    <x v="22"/>
    <s v="364- La capacité de pilotage et de mise en œuvre, technique et financière, de l’ETFP est renforcée"/>
    <x v="248"/>
    <s v="36435-Acquisition de MODEMS internet"/>
  </r>
  <r>
    <s v="Mise à jour régulière de la base de données GRH (compris dans activités 36433 et 36434)"/>
    <s v="travail administratif"/>
    <s v="sif"/>
    <n v="0"/>
    <m/>
    <n v="1"/>
    <n v="1"/>
    <n v="2"/>
    <n v="0"/>
    <n v="0"/>
    <n v="0"/>
    <n v="0"/>
    <n v="0"/>
    <m/>
    <x v="2"/>
    <s v="METFP-ET_Programme 1. Renforcement de la gouvernance au niveau central et déconcentré"/>
    <s v=""/>
    <s v="DRH"/>
    <s v="Service informatique"/>
    <x v="1"/>
    <x v="2"/>
    <x v="22"/>
    <s v="364- La capacité de pilotage et de mise en œuvre, technique et financière, de l’ETFP est renforcée"/>
    <x v="248"/>
    <s v="36436-Mise à jour régulière de la base de données GRH (compris dans activités 36433 et 36434)"/>
  </r>
  <r>
    <s v="Acquisition de moyens logistiques pour les Directions nationales et Inspections régionales de l'ETFP"/>
    <s v="Voiture"/>
    <s v="véhicule 4x4"/>
    <n v="0"/>
    <n v="2"/>
    <n v="2"/>
    <n v="1"/>
    <n v="5"/>
    <n v="300"/>
    <n v="0"/>
    <n v="600"/>
    <n v="600"/>
    <n v="300"/>
    <n v="1500"/>
    <x v="2"/>
    <s v="METFP-ET_Programme 1. Renforcement de la gouvernance au niveau central et déconcentré"/>
    <s v="5. Investissement"/>
    <s v="DAF"/>
    <s v="PRPM"/>
    <x v="1"/>
    <x v="2"/>
    <x v="22"/>
    <s v="364- La capacité de pilotage et de mise en œuvre, technique et financière, de l’ETFP est renforcée"/>
    <x v="248"/>
    <s v="36437-Acquisition de moyens logistiques pour les Directions nationales et Inspections régionales de l'ETFP"/>
  </r>
  <r>
    <s v="Acquisition de moyens logistiques pour les Directions nationales et Inspections régionales de l'ETFP"/>
    <s v="Voiture"/>
    <s v="véhicule 4x4"/>
    <n v="0"/>
    <n v="2"/>
    <n v="2"/>
    <n v="1"/>
    <n v="5"/>
    <n v="300"/>
    <n v="0"/>
    <n v="600"/>
    <n v="600"/>
    <n v="300"/>
    <n v="1500"/>
    <x v="13"/>
    <s v="METFP-ET_Programme 1. Renforcement de la gouvernance au niveau central et déconcentré"/>
    <s v="5. Investissement"/>
    <s v="DAF"/>
    <s v="PRPM"/>
    <x v="1"/>
    <x v="2"/>
    <x v="22"/>
    <s v="364- La capacité de pilotage et de mise en œuvre, technique et financière, de l’ETFP est renforcée"/>
    <x v="248"/>
    <s v="36437-Acquisition de moyens logistiques pour les Directions nationales et Inspections régionales de l'ETFP"/>
  </r>
  <r>
    <s v="Construction de 8 inspections régionales de l'ETFP"/>
    <s v="Construction"/>
    <s v="cons/IRETFP"/>
    <n v="0"/>
    <m/>
    <n v="4"/>
    <n v="4"/>
    <n v="8"/>
    <n v="173.22474299999999"/>
    <n v="0"/>
    <n v="0"/>
    <n v="692.89897199999996"/>
    <n v="692.89897199999996"/>
    <n v="1385.7979439999999"/>
    <x v="2"/>
    <s v="METFP-ET_Programme 1. Renforcement de la gouvernance au niveau central et déconcentré"/>
    <s v="5. Investissement"/>
    <s v="DAF"/>
    <s v="SNIEM_x000a_PRPM"/>
    <x v="1"/>
    <x v="2"/>
    <x v="22"/>
    <s v="364- La capacité de pilotage et de mise en œuvre, technique et financière, de l’ETFP est renforcée"/>
    <x v="248"/>
    <s v="36438-Construction de 8 inspections régionales de l'ETFP"/>
  </r>
  <r>
    <s v="Equipement de 8 inspections"/>
    <s v="Lot de mobilier et équipement"/>
    <s v="EQ/IRETFP"/>
    <n v="0"/>
    <m/>
    <m/>
    <n v="4"/>
    <n v="4"/>
    <n v="610.48388699999998"/>
    <n v="0"/>
    <n v="0"/>
    <n v="0"/>
    <n v="2441.9355479999999"/>
    <n v="2441.9355479999999"/>
    <x v="2"/>
    <s v="METFP-ET_Programme 1. Renforcement de la gouvernance au niveau central et déconcentré"/>
    <s v="5. Investissement"/>
    <s v="DAF"/>
    <s v="PRMP"/>
    <x v="1"/>
    <x v="2"/>
    <x v="22"/>
    <s v="364- La capacité de pilotage et de mise en œuvre, technique et financière, de l’ETFP est renforcée"/>
    <x v="248"/>
    <s v="36439-Equipement de 8 inspections"/>
  </r>
  <r>
    <s v="Adaptation et mise en cohérence des rôles et responsabilités des différentes structures concernées par l’ETFP"/>
    <m/>
    <m/>
    <n v="0"/>
    <m/>
    <m/>
    <m/>
    <m/>
    <m/>
    <m/>
    <m/>
    <m/>
    <m/>
    <m/>
    <x v="0"/>
    <m/>
    <m/>
    <m/>
    <m/>
    <x v="1"/>
    <x v="2"/>
    <x v="22"/>
    <s v="364- La capacité de pilotage et de mise en œuvre, technique et financière, de l’ETFP est renforcée"/>
    <x v="249"/>
    <s v="3644-Adaptation et mise en cohérence des rôles et responsabilités des différentes structures concernées par l’ETFP"/>
  </r>
  <r>
    <s v="Révision des textes et cadres organiques des structures et services de l'ETFP (attributions, organisations et fonctionnement des services)"/>
    <s v="travail administratif"/>
    <s v="sif"/>
    <n v="0"/>
    <m/>
    <n v="1"/>
    <m/>
    <n v="1"/>
    <n v="0"/>
    <n v="0"/>
    <n v="0"/>
    <n v="0"/>
    <n v="0"/>
    <m/>
    <x v="2"/>
    <s v="METFP-ET_Programme 1. Renforcement de la gouvernance au niveau central et déconcentré"/>
    <s v=""/>
    <s v="DRH"/>
    <s v="DN"/>
    <x v="1"/>
    <x v="2"/>
    <x v="22"/>
    <s v="364- La capacité de pilotage et de mise en œuvre, technique et financière, de l’ETFP est renforcée"/>
    <x v="249"/>
    <s v="36441-Révision des textes et cadres organiques des structures et services de l'ETFP (attributions, organisations et fonctionnement des services)"/>
  </r>
  <r>
    <s v="vulgarisation des textes, des lois et conventions et traités"/>
    <s v="production d'un livret"/>
    <s v="h/j/ap"/>
    <n v="0"/>
    <m/>
    <n v="75"/>
    <m/>
    <n v="75"/>
    <n v="0.255"/>
    <n v="0"/>
    <n v="0"/>
    <n v="19.125"/>
    <n v="0"/>
    <n v="19.125"/>
    <x v="2"/>
    <s v="METFP-ET_Programme 1. Renforcement de la gouvernance au niveau central et déconcentré"/>
    <s v="3. Dépenses de fonctionnement"/>
    <s v="DN"/>
    <s v="IRETFP"/>
    <x v="1"/>
    <x v="2"/>
    <x v="22"/>
    <s v="364- La capacité de pilotage et de mise en œuvre, technique et financière, de l’ETFP est renforcée"/>
    <x v="249"/>
    <s v="36442-vulgarisation des textes, des lois et conventions et traités"/>
  </r>
  <r>
    <s v="Recrutement de consultants pour la formation des inspecteurs de l'enseignement technique et de la formation professionnelle"/>
    <s v="assistance technique"/>
    <s v="h/m/ci"/>
    <n v="0"/>
    <n v="18"/>
    <m/>
    <m/>
    <n v="18"/>
    <n v="219.54797350000001"/>
    <n v="0"/>
    <n v="3951.863523"/>
    <n v="0"/>
    <n v="0"/>
    <n v="3951.863523"/>
    <x v="6"/>
    <s v="METFP-ET_Programme 1. Renforcement de la gouvernance au niveau central et déconcentré"/>
    <s v="3. Dépenses de fonctionnement"/>
    <s v="IGET"/>
    <s v="assistance techniques"/>
    <x v="1"/>
    <x v="2"/>
    <x v="22"/>
    <s v="364- La capacité de pilotage et de mise en œuvre, technique et financière, de l’ETFP est renforcée"/>
    <x v="249"/>
    <s v="36443-Recrutement de consultants pour la formation des inspecteurs de l'enseignement technique et de la formation professionnelle"/>
  </r>
  <r>
    <s v="Recrutement des inspecteurs à former"/>
    <s v="sif"/>
    <m/>
    <n v="0"/>
    <m/>
    <m/>
    <m/>
    <m/>
    <n v="0"/>
    <m/>
    <m/>
    <m/>
    <m/>
    <m/>
    <x v="2"/>
    <s v="METFP-ET_Programme 1. Renforcement de la gouvernance au niveau central et déconcentré"/>
    <s v=""/>
    <s v="IGET"/>
    <s v="assistance techniques"/>
    <x v="1"/>
    <x v="2"/>
    <x v="22"/>
    <s v="364- La capacité de pilotage et de mise en œuvre, technique et financière, de l’ETFP est renforcée"/>
    <x v="249"/>
    <s v="36444-Recrutement des inspecteurs à former"/>
  </r>
  <r>
    <s v="Formation des inspecteurs"/>
    <s v="Formation"/>
    <s v="h/j/f"/>
    <n v="0"/>
    <n v="180"/>
    <m/>
    <m/>
    <n v="180"/>
    <n v="0.67666666666666664"/>
    <n v="0"/>
    <n v="121.8"/>
    <n v="0"/>
    <n v="0"/>
    <n v="121.8"/>
    <x v="2"/>
    <s v="METFP-ET_Programme 1. Renforcement de la gouvernance au niveau central et déconcentré"/>
    <s v="3. Formation"/>
    <s v="IGET"/>
    <s v="assistance techniques"/>
    <x v="1"/>
    <x v="2"/>
    <x v="22"/>
    <s v="364- La capacité de pilotage et de mise en œuvre, technique et financière, de l’ETFP est renforcée"/>
    <x v="249"/>
    <s v="36445-Formation des inspecteurs"/>
  </r>
  <r>
    <s v="Organisation de l'inspection dans les institutions de formation par les services centraux"/>
    <s v="Mission"/>
    <s v="h/j/m"/>
    <n v="0"/>
    <n v="320"/>
    <n v="320"/>
    <n v="320"/>
    <n v="960"/>
    <n v="0.8177777777777776"/>
    <n v="0"/>
    <n v="261.68888888888881"/>
    <n v="261.68888888888881"/>
    <n v="261.68888888888881"/>
    <n v="785.06666666666638"/>
    <x v="2"/>
    <s v="METFP-ET_Programme 1. Renforcement de la gouvernance au niveau central et déconcentré"/>
    <s v="3. Dépenses de fonctionnement"/>
    <s v="IGET"/>
    <s v="IGET"/>
    <x v="1"/>
    <x v="2"/>
    <x v="22"/>
    <s v="364- La capacité de pilotage et de mise en œuvre, technique et financière, de l’ETFP est renforcée"/>
    <x v="249"/>
    <s v="36446-Organisation de l'inspection dans les institutions de formation par les services centraux"/>
  </r>
  <r>
    <s v="Organisation de l'inspection dans les institutions de formation par les services régionaux"/>
    <s v="Mission"/>
    <s v="h/j/m"/>
    <n v="0"/>
    <n v="160"/>
    <n v="160"/>
    <n v="160"/>
    <n v="480"/>
    <n v="0.8177777777777776"/>
    <n v="0"/>
    <n v="130.84444444444441"/>
    <n v="130.84444444444441"/>
    <n v="130.84444444444441"/>
    <n v="392.53333333333319"/>
    <x v="2"/>
    <s v="METFP-ET_Programme 1. Renforcement de la gouvernance au niveau central et déconcentré"/>
    <s v="3. Dépenses de fonctionnement"/>
    <s v="IGET"/>
    <s v="IRETFP"/>
    <x v="1"/>
    <x v="2"/>
    <x v="22"/>
    <s v="364- La capacité de pilotage et de mise en œuvre, technique et financière, de l’ETFP est renforcée"/>
    <x v="249"/>
    <s v="36447-Organisation de l'inspection dans les institutions de formation par les services régionaux"/>
  </r>
  <r>
    <s v="Le dispositif de communication et d’orientation professionnelle est opérationnel"/>
    <m/>
    <m/>
    <n v="0"/>
    <m/>
    <m/>
    <m/>
    <m/>
    <m/>
    <m/>
    <m/>
    <m/>
    <m/>
    <m/>
    <x v="0"/>
    <m/>
    <m/>
    <m/>
    <m/>
    <x v="1"/>
    <x v="2"/>
    <x v="22"/>
    <s v="365-Le dispositif de communication et d’orientation professionnelle est opérationnel"/>
    <x v="250"/>
    <s v="365-Le dispositif de communication et d’orientation professionnelle est opérationnel"/>
  </r>
  <r>
    <s v="Configuration du dispositif de communication et d’orientation professionnelle"/>
    <m/>
    <m/>
    <n v="0"/>
    <m/>
    <m/>
    <m/>
    <m/>
    <m/>
    <m/>
    <m/>
    <m/>
    <m/>
    <m/>
    <x v="0"/>
    <m/>
    <m/>
    <m/>
    <m/>
    <x v="1"/>
    <x v="2"/>
    <x v="22"/>
    <s v="365-Le dispositif de communication et d’orientation professionnelle est opérationnel"/>
    <x v="251"/>
    <s v="3651-Configuration du dispositif de communication et d’orientation professionnelle"/>
  </r>
  <r>
    <s v="Etude pour la déFinition du dispositif de communication sur l'orientation professionnelle"/>
    <s v="Assistance Technique"/>
    <s v="h/j/ci"/>
    <n v="0"/>
    <n v="45"/>
    <m/>
    <m/>
    <n v="45"/>
    <n v="10.404797"/>
    <n v="0"/>
    <n v="468.21586500000001"/>
    <n v="0"/>
    <n v="0"/>
    <n v="468.21586500000001"/>
    <x v="6"/>
    <s v="METFP-ET_Programme 1. Renforcement de la gouvernance au niveau central et déconcentré"/>
    <s v="3. Dépenses de fonctionnement"/>
    <s v="BSD"/>
    <s v="Service consultant"/>
    <x v="1"/>
    <x v="2"/>
    <x v="22"/>
    <s v="365-Le dispositif de communication et d’orientation professionnelle est opérationnel"/>
    <x v="251"/>
    <s v="36511-Etude pour la déFinition du dispositif de communication sur l'orientation professionnelle"/>
  </r>
  <r>
    <s v="Validation des résultats de l'étude"/>
    <s v="atelier"/>
    <s v="h/j/a"/>
    <n v="0"/>
    <n v="60"/>
    <m/>
    <m/>
    <n v="60"/>
    <n v="0.3133333333333333"/>
    <n v="0"/>
    <n v="18.799999999999997"/>
    <n v="0"/>
    <n v="0"/>
    <n v="18.799999999999997"/>
    <x v="6"/>
    <s v="METFP-ET_Programme 1. Renforcement de la gouvernance au niveau central et déconcentré"/>
    <s v="3. Formation"/>
    <s v="BSD"/>
    <s v="DN"/>
    <x v="1"/>
    <x v="2"/>
    <x v="22"/>
    <s v="365-Le dispositif de communication et d’orientation professionnelle est opérationnel"/>
    <x v="251"/>
    <s v="36512-Validation des résultats de l'étude"/>
  </r>
  <r>
    <s v="Vulgarisation du dispositif de communication"/>
    <s v="atelier"/>
    <s v="h/j/a"/>
    <n v="0"/>
    <m/>
    <n v="60"/>
    <m/>
    <n v="60"/>
    <n v="0.3133333333333333"/>
    <n v="0"/>
    <n v="0"/>
    <n v="18.799999999999997"/>
    <n v="0"/>
    <n v="18.799999999999997"/>
    <x v="6"/>
    <s v="METFP-ET_Programme 1. Renforcement de la gouvernance au niveau central et déconcentré"/>
    <s v="3. Formation"/>
    <s v="BSD"/>
    <s v="DN"/>
    <x v="1"/>
    <x v="2"/>
    <x v="22"/>
    <s v="365-Le dispositif de communication et d’orientation professionnelle est opérationnel"/>
    <x v="251"/>
    <s v="36513-Vulgarisation du dispositif de communication"/>
  </r>
  <r>
    <s v="Mise en œuvre du dispositif de communication"/>
    <m/>
    <m/>
    <n v="0"/>
    <m/>
    <m/>
    <m/>
    <m/>
    <m/>
    <m/>
    <m/>
    <m/>
    <m/>
    <m/>
    <x v="0"/>
    <m/>
    <m/>
    <m/>
    <m/>
    <x v="1"/>
    <x v="2"/>
    <x v="22"/>
    <s v="365-Le dispositif de communication et d’orientation professionnelle est opérationnel"/>
    <x v="252"/>
    <s v="3652-Mise en œuvre du dispositif de communication"/>
  </r>
  <r>
    <s v="PM (mis en œuvre dans le prochain PAPB)"/>
    <m/>
    <m/>
    <n v="0"/>
    <m/>
    <m/>
    <m/>
    <m/>
    <m/>
    <m/>
    <m/>
    <m/>
    <m/>
    <m/>
    <x v="2"/>
    <s v="METFP-ET_Programme 1. Renforcement de la gouvernance au niveau central et déconcentré"/>
    <s v=""/>
    <m/>
    <m/>
    <x v="1"/>
    <x v="2"/>
    <x v="22"/>
    <s v="365-Le dispositif de communication et d’orientation professionnelle est opérationnel"/>
    <x v="252"/>
    <s v="-PM (mis en œuvre dans le prochain PAPB)"/>
  </r>
  <r>
    <s v=" Un système d’assurance qualité est mis en place"/>
    <m/>
    <m/>
    <n v="0"/>
    <m/>
    <m/>
    <m/>
    <m/>
    <m/>
    <m/>
    <m/>
    <m/>
    <m/>
    <m/>
    <x v="0"/>
    <m/>
    <m/>
    <m/>
    <m/>
    <x v="1"/>
    <x v="2"/>
    <x v="22"/>
    <s v="366- Un système d’assurance qualité est mis en place"/>
    <x v="253"/>
    <s v="366- Un système d’assurance qualité est mis en place"/>
  </r>
  <r>
    <s v="Développement du système d’assurance qualité en cours de mise en œuvre"/>
    <m/>
    <m/>
    <n v="0"/>
    <m/>
    <m/>
    <m/>
    <m/>
    <m/>
    <m/>
    <m/>
    <m/>
    <m/>
    <m/>
    <x v="0"/>
    <m/>
    <m/>
    <m/>
    <m/>
    <x v="1"/>
    <x v="2"/>
    <x v="22"/>
    <s v="366- Un système d’assurance qualité est mis en place"/>
    <x v="254"/>
    <s v="3661-Développement du système d’assurance qualité en cours de mise en œuvre"/>
  </r>
  <r>
    <s v="Auto-évaluation des programmes pilotes sur la base du manuel de procédures"/>
    <s v="travail administratif"/>
    <s v="sif"/>
    <n v="0"/>
    <n v="1"/>
    <n v="1"/>
    <n v="1"/>
    <n v="3"/>
    <n v="0"/>
    <n v="0"/>
    <n v="0"/>
    <n v="0"/>
    <n v="0"/>
    <m/>
    <x v="2"/>
    <s v="METFP-ET_Programme 1. Renforcement de la gouvernance au niveau central et déconcentré"/>
    <s v=""/>
    <s v="DN"/>
    <s v="ANAQ_x000a_IGETFP_x000a_Institutions"/>
    <x v="1"/>
    <x v="2"/>
    <x v="22"/>
    <s v="366- Un système d’assurance qualité est mis en place"/>
    <x v="254"/>
    <s v="36611-Auto-évaluation des programmes pilotes sur la base du manuel de procédures"/>
  </r>
  <r>
    <s v="Evaluation indépendante des programmes pilotes"/>
    <s v="assistance technique"/>
    <s v="h/j/ci"/>
    <n v="0"/>
    <n v="69.239999999999995"/>
    <n v="103.85999999999999"/>
    <m/>
    <n v="173.09999999999997"/>
    <n v="10.404797"/>
    <n v="0"/>
    <n v="720.42814427999997"/>
    <n v="1080.6422164199998"/>
    <n v="0"/>
    <n v="1801.0703606999998"/>
    <x v="21"/>
    <s v="METFP-ET_Programme 1. Renforcement de la gouvernance au niveau central et déconcentré"/>
    <s v="3. Dépenses de fonctionnement"/>
    <s v="ANAQ"/>
    <s v="assistance technique"/>
    <x v="1"/>
    <x v="2"/>
    <x v="22"/>
    <s v="366- Un système d’assurance qualité est mis en place"/>
    <x v="254"/>
    <s v="36612-Evaluation indépendante des programmes pilotes"/>
  </r>
  <r>
    <s v="Evaluation indépendante des programmes pilotes"/>
    <s v="assistance technique"/>
    <s v="h/j/ci"/>
    <n v="0"/>
    <n v="230.76"/>
    <n v="346.14"/>
    <m/>
    <n v="576.9"/>
    <n v="10.404797"/>
    <n v="0"/>
    <n v="2401.0109557199999"/>
    <n v="3601.51643358"/>
    <n v="0"/>
    <n v="6002.5273892999994"/>
    <x v="2"/>
    <s v="METFP-ET_Programme 1. Renforcement de la gouvernance au niveau central et déconcentré"/>
    <s v="3. Dépenses de fonctionnement"/>
    <s v="ANAQ"/>
    <s v="assistance technique"/>
    <x v="1"/>
    <x v="2"/>
    <x v="22"/>
    <s v="366- Un système d’assurance qualité est mis en place"/>
    <x v="254"/>
    <s v="36612-Evaluation indépendante des programmes pilotes"/>
  </r>
  <r>
    <s v="Accréditation des programmes ayant satisfait à l'évaluation"/>
    <s v="travail administratif"/>
    <s v="sif"/>
    <n v="0"/>
    <n v="1"/>
    <n v="1"/>
    <n v="1"/>
    <n v="3"/>
    <n v="0"/>
    <n v="0"/>
    <n v="0"/>
    <n v="0"/>
    <n v="0"/>
    <m/>
    <x v="2"/>
    <s v="METFP-ET_Programme 1. Renforcement de la gouvernance au niveau central et déconcentré"/>
    <s v=""/>
    <s v="ANAQ"/>
    <s v="Institutions"/>
    <x v="1"/>
    <x v="2"/>
    <x v="22"/>
    <s v="366- Un système d’assurance qualité est mis en place"/>
    <x v="254"/>
    <s v="36613-Accréditation des programmes ayant satisfait à l'évaluation"/>
  </r>
  <r>
    <s v="Mise à jour des programmes non accrédités en fonction des recommandations de l'évaluation"/>
    <s v="travail administratif"/>
    <s v="sif"/>
    <n v="0"/>
    <n v="1"/>
    <n v="1"/>
    <n v="1"/>
    <n v="3"/>
    <n v="0"/>
    <n v="0"/>
    <n v="0"/>
    <n v="0"/>
    <n v="0"/>
    <m/>
    <x v="2"/>
    <s v="METFP-ET_Programme 1. Renforcement de la gouvernance au niveau central et déconcentré"/>
    <s v=""/>
    <s v="DN"/>
    <s v="Institutions"/>
    <x v="1"/>
    <x v="2"/>
    <x v="22"/>
    <s v="366- Un système d’assurance qualité est mis en place"/>
    <x v="254"/>
    <s v="36614-Mise à jour des programmes non accrédités en fonction des recommandations de l'évaluation"/>
  </r>
  <r>
    <s v="Extension de la mise en œuvre du système d’assurance qualité"/>
    <m/>
    <m/>
    <n v="0"/>
    <m/>
    <m/>
    <m/>
    <m/>
    <m/>
    <m/>
    <m/>
    <m/>
    <m/>
    <m/>
    <x v="0"/>
    <m/>
    <m/>
    <m/>
    <m/>
    <x v="1"/>
    <x v="2"/>
    <x v="22"/>
    <s v="366- Un système d’assurance qualité est mis en place"/>
    <x v="255"/>
    <s v="3662-Extension de la mise en œuvre du système d’assurance qualité"/>
  </r>
  <r>
    <s v="Formation des établissements sur l'assurance qualité (chefs d'établissements et de filières)"/>
    <s v="formation"/>
    <s v="h/j/f"/>
    <n v="0"/>
    <n v="120"/>
    <n v="120"/>
    <m/>
    <n v="240"/>
    <n v="0.67666666666666664"/>
    <n v="0"/>
    <n v="81.2"/>
    <n v="81.2"/>
    <n v="0"/>
    <n v="162.4"/>
    <x v="21"/>
    <s v="METFP-ET_Programme 1. Renforcement de la gouvernance au niveau central et déconcentré"/>
    <s v="3. Formation"/>
    <s v="ANAQ"/>
    <s v="IRETFP"/>
    <x v="1"/>
    <x v="2"/>
    <x v="22"/>
    <s v="366- Un système d’assurance qualité est mis en place"/>
    <x v="255"/>
    <s v="36621-Formation des établissements sur l'assurance qualité (chefs d'établissements et de filières)"/>
  </r>
  <r>
    <s v="Formation des établissements sur l'assurance qualité (chefs d'établissements et de filières)"/>
    <s v="formation"/>
    <s v="h/j/f"/>
    <n v="0"/>
    <m/>
    <m/>
    <n v="120"/>
    <n v="120"/>
    <n v="0.67666666666666664"/>
    <n v="0"/>
    <n v="0"/>
    <n v="0"/>
    <n v="81.2"/>
    <n v="81.2"/>
    <x v="20"/>
    <s v="METFP-ET_Programme 1. Renforcement de la gouvernance au niveau central et déconcentré"/>
    <s v="3. Formation"/>
    <s v="ANAQ"/>
    <s v="IRETFP"/>
    <x v="1"/>
    <x v="2"/>
    <x v="22"/>
    <s v="366- Un système d’assurance qualité est mis en place"/>
    <x v="255"/>
    <s v="36621-Formation des établissements sur l'assurance qualité (chefs d'établissements et de filières)"/>
  </r>
  <r>
    <s v="Auto-évaluation des programmes retenues sur la base du manuel de procédures"/>
    <s v="travail administratif"/>
    <s v="sif"/>
    <n v="0"/>
    <m/>
    <n v="1"/>
    <n v="1"/>
    <n v="2"/>
    <n v="0"/>
    <n v="0"/>
    <n v="0"/>
    <n v="0"/>
    <n v="0"/>
    <m/>
    <x v="2"/>
    <s v="METFP-ET_Programme 1. Renforcement de la gouvernance au niveau central et déconcentré"/>
    <s v=""/>
    <s v="Institutions"/>
    <s v="DN"/>
    <x v="1"/>
    <x v="2"/>
    <x v="22"/>
    <s v="366- Un système d’assurance qualité est mis en place"/>
    <x v="255"/>
    <s v="36622-Auto-évaluation des programmes retenues sur la base du manuel de procédures"/>
  </r>
  <r>
    <s v="Evaluation indépendante des programmes retenus"/>
    <s v="assistance technique"/>
    <s v="h/j/ci"/>
    <n v="0"/>
    <m/>
    <n v="45"/>
    <n v="45"/>
    <n v="90"/>
    <n v="10.404797"/>
    <n v="0"/>
    <n v="0"/>
    <n v="468.21586500000001"/>
    <n v="468.21586500000001"/>
    <n v="936.43173000000002"/>
    <x v="2"/>
    <s v="METFP-ET_Programme 1. Renforcement de la gouvernance au niveau central et déconcentré"/>
    <s v="3. Dépenses de fonctionnement"/>
    <s v="ANAQ"/>
    <s v="assistance technique"/>
    <x v="1"/>
    <x v="2"/>
    <x v="22"/>
    <s v="366- Un système d’assurance qualité est mis en place"/>
    <x v="255"/>
    <s v="36623-Evaluation indépendante des programmes retenus"/>
  </r>
  <r>
    <s v="Développement d’un Cadre National de Certification et de Qualification (CNCQ)"/>
    <m/>
    <m/>
    <n v="0"/>
    <m/>
    <m/>
    <m/>
    <m/>
    <m/>
    <m/>
    <m/>
    <m/>
    <m/>
    <m/>
    <x v="0"/>
    <m/>
    <m/>
    <m/>
    <m/>
    <x v="1"/>
    <x v="2"/>
    <x v="22"/>
    <s v="366- Un système d’assurance qualité est mis en place"/>
    <x v="256"/>
    <s v="3663-Développement d’un Cadre National de Certification et de Qualification (CNCQ)"/>
  </r>
  <r>
    <s v="Etat des lieux de la formation et de la certification"/>
    <s v="Etude"/>
    <s v="h/j/ci"/>
    <n v="0"/>
    <m/>
    <n v="45"/>
    <m/>
    <n v="45"/>
    <n v="10.404797"/>
    <n v="0"/>
    <n v="0"/>
    <n v="468.21586500000001"/>
    <n v="0"/>
    <n v="468.21586500000001"/>
    <x v="6"/>
    <s v="METFP-ET_Programme 1. Renforcement de la gouvernance au niveau central et déconcentré"/>
    <s v="3. Dépenses de fonctionnement"/>
    <s v="SECSP"/>
    <s v="assistance technique"/>
    <x v="1"/>
    <x v="2"/>
    <x v="22"/>
    <s v="366- Un système d’assurance qualité est mis en place"/>
    <x v="256"/>
    <s v="36631-Etat des lieux de la formation et de la certification"/>
  </r>
  <r>
    <s v="Identification des problématiques de la certification et de la qualification en formation professionnelle (pris en compte dans activité 36531)"/>
    <s v="pm"/>
    <s v="sif"/>
    <n v="0"/>
    <m/>
    <n v="1"/>
    <m/>
    <n v="1"/>
    <n v="0"/>
    <n v="0"/>
    <n v="0"/>
    <n v="0"/>
    <n v="0"/>
    <m/>
    <x v="2"/>
    <s v="METFP-ET_Programme 1. Renforcement de la gouvernance au niveau central et déconcentré"/>
    <s v=""/>
    <s v="SECSP"/>
    <s v="DN_x000a_IRETFP"/>
    <x v="1"/>
    <x v="2"/>
    <x v="22"/>
    <s v="366- Un système d’assurance qualité est mis en place"/>
    <x v="256"/>
    <s v="36632-Identification des problématiques de la certification et de la qualification en formation professionnelle (pris en compte dans activité 36531)"/>
  </r>
  <r>
    <s v="Elaboration du cadre légal et réglementaire de la qualification et de la certification"/>
    <s v="atelier d'élaboration"/>
    <s v="h/j/ap"/>
    <n v="0"/>
    <m/>
    <n v="100"/>
    <m/>
    <n v="100"/>
    <n v="0.255"/>
    <n v="0"/>
    <n v="0"/>
    <n v="25.5"/>
    <n v="0"/>
    <n v="25.5"/>
    <x v="2"/>
    <s v="METFP-ET_Programme 1. Renforcement de la gouvernance au niveau central et déconcentré"/>
    <s v="3. Dépenses de fonctionnement"/>
    <s v="SECSP"/>
    <s v="DN_x000a_IRETFP"/>
    <x v="1"/>
    <x v="2"/>
    <x v="22"/>
    <s v="366- Un système d’assurance qualité est mis en place"/>
    <x v="256"/>
    <s v="36633-Elaboration du cadre légal et réglementaire de la qualification et de la certification"/>
  </r>
  <r>
    <s v="Concertation sur le CNCQ"/>
    <s v="atelier "/>
    <s v="h/j/a"/>
    <n v="0"/>
    <m/>
    <n v="180"/>
    <m/>
    <n v="180"/>
    <n v="0.3133333333333333"/>
    <n v="0"/>
    <n v="0"/>
    <n v="56.399999999999991"/>
    <n v="0"/>
    <n v="56.399999999999991"/>
    <x v="13"/>
    <s v="METFP-ET_Programme 1. Renforcement de la gouvernance au niveau central et déconcentré"/>
    <s v="3. Formation"/>
    <s v="SECSP"/>
    <s v="DN_x000a_IRETFP"/>
    <x v="1"/>
    <x v="2"/>
    <x v="22"/>
    <s v="366- Un système d’assurance qualité est mis en place"/>
    <x v="256"/>
    <s v="36634-Concertation sur le CNCQ"/>
  </r>
  <r>
    <s v="Adoption des textes réglementaires"/>
    <s v="travail administratif"/>
    <s v="sif"/>
    <n v="0"/>
    <m/>
    <n v="1"/>
    <m/>
    <n v="1"/>
    <n v="0"/>
    <n v="0"/>
    <n v="0"/>
    <n v="0"/>
    <n v="0"/>
    <m/>
    <x v="2"/>
    <s v="METFP-ET_Programme 1. Renforcement de la gouvernance au niveau central et déconcentré"/>
    <s v=""/>
    <s v="SECSP"/>
    <s v="DN_x000a_IRETFP"/>
    <x v="1"/>
    <x v="2"/>
    <x v="22"/>
    <s v="366- Un système d’assurance qualité est mis en place"/>
    <x v="256"/>
    <s v="36635-Adoption des textes réglementaires"/>
  </r>
  <r>
    <s v="Diffusion des textes"/>
    <s v="reproduction et distribution des textes"/>
    <s v="imp"/>
    <n v="0"/>
    <m/>
    <m/>
    <n v="1200"/>
    <n v="1200"/>
    <n v="7.4999999999999997E-3"/>
    <n v="0"/>
    <n v="0"/>
    <n v="0"/>
    <n v="9"/>
    <n v="9"/>
    <x v="13"/>
    <s v="METFP-ET_Programme 1. Renforcement de la gouvernance au niveau central et déconcentré"/>
    <s v="3. Dépenses de fonctionnement"/>
    <s v="DAF"/>
    <s v="DN_x000a_IRETFP"/>
    <x v="1"/>
    <x v="2"/>
    <x v="22"/>
    <s v="366- Un système d’assurance qualité est mis en place"/>
    <x v="256"/>
    <s v="36636-Diffusion des textes"/>
  </r>
  <r>
    <s v="Application du CNCQ"/>
    <m/>
    <m/>
    <n v="0"/>
    <m/>
    <m/>
    <m/>
    <m/>
    <m/>
    <m/>
    <m/>
    <m/>
    <m/>
    <m/>
    <x v="0"/>
    <m/>
    <m/>
    <m/>
    <m/>
    <x v="1"/>
    <x v="2"/>
    <x v="22"/>
    <s v="366- Un système d’assurance qualité est mis en place"/>
    <x v="257"/>
    <s v="3664-Application du CNCQ"/>
  </r>
  <r>
    <s v="PM (phase 2 du PRODEG)"/>
    <m/>
    <m/>
    <n v="0"/>
    <m/>
    <m/>
    <m/>
    <m/>
    <m/>
    <m/>
    <m/>
    <m/>
    <m/>
    <m/>
    <x v="2"/>
    <s v="METFP-ET_Programme 1. Renforcement de la gouvernance au niveau central et déconcentré"/>
    <s v=""/>
    <m/>
    <m/>
    <x v="1"/>
    <x v="2"/>
    <x v="22"/>
    <s v="366- Un système d’assurance qualité est mis en place"/>
    <x v="257"/>
    <s v="-PM (phase 2 du PRODEG)"/>
  </r>
  <r>
    <s v="Participation à la mise en place du cadre régional de certification"/>
    <m/>
    <m/>
    <n v="0"/>
    <m/>
    <m/>
    <m/>
    <m/>
    <m/>
    <m/>
    <m/>
    <m/>
    <m/>
    <m/>
    <x v="0"/>
    <m/>
    <m/>
    <m/>
    <m/>
    <x v="1"/>
    <x v="2"/>
    <x v="22"/>
    <s v="366- Un système d’assurance qualité est mis en place"/>
    <x v="258"/>
    <s v="3665-Participation à la mise en place du cadre régional de certification"/>
  </r>
  <r>
    <s v="harmonisation du CNCQ de la guinée avec le cadre régional (pris en compte dans la stratégie 3654)"/>
    <s v="PM"/>
    <m/>
    <n v="0"/>
    <m/>
    <n v="1"/>
    <m/>
    <n v="1"/>
    <n v="0"/>
    <n v="0"/>
    <n v="0"/>
    <n v="0"/>
    <n v="0"/>
    <m/>
    <x v="2"/>
    <s v="METFP-ET_Programme 1. Renforcement de la gouvernance au niveau central et déconcentré"/>
    <s v=""/>
    <s v="SECSP"/>
    <s v="IGETFP_x000a_DN_x000a_IRETFP"/>
    <x v="1"/>
    <x v="2"/>
    <x v="22"/>
    <s v="366- Un système d’assurance qualité est mis en place"/>
    <x v="258"/>
    <s v="36651-harmonisation du CNCQ de la guinée avec le cadre régional (pris en compte dans la stratégie 3654)"/>
  </r>
  <r>
    <s v=" Une loi cadre de l’ETFP est élaborée"/>
    <m/>
    <m/>
    <n v="0"/>
    <m/>
    <m/>
    <m/>
    <m/>
    <m/>
    <m/>
    <m/>
    <m/>
    <m/>
    <m/>
    <x v="0"/>
    <m/>
    <m/>
    <m/>
    <m/>
    <x v="1"/>
    <x v="2"/>
    <x v="22"/>
    <s v="367- Une loi cadre de l’ETFP est élaborée"/>
    <x v="259"/>
    <s v="367- Une loi cadre de l’ETFP est élaborée"/>
  </r>
  <r>
    <s v="élaboration de la loi cadre avec une approche participative_x000a_"/>
    <m/>
    <m/>
    <n v="0"/>
    <m/>
    <m/>
    <m/>
    <m/>
    <m/>
    <m/>
    <m/>
    <m/>
    <m/>
    <m/>
    <x v="0"/>
    <m/>
    <m/>
    <m/>
    <m/>
    <x v="1"/>
    <x v="2"/>
    <x v="22"/>
    <s v="367- Une loi cadre de l’ETFP est élaborée"/>
    <x v="260"/>
    <s v="3671-élaboration de la loi cadre avec une approche participative_x000a_"/>
  </r>
  <r>
    <s v="Appui d'une expertise internationale pour la déFinition du contenu de la loi cadre sur la formation professionnelle "/>
    <s v="assistance technique"/>
    <s v="h/j/ci"/>
    <n v="0"/>
    <n v="45"/>
    <m/>
    <m/>
    <n v="45"/>
    <n v="10.404797"/>
    <n v="0"/>
    <n v="468.21586500000001"/>
    <n v="0"/>
    <n v="0"/>
    <n v="468.21586500000001"/>
    <x v="13"/>
    <s v="METFP-ET_Programme 1. Renforcement de la gouvernance au niveau central et déconcentré"/>
    <s v="3. Dépenses de fonctionnement"/>
    <s v="BSD"/>
    <s v="Service consultant"/>
    <x v="1"/>
    <x v="2"/>
    <x v="22"/>
    <s v="367- Une loi cadre de l’ETFP est élaborée"/>
    <x v="260"/>
    <s v="36711-Appui d'une expertise internationale pour la déFinition du contenu de la loi cadre sur la formation professionnelle "/>
  </r>
  <r>
    <s v="Appui à l'élaboration du projet de loi cadre de l'ETFP"/>
    <s v="assistance technique"/>
    <s v="h/j/cn"/>
    <n v="0"/>
    <n v="45"/>
    <m/>
    <m/>
    <n v="45"/>
    <n v="2.651545"/>
    <n v="0"/>
    <n v="119.319525"/>
    <n v="0"/>
    <n v="0"/>
    <n v="119.319525"/>
    <x v="13"/>
    <s v="METFP-ET_Programme 1. Renforcement de la gouvernance au niveau central et déconcentré"/>
    <s v="3. Dépenses de fonctionnement"/>
    <s v="BSD"/>
    <s v="Service consultant"/>
    <x v="1"/>
    <x v="2"/>
    <x v="22"/>
    <s v="367- Une loi cadre de l’ETFP est élaborée"/>
    <x v="260"/>
    <s v="36712-Appui à l'élaboration du projet de loi cadre de l'ETFP"/>
  </r>
  <r>
    <s v="Concertation avec les acteurs"/>
    <s v="Atelier"/>
    <s v="h/j/a"/>
    <n v="0"/>
    <n v="120"/>
    <m/>
    <m/>
    <n v="120"/>
    <n v="0.3133333333333333"/>
    <n v="0"/>
    <n v="37.599999999999994"/>
    <n v="0"/>
    <n v="0"/>
    <n v="37.599999999999994"/>
    <x v="13"/>
    <s v="METFP-ET_Programme 1. Renforcement de la gouvernance au niveau central et déconcentré"/>
    <s v="3. Formation"/>
    <s v="BSD"/>
    <s v="DN_x000a_IRET_x000a_OP"/>
    <x v="1"/>
    <x v="2"/>
    <x v="22"/>
    <s v="367- Une loi cadre de l’ETFP est élaborée"/>
    <x v="260"/>
    <s v="36713-Concertation avec les acteurs"/>
  </r>
  <r>
    <s v="Validation"/>
    <s v="Atelier"/>
    <s v="h/j/a"/>
    <n v="0"/>
    <n v="60"/>
    <m/>
    <m/>
    <n v="60"/>
    <n v="0.3133333333333333"/>
    <n v="0"/>
    <n v="18.799999999999997"/>
    <n v="0"/>
    <n v="0"/>
    <n v="18.799999999999997"/>
    <x v="13"/>
    <s v="METFP-ET_Programme 1. Renforcement de la gouvernance au niveau central et déconcentré"/>
    <s v="3. Formation"/>
    <s v="BSD"/>
    <s v="DN_x000a_IRET_x000a_OP"/>
    <x v="1"/>
    <x v="2"/>
    <x v="22"/>
    <s v="367- Une loi cadre de l’ETFP est élaborée"/>
    <x v="260"/>
    <s v="36714-Validation"/>
  </r>
  <r>
    <s v="Promulgation"/>
    <s v="travaux administratifs"/>
    <s v="sif"/>
    <n v="0"/>
    <m/>
    <n v="1"/>
    <m/>
    <n v="1"/>
    <n v="0"/>
    <n v="0"/>
    <n v="0"/>
    <n v="0"/>
    <n v="0"/>
    <m/>
    <x v="2"/>
    <s v="METFP-ET_Programme 1. Renforcement de la gouvernance au niveau central et déconcentré"/>
    <s v=""/>
    <s v="BSD"/>
    <s v="DN_x000a_IRET_x000a_OP"/>
    <x v="1"/>
    <x v="2"/>
    <x v="22"/>
    <s v="367- Une loi cadre de l’ETFP est élaborée"/>
    <x v="260"/>
    <s v="36715-Promulgation"/>
  </r>
  <r>
    <s v="Vulgarisation"/>
    <s v="Impression"/>
    <s v="IMP"/>
    <n v="0"/>
    <m/>
    <n v="1200"/>
    <m/>
    <n v="1200"/>
    <n v="7.4999999999999997E-3"/>
    <n v="0"/>
    <n v="0"/>
    <n v="9"/>
    <n v="0"/>
    <n v="9"/>
    <x v="13"/>
    <s v="METFP-ET_Programme 1. Renforcement de la gouvernance au niveau central et déconcentré"/>
    <s v="3. Dépenses de fonctionnement"/>
    <s v="DAF"/>
    <s v="DN_x000a_IRETFP"/>
    <x v="1"/>
    <x v="2"/>
    <x v="22"/>
    <s v="367- Une loi cadre de l’ETFP est élaborée"/>
    <x v="260"/>
    <s v="36716-Vulgarisation"/>
  </r>
  <r>
    <s v=" Le cadre juridique et règlementaire est adapté "/>
    <m/>
    <m/>
    <n v="0"/>
    <m/>
    <m/>
    <m/>
    <m/>
    <m/>
    <m/>
    <m/>
    <m/>
    <m/>
    <m/>
    <x v="0"/>
    <m/>
    <m/>
    <m/>
    <m/>
    <x v="1"/>
    <x v="2"/>
    <x v="22"/>
    <s v="368- Le cadre juridique et règlementaire est adapté "/>
    <x v="261"/>
    <s v="368- Le cadre juridique et règlementaire est adapté "/>
  </r>
  <r>
    <s v="Revue du cadre existant et adaptation au nouveau cadre"/>
    <m/>
    <m/>
    <n v="0"/>
    <m/>
    <m/>
    <m/>
    <m/>
    <m/>
    <m/>
    <m/>
    <m/>
    <m/>
    <m/>
    <x v="0"/>
    <m/>
    <m/>
    <m/>
    <m/>
    <x v="1"/>
    <x v="2"/>
    <x v="22"/>
    <s v="368- Le cadre juridique et règlementaire est adapté "/>
    <x v="262"/>
    <s v="3681-Revue du cadre existant et adaptation au nouveau cadre"/>
  </r>
  <r>
    <s v="Analyse de la cohérence des différents textes régissant l'ETFP avec la loi cadre"/>
    <s v="Commission ad'hoc"/>
    <s v="h/j/a"/>
    <n v="0"/>
    <m/>
    <n v="50"/>
    <m/>
    <n v="50"/>
    <n v="0.3133333333333333"/>
    <n v="0"/>
    <n v="0"/>
    <n v="15.666666666666664"/>
    <n v="0"/>
    <n v="15.666666666666664"/>
    <x v="6"/>
    <s v="METFP-ET_Programme 1. Renforcement de la gouvernance au niveau central et déconcentré"/>
    <s v="3. Formation"/>
    <s v="BSD"/>
    <s v="DN _x000a_"/>
    <x v="1"/>
    <x v="2"/>
    <x v="22"/>
    <s v="368- Le cadre juridique et règlementaire est adapté "/>
    <x v="262"/>
    <s v="36811-Analyse de la cohérence des différents textes régissant l'ETFP avec la loi cadre"/>
  </r>
  <r>
    <s v="Mobilisation d'Expertise nationale"/>
    <s v="Assistance technique"/>
    <s v="h/j/cn"/>
    <n v="0"/>
    <m/>
    <n v="30"/>
    <n v="30"/>
    <n v="60"/>
    <n v="2.651545"/>
    <n v="0"/>
    <n v="0"/>
    <n v="79.546350000000004"/>
    <n v="79.546350000000004"/>
    <n v="159.09270000000001"/>
    <x v="13"/>
    <s v="METFP-ET_Programme 1. Renforcement de la gouvernance au niveau central et déconcentré"/>
    <s v="3. Dépenses de fonctionnement"/>
    <s v="BSD"/>
    <s v="DN"/>
    <x v="1"/>
    <x v="2"/>
    <x v="22"/>
    <s v="368- Le cadre juridique et règlementaire est adapté "/>
    <x v="262"/>
    <s v="36812-Mobilisation d'Expertise nationale"/>
  </r>
  <r>
    <s v="Concertation avec les acteurs"/>
    <s v="Atelier"/>
    <s v="h/j/a"/>
    <n v="0"/>
    <m/>
    <n v="90"/>
    <n v="90"/>
    <n v="180"/>
    <n v="0.3133333333333333"/>
    <n v="0"/>
    <n v="0"/>
    <n v="28.199999999999996"/>
    <n v="28.199999999999996"/>
    <n v="56.399999999999991"/>
    <x v="13"/>
    <s v="METFP-ET_Programme 1. Renforcement de la gouvernance au niveau central et déconcentré"/>
    <s v="3. Formation"/>
    <s v="BSD"/>
    <s v="DN"/>
    <x v="1"/>
    <x v="2"/>
    <x v="22"/>
    <s v="368- Le cadre juridique et règlementaire est adapté "/>
    <x v="262"/>
    <s v="36813-Concertation avec les acteurs"/>
  </r>
  <r>
    <s v="Elaboration des projets de textes"/>
    <s v="Atelier"/>
    <s v="h/j/ap"/>
    <n v="0"/>
    <m/>
    <n v="75"/>
    <m/>
    <n v="75"/>
    <n v="0.255"/>
    <n v="0"/>
    <n v="0"/>
    <n v="19.125"/>
    <n v="0"/>
    <n v="19.125"/>
    <x v="13"/>
    <s v="METFP-ET_Programme 1. Renforcement de la gouvernance au niveau central et déconcentré"/>
    <s v="3. Dépenses de fonctionnement"/>
    <s v="BSD"/>
    <s v="DN"/>
    <x v="1"/>
    <x v="2"/>
    <x v="22"/>
    <s v="368- Le cadre juridique et règlementaire est adapté "/>
    <x v="262"/>
    <s v="36814-Elaboration des projets de textes"/>
  </r>
  <r>
    <s v="Validation des textes"/>
    <s v="Atelier"/>
    <s v="h/j/a"/>
    <n v="0"/>
    <m/>
    <n v="90"/>
    <n v="90"/>
    <n v="180"/>
    <n v="0.3133333333333333"/>
    <n v="0"/>
    <n v="0"/>
    <n v="28.199999999999996"/>
    <n v="28.199999999999996"/>
    <n v="56.399999999999991"/>
    <x v="13"/>
    <s v="METFP-ET_Programme 1. Renforcement de la gouvernance au niveau central et déconcentré"/>
    <s v="3. Formation"/>
    <s v="BSD"/>
    <s v="DN"/>
    <x v="1"/>
    <x v="2"/>
    <x v="22"/>
    <s v="368- Le cadre juridique et règlementaire est adapté "/>
    <x v="262"/>
    <s v="36815-Validation des textes"/>
  </r>
  <r>
    <s v="Promulgation"/>
    <s v="Atelier"/>
    <s v="sif"/>
    <n v="0"/>
    <m/>
    <m/>
    <m/>
    <m/>
    <n v="0"/>
    <m/>
    <m/>
    <m/>
    <m/>
    <m/>
    <x v="2"/>
    <s v="METFP-ET_Programme 1. Renforcement de la gouvernance au niveau central et déconcentré"/>
    <s v=""/>
    <m/>
    <m/>
    <x v="1"/>
    <x v="2"/>
    <x v="22"/>
    <s v="368- Le cadre juridique et règlementaire est adapté "/>
    <x v="262"/>
    <s v="36816-Promulgation"/>
  </r>
  <r>
    <s v="Vulgarisation"/>
    <s v="Impression"/>
    <s v="IMP"/>
    <n v="0"/>
    <m/>
    <n v="238"/>
    <n v="238"/>
    <n v="476"/>
    <n v="7.4999999999999997E-3"/>
    <n v="0"/>
    <n v="0"/>
    <n v="1.7849999999999999"/>
    <n v="1.7849999999999999"/>
    <n v="3.57"/>
    <x v="13"/>
    <s v="METFP-ET_Programme 1. Renforcement de la gouvernance au niveau central et déconcentré"/>
    <s v="3. Dépenses de fonctionnement"/>
    <s v="DAF"/>
    <s v="DN_x000a_IRETFP"/>
    <x v="1"/>
    <x v="2"/>
    <x v="22"/>
    <s v="368- Le cadre juridique et règlementaire est adapté "/>
    <x v="262"/>
    <s v="36817-Vulgarisation"/>
  </r>
  <r>
    <s v=" Suivi et évaluation du programme reforme et expansion de l'ETFP est assuré"/>
    <m/>
    <m/>
    <n v="0"/>
    <m/>
    <m/>
    <m/>
    <m/>
    <m/>
    <m/>
    <m/>
    <m/>
    <m/>
    <m/>
    <x v="0"/>
    <m/>
    <m/>
    <m/>
    <m/>
    <x v="1"/>
    <x v="2"/>
    <x v="22"/>
    <s v="369- Suivi et évaluation du programme reforme et expansion de l'ETFP est assuré"/>
    <x v="263"/>
    <s v="369- Suivi et évaluation du programme reforme et expansion de l'ETFP est assuré"/>
  </r>
  <r>
    <s v="Mise en place d'un cadre de suivi-évaluation_x000a_"/>
    <m/>
    <m/>
    <n v="0"/>
    <m/>
    <m/>
    <m/>
    <m/>
    <m/>
    <m/>
    <m/>
    <m/>
    <m/>
    <m/>
    <x v="0"/>
    <m/>
    <m/>
    <m/>
    <m/>
    <x v="1"/>
    <x v="2"/>
    <x v="22"/>
    <s v="369- Suivi et évaluation du programme reforme et expansion de l'ETFP est assuré"/>
    <x v="264"/>
    <s v="3691-Mise en place d'un cadre de suivi-évaluation_x000a_"/>
  </r>
  <r>
    <s v="DéFinition du cadre partenarial de suivi évaluation de l'ETFP"/>
    <s v="atelier de concertation"/>
    <s v="h/j/ap"/>
    <n v="0"/>
    <n v="175"/>
    <m/>
    <m/>
    <n v="175"/>
    <n v="0.255"/>
    <n v="0"/>
    <n v="44.625"/>
    <n v="0"/>
    <n v="0"/>
    <n v="44.625"/>
    <x v="2"/>
    <s v="METFP-ET_Programme 1. Renforcement de la gouvernance au niveau central et déconcentré"/>
    <s v="3. Dépenses de fonctionnement"/>
    <s v="BSD"/>
    <s v="DN_x000a_IRETFP_x000a_OP"/>
    <x v="1"/>
    <x v="2"/>
    <x v="22"/>
    <s v="369- Suivi et évaluation du programme reforme et expansion de l'ETFP est assuré"/>
    <x v="264"/>
    <s v="36911-DéFinition du cadre partenarial de suivi évaluation de l'ETFP"/>
  </r>
  <r>
    <s v="Evaluation régulière des performances de l'ETFP (à tous les niveaux)"/>
    <s v="travail administratif"/>
    <s v="sif"/>
    <n v="0"/>
    <n v="1"/>
    <n v="1"/>
    <n v="1"/>
    <n v="3"/>
    <n v="0"/>
    <n v="0"/>
    <n v="0"/>
    <n v="0"/>
    <n v="0"/>
    <m/>
    <x v="2"/>
    <s v="METFP-ET_Programme 1. Renforcement de la gouvernance au niveau central et déconcentré"/>
    <s v=""/>
    <s v="BSD"/>
    <s v="DN_x000a_IRETFP_x000a_OP"/>
    <x v="1"/>
    <x v="2"/>
    <x v="22"/>
    <s v="369- Suivi et évaluation du programme reforme et expansion de l'ETFP est assuré"/>
    <x v="264"/>
    <s v="36912-Evaluation régulière des performances de l'ETFP (à tous les niveaux)"/>
  </r>
  <r>
    <s v="Partage des résultats des évaluations des performances de l'ETFP (à tous les niveaux)"/>
    <s v="ateliers de partage"/>
    <s v="h/j/a"/>
    <n v="0"/>
    <n v="180"/>
    <n v="180"/>
    <n v="180"/>
    <n v="540"/>
    <n v="0.3133333333333333"/>
    <n v="0"/>
    <n v="56.399999999999991"/>
    <n v="56.399999999999991"/>
    <n v="56.399999999999991"/>
    <n v="169.2"/>
    <x v="2"/>
    <s v="METFP-ET_Programme 1. Renforcement de la gouvernance au niveau central et déconcentré"/>
    <s v="3. Formation"/>
    <s v="BSD"/>
    <s v="DN_x000a_IRETFP_x000a_OP"/>
    <x v="1"/>
    <x v="2"/>
    <x v="22"/>
    <s v="369- Suivi et évaluation du programme reforme et expansion de l'ETFP est assuré"/>
    <x v="264"/>
    <s v="36913-Partage des résultats des évaluations des performances de l'ETFP (à tous les niveaux)"/>
  </r>
  <r>
    <s v="Elaboration du rapport de performance de l'ETFP"/>
    <s v="atelier"/>
    <s v="h/j/ap"/>
    <n v="0"/>
    <n v="50"/>
    <n v="50"/>
    <n v="50"/>
    <n v="150"/>
    <n v="0.255"/>
    <n v="0"/>
    <n v="12.75"/>
    <n v="12.75"/>
    <n v="12.75"/>
    <n v="38.25"/>
    <x v="2"/>
    <s v="METFP-ET_Programme 1. Renforcement de la gouvernance au niveau central et déconcentré"/>
    <s v="3. Dépenses de fonctionnement"/>
    <s v="BSD"/>
    <s v="DN_x000a_IRETFP_x000a_OP"/>
    <x v="1"/>
    <x v="2"/>
    <x v="22"/>
    <s v="369- Suivi et évaluation du programme reforme et expansion de l'ETFP est assuré"/>
    <x v="264"/>
    <s v="36914-Elaboration du rapport de performance de l'ETFP"/>
  </r>
  <r>
    <s v="Partage du rapport de performance"/>
    <s v="atelier"/>
    <s v="h/j/a"/>
    <n v="0"/>
    <n v="60"/>
    <n v="60"/>
    <n v="60"/>
    <n v="180"/>
    <n v="0.3133333333333333"/>
    <n v="0"/>
    <n v="18.799999999999997"/>
    <n v="18.799999999999997"/>
    <n v="18.799999999999997"/>
    <n v="56.399999999999991"/>
    <x v="2"/>
    <s v="METFP-ET_Programme 1. Renforcement de la gouvernance au niveau central et déconcentré"/>
    <s v="3. Formation"/>
    <s v="BSD"/>
    <s v="DN_x000a_IRETFP_x000a_OP"/>
    <x v="1"/>
    <x v="2"/>
    <x v="22"/>
    <s v="369- Suivi et évaluation du programme reforme et expansion de l'ETFP est assuré"/>
    <x v="264"/>
    <s v="36915-Partage du rapport de performance"/>
  </r>
  <r>
    <s v="Réforme de l’enseignement supérieur et la recherche scientifique et de l'innovation"/>
    <m/>
    <m/>
    <n v="0"/>
    <m/>
    <m/>
    <m/>
    <m/>
    <m/>
    <m/>
    <m/>
    <m/>
    <m/>
    <m/>
    <x v="0"/>
    <m/>
    <m/>
    <m/>
    <m/>
    <x v="2"/>
    <x v="3"/>
    <x v="23"/>
    <s v="4-Réforme de l’enseignement supérieur et la recherche scientifique et de l'innovation"/>
    <x v="265"/>
    <s v="4-Réforme de l’enseignement supérieur et la recherche scientifique et de l'innovation"/>
  </r>
  <r>
    <s v=" Gouvernance et pilotage de l’enseignement supérieur et de la recherche scientifique"/>
    <m/>
    <m/>
    <n v="0"/>
    <m/>
    <m/>
    <m/>
    <m/>
    <m/>
    <m/>
    <m/>
    <m/>
    <m/>
    <m/>
    <x v="0"/>
    <m/>
    <m/>
    <m/>
    <m/>
    <x v="2"/>
    <x v="3"/>
    <x v="24"/>
    <s v="41- Gouvernance et pilotage de l’enseignement supérieur et de la recherche scientifique"/>
    <x v="266"/>
    <s v="41- Gouvernance et pilotage de l’enseignement supérieur et de la recherche scientifique"/>
  </r>
  <r>
    <s v=" Les textes sont produits/révisés, les manuels de procédure de gestion sont élaborés aFin de mieux situer les rôles et les responsabilités. "/>
    <m/>
    <m/>
    <n v="0"/>
    <m/>
    <m/>
    <m/>
    <m/>
    <m/>
    <m/>
    <m/>
    <m/>
    <m/>
    <m/>
    <x v="0"/>
    <m/>
    <m/>
    <m/>
    <m/>
    <x v="2"/>
    <x v="3"/>
    <x v="24"/>
    <s v="411- Les textes sont produits/révisés, les manuels de procédure de gestion sont élaborés afin de mieux situer les rôles et les responsabilités. "/>
    <x v="267"/>
    <s v="411- Les textes sont produits/révisés, les manuels de procédure de gestion sont élaborés aFin de mieux situer les rôles et les responsabilités. "/>
  </r>
  <r>
    <s v="Production/révision des textes et de manuels de procédure"/>
    <m/>
    <m/>
    <n v="0"/>
    <m/>
    <m/>
    <m/>
    <m/>
    <m/>
    <m/>
    <m/>
    <m/>
    <m/>
    <m/>
    <x v="0"/>
    <m/>
    <m/>
    <m/>
    <m/>
    <x v="2"/>
    <x v="3"/>
    <x v="24"/>
    <s v="411- Les textes sont produits/révisés, les manuels de procédure de gestion sont élaborés afin de mieux situer les rôles et les responsabilités. "/>
    <x v="268"/>
    <s v="4111-Production/révision des textes et de manuels de procédure"/>
  </r>
  <r>
    <s v="Identification des textes à réviser/produire et constitution des commissions"/>
    <s v="travaux administratifs"/>
    <s v="sif"/>
    <n v="0"/>
    <n v="1"/>
    <n v="1"/>
    <n v="1"/>
    <n v="3"/>
    <n v="0"/>
    <n v="0"/>
    <n v="0"/>
    <n v="0"/>
    <n v="0"/>
    <m/>
    <x v="21"/>
    <s v="MESRS_Programme 1. Gouvernance du système"/>
    <s v=""/>
    <s v="SG"/>
    <s v="DRH/DGES/DGRSIT"/>
    <x v="2"/>
    <x v="3"/>
    <x v="24"/>
    <s v="411- Les textes sont produits/révisés, les manuels de procédure de gestion sont élaborés afin de mieux situer les rôles et les responsabilités. "/>
    <x v="268"/>
    <s v="41111-Identification des textes à réviser/produire et constitution des commissions"/>
  </r>
  <r>
    <s v="Travaux des commissions pour la révision/production des textes (y compris l'obligation de publication de comptes Financiers)"/>
    <s v="atelier"/>
    <s v="h/j/ap"/>
    <n v="0"/>
    <n v="450"/>
    <m/>
    <m/>
    <n v="450"/>
    <n v="0.255"/>
    <n v="0"/>
    <n v="114.75"/>
    <n v="0"/>
    <n v="0"/>
    <n v="114.75"/>
    <x v="21"/>
    <s v="MESRS_Programme 1. Gouvernance du système"/>
    <s v="3. Dépenses de fonctionnement"/>
    <s v="SG"/>
    <s v="SG"/>
    <x v="2"/>
    <x v="3"/>
    <x v="24"/>
    <s v="411- Les textes sont produits/révisés, les manuels de procédure de gestion sont élaborés afin de mieux situer les rôles et les responsabilités. "/>
    <x v="268"/>
    <s v="41112-Travaux des commissions pour la révision/production des textes (y compris l'obligation de publication de comptes Financiers)"/>
  </r>
  <r>
    <s v="Recrutement des consultants pour l'élaboration des manuels de procédures"/>
    <s v="Assistance technique"/>
    <s v="h/j/cn"/>
    <n v="0"/>
    <n v="60"/>
    <n v="60"/>
    <n v="90"/>
    <n v="210"/>
    <n v="2.651545"/>
    <n v="0"/>
    <n v="159.09270000000001"/>
    <n v="159.09270000000001"/>
    <n v="238.63905"/>
    <n v="556.82445000000007"/>
    <x v="21"/>
    <s v="MESRS_Programme 1. Gouvernance du système"/>
    <s v="3. Dépenses de fonctionnement"/>
    <s v="SG"/>
    <s v="BSD"/>
    <x v="2"/>
    <x v="3"/>
    <x v="24"/>
    <s v="411- Les textes sont produits/révisés, les manuels de procédure de gestion sont élaborés afin de mieux situer les rôles et les responsabilités. "/>
    <x v="268"/>
    <s v="41113-Recrutement des consultants pour l'élaboration des manuels de procédures"/>
  </r>
  <r>
    <s v=" Les ateliers de partage des documents sont tenus"/>
    <m/>
    <m/>
    <n v="0"/>
    <m/>
    <m/>
    <m/>
    <m/>
    <m/>
    <m/>
    <m/>
    <m/>
    <m/>
    <m/>
    <x v="0"/>
    <m/>
    <m/>
    <m/>
    <m/>
    <x v="2"/>
    <x v="3"/>
    <x v="24"/>
    <s v="412- Les ateliers de partage des documents sont tenus"/>
    <x v="269"/>
    <s v="412- Les ateliers de partage des documents sont tenus"/>
  </r>
  <r>
    <s v="Diffusion et partage des documents"/>
    <m/>
    <m/>
    <n v="0"/>
    <m/>
    <m/>
    <m/>
    <m/>
    <m/>
    <m/>
    <m/>
    <m/>
    <m/>
    <m/>
    <x v="0"/>
    <m/>
    <m/>
    <m/>
    <m/>
    <x v="2"/>
    <x v="3"/>
    <x v="24"/>
    <s v="412- Les ateliers de partage des documents sont tenus"/>
    <x v="270"/>
    <s v="4121-Diffusion et partage des documents"/>
  </r>
  <r>
    <s v="Validation et partage des documents"/>
    <s v="Atelier"/>
    <s v="h/j/a"/>
    <n v="0"/>
    <n v="420"/>
    <n v="420"/>
    <n v="420"/>
    <n v="1260"/>
    <n v="0.3133333333333333"/>
    <n v="0"/>
    <n v="131.6"/>
    <n v="131.6"/>
    <n v="131.6"/>
    <n v="394.79999999999995"/>
    <x v="21"/>
    <s v="MESRS_Programme 1. Gouvernance du système"/>
    <s v="3. Formation"/>
    <s v="SG"/>
    <s v="IES/IRS"/>
    <x v="2"/>
    <x v="3"/>
    <x v="24"/>
    <s v="412- Les ateliers de partage des documents sont tenus"/>
    <x v="270"/>
    <s v="41211-Validation et partage des documents"/>
  </r>
  <r>
    <s v="Reproduction et diffusion"/>
    <s v="Impression"/>
    <s v="IMP"/>
    <n v="0"/>
    <n v="350"/>
    <n v="350"/>
    <n v="350"/>
    <n v="1050"/>
    <n v="7.4999999999999997E-3"/>
    <n v="0"/>
    <n v="2.625"/>
    <n v="2.625"/>
    <n v="2.625"/>
    <n v="7.875"/>
    <x v="21"/>
    <s v="MESRS_Programme 1. Gouvernance du système"/>
    <s v="3. Dépenses de fonctionnement"/>
    <s v="SG"/>
    <s v="DAF"/>
    <x v="2"/>
    <x v="3"/>
    <x v="24"/>
    <s v="412- Les ateliers de partage des documents sont tenus"/>
    <x v="270"/>
    <s v="41212-Reproduction et diffusion"/>
  </r>
  <r>
    <s v=" Un système d’information efficace et performant est mis en œuvre  aFin de favoriser le reporting et la reddition des comptes"/>
    <m/>
    <m/>
    <n v="0"/>
    <m/>
    <m/>
    <m/>
    <m/>
    <m/>
    <m/>
    <m/>
    <m/>
    <m/>
    <m/>
    <x v="0"/>
    <m/>
    <m/>
    <m/>
    <m/>
    <x v="2"/>
    <x v="3"/>
    <x v="24"/>
    <s v="413- Un système d’information efficace et performant est mis en œuvre  afin de favoriser le reporting et la reddition des comptes"/>
    <x v="271"/>
    <s v="413- Un système d’information efficace et performant est mis en œuvre  aFin de favoriser le reporting et la reddition des comptes"/>
  </r>
  <r>
    <s v="Diffusion des rapports Financiers à l’interne et à l’externe"/>
    <m/>
    <m/>
    <n v="0"/>
    <m/>
    <m/>
    <m/>
    <m/>
    <m/>
    <m/>
    <m/>
    <m/>
    <m/>
    <m/>
    <x v="0"/>
    <m/>
    <m/>
    <m/>
    <m/>
    <x v="2"/>
    <x v="3"/>
    <x v="24"/>
    <s v="413- Un système d’information efficace et performant est mis en œuvre  afin de favoriser le reporting et la reddition des comptes"/>
    <x v="272"/>
    <s v="4131-Diffusion des rapports Financiers à l’interne et à l’externe"/>
  </r>
  <r>
    <s v="Mise en ligne de rapports Financiers des IES &amp; IRS"/>
    <s v="travaux administratifs"/>
    <s v="sif"/>
    <n v="0"/>
    <n v="1"/>
    <n v="1"/>
    <n v="1"/>
    <n v="3"/>
    <n v="0"/>
    <n v="0"/>
    <n v="0"/>
    <n v="0"/>
    <n v="0"/>
    <m/>
    <x v="2"/>
    <s v="MESRS_Programme 1. Gouvernance du système"/>
    <s v=""/>
    <s v="Cabinet"/>
    <s v="SIC"/>
    <x v="2"/>
    <x v="3"/>
    <x v="24"/>
    <s v="413- Un système d’information efficace et performant est mis en œuvre  afin de favoriser le reporting et la reddition des comptes"/>
    <x v="272"/>
    <s v="41311-Mise en ligne de rapports Financiers des IES &amp; IRS"/>
  </r>
  <r>
    <s v="Introduction et généralisation de la GAR"/>
    <m/>
    <m/>
    <n v="0"/>
    <m/>
    <m/>
    <m/>
    <m/>
    <m/>
    <m/>
    <m/>
    <m/>
    <m/>
    <m/>
    <x v="0"/>
    <m/>
    <m/>
    <m/>
    <m/>
    <x v="2"/>
    <x v="3"/>
    <x v="24"/>
    <s v="413- Un système d’information efficace et performant est mis en œuvre  afin de favoriser le reporting et la reddition des comptes"/>
    <x v="273"/>
    <s v="4132-Introduction et généralisation de la GAR"/>
  </r>
  <r>
    <s v="Adoption des textes introduisant la GAR (voir activité 41112)"/>
    <m/>
    <s v="sif"/>
    <n v="0"/>
    <n v="1"/>
    <m/>
    <m/>
    <n v="1"/>
    <n v="0"/>
    <n v="0"/>
    <n v="0"/>
    <n v="0"/>
    <n v="0"/>
    <m/>
    <x v="2"/>
    <s v="MESRS_Programme 1. Gouvernance du système"/>
    <s v=""/>
    <s v="BSD"/>
    <s v="IES/IRS"/>
    <x v="2"/>
    <x v="3"/>
    <x v="24"/>
    <s v="413- Un système d’information efficace et performant est mis en œuvre  afin de favoriser le reporting et la reddition des comptes"/>
    <x v="273"/>
    <s v="41321-Adoption des textes introduisant la GAR (voir activité 41112)"/>
  </r>
  <r>
    <s v="Recrutement d'un cabinet de formation pour la production de support de formation"/>
    <s v="Assistance technique"/>
    <s v="h/m/ci"/>
    <n v="0"/>
    <n v="8"/>
    <m/>
    <m/>
    <n v="8"/>
    <n v="219.54797350000001"/>
    <n v="0"/>
    <n v="1756.3837880000001"/>
    <n v="0"/>
    <n v="0"/>
    <n v="1756.3837880000001"/>
    <x v="2"/>
    <s v="MESRS_Programme 1. Gouvernance du système"/>
    <s v="3. Dépenses de fonctionnement"/>
    <s v="BSD"/>
    <s v="Consultant"/>
    <x v="2"/>
    <x v="3"/>
    <x v="24"/>
    <s v="413- Un système d’information efficace et performant est mis en œuvre  afin de favoriser le reporting et la reddition des comptes"/>
    <x v="273"/>
    <s v="41322-Recrutement d'un cabinet de formation pour la production de support de formation"/>
  </r>
  <r>
    <s v="Formation du personnel à la GAR"/>
    <s v="Atelier"/>
    <s v="h/j/f"/>
    <n v="0"/>
    <n v="700"/>
    <n v="300"/>
    <m/>
    <n v="1000"/>
    <n v="0.67666666666666664"/>
    <n v="0"/>
    <n v="473.66666666666663"/>
    <n v="203"/>
    <n v="0"/>
    <n v="676.66666666666663"/>
    <x v="2"/>
    <s v="MESRS_Programme 1. Gouvernance du système"/>
    <s v="3. Formation"/>
    <s v="BSD"/>
    <s v="IES/IRS"/>
    <x v="2"/>
    <x v="3"/>
    <x v="24"/>
    <s v="413- Un système d’information efficace et performant est mis en œuvre  afin de favoriser le reporting et la reddition des comptes"/>
    <x v="273"/>
    <s v="41323-Formation du personnel à la GAR"/>
  </r>
  <r>
    <s v="Renforcement et modernisation de la production des données statistiques pour la gestion et le pilotage"/>
    <m/>
    <m/>
    <n v="0"/>
    <m/>
    <m/>
    <m/>
    <m/>
    <m/>
    <m/>
    <m/>
    <m/>
    <m/>
    <m/>
    <x v="0"/>
    <m/>
    <m/>
    <m/>
    <m/>
    <x v="2"/>
    <x v="3"/>
    <x v="24"/>
    <s v="413- Un système d’information efficace et performant est mis en œuvre  afin de favoriser le reporting et la reddition des comptes"/>
    <x v="274"/>
    <s v="4133-Renforcement et modernisation de la production des données statistiques pour la gestion et le pilotage"/>
  </r>
  <r>
    <s v="Acquisition du matériel informatique (ordinateurs de bureau)"/>
    <s v="Equipement informatique"/>
    <s v="Poste de travail"/>
    <n v="0"/>
    <n v="30"/>
    <n v="40"/>
    <m/>
    <n v="70"/>
    <n v="10.034934666666667"/>
    <n v="0"/>
    <n v="301.04804000000001"/>
    <n v="401.39738666666665"/>
    <n v="0"/>
    <n v="702.44542666666666"/>
    <x v="2"/>
    <s v="MESRS_Programme 1. Gouvernance du système"/>
    <s v="5. Investissement"/>
    <s v="BSD"/>
    <s v="DAF"/>
    <x v="2"/>
    <x v="3"/>
    <x v="24"/>
    <s v="413- Un système d’information efficace et performant est mis en œuvre  afin de favoriser le reporting et la reddition des comptes"/>
    <x v="274"/>
    <s v="41331-Acquisition du matériel informatique (ordinateurs de bureau)"/>
  </r>
  <r>
    <s v="Acquisition du matériel informatique (portables)"/>
    <s v="Equipement informatique"/>
    <s v="ordin/portable"/>
    <n v="0"/>
    <n v="0"/>
    <n v="20"/>
    <n v="20"/>
    <n v="40"/>
    <n v="6.333333333333333"/>
    <n v="0"/>
    <n v="0"/>
    <n v="126.66666666666666"/>
    <n v="126.66666666666666"/>
    <n v="253.33333333333331"/>
    <x v="6"/>
    <s v="MESRS_Programme 1. Gouvernance du système"/>
    <s v="5. Investissement"/>
    <s v="BSD"/>
    <s v="DAF"/>
    <x v="2"/>
    <x v="3"/>
    <x v="24"/>
    <s v="413- Un système d’information efficace et performant est mis en œuvre  afin de favoriser le reporting et la reddition des comptes"/>
    <x v="274"/>
    <s v="41332-Acquisition du matériel informatique (portables)"/>
  </r>
  <r>
    <s v="Développement d'une application pour la collecte et le traitement des données avec des interfaces dans les institutions"/>
    <s v="Assistance technique"/>
    <s v="h/j/cn"/>
    <n v="0"/>
    <n v="60"/>
    <m/>
    <m/>
    <n v="60"/>
    <n v="2.651545"/>
    <n v="0"/>
    <n v="159.09270000000001"/>
    <n v="0"/>
    <n v="0"/>
    <n v="159.09270000000001"/>
    <x v="2"/>
    <s v="MESRS_Programme 1. Gouvernance du système"/>
    <s v="3. Dépenses de fonctionnement"/>
    <s v="BSD"/>
    <s v="Consultant"/>
    <x v="2"/>
    <x v="3"/>
    <x v="24"/>
    <s v="413- Un système d’information efficace et performant est mis en œuvre  afin de favoriser le reporting et la reddition des comptes"/>
    <x v="274"/>
    <s v="41333-Développement d'une application pour la collecte et le traitement des données avec des interfaces dans les institutions"/>
  </r>
  <r>
    <s v="Acquisition du matériel informatique (serveur)"/>
    <s v="Equipement informatique"/>
    <s v="serveur"/>
    <n v="0"/>
    <n v="1"/>
    <n v="0"/>
    <n v="0"/>
    <n v="1"/>
    <n v="30"/>
    <n v="0"/>
    <n v="30"/>
    <n v="0"/>
    <n v="0"/>
    <n v="30"/>
    <x v="2"/>
    <s v="MESRS_Programme 1. Gouvernance du système"/>
    <s v="5. Investissement"/>
    <s v="BSD"/>
    <s v="DAF"/>
    <x v="2"/>
    <x v="3"/>
    <x v="24"/>
    <s v="413- Un système d’information efficace et performant est mis en œuvre  afin de favoriser le reporting et la reddition des comptes"/>
    <x v="274"/>
    <s v="41334-Acquisition du matériel informatique (serveur)"/>
  </r>
  <r>
    <s v="Recrutement de consultants pour la modernisation des outils de collecte de données (pris en compte dans 41333)"/>
    <s v="pm"/>
    <s v="sif"/>
    <n v="0"/>
    <n v="1"/>
    <m/>
    <m/>
    <n v="1"/>
    <n v="0"/>
    <n v="0"/>
    <n v="0"/>
    <n v="0"/>
    <n v="0"/>
    <m/>
    <x v="2"/>
    <s v="MESRS_Programme 1. Gouvernance du système"/>
    <s v=""/>
    <s v="BSD"/>
    <s v="Consultant"/>
    <x v="2"/>
    <x v="3"/>
    <x v="24"/>
    <s v="413- Un système d’information efficace et performant est mis en œuvre  afin de favoriser le reporting et la reddition des comptes"/>
    <x v="274"/>
    <s v="41335-Recrutement de consultants pour la modernisation des outils de collecte de données (pris en compte dans 41333)"/>
  </r>
  <r>
    <s v="Formation du personnel"/>
    <s v="Atelier"/>
    <s v="h/j/f"/>
    <n v="0"/>
    <n v="210"/>
    <m/>
    <m/>
    <n v="210"/>
    <n v="0.67666666666666664"/>
    <n v="0"/>
    <n v="142.1"/>
    <n v="0"/>
    <n v="0"/>
    <n v="142.1"/>
    <x v="2"/>
    <s v="MESRS_Programme 1. Gouvernance du système"/>
    <s v="3. Formation"/>
    <s v="BSD"/>
    <s v="Consultant"/>
    <x v="2"/>
    <x v="3"/>
    <x v="24"/>
    <s v="413- Un système d’information efficace et performant est mis en œuvre  afin de favoriser le reporting et la reddition des comptes"/>
    <x v="274"/>
    <s v="41336-Formation du personnel"/>
  </r>
  <r>
    <s v=" Les capacités des personnels administratifs et d’appui sont renforcées"/>
    <m/>
    <m/>
    <n v="0"/>
    <m/>
    <m/>
    <m/>
    <m/>
    <m/>
    <m/>
    <m/>
    <m/>
    <m/>
    <m/>
    <x v="0"/>
    <m/>
    <m/>
    <m/>
    <m/>
    <x v="2"/>
    <x v="3"/>
    <x v="24"/>
    <s v="414- Les capacités des personnels administratifs et d’appui sont renforcées"/>
    <x v="275"/>
    <s v="414- Les capacités des personnels administratifs et d’appui sont renforcées"/>
  </r>
  <r>
    <s v="Renforcement des capacités des personnels à tous les niveaux du système dans des domaines pertinents"/>
    <m/>
    <m/>
    <n v="0"/>
    <m/>
    <m/>
    <m/>
    <m/>
    <m/>
    <m/>
    <m/>
    <m/>
    <m/>
    <m/>
    <x v="0"/>
    <m/>
    <m/>
    <m/>
    <m/>
    <x v="2"/>
    <x v="3"/>
    <x v="24"/>
    <s v="414- Les capacités des personnels administratifs et d’appui sont renforcées"/>
    <x v="276"/>
    <s v="4141-Renforcement des capacités des personnels à tous les niveaux du système dans des domaines pertinents"/>
  </r>
  <r>
    <s v="Identification de besoins de formation"/>
    <s v="travaux administratifs"/>
    <s v="sif"/>
    <n v="0"/>
    <n v="1"/>
    <m/>
    <m/>
    <n v="1"/>
    <n v="0"/>
    <n v="0"/>
    <n v="0"/>
    <n v="0"/>
    <n v="0"/>
    <m/>
    <x v="2"/>
    <s v="MESRS_Programme 1. Gouvernance du système"/>
    <s v=""/>
    <s v="DRH"/>
    <s v="IES/IRS"/>
    <x v="2"/>
    <x v="3"/>
    <x v="24"/>
    <s v="414- Les capacités des personnels administratifs et d’appui sont renforcées"/>
    <x v="276"/>
    <s v="41411-Identification de besoins de formation"/>
  </r>
  <r>
    <s v="Production de support de formation"/>
    <s v="Assistance technique"/>
    <s v="h/j/cn"/>
    <n v="0"/>
    <n v="30"/>
    <m/>
    <m/>
    <n v="30"/>
    <n v="2.651545"/>
    <n v="0"/>
    <n v="79.546350000000004"/>
    <n v="0"/>
    <n v="0"/>
    <n v="79.546350000000004"/>
    <x v="2"/>
    <s v="MESRS_Programme 1. Gouvernance du système"/>
    <s v="3. Dépenses de fonctionnement"/>
    <s v="DRH"/>
    <s v="Consultant"/>
    <x v="2"/>
    <x v="3"/>
    <x v="24"/>
    <s v="414- Les capacités des personnels administratifs et d’appui sont renforcées"/>
    <x v="276"/>
    <s v="41412-Production de support de formation"/>
  </r>
  <r>
    <s v="Formation"/>
    <s v="Atelier"/>
    <s v="h/j/f"/>
    <n v="0"/>
    <m/>
    <n v="3500"/>
    <m/>
    <n v="3500"/>
    <n v="0.67666666666666664"/>
    <n v="0"/>
    <n v="0"/>
    <n v="2368.333333333333"/>
    <n v="0"/>
    <n v="2368.333333333333"/>
    <x v="6"/>
    <s v="MESRS_Programme 1. Gouvernance du système"/>
    <s v="3. Formation"/>
    <s v="DRH"/>
    <s v="Consultant"/>
    <x v="2"/>
    <x v="3"/>
    <x v="24"/>
    <s v="414- Les capacités des personnels administratifs et d’appui sont renforcées"/>
    <x v="276"/>
    <s v="41413-Formation"/>
  </r>
  <r>
    <s v=" L’évolution quantitative de l’enseignement supérieur est maitrisée"/>
    <m/>
    <m/>
    <n v="0"/>
    <m/>
    <m/>
    <m/>
    <m/>
    <m/>
    <m/>
    <m/>
    <m/>
    <m/>
    <m/>
    <x v="0"/>
    <m/>
    <m/>
    <m/>
    <m/>
    <x v="2"/>
    <x v="3"/>
    <x v="24"/>
    <s v="415- L’évolution quantitative de l’enseignement supérieur est maitrisée"/>
    <x v="277"/>
    <s v="415- L’évolution quantitative de l’enseignement supérieur est maitrisée"/>
  </r>
  <r>
    <s v="Recensement biométrique des étudiants"/>
    <m/>
    <m/>
    <n v="0"/>
    <m/>
    <m/>
    <m/>
    <m/>
    <m/>
    <m/>
    <m/>
    <m/>
    <m/>
    <m/>
    <x v="0"/>
    <m/>
    <m/>
    <m/>
    <m/>
    <x v="2"/>
    <x v="3"/>
    <x v="24"/>
    <s v="415- L’évolution quantitative de l’enseignement supérieur est maitrisée"/>
    <x v="278"/>
    <s v="4151-Recensement biométrique des étudiants"/>
  </r>
  <r>
    <s v="Constitution d'une commission chargée du recensement biométrique des étudiants"/>
    <s v="PM"/>
    <m/>
    <n v="0"/>
    <m/>
    <m/>
    <m/>
    <n v="0"/>
    <n v="0"/>
    <n v="0"/>
    <n v="0"/>
    <n v="0"/>
    <n v="0"/>
    <m/>
    <x v="2"/>
    <s v="MESRS_Programme 1. Gouvernance du système"/>
    <s v=""/>
    <s v="Cabinet"/>
    <s v="Consulltants"/>
    <x v="2"/>
    <x v="3"/>
    <x v="24"/>
    <s v="415- L’évolution quantitative de l’enseignement supérieur est maitrisée"/>
    <x v="278"/>
    <s v="41511-Constitution d'une commission chargée du recensement biométrique des étudiants"/>
  </r>
  <r>
    <s v="Acquisition de matériel informatique pour la collecte des données biométriques des étudiants"/>
    <s v="tablette"/>
    <s v="tablette"/>
    <n v="0"/>
    <m/>
    <m/>
    <m/>
    <n v="0"/>
    <n v="3"/>
    <n v="0"/>
    <n v="0"/>
    <n v="0"/>
    <n v="0"/>
    <n v="0"/>
    <x v="2"/>
    <s v="MESRS_Programme 1. Gouvernance du système"/>
    <s v="5. Investissement"/>
    <s v="Cabinet"/>
    <s v="DAF"/>
    <x v="2"/>
    <x v="3"/>
    <x v="24"/>
    <s v="415- L’évolution quantitative de l’enseignement supérieur est maitrisée"/>
    <x v="278"/>
    <s v="41512-Acquisition de matériel informatique pour la collecte des données biométriques des étudiants"/>
  </r>
  <r>
    <s v="Acquisition de lecteur d'empreintes "/>
    <s v="lecteur d'empreinte"/>
    <s v="mat/empreinte"/>
    <n v="0"/>
    <m/>
    <m/>
    <m/>
    <n v="0"/>
    <n v="0.47249999999999998"/>
    <n v="0"/>
    <n v="0"/>
    <n v="0"/>
    <n v="0"/>
    <n v="0"/>
    <x v="2"/>
    <s v="MESRS_Programme 1. Gouvernance du système"/>
    <s v="5. Investissement"/>
    <m/>
    <m/>
    <x v="2"/>
    <x v="3"/>
    <x v="24"/>
    <s v="415- L’évolution quantitative de l’enseignement supérieur est maitrisée"/>
    <x v="278"/>
    <s v="41513-Acquisition de lecteur d'empreintes "/>
  </r>
  <r>
    <s v="Mission de terrain"/>
    <s v="Mission"/>
    <s v="h/j/m"/>
    <n v="0"/>
    <m/>
    <n v="3600"/>
    <n v="500"/>
    <n v="4100"/>
    <n v="0.8177777777777776"/>
    <n v="0"/>
    <n v="0"/>
    <n v="2943.9999999999995"/>
    <n v="408.8888888888888"/>
    <n v="3352.8888888888882"/>
    <x v="6"/>
    <s v="MESRS_Programme 1. Gouvernance du système"/>
    <s v="3. Dépenses de fonctionnement"/>
    <s v="Cabinet"/>
    <s v="Consltants"/>
    <x v="2"/>
    <x v="3"/>
    <x v="24"/>
    <s v="415- L’évolution quantitative de l’enseignement supérieur est maitrisée"/>
    <x v="278"/>
    <s v="41514-Mission de terrain"/>
  </r>
  <r>
    <s v="Pérennisation de l’orientation en ligne des bacheliers, à travers la plateforme « GUPOL »"/>
    <m/>
    <m/>
    <n v="0"/>
    <m/>
    <m/>
    <m/>
    <m/>
    <m/>
    <m/>
    <m/>
    <m/>
    <m/>
    <m/>
    <x v="0"/>
    <m/>
    <m/>
    <m/>
    <m/>
    <x v="2"/>
    <x v="3"/>
    <x v="24"/>
    <s v="415- L’évolution quantitative de l’enseignement supérieur est maitrisée"/>
    <x v="279"/>
    <s v="4152-Pérennisation de l’orientation en ligne des bacheliers, à travers la plateforme « GUPOL »"/>
  </r>
  <r>
    <s v="Amélioration de la plateforme GUPOL"/>
    <s v="Assistance technique"/>
    <s v="h/j/cn"/>
    <n v="0"/>
    <m/>
    <m/>
    <m/>
    <n v="0"/>
    <n v="2.651545"/>
    <n v="0"/>
    <n v="0"/>
    <n v="0"/>
    <n v="0"/>
    <n v="0"/>
    <x v="2"/>
    <s v="MESRS_Programme 1. Gouvernance du système"/>
    <s v="3. Dépenses de fonctionnement"/>
    <s v="Cabinet"/>
    <s v="Consltants"/>
    <x v="2"/>
    <x v="3"/>
    <x v="24"/>
    <s v="415- L’évolution quantitative de l’enseignement supérieur est maitrisée"/>
    <x v="279"/>
    <s v="41521-Amélioration de la plateforme GUPOL"/>
  </r>
  <r>
    <s v="Campagnes de communication à destination de bacheliers"/>
    <s v="Campagnes radio et télé"/>
    <s v="diffusion"/>
    <n v="0"/>
    <m/>
    <n v="56"/>
    <n v="49"/>
    <n v="105"/>
    <n v="0.4"/>
    <n v="0"/>
    <n v="0"/>
    <n v="22.400000000000002"/>
    <n v="19.600000000000001"/>
    <n v="42"/>
    <x v="6"/>
    <s v="MESRS_Programme 1. Gouvernance du système"/>
    <s v="3. Dépenses de fonctionnement"/>
    <s v="Cabinet"/>
    <s v="SIC"/>
    <x v="2"/>
    <x v="3"/>
    <x v="24"/>
    <s v="415- L’évolution quantitative de l’enseignement supérieur est maitrisée"/>
    <x v="279"/>
    <s v="41522-Campagnes de communication à destination de bacheliers"/>
  </r>
  <r>
    <s v="Sessions de la commission d'orientation"/>
    <s v="pm"/>
    <s v="sif"/>
    <n v="0"/>
    <n v="60"/>
    <n v="60"/>
    <n v="60"/>
    <n v="180"/>
    <n v="0"/>
    <n v="0"/>
    <n v="0"/>
    <n v="0"/>
    <n v="0"/>
    <m/>
    <x v="2"/>
    <s v="MESRS_Programme 1. Gouvernance du système"/>
    <s v=""/>
    <s v="SG"/>
    <s v="DGES"/>
    <x v="2"/>
    <x v="3"/>
    <x v="24"/>
    <s v="415- L’évolution quantitative de l’enseignement supérieur est maitrisée"/>
    <x v="279"/>
    <s v="41523-Sessions de la commission d'orientation"/>
  </r>
  <r>
    <s v="Introduction de la politique d’octroi des bourses sur critères"/>
    <m/>
    <m/>
    <n v="0"/>
    <m/>
    <m/>
    <m/>
    <m/>
    <m/>
    <m/>
    <m/>
    <m/>
    <m/>
    <m/>
    <x v="0"/>
    <m/>
    <m/>
    <m/>
    <m/>
    <x v="2"/>
    <x v="3"/>
    <x v="24"/>
    <s v="415- L’évolution quantitative de l’enseignement supérieur est maitrisée"/>
    <x v="280"/>
    <s v="4153-Introduction de la politique d’octroi des bourses sur critères"/>
  </r>
  <r>
    <s v="Réalisation d'une étude de faisabilité"/>
    <s v="Assistance technique"/>
    <s v="h/j/ci"/>
    <n v="0"/>
    <m/>
    <m/>
    <m/>
    <n v="0"/>
    <n v="10.404797"/>
    <n v="0"/>
    <n v="0"/>
    <n v="0"/>
    <n v="0"/>
    <n v="0"/>
    <x v="2"/>
    <s v="MESRS_Programme 1. Gouvernance du système"/>
    <s v="3. Dépenses de fonctionnement"/>
    <s v="SG"/>
    <s v="Consultants"/>
    <x v="2"/>
    <x v="3"/>
    <x v="24"/>
    <s v="415- L’évolution quantitative de l’enseignement supérieur est maitrisée"/>
    <x v="280"/>
    <s v="41531-Réalisation d'une étude de faisabilité"/>
  </r>
  <r>
    <s v="Adoption de la politique d'octroi des bourses sur critères"/>
    <s v="travaux administratifs"/>
    <s v="sif"/>
    <n v="0"/>
    <n v="1"/>
    <m/>
    <m/>
    <n v="1"/>
    <n v="0"/>
    <n v="0"/>
    <n v="0"/>
    <n v="0"/>
    <n v="0"/>
    <m/>
    <x v="2"/>
    <s v="MESRS_Programme 1. Gouvernance du système"/>
    <s v=""/>
    <s v="SG"/>
    <s v="DGES"/>
    <x v="2"/>
    <x v="3"/>
    <x v="24"/>
    <s v="415- L’évolution quantitative de l’enseignement supérieur est maitrisée"/>
    <x v="280"/>
    <s v="41532-Adoption de la politique d'octroi des bourses sur critères"/>
  </r>
  <r>
    <s v="Mise en place de la politique d'octroi des bourses sur critères au niveau national"/>
    <s v="décision"/>
    <s v="sif"/>
    <n v="0"/>
    <n v="1"/>
    <n v="1"/>
    <m/>
    <n v="2"/>
    <n v="0"/>
    <n v="0"/>
    <n v="0"/>
    <n v="0"/>
    <n v="0"/>
    <m/>
    <x v="2"/>
    <s v="MESRS_Programme 1. Gouvernance du système"/>
    <s v=""/>
    <s v="SG"/>
    <s v="DGES"/>
    <x v="2"/>
    <x v="3"/>
    <x v="24"/>
    <s v="415- L’évolution quantitative de l’enseignement supérieur est maitrisée"/>
    <x v="280"/>
    <s v="41533-Mise en place de la politique d'octroi des bourses sur critères au niveau national"/>
  </r>
  <r>
    <s v="Mise en place de la politique d'octroi des bourses sur critères à l'étranger"/>
    <s v="décision"/>
    <s v="sif"/>
    <n v="0"/>
    <n v="1"/>
    <n v="1"/>
    <m/>
    <n v="2"/>
    <n v="0"/>
    <n v="0"/>
    <n v="0"/>
    <n v="0"/>
    <n v="0"/>
    <m/>
    <x v="2"/>
    <s v="MESRS_Programme 1. Gouvernance du système"/>
    <s v=""/>
    <s v="SG"/>
    <s v="DGES"/>
    <x v="2"/>
    <x v="3"/>
    <x v="24"/>
    <s v="415- L’évolution quantitative de l’enseignement supérieur est maitrisée"/>
    <x v="280"/>
    <s v="41534-Mise en place de la politique d'octroi des bourses sur critères à l'étranger"/>
  </r>
  <r>
    <s v="Octroi des bourses nationales "/>
    <s v="bourses en Guinée"/>
    <s v="Bourse/étud/sup"/>
    <n v="0"/>
    <n v="0.819592066087932"/>
    <n v="0.86057166939232899"/>
    <n v="0.90360025286194501"/>
    <n v="2.5837639883422061"/>
    <n v="52229.201482749202"/>
    <n v="0"/>
    <n v="42806.639153369302"/>
    <n v="44946.971111037783"/>
    <n v="47194.319666589654"/>
    <n v="134947.92993099673"/>
    <x v="2"/>
    <s v="MESRS_Programme 1. Gouvernance du système"/>
    <s v="4. Transferts et subventions"/>
    <s v="SG"/>
    <s v="DGES"/>
    <x v="2"/>
    <x v="3"/>
    <x v="24"/>
    <s v="415- L’évolution quantitative de l’enseignement supérieur est maitrisée"/>
    <x v="280"/>
    <s v="41535-Octroi des bourses nationales "/>
  </r>
  <r>
    <s v="Octroi des bourses à l'étranger "/>
    <s v="enveloppe"/>
    <s v="Enveloppe/an"/>
    <n v="0"/>
    <n v="1.0499955966152299"/>
    <n v="1.0392349721510801"/>
    <n v="1.0261856965719001"/>
    <n v="3.1154162653382103"/>
    <n v="61533.247835278897"/>
    <n v="0"/>
    <n v="64609.639272476466"/>
    <n v="63947.503100461574"/>
    <n v="63144.538792177038"/>
    <n v="191701.68116511509"/>
    <x v="2"/>
    <s v="MESRS_Programme 1. Gouvernance du système"/>
    <s v="4. Transferts et subventions"/>
    <s v="SG"/>
    <s v="DGES"/>
    <x v="2"/>
    <x v="3"/>
    <x v="24"/>
    <s v="415- L’évolution quantitative de l’enseignement supérieur est maitrisée"/>
    <x v="280"/>
    <s v="41536-Octroi des bourses à l'étranger "/>
  </r>
  <r>
    <s v="Octroi des bourses pour les étudiants orientés dans les universités privés (Fin 2019)"/>
    <s v="enveloppe"/>
    <s v="Enveloppe/privé"/>
    <n v="0"/>
    <n v="0"/>
    <n v="0"/>
    <n v="0"/>
    <n v="0"/>
    <n v="91174.7"/>
    <n v="0"/>
    <n v="0"/>
    <n v="0"/>
    <n v="0"/>
    <n v="0"/>
    <x v="2"/>
    <s v="MESRS_Programme 1. Gouvernance du système"/>
    <s v="4. Transferts et subventions"/>
    <s v="SG"/>
    <s v="DGES"/>
    <x v="2"/>
    <x v="3"/>
    <x v="24"/>
    <s v="415- L’évolution quantitative de l’enseignement supérieur est maitrisée"/>
    <x v="280"/>
    <s v="41537-Octroi des bourses pour les étudiants orientés dans les universités privés (Fin 2019)"/>
  </r>
  <r>
    <s v=" Les organes de gouvernance sont fonctionnels"/>
    <m/>
    <m/>
    <n v="0"/>
    <m/>
    <m/>
    <m/>
    <m/>
    <m/>
    <m/>
    <m/>
    <m/>
    <m/>
    <m/>
    <x v="0"/>
    <m/>
    <m/>
    <m/>
    <m/>
    <x v="2"/>
    <x v="3"/>
    <x v="24"/>
    <s v="416- Les organes de gouvernance sont fonctionnels"/>
    <x v="281"/>
    <s v="416- Les organes de gouvernance sont fonctionnels"/>
  </r>
  <r>
    <s v="Organisation des Conseils/Comités"/>
    <m/>
    <m/>
    <n v="0"/>
    <m/>
    <m/>
    <m/>
    <m/>
    <m/>
    <m/>
    <m/>
    <m/>
    <m/>
    <m/>
    <x v="0"/>
    <m/>
    <m/>
    <m/>
    <m/>
    <x v="2"/>
    <x v="3"/>
    <x v="24"/>
    <s v="416- Les organes de gouvernance sont fonctionnels"/>
    <x v="282"/>
    <s v="4161-Organisation des Conseils/Comités"/>
  </r>
  <r>
    <s v="Tenue de conseils/comités (jetons de présence pris en charge dans les subventions des IES)"/>
    <s v="pm"/>
    <s v="sif"/>
    <n v="0"/>
    <m/>
    <n v="1"/>
    <n v="1"/>
    <n v="2"/>
    <n v="0"/>
    <n v="0"/>
    <n v="0"/>
    <n v="0"/>
    <n v="0"/>
    <m/>
    <x v="6"/>
    <s v="MESRS_Programme 1. Gouvernance du système"/>
    <s v=""/>
    <s v="SG"/>
    <s v="Rectotat/DG"/>
    <x v="2"/>
    <x v="3"/>
    <x v="24"/>
    <s v="416- Les organes de gouvernance sont fonctionnels"/>
    <x v="282"/>
    <s v="41611-Tenue de conseils/comités (jetons de présence pris en charge dans les subventions des IES)"/>
  </r>
  <r>
    <s v="Mise en œuvre des textes de gouvernance"/>
    <m/>
    <m/>
    <n v="0"/>
    <m/>
    <m/>
    <m/>
    <m/>
    <m/>
    <m/>
    <m/>
    <m/>
    <m/>
    <m/>
    <x v="0"/>
    <m/>
    <m/>
    <m/>
    <m/>
    <x v="2"/>
    <x v="3"/>
    <x v="24"/>
    <s v="416- Les organes de gouvernance sont fonctionnels"/>
    <x v="283"/>
    <s v="4162-Mise en œuvre des textes de gouvernance"/>
  </r>
  <r>
    <s v="Application des textes "/>
    <s v="décision"/>
    <s v="sif"/>
    <n v="0"/>
    <n v="1"/>
    <n v="1"/>
    <n v="1"/>
    <m/>
    <n v="0"/>
    <m/>
    <m/>
    <m/>
    <m/>
    <m/>
    <x v="2"/>
    <s v="MESRS_Programme 1. Gouvernance du système"/>
    <s v=""/>
    <s v="SG"/>
    <s v="Rectotat/DG"/>
    <x v="2"/>
    <x v="3"/>
    <x v="24"/>
    <s v="416- Les organes de gouvernance sont fonctionnels"/>
    <x v="283"/>
    <s v="41612-Application des textes "/>
  </r>
  <r>
    <s v=" L’autonomie des institutions est renforcée"/>
    <m/>
    <m/>
    <n v="0"/>
    <m/>
    <m/>
    <m/>
    <m/>
    <m/>
    <m/>
    <m/>
    <m/>
    <m/>
    <m/>
    <x v="0"/>
    <m/>
    <m/>
    <m/>
    <m/>
    <x v="2"/>
    <x v="3"/>
    <x v="24"/>
    <s v="417- L’autonomie des institutions est renforcée"/>
    <x v="284"/>
    <s v="417- L’autonomie des institutions est renforcée"/>
  </r>
  <r>
    <s v="Renforcement des capacités en matière de gestion administrative et Financière"/>
    <m/>
    <m/>
    <n v="0"/>
    <m/>
    <m/>
    <m/>
    <m/>
    <m/>
    <m/>
    <m/>
    <m/>
    <m/>
    <m/>
    <x v="0"/>
    <m/>
    <m/>
    <m/>
    <m/>
    <x v="2"/>
    <x v="3"/>
    <x v="24"/>
    <s v="417- L’autonomie des institutions est renforcée"/>
    <x v="285"/>
    <s v="4171-Renforcement des capacités en matière de gestion administrative et Financière"/>
  </r>
  <r>
    <s v="Production de support de formation"/>
    <s v="Assistance technique"/>
    <s v="h/j/ci"/>
    <n v="0"/>
    <m/>
    <n v="1000"/>
    <n v="400"/>
    <n v="1400"/>
    <n v="10.404797"/>
    <n v="0"/>
    <n v="0"/>
    <n v="10404.797"/>
    <n v="4161.9188000000004"/>
    <n v="14566.715800000002"/>
    <x v="6"/>
    <s v="MESRS_Programme 1. Gouvernance du système"/>
    <s v="3. Dépenses de fonctionnement"/>
    <s v="BSD"/>
    <s v="Consultants"/>
    <x v="2"/>
    <x v="3"/>
    <x v="24"/>
    <s v="417- L’autonomie des institutions est renforcée"/>
    <x v="285"/>
    <s v="41711-Production de support de formation"/>
  </r>
  <r>
    <s v="Formation du personnel en gestion administrative et Financière (GAF)"/>
    <s v="Atelier"/>
    <s v="h/j/f"/>
    <n v="0"/>
    <m/>
    <n v="1250"/>
    <n v="1125"/>
    <n v="2375"/>
    <n v="0.67666666666666664"/>
    <n v="0"/>
    <n v="0"/>
    <n v="845.83333333333326"/>
    <n v="761.25"/>
    <n v="1607.0833333333333"/>
    <x v="6"/>
    <s v="MESRS_Programme 1. Gouvernance du système"/>
    <s v="3. Formation"/>
    <s v="DRH"/>
    <s v="DAF"/>
    <x v="2"/>
    <x v="3"/>
    <x v="24"/>
    <s v="417- L’autonomie des institutions est renforcée"/>
    <x v="285"/>
    <s v="41712-Formation du personnel en gestion administrative et Financière (GAF)"/>
  </r>
  <r>
    <s v=" La mobilisation de ressources Financières est accrue"/>
    <m/>
    <m/>
    <n v="0"/>
    <m/>
    <m/>
    <m/>
    <m/>
    <m/>
    <m/>
    <m/>
    <m/>
    <m/>
    <m/>
    <x v="0"/>
    <m/>
    <m/>
    <m/>
    <m/>
    <x v="2"/>
    <x v="3"/>
    <x v="24"/>
    <s v="418- La mobilisation de ressources financières est accrue"/>
    <x v="286"/>
    <s v="418- La mobilisation de ressources Financières est accrue"/>
  </r>
  <r>
    <s v="Développement de stratégies de coopération avec le secteur privé et à l’internationale pour mobiliser de ressources additionnelles"/>
    <m/>
    <m/>
    <n v="0"/>
    <m/>
    <m/>
    <m/>
    <m/>
    <m/>
    <m/>
    <m/>
    <m/>
    <m/>
    <m/>
    <x v="0"/>
    <m/>
    <m/>
    <m/>
    <m/>
    <x v="2"/>
    <x v="3"/>
    <x v="24"/>
    <s v="418- La mobilisation de ressources financières est accrue"/>
    <x v="287"/>
    <s v="4181-Développement de stratégies de coopération avec le secteur privé et à l’internationale pour mobiliser de ressources additionnelles"/>
  </r>
  <r>
    <s v="Elaboration d'une stratégie de mobilisation de ressources "/>
    <s v="Assistance technique"/>
    <s v="h/j/ci"/>
    <n v="0"/>
    <n v="30"/>
    <m/>
    <m/>
    <n v="30"/>
    <n v="10.404797"/>
    <n v="0"/>
    <n v="312.14391000000001"/>
    <n v="0"/>
    <n v="0"/>
    <n v="312.14391000000001"/>
    <x v="2"/>
    <s v="MESRS_Programme 1. Gouvernance du système"/>
    <s v="3. Dépenses de fonctionnement"/>
    <s v="Rectotat/DG"/>
    <s v="Consultants"/>
    <x v="2"/>
    <x v="3"/>
    <x v="24"/>
    <s v="418- La mobilisation de ressources financières est accrue"/>
    <x v="287"/>
    <s v="41811-Elaboration d'une stratégie de mobilisation de ressources "/>
  </r>
  <r>
    <s v="Diffusion de la stratégie de mobilisation de ressources"/>
    <s v="Réunions (communications et déplacements)"/>
    <s v="h/j/m"/>
    <n v="0"/>
    <m/>
    <n v="1200"/>
    <n v="1200"/>
    <n v="2400"/>
    <n v="0.8177777777777776"/>
    <n v="0"/>
    <n v="0"/>
    <n v="981.33333333333314"/>
    <n v="981.33333333333314"/>
    <n v="1962.6666666666663"/>
    <x v="6"/>
    <s v="MESRS_Programme 1. Gouvernance du système"/>
    <s v="3. Dépenses de fonctionnement"/>
    <s v="Rectotat/DG"/>
    <s v="IES/IRS"/>
    <x v="2"/>
    <x v="3"/>
    <x v="24"/>
    <s v="418- La mobilisation de ressources financières est accrue"/>
    <x v="287"/>
    <s v="41812-Diffusion de la stratégie de mobilisation de ressources"/>
  </r>
  <r>
    <s v="Mission pour la mobilisation de ressources"/>
    <s v="déplacements à l'international"/>
    <s v="voy/per"/>
    <n v="0"/>
    <m/>
    <n v="30"/>
    <m/>
    <n v="30"/>
    <n v="40.32"/>
    <n v="0"/>
    <n v="0"/>
    <n v="1209.5999999999999"/>
    <n v="0"/>
    <n v="1209.5999999999999"/>
    <x v="2"/>
    <s v="MESRS_Programme 1. Gouvernance du système"/>
    <s v="3. Formation"/>
    <s v="SG"/>
    <s v="DAF"/>
    <x v="2"/>
    <x v="3"/>
    <x v="24"/>
    <s v="418- La mobilisation de ressources financières est accrue"/>
    <x v="287"/>
    <s v="41813-Mission pour la mobilisation de ressources"/>
  </r>
  <r>
    <s v=" L’efficacité dans l’utilisation des fonds alloués aux institutions est améliorée"/>
    <m/>
    <m/>
    <n v="0"/>
    <m/>
    <m/>
    <m/>
    <m/>
    <m/>
    <m/>
    <m/>
    <m/>
    <m/>
    <m/>
    <x v="0"/>
    <m/>
    <m/>
    <m/>
    <m/>
    <x v="2"/>
    <x v="3"/>
    <x v="24"/>
    <s v="419- L’efficacité dans l’utilisation des fonds alloués aux institutions est améliorée"/>
    <x v="288"/>
    <s v="419- L’efficacité dans l’utilisation des fonds alloués aux institutions est améliorée"/>
  </r>
  <r>
    <s v="Maîtrise de cycle de projets"/>
    <m/>
    <m/>
    <n v="0"/>
    <m/>
    <m/>
    <m/>
    <m/>
    <m/>
    <m/>
    <m/>
    <m/>
    <m/>
    <m/>
    <x v="0"/>
    <m/>
    <m/>
    <m/>
    <m/>
    <x v="2"/>
    <x v="3"/>
    <x v="24"/>
    <s v="419- L’efficacité dans l’utilisation des fonds alloués aux institutions est améliorée"/>
    <x v="289"/>
    <s v="4191-Maîtrise de cycle de projets"/>
  </r>
  <r>
    <s v="Recrutement de consultant pour l'élaboration de support de formation et la formation"/>
    <s v="Assistance technique"/>
    <s v="h/j/cn"/>
    <n v="0"/>
    <n v="30"/>
    <m/>
    <m/>
    <n v="30"/>
    <n v="2.651545"/>
    <n v="0"/>
    <n v="79.546350000000004"/>
    <n v="0"/>
    <n v="0"/>
    <n v="79.546350000000004"/>
    <x v="2"/>
    <s v="MESRS_Programme 1. Gouvernance du système"/>
    <s v="3. Dépenses de fonctionnement"/>
    <s v="BSD"/>
    <s v="Consultants"/>
    <x v="2"/>
    <x v="3"/>
    <x v="24"/>
    <s v="419- L’efficacité dans l’utilisation des fonds alloués aux institutions est améliorée"/>
    <x v="289"/>
    <s v="41911-Recrutement de consultant pour l'élaboration de support de formation et la formation"/>
  </r>
  <r>
    <s v="Formation en conception et gestion de projet"/>
    <s v="Atelier"/>
    <s v="h/j/f"/>
    <n v="0"/>
    <m/>
    <n v="1000"/>
    <n v="1000"/>
    <n v="2000"/>
    <n v="0.67666666666666664"/>
    <n v="0"/>
    <n v="0"/>
    <n v="676.66666666666663"/>
    <n v="676.66666666666663"/>
    <n v="1353.3333333333333"/>
    <x v="6"/>
    <s v="MESRS_Programme 1. Gouvernance du système"/>
    <s v="3. Formation"/>
    <s v="DRH"/>
    <s v="IES/IRS"/>
    <x v="2"/>
    <x v="3"/>
    <x v="24"/>
    <s v="419- L’efficacité dans l’utilisation des fonds alloués aux institutions est améliorée"/>
    <x v="289"/>
    <s v="41912-Formation en conception et gestion de projet"/>
  </r>
  <r>
    <s v="Appui technique aux institutions dans la conception et la gestion de projet "/>
    <s v="Assistance technique"/>
    <s v="h/m/ci"/>
    <n v="0"/>
    <m/>
    <n v="10"/>
    <n v="10"/>
    <n v="20"/>
    <n v="219.54797350000001"/>
    <n v="0"/>
    <n v="0"/>
    <n v="2195.4797349999999"/>
    <n v="2195.4797349999999"/>
    <n v="4390.9594699999998"/>
    <x v="6"/>
    <s v="MESRS_Programme 1. Gouvernance du système"/>
    <s v="3. Dépenses de fonctionnement"/>
    <s v="BSD"/>
    <s v="Consultant"/>
    <x v="2"/>
    <x v="3"/>
    <x v="24"/>
    <s v="419- L’efficacité dans l’utilisation des fonds alloués aux institutions est améliorée"/>
    <x v="289"/>
    <s v="41913-Appui technique aux institutions dans la conception et la gestion de projet "/>
  </r>
  <r>
    <s v="Adoption de l'élaboration de projets d'établissements pluri-annuels"/>
    <m/>
    <m/>
    <n v="0"/>
    <m/>
    <m/>
    <m/>
    <m/>
    <m/>
    <m/>
    <m/>
    <m/>
    <m/>
    <m/>
    <x v="0"/>
    <m/>
    <m/>
    <m/>
    <m/>
    <x v="2"/>
    <x v="3"/>
    <x v="24"/>
    <s v="419- L’efficacité dans l’utilisation des fonds alloués aux institutions est améliorée"/>
    <x v="290"/>
    <s v="4192-Adoption de l'élaboration de projets d'établissements pluri-annuels"/>
  </r>
  <r>
    <s v="Formations des institutions dans l'élaboration des projets d'établissement pris en compte dans activité 41913)"/>
    <s v="pm"/>
    <s v="sif"/>
    <n v="0"/>
    <n v="1"/>
    <n v="1"/>
    <m/>
    <n v="2"/>
    <n v="0"/>
    <n v="0"/>
    <n v="0"/>
    <n v="0"/>
    <n v="0"/>
    <m/>
    <x v="2"/>
    <s v="MESRS_Programme 1. Gouvernance du système"/>
    <s v=""/>
    <s v="BSD"/>
    <s v="Consultants"/>
    <x v="2"/>
    <x v="3"/>
    <x v="24"/>
    <s v="419- L’efficacité dans l’utilisation des fonds alloués aux institutions est améliorée"/>
    <x v="290"/>
    <s v="41921-Formations des institutions dans l'élaboration des projets d'établissement pris en compte dans activité 41913)"/>
  </r>
  <r>
    <s v="Elaboration et validation de projets d'établissement"/>
    <s v="travaux administratifs"/>
    <s v="sif"/>
    <n v="0"/>
    <n v="1"/>
    <n v="1"/>
    <m/>
    <n v="2"/>
    <n v="0"/>
    <n v="0"/>
    <n v="0"/>
    <n v="0"/>
    <n v="0"/>
    <m/>
    <x v="2"/>
    <s v="MESRS_Programme 1. Gouvernance du système"/>
    <s v=""/>
    <s v="IES/IRS"/>
    <s v="CA"/>
    <x v="2"/>
    <x v="3"/>
    <x v="24"/>
    <s v="419- L’efficacité dans l’utilisation des fonds alloués aux institutions est améliorée"/>
    <x v="290"/>
    <s v="41922-Elaboration et validation de projets d'établissement"/>
  </r>
  <r>
    <s v=" Les textes sont produits/révisés, les manuels de procédure de gestion sont élaborés aFin de mieux situer les rôles et les responsabilités. "/>
    <m/>
    <m/>
    <n v="0"/>
    <m/>
    <m/>
    <m/>
    <m/>
    <m/>
    <m/>
    <m/>
    <m/>
    <m/>
    <m/>
    <x v="0"/>
    <m/>
    <m/>
    <m/>
    <m/>
    <x v="2"/>
    <x v="3"/>
    <x v="24"/>
    <s v="411- Les textes sont produits/révisés, les manuels de procédure de gestion sont élaborés afin de mieux situer les rôles et les responsabilités. "/>
    <x v="267"/>
    <s v="411- Les textes sont produits/révisés, les manuels de procédure de gestion sont élaborés aFin de mieux situer les rôles et les responsabilités. "/>
  </r>
  <r>
    <s v="Modernisation de l'administration"/>
    <m/>
    <m/>
    <n v="0"/>
    <m/>
    <m/>
    <m/>
    <m/>
    <m/>
    <m/>
    <m/>
    <m/>
    <m/>
    <m/>
    <x v="0"/>
    <m/>
    <m/>
    <m/>
    <m/>
    <x v="2"/>
    <x v="3"/>
    <x v="24"/>
    <s v="411- Les textes sont produits/révisés, les manuels de procédure de gestion sont élaborés afin de mieux situer les rôles et les responsabilités. "/>
    <x v="291"/>
    <s v="4110-Modernisation de l'administration"/>
  </r>
  <r>
    <s v="Dotation des établissements en subvention de fonctionnement"/>
    <s v="Subvention IES"/>
    <s v="sub/IES"/>
    <n v="0"/>
    <n v="0.85321601597583097"/>
    <n v="0.91800764864125295"/>
    <n v="0.98693615820831004"/>
    <n v="2.7581598228253941"/>
    <n v="150012.51265991799"/>
    <n v="0"/>
    <n v="127993.07839821914"/>
    <n v="137712.6340136975"/>
    <n v="148052.77292775494"/>
    <n v="413758.48533967161"/>
    <x v="2"/>
    <s v="MESRS_Programme 1. Gouvernance du système"/>
    <s v="3. Dépenses de fonctionnement"/>
    <m/>
    <m/>
    <x v="2"/>
    <x v="3"/>
    <x v="24"/>
    <s v="411- Les textes sont produits/révisés, les manuels de procédure de gestion sont élaborés afin de mieux situer les rôles et les responsabilités. "/>
    <x v="291"/>
    <s v="411011-Dotation des établissements en subvention de fonctionnement"/>
  </r>
  <r>
    <s v=" Expansion de l’offre publique pour un système plus équitable en lien avec les priorités nationales "/>
    <m/>
    <m/>
    <n v="0"/>
    <m/>
    <m/>
    <m/>
    <m/>
    <m/>
    <m/>
    <m/>
    <m/>
    <m/>
    <m/>
    <x v="0"/>
    <m/>
    <m/>
    <m/>
    <m/>
    <x v="2"/>
    <x v="3"/>
    <x v="25"/>
    <s v="42- Expansion de l’offre publique pour un système plus équitable en lien avec les priorités nationales "/>
    <x v="292"/>
    <s v="42- Expansion de l’offre publique pour un système plus équitable en lien avec les priorités nationales "/>
  </r>
  <r>
    <s v=" La capacité d’accueil en infrastructures, équipements et en enseignants des institutions est accrue"/>
    <m/>
    <m/>
    <n v="0"/>
    <m/>
    <m/>
    <m/>
    <m/>
    <m/>
    <m/>
    <m/>
    <m/>
    <m/>
    <m/>
    <x v="0"/>
    <m/>
    <m/>
    <m/>
    <m/>
    <x v="2"/>
    <x v="3"/>
    <x v="25"/>
    <s v="421- La capacité d’accueil en infrastructures, équipements et en enseignants des institutions est accrue"/>
    <x v="293"/>
    <s v="421- La capacité d’accueil en infrastructures, équipements et en enseignants des institutions est accrue"/>
  </r>
  <r>
    <s v="Construction/rénovation et équipement de bâtiments administratifs, acquisition d'immobilisation et de matériels"/>
    <m/>
    <m/>
    <n v="0"/>
    <m/>
    <m/>
    <m/>
    <m/>
    <m/>
    <m/>
    <m/>
    <m/>
    <m/>
    <m/>
    <x v="0"/>
    <m/>
    <m/>
    <m/>
    <m/>
    <x v="2"/>
    <x v="3"/>
    <x v="25"/>
    <s v="421- La capacité d’accueil en infrastructures, équipements et en enseignants des institutions est accrue"/>
    <x v="294"/>
    <s v="4211-Construction/rénovation et équipement de bâtiments administratifs, acquisition d'immobilisation et de matériels"/>
  </r>
  <r>
    <s v="Construction de bâtiments à usage administratifs"/>
    <s v="Constructions"/>
    <s v="cons/MESRS"/>
    <n v="0"/>
    <n v="0.5"/>
    <n v="0.4"/>
    <m/>
    <n v="0.9"/>
    <n v="45000"/>
    <n v="0"/>
    <n v="22500"/>
    <n v="18000"/>
    <n v="0"/>
    <n v="40500"/>
    <x v="2"/>
    <s v="MESRS_Programme 2. Développement de l’enseignement supérieur"/>
    <s v="5. Investissement"/>
    <s v="Cabinet"/>
    <s v="DAF"/>
    <x v="2"/>
    <x v="3"/>
    <x v="25"/>
    <s v="421- La capacité d’accueil en infrastructures, équipements et en enseignants des institutions est accrue"/>
    <x v="294"/>
    <s v="42111-Construction de bâtiments à usage administratifs"/>
  </r>
  <r>
    <s v="acquisition de matériels transport (bus de transport pour étudiants)"/>
    <s v="matériel roulant"/>
    <s v="Env/Bus"/>
    <n v="0"/>
    <n v="0.6"/>
    <m/>
    <m/>
    <n v="0.6"/>
    <n v="51995.976000000002"/>
    <n v="0"/>
    <n v="31197.585599999999"/>
    <n v="0"/>
    <n v="0"/>
    <n v="31197.585599999999"/>
    <x v="2"/>
    <s v="MESRS_Programme 2. Développement de l’enseignement supérieur"/>
    <s v="5. Investissement"/>
    <s v="Cabinet"/>
    <s v="DAF"/>
    <x v="2"/>
    <x v="3"/>
    <x v="25"/>
    <s v="421- La capacité d’accueil en infrastructures, équipements et en enseignants des institutions est accrue"/>
    <x v="294"/>
    <s v="42112-acquisition de matériels transport (bus de transport pour étudiants)"/>
  </r>
  <r>
    <s v="acquisition de matériels informatique"/>
    <s v="matériel informatique"/>
    <s v="poste de travail"/>
    <n v="0"/>
    <n v="100"/>
    <n v="120"/>
    <m/>
    <n v="220"/>
    <n v="10.034934666666667"/>
    <n v="0"/>
    <n v="1003.4934666666667"/>
    <n v="1204.1921600000001"/>
    <n v="0"/>
    <n v="2207.6856266666668"/>
    <x v="2"/>
    <s v="MESRS_Programme 2. Développement de l’enseignement supérieur"/>
    <s v="5. Investissement"/>
    <s v="Cabinet"/>
    <s v="DAF"/>
    <x v="2"/>
    <x v="3"/>
    <x v="25"/>
    <s v="421- La capacité d’accueil en infrastructures, équipements et en enseignants des institutions est accrue"/>
    <x v="294"/>
    <s v="42113-acquisition de matériels informatique"/>
  </r>
  <r>
    <s v="Construction/rénovation et équipement d’infrastructures à usage pédagogique, de recherche et œuvres universitaires, avec rampe d'accès et tenant compte de la prévention des catastrophes naturelles"/>
    <m/>
    <m/>
    <n v="0"/>
    <m/>
    <m/>
    <m/>
    <m/>
    <m/>
    <m/>
    <m/>
    <m/>
    <m/>
    <m/>
    <x v="0"/>
    <m/>
    <m/>
    <m/>
    <m/>
    <x v="2"/>
    <x v="3"/>
    <x v="25"/>
    <s v="421- La capacité d’accueil en infrastructures, équipements et en enseignants des institutions est accrue"/>
    <x v="295"/>
    <s v="4212-Construction/rénovation et équipement d’infrastructures à usage pédagogique, de recherche et œuvres universitaires, avec rampe d'accès et tenant compte de la prévention des catastrophes naturelles"/>
  </r>
  <r>
    <s v="Assistance validation des Etudes/Contrôle et supervision des travaux de réhabilitation et d'extension"/>
    <s v="Assistance technique"/>
    <s v="forfait/sup"/>
    <n v="0"/>
    <n v="0.34585027321564399"/>
    <n v="0.34585027321564399"/>
    <m/>
    <n v="0.69170054643128798"/>
    <n v="10000"/>
    <n v="0"/>
    <n v="3458.5027321564398"/>
    <n v="3458.5027321564398"/>
    <n v="0"/>
    <n v="6917.0054643128797"/>
    <x v="2"/>
    <s v="MESRS_Programme 2. Développement de l’enseignement supérieur"/>
    <s v="5. Investissement"/>
    <s v="SNIEUS"/>
    <s v="Consultant"/>
    <x v="2"/>
    <x v="3"/>
    <x v="25"/>
    <s v="421- La capacité d’accueil en infrastructures, équipements et en enseignants des institutions est accrue"/>
    <x v="295"/>
    <s v="42121-Assistance validation des Etudes/Contrôle et supervision des travaux de réhabilitation et d'extension"/>
  </r>
  <r>
    <s v="Construction des amphis"/>
    <s v="Constructions"/>
    <s v="const/amphi"/>
    <n v="0"/>
    <n v="4"/>
    <n v="4"/>
    <n v="4"/>
    <n v="12"/>
    <n v="10000"/>
    <n v="0"/>
    <n v="40000"/>
    <n v="40000"/>
    <n v="40000"/>
    <n v="120000"/>
    <x v="2"/>
    <s v="MESRS_Programme 2. Développement de l’enseignement supérieur"/>
    <s v="5. Investissement"/>
    <s v="SNIEUS"/>
    <s v="SNIEUS"/>
    <x v="2"/>
    <x v="3"/>
    <x v="25"/>
    <s v="421- La capacité d’accueil en infrastructures, équipements et en enseignants des institutions est accrue"/>
    <x v="295"/>
    <s v="42122-Construction des amphis"/>
  </r>
  <r>
    <s v="Réhabilitation et équipement des infrastructures de l'UGAN Conakry"/>
    <s v="construction et équipement"/>
    <s v="UGAN"/>
    <n v="0"/>
    <n v="0.40920889986346598"/>
    <m/>
    <m/>
    <n v="0.40920889986346598"/>
    <n v="47891"/>
    <n v="0"/>
    <n v="19597.423423361248"/>
    <n v="0"/>
    <n v="0"/>
    <n v="19597.423423361248"/>
    <x v="2"/>
    <s v="MESRS_Programme 2. Développement de l’enseignement supérieur"/>
    <s v="5. Investissement"/>
    <s v="SNIEUS"/>
    <s v="DAF/SNIEUS"/>
    <x v="2"/>
    <x v="3"/>
    <x v="25"/>
    <s v="421- La capacité d’accueil en infrastructures, équipements et en enseignants des institutions est accrue"/>
    <x v="295"/>
    <s v="42123-Réhabilitation et équipement des infrastructures de l'UGAN Conakry"/>
  </r>
  <r>
    <s v="Construction de l'annexe de Bordo de l'UJN/Kankan"/>
    <s v="construction "/>
    <s v="UJN/Kankan"/>
    <n v="0"/>
    <n v="0.33333333333333298"/>
    <n v="0.33333333333333298"/>
    <m/>
    <n v="0.66666666666666596"/>
    <n v="7500"/>
    <n v="0"/>
    <n v="2499.9999999999973"/>
    <n v="2499.9999999999973"/>
    <n v="0"/>
    <n v="4999.9999999999945"/>
    <x v="2"/>
    <s v="MESRS_Programme 2. Développement de l’enseignement supérieur"/>
    <s v="5. Investissement"/>
    <s v="SNIEUS"/>
    <s v="DAF"/>
    <x v="2"/>
    <x v="3"/>
    <x v="25"/>
    <s v="421- La capacité d’accueil en infrastructures, équipements et en enseignants des institutions est accrue"/>
    <x v="295"/>
    <s v="42124-Construction de l'annexe de Bordo de l'UJN/Kankan"/>
  </r>
  <r>
    <s v="Réhabilitation et Extension des 4 universites"/>
    <s v="Construction"/>
    <s v="reh/universités"/>
    <n v="0"/>
    <n v="0.39999997236312401"/>
    <n v="0.39999997236312401"/>
    <m/>
    <n v="0.79999994472624802"/>
    <n v="361835"/>
    <n v="0"/>
    <n v="144733.99000001096"/>
    <n v="144733.99000001096"/>
    <n v="0"/>
    <n v="289467.98000002193"/>
    <x v="2"/>
    <s v="MESRS_Programme 2. Développement de l’enseignement supérieur"/>
    <s v="5. Investissement"/>
    <s v="SNIEUS"/>
    <s v="DAF"/>
    <x v="2"/>
    <x v="3"/>
    <x v="25"/>
    <s v="421- La capacité d’accueil en infrastructures, équipements et en enseignants des institutions est accrue"/>
    <x v="295"/>
    <s v="42125-Réhabilitation et Extension des 4 universites"/>
  </r>
  <r>
    <s v="Rehabilitation des ISAV-VGE/Faranah"/>
    <s v="Constructions"/>
    <s v="ISAV-VGE"/>
    <n v="0"/>
    <n v="0.226638163058374"/>
    <n v="0.14243012163457"/>
    <m/>
    <n v="0.369068284692944"/>
    <n v="53078"/>
    <n v="0"/>
    <n v="12029.500418812375"/>
    <n v="7559.9059961197063"/>
    <n v="0"/>
    <n v="19589.40641493208"/>
    <x v="2"/>
    <s v="MESRS_Programme 2. Développement de l’enseignement supérieur"/>
    <s v="5. Investissement"/>
    <m/>
    <m/>
    <x v="2"/>
    <x v="3"/>
    <x v="25"/>
    <s v="421- La capacité d’accueil en infrastructures, équipements et en enseignants des institutions est accrue"/>
    <x v="295"/>
    <s v="42126-Rehabilitation des ISAV-VGE/Faranah"/>
  </r>
  <r>
    <s v="Recrutement de personnel enseignant en qualité suffisante"/>
    <m/>
    <m/>
    <n v="0"/>
    <m/>
    <m/>
    <m/>
    <m/>
    <m/>
    <m/>
    <m/>
    <m/>
    <m/>
    <m/>
    <x v="0"/>
    <m/>
    <m/>
    <m/>
    <m/>
    <x v="2"/>
    <x v="3"/>
    <x v="25"/>
    <s v="421- La capacité d’accueil en infrastructures, équipements et en enseignants des institutions est accrue"/>
    <x v="296"/>
    <s v="4213-Recrutement de personnel enseignant en qualité suffisante"/>
  </r>
  <r>
    <s v="Salaire du personnel des IES (enseignants et non enseignants)"/>
    <s v="traitement et salaire du personnel du MESRS"/>
    <s v="MS/MESRS"/>
    <n v="0"/>
    <n v="0.88320448057453604"/>
    <n v="0.95865927517930405"/>
    <n v="1.0373675873190999"/>
    <n v="2.8792313430729397"/>
    <n v="255321.596485922"/>
    <n v="0"/>
    <n v="225501.17800381003"/>
    <n v="244766.41662481672"/>
    <n v="264862.34853706171"/>
    <n v="735129.94316568843"/>
    <x v="2"/>
    <s v="MESRS_Programme 2. Développement de l’enseignement supérieur"/>
    <s v="2. Personnel"/>
    <s v="SNIEUS"/>
    <s v="Consultant"/>
    <x v="2"/>
    <x v="3"/>
    <x v="25"/>
    <s v="421- La capacité d’accueil en infrastructures, équipements et en enseignants des institutions est accrue"/>
    <x v="296"/>
    <s v="42131-Salaire du personnel des IES (enseignants et non enseignants)"/>
  </r>
  <r>
    <s v=" Le nombre des effectifs orientés vers les filières techniques et scientifiques est considérablement augmenté"/>
    <m/>
    <m/>
    <n v="0"/>
    <m/>
    <m/>
    <m/>
    <m/>
    <m/>
    <m/>
    <m/>
    <m/>
    <m/>
    <m/>
    <x v="0"/>
    <m/>
    <m/>
    <m/>
    <m/>
    <x v="2"/>
    <x v="3"/>
    <x v="25"/>
    <s v="422- Le nombre des effectifs orientés vers les filières techniques et scientifiques est considérablement augmenté"/>
    <x v="297"/>
    <s v="422- Le nombre des effectifs orientés vers les filières techniques et scientifiques est considérablement augmenté"/>
  </r>
  <r>
    <s v="Renforcement de la formation binaire des enseignants du secondaire dans les sciences"/>
    <m/>
    <m/>
    <n v="0"/>
    <m/>
    <m/>
    <m/>
    <m/>
    <m/>
    <m/>
    <m/>
    <m/>
    <m/>
    <m/>
    <x v="0"/>
    <m/>
    <m/>
    <m/>
    <m/>
    <x v="2"/>
    <x v="3"/>
    <x v="25"/>
    <s v="422- Le nombre des effectifs orientés vers les filières techniques et scientifiques est considérablement augmenté"/>
    <x v="298"/>
    <s v="4221-Renforcement de la formation binaire des enseignants du secondaire dans les sciences"/>
  </r>
  <r>
    <s v="Révision de curricula pour renforcer les programmes de formation en sciences à l'ISSEG"/>
    <s v="Assistance technique"/>
    <s v="h/j/ci"/>
    <n v="0"/>
    <m/>
    <n v="250"/>
    <n v="250"/>
    <n v="500"/>
    <n v="10.404797"/>
    <n v="0"/>
    <n v="0"/>
    <n v="2601.1992500000001"/>
    <n v="2601.1992500000001"/>
    <n v="5202.3985000000002"/>
    <x v="6"/>
    <s v="MESRS_Programme 2. Développement de l’enseignement supérieur"/>
    <s v="3. Dépenses de fonctionnement"/>
    <s v="ISSEG"/>
    <s v="Consultants"/>
    <x v="2"/>
    <x v="3"/>
    <x v="25"/>
    <s v="422- Le nombre des effectifs orientés vers les filières techniques et scientifiques est considérablement augmenté"/>
    <x v="298"/>
    <s v="42211-Révision de curricula pour renforcer les programmes de formation en sciences à l'ISSEG"/>
  </r>
  <r>
    <s v="Mise en place des mesures incitatives"/>
    <m/>
    <m/>
    <n v="0"/>
    <m/>
    <m/>
    <m/>
    <m/>
    <m/>
    <m/>
    <m/>
    <m/>
    <m/>
    <m/>
    <x v="0"/>
    <m/>
    <m/>
    <m/>
    <m/>
    <x v="2"/>
    <x v="3"/>
    <x v="25"/>
    <s v="422- Le nombre des effectifs orientés vers les filières techniques et scientifiques est considérablement augmenté"/>
    <x v="299"/>
    <s v="4222-Mise en place des mesures incitatives"/>
  </r>
  <r>
    <s v="Octroi de bourses incitatives (Pris en compte dans activité 41533)"/>
    <s v="pm"/>
    <s v="sif"/>
    <n v="0"/>
    <m/>
    <n v="1"/>
    <n v="1"/>
    <n v="2"/>
    <n v="0"/>
    <n v="0"/>
    <n v="0"/>
    <n v="0"/>
    <n v="0"/>
    <m/>
    <x v="2"/>
    <s v="MESRS_Programme 2. Développement de l’enseignement supérieur"/>
    <s v=""/>
    <s v="IES"/>
    <s v="DAF"/>
    <x v="2"/>
    <x v="3"/>
    <x v="25"/>
    <s v="422- Le nombre des effectifs orientés vers les filières techniques et scientifiques est considérablement augmenté"/>
    <x v="299"/>
    <s v="42221-Octroi de bourses incitatives (Pris en compte dans activité 41533)"/>
  </r>
  <r>
    <s v="Accès prioritaire aux logements universitaires"/>
    <s v="Décision"/>
    <s v="sif"/>
    <n v="0"/>
    <n v="1"/>
    <m/>
    <m/>
    <n v="1"/>
    <n v="0"/>
    <n v="0"/>
    <n v="0"/>
    <n v="0"/>
    <n v="0"/>
    <m/>
    <x v="2"/>
    <s v="MESRS_Programme 2. Développement de l’enseignement supérieur"/>
    <s v=""/>
    <s v="SG"/>
    <s v="DRH"/>
    <x v="2"/>
    <x v="3"/>
    <x v="25"/>
    <s v="422- Le nombre des effectifs orientés vers les filières techniques et scientifiques est considérablement augmenté"/>
    <x v="299"/>
    <s v="42222-Accès prioritaire aux logements universitaires"/>
  </r>
  <r>
    <s v="Appui à l'insertion (placement en stages)"/>
    <s v="Indemnités de stage"/>
    <s v="All_Stage/étud"/>
    <n v="0"/>
    <m/>
    <n v="5000"/>
    <n v="5000"/>
    <n v="10000"/>
    <n v="0.3"/>
    <n v="0"/>
    <n v="0"/>
    <n v="1500"/>
    <n v="1500"/>
    <n v="3000"/>
    <x v="6"/>
    <s v="MESRS_Programme 2. Développement de l’enseignement supérieur"/>
    <s v="4. Transferts et subventions"/>
    <s v="R"/>
    <s v="IES/IRS"/>
    <x v="2"/>
    <x v="3"/>
    <x v="25"/>
    <s v="422- Le nombre des effectifs orientés vers les filières techniques et scientifiques est considérablement augmenté"/>
    <x v="299"/>
    <s v="42223-Appui à l'insertion (placement en stages)"/>
  </r>
  <r>
    <s v="Mise en place de classes préparatoires aux grandes écoles"/>
    <m/>
    <m/>
    <n v="0"/>
    <m/>
    <m/>
    <m/>
    <m/>
    <m/>
    <m/>
    <m/>
    <m/>
    <m/>
    <m/>
    <x v="0"/>
    <m/>
    <m/>
    <m/>
    <m/>
    <x v="2"/>
    <x v="3"/>
    <x v="25"/>
    <s v="422- Le nombre des effectifs orientés vers les filières techniques et scientifiques est considérablement augmenté"/>
    <x v="300"/>
    <s v="4223-Mise en place de classes préparatoires aux grandes écoles"/>
  </r>
  <r>
    <s v="Recrutement d'une expertise technique pour l'étude globale sur la mise en place de classes préparatoires"/>
    <s v="Assistance technique"/>
    <s v="h/j/ci"/>
    <n v="0"/>
    <m/>
    <m/>
    <m/>
    <n v="0"/>
    <n v="10.404797"/>
    <n v="0"/>
    <n v="0"/>
    <n v="0"/>
    <n v="0"/>
    <n v="0"/>
    <x v="6"/>
    <s v="MESRS_Programme 2. Développement de l’enseignement supérieur"/>
    <s v="3. Dépenses de fonctionnement"/>
    <s v="Cabinet"/>
    <s v="Consultants"/>
    <x v="2"/>
    <x v="3"/>
    <x v="25"/>
    <s v="422- Le nombre des effectifs orientés vers les filières techniques et scientifiques est considérablement augmenté"/>
    <x v="300"/>
    <s v="42231-Recrutement d'une expertise technique pour l'étude globale sur la mise en place de classes préparatoires"/>
  </r>
  <r>
    <s v=" La professionnalisation des filières est effective"/>
    <m/>
    <m/>
    <n v="0"/>
    <m/>
    <m/>
    <m/>
    <m/>
    <m/>
    <m/>
    <m/>
    <m/>
    <m/>
    <m/>
    <x v="0"/>
    <m/>
    <m/>
    <m/>
    <m/>
    <x v="2"/>
    <x v="3"/>
    <x v="25"/>
    <s v="423- La professionnalisation des filières est effective"/>
    <x v="301"/>
    <s v="423- La professionnalisation des filières est effective"/>
  </r>
  <r>
    <s v="Révision et professionnalisation des programmes"/>
    <m/>
    <m/>
    <n v="0"/>
    <m/>
    <m/>
    <m/>
    <m/>
    <m/>
    <m/>
    <m/>
    <m/>
    <m/>
    <m/>
    <x v="0"/>
    <m/>
    <m/>
    <m/>
    <m/>
    <x v="2"/>
    <x v="3"/>
    <x v="25"/>
    <s v="423- La professionnalisation des filières est effective"/>
    <x v="302"/>
    <s v="4231-Révision et professionnalisation des programmes"/>
  </r>
  <r>
    <s v="Identification des programmes à professionnaliser par les institutions"/>
    <s v="travaux administratives"/>
    <s v="sif"/>
    <n v="0"/>
    <m/>
    <m/>
    <m/>
    <n v="0"/>
    <n v="0"/>
    <n v="0"/>
    <n v="0"/>
    <n v="0"/>
    <n v="0"/>
    <m/>
    <x v="6"/>
    <s v="MESRS_Programme 2. Développement de l’enseignement supérieur"/>
    <s v=""/>
    <s v="DGES"/>
    <s v="IES/IRS"/>
    <x v="2"/>
    <x v="3"/>
    <x v="25"/>
    <s v="423- La professionnalisation des filières est effective"/>
    <x v="302"/>
    <s v="42311-Identification des programmes à professionnaliser par les institutions"/>
  </r>
  <r>
    <s v="Constitution des commissions pour la révision/professionnalisation"/>
    <s v="décision"/>
    <s v="sif"/>
    <n v="0"/>
    <n v="1"/>
    <m/>
    <m/>
    <n v="1"/>
    <n v="0"/>
    <n v="0"/>
    <n v="0"/>
    <n v="0"/>
    <n v="0"/>
    <m/>
    <x v="2"/>
    <s v="MESRS_Programme 2. Développement de l’enseignement supérieur"/>
    <s v=""/>
    <s v="DGES"/>
    <s v="IES/IRS"/>
    <x v="2"/>
    <x v="3"/>
    <x v="25"/>
    <s v="423- La professionnalisation des filières est effective"/>
    <x v="302"/>
    <s v="42312-Constitution des commissions pour la révision/professionnalisation"/>
  </r>
  <r>
    <s v="Travaux de commissions"/>
    <s v="Séances de travail (moyennant perdiems)"/>
    <s v="h/j/ap"/>
    <n v="0"/>
    <m/>
    <n v="200"/>
    <m/>
    <n v="200"/>
    <n v="0.255"/>
    <n v="0"/>
    <n v="0"/>
    <n v="51"/>
    <n v="0"/>
    <n v="51"/>
    <x v="6"/>
    <s v="MESRS_Programme 2. Développement de l’enseignement supérieur"/>
    <s v="3. Dépenses de fonctionnement"/>
    <s v="DGES"/>
    <s v="IES/IRS"/>
    <x v="2"/>
    <x v="3"/>
    <x v="25"/>
    <s v="423- La professionnalisation des filières est effective"/>
    <x v="302"/>
    <s v="42313-Travaux de commissions"/>
  </r>
  <r>
    <s v="Recrutement d'une expertise technique en ingénierie de la formation"/>
    <s v="Assistance technique"/>
    <s v="h/j/ci"/>
    <n v="0"/>
    <n v="30"/>
    <m/>
    <m/>
    <n v="30"/>
    <n v="10.404797"/>
    <n v="0"/>
    <n v="312.14391000000001"/>
    <n v="0"/>
    <n v="0"/>
    <n v="312.14391000000001"/>
    <x v="2"/>
    <s v="MESRS_Programme 2. Développement de l’enseignement supérieur"/>
    <s v="3. Dépenses de fonctionnement"/>
    <s v="BSD"/>
    <s v="Consultants"/>
    <x v="2"/>
    <x v="3"/>
    <x v="25"/>
    <s v="423- La professionnalisation des filières est effective"/>
    <x v="302"/>
    <s v="42314-Recrutement d'une expertise technique en ingénierie de la formation"/>
  </r>
  <r>
    <s v=" Le nombre de filles, d’étudiants (es) handicapés (es) et ceux/celles issus (es) des couches défavorisées fréquentant les différentes formations est significativement augmenté"/>
    <m/>
    <m/>
    <n v="0"/>
    <m/>
    <m/>
    <m/>
    <m/>
    <m/>
    <m/>
    <m/>
    <m/>
    <m/>
    <m/>
    <x v="0"/>
    <m/>
    <m/>
    <m/>
    <m/>
    <x v="2"/>
    <x v="3"/>
    <x v="25"/>
    <s v="424- Le nombre de filles, d’étudiants (es) handicapés (es) et ceux/celles issus (es) des couches défavorisées fréquentant les différentes formations est significativement augmenté"/>
    <x v="303"/>
    <s v="424- Le nombre de filles, d’étudiants (es) handicapés (es) et ceux/celles issus (es) des couches défavorisées fréquentant les différentes formations est significativement augmenté"/>
  </r>
  <r>
    <s v="Mise en place d’un fonds pour la valorisation du rôle des étudiantes dans le supérieur"/>
    <m/>
    <m/>
    <n v="0"/>
    <m/>
    <m/>
    <m/>
    <m/>
    <m/>
    <m/>
    <m/>
    <m/>
    <m/>
    <m/>
    <x v="0"/>
    <m/>
    <m/>
    <m/>
    <m/>
    <x v="2"/>
    <x v="3"/>
    <x v="25"/>
    <s v="424- Le nombre de filles, d’étudiants (es) handicapés (es) et ceux/celles issus (es) des couches défavorisées fréquentant les différentes formations est significativement augmenté"/>
    <x v="304"/>
    <s v="4241-Mise en place d’un fonds pour la valorisation du rôle des étudiantes dans le supérieur"/>
  </r>
  <r>
    <s v="Elaboration et adoption des textes / critères"/>
    <s v="textes"/>
    <s v="sif"/>
    <n v="0"/>
    <m/>
    <m/>
    <m/>
    <n v="0"/>
    <n v="0"/>
    <n v="0"/>
    <n v="0"/>
    <n v="0"/>
    <n v="0"/>
    <m/>
    <x v="6"/>
    <s v="MESRS_Programme 2. Développement de l’enseignement supérieur"/>
    <s v=""/>
    <s v="SG"/>
    <s v="STGE"/>
    <x v="2"/>
    <x v="3"/>
    <x v="25"/>
    <s v="424- Le nombre de filles, d’étudiants (es) handicapés (es) et ceux/celles issus (es) des couches défavorisées fréquentant les différentes formations est significativement augmenté"/>
    <x v="304"/>
    <s v="42411-Elaboration et adoption des textes / critères"/>
  </r>
  <r>
    <s v="Création d'un ligne budgétaire"/>
    <s v="décision"/>
    <s v="sif"/>
    <n v="0"/>
    <n v="1"/>
    <m/>
    <m/>
    <n v="1"/>
    <n v="0"/>
    <n v="0"/>
    <n v="0"/>
    <n v="0"/>
    <n v="0"/>
    <m/>
    <x v="2"/>
    <s v="MESRS_Programme 2. Développement de l’enseignement supérieur"/>
    <s v=""/>
    <s v="STGE"/>
    <s v="DAF"/>
    <x v="2"/>
    <x v="3"/>
    <x v="25"/>
    <s v="424- Le nombre de filles, d’étudiants (es) handicapés (es) et ceux/celles issus (es) des couches défavorisées fréquentant les différentes formations est significativement augmenté"/>
    <x v="304"/>
    <s v="42412-Création d'un ligne budgétaire"/>
  </r>
  <r>
    <s v="Mise en place de la ligne budgétaire"/>
    <s v="décision"/>
    <s v="envel/an"/>
    <n v="0"/>
    <m/>
    <n v="1"/>
    <n v="1"/>
    <n v="2"/>
    <n v="1000"/>
    <n v="0"/>
    <n v="0"/>
    <n v="1000"/>
    <n v="1000"/>
    <n v="2000"/>
    <x v="2"/>
    <s v="MESRS_Programme 2. Développement de l’enseignement supérieur"/>
    <s v="4. Transferts et subventions"/>
    <s v="STGE"/>
    <s v="DAF"/>
    <x v="2"/>
    <x v="3"/>
    <x v="25"/>
    <s v="424- Le nombre de filles, d’étudiants (es) handicapés (es) et ceux/celles issus (es) des couches défavorisées fréquentant les différentes formations est significativement augmenté"/>
    <x v="304"/>
    <s v="42413-Mise en place de la ligne budgétaire"/>
  </r>
  <r>
    <s v="Mise en place d’infrastructures et équipements adaptés"/>
    <m/>
    <m/>
    <n v="0"/>
    <m/>
    <m/>
    <m/>
    <m/>
    <m/>
    <m/>
    <m/>
    <m/>
    <m/>
    <m/>
    <x v="0"/>
    <m/>
    <m/>
    <m/>
    <m/>
    <x v="2"/>
    <x v="3"/>
    <x v="25"/>
    <s v="424- Le nombre de filles, d’étudiants (es) handicapés (es) et ceux/celles issus (es) des couches défavorisées fréquentant les différentes formations est significativement augmenté"/>
    <x v="305"/>
    <s v="4242-Mise en place d’infrastructures et équipements adaptés"/>
  </r>
  <r>
    <s v="Construction de rampes d'accès (Pris en compte dans activités 52111 à 52116)"/>
    <s v="pm"/>
    <s v="sif"/>
    <n v="0"/>
    <m/>
    <m/>
    <m/>
    <m/>
    <n v="0"/>
    <m/>
    <m/>
    <m/>
    <m/>
    <m/>
    <x v="2"/>
    <s v="MESRS_Programme 2. Développement de l’enseignement supérieur"/>
    <s v=""/>
    <s v="SNIEUS"/>
    <s v="DAF"/>
    <x v="2"/>
    <x v="3"/>
    <x v="25"/>
    <s v="424- Le nombre de filles, d’étudiants (es) handicapés (es) et ceux/celles issus (es) des couches défavorisées fréquentant les différentes formations est significativement augmenté"/>
    <x v="305"/>
    <s v="42421-Construction de rampes d'accès (Pris en compte dans activités 52111 à 52116)"/>
  </r>
  <r>
    <s v="Construction de toilettes adaptées (Pris en compte dans activités 52111 à 52116)"/>
    <s v="pm"/>
    <s v="sif"/>
    <n v="0"/>
    <m/>
    <m/>
    <m/>
    <m/>
    <n v="0"/>
    <m/>
    <m/>
    <m/>
    <m/>
    <m/>
    <x v="2"/>
    <s v="MESRS_Programme 2. Développement de l’enseignement supérieur"/>
    <s v=""/>
    <s v="SNIEUS"/>
    <s v="DAF"/>
    <x v="2"/>
    <x v="3"/>
    <x v="25"/>
    <s v="424- Le nombre de filles, d’étudiants (es) handicapés (es) et ceux/celles issus (es) des couches défavorisées fréquentant les différentes formations est significativement augmenté"/>
    <x v="305"/>
    <s v="42422-Construction de toilettes adaptées (Pris en compte dans activités 52111 à 52116)"/>
  </r>
  <r>
    <s v="Instauration des mesures d’accompagnement"/>
    <m/>
    <m/>
    <n v="0"/>
    <m/>
    <m/>
    <m/>
    <m/>
    <m/>
    <m/>
    <m/>
    <m/>
    <m/>
    <m/>
    <x v="0"/>
    <m/>
    <m/>
    <m/>
    <m/>
    <x v="2"/>
    <x v="3"/>
    <x v="25"/>
    <s v="424- Le nombre de filles, d’étudiants (es) handicapés (es) et ceux/celles issus (es) des couches défavorisées fréquentant les différentes formations est significativement augmenté"/>
    <x v="306"/>
    <s v="4243-Instauration des mesures d’accompagnement"/>
  </r>
  <r>
    <s v="Elaboration et adoption des textes et des critères d'octroi des bourses pour les personnes avec handicap et les filles inscrites dans les STIM (pris en compte dans activité 41533)"/>
    <s v="pm"/>
    <s v="sif"/>
    <n v="0"/>
    <n v="1"/>
    <m/>
    <m/>
    <n v="1"/>
    <n v="0"/>
    <n v="0"/>
    <n v="0"/>
    <n v="0"/>
    <n v="0"/>
    <m/>
    <x v="2"/>
    <s v="MESRS_Programme 2. Développement de l’enseignement supérieur"/>
    <s v=""/>
    <s v="STGE"/>
    <s v="Rectotat/DG"/>
    <x v="2"/>
    <x v="3"/>
    <x v="25"/>
    <s v="424- Le nombre de filles, d’étudiants (es) handicapés (es) et ceux/celles issus (es) des couches défavorisées fréquentant les différentes formations est significativement augmenté"/>
    <x v="306"/>
    <s v="42431-Elaboration et adoption des textes et des critères d'octroi des bourses pour les personnes avec handicap et les filles inscrites dans les STIM (pris en compte dans activité 41533)"/>
  </r>
  <r>
    <s v="Octroi des bourses (pris en compte dans activités 41533 et 41534)"/>
    <s v="pm"/>
    <s v="sif"/>
    <n v="0"/>
    <m/>
    <n v="1"/>
    <n v="1"/>
    <n v="2"/>
    <n v="0"/>
    <n v="0"/>
    <n v="0"/>
    <n v="0"/>
    <n v="0"/>
    <m/>
    <x v="2"/>
    <s v="MESRS_Programme 2. Développement de l’enseignement supérieur"/>
    <s v=""/>
    <s v="SG"/>
    <s v="DRH"/>
    <x v="2"/>
    <x v="3"/>
    <x v="25"/>
    <s v="424- Le nombre de filles, d’étudiants (es) handicapés (es) et ceux/celles issus (es) des couches défavorisées fréquentant les différentes formations est significativement augmenté"/>
    <x v="306"/>
    <s v="42432-Octroi des bourses (pris en compte dans activités 41533 et 41534)"/>
  </r>
  <r>
    <s v=" Qualité de l’enseignement, de la formation et de la recherche scientifique"/>
    <m/>
    <m/>
    <n v="0"/>
    <m/>
    <m/>
    <m/>
    <m/>
    <m/>
    <m/>
    <m/>
    <m/>
    <m/>
    <m/>
    <x v="0"/>
    <m/>
    <m/>
    <m/>
    <m/>
    <x v="2"/>
    <x v="3"/>
    <x v="26"/>
    <s v="43- Qualité de l’enseignement, de la formation et de la recherche scientifique"/>
    <x v="307"/>
    <s v="43- Qualité de l’enseignement, de la formation et de la recherche scientifique"/>
  </r>
  <r>
    <s v=" Le fonctionnement de l'ANAQ est renforcée"/>
    <m/>
    <m/>
    <n v="0"/>
    <m/>
    <m/>
    <m/>
    <m/>
    <m/>
    <m/>
    <m/>
    <m/>
    <m/>
    <m/>
    <x v="0"/>
    <m/>
    <m/>
    <m/>
    <m/>
    <x v="2"/>
    <x v="3"/>
    <x v="26"/>
    <s v="431- Le fonctionnement de l'ANAQ est renforcée"/>
    <x v="308"/>
    <s v="431- Le fonctionnement de l'ANAQ est renforcée"/>
  </r>
  <r>
    <s v="Evaluation de la qualité de l’éducation et de la recherche dans les institutions d’enseignement supérieur et de recherche"/>
    <m/>
    <m/>
    <n v="0"/>
    <m/>
    <m/>
    <m/>
    <m/>
    <m/>
    <m/>
    <m/>
    <m/>
    <m/>
    <m/>
    <x v="0"/>
    <m/>
    <m/>
    <m/>
    <m/>
    <x v="2"/>
    <x v="3"/>
    <x v="26"/>
    <s v="431- Le fonctionnement de l'ANAQ est renforcée"/>
    <x v="309"/>
    <s v="4311-Evaluation de la qualité de l’éducation et de la recherche dans les institutions d’enseignement supérieur et de recherche"/>
  </r>
  <r>
    <s v="Accréditation de programmes par l'ANAQ"/>
    <s v="Forfait"/>
    <s v="Acc/prog"/>
    <n v="0"/>
    <n v="5"/>
    <n v="10"/>
    <n v="15"/>
    <n v="30"/>
    <n v="57.6"/>
    <n v="0"/>
    <n v="288"/>
    <n v="576"/>
    <n v="864"/>
    <n v="1728"/>
    <x v="2"/>
    <s v="MESRS_Programme 2. Développement de l’enseignement supérieur"/>
    <s v="3. Dépenses de fonctionnement"/>
    <s v="ANAQ"/>
    <s v="Consultants"/>
    <x v="2"/>
    <x v="3"/>
    <x v="26"/>
    <s v="431- Le fonctionnement de l'ANAQ est renforcée"/>
    <x v="309"/>
    <s v="43111-Accréditation de programmes par l'ANAQ"/>
  </r>
  <r>
    <s v="Accréditation de programmes par l'ANAQ"/>
    <s v="Forfait"/>
    <s v="Acc/prog"/>
    <n v="0"/>
    <n v="5"/>
    <n v="10"/>
    <n v="15"/>
    <n v="30"/>
    <n v="57.6"/>
    <n v="0"/>
    <n v="288"/>
    <n v="576"/>
    <n v="864"/>
    <n v="1728"/>
    <x v="1"/>
    <s v="MESRS_Programme 2. Développement de l’enseignement supérieur"/>
    <s v="3. Dépenses de fonctionnement"/>
    <s v="ANAQ"/>
    <s v="Consultants"/>
    <x v="2"/>
    <x v="3"/>
    <x v="26"/>
    <s v="431- Le fonctionnement de l'ANAQ est renforcée"/>
    <x v="309"/>
    <s v="43111-Accréditation de programmes par l'ANAQ"/>
  </r>
  <r>
    <s v="Recrutement par l'ANAQ de consultants pour l'évaluation des institutions"/>
    <s v="Assistance technique"/>
    <s v="h/j/ci"/>
    <n v="0"/>
    <n v="157.5"/>
    <m/>
    <m/>
    <n v="157.5"/>
    <n v="10.404797"/>
    <n v="0"/>
    <n v="1638.7555275"/>
    <n v="0"/>
    <n v="0"/>
    <n v="1638.7555275"/>
    <x v="21"/>
    <s v="MESRS_Programme 2. Développement de l’enseignement supérieur"/>
    <s v="3. Dépenses de fonctionnement"/>
    <s v="ANAQ"/>
    <s v="Consultants"/>
    <x v="2"/>
    <x v="3"/>
    <x v="26"/>
    <s v="431- Le fonctionnement de l'ANAQ est renforcée"/>
    <x v="309"/>
    <s v="43112-Recrutement par l'ANAQ de consultants pour l'évaluation des institutions"/>
  </r>
  <r>
    <s v="Recrutement par l'ANAQ de consultants pour l'évaluation des institutions"/>
    <s v="Assistance technique"/>
    <s v="h/j/ci"/>
    <n v="0"/>
    <n v="67.5"/>
    <m/>
    <m/>
    <n v="67.5"/>
    <n v="10.404797"/>
    <n v="0"/>
    <n v="702.32379750000007"/>
    <n v="0"/>
    <n v="0"/>
    <n v="702.32379750000007"/>
    <x v="2"/>
    <s v="MESRS_Programme 2. Développement de l’enseignement supérieur"/>
    <s v="3. Dépenses de fonctionnement"/>
    <s v="ANAQ"/>
    <s v="Consultants"/>
    <x v="2"/>
    <x v="3"/>
    <x v="26"/>
    <s v="431- Le fonctionnement de l'ANAQ est renforcée"/>
    <x v="309"/>
    <s v="43112-Recrutement par l'ANAQ de consultants pour l'évaluation des institutions"/>
  </r>
  <r>
    <s v="Réalisation de missions de sensibilisation sur l'assurance qualité"/>
    <s v="missions"/>
    <s v="h/j/m"/>
    <n v="0"/>
    <n v="12"/>
    <n v="27"/>
    <m/>
    <n v="39"/>
    <n v="0.8177777777777776"/>
    <n v="0"/>
    <n v="9.8133333333333308"/>
    <n v="22.079999999999995"/>
    <n v="0"/>
    <n v="31.893333333333324"/>
    <x v="2"/>
    <s v="MESRS_Programme 2. Développement de l’enseignement supérieur"/>
    <s v="3. Dépenses de fonctionnement"/>
    <s v="SG"/>
    <s v="ANAQ"/>
    <x v="2"/>
    <x v="3"/>
    <x v="26"/>
    <s v="431- Le fonctionnement de l'ANAQ est renforcée"/>
    <x v="309"/>
    <s v="43113-Réalisation de missions de sensibilisation sur l'assurance qualité"/>
  </r>
  <r>
    <s v="Réalisation de missions de sensibilisation sur l'assurance qualité"/>
    <s v="missions"/>
    <s v="h/j/m"/>
    <n v="0"/>
    <n v="8"/>
    <n v="18"/>
    <m/>
    <n v="26"/>
    <n v="0.8177777777777776"/>
    <n v="0"/>
    <n v="6.5422222222222208"/>
    <n v="14.719999999999997"/>
    <n v="0"/>
    <n v="21.262222222222217"/>
    <x v="1"/>
    <s v="MESRS_Programme 2. Développement de l’enseignement supérieur"/>
    <s v="3. Dépenses de fonctionnement"/>
    <s v="SG"/>
    <s v="ANAQ"/>
    <x v="2"/>
    <x v="3"/>
    <x v="26"/>
    <s v="431- Le fonctionnement de l'ANAQ est renforcée"/>
    <x v="309"/>
    <s v="43113-Réalisation de missions de sensibilisation sur l'assurance qualité"/>
  </r>
  <r>
    <s v="Formation des cadres des institutions en assurance qualité"/>
    <s v="Formation"/>
    <s v="h/j/f"/>
    <n v="0"/>
    <n v="84"/>
    <m/>
    <m/>
    <n v="84"/>
    <n v="0.67666666666666664"/>
    <n v="0"/>
    <n v="56.839999999999996"/>
    <n v="0"/>
    <n v="0"/>
    <n v="56.839999999999996"/>
    <x v="2"/>
    <s v="MESRS_Programme 2. Développement de l’enseignement supérieur"/>
    <s v="3. Formation"/>
    <s v="SG"/>
    <s v="ANAQ"/>
    <x v="2"/>
    <x v="3"/>
    <x v="26"/>
    <s v="431- Le fonctionnement de l'ANAQ est renforcée"/>
    <x v="309"/>
    <s v="43114-Formation des cadres des institutions en assurance qualité"/>
  </r>
  <r>
    <s v="Accréditation des programmes de formation et des institutions"/>
    <m/>
    <m/>
    <n v="0"/>
    <m/>
    <m/>
    <m/>
    <m/>
    <m/>
    <m/>
    <m/>
    <m/>
    <m/>
    <m/>
    <x v="0"/>
    <m/>
    <m/>
    <m/>
    <m/>
    <x v="2"/>
    <x v="3"/>
    <x v="26"/>
    <s v="431- Le fonctionnement de l'ANAQ est renforcée"/>
    <x v="310"/>
    <s v="4312-Accréditation des programmes de formation et des institutions"/>
  </r>
  <r>
    <s v="Recrutement par l'ANAQ de consultants pour l'accréditation des programmes"/>
    <s v="Assistance technique"/>
    <s v="h/j/ci"/>
    <n v="0"/>
    <n v="150"/>
    <m/>
    <n v="200"/>
    <n v="350"/>
    <n v="10.404797"/>
    <n v="0"/>
    <n v="1560.71955"/>
    <n v="0"/>
    <n v="2080.9594000000002"/>
    <n v="3641.6789500000004"/>
    <x v="21"/>
    <s v="MESRS_Programme 2. Développement de l’enseignement supérieur"/>
    <s v="3. Dépenses de fonctionnement"/>
    <s v="ANAQ"/>
    <s v="DAF"/>
    <x v="2"/>
    <x v="3"/>
    <x v="26"/>
    <s v="431- Le fonctionnement de l'ANAQ est renforcée"/>
    <x v="310"/>
    <s v="43121-Recrutement par l'ANAQ de consultants pour l'accréditation des programmes"/>
  </r>
  <r>
    <s v=" Les stages pour les étudiants sont renforcés et rendus obligatoires"/>
    <m/>
    <m/>
    <n v="0"/>
    <m/>
    <m/>
    <m/>
    <m/>
    <m/>
    <m/>
    <m/>
    <m/>
    <m/>
    <m/>
    <x v="0"/>
    <m/>
    <m/>
    <m/>
    <m/>
    <x v="2"/>
    <x v="3"/>
    <x v="26"/>
    <s v="432- Les stages pour les étudiants sont renforcés et rendus obligatoires"/>
    <x v="311"/>
    <s v="432- Les stages pour les étudiants sont renforcés et rendus obligatoires"/>
  </r>
  <r>
    <s v="Elaboration de plans de stages"/>
    <m/>
    <m/>
    <n v="0"/>
    <m/>
    <m/>
    <m/>
    <m/>
    <m/>
    <m/>
    <m/>
    <m/>
    <m/>
    <m/>
    <x v="0"/>
    <m/>
    <m/>
    <m/>
    <m/>
    <x v="2"/>
    <x v="3"/>
    <x v="26"/>
    <s v="432- Les stages pour les étudiants sont renforcés et rendus obligatoires"/>
    <x v="312"/>
    <s v="4321-Elaboration de plans de stages"/>
  </r>
  <r>
    <s v="Identification des filières nécessitant des stages"/>
    <s v="travaux administratifs"/>
    <s v="sif"/>
    <n v="0"/>
    <n v="1"/>
    <m/>
    <m/>
    <n v="1"/>
    <n v="0"/>
    <n v="0"/>
    <n v="0"/>
    <n v="0"/>
    <n v="0"/>
    <m/>
    <x v="2"/>
    <s v="MESRS_Programme 2. Développement de l’enseignement supérieur"/>
    <s v=""/>
    <s v="ANAQ"/>
    <s v="Consultants"/>
    <x v="2"/>
    <x v="3"/>
    <x v="26"/>
    <s v="432- Les stages pour les étudiants sont renforcés et rendus obligatoires"/>
    <x v="312"/>
    <s v="43211-Identification des filières nécessitant des stages"/>
  </r>
  <r>
    <s v="Création des partenariats avec le secteur privé"/>
    <m/>
    <m/>
    <n v="0"/>
    <m/>
    <m/>
    <m/>
    <m/>
    <m/>
    <m/>
    <m/>
    <m/>
    <m/>
    <m/>
    <x v="0"/>
    <m/>
    <m/>
    <m/>
    <m/>
    <x v="2"/>
    <x v="3"/>
    <x v="26"/>
    <s v="432- Les stages pour les étudiants sont renforcés et rendus obligatoires"/>
    <x v="313"/>
    <s v="4322-Création des partenariats avec le secteur privé"/>
  </r>
  <r>
    <s v="Identification des partenaires du secteur privé"/>
    <s v="travaux administratifs"/>
    <s v="sif"/>
    <n v="0"/>
    <n v="1"/>
    <m/>
    <m/>
    <n v="1"/>
    <n v="0"/>
    <n v="0"/>
    <n v="0"/>
    <n v="0"/>
    <n v="0"/>
    <m/>
    <x v="2"/>
    <s v="MESRS_Programme 2. Développement de l’enseignement supérieur"/>
    <s v=""/>
    <s v="Rectotat/DG"/>
    <s v="IES/IRS"/>
    <x v="2"/>
    <x v="3"/>
    <x v="26"/>
    <s v="432- Les stages pour les étudiants sont renforcés et rendus obligatoires"/>
    <x v="313"/>
    <s v="43221-Identification des partenaires du secteur privé"/>
  </r>
  <r>
    <s v="Mise en place de conventions avec les partenaires du secteur privé pour l'accompagnement des étudiants"/>
    <s v="Missions+deplacements"/>
    <s v="subv/structure"/>
    <n v="0"/>
    <n v="15"/>
    <n v="20"/>
    <n v="20"/>
    <n v="55"/>
    <n v="50"/>
    <n v="0"/>
    <n v="750"/>
    <n v="1000"/>
    <n v="1000"/>
    <n v="2750"/>
    <x v="2"/>
    <s v="MESRS_Programme 2. Développement de l’enseignement supérieur"/>
    <s v="3. Dépenses de fonctionnement"/>
    <s v="Rectotat/DG"/>
    <s v="IES/IRS"/>
    <x v="2"/>
    <x v="3"/>
    <x v="26"/>
    <s v="432- Les stages pour les étudiants sont renforcés et rendus obligatoires"/>
    <x v="313"/>
    <s v="43222-Mise en place de conventions avec les partenaires du secteur privé pour l'accompagnement des étudiants"/>
  </r>
  <r>
    <s v=" La proportion des diplômés du supérieur ayant des compétences requises notamment en STIM (sciences, en technologies, en ingénierie et en mathématiques) est nettement augmentée"/>
    <m/>
    <m/>
    <n v="0"/>
    <m/>
    <m/>
    <m/>
    <m/>
    <m/>
    <m/>
    <m/>
    <m/>
    <m/>
    <m/>
    <x v="0"/>
    <m/>
    <m/>
    <m/>
    <m/>
    <x v="2"/>
    <x v="3"/>
    <x v="26"/>
    <s v="433- La proportion des diplômés du supérieur ayant des compétences requises notamment en STIM (sciences, en technologies, en ingénierie et en mathématiques) est nettement augmentée"/>
    <x v="314"/>
    <s v="433- La proportion des diplômés du supérieur ayant des compétences requises notamment en STIM (sciences, en technologies, en ingénierie et en mathématiques) est nettement augmentée"/>
  </r>
  <r>
    <s v="Réforme des formations en ingénierie"/>
    <m/>
    <m/>
    <n v="0"/>
    <m/>
    <m/>
    <m/>
    <m/>
    <m/>
    <m/>
    <m/>
    <m/>
    <m/>
    <m/>
    <x v="0"/>
    <m/>
    <m/>
    <m/>
    <m/>
    <x v="2"/>
    <x v="3"/>
    <x v="26"/>
    <s v="433- La proportion des diplômés du supérieur ayant des compétences requises notamment en STIM (sciences, en technologies, en ingénierie et en mathématiques) est nettement augmentée"/>
    <x v="315"/>
    <s v="4331-Réforme des formations en ingénierie"/>
  </r>
  <r>
    <s v="Identification des programmes à réformer"/>
    <s v="travaux administratifs"/>
    <s v="sif"/>
    <n v="0"/>
    <m/>
    <n v="1"/>
    <m/>
    <n v="1"/>
    <n v="0"/>
    <n v="0"/>
    <n v="0"/>
    <n v="0"/>
    <n v="0"/>
    <m/>
    <x v="6"/>
    <s v="MESRS_Programme 2. Développement de l’enseignement supérieur"/>
    <s v=""/>
    <s v="Rectotat/DG"/>
    <s v="IES/IRS"/>
    <x v="2"/>
    <x v="3"/>
    <x v="26"/>
    <s v="433- La proportion des diplômés du supérieur ayant des compétences requises notamment en STIM (sciences, en technologies, en ingénierie et en mathématiques) est nettement augmentée"/>
    <x v="315"/>
    <s v="43311-Identification des programmes à réformer"/>
  </r>
  <r>
    <s v="Constitution des commissions pour la réforme"/>
    <s v="décision"/>
    <s v="sif"/>
    <n v="0"/>
    <m/>
    <n v="1"/>
    <m/>
    <n v="1"/>
    <n v="0"/>
    <n v="0"/>
    <n v="0"/>
    <n v="0"/>
    <n v="0"/>
    <m/>
    <x v="2"/>
    <s v="MESRS_Programme 2. Développement de l’enseignement supérieur"/>
    <s v=""/>
    <s v="Rectotat/DG"/>
    <s v="IES/IRS"/>
    <x v="2"/>
    <x v="3"/>
    <x v="26"/>
    <s v="433- La proportion des diplômés du supérieur ayant des compétences requises notamment en STIM (sciences, en technologies, en ingénierie et en mathématiques) est nettement augmentée"/>
    <x v="315"/>
    <s v="43312-Constitution des commissions pour la réforme"/>
  </r>
  <r>
    <s v="Travaux de commissions"/>
    <s v="Paiement des perdiems"/>
    <s v="h/j/ap"/>
    <n v="0"/>
    <m/>
    <n v="280"/>
    <m/>
    <n v="280"/>
    <n v="0.255"/>
    <n v="0"/>
    <n v="0"/>
    <n v="71.400000000000006"/>
    <n v="0"/>
    <n v="71.400000000000006"/>
    <x v="6"/>
    <s v="MESRS_Programme 2. Développement de l’enseignement supérieur"/>
    <s v="3. Dépenses de fonctionnement"/>
    <s v="Rectotat/DG"/>
    <s v="DAF"/>
    <x v="2"/>
    <x v="3"/>
    <x v="26"/>
    <s v="433- La proportion des diplômés du supérieur ayant des compétences requises notamment en STIM (sciences, en technologies, en ingénierie et en mathématiques) est nettement augmentée"/>
    <x v="315"/>
    <s v="43313-Travaux de commissions"/>
  </r>
  <r>
    <s v="Rénovation et équipement de laboratoires et CDI"/>
    <m/>
    <m/>
    <n v="0"/>
    <m/>
    <m/>
    <m/>
    <m/>
    <m/>
    <m/>
    <m/>
    <m/>
    <m/>
    <m/>
    <x v="0"/>
    <m/>
    <m/>
    <m/>
    <m/>
    <x v="2"/>
    <x v="3"/>
    <x v="26"/>
    <s v="433- La proportion des diplômés du supérieur ayant des compétences requises notamment en STIM (sciences, en technologies, en ingénierie et en mathématiques) est nettement augmentée"/>
    <x v="316"/>
    <s v="4332-Rénovation et équipement de laboratoires et CDI"/>
  </r>
  <r>
    <s v="Dénombrement des labos"/>
    <s v="travaux administratifs"/>
    <s v="sif"/>
    <n v="0"/>
    <n v="1"/>
    <m/>
    <m/>
    <n v="1"/>
    <n v="0"/>
    <n v="0"/>
    <n v="0"/>
    <n v="0"/>
    <n v="0"/>
    <m/>
    <x v="2"/>
    <s v="MESRS_Programme 2. Développement de l’enseignement supérieur"/>
    <s v=""/>
    <s v="Rectotat/DG"/>
    <s v="IES/IRS"/>
    <x v="2"/>
    <x v="3"/>
    <x v="26"/>
    <s v="433- La proportion des diplômés du supérieur ayant des compétences requises notamment en STIM (sciences, en technologies, en ingénierie et en mathématiques) est nettement augmentée"/>
    <x v="316"/>
    <s v="43321-Dénombrement des labos"/>
  </r>
  <r>
    <s v="Rénovation et équipement des laboratoires (pris en compte dans activités 52112, 52113 52114 et 52116)"/>
    <s v="pm"/>
    <s v="sif"/>
    <n v="0"/>
    <n v="1"/>
    <n v="1"/>
    <m/>
    <n v="2"/>
    <n v="0"/>
    <n v="0"/>
    <n v="0"/>
    <n v="0"/>
    <n v="0"/>
    <m/>
    <x v="2"/>
    <s v="MESRS_Programme 2. Développement de l’enseignement supérieur"/>
    <s v=""/>
    <s v="SNIEUS"/>
    <s v="DAF"/>
    <x v="2"/>
    <x v="3"/>
    <x v="26"/>
    <s v="433- La proportion des diplômés du supérieur ayant des compétences requises notamment en STIM (sciences, en technologies, en ingénierie et en mathématiques) est nettement augmentée"/>
    <x v="316"/>
    <s v="43322-Rénovation et équipement des laboratoires (pris en compte dans activités 52112, 52113 52114 et 52116)"/>
  </r>
  <r>
    <s v="Mise en œuvre du projet stratégique « 1000 PhD et 5000 Masters »"/>
    <m/>
    <m/>
    <n v="0"/>
    <m/>
    <m/>
    <m/>
    <m/>
    <m/>
    <m/>
    <m/>
    <m/>
    <m/>
    <m/>
    <x v="0"/>
    <m/>
    <m/>
    <m/>
    <m/>
    <x v="2"/>
    <x v="3"/>
    <x v="26"/>
    <s v="433- La proportion des diplômés du supérieur ayant des compétences requises notamment en STIM (sciences, en technologies, en ingénierie et en mathématiques) est nettement augmentée"/>
    <x v="317"/>
    <s v="4333-Mise en œuvre du projet stratégique « 1000 PhD et 5000 Masters »"/>
  </r>
  <r>
    <s v="Examen des dossiers des enseignants par la commission mise en place"/>
    <s v="travaux administratifs"/>
    <s v="sif"/>
    <n v="0"/>
    <n v="1"/>
    <n v="1"/>
    <n v="1"/>
    <n v="3"/>
    <n v="0"/>
    <n v="0"/>
    <n v="0"/>
    <n v="0"/>
    <n v="0"/>
    <m/>
    <x v="2"/>
    <s v="MESRS_Programme 2. Développement de l’enseignement supérieur"/>
    <s v=""/>
    <s v="SG"/>
    <s v="DGES"/>
    <x v="2"/>
    <x v="3"/>
    <x v="26"/>
    <s v="433- La proportion des diplômés du supérieur ayant des compétences requises notamment en STIM (sciences, en technologies, en ingénierie et en mathématiques) est nettement augmentée"/>
    <x v="317"/>
    <s v="43331-Examen des dossiers des enseignants par la commission mise en place"/>
  </r>
  <r>
    <s v="Financement des formations en master en Guinée (pris en compte dans subventions aux établissements)"/>
    <s v="pm"/>
    <s v="sif"/>
    <n v="0"/>
    <n v="400"/>
    <n v="400"/>
    <n v="500"/>
    <n v="1300"/>
    <n v="0"/>
    <n v="0"/>
    <n v="0"/>
    <n v="0"/>
    <n v="0"/>
    <m/>
    <x v="2"/>
    <s v="MESRS_Programme 2. Développement de l’enseignement supérieur"/>
    <s v=""/>
    <s v="Rectotat/DG"/>
    <s v="DAF"/>
    <x v="2"/>
    <x v="3"/>
    <x v="26"/>
    <s v="433- La proportion des diplômés du supérieur ayant des compétences requises notamment en STIM (sciences, en technologies, en ingénierie et en mathématiques) est nettement augmentée"/>
    <x v="317"/>
    <s v="43332-Financement des formations en master en Guinée (pris en compte dans subventions aux établissements)"/>
  </r>
  <r>
    <s v="Financement des formations en master à l'étranger (pris en compte dans activité 41536)"/>
    <s v="pm"/>
    <s v="sif"/>
    <n v="0"/>
    <n v="50"/>
    <n v="100"/>
    <n v="100"/>
    <n v="150"/>
    <n v="0"/>
    <n v="0"/>
    <n v="0"/>
    <n v="0"/>
    <n v="0"/>
    <m/>
    <x v="2"/>
    <s v="MESRS_Programme 2. Développement de l’enseignement supérieur"/>
    <s v=""/>
    <m/>
    <m/>
    <x v="2"/>
    <x v="3"/>
    <x v="26"/>
    <s v="433- La proportion des diplômés du supérieur ayant des compétences requises notamment en STIM (sciences, en technologies, en ingénierie et en mathématiques) est nettement augmentée"/>
    <x v="317"/>
    <s v="43333-Financement des formations en master à l'étranger (pris en compte dans activité 41536)"/>
  </r>
  <r>
    <s v="Financement des formations en Doctorat en Guinée (pris en compte dans subventions aux établissements)"/>
    <s v="pm"/>
    <s v="sif"/>
    <n v="0"/>
    <n v="50"/>
    <n v="50"/>
    <n v="50"/>
    <n v="150"/>
    <n v="0"/>
    <n v="0"/>
    <n v="0"/>
    <n v="0"/>
    <n v="0"/>
    <m/>
    <x v="2"/>
    <s v="MESRS_Programme 2. Développement de l’enseignement supérieur"/>
    <s v=""/>
    <s v="Rectotat/DG"/>
    <s v="DAF"/>
    <x v="2"/>
    <x v="3"/>
    <x v="26"/>
    <s v="433- La proportion des diplômés du supérieur ayant des compétences requises notamment en STIM (sciences, en technologies, en ingénierie et en mathématiques) est nettement augmentée"/>
    <x v="317"/>
    <s v="43334-Financement des formations en Doctorat en Guinée (pris en compte dans subventions aux établissements)"/>
  </r>
  <r>
    <s v="Financement des formations en Doctorat à l'étranger"/>
    <s v="formation"/>
    <s v="Form/an/étranger"/>
    <n v="0"/>
    <n v="11"/>
    <n v="11"/>
    <n v="11"/>
    <n v="33"/>
    <n v="100"/>
    <n v="0"/>
    <n v="1100"/>
    <n v="1100"/>
    <n v="1100"/>
    <n v="3300"/>
    <x v="2"/>
    <s v="MESRS_Programme 2. Développement de l’enseignement supérieur"/>
    <s v="3. Formation"/>
    <m/>
    <m/>
    <x v="2"/>
    <x v="3"/>
    <x v="26"/>
    <s v="433- La proportion des diplômés du supérieur ayant des compétences requises notamment en STIM (sciences, en technologies, en ingénierie et en mathématiques) est nettement augmentée"/>
    <x v="317"/>
    <s v="43335-Financement des formations en Doctorat à l'étranger"/>
  </r>
  <r>
    <s v="Augmentation des publications de travaux de recherche"/>
    <m/>
    <m/>
    <n v="0"/>
    <m/>
    <m/>
    <m/>
    <m/>
    <m/>
    <m/>
    <m/>
    <m/>
    <m/>
    <m/>
    <x v="0"/>
    <m/>
    <m/>
    <m/>
    <m/>
    <x v="2"/>
    <x v="3"/>
    <x v="26"/>
    <s v="433- La proportion des diplômés du supérieur ayant des compétences requises notamment en STIM (sciences, en technologies, en ingénierie et en mathématiques) est nettement augmentée"/>
    <x v="318"/>
    <s v="4334-Augmentation des publications de travaux de recherche"/>
  </r>
  <r>
    <s v="Elaboration des critères d'octroi des primes de recherche"/>
    <s v="travaux administratifs"/>
    <s v="sif"/>
    <n v="0"/>
    <m/>
    <m/>
    <m/>
    <n v="0"/>
    <n v="0"/>
    <n v="0"/>
    <n v="0"/>
    <n v="0"/>
    <n v="0"/>
    <m/>
    <x v="6"/>
    <s v="MESRS_Programme 2. Développement de l’enseignement supérieur"/>
    <s v=""/>
    <s v="DGRSIT"/>
    <s v="DAF"/>
    <x v="2"/>
    <x v="3"/>
    <x v="26"/>
    <s v="433- La proportion des diplômés du supérieur ayant des compétences requises notamment en STIM (sciences, en technologies, en ingénierie et en mathématiques) est nettement augmentée"/>
    <x v="318"/>
    <s v="43341-Elaboration des critères d'octroi des primes de recherche"/>
  </r>
  <r>
    <s v="Elaboration d'un répertoire des publications"/>
    <s v="travaux administratifs"/>
    <s v="sif"/>
    <n v="0"/>
    <n v="1"/>
    <n v="1"/>
    <n v="1"/>
    <n v="3"/>
    <n v="0"/>
    <n v="0"/>
    <n v="0"/>
    <n v="0"/>
    <n v="0"/>
    <m/>
    <x v="2"/>
    <s v="MESRS_Programme 2. Développement de l’enseignement supérieur"/>
    <s v=""/>
    <s v="Rectotat/DG"/>
    <s v="IES/IRS"/>
    <x v="2"/>
    <x v="3"/>
    <x v="26"/>
    <s v="433- La proportion des diplômés du supérieur ayant des compétences requises notamment en STIM (sciences, en technologies, en ingénierie et en mathématiques) est nettement augmentée"/>
    <x v="318"/>
    <s v="43342-Elaboration d'un répertoire des publications"/>
  </r>
  <r>
    <s v="Paiement des primes de publications"/>
    <s v="pm"/>
    <s v="sif"/>
    <n v="0"/>
    <n v="1"/>
    <n v="1"/>
    <n v="1"/>
    <n v="3"/>
    <n v="0"/>
    <n v="0"/>
    <n v="0"/>
    <n v="0"/>
    <n v="0"/>
    <m/>
    <x v="2"/>
    <s v="MESRS_Programme 2. Développement de l’enseignement supérieur"/>
    <s v=""/>
    <s v="Rectotat/DG"/>
    <s v="DAF"/>
    <x v="2"/>
    <x v="3"/>
    <x v="26"/>
    <s v="433- La proportion des diplômés du supérieur ayant des compétences requises notamment en STIM (sciences, en technologies, en ingénierie et en mathématiques) est nettement augmentée"/>
    <x v="318"/>
    <s v="43343-Paiement des primes de publications"/>
  </r>
  <r>
    <s v="Renforcement de l’encadrement des mémoires et thèses"/>
    <m/>
    <m/>
    <n v="0"/>
    <m/>
    <m/>
    <m/>
    <m/>
    <m/>
    <m/>
    <m/>
    <m/>
    <m/>
    <m/>
    <x v="0"/>
    <m/>
    <m/>
    <m/>
    <m/>
    <x v="2"/>
    <x v="3"/>
    <x v="26"/>
    <s v="433- La proportion des diplômés du supérieur ayant des compétences requises notamment en STIM (sciences, en technologies, en ingénierie et en mathématiques) est nettement augmentée"/>
    <x v="319"/>
    <s v="4335-Renforcement de l’encadrement des mémoires et thèses"/>
  </r>
  <r>
    <s v="Réactualisation des critères d'octroi des primes d'encadrement"/>
    <s v="travaux administratifs"/>
    <s v="sif"/>
    <n v="0"/>
    <m/>
    <m/>
    <m/>
    <n v="0"/>
    <n v="0"/>
    <n v="0"/>
    <n v="0"/>
    <n v="0"/>
    <n v="0"/>
    <m/>
    <x v="2"/>
    <s v="MESRS_Programme 2. Développement de l’enseignement supérieur"/>
    <s v=""/>
    <s v="DGES"/>
    <s v="DAF"/>
    <x v="2"/>
    <x v="3"/>
    <x v="26"/>
    <s v="433- La proportion des diplômés du supérieur ayant des compétences requises notamment en STIM (sciences, en technologies, en ingénierie et en mathématiques) est nettement augmentée"/>
    <x v="319"/>
    <s v="43351-Réactualisation des critères d'octroi des primes d'encadrement"/>
  </r>
  <r>
    <s v="Elaboration de la liste des mémoires et thèses par encadreur "/>
    <s v="travaux administratifs"/>
    <s v="sif"/>
    <n v="0"/>
    <n v="1"/>
    <n v="1"/>
    <n v="1"/>
    <n v="3"/>
    <n v="0"/>
    <n v="0"/>
    <n v="0"/>
    <n v="0"/>
    <n v="0"/>
    <m/>
    <x v="2"/>
    <s v="MESRS_Programme 2. Développement de l’enseignement supérieur"/>
    <s v=""/>
    <s v="DGES"/>
    <s v="IES/IRS"/>
    <x v="2"/>
    <x v="3"/>
    <x v="26"/>
    <s v="433- La proportion des diplômés du supérieur ayant des compétences requises notamment en STIM (sciences, en technologies, en ingénierie et en mathématiques) est nettement augmentée"/>
    <x v="319"/>
    <s v="43352-Elaboration de la liste des mémoires et thèses par encadreur "/>
  </r>
  <r>
    <s v="paiement des primes d'encadrement (pris en compte dans subvention des établissements)"/>
    <s v="pm"/>
    <s v="sif"/>
    <n v="0"/>
    <n v="1"/>
    <n v="1"/>
    <n v="1"/>
    <n v="3"/>
    <n v="0"/>
    <n v="0"/>
    <n v="0"/>
    <n v="0"/>
    <n v="0"/>
    <m/>
    <x v="2"/>
    <s v="MESRS_Programme 2. Développement de l’enseignement supérieur"/>
    <s v=""/>
    <s v="DGES"/>
    <s v="DAF"/>
    <x v="2"/>
    <x v="3"/>
    <x v="26"/>
    <s v="433- La proportion des diplômés du supérieur ayant des compétences requises notamment en STIM (sciences, en technologies, en ingénierie et en mathématiques) est nettement augmentée"/>
    <x v="319"/>
    <s v="43353-paiement des primes d'encadrement (pris en compte dans subvention des établissements)"/>
  </r>
  <r>
    <s v=" Les structures d’accompagnement et de suivi des diplômés sur le marché du travail sont fonctionnelles"/>
    <m/>
    <m/>
    <n v="0"/>
    <m/>
    <m/>
    <m/>
    <m/>
    <m/>
    <m/>
    <m/>
    <m/>
    <m/>
    <m/>
    <x v="0"/>
    <m/>
    <m/>
    <m/>
    <m/>
    <x v="2"/>
    <x v="3"/>
    <x v="26"/>
    <s v="434- Les structures d’accompagnement et de suivi des diplômés sur le marché du travail sont fonctionnelles"/>
    <x v="320"/>
    <s v="434- Les structures d’accompagnement et de suivi des diplômés sur le marché du travail sont fonctionnelles"/>
  </r>
  <r>
    <s v="Création de structures d’accompagnement des étudiants diplômés"/>
    <m/>
    <m/>
    <n v="0"/>
    <m/>
    <m/>
    <m/>
    <m/>
    <m/>
    <m/>
    <m/>
    <m/>
    <m/>
    <m/>
    <x v="0"/>
    <m/>
    <m/>
    <m/>
    <m/>
    <x v="2"/>
    <x v="3"/>
    <x v="26"/>
    <s v="434- Les structures d’accompagnement et de suivi des diplômés sur le marché du travail sont fonctionnelles"/>
    <x v="321"/>
    <s v="4341-Création de structures d’accompagnement des étudiants diplômés"/>
  </r>
  <r>
    <s v="Elaboration/publication des actes de création des structures au niveau des institutions et au niveau central"/>
    <s v="travaux administratifs"/>
    <s v="sif"/>
    <n v="0"/>
    <n v="1"/>
    <m/>
    <m/>
    <n v="1"/>
    <n v="0"/>
    <n v="0"/>
    <n v="0"/>
    <n v="0"/>
    <n v="0"/>
    <m/>
    <x v="2"/>
    <s v="MESRS_Programme 2. Développement de l’enseignement supérieur"/>
    <s v=""/>
    <s v="SG"/>
    <s v="Rectotat/DG"/>
    <x v="2"/>
    <x v="3"/>
    <x v="26"/>
    <s v="434- Les structures d’accompagnement et de suivi des diplômés sur le marché du travail sont fonctionnelles"/>
    <x v="321"/>
    <s v="43411-Elaboration/publication des actes de création des structures au niveau des institutions et au niveau central"/>
  </r>
  <r>
    <s v="Nomination des cadres dans les structures de suivi"/>
    <s v="décision"/>
    <s v="sif"/>
    <n v="0"/>
    <n v="1"/>
    <m/>
    <m/>
    <n v="1"/>
    <n v="0"/>
    <n v="0"/>
    <n v="0"/>
    <n v="0"/>
    <n v="0"/>
    <m/>
    <x v="2"/>
    <s v="MESRS_Programme 2. Développement de l’enseignement supérieur"/>
    <s v=""/>
    <s v="SG"/>
    <s v="DRH"/>
    <x v="2"/>
    <x v="3"/>
    <x v="26"/>
    <s v="434- Les structures d’accompagnement et de suivi des diplômés sur le marché du travail sont fonctionnelles"/>
    <x v="321"/>
    <s v="43412-Nomination des cadres dans les structures de suivi"/>
  </r>
  <r>
    <s v="Opérationnalisation des structures (pris en compte dans les subventions des institutions)"/>
    <s v="pm"/>
    <s v="sif"/>
    <n v="0"/>
    <m/>
    <n v="1"/>
    <n v="1"/>
    <n v="2"/>
    <n v="0"/>
    <n v="0"/>
    <n v="0"/>
    <n v="0"/>
    <n v="0"/>
    <m/>
    <x v="2"/>
    <s v="MESRS_Programme 2. Développement de l’enseignement supérieur"/>
    <s v=""/>
    <s v="Rectotat/DG"/>
    <s v="DAF"/>
    <x v="2"/>
    <x v="3"/>
    <x v="26"/>
    <s v="434- Les structures d’accompagnement et de suivi des diplômés sur le marché du travail sont fonctionnelles"/>
    <x v="321"/>
    <s v="43413-Opérationnalisation des structures (pris en compte dans les subventions des institutions)"/>
  </r>
  <r>
    <s v="Pérennisation du forum des étudiants de Guinée (FEG)"/>
    <m/>
    <m/>
    <n v="0"/>
    <m/>
    <m/>
    <m/>
    <m/>
    <m/>
    <m/>
    <m/>
    <m/>
    <m/>
    <m/>
    <x v="0"/>
    <m/>
    <m/>
    <m/>
    <m/>
    <x v="2"/>
    <x v="3"/>
    <x v="26"/>
    <s v="434- Les structures d’accompagnement et de suivi des diplômés sur le marché du travail sont fonctionnelles"/>
    <x v="322"/>
    <s v="4342-Pérennisation du forum des étudiants de Guinée (FEG)"/>
  </r>
  <r>
    <s v="Mise en place des cadres de concertations du FEG"/>
    <s v="décision"/>
    <s v="sif"/>
    <n v="0"/>
    <m/>
    <m/>
    <m/>
    <n v="0"/>
    <n v="0"/>
    <n v="0"/>
    <n v="0"/>
    <n v="0"/>
    <n v="0"/>
    <m/>
    <x v="2"/>
    <s v="MESRS_Programme 2. Développement de l’enseignement supérieur"/>
    <s v=""/>
    <s v="Cabinet"/>
    <s v="Cabinet"/>
    <x v="2"/>
    <x v="3"/>
    <x v="26"/>
    <s v="434- Les structures d’accompagnement et de suivi des diplômés sur le marché du travail sont fonctionnelles"/>
    <x v="322"/>
    <s v="43421-Mise en place des cadres de concertations du FEG"/>
  </r>
  <r>
    <s v="Opérationnalisation des cadres de concertation"/>
    <s v="Subvention de fonctionnement"/>
    <s v="envel/an/CC"/>
    <n v="0"/>
    <n v="1"/>
    <n v="1"/>
    <n v="1"/>
    <n v="3"/>
    <n v="500"/>
    <n v="0"/>
    <n v="500"/>
    <n v="500"/>
    <n v="500"/>
    <n v="1500"/>
    <x v="2"/>
    <s v="MESRS_Programme 2. Développement de l’enseignement supérieur"/>
    <s v="3. Dépenses de fonctionnement"/>
    <s v="Cabinet"/>
    <s v="Cabinet"/>
    <x v="2"/>
    <x v="3"/>
    <x v="26"/>
    <s v="434- Les structures d’accompagnement et de suivi des diplômés sur le marché du travail sont fonctionnelles"/>
    <x v="322"/>
    <s v="43422-Opérationnalisation des cadres de concertation"/>
  </r>
  <r>
    <s v="Création des incubateurs dans les institutions"/>
    <m/>
    <m/>
    <n v="0"/>
    <m/>
    <m/>
    <m/>
    <m/>
    <m/>
    <m/>
    <m/>
    <m/>
    <m/>
    <m/>
    <x v="0"/>
    <m/>
    <m/>
    <m/>
    <m/>
    <x v="2"/>
    <x v="3"/>
    <x v="26"/>
    <s v="434- Les structures d’accompagnement et de suivi des diplômés sur le marché du travail sont fonctionnelles"/>
    <x v="323"/>
    <s v="4343-Création des incubateurs dans les institutions"/>
  </r>
  <r>
    <s v="Réalisation d'études de faisabilité pour la création d'incubateurs"/>
    <s v="Assistance technique"/>
    <s v="h/j/ci"/>
    <n v="0"/>
    <n v="30"/>
    <m/>
    <n v="30"/>
    <n v="60"/>
    <n v="10.404797"/>
    <n v="0"/>
    <n v="312.14391000000001"/>
    <n v="0"/>
    <n v="312.14391000000001"/>
    <n v="624.28782000000001"/>
    <x v="2"/>
    <s v="MESRS_Programme 2. Développement de l’enseignement supérieur"/>
    <s v="3. Dépenses de fonctionnement"/>
    <s v="Rectotat/DG"/>
    <s v="IES/IRS"/>
    <x v="2"/>
    <x v="3"/>
    <x v="26"/>
    <s v="434- Les structures d’accompagnement et de suivi des diplômés sur le marché du travail sont fonctionnelles"/>
    <x v="323"/>
    <s v="43431-Réalisation d'études de faisabilité pour la création d'incubateurs"/>
  </r>
  <r>
    <s v="Création de projets"/>
    <s v="Subvention d'équipement"/>
    <s v="subv/incub"/>
    <n v="0"/>
    <m/>
    <n v="1"/>
    <n v="1"/>
    <n v="2"/>
    <n v="1000"/>
    <n v="0"/>
    <n v="0"/>
    <n v="1000"/>
    <n v="1000"/>
    <n v="2000"/>
    <x v="2"/>
    <s v="MESRS_Programme 2. Développement de l’enseignement supérieur"/>
    <s v="4. Transferts et subventions"/>
    <s v="BSD"/>
    <s v="DAF"/>
    <x v="2"/>
    <x v="3"/>
    <x v="26"/>
    <s v="434- Les structures d’accompagnement et de suivi des diplômés sur le marché du travail sont fonctionnelles"/>
    <x v="323"/>
    <s v="43432-Création de projets"/>
  </r>
  <r>
    <s v=" L’utilisation des TICE dans l’enseignement supérieur et la recherche scientifique est améliorée"/>
    <m/>
    <m/>
    <n v="0"/>
    <m/>
    <m/>
    <m/>
    <m/>
    <m/>
    <m/>
    <m/>
    <m/>
    <m/>
    <m/>
    <x v="0"/>
    <m/>
    <m/>
    <m/>
    <m/>
    <x v="2"/>
    <x v="3"/>
    <x v="26"/>
    <s v="435- L’utilisation des TICE dans l’enseignement supérieur et la recherche scientifique est améliorée"/>
    <x v="324"/>
    <s v="435- L’utilisation des TICE dans l’enseignement supérieur et la recherche scientifique est améliorée"/>
  </r>
  <r>
    <s v="Amélioration de la connectivité à internet (infrastructures de réseaux et bande passante) dans toutes les institutions"/>
    <m/>
    <m/>
    <n v="0"/>
    <m/>
    <m/>
    <m/>
    <m/>
    <m/>
    <m/>
    <m/>
    <m/>
    <m/>
    <m/>
    <x v="0"/>
    <m/>
    <m/>
    <m/>
    <m/>
    <x v="2"/>
    <x v="3"/>
    <x v="26"/>
    <s v="435- L’utilisation des TICE dans l’enseignement supérieur et la recherche scientifique est améliorée"/>
    <x v="325"/>
    <s v="4351-Amélioration de la connectivité à internet (infrastructures de réseaux et bande passante) dans toutes les institutions"/>
  </r>
  <r>
    <s v="Etude d'identification des besoins techniques (pris en compte dans étude sur le schéma directeur en cours)"/>
    <s v="pm"/>
    <s v="sif"/>
    <n v="0"/>
    <m/>
    <m/>
    <m/>
    <n v="0"/>
    <n v="0"/>
    <n v="0"/>
    <n v="0"/>
    <n v="0"/>
    <n v="0"/>
    <m/>
    <x v="2"/>
    <s v="MESRS_Programme 2. Développement de l’enseignement supérieur"/>
    <s v=""/>
    <s v="SI/RISTEL"/>
    <s v="Consultants"/>
    <x v="2"/>
    <x v="3"/>
    <x v="26"/>
    <s v="435- L’utilisation des TICE dans l’enseignement supérieur et la recherche scientifique est améliorée"/>
    <x v="325"/>
    <s v="43511-Etude d'identification des besoins techniques (pris en compte dans étude sur le schéma directeur en cours)"/>
  </r>
  <r>
    <s v="Acquisition d'équipement informatiques pour la mise en œuvre progressive du schéma directeur"/>
    <s v="Equipement informatique"/>
    <s v="dot/Ètab"/>
    <n v="0"/>
    <n v="1"/>
    <n v="1"/>
    <n v="1"/>
    <n v="3"/>
    <n v="400"/>
    <n v="0"/>
    <n v="400"/>
    <n v="400"/>
    <n v="400"/>
    <n v="1200"/>
    <x v="2"/>
    <s v="MESRS_Programme 2. Développement de l’enseignement supérieur"/>
    <s v="5. Investissement"/>
    <s v="Serv.TIC"/>
    <s v="DAF"/>
    <x v="2"/>
    <x v="3"/>
    <x v="26"/>
    <s v="435- L’utilisation des TICE dans l’enseignement supérieur et la recherche scientifique est améliorée"/>
    <x v="325"/>
    <s v="43512-Acquisition d'équipement informatiques pour la mise en œuvre progressive du schéma directeur"/>
  </r>
  <r>
    <s v="Acquisition d'équipement informatiques pour la mise en œuvre progressive du schéma directeur"/>
    <s v="Equipement informatique"/>
    <s v="dot/Ètab"/>
    <n v="0"/>
    <n v="1"/>
    <n v="1"/>
    <n v="1"/>
    <n v="3"/>
    <n v="400"/>
    <n v="0"/>
    <n v="400"/>
    <n v="400"/>
    <n v="400"/>
    <n v="1200"/>
    <x v="1"/>
    <s v="MESRS_Programme 2. Développement de l’enseignement supérieur"/>
    <s v="5. Investissement"/>
    <s v="Serv.TIC"/>
    <s v="DAF"/>
    <x v="2"/>
    <x v="3"/>
    <x v="26"/>
    <s v="435- L’utilisation des TICE dans l’enseignement supérieur et la recherche scientifique est améliorée"/>
    <x v="325"/>
    <s v="43512-Acquisition d'équipement informatiques pour la mise en œuvre progressive du schéma directeur"/>
  </r>
  <r>
    <s v="Renforcement des capacités des ressources humaines nécessaire pour prendre en charge l’utilisation des TICE"/>
    <m/>
    <m/>
    <n v="0"/>
    <m/>
    <m/>
    <m/>
    <m/>
    <m/>
    <m/>
    <m/>
    <m/>
    <m/>
    <m/>
    <x v="0"/>
    <m/>
    <m/>
    <m/>
    <m/>
    <x v="2"/>
    <x v="3"/>
    <x v="26"/>
    <s v="435- L’utilisation des TICE dans l’enseignement supérieur et la recherche scientifique est améliorée"/>
    <x v="326"/>
    <s v="4352-Renforcement des capacités des ressources humaines nécessaire pour prendre en charge l’utilisation des TICE"/>
  </r>
  <r>
    <s v="Nomination des cadres en charge des TICE"/>
    <s v="décision"/>
    <s v="sif"/>
    <n v="0"/>
    <m/>
    <m/>
    <m/>
    <m/>
    <n v="0"/>
    <m/>
    <m/>
    <m/>
    <m/>
    <m/>
    <x v="2"/>
    <s v="MESRS_Programme 2. Développement de l’enseignement supérieur"/>
    <s v=""/>
    <s v="SG"/>
    <s v="DRH"/>
    <x v="2"/>
    <x v="3"/>
    <x v="26"/>
    <s v="435- L’utilisation des TICE dans l’enseignement supérieur et la recherche scientifique est améliorée"/>
    <x v="326"/>
    <s v="43521-Nomination des cadres en charge des TICE"/>
  </r>
  <r>
    <s v="Accompagnement des Institutions (formation)"/>
    <s v="Assistance technique"/>
    <s v="h/j/cn"/>
    <n v="0"/>
    <m/>
    <m/>
    <m/>
    <n v="0"/>
    <n v="2.651545"/>
    <n v="0"/>
    <n v="0"/>
    <n v="0"/>
    <n v="0"/>
    <n v="0"/>
    <x v="2"/>
    <s v="MESRS_Programme 2. Développement de l’enseignement supérieur"/>
    <s v="3. Dépenses de fonctionnement"/>
    <s v="SI/RISTEL"/>
    <s v="Consultants"/>
    <x v="2"/>
    <x v="3"/>
    <x v="26"/>
    <s v="435- L’utilisation des TICE dans l’enseignement supérieur et la recherche scientifique est améliorée"/>
    <x v="326"/>
    <s v="43522-Accompagnement des Institutions (formation)"/>
  </r>
  <r>
    <s v="Accompagnement des Institutions (maintenance)"/>
    <s v="Assistance technique"/>
    <s v="h/j/cn"/>
    <n v="0"/>
    <m/>
    <m/>
    <n v="30"/>
    <n v="30"/>
    <n v="2.651545"/>
    <n v="0"/>
    <n v="0"/>
    <n v="0"/>
    <n v="79.546350000000004"/>
    <n v="79.546350000000004"/>
    <x v="2"/>
    <s v="MESRS_Programme 2. Développement de l’enseignement supérieur"/>
    <s v="3. Dépenses de fonctionnement"/>
    <s v="SI/RISTEL"/>
    <s v="Consultants"/>
    <x v="2"/>
    <x v="3"/>
    <x v="26"/>
    <s v="435- L’utilisation des TICE dans l’enseignement supérieur et la recherche scientifique est améliorée"/>
    <x v="326"/>
    <s v="43523-Accompagnement des Institutions (maintenance)"/>
  </r>
  <r>
    <s v="Renforcement de l’usage pédagogique des applications informatiques et de l’Internet (formation à distance, espaces numériques, télé-enseignement)"/>
    <m/>
    <m/>
    <n v="0"/>
    <m/>
    <m/>
    <m/>
    <m/>
    <m/>
    <m/>
    <m/>
    <m/>
    <m/>
    <m/>
    <x v="0"/>
    <m/>
    <m/>
    <m/>
    <m/>
    <x v="2"/>
    <x v="3"/>
    <x v="26"/>
    <s v="435- L’utilisation des TICE dans l’enseignement supérieur et la recherche scientifique est améliorée"/>
    <x v="327"/>
    <s v="4353-Renforcement de l’usage pédagogique des applications informatiques et de l’Internet (formation à distance, espaces numériques, télé-enseignement)"/>
  </r>
  <r>
    <s v="Dotation d'outils informatiques aux institutions"/>
    <s v="Equipement informatique"/>
    <s v="ordin/portable"/>
    <n v="0"/>
    <n v="5"/>
    <m/>
    <n v="5"/>
    <n v="10"/>
    <n v="6.333333333333333"/>
    <n v="0"/>
    <n v="31.666666666666664"/>
    <n v="0"/>
    <n v="31.666666666666664"/>
    <n v="63.333333333333329"/>
    <x v="2"/>
    <s v="MESRS_Programme 2. Développement de l’enseignement supérieur"/>
    <s v="5. Investissement"/>
    <s v="Rectotat/DG"/>
    <s v="DAF"/>
    <x v="2"/>
    <x v="3"/>
    <x v="26"/>
    <s v="435- L’utilisation des TICE dans l’enseignement supérieur et la recherche scientifique est améliorée"/>
    <x v="327"/>
    <s v="43531-Dotation d'outils informatiques aux institutions"/>
  </r>
  <r>
    <s v="Equipement de salles de classe en vidéo projecteurs"/>
    <s v="Equipement informatique"/>
    <s v="vidproj"/>
    <n v="0"/>
    <n v="90"/>
    <m/>
    <n v="90"/>
    <n v="180"/>
    <n v="5.25"/>
    <n v="0"/>
    <n v="472.5"/>
    <n v="0"/>
    <n v="472.5"/>
    <n v="945"/>
    <x v="2"/>
    <s v="MESRS_Programme 2. Développement de l’enseignement supérieur"/>
    <s v="5. Investissement"/>
    <s v="Rectotat/DG"/>
    <s v="DAF"/>
    <x v="2"/>
    <x v="3"/>
    <x v="26"/>
    <s v="435- L’utilisation des TICE dans l’enseignement supérieur et la recherche scientifique est améliorée"/>
    <x v="327"/>
    <s v="43532-Equipement de salles de classe en vidéo projecteurs"/>
  </r>
  <r>
    <s v="Constructions de laboratoires informatiques (pris en compte dans activités 52112, 52113 52114 et 52116)"/>
    <s v="pm"/>
    <s v="sif"/>
    <n v="0"/>
    <n v="1"/>
    <n v="1"/>
    <m/>
    <n v="2"/>
    <n v="0"/>
    <n v="0"/>
    <n v="0"/>
    <n v="0"/>
    <n v="0"/>
    <m/>
    <x v="2"/>
    <s v="MESRS_Programme 2. Développement de l’enseignement supérieur"/>
    <s v=""/>
    <s v="SNIEUS"/>
    <s v="DAF"/>
    <x v="2"/>
    <x v="3"/>
    <x v="26"/>
    <s v="435- L’utilisation des TICE dans l’enseignement supérieur et la recherche scientifique est améliorée"/>
    <x v="327"/>
    <s v="43533-Constructions de laboratoires informatiques (pris en compte dans activités 52112, 52113 52114 et 52116)"/>
  </r>
  <r>
    <s v="Equipement de laboratoires informatiques"/>
    <s v="matériel informatique"/>
    <s v="ordinateur"/>
    <n v="0"/>
    <n v="450"/>
    <m/>
    <n v="450"/>
    <n v="900"/>
    <n v="5"/>
    <n v="0"/>
    <n v="2250"/>
    <n v="0"/>
    <n v="2250"/>
    <n v="4500"/>
    <x v="2"/>
    <s v="MESRS_Programme 2. Développement de l’enseignement supérieur"/>
    <s v="5. Investissement"/>
    <s v="SI"/>
    <s v="DAF"/>
    <x v="2"/>
    <x v="3"/>
    <x v="26"/>
    <s v="435- L’utilisation des TICE dans l’enseignement supérieur et la recherche scientifique est améliorée"/>
    <x v="327"/>
    <s v="43534-Equipement de laboratoires informatiques"/>
  </r>
  <r>
    <s v="Dotation pour le fonctionnement des formations à distance"/>
    <s v="subvention fonctionnement"/>
    <s v="sub/ensdist"/>
    <n v="0"/>
    <n v="0.95409043386778303"/>
    <n v="0.99951934348543303"/>
    <n v="1.0463902226467801"/>
    <n v="2.9999999999999964"/>
    <n v="2273.9312719097802"/>
    <n v="0"/>
    <n v="2169.5360738019217"/>
    <n v="2272.8382920302593"/>
    <n v="2379.4194498971506"/>
    <n v="6821.793815729332"/>
    <x v="2"/>
    <s v="MESRS_Programme 2. Développement de l’enseignement supérieur"/>
    <s v="3. Dépenses de fonctionnement"/>
    <s v="SI"/>
    <s v="DAF"/>
    <x v="2"/>
    <x v="3"/>
    <x v="26"/>
    <s v="435- L’utilisation des TICE dans l’enseignement supérieur et la recherche scientifique est améliorée"/>
    <x v="327"/>
    <s v="43535-Dotation pour le fonctionnement des formations à distance"/>
  </r>
  <r>
    <s v=" Une politique nationale de la recherche scientifique et de l’innovation est adoptée"/>
    <m/>
    <m/>
    <n v="0"/>
    <m/>
    <m/>
    <m/>
    <m/>
    <m/>
    <m/>
    <m/>
    <m/>
    <m/>
    <m/>
    <x v="0"/>
    <m/>
    <m/>
    <m/>
    <m/>
    <x v="2"/>
    <x v="3"/>
    <x v="26"/>
    <s v="436- Une politique nationale de la recherche scientifique et de l’innovation est adoptée"/>
    <x v="328"/>
    <s v="436- Une politique nationale de la recherche scientifique et de l’innovation est adoptée"/>
  </r>
  <r>
    <s v="Elaboration et adoption de la politique nationale de la recherche et de l’innovation technologique "/>
    <m/>
    <m/>
    <n v="0"/>
    <m/>
    <m/>
    <m/>
    <m/>
    <m/>
    <m/>
    <m/>
    <m/>
    <m/>
    <m/>
    <x v="0"/>
    <m/>
    <m/>
    <m/>
    <m/>
    <x v="2"/>
    <x v="3"/>
    <x v="26"/>
    <s v="436- Une politique nationale de la recherche scientifique et de l’innovation est adoptée"/>
    <x v="329"/>
    <s v="4361-Elaboration et adoption de la politique nationale de la recherche et de l’innovation technologique "/>
  </r>
  <r>
    <s v="Rédaction du document de politique"/>
    <s v="travaux administratifs"/>
    <s v="sif"/>
    <n v="0"/>
    <m/>
    <m/>
    <m/>
    <n v="0"/>
    <n v="0"/>
    <n v="0"/>
    <n v="0"/>
    <n v="0"/>
    <n v="0"/>
    <m/>
    <x v="2"/>
    <s v="MESRS_Programme 2. Développement de l’enseignement supérieur"/>
    <s v=""/>
    <s v="SG"/>
    <s v="DGRSIT"/>
    <x v="2"/>
    <x v="3"/>
    <x v="26"/>
    <s v="436- Une politique nationale de la recherche scientifique et de l’innovation est adoptée"/>
    <x v="329"/>
    <s v="43611-Rédaction du document de politique"/>
  </r>
  <r>
    <s v="Partage et validation du document de politique"/>
    <s v="Atelier"/>
    <s v="h/j/a"/>
    <n v="0"/>
    <m/>
    <m/>
    <m/>
    <n v="0"/>
    <n v="0.3133333333333333"/>
    <n v="0"/>
    <n v="0"/>
    <n v="0"/>
    <n v="0"/>
    <n v="0"/>
    <x v="2"/>
    <s v="MESRS_Programme 2. Développement de l’enseignement supérieur"/>
    <s v="3. Formation"/>
    <s v="SG"/>
    <s v="DGRSIT"/>
    <x v="2"/>
    <x v="3"/>
    <x v="26"/>
    <s v="436- Une politique nationale de la recherche scientifique et de l’innovation est adoptée"/>
    <x v="329"/>
    <s v="43612-Partage et validation du document de politique"/>
  </r>
  <r>
    <s v="Mise en œuvre des activités de recherche scientifiques dans les IES "/>
    <s v="Subvention des IRS"/>
    <s v="sub/IRS"/>
    <n v="0"/>
    <n v="0.94"/>
    <n v="1.08"/>
    <n v="1.24"/>
    <n v="3.26"/>
    <n v="50737.009102769"/>
    <n v="0"/>
    <n v="47692.788556602856"/>
    <n v="54795.969830990522"/>
    <n v="62913.891287433558"/>
    <n v="165402.64967502694"/>
    <x v="2"/>
    <s v="MESRS_Programme 2. Développement de l’enseignement supérieur"/>
    <s v="3. Dépenses de fonctionnement"/>
    <s v="DGES"/>
    <s v="IES"/>
    <x v="2"/>
    <x v="3"/>
    <x v="26"/>
    <s v="436- Une politique nationale de la recherche scientifique et de l’innovation est adoptée"/>
    <x v="329"/>
    <s v="43613-Mise en œuvre des activités de recherche scientifiques dans les IES "/>
  </r>
  <r>
    <s v=" Des Financements adéquats sont alloués au programme de recherche scientifique et de l’innovation"/>
    <m/>
    <m/>
    <n v="0"/>
    <m/>
    <m/>
    <m/>
    <m/>
    <m/>
    <m/>
    <m/>
    <m/>
    <m/>
    <m/>
    <x v="0"/>
    <m/>
    <m/>
    <m/>
    <m/>
    <x v="2"/>
    <x v="3"/>
    <x v="26"/>
    <s v="437- Des financements adéquats sont alloués au programme de recherche scientifique et de l’innovation"/>
    <x v="330"/>
    <s v="437- Des Financements adéquats sont alloués au programme de recherche scientifique et de l’innovation"/>
  </r>
  <r>
    <s v="Création d’un fonds de recherche et d’innovation technologique en partenariat avec le secteur privé"/>
    <m/>
    <m/>
    <n v="0"/>
    <m/>
    <m/>
    <m/>
    <m/>
    <m/>
    <m/>
    <m/>
    <m/>
    <m/>
    <m/>
    <x v="0"/>
    <m/>
    <m/>
    <m/>
    <m/>
    <x v="2"/>
    <x v="3"/>
    <x v="26"/>
    <s v="437- Des financements adéquats sont alloués au programme de recherche scientifique et de l’innovation"/>
    <x v="331"/>
    <s v="4371-Création d’un fonds de recherche et d’innovation technologique en partenariat avec le secteur privé"/>
  </r>
  <r>
    <s v="Elaboration et adoption des textes relatifs au fonds"/>
    <s v="textes"/>
    <s v="sif"/>
    <n v="0"/>
    <n v="1"/>
    <m/>
    <m/>
    <n v="1"/>
    <n v="0"/>
    <n v="0"/>
    <n v="0"/>
    <n v="0"/>
    <n v="0"/>
    <m/>
    <x v="2"/>
    <s v="MESRS_Programme 2. Développement de l’enseignement supérieur"/>
    <s v=""/>
    <s v="DGRSIT"/>
    <s v="IRS/CDI"/>
    <x v="2"/>
    <x v="3"/>
    <x v="26"/>
    <s v="437- Des financements adéquats sont alloués au programme de recherche scientifique et de l’innovation"/>
    <x v="331"/>
    <s v="43711-Elaboration et adoption des textes relatifs au fonds"/>
  </r>
  <r>
    <s v="Financement du fonds (Fonds privés)"/>
    <s v="PM"/>
    <s v="sif"/>
    <n v="0"/>
    <m/>
    <n v="1"/>
    <n v="1"/>
    <n v="2"/>
    <n v="0"/>
    <n v="0"/>
    <n v="0"/>
    <n v="0"/>
    <n v="0"/>
    <m/>
    <x v="2"/>
    <s v="MESRS_Programme 2. Développement de l’enseignement supérieur"/>
    <s v=""/>
    <s v="DGRSIT"/>
    <s v="DAF"/>
    <x v="2"/>
    <x v="3"/>
    <x v="26"/>
    <s v="437- Des financements adéquats sont alloués au programme de recherche scientifique et de l’innovation"/>
    <x v="331"/>
    <s v="43712-Financement du fonds (Fonds privés)"/>
  </r>
  <r>
    <s v=" Le niveau de productions scientifiques en quantité et qualité est amélioré et les résultats de la recherche scientifique et de l’innovation sont mieux capitalisés et valorisés"/>
    <m/>
    <m/>
    <n v="0"/>
    <m/>
    <m/>
    <m/>
    <m/>
    <m/>
    <m/>
    <m/>
    <m/>
    <m/>
    <m/>
    <x v="0"/>
    <m/>
    <m/>
    <m/>
    <m/>
    <x v="2"/>
    <x v="3"/>
    <x v="26"/>
    <s v="438- Le niveau de productions scientifiques en quantité et qualité est amélioré et les résultats de la recherche scientifique et de l’innovation sont mieux capitalisés et valorisés"/>
    <x v="332"/>
    <s v="438- Le niveau de productions scientifiques en quantité et qualité est amélioré et les résultats de la recherche scientifique et de l’innovation sont mieux capitalisés et valorisés"/>
  </r>
  <r>
    <s v="Création de l’académie des sciences de Guinée"/>
    <m/>
    <m/>
    <n v="0"/>
    <m/>
    <m/>
    <m/>
    <m/>
    <m/>
    <m/>
    <m/>
    <m/>
    <m/>
    <m/>
    <x v="0"/>
    <m/>
    <m/>
    <m/>
    <m/>
    <x v="2"/>
    <x v="3"/>
    <x v="26"/>
    <s v="438- Le niveau de productions scientifiques en quantité et qualité est amélioré et les résultats de la recherche scientifique et de l’innovation sont mieux capitalisés et valorisés"/>
    <x v="333"/>
    <s v="4381-Création de l’académie des sciences de Guinée"/>
  </r>
  <r>
    <s v="Elaboration des textes"/>
    <s v="textes"/>
    <s v="sif"/>
    <n v="0"/>
    <n v="1"/>
    <m/>
    <m/>
    <n v="1"/>
    <n v="0"/>
    <n v="0"/>
    <n v="0"/>
    <n v="0"/>
    <n v="0"/>
    <m/>
    <x v="2"/>
    <s v="MESRS_Programme 2. Développement de l’enseignement supérieur"/>
    <s v=""/>
    <s v="SG"/>
    <s v="DGRSIT"/>
    <x v="2"/>
    <x v="3"/>
    <x v="26"/>
    <s v="438- Le niveau de productions scientifiques en quantité et qualité est amélioré et les résultats de la recherche scientifique et de l’innovation sont mieux capitalisés et valorisés"/>
    <x v="333"/>
    <s v="43811-Elaboration des textes"/>
  </r>
  <r>
    <s v="Validation et adoption des textes"/>
    <s v="atelier"/>
    <s v="h/j/a"/>
    <n v="0"/>
    <n v="150"/>
    <m/>
    <m/>
    <n v="150"/>
    <n v="0.3133333333333333"/>
    <n v="0"/>
    <n v="46.999999999999993"/>
    <n v="0"/>
    <n v="0"/>
    <n v="46.999999999999993"/>
    <x v="2"/>
    <s v="MESRS_Programme 2. Développement de l’enseignement supérieur"/>
    <s v="3. Formation"/>
    <s v="SG"/>
    <s v="DGRSIT"/>
    <x v="2"/>
    <x v="3"/>
    <x v="26"/>
    <s v="438- Le niveau de productions scientifiques en quantité et qualité est amélioré et les résultats de la recherche scientifique et de l’innovation sont mieux capitalisés et valorisés"/>
    <x v="333"/>
    <s v="43812-Validation et adoption des textes"/>
  </r>
  <r>
    <s v="Organisation des journées scientifiques dans les institutions"/>
    <m/>
    <m/>
    <n v="0"/>
    <m/>
    <m/>
    <m/>
    <m/>
    <m/>
    <m/>
    <m/>
    <m/>
    <m/>
    <m/>
    <x v="0"/>
    <m/>
    <m/>
    <m/>
    <m/>
    <x v="2"/>
    <x v="3"/>
    <x v="26"/>
    <s v="438- Le niveau de productions scientifiques en quantité et qualité est amélioré et les résultats de la recherche scientifique et de l’innovation sont mieux capitalisés et valorisés"/>
    <x v="334"/>
    <s v="4382-Organisation des journées scientifiques dans les institutions"/>
  </r>
  <r>
    <s v="Planification des activités des journées scientifiques dans les institutions"/>
    <s v="travaux administratifs"/>
    <s v="sif"/>
    <n v="0"/>
    <m/>
    <n v="1"/>
    <n v="1"/>
    <n v="2"/>
    <n v="0"/>
    <n v="0"/>
    <n v="0"/>
    <n v="0"/>
    <n v="0"/>
    <m/>
    <x v="2"/>
    <s v="MESRS_Programme 2. Développement de l’enseignement supérieur"/>
    <s v=""/>
    <s v="DGES/DGRSIT"/>
    <s v="IES/IRS"/>
    <x v="2"/>
    <x v="3"/>
    <x v="26"/>
    <s v="438- Le niveau de productions scientifiques en quantité et qualité est amélioré et les résultats de la recherche scientifique et de l’innovation sont mieux capitalisés et valorisés"/>
    <x v="334"/>
    <s v="43821-Planification des activités des journées scientifiques dans les institutions"/>
  </r>
  <r>
    <s v="Financement des activités (Fin privé)"/>
    <s v="Octroi d'un budget"/>
    <s v="sif"/>
    <n v="0"/>
    <m/>
    <n v="1"/>
    <n v="1"/>
    <n v="2"/>
    <n v="0"/>
    <n v="0"/>
    <n v="0"/>
    <n v="0"/>
    <n v="0"/>
    <m/>
    <x v="2"/>
    <s v="MESRS_Programme 2. Développement de l’enseignement supérieur"/>
    <s v=""/>
    <s v="Rectotat/DG"/>
    <s v="DAF"/>
    <x v="2"/>
    <x v="3"/>
    <x v="26"/>
    <s v="438- Le niveau de productions scientifiques en quantité et qualité est amélioré et les résultats de la recherche scientifique et de l’innovation sont mieux capitalisés et valorisés"/>
    <x v="334"/>
    <s v="43822-Financement des activités (Fin privé)"/>
  </r>
  <r>
    <s v="Renforcement des capacités du personnel"/>
    <m/>
    <m/>
    <n v="0"/>
    <m/>
    <m/>
    <m/>
    <m/>
    <m/>
    <m/>
    <m/>
    <m/>
    <m/>
    <m/>
    <x v="0"/>
    <m/>
    <m/>
    <m/>
    <m/>
    <x v="2"/>
    <x v="3"/>
    <x v="26"/>
    <s v="438- Le niveau de productions scientifiques en quantité et qualité est amélioré et les résultats de la recherche scientifique et de l’innovation sont mieux capitalisés et valorisés"/>
    <x v="335"/>
    <s v="4383-Renforcement des capacités du personnel"/>
  </r>
  <r>
    <s v="Identification des personnels à former"/>
    <s v="travaux administratifs"/>
    <s v="sif"/>
    <n v="0"/>
    <n v="1"/>
    <n v="1"/>
    <n v="1"/>
    <n v="3"/>
    <n v="0"/>
    <n v="0"/>
    <n v="0"/>
    <n v="0"/>
    <n v="0"/>
    <m/>
    <x v="2"/>
    <s v="MESRS_Programme 2. Développement de l’enseignement supérieur"/>
    <s v=""/>
    <s v="Rectotat/DG"/>
    <s v="IES/IRS"/>
    <x v="2"/>
    <x v="3"/>
    <x v="26"/>
    <s v="438- Le niveau de productions scientifiques en quantité et qualité est amélioré et les résultats de la recherche scientifique et de l’innovation sont mieux capitalisés et valorisés"/>
    <x v="335"/>
    <s v="43831-Identification des personnels à former"/>
  </r>
  <r>
    <s v="Organisation des formations"/>
    <s v="Atelier"/>
    <s v="h/j/f"/>
    <n v="0"/>
    <n v="150"/>
    <n v="150"/>
    <n v="150"/>
    <n v="450"/>
    <n v="0.67666666666666664"/>
    <n v="0"/>
    <n v="101.5"/>
    <n v="101.5"/>
    <n v="101.5"/>
    <n v="304.5"/>
    <x v="2"/>
    <s v="MESRS_Programme 2. Développement de l’enseignement supérieur"/>
    <s v="3. Formation"/>
    <s v="Rectotat/DG"/>
    <s v="IES/IRS"/>
    <x v="2"/>
    <x v="3"/>
    <x v="26"/>
    <s v="438- Le niveau de productions scientifiques en quantité et qualité est amélioré et les résultats de la recherche scientifique et de l’innovation sont mieux capitalisés et valorisés"/>
    <x v="335"/>
    <s v="43832-Organisation des formations"/>
  </r>
  <r>
    <s v="Renforcement des moyens mis à la disposition des instituts de recherche"/>
    <m/>
    <m/>
    <n v="0"/>
    <m/>
    <m/>
    <m/>
    <m/>
    <m/>
    <m/>
    <m/>
    <m/>
    <m/>
    <m/>
    <x v="0"/>
    <m/>
    <m/>
    <m/>
    <m/>
    <x v="2"/>
    <x v="3"/>
    <x v="26"/>
    <s v="438- Le niveau de productions scientifiques en quantité et qualité est amélioré et les résultats de la recherche scientifique et de l’innovation sont mieux capitalisés et valorisés"/>
    <x v="336"/>
    <s v="4384-Renforcement des moyens mis à la disposition des instituts de recherche"/>
  </r>
  <r>
    <s v="Dotation des IRS en moyens adéquats"/>
    <s v="subvention de fonctionnement"/>
    <s v="sub/IRS"/>
    <n v="0"/>
    <n v="0.95046241647964902"/>
    <n v="1.0930317789516"/>
    <n v="1.2569865457943401"/>
    <n v="3.3004807412255888"/>
    <n v="50737.009102769"/>
    <n v="0"/>
    <n v="48223.620276767775"/>
    <n v="55457.163318283121"/>
    <n v="63775.737816025598"/>
    <n v="167456.52141107648"/>
    <x v="2"/>
    <s v="MESRS_Programme 2. Développement de l’enseignement supérieur"/>
    <s v="3. Dépenses de fonctionnement"/>
    <s v="Rectotat/DG"/>
    <s v="IES/IRS"/>
    <x v="2"/>
    <x v="3"/>
    <x v="26"/>
    <s v="438- Le niveau de productions scientifiques en quantité et qualité est amélioré et les résultats de la recherche scientifique et de l’innovation sont mieux capitalisés et valorisés"/>
    <x v="336"/>
    <s v="43841-Dotation des IRS en moyens adéquats"/>
  </r>
  <r>
    <s v=" Conditions de vie du personnel enseignant et de recherche (à reporter dans le programme gouvernance)"/>
    <m/>
    <m/>
    <n v="0"/>
    <m/>
    <m/>
    <m/>
    <m/>
    <m/>
    <m/>
    <m/>
    <m/>
    <m/>
    <m/>
    <x v="0"/>
    <m/>
    <m/>
    <m/>
    <m/>
    <x v="2"/>
    <x v="3"/>
    <x v="27"/>
    <s v="44- Conditions de vie du personnel enseignant et de recherche (à reporter dans le programme gouvernance)"/>
    <x v="337"/>
    <s v="44- Conditions de vie du personnel enseignant et de recherche (à reporter dans le programme gouvernance)"/>
  </r>
  <r>
    <s v=" L’attractivité du métier d’enseignant-chercheur est relevée"/>
    <m/>
    <m/>
    <n v="0"/>
    <m/>
    <m/>
    <m/>
    <m/>
    <m/>
    <m/>
    <m/>
    <m/>
    <m/>
    <m/>
    <x v="0"/>
    <m/>
    <m/>
    <m/>
    <m/>
    <x v="2"/>
    <x v="3"/>
    <x v="27"/>
    <s v="441- L’attractivité du métier d’enseignant-chercheur est relevée"/>
    <x v="338"/>
    <s v="441- L’attractivité du métier d’enseignant-chercheur est relevée"/>
  </r>
  <r>
    <s v="Augmentation des primes allouées aux grades académiques"/>
    <m/>
    <m/>
    <n v="0"/>
    <m/>
    <m/>
    <m/>
    <m/>
    <m/>
    <m/>
    <m/>
    <m/>
    <m/>
    <m/>
    <x v="0"/>
    <m/>
    <m/>
    <m/>
    <m/>
    <x v="2"/>
    <x v="3"/>
    <x v="27"/>
    <s v="441- L’attractivité du métier d’enseignant-chercheur est relevée"/>
    <x v="339"/>
    <s v="4411-Augmentation des primes allouées aux grades académiques"/>
  </r>
  <r>
    <s v="Octroi de primes aux Professeurs/DR (dans salaires enseignants supérieur)"/>
    <s v="pm"/>
    <s v="sif"/>
    <n v="0"/>
    <m/>
    <n v="1"/>
    <m/>
    <n v="1"/>
    <n v="0"/>
    <n v="0"/>
    <n v="0"/>
    <n v="0"/>
    <n v="0"/>
    <m/>
    <x v="2"/>
    <s v="MESRS_Programme 1. Gouvernance du système"/>
    <s v=""/>
    <m/>
    <m/>
    <x v="2"/>
    <x v="3"/>
    <x v="27"/>
    <s v="441- L’attractivité du métier d’enseignant-chercheur est relevée"/>
    <x v="339"/>
    <s v="44111-Octroi de primes aux Professeurs/DR (dans salaires enseignants supérieur)"/>
  </r>
  <r>
    <s v="Octroi de primes aux Maitres de conférence/MR (dans salaires enseignants supérieur)"/>
    <s v="pm"/>
    <s v="sif"/>
    <n v="0"/>
    <m/>
    <n v="1"/>
    <m/>
    <n v="1"/>
    <n v="0"/>
    <n v="0"/>
    <n v="0"/>
    <n v="0"/>
    <n v="0"/>
    <m/>
    <x v="2"/>
    <s v="MESRS_Programme 1. Gouvernance du système"/>
    <s v=""/>
    <m/>
    <m/>
    <x v="2"/>
    <x v="3"/>
    <x v="27"/>
    <s v="441- L’attractivité du métier d’enseignant-chercheur est relevée"/>
    <x v="339"/>
    <s v="44112-Octroi de primes aux Maitres de conférence/MR (dans salaires enseignants supérieur)"/>
  </r>
  <r>
    <s v="Octroi de primes aux maitres assistants/AR(dans salaires enseignants supérieur)"/>
    <s v="pm"/>
    <s v="sif"/>
    <n v="0"/>
    <m/>
    <n v="1"/>
    <m/>
    <n v="1"/>
    <n v="0"/>
    <n v="0"/>
    <n v="0"/>
    <n v="0"/>
    <n v="0"/>
    <m/>
    <x v="2"/>
    <s v="MESRS_Programme 1. Gouvernance du système"/>
    <s v=""/>
    <m/>
    <m/>
    <x v="2"/>
    <x v="3"/>
    <x v="27"/>
    <s v="441- L’attractivité du métier d’enseignant-chercheur est relevée"/>
    <x v="339"/>
    <s v="44113-Octroi de primes aux maitres assistants/AR(dans salaires enseignants supérieur)"/>
  </r>
  <r>
    <s v="Octroi de primes aux assistants/CR(dans salaires enseignants supérieur)"/>
    <s v="pm"/>
    <s v="sif"/>
    <n v="0"/>
    <m/>
    <n v="1"/>
    <m/>
    <n v="1"/>
    <n v="0"/>
    <n v="0"/>
    <n v="0"/>
    <n v="0"/>
    <n v="0"/>
    <m/>
    <x v="2"/>
    <s v="MESRS_Programme 1. Gouvernance du système"/>
    <s v=""/>
    <m/>
    <m/>
    <x v="2"/>
    <x v="3"/>
    <x v="27"/>
    <s v="441- L’attractivité du métier d’enseignant-chercheur est relevée"/>
    <x v="339"/>
    <s v="44114-Octroi de primes aux assistants/CR(dans salaires enseignants supérieur)"/>
  </r>
  <r>
    <s v="Gouvernance et pilotage du secteur"/>
    <m/>
    <m/>
    <n v="0"/>
    <m/>
    <m/>
    <m/>
    <m/>
    <m/>
    <m/>
    <m/>
    <m/>
    <m/>
    <m/>
    <x v="0"/>
    <m/>
    <m/>
    <m/>
    <m/>
    <x v="3"/>
    <x v="4"/>
    <x v="28"/>
    <s v="5-Gouvernance et pilotage du secteur"/>
    <x v="340"/>
    <s v="5-Gouvernance et pilotage du secteur"/>
  </r>
  <r>
    <s v="Gestion des flux (mécanismes, orientations, et passerelles)"/>
    <m/>
    <m/>
    <n v="0"/>
    <m/>
    <m/>
    <m/>
    <m/>
    <m/>
    <m/>
    <m/>
    <m/>
    <m/>
    <m/>
    <x v="0"/>
    <m/>
    <m/>
    <m/>
    <m/>
    <x v="3"/>
    <x v="4"/>
    <x v="29"/>
    <s v="51-Gestion des flux (mécanismes, orientations, et passerelles)"/>
    <x v="341"/>
    <s v="51-Gestion des flux (mécanismes, orientations, et passerelles)"/>
  </r>
  <r>
    <s v="Les acteurs se sont appropriés les textes règlementaires et les manuels de procédure définissant la gestion des flux"/>
    <m/>
    <m/>
    <n v="0"/>
    <m/>
    <m/>
    <m/>
    <m/>
    <m/>
    <m/>
    <m/>
    <m/>
    <m/>
    <m/>
    <x v="0"/>
    <m/>
    <m/>
    <m/>
    <m/>
    <x v="3"/>
    <x v="4"/>
    <x v="29"/>
    <s v="511-Les acteurs se sont appropriés les textes règlementaires et les manuels de procédure définissant la gestion des flux"/>
    <x v="342"/>
    <s v="511-Les acteurs se sont appropriés les textes règlementaires et les manuels de procédure définissant la gestion des flux"/>
  </r>
  <r>
    <s v="Élaboration et validation des textes et des manuels de procédures"/>
    <m/>
    <m/>
    <n v="0"/>
    <m/>
    <m/>
    <m/>
    <m/>
    <m/>
    <m/>
    <m/>
    <m/>
    <m/>
    <m/>
    <x v="0"/>
    <m/>
    <m/>
    <m/>
    <m/>
    <x v="3"/>
    <x v="4"/>
    <x v="29"/>
    <s v="511-Les acteurs se sont appropriés les textes règlementaires et les manuels de procédure définissant la gestion des flux"/>
    <x v="343"/>
    <s v="5111-Élaboration et validation des textes et des manuels de procédures"/>
  </r>
  <r>
    <s v="Constitution d'une commission nationale chargée de réviser les textes"/>
    <s v="travaux administratifs"/>
    <s v="sif"/>
    <n v="0"/>
    <n v="1"/>
    <n v="0"/>
    <n v="0"/>
    <n v="1"/>
    <n v="0"/>
    <n v="0"/>
    <n v="0"/>
    <n v="0"/>
    <n v="0"/>
    <m/>
    <x v="2"/>
    <s v="Tranvsal_secteur"/>
    <s v=""/>
    <s v="Cabinet/METFP"/>
    <s v="SNECSO/METFP"/>
    <x v="0"/>
    <x v="4"/>
    <x v="29"/>
    <s v="511-Les acteurs se sont appropriés les textes règlementaires et les manuels de procédure définissant la gestion des flux"/>
    <x v="343"/>
    <s v="51111-Constitution d'une commission nationale chargée de réviser les textes"/>
  </r>
  <r>
    <s v="Organisation d'un atelier pour l'élaboration des projets de textes "/>
    <s v="Textes"/>
    <s v="h/j/ap"/>
    <n v="0"/>
    <n v="140"/>
    <n v="0"/>
    <n v="0"/>
    <n v="140"/>
    <n v="0.255"/>
    <n v="0"/>
    <n v="35.700000000000003"/>
    <n v="0"/>
    <n v="0"/>
    <n v="35.700000000000003"/>
    <x v="2"/>
    <s v="Tranvsal_secteur"/>
    <s v="3. Dépenses de fonctionnement"/>
    <s v="SG/MESRS"/>
    <s v="SNECSO"/>
    <x v="0"/>
    <x v="4"/>
    <x v="29"/>
    <s v="511-Les acteurs se sont appropriés les textes règlementaires et les manuels de procédure définissant la gestion des flux"/>
    <x v="343"/>
    <s v="51112-Organisation d'un atelier pour l'élaboration des projets de textes "/>
  </r>
  <r>
    <s v="Validation des textes"/>
    <s v="Atelier"/>
    <s v="h/j/a"/>
    <n v="0"/>
    <n v="60"/>
    <n v="0"/>
    <n v="0"/>
    <n v="60"/>
    <n v="0.3133333333333333"/>
    <n v="0"/>
    <n v="18.799999999999997"/>
    <n v="0"/>
    <n v="0"/>
    <n v="18.799999999999997"/>
    <x v="2"/>
    <s v="Tranvsal_secteur"/>
    <s v="3. Formation"/>
    <s v="SG"/>
    <s v="SNECSO"/>
    <x v="0"/>
    <x v="4"/>
    <x v="29"/>
    <s v="511-Les acteurs se sont appropriés les textes règlementaires et les manuels de procédure définissant la gestion des flux"/>
    <x v="343"/>
    <s v="51113-Validation des textes"/>
  </r>
  <r>
    <s v="Adoption des textes"/>
    <s v="Textes "/>
    <s v="sif"/>
    <n v="0"/>
    <n v="1"/>
    <n v="0"/>
    <n v="0"/>
    <n v="1"/>
    <n v="0"/>
    <n v="0"/>
    <n v="0"/>
    <n v="0"/>
    <n v="0"/>
    <m/>
    <x v="2"/>
    <s v="Tranvsal_secteur"/>
    <s v=""/>
    <s v="SG"/>
    <s v="SNECSO"/>
    <x v="0"/>
    <x v="4"/>
    <x v="29"/>
    <s v="511-Les acteurs se sont appropriés les textes règlementaires et les manuels de procédure définissant la gestion des flux"/>
    <x v="343"/>
    <s v="51114-Adoption des textes"/>
  </r>
  <r>
    <s v="Formation des acteurs de mise en œuvre des textes et des manuels de procédures"/>
    <m/>
    <m/>
    <n v="0"/>
    <m/>
    <m/>
    <m/>
    <m/>
    <m/>
    <m/>
    <m/>
    <m/>
    <m/>
    <m/>
    <x v="0"/>
    <m/>
    <m/>
    <m/>
    <m/>
    <x v="3"/>
    <x v="4"/>
    <x v="29"/>
    <s v="511-Les acteurs se sont appropriés les textes règlementaires et les manuels de procédure définissant la gestion des flux"/>
    <x v="344"/>
    <s v="5112-Formation des acteurs de mise en œuvre des textes et des manuels de procédures"/>
  </r>
  <r>
    <s v="Organisation de sessions de formations des acteurs de mise en œuvre et diffusion des nouveaux textes (SNECSO, IRE, DPE/DCE/Etablissements)"/>
    <s v="Atelier"/>
    <s v="h/j/f"/>
    <n v="0"/>
    <m/>
    <n v="1200"/>
    <m/>
    <n v="1200"/>
    <n v="0.67666666666666664"/>
    <n v="0"/>
    <n v="0"/>
    <n v="812"/>
    <n v="0"/>
    <n v="812"/>
    <x v="2"/>
    <s v="Tranvsal_secteur"/>
    <s v="3. Formation"/>
    <s v="SNECSO"/>
    <s v="SNECSO"/>
    <x v="0"/>
    <x v="4"/>
    <x v="29"/>
    <s v="511-Les acteurs se sont appropriés les textes règlementaires et les manuels de procédure définissant la gestion des flux"/>
    <x v="344"/>
    <s v="51121-Organisation de sessions de formations des acteurs de mise en œuvre et diffusion des nouveaux textes (SNECSO, IRE, DPE/DCE/Etablissements)"/>
  </r>
  <r>
    <s v="Suivi de la mise en œuvre des textes et manuels de procédures"/>
    <m/>
    <m/>
    <n v="0"/>
    <m/>
    <m/>
    <m/>
    <m/>
    <m/>
    <m/>
    <m/>
    <m/>
    <m/>
    <m/>
    <x v="0"/>
    <m/>
    <m/>
    <m/>
    <m/>
    <x v="3"/>
    <x v="4"/>
    <x v="29"/>
    <s v="511-Les acteurs se sont appropriés les textes règlementaires et les manuels de procédure définissant la gestion des flux"/>
    <x v="345"/>
    <s v="5113-Suivi de la mise en œuvre des textes et manuels de procédures"/>
  </r>
  <r>
    <s v="Mise en place d'une commission nationale d'orientation"/>
    <s v="décision"/>
    <s v="sif"/>
    <n v="0"/>
    <n v="0"/>
    <n v="1"/>
    <n v="0"/>
    <n v="1"/>
    <n v="0"/>
    <n v="0"/>
    <n v="0"/>
    <n v="0"/>
    <n v="0"/>
    <m/>
    <x v="2"/>
    <s v="Tranvsal_secteur"/>
    <s v=""/>
    <s v="Cabinet"/>
    <s v="SG"/>
    <x v="0"/>
    <x v="4"/>
    <x v="29"/>
    <s v="511-Les acteurs se sont appropriés les textes règlementaires et les manuels de procédure définissant la gestion des flux"/>
    <x v="345"/>
    <s v="51131-Mise en place d'une commission nationale d'orientation"/>
  </r>
  <r>
    <s v="Mise en œuvre des nouveaux textes (organisation des réunions de la sous-commission d'orientation du MENA)"/>
    <s v="Atelier"/>
    <s v="h/j/ap"/>
    <n v="0"/>
    <n v="60"/>
    <n v="60"/>
    <n v="60"/>
    <n v="180"/>
    <n v="0.255"/>
    <n v="0"/>
    <n v="15.3"/>
    <n v="15.3"/>
    <n v="15.3"/>
    <n v="45.900000000000006"/>
    <x v="2"/>
    <s v="Tranvsal_secteur"/>
    <s v="3. Dépenses de fonctionnement"/>
    <s v="SG"/>
    <s v="SNECSO"/>
    <x v="0"/>
    <x v="4"/>
    <x v="29"/>
    <s v="511-Les acteurs se sont appropriés les textes règlementaires et les manuels de procédure définissant la gestion des flux"/>
    <x v="345"/>
    <s v="51132-Mise en œuvre des nouveaux textes (organisation des réunions de la sous-commission d'orientation du MENA)"/>
  </r>
  <r>
    <s v="Mise en œuvre des nouveaux textes (organisation des réunions de la sous-commission d'orientation du MESRS)"/>
    <s v="Atelier"/>
    <s v="h/j/ap"/>
    <n v="0"/>
    <n v="60"/>
    <n v="60"/>
    <n v="60"/>
    <n v="180"/>
    <n v="0.255"/>
    <n v="0"/>
    <n v="15.3"/>
    <n v="15.3"/>
    <n v="15.3"/>
    <n v="45.900000000000006"/>
    <x v="2"/>
    <s v="Tranvsal_secteur"/>
    <s v="3. Dépenses de fonctionnement"/>
    <s v="SG"/>
    <s v="SG"/>
    <x v="2"/>
    <x v="4"/>
    <x v="29"/>
    <s v="511-Les acteurs se sont appropriés les textes règlementaires et les manuels de procédure définissant la gestion des flux"/>
    <x v="345"/>
    <s v="51133-Mise en œuvre des nouveaux textes (organisation des réunions de la sous-commission d'orientation du MESRS)"/>
  </r>
  <r>
    <s v="Mise en œuvre des nouveaux textes (organisation des réunions de la sous-commission d'orientation du METFP)"/>
    <s v="Atelier"/>
    <s v="h/j/ap"/>
    <n v="0"/>
    <n v="60"/>
    <n v="60"/>
    <n v="60"/>
    <n v="180"/>
    <n v="0.255"/>
    <n v="0"/>
    <n v="15.3"/>
    <n v="15.3"/>
    <n v="15.3"/>
    <n v="45.900000000000006"/>
    <x v="2"/>
    <s v="Tranvsal_secteur"/>
    <s v="3. Dépenses de fonctionnement"/>
    <s v="SG"/>
    <s v="Service Examen"/>
    <x v="1"/>
    <x v="4"/>
    <x v="29"/>
    <s v="511-Les acteurs se sont appropriés les textes règlementaires et les manuels de procédure définissant la gestion des flux"/>
    <x v="345"/>
    <s v="51134-Mise en œuvre des nouveaux textes (organisation des réunions de la sous-commission d'orientation du METFP)"/>
  </r>
  <r>
    <s v="Organisation des sessions de la commission nationale d'orientation (CNO)"/>
    <s v="décision"/>
    <s v="sif"/>
    <n v="0"/>
    <n v="0"/>
    <m/>
    <n v="90"/>
    <n v="90"/>
    <n v="0"/>
    <n v="0"/>
    <n v="0"/>
    <n v="0"/>
    <n v="0"/>
    <m/>
    <x v="2"/>
    <s v="Tranvsal_secteur"/>
    <s v=""/>
    <s v="CIPC"/>
    <s v="CNO"/>
    <x v="0"/>
    <x v="4"/>
    <x v="29"/>
    <s v="511-Les acteurs se sont appropriés les textes règlementaires et les manuels de procédure définissant la gestion des flux"/>
    <x v="345"/>
    <s v="51135-Organisation des sessions de la commission nationale d'orientation (CNO)"/>
  </r>
  <r>
    <s v="Les acteurs concernés (conseillers et enseignants, parents et communautés) contribuent au respect des normes d'orientation"/>
    <m/>
    <m/>
    <n v="0"/>
    <m/>
    <m/>
    <m/>
    <m/>
    <m/>
    <m/>
    <m/>
    <m/>
    <m/>
    <m/>
    <x v="0"/>
    <m/>
    <m/>
    <m/>
    <m/>
    <x v="3"/>
    <x v="4"/>
    <x v="29"/>
    <s v="512-Les acteurs concernés (conseillers et enseignants, parents et communautés) contribuent au respect des normes d'orientation"/>
    <x v="346"/>
    <s v="512-Les acteurs concernés (conseillers et enseignants, parents et communautés) contribuent au respect des normes d'orientation"/>
  </r>
  <r>
    <s v="Evaluation des compétences des conseillers à l’orientation"/>
    <m/>
    <m/>
    <n v="0"/>
    <m/>
    <m/>
    <m/>
    <m/>
    <m/>
    <m/>
    <m/>
    <m/>
    <m/>
    <m/>
    <x v="0"/>
    <m/>
    <m/>
    <m/>
    <m/>
    <x v="3"/>
    <x v="4"/>
    <x v="29"/>
    <s v="512-Les acteurs concernés (conseillers et enseignants, parents et communautés) contribuent au respect des normes d'orientation"/>
    <x v="347"/>
    <s v="5121-Evaluation des compétences des conseillers à l’orientation"/>
  </r>
  <r>
    <s v="Elaboration des guides et matériels pour l'orientation"/>
    <s v="Atelier"/>
    <s v="h/j/a"/>
    <n v="0"/>
    <m/>
    <n v="90"/>
    <n v="0"/>
    <n v="90"/>
    <n v="0.3133333333333333"/>
    <n v="0"/>
    <n v="0"/>
    <n v="28.199999999999996"/>
    <n v="0"/>
    <n v="28.199999999999996"/>
    <x v="2"/>
    <s v="Tranvsal_secteur"/>
    <s v="3. Formation"/>
    <s v="SG"/>
    <s v="IGE/DNESGT"/>
    <x v="0"/>
    <x v="4"/>
    <x v="29"/>
    <s v="512-Les acteurs concernés (conseillers et enseignants, parents et communautés) contribuent au respect des normes d'orientation"/>
    <x v="347"/>
    <s v="51211-Elaboration des guides et matériels pour l'orientation"/>
  </r>
  <r>
    <s v="Reproduction des guides et matériels"/>
    <s v="Impression"/>
    <s v="imp"/>
    <n v="0"/>
    <n v="5940.0000000000009"/>
    <n v="1188.0000000000002"/>
    <n v="891.00000000000011"/>
    <n v="8019.0000000000009"/>
    <n v="7.4999999999999997E-3"/>
    <n v="0"/>
    <n v="44.550000000000004"/>
    <n v="8.9100000000000019"/>
    <n v="6.682500000000001"/>
    <n v="60.142500000000013"/>
    <x v="2"/>
    <s v="Tranvsal_secteur"/>
    <s v="3. Dépenses de fonctionnement"/>
    <s v="DNESGT"/>
    <s v="DNESGT"/>
    <x v="0"/>
    <x v="4"/>
    <x v="29"/>
    <s v="512-Les acteurs concernés (conseillers et enseignants, parents et communautés) contribuent au respect des normes d'orientation"/>
    <x v="347"/>
    <s v="51212-Reproduction des guides et matériels"/>
  </r>
  <r>
    <s v="Formation des conseillers à l'orientions à l'utilisation des guides et matériels (y compris la mise à disposition des guides et matériels)"/>
    <s v="Atelier"/>
    <s v="h/j/f"/>
    <n v="0"/>
    <m/>
    <n v="900"/>
    <n v="900"/>
    <n v="1800"/>
    <n v="0.67666666666666664"/>
    <n v="0"/>
    <n v="0"/>
    <n v="609"/>
    <n v="609"/>
    <n v="1218"/>
    <x v="2"/>
    <s v="Tranvsal_secteur"/>
    <s v="3. Formation"/>
    <s v="DNESGT"/>
    <s v="DNESGT"/>
    <x v="0"/>
    <x v="4"/>
    <x v="29"/>
    <s v="512-Les acteurs concernés (conseillers et enseignants, parents et communautés) contribuent au respect des normes d'orientation"/>
    <x v="347"/>
    <s v="51213-Formation des conseillers à l'orientions à l'utilisation des guides et matériels (y compris la mise à disposition des guides et matériels)"/>
  </r>
  <r>
    <s v="Suivi de l'application des textes d'orientation (pris en compte dans les activités des inspections)"/>
    <s v="pm"/>
    <s v="sif"/>
    <n v="0"/>
    <n v="1"/>
    <n v="1"/>
    <n v="1"/>
    <n v="3"/>
    <n v="0"/>
    <n v="0"/>
    <n v="0"/>
    <n v="0"/>
    <n v="0"/>
    <m/>
    <x v="2"/>
    <s v="Tranvsal_secteur"/>
    <s v=""/>
    <s v="IGE"/>
    <s v="IRE/DPE/DCE"/>
    <x v="0"/>
    <x v="4"/>
    <x v="29"/>
    <s v="512-Les acteurs concernés (conseillers et enseignants, parents et communautés) contribuent au respect des normes d'orientation"/>
    <x v="347"/>
    <s v="51214-Suivi de l'application des textes d'orientation (pris en compte dans les activités des inspections)"/>
  </r>
  <r>
    <s v=" Le logiciel d'immatriculation et de suivi des élèves est amélioré et utilisé"/>
    <m/>
    <m/>
    <n v="0"/>
    <m/>
    <m/>
    <m/>
    <m/>
    <m/>
    <m/>
    <m/>
    <m/>
    <m/>
    <m/>
    <x v="0"/>
    <m/>
    <m/>
    <m/>
    <m/>
    <x v="3"/>
    <x v="4"/>
    <x v="29"/>
    <s v="513- Le logiciel d'immatriculation et de suivi des élèves est amélioré et utilisé"/>
    <x v="348"/>
    <s v="513- Le logiciel d'immatriculation et de suivi des élèves est amélioré et utilisé"/>
  </r>
  <r>
    <s v="Amélioration du logiciel d'immatriculation et de suivi des élèves"/>
    <m/>
    <m/>
    <n v="0"/>
    <m/>
    <m/>
    <m/>
    <m/>
    <m/>
    <m/>
    <m/>
    <m/>
    <m/>
    <m/>
    <x v="0"/>
    <m/>
    <m/>
    <m/>
    <m/>
    <x v="3"/>
    <x v="4"/>
    <x v="29"/>
    <s v="513- Le logiciel d'immatriculation et de suivi des élèves est amélioré et utilisé"/>
    <x v="349"/>
    <s v="5131-Amélioration du logiciel d'immatriculation et de suivi des élèves"/>
  </r>
  <r>
    <s v="Actualisation des outils d'immatriculation et de suivi des élèves"/>
    <s v="Atelier"/>
    <s v="h/j/ap"/>
    <n v="0"/>
    <m/>
    <m/>
    <m/>
    <n v="0"/>
    <n v="0.255"/>
    <n v="0"/>
    <n v="0"/>
    <n v="0"/>
    <n v="0"/>
    <n v="0"/>
    <x v="13"/>
    <s v="Tranvsal_secteur"/>
    <s v="3. Dépenses de fonctionnement"/>
    <s v="DNESGT"/>
    <s v="DNESGT"/>
    <x v="0"/>
    <x v="4"/>
    <x v="29"/>
    <s v="513- Le logiciel d'immatriculation et de suivi des élèves est amélioré et utilisé"/>
    <x v="349"/>
    <s v="51311-Actualisation des outils d'immatriculation et de suivi des élèves"/>
  </r>
  <r>
    <s v="Validation des outils d'immatriculation et de suivi des élèves"/>
    <s v="Atelier"/>
    <s v="h/j/a"/>
    <n v="0"/>
    <n v="100"/>
    <m/>
    <m/>
    <n v="100"/>
    <n v="0.3133333333333333"/>
    <n v="0"/>
    <n v="31.333333333333329"/>
    <n v="0"/>
    <n v="0"/>
    <n v="31.333333333333329"/>
    <x v="13"/>
    <s v="Tranvsal_secteur"/>
    <s v="3. Formation"/>
    <s v="DNESGT"/>
    <s v="DNESGT"/>
    <x v="0"/>
    <x v="4"/>
    <x v="29"/>
    <s v="513- Le logiciel d'immatriculation et de suivi des élèves est amélioré et utilisé"/>
    <x v="349"/>
    <s v="51312-Validation des outils d'immatriculation et de suivi des élèves"/>
  </r>
  <r>
    <s v="Formation des cadres des structures déconcentrées à l'utilisation des outils d'immatriculation et de suivi des élèves"/>
    <s v="Atelier"/>
    <s v="h/j/a"/>
    <n v="0"/>
    <n v="800"/>
    <m/>
    <m/>
    <n v="800"/>
    <n v="0.3133333333333333"/>
    <n v="0"/>
    <n v="250.66666666666663"/>
    <n v="0"/>
    <n v="0"/>
    <n v="250.66666666666663"/>
    <x v="13"/>
    <s v="Tranvsal_secteur"/>
    <s v="3. Formation"/>
    <s v="DNESGT"/>
    <s v="DNESGT"/>
    <x v="0"/>
    <x v="4"/>
    <x v="29"/>
    <s v="513- Le logiciel d'immatriculation et de suivi des élèves est amélioré et utilisé"/>
    <x v="349"/>
    <s v="51313-Formation des cadres des structures déconcentrées à l'utilisation des outils d'immatriculation et de suivi des élèves"/>
  </r>
  <r>
    <s v="Installation de la base de données d'immatriculation des élèves au niveau des établissements (pris en charge dans les budgets des DPE/DCE)"/>
    <s v="pm"/>
    <s v="sif"/>
    <n v="0"/>
    <m/>
    <m/>
    <m/>
    <m/>
    <n v="0"/>
    <m/>
    <m/>
    <m/>
    <m/>
    <m/>
    <x v="2"/>
    <s v="Tranvsal_secteur"/>
    <s v=""/>
    <s v="DNESGT"/>
    <s v="DNESGT"/>
    <x v="0"/>
    <x v="4"/>
    <x v="29"/>
    <s v="513- Le logiciel d'immatriculation et de suivi des élèves est amélioré et utilisé"/>
    <x v="349"/>
    <s v="51314-Installation de la base de données d'immatriculation des élèves au niveau des établissements (pris en charge dans les budgets des DPE/DCE)"/>
  </r>
  <r>
    <s v="Saisie de la liste des élèves à immatriculer (par classe de 50 élèves en moyenne)"/>
    <s v="Saisie de données"/>
    <s v="Saisie/quest "/>
    <n v="0"/>
    <n v="15000"/>
    <n v="5250"/>
    <n v="5512.5"/>
    <n v="25762.5"/>
    <n v="0.01"/>
    <n v="0"/>
    <n v="150"/>
    <n v="52.5"/>
    <n v="55.125"/>
    <n v="257.625"/>
    <x v="13"/>
    <s v="Tranvsal_secteur"/>
    <s v="3. Dépenses de fonctionnement"/>
    <s v="DNESGT"/>
    <s v="DNESGT"/>
    <x v="0"/>
    <x v="4"/>
    <x v="29"/>
    <s v="513- Le logiciel d'immatriculation et de suivi des élèves est amélioré et utilisé"/>
    <x v="349"/>
    <s v="51315-Saisie de la liste des élèves à immatriculer (par classe de 50 élèves en moyenne)"/>
  </r>
  <r>
    <s v="Consolidation des bases de données d'immatriculation des élèves au niveau des DPE/DCE et IRE"/>
    <s v="pm"/>
    <s v="sif"/>
    <n v="0"/>
    <n v="1"/>
    <n v="1"/>
    <n v="1"/>
    <n v="3"/>
    <n v="0"/>
    <n v="0"/>
    <n v="0"/>
    <n v="0"/>
    <n v="0"/>
    <m/>
    <x v="2"/>
    <s v="Tranvsal_secteur"/>
    <s v=""/>
    <s v="DNESGT"/>
    <s v="DNESGT"/>
    <x v="0"/>
    <x v="4"/>
    <x v="29"/>
    <s v="513- Le logiciel d'immatriculation et de suivi des élèves est amélioré et utilisé"/>
    <x v="349"/>
    <s v="51316-Consolidation des bases de données d'immatriculation des élèves au niveau des DPE/DCE et IRE"/>
  </r>
  <r>
    <s v="Consolidation des bases de données d'immatriculation des élèves au niveau national"/>
    <s v="pm"/>
    <s v="sif"/>
    <n v="0"/>
    <n v="1"/>
    <n v="1"/>
    <n v="1"/>
    <n v="3"/>
    <n v="0"/>
    <n v="0"/>
    <n v="0"/>
    <n v="0"/>
    <n v="0"/>
    <m/>
    <x v="2"/>
    <s v="Tranvsal_secteur"/>
    <s v=""/>
    <s v="DNESGT"/>
    <s v="DNESGT"/>
    <x v="0"/>
    <x v="4"/>
    <x v="29"/>
    <s v="513- Le logiciel d'immatriculation et de suivi des élèves est amélioré et utilisé"/>
    <x v="349"/>
    <s v="51317-Consolidation des bases de données d'immatriculation des élèves au niveau national"/>
  </r>
  <r>
    <s v="Génération des matricules au niveau national"/>
    <s v="pm"/>
    <s v="sif"/>
    <n v="0"/>
    <n v="1"/>
    <n v="1"/>
    <n v="1"/>
    <n v="3"/>
    <n v="0"/>
    <n v="0"/>
    <n v="0"/>
    <n v="0"/>
    <n v="0"/>
    <m/>
    <x v="2"/>
    <s v="Tranvsal_secteur"/>
    <s v=""/>
    <s v="DNESGT"/>
    <s v="DNESGT"/>
    <x v="0"/>
    <x v="4"/>
    <x v="29"/>
    <s v="513- Le logiciel d'immatriculation et de suivi des élèves est amélioré et utilisé"/>
    <x v="349"/>
    <s v="51318-Génération des matricules au niveau national"/>
  </r>
  <r>
    <s v="Transmission des matricules aux IRE, DPE/DCE et établissements"/>
    <s v="pm"/>
    <s v="sif"/>
    <n v="0"/>
    <n v="1"/>
    <n v="1"/>
    <n v="1"/>
    <n v="3"/>
    <n v="0"/>
    <n v="0"/>
    <n v="0"/>
    <n v="0"/>
    <n v="0"/>
    <m/>
    <x v="2"/>
    <s v="Tranvsal_secteur"/>
    <s v=""/>
    <s v="DNESGT"/>
    <s v="DNESGT"/>
    <x v="0"/>
    <x v="4"/>
    <x v="29"/>
    <s v="513- Le logiciel d'immatriculation et de suivi des élèves est amélioré et utilisé"/>
    <x v="349"/>
    <s v="51319-Transmission des matricules aux IRE, DPE/DCE et établissements"/>
  </r>
  <r>
    <s v="Impression et affichages des matricules des élèves (pris en charge dans les budgets des établissements)"/>
    <s v="pm"/>
    <s v="sif"/>
    <n v="0"/>
    <n v="1"/>
    <n v="1"/>
    <n v="1"/>
    <n v="3"/>
    <n v="0"/>
    <n v="0"/>
    <n v="0"/>
    <n v="0"/>
    <n v="0"/>
    <m/>
    <x v="2"/>
    <s v="Tranvsal_secteur"/>
    <s v=""/>
    <s v="DNESGT"/>
    <s v="DNESGT"/>
    <x v="0"/>
    <x v="4"/>
    <x v="29"/>
    <s v="513- Le logiciel d'immatriculation et de suivi des élèves est amélioré et utilisé"/>
    <x v="349"/>
    <s v="513110-Impression et affichages des matricules des élèves (pris en charge dans les budgets des établissements)"/>
  </r>
  <r>
    <s v="Sensibilisation des élèves, des parents et de la communauté sur l'importance de l’ETFP"/>
    <m/>
    <m/>
    <n v="0"/>
    <m/>
    <m/>
    <m/>
    <m/>
    <m/>
    <m/>
    <m/>
    <m/>
    <m/>
    <m/>
    <x v="0"/>
    <m/>
    <m/>
    <m/>
    <m/>
    <x v="3"/>
    <x v="4"/>
    <x v="29"/>
    <s v="513- Le logiciel d'immatriculation et de suivi des élèves est amélioré et utilisé"/>
    <x v="350"/>
    <s v="5132-Sensibilisation des élèves, des parents et de la communauté sur l'importance de l’ETFP"/>
  </r>
  <r>
    <s v="Elaboration d'une stratégie de sensibilisation"/>
    <s v="Atelier"/>
    <s v="h/j/ap"/>
    <n v="0"/>
    <n v="125"/>
    <n v="0"/>
    <n v="0"/>
    <n v="125"/>
    <n v="0.255"/>
    <n v="0"/>
    <n v="31.875"/>
    <n v="0"/>
    <n v="0"/>
    <n v="31.875"/>
    <x v="13"/>
    <s v="Tranvsal_secteur"/>
    <s v="3. Dépenses de fonctionnement"/>
    <s v="SINDA"/>
    <s v="SINDA"/>
    <x v="0"/>
    <x v="4"/>
    <x v="29"/>
    <s v="513- Le logiciel d'immatriculation et de suivi des élèves est amélioré et utilisé"/>
    <x v="350"/>
    <s v="51321-Elaboration d'une stratégie de sensibilisation"/>
  </r>
  <r>
    <s v="Campagnes de sensibilisation des enseignants"/>
    <s v="affiches, depliants, émission, messages "/>
    <s v="campagne"/>
    <n v="0"/>
    <n v="2"/>
    <n v="2"/>
    <n v="2"/>
    <n v="6"/>
    <n v="45.936799999999998"/>
    <n v="0"/>
    <n v="91.873599999999996"/>
    <n v="91.873599999999996"/>
    <n v="91.873599999999996"/>
    <n v="275.62079999999997"/>
    <x v="13"/>
    <s v="Tranvsal_secteur"/>
    <s v="3. Dépenses de fonctionnement"/>
    <s v="SINDA"/>
    <s v="SINDA"/>
    <x v="0"/>
    <x v="4"/>
    <x v="29"/>
    <s v="513- Le logiciel d'immatriculation et de suivi des élèves est amélioré et utilisé"/>
    <x v="350"/>
    <s v="51322-Campagnes de sensibilisation des enseignants"/>
  </r>
  <r>
    <s v="Emissions à la radio et à la télé"/>
    <s v="Campagne publicitaire"/>
    <s v="diffusion/n"/>
    <n v="0"/>
    <n v="24"/>
    <n v="12"/>
    <n v="12"/>
    <n v="48"/>
    <n v="1.5"/>
    <n v="0"/>
    <n v="36"/>
    <n v="18"/>
    <n v="18"/>
    <n v="72"/>
    <x v="13"/>
    <s v="Tranvsal_secteur"/>
    <s v="3. Dépenses de fonctionnement"/>
    <s v="SINDA"/>
    <s v="SINDA/Cel COM"/>
    <x v="0"/>
    <x v="4"/>
    <x v="29"/>
    <s v="513- Le logiciel d'immatriculation et de suivi des élèves est amélioré et utilisé"/>
    <x v="350"/>
    <s v="51323-Emissions à la radio et à la télé"/>
  </r>
  <r>
    <s v="sensibilisation à l'importance de l'ETFP"/>
    <s v="Campagne "/>
    <s v="diffusion"/>
    <n v="0"/>
    <n v="1140"/>
    <n v="1140"/>
    <n v="1140"/>
    <n v="3420"/>
    <n v="0.4"/>
    <n v="0"/>
    <n v="456"/>
    <n v="456"/>
    <n v="456"/>
    <n v="1368"/>
    <x v="13"/>
    <s v="Tranvsal_secteur"/>
    <s v="3. Dépenses de fonctionnement"/>
    <s v="SINDA"/>
    <s v="SINDA/Cel COM"/>
    <x v="0"/>
    <x v="4"/>
    <x v="29"/>
    <s v="513- Le logiciel d'immatriculation et de suivi des élèves est amélioré et utilisé"/>
    <x v="350"/>
    <s v="51324-sensibilisation à l'importance de l'ETFP"/>
  </r>
  <r>
    <s v="Déconcentration, décentralisation, et partenariats (implication des communautés et des autres parties prenantes)"/>
    <m/>
    <m/>
    <n v="0"/>
    <m/>
    <m/>
    <m/>
    <m/>
    <m/>
    <m/>
    <m/>
    <m/>
    <m/>
    <m/>
    <x v="0"/>
    <m/>
    <m/>
    <m/>
    <m/>
    <x v="3"/>
    <x v="4"/>
    <x v="30"/>
    <s v="52-Déconcentration, décentralisation, et partenariats (implication des communautés et des autres parties prenantes)"/>
    <x v="351"/>
    <s v="52-Déconcentration, décentralisation, et partenariats (implication des communautés et des autres parties prenantes)"/>
  </r>
  <r>
    <s v="Les rôles et responsabilités des acteurs sont clairement déFinis"/>
    <m/>
    <m/>
    <n v="0"/>
    <m/>
    <m/>
    <m/>
    <m/>
    <m/>
    <m/>
    <m/>
    <m/>
    <m/>
    <m/>
    <x v="0"/>
    <m/>
    <m/>
    <m/>
    <m/>
    <x v="3"/>
    <x v="4"/>
    <x v="30"/>
    <s v="521-Les rôles et responsabilités des acteurs sont clairement définis"/>
    <x v="352"/>
    <s v="521-Les rôles et responsabilités des acteurs sont clairement déFinis"/>
  </r>
  <r>
    <s v="Production de manuels de procédures pour les différents acteurs (rôles et responsabilités)"/>
    <m/>
    <m/>
    <n v="0"/>
    <m/>
    <m/>
    <m/>
    <m/>
    <m/>
    <m/>
    <m/>
    <m/>
    <m/>
    <m/>
    <x v="0"/>
    <m/>
    <m/>
    <m/>
    <m/>
    <x v="3"/>
    <x v="4"/>
    <x v="30"/>
    <s v="521-Les rôles et responsabilités des acteurs sont clairement définis"/>
    <x v="353"/>
    <s v="5211-Production de manuels de procédures pour les différents acteurs (rôles et responsabilités)"/>
  </r>
  <r>
    <s v="Mise en place d'une équipe chargée d'élaborer une feuille de route sur la décentralisation de l'éducation"/>
    <s v="travaux administratifs"/>
    <s v="sif"/>
    <n v="0"/>
    <n v="1"/>
    <n v="0"/>
    <n v="0"/>
    <n v="1"/>
    <n v="0"/>
    <n v="0"/>
    <n v="0"/>
    <n v="0"/>
    <n v="0"/>
    <m/>
    <x v="2"/>
    <s v="Tranvsal_secteur"/>
    <s v=""/>
    <s v="SG"/>
    <s v="DNEF"/>
    <x v="0"/>
    <x v="4"/>
    <x v="30"/>
    <s v="521-Les rôles et responsabilités des acteurs sont clairement définis"/>
    <x v="353"/>
    <s v="52111-Mise en place d'une équipe chargée d'élaborer une feuille de route sur la décentralisation de l'éducation"/>
  </r>
  <r>
    <s v="Indentification des rôles et responsabilités des services déconcentrés de l'éducation en lien avec le code des collectivités territoriales "/>
    <s v="travaux administratifs/révue documentaire"/>
    <s v="sif"/>
    <n v="0"/>
    <n v="1"/>
    <n v="0"/>
    <n v="0"/>
    <n v="1"/>
    <n v="0"/>
    <n v="0"/>
    <n v="0"/>
    <n v="0"/>
    <n v="0"/>
    <m/>
    <x v="2"/>
    <s v="Tranvsal_secteur"/>
    <s v=""/>
    <s v="SG"/>
    <s v="DNEF"/>
    <x v="0"/>
    <x v="4"/>
    <x v="30"/>
    <s v="521-Les rôles et responsabilités des acteurs sont clairement définis"/>
    <x v="353"/>
    <s v="52112-Indentification des rôles et responsabilités des services déconcentrés de l'éducation en lien avec le code des collectivités territoriales "/>
  </r>
  <r>
    <s v="Elaboration de manuels sur les rôles et responsabilités des structures déconcentrées et les rapports avec les collectivités territoriales"/>
    <s v="ateliers d'élaboration"/>
    <s v="h/j/ap"/>
    <n v="0"/>
    <n v="45"/>
    <n v="0"/>
    <n v="0"/>
    <n v="45"/>
    <n v="0.255"/>
    <n v="0"/>
    <n v="11.475"/>
    <n v="0"/>
    <n v="0"/>
    <n v="11.475"/>
    <x v="13"/>
    <s v="Tranvsal_secteur"/>
    <s v="3. Dépenses de fonctionnement"/>
    <s v="DNEF"/>
    <s v="DNEF"/>
    <x v="0"/>
    <x v="4"/>
    <x v="30"/>
    <s v="521-Les rôles et responsabilités des acteurs sont clairement définis"/>
    <x v="353"/>
    <s v="52113-Elaboration de manuels sur les rôles et responsabilités des structures déconcentrées et les rapports avec les collectivités territoriales"/>
  </r>
  <r>
    <s v="Reproduction des manuels sur les rôles et responsabilités des structures déconcentrées"/>
    <s v="Impression"/>
    <s v="imp"/>
    <n v="0"/>
    <n v="794.85"/>
    <m/>
    <n v="79.485000000000014"/>
    <n v="874.33500000000004"/>
    <n v="7.4999999999999997E-3"/>
    <n v="0"/>
    <n v="5.9613750000000003"/>
    <n v="0"/>
    <n v="0.5961375000000001"/>
    <n v="6.5575125000000005"/>
    <x v="13"/>
    <s v="Tranvsal_secteur"/>
    <s v="3. Dépenses de fonctionnement"/>
    <s v="DNEF"/>
    <s v="DNEF"/>
    <x v="0"/>
    <x v="4"/>
    <x v="30"/>
    <s v="521-Les rôles et responsabilités des acteurs sont clairement définis"/>
    <x v="353"/>
    <s v="52114-Reproduction des manuels sur les rôles et responsabilités des structures déconcentrées"/>
  </r>
  <r>
    <s v="Formation des acteurs et diffusion des manuels"/>
    <s v="Atelier"/>
    <s v="h/j/f"/>
    <n v="0"/>
    <m/>
    <n v="810"/>
    <m/>
    <n v="810"/>
    <n v="0.67666666666666664"/>
    <n v="0"/>
    <n v="0"/>
    <n v="548.1"/>
    <n v="0"/>
    <n v="548.1"/>
    <x v="13"/>
    <s v="Tranvsal_secteur"/>
    <s v="3. Formation"/>
    <s v="DNEF"/>
    <s v="DNEF"/>
    <x v="0"/>
    <x v="4"/>
    <x v="30"/>
    <s v="521-Les rôles et responsabilités des acteurs sont clairement définis"/>
    <x v="353"/>
    <s v="52115-Formation des acteurs et diffusion des manuels"/>
  </r>
  <r>
    <s v="Les acteurs ont les compétences et les ressources nécessaires pour exercer leurs missions"/>
    <m/>
    <m/>
    <n v="0"/>
    <m/>
    <m/>
    <m/>
    <m/>
    <m/>
    <m/>
    <m/>
    <m/>
    <m/>
    <m/>
    <x v="0"/>
    <m/>
    <m/>
    <m/>
    <m/>
    <x v="3"/>
    <x v="4"/>
    <x v="30"/>
    <s v="522-Les acteurs ont les compétences et les ressources nécessaires pour exercer leurs missions"/>
    <x v="354"/>
    <s v="522-Les acteurs ont les compétences et les ressources nécessaires pour exercer leurs missions"/>
  </r>
  <r>
    <s v="Renforcement des compétences des structures aux différents niveaux sur la programmation, planification et l’exécution budgétaire (formation, outils, guide, suivi régulier…)"/>
    <m/>
    <m/>
    <n v="0"/>
    <m/>
    <m/>
    <m/>
    <m/>
    <m/>
    <m/>
    <m/>
    <m/>
    <m/>
    <m/>
    <x v="0"/>
    <m/>
    <m/>
    <m/>
    <m/>
    <x v="3"/>
    <x v="4"/>
    <x v="30"/>
    <s v="522-Les acteurs ont les compétences et les ressources nécessaires pour exercer leurs missions"/>
    <x v="355"/>
    <s v="5221-Renforcement des compétences des structures aux différents niveaux sur la programmation, planification et l’exécution budgétaire (formation, outils, guide, suivi régulier…)"/>
  </r>
  <r>
    <s v="Mise en place d'un dispositif de renforcement des capacités des structures en charge de la programmation, planification et exécution budgétaire en collaboration avec les services du Ministère des Finances (élaboration d'outils de formation, de guides et organisation des formations)"/>
    <s v="décision"/>
    <s v="sif"/>
    <n v="0"/>
    <n v="1"/>
    <n v="0"/>
    <n v="0"/>
    <n v="1"/>
    <n v="0"/>
    <n v="0"/>
    <n v="0"/>
    <n v="0"/>
    <n v="0"/>
    <m/>
    <x v="2"/>
    <s v="Tranvsal_secteur"/>
    <s v=""/>
    <s v="CDMT"/>
    <s v="CDMT"/>
    <x v="0"/>
    <x v="4"/>
    <x v="30"/>
    <s v="522-Les acteurs ont les compétences et les ressources nécessaires pour exercer leurs missions"/>
    <x v="355"/>
    <s v="52211-Mise en place d'un dispositif de renforcement des capacités des structures en charge de la programmation, planification et exécution budgétaire en collaboration avec les services du Ministère des Finances (élaboration d'outils de formation, de guides et organisation des formations)"/>
  </r>
  <r>
    <s v="Elaboration des guides d'utilisation des outils de planification et de programmation budgétaire "/>
    <s v="Ateliers"/>
    <s v="h/j/ap"/>
    <n v="0"/>
    <n v="75"/>
    <n v="0"/>
    <n v="0"/>
    <n v="75"/>
    <n v="0.255"/>
    <n v="0"/>
    <n v="19.125"/>
    <n v="0"/>
    <n v="0"/>
    <n v="19.125"/>
    <x v="13"/>
    <s v="Tranvsal_secteur"/>
    <s v="3. Dépenses de fonctionnement"/>
    <s v="CDMT"/>
    <s v="CDMT"/>
    <x v="0"/>
    <x v="4"/>
    <x v="30"/>
    <s v="522-Les acteurs ont les compétences et les ressources nécessaires pour exercer leurs missions"/>
    <x v="355"/>
    <s v="52212-Elaboration des guides d'utilisation des outils de planification et de programmation budgétaire "/>
  </r>
  <r>
    <s v="Formation action sur la planification et l'exécution budgétaire"/>
    <s v="Ateliers"/>
    <s v="h/j/ap"/>
    <n v="0"/>
    <m/>
    <m/>
    <m/>
    <n v="0"/>
    <n v="0.255"/>
    <n v="0"/>
    <n v="0"/>
    <n v="0"/>
    <n v="0"/>
    <n v="0"/>
    <x v="8"/>
    <s v="Tranvsal_secteur"/>
    <s v="3. Dépenses de fonctionnement"/>
    <s v="ST/ProDEG (CDMT)"/>
    <s v="ST/ProDEG (CDMT)"/>
    <x v="0"/>
    <x v="4"/>
    <x v="30"/>
    <s v="522-Les acteurs ont les compétences et les ressources nécessaires pour exercer leurs missions"/>
    <x v="355"/>
    <s v="52213-Formation action sur la planification et l'exécution budgétaire"/>
  </r>
  <r>
    <s v="Formation action sur la programation et l'exécution budgétaire"/>
    <s v="Ateliers"/>
    <s v="h/j/ap"/>
    <n v="0"/>
    <n v="183"/>
    <m/>
    <m/>
    <n v="183"/>
    <n v="0.255"/>
    <n v="0"/>
    <n v="46.664999999999999"/>
    <n v="0"/>
    <n v="0"/>
    <n v="46.664999999999999"/>
    <x v="2"/>
    <s v="Tranvsal_secteur"/>
    <s v="3. Dépenses de fonctionnement"/>
    <s v="ST/ProDEG (CDMT)"/>
    <s v="ST/ProDEG (CDMT)"/>
    <x v="0"/>
    <x v="4"/>
    <x v="30"/>
    <s v="522-Les acteurs ont les compétences et les ressources nécessaires pour exercer leurs missions"/>
    <x v="355"/>
    <s v="52213-Formation action sur la programation et l'exécution budgétaire"/>
  </r>
  <r>
    <s v="Reproduction des guides d'utilisation des outils de planification et de programmation budgétaire"/>
    <s v="Impression + distribution"/>
    <s v="imp"/>
    <n v="0"/>
    <n v="202.4"/>
    <n v="0"/>
    <n v="0"/>
    <n v="202.4"/>
    <n v="7.4999999999999997E-3"/>
    <n v="0"/>
    <n v="1.518"/>
    <n v="0"/>
    <n v="0"/>
    <n v="1.518"/>
    <x v="2"/>
    <s v="Tranvsal_secteur"/>
    <s v="3. Dépenses de fonctionnement"/>
    <s v="ST/ProDEG (CDMT)"/>
    <s v="ST/ProDEG (CDMT)"/>
    <x v="0"/>
    <x v="4"/>
    <x v="30"/>
    <s v="522-Les acteurs ont les compétences et les ressources nécessaires pour exercer leurs missions"/>
    <x v="355"/>
    <s v="52214-Reproduction des guides d'utilisation des outils de planification et de programmation budgétaire"/>
  </r>
  <r>
    <s v="Suivi de l'utilisation des guides de planification et de programmation budgétaire"/>
    <s v="Missions"/>
    <s v="h/j/m"/>
    <n v="0"/>
    <n v="180"/>
    <n v="180"/>
    <n v="180"/>
    <n v="540"/>
    <n v="0.8177777777777776"/>
    <n v="0"/>
    <n v="147.19999999999996"/>
    <n v="147.19999999999996"/>
    <n v="147.19999999999996"/>
    <n v="441.59999999999991"/>
    <x v="2"/>
    <s v="Tranvsal_secteur"/>
    <s v="3. Dépenses de fonctionnement"/>
    <s v="ST/ProDEG (CDMT)"/>
    <s v="ST/ProDEG (CDMT)"/>
    <x v="0"/>
    <x v="4"/>
    <x v="30"/>
    <s v="522-Les acteurs ont les compétences et les ressources nécessaires pour exercer leurs missions"/>
    <x v="355"/>
    <s v="52215-Suivi de l'utilisation des guides de planification et de programmation budgétaire"/>
  </r>
  <r>
    <s v="Renforcement des rôles des structures déconcentrées dans la préparation du budget de l’état pour l’éducation"/>
    <m/>
    <m/>
    <n v="0"/>
    <m/>
    <m/>
    <m/>
    <m/>
    <m/>
    <m/>
    <m/>
    <m/>
    <m/>
    <m/>
    <x v="0"/>
    <m/>
    <s v="3. Dépenses de fonctionnement"/>
    <s v="ST/ProDEG (CDMT)"/>
    <s v="ST/ProDEG (CDMT)"/>
    <x v="3"/>
    <x v="4"/>
    <x v="30"/>
    <s v="522-Les acteurs ont les compétences et les ressources nécessaires pour exercer leurs missions"/>
    <x v="356"/>
    <s v="5222-Renforcement des rôles des structures déconcentrées dans la préparation du budget de l’état pour l’éducation"/>
  </r>
  <r>
    <s v="Appui à l'organisation des sessions sous préfectorales de préparation du budget "/>
    <s v="Ateliers"/>
    <s v="h/j/ap"/>
    <n v="0"/>
    <n v="768"/>
    <n v="768"/>
    <n v="784"/>
    <n v="2320"/>
    <n v="0.255"/>
    <n v="0"/>
    <n v="195.84"/>
    <n v="195.84"/>
    <n v="199.92000000000002"/>
    <n v="591.6"/>
    <x v="4"/>
    <s v="Tranvsal_secteur"/>
    <s v="3. Dépenses de fonctionnement"/>
    <s v="BSD"/>
    <s v="DSEE"/>
    <x v="0"/>
    <x v="4"/>
    <x v="30"/>
    <s v="522-Les acteurs ont les compétences et les ressources nécessaires pour exercer leurs missions"/>
    <x v="356"/>
    <s v="52221-Appui à l'organisation des sessions sous préfectorales de préparation du budget "/>
  </r>
  <r>
    <s v="Appui à l'organisation des sessions sous préfectorales de préparation du budget "/>
    <s v="Ateliers"/>
    <s v="h/j/ap"/>
    <n v="0"/>
    <n v="2640"/>
    <n v="2640"/>
    <n v="2624"/>
    <n v="7904"/>
    <n v="0.255"/>
    <n v="0"/>
    <n v="673.2"/>
    <n v="673.2"/>
    <n v="669.12"/>
    <n v="2015.52"/>
    <x v="2"/>
    <s v="Tranvsal_secteur"/>
    <s v="3. Dépenses de fonctionnement"/>
    <s v="BSD"/>
    <s v="DSEE"/>
    <x v="0"/>
    <x v="4"/>
    <x v="30"/>
    <s v="522-Les acteurs ont les compétences et les ressources nécessaires pour exercer leurs missions"/>
    <x v="356"/>
    <s v="52221-Appui à l'organisation des sessions sous préfectorales de préparation du budget "/>
  </r>
  <r>
    <s v="Organisation des sessions sous préfectorales de préparation du budget (pris en compte dans budget DSEE)"/>
    <s v="pm"/>
    <s v="sif"/>
    <n v="0"/>
    <m/>
    <n v="1"/>
    <n v="1"/>
    <n v="2"/>
    <n v="0"/>
    <n v="0"/>
    <n v="0"/>
    <n v="0"/>
    <n v="0"/>
    <m/>
    <x v="2"/>
    <s v="Tranvsal_secteur"/>
    <s v="3. Dépenses de fonctionnement"/>
    <s v="BSD"/>
    <s v="DSEE"/>
    <x v="0"/>
    <x v="4"/>
    <x v="30"/>
    <s v="522-Les acteurs ont les compétences et les ressources nécessaires pour exercer leurs missions"/>
    <x v="356"/>
    <s v="52222-Organisation des sessions sous préfectorales de préparation du budget (pris en compte dans budget DSEE)"/>
  </r>
  <r>
    <s v="Organisation des sessions préfectorales sur la préparation du budget (pris en compte dans budget DPE/DCE)"/>
    <s v="pm"/>
    <s v="sif"/>
    <n v="0"/>
    <n v="1"/>
    <n v="1"/>
    <n v="1"/>
    <n v="3"/>
    <n v="0"/>
    <n v="0"/>
    <n v="0"/>
    <n v="0"/>
    <n v="0"/>
    <m/>
    <x v="2"/>
    <s v="Tranvsal_secteur"/>
    <s v=""/>
    <s v="BSD"/>
    <s v="DPE"/>
    <x v="0"/>
    <x v="4"/>
    <x v="30"/>
    <s v="522-Les acteurs ont les compétences et les ressources nécessaires pour exercer leurs missions"/>
    <x v="356"/>
    <s v="52223-Organisation des sessions préfectorales sur la préparation du budget (pris en compte dans budget DPE/DCE)"/>
  </r>
  <r>
    <s v="Organisation des sessions régionales sur la préparation du budget (pris en compte dans budget IRE)"/>
    <s v="pm"/>
    <s v="sif"/>
    <n v="0"/>
    <n v="1"/>
    <n v="1"/>
    <n v="1"/>
    <n v="3"/>
    <n v="0"/>
    <n v="0"/>
    <n v="0"/>
    <n v="0"/>
    <n v="0"/>
    <m/>
    <x v="2"/>
    <s v="Tranvsal_secteur"/>
    <s v="3. Dépenses de fonctionnement"/>
    <s v="BSD"/>
    <s v="IRE"/>
    <x v="0"/>
    <x v="4"/>
    <x v="30"/>
    <s v="522-Les acteurs ont les compétences et les ressources nécessaires pour exercer leurs missions"/>
    <x v="356"/>
    <s v="52224-Organisation des sessions régionales sur la préparation du budget (pris en compte dans budget IRE)"/>
  </r>
  <r>
    <s v="Organisation des sessions nationale de préparation du budget (pris en compte dans budget DAF)"/>
    <s v="pm"/>
    <s v="sif"/>
    <n v="0"/>
    <n v="1"/>
    <n v="1"/>
    <n v="1"/>
    <n v="3"/>
    <n v="0"/>
    <n v="0"/>
    <n v="0"/>
    <n v="0"/>
    <n v="0"/>
    <m/>
    <x v="2"/>
    <s v="Tranvsal_secteur"/>
    <s v="3. Dépenses de fonctionnement"/>
    <s v="BSD"/>
    <s v="CDMT DAF"/>
    <x v="0"/>
    <x v="4"/>
    <x v="30"/>
    <s v="522-Les acteurs ont les compétences et les ressources nécessaires pour exercer leurs missions"/>
    <x v="356"/>
    <s v="52225-Organisation des sessions nationale de préparation du budget (pris en compte dans budget DAF)"/>
  </r>
  <r>
    <s v="Suivi régulier de l’application des textes et procédures d’exécution budgétaire"/>
    <m/>
    <m/>
    <n v="0"/>
    <m/>
    <m/>
    <m/>
    <m/>
    <m/>
    <m/>
    <m/>
    <m/>
    <m/>
    <m/>
    <x v="0"/>
    <m/>
    <s v="3. Dépenses de fonctionnement"/>
    <m/>
    <m/>
    <x v="3"/>
    <x v="4"/>
    <x v="30"/>
    <s v="522-Les acteurs ont les compétences et les ressources nécessaires pour exercer leurs missions"/>
    <x v="357"/>
    <s v="5223-Suivi régulier de l’application des textes et procédures d’exécution budgétaire"/>
  </r>
  <r>
    <s v="Organisation de missions d'audit des ressources mises à la disposition des structures déconcentrées"/>
    <s v="Missions"/>
    <s v="h/j/m"/>
    <n v="0"/>
    <n v="180"/>
    <n v="180"/>
    <n v="180"/>
    <n v="540"/>
    <n v="0.8177777777777776"/>
    <n v="0"/>
    <n v="147.19999999999996"/>
    <n v="147.19999999999996"/>
    <n v="147.19999999999996"/>
    <n v="441.59999999999991"/>
    <x v="13"/>
    <s v="Tranvsal_secteur"/>
    <s v="3. Dépenses de fonctionnement"/>
    <s v="Serv Audit"/>
    <s v="Serv Audit"/>
    <x v="0"/>
    <x v="4"/>
    <x v="30"/>
    <s v="522-Les acteurs ont les compétences et les ressources nécessaires pour exercer leurs missions"/>
    <x v="357"/>
    <s v="52231-Organisation de missions d'audit des ressources mises à la disposition des structures déconcentrées"/>
  </r>
  <r>
    <s v="Mise en œuvre des recommandations issues des missions d'audit"/>
    <s v="travaux administratifs"/>
    <s v="sif"/>
    <n v="0"/>
    <n v="1"/>
    <n v="1"/>
    <n v="1"/>
    <n v="3"/>
    <n v="0"/>
    <n v="0"/>
    <n v="0"/>
    <n v="0"/>
    <n v="0"/>
    <m/>
    <x v="2"/>
    <s v="Tranvsal_secteur"/>
    <s v="3. Dépenses de fonctionnement"/>
    <s v="Serv Audit"/>
    <s v="Serv Audit"/>
    <x v="0"/>
    <x v="4"/>
    <x v="30"/>
    <s v="522-Les acteurs ont les compétences et les ressources nécessaires pour exercer leurs missions"/>
    <x v="357"/>
    <s v="52232-Mise en œuvre des recommandations issues des missions d'audit"/>
  </r>
  <r>
    <s v=" Systèmes d’information pour la gestion de l'éducation (collecte, analyse, diffusion, et utilisation des informations) "/>
    <m/>
    <m/>
    <n v="0"/>
    <m/>
    <m/>
    <m/>
    <m/>
    <m/>
    <m/>
    <m/>
    <m/>
    <m/>
    <m/>
    <x v="0"/>
    <m/>
    <s v="3. Dépenses de fonctionnement"/>
    <m/>
    <m/>
    <x v="3"/>
    <x v="4"/>
    <x v="31"/>
    <s v="53- Systèmes d’information pour la gestion de l'éducation (collecte, analyse, diffusion, et utilisation des informations) "/>
    <x v="358"/>
    <s v="53- Systèmes d’information pour la gestion de l'éducation (collecte, analyse, diffusion, et utilisation des informations) "/>
  </r>
  <r>
    <s v=" La production des données permet d’offrir aux différents acteurs et utilisateurs à tous les niveaux l’information dont ils ont besoin"/>
    <m/>
    <m/>
    <n v="0"/>
    <m/>
    <m/>
    <m/>
    <m/>
    <m/>
    <m/>
    <m/>
    <m/>
    <m/>
    <m/>
    <x v="0"/>
    <m/>
    <s v="3. Dépenses de fonctionnement"/>
    <m/>
    <m/>
    <x v="3"/>
    <x v="4"/>
    <x v="31"/>
    <s v="531- La production des données permet d’offrir aux différents acteurs et utilisateurs à tous les niveaux l’information dont ils ont besoin"/>
    <x v="359"/>
    <s v="531- La production des données permet d’offrir aux différents acteurs et utilisateurs à tous les niveaux l’information dont ils ont besoin"/>
  </r>
  <r>
    <s v="Organisation de la collecte classique"/>
    <m/>
    <m/>
    <n v="0"/>
    <m/>
    <m/>
    <m/>
    <m/>
    <m/>
    <m/>
    <m/>
    <m/>
    <m/>
    <m/>
    <x v="0"/>
    <m/>
    <s v="3. Dépenses de fonctionnement"/>
    <m/>
    <m/>
    <x v="3"/>
    <x v="4"/>
    <x v="31"/>
    <s v="531- La production des données permet d’offrir aux différents acteurs et utilisateurs à tous les niveaux l’information dont ils ont besoin"/>
    <x v="360"/>
    <s v="5311-Organisation de la collecte classique"/>
  </r>
  <r>
    <s v="Révision des outils de collecte en tenant compte de l'éducation inclusive, les catastrophes naturelles/crises, santé sexuelle, enseignement coranique etc……"/>
    <s v="travaux administratifs"/>
    <s v="sif"/>
    <n v="0"/>
    <n v="0"/>
    <n v="0"/>
    <n v="0"/>
    <n v="0"/>
    <n v="0"/>
    <m/>
    <m/>
    <m/>
    <m/>
    <m/>
    <x v="2"/>
    <s v="Tranvsal_secteur"/>
    <s v="3. Dépenses de fonctionnement"/>
    <s v="BSD"/>
    <s v="BSD"/>
    <x v="0"/>
    <x v="4"/>
    <x v="31"/>
    <s v="531- La production des données permet d’offrir aux différents acteurs et utilisateurs à tous les niveaux l’information dont ils ont besoin"/>
    <x v="360"/>
    <s v="53111-Révision des outils de collecte en tenant compte de l'éducation inclusive, les catastrophes naturelles/crises, santé sexuelle, enseignement coranique etc……"/>
  </r>
  <r>
    <s v="Révision des outils de collecte en tenant compte de l'éducation inclusive, les catastrophes naturelles/crises, santé sexuelle, enseignement coranique etc……"/>
    <s v="travaux administratifs"/>
    <s v="sif"/>
    <n v="0"/>
    <n v="0"/>
    <n v="0"/>
    <n v="0"/>
    <n v="0"/>
    <n v="0"/>
    <m/>
    <m/>
    <m/>
    <m/>
    <m/>
    <x v="2"/>
    <s v="Tranvsal_secteur"/>
    <s v="3. Dépenses de fonctionnement"/>
    <s v="BSD"/>
    <s v="BSD"/>
    <x v="2"/>
    <x v="4"/>
    <x v="31"/>
    <s v="531- La production des données permet d’offrir aux différents acteurs et utilisateurs à tous les niveaux l’information dont ils ont besoin"/>
    <x v="360"/>
    <s v="53112-Révision des outils de collecte en tenant compte de l'éducation inclusive, les catastrophes naturelles/crises, santé sexuelle, enseignement coranique etc……"/>
  </r>
  <r>
    <s v="Révision des outils de collecte en tenant compte de l'éducation inclusive, les catastrophes naturelles/crises, santé sexuelle, enseignement coranique etc……"/>
    <s v="travaux administratifs"/>
    <s v="sif"/>
    <n v="0"/>
    <n v="0"/>
    <n v="0"/>
    <n v="0"/>
    <n v="0"/>
    <n v="0"/>
    <n v="0"/>
    <n v="0"/>
    <n v="0"/>
    <n v="0"/>
    <m/>
    <x v="2"/>
    <s v="Tranvsal_secteur"/>
    <s v="3. Dépenses de fonctionnement"/>
    <s v="BSD"/>
    <s v="BSD"/>
    <x v="1"/>
    <x v="4"/>
    <x v="31"/>
    <s v="531- La production des données permet d’offrir aux différents acteurs et utilisateurs à tous les niveaux l’information dont ils ont besoin"/>
    <x v="360"/>
    <s v="53113-Révision des outils de collecte en tenant compte de l'éducation inclusive, les catastrophes naturelles/crises, santé sexuelle, enseignement coranique etc……"/>
  </r>
  <r>
    <s v="Impression des fiches de collecte (MENA)"/>
    <s v="Fiche de collecte"/>
    <s v="imp"/>
    <n v="0"/>
    <n v="0"/>
    <n v="0"/>
    <n v="0"/>
    <n v="0"/>
    <n v="7.4999999999999997E-3"/>
    <n v="0"/>
    <n v="0"/>
    <n v="0"/>
    <n v="0"/>
    <n v="0"/>
    <x v="2"/>
    <s v="Tranvsal_secteur"/>
    <s v="3. Dépenses de fonctionnement"/>
    <s v="BSD"/>
    <s v="IDEC"/>
    <x v="0"/>
    <x v="4"/>
    <x v="31"/>
    <s v="531- La production des données permet d’offrir aux différents acteurs et utilisateurs à tous les niveaux l’information dont ils ont besoin"/>
    <x v="360"/>
    <s v="53114-Impression des fiches de collecte (MENA)"/>
  </r>
  <r>
    <s v="Impression des fiches de collecte (MENA)"/>
    <s v="Fiche de collecte"/>
    <s v="imp"/>
    <n v="0"/>
    <n v="0"/>
    <n v="0"/>
    <n v="0"/>
    <n v="0"/>
    <n v="7.4999999999999997E-3"/>
    <n v="0"/>
    <n v="0"/>
    <n v="0"/>
    <n v="0"/>
    <n v="0"/>
    <x v="13"/>
    <s v="Tranvsal_secteur"/>
    <s v="3. Dépenses de fonctionnement"/>
    <s v="BSD"/>
    <s v="IDEC"/>
    <x v="0"/>
    <x v="4"/>
    <x v="31"/>
    <s v="531- La production des données permet d’offrir aux différents acteurs et utilisateurs à tous les niveaux l’information dont ils ont besoin"/>
    <x v="360"/>
    <s v="53114-Impression des fiches de collecte (MENA)"/>
  </r>
  <r>
    <s v="Impression des fiches de collecte (MESRS)"/>
    <s v="Fiche de collecte"/>
    <s v="imp"/>
    <n v="0"/>
    <n v="400"/>
    <n v="400"/>
    <n v="400"/>
    <n v="1200"/>
    <n v="7.4999999999999997E-3"/>
    <n v="0"/>
    <n v="3"/>
    <n v="3"/>
    <n v="3"/>
    <n v="9"/>
    <x v="2"/>
    <s v="Tranvsal_secteur"/>
    <s v="3. Dépenses de fonctionnement"/>
    <s v="BSD"/>
    <s v="IDEC"/>
    <x v="2"/>
    <x v="4"/>
    <x v="31"/>
    <s v="531- La production des données permet d’offrir aux différents acteurs et utilisateurs à tous les niveaux l’information dont ils ont besoin"/>
    <x v="360"/>
    <s v="53115-Impression des fiches de collecte (MESRS)"/>
  </r>
  <r>
    <s v="Impression des fiches de collecte (METFP)"/>
    <s v="Fiche de collecte"/>
    <s v="imp"/>
    <n v="0"/>
    <n v="150"/>
    <n v="150"/>
    <n v="150"/>
    <n v="450"/>
    <n v="7.4999999999999997E-3"/>
    <n v="0"/>
    <n v="1.125"/>
    <n v="1.125"/>
    <n v="1.125"/>
    <n v="3.375"/>
    <x v="2"/>
    <s v="Tranvsal_secteur"/>
    <s v="3. Dépenses de fonctionnement"/>
    <s v="BSD"/>
    <s v="IDEC"/>
    <x v="1"/>
    <x v="4"/>
    <x v="31"/>
    <s v="531- La production des données permet d’offrir aux différents acteurs et utilisateurs à tous les niveaux l’information dont ils ont besoin"/>
    <x v="360"/>
    <s v="53116-Impression des fiches de collecte (METFP)"/>
  </r>
  <r>
    <s v="Lancement de la campagne de la collecte et distribution des fiches de collecte"/>
    <s v="Ateliers"/>
    <s v="h/j/f"/>
    <n v="0"/>
    <n v="150"/>
    <n v="150"/>
    <n v="150"/>
    <n v="450"/>
    <n v="0.67666666666666664"/>
    <n v="0"/>
    <n v="101.5"/>
    <n v="101.5"/>
    <n v="101.5"/>
    <n v="304.5"/>
    <x v="2"/>
    <s v="Tranvsal_secteur"/>
    <s v="3. Formation"/>
    <s v="BSD"/>
    <s v="BSD"/>
    <x v="0"/>
    <x v="4"/>
    <x v="31"/>
    <s v="531- La production des données permet d’offrir aux différents acteurs et utilisateurs à tous les niveaux l’information dont ils ont besoin"/>
    <x v="360"/>
    <s v="53117-Lancement de la campagne de la collecte et distribution des fiches de collecte"/>
  </r>
  <r>
    <s v="Lancement de la campagne de la collecte et distribution des fiches de collecte"/>
    <s v="Ateliers"/>
    <s v="h/j/f"/>
    <n v="0"/>
    <n v="50"/>
    <n v="50"/>
    <n v="50"/>
    <n v="150"/>
    <n v="0.67666666666666664"/>
    <n v="0"/>
    <n v="33.833333333333329"/>
    <n v="33.833333333333329"/>
    <n v="33.833333333333329"/>
    <n v="101.49999999999999"/>
    <x v="13"/>
    <s v="Tranvsal_secteur"/>
    <s v="3. Formation"/>
    <s v="BSD"/>
    <s v="BSD"/>
    <x v="0"/>
    <x v="4"/>
    <x v="31"/>
    <s v="531- La production des données permet d’offrir aux différents acteurs et utilisateurs à tous les niveaux l’information dont ils ont besoin"/>
    <x v="360"/>
    <s v="53117-Lancement de la campagne de la collecte et distribution des fiches de collecte"/>
  </r>
  <r>
    <s v="Lancement de la campagne de la collecte et distribution des fiches de collecte"/>
    <s v="Ateliers"/>
    <s v="h/j/a"/>
    <n v="0"/>
    <n v="37.5"/>
    <n v="37.5"/>
    <n v="37.5"/>
    <n v="112.5"/>
    <n v="0.3133333333333333"/>
    <n v="0"/>
    <n v="11.749999999999998"/>
    <n v="11.749999999999998"/>
    <n v="11.749999999999998"/>
    <n v="35.249999999999993"/>
    <x v="2"/>
    <s v="Tranvsal_secteur"/>
    <s v="3. Formation"/>
    <s v="BSD"/>
    <s v="BSD"/>
    <x v="2"/>
    <x v="4"/>
    <x v="31"/>
    <s v="531- La production des données permet d’offrir aux différents acteurs et utilisateurs à tous les niveaux l’information dont ils ont besoin"/>
    <x v="360"/>
    <s v="53118-Lancement de la campagne de la collecte et distribution des fiches de collecte"/>
  </r>
  <r>
    <s v="Lancement de la campagne de la collecte et distribution des fiches de collecte"/>
    <s v="Ateliers"/>
    <s v="h/j/a"/>
    <n v="0"/>
    <n v="12.5"/>
    <n v="12.5"/>
    <n v="12.5"/>
    <n v="37.5"/>
    <n v="0.3133333333333333"/>
    <n v="0"/>
    <n v="3.9166666666666661"/>
    <n v="3.9166666666666661"/>
    <n v="3.9166666666666661"/>
    <n v="11.749999999999998"/>
    <x v="13"/>
    <s v="Tranvsal_secteur"/>
    <s v="3. Formation"/>
    <s v="BSD"/>
    <s v="BSD"/>
    <x v="2"/>
    <x v="4"/>
    <x v="31"/>
    <s v="531- La production des données permet d’offrir aux différents acteurs et utilisateurs à tous les niveaux l’information dont ils ont besoin"/>
    <x v="360"/>
    <s v="53118-Lancement de la campagne de la collecte et distribution des fiches de collecte"/>
  </r>
  <r>
    <s v="Lancement de la campagne de la collecte et distribution des fiches de collecte"/>
    <s v="Ateliers"/>
    <s v="h/j/a"/>
    <n v="0"/>
    <n v="37.5"/>
    <n v="37.5"/>
    <n v="37.5"/>
    <n v="112.5"/>
    <n v="0.3133333333333333"/>
    <n v="0"/>
    <n v="11.749999999999998"/>
    <n v="11.749999999999998"/>
    <n v="11.749999999999998"/>
    <n v="35.249999999999993"/>
    <x v="2"/>
    <s v="Tranvsal_secteur"/>
    <s v="3. Formation"/>
    <s v="BSD"/>
    <s v="BSD"/>
    <x v="1"/>
    <x v="4"/>
    <x v="31"/>
    <s v="531- La production des données permet d’offrir aux différents acteurs et utilisateurs à tous les niveaux l’information dont ils ont besoin"/>
    <x v="360"/>
    <s v="53119-Lancement de la campagne de la collecte et distribution des fiches de collecte"/>
  </r>
  <r>
    <s v="Lancement de la campagne de la collecte et distribution des fiches de collecte"/>
    <s v="Ateliers"/>
    <s v="h/j/a"/>
    <n v="0"/>
    <n v="12.5"/>
    <n v="12.5"/>
    <n v="12.5"/>
    <n v="37.5"/>
    <n v="0.3133333333333333"/>
    <n v="0"/>
    <n v="3.9166666666666661"/>
    <n v="3.9166666666666661"/>
    <n v="3.9166666666666661"/>
    <n v="11.749999999999998"/>
    <x v="13"/>
    <s v="Tranvsal_secteur"/>
    <s v="3. Formation"/>
    <s v="BSD"/>
    <s v="BSD"/>
    <x v="1"/>
    <x v="4"/>
    <x v="31"/>
    <s v="531- La production des données permet d’offrir aux différents acteurs et utilisateurs à tous les niveaux l’information dont ils ont besoin"/>
    <x v="360"/>
    <s v="53119-Lancement de la campagne de la collecte et distribution des fiches de collecte"/>
  </r>
  <r>
    <s v="Collecte de données"/>
    <s v="dotation par école"/>
    <s v="dot/CSS"/>
    <n v="0"/>
    <n v="0"/>
    <n v="0"/>
    <n v="0"/>
    <n v="0"/>
    <n v="9.4999999999999998E-3"/>
    <n v="0"/>
    <n v="0"/>
    <n v="0"/>
    <n v="0"/>
    <n v="0"/>
    <x v="13"/>
    <s v="Tranvsal_secteur"/>
    <s v="3. Dépenses de fonctionnement"/>
    <s v="BSD"/>
    <s v="BSD"/>
    <x v="0"/>
    <x v="4"/>
    <x v="31"/>
    <s v="531- La production des données permet d’offrir aux différents acteurs et utilisateurs à tous les niveaux l’information dont ils ont besoin"/>
    <x v="360"/>
    <s v="531110-Collecte de données"/>
  </r>
  <r>
    <s v="Collecte de données"/>
    <s v="missions de collecte"/>
    <s v="h/j/m"/>
    <n v="0"/>
    <n v="180"/>
    <n v="180"/>
    <n v="180"/>
    <n v="540"/>
    <n v="0.8177777777777776"/>
    <n v="0"/>
    <n v="147.19999999999996"/>
    <n v="147.19999999999996"/>
    <n v="147.19999999999996"/>
    <n v="441.59999999999991"/>
    <x v="2"/>
    <s v="Tranvsal_secteur"/>
    <s v="3. Dépenses de fonctionnement"/>
    <s v="BSD"/>
    <s v="BSD"/>
    <x v="2"/>
    <x v="4"/>
    <x v="31"/>
    <s v="531- La production des données permet d’offrir aux différents acteurs et utilisateurs à tous les niveaux l’information dont ils ont besoin"/>
    <x v="360"/>
    <s v="531111-Collecte de données"/>
  </r>
  <r>
    <s v="Collecte de données"/>
    <s v="missions de collecte"/>
    <s v="h/j/m"/>
    <n v="0"/>
    <n v="60"/>
    <n v="60"/>
    <n v="60"/>
    <n v="180"/>
    <n v="0.8177777777777776"/>
    <n v="0"/>
    <n v="49.066666666666656"/>
    <n v="49.066666666666656"/>
    <n v="49.066666666666656"/>
    <n v="147.19999999999996"/>
    <x v="13"/>
    <s v="Tranvsal_secteur"/>
    <s v="3. Dépenses de fonctionnement"/>
    <s v="BSD"/>
    <s v="BSD"/>
    <x v="2"/>
    <x v="4"/>
    <x v="31"/>
    <s v="531- La production des données permet d’offrir aux différents acteurs et utilisateurs à tous les niveaux l’information dont ils ont besoin"/>
    <x v="360"/>
    <s v="531111-Collecte de données"/>
  </r>
  <r>
    <s v=" Systèmes d’information pour la gestion de l'éducation (collecte, analyse, diffusion, et utilisation des informations) "/>
    <m/>
    <m/>
    <n v="0"/>
    <m/>
    <m/>
    <m/>
    <m/>
    <m/>
    <m/>
    <m/>
    <m/>
    <m/>
    <m/>
    <x v="0"/>
    <m/>
    <m/>
    <m/>
    <m/>
    <x v="3"/>
    <x v="4"/>
    <x v="31"/>
    <s v="53- Systèmes d’information pour la gestion de l'éducation (collecte, analyse, diffusion, et utilisation des informations) "/>
    <x v="358"/>
    <s v="53- Systèmes d’information pour la gestion de l'éducation (collecte, analyse, diffusion, et utilisation des informations) "/>
  </r>
  <r>
    <s v=" La production des données permet d’offrir aux différents acteurs et utilisateurs à tous les niveaux l’information dont ils ont besoin"/>
    <m/>
    <m/>
    <n v="0"/>
    <m/>
    <m/>
    <m/>
    <m/>
    <m/>
    <m/>
    <m/>
    <m/>
    <m/>
    <m/>
    <x v="0"/>
    <m/>
    <m/>
    <m/>
    <m/>
    <x v="3"/>
    <x v="4"/>
    <x v="31"/>
    <s v="531- La production des données permet d’offrir aux différents acteurs et utilisateurs à tous les niveaux l’information dont ils ont besoin"/>
    <x v="359"/>
    <s v="531- La production des données permet d’offrir aux différents acteurs et utilisateurs à tous les niveaux l’information dont ils ont besoin"/>
  </r>
  <r>
    <s v="Organisation de la collecte classique"/>
    <m/>
    <m/>
    <n v="0"/>
    <m/>
    <m/>
    <m/>
    <m/>
    <m/>
    <m/>
    <m/>
    <m/>
    <m/>
    <m/>
    <x v="0"/>
    <m/>
    <m/>
    <m/>
    <m/>
    <x v="3"/>
    <x v="4"/>
    <x v="31"/>
    <s v="531- La production des données permet d’offrir aux différents acteurs et utilisateurs à tous les niveaux l’information dont ils ont besoin"/>
    <x v="360"/>
    <s v="5311-Organisation de la collecte classique"/>
  </r>
  <r>
    <s v="Collecte de données"/>
    <s v="missions de collecte"/>
    <s v="h/j/m"/>
    <n v="0"/>
    <m/>
    <m/>
    <m/>
    <n v="0"/>
    <n v="0.8177777777777776"/>
    <n v="0"/>
    <n v="0"/>
    <n v="0"/>
    <n v="0"/>
    <n v="0"/>
    <x v="17"/>
    <s v="Tranvsal_secteur"/>
    <s v="3. Dépenses de fonctionnement"/>
    <s v="BSD"/>
    <s v="BSD"/>
    <x v="1"/>
    <x v="4"/>
    <x v="31"/>
    <s v="531- La production des données permet d’offrir aux différents acteurs et utilisateurs à tous les niveaux l’information dont ils ont besoin"/>
    <x v="360"/>
    <s v="531112-Collecte de données"/>
  </r>
  <r>
    <s v="Collecte de données"/>
    <s v="missions de collecte"/>
    <s v="h/j/m"/>
    <n v="0"/>
    <n v="120"/>
    <n v="120"/>
    <n v="120"/>
    <n v="360"/>
    <n v="0.8177777777777776"/>
    <n v="0"/>
    <n v="98.133333333333312"/>
    <n v="98.133333333333312"/>
    <n v="98.133333333333312"/>
    <n v="294.39999999999992"/>
    <x v="6"/>
    <s v="Tranvsal_secteur"/>
    <s v="3. Dépenses de fonctionnement"/>
    <s v="BSD"/>
    <s v="BSD"/>
    <x v="1"/>
    <x v="4"/>
    <x v="31"/>
    <s v="531- La production des données permet d’offrir aux différents acteurs et utilisateurs à tous les niveaux l’information dont ils ont besoin"/>
    <x v="360"/>
    <s v="531112-Collecte de données"/>
  </r>
  <r>
    <s v="Mise en place d'installation en ennergie solaire dans les IRE et DPE/DCE"/>
    <s v="énergie solaire"/>
    <s v="installation"/>
    <n v="0"/>
    <n v="46"/>
    <n v="0"/>
    <n v="0"/>
    <n v="46"/>
    <n v="57"/>
    <n v="0"/>
    <n v="2622"/>
    <n v="0"/>
    <n v="0"/>
    <n v="2622"/>
    <x v="2"/>
    <s v="Tranvsal_secteur"/>
    <s v="5. Investissement"/>
    <s v="BSD"/>
    <s v="DAF"/>
    <x v="0"/>
    <x v="4"/>
    <x v="31"/>
    <s v="531- La production des données permet d’offrir aux différents acteurs et utilisateurs à tous les niveaux l’information dont ils ont besoin"/>
    <x v="360"/>
    <s v="531113-Mise en place d'installation en ennergie solaire dans les IRE et DPE/DCE"/>
  </r>
  <r>
    <s v="Acquisition d'ordinateurs"/>
    <s v="Matériel informatique"/>
    <s v="ordin/portable"/>
    <n v="0"/>
    <n v="56"/>
    <n v="0"/>
    <n v="0"/>
    <n v="56"/>
    <n v="6.333333333333333"/>
    <n v="0"/>
    <n v="354.66666666666663"/>
    <n v="0"/>
    <n v="0"/>
    <n v="354.66666666666663"/>
    <x v="1"/>
    <s v="Tranvsal_secteur"/>
    <s v="5. Investissement"/>
    <s v="BSD"/>
    <s v="UGP"/>
    <x v="0"/>
    <x v="4"/>
    <x v="31"/>
    <s v="531- La production des données permet d’offrir aux différents acteurs et utilisateurs à tous les niveaux l’information dont ils ont besoin"/>
    <x v="360"/>
    <s v="531114-Acquisition d'ordinateurs"/>
  </r>
  <r>
    <s v="Saisie de données (pour le préscolaire et les NAFA et l'alpha)"/>
    <s v="Saisie de données"/>
    <s v="Saisie/quest "/>
    <n v="1"/>
    <n v="1.05"/>
    <n v="1.1025"/>
    <n v="1.1576250000000001"/>
    <n v="4.3101250000000002"/>
    <n v="0.01"/>
    <n v="0.01"/>
    <n v="1.0500000000000001E-2"/>
    <n v="1.1025E-2"/>
    <n v="1.1576250000000001E-2"/>
    <n v="4.3101250000000001E-2"/>
    <x v="4"/>
    <s v="Tranvsal_secteur"/>
    <s v="3. Dépenses de fonctionnement"/>
    <s v="BSD"/>
    <s v="BSD"/>
    <x v="0"/>
    <x v="4"/>
    <x v="31"/>
    <s v="531- La production des données permet d’offrir aux différents acteurs et utilisateurs à tous les niveaux l’information dont ils ont besoin"/>
    <x v="360"/>
    <s v="531115-Saisie de données (pour le préscolaire et les NAFA et l'alpha)"/>
  </r>
  <r>
    <s v="Saisie de données du supérieur"/>
    <s v="atelier saisie et traitement de données"/>
    <s v="h/j/ap"/>
    <n v="0"/>
    <n v="187.5"/>
    <n v="187.5"/>
    <n v="187.5"/>
    <n v="562.5"/>
    <n v="0.255"/>
    <n v="0"/>
    <n v="47.8125"/>
    <n v="47.8125"/>
    <n v="47.8125"/>
    <n v="143.4375"/>
    <x v="2"/>
    <s v="Tranvsal_secteur"/>
    <s v="3. Dépenses de fonctionnement"/>
    <s v="BSD"/>
    <s v="BSD"/>
    <x v="2"/>
    <x v="4"/>
    <x v="31"/>
    <s v="531- La production des données permet d’offrir aux différents acteurs et utilisateurs à tous les niveaux l’information dont ils ont besoin"/>
    <x v="360"/>
    <s v="531116-Saisie de données du supérieur"/>
  </r>
  <r>
    <s v="Saisie de données du supérieur"/>
    <s v="atelier saisie et traitement de données"/>
    <s v="h/j/ap"/>
    <n v="0"/>
    <n v="62.5"/>
    <n v="62.5"/>
    <n v="62.5"/>
    <n v="187.5"/>
    <n v="0.255"/>
    <n v="0"/>
    <n v="15.9375"/>
    <n v="15.9375"/>
    <n v="15.9375"/>
    <n v="47.8125"/>
    <x v="13"/>
    <s v="Tranvsal_secteur"/>
    <s v="3. Dépenses de fonctionnement"/>
    <s v="BSD"/>
    <s v="BSD"/>
    <x v="2"/>
    <x v="4"/>
    <x v="31"/>
    <s v="531- La production des données permet d’offrir aux différents acteurs et utilisateurs à tous les niveaux l’information dont ils ont besoin"/>
    <x v="360"/>
    <s v="531116-Saisie de données du supérieur"/>
  </r>
  <r>
    <s v="Saisie de données de l'ETFP"/>
    <s v="atelier saisie et traitement de données"/>
    <s v="h/j/ap"/>
    <n v="0"/>
    <n v="112.5"/>
    <n v="112.5"/>
    <n v="112.5"/>
    <n v="337.5"/>
    <n v="0.255"/>
    <n v="0"/>
    <n v="28.6875"/>
    <n v="28.6875"/>
    <n v="28.6875"/>
    <n v="86.0625"/>
    <x v="2"/>
    <s v="Tranvsal_secteur"/>
    <s v="3. Dépenses de fonctionnement"/>
    <s v="BSD"/>
    <s v="BSD"/>
    <x v="1"/>
    <x v="4"/>
    <x v="31"/>
    <s v="531- La production des données permet d’offrir aux différents acteurs et utilisateurs à tous les niveaux l’information dont ils ont besoin"/>
    <x v="360"/>
    <s v="531117-Saisie de données de l'ETFP"/>
  </r>
  <r>
    <s v="Saisie de données de l'ETFP"/>
    <s v="atelier saisie et traitement de données"/>
    <s v="h/j/ap"/>
    <n v="0"/>
    <n v="37.5"/>
    <n v="37.5"/>
    <n v="37.5"/>
    <n v="112.5"/>
    <n v="0.255"/>
    <n v="0"/>
    <n v="9.5625"/>
    <n v="9.5625"/>
    <n v="9.5625"/>
    <n v="28.6875"/>
    <x v="13"/>
    <s v="Tranvsal_secteur"/>
    <s v="3. Dépenses de fonctionnement"/>
    <s v="BSD"/>
    <s v="BSD"/>
    <x v="1"/>
    <x v="4"/>
    <x v="31"/>
    <s v="531- La production des données permet d’offrir aux différents acteurs et utilisateurs à tous les niveaux l’information dont ils ont besoin"/>
    <x v="360"/>
    <s v="531117-Saisie de données de l'ETFP"/>
  </r>
  <r>
    <s v="Suivi et contrôle de la collecte"/>
    <s v="Missions"/>
    <s v="h/j/m"/>
    <n v="0"/>
    <m/>
    <m/>
    <m/>
    <n v="0"/>
    <n v="0.8177777777777776"/>
    <n v="0"/>
    <n v="0"/>
    <n v="0"/>
    <n v="0"/>
    <n v="0"/>
    <x v="13"/>
    <s v="Tranvsal_secteur"/>
    <s v="3. Dépenses de fonctionnement"/>
    <s v="BSD"/>
    <s v="BSD"/>
    <x v="0"/>
    <x v="4"/>
    <x v="31"/>
    <s v="531- La production des données permet d’offrir aux différents acteurs et utilisateurs à tous les niveaux l’information dont ils ont besoin"/>
    <x v="360"/>
    <s v="531118-Suivi et contrôle de la collecte"/>
  </r>
  <r>
    <s v="Suivi et contrôle de la collecte"/>
    <s v="Missions"/>
    <s v="h/j/m"/>
    <n v="0"/>
    <n v="160"/>
    <n v="160"/>
    <n v="160"/>
    <n v="480"/>
    <n v="0.8177777777777776"/>
    <n v="0"/>
    <n v="130.84444444444441"/>
    <n v="130.84444444444441"/>
    <n v="130.84444444444441"/>
    <n v="392.53333333333319"/>
    <x v="6"/>
    <s v="Tranvsal_secteur"/>
    <s v="3. Dépenses de fonctionnement"/>
    <s v="BSD"/>
    <s v="BSD"/>
    <x v="0"/>
    <x v="4"/>
    <x v="31"/>
    <s v="531- La production des données permet d’offrir aux différents acteurs et utilisateurs à tous les niveaux l’information dont ils ont besoin"/>
    <x v="360"/>
    <s v="531118-Suivi et contrôle de la collecte"/>
  </r>
  <r>
    <s v="Suivi et contrôle de la collecte"/>
    <s v="Missions"/>
    <s v="h/j/m"/>
    <n v="0"/>
    <n v="40"/>
    <n v="40"/>
    <n v="40"/>
    <n v="120"/>
    <n v="0.8177777777777776"/>
    <n v="0"/>
    <n v="32.711111111111101"/>
    <n v="32.711111111111101"/>
    <n v="32.711111111111101"/>
    <n v="98.133333333333297"/>
    <x v="2"/>
    <s v="Tranvsal_secteur"/>
    <s v="3. Dépenses de fonctionnement"/>
    <s v="BSD"/>
    <s v="BSD"/>
    <x v="2"/>
    <x v="4"/>
    <x v="31"/>
    <s v="531- La production des données permet d’offrir aux différents acteurs et utilisateurs à tous les niveaux l’information dont ils ont besoin"/>
    <x v="360"/>
    <s v="531119-Suivi et contrôle de la collecte"/>
  </r>
  <r>
    <s v="Suivi et contrôle de la collecte"/>
    <s v="Missions"/>
    <s v="h/j/m"/>
    <n v="0"/>
    <n v="112"/>
    <n v="112"/>
    <n v="112"/>
    <n v="336"/>
    <n v="0.8177777777777776"/>
    <n v="0"/>
    <n v="91.59111111111109"/>
    <n v="91.59111111111109"/>
    <n v="91.59111111111109"/>
    <n v="274.77333333333326"/>
    <x v="2"/>
    <s v="Tranvsal_secteur"/>
    <s v="3. Dépenses de fonctionnement"/>
    <s v="BSD"/>
    <s v="BSD"/>
    <x v="1"/>
    <x v="4"/>
    <x v="31"/>
    <s v="531- La production des données permet d’offrir aux différents acteurs et utilisateurs à tous les niveaux l’information dont ils ont besoin"/>
    <x v="360"/>
    <s v="531120-Suivi et contrôle de la collecte"/>
  </r>
  <r>
    <s v="Ateliers régionaux d'apurement, validation et fusion"/>
    <s v="Ateliers"/>
    <s v="h/j/ap"/>
    <n v="0"/>
    <m/>
    <m/>
    <m/>
    <n v="0"/>
    <n v="0.255"/>
    <n v="0"/>
    <n v="0"/>
    <n v="0"/>
    <n v="0"/>
    <n v="0"/>
    <x v="13"/>
    <s v="Tranvsal_secteur"/>
    <s v="3. Dépenses de fonctionnement"/>
    <s v="BSD"/>
    <s v="BSD"/>
    <x v="0"/>
    <x v="4"/>
    <x v="31"/>
    <s v="531- La production des données permet d’offrir aux différents acteurs et utilisateurs à tous les niveaux l’information dont ils ont besoin"/>
    <x v="360"/>
    <s v="531121-Ateliers régionaux d'apurement, validation et fusion"/>
  </r>
  <r>
    <s v="Ateliers régionaux d'apurement, validation et fusion"/>
    <s v="Ateliers"/>
    <s v="h/j/ap"/>
    <n v="0"/>
    <n v="321"/>
    <n v="321"/>
    <n v="321"/>
    <n v="963"/>
    <n v="0.255"/>
    <n v="0"/>
    <n v="81.855000000000004"/>
    <n v="81.855000000000004"/>
    <n v="81.855000000000004"/>
    <n v="245.565"/>
    <x v="6"/>
    <s v="Tranvsal_secteur"/>
    <s v="3. Dépenses de fonctionnement"/>
    <s v="BSD"/>
    <s v="BSD"/>
    <x v="0"/>
    <x v="4"/>
    <x v="31"/>
    <s v="531- La production des données permet d’offrir aux différents acteurs et utilisateurs à tous les niveaux l’information dont ils ont besoin"/>
    <x v="360"/>
    <s v="531121-Ateliers régionaux d'apurement, validation et fusion"/>
  </r>
  <r>
    <s v="Elaboration des rapports d'analyse et dépliants au niveau national (MENA)"/>
    <s v="Ateliers"/>
    <s v="h/j/ap"/>
    <n v="0"/>
    <m/>
    <m/>
    <m/>
    <n v="0"/>
    <n v="0.255"/>
    <n v="0"/>
    <n v="0"/>
    <n v="0"/>
    <n v="0"/>
    <n v="0"/>
    <x v="13"/>
    <s v="Tranvsal_secteur"/>
    <s v="3. Dépenses de fonctionnement"/>
    <s v="BSD"/>
    <s v="BSD"/>
    <x v="0"/>
    <x v="4"/>
    <x v="31"/>
    <s v="531- La production des données permet d’offrir aux différents acteurs et utilisateurs à tous les niveaux l’information dont ils ont besoin"/>
    <x v="360"/>
    <s v="531122-Elaboration des rapports d'analyse et dépliants au niveau national (MENA)"/>
  </r>
  <r>
    <s v="Elaboration des rapports d'analyse et dépliants au niveau national (MENA)"/>
    <s v="Ateliers"/>
    <s v="h/j/ap"/>
    <n v="0"/>
    <n v="100"/>
    <n v="100"/>
    <n v="100"/>
    <n v="300"/>
    <n v="0.255"/>
    <n v="0"/>
    <n v="25.5"/>
    <n v="25.5"/>
    <n v="25.5"/>
    <n v="76.5"/>
    <x v="6"/>
    <s v="Tranvsal_secteur"/>
    <s v="3. Dépenses de fonctionnement"/>
    <s v="BSD"/>
    <s v="BSD"/>
    <x v="0"/>
    <x v="4"/>
    <x v="31"/>
    <s v="531- La production des données permet d’offrir aux différents acteurs et utilisateurs à tous les niveaux l’information dont ils ont besoin"/>
    <x v="360"/>
    <s v="531122-Elaboration des rapports d'analyse et dépliants au niveau national (MENA)"/>
  </r>
  <r>
    <s v="Elaboration des rapports d'analyse et dépliants au niveau national (METFP)"/>
    <s v="Ateliers"/>
    <s v="h/j/ap"/>
    <n v="0"/>
    <n v="100"/>
    <n v="100"/>
    <n v="100"/>
    <n v="300"/>
    <n v="0.255"/>
    <n v="0"/>
    <n v="25.5"/>
    <n v="25.5"/>
    <n v="25.5"/>
    <n v="76.5"/>
    <x v="2"/>
    <s v="Tranvsal_secteur"/>
    <s v="3. Dépenses de fonctionnement"/>
    <s v="BSD"/>
    <s v="BSD"/>
    <x v="2"/>
    <x v="4"/>
    <x v="31"/>
    <s v="531- La production des données permet d’offrir aux différents acteurs et utilisateurs à tous les niveaux l’information dont ils ont besoin"/>
    <x v="360"/>
    <s v="531123-Elaboration des rapports d'analyse et dépliants au niveau national (METFP)"/>
  </r>
  <r>
    <s v="Elaboration des rapports d'analyse et dépliants au niveau national (MESRS)"/>
    <s v="Ateliers"/>
    <s v="h/j/ap"/>
    <n v="0"/>
    <n v="100"/>
    <n v="100"/>
    <n v="100"/>
    <n v="300"/>
    <n v="0.255"/>
    <n v="0"/>
    <n v="25.5"/>
    <n v="25.5"/>
    <n v="25.5"/>
    <n v="76.5"/>
    <x v="2"/>
    <s v="Tranvsal_secteur"/>
    <s v="3. Dépenses de fonctionnement"/>
    <s v="BSD"/>
    <s v="BSD"/>
    <x v="1"/>
    <x v="4"/>
    <x v="31"/>
    <s v="531- La production des données permet d’offrir aux différents acteurs et utilisateurs à tous les niveaux l’information dont ils ont besoin"/>
    <x v="360"/>
    <s v="531124-Elaboration des rapports d'analyse et dépliants au niveau national (MESRS)"/>
  </r>
  <r>
    <s v="Elaboration des rapports d'analyse et dépliants au niveau déconcentré (pris en charge dans les subventions)"/>
    <s v="PM"/>
    <s v="sif"/>
    <n v="0"/>
    <m/>
    <m/>
    <m/>
    <m/>
    <n v="0"/>
    <m/>
    <m/>
    <m/>
    <m/>
    <m/>
    <x v="2"/>
    <s v="Tranvsal_secteur"/>
    <s v=""/>
    <s v="BSD"/>
    <s v="BSD"/>
    <x v="0"/>
    <x v="4"/>
    <x v="31"/>
    <s v="531- La production des données permet d’offrir aux différents acteurs et utilisateurs à tous les niveaux l’information dont ils ont besoin"/>
    <x v="360"/>
    <s v="531125-Elaboration des rapports d'analyse et dépliants au niveau déconcentré (pris en charge dans les subventions)"/>
  </r>
  <r>
    <s v="Mise à l’échelle de la numérisation de la collecte de données"/>
    <m/>
    <m/>
    <n v="0"/>
    <m/>
    <m/>
    <m/>
    <m/>
    <m/>
    <m/>
    <m/>
    <m/>
    <m/>
    <m/>
    <x v="0"/>
    <m/>
    <m/>
    <m/>
    <m/>
    <x v="3"/>
    <x v="4"/>
    <x v="31"/>
    <s v="531- La production des données permet d’offrir aux différents acteurs et utilisateurs à tous les niveaux l’information dont ils ont besoin"/>
    <x v="361"/>
    <s v="5312-Mise à l’échelle de la numérisation de la collecte de données"/>
  </r>
  <r>
    <s v="Recrutement d'une expertise technique pour développer le logiciel de collecte numérique"/>
    <s v="Assistance technique"/>
    <s v="h/j/cn"/>
    <n v="0"/>
    <n v="35.829000000000001"/>
    <n v="0"/>
    <n v="0"/>
    <n v="35.829000000000001"/>
    <n v="2.651545"/>
    <n v="0"/>
    <n v="95.002205805000003"/>
    <n v="0"/>
    <n v="0"/>
    <n v="95.002205805000003"/>
    <x v="4"/>
    <s v="Tranvsal_secteur"/>
    <s v="3. Dépenses de fonctionnement"/>
    <s v="BSD"/>
    <s v="BSD"/>
    <x v="0"/>
    <x v="4"/>
    <x v="31"/>
    <s v="531- La production des données permet d’offrir aux différents acteurs et utilisateurs à tous les niveaux l’information dont ils ont besoin"/>
    <x v="361"/>
    <s v="53121-Recrutement d'une expertise technique pour développer le logiciel de collecte numérique"/>
  </r>
  <r>
    <s v="Recrutement d'une expertise technique pour développer le logiciel de collecte numérique"/>
    <s v="Assistance technique"/>
    <s v="h/j/cn"/>
    <n v="0"/>
    <n v="9.1709999999999994"/>
    <n v="0"/>
    <n v="0"/>
    <n v="9.1709999999999994"/>
    <n v="2.651545"/>
    <n v="0"/>
    <n v="24.317319195"/>
    <n v="0"/>
    <n v="0"/>
    <n v="24.317319195"/>
    <x v="13"/>
    <s v="Tranvsal_secteur"/>
    <s v="3. Dépenses de fonctionnement"/>
    <s v="BSD"/>
    <s v="BSD"/>
    <x v="0"/>
    <x v="4"/>
    <x v="31"/>
    <s v="531- La production des données permet d’offrir aux différents acteurs et utilisateurs à tous les niveaux l’information dont ils ont besoin"/>
    <x v="361"/>
    <s v="53121-Recrutement d'une expertise technique pour développer le logiciel de collecte numérique"/>
  </r>
  <r>
    <s v="Acquisition de tablettes pour la collecte"/>
    <s v="Matériel informatique"/>
    <s v="tablette"/>
    <n v="0"/>
    <n v="8654.5"/>
    <n v="0"/>
    <n v="0"/>
    <n v="8654.5"/>
    <n v="3"/>
    <n v="0"/>
    <n v="25963.5"/>
    <n v="0"/>
    <n v="0"/>
    <n v="25963.5"/>
    <x v="1"/>
    <s v="Tranvsal_secteur"/>
    <s v="5. Investissement"/>
    <s v="BSD"/>
    <s v="UGP"/>
    <x v="0"/>
    <x v="4"/>
    <x v="31"/>
    <s v="531- La production des données permet d’offrir aux différents acteurs et utilisateurs à tous les niveaux l’information dont ils ont besoin"/>
    <x v="361"/>
    <s v="53122-Acquisition de tablettes pour la collecte"/>
  </r>
  <r>
    <s v="Acquisition de chargeurs solaires"/>
    <s v="Chargeurs solaires"/>
    <s v="chargeur solaire"/>
    <n v="0"/>
    <n v="8654.5"/>
    <n v="0"/>
    <n v="0"/>
    <n v="8654.5"/>
    <n v="0.52500000000000002"/>
    <n v="0"/>
    <n v="4543.6125000000002"/>
    <n v="0"/>
    <n v="0"/>
    <n v="4543.6125000000002"/>
    <x v="1"/>
    <s v="Tranvsal_secteur"/>
    <s v="3. Dépenses de fonctionnement"/>
    <s v="BSD"/>
    <s v="DAF"/>
    <x v="0"/>
    <x v="4"/>
    <x v="31"/>
    <s v="531- La production des données permet d’offrir aux différents acteurs et utilisateurs à tous les niveaux l’information dont ils ont besoin"/>
    <x v="361"/>
    <s v="53123-Acquisition de chargeurs solaires"/>
  </r>
  <r>
    <s v="Hébergement du site du BSD"/>
    <s v="Matériel informatique"/>
    <s v="Heb/site"/>
    <n v="0"/>
    <n v="1"/>
    <n v="1"/>
    <n v="1"/>
    <n v="3"/>
    <n v="40"/>
    <n v="0"/>
    <n v="40"/>
    <n v="40"/>
    <n v="40"/>
    <n v="120"/>
    <x v="2"/>
    <s v="Tranvsal_secteur"/>
    <s v="3. Dépenses de fonctionnement"/>
    <s v="BSD"/>
    <s v="DAF"/>
    <x v="0"/>
    <x v="4"/>
    <x v="31"/>
    <s v="531- La production des données permet d’offrir aux différents acteurs et utilisateurs à tous les niveaux l’information dont ils ont besoin"/>
    <x v="361"/>
    <s v="53124-Hébergement du site du BSD"/>
  </r>
  <r>
    <s v="Abonnement internet pour le BSD"/>
    <s v="abonnement annuel"/>
    <s v="abon/an"/>
    <n v="0"/>
    <n v="1"/>
    <n v="1"/>
    <n v="1"/>
    <n v="3"/>
    <n v="24"/>
    <n v="0"/>
    <n v="24"/>
    <n v="24"/>
    <n v="24"/>
    <n v="72"/>
    <x v="2"/>
    <s v="Tranvsal_secteur"/>
    <s v="3. Dépenses de fonctionnement"/>
    <s v="BSD"/>
    <s v="DAF"/>
    <x v="0"/>
    <x v="4"/>
    <x v="31"/>
    <s v="531- La production des données permet d’offrir aux différents acteurs et utilisateurs à tous les niveaux l’information dont ils ont besoin"/>
    <x v="361"/>
    <s v="53125-Abonnement internet pour le BSD"/>
  </r>
  <r>
    <s v="Acquisition d'un serveur pour le stockage des données du BSD"/>
    <s v="Matériel informatique"/>
    <s v="serveur"/>
    <n v="0"/>
    <n v="1"/>
    <n v="0"/>
    <n v="0"/>
    <n v="1"/>
    <n v="30"/>
    <n v="0"/>
    <n v="30"/>
    <n v="0"/>
    <n v="0"/>
    <n v="30"/>
    <x v="1"/>
    <s v="Tranvsal_secteur"/>
    <s v="5. Investissement"/>
    <s v="BSD"/>
    <s v="DAF"/>
    <x v="0"/>
    <x v="4"/>
    <x v="31"/>
    <s v="531- La production des données permet d’offrir aux différents acteurs et utilisateurs à tous les niveaux l’information dont ils ont besoin"/>
    <x v="361"/>
    <s v="53126-Acquisition d'un serveur pour le stockage des données du BSD"/>
  </r>
  <r>
    <s v="Forfait internet pour le IRE, DPE/DCE et "/>
    <s v="Matériel informatique"/>
    <s v="abon/an"/>
    <n v="0"/>
    <n v="8"/>
    <n v="38"/>
    <n v="46"/>
    <n v="92"/>
    <n v="24"/>
    <n v="0"/>
    <n v="192"/>
    <n v="912"/>
    <n v="1104"/>
    <n v="2208"/>
    <x v="2"/>
    <s v="Tranvsal_secteur"/>
    <s v="3. Dépenses de fonctionnement"/>
    <s v="BSD"/>
    <s v="DAF"/>
    <x v="0"/>
    <x v="4"/>
    <x v="31"/>
    <s v="531- La production des données permet d’offrir aux différents acteurs et utilisateurs à tous les niveaux l’information dont ils ont besoin"/>
    <x v="361"/>
    <s v="53127-Forfait internet pour le IRE, DPE/DCE et "/>
  </r>
  <r>
    <s v="Test des outils de collecte"/>
    <s v="Missions"/>
    <s v="h/j/m"/>
    <n v="0"/>
    <n v="100"/>
    <n v="0"/>
    <n v="0"/>
    <n v="100"/>
    <n v="0.8177777777777776"/>
    <n v="0"/>
    <n v="81.777777777777757"/>
    <n v="0"/>
    <n v="0"/>
    <n v="81.777777777777757"/>
    <x v="1"/>
    <s v="Tranvsal_secteur"/>
    <s v="3. Dépenses de fonctionnement"/>
    <s v="BSD"/>
    <s v="BSD"/>
    <x v="0"/>
    <x v="4"/>
    <x v="31"/>
    <s v="531- La production des données permet d’offrir aux différents acteurs et utilisateurs à tous les niveaux l’information dont ils ont besoin"/>
    <x v="361"/>
    <s v="53128-Test des outils de collecte"/>
  </r>
  <r>
    <s v="Initiation des cadres du BSD au niveau déconcentré à l'utilisation de l'application de collecte numérique"/>
    <s v="Atelier"/>
    <s v="h/j/a"/>
    <n v="0"/>
    <m/>
    <m/>
    <m/>
    <n v="0"/>
    <n v="0.3133333333333333"/>
    <n v="0"/>
    <n v="0"/>
    <n v="0"/>
    <n v="0"/>
    <n v="0"/>
    <x v="13"/>
    <s v="Tranvsal_secteur"/>
    <s v="3. Formation"/>
    <s v="BSD"/>
    <s v="BSD"/>
    <x v="0"/>
    <x v="4"/>
    <x v="31"/>
    <s v="531- La production des données permet d’offrir aux différents acteurs et utilisateurs à tous les niveaux l’information dont ils ont besoin"/>
    <x v="361"/>
    <s v="53129-Initiation des cadres du BSD au niveau déconcentré à l'utilisation de l'application de collecte numérique"/>
  </r>
  <r>
    <s v="Initiation des cadres du BSD au niveau déconcentré à l'utilisation de l'application de collecte numérique"/>
    <s v="Atelier"/>
    <s v="h/j/a"/>
    <n v="0"/>
    <n v="162"/>
    <n v="162"/>
    <n v="162"/>
    <n v="486"/>
    <n v="0.3133333333333333"/>
    <n v="0"/>
    <n v="50.759999999999991"/>
    <n v="50.759999999999991"/>
    <n v="50.759999999999991"/>
    <n v="152.27999999999997"/>
    <x v="2"/>
    <s v="Tranvsal_secteur"/>
    <s v="3. Formation"/>
    <s v="BSD"/>
    <s v="BSD"/>
    <x v="0"/>
    <x v="4"/>
    <x v="31"/>
    <s v="531- La production des données permet d’offrir aux différents acteurs et utilisateurs à tous les niveaux l’information dont ils ont besoin"/>
    <x v="361"/>
    <s v="53129-Initiation des cadres du BSD au niveau déconcentré à l'utilisation de l'application de collecte numérique"/>
  </r>
  <r>
    <s v="Initiation des DSEE et DE à l'utilisation de l'application de collecte numérique"/>
    <s v="formation"/>
    <s v="h/f"/>
    <n v="0"/>
    <n v="4541"/>
    <n v="454.1"/>
    <n v="454.1"/>
    <n v="5449.2000000000007"/>
    <n v="1.5"/>
    <n v="0"/>
    <n v="6811.5"/>
    <n v="681.15000000000009"/>
    <n v="681.15000000000009"/>
    <n v="8173.7999999999993"/>
    <x v="1"/>
    <s v="Tranvsal_secteur"/>
    <s v="3. Formation"/>
    <s v="BSD"/>
    <s v="BSD"/>
    <x v="0"/>
    <x v="4"/>
    <x v="31"/>
    <s v="531- La production des données permet d’offrir aux différents acteurs et utilisateurs à tous les niveaux l’information dont ils ont besoin"/>
    <x v="361"/>
    <s v="531210-Initiation des DSEE et DE à l'utilisation de l'application de collecte numérique"/>
  </r>
  <r>
    <s v="Initiation des DSEE et DE à l'utilisation de l'application de collecte numérique"/>
    <s v="formation"/>
    <s v="h/f"/>
    <n v="0"/>
    <n v="4541"/>
    <n v="454.1"/>
    <n v="454.1"/>
    <n v="5449.2000000000007"/>
    <n v="1.5"/>
    <n v="0"/>
    <n v="6811.5"/>
    <n v="681.15000000000009"/>
    <n v="681.15000000000009"/>
    <n v="8173.7999999999993"/>
    <x v="13"/>
    <s v="Tranvsal_secteur"/>
    <s v="3. Formation"/>
    <s v="BSD"/>
    <s v="BSD"/>
    <x v="0"/>
    <x v="4"/>
    <x v="31"/>
    <s v="531- La production des données permet d’offrir aux différents acteurs et utilisateurs à tous les niveaux l’information dont ils ont besoin"/>
    <x v="361"/>
    <s v="531210-Initiation des DSEE et DE à l'utilisation de l'application de collecte numérique"/>
  </r>
  <r>
    <s v="Organisation de la supervision de la collecte des données "/>
    <s v="Missions"/>
    <s v="h/j/m"/>
    <n v="0"/>
    <n v="200"/>
    <n v="200"/>
    <n v="200"/>
    <n v="600"/>
    <n v="0.8177777777777776"/>
    <n v="0"/>
    <n v="163.55555555555551"/>
    <n v="163.55555555555551"/>
    <n v="163.55555555555551"/>
    <n v="490.66666666666652"/>
    <x v="1"/>
    <s v="Tranvsal_secteur"/>
    <s v="3. Dépenses de fonctionnement"/>
    <s v="BSD"/>
    <s v="BSD"/>
    <x v="0"/>
    <x v="4"/>
    <x v="31"/>
    <s v="531- La production des données permet d’offrir aux différents acteurs et utilisateurs à tous les niveaux l’information dont ils ont besoin"/>
    <x v="361"/>
    <s v="531211-Organisation de la supervision de la collecte des données "/>
  </r>
  <r>
    <s v="Apurement et migration des données collectées et saisies dans accès "/>
    <s v="Ateliers"/>
    <s v="h/j/ap"/>
    <n v="0"/>
    <n v="810"/>
    <n v="810"/>
    <n v="810"/>
    <n v="2430"/>
    <n v="0.255"/>
    <n v="0"/>
    <n v="206.55"/>
    <n v="206.55"/>
    <n v="206.55"/>
    <n v="619.65000000000009"/>
    <x v="1"/>
    <s v="Tranvsal_secteur"/>
    <s v="3. Dépenses de fonctionnement"/>
    <s v="BSD"/>
    <s v="BSD"/>
    <x v="0"/>
    <x v="4"/>
    <x v="31"/>
    <s v="531- La production des données permet d’offrir aux différents acteurs et utilisateurs à tous les niveaux l’information dont ils ont besoin"/>
    <x v="361"/>
    <s v="531212-Apurement et migration des données collectées et saisies dans accès "/>
  </r>
  <r>
    <s v="Promotion de l’utilisation des données par les acteurs y compris les bénéficiaires concernés (dépliants, réunions d’échange, …)"/>
    <m/>
    <m/>
    <n v="0"/>
    <m/>
    <m/>
    <m/>
    <m/>
    <m/>
    <m/>
    <m/>
    <m/>
    <m/>
    <m/>
    <x v="0"/>
    <m/>
    <m/>
    <m/>
    <m/>
    <x v="3"/>
    <x v="4"/>
    <x v="31"/>
    <s v="531- La production des données permet d’offrir aux différents acteurs et utilisateurs à tous les niveaux l’information dont ils ont besoin"/>
    <x v="362"/>
    <s v="5313-Promotion de l’utilisation des données par les acteurs y compris les bénéficiaires concernés (dépliants, réunions d’échange, …)"/>
  </r>
  <r>
    <s v="Impression des annuaires statistiques et dépliants (niveau central et déconcentré)"/>
    <s v="Impression"/>
    <s v="annuaire"/>
    <n v="0"/>
    <m/>
    <m/>
    <m/>
    <n v="0"/>
    <n v="0.38500000000000001"/>
    <n v="0"/>
    <n v="0"/>
    <n v="0"/>
    <n v="0"/>
    <n v="0"/>
    <x v="8"/>
    <s v="Tranvsal_secteur"/>
    <s v="3. Dépenses de fonctionnement"/>
    <s v="BSD"/>
    <s v="IDEC"/>
    <x v="0"/>
    <x v="4"/>
    <x v="31"/>
    <s v="531- La production des données permet d’offrir aux différents acteurs et utilisateurs à tous les niveaux l’information dont ils ont besoin"/>
    <x v="362"/>
    <s v="53131-Impression des annuaires statistiques et dépliants (niveau central et déconcentré)"/>
  </r>
  <r>
    <s v="Impression des annuaires statistiques et dépliants (niveau central et déconcentré)"/>
    <s v="Impression"/>
    <s v="annuaire"/>
    <n v="0"/>
    <n v="100"/>
    <n v="100"/>
    <n v="100"/>
    <n v="300"/>
    <n v="0.38500000000000001"/>
    <n v="0"/>
    <n v="38.5"/>
    <n v="38.5"/>
    <n v="38.5"/>
    <n v="115.5"/>
    <x v="2"/>
    <s v="Tranvsal_secteur"/>
    <s v="3. Dépenses de fonctionnement"/>
    <s v="BSD"/>
    <s v="IDEC"/>
    <x v="0"/>
    <x v="4"/>
    <x v="31"/>
    <s v="531- La production des données permet d’offrir aux différents acteurs et utilisateurs à tous les niveaux l’information dont ils ont besoin"/>
    <x v="362"/>
    <s v="53131-Impression des annuaires statistiques et dépliants (niveau central et déconcentré)"/>
  </r>
  <r>
    <s v="Impression des annuaires statistiques et dépliants (Supérieur)"/>
    <s v="Impression"/>
    <s v="annuaire"/>
    <n v="0"/>
    <m/>
    <m/>
    <m/>
    <n v="0"/>
    <n v="0.38500000000000001"/>
    <n v="0"/>
    <n v="0"/>
    <n v="0"/>
    <n v="0"/>
    <n v="0"/>
    <x v="8"/>
    <s v="Tranvsal_secteur"/>
    <s v="3. Dépenses de fonctionnement"/>
    <s v="BSD"/>
    <s v="IDEC"/>
    <x v="2"/>
    <x v="4"/>
    <x v="31"/>
    <s v="531- La production des données permet d’offrir aux différents acteurs et utilisateurs à tous les niveaux l’information dont ils ont besoin"/>
    <x v="362"/>
    <s v="53132-Impression des annuaires statistiques et dépliants (Supérieur)"/>
  </r>
  <r>
    <s v="Impression des annuaires statistiques et dépliants (Supérieur)"/>
    <s v="Impression"/>
    <s v="annuaire"/>
    <n v="0"/>
    <n v="100"/>
    <n v="100"/>
    <n v="100"/>
    <n v="300"/>
    <n v="0.38500000000000001"/>
    <n v="0"/>
    <n v="38.5"/>
    <n v="38.5"/>
    <n v="38.5"/>
    <n v="115.5"/>
    <x v="2"/>
    <s v="Tranvsal_secteur"/>
    <s v="3. Dépenses de fonctionnement"/>
    <s v="BSD"/>
    <s v="IDEC"/>
    <x v="2"/>
    <x v="4"/>
    <x v="31"/>
    <s v="531- La production des données permet d’offrir aux différents acteurs et utilisateurs à tous les niveaux l’information dont ils ont besoin"/>
    <x v="362"/>
    <s v="53132-Impression des annuaires statistiques et dépliants (Supérieur)"/>
  </r>
  <r>
    <s v="Impression des annuaires statistiques et dépliants (niveau central et déconcentré ETFP)"/>
    <s v="Impression"/>
    <s v="annuaire"/>
    <n v="0"/>
    <m/>
    <m/>
    <m/>
    <n v="0"/>
    <n v="0.38500000000000001"/>
    <n v="0"/>
    <n v="0"/>
    <n v="0"/>
    <n v="0"/>
    <n v="0"/>
    <x v="8"/>
    <s v="Tranvsal_secteur"/>
    <s v="3. Dépenses de fonctionnement"/>
    <s v="BSD"/>
    <s v="IDEC"/>
    <x v="1"/>
    <x v="4"/>
    <x v="31"/>
    <s v="531- La production des données permet d’offrir aux différents acteurs et utilisateurs à tous les niveaux l’information dont ils ont besoin"/>
    <x v="362"/>
    <s v="53133-Impression des annuaires statistiques et dépliants (niveau central et déconcentré ETFP)"/>
  </r>
  <r>
    <s v="Impression des annuaires statistiques et dépliants (niveau central et déconcentré ETFP)"/>
    <s v="Impression"/>
    <s v="annuaire"/>
    <n v="0"/>
    <n v="100"/>
    <n v="100"/>
    <n v="100"/>
    <n v="300"/>
    <n v="0.38500000000000001"/>
    <n v="0"/>
    <n v="38.5"/>
    <n v="38.5"/>
    <n v="38.5"/>
    <n v="115.5"/>
    <x v="2"/>
    <s v="Tranvsal_secteur"/>
    <s v="3. Dépenses de fonctionnement"/>
    <s v="BSD"/>
    <s v="IDEC"/>
    <x v="1"/>
    <x v="4"/>
    <x v="31"/>
    <s v="531- La production des données permet d’offrir aux différents acteurs et utilisateurs à tous les niveaux l’information dont ils ont besoin"/>
    <x v="362"/>
    <s v="53133-Impression des annuaires statistiques et dépliants (niveau central et déconcentré ETFP)"/>
  </r>
  <r>
    <s v="Partage des données avec les acteurs et partenaires du MENA"/>
    <s v="Ateliers"/>
    <s v="h/j/a"/>
    <n v="0"/>
    <m/>
    <m/>
    <m/>
    <n v="0"/>
    <n v="0.3133333333333333"/>
    <n v="0"/>
    <n v="0"/>
    <n v="0"/>
    <n v="0"/>
    <n v="0"/>
    <x v="8"/>
    <s v="Tranvsal_secteur"/>
    <s v="3. Formation"/>
    <s v="BSD"/>
    <s v="BSD"/>
    <x v="0"/>
    <x v="4"/>
    <x v="31"/>
    <s v="531- La production des données permet d’offrir aux différents acteurs et utilisateurs à tous les niveaux l’information dont ils ont besoin"/>
    <x v="362"/>
    <s v="53134-Partage des données avec les acteurs et partenaires du MENA"/>
  </r>
  <r>
    <s v="Partage des données avec les acteurs et partenaires du MENA"/>
    <s v="Ateliers"/>
    <s v="h/j/a"/>
    <n v="0"/>
    <n v="50"/>
    <n v="50"/>
    <n v="50"/>
    <n v="150"/>
    <n v="0.3133333333333333"/>
    <n v="0"/>
    <n v="15.666666666666664"/>
    <n v="15.666666666666664"/>
    <n v="15.666666666666664"/>
    <n v="46.999999999999993"/>
    <x v="2"/>
    <s v="Tranvsal_secteur"/>
    <s v="3. Formation"/>
    <s v="BSD"/>
    <s v="BSD"/>
    <x v="0"/>
    <x v="4"/>
    <x v="31"/>
    <s v="531- La production des données permet d’offrir aux différents acteurs et utilisateurs à tous les niveaux l’information dont ils ont besoin"/>
    <x v="362"/>
    <s v="53134-Partage des données avec les acteurs et partenaires du MENA"/>
  </r>
  <r>
    <s v="Partage des données avec les acteurs et partenaires du MESRS"/>
    <s v="Ateliers"/>
    <s v="h/j/a"/>
    <n v="0"/>
    <m/>
    <m/>
    <m/>
    <n v="0"/>
    <n v="0.3133333333333333"/>
    <n v="0"/>
    <n v="0"/>
    <n v="0"/>
    <n v="0"/>
    <n v="0"/>
    <x v="8"/>
    <s v="Tranvsal_secteur"/>
    <s v="3. Formation"/>
    <s v="BSD"/>
    <s v="BSD"/>
    <x v="2"/>
    <x v="4"/>
    <x v="31"/>
    <s v="531- La production des données permet d’offrir aux différents acteurs et utilisateurs à tous les niveaux l’information dont ils ont besoin"/>
    <x v="362"/>
    <s v="53135-Partage des données avec les acteurs et partenaires du MESRS"/>
  </r>
  <r>
    <s v="Partage des données avec les acteurs et partenaires du MESRS"/>
    <s v="Ateliers"/>
    <s v="h/j/a"/>
    <n v="0"/>
    <n v="50"/>
    <n v="50"/>
    <n v="50"/>
    <n v="150"/>
    <n v="0.3133333333333333"/>
    <n v="0"/>
    <n v="15.666666666666664"/>
    <n v="15.666666666666664"/>
    <n v="15.666666666666664"/>
    <n v="46.999999999999993"/>
    <x v="2"/>
    <s v="Tranvsal_secteur"/>
    <s v="3. Formation"/>
    <s v="BSD"/>
    <s v="BSD"/>
    <x v="2"/>
    <x v="4"/>
    <x v="31"/>
    <s v="531- La production des données permet d’offrir aux différents acteurs et utilisateurs à tous les niveaux l’information dont ils ont besoin"/>
    <x v="362"/>
    <s v="53135-Partage des données avec les acteurs et partenaires du MESRS"/>
  </r>
  <r>
    <s v="Partage des données avec les acteurs et partenaires du METFP"/>
    <s v="Ateliers"/>
    <s v="h/j/a"/>
    <n v="0"/>
    <n v="50"/>
    <n v="50"/>
    <n v="50"/>
    <n v="150"/>
    <n v="0.3133333333333333"/>
    <n v="0"/>
    <n v="15.666666666666664"/>
    <n v="15.666666666666664"/>
    <n v="15.666666666666664"/>
    <n v="46.999999999999993"/>
    <x v="2"/>
    <s v="Tranvsal_secteur"/>
    <s v="3. Formation"/>
    <s v="BSD"/>
    <s v="BSD"/>
    <x v="1"/>
    <x v="4"/>
    <x v="31"/>
    <s v="531- La production des données permet d’offrir aux différents acteurs et utilisateurs à tous les niveaux l’information dont ils ont besoin"/>
    <x v="362"/>
    <s v="53136-Partage des données avec les acteurs et partenaires du METFP"/>
  </r>
  <r>
    <s v="Partage des données avec les acteurs et partenaires du METFP"/>
    <s v="Ateliers"/>
    <s v="h/j/a"/>
    <n v="0"/>
    <m/>
    <m/>
    <m/>
    <n v="0"/>
    <n v="0.3133333333333333"/>
    <n v="0"/>
    <n v="0"/>
    <n v="0"/>
    <n v="0"/>
    <n v="0"/>
    <x v="8"/>
    <s v="Tranvsal_secteur"/>
    <s v="3. Formation"/>
    <s v="BSD"/>
    <s v="BSD"/>
    <x v="1"/>
    <x v="4"/>
    <x v="31"/>
    <s v="531- La production des données permet d’offrir aux différents acteurs et utilisateurs à tous les niveaux l’information dont ils ont besoin"/>
    <x v="362"/>
    <s v="53136-Partage des données avec les acteurs et partenaires du METFP"/>
  </r>
  <r>
    <s v="Partage des annuaires, rapports d'analyse et dépliants sur le site web du MENA"/>
    <s v="travaux administratifs"/>
    <s v="sif"/>
    <n v="0"/>
    <n v="0"/>
    <n v="0"/>
    <n v="0"/>
    <m/>
    <n v="0"/>
    <m/>
    <m/>
    <m/>
    <m/>
    <m/>
    <x v="2"/>
    <s v="Tranvsal_secteur"/>
    <s v=""/>
    <s v="BSD"/>
    <s v="BSD"/>
    <x v="0"/>
    <x v="4"/>
    <x v="31"/>
    <s v="531- La production des données permet d’offrir aux différents acteurs et utilisateurs à tous les niveaux l’information dont ils ont besoin"/>
    <x v="362"/>
    <s v="53137-Partage des annuaires, rapports d'analyse et dépliants sur le site web du MENA"/>
  </r>
  <r>
    <s v="Partage des annuaires, rapports d'analyse et dépliants sur le site web du MESRS"/>
    <s v="travaux administratifs"/>
    <s v="sif"/>
    <n v="0"/>
    <n v="0"/>
    <n v="0"/>
    <n v="0"/>
    <m/>
    <n v="0"/>
    <m/>
    <m/>
    <m/>
    <m/>
    <m/>
    <x v="2"/>
    <s v="Tranvsal_secteur"/>
    <s v=""/>
    <s v="BSD"/>
    <s v="BSD"/>
    <x v="2"/>
    <x v="4"/>
    <x v="31"/>
    <s v="531- La production des données permet d’offrir aux différents acteurs et utilisateurs à tous les niveaux l’information dont ils ont besoin"/>
    <x v="362"/>
    <s v="53138-Partage des annuaires, rapports d'analyse et dépliants sur le site web du MESRS"/>
  </r>
  <r>
    <s v="Partage des annuaires, rapports d'analyse et dépliants sur le site web du METFP"/>
    <s v="travaux administratifs"/>
    <s v="sif"/>
    <n v="0"/>
    <n v="0"/>
    <n v="0"/>
    <n v="0"/>
    <m/>
    <n v="0"/>
    <m/>
    <m/>
    <m/>
    <m/>
    <m/>
    <x v="2"/>
    <s v="Tranvsal_secteur"/>
    <s v=""/>
    <s v="BSD"/>
    <s v="BSD"/>
    <x v="1"/>
    <x v="4"/>
    <x v="31"/>
    <s v="531- La production des données permet d’offrir aux différents acteurs et utilisateurs à tous les niveaux l’information dont ils ont besoin"/>
    <x v="362"/>
    <s v="53139-Partage des annuaires, rapports d'analyse et dépliants sur le site web du METFP"/>
  </r>
  <r>
    <s v="Mise à jour des questionnaires internationaux (ISU, UNESCO, ISESCO, …)"/>
    <s v="travaux administratifs"/>
    <s v="sif"/>
    <n v="0"/>
    <n v="0"/>
    <n v="0"/>
    <n v="0"/>
    <m/>
    <n v="0"/>
    <m/>
    <m/>
    <m/>
    <m/>
    <m/>
    <x v="2"/>
    <s v="Tranvsal_secteur"/>
    <s v=""/>
    <s v="BSD"/>
    <s v="BSD"/>
    <x v="0"/>
    <x v="4"/>
    <x v="31"/>
    <s v="531- La production des données permet d’offrir aux différents acteurs et utilisateurs à tous les niveaux l’information dont ils ont besoin"/>
    <x v="362"/>
    <s v="531310-Mise à jour des questionnaires internationaux (ISU, UNESCO, ISESCO, …)"/>
  </r>
  <r>
    <s v="Mise à jour des questionnaires internationaux (ISU, UNESCO, ISESCO,)"/>
    <s v="travaux administratifs"/>
    <s v="sif"/>
    <n v="0"/>
    <n v="0"/>
    <n v="0"/>
    <n v="0"/>
    <m/>
    <n v="0"/>
    <m/>
    <m/>
    <m/>
    <m/>
    <m/>
    <x v="2"/>
    <s v="Tranvsal_secteur"/>
    <s v=""/>
    <s v="BSD"/>
    <s v="BSD"/>
    <x v="2"/>
    <x v="4"/>
    <x v="31"/>
    <s v="531- La production des données permet d’offrir aux différents acteurs et utilisateurs à tous les niveaux l’information dont ils ont besoin"/>
    <x v="362"/>
    <s v="531311-Mise à jour des questionnaires internationaux (ISU, UNESCO, ISESCO,)"/>
  </r>
  <r>
    <s v="Mise à jour des questionnaires internationaux (ISU, UNESCO, ISESCO,)"/>
    <s v="travaux administratifs"/>
    <s v="sif"/>
    <n v="0"/>
    <n v="0"/>
    <n v="0"/>
    <n v="0"/>
    <m/>
    <n v="0"/>
    <m/>
    <m/>
    <m/>
    <m/>
    <m/>
    <x v="2"/>
    <s v="Tranvsal_secteur"/>
    <s v=""/>
    <s v="BSD"/>
    <s v="BSD"/>
    <x v="1"/>
    <x v="4"/>
    <x v="31"/>
    <s v="531- La production des données permet d’offrir aux différents acteurs et utilisateurs à tous les niveaux l’information dont ils ont besoin"/>
    <x v="362"/>
    <s v="531312-Mise à jour des questionnaires internationaux (ISU, UNESCO, ISESCO,)"/>
  </r>
  <r>
    <s v="Appui à l'utilisation des données par les écoles pour le suivi et monitoring des indicateurs"/>
    <s v="formation"/>
    <s v="h/f"/>
    <n v="0"/>
    <n v="72"/>
    <n v="72"/>
    <n v="78"/>
    <n v="222"/>
    <n v="1.5"/>
    <n v="0"/>
    <n v="108"/>
    <n v="108"/>
    <n v="117"/>
    <n v="333"/>
    <x v="4"/>
    <s v="Tranvsal_secteur"/>
    <s v="3. Formation"/>
    <s v="BSD"/>
    <s v="BSD"/>
    <x v="0"/>
    <x v="4"/>
    <x v="31"/>
    <s v="531- La production des données permet d’offrir aux différents acteurs et utilisateurs à tous les niveaux l’information dont ils ont besoin"/>
    <x v="362"/>
    <s v="531313-Appui à l'utilisation des données par les écoles pour le suivi et monitoring des indicateurs"/>
  </r>
  <r>
    <s v="Appui à l'utilisation des données par les écoles pour le suivi et monitoring des indicateurs"/>
    <s v="formation"/>
    <s v="h/f"/>
    <n v="0"/>
    <n v="428"/>
    <n v="828"/>
    <n v="1122"/>
    <n v="2378"/>
    <n v="1.5"/>
    <n v="0"/>
    <n v="642"/>
    <n v="1242"/>
    <n v="1683"/>
    <n v="3567"/>
    <x v="1"/>
    <s v="Tranvsal_secteur"/>
    <s v="3. Formation"/>
    <s v="BSD"/>
    <s v="BSD"/>
    <x v="1"/>
    <x v="4"/>
    <x v="31"/>
    <s v="531- La production des données permet d’offrir aux différents acteurs et utilisateurs à tous les niveaux l’information dont ils ont besoin"/>
    <x v="362"/>
    <s v="531313-Appui à l'utilisation des données par les écoles pour le suivi et monitoring des indicateurs"/>
  </r>
  <r>
    <s v=" Le Système d'Informations et de Gestion de l'Education est intégré et est utilisé pour la prise de décision"/>
    <m/>
    <m/>
    <n v="0"/>
    <m/>
    <m/>
    <m/>
    <m/>
    <m/>
    <m/>
    <m/>
    <m/>
    <m/>
    <m/>
    <x v="0"/>
    <m/>
    <m/>
    <m/>
    <m/>
    <x v="3"/>
    <x v="4"/>
    <x v="31"/>
    <s v="532- Le Système d'Informations et de Gestion de l'Education est intégré et est utilisé pour la prise de décision"/>
    <x v="363"/>
    <s v="532- Le Système d'Informations et de Gestion de l'Education est intégré et est utilisé pour la prise de décision"/>
  </r>
  <r>
    <s v="Intégration des Systèmes d'Informations et de Gestion de l'Education"/>
    <m/>
    <m/>
    <n v="0"/>
    <m/>
    <m/>
    <m/>
    <m/>
    <m/>
    <m/>
    <m/>
    <m/>
    <m/>
    <m/>
    <x v="0"/>
    <m/>
    <m/>
    <m/>
    <m/>
    <x v="3"/>
    <x v="4"/>
    <x v="31"/>
    <s v="532- Le Système d'Informations et de Gestion de l'Education est intégré et est utilisé pour la prise de décision"/>
    <x v="364"/>
    <s v="5321-Intégration des Systèmes d'Informations et de Gestion de l'Education"/>
  </r>
  <r>
    <s v="Elaboration des TDR pour l'élaboration du schéma directeur du SIGE "/>
    <s v="travaux administratifs"/>
    <s v="sif"/>
    <n v="0"/>
    <n v="1"/>
    <n v="0"/>
    <n v="0"/>
    <n v="1"/>
    <n v="0"/>
    <n v="0"/>
    <n v="0"/>
    <n v="0"/>
    <n v="0"/>
    <m/>
    <x v="2"/>
    <s v="Tranvsal_secteur"/>
    <s v=""/>
    <s v="BSD"/>
    <s v="BSD"/>
    <x v="0"/>
    <x v="4"/>
    <x v="31"/>
    <s v="532- Le Système d'Informations et de Gestion de l'Education est intégré et est utilisé pour la prise de décision"/>
    <x v="364"/>
    <s v="53211-Elaboration des TDR pour l'élaboration du schéma directeur du SIGE "/>
  </r>
  <r>
    <s v="Appui à l'identification des besoins, élaboration d'un cahier de charges et déFinition d'un schéma directeur pour la collecte numérique (pris en compte par l'assistance technique activité 541212)"/>
    <s v="pm"/>
    <s v="sif"/>
    <n v="0"/>
    <n v="1"/>
    <n v="1"/>
    <n v="0"/>
    <n v="2"/>
    <n v="0"/>
    <n v="0"/>
    <n v="0"/>
    <n v="0"/>
    <n v="0"/>
    <m/>
    <x v="2"/>
    <s v="Tranvsal_secteur"/>
    <s v=""/>
    <s v="BSD"/>
    <s v="UGP"/>
    <x v="0"/>
    <x v="4"/>
    <x v="31"/>
    <s v="532- Le Système d'Informations et de Gestion de l'Education est intégré et est utilisé pour la prise de décision"/>
    <x v="364"/>
    <s v="53212-Appui à l'identification des besoins, élaboration d'un cahier de charges et déFinition d'un schéma directeur pour la collecte numérique (pris en compte par l'assistance technique activité 541212)"/>
  </r>
  <r>
    <s v="Validation du schéma directeur"/>
    <s v="atelier"/>
    <s v="h/j/a"/>
    <n v="0"/>
    <n v="25"/>
    <m/>
    <m/>
    <n v="25"/>
    <n v="0.3133333333333333"/>
    <n v="0"/>
    <n v="7.8333333333333321"/>
    <n v="0"/>
    <n v="0"/>
    <n v="7.8333333333333321"/>
    <x v="1"/>
    <s v="Tranvsal_secteur"/>
    <s v="3. Formation"/>
    <s v="BSD"/>
    <s v="UGP"/>
    <x v="0"/>
    <x v="4"/>
    <x v="31"/>
    <s v="532- Le Système d'Informations et de Gestion de l'Education est intégré et est utilisé pour la prise de décision"/>
    <x v="364"/>
    <s v="53213-Validation du schéma directeur"/>
  </r>
  <r>
    <s v="Mise en œuvre du schéma directeur (analyse de la structure des bases de données, développement de la nouvelle architecture et migration des données vers la nouvelle plateforme) (pris en compte par l'assistance technique activité 541212)"/>
    <s v="pm"/>
    <s v="sif"/>
    <n v="0"/>
    <m/>
    <n v="1"/>
    <n v="1"/>
    <n v="2"/>
    <n v="0"/>
    <n v="0"/>
    <n v="0"/>
    <n v="0"/>
    <n v="0"/>
    <m/>
    <x v="2"/>
    <s v="Tranvsal_secteur"/>
    <s v=""/>
    <s v="BSD"/>
    <s v="BSD"/>
    <x v="0"/>
    <x v="4"/>
    <x v="31"/>
    <s v="532- Le Système d'Informations et de Gestion de l'Education est intégré et est utilisé pour la prise de décision"/>
    <x v="364"/>
    <s v="53214-Mise en œuvre du schéma directeur (analyse de la structure des bases de données, développement de la nouvelle architecture et migration des données vers la nouvelle plateforme) (pris en compte par l'assistance technique activité 541212)"/>
  </r>
  <r>
    <s v="Identification et correction des incohérences sur les données du BSD et de la GRH "/>
    <s v="atelier"/>
    <s v="h/j/ap"/>
    <n v="0"/>
    <n v="120"/>
    <m/>
    <m/>
    <n v="120"/>
    <n v="0.255"/>
    <n v="0"/>
    <n v="30.6"/>
    <n v="0"/>
    <n v="0"/>
    <n v="30.6"/>
    <x v="1"/>
    <s v="Tranvsal_secteur"/>
    <s v="3. Dépenses de fonctionnement"/>
    <s v="DRH"/>
    <s v="DRH"/>
    <x v="0"/>
    <x v="4"/>
    <x v="31"/>
    <s v="532- Le Système d'Informations et de Gestion de l'Education est intégré et est utilisé pour la prise de décision"/>
    <x v="364"/>
    <s v="53215-Identification et correction des incohérences sur les données du BSD et de la GRH "/>
  </r>
  <r>
    <s v="Collecte et intégration des données complémentaires (voir sous-programme GRH)"/>
    <s v="pm"/>
    <s v="sif"/>
    <n v="0"/>
    <n v="1"/>
    <m/>
    <m/>
    <n v="1"/>
    <n v="0"/>
    <n v="0"/>
    <n v="0"/>
    <n v="0"/>
    <n v="0"/>
    <m/>
    <x v="2"/>
    <s v="Tranvsal_secteur"/>
    <s v=""/>
    <s v="DRH"/>
    <s v="DRH"/>
    <x v="0"/>
    <x v="4"/>
    <x v="31"/>
    <s v="532- Le Système d'Informations et de Gestion de l'Education est intégré et est utilisé pour la prise de décision"/>
    <x v="364"/>
    <s v="53216-Collecte et intégration des données complémentaires (voir sous-programme GRH)"/>
  </r>
  <r>
    <s v="Mise en place et actualisation d’un site web pour chaque Département ministériel"/>
    <m/>
    <m/>
    <n v="0"/>
    <m/>
    <m/>
    <m/>
    <m/>
    <m/>
    <m/>
    <m/>
    <m/>
    <m/>
    <m/>
    <x v="0"/>
    <m/>
    <m/>
    <m/>
    <m/>
    <x v="3"/>
    <x v="4"/>
    <x v="31"/>
    <s v="532- Le Système d'Informations et de Gestion de l'Education est intégré et est utilisé pour la prise de décision"/>
    <x v="365"/>
    <s v="5322-Mise en place et actualisation d’un site web pour chaque Département ministériel"/>
  </r>
  <r>
    <s v="Développement d'un site web du MENA"/>
    <s v="Assistance technique"/>
    <s v="h/j/cn"/>
    <n v="0"/>
    <n v="45"/>
    <n v="0"/>
    <n v="0"/>
    <n v="45"/>
    <n v="2.651545"/>
    <n v="0"/>
    <n v="119.319525"/>
    <n v="0"/>
    <n v="0"/>
    <n v="119.319525"/>
    <x v="1"/>
    <s v="Tranvsal_secteur"/>
    <s v="3. Dépenses de fonctionnement"/>
    <s v="Serv Inform"/>
    <s v="Serv Inform"/>
    <x v="0"/>
    <x v="4"/>
    <x v="31"/>
    <s v="532- Le Système d'Informations et de Gestion de l'Education est intégré et est utilisé pour la prise de décision"/>
    <x v="365"/>
    <s v="53221-Développement d'un site web du MENA"/>
  </r>
  <r>
    <s v="Formation des cadres du BSD/MENA à l'administration du site web"/>
    <s v="Atelier"/>
    <s v="h/j/a"/>
    <n v="0"/>
    <n v="75"/>
    <m/>
    <n v="45"/>
    <n v="120"/>
    <n v="0.3133333333333333"/>
    <n v="0"/>
    <n v="23.499999999999996"/>
    <n v="0"/>
    <n v="14.099999999999998"/>
    <n v="37.599999999999994"/>
    <x v="1"/>
    <s v="Tranvsal_secteur"/>
    <s v="3. Formation"/>
    <s v="Serv Inform"/>
    <s v="Serv Inform"/>
    <x v="0"/>
    <x v="4"/>
    <x v="31"/>
    <s v="532- Le Système d'Informations et de Gestion de l'Education est intégré et est utilisé pour la prise de décision"/>
    <x v="365"/>
    <s v="53222-Formation des cadres du BSD/MENA à l'administration du site web"/>
  </r>
  <r>
    <s v="Mise à jour du sites web du MENA"/>
    <s v="travaux administratifs"/>
    <s v="sif"/>
    <n v="0"/>
    <n v="1"/>
    <n v="1"/>
    <n v="1"/>
    <n v="3"/>
    <n v="0"/>
    <n v="0"/>
    <n v="0"/>
    <n v="0"/>
    <n v="0"/>
    <m/>
    <x v="2"/>
    <s v="Tranvsal_secteur"/>
    <s v=""/>
    <s v="Serv Inform"/>
    <s v="Serv Inform"/>
    <x v="0"/>
    <x v="4"/>
    <x v="31"/>
    <s v="532- Le Système d'Informations et de Gestion de l'Education est intégré et est utilisé pour la prise de décision"/>
    <x v="365"/>
    <s v="53223-Mise à jour du sites web du MENA"/>
  </r>
  <r>
    <s v="Mise à jour du sites web du MESRS"/>
    <s v="travaux administratifs"/>
    <s v="sif"/>
    <n v="0"/>
    <n v="1"/>
    <n v="1"/>
    <n v="1"/>
    <n v="3"/>
    <n v="0"/>
    <n v="0"/>
    <n v="0"/>
    <n v="0"/>
    <n v="0"/>
    <m/>
    <x v="2"/>
    <s v="Tranvsal_secteur"/>
    <s v=""/>
    <s v="Serv Inform"/>
    <s v="Serv Inform"/>
    <x v="2"/>
    <x v="4"/>
    <x v="31"/>
    <s v="532- Le Système d'Informations et de Gestion de l'Education est intégré et est utilisé pour la prise de décision"/>
    <x v="365"/>
    <s v="53224-Mise à jour du sites web du MESRS"/>
  </r>
  <r>
    <s v="Mise à jour du sites web du METFP"/>
    <s v="travaux administratifs"/>
    <s v="sif"/>
    <n v="0"/>
    <n v="1"/>
    <n v="1"/>
    <n v="1"/>
    <n v="3"/>
    <n v="0"/>
    <n v="0"/>
    <n v="0"/>
    <n v="0"/>
    <n v="0"/>
    <m/>
    <x v="2"/>
    <s v="Tranvsal_secteur"/>
    <s v=""/>
    <s v="Serv Inform"/>
    <s v="Serv Inform"/>
    <x v="1"/>
    <x v="4"/>
    <x v="31"/>
    <s v="532- Le Système d'Informations et de Gestion de l'Education est intégré et est utilisé pour la prise de décision"/>
    <x v="365"/>
    <s v="53225-Mise à jour du sites web du METFP"/>
  </r>
  <r>
    <s v="Renforcement des capacités des structures du secteur de l’éducation aux techniques de production des données, à l’exploitation des bases de données ; et aux techniques d’élaboration d’un rapport d’analyse"/>
    <m/>
    <m/>
    <n v="0"/>
    <m/>
    <m/>
    <m/>
    <m/>
    <m/>
    <m/>
    <m/>
    <m/>
    <m/>
    <m/>
    <x v="0"/>
    <m/>
    <m/>
    <m/>
    <m/>
    <x v="3"/>
    <x v="4"/>
    <x v="31"/>
    <s v="532- Le Système d'Informations et de Gestion de l'Education est intégré et est utilisé pour la prise de décision"/>
    <x v="366"/>
    <s v="5323-Renforcement des capacités des structures du secteur de l’éducation aux techniques de production des données, à l’exploitation des bases de données ; et aux techniques d’élaboration d’un rapport d’analyse"/>
  </r>
  <r>
    <s v="Acquisition de matériels roulants pour la collecte des données (voir activité 56226 et 57315)"/>
    <s v="pm"/>
    <s v="sif"/>
    <n v="0"/>
    <m/>
    <m/>
    <m/>
    <m/>
    <n v="0"/>
    <m/>
    <m/>
    <m/>
    <m/>
    <m/>
    <x v="2"/>
    <s v="Tranvsal_secteur"/>
    <s v=""/>
    <s v="DAF"/>
    <s v="DAF"/>
    <x v="0"/>
    <x v="4"/>
    <x v="31"/>
    <s v="532- Le Système d'Informations et de Gestion de l'Education est intégré et est utilisé pour la prise de décision"/>
    <x v="366"/>
    <s v="53231-Acquisition de matériels roulants pour la collecte des données (voir activité 56226 et 57315)"/>
  </r>
  <r>
    <s v="Acquisition de matériels roulants pour la supervision de la collecte (voir 57314)"/>
    <s v="pm"/>
    <s v="sif"/>
    <n v="0"/>
    <m/>
    <n v="0"/>
    <n v="0"/>
    <n v="0"/>
    <n v="0"/>
    <m/>
    <m/>
    <m/>
    <m/>
    <m/>
    <x v="2"/>
    <s v="Tranvsal_secteur"/>
    <s v=""/>
    <s v="DAF"/>
    <s v="DAF"/>
    <x v="0"/>
    <x v="4"/>
    <x v="31"/>
    <s v="532- Le Système d'Informations et de Gestion de l'Education est intégré et est utilisé pour la prise de décision"/>
    <x v="366"/>
    <s v="53232-Acquisition de matériels roulants pour la supervision de la collecte (voir 57314)"/>
  </r>
  <r>
    <s v="Organisation de sessions de formation des cadres chargés de la collecte et du traitement des données des structures centrales et déconcentrées"/>
    <s v="Ateliers"/>
    <s v="h/j/f"/>
    <n v="0"/>
    <n v="112.0224"/>
    <n v="112.0224"/>
    <n v="112.0224"/>
    <n v="336.06720000000001"/>
    <n v="0.67666666666666664"/>
    <n v="0"/>
    <n v="75.801823999999996"/>
    <n v="75.801823999999996"/>
    <n v="75.801823999999996"/>
    <n v="227.40547199999997"/>
    <x v="1"/>
    <s v="Tranvsal_secteur"/>
    <s v="3. Formation"/>
    <s v="BSD"/>
    <s v="BSD"/>
    <x v="0"/>
    <x v="4"/>
    <x v="31"/>
    <s v="532- Le Système d'Informations et de Gestion de l'Education est intégré et est utilisé pour la prise de décision"/>
    <x v="366"/>
    <s v="53233-Organisation de sessions de formation des cadres chargés de la collecte et du traitement des données des structures centrales et déconcentrées"/>
  </r>
  <r>
    <s v="Organisation de sessions de formation des cadres chargés de la collecte et du traitement des données des structures centrales et déconcentrées"/>
    <s v="Ateliers"/>
    <s v="h/j/f"/>
    <n v="0"/>
    <n v="223.9776"/>
    <n v="223.9776"/>
    <n v="223.9776"/>
    <n v="671.93280000000004"/>
    <n v="0.67666666666666664"/>
    <n v="0"/>
    <n v="151.558176"/>
    <n v="151.558176"/>
    <n v="151.558176"/>
    <n v="454.67452800000001"/>
    <x v="13"/>
    <s v="Tranvsal_secteur"/>
    <s v="3. Formation"/>
    <s v="BSD"/>
    <s v="BSD"/>
    <x v="0"/>
    <x v="4"/>
    <x v="31"/>
    <s v="532- Le Système d'Informations et de Gestion de l'Education est intégré et est utilisé pour la prise de décision"/>
    <x v="366"/>
    <s v="53233-Organisation de sessions de formation des cadres chargés de la collecte et du traitement des données des structures centrales et déconcentrées"/>
  </r>
  <r>
    <s v="Acquisition de matériels informatiques et accessoires (ordinateurs fixes)"/>
    <s v="Matériel informatique"/>
    <s v="poste de travail"/>
    <n v="0"/>
    <n v="90"/>
    <m/>
    <m/>
    <n v="90"/>
    <n v="10.034934666666667"/>
    <n v="0"/>
    <n v="903.14412000000004"/>
    <n v="0"/>
    <n v="0"/>
    <n v="903.14412000000004"/>
    <x v="1"/>
    <s v="Tranvsal_secteur"/>
    <s v="5. Investissement"/>
    <s v="DAF"/>
    <s v="DAF"/>
    <x v="0"/>
    <x v="4"/>
    <x v="31"/>
    <s v="532- Le Système d'Informations et de Gestion de l'Education est intégré et est utilisé pour la prise de décision"/>
    <x v="366"/>
    <s v="53234-Acquisition de matériels informatiques et accessoires (ordinateurs fixes)"/>
  </r>
  <r>
    <s v="Acquisition de matériels informatiques et accessoires (ordinateurs fixes)"/>
    <s v="Matériel informatique"/>
    <s v="poste de travail"/>
    <n v="0"/>
    <n v="50"/>
    <m/>
    <m/>
    <n v="50"/>
    <n v="10.034934666666667"/>
    <n v="0"/>
    <n v="501.74673333333334"/>
    <n v="0"/>
    <n v="0"/>
    <n v="501.74673333333334"/>
    <x v="2"/>
    <s v="Tranvsal_secteur"/>
    <s v="5. Investissement"/>
    <s v="DAF"/>
    <s v="DAF"/>
    <x v="0"/>
    <x v="4"/>
    <x v="31"/>
    <s v="532- Le Système d'Informations et de Gestion de l'Education est intégré et est utilisé pour la prise de décision"/>
    <x v="366"/>
    <s v="53234-Acquisition de matériels informatiques et accessoires (ordinateurs fixes)"/>
  </r>
  <r>
    <s v="Acquisition de matériels informatiques et accessoires (ordinateurs portables)"/>
    <s v="Matériel informatique"/>
    <s v="ordin/portable"/>
    <n v="0"/>
    <n v="122"/>
    <m/>
    <m/>
    <n v="122"/>
    <n v="6.333333333333333"/>
    <n v="0"/>
    <n v="772.66666666666663"/>
    <n v="0"/>
    <n v="0"/>
    <n v="772.66666666666663"/>
    <x v="1"/>
    <s v="Tranvsal_secteur"/>
    <s v="5. Investissement"/>
    <s v="DAF"/>
    <s v="DAF"/>
    <x v="0"/>
    <x v="4"/>
    <x v="31"/>
    <s v="532- Le Système d'Informations et de Gestion de l'Education est intégré et est utilisé pour la prise de décision"/>
    <x v="366"/>
    <s v="53235-Acquisition de matériels informatiques et accessoires (ordinateurs portables)"/>
  </r>
  <r>
    <s v="Acquisition de matériels informatiques et accessoires (ordinateurs portables)"/>
    <s v="Matériel informatique"/>
    <s v="ordin/portable"/>
    <n v="0"/>
    <n v="50"/>
    <m/>
    <m/>
    <n v="50"/>
    <n v="6.333333333333333"/>
    <n v="0"/>
    <n v="316.66666666666663"/>
    <n v="0"/>
    <n v="0"/>
    <n v="316.66666666666663"/>
    <x v="6"/>
    <s v="Tranvsal_secteur"/>
    <s v="5. Investissement"/>
    <s v="DAF"/>
    <s v="DAF"/>
    <x v="0"/>
    <x v="4"/>
    <x v="31"/>
    <s v="532- Le Système d'Informations et de Gestion de l'Education est intégré et est utilisé pour la prise de décision"/>
    <x v="366"/>
    <s v="53235-Acquisition de matériels informatiques et accessoires (ordinateurs portables)"/>
  </r>
  <r>
    <s v="Formation des formateurs à l'exploitation des données intégrées (gestionnaires des ressources humaines et cadres du BSD) "/>
    <s v="Ateliers"/>
    <s v="h/j/f"/>
    <n v="0"/>
    <m/>
    <n v="120"/>
    <m/>
    <n v="120"/>
    <n v="0.67666666666666664"/>
    <n v="0"/>
    <n v="0"/>
    <n v="81.2"/>
    <n v="0"/>
    <n v="81.2"/>
    <x v="1"/>
    <s v="Tranvsal_secteur"/>
    <s v="3. Formation"/>
    <s v="BSD"/>
    <s v="Serv Infor"/>
    <x v="0"/>
    <x v="4"/>
    <x v="31"/>
    <s v="532- Le Système d'Informations et de Gestion de l'Education est intégré et est utilisé pour la prise de décision"/>
    <x v="366"/>
    <s v="53236-Formation des formateurs à l'exploitation des données intégrées (gestionnaires des ressources humaines et cadres du BSD) "/>
  </r>
  <r>
    <s v="Formation des gestionnaires des ressources humaines et des cadres du BSD à l'exploitation des données intégrées (IRE et DPE/DCE)"/>
    <s v="Ateliers"/>
    <s v="h/j/f"/>
    <n v="0"/>
    <m/>
    <m/>
    <n v="1000"/>
    <n v="1000"/>
    <n v="0.67666666666666664"/>
    <n v="0"/>
    <n v="0"/>
    <n v="0"/>
    <n v="676.66666666666663"/>
    <n v="676.66666666666663"/>
    <x v="1"/>
    <s v="Tranvsal_secteur"/>
    <s v="3. Formation"/>
    <s v="BSD"/>
    <s v="Serv Infor"/>
    <x v="0"/>
    <x v="4"/>
    <x v="31"/>
    <s v="532- Le Système d'Informations et de Gestion de l'Education est intégré et est utilisé pour la prise de décision"/>
    <x v="366"/>
    <s v="53237-Formation des gestionnaires des ressources humaines et des cadres du BSD à l'exploitation des données intégrées (IRE et DPE/DCE)"/>
  </r>
  <r>
    <s v=" Le développement de la carte scolaire permet une meilleure planification et gestion du réseau des écoles, établissements/institutions  et de réduire les disparités"/>
    <m/>
    <m/>
    <n v="0"/>
    <m/>
    <m/>
    <m/>
    <m/>
    <m/>
    <m/>
    <m/>
    <m/>
    <m/>
    <m/>
    <x v="0"/>
    <m/>
    <m/>
    <m/>
    <m/>
    <x v="3"/>
    <x v="4"/>
    <x v="31"/>
    <s v="533- Le développement de la carte scolaire permet une meilleure planification et gestion du réseau des écoles, établissements/institutions  et de réduire les disparités"/>
    <x v="367"/>
    <s v="533- Le développement de la carte scolaire permet une meilleure planification et gestion du réseau des écoles, établissements/institutions  et de réduire les disparités"/>
  </r>
  <r>
    <s v="Géoréférencement des écoles, établissements, et institutions, et des localités sans école"/>
    <m/>
    <m/>
    <n v="0"/>
    <m/>
    <m/>
    <m/>
    <m/>
    <m/>
    <m/>
    <m/>
    <m/>
    <m/>
    <m/>
    <x v="0"/>
    <m/>
    <m/>
    <m/>
    <m/>
    <x v="3"/>
    <x v="4"/>
    <x v="31"/>
    <s v="533- Le développement de la carte scolaire permet une meilleure planification et gestion du réseau des écoles, établissements/institutions  et de réduire les disparités"/>
    <x v="368"/>
    <s v="5331-Géoréférencement des écoles, établissements, et institutions, et des localités sans école"/>
  </r>
  <r>
    <s v="Géo référencement des nouvelles écoles et leur environnement"/>
    <s v="Missions"/>
    <s v="h/j/m"/>
    <n v="0"/>
    <n v="460"/>
    <n v="460"/>
    <n v="460"/>
    <n v="1380"/>
    <n v="0.8177777777777776"/>
    <n v="0"/>
    <n v="376.17777777777769"/>
    <n v="376.17777777777769"/>
    <n v="376.17777777777769"/>
    <n v="1128.5333333333331"/>
    <x v="1"/>
    <s v="Tranvsal_secteur"/>
    <s v="3. Dépenses de fonctionnement"/>
    <s v="BSD"/>
    <s v="BSD"/>
    <x v="0"/>
    <x v="4"/>
    <x v="31"/>
    <s v="533- Le développement de la carte scolaire permet une meilleure planification et gestion du réseau des écoles, établissements/institutions  et de réduire les disparités"/>
    <x v="368"/>
    <s v="53311-Géo référencement des nouvelles écoles et leur environnement"/>
  </r>
  <r>
    <s v="Organisation de la formation des cadres des structures centrales et déconcentrées en utilisation en données géo référencées"/>
    <s v="Ateliers"/>
    <s v="h/j/f"/>
    <n v="0"/>
    <m/>
    <m/>
    <m/>
    <n v="0"/>
    <n v="0.67666666666666664"/>
    <n v="0"/>
    <n v="0"/>
    <n v="0"/>
    <n v="0"/>
    <n v="0"/>
    <x v="8"/>
    <s v="Tranvsal_secteur"/>
    <s v="3. Formation"/>
    <s v="BSD"/>
    <s v="BSD"/>
    <x v="0"/>
    <x v="4"/>
    <x v="31"/>
    <s v="533- Le développement de la carte scolaire permet une meilleure planification et gestion du réseau des écoles, établissements/institutions  et de réduire les disparités"/>
    <x v="368"/>
    <s v="53312-Organisation de la formation des cadres des structures centrales et déconcentrées en utilisation en données géo référencées"/>
  </r>
  <r>
    <s v="Organisation de la formation des cadres des structures centrales et déconcentrées en utilisation en données géo référencées"/>
    <s v="Ateliers"/>
    <s v="h/j/f"/>
    <n v="0"/>
    <n v="510"/>
    <n v="510"/>
    <n v="510"/>
    <n v="1530"/>
    <n v="0.67666666666666664"/>
    <n v="0"/>
    <n v="345.09999999999997"/>
    <n v="345.09999999999997"/>
    <n v="345.09999999999997"/>
    <n v="1035.3"/>
    <x v="1"/>
    <s v="Tranvsal_secteur"/>
    <s v="3. Formation"/>
    <s v="BSD"/>
    <s v="BSD"/>
    <x v="0"/>
    <x v="4"/>
    <x v="31"/>
    <s v="533- Le développement de la carte scolaire permet une meilleure planification et gestion du réseau des écoles, établissements/institutions  et de réduire les disparités"/>
    <x v="368"/>
    <s v="53312-Organisation de la formation des cadres des structures centrales et déconcentrées en utilisation en données géo référencées"/>
  </r>
  <r>
    <s v="Identification des sites de construction scolaire"/>
    <m/>
    <m/>
    <n v="0"/>
    <m/>
    <m/>
    <m/>
    <m/>
    <m/>
    <m/>
    <m/>
    <m/>
    <m/>
    <m/>
    <x v="0"/>
    <m/>
    <m/>
    <m/>
    <m/>
    <x v="3"/>
    <x v="4"/>
    <x v="31"/>
    <s v="533- Le développement de la carte scolaire permet une meilleure planification et gestion du réseau des écoles, établissements/institutions  et de réduire les disparités"/>
    <x v="369"/>
    <s v="5332-Identification des sites de construction scolaire"/>
  </r>
  <r>
    <s v="RedéFinition des critères de la carte scolaire"/>
    <s v="Ateliers"/>
    <s v="h/j/a"/>
    <n v="0"/>
    <n v="90"/>
    <m/>
    <m/>
    <n v="90"/>
    <n v="0.3133333333333333"/>
    <n v="0"/>
    <n v="28.199999999999996"/>
    <n v="0"/>
    <n v="0"/>
    <n v="28.199999999999996"/>
    <x v="1"/>
    <s v="Tranvsal_secteur"/>
    <s v="3. Formation"/>
    <s v="BSD"/>
    <s v="BSD"/>
    <x v="0"/>
    <x v="4"/>
    <x v="31"/>
    <s v="533- Le développement de la carte scolaire permet une meilleure planification et gestion du réseau des écoles, établissements/institutions  et de réduire les disparités"/>
    <x v="369"/>
    <s v="53321-RedéFinition des critères de la carte scolaire"/>
  </r>
  <r>
    <s v="Constitution et actualisation d'une base de données des sites de construction"/>
    <s v="travaux admin"/>
    <s v="sif"/>
    <n v="0"/>
    <n v="1"/>
    <n v="1"/>
    <n v="1"/>
    <n v="3"/>
    <n v="0"/>
    <n v="0"/>
    <n v="0"/>
    <n v="0"/>
    <n v="0"/>
    <m/>
    <x v="2"/>
    <s v="Tranvsal_secteur"/>
    <s v=""/>
    <s v="BSD"/>
    <s v="BSD"/>
    <x v="0"/>
    <x v="4"/>
    <x v="31"/>
    <s v="533- Le développement de la carte scolaire permet une meilleure planification et gestion du réseau des écoles, établissements/institutions  et de réduire les disparités"/>
    <x v="369"/>
    <s v="53322-Constitution et actualisation d'une base de données des sites de construction"/>
  </r>
  <r>
    <s v=" Les données sont utilisées pour un meilleur pilotage du système/ les activités sont planifiées sur la base d’indicateurs de performance"/>
    <m/>
    <m/>
    <n v="0"/>
    <m/>
    <m/>
    <m/>
    <m/>
    <m/>
    <m/>
    <m/>
    <m/>
    <m/>
    <m/>
    <x v="0"/>
    <m/>
    <m/>
    <m/>
    <m/>
    <x v="3"/>
    <x v="4"/>
    <x v="31"/>
    <s v="534- Les données sont utilisées pour un meilleur pilotage du système/ les activités sont planifiées sur la base d’indicateurs de performance"/>
    <x v="370"/>
    <s v="534- Les données sont utilisées pour un meilleur pilotage du système/ les activités sont planifiées sur la base d’indicateurs de performance"/>
  </r>
  <r>
    <s v="Appui aux sessions de pilotage et suivi de la mise en œuvre des recommandations"/>
    <m/>
    <m/>
    <n v="0"/>
    <m/>
    <m/>
    <m/>
    <m/>
    <m/>
    <m/>
    <m/>
    <m/>
    <m/>
    <m/>
    <x v="0"/>
    <m/>
    <m/>
    <m/>
    <m/>
    <x v="3"/>
    <x v="4"/>
    <x v="31"/>
    <s v="534- Les données sont utilisées pour un meilleur pilotage du système/ les activités sont planifiées sur la base d’indicateurs de performance"/>
    <x v="371"/>
    <s v="5341-Appui aux sessions de pilotage et suivi de la mise en œuvre des recommandations"/>
  </r>
  <r>
    <s v="Mise à disposition de chaque structure du MENA de données statistiques pour son pilotage"/>
    <s v="travaux administratifs"/>
    <s v="sif"/>
    <n v="0"/>
    <n v="0"/>
    <n v="0"/>
    <n v="0"/>
    <m/>
    <n v="0"/>
    <m/>
    <m/>
    <m/>
    <m/>
    <m/>
    <x v="2"/>
    <s v="Tranvsal_secteur"/>
    <s v=""/>
    <s v="BSD"/>
    <s v="BSD"/>
    <x v="0"/>
    <x v="4"/>
    <x v="31"/>
    <s v="534- Les données sont utilisées pour un meilleur pilotage du système/ les activités sont planifiées sur la base d’indicateurs de performance"/>
    <x v="371"/>
    <s v="53411-Mise à disposition de chaque structure du MENA de données statistiques pour son pilotage"/>
  </r>
  <r>
    <s v="Mise à disposition de chaque structure du METFP de données statistiques pour son pilotage"/>
    <s v="travaux administratifs"/>
    <s v="sif"/>
    <n v="0"/>
    <n v="0"/>
    <n v="0"/>
    <n v="0"/>
    <m/>
    <n v="0"/>
    <m/>
    <m/>
    <m/>
    <m/>
    <m/>
    <x v="2"/>
    <s v="Tranvsal_secteur"/>
    <s v=""/>
    <s v="BSD"/>
    <s v="BSD"/>
    <x v="1"/>
    <x v="4"/>
    <x v="31"/>
    <s v="534- Les données sont utilisées pour un meilleur pilotage du système/ les activités sont planifiées sur la base d’indicateurs de performance"/>
    <x v="371"/>
    <s v="53412-Mise à disposition de chaque structure du METFP de données statistiques pour son pilotage"/>
  </r>
  <r>
    <s v="Diffusion des recommandations par des canaux de communication (radio, TV, Meeting, etc."/>
    <s v="Campagnes publicitaires/médiatiques"/>
    <s v="diffusion"/>
    <n v="0"/>
    <n v="9"/>
    <n v="9"/>
    <n v="9"/>
    <n v="27"/>
    <n v="0.4"/>
    <n v="0"/>
    <n v="3.6"/>
    <n v="3.6"/>
    <n v="3.6"/>
    <n v="10.8"/>
    <x v="13"/>
    <s v="Tranvsal_secteur"/>
    <s v="3. Dépenses de fonctionnement"/>
    <s v="BSD"/>
    <s v="Serv Com/BSD"/>
    <x v="0"/>
    <x v="4"/>
    <x v="31"/>
    <s v="534- Les données sont utilisées pour un meilleur pilotage du système/ les activités sont planifiées sur la base d’indicateurs de performance"/>
    <x v="371"/>
    <s v="53414-Diffusion des recommandations par des canaux de communication (radio, TV, Meeting, etc."/>
  </r>
  <r>
    <s v="Diffusion des recommandations par des canaux de communication (radio, TV, Meeting, etc."/>
    <s v="Campagnes publicitaires/médiatiques"/>
    <s v="diffusion"/>
    <n v="0"/>
    <n v="9"/>
    <n v="9"/>
    <n v="9"/>
    <n v="27"/>
    <n v="0.4"/>
    <n v="0"/>
    <n v="3.6"/>
    <n v="3.6"/>
    <n v="3.6"/>
    <n v="10.8"/>
    <x v="1"/>
    <s v="Tranvsal_secteur"/>
    <s v="3. Dépenses de fonctionnement"/>
    <s v="BSD"/>
    <s v="Serv Com/BSD"/>
    <x v="1"/>
    <x v="4"/>
    <x v="31"/>
    <s v="534- Les données sont utilisées pour un meilleur pilotage du système/ les activités sont planifiées sur la base d’indicateurs de performance"/>
    <x v="371"/>
    <s v="53415-Diffusion des recommandations par des canaux de communication (radio, TV, Meeting, etc."/>
  </r>
  <r>
    <s v="Evaluation de la mise en œuvre des recommandations des sessions de pilotage aux différents niveaux (IRE, DPE/DCE, DSEE)"/>
    <s v="Missions"/>
    <s v="h/j/m"/>
    <n v="0"/>
    <n v="80"/>
    <n v="80"/>
    <n v="80"/>
    <n v="240"/>
    <n v="0.8177777777777776"/>
    <n v="0"/>
    <n v="65.422222222222203"/>
    <n v="65.422222222222203"/>
    <n v="65.422222222222203"/>
    <n v="196.26666666666659"/>
    <x v="1"/>
    <s v="Tranvsal_secteur"/>
    <s v="3. Dépenses de fonctionnement"/>
    <s v="IGE"/>
    <s v="IGE"/>
    <x v="0"/>
    <x v="4"/>
    <x v="31"/>
    <s v="534- Les données sont utilisées pour un meilleur pilotage du système/ les activités sont planifiées sur la base d’indicateurs de performance"/>
    <x v="371"/>
    <s v="53417-Evaluation de la mise en œuvre des recommandations des sessions de pilotage aux différents niveaux (IRE, DPE/DCE, DSEE)"/>
  </r>
  <r>
    <s v="Evaluation de la mise en œuvre des recommandations des sessions de pilotage aux différents niveaux "/>
    <s v="Missions"/>
    <s v="h/j/m"/>
    <n v="0"/>
    <n v="20"/>
    <n v="20"/>
    <n v="20"/>
    <n v="20"/>
    <n v="0.8177777777777776"/>
    <n v="0"/>
    <n v="16.355555555555551"/>
    <n v="16.355555555555551"/>
    <n v="16.355555555555551"/>
    <n v="49.066666666666649"/>
    <x v="1"/>
    <s v="Tranvsal_secteur"/>
    <s v="3. Dépenses de fonctionnement"/>
    <s v="IGE"/>
    <s v="IGE"/>
    <x v="2"/>
    <x v="4"/>
    <x v="31"/>
    <s v="534- Les données sont utilisées pour un meilleur pilotage du système/ les activités sont planifiées sur la base d’indicateurs de performance"/>
    <x v="371"/>
    <s v="53418-Evaluation de la mise en œuvre des recommandations des sessions de pilotage aux différents niveaux "/>
  </r>
  <r>
    <s v="Evaluation de la mise en œuvre des recommandations des sessions de pilotage aux différents niveaux "/>
    <s v="Missions"/>
    <s v="h/j/m"/>
    <n v="0"/>
    <n v="50"/>
    <n v="50"/>
    <n v="50"/>
    <n v="50"/>
    <n v="0.8177777777777776"/>
    <n v="0"/>
    <n v="40.888888888888879"/>
    <n v="40.888888888888879"/>
    <n v="40.888888888888879"/>
    <n v="122.66666666666663"/>
    <x v="1"/>
    <s v="Tranvsal_secteur"/>
    <s v="3. Dépenses de fonctionnement"/>
    <s v="IGE"/>
    <s v="IGE"/>
    <x v="1"/>
    <x v="4"/>
    <x v="31"/>
    <s v="534- Les données sont utilisées pour un meilleur pilotage du système/ les activités sont planifiées sur la base d’indicateurs de performance"/>
    <x v="371"/>
    <s v="53419-Evaluation de la mise en œuvre des recommandations des sessions de pilotage aux différents niveaux "/>
  </r>
  <r>
    <s v=" Conception de plans de développement et gestion de projets"/>
    <m/>
    <m/>
    <n v="0"/>
    <m/>
    <m/>
    <m/>
    <m/>
    <m/>
    <m/>
    <m/>
    <m/>
    <m/>
    <m/>
    <x v="0"/>
    <m/>
    <m/>
    <m/>
    <m/>
    <x v="3"/>
    <x v="4"/>
    <x v="32"/>
    <s v="54- Conception de plans de développement et gestion de projets"/>
    <x v="372"/>
    <s v="54- Conception de plans de développement et gestion de projets"/>
  </r>
  <r>
    <s v=" Les BSD ont les compétences nécessaires à la conception, l’élaboration, le suivi et l’évaluation des projets et plans de dévéloppement"/>
    <m/>
    <m/>
    <n v="0"/>
    <m/>
    <m/>
    <m/>
    <m/>
    <m/>
    <m/>
    <m/>
    <m/>
    <m/>
    <m/>
    <x v="0"/>
    <m/>
    <m/>
    <m/>
    <m/>
    <x v="3"/>
    <x v="4"/>
    <x v="32"/>
    <s v="541- Les BSD ont les compétences nécessaires à la conception, l’élaboration, le suivi et l’évaluation des projets et plans de dévéloppement"/>
    <x v="373"/>
    <s v="541- Les BSD ont les compétences nécessaires à la conception, l’élaboration, le suivi et l’évaluation des projets et plans de dévéloppement"/>
  </r>
  <r>
    <s v="Analyse du fonctionnement et des résultats des BSD dans ce domaine"/>
    <m/>
    <m/>
    <n v="0"/>
    <m/>
    <m/>
    <m/>
    <m/>
    <m/>
    <m/>
    <m/>
    <m/>
    <m/>
    <m/>
    <x v="0"/>
    <m/>
    <m/>
    <m/>
    <m/>
    <x v="3"/>
    <x v="4"/>
    <x v="32"/>
    <s v="541- Les BSD ont les compétences nécessaires à la conception, l’élaboration, le suivi et l’évaluation des projets et plans de dévéloppement"/>
    <x v="374"/>
    <s v="5411-Analyse du fonctionnement et des résultats des BSD dans ce domaine"/>
  </r>
  <r>
    <s v="DéFinition des tâches et des profils des BSD et de l'adéquation des profils disponibles aux missions (BSD MENA, MESRS, METFP)"/>
    <s v="assistance technique"/>
    <s v="h/j/ci"/>
    <n v="0"/>
    <n v="90"/>
    <m/>
    <m/>
    <n v="90"/>
    <n v="10.404797"/>
    <n v="0"/>
    <n v="936.43173000000002"/>
    <n v="0"/>
    <n v="0"/>
    <n v="936.43173000000002"/>
    <x v="1"/>
    <s v="Tranvsal_secteur"/>
    <s v="3. Dépenses de fonctionnement"/>
    <s v="BSD"/>
    <s v="BSD"/>
    <x v="0"/>
    <x v="4"/>
    <x v="32"/>
    <s v="541- Les BSD ont les compétences nécessaires à la conception, l’élaboration, le suivi et l’évaluation des projets et plans de dévéloppement"/>
    <x v="374"/>
    <s v="54111-DéFinition des tâches et des profils des BSD et de l'adéquation des profils disponibles aux missions (BSD MENA, MESRS, METFP)"/>
  </r>
  <r>
    <s v="Elaboration d'un plan de renforcement des capacités et d'un plan de recrutement ou de redéploiement pour les 3 BSD (pris en compte dans activité 54111)"/>
    <s v="Pm"/>
    <s v="sif"/>
    <n v="0"/>
    <m/>
    <m/>
    <m/>
    <m/>
    <n v="0"/>
    <m/>
    <m/>
    <m/>
    <m/>
    <m/>
    <x v="2"/>
    <s v="Tranvsal_secteur"/>
    <s v=""/>
    <s v="BSD"/>
    <s v="BSD"/>
    <x v="4"/>
    <x v="4"/>
    <x v="32"/>
    <s v="541- Les BSD ont les compétences nécessaires à la conception, l’élaboration, le suivi et l’évaluation des projets et plans de dévéloppement"/>
    <x v="374"/>
    <s v="54112-Elaboration d'un plan de renforcement des capacités et d'un plan de recrutement ou de redéploiement pour les 3 BSD (pris en compte dans activité 54111)"/>
  </r>
  <r>
    <s v="Elaboration d'un manuel de procédures et d'un guide décrivant la mise en œuvre des tâches par service des 3 BSD (divisions, sections, etc.) (pris en compte dans activité 54111)"/>
    <s v="pm"/>
    <s v="sif"/>
    <n v="0"/>
    <m/>
    <m/>
    <m/>
    <m/>
    <n v="0"/>
    <m/>
    <m/>
    <m/>
    <m/>
    <m/>
    <x v="2"/>
    <s v="Tranvsal_secteur"/>
    <s v=""/>
    <s v="BSD"/>
    <s v="BSD"/>
    <x v="0"/>
    <x v="4"/>
    <x v="32"/>
    <s v="541- Les BSD ont les compétences nécessaires à la conception, l’élaboration, le suivi et l’évaluation des projets et plans de dévéloppement"/>
    <x v="374"/>
    <s v="54113-Elaboration d'un manuel de procédures et d'un guide décrivant la mise en œuvre des tâches par service des 3 BSD (divisions, sections, etc.) (pris en compte dans activité 54111)"/>
  </r>
  <r>
    <s v="Renforcement des capacités des BSD"/>
    <m/>
    <m/>
    <n v="0"/>
    <m/>
    <m/>
    <m/>
    <m/>
    <m/>
    <m/>
    <m/>
    <m/>
    <m/>
    <m/>
    <x v="0"/>
    <m/>
    <m/>
    <m/>
    <m/>
    <x v="3"/>
    <x v="4"/>
    <x v="32"/>
    <s v="541- Les BSD ont les compétences nécessaires à la conception, l’élaboration, le suivi et l’évaluation des projets et plans de dévéloppement"/>
    <x v="375"/>
    <s v="5412-Renforcement des capacités des BSD"/>
  </r>
  <r>
    <s v="Partage d'expérience avec des services de planification de la sous-région (MENA, MESRS, METFP)"/>
    <s v="Voyage d'étude"/>
    <s v="Voy/Per"/>
    <n v="0"/>
    <n v="3.3340000000000005"/>
    <m/>
    <m/>
    <n v="3.3340000000000005"/>
    <n v="40.32"/>
    <n v="0"/>
    <n v="134.42688000000001"/>
    <n v="0"/>
    <n v="0"/>
    <n v="134.42688000000001"/>
    <x v="1"/>
    <s v="Tranvsal_secteur"/>
    <s v="3. Formation"/>
    <s v="BSD"/>
    <s v="BSD"/>
    <x v="0"/>
    <x v="4"/>
    <x v="32"/>
    <s v="541- Les BSD ont les compétences nécessaires à la conception, l’élaboration, le suivi et l’évaluation des projets et plans de dévéloppement"/>
    <x v="375"/>
    <s v="54121-Partage d'expérience avec des services de planification de la sous-région (MENA, MESRS, METFP)"/>
  </r>
  <r>
    <s v="Partage d'expérience avec des services de planification de la sous-région (MENA, MESRS, METFP)"/>
    <s v="Voyage d'étude"/>
    <s v="Voy/Per"/>
    <n v="0"/>
    <n v="6.6659999999999995"/>
    <m/>
    <m/>
    <n v="6.6659999999999995"/>
    <n v="40.32"/>
    <n v="0"/>
    <n v="268.77312000000001"/>
    <n v="0"/>
    <n v="0"/>
    <n v="268.77312000000001"/>
    <x v="13"/>
    <s v="Tranvsal_secteur"/>
    <s v="3. Formation"/>
    <s v="BSD"/>
    <s v="BSD"/>
    <x v="0"/>
    <x v="4"/>
    <x v="32"/>
    <s v="541- Les BSD ont les compétences nécessaires à la conception, l’élaboration, le suivi et l’évaluation des projets et plans de dévéloppement"/>
    <x v="375"/>
    <s v="54121-Partage d'expérience avec des services de planification de la sous-région (MENA, MESRS, METFP)"/>
  </r>
  <r>
    <s v="Dotation du BSD MENA en logiciels de gestion de projets"/>
    <s v="Achat logiciel"/>
    <s v="logiciel"/>
    <n v="0"/>
    <n v="10"/>
    <n v="8"/>
    <n v="38"/>
    <n v="56"/>
    <n v="10.5"/>
    <n v="0"/>
    <n v="105"/>
    <n v="84"/>
    <n v="399"/>
    <n v="588"/>
    <x v="13"/>
    <s v="Tranvsal_secteur"/>
    <s v="5. Investissement"/>
    <s v="BSD"/>
    <s v="BSD"/>
    <x v="0"/>
    <x v="4"/>
    <x v="32"/>
    <s v="541- Les BSD ont les compétences nécessaires à la conception, l’élaboration, le suivi et l’évaluation des projets et plans de dévéloppement"/>
    <x v="375"/>
    <s v="54122-Dotation du BSD MENA en logiciels de gestion de projets"/>
  </r>
  <r>
    <s v="Dotation du BSD MESRS en logiciels de gestion de projets"/>
    <s v="Achat logiciel"/>
    <s v="logiciel"/>
    <n v="0"/>
    <n v="10"/>
    <m/>
    <m/>
    <n v="10"/>
    <n v="10.5"/>
    <n v="0"/>
    <n v="105"/>
    <n v="0"/>
    <n v="0"/>
    <n v="105"/>
    <x v="1"/>
    <s v="Tranvsal_secteur"/>
    <s v="5. Investissement"/>
    <s v="BSD"/>
    <s v="BSD"/>
    <x v="2"/>
    <x v="4"/>
    <x v="32"/>
    <s v="541- Les BSD ont les compétences nécessaires à la conception, l’élaboration, le suivi et l’évaluation des projets et plans de dévéloppement"/>
    <x v="375"/>
    <s v="54123-Dotation du BSD MESRS en logiciels de gestion de projets"/>
  </r>
  <r>
    <s v="Dotation du BSD METFP en logiciels de gestion de projets"/>
    <s v="Achat logiciel"/>
    <s v="logiciel"/>
    <n v="0"/>
    <n v="10"/>
    <n v="8"/>
    <m/>
    <n v="18"/>
    <n v="10.5"/>
    <n v="0"/>
    <n v="105"/>
    <n v="84"/>
    <n v="0"/>
    <n v="189"/>
    <x v="1"/>
    <s v="Tranvsal_secteur"/>
    <s v="5. Investissement"/>
    <s v="BSD"/>
    <s v="BSD"/>
    <x v="1"/>
    <x v="4"/>
    <x v="32"/>
    <s v="541- Les BSD ont les compétences nécessaires à la conception, l’élaboration, le suivi et l’évaluation des projets et plans de dévéloppement"/>
    <x v="375"/>
    <s v="54124-Dotation du BSD METFP en logiciels de gestion de projets"/>
  </r>
  <r>
    <s v="Mise en œuvre progressive du plan de formation des BSD (Formation des BSD et démembrements sur les logiciels de gestion des Projets éducatifs y compris BSD MESRS et METFP°"/>
    <s v="Ateliers"/>
    <s v="h/j/f"/>
    <n v="0"/>
    <n v="150"/>
    <n v="75"/>
    <n v="75"/>
    <n v="300"/>
    <n v="0.67666666666666664"/>
    <n v="0"/>
    <n v="101.5"/>
    <n v="50.75"/>
    <n v="50.75"/>
    <n v="203"/>
    <x v="1"/>
    <s v="Tranvsal_secteur"/>
    <s v="3. Formation"/>
    <s v="BSD"/>
    <s v="BSD"/>
    <x v="0"/>
    <x v="4"/>
    <x v="32"/>
    <s v="541- Les BSD ont les compétences nécessaires à la conception, l’élaboration, le suivi et l’évaluation des projets et plans de dévéloppement"/>
    <x v="375"/>
    <s v="54125-Mise en œuvre progressive du plan de formation des BSD (Formation des BSD et démembrements sur les logiciels de gestion des Projets éducatifs y compris BSD MESRS et METFP°"/>
  </r>
  <r>
    <s v="Mise en œuvre progressive du plan de formation des BSD (Formation des BSD à l'exploitation des bases de données à l'aide requêtes (niveau central et déconcentré) y compris BSD MESRS et METFP"/>
    <s v="Ateliers"/>
    <s v="h/j/f"/>
    <n v="0"/>
    <n v="280"/>
    <n v="280"/>
    <m/>
    <n v="560"/>
    <n v="0.67666666666666664"/>
    <n v="0"/>
    <n v="189.46666666666667"/>
    <n v="189.46666666666667"/>
    <n v="0"/>
    <n v="378.93333333333334"/>
    <x v="1"/>
    <s v="Tranvsal_secteur"/>
    <s v="3. Formation"/>
    <s v="BSD"/>
    <s v="BSD"/>
    <x v="0"/>
    <x v="4"/>
    <x v="32"/>
    <s v="541- Les BSD ont les compétences nécessaires à la conception, l’élaboration, le suivi et l’évaluation des projets et plans de dévéloppement"/>
    <x v="375"/>
    <s v="54126-Mise en œuvre progressive du plan de formation des BSD (Formation des BSD à l'exploitation des bases de données à l'aide requêtes (niveau central et déconcentré) y compris BSD MESRS et METFP"/>
  </r>
  <r>
    <s v="Mise en œuvre progressive du plan de formation des BSD (Formation des BSD à l'exploitation des bases de données à l'aide requêtes (niveau central et déconcentré) y compris BSD MESRS et METFP"/>
    <s v="Ateliers"/>
    <s v="h/j/f"/>
    <n v="0"/>
    <n v="280"/>
    <n v="280"/>
    <m/>
    <n v="560"/>
    <n v="0.67666666666666664"/>
    <n v="0"/>
    <n v="189.46666666666667"/>
    <n v="189.46666666666667"/>
    <n v="0"/>
    <n v="378.93333333333334"/>
    <x v="13"/>
    <s v="Tranvsal_secteur"/>
    <s v="3. Formation"/>
    <s v="BSD"/>
    <s v="BSD"/>
    <x v="0"/>
    <x v="4"/>
    <x v="32"/>
    <s v="541- Les BSD ont les compétences nécessaires à la conception, l’élaboration, le suivi et l’évaluation des projets et plans de dévéloppement"/>
    <x v="375"/>
    <s v="54126-Mise en œuvre progressive du plan de formation des BSD (Formation des BSD à l'exploitation des bases de données à l'aide requêtes (niveau central et déconcentré) y compris BSD MESRS et METFP"/>
  </r>
  <r>
    <s v="Mise en œuvre progressive du plan de formation des BSD (Formation des BSD à l'utilisation des outils d'analyse multidimensionnels (niveau central et déconcentré)"/>
    <s v="Ateliers"/>
    <s v="h/j/f"/>
    <n v="0"/>
    <n v="255"/>
    <n v="255"/>
    <m/>
    <n v="510"/>
    <n v="0.67666666666666664"/>
    <n v="0"/>
    <n v="172.54999999999998"/>
    <n v="172.54999999999998"/>
    <n v="0"/>
    <n v="345.09999999999997"/>
    <x v="1"/>
    <s v="Tranvsal_secteur"/>
    <s v="3. Formation"/>
    <s v="BSD"/>
    <s v="BSD"/>
    <x v="0"/>
    <x v="4"/>
    <x v="32"/>
    <s v="541- Les BSD ont les compétences nécessaires à la conception, l’élaboration, le suivi et l’évaluation des projets et plans de dévéloppement"/>
    <x v="375"/>
    <s v="54127-Mise en œuvre progressive du plan de formation des BSD (Formation des BSD à l'utilisation des outils d'analyse multidimensionnels (niveau central et déconcentré)"/>
  </r>
  <r>
    <s v="Mise en œuvre progressive du plan de formation des BSD (Formation des BSD à l'utilisation des outils d'analyse multidimensionnels (niveau central et déconcentré)"/>
    <s v="Ateliers"/>
    <s v="h/j/f"/>
    <n v="0"/>
    <n v="255"/>
    <n v="255"/>
    <m/>
    <n v="510"/>
    <n v="0.67666666666666664"/>
    <n v="0"/>
    <n v="172.54999999999998"/>
    <n v="172.54999999999998"/>
    <n v="0"/>
    <n v="345.09999999999997"/>
    <x v="13"/>
    <s v="Tranvsal_secteur"/>
    <s v="3. Formation"/>
    <s v="BSD"/>
    <s v="BSD"/>
    <x v="0"/>
    <x v="4"/>
    <x v="32"/>
    <s v="541- Les BSD ont les compétences nécessaires à la conception, l’élaboration, le suivi et l’évaluation des projets et plans de dévéloppement"/>
    <x v="375"/>
    <s v="54127-Mise en œuvre progressive du plan de formation des BSD (Formation des BSD à l'utilisation des outils d'analyse multidimensionnels (niveau central et déconcentré)"/>
  </r>
  <r>
    <s v="Mise en œuvre progressive du plan de formation des BSD (Formation des BSD à aux logiciels d'analyse statistique (SPSS, STATA, CS Pro) y compris BSD MESRS et METFP"/>
    <s v="Ateliers"/>
    <s v="h/j/f"/>
    <n v="0"/>
    <n v="150"/>
    <n v="230"/>
    <m/>
    <n v="380"/>
    <n v="0.67666666666666664"/>
    <n v="0"/>
    <n v="101.5"/>
    <n v="155.63333333333333"/>
    <n v="0"/>
    <n v="257.13333333333333"/>
    <x v="1"/>
    <s v="Tranvsal_secteur"/>
    <s v="3. Formation"/>
    <s v="BSD"/>
    <s v="SNCESE"/>
    <x v="0"/>
    <x v="4"/>
    <x v="32"/>
    <s v="541- Les BSD ont les compétences nécessaires à la conception, l’élaboration, le suivi et l’évaluation des projets et plans de dévéloppement"/>
    <x v="375"/>
    <s v="54128-Mise en œuvre progressive du plan de formation des BSD (Formation des BSD à aux logiciels d'analyse statistique (SPSS, STATA, CS Pro) y compris BSD MESRS et METFP"/>
  </r>
  <r>
    <s v="Mise en œuvre progressive du plan de formation des BSD (Formation des BSD à aux logiciels d'analyse statistique (SPSS, STATA, CS Pro) y compris BSD MESRS et METFP"/>
    <s v="Ateliers"/>
    <s v="h/j/f"/>
    <n v="0"/>
    <n v="150"/>
    <n v="230"/>
    <m/>
    <n v="380"/>
    <n v="0.67666666666666664"/>
    <n v="0"/>
    <n v="101.5"/>
    <n v="155.63333333333333"/>
    <n v="0"/>
    <n v="257.13333333333333"/>
    <x v="13"/>
    <s v="Tranvsal_secteur"/>
    <s v="3. Formation"/>
    <s v="BSD"/>
    <s v="SNCESE"/>
    <x v="0"/>
    <x v="4"/>
    <x v="32"/>
    <s v="541- Les BSD ont les compétences nécessaires à la conception, l’élaboration, le suivi et l’évaluation des projets et plans de dévéloppement"/>
    <x v="375"/>
    <s v="54128-Mise en œuvre progressive du plan de formation des BSD (Formation des BSD à aux logiciels d'analyse statistique (SPSS, STATA, CS Pro) y compris BSD MESRS et METFP"/>
  </r>
  <r>
    <s v="Mise en œuvre progressive du plan de formation des BSD (Formation des cadres des BSD en Planification et gestion des politiques éducatives y compris BSD MESRS et METFP"/>
    <s v="formation à l'étranger"/>
    <s v="h/an/fe"/>
    <n v="0"/>
    <n v="3"/>
    <n v="3"/>
    <n v="3"/>
    <n v="9"/>
    <n v="107.95"/>
    <n v="0"/>
    <n v="323.85000000000002"/>
    <n v="323.85000000000002"/>
    <n v="323.85000000000002"/>
    <n v="971.55000000000007"/>
    <x v="1"/>
    <s v="Tranvsal_secteur"/>
    <s v="3. Formation"/>
    <s v="BSD"/>
    <s v="institution"/>
    <x v="0"/>
    <x v="4"/>
    <x v="32"/>
    <s v="541- Les BSD ont les compétences nécessaires à la conception, l’élaboration, le suivi et l’évaluation des projets et plans de dévéloppement"/>
    <x v="375"/>
    <s v="54129-Mise en œuvre progressive du plan de formation des BSD (Formation des cadres des BSD en Planification et gestion des politiques éducatives y compris BSD MESRS et METFP"/>
  </r>
  <r>
    <s v="Mise en œuvre progressive du plan de formation des BSD (Formation des cadres des BSD en Planification et gestion des politiques éducatives y compris BSD MESRS et METFP"/>
    <s v="formation à l'étranger"/>
    <s v="h/an/fe"/>
    <n v="0"/>
    <n v="3"/>
    <n v="3"/>
    <n v="3"/>
    <n v="9"/>
    <n v="107.95"/>
    <n v="0"/>
    <n v="323.85000000000002"/>
    <n v="323.85000000000002"/>
    <n v="323.85000000000002"/>
    <n v="971.55000000000007"/>
    <x v="13"/>
    <s v="Tranvsal_secteur"/>
    <s v="3. Formation"/>
    <s v="BSD"/>
    <s v="institution"/>
    <x v="0"/>
    <x v="4"/>
    <x v="32"/>
    <s v="541- Les BSD ont les compétences nécessaires à la conception, l’élaboration, le suivi et l’évaluation des projets et plans de dévéloppement"/>
    <x v="375"/>
    <s v="54129-Mise en œuvre progressive du plan de formation des BSD (Formation des cadres des BSD en Planification et gestion des politiques éducatives y compris BSD MESRS et METFP"/>
  </r>
  <r>
    <s v="Mise en œuvre progressive du plan de redéploiement du personnel (à l'interne) "/>
    <s v="décision"/>
    <s v="sif"/>
    <n v="0"/>
    <m/>
    <m/>
    <m/>
    <m/>
    <n v="0"/>
    <m/>
    <m/>
    <m/>
    <m/>
    <m/>
    <x v="2"/>
    <s v="Tranvsal_secteur"/>
    <s v=""/>
    <s v="BSD"/>
    <s v="DRH"/>
    <x v="0"/>
    <x v="4"/>
    <x v="32"/>
    <s v="541- Les BSD ont les compétences nécessaires à la conception, l’élaboration, le suivi et l’évaluation des projets et plans de dévéloppement"/>
    <x v="375"/>
    <s v="541210-Mise en œuvre progressive du plan de redéploiement du personnel (à l'interne) "/>
  </r>
  <r>
    <s v="Mise en œuvre progressive du plan de recrutement (affectation de nouveaux profils) "/>
    <s v="Décision"/>
    <s v="sif"/>
    <n v="0"/>
    <m/>
    <m/>
    <m/>
    <m/>
    <n v="0"/>
    <m/>
    <m/>
    <m/>
    <m/>
    <m/>
    <x v="2"/>
    <s v="Tranvsal_secteur"/>
    <s v=""/>
    <s v="BSD"/>
    <s v="DRH"/>
    <x v="0"/>
    <x v="4"/>
    <x v="32"/>
    <s v="541- Les BSD ont les compétences nécessaires à la conception, l’élaboration, le suivi et l’évaluation des projets et plans de dévéloppement"/>
    <x v="375"/>
    <s v="541211-Mise en œuvre progressive du plan de recrutement (affectation de nouveaux profils) "/>
  </r>
  <r>
    <s v="Recrutement d'une assistance longue durée pour appuyer les 3 BSD dans le traitement des données scolaires et universitaire et la formation du personnel permanent"/>
    <s v="Assistance technique nationale "/>
    <s v="h/an/cn"/>
    <n v="0"/>
    <n v="1"/>
    <n v="1"/>
    <n v="1"/>
    <n v="3"/>
    <n v="342"/>
    <n v="0"/>
    <n v="342"/>
    <n v="342"/>
    <n v="342"/>
    <n v="1026"/>
    <x v="13"/>
    <s v="Tranvsal_secteur"/>
    <s v="3. Dépenses de fonctionnement"/>
    <s v="BSD"/>
    <s v="BSD"/>
    <x v="0"/>
    <x v="4"/>
    <x v="32"/>
    <s v="541- Les BSD ont les compétences nécessaires à la conception, l’élaboration, le suivi et l’évaluation des projets et plans de dévéloppement"/>
    <x v="375"/>
    <s v="541212-Recrutement d'une assistance longue durée pour appuyer les 3 BSD dans le traitement des données scolaires et universitaire et la formation du personnel permanent"/>
  </r>
  <r>
    <s v=" Les BSD ont la compétence d’élaborer, de suivre et d’évaluer les plans de développement"/>
    <m/>
    <m/>
    <n v="0"/>
    <m/>
    <m/>
    <m/>
    <m/>
    <m/>
    <m/>
    <m/>
    <m/>
    <m/>
    <m/>
    <x v="0"/>
    <m/>
    <m/>
    <m/>
    <m/>
    <x v="3"/>
    <x v="4"/>
    <x v="32"/>
    <s v="542- Les BSD ont la compétence d’élaborer, de suivre et d’évaluer les plans de développement"/>
    <x v="376"/>
    <s v="542- Les BSD ont la compétence d’élaborer, de suivre et d’évaluer les plans de développement"/>
  </r>
  <r>
    <s v="Analyse situationnelle"/>
    <m/>
    <m/>
    <n v="0"/>
    <m/>
    <m/>
    <m/>
    <m/>
    <m/>
    <m/>
    <m/>
    <m/>
    <m/>
    <m/>
    <x v="0"/>
    <m/>
    <m/>
    <m/>
    <m/>
    <x v="3"/>
    <x v="4"/>
    <x v="32"/>
    <s v="542- Les BSD ont la compétence d’élaborer, de suivre et d’évaluer les plans de développement"/>
    <x v="377"/>
    <s v="5421-Analyse situationnelle"/>
  </r>
  <r>
    <s v="Pris en compte dans activité du résultat 5411"/>
    <m/>
    <m/>
    <n v="0"/>
    <m/>
    <m/>
    <m/>
    <m/>
    <m/>
    <m/>
    <m/>
    <m/>
    <m/>
    <m/>
    <x v="2"/>
    <s v="Tranvsal_secteur"/>
    <s v=""/>
    <m/>
    <m/>
    <x v="3"/>
    <x v="4"/>
    <x v="32"/>
    <s v="542- Les BSD ont la compétence d’élaborer, de suivre et d’évaluer les plans de développement"/>
    <x v="377"/>
    <s v="-Pris en compte dans activité du résultat 5411"/>
  </r>
  <r>
    <s v="Planification"/>
    <m/>
    <m/>
    <n v="0"/>
    <m/>
    <m/>
    <m/>
    <m/>
    <m/>
    <m/>
    <m/>
    <m/>
    <m/>
    <m/>
    <x v="0"/>
    <m/>
    <m/>
    <m/>
    <m/>
    <x v="3"/>
    <x v="4"/>
    <x v="32"/>
    <s v="542- Les BSD ont la compétence d’élaborer, de suivre et d’évaluer les plans de développement"/>
    <x v="378"/>
    <s v="5422-Planification"/>
  </r>
  <r>
    <s v="Formation action en planification, des cadres des BSD niveau central et déconcentré par les cadres centraux (plans de développement en cohérence avec le PRODEG)"/>
    <s v="missions appui"/>
    <s v="h/j/m"/>
    <n v="0"/>
    <n v="460"/>
    <m/>
    <m/>
    <n v="460"/>
    <n v="0.8177777777777776"/>
    <n v="0"/>
    <n v="376.17777777777769"/>
    <n v="0"/>
    <n v="0"/>
    <n v="376.17777777777769"/>
    <x v="13"/>
    <s v="Tranvsal_secteur"/>
    <s v="3. Dépenses de fonctionnement"/>
    <s v="BSD"/>
    <s v="BSD"/>
    <x v="0"/>
    <x v="4"/>
    <x v="32"/>
    <s v="542- Les BSD ont la compétence d’élaborer, de suivre et d’évaluer les plans de développement"/>
    <x v="378"/>
    <s v="54221-Formation action en planification, des cadres des BSD niveau central et déconcentré par les cadres centraux (plans de développement en cohérence avec le PRODEG)"/>
  </r>
  <r>
    <s v="Elaboration des plans de développement des institutions du Supérieur en cohérence avec le PRODEG"/>
    <s v="PM"/>
    <s v="sif"/>
    <n v="0"/>
    <n v="1"/>
    <n v="1"/>
    <n v="1"/>
    <n v="3"/>
    <n v="0"/>
    <n v="0"/>
    <n v="0"/>
    <n v="0"/>
    <n v="0"/>
    <m/>
    <x v="2"/>
    <s v="Tranvsal_secteur"/>
    <s v=""/>
    <s v="BSD"/>
    <s v="BSD"/>
    <x v="2"/>
    <x v="4"/>
    <x v="32"/>
    <s v="542- Les BSD ont la compétence d’élaborer, de suivre et d’évaluer les plans de développement"/>
    <x v="378"/>
    <s v="54222-Elaboration des plans de développement des institutions du Supérieur en cohérence avec le PRODEG"/>
  </r>
  <r>
    <s v="Elaboration des plans de développement régionaux de l'ETFP en cohérence avec le PRODEG"/>
    <s v="missions appui"/>
    <s v="h/j/m"/>
    <n v="0"/>
    <n v="320"/>
    <m/>
    <m/>
    <n v="320"/>
    <n v="0.8177777777777776"/>
    <n v="0"/>
    <n v="261.68888888888881"/>
    <n v="0"/>
    <n v="0"/>
    <n v="261.68888888888881"/>
    <x v="13"/>
    <s v="Tranvsal_secteur"/>
    <s v="3. Dépenses de fonctionnement"/>
    <s v="BSD"/>
    <s v="BSD"/>
    <x v="1"/>
    <x v="4"/>
    <x v="32"/>
    <s v="542- Les BSD ont la compétence d’élaborer, de suivre et d’évaluer les plans de développement"/>
    <x v="378"/>
    <s v="54223-Elaboration des plans de développement régionaux de l'ETFP en cohérence avec le PRODEG"/>
  </r>
  <r>
    <s v="Elaboration des plans d'actions annuels budgétisés en cohérence avec le PAPB du PRODEG "/>
    <s v="missions appui"/>
    <s v="h/j/m"/>
    <n v="0"/>
    <n v="460"/>
    <m/>
    <m/>
    <n v="460"/>
    <n v="0.8177777777777776"/>
    <n v="0"/>
    <n v="376.17777777777769"/>
    <n v="0"/>
    <n v="0"/>
    <n v="376.17777777777769"/>
    <x v="13"/>
    <s v="Tranvsal_secteur"/>
    <s v="3. Dépenses de fonctionnement"/>
    <s v="BSD"/>
    <s v="BSD"/>
    <x v="0"/>
    <x v="4"/>
    <x v="32"/>
    <s v="542- Les BSD ont la compétence d’élaborer, de suivre et d’évaluer les plans de développement"/>
    <x v="378"/>
    <s v="54224-Elaboration des plans d'actions annuels budgétisés en cohérence avec le PAPB du PRODEG "/>
  </r>
  <r>
    <s v="Elaboration des plans d'actions annuels budgétisés en cohérence avec le PAPB du PRODEG (pris en compte dans le budget de fonctionnement des universités et pour le niveau national dans le budget du CDMT)"/>
    <s v="PM"/>
    <s v="sif"/>
    <n v="0"/>
    <n v="1"/>
    <n v="1"/>
    <n v="1"/>
    <n v="3"/>
    <n v="0"/>
    <n v="0"/>
    <n v="0"/>
    <n v="0"/>
    <n v="0"/>
    <m/>
    <x v="2"/>
    <s v="Tranvsal_secteur"/>
    <s v=""/>
    <s v="BSD"/>
    <s v="BSD"/>
    <x v="2"/>
    <x v="4"/>
    <x v="32"/>
    <s v="542- Les BSD ont la compétence d’élaborer, de suivre et d’évaluer les plans de développement"/>
    <x v="378"/>
    <s v="54225-Elaboration des plans d'actions annuels budgétisés en cohérence avec le PAPB du PRODEG (pris en compte dans le budget de fonctionnement des universités et pour le niveau national dans le budget du CDMT)"/>
  </r>
  <r>
    <s v="Elaboration des plans d'actions annuels budgétisés en cohérence avec le PAPB du PRODEG"/>
    <s v="missions appui"/>
    <s v="h/j/m"/>
    <n v="0"/>
    <n v="160"/>
    <m/>
    <m/>
    <n v="160"/>
    <n v="0.8177777777777776"/>
    <n v="0"/>
    <n v="130.84444444444441"/>
    <n v="0"/>
    <n v="0"/>
    <n v="130.84444444444441"/>
    <x v="13"/>
    <s v="Tranvsal_secteur"/>
    <s v="3. Dépenses de fonctionnement"/>
    <s v="BSD"/>
    <s v="BSD"/>
    <x v="1"/>
    <x v="4"/>
    <x v="32"/>
    <s v="542- Les BSD ont la compétence d’élaborer, de suivre et d’évaluer les plans de développement"/>
    <x v="378"/>
    <s v="54226-Elaboration des plans d'actions annuels budgétisés en cohérence avec le PAPB du PRODEG"/>
  </r>
  <r>
    <s v="Suivi et évaluation"/>
    <m/>
    <m/>
    <n v="0"/>
    <m/>
    <m/>
    <m/>
    <m/>
    <m/>
    <m/>
    <m/>
    <m/>
    <m/>
    <m/>
    <x v="0"/>
    <m/>
    <m/>
    <m/>
    <m/>
    <x v="3"/>
    <x v="4"/>
    <x v="32"/>
    <s v="542- Les BSD ont la compétence d’élaborer, de suivre et d’évaluer les plans de développement"/>
    <x v="379"/>
    <s v="5423-Suivi et évaluation"/>
  </r>
  <r>
    <s v="Suivi et évaluation de la mise en œuvre des plans de développement (suivi du plan d'actions annuel)"/>
    <s v="Missions"/>
    <s v="h/j/m"/>
    <n v="0"/>
    <n v="320"/>
    <n v="320"/>
    <n v="320"/>
    <n v="960"/>
    <n v="0.8177777777777776"/>
    <n v="0"/>
    <n v="261.68888888888881"/>
    <n v="261.68888888888881"/>
    <n v="261.68888888888881"/>
    <n v="785.06666666666638"/>
    <x v="1"/>
    <s v="Tranvsal_secteur"/>
    <s v="3. Dépenses de fonctionnement"/>
    <s v="BSD"/>
    <s v="BSD"/>
    <x v="0"/>
    <x v="4"/>
    <x v="32"/>
    <s v="542- Les BSD ont la compétence d’élaborer, de suivre et d’évaluer les plans de développement"/>
    <x v="379"/>
    <s v="54231-Suivi et évaluation de la mise en œuvre des plans de développement (suivi du plan d'actions annuel)"/>
  </r>
  <r>
    <s v="Suivi et évaluation de la mise en œuvre des plans de développement (suivi du plan d'actions annuel)"/>
    <s v="Missions"/>
    <s v="h/j/m"/>
    <n v="0"/>
    <n v="96"/>
    <n v="96"/>
    <n v="96"/>
    <n v="288"/>
    <n v="0.8177777777777776"/>
    <n v="0"/>
    <n v="78.506666666666646"/>
    <n v="78.506666666666646"/>
    <n v="78.506666666666646"/>
    <n v="235.51999999999992"/>
    <x v="1"/>
    <s v="Tranvsal_secteur"/>
    <s v="3. Dépenses de fonctionnement"/>
    <s v="BSD"/>
    <s v="BSD"/>
    <x v="2"/>
    <x v="4"/>
    <x v="32"/>
    <s v="542- Les BSD ont la compétence d’élaborer, de suivre et d’évaluer les plans de développement"/>
    <x v="379"/>
    <s v="54232-Suivi et évaluation de la mise en œuvre des plans de développement (suivi du plan d'actions annuel)"/>
  </r>
  <r>
    <s v="Suivi et évaluation de la mise en œuvre des plans de développement (suivi du plan d'actions annuel)"/>
    <s v="Missions"/>
    <s v="h/j/m"/>
    <n v="0"/>
    <n v="160"/>
    <n v="160"/>
    <n v="160"/>
    <n v="480"/>
    <n v="0.8177777777777776"/>
    <n v="0"/>
    <n v="130.84444444444441"/>
    <n v="130.84444444444441"/>
    <n v="130.84444444444441"/>
    <n v="392.53333333333319"/>
    <x v="13"/>
    <s v="Tranvsal_secteur"/>
    <s v="3. Dépenses de fonctionnement"/>
    <s v="BSD"/>
    <s v="BSD"/>
    <x v="1"/>
    <x v="4"/>
    <x v="32"/>
    <s v="542- Les BSD ont la compétence d’élaborer, de suivre et d’évaluer les plans de développement"/>
    <x v="379"/>
    <s v="54233-Suivi et évaluation de la mise en œuvre des plans de développement (suivi du plan d'actions annuel)"/>
  </r>
  <r>
    <s v="Elaboration systématique de rapport d'achèvement des projets (en cours de mise en œuvre au MENA)"/>
    <s v="pm"/>
    <s v="sif"/>
    <n v="0"/>
    <n v="1"/>
    <n v="1"/>
    <n v="1"/>
    <n v="3"/>
    <n v="0"/>
    <n v="0"/>
    <n v="0"/>
    <n v="0"/>
    <n v="0"/>
    <m/>
    <x v="2"/>
    <s v="Tranvsal_secteur"/>
    <s v=""/>
    <s v="BSD"/>
    <s v="BSD"/>
    <x v="0"/>
    <x v="4"/>
    <x v="32"/>
    <s v="542- Les BSD ont la compétence d’élaborer, de suivre et d’évaluer les plans de développement"/>
    <x v="379"/>
    <s v="54234-Elaboration systématique de rapport d'achèvement des projets (en cours de mise en œuvre au MENA)"/>
  </r>
  <r>
    <s v="Elaboration systématique de rapport d'achèvement des projets (en cours de mise en œuvre au MESRS)"/>
    <s v="pm"/>
    <s v="sif"/>
    <n v="0"/>
    <n v="1"/>
    <n v="1"/>
    <n v="1"/>
    <n v="3"/>
    <n v="0"/>
    <n v="0"/>
    <n v="0"/>
    <n v="0"/>
    <n v="0"/>
    <m/>
    <x v="2"/>
    <s v="Tranvsal_secteur"/>
    <s v=""/>
    <s v="BSD"/>
    <s v="BSD"/>
    <x v="2"/>
    <x v="4"/>
    <x v="32"/>
    <s v="542- Les BSD ont la compétence d’élaborer, de suivre et d’évaluer les plans de développement"/>
    <x v="379"/>
    <s v="54235-Elaboration systématique de rapport d'achèvement des projets (en cours de mise en œuvre au MESRS)"/>
  </r>
  <r>
    <s v="Elaboration systématique de rapport d'achèvement des projets (en cours de mise en œuvre au METFP)"/>
    <s v="pm"/>
    <s v="sif"/>
    <n v="0"/>
    <n v="1"/>
    <n v="1"/>
    <n v="1"/>
    <n v="3"/>
    <n v="0"/>
    <n v="0"/>
    <n v="0"/>
    <n v="0"/>
    <n v="0"/>
    <m/>
    <x v="2"/>
    <s v="Tranvsal_secteur"/>
    <s v=""/>
    <s v="BSD"/>
    <s v="BSD"/>
    <x v="1"/>
    <x v="4"/>
    <x v="32"/>
    <s v="542- Les BSD ont la compétence d’élaborer, de suivre et d’évaluer les plans de développement"/>
    <x v="379"/>
    <s v="54236-Elaboration systématique de rapport d'achèvement des projets (en cours de mise en œuvre au METFP)"/>
  </r>
  <r>
    <s v=" Gestion des RH (recrutement, affectation, motivation, fidélisation, gestion de carrières…)"/>
    <m/>
    <m/>
    <n v="0"/>
    <m/>
    <m/>
    <m/>
    <m/>
    <m/>
    <m/>
    <m/>
    <m/>
    <m/>
    <m/>
    <x v="0"/>
    <m/>
    <m/>
    <m/>
    <m/>
    <x v="3"/>
    <x v="4"/>
    <x v="33"/>
    <s v="55- Gestion des RH (recrutement, affectation, motivation, fidélisation, gestion de carrières…)"/>
    <x v="380"/>
    <s v="55- Gestion des RH (recrutement, affectation, motivation, fidélisation, gestion de carrières…)"/>
  </r>
  <r>
    <s v=" Assainissement et harmonisation des bases de données sur les personnels"/>
    <m/>
    <m/>
    <n v="0"/>
    <m/>
    <m/>
    <m/>
    <m/>
    <m/>
    <m/>
    <m/>
    <m/>
    <m/>
    <m/>
    <x v="0"/>
    <m/>
    <m/>
    <m/>
    <m/>
    <x v="3"/>
    <x v="4"/>
    <x v="33"/>
    <s v="551- Assainissement et harmonisation des bases de données sur les personnels"/>
    <x v="381"/>
    <s v="551- Assainissement et harmonisation des bases de données sur les personnels"/>
  </r>
  <r>
    <s v="Développement d'un dispositif cohérent d'assainissement et d'harmonisation des bases de données existantes (Analyse des bases de données existantes et leur harmonisation MENA)"/>
    <m/>
    <m/>
    <n v="0"/>
    <m/>
    <m/>
    <m/>
    <m/>
    <m/>
    <m/>
    <m/>
    <m/>
    <m/>
    <m/>
    <x v="0"/>
    <m/>
    <m/>
    <m/>
    <m/>
    <x v="3"/>
    <x v="4"/>
    <x v="33"/>
    <s v="551- Assainissement et harmonisation des bases de données sur les personnels"/>
    <x v="382"/>
    <s v="5511-Développement d'un dispositif cohérent d'assainissement et d'harmonisation des bases de données existantes (Analyse des bases de données existantes et leur harmonisation MENA)"/>
  </r>
  <r>
    <s v="Elaboration des protocoles de mise à jour de la BD, d’harmonisation avec les BD FP et Solde et d’identification/d’assainissement des anomalies ainsi que de la correction"/>
    <s v="atelier"/>
    <s v="h/j/ap"/>
    <n v="0"/>
    <m/>
    <m/>
    <m/>
    <n v="0"/>
    <n v="0.255"/>
    <n v="0"/>
    <n v="0"/>
    <n v="0"/>
    <n v="0"/>
    <n v="0"/>
    <x v="8"/>
    <s v="Tranvsal_secteur"/>
    <s v="3. Dépenses de fonctionnement"/>
    <s v="DRH"/>
    <s v="DRH"/>
    <x v="0"/>
    <x v="4"/>
    <x v="33"/>
    <s v="551- Assainissement et harmonisation des bases de données sur les personnels"/>
    <x v="382"/>
    <s v="55111-Elaboration des protocoles de mise à jour de la BD, d’harmonisation avec les BD FP et Solde et d’identification/d’assainissement des anomalies ainsi que de la correction"/>
  </r>
  <r>
    <s v="Elaboration des protocoles de mise à jour de la BD, d’harmonisation avec les BD FP et Solde et d’identification/d’assainissement des anomalies ainsi que de la correction"/>
    <s v="atelier"/>
    <s v="h/j/ap"/>
    <n v="0"/>
    <m/>
    <n v="175"/>
    <m/>
    <n v="175"/>
    <n v="0.255"/>
    <n v="0"/>
    <n v="0"/>
    <n v="44.625"/>
    <n v="0"/>
    <n v="44.625"/>
    <x v="1"/>
    <s v="Tranvsal_secteur"/>
    <s v="3. Dépenses de fonctionnement"/>
    <s v="DRH"/>
    <s v="DRH"/>
    <x v="0"/>
    <x v="4"/>
    <x v="33"/>
    <s v="551- Assainissement et harmonisation des bases de données sur les personnels"/>
    <x v="382"/>
    <s v="55111-Elaboration des protocoles de mise à jour de la BD, d’harmonisation avec les BD FP et Solde et d’identification/d’assainissement des anomalies ainsi que de la correction"/>
  </r>
  <r>
    <s v="Identification et correction des incohérences sur les données en lien avec les travaux sur le SIGE (pris en compte dans activité 53414)"/>
    <s v="pm"/>
    <s v="sif"/>
    <n v="0"/>
    <m/>
    <n v="1"/>
    <m/>
    <n v="1"/>
    <n v="0"/>
    <n v="0"/>
    <n v="0"/>
    <n v="0"/>
    <n v="0"/>
    <m/>
    <x v="2"/>
    <s v="Tranvsal_secteur"/>
    <s v=""/>
    <s v="DRH"/>
    <s v="DRH"/>
    <x v="0"/>
    <x v="4"/>
    <x v="33"/>
    <s v="551- Assainissement et harmonisation des bases de données sur les personnels"/>
    <x v="382"/>
    <s v="55112-Identification et correction des incohérences sur les données en lien avec les travaux sur le SIGE (pris en compte dans activité 53414)"/>
  </r>
  <r>
    <s v="Collecte des données complémentaires sur les personnels"/>
    <s v="Missions"/>
    <s v="h/j/m"/>
    <n v="0"/>
    <m/>
    <n v="160"/>
    <m/>
    <n v="160"/>
    <n v="0.8177777777777776"/>
    <n v="0"/>
    <n v="0"/>
    <n v="130.84444444444441"/>
    <n v="0"/>
    <n v="130.84444444444441"/>
    <x v="1"/>
    <s v="Tranvsal_secteur"/>
    <s v="3. Dépenses de fonctionnement"/>
    <s v="DRH"/>
    <s v="DRH"/>
    <x v="0"/>
    <x v="4"/>
    <x v="33"/>
    <s v="551- Assainissement et harmonisation des bases de données sur les personnels"/>
    <x v="382"/>
    <s v="55113-Collecte des données complémentaires sur les personnels"/>
  </r>
  <r>
    <s v="intégration des données complémentaires sur les personnels"/>
    <s v="atelier"/>
    <s v="h/j/ap"/>
    <n v="0"/>
    <m/>
    <n v="60"/>
    <m/>
    <n v="60"/>
    <n v="0.255"/>
    <n v="0"/>
    <n v="0"/>
    <n v="15.3"/>
    <n v="0"/>
    <n v="15.3"/>
    <x v="1"/>
    <s v="Tranvsal_secteur"/>
    <s v="3. Dépenses de fonctionnement"/>
    <s v="DRH"/>
    <s v="DRH"/>
    <x v="0"/>
    <x v="4"/>
    <x v="33"/>
    <s v="551- Assainissement et harmonisation des bases de données sur les personnels"/>
    <x v="382"/>
    <s v="55114-intégration des données complémentaires sur les personnels"/>
  </r>
  <r>
    <s v="Partage et validation des résultats de l'harmonisation des bases de données"/>
    <s v="Ateliers"/>
    <s v="h/j/a"/>
    <n v="0"/>
    <m/>
    <n v="40"/>
    <m/>
    <n v="40"/>
    <n v="0.3133333333333333"/>
    <n v="0"/>
    <n v="0"/>
    <n v="12.533333333333331"/>
    <n v="0"/>
    <n v="12.533333333333331"/>
    <x v="1"/>
    <s v="Tranvsal_secteur"/>
    <s v="3. Formation"/>
    <s v="DRH"/>
    <s v="DRH"/>
    <x v="0"/>
    <x v="4"/>
    <x v="33"/>
    <s v="551- Assainissement et harmonisation des bases de données sur les personnels"/>
    <x v="382"/>
    <s v="55115-Partage et validation des résultats de l'harmonisation des bases de données"/>
  </r>
  <r>
    <s v="Conception d'un système intégré d'information"/>
    <m/>
    <m/>
    <n v="0"/>
    <m/>
    <m/>
    <m/>
    <m/>
    <m/>
    <m/>
    <m/>
    <m/>
    <m/>
    <m/>
    <x v="0"/>
    <m/>
    <m/>
    <m/>
    <m/>
    <x v="3"/>
    <x v="4"/>
    <x v="33"/>
    <s v="551- Assainissement et harmonisation des bases de données sur les personnels"/>
    <x v="383"/>
    <s v="5512-Conception d'un système intégré d'information"/>
  </r>
  <r>
    <s v="Acquisition de matériels informatiques et accessoires (ordinateurs fixes) sur la base des travaux sur le SIGE"/>
    <s v="Matériel informatique"/>
    <s v="poste de travail"/>
    <n v="0"/>
    <m/>
    <n v="12"/>
    <m/>
    <n v="12"/>
    <n v="10.034934666666667"/>
    <n v="0"/>
    <n v="0"/>
    <n v="120.41921600000001"/>
    <n v="0"/>
    <n v="120.41921600000001"/>
    <x v="1"/>
    <s v="Tranvsal_secteur"/>
    <s v="5. Investissement"/>
    <s v="DRH"/>
    <s v="DAF"/>
    <x v="0"/>
    <x v="4"/>
    <x v="33"/>
    <s v="551- Assainissement et harmonisation des bases de données sur les personnels"/>
    <x v="383"/>
    <s v="55121-Acquisition de matériels informatiques et accessoires (ordinateurs fixes) sur la base des travaux sur le SIGE"/>
  </r>
  <r>
    <s v="Acquisition de matériels informatiques et accessoires (ordinateurs portables) sur la base des travaux sur le SIGE"/>
    <s v="Matériel informatique"/>
    <s v="ordin/portable"/>
    <n v="0"/>
    <m/>
    <n v="6"/>
    <m/>
    <n v="6"/>
    <n v="6.333333333333333"/>
    <n v="0"/>
    <n v="0"/>
    <n v="38"/>
    <n v="0"/>
    <n v="38"/>
    <x v="1"/>
    <s v="Tranvsal_secteur"/>
    <s v="5. Investissement"/>
    <s v="DRH"/>
    <s v="DAF"/>
    <x v="0"/>
    <x v="4"/>
    <x v="33"/>
    <s v="551- Assainissement et harmonisation des bases de données sur les personnels"/>
    <x v="383"/>
    <s v="55122-Acquisition de matériels informatiques et accessoires (ordinateurs portables) sur la base des travaux sur le SIGE"/>
  </r>
  <r>
    <s v="Acquisition de matériels informatiques (serveur)"/>
    <s v="Matériel informatique"/>
    <s v="Serveur"/>
    <n v="0"/>
    <m/>
    <n v="1"/>
    <m/>
    <n v="1"/>
    <n v="30"/>
    <n v="0"/>
    <n v="0"/>
    <n v="30"/>
    <n v="0"/>
    <n v="30"/>
    <x v="1"/>
    <s v="Tranvsal_secteur"/>
    <s v="5. Investissement"/>
    <s v="DRH"/>
    <s v="DAF"/>
    <x v="0"/>
    <x v="4"/>
    <x v="33"/>
    <s v="551- Assainissement et harmonisation des bases de données sur les personnels"/>
    <x v="383"/>
    <s v="55123-Acquisition de matériels informatiques (serveur)"/>
  </r>
  <r>
    <s v="Accès stable à internet de la GRH"/>
    <s v="abonnement annuel"/>
    <s v="abon/an"/>
    <n v="0"/>
    <n v="1"/>
    <n v="1"/>
    <n v="1"/>
    <n v="3"/>
    <n v="24"/>
    <n v="0"/>
    <n v="24"/>
    <n v="24"/>
    <n v="24"/>
    <n v="72"/>
    <x v="1"/>
    <s v="Tranvsal_secteur"/>
    <s v="3. Dépenses de fonctionnement"/>
    <s v="DRH"/>
    <s v="DAF"/>
    <x v="0"/>
    <x v="4"/>
    <x v="33"/>
    <s v="551- Assainissement et harmonisation des bases de données sur les personnels"/>
    <x v="383"/>
    <s v="55124-Accès stable à internet de la GRH"/>
  </r>
  <r>
    <s v="Formation des gestionnaires et utilisateurs des bases à leur exploitation"/>
    <m/>
    <m/>
    <n v="0"/>
    <m/>
    <m/>
    <m/>
    <m/>
    <m/>
    <m/>
    <m/>
    <m/>
    <m/>
    <m/>
    <x v="0"/>
    <m/>
    <m/>
    <m/>
    <m/>
    <x v="3"/>
    <x v="4"/>
    <x v="33"/>
    <s v="551- Assainissement et harmonisation des bases de données sur les personnels"/>
    <x v="384"/>
    <s v="5513-Formation des gestionnaires et utilisateurs des bases à leur exploitation"/>
  </r>
  <r>
    <s v="voir activités 53126 et 53127"/>
    <m/>
    <m/>
    <n v="0"/>
    <m/>
    <m/>
    <m/>
    <m/>
    <s v=""/>
    <m/>
    <m/>
    <m/>
    <m/>
    <m/>
    <x v="2"/>
    <s v="Tranvsal_secteur"/>
    <s v=""/>
    <s v="BSD"/>
    <s v="BSD"/>
    <x v="0"/>
    <x v="4"/>
    <x v="33"/>
    <s v="551- Assainissement et harmonisation des bases de données sur les personnels"/>
    <x v="384"/>
    <s v="-voir activités 53126 et 53127"/>
  </r>
  <r>
    <s v=" La politique nationale de la question enseignante est déFinie, validée et progressivement mise en œuvre "/>
    <m/>
    <m/>
    <n v="0"/>
    <m/>
    <m/>
    <m/>
    <m/>
    <m/>
    <m/>
    <m/>
    <m/>
    <m/>
    <m/>
    <x v="0"/>
    <m/>
    <m/>
    <m/>
    <m/>
    <x v="3"/>
    <x v="4"/>
    <x v="33"/>
    <s v="552- La politique nationale de la question enseignante est définie, validée et progressivement mise en œuvre "/>
    <x v="385"/>
    <s v="552- La politique nationale de la question enseignante est déFinie, validée et progressivement mise en œuvre "/>
  </r>
  <r>
    <s v="Elaboration d'un état des lieux de la gestion des enseigants du primaire"/>
    <m/>
    <m/>
    <n v="0"/>
    <m/>
    <m/>
    <m/>
    <m/>
    <m/>
    <m/>
    <m/>
    <m/>
    <m/>
    <m/>
    <x v="0"/>
    <m/>
    <m/>
    <m/>
    <m/>
    <x v="3"/>
    <x v="4"/>
    <x v="33"/>
    <s v="552- La politique nationale de la question enseignante est définie, validée et progressivement mise en œuvre "/>
    <x v="386"/>
    <s v="5521-Elaboration d'un état des lieux de la gestion des enseigants du primaire"/>
  </r>
  <r>
    <s v="Etude sur la gestion des enseignants au primaire"/>
    <s v="étude"/>
    <s v="forfait /GRH"/>
    <n v="0"/>
    <m/>
    <m/>
    <m/>
    <n v="0"/>
    <n v="1207.5"/>
    <n v="0"/>
    <n v="0"/>
    <n v="0"/>
    <n v="0"/>
    <n v="0"/>
    <x v="12"/>
    <s v="Tranvsal_secteur"/>
    <s v="3. Dépenses de fonctionnement"/>
    <s v="DRH"/>
    <s v="DRH"/>
    <x v="0"/>
    <x v="4"/>
    <x v="33"/>
    <s v="552- La politique nationale de la question enseignante est définie, validée et progressivement mise en œuvre "/>
    <x v="386"/>
    <s v="55211-Etude sur la gestion des enseignants au primaire"/>
  </r>
  <r>
    <s v="vulgarisation des résultats de l'étude sur la gestion des enseignants au primaire"/>
    <s v="atelier"/>
    <s v="h/j/a"/>
    <n v="0"/>
    <m/>
    <n v="1"/>
    <n v="1"/>
    <n v="2"/>
    <n v="0.3133333333333333"/>
    <n v="0"/>
    <n v="0"/>
    <n v="0.3133333333333333"/>
    <n v="0.3133333333333333"/>
    <n v="0.62666666666666659"/>
    <x v="13"/>
    <s v="Tranvsal_secteur"/>
    <s v="3. Formation"/>
    <s v="IGE"/>
    <s v="IGE"/>
    <x v="0"/>
    <x v="4"/>
    <x v="33"/>
    <s v="552- La politique nationale de la question enseignante est définie, validée et progressivement mise en œuvre "/>
    <x v="386"/>
    <s v="55212-vulgarisation des résultats de l'étude sur la gestion des enseignants au primaire"/>
  </r>
  <r>
    <s v="Développement et validation de la politique nationale des enseigants"/>
    <m/>
    <m/>
    <n v="0"/>
    <m/>
    <m/>
    <m/>
    <m/>
    <m/>
    <m/>
    <m/>
    <m/>
    <m/>
    <m/>
    <x v="0"/>
    <m/>
    <m/>
    <m/>
    <m/>
    <x v="3"/>
    <x v="4"/>
    <x v="33"/>
    <s v="552- La politique nationale de la question enseignante est définie, validée et progressivement mise en œuvre "/>
    <x v="387"/>
    <s v="5522-Développement et validation de la politique nationale des enseigants"/>
  </r>
  <r>
    <s v="Elaboration, validation et dissémination de la politique holistique sur la profession enseignante"/>
    <s v="forfait"/>
    <s v="doc/pol"/>
    <n v="0"/>
    <m/>
    <m/>
    <m/>
    <n v="0"/>
    <n v="1006.58635"/>
    <n v="0"/>
    <n v="0"/>
    <n v="0"/>
    <n v="0"/>
    <n v="0"/>
    <x v="11"/>
    <s v="Tranvsal_secteur"/>
    <s v="3. Dépenses de fonctionnement"/>
    <s v="IGE"/>
    <s v="IGE"/>
    <x v="0"/>
    <x v="4"/>
    <x v="33"/>
    <s v="552- La politique nationale de la question enseignante est définie, validée et progressivement mise en œuvre "/>
    <x v="387"/>
    <s v="55221-Elaboration, validation et dissémination de la politique holistique sur la profession enseignante"/>
  </r>
  <r>
    <s v="Elaboration, validation et dissémination de la politique holistique sur la profession enseignante"/>
    <s v="forfait"/>
    <s v="doc/pol"/>
    <n v="0"/>
    <m/>
    <m/>
    <m/>
    <n v="0"/>
    <n v="1006.58635"/>
    <n v="0"/>
    <n v="0"/>
    <n v="0"/>
    <n v="0"/>
    <n v="0"/>
    <x v="8"/>
    <s v="Tranvsal_secteur"/>
    <s v="3. Dépenses de fonctionnement"/>
    <s v="IGE"/>
    <s v="IGE"/>
    <x v="0"/>
    <x v="4"/>
    <x v="33"/>
    <s v="552- La politique nationale de la question enseignante est définie, validée et progressivement mise en œuvre "/>
    <x v="387"/>
    <s v="55221-Elaboration, validation et dissémination de la politique holistique sur la profession enseignante"/>
  </r>
  <r>
    <s v="Mettre en place les conditions nécessaires pour rendre attractive le métier d'enseignant"/>
    <m/>
    <m/>
    <n v="0"/>
    <m/>
    <m/>
    <m/>
    <m/>
    <m/>
    <m/>
    <m/>
    <m/>
    <m/>
    <m/>
    <x v="0"/>
    <m/>
    <m/>
    <m/>
    <m/>
    <x v="3"/>
    <x v="4"/>
    <x v="33"/>
    <s v="552- La politique nationale de la question enseignante est définie, validée et progressivement mise en œuvre "/>
    <x v="388"/>
    <s v="5523-Mettre en place les conditions nécessaires pour rendre attractive le métier d'enseignant"/>
  </r>
  <r>
    <s v="Identification des pistes et des canaux pour renforcer l'attractivité de la fonction enseignante (en lien avec la politique nationale)"/>
    <s v="travaux administratifs"/>
    <s v="sif"/>
    <n v="0"/>
    <n v="1"/>
    <n v="1"/>
    <n v="1"/>
    <n v="3"/>
    <n v="0"/>
    <n v="0"/>
    <n v="0"/>
    <n v="0"/>
    <n v="0"/>
    <m/>
    <x v="2"/>
    <s v="Tranvsal_secteur"/>
    <s v=""/>
    <s v="IGE"/>
    <s v="IGE"/>
    <x v="0"/>
    <x v="4"/>
    <x v="33"/>
    <s v="552- La politique nationale de la question enseignante est définie, validée et progressivement mise en œuvre "/>
    <x v="388"/>
    <s v="55231-Identification des pistes et des canaux pour renforcer l'attractivité de la fonction enseignante (en lien avec la politique nationale)"/>
  </r>
  <r>
    <s v="Concertation sur les pistes prioritaires d'intervention"/>
    <s v="atelier "/>
    <s v="h/j/a"/>
    <n v="0"/>
    <n v="150"/>
    <m/>
    <m/>
    <n v="150"/>
    <n v="0.3133333333333333"/>
    <n v="0"/>
    <n v="46.999999999999993"/>
    <n v="0"/>
    <n v="0"/>
    <n v="46.999999999999993"/>
    <x v="13"/>
    <s v="Tranvsal_secteur"/>
    <s v="3. Formation"/>
    <s v="IGE"/>
    <s v="IGE"/>
    <x v="0"/>
    <x v="4"/>
    <x v="33"/>
    <s v="552- La politique nationale de la question enseignante est définie, validée et progressivement mise en œuvre "/>
    <x v="388"/>
    <s v="55232-Concertation sur les pistes prioritaires d'intervention"/>
  </r>
  <r>
    <s v=" Les procédures et critères de recrutement sont déFinis et respectés"/>
    <m/>
    <m/>
    <n v="0"/>
    <m/>
    <m/>
    <m/>
    <m/>
    <m/>
    <m/>
    <m/>
    <m/>
    <m/>
    <m/>
    <x v="0"/>
    <m/>
    <m/>
    <m/>
    <m/>
    <x v="3"/>
    <x v="4"/>
    <x v="33"/>
    <s v="553- Les procédures et critères de recrutement sont définis et respectés"/>
    <x v="389"/>
    <s v="553- Les procédures et critères de recrutement sont déFinis et respectés"/>
  </r>
  <r>
    <s v="Développement de procédures et critères de recrutement par poste"/>
    <m/>
    <m/>
    <n v="0"/>
    <m/>
    <m/>
    <m/>
    <m/>
    <m/>
    <m/>
    <m/>
    <m/>
    <m/>
    <m/>
    <x v="0"/>
    <m/>
    <m/>
    <m/>
    <m/>
    <x v="3"/>
    <x v="4"/>
    <x v="33"/>
    <s v="553- Les procédures et critères de recrutement sont définis et respectés"/>
    <x v="390"/>
    <s v="5531-Développement de procédures et critères de recrutement par poste"/>
  </r>
  <r>
    <s v="Elaboration des textes réglementaires d'application du décret relatif au recrutement des personnels enseignants"/>
    <s v="Ateliers"/>
    <s v="h/j/ap"/>
    <n v="0"/>
    <n v="140"/>
    <m/>
    <m/>
    <n v="140"/>
    <n v="0.255"/>
    <n v="0"/>
    <n v="35.700000000000003"/>
    <n v="0"/>
    <n v="0"/>
    <n v="35.700000000000003"/>
    <x v="1"/>
    <s v="Tranvsal_secteur"/>
    <s v="3. Dépenses de fonctionnement"/>
    <s v="DRH"/>
    <s v="DRH"/>
    <x v="0"/>
    <x v="4"/>
    <x v="33"/>
    <s v="553- Les procédures et critères de recrutement sont définis et respectés"/>
    <x v="390"/>
    <s v="55311-Elaboration des textes réglementaires d'application du décret relatif au recrutement des personnels enseignants"/>
  </r>
  <r>
    <s v="Partage et validation des textes rédigés"/>
    <s v="Ateliers"/>
    <s v="h/j/a"/>
    <n v="0"/>
    <n v="50"/>
    <m/>
    <m/>
    <n v="50"/>
    <n v="0.3133333333333333"/>
    <n v="0"/>
    <n v="15.666666666666664"/>
    <n v="0"/>
    <n v="0"/>
    <n v="15.666666666666664"/>
    <x v="1"/>
    <s v="Tranvsal_secteur"/>
    <s v="3. Formation"/>
    <s v="DRH"/>
    <s v="DRH"/>
    <x v="0"/>
    <x v="4"/>
    <x v="33"/>
    <s v="553- Les procédures et critères de recrutement sont définis et respectés"/>
    <x v="390"/>
    <s v="55312-Partage et validation des textes rédigés"/>
  </r>
  <r>
    <s v="Reprographie des textes règlementaires"/>
    <s v="Impression"/>
    <s v="imp"/>
    <n v="0"/>
    <n v="2845"/>
    <m/>
    <m/>
    <n v="2845"/>
    <n v="7.4999999999999997E-3"/>
    <n v="0"/>
    <n v="21.337499999999999"/>
    <n v="0"/>
    <n v="0"/>
    <n v="21.337499999999999"/>
    <x v="1"/>
    <s v="Tranvsal_secteur"/>
    <s v="3. Dépenses de fonctionnement"/>
    <s v="DRH"/>
    <s v="DRH"/>
    <x v="0"/>
    <x v="4"/>
    <x v="33"/>
    <s v="553- Les procédures et critères de recrutement sont définis et respectés"/>
    <x v="390"/>
    <s v="55313-Reprographie des textes règlementaires"/>
  </r>
  <r>
    <s v="Dissémination des textes dans toutes les structures pour application"/>
    <s v="pm"/>
    <s v="sif"/>
    <n v="0"/>
    <n v="1"/>
    <n v="1"/>
    <m/>
    <n v="2"/>
    <n v="0"/>
    <n v="0"/>
    <n v="0"/>
    <n v="0"/>
    <n v="0"/>
    <m/>
    <x v="2"/>
    <s v="Tranvsal_secteur"/>
    <s v=""/>
    <s v="DRH"/>
    <s v="DRH"/>
    <x v="0"/>
    <x v="4"/>
    <x v="33"/>
    <s v="553- Les procédures et critères de recrutement sont définis et respectés"/>
    <x v="390"/>
    <s v="55314-Dissémination des textes dans toutes les structures pour application"/>
  </r>
  <r>
    <s v="Sensibilisation des acteurs et partenaires sur les procédures et critères de recrutement par poste"/>
    <m/>
    <m/>
    <n v="0"/>
    <m/>
    <m/>
    <m/>
    <m/>
    <m/>
    <m/>
    <m/>
    <m/>
    <m/>
    <m/>
    <x v="0"/>
    <m/>
    <m/>
    <m/>
    <m/>
    <x v="3"/>
    <x v="4"/>
    <x v="33"/>
    <s v="553- Les procédures et critères de recrutement sont définis et respectés"/>
    <x v="391"/>
    <s v="5532-Sensibilisation des acteurs et partenaires sur les procédures et critères de recrutement par poste"/>
  </r>
  <r>
    <s v="Organisation de campagnes d'information et de sensibilisation des acteurs et partenaires sociaux sur les procédures et critères de recrutement sur poste"/>
    <s v="Missions"/>
    <s v="h/j/m"/>
    <n v="0"/>
    <m/>
    <n v="96"/>
    <m/>
    <n v="96"/>
    <n v="0.8177777777777776"/>
    <n v="0"/>
    <n v="0"/>
    <n v="78.506666666666646"/>
    <n v="0"/>
    <n v="78.506666666666646"/>
    <x v="1"/>
    <s v="Tranvsal_secteur"/>
    <s v="3. Dépenses de fonctionnement"/>
    <s v="DRH"/>
    <s v="DRH"/>
    <x v="0"/>
    <x v="4"/>
    <x v="33"/>
    <s v="553- Les procédures et critères de recrutement sont définis et respectés"/>
    <x v="391"/>
    <s v="55321-Organisation de campagnes d'information et de sensibilisation des acteurs et partenaires sociaux sur les procédures et critères de recrutement sur poste"/>
  </r>
  <r>
    <s v="Publication régulière d’informations sur le profil des recrutés et le respect des procédures"/>
    <m/>
    <m/>
    <n v="0"/>
    <m/>
    <m/>
    <m/>
    <m/>
    <m/>
    <m/>
    <m/>
    <m/>
    <m/>
    <m/>
    <x v="0"/>
    <m/>
    <m/>
    <m/>
    <m/>
    <x v="3"/>
    <x v="4"/>
    <x v="33"/>
    <s v="553- Les procédures et critères de recrutement sont définis et respectés"/>
    <x v="392"/>
    <s v="5533-Publication régulière d’informations sur le profil des recrutés et le respect des procédures"/>
  </r>
  <r>
    <s v="Description des profils recherchés"/>
    <s v="travaux administratifs"/>
    <s v="sif"/>
    <n v="0"/>
    <n v="1"/>
    <n v="1"/>
    <m/>
    <n v="2"/>
    <n v="0"/>
    <n v="0"/>
    <n v="0"/>
    <n v="0"/>
    <n v="0"/>
    <m/>
    <x v="2"/>
    <s v="Tranvsal_secteur"/>
    <s v=""/>
    <s v="DRH"/>
    <s v="DRH"/>
    <x v="0"/>
    <x v="4"/>
    <x v="33"/>
    <s v="553- Les procédures et critères de recrutement sont définis et respectés"/>
    <x v="392"/>
    <s v="55331-Description des profils recherchés"/>
  </r>
  <r>
    <s v="Identification des postes à pourvoir"/>
    <s v="travaux administratifs"/>
    <s v="sif"/>
    <n v="0"/>
    <n v="1"/>
    <n v="1"/>
    <n v="1"/>
    <n v="3"/>
    <n v="0"/>
    <n v="0"/>
    <n v="0"/>
    <n v="0"/>
    <n v="0"/>
    <m/>
    <x v="2"/>
    <s v="Tranvsal_secteur"/>
    <s v=""/>
    <s v="DRH"/>
    <s v="DRH"/>
    <x v="0"/>
    <x v="4"/>
    <x v="33"/>
    <s v="553- Les procédures et critères de recrutement sont définis et respectés"/>
    <x v="392"/>
    <s v="55332-Identification des postes à pourvoir"/>
  </r>
  <r>
    <s v="Diffusion des besoins et des critères de candidature"/>
    <s v="travaux administratifs"/>
    <s v="sif"/>
    <n v="0"/>
    <n v="1"/>
    <n v="1"/>
    <n v="1"/>
    <n v="3"/>
    <n v="0"/>
    <n v="0"/>
    <n v="0"/>
    <n v="0"/>
    <n v="0"/>
    <m/>
    <x v="2"/>
    <s v="Tranvsal_secteur"/>
    <s v=""/>
    <s v="DRH"/>
    <s v="DRH"/>
    <x v="0"/>
    <x v="4"/>
    <x v="33"/>
    <s v="553- Les procédures et critères de recrutement sont définis et respectés"/>
    <x v="392"/>
    <s v="55333-Diffusion des besoins et des critères de candidature"/>
  </r>
  <r>
    <s v=" Les critères d’affectation sont clairement déFinis et respectés"/>
    <m/>
    <m/>
    <n v="0"/>
    <m/>
    <m/>
    <m/>
    <m/>
    <m/>
    <m/>
    <m/>
    <m/>
    <m/>
    <m/>
    <x v="0"/>
    <m/>
    <m/>
    <m/>
    <m/>
    <x v="3"/>
    <x v="4"/>
    <x v="33"/>
    <s v="554- Les critères d’affectation sont clairement définis et respectés"/>
    <x v="393"/>
    <s v="554- Les critères d’affectation sont clairement déFinis et respectés"/>
  </r>
  <r>
    <s v="Développement de procédures et critères d’affectation par poste"/>
    <m/>
    <m/>
    <n v="0"/>
    <m/>
    <m/>
    <m/>
    <m/>
    <m/>
    <m/>
    <m/>
    <m/>
    <m/>
    <m/>
    <x v="0"/>
    <m/>
    <m/>
    <m/>
    <m/>
    <x v="3"/>
    <x v="4"/>
    <x v="33"/>
    <s v="554- Les critères d’affectation sont clairement définis et respectés"/>
    <x v="394"/>
    <s v="5541-Développement de procédures et critères d’affectation par poste"/>
  </r>
  <r>
    <s v="Appui à la mise en œuvre du barème des mouvements de personnels"/>
    <s v="Ateliers"/>
    <s v="h/j/m"/>
    <n v="0"/>
    <m/>
    <m/>
    <m/>
    <n v="0"/>
    <n v="0.8177777777777776"/>
    <n v="0"/>
    <n v="0"/>
    <n v="0"/>
    <n v="0"/>
    <n v="0"/>
    <x v="8"/>
    <s v="Tranvsal_secteur"/>
    <s v="3. Dépenses de fonctionnement"/>
    <s v="DRH"/>
    <s v="DRH"/>
    <x v="0"/>
    <x v="4"/>
    <x v="33"/>
    <s v="554- Les critères d’affectation sont clairement définis et respectés"/>
    <x v="394"/>
    <s v="55411-Appui à la mise en œuvre du barème des mouvements de personnels"/>
  </r>
  <r>
    <s v="Amélioration du manuel de procédure d'application du barème des mouvements de personnels"/>
    <s v="Ateliers"/>
    <s v="h/j/ap"/>
    <n v="0"/>
    <n v="48"/>
    <m/>
    <m/>
    <n v="48"/>
    <n v="0.255"/>
    <n v="0"/>
    <n v="12.24"/>
    <n v="0"/>
    <n v="0"/>
    <n v="12.24"/>
    <x v="1"/>
    <s v="Tranvsal_secteur"/>
    <s v="3. Dépenses de fonctionnement"/>
    <s v="DRH"/>
    <s v="DRH"/>
    <x v="0"/>
    <x v="4"/>
    <x v="33"/>
    <s v="554- Les critères d’affectation sont clairement définis et respectés"/>
    <x v="394"/>
    <s v="55412-Amélioration du manuel de procédure d'application du barème des mouvements de personnels"/>
  </r>
  <r>
    <s v="Vulgarisation du manuel"/>
    <s v="impression"/>
    <s v="IMP"/>
    <n v="0"/>
    <n v="426"/>
    <m/>
    <m/>
    <n v="426"/>
    <n v="7.4999999999999997E-3"/>
    <n v="0"/>
    <n v="3.1949999999999998"/>
    <n v="0"/>
    <n v="0"/>
    <n v="3.1949999999999998"/>
    <x v="1"/>
    <s v="Tranvsal_secteur"/>
    <s v="3. Dépenses de fonctionnement"/>
    <s v="DRH"/>
    <s v="DRH"/>
    <x v="0"/>
    <x v="4"/>
    <x v="33"/>
    <s v="554- Les critères d’affectation sont clairement définis et respectés"/>
    <x v="394"/>
    <s v="55413-Vulgarisation du manuel"/>
  </r>
  <r>
    <s v="formation sur le manuel de procédure d'application du barème des mouvements de personnels"/>
    <s v="Atelier"/>
    <s v="h/j/a"/>
    <n v="0"/>
    <n v="288"/>
    <m/>
    <m/>
    <n v="288"/>
    <n v="0.3133333333333333"/>
    <n v="0"/>
    <n v="90.24"/>
    <n v="0"/>
    <n v="0"/>
    <n v="90.24"/>
    <x v="1"/>
    <s v="Tranvsal_secteur"/>
    <s v="3. Formation"/>
    <s v="DRH"/>
    <s v="DRH"/>
    <x v="0"/>
    <x v="4"/>
    <x v="33"/>
    <s v="554- Les critères d’affectation sont clairement définis et respectés"/>
    <x v="394"/>
    <s v="55414-formation sur le manuel de procédure d'application du barème des mouvements de personnels"/>
  </r>
  <r>
    <s v="Application effective du dispositif du barème dans l'allocation des enseignants"/>
    <s v="travaux administratifs"/>
    <s v="sif"/>
    <n v="0"/>
    <n v="1"/>
    <n v="1"/>
    <n v="1"/>
    <n v="3"/>
    <n v="0"/>
    <n v="0"/>
    <n v="0"/>
    <n v="0"/>
    <n v="0"/>
    <m/>
    <x v="2"/>
    <s v="Tranvsal_secteur"/>
    <s v=""/>
    <s v="DRH"/>
    <s v="DRH"/>
    <x v="0"/>
    <x v="4"/>
    <x v="33"/>
    <s v="554- Les critères d’affectation sont clairement définis et respectés"/>
    <x v="394"/>
    <s v="55415-Application effective du dispositif du barème dans l'allocation des enseignants"/>
  </r>
  <r>
    <s v="Sensibilisation des acteurs et partenaires sur les procédures et critères d’affectation par poste"/>
    <m/>
    <m/>
    <n v="0"/>
    <m/>
    <m/>
    <m/>
    <m/>
    <m/>
    <m/>
    <m/>
    <m/>
    <m/>
    <m/>
    <x v="0"/>
    <m/>
    <m/>
    <m/>
    <m/>
    <x v="3"/>
    <x v="4"/>
    <x v="33"/>
    <s v="554- Les critères d’affectation sont clairement définis et respectés"/>
    <x v="395"/>
    <s v="5542-Sensibilisation des acteurs et partenaires sur les procédures et critères d’affectation par poste"/>
  </r>
  <r>
    <s v="Organisation des campagnes d'information sur le manuel de procédures d'application du barème au niveau central et déconcentré"/>
    <s v="Missions "/>
    <s v="h/j/m"/>
    <n v="0"/>
    <n v="160"/>
    <m/>
    <m/>
    <n v="160"/>
    <n v="0.8177777777777776"/>
    <n v="0"/>
    <n v="130.84444444444441"/>
    <n v="0"/>
    <n v="0"/>
    <n v="130.84444444444441"/>
    <x v="13"/>
    <s v="Tranvsal_secteur"/>
    <s v="3. Dépenses de fonctionnement"/>
    <s v="DRH"/>
    <s v="DRH"/>
    <x v="0"/>
    <x v="4"/>
    <x v="33"/>
    <s v="554- Les critères d’affectation sont clairement définis et respectés"/>
    <x v="395"/>
    <s v="55421-Organisation des campagnes d'information sur le manuel de procédures d'application du barème au niveau central et déconcentré"/>
  </r>
  <r>
    <s v="Publication régulière d’informations sur les affectations/mutations et le respect des procédures"/>
    <m/>
    <m/>
    <n v="0"/>
    <m/>
    <m/>
    <m/>
    <m/>
    <m/>
    <m/>
    <m/>
    <m/>
    <m/>
    <m/>
    <x v="0"/>
    <m/>
    <m/>
    <m/>
    <m/>
    <x v="3"/>
    <x v="4"/>
    <x v="33"/>
    <s v="554- Les critères d’affectation sont clairement définis et respectés"/>
    <x v="396"/>
    <s v="5543-Publication régulière d’informations sur les affectations/mutations et le respect des procédures"/>
  </r>
  <r>
    <s v="Rédaction d'un bulletin semestriel d'information sur les affectations/mutations et le respect des procédures"/>
    <s v="Ateliers"/>
    <s v="h/j/ap"/>
    <n v="0"/>
    <n v="80"/>
    <n v="80"/>
    <n v="80"/>
    <n v="240"/>
    <n v="0.255"/>
    <n v="0"/>
    <n v="20.399999999999999"/>
    <n v="20.399999999999999"/>
    <n v="20.399999999999999"/>
    <n v="61.199999999999996"/>
    <x v="13"/>
    <s v="Tranvsal_secteur"/>
    <s v="3. Dépenses de fonctionnement"/>
    <s v="DRH"/>
    <s v="DRH"/>
    <x v="0"/>
    <x v="4"/>
    <x v="33"/>
    <s v="554- Les critères d’affectation sont clairement définis et respectés"/>
    <x v="396"/>
    <s v="55431-Rédaction d'un bulletin semestriel d'information sur les affectations/mutations et le respect des procédures"/>
  </r>
  <r>
    <s v="Impression et diffusion du bulletin"/>
    <s v="Impression"/>
    <s v="imp"/>
    <n v="0"/>
    <n v="1666.6666666666667"/>
    <n v="1666.6666666666667"/>
    <n v="1666.6666666666667"/>
    <n v="5000"/>
    <n v="7.4999999999999997E-3"/>
    <n v="0"/>
    <n v="12.5"/>
    <n v="12.5"/>
    <n v="12.5"/>
    <n v="37.5"/>
    <x v="13"/>
    <s v="Tranvsal_secteur"/>
    <s v="3. Dépenses de fonctionnement"/>
    <s v="DRH"/>
    <s v="IDEC"/>
    <x v="0"/>
    <x v="4"/>
    <x v="33"/>
    <s v="554- Les critères d’affectation sont clairement définis et respectés"/>
    <x v="396"/>
    <s v="55432-Impression et diffusion du bulletin"/>
  </r>
  <r>
    <s v="Prise en charge des salaires du personnel administratif du MENA (niveau central et niveaux déconcentrés)"/>
    <s v="salaires"/>
    <s v="MS/MENA"/>
    <n v="0"/>
    <n v="0.912646993738505"/>
    <n v="0.99860226988838896"/>
    <n v="1.0887507363731099"/>
    <n v="3.0000000000000036"/>
    <n v="191872.63296795147"/>
    <n v="0"/>
    <n v="175111.98165889247"/>
    <n v="191604.44681125807"/>
    <n v="208901.47043370461"/>
    <n v="575617.89890385512"/>
    <x v="2"/>
    <s v="Tranvsal_secteur"/>
    <s v="2. Personnel"/>
    <s v="DRH"/>
    <s v="IDEC"/>
    <x v="0"/>
    <x v="4"/>
    <x v="33"/>
    <s v="554- Les critères d’affectation sont clairement définis et respectés"/>
    <x v="396"/>
    <s v="55433-Prise en charge des salaires du personnel administratif du MENA (niveau central et niveaux déconcentrés)"/>
  </r>
  <r>
    <s v="Prise en charge des salaires du personnel administratif du METFP (niveau central et niveaux déconcentrés)"/>
    <s v="salaires"/>
    <s v="MS/METFP"/>
    <n v="0"/>
    <n v="0.91153198421310699"/>
    <n v="1.0726779878967601"/>
    <n v="1.2785920764024299"/>
    <n v="3.262802048512297"/>
    <n v="14578.589454048"/>
    <n v="0"/>
    <n v="13288.85057207665"/>
    <n v="15638.132001941134"/>
    <n v="18640.068961069799"/>
    <n v="47567.051535087579"/>
    <x v="2"/>
    <s v="Tranvsal_secteur"/>
    <s v="2. Personnel"/>
    <s v="DRH"/>
    <s v="IDEC"/>
    <x v="0"/>
    <x v="4"/>
    <x v="33"/>
    <s v="554- Les critères d’affectation sont clairement définis et respectés"/>
    <x v="396"/>
    <s v="55434-Prise en charge des salaires du personnel administratif du METFP (niveau central et niveaux déconcentrés)"/>
  </r>
  <r>
    <s v="Missions de contrôle du respect des critères et procédures d’affectation"/>
    <m/>
    <m/>
    <n v="0"/>
    <m/>
    <m/>
    <m/>
    <m/>
    <m/>
    <m/>
    <m/>
    <m/>
    <m/>
    <m/>
    <x v="0"/>
    <m/>
    <m/>
    <m/>
    <m/>
    <x v="3"/>
    <x v="4"/>
    <x v="33"/>
    <s v="554- Les critères d’affectation sont clairement définis et respectés"/>
    <x v="397"/>
    <s v="5544-Missions de contrôle du respect des critères et procédures d’affectation"/>
  </r>
  <r>
    <s v="Organisation de missions de contrôle du respect des procédures au niveau déconcentré (IRE et DPE/DCE)"/>
    <s v="Missions "/>
    <s v="h/j/m"/>
    <n v="0"/>
    <n v="70"/>
    <n v="70"/>
    <n v="70"/>
    <n v="210"/>
    <n v="0.8177777777777776"/>
    <n v="0"/>
    <n v="57.244444444444433"/>
    <n v="57.244444444444433"/>
    <n v="57.244444444444433"/>
    <n v="171.73333333333329"/>
    <x v="13"/>
    <s v="Tranvsal_secteur"/>
    <s v="3. Dépenses de fonctionnement"/>
    <s v="DRH"/>
    <s v="IGE"/>
    <x v="0"/>
    <x v="4"/>
    <x v="33"/>
    <s v="554- Les critères d’affectation sont clairement définis et respectés"/>
    <x v="397"/>
    <s v="55441-Organisation de missions de contrôle du respect des procédures au niveau déconcentré (IRE et DPE/DCE)"/>
  </r>
  <r>
    <s v=" Un plan de carrière motivant est validé et utilisé dans le cadre de la gestion des carrières"/>
    <m/>
    <m/>
    <n v="0"/>
    <m/>
    <m/>
    <m/>
    <m/>
    <m/>
    <m/>
    <m/>
    <m/>
    <m/>
    <m/>
    <x v="0"/>
    <m/>
    <m/>
    <m/>
    <m/>
    <x v="3"/>
    <x v="4"/>
    <x v="33"/>
    <s v="555- Un plan de carrière motivant est validé et utilisé dans le cadre de la gestion des carrières"/>
    <x v="398"/>
    <s v="555- Un plan de carrière motivant est validé et utilisé dans le cadre de la gestion des carrières"/>
  </r>
  <r>
    <s v="Développement et validation du plan de carrière en collaboration avec le Ministère de la Fonction Publique et les partenaires sociaux"/>
    <m/>
    <m/>
    <n v="0"/>
    <m/>
    <m/>
    <m/>
    <m/>
    <m/>
    <m/>
    <m/>
    <m/>
    <m/>
    <m/>
    <x v="0"/>
    <m/>
    <m/>
    <m/>
    <m/>
    <x v="3"/>
    <x v="4"/>
    <x v="33"/>
    <s v="555- Un plan de carrière motivant est validé et utilisé dans le cadre de la gestion des carrières"/>
    <x v="399"/>
    <s v="5551-Développement et validation du plan de carrière en collaboration avec le Ministère de la Fonction Publique et les partenaires sociaux"/>
  </r>
  <r>
    <s v="Elaboration d'un plan de carrière du personnel enseignant"/>
    <s v="Texte"/>
    <s v="h/j/ap"/>
    <n v="0"/>
    <n v="200"/>
    <m/>
    <m/>
    <n v="200"/>
    <n v="0.255"/>
    <n v="0"/>
    <n v="51"/>
    <n v="0"/>
    <n v="0"/>
    <n v="51"/>
    <x v="13"/>
    <s v="Tranvsal_secteur"/>
    <s v="3. Dépenses de fonctionnement"/>
    <s v="DRH"/>
    <s v="DRH"/>
    <x v="0"/>
    <x v="4"/>
    <x v="33"/>
    <s v="555- Un plan de carrière motivant est validé et utilisé dans le cadre de la gestion des carrières"/>
    <x v="399"/>
    <s v="55511-Elaboration d'un plan de carrière du personnel enseignant"/>
  </r>
  <r>
    <s v="Révision des textes juridiques relatifs à la gestion de carrière concernant les enseignants"/>
    <s v="Texte"/>
    <s v="h/j/ap"/>
    <n v="0"/>
    <n v="40"/>
    <m/>
    <m/>
    <n v="40"/>
    <n v="0.255"/>
    <n v="0"/>
    <n v="10.199999999999999"/>
    <n v="0"/>
    <n v="0"/>
    <n v="10.199999999999999"/>
    <x v="13"/>
    <s v="Tranvsal_secteur"/>
    <s v="3. Dépenses de fonctionnement"/>
    <s v="DRH"/>
    <s v="DRH"/>
    <x v="0"/>
    <x v="4"/>
    <x v="33"/>
    <s v="555- Un plan de carrière motivant est validé et utilisé dans le cadre de la gestion des carrières"/>
    <x v="399"/>
    <s v="55512-Révision des textes juridiques relatifs à la gestion de carrière concernant les enseignants"/>
  </r>
  <r>
    <s v="Partage et validation du plan de carrière du personnel enseignant"/>
    <s v="Ateliers"/>
    <s v="h/j/ap"/>
    <n v="0"/>
    <n v="40"/>
    <m/>
    <m/>
    <n v="40"/>
    <n v="0.255"/>
    <n v="0"/>
    <n v="10.199999999999999"/>
    <n v="0"/>
    <n v="0"/>
    <n v="10.199999999999999"/>
    <x v="13"/>
    <s v="Tranvsal_secteur"/>
    <s v="3. Dépenses de fonctionnement"/>
    <s v="DRH"/>
    <s v="DRH"/>
    <x v="0"/>
    <x v="4"/>
    <x v="33"/>
    <s v="555- Un plan de carrière motivant est validé et utilisé dans le cadre de la gestion des carrières"/>
    <x v="399"/>
    <s v="55513-Partage et validation du plan de carrière du personnel enseignant"/>
  </r>
  <r>
    <s v="Sensibilisation et vulgarisation du plan de carrière auprès de tous les acteurs et partenaires concernés"/>
    <m/>
    <m/>
    <n v="0"/>
    <m/>
    <m/>
    <m/>
    <m/>
    <m/>
    <m/>
    <m/>
    <m/>
    <m/>
    <m/>
    <x v="0"/>
    <m/>
    <m/>
    <m/>
    <m/>
    <x v="3"/>
    <x v="4"/>
    <x v="33"/>
    <s v="555- Un plan de carrière motivant est validé et utilisé dans le cadre de la gestion des carrières"/>
    <x v="400"/>
    <s v="5552-Sensibilisation et vulgarisation du plan de carrière auprès de tous les acteurs et partenaires concernés"/>
  </r>
  <r>
    <s v="Campagne d'interprétation, d'appropriation et de vulgarisation des textes relatifs au plan de carrière des enseignants auprès de tous les acteurs institutionnels et partenaires"/>
    <s v="Missions"/>
    <s v="h/j/m"/>
    <n v="0"/>
    <m/>
    <n v="128"/>
    <m/>
    <n v="128"/>
    <n v="0.8177777777777776"/>
    <n v="0"/>
    <n v="0"/>
    <n v="104.67555555555553"/>
    <n v="0"/>
    <n v="104.67555555555553"/>
    <x v="2"/>
    <s v="Tranvsal_secteur"/>
    <s v="3. Dépenses de fonctionnement"/>
    <s v="DRH"/>
    <s v="DRH"/>
    <x v="0"/>
    <x v="4"/>
    <x v="33"/>
    <s v="555- Un plan de carrière motivant est validé et utilisé dans le cadre de la gestion des carrières"/>
    <x v="400"/>
    <s v="55521-Campagne d'interprétation, d'appropriation et de vulgarisation des textes relatifs au plan de carrière des enseignants auprès de tous les acteurs institutionnels et partenaires"/>
  </r>
  <r>
    <s v="Utilisation de la base de données pour le suivi de la mise en œuvre du plan de carrière"/>
    <m/>
    <m/>
    <n v="0"/>
    <m/>
    <m/>
    <m/>
    <m/>
    <m/>
    <m/>
    <m/>
    <m/>
    <m/>
    <m/>
    <x v="0"/>
    <m/>
    <m/>
    <m/>
    <m/>
    <x v="3"/>
    <x v="4"/>
    <x v="33"/>
    <s v="555- Un plan de carrière motivant est validé et utilisé dans le cadre de la gestion des carrières"/>
    <x v="401"/>
    <s v="5553-Utilisation de la base de données pour le suivi de la mise en œuvre du plan de carrière"/>
  </r>
  <r>
    <s v="Mise à jour régulière de la base de données sur les personnels du MENA"/>
    <s v="travaux administratifs"/>
    <s v="sif"/>
    <n v="0"/>
    <n v="1"/>
    <n v="1"/>
    <n v="1"/>
    <n v="3"/>
    <n v="0"/>
    <n v="0"/>
    <n v="0"/>
    <n v="0"/>
    <n v="0"/>
    <m/>
    <x v="2"/>
    <s v="Tranvsal_secteur"/>
    <s v=""/>
    <s v="DRH"/>
    <s v="DRH"/>
    <x v="0"/>
    <x v="4"/>
    <x v="33"/>
    <s v="555- Un plan de carrière motivant est validé et utilisé dans le cadre de la gestion des carrières"/>
    <x v="401"/>
    <s v="55531-Mise à jour régulière de la base de données sur les personnels du MENA"/>
  </r>
  <r>
    <s v="Mise à jour régulière de la base de données sur les personnels du MESRS"/>
    <s v="travaux administratifs"/>
    <s v="sif"/>
    <n v="0"/>
    <n v="1"/>
    <n v="1"/>
    <n v="1"/>
    <n v="3"/>
    <n v="0"/>
    <n v="0"/>
    <n v="0"/>
    <n v="0"/>
    <n v="0"/>
    <m/>
    <x v="2"/>
    <s v="Tranvsal_secteur"/>
    <s v=""/>
    <s v="DRH"/>
    <s v="DRH"/>
    <x v="2"/>
    <x v="4"/>
    <x v="33"/>
    <s v="555- Un plan de carrière motivant est validé et utilisé dans le cadre de la gestion des carrières"/>
    <x v="401"/>
    <s v="55532-Mise à jour régulière de la base de données sur les personnels du MESRS"/>
  </r>
  <r>
    <s v="Mise à jour régulière de la base de données sur les personnels du METFP"/>
    <s v="travaux administratifs"/>
    <s v="sif"/>
    <n v="0"/>
    <n v="1"/>
    <n v="1"/>
    <n v="1"/>
    <n v="3"/>
    <n v="0"/>
    <n v="0"/>
    <n v="0"/>
    <n v="0"/>
    <n v="0"/>
    <m/>
    <x v="2"/>
    <s v="Tranvsal_secteur"/>
    <s v=""/>
    <s v="DRH"/>
    <s v="DRH"/>
    <x v="1"/>
    <x v="4"/>
    <x v="33"/>
    <s v="555- Un plan de carrière motivant est validé et utilisé dans le cadre de la gestion des carrières"/>
    <x v="401"/>
    <s v="55533-Mise à jour régulière de la base de données sur les personnels du METFP"/>
  </r>
  <r>
    <s v="Poursuite de la mise en œuvre du systéme de contrôle de présence des enseignants et amélioration par l'usage du telèphone portable (en lien avec le numéro vert de la DPE)"/>
    <m/>
    <m/>
    <n v="0"/>
    <m/>
    <m/>
    <m/>
    <m/>
    <m/>
    <m/>
    <m/>
    <m/>
    <m/>
    <m/>
    <x v="0"/>
    <m/>
    <m/>
    <m/>
    <m/>
    <x v="3"/>
    <x v="4"/>
    <x v="33"/>
    <s v="555- Un plan de carrière motivant est validé et utilisé dans le cadre de la gestion des carrières"/>
    <x v="402"/>
    <s v="5554-Poursuite de la mise en œuvre du systéme de contrôle de présence des enseignants et amélioration par l'usage du telèphone portable (en lien avec le numéro vert de la DPE)"/>
  </r>
  <r>
    <s v="Révision et validation du dispositif existant pour le rendre plus opérationnel par l’utilisation du téléphone portable"/>
    <s v="Atelier "/>
    <s v="h/j/ap"/>
    <n v="0"/>
    <m/>
    <m/>
    <m/>
    <n v="0"/>
    <n v="0.255"/>
    <n v="0"/>
    <n v="0"/>
    <n v="0"/>
    <n v="0"/>
    <n v="0"/>
    <x v="8"/>
    <s v="Tranvsal_secteur"/>
    <s v="3. Dépenses de fonctionnement"/>
    <s v="IGE"/>
    <s v="IRE/DPE/DCE"/>
    <x v="0"/>
    <x v="4"/>
    <x v="33"/>
    <s v="555- Un plan de carrière motivant est validé et utilisé dans le cadre de la gestion des carrières"/>
    <x v="402"/>
    <s v="55541-Révision et validation du dispositif existant pour le rendre plus opérationnel par l’utilisation du téléphone portable"/>
  </r>
  <r>
    <s v="Formation des utilisateurs du dispositif"/>
    <s v="formation"/>
    <s v="h/j/fr"/>
    <n v="0"/>
    <m/>
    <m/>
    <m/>
    <n v="0"/>
    <n v="0.54600000000000004"/>
    <n v="0"/>
    <n v="0"/>
    <n v="0"/>
    <n v="0"/>
    <n v="0"/>
    <x v="8"/>
    <s v="Tranvsal_secteur"/>
    <s v="3. Formation"/>
    <s v="IGE"/>
    <s v="IRE/DPE/DCE"/>
    <x v="0"/>
    <x v="4"/>
    <x v="33"/>
    <s v="555- Un plan de carrière motivant est validé et utilisé dans le cadre de la gestion des carrières"/>
    <x v="402"/>
    <s v="55542-Formation des utilisateurs du dispositif"/>
  </r>
  <r>
    <s v="Expérimentation du dispositif dans un échantillon d'écoles"/>
    <s v="décision"/>
    <s v="pm"/>
    <n v="0"/>
    <m/>
    <m/>
    <m/>
    <n v="0"/>
    <n v="0"/>
    <n v="0"/>
    <n v="0"/>
    <n v="0"/>
    <n v="0"/>
    <m/>
    <x v="2"/>
    <s v="Tranvsal_secteur"/>
    <s v=""/>
    <s v="IGE"/>
    <s v="IRE/DPE/DCE"/>
    <x v="0"/>
    <x v="4"/>
    <x v="33"/>
    <s v="555- Un plan de carrière motivant est validé et utilisé dans le cadre de la gestion des carrières"/>
    <x v="402"/>
    <s v="55543-Expérimentation du dispositif dans un échantillon d'écoles"/>
  </r>
  <r>
    <s v="Acquisition des téléphones portables et puces téléphoniques"/>
    <s v="divers"/>
    <s v="tèl+puce"/>
    <n v="0"/>
    <m/>
    <m/>
    <m/>
    <n v="0"/>
    <n v="0.2"/>
    <n v="0"/>
    <n v="0"/>
    <n v="0"/>
    <n v="0"/>
    <n v="0"/>
    <x v="8"/>
    <s v="Tranvsal_secteur"/>
    <s v="3. Dépenses de fonctionnement"/>
    <s v="IGE"/>
    <s v="IRE/DPE/DCE"/>
    <x v="0"/>
    <x v="4"/>
    <x v="33"/>
    <s v="555- Un plan de carrière motivant est validé et utilisé dans le cadre de la gestion des carrières"/>
    <x v="402"/>
    <s v="55544-Acquisition des téléphones portables et puces téléphoniques"/>
  </r>
  <r>
    <s v=" Gestion des ressources Financières"/>
    <m/>
    <m/>
    <n v="0"/>
    <m/>
    <m/>
    <m/>
    <m/>
    <m/>
    <m/>
    <m/>
    <m/>
    <m/>
    <m/>
    <x v="0"/>
    <m/>
    <m/>
    <m/>
    <m/>
    <x v="3"/>
    <x v="4"/>
    <x v="34"/>
    <s v="56- Gestion des ressources financières"/>
    <x v="403"/>
    <s v="56- Gestion des ressources Financières"/>
  </r>
  <r>
    <s v="Le Financement du secteur est en adéquation avec les objectifs"/>
    <m/>
    <m/>
    <n v="0"/>
    <m/>
    <m/>
    <m/>
    <m/>
    <m/>
    <m/>
    <m/>
    <m/>
    <m/>
    <m/>
    <x v="0"/>
    <m/>
    <m/>
    <m/>
    <m/>
    <x v="3"/>
    <x v="4"/>
    <x v="34"/>
    <s v="561-Le financement du secteur est en adéquation avec les objectifs"/>
    <x v="404"/>
    <s v="561-Le Financement du secteur est en adéquation avec les objectifs"/>
  </r>
  <r>
    <s v="Sessions de sensibilisation sur l’importance de l’éducation comme investissement auprès de différents publics (parlementaires, médias, communes, …)"/>
    <m/>
    <m/>
    <n v="0"/>
    <m/>
    <m/>
    <m/>
    <m/>
    <m/>
    <m/>
    <m/>
    <m/>
    <m/>
    <m/>
    <x v="0"/>
    <m/>
    <m/>
    <m/>
    <m/>
    <x v="3"/>
    <x v="4"/>
    <x v="34"/>
    <s v="561-Le financement du secteur est en adéquation avec les objectifs"/>
    <x v="405"/>
    <s v="5611-Sessions de sensibilisation sur l’importance de l’éducation comme investissement auprès de différents publics (parlementaires, médias, communes, …)"/>
  </r>
  <r>
    <s v="DéFinition de stratégies de communication sur l’importance de l’éducation comme investissement"/>
    <s v="Ateliers"/>
    <s v="h/j/a"/>
    <n v="0"/>
    <n v="100"/>
    <n v="0"/>
    <n v="0"/>
    <n v="100"/>
    <n v="0.3133333333333333"/>
    <n v="0"/>
    <n v="31.333333333333329"/>
    <n v="0"/>
    <n v="0"/>
    <n v="31.333333333333329"/>
    <x v="13"/>
    <s v="Tranvsal_secteur"/>
    <s v="3. Formation"/>
    <s v="DAF"/>
    <s v="CDMT"/>
    <x v="0"/>
    <x v="4"/>
    <x v="34"/>
    <s v="561-Le financement du secteur est en adéquation avec les objectifs"/>
    <x v="405"/>
    <s v="56111-DéFinition de stratégies de communication sur l’importance de l’éducation comme investissement"/>
  </r>
  <r>
    <s v="Mise en œuvre de la stratégie de communication vers le grand public"/>
    <s v="dotation "/>
    <s v="campagne"/>
    <n v="0"/>
    <n v="0"/>
    <n v="1"/>
    <n v="1"/>
    <n v="2"/>
    <n v="45.936799999999998"/>
    <n v="0"/>
    <n v="0"/>
    <n v="45.936799999999998"/>
    <n v="45.936799999999998"/>
    <n v="91.873599999999996"/>
    <x v="13"/>
    <s v="Tranvsal_secteur"/>
    <s v="3. Dépenses de fonctionnement"/>
    <s v="CDMT"/>
    <s v="Serv Com"/>
    <x v="0"/>
    <x v="4"/>
    <x v="34"/>
    <s v="561-Le financement du secteur est en adéquation avec les objectifs"/>
    <x v="405"/>
    <s v="56112-Mise en œuvre de la stratégie de communication vers le grand public"/>
  </r>
  <r>
    <s v="Développement de stratégies allant dans le sens de la mobilisation des Financements innovants auprès des acteurs économiques"/>
    <m/>
    <m/>
    <n v="0"/>
    <m/>
    <m/>
    <m/>
    <m/>
    <m/>
    <m/>
    <m/>
    <m/>
    <m/>
    <m/>
    <x v="0"/>
    <m/>
    <m/>
    <m/>
    <m/>
    <x v="3"/>
    <x v="4"/>
    <x v="34"/>
    <s v="561-Le financement du secteur est en adéquation avec les objectifs"/>
    <x v="406"/>
    <s v="5612-Développement de stratégies allant dans le sens de la mobilisation des Financements innovants auprès des acteurs économiques"/>
  </r>
  <r>
    <s v="Organisation des sessions de concertation avec les acteurs économiques (sociétés minières, banques, téléphonies…)"/>
    <s v="Ateliers"/>
    <s v="h/j/a"/>
    <n v="0"/>
    <n v="270"/>
    <n v="0"/>
    <n v="270"/>
    <n v="540"/>
    <n v="0.3133333333333333"/>
    <n v="0"/>
    <n v="84.6"/>
    <n v="0"/>
    <n v="84.6"/>
    <n v="169.2"/>
    <x v="13"/>
    <s v="Tranvsal_secteur"/>
    <s v="3. Formation"/>
    <s v="CDMT"/>
    <s v="CDMT"/>
    <x v="1"/>
    <x v="4"/>
    <x v="34"/>
    <s v="561-Le financement du secteur est en adéquation avec les objectifs"/>
    <x v="406"/>
    <s v="56121-Organisation des sessions de concertation avec les acteurs économiques (sociétés minières, banques, téléphonies…)"/>
  </r>
  <r>
    <s v="Développement de projet de partenariat public privé au supérieur et à la formation professionnelle"/>
    <s v="travaux administratifs"/>
    <s v="sif"/>
    <n v="0"/>
    <n v="0"/>
    <n v="0"/>
    <n v="0"/>
    <m/>
    <n v="0"/>
    <m/>
    <m/>
    <m/>
    <m/>
    <m/>
    <x v="2"/>
    <s v="Tranvsal_secteur"/>
    <s v=""/>
    <s v="BSD"/>
    <s v="BSD"/>
    <x v="2"/>
    <x v="4"/>
    <x v="34"/>
    <s v="561-Le financement du secteur est en adéquation avec les objectifs"/>
    <x v="406"/>
    <s v="56122-Développement de projet de partenariat public privé au supérieur et à la formation professionnelle"/>
  </r>
  <r>
    <s v="Suivi des intentions de Financement"/>
    <s v="travaux administratifs"/>
    <s v="sif"/>
    <n v="0"/>
    <n v="1"/>
    <n v="1"/>
    <n v="1"/>
    <n v="3"/>
    <n v="0"/>
    <n v="0"/>
    <n v="0"/>
    <n v="0"/>
    <n v="0"/>
    <m/>
    <x v="2"/>
    <s v="Tranvsal_secteur"/>
    <s v=""/>
    <s v="CDMT"/>
    <s v="CDMT"/>
    <x v="0"/>
    <x v="4"/>
    <x v="34"/>
    <s v="561-Le financement du secteur est en adéquation avec les objectifs"/>
    <x v="406"/>
    <s v="56123-Suivi des intentions de Financement"/>
  </r>
  <r>
    <s v="Préparation des documents de plaidoyer auprès des hauts décideurs pour l’accroissement de la part du secteur de l’éducation dans le budget de l’état"/>
    <m/>
    <m/>
    <n v="0"/>
    <m/>
    <m/>
    <m/>
    <m/>
    <m/>
    <m/>
    <m/>
    <m/>
    <m/>
    <m/>
    <x v="0"/>
    <m/>
    <m/>
    <m/>
    <m/>
    <x v="3"/>
    <x v="4"/>
    <x v="34"/>
    <s v="561-Le financement du secteur est en adéquation avec les objectifs"/>
    <x v="407"/>
    <s v="5613-Préparation des documents de plaidoyer auprès des hauts décideurs pour l’accroissement de la part du secteur de l’éducation dans le budget de l’état"/>
  </r>
  <r>
    <s v="Formation et partage des outils d'actualisation du CDMT avec les BSD, les Services Financiers au niveau central et déconcentrés du Secteur"/>
    <s v="Ateliers"/>
    <s v="h/j/f"/>
    <n v="0"/>
    <n v="192"/>
    <n v="180"/>
    <m/>
    <n v="372"/>
    <n v="0.67666666666666664"/>
    <n v="0"/>
    <n v="129.91999999999999"/>
    <n v="121.8"/>
    <n v="0"/>
    <n v="251.71999999999997"/>
    <x v="13"/>
    <s v="Tranvsal_secteur"/>
    <s v="3. Formation"/>
    <s v="CDMT"/>
    <s v="CDMT"/>
    <x v="0"/>
    <x v="4"/>
    <x v="34"/>
    <s v="561-Le financement du secteur est en adéquation avec les objectifs"/>
    <x v="407"/>
    <s v="56131-Formation et partage des outils d'actualisation du CDMT avec les BSD, les Services Financiers au niveau central et déconcentrés du Secteur"/>
  </r>
  <r>
    <s v="Elaboration du document CDMT "/>
    <s v="Ateliers"/>
    <s v="h/j/ap"/>
    <n v="0"/>
    <m/>
    <m/>
    <m/>
    <n v="0"/>
    <n v="0.255"/>
    <n v="0"/>
    <n v="0"/>
    <n v="0"/>
    <n v="0"/>
    <n v="0"/>
    <x v="8"/>
    <s v="Tranvsal_secteur"/>
    <s v="3. Dépenses de fonctionnement"/>
    <s v="CDMT"/>
    <s v="CDMT"/>
    <x v="0"/>
    <x v="4"/>
    <x v="34"/>
    <s v="561-Le financement du secteur est en adéquation avec les objectifs"/>
    <x v="407"/>
    <s v="56132-Elaboration du document CDMT "/>
  </r>
  <r>
    <s v="Elaboration du document CDMT "/>
    <s v="Ateliers"/>
    <s v="h/j/ap"/>
    <n v="0"/>
    <n v="120"/>
    <n v="120"/>
    <n v="120"/>
    <n v="360"/>
    <n v="0.255"/>
    <n v="0"/>
    <n v="30.6"/>
    <n v="30.6"/>
    <n v="30.6"/>
    <n v="91.800000000000011"/>
    <x v="6"/>
    <s v="Tranvsal_secteur"/>
    <s v="3. Dépenses de fonctionnement"/>
    <s v="ST/ProDEG (CDMT)"/>
    <s v="ST/ProDEG (CDMT)"/>
    <x v="0"/>
    <x v="4"/>
    <x v="34"/>
    <s v="561-Le financement du secteur est en adéquation avec les objectifs"/>
    <x v="407"/>
    <s v="56132-Elaboration du document CDMT "/>
  </r>
  <r>
    <s v="Mise à jour du document CDMT après conférence budgétaire"/>
    <s v="Ateliers"/>
    <s v="h/j/ap"/>
    <n v="0"/>
    <m/>
    <m/>
    <m/>
    <n v="0"/>
    <n v="0.255"/>
    <n v="0"/>
    <n v="0"/>
    <n v="0"/>
    <n v="0"/>
    <n v="0"/>
    <x v="8"/>
    <s v="Tranvsal_secteur"/>
    <s v="3. Dépenses de fonctionnement"/>
    <s v="CDMT"/>
    <s v="CDMT"/>
    <x v="0"/>
    <x v="4"/>
    <x v="34"/>
    <s v="561-Le financement du secteur est en adéquation avec les objectifs"/>
    <x v="407"/>
    <s v="56133-Mise à jour du document CDMT après conférence budgétaire"/>
  </r>
  <r>
    <s v="Mise à jour du document CDMT après conférence budgétaire"/>
    <s v="Ateliers"/>
    <s v="h/j/ap"/>
    <n v="0"/>
    <m/>
    <m/>
    <m/>
    <n v="0"/>
    <n v="0.255"/>
    <n v="0"/>
    <n v="0"/>
    <n v="0"/>
    <n v="0"/>
    <n v="0"/>
    <x v="8"/>
    <s v="Tranvsal_secteur"/>
    <s v="3. Dépenses de fonctionnement"/>
    <s v="CDMT"/>
    <s v="CDMT"/>
    <x v="0"/>
    <x v="4"/>
    <x v="34"/>
    <s v="561-Le financement du secteur est en adéquation avec les objectifs"/>
    <x v="407"/>
    <s v="56133-Mise à jour du document CDMT après conférence budgétaire"/>
  </r>
  <r>
    <s v="Mise à jour du document CDMT après l'adoption de la loi rectificative "/>
    <s v="Ateliers"/>
    <s v="h/j/ap"/>
    <n v="0"/>
    <n v="30.068999999999996"/>
    <n v="30.068999999999996"/>
    <n v="30.068999999999996"/>
    <n v="90.206999999999994"/>
    <n v="0.255"/>
    <n v="0"/>
    <n v="7.6675949999999986"/>
    <n v="7.6675949999999986"/>
    <n v="7.6675949999999986"/>
    <n v="23.002784999999996"/>
    <x v="6"/>
    <s v="Tranvsal_secteur"/>
    <s v="3. Dépenses de fonctionnement"/>
    <s v="ST/ProDEG (CDMT)"/>
    <s v="ST/ProDEG (CDMT)"/>
    <x v="0"/>
    <x v="4"/>
    <x v="34"/>
    <s v="561-Le financement du secteur est en adéquation avec les objectifs"/>
    <x v="407"/>
    <s v="56134-Mise à jour du document CDMT après l'adoption de la loi rectificative "/>
  </r>
  <r>
    <s v="Mise à jour du document CDMT après l'adoption de la loi rectificative "/>
    <s v="Ateliers"/>
    <s v="h/j/ap"/>
    <n v="0"/>
    <n v="59.931000000000004"/>
    <n v="59.931000000000004"/>
    <n v="59.931000000000004"/>
    <n v="179.79300000000001"/>
    <n v="0.255"/>
    <n v="0"/>
    <n v="15.282405000000001"/>
    <n v="15.282405000000001"/>
    <n v="15.282405000000001"/>
    <n v="45.847215000000006"/>
    <x v="13"/>
    <s v="Tranvsal_secteur"/>
    <s v="3. Dépenses de fonctionnement"/>
    <s v="CDMT"/>
    <s v="CDMT"/>
    <x v="0"/>
    <x v="4"/>
    <x v="34"/>
    <s v="561-Le financement du secteur est en adéquation avec les objectifs"/>
    <x v="407"/>
    <s v="56134-Mise à jour du document CDMT après l'adoption de la loi rectificative "/>
  </r>
  <r>
    <s v="Atelier de partage du CDMT à tous les niveaux"/>
    <s v="Ateliers"/>
    <s v="h/j/a"/>
    <n v="0"/>
    <n v="0"/>
    <n v="0"/>
    <n v="0"/>
    <n v="0"/>
    <n v="0.3133333333333333"/>
    <n v="0"/>
    <n v="0"/>
    <n v="0"/>
    <n v="0"/>
    <n v="0"/>
    <x v="8"/>
    <s v="Tranvsal_secteur"/>
    <s v="3. Formation"/>
    <s v="ST/ProDEG (CDMT)"/>
    <s v="ST/ProDEG (CDMT)"/>
    <x v="0"/>
    <x v="4"/>
    <x v="34"/>
    <s v="561-Le financement du secteur est en adéquation avec les objectifs"/>
    <x v="407"/>
    <s v="56135-Atelier de partage du CDMT à tous les niveaux"/>
  </r>
  <r>
    <s v="Atelier de partage du CDMT à tous les niveaux"/>
    <s v="Ateliers"/>
    <s v="h/j/a"/>
    <n v="0"/>
    <n v="300"/>
    <n v="300"/>
    <n v="300"/>
    <n v="900"/>
    <n v="0.3133333333333333"/>
    <n v="0"/>
    <n v="93.999999999999986"/>
    <n v="93.999999999999986"/>
    <n v="93.999999999999986"/>
    <n v="281.99999999999994"/>
    <x v="6"/>
    <s v="Tranvsal_secteur"/>
    <s v="3. Formation"/>
    <s v="ST/ProDEG (CDMT)"/>
    <s v="ST/ProDEG (CDMT)"/>
    <x v="0"/>
    <x v="4"/>
    <x v="34"/>
    <s v="561-Le financement du secteur est en adéquation avec les objectifs"/>
    <x v="407"/>
    <s v="56135-Atelier de partage du CDMT à tous les niveaux"/>
  </r>
  <r>
    <s v="Atelier de partage et de validation du canevas et de la feuille de route, collecte et traitement des données pour la rédaction du rapport annuel de performance du secteur"/>
    <s v="Ateliers"/>
    <s v="h/j/a"/>
    <n v="0"/>
    <m/>
    <m/>
    <m/>
    <n v="0"/>
    <n v="0.3133333333333333"/>
    <n v="0"/>
    <n v="0"/>
    <n v="0"/>
    <n v="0"/>
    <n v="0"/>
    <x v="8"/>
    <s v="Tranvsal_secteur"/>
    <s v="3. Formation"/>
    <s v="ST/ProDEG (CDMT)"/>
    <s v="ST/ProDEG (CDMT)"/>
    <x v="0"/>
    <x v="4"/>
    <x v="34"/>
    <s v="561-Le financement du secteur est en adéquation avec les objectifs"/>
    <x v="407"/>
    <s v="56136-Atelier de partage et de validation du canevas et de la feuille de route, collecte et traitement des données pour la rédaction du rapport annuel de performance du secteur"/>
  </r>
  <r>
    <s v="Atelier de partage et de validation du canevas et de la feuille de route, collecte et traitement des données pour la rédaction du rapport annuel de performance du secteur"/>
    <s v="Ateliers"/>
    <s v="h/j/a"/>
    <n v="0"/>
    <n v="150"/>
    <n v="150"/>
    <n v="150"/>
    <n v="450"/>
    <n v="0.3133333333333333"/>
    <n v="0"/>
    <n v="46.999999999999993"/>
    <n v="46.999999999999993"/>
    <n v="46.999999999999993"/>
    <n v="140.99999999999997"/>
    <x v="6"/>
    <s v="Tranvsal_secteur"/>
    <s v="3. Formation"/>
    <s v="ST/ProDEG (CDMT)"/>
    <s v="ST/ProDEG (CDMT)"/>
    <x v="0"/>
    <x v="4"/>
    <x v="34"/>
    <s v="561-Le financement du secteur est en adéquation avec les objectifs"/>
    <x v="407"/>
    <s v="56136-Atelier de partage et de validation du canevas et de la feuille de route, collecte et traitement des données pour la rédaction du rapport annuel de performance du secteur"/>
  </r>
  <r>
    <s v="Rédaction du rapport de performance, version provisoire"/>
    <s v="Ateliers"/>
    <s v="h/j/ap"/>
    <n v="0"/>
    <m/>
    <m/>
    <m/>
    <n v="0"/>
    <n v="0.255"/>
    <n v="0"/>
    <n v="0"/>
    <n v="0"/>
    <n v="0"/>
    <n v="0"/>
    <x v="8"/>
    <s v="Tranvsal_secteur"/>
    <s v="3. Dépenses de fonctionnement"/>
    <s v="ST/ProDEG (CDMT)"/>
    <s v="ST/ProDEG (CDMT)"/>
    <x v="0"/>
    <x v="4"/>
    <x v="34"/>
    <s v="561-Le financement du secteur est en adéquation avec les objectifs"/>
    <x v="407"/>
    <s v="56137-Rédaction du rapport de performance, version provisoire"/>
  </r>
  <r>
    <s v="Rédaction du rapport de performance, version provisoire"/>
    <s v="Ateliers"/>
    <s v="h/j/ap"/>
    <n v="0"/>
    <n v="300"/>
    <n v="150"/>
    <n v="150"/>
    <n v="600"/>
    <n v="0.255"/>
    <n v="0"/>
    <n v="76.5"/>
    <n v="38.25"/>
    <n v="38.25"/>
    <n v="153"/>
    <x v="6"/>
    <s v="Tranvsal_secteur"/>
    <s v="3. Dépenses de fonctionnement"/>
    <s v="ST/ProDEG (CDMT)"/>
    <s v="ST/ProDEG (CDMT)"/>
    <x v="0"/>
    <x v="4"/>
    <x v="34"/>
    <s v="561-Le financement du secteur est en adéquation avec les objectifs"/>
    <x v="407"/>
    <s v="56137-Rédaction du rapport de performance, version provisoire"/>
  </r>
  <r>
    <s v="Partage du rapport provisoire pour lecture et amendement"/>
    <s v="Ateliers"/>
    <s v="h/j/a"/>
    <n v="0"/>
    <m/>
    <m/>
    <m/>
    <n v="0"/>
    <n v="0.3133333333333333"/>
    <n v="0"/>
    <n v="0"/>
    <n v="0"/>
    <n v="0"/>
    <n v="0"/>
    <x v="8"/>
    <s v="Tranvsal_secteur"/>
    <s v="3. Formation"/>
    <s v="CDMT"/>
    <s v="CDMT"/>
    <x v="0"/>
    <x v="4"/>
    <x v="34"/>
    <s v="561-Le financement du secteur est en adéquation avec les objectifs"/>
    <x v="407"/>
    <s v="56138-Partage du rapport provisoire pour lecture et amendement"/>
  </r>
  <r>
    <s v="Partage du rapport provisoire pour lecture et amendement"/>
    <s v="Ateliers"/>
    <s v="h/j/a"/>
    <n v="0"/>
    <n v="32"/>
    <n v="32"/>
    <n v="32"/>
    <n v="96"/>
    <n v="0.3133333333333333"/>
    <n v="0"/>
    <n v="10.026666666666666"/>
    <n v="10.026666666666666"/>
    <n v="10.026666666666666"/>
    <n v="30.08"/>
    <x v="6"/>
    <s v="Tranvsal_secteur"/>
    <s v="3. Formation"/>
    <s v="ST/ProDEG (CDMT)"/>
    <s v="ST/ProDEG (CDMT)"/>
    <x v="4"/>
    <x v="4"/>
    <x v="34"/>
    <s v="561-Le financement du secteur est en adéquation avec les objectifs"/>
    <x v="407"/>
    <s v="56138-Partage du rapport provisoire pour lecture et amendement"/>
  </r>
  <r>
    <s v="Intégration des observations faites sur la version provisoire"/>
    <s v="Ateliers"/>
    <s v="h/j/ap"/>
    <n v="0"/>
    <m/>
    <m/>
    <m/>
    <n v="0"/>
    <n v="0.255"/>
    <n v="0"/>
    <n v="0"/>
    <n v="0"/>
    <n v="0"/>
    <n v="0"/>
    <x v="8"/>
    <s v="Tranvsal_secteur"/>
    <s v="3. Dépenses de fonctionnement"/>
    <s v="CDMT"/>
    <s v="CDMT"/>
    <x v="0"/>
    <x v="4"/>
    <x v="34"/>
    <s v="561-Le financement du secteur est en adéquation avec les objectifs"/>
    <x v="407"/>
    <s v="56139-Intégration des observations faites sur la version provisoire"/>
  </r>
  <r>
    <s v="Intégration des observations faites sur la version provisoire"/>
    <s v="Ateliers"/>
    <s v="h/j/ap"/>
    <n v="0"/>
    <n v="75"/>
    <n v="75"/>
    <n v="75"/>
    <n v="225"/>
    <n v="0.255"/>
    <n v="0"/>
    <n v="19.125"/>
    <n v="19.125"/>
    <n v="19.125"/>
    <n v="57.375"/>
    <x v="6"/>
    <s v="Tranvsal_secteur"/>
    <s v="3. Dépenses de fonctionnement"/>
    <s v="ST/ProDEG (CDMT)"/>
    <s v="ST/ProDEG (CDMT)"/>
    <x v="4"/>
    <x v="4"/>
    <x v="34"/>
    <s v="561-Le financement du secteur est en adéquation avec les objectifs"/>
    <x v="407"/>
    <s v="56139-Intégration des observations faites sur la version provisoire"/>
  </r>
  <r>
    <s v="Edition et Dissémination du rapport de performance, version déFinitive"/>
    <s v="Impression"/>
    <s v="imp"/>
    <n v="0"/>
    <m/>
    <m/>
    <m/>
    <n v="0"/>
    <n v="7.4999999999999997E-3"/>
    <n v="0"/>
    <n v="0"/>
    <n v="0"/>
    <n v="0"/>
    <n v="0"/>
    <x v="8"/>
    <s v="Tranvsal_secteur"/>
    <s v="3. Dépenses de fonctionnement"/>
    <s v="CDMT"/>
    <s v="CDMT"/>
    <x v="0"/>
    <x v="4"/>
    <x v="34"/>
    <s v="561-Le financement du secteur est en adéquation avec les objectifs"/>
    <x v="407"/>
    <s v="561310-Edition et Dissémination du rapport de performance, version déFinitive"/>
  </r>
  <r>
    <s v="Edition et Dissémination du rapport de performance, version déFinitive"/>
    <s v="Impression"/>
    <s v="imp"/>
    <n v="0"/>
    <n v="150"/>
    <n v="150"/>
    <n v="150"/>
    <n v="450"/>
    <n v="7.4999999999999997E-3"/>
    <n v="0"/>
    <n v="1.125"/>
    <n v="1.125"/>
    <n v="1.125"/>
    <n v="3.375"/>
    <x v="6"/>
    <s v="Tranvsal_secteur"/>
    <s v="3. Dépenses de fonctionnement"/>
    <s v="ST/ProDEG (CDMT)"/>
    <s v="ST/ProDEG (CDMT)"/>
    <x v="4"/>
    <x v="4"/>
    <x v="34"/>
    <s v="561-Le financement du secteur est en adéquation avec les objectifs"/>
    <x v="407"/>
    <s v="561310-Edition et Dissémination du rapport de performance, version déFinitive"/>
  </r>
  <r>
    <s v="Organisation d'une session de présentation des documents de plaidoyer et distribution du RAP"/>
    <s v="Ateliers"/>
    <s v="h/j/a"/>
    <n v="0"/>
    <m/>
    <m/>
    <m/>
    <n v="0"/>
    <n v="0.3133333333333333"/>
    <n v="0"/>
    <n v="0"/>
    <n v="0"/>
    <n v="0"/>
    <n v="0"/>
    <x v="8"/>
    <s v="Tranvsal_secteur"/>
    <s v="3. Formation"/>
    <s v="CDMT"/>
    <s v="CDMT"/>
    <x v="0"/>
    <x v="4"/>
    <x v="34"/>
    <s v="561-Le financement du secteur est en adéquation avec les objectifs"/>
    <x v="407"/>
    <s v="561311-Organisation d'une session de présentation des documents de plaidoyer et distribution du RAP"/>
  </r>
  <r>
    <s v="Organisation d'une session de présentation des documents de plaidoyer et distribution du RAP"/>
    <s v="Ateliers"/>
    <s v="h/j/a"/>
    <n v="0"/>
    <n v="50"/>
    <n v="50"/>
    <n v="50"/>
    <n v="150"/>
    <n v="0.3133333333333333"/>
    <n v="0"/>
    <n v="15.666666666666664"/>
    <n v="15.666666666666664"/>
    <n v="15.666666666666664"/>
    <n v="46.999999999999993"/>
    <x v="6"/>
    <s v="Tranvsal_secteur"/>
    <s v="3. Formation"/>
    <s v="ST/ProDEG (CDMT)"/>
    <s v="ST/ProDEG (CDMT)"/>
    <x v="4"/>
    <x v="4"/>
    <x v="34"/>
    <s v="561-Le financement du secteur est en adéquation avec les objectifs"/>
    <x v="407"/>
    <s v="561311-Organisation d'une session de présentation des documents de plaidoyer et distribution du RAP"/>
  </r>
  <r>
    <s v="Organisation des journées de portes ouvertes sur l'Education (concertation sur les problématiques du secteur)"/>
    <s v="Ateliers"/>
    <s v="h/j/a"/>
    <n v="0"/>
    <m/>
    <m/>
    <n v="360"/>
    <n v="360"/>
    <n v="0.3133333333333333"/>
    <n v="0"/>
    <n v="0"/>
    <n v="0"/>
    <n v="112.79999999999998"/>
    <n v="112.79999999999998"/>
    <x v="13"/>
    <s v="Tranvsal_secteur"/>
    <s v="3. Formation"/>
    <s v="CDMT"/>
    <s v="CDMT"/>
    <x v="0"/>
    <x v="4"/>
    <x v="34"/>
    <s v="561-Le financement du secteur est en adéquation avec les objectifs"/>
    <x v="407"/>
    <s v="561312-Organisation des journées de portes ouvertes sur l'Education (concertation sur les problématiques du secteur)"/>
  </r>
  <r>
    <s v=" Les structures bénéficiaires reçoivent à temps les budgets nécessaires pour la mise en œuvre de leurs activités"/>
    <m/>
    <m/>
    <n v="0"/>
    <m/>
    <m/>
    <m/>
    <m/>
    <m/>
    <m/>
    <m/>
    <m/>
    <m/>
    <m/>
    <x v="0"/>
    <m/>
    <m/>
    <m/>
    <m/>
    <x v="3"/>
    <x v="4"/>
    <x v="34"/>
    <s v="562- Les structures bénéficiaires reçoivent à temps les budgets nécessaires pour la mise en œuvre de leurs activités"/>
    <x v="408"/>
    <s v="562- Les structures bénéficiaires reçoivent à temps les budgets nécessaires pour la mise en œuvre de leurs activités"/>
  </r>
  <r>
    <s v="Publication des allocations budgétaires"/>
    <m/>
    <m/>
    <n v="0"/>
    <m/>
    <m/>
    <m/>
    <m/>
    <m/>
    <m/>
    <m/>
    <m/>
    <m/>
    <m/>
    <x v="0"/>
    <m/>
    <m/>
    <m/>
    <m/>
    <x v="3"/>
    <x v="4"/>
    <x v="34"/>
    <s v="562- Les structures bénéficiaires reçoivent à temps les budgets nécessaires pour la mise en œuvre de leurs activités"/>
    <x v="409"/>
    <s v="5621-Publication des allocations budgétaires"/>
  </r>
  <r>
    <s v="Formation des cadres centraux/déconcentrés et de Cellule CDMT en Excel Avancé pour faciliter l'exploitation budget sous son format Excel"/>
    <s v="Ateliers"/>
    <s v="h/j/f"/>
    <n v="0"/>
    <m/>
    <m/>
    <m/>
    <n v="0"/>
    <n v="0.67666666666666664"/>
    <n v="0"/>
    <n v="0"/>
    <n v="0"/>
    <n v="0"/>
    <n v="0"/>
    <x v="8"/>
    <s v="Tranvsal_secteur"/>
    <s v="3. Formation"/>
    <s v="CDMT"/>
    <s v="CDMT"/>
    <x v="0"/>
    <x v="4"/>
    <x v="34"/>
    <s v="562- Les structures bénéficiaires reçoivent à temps les budgets nécessaires pour la mise en œuvre de leurs activités"/>
    <x v="409"/>
    <s v="56211-Formation des cadres centraux/déconcentrés et de Cellule CDMT en Excel Avancé pour faciliter l'exploitation budget sous son format Excel"/>
  </r>
  <r>
    <s v="Formation des cadres centraux/déconcentrés et de Cellule CDMT en Excel Avancé pour faciliter l'exploitation budget sous son format Excel"/>
    <s v="Ateliers"/>
    <s v="h/j/f"/>
    <n v="0"/>
    <n v="200"/>
    <n v="200"/>
    <m/>
    <n v="400"/>
    <n v="0.67666666666666664"/>
    <n v="0"/>
    <n v="135.33333333333331"/>
    <n v="135.33333333333331"/>
    <n v="0"/>
    <n v="270.66666666666663"/>
    <x v="6"/>
    <s v="Tranvsal_secteur"/>
    <s v="3. Formation"/>
    <s v="ST/ProDEG (CDMT)"/>
    <s v="ST/ProDEG (CDMT)"/>
    <x v="4"/>
    <x v="4"/>
    <x v="34"/>
    <s v="562- Les structures bénéficiaires reçoivent à temps les budgets nécessaires pour la mise en œuvre de leurs activités"/>
    <x v="409"/>
    <s v="56211-Formation des cadres centraux/déconcentrés et de Cellule CDMT en Excel Avancé pour faciliter l'exploitation budget sous son format Excel"/>
  </r>
  <r>
    <s v="Extraction et transmission du budget des services centraux et déconcentrés"/>
    <s v="travaux administratifs"/>
    <s v="sif"/>
    <n v="0"/>
    <n v="1"/>
    <n v="1"/>
    <n v="1"/>
    <n v="3"/>
    <n v="0"/>
    <n v="0"/>
    <n v="0"/>
    <n v="0"/>
    <n v="0"/>
    <m/>
    <x v="2"/>
    <s v="Tranvsal_secteur"/>
    <s v=""/>
    <s v="CDMT"/>
    <s v="DAF"/>
    <x v="0"/>
    <x v="4"/>
    <x v="34"/>
    <s v="562- Les structures bénéficiaires reçoivent à temps les budgets nécessaires pour la mise en œuvre de leurs activités"/>
    <x v="409"/>
    <s v="56212-Extraction et transmission du budget des services centraux et déconcentrés"/>
  </r>
  <r>
    <s v="Planification de l'exécution budgétaire par service et transmission au niveau central"/>
    <s v="travaux administratifs"/>
    <s v="sif"/>
    <n v="0"/>
    <n v="1"/>
    <n v="1"/>
    <n v="1"/>
    <n v="3"/>
    <n v="0"/>
    <n v="0"/>
    <n v="0"/>
    <n v="0"/>
    <n v="0"/>
    <m/>
    <x v="2"/>
    <s v="Tranvsal_secteur"/>
    <s v=""/>
    <s v="BSD"/>
    <s v="DAF"/>
    <x v="0"/>
    <x v="4"/>
    <x v="34"/>
    <s v="562- Les structures bénéficiaires reçoivent à temps les budgets nécessaires pour la mise en œuvre de leurs activités"/>
    <x v="409"/>
    <s v="56213-Planification de l'exécution budgétaire par service et transmission au niveau central"/>
  </r>
  <r>
    <s v="Intégration par la DAF des planifications budgétaires transmises dans le plan de mise en œuvre du budget du secteur"/>
    <s v="travaux administratifs"/>
    <s v="sif"/>
    <n v="0"/>
    <n v="1"/>
    <n v="1"/>
    <n v="1"/>
    <n v="3"/>
    <n v="0"/>
    <n v="0"/>
    <n v="0"/>
    <n v="0"/>
    <n v="0"/>
    <m/>
    <x v="2"/>
    <s v="Tranvsal_secteur"/>
    <s v=""/>
    <s v="CDMT"/>
    <s v="DAF"/>
    <x v="0"/>
    <x v="4"/>
    <x v="34"/>
    <s v="562- Les structures bénéficiaires reçoivent à temps les budgets nécessaires pour la mise en œuvre de leurs activités"/>
    <x v="409"/>
    <s v="56214-Intégration par la DAF des planifications budgétaires transmises dans le plan de mise en œuvre du budget du secteur"/>
  </r>
  <r>
    <s v="Mise à disposition des budgets aux structures déconcentrées (subventions DPE/DCE/IRE, DSEE) "/>
    <s v="subvention de fonctionnement"/>
    <s v="dot/fonct"/>
    <n v="0"/>
    <m/>
    <m/>
    <m/>
    <n v="0"/>
    <n v="28879.505390999999"/>
    <n v="0"/>
    <n v="0"/>
    <n v="0"/>
    <n v="0"/>
    <n v="0"/>
    <x v="8"/>
    <s v="Tranvsal_secteur"/>
    <s v="3. Dépenses de fonctionnement"/>
    <s v="DAF"/>
    <s v="DAF"/>
    <x v="0"/>
    <x v="4"/>
    <x v="34"/>
    <s v="562- Les structures bénéficiaires reçoivent à temps les budgets nécessaires pour la mise en œuvre de leurs activités"/>
    <x v="409"/>
    <s v="56215-Mise à disposition des budgets aux structures déconcentrées (subventions DPE/DCE/IRE, DSEE) "/>
  </r>
  <r>
    <s v="Mise à disposition des budgets aux structures déconcentrées (subventions DPE/DCE/IRE, DSEE) "/>
    <s v="subvention de fonctionnement"/>
    <s v="dot/fonct"/>
    <n v="0"/>
    <n v="0.2"/>
    <n v="0.4"/>
    <n v="0.3"/>
    <n v="0.90000000000000013"/>
    <n v="28879.505390999999"/>
    <n v="0"/>
    <n v="5775.9010782000005"/>
    <n v="11551.802156400001"/>
    <n v="8663.8516172999989"/>
    <n v="25991.5548519"/>
    <x v="6"/>
    <s v="Tranvsal_secteur"/>
    <s v="3. Dépenses de fonctionnement"/>
    <s v="DAF"/>
    <s v="DAF"/>
    <x v="4"/>
    <x v="4"/>
    <x v="34"/>
    <s v="562- Les structures bénéficiaires reçoivent à temps les budgets nécessaires pour la mise en œuvre de leurs activités"/>
    <x v="409"/>
    <s v="56215-Mise à disposition des budgets aux structures déconcentrées (subventions DPE/DCE/IRE, DSEE) "/>
  </r>
  <r>
    <s v="Mise à disposition des budgets aux structures déconcentrées (subventions DPE/DCE/IRE, DSEE) "/>
    <s v="subvention de fonctionnement"/>
    <s v="dot/fonct"/>
    <n v="0"/>
    <n v="0.9"/>
    <n v="0.9"/>
    <n v="0.9"/>
    <n v="2.7"/>
    <n v="28879.505390999999"/>
    <n v="0"/>
    <n v="25991.5548519"/>
    <n v="25991.5548519"/>
    <n v="25991.5548519"/>
    <n v="77974.664555700001"/>
    <x v="2"/>
    <s v="Tranvsal_secteur"/>
    <s v="3. Dépenses de fonctionnement"/>
    <s v="DAF"/>
    <s v="DAF"/>
    <x v="0"/>
    <x v="4"/>
    <x v="34"/>
    <s v="562- Les structures bénéficiaires reçoivent à temps les budgets nécessaires pour la mise en œuvre de leurs activités"/>
    <x v="409"/>
    <s v="56215-Mise à disposition des budgets aux structures déconcentrées (subventions DPE/DCE/IRE, DSEE) "/>
  </r>
  <r>
    <s v="Mise à disposition des budgets aux administrations centrales du MENA"/>
    <s v="budget annuel"/>
    <s v="dot/fonct/AC/MENA"/>
    <n v="0"/>
    <n v="0.895273280569994"/>
    <n v="0.995045337907428"/>
    <n v="1.1096813815225799"/>
    <n v="3.0000000000000018"/>
    <n v="32221.870422193402"/>
    <n v="0"/>
    <n v="28847.379638978346"/>
    <n v="32062.221942260792"/>
    <n v="35756.009685341131"/>
    <n v="96665.611266580265"/>
    <x v="2"/>
    <s v="Tranvsal_secteur"/>
    <s v="3. Dépenses de fonctionnement"/>
    <s v="DAF"/>
    <s v="DAF"/>
    <x v="0"/>
    <x v="4"/>
    <x v="34"/>
    <s v="562- Les structures bénéficiaires reçoivent à temps les budgets nécessaires pour la mise en œuvre de leurs activités"/>
    <x v="409"/>
    <s v="56216-Mise à disposition des budgets aux administrations centrales du MENA"/>
  </r>
  <r>
    <s v="Mise à disposition des budgets aux administrations centrales et déconcentrées du METFP"/>
    <s v="budget annuel"/>
    <s v="dot/fonct/METFP"/>
    <n v="0"/>
    <n v="0.97240479999366103"/>
    <n v="1.02102503999334"/>
    <n v="1.07207629199301"/>
    <n v="3.065506131980011"/>
    <n v="7704.7054522202898"/>
    <n v="0"/>
    <n v="7492.0925642763405"/>
    <n v="7866.6971924901263"/>
    <n v="8260.032052114655"/>
    <n v="23618.821808881119"/>
    <x v="2"/>
    <s v="Tranvsal_secteur"/>
    <s v="3. Dépenses de fonctionnement"/>
    <s v="DAF"/>
    <s v="DAF"/>
    <x v="1"/>
    <x v="4"/>
    <x v="34"/>
    <s v="562- Les structures bénéficiaires reçoivent à temps les budgets nécessaires pour la mise en œuvre de leurs activités"/>
    <x v="409"/>
    <s v="56217-Mise à disposition des budgets aux administrations centrales et déconcentrées du METFP"/>
  </r>
  <r>
    <s v="Mise à disposition des budgets aux administrations centrales du MESRS"/>
    <s v="budget annuel"/>
    <s v="dot/fonct/MESRS"/>
    <n v="0"/>
    <n v="0.87032875391489595"/>
    <n v="0.91384519161064104"/>
    <n v="0.95953745119117295"/>
    <n v="2.7437113967167099"/>
    <n v="10483.7646967255"/>
    <n v="0"/>
    <n v="9124.3218648380825"/>
    <n v="9580.537958079989"/>
    <n v="10059.564855983986"/>
    <n v="28764.424678902058"/>
    <x v="2"/>
    <s v="Tranvsal_secteur"/>
    <s v="3. Dépenses de fonctionnement"/>
    <s v="DAF"/>
    <s v="DAF"/>
    <x v="2"/>
    <x v="4"/>
    <x v="34"/>
    <s v="562- Les structures bénéficiaires reçoivent à temps les budgets nécessaires pour la mise en œuvre de leurs activités"/>
    <x v="409"/>
    <s v="56218-Mise à disposition des budgets aux administrations centrales du MESRS"/>
  </r>
  <r>
    <s v="Paiement des contributions aux institutions internationales (Confemen, ADEA, Karanta, etc.)"/>
    <s v="budget annuel"/>
    <s v="Contribution"/>
    <n v="0"/>
    <n v="0.87032875391489595"/>
    <n v="0.91384519161064104"/>
    <n v="0.95953745119117295"/>
    <n v="2.7437113967167099"/>
    <n v="736.22137404580167"/>
    <n v="0"/>
    <n v="640.75463107879511"/>
    <n v="672.79236263273503"/>
    <n v="706.4319807643717"/>
    <n v="2019.9789744759019"/>
    <x v="2"/>
    <s v="Tranvsal_secteur"/>
    <s v="3. Dépenses de fonctionnement"/>
    <s v="DAF"/>
    <s v="DAF"/>
    <x v="2"/>
    <x v="4"/>
    <x v="34"/>
    <s v="562- Les structures bénéficiaires reçoivent à temps les budgets nécessaires pour la mise en œuvre de leurs activités"/>
    <x v="409"/>
    <s v="56219-Paiement des contributions aux institutions internationales (Confemen, ADEA, Karanta, etc.)"/>
  </r>
  <r>
    <s v="Mise en œuvre de mécanismes de suivi des budgets jusqu’à l’école/établissement/institution"/>
    <m/>
    <m/>
    <n v="0"/>
    <m/>
    <m/>
    <m/>
    <m/>
    <m/>
    <m/>
    <m/>
    <m/>
    <m/>
    <m/>
    <x v="0"/>
    <m/>
    <m/>
    <m/>
    <m/>
    <x v="3"/>
    <x v="4"/>
    <x v="34"/>
    <s v="562- Les structures bénéficiaires reçoivent à temps les budgets nécessaires pour la mise en œuvre de leurs activités"/>
    <x v="410"/>
    <s v="5622-Mise en œuvre de mécanismes de suivi des budgets jusqu’à l’école/établissement/institution"/>
  </r>
  <r>
    <s v="Actualisation des outils de suivi de l'exécution des budgets"/>
    <s v="Document"/>
    <s v="h/j/ap"/>
    <n v="0"/>
    <n v="90"/>
    <n v="0"/>
    <n v="0"/>
    <n v="90"/>
    <n v="0.255"/>
    <n v="0"/>
    <n v="22.95"/>
    <n v="0"/>
    <n v="0"/>
    <n v="22.95"/>
    <x v="13"/>
    <s v="Tranvsal_secteur"/>
    <s v="3. Dépenses de fonctionnement"/>
    <s v="DAF"/>
    <s v="BSD"/>
    <x v="0"/>
    <x v="4"/>
    <x v="34"/>
    <s v="562- Les structures bénéficiaires reçoivent à temps les budgets nécessaires pour la mise en œuvre de leurs activités"/>
    <x v="410"/>
    <s v="56221-Actualisation des outils de suivi de l'exécution des budgets"/>
  </r>
  <r>
    <s v="Conduite des missions de suivi (exécution des budgets, des plans d'actions)"/>
    <s v="Missions"/>
    <s v="h/j/m"/>
    <n v="0"/>
    <m/>
    <m/>
    <m/>
    <n v="0"/>
    <n v="0.8177777777777776"/>
    <n v="0"/>
    <n v="0"/>
    <n v="0"/>
    <n v="0"/>
    <n v="0"/>
    <x v="8"/>
    <s v="Tranvsal_secteur"/>
    <s v="3. Dépenses de fonctionnement"/>
    <s v="DAF"/>
    <s v="CDMT"/>
    <x v="4"/>
    <x v="4"/>
    <x v="34"/>
    <s v="562- Les structures bénéficiaires reçoivent à temps les budgets nécessaires pour la mise en œuvre de leurs activités"/>
    <x v="410"/>
    <s v="56222-Conduite des missions de suivi (exécution des budgets, des plans d'actions)"/>
  </r>
  <r>
    <s v="Conduite des missions de suivi (exécution des budgets, des plans d'actions)"/>
    <s v="Missions"/>
    <s v="h/j/m"/>
    <n v="0"/>
    <n v="200"/>
    <n v="200"/>
    <n v="200"/>
    <n v="600"/>
    <n v="0.8177777777777776"/>
    <n v="0"/>
    <n v="163.55555555555551"/>
    <n v="163.55555555555551"/>
    <n v="163.55555555555551"/>
    <n v="490.66666666666652"/>
    <x v="2"/>
    <s v="Tranvsal_secteur"/>
    <s v="3. Dépenses de fonctionnement"/>
    <s v="ST/ProDEG (CDMT)"/>
    <s v="ST/ProDEG (CDMT)"/>
    <x v="4"/>
    <x v="4"/>
    <x v="34"/>
    <s v="562- Les structures bénéficiaires reçoivent à temps les budgets nécessaires pour la mise en œuvre de leurs activités"/>
    <x v="410"/>
    <s v="56222-Conduite des missions de suivi (exécution des budgets, des plans d'actions)"/>
  </r>
  <r>
    <s v="Publication des résultats des mécanismes de suivi"/>
    <m/>
    <m/>
    <n v="0"/>
    <m/>
    <m/>
    <m/>
    <m/>
    <m/>
    <m/>
    <m/>
    <m/>
    <m/>
    <m/>
    <x v="0"/>
    <m/>
    <m/>
    <m/>
    <m/>
    <x v="3"/>
    <x v="4"/>
    <x v="34"/>
    <s v="562- Les structures bénéficiaires reçoivent à temps les budgets nécessaires pour la mise en œuvre de leurs activités"/>
    <x v="411"/>
    <s v="5623-Publication des résultats des mécanismes de suivi"/>
  </r>
  <r>
    <s v="Elaboration d'un tableau de bord sur la mise en œuvre du budget du MENA"/>
    <s v="Document"/>
    <s v="h/j/ap"/>
    <n v="0"/>
    <n v="200"/>
    <n v="200"/>
    <n v="200"/>
    <n v="600"/>
    <n v="0.255"/>
    <n v="0"/>
    <n v="51"/>
    <n v="51"/>
    <n v="51"/>
    <n v="153"/>
    <x v="13"/>
    <s v="Tranvsal_secteur"/>
    <s v="3. Dépenses de fonctionnement"/>
    <s v="DAF"/>
    <s v="CDMT"/>
    <x v="0"/>
    <x v="4"/>
    <x v="34"/>
    <s v="562- Les structures bénéficiaires reçoivent à temps les budgets nécessaires pour la mise en œuvre de leurs activités"/>
    <x v="411"/>
    <s v="56231-Elaboration d'un tableau de bord sur la mise en œuvre du budget du MENA"/>
  </r>
  <r>
    <s v="Reproduction du tableau de bord du MENA"/>
    <s v="Impression"/>
    <s v="imp"/>
    <n v="0"/>
    <n v="673"/>
    <n v="673"/>
    <n v="673"/>
    <n v="2019"/>
    <n v="7.4999999999999997E-3"/>
    <n v="0"/>
    <n v="5.0474999999999994"/>
    <n v="5.0474999999999994"/>
    <n v="5.0474999999999994"/>
    <n v="15.142499999999998"/>
    <x v="13"/>
    <s v="Tranvsal_secteur"/>
    <s v="3. Dépenses de fonctionnement"/>
    <s v="DAF"/>
    <s v="CDMT"/>
    <x v="0"/>
    <x v="4"/>
    <x v="34"/>
    <s v="562- Les structures bénéficiaires reçoivent à temps les budgets nécessaires pour la mise en œuvre de leurs activités"/>
    <x v="411"/>
    <s v="56232-Reproduction du tableau de bord du MENA"/>
  </r>
  <r>
    <s v="Diffusion du tableau de bord du MENA"/>
    <s v="Média"/>
    <s v="diffusion"/>
    <n v="0"/>
    <n v="2"/>
    <n v="2"/>
    <n v="2"/>
    <n v="6"/>
    <n v="0.4"/>
    <n v="0"/>
    <n v="0.8"/>
    <n v="0.8"/>
    <n v="0.8"/>
    <n v="2.4000000000000004"/>
    <x v="13"/>
    <s v="Tranvsal_secteur"/>
    <s v="3. Dépenses de fonctionnement"/>
    <s v="DAF"/>
    <s v="CDMT"/>
    <x v="0"/>
    <x v="4"/>
    <x v="34"/>
    <s v="562- Les structures bénéficiaires reçoivent à temps les budgets nécessaires pour la mise en œuvre de leurs activités"/>
    <x v="411"/>
    <s v="56233-Diffusion du tableau de bord du MENA"/>
  </r>
  <r>
    <s v="Elaboration d'un tableau de bord sur la mise en œuvre du budget du MESRS"/>
    <s v="Document"/>
    <s v="h/j/ap"/>
    <n v="0"/>
    <n v="200"/>
    <n v="200"/>
    <n v="200"/>
    <n v="600"/>
    <n v="0.255"/>
    <n v="0"/>
    <n v="51"/>
    <n v="51"/>
    <n v="51"/>
    <n v="153"/>
    <x v="13"/>
    <s v="Tranvsal_secteur"/>
    <s v="3. Dépenses de fonctionnement"/>
    <s v="DAF"/>
    <s v="CDMT"/>
    <x v="2"/>
    <x v="4"/>
    <x v="34"/>
    <s v="562- Les structures bénéficiaires reçoivent à temps les budgets nécessaires pour la mise en œuvre de leurs activités"/>
    <x v="411"/>
    <s v="56234-Elaboration d'un tableau de bord sur la mise en œuvre du budget du MESRS"/>
  </r>
  <r>
    <s v="Reproduction du tableau de bord du MESRS"/>
    <s v="Impression"/>
    <s v="imp"/>
    <n v="0"/>
    <n v="673"/>
    <n v="673"/>
    <n v="673"/>
    <n v="2019"/>
    <n v="7.4999999999999997E-3"/>
    <n v="0"/>
    <n v="5.0474999999999994"/>
    <n v="5.0474999999999994"/>
    <n v="5.0474999999999994"/>
    <n v="15.142499999999998"/>
    <x v="13"/>
    <s v="Tranvsal_secteur"/>
    <s v="3. Dépenses de fonctionnement"/>
    <s v="DAF"/>
    <s v="CDMT"/>
    <x v="2"/>
    <x v="4"/>
    <x v="34"/>
    <s v="562- Les structures bénéficiaires reçoivent à temps les budgets nécessaires pour la mise en œuvre de leurs activités"/>
    <x v="411"/>
    <s v="56235-Reproduction du tableau de bord du MESRS"/>
  </r>
  <r>
    <s v="Diffusion du tableau de bord du MESRS"/>
    <s v="Média"/>
    <s v="diffusion"/>
    <n v="0"/>
    <n v="2"/>
    <n v="2"/>
    <n v="2"/>
    <n v="6"/>
    <n v="0.4"/>
    <n v="0"/>
    <n v="0.8"/>
    <n v="0.8"/>
    <n v="0.8"/>
    <n v="2.4000000000000004"/>
    <x v="13"/>
    <s v="Tranvsal_secteur"/>
    <s v="3. Dépenses de fonctionnement"/>
    <s v="DAF"/>
    <s v="CDMT"/>
    <x v="2"/>
    <x v="4"/>
    <x v="34"/>
    <s v="562- Les structures bénéficiaires reçoivent à temps les budgets nécessaires pour la mise en œuvre de leurs activités"/>
    <x v="411"/>
    <s v="56236-Diffusion du tableau de bord du MESRS"/>
  </r>
  <r>
    <s v="Elaboration d'un tableau de bord sur la mise en œuvre du budget du METFP"/>
    <s v="Document"/>
    <s v="h/j/ap"/>
    <n v="0"/>
    <n v="200"/>
    <n v="200"/>
    <n v="200"/>
    <n v="600"/>
    <n v="0.255"/>
    <n v="0"/>
    <n v="51"/>
    <n v="51"/>
    <n v="51"/>
    <n v="153"/>
    <x v="13"/>
    <s v="Tranvsal_secteur"/>
    <s v="3. Dépenses de fonctionnement"/>
    <s v="DAF"/>
    <s v="CDMT"/>
    <x v="1"/>
    <x v="4"/>
    <x v="34"/>
    <s v="562- Les structures bénéficiaires reçoivent à temps les budgets nécessaires pour la mise en œuvre de leurs activités"/>
    <x v="411"/>
    <s v="56237-Elaboration d'un tableau de bord sur la mise en œuvre du budget du METFP"/>
  </r>
  <r>
    <s v="Reproduction du tableau de bord du METFP"/>
    <s v="Impression"/>
    <s v="imp"/>
    <n v="0"/>
    <n v="673"/>
    <n v="673"/>
    <n v="673"/>
    <n v="2019"/>
    <n v="7.4999999999999997E-3"/>
    <n v="0"/>
    <n v="5.0474999999999994"/>
    <n v="5.0474999999999994"/>
    <n v="5.0474999999999994"/>
    <n v="15.142499999999998"/>
    <x v="13"/>
    <s v="Tranvsal_secteur"/>
    <s v="3. Dépenses de fonctionnement"/>
    <s v="DAF"/>
    <s v="CDMT"/>
    <x v="1"/>
    <x v="4"/>
    <x v="34"/>
    <s v="562- Les structures bénéficiaires reçoivent à temps les budgets nécessaires pour la mise en œuvre de leurs activités"/>
    <x v="411"/>
    <s v="56238-Reproduction du tableau de bord du METFP"/>
  </r>
  <r>
    <s v="Diffusion du tableau de bord du METFP"/>
    <s v="Média"/>
    <s v="diffusion"/>
    <n v="0"/>
    <n v="2"/>
    <n v="2"/>
    <n v="2"/>
    <n v="6"/>
    <n v="0.4"/>
    <n v="0"/>
    <n v="0.8"/>
    <n v="0.8"/>
    <n v="0.8"/>
    <n v="2.4000000000000004"/>
    <x v="13"/>
    <s v="Tranvsal_secteur"/>
    <s v="3. Dépenses de fonctionnement"/>
    <s v="DAF"/>
    <s v="CDMT"/>
    <x v="1"/>
    <x v="4"/>
    <x v="34"/>
    <s v="562- Les structures bénéficiaires reçoivent à temps les budgets nécessaires pour la mise en œuvre de leurs activités"/>
    <x v="411"/>
    <s v="56239-Diffusion du tableau de bord du METFP"/>
  </r>
  <r>
    <s v=" Une plus grande transparence sur l’utilisation des ressources Financières permet une utilisation, conforme aux objectifs de la programmation"/>
    <m/>
    <m/>
    <n v="0"/>
    <m/>
    <m/>
    <m/>
    <m/>
    <m/>
    <m/>
    <m/>
    <m/>
    <m/>
    <m/>
    <x v="0"/>
    <m/>
    <m/>
    <m/>
    <m/>
    <x v="3"/>
    <x v="4"/>
    <x v="34"/>
    <s v="563- Une plus grande transparence sur l’utilisation des ressources financières permet une utilisation, conforme aux objectifs de la programmation"/>
    <x v="412"/>
    <s v="563- Une plus grande transparence sur l’utilisation des ressources Financières permet une utilisation, conforme aux objectifs de la programmation"/>
  </r>
  <r>
    <s v="Publication des allocations budgétaires"/>
    <m/>
    <m/>
    <n v="0"/>
    <m/>
    <m/>
    <m/>
    <m/>
    <m/>
    <m/>
    <m/>
    <m/>
    <m/>
    <m/>
    <x v="0"/>
    <m/>
    <m/>
    <m/>
    <m/>
    <x v="3"/>
    <x v="4"/>
    <x v="34"/>
    <s v="563- Une plus grande transparence sur l’utilisation des ressources financières permet une utilisation, conforme aux objectifs de la programmation"/>
    <x v="413"/>
    <s v="5631-Publication des allocations budgétaires"/>
  </r>
  <r>
    <s v="Production d'affiches sur le budget alloué aux structures (sur le budget des structures)"/>
    <s v="pm"/>
    <s v="sif"/>
    <n v="0"/>
    <n v="1"/>
    <n v="1"/>
    <n v="1"/>
    <n v="3"/>
    <n v="0"/>
    <n v="0"/>
    <n v="0"/>
    <n v="0"/>
    <n v="0"/>
    <m/>
    <x v="2"/>
    <s v="Tranvsal_secteur"/>
    <s v=""/>
    <s v="DAF"/>
    <s v="IDEAC"/>
    <x v="0"/>
    <x v="4"/>
    <x v="34"/>
    <s v="563- Une plus grande transparence sur l’utilisation des ressources financières permet une utilisation, conforme aux objectifs de la programmation"/>
    <x v="413"/>
    <s v="56311-Production d'affiches sur le budget alloué aux structures (sur le budget des structures)"/>
  </r>
  <r>
    <s v="Formation des chargés du matériel et équipement en comptabilité matière au niveau central et déconcentré"/>
    <s v="Ateliers"/>
    <s v="h/j/f"/>
    <n v="0"/>
    <m/>
    <m/>
    <n v="0"/>
    <n v="0"/>
    <n v="0.67666666666666664"/>
    <n v="0"/>
    <n v="0"/>
    <n v="0"/>
    <n v="0"/>
    <n v="0"/>
    <x v="13"/>
    <s v="Tranvsal_secteur"/>
    <s v="3. Formation"/>
    <s v="CDMT"/>
    <s v="CDMT"/>
    <x v="0"/>
    <x v="4"/>
    <x v="34"/>
    <s v="563- Une plus grande transparence sur l’utilisation des ressources financières permet une utilisation, conforme aux objectifs de la programmation"/>
    <x v="413"/>
    <s v="56312-Formation des chargés du matériel et équipement en comptabilité matière au niveau central et déconcentré"/>
  </r>
  <r>
    <s v="Diffusion du budget sur le site web du secteur"/>
    <s v="pm"/>
    <s v="sif"/>
    <n v="0"/>
    <n v="0"/>
    <n v="1"/>
    <n v="1"/>
    <n v="2"/>
    <n v="0"/>
    <n v="0"/>
    <n v="0"/>
    <n v="0"/>
    <n v="0"/>
    <m/>
    <x v="2"/>
    <s v="Tranvsal_secteur"/>
    <s v=""/>
    <s v="DAF"/>
    <s v="Serv Com"/>
    <x v="0"/>
    <x v="4"/>
    <x v="34"/>
    <s v="563- Une plus grande transparence sur l’utilisation des ressources financières permet une utilisation, conforme aux objectifs de la programmation"/>
    <x v="413"/>
    <s v="56313-Diffusion du budget sur le site web du secteur"/>
  </r>
  <r>
    <s v="Publication des rapports d’exécution budgétaire"/>
    <m/>
    <m/>
    <n v="0"/>
    <m/>
    <m/>
    <m/>
    <m/>
    <m/>
    <m/>
    <m/>
    <m/>
    <m/>
    <m/>
    <x v="0"/>
    <m/>
    <m/>
    <m/>
    <m/>
    <x v="3"/>
    <x v="4"/>
    <x v="34"/>
    <s v="563- Une plus grande transparence sur l’utilisation des ressources financières permet une utilisation, conforme aux objectifs de la programmation"/>
    <x v="414"/>
    <s v="5632-Publication des rapports d’exécution budgétaire"/>
  </r>
  <r>
    <s v="Elaboration du rapport d'exécution du budget par structure"/>
    <s v="pm"/>
    <s v="sif"/>
    <n v="0"/>
    <n v="1"/>
    <n v="1"/>
    <n v="1"/>
    <n v="3"/>
    <n v="0"/>
    <n v="0"/>
    <n v="0"/>
    <n v="0"/>
    <n v="0"/>
    <m/>
    <x v="2"/>
    <s v="Tranvsal_secteur"/>
    <s v=""/>
    <s v="DAF"/>
    <s v="CDMT"/>
    <x v="0"/>
    <x v="4"/>
    <x v="34"/>
    <s v="563- Une plus grande transparence sur l’utilisation des ressources financières permet une utilisation, conforme aux objectifs de la programmation"/>
    <x v="414"/>
    <s v="56321-Elaboration du rapport d'exécution du budget par structure"/>
  </r>
  <r>
    <s v="Production d'affiches sur le budget exécuté par structure"/>
    <s v="pm"/>
    <s v="sif"/>
    <n v="0"/>
    <n v="1"/>
    <n v="1"/>
    <n v="1"/>
    <n v="3"/>
    <n v="0"/>
    <n v="0"/>
    <n v="0"/>
    <n v="0"/>
    <n v="0"/>
    <m/>
    <x v="2"/>
    <s v="Tranvsal_secteur"/>
    <s v=""/>
    <s v="DAF"/>
    <s v="IDEC"/>
    <x v="0"/>
    <x v="4"/>
    <x v="34"/>
    <s v="563- Une plus grande transparence sur l’utilisation des ressources financières permet une utilisation, conforme aux objectifs de la programmation"/>
    <x v="414"/>
    <s v="56322-Production d'affiches sur le budget exécuté par structure"/>
  </r>
  <r>
    <s v="Diffusion de l'exécution des budgets sur le site web du Ministère"/>
    <s v="pm"/>
    <s v="sif"/>
    <n v="0"/>
    <n v="0"/>
    <n v="1"/>
    <n v="1"/>
    <n v="2"/>
    <n v="0"/>
    <n v="0"/>
    <n v="0"/>
    <n v="0"/>
    <n v="0"/>
    <m/>
    <x v="2"/>
    <s v="Tranvsal_secteur"/>
    <s v=""/>
    <s v="DAF"/>
    <s v="Serv Com"/>
    <x v="0"/>
    <x v="4"/>
    <x v="34"/>
    <s v="563- Une plus grande transparence sur l’utilisation des ressources financières permet une utilisation, conforme aux objectifs de la programmation"/>
    <x v="414"/>
    <s v="56323-Diffusion de l'exécution des budgets sur le site web du Ministère"/>
  </r>
  <r>
    <s v="Elaboration du rapport d'exécution du budget par structure"/>
    <s v="pm"/>
    <s v="sif"/>
    <n v="0"/>
    <n v="1"/>
    <n v="1"/>
    <n v="1"/>
    <n v="3"/>
    <n v="0"/>
    <n v="0"/>
    <n v="0"/>
    <n v="0"/>
    <n v="0"/>
    <m/>
    <x v="2"/>
    <s v="Tranvsal_secteur"/>
    <s v=""/>
    <s v="DAF"/>
    <s v="CDMT"/>
    <x v="2"/>
    <x v="4"/>
    <x v="34"/>
    <s v="563- Une plus grande transparence sur l’utilisation des ressources financières permet une utilisation, conforme aux objectifs de la programmation"/>
    <x v="414"/>
    <s v="56324-Elaboration du rapport d'exécution du budget par structure"/>
  </r>
  <r>
    <s v="Production d'affiches sur le budget exécuté par structure"/>
    <s v="pm"/>
    <s v="sif"/>
    <n v="0"/>
    <n v="1"/>
    <n v="1"/>
    <n v="1"/>
    <n v="3"/>
    <n v="0"/>
    <n v="0"/>
    <n v="0"/>
    <n v="0"/>
    <n v="0"/>
    <m/>
    <x v="2"/>
    <s v="Tranvsal_secteur"/>
    <s v=""/>
    <s v="DAF"/>
    <s v="IDEC"/>
    <x v="2"/>
    <x v="4"/>
    <x v="34"/>
    <s v="563- Une plus grande transparence sur l’utilisation des ressources financières permet une utilisation, conforme aux objectifs de la programmation"/>
    <x v="414"/>
    <s v="56325-Production d'affiches sur le budget exécuté par structure"/>
  </r>
  <r>
    <s v="Diffusion de l'exécution des budgets sur le site web du Ministère"/>
    <s v="pm"/>
    <s v="sif"/>
    <n v="0"/>
    <n v="0"/>
    <n v="1"/>
    <n v="1"/>
    <n v="2"/>
    <n v="0"/>
    <n v="0"/>
    <n v="0"/>
    <n v="0"/>
    <n v="0"/>
    <m/>
    <x v="2"/>
    <s v="Tranvsal_secteur"/>
    <s v=""/>
    <s v="DAF"/>
    <s v="Serv Com"/>
    <x v="2"/>
    <x v="4"/>
    <x v="34"/>
    <s v="563- Une plus grande transparence sur l’utilisation des ressources financières permet une utilisation, conforme aux objectifs de la programmation"/>
    <x v="414"/>
    <s v="56326-Diffusion de l'exécution des budgets sur le site web du Ministère"/>
  </r>
  <r>
    <s v="Elaboration du rapport d'exécution du budget par structure"/>
    <s v="pm"/>
    <s v="sif"/>
    <n v="0"/>
    <n v="1"/>
    <n v="1"/>
    <n v="1"/>
    <n v="3"/>
    <n v="0"/>
    <n v="0"/>
    <n v="0"/>
    <n v="0"/>
    <n v="0"/>
    <m/>
    <x v="2"/>
    <s v="Tranvsal_secteur"/>
    <s v=""/>
    <s v="DAF"/>
    <s v="CDMT"/>
    <x v="1"/>
    <x v="4"/>
    <x v="34"/>
    <s v="563- Une plus grande transparence sur l’utilisation des ressources financières permet une utilisation, conforme aux objectifs de la programmation"/>
    <x v="414"/>
    <s v="56327-Elaboration du rapport d'exécution du budget par structure"/>
  </r>
  <r>
    <s v="Production d'affiches sur le budget exécuté par structure"/>
    <s v="pm"/>
    <s v="sif"/>
    <n v="0"/>
    <n v="1"/>
    <n v="1"/>
    <n v="1"/>
    <n v="3"/>
    <n v="0"/>
    <n v="0"/>
    <n v="0"/>
    <n v="0"/>
    <n v="0"/>
    <m/>
    <x v="2"/>
    <s v="Tranvsal_secteur"/>
    <s v=""/>
    <s v="DAF"/>
    <s v="IDEC"/>
    <x v="1"/>
    <x v="4"/>
    <x v="34"/>
    <s v="563- Une plus grande transparence sur l’utilisation des ressources financières permet une utilisation, conforme aux objectifs de la programmation"/>
    <x v="414"/>
    <s v="56328-Production d'affiches sur le budget exécuté par structure"/>
  </r>
  <r>
    <s v="Diffusion de l'exécution des budgets sur le site web du Ministère"/>
    <s v="pm"/>
    <s v="sif"/>
    <n v="0"/>
    <n v="0"/>
    <n v="1"/>
    <n v="1"/>
    <n v="2"/>
    <n v="0"/>
    <n v="0"/>
    <n v="0"/>
    <n v="0"/>
    <n v="0"/>
    <m/>
    <x v="2"/>
    <s v="Tranvsal_secteur"/>
    <s v=""/>
    <s v="DAF"/>
    <s v="Serv Com"/>
    <x v="1"/>
    <x v="4"/>
    <x v="34"/>
    <s v="563- Une plus grande transparence sur l’utilisation des ressources financières permet une utilisation, conforme aux objectifs de la programmation"/>
    <x v="414"/>
    <s v="56329-Diffusion de l'exécution des budgets sur le site web du Ministère"/>
  </r>
  <r>
    <s v="Renforcement des contrôles et audits"/>
    <m/>
    <m/>
    <n v="0"/>
    <m/>
    <m/>
    <m/>
    <m/>
    <m/>
    <m/>
    <m/>
    <m/>
    <m/>
    <m/>
    <x v="0"/>
    <m/>
    <m/>
    <m/>
    <m/>
    <x v="3"/>
    <x v="4"/>
    <x v="34"/>
    <s v="563- Une plus grande transparence sur l’utilisation des ressources financières permet une utilisation, conforme aux objectifs de la programmation"/>
    <x v="415"/>
    <s v="5633-Renforcement des contrôles et audits"/>
  </r>
  <r>
    <s v="Organisation des missions d'audits sur échantillon"/>
    <s v="mission"/>
    <s v="h/j/m"/>
    <n v="0"/>
    <n v="160"/>
    <n v="160"/>
    <n v="160"/>
    <n v="480"/>
    <n v="0.8177777777777776"/>
    <n v="0"/>
    <n v="130.84444444444441"/>
    <n v="130.84444444444441"/>
    <n v="130.84444444444441"/>
    <n v="392.53333333333319"/>
    <x v="13"/>
    <s v="Tranvsal_secteur"/>
    <s v="3. Dépenses de fonctionnement"/>
    <s v="CABINET"/>
    <s v="AUDIT"/>
    <x v="0"/>
    <x v="4"/>
    <x v="34"/>
    <s v="563- Une plus grande transparence sur l’utilisation des ressources financières permet une utilisation, conforme aux objectifs de la programmation"/>
    <x v="415"/>
    <s v="56331-Organisation des missions d'audits sur échantillon"/>
  </r>
  <r>
    <s v="Renforcement de la traçabilité des dépenses d'éducation (dépenses publiques)"/>
    <m/>
    <m/>
    <n v="0"/>
    <m/>
    <m/>
    <m/>
    <m/>
    <m/>
    <m/>
    <m/>
    <m/>
    <m/>
    <m/>
    <x v="0"/>
    <m/>
    <m/>
    <m/>
    <m/>
    <x v="3"/>
    <x v="4"/>
    <x v="34"/>
    <s v="563- Une plus grande transparence sur l’utilisation des ressources financières permet une utilisation, conforme aux objectifs de la programmation"/>
    <x v="416"/>
    <s v="5634-Renforcement de la traçabilité des dépenses d'éducation (dépenses publiques)"/>
  </r>
  <r>
    <s v="Renforcement des capacités des chargés de la gestion matiére"/>
    <s v="formation"/>
    <s v="h/j/f"/>
    <n v="0"/>
    <n v="0"/>
    <n v="0"/>
    <n v="0"/>
    <n v="0"/>
    <n v="0.67666666666666664"/>
    <n v="0"/>
    <n v="0"/>
    <m/>
    <n v="0"/>
    <n v="0"/>
    <x v="8"/>
    <s v="Tranvsal_secteur"/>
    <s v="3. Formation"/>
    <s v="DAF"/>
    <s v="DAF"/>
    <x v="0"/>
    <x v="4"/>
    <x v="34"/>
    <s v="563- Une plus grande transparence sur l’utilisation des ressources financières permet une utilisation, conforme aux objectifs de la programmation"/>
    <x v="416"/>
    <s v="56341-Renforcement des capacités des chargés de la gestion matiére"/>
  </r>
  <r>
    <s v="Renforcement des capacités des chargés de la gestion matiére"/>
    <s v="formation"/>
    <s v="h/j/f"/>
    <n v="0"/>
    <m/>
    <n v="295"/>
    <m/>
    <n v="295"/>
    <n v="0.67666666666666664"/>
    <m/>
    <n v="0"/>
    <n v="199.61666666666665"/>
    <n v="0"/>
    <n v="199.61666666666665"/>
    <x v="6"/>
    <s v="Tranvsal_secteur"/>
    <s v="3. Formation"/>
    <s v="DAF"/>
    <s v="DAF"/>
    <x v="4"/>
    <x v="4"/>
    <x v="34"/>
    <s v="563- Une plus grande transparence sur l’utilisation des ressources financières permet une utilisation, conforme aux objectifs de la programmation"/>
    <x v="416"/>
    <s v="56341-Renforcement des capacités des chargés de la gestion matiére"/>
  </r>
  <r>
    <s v="Etude sur la traçabilité des dépenses publiques en éducation"/>
    <s v="Etude"/>
    <s v="RDP"/>
    <n v="0"/>
    <m/>
    <n v="1"/>
    <m/>
    <n v="1"/>
    <n v="760"/>
    <n v="0"/>
    <n v="0"/>
    <n v="760"/>
    <n v="0"/>
    <n v="760"/>
    <x v="6"/>
    <s v="Tranvsal_secteur"/>
    <s v="3. Dépenses de fonctionnement"/>
    <s v="ST/ProDEG (CDMT)"/>
    <s v="ST/ProDEG (CDMT)"/>
    <x v="4"/>
    <x v="4"/>
    <x v="34"/>
    <s v="563- Une plus grande transparence sur l’utilisation des ressources financières permet une utilisation, conforme aux objectifs de la programmation"/>
    <x v="416"/>
    <s v="56342-Etude sur la traçabilité des dépenses publiques en éducation"/>
  </r>
  <r>
    <s v=" Coordination sectorielle"/>
    <m/>
    <m/>
    <n v="0"/>
    <m/>
    <m/>
    <m/>
    <m/>
    <m/>
    <m/>
    <m/>
    <m/>
    <m/>
    <m/>
    <x v="0"/>
    <m/>
    <m/>
    <m/>
    <m/>
    <x v="3"/>
    <x v="4"/>
    <x v="35"/>
    <s v="57- Coordination sectorielle"/>
    <x v="417"/>
    <s v="57- Coordination sectorielle"/>
  </r>
  <r>
    <s v=" Des organes de pilotage et de coordination interministérielles existent et fonctionnent éfficacement"/>
    <m/>
    <m/>
    <n v="0"/>
    <m/>
    <m/>
    <m/>
    <m/>
    <m/>
    <m/>
    <m/>
    <m/>
    <m/>
    <m/>
    <x v="0"/>
    <m/>
    <m/>
    <m/>
    <m/>
    <x v="3"/>
    <x v="4"/>
    <x v="35"/>
    <s v="571- Des organes de pilotage et de coordination interministérielles existent et fonctionnent éfficacement"/>
    <x v="418"/>
    <s v="571- Des organes de pilotage et de coordination interministérielles existent et fonctionnent éfficacement"/>
  </r>
  <r>
    <s v="Analyse du fonctionnement des structures de coordination et de pilotage existantes et recommandations pour l’amélioration de la coordination et de pilotage"/>
    <m/>
    <m/>
    <n v="0"/>
    <m/>
    <m/>
    <m/>
    <m/>
    <m/>
    <m/>
    <m/>
    <m/>
    <m/>
    <m/>
    <x v="0"/>
    <m/>
    <m/>
    <m/>
    <m/>
    <x v="3"/>
    <x v="4"/>
    <x v="35"/>
    <s v="571- Des organes de pilotage et de coordination interministérielles existent et fonctionnent éfficacement"/>
    <x v="419"/>
    <s v="5711-Analyse du fonctionnement des structures de coordination et de pilotage existantes et recommandations pour l’amélioration de la coordination et de pilotage"/>
  </r>
  <r>
    <s v="Elaboration des TDR pour le recrutement d'un consultant"/>
    <s v="travaux administratifs"/>
    <s v="sif"/>
    <n v="0"/>
    <n v="1"/>
    <n v="0"/>
    <n v="0"/>
    <n v="1"/>
    <n v="0"/>
    <m/>
    <m/>
    <m/>
    <m/>
    <m/>
    <x v="2"/>
    <s v="Tranvsal_secteur"/>
    <s v=""/>
    <s v="SG"/>
    <s v="SG"/>
    <x v="0"/>
    <x v="4"/>
    <x v="35"/>
    <s v="571- Des organes de pilotage et de coordination interministérielles existent et fonctionnent éfficacement"/>
    <x v="419"/>
    <s v="57111-Elaboration des TDR pour le recrutement d'un consultant"/>
  </r>
  <r>
    <s v="Identification d'un plan d'amélioration du fonctionnement des structures de coordination"/>
    <s v="assistance technique"/>
    <s v="h/j/ci"/>
    <n v="0"/>
    <n v="30"/>
    <n v="0"/>
    <n v="0"/>
    <n v="30"/>
    <n v="10.404797"/>
    <n v="0"/>
    <n v="312.14391000000001"/>
    <n v="0"/>
    <n v="0"/>
    <n v="312.14391000000001"/>
    <x v="13"/>
    <s v="Tranvsal_secteur"/>
    <s v="3. Dépenses de fonctionnement"/>
    <s v="SG"/>
    <s v="SG"/>
    <x v="0"/>
    <x v="4"/>
    <x v="35"/>
    <s v="571- Des organes de pilotage et de coordination interministérielles existent et fonctionnent éfficacement"/>
    <x v="419"/>
    <s v="57112-Identification d'un plan d'amélioration du fonctionnement des structures de coordination"/>
  </r>
  <r>
    <s v="Validation de l'étude"/>
    <s v="Atelier"/>
    <s v="h/j/a"/>
    <n v="0"/>
    <n v="100"/>
    <n v="0"/>
    <n v="0"/>
    <n v="100"/>
    <n v="0.3133333333333333"/>
    <n v="0"/>
    <n v="31.333333333333329"/>
    <n v="0"/>
    <n v="0"/>
    <n v="31.333333333333329"/>
    <x v="13"/>
    <s v="Tranvsal_secteur"/>
    <s v="3. Formation"/>
    <s v="SG"/>
    <s v="SG"/>
    <x v="0"/>
    <x v="4"/>
    <x v="35"/>
    <s v="571- Des organes de pilotage et de coordination interministérielles existent et fonctionnent éfficacement"/>
    <x v="419"/>
    <s v="57113-Validation de l'étude"/>
  </r>
  <r>
    <s v="Mise en œuvre des recommandations"/>
    <m/>
    <m/>
    <n v="0"/>
    <m/>
    <m/>
    <m/>
    <m/>
    <m/>
    <m/>
    <m/>
    <m/>
    <m/>
    <m/>
    <x v="0"/>
    <m/>
    <m/>
    <m/>
    <m/>
    <x v="3"/>
    <x v="4"/>
    <x v="35"/>
    <s v="571- Des organes de pilotage et de coordination interministérielles existent et fonctionnent éfficacement"/>
    <x v="420"/>
    <s v="5712-Mise en œuvre des recommandations"/>
  </r>
  <r>
    <s v="Dissémination des recommandations pour l'amélioration du fonctionnement des structures"/>
    <s v="Atelier"/>
    <s v="h/j/a"/>
    <n v="0"/>
    <n v="90"/>
    <m/>
    <m/>
    <n v="90"/>
    <n v="0.3133333333333333"/>
    <n v="0"/>
    <n v="28.199999999999996"/>
    <n v="0"/>
    <n v="0"/>
    <n v="28.199999999999996"/>
    <x v="13"/>
    <s v="Tranvsal_secteur"/>
    <s v="3. Formation"/>
    <s v="SG"/>
    <s v="SG"/>
    <x v="0"/>
    <x v="4"/>
    <x v="35"/>
    <s v="571- Des organes de pilotage et de coordination interministérielles existent et fonctionnent éfficacement"/>
    <x v="420"/>
    <s v="57121-Dissémination des recommandations pour l'amélioration du fonctionnement des structures"/>
  </r>
  <r>
    <s v="Prise de décision pour la mise en œuvre des recommandations"/>
    <s v="décision"/>
    <s v="sif"/>
    <n v="0"/>
    <n v="1"/>
    <n v="0"/>
    <n v="0"/>
    <n v="1"/>
    <n v="0"/>
    <m/>
    <m/>
    <m/>
    <m/>
    <m/>
    <x v="2"/>
    <s v="Tranvsal_secteur"/>
    <s v=""/>
    <s v="SG"/>
    <s v="SG"/>
    <x v="0"/>
    <x v="4"/>
    <x v="35"/>
    <s v="571- Des organes de pilotage et de coordination interministérielles existent et fonctionnent éfficacement"/>
    <x v="420"/>
    <s v="57122-Prise de décision pour la mise en œuvre des recommandations"/>
  </r>
  <r>
    <s v="Appui au fonctionnement des structures de coordination et de pilotage"/>
    <m/>
    <m/>
    <n v="0"/>
    <m/>
    <m/>
    <m/>
    <m/>
    <m/>
    <m/>
    <m/>
    <m/>
    <m/>
    <m/>
    <x v="0"/>
    <m/>
    <m/>
    <m/>
    <m/>
    <x v="3"/>
    <x v="4"/>
    <x v="35"/>
    <s v="571- Des organes de pilotage et de coordination interministérielles existent et fonctionnent éfficacement"/>
    <x v="421"/>
    <s v="5713-Appui au fonctionnement des structures de coordination et de pilotage"/>
  </r>
  <r>
    <s v="Appui à l'organisation de formations pour les cadres de la coordination sectorielle en suivi évaluation des politiques éducatives"/>
    <s v="assistance technique"/>
    <s v="h/j/ci"/>
    <n v="0"/>
    <n v="15"/>
    <m/>
    <m/>
    <n v="15"/>
    <n v="10.404797"/>
    <n v="0"/>
    <n v="156.071955"/>
    <n v="0"/>
    <n v="0"/>
    <n v="156.071955"/>
    <x v="13"/>
    <s v="Tranvsal_secteur"/>
    <s v="3. Dépenses de fonctionnement"/>
    <s v="SG"/>
    <s v="CDMT"/>
    <x v="1"/>
    <x v="4"/>
    <x v="35"/>
    <s v="571- Des organes de pilotage et de coordination interministérielles existent et fonctionnent éfficacement"/>
    <x v="421"/>
    <s v="57131-Appui à l'organisation de formations pour les cadres de la coordination sectorielle en suivi évaluation des politiques éducatives"/>
  </r>
  <r>
    <s v="Formation des cadres en coordination sectorielle (CDMT, C/PSE, Secrétariats Généraux des Ministères)"/>
    <s v="Ateliers"/>
    <s v="h/j/f"/>
    <n v="0"/>
    <n v="300"/>
    <m/>
    <m/>
    <n v="300"/>
    <n v="0.67666666666666664"/>
    <n v="0"/>
    <n v="203"/>
    <n v="0"/>
    <n v="0"/>
    <n v="203"/>
    <x v="13"/>
    <s v="Tranvsal_secteur"/>
    <s v="3. Formation"/>
    <s v="SG"/>
    <s v="CDMT"/>
    <x v="1"/>
    <x v="4"/>
    <x v="35"/>
    <s v="571- Des organes de pilotage et de coordination interministérielles existent et fonctionnent éfficacement"/>
    <x v="421"/>
    <s v="57132-Formation des cadres en coordination sectorielle (CDMT, C/PSE, Secrétariats Généraux des Ministères)"/>
  </r>
  <r>
    <s v="Tenue des sessions statutaires des organes de pilotage et de coordination CSPE (sous-préfecture)"/>
    <s v="Rencontre"/>
    <s v="h/j/a"/>
    <n v="40"/>
    <n v="427.04000000000008"/>
    <n v="427.04000000000008"/>
    <n v="427.04000000000008"/>
    <n v="1321.1200000000003"/>
    <n v="0.3133333333333333"/>
    <n v="12.533333333333331"/>
    <n v="133.80586666666667"/>
    <n v="133.80586666666667"/>
    <n v="133.80586666666667"/>
    <n v="413.95093333333341"/>
    <x v="4"/>
    <s v="Tranvsal_secteur"/>
    <s v="3. Formation"/>
    <s v="SG"/>
    <s v="CDMT"/>
    <x v="0"/>
    <x v="4"/>
    <x v="35"/>
    <s v="571- Des organes de pilotage et de coordination interministérielles existent et fonctionnent éfficacement"/>
    <x v="421"/>
    <s v="57133-Tenue des sessions statutaires des organes de pilotage et de coordination CSPE (sous-préfecture)"/>
  </r>
  <r>
    <s v="Tenue des sessions statutaires des organes de pilotage et de coordination CSPE (sous-préfecture)"/>
    <s v="Rencontre"/>
    <s v="h/j/a"/>
    <n v="0"/>
    <n v="1272.9599999999998"/>
    <n v="1272.9599999999998"/>
    <n v="1272.9599999999998"/>
    <n v="3818.8799999999992"/>
    <n v="0.3133333333333333"/>
    <n v="0"/>
    <n v="398.86079999999987"/>
    <n v="398.86079999999987"/>
    <n v="398.86079999999987"/>
    <n v="1196.5823999999996"/>
    <x v="13"/>
    <s v="Tranvsal_secteur"/>
    <s v="3. Formation"/>
    <s v="SG"/>
    <s v="CDMT"/>
    <x v="0"/>
    <x v="4"/>
    <x v="35"/>
    <s v="571- Des organes de pilotage et de coordination interministérielles existent et fonctionnent éfficacement"/>
    <x v="421"/>
    <s v="57133-Tenue des sessions statutaires des organes de pilotage et de coordination CSPE (sous-préfecture)"/>
  </r>
  <r>
    <s v="Tenue des sessions statutaires des organes de pilotage et de coordination CPPE (préfecture)"/>
    <s v="Rencontre"/>
    <s v="h/j/a"/>
    <n v="0"/>
    <m/>
    <m/>
    <m/>
    <n v="0"/>
    <n v="0.3133333333333333"/>
    <n v="0"/>
    <n v="0"/>
    <n v="0"/>
    <n v="0"/>
    <n v="0"/>
    <x v="8"/>
    <s v="Tranvsal_secteur"/>
    <s v="3. Formation"/>
    <s v="SG"/>
    <s v="CDMT"/>
    <x v="0"/>
    <x v="4"/>
    <x v="35"/>
    <s v="571- Des organes de pilotage et de coordination interministérielles existent et fonctionnent éfficacement"/>
    <x v="421"/>
    <s v="57134-Tenue des sessions statutaires des organes de pilotage et de coordination CPPE (préfecture)"/>
  </r>
  <r>
    <s v="Tenue des sessions statutaires des organes de pilotage et de coordination CPPE (préfecture)"/>
    <s v="Rencontre"/>
    <s v="h/j/a"/>
    <n v="0"/>
    <n v="1600"/>
    <n v="1600"/>
    <n v="1600"/>
    <n v="4800"/>
    <n v="0.3133333333333333"/>
    <n v="0"/>
    <n v="501.33333333333326"/>
    <n v="501.33333333333326"/>
    <n v="501.33333333333326"/>
    <n v="1503.9999999999998"/>
    <x v="6"/>
    <s v="Tranvsal_secteur"/>
    <s v="3. Formation"/>
    <s v="ST/ProDEG (CDMT)"/>
    <s v="ST/ProDEG (CDMT)"/>
    <x v="4"/>
    <x v="4"/>
    <x v="35"/>
    <s v="571- Des organes de pilotage et de coordination interministérielles existent et fonctionnent éfficacement"/>
    <x v="421"/>
    <s v="57134-Tenue des sessions statutaires des organes de pilotage et de coordination CPPE (préfecture)"/>
  </r>
  <r>
    <s v="Tenue des sessions statutaires des organes de pilotage et de coordination CRPE (région)"/>
    <s v="Rencontre"/>
    <s v="h/j/a"/>
    <n v="0"/>
    <m/>
    <m/>
    <m/>
    <n v="0"/>
    <n v="0.3133333333333333"/>
    <n v="0"/>
    <n v="0"/>
    <n v="0"/>
    <n v="0"/>
    <n v="0"/>
    <x v="8"/>
    <s v="Tranvsal_secteur"/>
    <s v="3. Formation"/>
    <s v="SG"/>
    <s v="CDMT"/>
    <x v="0"/>
    <x v="4"/>
    <x v="35"/>
    <s v="571- Des organes de pilotage et de coordination interministérielles existent et fonctionnent éfficacement"/>
    <x v="421"/>
    <s v="57135-Tenue des sessions statutaires des organes de pilotage et de coordination CRPE (région)"/>
  </r>
  <r>
    <s v="Tenue des sessions statutaires des organes de pilotage et de coordination CRPE (région)"/>
    <s v="Rencontre"/>
    <s v="h/j/a"/>
    <n v="0"/>
    <n v="800"/>
    <n v="800"/>
    <n v="800"/>
    <n v="2400"/>
    <n v="0.3133333333333333"/>
    <n v="0"/>
    <n v="250.66666666666663"/>
    <n v="250.66666666666663"/>
    <n v="250.66666666666663"/>
    <n v="751.99999999999989"/>
    <x v="6"/>
    <s v="Tranvsal_secteur"/>
    <s v="3. Formation"/>
    <s v="ST/ProDEG (CDMT)"/>
    <s v="ST/ProDEG (CDMT)"/>
    <x v="4"/>
    <x v="4"/>
    <x v="35"/>
    <s v="571- Des organes de pilotage et de coordination interministérielles existent et fonctionnent éfficacement"/>
    <x v="421"/>
    <s v="57135-Tenue des sessions statutaires des organes de pilotage et de coordination CRPE (région)"/>
  </r>
  <r>
    <s v="Tenue des sessions statutaires des organes de pilotage et de coordination CNPE (national)"/>
    <s v="Rencontre"/>
    <s v="h/j/a"/>
    <n v="0"/>
    <m/>
    <m/>
    <m/>
    <n v="0"/>
    <n v="0.3133333333333333"/>
    <n v="0"/>
    <n v="0"/>
    <n v="0"/>
    <n v="0"/>
    <n v="0"/>
    <x v="8"/>
    <s v="Tranvsal_secteur"/>
    <s v="3. Formation"/>
    <s v="SG"/>
    <s v="CDMT"/>
    <x v="0"/>
    <x v="4"/>
    <x v="35"/>
    <s v="571- Des organes de pilotage et de coordination interministérielles existent et fonctionnent éfficacement"/>
    <x v="421"/>
    <s v="57136-Tenue des sessions statutaires des organes de pilotage et de coordination CNPE (national)"/>
  </r>
  <r>
    <s v="Tenue des sessions statutaires des organes de pilotage et de coordination CNPE (national)"/>
    <s v="Rencontre"/>
    <s v="h/j/a"/>
    <n v="0"/>
    <n v="100"/>
    <n v="100"/>
    <n v="100"/>
    <n v="300"/>
    <n v="0.3133333333333333"/>
    <n v="0"/>
    <n v="31.333333333333329"/>
    <n v="31.333333333333329"/>
    <n v="31.333333333333329"/>
    <n v="93.999999999999986"/>
    <x v="6"/>
    <s v="Tranvsal_secteur"/>
    <s v="3. Formation"/>
    <s v="ST/ProDEG (CDMT)"/>
    <s v="ST/ProDEG (CDMT)"/>
    <x v="4"/>
    <x v="4"/>
    <x v="35"/>
    <s v="571- Des organes de pilotage et de coordination interministérielles existent et fonctionnent éfficacement"/>
    <x v="421"/>
    <s v="57136-Tenue des sessions statutaires des organes de pilotage et de coordination CNPE (national)"/>
  </r>
  <r>
    <s v="Appui au suivi et à la concertation au niveau national et au niveau communal de la mise en œuvre du programme UNICEF"/>
    <s v="mission, concertation, élaboration politique"/>
    <s v="h/j/m"/>
    <n v="0"/>
    <n v="1452.1280000000002"/>
    <n v="1452.1280000000002"/>
    <n v="1452.1280000000002"/>
    <n v="4356.384"/>
    <n v="0.8177777777777776"/>
    <n v="0"/>
    <n v="1187.5180088888887"/>
    <n v="1187.5180088888887"/>
    <n v="1187.5180088888887"/>
    <n v="3562.5540266666662"/>
    <x v="4"/>
    <s v="Tranvsal_secteur"/>
    <s v="3. Dépenses de fonctionnement"/>
    <s v="BSD"/>
    <s v="BSD"/>
    <x v="0"/>
    <x v="4"/>
    <x v="35"/>
    <s v="571- Des organes de pilotage et de coordination interministérielles existent et fonctionnent éfficacement"/>
    <x v="421"/>
    <s v="57137-Appui au suivi et à la concertation au niveau national et au niveau communal de la mise en œuvre du programme UNICEF"/>
  </r>
  <r>
    <s v="Appui au suivi et à la concertation au niveau national et au niveau communal de la mise en œuvre du programme UNICEF"/>
    <s v="mission, concertation, élaboration politique"/>
    <s v="h/j/m"/>
    <n v="0"/>
    <n v="19.872000000000003"/>
    <n v="19.872000000000003"/>
    <n v="19.872000000000003"/>
    <n v="59.616000000000014"/>
    <n v="0.8177777777777776"/>
    <n v="0"/>
    <n v="16.250879999999999"/>
    <n v="16.250879999999999"/>
    <n v="16.250879999999999"/>
    <n v="48.75264"/>
    <x v="13"/>
    <s v="Tranvsal_secteur"/>
    <s v="3. Dépenses de fonctionnement"/>
    <s v="BSD"/>
    <s v="BSD"/>
    <x v="0"/>
    <x v="4"/>
    <x v="35"/>
    <s v="571- Des organes de pilotage et de coordination interministérielles existent et fonctionnent éfficacement"/>
    <x v="421"/>
    <s v="57137-Appui au suivi et à la concertation au niveau national et au niveau communal de la mise en œuvre du programme UNICEF"/>
  </r>
  <r>
    <s v="Partage des rapports et des recommandations des structures de coordination et pilotage avec les acteurs concernés"/>
    <m/>
    <m/>
    <n v="0"/>
    <m/>
    <m/>
    <m/>
    <m/>
    <m/>
    <m/>
    <m/>
    <m/>
    <m/>
    <m/>
    <x v="0"/>
    <m/>
    <m/>
    <m/>
    <m/>
    <x v="3"/>
    <x v="4"/>
    <x v="35"/>
    <s v="571- Des organes de pilotage et de coordination interministérielles existent et fonctionnent éfficacement"/>
    <x v="422"/>
    <s v="5714-Partage des rapports et des recommandations des structures de coordination et pilotage avec les acteurs concernés"/>
  </r>
  <r>
    <s v="Centralisation des rapports des sessions statutaires"/>
    <s v="travaux administratifs"/>
    <s v="sif"/>
    <n v="0"/>
    <n v="0"/>
    <n v="0"/>
    <n v="0"/>
    <m/>
    <n v="0"/>
    <m/>
    <m/>
    <m/>
    <m/>
    <m/>
    <x v="2"/>
    <s v="Tranvsal_secteur"/>
    <s v=""/>
    <s v="SG"/>
    <s v="CDMT"/>
    <x v="0"/>
    <x v="4"/>
    <x v="35"/>
    <s v="571- Des organes de pilotage et de coordination interministérielles existent et fonctionnent éfficacement"/>
    <x v="422"/>
    <s v="57141-Centralisation des rapports des sessions statutaires"/>
  </r>
  <r>
    <s v="Diffusion des rapports des sessions statutaires "/>
    <s v="travaux administratifs"/>
    <s v="sif"/>
    <n v="0"/>
    <n v="0"/>
    <n v="0"/>
    <n v="0"/>
    <m/>
    <n v="0"/>
    <m/>
    <m/>
    <m/>
    <m/>
    <m/>
    <x v="2"/>
    <s v="Tranvsal_secteur"/>
    <s v=""/>
    <s v="SG"/>
    <s v="CDMT"/>
    <x v="0"/>
    <x v="4"/>
    <x v="35"/>
    <s v="571- Des organes de pilotage et de coordination interministérielles existent et fonctionnent éfficacement"/>
    <x v="422"/>
    <s v="57142-Diffusion des rapports des sessions statutaires "/>
  </r>
  <r>
    <s v="Analyse des résultats des sessions et formulation de lettre de directive spécifique à chaque structure"/>
    <s v="travaux administratifs"/>
    <s v="sif"/>
    <n v="0"/>
    <n v="0"/>
    <n v="0"/>
    <n v="0"/>
    <m/>
    <n v="0"/>
    <m/>
    <m/>
    <m/>
    <m/>
    <m/>
    <x v="2"/>
    <s v="Tranvsal_secteur"/>
    <s v=""/>
    <s v="SG"/>
    <s v="SG"/>
    <x v="0"/>
    <x v="4"/>
    <x v="35"/>
    <s v="571- Des organes de pilotage et de coordination interministérielles existent et fonctionnent éfficacement"/>
    <x v="422"/>
    <s v="57143-Analyse des résultats des sessions et formulation de lettre de directive spécifique à chaque structure"/>
  </r>
  <r>
    <s v=" Des organes de pilotage et de coordination du ProDEG sont mis en place et sont fonctionnels"/>
    <m/>
    <m/>
    <n v="0"/>
    <m/>
    <m/>
    <m/>
    <m/>
    <m/>
    <m/>
    <m/>
    <m/>
    <m/>
    <m/>
    <x v="0"/>
    <m/>
    <m/>
    <m/>
    <m/>
    <x v="3"/>
    <x v="4"/>
    <x v="35"/>
    <s v="572- Des organes de pilotage et de coordination du ProDEG sont mis en place et sont fonctionnels"/>
    <x v="423"/>
    <s v="572- Des organes de pilotage et de coordination du ProDEG sont mis en place et sont fonctionnels"/>
  </r>
  <r>
    <s v="Mise en place des instances de pilotage et de coordination"/>
    <m/>
    <m/>
    <n v="0"/>
    <m/>
    <m/>
    <m/>
    <m/>
    <m/>
    <m/>
    <m/>
    <m/>
    <m/>
    <m/>
    <x v="0"/>
    <m/>
    <m/>
    <m/>
    <m/>
    <x v="3"/>
    <x v="4"/>
    <x v="35"/>
    <s v="572- Des organes de pilotage et de coordination du ProDEG sont mis en place et sont fonctionnels"/>
    <x v="424"/>
    <s v="5721-Mise en place des instances de pilotage et de coordination"/>
  </r>
  <r>
    <s v="Elaboration et adoption des textes de création du comité interministériel de coordination et de pilotage"/>
    <s v="texte"/>
    <s v="sif"/>
    <n v="0"/>
    <m/>
    <m/>
    <m/>
    <n v="0"/>
    <n v="0"/>
    <m/>
    <m/>
    <m/>
    <m/>
    <m/>
    <x v="2"/>
    <s v="Tranvsal_secteur"/>
    <s v=""/>
    <s v="SG"/>
    <s v="SG"/>
    <x v="2"/>
    <x v="4"/>
    <x v="35"/>
    <s v="572- Des organes de pilotage et de coordination du ProDEG sont mis en place et sont fonctionnels"/>
    <x v="424"/>
    <s v="57211-Elaboration et adoption des textes de création du comité interministériel de coordination et de pilotage"/>
  </r>
  <r>
    <s v="Adoption d'un texte créant le secrétariat technique de coordination du ProDEG"/>
    <s v="texte"/>
    <s v="sif"/>
    <n v="0"/>
    <m/>
    <m/>
    <m/>
    <n v="0"/>
    <n v="0"/>
    <m/>
    <m/>
    <m/>
    <m/>
    <m/>
    <x v="2"/>
    <s v="Tranvsal_secteur"/>
    <s v=""/>
    <s v="SG"/>
    <s v="SG"/>
    <x v="2"/>
    <x v="4"/>
    <x v="35"/>
    <s v="572- Des organes de pilotage et de coordination du ProDEG sont mis en place et sont fonctionnels"/>
    <x v="424"/>
    <s v="57212-Adoption d'un texte créant le secrétariat technique de coordination du ProDEG"/>
  </r>
  <r>
    <s v="Opérationnalisation des instances de pilotage et de coordination"/>
    <m/>
    <m/>
    <n v="0"/>
    <m/>
    <m/>
    <m/>
    <m/>
    <m/>
    <m/>
    <m/>
    <m/>
    <m/>
    <m/>
    <x v="0"/>
    <m/>
    <m/>
    <m/>
    <m/>
    <x v="3"/>
    <x v="4"/>
    <x v="35"/>
    <s v="572- Des organes de pilotage et de coordination du ProDEG sont mis en place et sont fonctionnels"/>
    <x v="425"/>
    <s v="5722-Opérationnalisation des instances de pilotage et de coordination"/>
  </r>
  <r>
    <s v="Affectation du personnel en fonction des profils nécessaires (10 en provenance des 3 ministères)"/>
    <s v="décision"/>
    <s v="sif"/>
    <n v="0"/>
    <n v="1"/>
    <m/>
    <m/>
    <n v="1"/>
    <n v="0"/>
    <m/>
    <m/>
    <m/>
    <m/>
    <m/>
    <x v="2"/>
    <s v="Tranvsal_secteur"/>
    <s v=""/>
    <s v="SG"/>
    <s v="SG"/>
    <x v="1"/>
    <x v="4"/>
    <x v="35"/>
    <s v="572- Des organes de pilotage et de coordination du ProDEG sont mis en place et sont fonctionnels"/>
    <x v="425"/>
    <s v="57221-Affectation du personnel en fonction des profils nécessaires (10 en provenance des 3 ministères)"/>
  </r>
  <r>
    <s v="Acquisition de mobilier de bureau"/>
    <s v="équipement complet d'un bureau"/>
    <s v="EQ/bureau"/>
    <n v="0"/>
    <n v="10"/>
    <m/>
    <m/>
    <n v="10"/>
    <n v="9.5"/>
    <n v="0"/>
    <n v="95"/>
    <n v="0"/>
    <n v="0"/>
    <n v="95"/>
    <x v="13"/>
    <s v="Tranvsal_secteur"/>
    <s v="5. Investissement"/>
    <s v="SG"/>
    <s v="SG"/>
    <x v="1"/>
    <x v="4"/>
    <x v="35"/>
    <s v="572- Des organes de pilotage et de coordination du ProDEG sont mis en place et sont fonctionnels"/>
    <x v="425"/>
    <s v="57222-Acquisition de mobilier de bureau"/>
  </r>
  <r>
    <s v="Acquisition de mobilier pour la salle de réunion"/>
    <s v="équipement complet en mobilier"/>
    <s v="EQ/SR"/>
    <n v="0"/>
    <n v="2"/>
    <m/>
    <m/>
    <n v="2"/>
    <n v="104.5"/>
    <n v="0"/>
    <n v="209"/>
    <n v="0"/>
    <n v="0"/>
    <n v="209"/>
    <x v="13"/>
    <s v="Tranvsal_secteur"/>
    <s v="5. Investissement"/>
    <s v="SG"/>
    <s v="SG"/>
    <x v="1"/>
    <x v="4"/>
    <x v="35"/>
    <s v="572- Des organes de pilotage et de coordination du ProDEG sont mis en place et sont fonctionnels"/>
    <x v="425"/>
    <s v="57223-Acquisition de mobilier pour la salle de réunion"/>
  </r>
  <r>
    <s v="Acquisition d'équipement informatique"/>
    <s v="poste de travail"/>
    <s v="Poste de travail"/>
    <n v="0"/>
    <n v="10"/>
    <m/>
    <m/>
    <n v="10"/>
    <n v="10.034934666666667"/>
    <n v="0"/>
    <n v="100.34934666666666"/>
    <n v="0"/>
    <n v="0"/>
    <n v="100.34934666666666"/>
    <x v="13"/>
    <s v="Tranvsal_secteur"/>
    <s v="5. Investissement"/>
    <s v="SG"/>
    <s v="SG"/>
    <x v="1"/>
    <x v="4"/>
    <x v="35"/>
    <s v="572- Des organes de pilotage et de coordination du ProDEG sont mis en place et sont fonctionnels"/>
    <x v="425"/>
    <s v="57224-Acquisition d'équipement informatique"/>
  </r>
  <r>
    <s v="Acquisition d'ordinateur portable"/>
    <s v="ordinateur"/>
    <s v="ordin/portable"/>
    <n v="0"/>
    <n v="8"/>
    <m/>
    <m/>
    <n v="8"/>
    <n v="6.333333333333333"/>
    <n v="0"/>
    <n v="50.666666666666664"/>
    <n v="0"/>
    <n v="0"/>
    <n v="50.666666666666664"/>
    <x v="13"/>
    <s v="Tranvsal_secteur"/>
    <s v="5. Investissement"/>
    <s v="SG"/>
    <s v="SG"/>
    <x v="1"/>
    <x v="4"/>
    <x v="35"/>
    <s v="572- Des organes de pilotage et de coordination du ProDEG sont mis en place et sont fonctionnels"/>
    <x v="425"/>
    <s v="57225-Acquisition d'ordinateur portable"/>
  </r>
  <r>
    <s v="Acquisition de moyens de transports pour les activités de coordination et de suivi"/>
    <s v="véhicule"/>
    <s v="véhicule 4x4"/>
    <n v="0"/>
    <n v="4"/>
    <m/>
    <m/>
    <n v="4"/>
    <n v="300"/>
    <n v="0"/>
    <n v="1200"/>
    <n v="0"/>
    <n v="0"/>
    <n v="1200"/>
    <x v="13"/>
    <s v="Tranvsal_secteur"/>
    <s v="5. Investissement"/>
    <s v="SG"/>
    <s v="SG"/>
    <x v="1"/>
    <x v="4"/>
    <x v="35"/>
    <s v="572- Des organes de pilotage et de coordination du ProDEG sont mis en place et sont fonctionnels"/>
    <x v="425"/>
    <s v="57226-Acquisition de moyens de transports pour les activités de coordination et de suivi"/>
  </r>
  <r>
    <s v="Allocations budgétaires pour le fonctionnement de la coordination sectorielle du  PSE en 2019"/>
    <s v="dotation annuelle"/>
    <s v="fonct/ST/PRODEG"/>
    <n v="0"/>
    <m/>
    <m/>
    <m/>
    <n v="0"/>
    <n v="1311"/>
    <n v="0"/>
    <n v="0"/>
    <n v="0"/>
    <n v="0"/>
    <n v="0"/>
    <x v="8"/>
    <s v="Tranvsal_secteur"/>
    <s v="3. Dépenses de fonctionnement"/>
    <s v="SG"/>
    <s v="SG"/>
    <x v="1"/>
    <x v="4"/>
    <x v="35"/>
    <s v="572- Des organes de pilotage et de coordination du ProDEG sont mis en place et sont fonctionnels"/>
    <x v="425"/>
    <s v="57227-Allocations budgétaires pour le fonctionnement de la coordination sectorielle du  PSE en 2019"/>
  </r>
  <r>
    <s v="Allocations budgétaires pour le fonctionnement du ST/ProDEG"/>
    <s v="dotation annuelle"/>
    <s v="fonct/ST/PRODEG"/>
    <n v="0"/>
    <n v="1"/>
    <n v="1"/>
    <n v="1"/>
    <n v="3"/>
    <n v="1311"/>
    <n v="0"/>
    <n v="1311"/>
    <n v="1311"/>
    <n v="1311"/>
    <n v="3933"/>
    <x v="6"/>
    <s v="Tranvsal_secteur"/>
    <s v="3. Dépenses de fonctionnement"/>
    <s v="ST/ProDEG (CDMT)"/>
    <s v="ST/ProDEG (CDMT)"/>
    <x v="4"/>
    <x v="4"/>
    <x v="35"/>
    <s v="572- Des organes de pilotage et de coordination du ProDEG sont mis en place et sont fonctionnels"/>
    <x v="425"/>
    <s v="57228-Allocations budgétaires pour le fonctionnement du ST/ProDEG"/>
  </r>
  <r>
    <s v="Organisation des revues sectorielles"/>
    <s v="organisation revue"/>
    <s v="revue"/>
    <n v="0"/>
    <m/>
    <m/>
    <m/>
    <n v="0"/>
    <n v="215"/>
    <n v="0"/>
    <n v="0"/>
    <n v="0"/>
    <n v="0"/>
    <n v="0"/>
    <x v="8"/>
    <s v="Tranvsal_secteur"/>
    <s v="3. Dépenses de fonctionnement"/>
    <s v="SG"/>
    <s v="SG"/>
    <x v="1"/>
    <x v="4"/>
    <x v="35"/>
    <s v="572- Des organes de pilotage et de coordination du ProDEG sont mis en place et sont fonctionnels"/>
    <x v="425"/>
    <s v="57229-Organisation des revues sectorielles"/>
  </r>
  <r>
    <s v="Organisation des revues sectorielles"/>
    <s v="organisation revue"/>
    <s v="revue"/>
    <n v="0"/>
    <n v="1"/>
    <n v="1"/>
    <n v="1"/>
    <n v="3"/>
    <n v="215"/>
    <n v="0"/>
    <n v="215"/>
    <n v="215"/>
    <n v="215"/>
    <n v="645"/>
    <x v="6"/>
    <s v="Tranvsal_secteur"/>
    <s v="3. Dépenses de fonctionnement"/>
    <s v="ST/ProDEG (CDMT)"/>
    <s v="ST/ProDEG (CDMT)"/>
    <x v="4"/>
    <x v="4"/>
    <x v="35"/>
    <s v="572- Des organes de pilotage et de coordination du ProDEG sont mis en place et sont fonctionnels"/>
    <x v="425"/>
    <s v="57229-Organisation des revues sectorielles"/>
  </r>
  <r>
    <s v="Préparation de la mise en œuvre du ProDEG et suivi évaluation"/>
    <m/>
    <m/>
    <n v="0"/>
    <m/>
    <m/>
    <m/>
    <m/>
    <m/>
    <m/>
    <m/>
    <m/>
    <m/>
    <m/>
    <x v="0"/>
    <m/>
    <m/>
    <m/>
    <m/>
    <x v="3"/>
    <x v="4"/>
    <x v="35"/>
    <s v="572- Des organes de pilotage et de coordination du ProDEG sont mis en place et sont fonctionnels"/>
    <x v="426"/>
    <s v="5723-Préparation de la mise en œuvre du ProDEG et suivi évaluation"/>
  </r>
  <r>
    <s v="Elaboration des plans d'actions annuels du ProDEG"/>
    <s v="atelier"/>
    <s v="h/j/ap"/>
    <n v="0"/>
    <n v="150"/>
    <n v="150"/>
    <n v="150"/>
    <n v="450"/>
    <n v="0.255"/>
    <n v="0"/>
    <n v="38.25"/>
    <n v="38.25"/>
    <n v="38.25"/>
    <n v="114.75"/>
    <x v="6"/>
    <s v="Tranvsal_secteur"/>
    <s v="3. Dépenses de fonctionnement"/>
    <s v="ST/ProDEG (CDMT)"/>
    <s v="ST/ProDEG (CDMT)"/>
    <x v="4"/>
    <x v="4"/>
    <x v="35"/>
    <s v="572- Des organes de pilotage et de coordination du ProDEG sont mis en place et sont fonctionnels"/>
    <x v="426"/>
    <s v="57231-Elaboration des plans d'actions annuels du ProDEG"/>
  </r>
  <r>
    <s v="Validation des plans d'actions annuels du ProDEG par le GSE (pris en compte dans le budget ST/ProDEG)"/>
    <s v="pm"/>
    <s v="sif"/>
    <n v="0"/>
    <n v="1"/>
    <n v="1"/>
    <n v="1"/>
    <n v="3"/>
    <n v="0"/>
    <m/>
    <m/>
    <m/>
    <m/>
    <m/>
    <x v="2"/>
    <s v="Tranvsal_secteur"/>
    <s v=""/>
    <s v="GSE"/>
    <s v="GSE"/>
    <x v="1"/>
    <x v="4"/>
    <x v="35"/>
    <s v="572- Des organes de pilotage et de coordination du ProDEG sont mis en place et sont fonctionnels"/>
    <x v="426"/>
    <s v="57232-Validation des plans d'actions annuels du ProDEG par le GSE (pris en compte dans le budget ST/ProDEG)"/>
  </r>
  <r>
    <s v="Mise à la disposition de chaque structure de son plan d'action annuel (IRE, Cabinet, Directions centrales, universités, etc.)"/>
    <s v="pm"/>
    <s v="sif"/>
    <n v="0"/>
    <n v="1"/>
    <n v="1"/>
    <n v="1"/>
    <n v="3"/>
    <n v="0"/>
    <m/>
    <m/>
    <m/>
    <m/>
    <m/>
    <x v="2"/>
    <s v="Tranvsal_secteur"/>
    <s v=""/>
    <s v="GSE"/>
    <s v="GSE"/>
    <x v="1"/>
    <x v="4"/>
    <x v="35"/>
    <s v="572- Des organes de pilotage et de coordination du ProDEG sont mis en place et sont fonctionnels"/>
    <x v="426"/>
    <s v="57233-Mise à la disposition de chaque structure de son plan d'action annuel (IRE, Cabinet, Directions centrales, universités, etc.)"/>
  </r>
  <r>
    <s v="Elaboration des rapports de suivi semestriel du ProDEG par structure (pris en compte dans leur budget)"/>
    <s v="pm"/>
    <s v="sif"/>
    <n v="0"/>
    <n v="1"/>
    <n v="1"/>
    <n v="1"/>
    <n v="3"/>
    <n v="0"/>
    <m/>
    <m/>
    <m/>
    <m/>
    <m/>
    <x v="2"/>
    <s v="Tranvsal_secteur"/>
    <s v=""/>
    <s v="ST/ProDEG"/>
    <s v="ST/ProDEG"/>
    <x v="1"/>
    <x v="4"/>
    <x v="35"/>
    <s v="572- Des organes de pilotage et de coordination du ProDEG sont mis en place et sont fonctionnels"/>
    <x v="426"/>
    <s v="57234-Elaboration des rapports de suivi semestriel du ProDEG par structure (pris en compte dans leur budget)"/>
  </r>
  <r>
    <s v="Elaboration des rapports de suivi semestriel et annuel du ProDEG par Département (pris en compte dans leur budget)"/>
    <s v="pm"/>
    <s v="sif"/>
    <n v="0"/>
    <n v="1"/>
    <n v="1"/>
    <n v="1"/>
    <n v="3"/>
    <n v="0"/>
    <m/>
    <m/>
    <m/>
    <m/>
    <m/>
    <x v="2"/>
    <s v="Tranvsal_secteur"/>
    <s v=""/>
    <s v="ST/ProDEG"/>
    <s v="ST/ProDEG"/>
    <x v="1"/>
    <x v="4"/>
    <x v="35"/>
    <s v="572- Des organes de pilotage et de coordination du ProDEG sont mis en place et sont fonctionnels"/>
    <x v="426"/>
    <s v="57235-Elaboration des rapports de suivi semestriel et annuel du ProDEG par Département (pris en compte dans leur budget)"/>
  </r>
  <r>
    <s v="Elaboration des rapports de suivi semestriel et annuel du ProDEG (pris en compte dans le budget de la ST/ProDEG)"/>
    <s v="pm"/>
    <s v="sif"/>
    <n v="0"/>
    <n v="1"/>
    <n v="1"/>
    <n v="1"/>
    <n v="3"/>
    <n v="0"/>
    <m/>
    <m/>
    <m/>
    <m/>
    <m/>
    <x v="2"/>
    <s v="Tranvsal_secteur"/>
    <s v=""/>
    <s v="ST/ProDEG"/>
    <s v="ST/ProDEG"/>
    <x v="1"/>
    <x v="4"/>
    <x v="35"/>
    <s v="572- Des organes de pilotage et de coordination du ProDEG sont mis en place et sont fonctionnels"/>
    <x v="426"/>
    <s v="57236-Elaboration des rapports de suivi semestriel et annuel du ProDEG (pris en compte dans le budget de la ST/ProDEG)"/>
  </r>
  <r>
    <s v="Elaboration du second plan d'action triennal du ProDEG"/>
    <s v="forfait"/>
    <s v="forfait /PAPB"/>
    <n v="0"/>
    <m/>
    <m/>
    <n v="1"/>
    <n v="1"/>
    <n v="819"/>
    <n v="0"/>
    <n v="0"/>
    <n v="0"/>
    <n v="819"/>
    <n v="819"/>
    <x v="13"/>
    <s v="Tranvsal_secteur"/>
    <s v="3. Dépenses de fonctionnement"/>
    <s v="ST/ProDEG"/>
    <s v="ST/ProDEG"/>
    <x v="1"/>
    <x v="4"/>
    <x v="35"/>
    <s v="572- Des organes de pilotage et de coordination du ProDEG sont mis en place et sont fonctionnels"/>
    <x v="426"/>
    <s v="57237-Elaboration du second plan d'action triennal du ProDEG"/>
  </r>
  <r>
    <s v="Évaluation de la mise en œuvre de la phase 1 du PRODEG"/>
    <s v="assistance technique"/>
    <s v="h/j/ci"/>
    <n v="0"/>
    <m/>
    <m/>
    <n v="50"/>
    <n v="50"/>
    <n v="10.404797"/>
    <n v="0"/>
    <n v="0"/>
    <n v="0"/>
    <n v="520.23985000000005"/>
    <n v="520.23985000000005"/>
    <x v="6"/>
    <s v="Tranvsal_secteur"/>
    <s v="3. Dépenses de fonctionnement"/>
    <s v="ST/ProDEG (CDMT)"/>
    <s v="ST/ProDEG (CDMT)"/>
    <x v="4"/>
    <x v="4"/>
    <x v="35"/>
    <s v="572- Des organes de pilotage et de coordination du ProDEG sont mis en place et sont fonctionnels"/>
    <x v="426"/>
    <s v="57238-Évaluation de la mise en œuvre de la phase 1 du PRODEG"/>
  </r>
  <r>
    <s v="Les unités de gestion des projets d'appui à la mise en eouvre du développemet du seteur sont fonctionnelles"/>
    <m/>
    <m/>
    <n v="0"/>
    <m/>
    <m/>
    <m/>
    <m/>
    <m/>
    <m/>
    <m/>
    <m/>
    <m/>
    <m/>
    <x v="0"/>
    <m/>
    <m/>
    <m/>
    <m/>
    <x v="3"/>
    <x v="4"/>
    <x v="35"/>
    <s v="572- Des organes de pilotage et de coordination du ProDEG sont mis en place et sont fonctionnels"/>
    <x v="427"/>
    <s v="5724-Les unités de gestion des projets d'appui à la mise en eouvre du développemet du seteur sont fonctionnelles"/>
  </r>
  <r>
    <s v="Fonctionnement de la coordination du FOCEB y compris audit annuel et communication sur le projet"/>
    <s v="divers"/>
    <s v="forfait /Foceb"/>
    <n v="0"/>
    <m/>
    <m/>
    <m/>
    <n v="0"/>
    <n v="4302.8008666666601"/>
    <n v="0"/>
    <n v="0"/>
    <n v="0"/>
    <n v="0"/>
    <n v="0"/>
    <x v="8"/>
    <s v="Tranvsal_secteur"/>
    <s v="3. Dépenses de fonctionnement"/>
    <s v="SG"/>
    <s v="C/FoCEB"/>
    <x v="0"/>
    <x v="4"/>
    <x v="35"/>
    <s v="572- Des organes de pilotage et de coordination du ProDEG sont mis en place et sont fonctionnels"/>
    <x v="427"/>
    <s v="57241-Fonctionnement de la coordination du FOCEB y compris audit annuel et communication sur le projet"/>
  </r>
  <r>
    <s v="Fonctionnement de l'unité de coordination du projet de la banque mondialepour l'appui au préscolaire et à la qualité au primaire y compris audit annuel et communication sur le projet"/>
    <s v="divers"/>
    <s v="forfait /proBM"/>
    <n v="0"/>
    <n v="1"/>
    <n v="1"/>
    <n v="1"/>
    <n v="3"/>
    <n v="3562.5"/>
    <n v="0"/>
    <n v="3562.5"/>
    <n v="3562.5"/>
    <n v="3562.5"/>
    <n v="10687.5"/>
    <x v="1"/>
    <s v="Tranvsal_secteur"/>
    <s v="3. Dépenses de fonctionnement"/>
    <s v="SG"/>
    <s v="UGP/BM"/>
    <x v="0"/>
    <x v="4"/>
    <x v="35"/>
    <s v="572- Des organes de pilotage et de coordination du ProDEG sont mis en place et sont fonctionnels"/>
    <x v="427"/>
    <s v="57242-Fonctionnement de l'unité de coordination du projet de la banque mondialepour l'appui au préscolaire et à la qualité au primaire y compris audit annuel et communication sur le projet"/>
  </r>
  <r>
    <s v="Fonctionnement de la coordination du BOCEJ y compris audit annuel et communication sur le projet"/>
    <s v="divers"/>
    <s v="forfait /BOCEJ"/>
    <n v="0"/>
    <n v="1"/>
    <m/>
    <m/>
    <n v="1"/>
    <n v="7295.05"/>
    <n v="0"/>
    <n v="7295.05"/>
    <n v="0"/>
    <n v="0"/>
    <n v="7295.05"/>
    <x v="21"/>
    <s v="Tranvsal_secteur"/>
    <s v="3. Dépenses de fonctionnement"/>
    <s v="BOCEJ"/>
    <s v="BOCEJ"/>
    <x v="1"/>
    <x v="4"/>
    <x v="35"/>
    <s v="572- Des organes de pilotage et de coordination du ProDEG sont mis en place et sont fonctionnels"/>
    <x v="427"/>
    <s v="57243-Fonctionnement de la coordination du BOCEJ y compris audit annuel et communication sur le projet"/>
  </r>
  <r>
    <s v="Fonctionnement de la coordination du PAFISAM y compris audit annuel et communication sur le projet"/>
    <s v="divers"/>
    <s v="forfait /PAFISAM"/>
    <n v="0"/>
    <n v="1"/>
    <n v="1"/>
    <m/>
    <n v="2"/>
    <n v="2940"/>
    <n v="0"/>
    <n v="2940"/>
    <n v="2940"/>
    <n v="0"/>
    <n v="5880"/>
    <x v="20"/>
    <s v="Tranvsal_secteur"/>
    <s v="3. Dépenses de fonctionnement"/>
    <m/>
    <m/>
    <x v="1"/>
    <x v="2"/>
    <x v="35"/>
    <s v="572- Des organes de pilotage et de coordination du ProDEG sont mis en place et sont fonctionnels"/>
    <x v="427"/>
    <s v="57244-Fonctionnement de la coordination du PAFISAM y compris audit annuel et communication sur le projet"/>
  </r>
  <r>
    <s v="Rénovation et extension &amp; équipements des infrastructures des 2 sites Kankan, Pita"/>
    <s v="Travaux"/>
    <s v="travaux/ETFP"/>
    <n v="0"/>
    <n v="1"/>
    <n v="1"/>
    <m/>
    <n v="2"/>
    <n v="15600"/>
    <n v="23400"/>
    <n v="15600"/>
    <n v="54600"/>
    <n v="0"/>
    <n v="93600"/>
    <x v="20"/>
    <s v="Tranvsal_secteur"/>
    <s v="5. Investissement"/>
    <m/>
    <m/>
    <x v="1"/>
    <x v="2"/>
    <x v="35"/>
    <s v="572- Des organes de pilotage et de coordination du ProDEG sont mis en place et sont fonctionnels"/>
    <x v="24"/>
    <s v="57245-Rénovation et extension &amp; équipements des infrastructures des 2 sites Kankan, Pita"/>
  </r>
  <r>
    <s v="Renforcement du dispositif ASCAD (AT institutionnel, gestion,…)"/>
    <s v="Assistance technqiue"/>
    <s v="travaux/ETFP"/>
    <n v="0"/>
    <n v="1"/>
    <n v="1"/>
    <m/>
    <n v="2"/>
    <n v="4400"/>
    <n v="6600"/>
    <n v="4400"/>
    <n v="15400"/>
    <n v="0"/>
    <n v="26400"/>
    <x v="20"/>
    <s v="Tranvsal_secteur"/>
    <s v="5. Investissement"/>
    <m/>
    <m/>
    <x v="1"/>
    <x v="2"/>
    <x v="35"/>
    <s v="572- Des organes de pilotage et de coordination du ProDEG sont mis en place et sont fonctionnels"/>
    <x v="428"/>
    <s v="57246-Renforcement du dispositif ASCAD (AT institutionnel, gestion,…)"/>
  </r>
  <r>
    <s v=" Renforcement des compétences de l’administration (cadre normatif, poste-profil, évaluation, équipement, formations…)"/>
    <m/>
    <m/>
    <n v="0"/>
    <m/>
    <m/>
    <m/>
    <m/>
    <m/>
    <m/>
    <m/>
    <m/>
    <m/>
    <m/>
    <x v="0"/>
    <m/>
    <m/>
    <m/>
    <m/>
    <x v="3"/>
    <x v="4"/>
    <x v="36"/>
    <s v="58- Renforcement des compétences de l’administration (cadre normatif, poste-profil, évaluation, équipement, formations…)"/>
    <x v="429"/>
    <s v="58- Renforcement des compétences de l’administration (cadre normatif, poste-profil, évaluation, équipement, formations…)"/>
  </r>
  <r>
    <s v=" Les cadres organiques des différentes structures sont redéFinis pour que leur efficacité s’améliore "/>
    <m/>
    <m/>
    <n v="0"/>
    <m/>
    <m/>
    <m/>
    <m/>
    <m/>
    <m/>
    <m/>
    <m/>
    <m/>
    <m/>
    <x v="0"/>
    <m/>
    <m/>
    <m/>
    <m/>
    <x v="3"/>
    <x v="4"/>
    <x v="36"/>
    <s v="581- Les cadres organiques des différentes structures sont redéfinis pour que leur efficacité s’améliore "/>
    <x v="430"/>
    <s v="581- Les cadres organiques des différentes structures sont redéFinis pour que leur efficacité s’améliore "/>
  </r>
  <r>
    <s v="Évaluation des forces et faiblesses des cadres organiques à tous les niveaux"/>
    <m/>
    <m/>
    <n v="0"/>
    <m/>
    <m/>
    <m/>
    <m/>
    <m/>
    <m/>
    <m/>
    <m/>
    <m/>
    <m/>
    <x v="0"/>
    <m/>
    <m/>
    <m/>
    <m/>
    <x v="3"/>
    <x v="4"/>
    <x v="36"/>
    <s v="581- Les cadres organiques des différentes structures sont redéfinis pour que leur efficacité s’améliore "/>
    <x v="431"/>
    <s v="5811-Évaluation des forces et faiblesses des cadres organiques à tous les niveaux"/>
  </r>
  <r>
    <s v="Elaboration de TDR pour le recrutement d'un cabinet/consultant"/>
    <s v="travaux administratifs"/>
    <s v="sif"/>
    <n v="0"/>
    <n v="1"/>
    <n v="0"/>
    <n v="0"/>
    <n v="1"/>
    <n v="0"/>
    <m/>
    <m/>
    <m/>
    <m/>
    <m/>
    <x v="2"/>
    <s v="Tranvsal_secteur"/>
    <s v=""/>
    <s v="SG"/>
    <s v="SG"/>
    <x v="0"/>
    <x v="4"/>
    <x v="36"/>
    <s v="581- Les cadres organiques des différentes structures sont redéfinis pour que leur efficacité s’améliore "/>
    <x v="431"/>
    <s v="58111-Elaboration de TDR pour le recrutement d'un cabinet/consultant"/>
  </r>
  <r>
    <s v="Réalisation d'une étude sur les forces et les faibles des cadres organiques des 3 ministères"/>
    <s v="Assistance technique"/>
    <s v="h/j/ci"/>
    <n v="0"/>
    <n v="180"/>
    <m/>
    <m/>
    <n v="180"/>
    <n v="10.404797"/>
    <n v="0"/>
    <n v="1872.86346"/>
    <n v="0"/>
    <n v="0"/>
    <n v="1872.86346"/>
    <x v="1"/>
    <s v="Tranvsal_secteur"/>
    <s v="3. Dépenses de fonctionnement"/>
    <s v="SG"/>
    <s v="SG"/>
    <x v="0"/>
    <x v="4"/>
    <x v="36"/>
    <s v="581- Les cadres organiques des différentes structures sont redéfinis pour que leur efficacité s’améliore "/>
    <x v="431"/>
    <s v="58112-Réalisation d'une étude sur les forces et les faibles des cadres organiques des 3 ministères"/>
  </r>
  <r>
    <s v="Validation des résultats de l'étude"/>
    <s v="atelier"/>
    <s v="h/j/a"/>
    <n v="0"/>
    <n v="60"/>
    <m/>
    <m/>
    <n v="60"/>
    <n v="0.3133333333333333"/>
    <n v="0"/>
    <n v="18.799999999999997"/>
    <n v="0"/>
    <n v="0"/>
    <n v="18.799999999999997"/>
    <x v="1"/>
    <s v="Tranvsal_secteur"/>
    <s v="3. Formation"/>
    <s v="SG"/>
    <s v="SG"/>
    <x v="0"/>
    <x v="4"/>
    <x v="36"/>
    <s v="581- Les cadres organiques des différentes structures sont redéfinis pour que leur efficacité s’améliore "/>
    <x v="431"/>
    <s v="58113-Validation des résultats de l'étude"/>
  </r>
  <r>
    <s v="travaux sur la révision du cadre organique en fonction des recommandations de l'état des lieux (pris en compte dans activité 58112)"/>
    <s v="pm"/>
    <s v="sif"/>
    <n v="0"/>
    <n v="1"/>
    <n v="1"/>
    <m/>
    <n v="2"/>
    <n v="0"/>
    <m/>
    <m/>
    <m/>
    <m/>
    <m/>
    <x v="2"/>
    <s v="Tranvsal_secteur"/>
    <s v=""/>
    <s v="SG"/>
    <s v="SG"/>
    <x v="0"/>
    <x v="4"/>
    <x v="36"/>
    <s v="581- Les cadres organiques des différentes structures sont redéfinis pour que leur efficacité s’améliore "/>
    <x v="431"/>
    <s v="58114-travaux sur la révision du cadre organique en fonction des recommandations de l'état des lieux (pris en compte dans activité 58112)"/>
  </r>
  <r>
    <s v="Développement des cadres organiques adaptés (mission, attributions, organisation, nombre et profil de postes…)"/>
    <m/>
    <m/>
    <n v="0"/>
    <m/>
    <m/>
    <m/>
    <m/>
    <m/>
    <m/>
    <m/>
    <m/>
    <m/>
    <m/>
    <x v="0"/>
    <m/>
    <m/>
    <m/>
    <m/>
    <x v="3"/>
    <x v="4"/>
    <x v="36"/>
    <s v="581- Les cadres organiques des différentes structures sont redéfinis pour que leur efficacité s’améliore "/>
    <x v="432"/>
    <s v="5812-Développement des cadres organiques adaptés (mission, attributions, organisation, nombre et profil de postes…)"/>
  </r>
  <r>
    <s v="Adoption et publication d'actes administratifs sur les nouveaux cadres"/>
    <s v="texte"/>
    <s v="sif"/>
    <n v="0"/>
    <m/>
    <n v="1"/>
    <m/>
    <n v="1"/>
    <n v="0"/>
    <m/>
    <m/>
    <m/>
    <m/>
    <m/>
    <x v="2"/>
    <s v="Tranvsal_secteur"/>
    <s v=""/>
    <s v="SG"/>
    <s v="SG"/>
    <x v="0"/>
    <x v="4"/>
    <x v="36"/>
    <s v="581- Les cadres organiques des différentes structures sont redéfinis pour que leur efficacité s’améliore "/>
    <x v="432"/>
    <s v="58121-Adoption et publication d'actes administratifs sur les nouveaux cadres"/>
  </r>
  <r>
    <s v="Adaptation des manuels de procédures aux nouveaux cadres organiques (pris en compte dans 58112)"/>
    <s v="pm"/>
    <s v="sif"/>
    <n v="0"/>
    <m/>
    <n v="1"/>
    <m/>
    <n v="1"/>
    <n v="0"/>
    <m/>
    <m/>
    <m/>
    <m/>
    <m/>
    <x v="2"/>
    <s v="Tranvsal_secteur"/>
    <s v=""/>
    <s v="SG"/>
    <s v="SG"/>
    <x v="0"/>
    <x v="4"/>
    <x v="36"/>
    <s v="581- Les cadres organiques des différentes structures sont redéfinis pour que leur efficacité s’améliore "/>
    <x v="432"/>
    <s v="58122-Adaptation des manuels de procédures aux nouveaux cadres organiques (pris en compte dans 58112)"/>
  </r>
  <r>
    <s v="Ameublement des cadres organiques"/>
    <s v="travaux administratifs"/>
    <s v="sif"/>
    <n v="0"/>
    <n v="0"/>
    <n v="1"/>
    <n v="0"/>
    <n v="1"/>
    <n v="0"/>
    <m/>
    <m/>
    <m/>
    <m/>
    <m/>
    <x v="2"/>
    <s v="Tranvsal_secteur"/>
    <s v=""/>
    <s v="Cabinet"/>
    <s v="Cabinet"/>
    <x v="0"/>
    <x v="4"/>
    <x v="36"/>
    <s v="581- Les cadres organiques des différentes structures sont redéfinis pour que leur efficacité s’améliore "/>
    <x v="432"/>
    <s v="58123-Ameublement des cadres organiques"/>
  </r>
  <r>
    <s v="Elaboration d'un texte réglementant les relations entre les universités et les communautés"/>
    <s v="texte"/>
    <s v="sif"/>
    <n v="0"/>
    <m/>
    <n v="1"/>
    <m/>
    <n v="1"/>
    <n v="0"/>
    <m/>
    <m/>
    <m/>
    <m/>
    <m/>
    <x v="2"/>
    <s v="Tranvsal_secteur"/>
    <s v=""/>
    <s v="Rectorats/DG"/>
    <s v="IES/IRS"/>
    <x v="2"/>
    <x v="4"/>
    <x v="36"/>
    <s v="581- Les cadres organiques des différentes structures sont redéfinis pour que leur efficacité s’améliore "/>
    <x v="432"/>
    <s v="58124-Elaboration d'un texte réglementant les relations entre les universités et les communautés"/>
  </r>
  <r>
    <s v="Mise à jour des textes règlementant la création, l'ouverture et le fonctionnement des établissements privés pré-universitaires"/>
    <s v="atelier"/>
    <s v="h/j/ap"/>
    <n v="0"/>
    <n v="150"/>
    <m/>
    <m/>
    <n v="150"/>
    <n v="0.255"/>
    <n v="0"/>
    <n v="38.25"/>
    <n v="0"/>
    <n v="0"/>
    <n v="38.25"/>
    <x v="13"/>
    <s v="Tranvsal_secteur"/>
    <s v="3. Dépenses de fonctionnement"/>
    <s v="SG"/>
    <s v="SG"/>
    <x v="0"/>
    <x v="4"/>
    <x v="36"/>
    <s v="581- Les cadres organiques des différentes structures sont redéfinis pour que leur efficacité s’améliore "/>
    <x v="432"/>
    <s v="58125-Mise à jour des textes règlementant la création, l'ouverture et le fonctionnement des établissements privés pré-universitaires"/>
  </r>
  <r>
    <s v="Adoption du texte sur les établissements privés"/>
    <s v="travaux administratifs"/>
    <s v="sif"/>
    <n v="0"/>
    <n v="1"/>
    <n v="0"/>
    <n v="0"/>
    <n v="1"/>
    <n v="0"/>
    <m/>
    <m/>
    <m/>
    <m/>
    <m/>
    <x v="2"/>
    <s v="Tranvsal_secteur"/>
    <s v=""/>
    <s v="SG"/>
    <s v="SG"/>
    <x v="0"/>
    <x v="4"/>
    <x v="36"/>
    <s v="581- Les cadres organiques des différentes structures sont redéfinis pour que leur efficacité s’améliore "/>
    <x v="432"/>
    <s v="58126-Adoption du texte sur les établissements privés"/>
  </r>
  <r>
    <s v="Organisation d'un forum sur l'enseignement privé"/>
    <s v="forum"/>
    <s v="h/j/a"/>
    <n v="0"/>
    <n v="200"/>
    <m/>
    <m/>
    <n v="200"/>
    <n v="0.3133333333333333"/>
    <n v="0"/>
    <n v="62.666666666666657"/>
    <n v="0"/>
    <n v="0"/>
    <n v="62.666666666666657"/>
    <x v="13"/>
    <s v="Tranvsal_secteur"/>
    <s v="3. Formation"/>
    <s v="SG"/>
    <s v="SG"/>
    <x v="0"/>
    <x v="4"/>
    <x v="36"/>
    <s v="581- Les cadres organiques des différentes structures sont redéfinis pour que leur efficacité s’améliore "/>
    <x v="432"/>
    <s v="58127-Organisation d'un forum sur l'enseignement privé"/>
  </r>
  <r>
    <s v="Dissémination des cadres organiques et sensibilisation des acteurs concernés"/>
    <m/>
    <m/>
    <n v="0"/>
    <m/>
    <m/>
    <m/>
    <m/>
    <m/>
    <m/>
    <m/>
    <m/>
    <m/>
    <m/>
    <x v="0"/>
    <m/>
    <m/>
    <m/>
    <m/>
    <x v="3"/>
    <x v="4"/>
    <x v="36"/>
    <s v="581- Les cadres organiques des différentes structures sont redéfinis pour que leur efficacité s’améliore "/>
    <x v="433"/>
    <s v="5813-Dissémination des cadres organiques et sensibilisation des acteurs concernés"/>
  </r>
  <r>
    <s v="Reproduction des manuels de procédures "/>
    <s v="Impression"/>
    <s v="imp"/>
    <n v="0"/>
    <n v="4900"/>
    <m/>
    <m/>
    <n v="4900"/>
    <n v="7.4999999999999997E-3"/>
    <n v="0"/>
    <n v="36.75"/>
    <n v="0"/>
    <n v="0"/>
    <n v="36.75"/>
    <x v="13"/>
    <s v="Tranvsal_secteur"/>
    <s v="3. Dépenses de fonctionnement"/>
    <s v="SG"/>
    <s v="SG"/>
    <x v="0"/>
    <x v="4"/>
    <x v="36"/>
    <s v="581- Les cadres organiques des différentes structures sont redéfinis pour que leur efficacité s’améliore "/>
    <x v="433"/>
    <s v="58131-Reproduction des manuels de procédures "/>
  </r>
  <r>
    <s v="Organisation de sessions de partage des manuels de procédures et remise des manuels"/>
    <s v="Ateliers"/>
    <s v="h/j/m"/>
    <n v="0"/>
    <n v="216"/>
    <m/>
    <m/>
    <n v="216"/>
    <n v="0.8177777777777776"/>
    <n v="0"/>
    <n v="176.63999999999996"/>
    <n v="0"/>
    <n v="0"/>
    <n v="176.63999999999996"/>
    <x v="13"/>
    <s v="Tranvsal_secteur"/>
    <s v="3. Dépenses de fonctionnement"/>
    <s v="SG"/>
    <s v="SG"/>
    <x v="0"/>
    <x v="4"/>
    <x v="36"/>
    <s v="581- Les cadres organiques des différentes structures sont redéfinis pour que leur efficacité s’améliore "/>
    <x v="433"/>
    <s v="58132-Organisation de sessions de partage des manuels de procédures et remise des manuels"/>
  </r>
  <r>
    <s v="Collecte et analyse périodique d’informations sur le respect des cadres organiques"/>
    <m/>
    <m/>
    <n v="0"/>
    <m/>
    <m/>
    <m/>
    <m/>
    <m/>
    <m/>
    <m/>
    <m/>
    <m/>
    <m/>
    <x v="0"/>
    <m/>
    <m/>
    <m/>
    <m/>
    <x v="3"/>
    <x v="4"/>
    <x v="36"/>
    <s v="581- Les cadres organiques des différentes structures sont redéfinis pour que leur efficacité s’améliore "/>
    <x v="434"/>
    <s v="5814-Collecte et analyse périodique d’informations sur le respect des cadres organiques"/>
  </r>
  <r>
    <s v="Organisation d'inspections périodiques"/>
    <s v="travaux administratifs"/>
    <s v="sif"/>
    <n v="0"/>
    <m/>
    <n v="1"/>
    <n v="1"/>
    <n v="2"/>
    <n v="0"/>
    <m/>
    <m/>
    <m/>
    <m/>
    <m/>
    <x v="2"/>
    <s v="Tranvsal_secteur"/>
    <s v=""/>
    <s v="IGE"/>
    <s v="IGE"/>
    <x v="0"/>
    <x v="4"/>
    <x v="36"/>
    <s v="581- Les cadres organiques des différentes structures sont redéfinis pour que leur efficacité s’améliore "/>
    <x v="434"/>
    <s v="58141-Organisation d'inspections périodiques"/>
  </r>
  <r>
    <s v="Analyse et prise de décisions"/>
    <s v="travaux administratifs"/>
    <s v="sif"/>
    <n v="0"/>
    <m/>
    <n v="1"/>
    <n v="1"/>
    <n v="2"/>
    <n v="0"/>
    <m/>
    <m/>
    <m/>
    <m/>
    <m/>
    <x v="2"/>
    <s v="Tranvsal_secteur"/>
    <s v=""/>
    <s v="Cabinet"/>
    <s v="Cabinet"/>
    <x v="0"/>
    <x v="4"/>
    <x v="36"/>
    <s v="581- Les cadres organiques des différentes structures sont redéfinis pour que leur efficacité s’améliore "/>
    <x v="434"/>
    <s v="58142-Analyse et prise de décisions"/>
  </r>
  <r>
    <s v=" Le plan de relève permet l’existence continue d’un corps administratif compétent"/>
    <m/>
    <m/>
    <n v="0"/>
    <m/>
    <m/>
    <m/>
    <m/>
    <m/>
    <m/>
    <m/>
    <m/>
    <m/>
    <m/>
    <x v="0"/>
    <m/>
    <m/>
    <m/>
    <m/>
    <x v="3"/>
    <x v="4"/>
    <x v="36"/>
    <s v="582- Le plan de relève permet l’existence continue d’un corps administratif compétent"/>
    <x v="428"/>
    <s v="582- Le plan de relève permet l’existence continue d’un corps administratif compétent"/>
  </r>
  <r>
    <s v="Création d’un corps d’administrateurs scolaires et d’un corps d’inspecteurs"/>
    <m/>
    <m/>
    <n v="0"/>
    <m/>
    <m/>
    <m/>
    <m/>
    <m/>
    <m/>
    <m/>
    <m/>
    <m/>
    <m/>
    <x v="0"/>
    <m/>
    <m/>
    <m/>
    <m/>
    <x v="3"/>
    <x v="4"/>
    <x v="36"/>
    <s v="582- Le plan de relève permet l’existence continue d’un corps administratif compétent"/>
    <x v="435"/>
    <s v="5821-Création d’un corps d’administrateurs scolaires et d’un corps d’inspecteurs"/>
  </r>
  <r>
    <s v="Evaluation de la disponibilité des administrateurs scolaires et des inspecteurs d'éducation (primaire, secondaire et ETFP) au niveau du secteur"/>
    <s v="travaux administratifs"/>
    <s v="sif"/>
    <n v="0"/>
    <n v="1"/>
    <n v="0"/>
    <n v="0"/>
    <n v="1"/>
    <n v="0"/>
    <m/>
    <m/>
    <m/>
    <m/>
    <m/>
    <x v="2"/>
    <s v="Tranvsal_secteur"/>
    <s v=""/>
    <s v="IGE"/>
    <s v="IGE"/>
    <x v="0"/>
    <x v="4"/>
    <x v="36"/>
    <s v="582- Le plan de relève permet l’existence continue d’un corps administratif compétent"/>
    <x v="435"/>
    <s v="58211-Evaluation de la disponibilité des administrateurs scolaires et des inspecteurs d'éducation (primaire, secondaire et ETFP) au niveau du secteur"/>
  </r>
  <r>
    <s v="Détermination des besoins actuels et futurs du système en administrateurs scolaires et inspecteurs d'éducation"/>
    <s v="travaux administratifs"/>
    <s v="sif"/>
    <n v="0"/>
    <n v="1"/>
    <n v="0"/>
    <n v="0"/>
    <n v="1"/>
    <n v="0"/>
    <m/>
    <m/>
    <m/>
    <m/>
    <m/>
    <x v="2"/>
    <s v="Tranvsal_secteur"/>
    <s v=""/>
    <s v="IGE"/>
    <s v="IGE"/>
    <x v="0"/>
    <x v="4"/>
    <x v="36"/>
    <s v="582- Le plan de relève permet l’existence continue d’un corps administratif compétent"/>
    <x v="435"/>
    <s v="58212-Détermination des besoins actuels et futurs du système en administrateurs scolaires et inspecteurs d'éducation"/>
  </r>
  <r>
    <s v="Actualisation des textes administratifs relatifs aux corps d'administrateurs et d'inspecteurs"/>
    <s v="travaux administratifs"/>
    <s v="sif"/>
    <n v="0"/>
    <n v="1"/>
    <n v="0"/>
    <n v="0"/>
    <n v="1"/>
    <n v="0"/>
    <m/>
    <m/>
    <m/>
    <m/>
    <m/>
    <x v="2"/>
    <s v="Tranvsal_secteur"/>
    <s v=""/>
    <s v="IGE"/>
    <s v="IGE"/>
    <x v="0"/>
    <x v="4"/>
    <x v="36"/>
    <s v="582- Le plan de relève permet l’existence continue d’un corps administratif compétent"/>
    <x v="435"/>
    <s v="58213-Actualisation des textes administratifs relatifs aux corps d'administrateurs et d'inspecteurs"/>
  </r>
  <r>
    <s v="Organisations de formations régulières pour l’entrée dans les corps des administrateurs scolaires et des inspecteurs"/>
    <m/>
    <m/>
    <n v="0"/>
    <m/>
    <m/>
    <m/>
    <m/>
    <m/>
    <m/>
    <m/>
    <m/>
    <m/>
    <m/>
    <x v="0"/>
    <m/>
    <m/>
    <m/>
    <m/>
    <x v="3"/>
    <x v="4"/>
    <x v="36"/>
    <s v="582- Le plan de relève permet l’existence continue d’un corps administratif compétent"/>
    <x v="436"/>
    <s v="5822-Organisations de formations régulières pour l’entrée dans les corps des administrateurs scolaires et des inspecteurs"/>
  </r>
  <r>
    <s v="Elaboration des critères d'admissibilité"/>
    <s v="travaux administratifs"/>
    <s v="sif"/>
    <n v="0"/>
    <n v="0"/>
    <n v="1"/>
    <n v="0"/>
    <n v="1"/>
    <n v="0"/>
    <m/>
    <m/>
    <m/>
    <m/>
    <m/>
    <x v="2"/>
    <s v="Tranvsal_secteur"/>
    <s v=""/>
    <s v="IGE"/>
    <s v="IGE"/>
    <x v="0"/>
    <x v="4"/>
    <x v="36"/>
    <s v="582- Le plan de relève permet l’existence continue d’un corps administratif compétent"/>
    <x v="436"/>
    <s v="58221-Elaboration des critères d'admissibilité"/>
  </r>
  <r>
    <s v="Session d'organisation de concours d'entrée des postulants (budget concours)"/>
    <s v="pm"/>
    <s v="sif"/>
    <n v="0"/>
    <m/>
    <n v="1"/>
    <m/>
    <n v="1"/>
    <n v="0"/>
    <m/>
    <m/>
    <m/>
    <m/>
    <m/>
    <x v="2"/>
    <s v="Tranvsal_secteur"/>
    <s v=""/>
    <s v="IGE"/>
    <s v="ISSEG"/>
    <x v="2"/>
    <x v="4"/>
    <x v="36"/>
    <s v="582- Le plan de relève permet l’existence continue d’un corps administratif compétent"/>
    <x v="436"/>
    <s v="58222-Session d'organisation de concours d'entrée des postulants (budget concours)"/>
  </r>
  <r>
    <s v="Publication des résultats"/>
    <s v="travaux administratifs"/>
    <s v="sif"/>
    <n v="0"/>
    <n v="0"/>
    <n v="1"/>
    <n v="0"/>
    <n v="1"/>
    <n v="0"/>
    <m/>
    <m/>
    <m/>
    <m/>
    <m/>
    <x v="2"/>
    <s v="Tranvsal_secteur"/>
    <s v=""/>
    <s v="IGE"/>
    <s v="ISSEG"/>
    <x v="2"/>
    <x v="4"/>
    <x v="36"/>
    <s v="582- Le plan de relève permet l’existence continue d’un corps administratif compétent"/>
    <x v="436"/>
    <s v="58223-Publication des résultats"/>
  </r>
  <r>
    <s v="session de formation des inspecteurs en présentiel (voir ISSEG)"/>
    <s v="pm"/>
    <s v="sif"/>
    <n v="0"/>
    <m/>
    <n v="1"/>
    <n v="1"/>
    <n v="2"/>
    <n v="0"/>
    <m/>
    <m/>
    <m/>
    <m/>
    <m/>
    <x v="2"/>
    <s v="Tranvsal_secteur"/>
    <s v=""/>
    <s v="IGE"/>
    <s v="ISSEG"/>
    <x v="2"/>
    <x v="4"/>
    <x v="36"/>
    <s v="582- Le plan de relève permet l’existence continue d’un corps administratif compétent"/>
    <x v="436"/>
    <s v="58224-session de formation des inspecteurs en présentiel (voir ISSEG)"/>
  </r>
  <r>
    <s v="session de formation des directeurs d'écoles et chefs d'établissements à distance (voir ISSEG)"/>
    <s v="pm"/>
    <s v="sif"/>
    <n v="0"/>
    <m/>
    <n v="1"/>
    <n v="1"/>
    <n v="2"/>
    <n v="0"/>
    <m/>
    <m/>
    <m/>
    <m/>
    <m/>
    <x v="2"/>
    <s v="Tranvsal_secteur"/>
    <s v=""/>
    <s v="IGE"/>
    <s v="ISSEG"/>
    <x v="2"/>
    <x v="4"/>
    <x v="36"/>
    <s v="582- Le plan de relève permet l’existence continue d’un corps administratif compétent"/>
    <x v="436"/>
    <s v="58225-session de formation des directeurs d'écoles et chefs d'établissements à distance (voir ISSEG)"/>
  </r>
  <r>
    <s v="Renforcement des compétences des administrateurs scolaires et inspecteurs (formations continues ; manuels de procédures; guides ; appui)"/>
    <m/>
    <m/>
    <n v="0"/>
    <m/>
    <m/>
    <m/>
    <m/>
    <m/>
    <m/>
    <m/>
    <m/>
    <m/>
    <m/>
    <x v="0"/>
    <m/>
    <m/>
    <m/>
    <m/>
    <x v="3"/>
    <x v="4"/>
    <x v="36"/>
    <s v="582- Le plan de relève permet l’existence continue d’un corps administratif compétent"/>
    <x v="437"/>
    <s v="5823-Renforcement des compétences des administrateurs scolaires et inspecteurs (formations continues ; manuels de procédures; guides ; appui)"/>
  </r>
  <r>
    <s v="Identification des institutions de formations"/>
    <s v="travaux administratifs"/>
    <s v="sif"/>
    <n v="0"/>
    <n v="0"/>
    <n v="0"/>
    <n v="0"/>
    <m/>
    <n v="0"/>
    <m/>
    <m/>
    <m/>
    <m/>
    <m/>
    <x v="2"/>
    <s v="Tranvsal_secteur"/>
    <s v=""/>
    <s v="IGE"/>
    <s v="IGE"/>
    <x v="0"/>
    <x v="4"/>
    <x v="36"/>
    <s v="582- Le plan de relève permet l’existence continue d’un corps administratif compétent"/>
    <x v="437"/>
    <s v="58231-Identification des institutions de formations"/>
  </r>
  <r>
    <s v="Élaborations des modules de formation"/>
    <s v="Ateliers"/>
    <s v="h/j/ap"/>
    <n v="0"/>
    <n v="300"/>
    <m/>
    <m/>
    <n v="300"/>
    <n v="0.255"/>
    <n v="0"/>
    <n v="76.5"/>
    <n v="0"/>
    <n v="0"/>
    <n v="76.5"/>
    <x v="1"/>
    <s v="Tranvsal_secteur"/>
    <s v="3. Dépenses de fonctionnement"/>
    <s v="IGE"/>
    <s v="ISSEG"/>
    <x v="2"/>
    <x v="4"/>
    <x v="36"/>
    <s v="582- Le plan de relève permet l’existence continue d’un corps administratif compétent"/>
    <x v="437"/>
    <s v="58232-Élaborations des modules de formation"/>
  </r>
  <r>
    <s v="Mise en œuvre de la formation des administrateurs scolaires et inspecteurs"/>
    <s v="formation"/>
    <s v="h/f"/>
    <n v="476"/>
    <n v="140"/>
    <n v="160"/>
    <n v="160"/>
    <n v="936"/>
    <n v="1.5"/>
    <n v="714"/>
    <n v="210"/>
    <n v="240"/>
    <n v="240"/>
    <n v="1404"/>
    <x v="4"/>
    <s v="Tranvsal_secteur"/>
    <s v="3. Formation"/>
    <s v="IGE"/>
    <s v="ISSEG"/>
    <x v="0"/>
    <x v="4"/>
    <x v="36"/>
    <s v="582- Le plan de relève permet l’existence continue d’un corps administratif compétent"/>
    <x v="437"/>
    <s v="58233-Mise en œuvre de la formation des administrateurs scolaires et inspecteurs"/>
  </r>
  <r>
    <s v="Mise en œuvre de la formation des administrateurs scolaires et inspecteurs"/>
    <s v="formation"/>
    <s v="h/f"/>
    <n v="0"/>
    <n v="300"/>
    <n v="300"/>
    <n v="395"/>
    <n v="995"/>
    <n v="1.5"/>
    <m/>
    <n v="450"/>
    <n v="450"/>
    <n v="592.5"/>
    <n v="1492.5"/>
    <x v="1"/>
    <s v="Tranvsal_secteur"/>
    <s v="3. Formation"/>
    <s v="IGE"/>
    <s v="ISSEG"/>
    <x v="2"/>
    <x v="4"/>
    <x v="36"/>
    <s v="582- Le plan de relève permet l’existence continue d’un corps administratif compétent"/>
    <x v="437"/>
    <s v="58233-Mise en œuvre de la formation des administrateurs scolaires et inspecteurs"/>
  </r>
  <r>
    <s v="Mise en œuvre de la formation des administrateurs scolaires et inspecteurs"/>
    <s v="formation"/>
    <s v="h/f"/>
    <n v="0"/>
    <n v="160"/>
    <n v="440"/>
    <n v="495"/>
    <n v="1095"/>
    <n v="1.5"/>
    <m/>
    <n v="240"/>
    <n v="660"/>
    <n v="742.5"/>
    <n v="1642.5"/>
    <x v="2"/>
    <s v="Tranvsal_secteur"/>
    <s v="3. Formation"/>
    <s v="IGE"/>
    <s v="ISSEG"/>
    <x v="2"/>
    <x v="4"/>
    <x v="36"/>
    <s v="582- Le plan de relève permet l’existence continue d’un corps administratif compétent"/>
    <x v="437"/>
    <s v="58233-Mise en œuvre de la formation des administrateurs scolaires et inspecteurs"/>
  </r>
  <r>
    <s v="Evaluation de la formation"/>
    <s v="mission"/>
    <s v="h/j/m"/>
    <n v="0"/>
    <m/>
    <n v="300"/>
    <n v="0"/>
    <n v="300"/>
    <n v="0.8177777777777776"/>
    <n v="0"/>
    <n v="0"/>
    <n v="245.33333333333329"/>
    <n v="0"/>
    <n v="245.33333333333329"/>
    <x v="1"/>
    <s v="Tranvsal_secteur"/>
    <s v="3. Dépenses de fonctionnement"/>
    <s v="IGE"/>
    <s v="ISSEG"/>
    <x v="2"/>
    <x v="4"/>
    <x v="36"/>
    <s v="582- Le plan de relève permet l’existence continue d’un corps administratif compétent"/>
    <x v="437"/>
    <s v="58234-Evaluation de la formation"/>
  </r>
  <r>
    <s v="Développement régulier de plans de formation pour le personnel des différentes structures administratives"/>
    <m/>
    <m/>
    <n v="0"/>
    <m/>
    <m/>
    <m/>
    <m/>
    <m/>
    <m/>
    <m/>
    <m/>
    <m/>
    <m/>
    <x v="0"/>
    <m/>
    <m/>
    <m/>
    <m/>
    <x v="3"/>
    <x v="4"/>
    <x v="36"/>
    <s v="582- Le plan de relève permet l’existence continue d’un corps administratif compétent"/>
    <x v="438"/>
    <s v="5824-Développement régulier de plans de formation pour le personnel des différentes structures administratives"/>
  </r>
  <r>
    <s v="Mise en place d'une commission chargée du pilotage du programme de renforcement des capacités individuelles des agents du MENA"/>
    <s v="travaux administratifs"/>
    <s v="sif"/>
    <n v="0"/>
    <n v="1"/>
    <n v="0"/>
    <n v="0"/>
    <n v="1"/>
    <n v="0"/>
    <m/>
    <m/>
    <m/>
    <m/>
    <m/>
    <x v="2"/>
    <s v="Tranvsal_secteur"/>
    <s v=""/>
    <s v="SG"/>
    <s v="SG"/>
    <x v="0"/>
    <x v="4"/>
    <x v="36"/>
    <s v="582- Le plan de relève permet l’existence continue d’un corps administratif compétent"/>
    <x v="438"/>
    <s v="58241-Mise en place d'une commission chargée du pilotage du programme de renforcement des capacités individuelles des agents du MENA"/>
  </r>
  <r>
    <s v="Identification des besoins en renforcement des capacités des cadres (réalisée par la DRH)"/>
    <s v="travaux administratifs"/>
    <s v="sif"/>
    <n v="0"/>
    <n v="1"/>
    <n v="0"/>
    <n v="0"/>
    <n v="1"/>
    <n v="0"/>
    <m/>
    <m/>
    <m/>
    <m/>
    <m/>
    <x v="2"/>
    <s v="Tranvsal_secteur"/>
    <s v=""/>
    <s v="SG"/>
    <s v="Commission"/>
    <x v="0"/>
    <x v="4"/>
    <x v="36"/>
    <s v="582- Le plan de relève permet l’existence continue d’un corps administratif compétent"/>
    <x v="438"/>
    <s v="58242-Identification des besoins en renforcement des capacités des cadres (réalisée par la DRH)"/>
  </r>
  <r>
    <s v="Production annuelle et validation de plans de formation "/>
    <s v="travaux administratifs"/>
    <s v="sif"/>
    <n v="0"/>
    <n v="1"/>
    <n v="1"/>
    <n v="1"/>
    <n v="3"/>
    <n v="0"/>
    <m/>
    <m/>
    <m/>
    <m/>
    <m/>
    <x v="2"/>
    <s v="Tranvsal_secteur"/>
    <s v=""/>
    <s v="SG"/>
    <s v="Commission"/>
    <x v="0"/>
    <x v="4"/>
    <x v="36"/>
    <s v="582- Le plan de relève permet l’existence continue d’un corps administratif compétent"/>
    <x v="438"/>
    <s v="58243-Production annuelle et validation de plans de formation "/>
  </r>
  <r>
    <s v="Mise en œuvre des plans de formation"/>
    <m/>
    <m/>
    <n v="0"/>
    <m/>
    <m/>
    <m/>
    <m/>
    <m/>
    <m/>
    <m/>
    <m/>
    <m/>
    <m/>
    <x v="0"/>
    <m/>
    <m/>
    <m/>
    <m/>
    <x v="3"/>
    <x v="4"/>
    <x v="36"/>
    <s v="582- Le plan de relève permet l’existence continue d’un corps administratif compétent"/>
    <x v="439"/>
    <s v="5825-Mise en œuvre des plans de formation"/>
  </r>
  <r>
    <s v="Mise en œuvre progressive des plans de formation en adéquation avec les profils et les postes (pris en compte partiellement dans les différents sous programmes)"/>
    <s v="formation"/>
    <s v="h/j/f"/>
    <n v="476"/>
    <n v="2821.95"/>
    <n v="1881.3"/>
    <n v="1881.3"/>
    <n v="7060.55"/>
    <n v="0.67666666666666664"/>
    <n v="322.09333333333331"/>
    <n v="1909.5194999999999"/>
    <n v="1273.0129999999999"/>
    <n v="1273.0129999999999"/>
    <n v="4777.6388333333325"/>
    <x v="4"/>
    <s v="Tranvsal_secteur"/>
    <s v="3. Formation"/>
    <s v="SG"/>
    <s v="Commission"/>
    <x v="0"/>
    <x v="4"/>
    <x v="36"/>
    <s v="582- Le plan de relève permet l’existence continue d’un corps administratif compétent"/>
    <x v="439"/>
    <s v="58251-Mise en œuvre progressive des plans de formation en adéquation avec les profils et les postes (pris en compte partiellement dans les différents sous programmes)"/>
  </r>
  <r>
    <s v="Mise en œuvre progressive des plans de formation en adéquation avec les profils et les postes (pris en compte partiellement dans les différents sous programmes)"/>
    <s v="formation"/>
    <s v="h/j/f"/>
    <n v="0"/>
    <n v="1678.05"/>
    <n v="1118.7"/>
    <n v="1118.7"/>
    <n v="3915.45"/>
    <n v="0.67666666666666664"/>
    <n v="0"/>
    <n v="1135.4804999999999"/>
    <n v="756.98699999999997"/>
    <n v="756.98699999999997"/>
    <n v="2649.4544999999998"/>
    <x v="13"/>
    <s v="Tranvsal_secteur"/>
    <s v="3. Formation"/>
    <s v="SG"/>
    <s v="Commission"/>
    <x v="0"/>
    <x v="4"/>
    <x v="36"/>
    <s v="582- Le plan de relève permet l’existence continue d’un corps administratif compétent"/>
    <x v="439"/>
    <s v="58251-Mise en œuvre progressive des plans de formation en adéquation avec les profils et les postes (pris en compte partiellement dans les différents sous programmes)"/>
  </r>
  <r>
    <s v="Formation d'un noyau dur de personnel d'encadrement pour le préscolaire"/>
    <s v="formation"/>
    <s v="h/an/fe"/>
    <n v="48"/>
    <n v="6.6014999999999997"/>
    <n v="2.2004999999999999"/>
    <m/>
    <n v="56.802"/>
    <n v="107.95"/>
    <n v="5181.6000000000004"/>
    <n v="712.63192500000002"/>
    <n v="237.54397499999999"/>
    <n v="0"/>
    <n v="6131.7758999999996"/>
    <x v="4"/>
    <s v="Tranvsal_secteur"/>
    <s v="3. Formation"/>
    <s v="DRH"/>
    <s v="DRH"/>
    <x v="0"/>
    <x v="4"/>
    <x v="36"/>
    <s v="582- Le plan de relève permet l’existence continue d’un corps administratif compétent"/>
    <x v="439"/>
    <s v="58252-Formation d'un noyau dur de personnel d'encadrement pour le préscolaire"/>
  </r>
  <r>
    <s v="octroie de bourse a milles enfants vulnerables entrant au college en 2019 "/>
    <s v="formation"/>
    <s v="h/an/fe"/>
    <n v="1000"/>
    <m/>
    <m/>
    <m/>
    <n v="1000"/>
    <n v="1"/>
    <n v="1000"/>
    <n v="0"/>
    <n v="0"/>
    <n v="0"/>
    <n v="1000"/>
    <x v="4"/>
    <s v="Tranvsal_secteur"/>
    <s v="3. Formation"/>
    <s v="DRH"/>
    <s v="DRH"/>
    <x v="0"/>
    <x v="4"/>
    <x v="36"/>
    <s v="582- Le plan de relève permet l’existence continue d’un corps administratif compétent"/>
    <x v="439"/>
    <s v="58252-octroie de bourse a milles enfants vulnerables entrant au college en 2019 "/>
  </r>
  <r>
    <s v="Formation d'un noyau dur de personnel d'encadrement pour le préscolaire"/>
    <s v="formation"/>
    <s v="h/an/fe"/>
    <n v="0"/>
    <n v="8.3985000000000003"/>
    <n v="2.7995000000000001"/>
    <m/>
    <n v="11.198"/>
    <n v="107.95"/>
    <n v="0"/>
    <n v="906.61807500000009"/>
    <n v="302.20602500000001"/>
    <n v="0"/>
    <n v="1208.8241"/>
    <x v="13"/>
    <s v="Tranvsal_secteur"/>
    <s v="3. Formation"/>
    <s v="DRH"/>
    <s v="DRH"/>
    <x v="0"/>
    <x v="4"/>
    <x v="36"/>
    <s v="582- Le plan de relève permet l’existence continue d’un corps administratif compétent"/>
    <x v="439"/>
    <s v="58252-Formation d'un noyau dur de personnel d'encadrement pour le préscolaire"/>
  </r>
  <r>
    <s v="Formation des directeurs centraux et des IRE au management"/>
    <s v="formation"/>
    <s v="Cu/fe"/>
    <n v="0"/>
    <m/>
    <n v="8"/>
    <n v="10"/>
    <n v="18"/>
    <n v="50.336534"/>
    <n v="0"/>
    <n v="0"/>
    <n v="402.692272"/>
    <n v="503.36534"/>
    <n v="906.05761200000006"/>
    <x v="13"/>
    <s v="Tranvsal_secteur"/>
    <s v="3. Formation"/>
    <s v="SG"/>
    <s v="Commission"/>
    <x v="0"/>
    <x v="4"/>
    <x v="36"/>
    <s v="582- Le plan de relève permet l’existence continue d’un corps administratif compétent"/>
    <x v="439"/>
    <s v="58253-Formation des directeurs centraux et des IRE au management"/>
  </r>
  <r>
    <s v="Suivi de la mise en œuvre des plans de formations"/>
    <s v="Rapport"/>
    <s v="h/j/ap"/>
    <n v="0"/>
    <n v="60"/>
    <n v="60"/>
    <n v="60"/>
    <n v="180"/>
    <n v="0.255"/>
    <n v="0"/>
    <n v="15.3"/>
    <n v="15.3"/>
    <n v="15.3"/>
    <n v="45.900000000000006"/>
    <x v="13"/>
    <s v="Tranvsal_secteur"/>
    <s v="3. Dépenses de fonctionnement"/>
    <s v="SG"/>
    <s v="Commission"/>
    <x v="0"/>
    <x v="4"/>
    <x v="36"/>
    <s v="582- Le plan de relève permet l’existence continue d’un corps administratif compétent"/>
    <x v="439"/>
    <s v="58254-Suivi de la mise en œuvre des plans de formations"/>
  </r>
  <r>
    <s v="Analyse des capacités institutionnelles des administrations du MENA"/>
    <s v="assistance technique"/>
    <s v="h/j/ci"/>
    <n v="0"/>
    <m/>
    <m/>
    <n v="60"/>
    <n v="60"/>
    <n v="10.404797"/>
    <n v="0"/>
    <n v="0"/>
    <n v="0"/>
    <n v="624.28782000000001"/>
    <n v="624.28782000000001"/>
    <x v="13"/>
    <s v="Tranvsal_secteur"/>
    <s v="3. Dépenses de fonctionnement"/>
    <s v="SG"/>
    <s v="Commission"/>
    <x v="0"/>
    <x v="4"/>
    <x v="36"/>
    <s v="582- Le plan de relève permet l’existence continue d’un corps administratif compétent"/>
    <x v="439"/>
    <s v="58255-Analyse des capacités institutionnelles des administrations du MENA"/>
  </r>
  <r>
    <s v=" Chaque structure dispose des moyens logistiques nécessaires à l’accomplissement de sa mission"/>
    <m/>
    <m/>
    <n v="0"/>
    <m/>
    <m/>
    <m/>
    <m/>
    <m/>
    <m/>
    <m/>
    <m/>
    <m/>
    <m/>
    <x v="0"/>
    <m/>
    <m/>
    <m/>
    <m/>
    <x v="3"/>
    <x v="4"/>
    <x v="36"/>
    <s v="583- Chaque structure dispose des moyens logistiques nécessaires à l’accomplissement de sa mission"/>
    <x v="440"/>
    <s v="583- Chaque structure dispose des moyens logistiques nécessaires à l’accomplissement de sa mission"/>
  </r>
  <r>
    <s v="Evaluation de l'état des lieux et dotation des services en moyens logistiques et équipements"/>
    <m/>
    <m/>
    <n v="0"/>
    <m/>
    <m/>
    <m/>
    <m/>
    <m/>
    <m/>
    <m/>
    <m/>
    <m/>
    <m/>
    <x v="0"/>
    <m/>
    <m/>
    <m/>
    <m/>
    <x v="3"/>
    <x v="4"/>
    <x v="36"/>
    <s v="583- Chaque structure dispose des moyens logistiques nécessaires à l’accomplissement de sa mission"/>
    <x v="441"/>
    <s v="5831-Evaluation de l'état des lieux et dotation des services en moyens logistiques et équipements"/>
  </r>
  <r>
    <s v="Elaboration d'un questionnaire par structure sur la base du questionnaire existant (inventaire et besoins)"/>
    <s v="pm"/>
    <s v="sif"/>
    <n v="0"/>
    <n v="1"/>
    <m/>
    <m/>
    <n v="1"/>
    <n v="0"/>
    <m/>
    <m/>
    <m/>
    <m/>
    <m/>
    <x v="2"/>
    <s v="Tranvsal_secteur"/>
    <s v=""/>
    <m/>
    <m/>
    <x v="3"/>
    <x v="4"/>
    <x v="36"/>
    <s v="583- Chaque structure dispose des moyens logistiques nécessaires à l’accomplissement de sa mission"/>
    <x v="441"/>
    <s v="58311-Elaboration d'un questionnaire par structure sur la base du questionnaire existant (inventaire et besoins)"/>
  </r>
  <r>
    <s v="Evaluation des besoins en moyens logistiques et équipements, en rapport avec les missions des structures (sur la base de l'inventaire et des cadres organiques)"/>
    <s v="pm"/>
    <s v="sif"/>
    <n v="0"/>
    <n v="1"/>
    <m/>
    <m/>
    <n v="1"/>
    <n v="0"/>
    <m/>
    <m/>
    <m/>
    <m/>
    <m/>
    <x v="2"/>
    <s v="Tranvsal_secteur"/>
    <s v=""/>
    <s v="Cabinet"/>
    <s v="BSD"/>
    <x v="0"/>
    <x v="4"/>
    <x v="36"/>
    <s v="583- Chaque structure dispose des moyens logistiques nécessaires à l’accomplissement de sa mission"/>
    <x v="441"/>
    <s v="58312-Evaluation des besoins en moyens logistiques et équipements, en rapport avec les missions des structures (sur la base de l'inventaire et des cadres organiques)"/>
  </r>
  <r>
    <s v="Vérification des besoins pour un échantillon de structures"/>
    <s v="mission"/>
    <s v="h/j/m"/>
    <n v="0"/>
    <n v="80"/>
    <m/>
    <m/>
    <n v="80"/>
    <n v="0.8177777777777776"/>
    <n v="0"/>
    <n v="65.422222222222203"/>
    <n v="0"/>
    <n v="0"/>
    <n v="65.422222222222203"/>
    <x v="13"/>
    <s v="Tranvsal_secteur"/>
    <s v="3. Dépenses de fonctionnement"/>
    <s v="Cabinet"/>
    <s v="BSD"/>
    <x v="0"/>
    <x v="4"/>
    <x v="36"/>
    <s v="583- Chaque structure dispose des moyens logistiques nécessaires à l’accomplissement de sa mission"/>
    <x v="441"/>
    <s v="58313-Vérification des besoins pour un échantillon de structures"/>
  </r>
  <r>
    <s v="Acquisition de matériels roulants"/>
    <s v="motos"/>
    <s v="moto"/>
    <n v="0"/>
    <n v="71.666666666666501"/>
    <n v="71.666666666666501"/>
    <n v="71.666666666666501"/>
    <n v="214.99999999999949"/>
    <n v="15"/>
    <n v="0"/>
    <n v="1074.9999999999975"/>
    <n v="1074.9999999999975"/>
    <n v="1074.9999999999975"/>
    <n v="3224.9999999999927"/>
    <x v="2"/>
    <s v="Tranvsal_secteur"/>
    <s v="5. Investissement"/>
    <s v="Cabinet"/>
    <s v="BSD"/>
    <x v="0"/>
    <x v="4"/>
    <x v="36"/>
    <s v="583- Chaque structure dispose des moyens logistiques nécessaires à l’accomplissement de sa mission"/>
    <x v="441"/>
    <s v="58314-Acquisition de matériels roulants"/>
  </r>
  <r>
    <s v="Acquisition de matériels roulants"/>
    <s v="motos"/>
    <s v="moto"/>
    <n v="0"/>
    <n v="71.666666666666501"/>
    <n v="71.666666666666501"/>
    <n v="71.666666666666501"/>
    <n v="214.99999999999949"/>
    <n v="15"/>
    <n v="0"/>
    <n v="1074.9999999999975"/>
    <n v="1074.9999999999975"/>
    <n v="1074.9999999999975"/>
    <n v="3224.9999999999927"/>
    <x v="13"/>
    <s v="Tranvsal_secteur"/>
    <s v="5. Investissement"/>
    <s v="Cabinet"/>
    <s v="BSD"/>
    <x v="0"/>
    <x v="4"/>
    <x v="36"/>
    <s v="583- Chaque structure dispose des moyens logistiques nécessaires à l’accomplissement de sa mission"/>
    <x v="441"/>
    <s v="58314-Acquisition de matériels roulants"/>
  </r>
  <r>
    <s v="Acquisition de matériels roulants"/>
    <s v="véhicules"/>
    <s v="véhicule 4x4"/>
    <n v="0"/>
    <n v="1.5"/>
    <n v="2.5"/>
    <m/>
    <n v="4"/>
    <n v="300"/>
    <n v="0"/>
    <n v="450"/>
    <n v="750"/>
    <n v="0"/>
    <n v="1200"/>
    <x v="2"/>
    <s v="Tranvsal_secteur"/>
    <s v="5. Investissement"/>
    <s v="Cabinet"/>
    <s v="BSD"/>
    <x v="0"/>
    <x v="4"/>
    <x v="36"/>
    <s v="583- Chaque structure dispose des moyens logistiques nécessaires à l’accomplissement de sa mission"/>
    <x v="441"/>
    <s v="58315-Acquisition de matériels roulants"/>
  </r>
  <r>
    <s v="Acquisition de matériels roulants"/>
    <s v="véhicules"/>
    <s v="véhicule 4x4"/>
    <n v="0"/>
    <n v="1.5"/>
    <n v="2.5"/>
    <m/>
    <n v="4"/>
    <n v="300"/>
    <n v="0"/>
    <n v="450"/>
    <n v="750"/>
    <n v="0"/>
    <n v="1200"/>
    <x v="13"/>
    <s v="Tranvsal_secteur"/>
    <s v="5. Investissement"/>
    <s v="Cabinet"/>
    <s v="BSD"/>
    <x v="0"/>
    <x v="4"/>
    <x v="36"/>
    <s v="583- Chaque structure dispose des moyens logistiques nécessaires à l’accomplissement de sa mission"/>
    <x v="441"/>
    <s v="58315-Acquisition de matériels roulants"/>
  </r>
  <r>
    <s v="Acquisition d'équipement informatique (ordinateurs portables)"/>
    <s v="ordinateurs"/>
    <s v="ordinateur"/>
    <n v="0"/>
    <n v="10"/>
    <n v="10"/>
    <m/>
    <n v="20"/>
    <n v="5"/>
    <n v="0"/>
    <n v="50"/>
    <n v="50"/>
    <n v="0"/>
    <n v="100"/>
    <x v="2"/>
    <s v="Tranvsal_secteur"/>
    <s v="5. Investissement"/>
    <s v="Cabinet"/>
    <s v="BSD"/>
    <x v="0"/>
    <x v="4"/>
    <x v="36"/>
    <s v="583- Chaque structure dispose des moyens logistiques nécessaires à l’accomplissement de sa mission"/>
    <x v="441"/>
    <s v="58316-Acquisition d'équipement informatique (ordinateurs portables)"/>
  </r>
  <r>
    <s v="Acquisition d'équipement informatique (ordinateurs portables)"/>
    <s v="ordinateurs portables"/>
    <s v="ordin/portable"/>
    <n v="0"/>
    <n v="0"/>
    <n v="0"/>
    <m/>
    <n v="0"/>
    <n v="6.333333333333333"/>
    <n v="0"/>
    <n v="0"/>
    <m/>
    <n v="0"/>
    <n v="0"/>
    <x v="8"/>
    <s v="Tranvsal_secteur"/>
    <s v="5. Investissement"/>
    <s v="Cabinet"/>
    <s v="BSD"/>
    <x v="0"/>
    <x v="4"/>
    <x v="36"/>
    <s v="583- Chaque structure dispose des moyens logistiques nécessaires à l’accomplissement de sa mission"/>
    <x v="441"/>
    <s v="58317-Acquisition d'équipement informatique (ordinateurs portables)"/>
  </r>
  <r>
    <s v="Acquisition d'équipement informatique (ordinateurs portables)"/>
    <s v="ordinateurs portables"/>
    <s v="ordin/portable"/>
    <n v="0"/>
    <m/>
    <n v="10"/>
    <m/>
    <n v="10"/>
    <n v="6.333333333333333"/>
    <n v="0"/>
    <n v="0"/>
    <n v="63.333333333333329"/>
    <n v="0"/>
    <n v="63.333333333333329"/>
    <x v="1"/>
    <s v="Tranvsal_secteur"/>
    <s v="5. Investissement"/>
    <s v="Cabinet"/>
    <s v="BSD"/>
    <x v="0"/>
    <x v="4"/>
    <x v="36"/>
    <s v="583- Chaque structure dispose des moyens logistiques nécessaires à l’accomplissement de sa mission"/>
    <x v="441"/>
    <s v="58317-Acquisition d'équipement informatique (ordinateurs portables)"/>
  </r>
  <r>
    <s v="Acquisition d'équipement de connexion internet"/>
    <s v="Equipement informatique"/>
    <s v="Clé3G"/>
    <n v="0"/>
    <n v="38"/>
    <n v="427"/>
    <m/>
    <n v="465"/>
    <n v="0.48333333333333334"/>
    <n v="0"/>
    <n v="18.366666666666667"/>
    <n v="206.38333333333333"/>
    <n v="0"/>
    <n v="224.75"/>
    <x v="2"/>
    <s v="Tranvsal_secteur"/>
    <s v="3. Dépenses de fonctionnement"/>
    <s v="Cabinet"/>
    <s v="BSD"/>
    <x v="0"/>
    <x v="4"/>
    <x v="36"/>
    <s v="583- Chaque structure dispose des moyens logistiques nécessaires à l’accomplissement de sa mission"/>
    <x v="441"/>
    <s v="58318-Acquisition d'équipement de connexion internet"/>
  </r>
  <r>
    <s v="Les résultats des évaluations régulières des structures centrales et déconcentrées permettent d’améliorer leur performance"/>
    <m/>
    <m/>
    <n v="0"/>
    <m/>
    <m/>
    <m/>
    <m/>
    <m/>
    <m/>
    <m/>
    <m/>
    <m/>
    <m/>
    <x v="0"/>
    <m/>
    <m/>
    <m/>
    <m/>
    <x v="3"/>
    <x v="4"/>
    <x v="36"/>
    <s v="584-Les résultats des évaluations régulières des structures centrales et déconcentrées permettent d’améliorer leur performance"/>
    <x v="442"/>
    <s v="584-Les résultats des évaluations régulières des structures centrales et déconcentrées permettent d’améliorer leur performance"/>
  </r>
  <r>
    <s v="Évaluation périodique de la performance des structures et institutions dans la mise en œuvre des activités"/>
    <m/>
    <m/>
    <n v="0"/>
    <m/>
    <m/>
    <m/>
    <m/>
    <m/>
    <m/>
    <m/>
    <m/>
    <m/>
    <m/>
    <x v="0"/>
    <m/>
    <m/>
    <m/>
    <m/>
    <x v="3"/>
    <x v="4"/>
    <x v="36"/>
    <s v="584-Les résultats des évaluations régulières des structures centrales et déconcentrées permettent d’améliorer leur performance"/>
    <x v="443"/>
    <s v="5841-Évaluation périodique de la performance des structures et institutions dans la mise en œuvre des activités"/>
  </r>
  <r>
    <s v="DéFinition d'une démarche d'évaluation régulière des performances des différentes structures"/>
    <s v="atelier"/>
    <s v="h/j/ap"/>
    <n v="0"/>
    <n v="50"/>
    <m/>
    <m/>
    <n v="50"/>
    <n v="0.255"/>
    <n v="0"/>
    <n v="12.75"/>
    <n v="0"/>
    <n v="0"/>
    <n v="12.75"/>
    <x v="13"/>
    <s v="Tranvsal_secteur"/>
    <s v="3. Dépenses de fonctionnement"/>
    <s v="SG"/>
    <s v="SG"/>
    <x v="0"/>
    <x v="4"/>
    <x v="36"/>
    <s v="584-Les résultats des évaluations régulières des structures centrales et déconcentrées permettent d’améliorer leur performance"/>
    <x v="443"/>
    <s v="58411-DéFinition d'une démarche d'évaluation régulière des performances des différentes structures"/>
  </r>
  <r>
    <s v="Validation des mécanismes d'évaluation des performances"/>
    <s v="réunion de cabinet"/>
    <s v="sif"/>
    <n v="0"/>
    <n v="1"/>
    <m/>
    <m/>
    <n v="1"/>
    <n v="0"/>
    <m/>
    <m/>
    <m/>
    <m/>
    <m/>
    <x v="2"/>
    <s v="Tranvsal_secteur"/>
    <s v=""/>
    <s v="SG"/>
    <s v="SG"/>
    <x v="0"/>
    <x v="4"/>
    <x v="36"/>
    <s v="584-Les résultats des évaluations régulières des structures centrales et déconcentrées permettent d’améliorer leur performance"/>
    <x v="443"/>
    <s v="58412-Validation des mécanismes d'évaluation des performances"/>
  </r>
  <r>
    <s v="Déclinaison des lettres de mission annuelle par administration (IRE, Directions centrales)"/>
    <s v="travaux administratifs"/>
    <s v="sif"/>
    <n v="0"/>
    <n v="1"/>
    <n v="1"/>
    <n v="1"/>
    <n v="3"/>
    <n v="0"/>
    <m/>
    <m/>
    <m/>
    <m/>
    <m/>
    <x v="2"/>
    <s v="Tranvsal_secteur"/>
    <s v=""/>
    <s v="SG"/>
    <s v="IRE"/>
    <x v="0"/>
    <x v="4"/>
    <x v="36"/>
    <s v="584-Les résultats des évaluations régulières des structures centrales et déconcentrées permettent d’améliorer leur performance"/>
    <x v="443"/>
    <s v="58413-Déclinaison des lettres de mission annuelle par administration (IRE, Directions centrales)"/>
  </r>
  <r>
    <s v="Déclinaison des lettres de mission aux services (IRE pour les DPE/DCE, DPE/DCE pour les DSEE et les établissements, DSSE aux écoles, Directions centrales aux divisions et sections) "/>
    <s v="travaux administratifs"/>
    <s v="sif"/>
    <n v="0"/>
    <n v="1"/>
    <n v="1"/>
    <n v="1"/>
    <n v="3"/>
    <n v="0"/>
    <m/>
    <m/>
    <m/>
    <m/>
    <m/>
    <x v="2"/>
    <s v="Tranvsal_secteur"/>
    <s v=""/>
    <s v="IRE"/>
    <s v="DPE/DCE"/>
    <x v="0"/>
    <x v="4"/>
    <x v="36"/>
    <s v="584-Les résultats des évaluations régulières des structures centrales et déconcentrées permettent d’améliorer leur performance"/>
    <x v="443"/>
    <s v="58414-Déclinaison des lettres de mission aux services (IRE pour les DPE/DCE, DPE/DCE pour les DSEE et les établissements, DSSE aux écoles, Directions centrales aux divisions et sections) "/>
  </r>
  <r>
    <s v="Elaboration de rapport annuel de mise en œuvre des lettres de missions (tous les niveaux)"/>
    <s v="travaux administratifs"/>
    <s v="sif"/>
    <n v="0"/>
    <n v="1"/>
    <n v="1"/>
    <n v="1"/>
    <n v="3"/>
    <n v="0"/>
    <m/>
    <m/>
    <m/>
    <m/>
    <m/>
    <x v="2"/>
    <s v="Tranvsal_secteur"/>
    <s v=""/>
    <s v="DPE/DCE"/>
    <s v="DSEE"/>
    <x v="0"/>
    <x v="4"/>
    <x v="36"/>
    <s v="584-Les résultats des évaluations régulières des structures centrales et déconcentrées permettent d’améliorer leur performance"/>
    <x v="443"/>
    <s v="58415-Elaboration de rapport annuel de mise en œuvre des lettres de missions (tous les niveaux)"/>
  </r>
  <r>
    <s v="Consolidation des rapports par les IRE et les directions centrales"/>
    <s v="travaux administratifs"/>
    <s v="sif"/>
    <n v="0"/>
    <n v="1"/>
    <n v="1"/>
    <n v="1"/>
    <n v="3"/>
    <n v="0"/>
    <m/>
    <m/>
    <m/>
    <m/>
    <m/>
    <x v="2"/>
    <s v="Tranvsal_secteur"/>
    <s v=""/>
    <m/>
    <m/>
    <x v="3"/>
    <x v="4"/>
    <x v="36"/>
    <s v="584-Les résultats des évaluations régulières des structures centrales et déconcentrées permettent d’améliorer leur performance"/>
    <x v="443"/>
    <s v="58416-Consolidation des rapports par les IRE et les directions centrales"/>
  </r>
  <r>
    <s v="Vérification de l'effectivité de la mise en œuvre des lettres de mission sur un échantillon"/>
    <s v="mission"/>
    <s v="h/j/m"/>
    <n v="0"/>
    <n v="160"/>
    <n v="160"/>
    <n v="160"/>
    <n v="480"/>
    <n v="0.8177777777777776"/>
    <n v="0"/>
    <n v="130.84444444444441"/>
    <n v="130.84444444444441"/>
    <n v="130.84444444444441"/>
    <n v="392.53333333333319"/>
    <x v="2"/>
    <s v="Tranvsal_secteur"/>
    <s v="3. Dépenses de fonctionnement"/>
    <s v="SG"/>
    <s v="SG"/>
    <x v="0"/>
    <x v="4"/>
    <x v="36"/>
    <s v="584-Les résultats des évaluations régulières des structures centrales et déconcentrées permettent d’améliorer leur performance"/>
    <x v="443"/>
    <s v="58417-Vérification de l'effectivité de la mise en œuvre des lettres de mission sur un échantillon"/>
  </r>
  <r>
    <s v="Elaboration du rapport global de mise en œuvre des lettres de mission du Ministère"/>
    <s v="travaux administratifs"/>
    <m/>
    <n v="0"/>
    <n v="1"/>
    <n v="1"/>
    <n v="1"/>
    <n v="3"/>
    <n v="0"/>
    <m/>
    <m/>
    <m/>
    <m/>
    <m/>
    <x v="2"/>
    <s v="Tranvsal_secteur"/>
    <s v=""/>
    <s v="SG"/>
    <s v="SG"/>
    <x v="0"/>
    <x v="4"/>
    <x v="36"/>
    <s v="584-Les résultats des évaluations régulières des structures centrales et déconcentrées permettent d’améliorer leur performance"/>
    <x v="443"/>
    <s v="58418-Elaboration du rapport global de mise en œuvre des lettres de mission du Ministère"/>
  </r>
  <r>
    <s v="Exploitation des résultats des rapports de performance"/>
    <m/>
    <m/>
    <n v="0"/>
    <m/>
    <m/>
    <m/>
    <m/>
    <m/>
    <m/>
    <m/>
    <m/>
    <m/>
    <m/>
    <x v="0"/>
    <m/>
    <m/>
    <m/>
    <m/>
    <x v="3"/>
    <x v="4"/>
    <x v="36"/>
    <s v="584-Les résultats des évaluations régulières des structures centrales et déconcentrées permettent d’améliorer leur performance"/>
    <x v="444"/>
    <s v="5842-Exploitation des résultats des rapports de performance"/>
  </r>
  <r>
    <s v="Analyse du rapport de mise en œuvre et élaboration des recommandations aux différentes structures"/>
    <s v="atelier"/>
    <s v="h/j/ap"/>
    <n v="0"/>
    <n v="120"/>
    <n v="120"/>
    <n v="120"/>
    <n v="360"/>
    <n v="0.255"/>
    <n v="0"/>
    <n v="30.6"/>
    <n v="30.6"/>
    <n v="30.6"/>
    <n v="91.800000000000011"/>
    <x v="2"/>
    <s v="Tranvsal_secteur"/>
    <s v="3. Dépenses de fonctionnement"/>
    <s v="SG"/>
    <s v="SG"/>
    <x v="0"/>
    <x v="4"/>
    <x v="36"/>
    <s v="584-Les résultats des évaluations régulières des structures centrales et déconcentrées permettent d’améliorer leur performance"/>
    <x v="444"/>
    <s v="58421-Analyse du rapport de mise en œuvre et élaboration des recommandations aux différentes structures"/>
  </r>
  <r>
    <s v="Suivi de la mise en œuvre des recommandations"/>
    <s v="travaux administratifs"/>
    <s v="sif"/>
    <n v="0"/>
    <n v="1"/>
    <n v="1"/>
    <n v="1"/>
    <n v="3"/>
    <n v="0"/>
    <m/>
    <m/>
    <m/>
    <m/>
    <m/>
    <x v="2"/>
    <s v="Tranvsal_secteur"/>
    <s v=""/>
    <s v="SG"/>
    <s v="SG"/>
    <x v="0"/>
    <x v="4"/>
    <x v="36"/>
    <s v="584-Les résultats des évaluations régulières des structures centrales et déconcentrées permettent d’améliorer leur performance"/>
    <x v="444"/>
    <s v="58422-Suivi de la mise en œuvre des recommandations"/>
  </r>
  <r>
    <s v="  L’ensemble des acteurs de l’administration éducative sont conscients des vulnérabilités qui menacent la mise œuvre du ProDEG et savent comment y répondre "/>
    <m/>
    <m/>
    <n v="0"/>
    <m/>
    <m/>
    <m/>
    <m/>
    <m/>
    <m/>
    <m/>
    <m/>
    <m/>
    <m/>
    <x v="0"/>
    <m/>
    <m/>
    <m/>
    <m/>
    <x v="3"/>
    <x v="4"/>
    <x v="36"/>
    <s v="585-  L’ensemble des acteurs de l’administration éducative sont conscients des vulnérabilités qui menacent la mise œuvre du ProDEG et savent comment y répondre "/>
    <x v="445"/>
    <s v="585-  L’ensemble des acteurs de l’administration éducative sont conscients des vulnérabilités qui menacent la mise œuvre du ProDEG et savent comment y répondre "/>
  </r>
  <r>
    <s v="Elaboration d’une stratégie nationale de prévention et de gestion des risques et des catastrophes naturelles"/>
    <m/>
    <m/>
    <n v="0"/>
    <m/>
    <m/>
    <m/>
    <m/>
    <m/>
    <m/>
    <m/>
    <m/>
    <m/>
    <m/>
    <x v="0"/>
    <m/>
    <m/>
    <m/>
    <m/>
    <x v="3"/>
    <x v="4"/>
    <x v="36"/>
    <s v="585-  L’ensemble des acteurs de l’administration éducative sont conscients des vulnérabilités qui menacent la mise œuvre du ProDEG et savent comment y répondre "/>
    <x v="446"/>
    <s v="5851-Elaboration d’une stratégie nationale de prévention et de gestion des risques et des catastrophes naturelles"/>
  </r>
  <r>
    <s v="Constitution d'une commission technique interministérielle pour l'élaboration de la stratégie nationale"/>
    <s v="travaux administratifs"/>
    <s v="sif"/>
    <n v="0"/>
    <n v="0"/>
    <n v="0"/>
    <n v="0"/>
    <m/>
    <n v="0"/>
    <m/>
    <m/>
    <m/>
    <m/>
    <m/>
    <x v="2"/>
    <s v="Tranvsal_secteur"/>
    <s v=""/>
    <s v="SG"/>
    <s v="SG"/>
    <x v="1"/>
    <x v="4"/>
    <x v="36"/>
    <s v="585-  L’ensemble des acteurs de l’administration éducative sont conscients des vulnérabilités qui menacent la mise œuvre du ProDEG et savent comment y répondre "/>
    <x v="446"/>
    <s v="58511-Constitution d'une commission technique interministérielle pour l'élaboration de la stratégie nationale"/>
  </r>
  <r>
    <s v="Organisation de concertations pour élaborer la stratégie"/>
    <s v="ateliers"/>
    <s v="h/j/ap"/>
    <n v="0"/>
    <n v="105"/>
    <m/>
    <m/>
    <n v="105"/>
    <n v="0.255"/>
    <n v="0"/>
    <n v="26.775000000000002"/>
    <n v="0"/>
    <n v="0"/>
    <n v="26.775000000000002"/>
    <x v="13"/>
    <s v="Tranvsal_secteur"/>
    <s v="3. Dépenses de fonctionnement"/>
    <s v="SG"/>
    <s v="SG"/>
    <x v="1"/>
    <x v="4"/>
    <x v="36"/>
    <s v="585-  L’ensemble des acteurs de l’administration éducative sont conscients des vulnérabilités qui menacent la mise œuvre du ProDEG et savent comment y répondre "/>
    <x v="446"/>
    <s v="58512-Organisation de concertations pour élaborer la stratégie"/>
  </r>
  <r>
    <s v="Validation et adoption de la stratégie"/>
    <s v="ateliers"/>
    <s v="h/j/a"/>
    <n v="0"/>
    <n v="30"/>
    <m/>
    <m/>
    <n v="30"/>
    <n v="0.3133333333333333"/>
    <n v="0"/>
    <n v="9.3999999999999986"/>
    <n v="0"/>
    <n v="0"/>
    <n v="9.3999999999999986"/>
    <x v="13"/>
    <s v="Tranvsal_secteur"/>
    <s v="3. Formation"/>
    <s v="SG"/>
    <s v="SG"/>
    <x v="1"/>
    <x v="4"/>
    <x v="36"/>
    <s v="585-  L’ensemble des acteurs de l’administration éducative sont conscients des vulnérabilités qui menacent la mise œuvre du ProDEG et savent comment y répondre "/>
    <x v="446"/>
    <s v="58513-Validation et adoption de la stratégie"/>
  </r>
  <r>
    <s v="Diffusion de la stratégie"/>
    <s v="diffusion"/>
    <s v="imp"/>
    <n v="0"/>
    <n v="20000"/>
    <m/>
    <m/>
    <n v="20000"/>
    <n v="7.4999999999999997E-3"/>
    <n v="0"/>
    <n v="150"/>
    <n v="0"/>
    <n v="0"/>
    <n v="150"/>
    <x v="13"/>
    <s v="Tranvsal_secteur"/>
    <s v="3. Dépenses de fonctionnement"/>
    <s v="SG"/>
    <s v="IDEC"/>
    <x v="1"/>
    <x v="4"/>
    <x v="36"/>
    <s v="585-  L’ensemble des acteurs de l’administration éducative sont conscients des vulnérabilités qui menacent la mise œuvre du ProDEG et savent comment y répondre "/>
    <x v="446"/>
    <s v="58514-Diffusion de la stratégie"/>
  </r>
  <r>
    <s v="Sensibilisation des acteurs"/>
    <m/>
    <m/>
    <n v="0"/>
    <m/>
    <m/>
    <m/>
    <m/>
    <m/>
    <m/>
    <m/>
    <m/>
    <m/>
    <m/>
    <x v="0"/>
    <m/>
    <m/>
    <m/>
    <m/>
    <x v="3"/>
    <x v="4"/>
    <x v="36"/>
    <s v="585-  L’ensemble des acteurs de l’administration éducative sont conscients des vulnérabilités qui menacent la mise œuvre du ProDEG et savent comment y répondre "/>
    <x v="447"/>
    <s v="5852-Sensibilisation des acteurs"/>
  </r>
  <r>
    <s v="Campagnes de vulgarisation de la stratégie"/>
    <s v="sensibilisation"/>
    <s v="campagne"/>
    <n v="0"/>
    <m/>
    <n v="1"/>
    <n v="1"/>
    <n v="2"/>
    <n v="45.936799999999998"/>
    <n v="0"/>
    <n v="0"/>
    <n v="45.936799999999998"/>
    <n v="45.936799999999998"/>
    <n v="91.873599999999996"/>
    <x v="13"/>
    <s v="Tranvsal_secteur"/>
    <s v="3. Dépenses de fonctionnement"/>
    <m/>
    <m/>
    <x v="0"/>
    <x v="4"/>
    <x v="36"/>
    <s v="585-  L’ensemble des acteurs de l’administration éducative sont conscients des vulnérabilités qui menacent la mise œuvre du ProDEG et savent comment y répondre "/>
    <x v="447"/>
    <s v="58521-Campagnes de vulgarisation de la stratégie"/>
  </r>
  <r>
    <s v="Mise en place de mécanismes de la stratégie de prévention et de gestion des risques"/>
    <m/>
    <m/>
    <n v="0"/>
    <m/>
    <m/>
    <m/>
    <m/>
    <m/>
    <m/>
    <m/>
    <m/>
    <m/>
    <m/>
    <x v="0"/>
    <m/>
    <m/>
    <m/>
    <m/>
    <x v="3"/>
    <x v="4"/>
    <x v="36"/>
    <s v="585-  L’ensemble des acteurs de l’administration éducative sont conscients des vulnérabilités qui menacent la mise œuvre du ProDEG et savent comment y répondre "/>
    <x v="448"/>
    <s v="5853-Mise en place de mécanismes de la stratégie de prévention et de gestion des risques"/>
  </r>
  <r>
    <s v="Mise en place d’un mécanisme de suivi et de prévention des risques"/>
    <s v="travaux administratifs"/>
    <s v="sif"/>
    <n v="0"/>
    <m/>
    <n v="1"/>
    <m/>
    <n v="1"/>
    <n v="0"/>
    <m/>
    <m/>
    <m/>
    <m/>
    <m/>
    <x v="2"/>
    <s v="Tranvsal_secteur"/>
    <s v=""/>
    <s v="SG"/>
    <s v="SG"/>
    <x v="0"/>
    <x v="4"/>
    <x v="36"/>
    <s v="585-  L’ensemble des acteurs de l’administration éducative sont conscients des vulnérabilités qui menacent la mise œuvre du ProDEG et savent comment y répondre "/>
    <x v="448"/>
    <s v="58531-Mise en place d’un mécanisme de suivi et de prévention des risques"/>
  </r>
  <r>
    <s v="Suivi régulier des vulnérabilités et des réponses "/>
    <s v="travaux administratifs"/>
    <s v="sif"/>
    <n v="0"/>
    <m/>
    <n v="1"/>
    <n v="1"/>
    <n v="2"/>
    <n v="0"/>
    <m/>
    <m/>
    <m/>
    <m/>
    <m/>
    <x v="2"/>
    <s v="Tranvsal_secteur"/>
    <s v=""/>
    <s v="SG"/>
    <s v="SG"/>
    <x v="0"/>
    <x v="4"/>
    <x v="36"/>
    <s v="585-  L’ensemble des acteurs de l’administration éducative sont conscients des vulnérabilités qui menacent la mise œuvre du ProDEG et savent comment y répondre "/>
    <x v="448"/>
    <s v="58532-Suivi régulier des vulnérabilités et des réponses "/>
  </r>
  <r>
    <s v="Education et alphabétisation des adultes"/>
    <m/>
    <m/>
    <n v="0"/>
    <m/>
    <m/>
    <m/>
    <m/>
    <m/>
    <m/>
    <m/>
    <m/>
    <m/>
    <m/>
    <x v="0"/>
    <m/>
    <m/>
    <m/>
    <m/>
    <x v="3"/>
    <x v="5"/>
    <x v="37"/>
    <s v="6-Education et alphabétisation des adultes"/>
    <x v="449"/>
    <s v="6-Education et alphabétisation des adultes"/>
  </r>
  <r>
    <s v="Mobilisation sociale pour l’accroissement des Financements de l’AEA"/>
    <m/>
    <m/>
    <n v="0"/>
    <m/>
    <m/>
    <m/>
    <m/>
    <m/>
    <m/>
    <m/>
    <m/>
    <m/>
    <m/>
    <x v="0"/>
    <m/>
    <m/>
    <m/>
    <m/>
    <x v="3"/>
    <x v="5"/>
    <x v="38"/>
    <s v="61-Mobilisation sociale pour l’accroissement des financements de l’AEA"/>
    <x v="450"/>
    <s v="61-Mobilisation sociale pour l’accroissement des Financements de l’AEA"/>
  </r>
  <r>
    <s v=" les acteurs et les PTF concernés sont mobilisés en faveur de l’AEA."/>
    <m/>
    <m/>
    <n v="0"/>
    <m/>
    <m/>
    <m/>
    <m/>
    <m/>
    <m/>
    <m/>
    <m/>
    <m/>
    <m/>
    <x v="2"/>
    <m/>
    <m/>
    <m/>
    <m/>
    <x v="3"/>
    <x v="5"/>
    <x v="38"/>
    <s v="611- les acteurs et les PTF concernés sont mobilisés en faveur de l’AEA."/>
    <x v="451"/>
    <s v="611- les acteurs et les PTF concernés sont mobilisés en faveur de l’AEA."/>
  </r>
  <r>
    <s v="Sensibilisation et plaidoyer en faveur de l'AEA"/>
    <m/>
    <m/>
    <n v="0"/>
    <m/>
    <m/>
    <m/>
    <m/>
    <m/>
    <m/>
    <m/>
    <m/>
    <m/>
    <m/>
    <x v="0"/>
    <m/>
    <m/>
    <m/>
    <m/>
    <x v="3"/>
    <x v="5"/>
    <x v="38"/>
    <s v="611- les acteurs et les PTF concernés sont mobilisés en faveur de l’AEA."/>
    <x v="452"/>
    <s v="6111-Sensibilisation et plaidoyer en faveur de l'AEA"/>
  </r>
  <r>
    <s v="identification des groupes cibles et des principaux messages"/>
    <s v="travaux administratifs"/>
    <s v="sif"/>
    <n v="0"/>
    <m/>
    <m/>
    <m/>
    <n v="0"/>
    <n v="0"/>
    <m/>
    <m/>
    <m/>
    <m/>
    <m/>
    <x v="2"/>
    <s v="MENA_Programme 5. Alphabétisation et éducation non formelle"/>
    <s v=""/>
    <s v="DNAENF"/>
    <s v="DNAENF"/>
    <x v="0"/>
    <x v="5"/>
    <x v="38"/>
    <s v="611- les acteurs et les PTF concernés sont mobilisés en faveur de l’AEA."/>
    <x v="452"/>
    <s v="61111-identification des groupes cibles et des principaux messages"/>
  </r>
  <r>
    <s v="Mise en place d'équipes de suivi au niveau central et dans les régions"/>
    <s v="décision"/>
    <s v="sif"/>
    <n v="0"/>
    <m/>
    <m/>
    <m/>
    <n v="0"/>
    <n v="0"/>
    <m/>
    <m/>
    <m/>
    <m/>
    <m/>
    <x v="2"/>
    <s v="MENA_Programme 5. Alphabétisation et éducation non formelle"/>
    <s v=""/>
    <s v="DNAENF"/>
    <s v="SG"/>
    <x v="0"/>
    <x v="5"/>
    <x v="38"/>
    <s v="611- les acteurs et les PTF concernés sont mobilisés en faveur de l’AEA."/>
    <x v="452"/>
    <s v="61112-Mise en place d'équipes de suivi au niveau central et dans les régions"/>
  </r>
  <r>
    <s v="Organisation de rencontres de sensibilisation en collaboration avec les structures déconcentrées "/>
    <s v="Atelier"/>
    <s v="h/j/a"/>
    <n v="0"/>
    <n v="90"/>
    <n v="90"/>
    <n v="90"/>
    <n v="270"/>
    <n v="0.3133333333333333"/>
    <n v="0"/>
    <n v="28.199999999999996"/>
    <n v="28.199999999999996"/>
    <n v="28.199999999999996"/>
    <n v="84.6"/>
    <x v="2"/>
    <s v="MENA_Programme 5. Alphabétisation et éducation non formelle"/>
    <s v="3. Formation"/>
    <s v="DNAENF"/>
    <s v=" antennes AEA/sections AEA"/>
    <x v="0"/>
    <x v="5"/>
    <x v="38"/>
    <s v="611- les acteurs et les PTF concernés sont mobilisés en faveur de l’AEA."/>
    <x v="452"/>
    <s v="61113-Organisation de rencontres de sensibilisation en collaboration avec les structures déconcentrées "/>
  </r>
  <r>
    <s v="Organisation d'ateliers régionaux de sensibilisation (pour la prise en compte de l’AEA dans les PDL)"/>
    <s v="Atelier"/>
    <s v="h/j/a"/>
    <n v="0"/>
    <n v="576.072"/>
    <m/>
    <n v="576.072"/>
    <n v="1152.144"/>
    <n v="0.3133333333333333"/>
    <n v="0"/>
    <n v="180.50255999999999"/>
    <n v="0"/>
    <n v="180.50255999999999"/>
    <n v="361.00511999999998"/>
    <x v="2"/>
    <s v="MENA_Programme 5. Alphabétisation et éducation non formelle"/>
    <s v="3. Formation"/>
    <s v="DNAENF"/>
    <s v=" Antenne AEA/sections AEA"/>
    <x v="0"/>
    <x v="5"/>
    <x v="38"/>
    <s v="611- les acteurs et les PTF concernés sont mobilisés en faveur de l’AEA."/>
    <x v="452"/>
    <s v="61114-Organisation d'ateliers régionaux de sensibilisation (pour la prise en compte de l’AEA dans les PDL)"/>
  </r>
  <r>
    <s v="Organisation d'ateliers régionaux de sensibilisation (pour la prise en compte de l’AEA dans les PDL)"/>
    <s v="Atelier"/>
    <s v="h/j/a"/>
    <n v="0"/>
    <n v="143.928"/>
    <m/>
    <n v="143.928"/>
    <n v="287.85599999999999"/>
    <n v="0.3133333333333333"/>
    <n v="0"/>
    <n v="45.097439999999992"/>
    <n v="0"/>
    <n v="45.097439999999992"/>
    <n v="90.194879999999984"/>
    <x v="13"/>
    <s v="MENA_Programme 5. Alphabétisation et éducation non formelle"/>
    <s v="3. Formation"/>
    <s v="DNAENF"/>
    <s v=" Antenne AEA/sections AEA"/>
    <x v="0"/>
    <x v="5"/>
    <x v="38"/>
    <s v="611- les acteurs et les PTF concernés sont mobilisés en faveur de l’AEA."/>
    <x v="452"/>
    <s v="61114-Organisation d'ateliers régionaux de sensibilisation (pour la prise en compte de l’AEA dans les PDL)"/>
  </r>
  <r>
    <s v="Organisation d'émissions radio-télévisées en collaboration avec les structures déconcentrées de la DNAEN"/>
    <s v="Emission radiotélévisée"/>
    <s v="diffusion"/>
    <n v="0"/>
    <n v="32"/>
    <n v="32"/>
    <n v="32"/>
    <n v="96"/>
    <n v="0.4"/>
    <n v="0"/>
    <n v="12.8"/>
    <n v="12.8"/>
    <n v="12.8"/>
    <n v="38.400000000000006"/>
    <x v="2"/>
    <s v="MENA_Programme 5. Alphabétisation et éducation non formelle"/>
    <s v="3. Dépenses de fonctionnement"/>
    <s v="DNAENF"/>
    <s v="RTG"/>
    <x v="0"/>
    <x v="5"/>
    <x v="38"/>
    <s v="611- les acteurs et les PTF concernés sont mobilisés en faveur de l’AEA."/>
    <x v="452"/>
    <s v="61115-Organisation d'émissions radio-télévisées en collaboration avec les structures déconcentrées de la DNAEN"/>
  </r>
  <r>
    <s v="Augmentation des budgets alloués à l'AEA"/>
    <m/>
    <m/>
    <n v="0"/>
    <m/>
    <m/>
    <m/>
    <m/>
    <m/>
    <m/>
    <m/>
    <m/>
    <m/>
    <m/>
    <x v="0"/>
    <m/>
    <m/>
    <m/>
    <m/>
    <x v="3"/>
    <x v="5"/>
    <x v="38"/>
    <s v="611- les acteurs et les PTF concernés sont mobilisés en faveur de l’AEA."/>
    <x v="453"/>
    <s v="6112-Augmentation des budgets alloués à l'AEA"/>
  </r>
  <r>
    <s v="Elaboration de projet de budget annuel"/>
    <s v="Réunion"/>
    <s v="h/j/ap"/>
    <n v="0"/>
    <n v="20"/>
    <n v="20"/>
    <n v="20"/>
    <n v="60"/>
    <n v="0.255"/>
    <n v="0"/>
    <n v="5.0999999999999996"/>
    <n v="5.0999999999999996"/>
    <n v="5.0999999999999996"/>
    <n v="15.299999999999999"/>
    <x v="2"/>
    <s v="MENA_Programme 5. Alphabétisation et éducation non formelle"/>
    <s v="3. Dépenses de fonctionnement"/>
    <s v="DNAENF"/>
    <s v="DNAENF"/>
    <x v="0"/>
    <x v="5"/>
    <x v="38"/>
    <s v="611- les acteurs et les PTF concernés sont mobilisés en faveur de l’AEA."/>
    <x v="453"/>
    <s v="61121-Elaboration de projet de budget annuel"/>
  </r>
  <r>
    <s v="Plaidoyer auprès des autorités pour l'approbation du projet de budget"/>
    <s v="travaux administratifs"/>
    <s v="sif"/>
    <n v="0"/>
    <n v="1"/>
    <n v="1"/>
    <n v="1"/>
    <n v="3"/>
    <n v="0"/>
    <m/>
    <m/>
    <m/>
    <m/>
    <m/>
    <x v="2"/>
    <s v="MENA_Programme 5. Alphabétisation et éducation non formelle"/>
    <s v=""/>
    <s v="DNAENF"/>
    <s v="DNAENF"/>
    <x v="0"/>
    <x v="5"/>
    <x v="38"/>
    <s v="611- les acteurs et les PTF concernés sont mobilisés en faveur de l’AEA."/>
    <x v="453"/>
    <s v="61122-Plaidoyer auprès des autorités pour l'approbation du projet de budget"/>
  </r>
  <r>
    <s v="Développement de partenariats en faveur des activités d'AEA"/>
    <m/>
    <m/>
    <n v="0"/>
    <m/>
    <m/>
    <m/>
    <m/>
    <m/>
    <m/>
    <m/>
    <m/>
    <m/>
    <m/>
    <x v="0"/>
    <m/>
    <m/>
    <m/>
    <m/>
    <x v="3"/>
    <x v="5"/>
    <x v="38"/>
    <s v="611- les acteurs et les PTF concernés sont mobilisés en faveur de l’AEA."/>
    <x v="454"/>
    <s v="6113-Développement de partenariats en faveur des activités d'AEA"/>
  </r>
  <r>
    <s v="Mise en place du comité de coordination et de suivi des activités d'AEA (multi-acteurs)"/>
    <s v="Texte juridique"/>
    <s v="sif"/>
    <n v="0"/>
    <m/>
    <m/>
    <m/>
    <n v="0"/>
    <n v="0"/>
    <m/>
    <m/>
    <m/>
    <m/>
    <m/>
    <x v="2"/>
    <s v="MENA_Programme 5. Alphabétisation et éducation non formelle"/>
    <s v=""/>
    <s v="DNAENF"/>
    <s v="MEN-A"/>
    <x v="0"/>
    <x v="5"/>
    <x v="38"/>
    <s v="611- les acteurs et les PTF concernés sont mobilisés en faveur de l’AEA."/>
    <x v="454"/>
    <s v="61131-Mise en place du comité de coordination et de suivi des activités d'AEA (multi-acteurs)"/>
  </r>
  <r>
    <s v=" Réalisation par le comité de coordination de l’état de lieux des partenariats existants et possibles"/>
    <s v="travaux administratifs"/>
    <s v="h/j/a"/>
    <n v="0"/>
    <n v="75"/>
    <m/>
    <m/>
    <n v="75"/>
    <n v="0.3133333333333333"/>
    <n v="0"/>
    <n v="23.499999999999996"/>
    <n v="0"/>
    <n v="0"/>
    <n v="23.499999999999996"/>
    <x v="2"/>
    <s v="MENA_Programme 5. Alphabétisation et éducation non formelle"/>
    <s v="3. Formation"/>
    <s v="DNAENF"/>
    <s v="Comité de coordination"/>
    <x v="0"/>
    <x v="5"/>
    <x v="38"/>
    <s v="611- les acteurs et les PTF concernés sont mobilisés en faveur de l’AEA."/>
    <x v="454"/>
    <s v="61132- Réalisation par le comité de coordination de l’état de lieux des partenariats existants et possibles"/>
  </r>
  <r>
    <s v="  Organisation d’une table ronde ou réunion des partenaires au niveau national sur AEA"/>
    <s v="Réunion"/>
    <s v="h/j/a"/>
    <n v="0"/>
    <n v="120"/>
    <m/>
    <m/>
    <n v="120"/>
    <n v="0.3133333333333333"/>
    <n v="0"/>
    <n v="37.599999999999994"/>
    <n v="0"/>
    <n v="0"/>
    <n v="37.599999999999994"/>
    <x v="2"/>
    <s v="MENA_Programme 5. Alphabétisation et éducation non formelle"/>
    <s v="3. Formation"/>
    <s v="DNAENF"/>
    <s v="DNAENF"/>
    <x v="0"/>
    <x v="5"/>
    <x v="38"/>
    <s v="611- les acteurs et les PTF concernés sont mobilisés en faveur de l’AEA."/>
    <x v="454"/>
    <s v="61133-  Organisation d’une table ronde ou réunion des partenaires au niveau national sur AEA"/>
  </r>
  <r>
    <s v="Mise en place de nouveaux partenariats"/>
    <s v="travaux administratifs"/>
    <s v="sif"/>
    <n v="0"/>
    <m/>
    <n v="1"/>
    <n v="1"/>
    <n v="2"/>
    <n v="0"/>
    <m/>
    <m/>
    <m/>
    <m/>
    <m/>
    <x v="2"/>
    <s v="MENA_Programme 5. Alphabétisation et éducation non formelle"/>
    <s v=""/>
    <s v="DNAENF"/>
    <s v="Comité de coordination"/>
    <x v="0"/>
    <x v="5"/>
    <x v="38"/>
    <s v="611- les acteurs et les PTF concernés sont mobilisés en faveur de l’AEA."/>
    <x v="454"/>
    <s v="61134-Mise en place de nouveaux partenariats"/>
  </r>
  <r>
    <s v="Mise en place d'un dispositif de Financement de l'alphabétisation"/>
    <m/>
    <m/>
    <n v="0"/>
    <m/>
    <m/>
    <m/>
    <m/>
    <m/>
    <m/>
    <m/>
    <m/>
    <m/>
    <m/>
    <x v="0"/>
    <m/>
    <m/>
    <m/>
    <m/>
    <x v="3"/>
    <x v="5"/>
    <x v="38"/>
    <s v="611- les acteurs et les PTF concernés sont mobilisés en faveur de l’AEA."/>
    <x v="455"/>
    <s v="6114-Mise en place d'un dispositif de Financement de l'alphabétisation"/>
  </r>
  <r>
    <s v="Etude sur la mise en place d'un fonds national pour l'alphabétisation"/>
    <s v="assistance technique"/>
    <s v="h/j/ci"/>
    <n v="0"/>
    <m/>
    <n v="40"/>
    <m/>
    <n v="40"/>
    <n v="10.404797"/>
    <n v="0"/>
    <n v="0"/>
    <n v="416.19188000000003"/>
    <n v="0"/>
    <n v="416.19188000000003"/>
    <x v="2"/>
    <s v="MENA_Programme 5. Alphabétisation et éducation non formelle"/>
    <s v="3. Dépenses de fonctionnement"/>
    <s v="DNAENF"/>
    <s v="DNAENF"/>
    <x v="0"/>
    <x v="5"/>
    <x v="38"/>
    <s v="611- les acteurs et les PTF concernés sont mobilisés en faveur de l’AEA."/>
    <x v="455"/>
    <s v="61141-Etude sur la mise en place d'un fonds national pour l'alphabétisation"/>
  </r>
  <r>
    <s v=" Organisation des événements spéciaux de levée de fonds en faveur de l’AEA"/>
    <s v="rencontre"/>
    <s v="h/j/a"/>
    <n v="0"/>
    <n v="100"/>
    <m/>
    <n v="100"/>
    <n v="200"/>
    <n v="0.3133333333333333"/>
    <n v="0"/>
    <n v="31.333333333333329"/>
    <n v="0"/>
    <n v="31.333333333333329"/>
    <n v="62.666666666666657"/>
    <x v="2"/>
    <s v="MENA_Programme 5. Alphabétisation et éducation non formelle"/>
    <s v="3. Formation"/>
    <s v="DNAENF"/>
    <s v="DNAENF"/>
    <x v="0"/>
    <x v="5"/>
    <x v="38"/>
    <s v="611- les acteurs et les PTF concernés sont mobilisés en faveur de l’AEA."/>
    <x v="455"/>
    <s v="61142- Organisation des événements spéciaux de levée de fonds en faveur de l’AEA"/>
  </r>
  <r>
    <s v="Validation des résultats de l'étude sur la mise en place du Fonds National pour l’Alphabétisation et l’Education Non Formelle"/>
    <s v="atelier"/>
    <s v="h/j/a"/>
    <n v="0"/>
    <m/>
    <n v="30"/>
    <m/>
    <n v="30"/>
    <n v="0.3133333333333333"/>
    <n v="0"/>
    <n v="0"/>
    <n v="9.3999999999999986"/>
    <n v="0"/>
    <n v="9.3999999999999986"/>
    <x v="2"/>
    <s v="MENA_Programme 5. Alphabétisation et éducation non formelle"/>
    <s v="3. Formation"/>
    <s v="DNAENF"/>
    <s v="DNAENF"/>
    <x v="0"/>
    <x v="5"/>
    <x v="38"/>
    <s v="611- les acteurs et les PTF concernés sont mobilisés en faveur de l’AEA."/>
    <x v="455"/>
    <s v="61143-Validation des résultats de l'étude sur la mise en place du Fonds National pour l’Alphabétisation et l’Education Non Formelle"/>
  </r>
  <r>
    <s v=" Une synergie d’actions existe entre les différents départements intervenant en AEA "/>
    <m/>
    <m/>
    <n v="0"/>
    <m/>
    <m/>
    <m/>
    <m/>
    <m/>
    <m/>
    <m/>
    <m/>
    <m/>
    <m/>
    <x v="0"/>
    <m/>
    <m/>
    <m/>
    <m/>
    <x v="3"/>
    <x v="5"/>
    <x v="38"/>
    <s v="612- Une synergie d’actions existe entre les différents départements intervenant en AEA "/>
    <x v="456"/>
    <s v="612- Une synergie d’actions existe entre les différents départements intervenant en AEA "/>
  </r>
  <r>
    <s v="Développement et mise en place d'un cadre de concertation"/>
    <m/>
    <m/>
    <n v="0"/>
    <m/>
    <m/>
    <m/>
    <m/>
    <m/>
    <m/>
    <m/>
    <m/>
    <m/>
    <m/>
    <x v="0"/>
    <m/>
    <m/>
    <m/>
    <m/>
    <x v="3"/>
    <x v="5"/>
    <x v="38"/>
    <s v="612- Une synergie d’actions existe entre les différents départements intervenant en AEA "/>
    <x v="457"/>
    <s v="6121-Développement et mise en place d'un cadre de concertation"/>
  </r>
  <r>
    <s v="Mise en place du conseil national de l'AENF"/>
    <s v="décret"/>
    <s v="sif"/>
    <n v="0"/>
    <n v="1"/>
    <m/>
    <m/>
    <n v="1"/>
    <n v="0"/>
    <m/>
    <m/>
    <m/>
    <m/>
    <m/>
    <x v="2"/>
    <s v="MENA_Programme 5. Alphabétisation et éducation non formelle"/>
    <s v=""/>
    <s v="DNAENF"/>
    <s v="SGG"/>
    <x v="0"/>
    <x v="5"/>
    <x v="38"/>
    <s v="612- Une synergie d’actions existe entre les différents départements intervenant en AEA "/>
    <x v="457"/>
    <s v="61211-Mise en place du conseil national de l'AENF"/>
  </r>
  <r>
    <s v=" Elaboration d’un document de référence de l'alphabétisation (concerté avec tous les acteurs)"/>
    <s v="atelier"/>
    <s v="h/j/ap"/>
    <n v="0"/>
    <n v="60"/>
    <m/>
    <m/>
    <n v="60"/>
    <n v="0.255"/>
    <n v="0"/>
    <n v="15.3"/>
    <n v="0"/>
    <n v="0"/>
    <n v="15.3"/>
    <x v="2"/>
    <s v="MENA_Programme 5. Alphabétisation et éducation non formelle"/>
    <s v="3. Dépenses de fonctionnement"/>
    <s v="DNAENF"/>
    <s v="DNAENF"/>
    <x v="0"/>
    <x v="5"/>
    <x v="38"/>
    <s v="612- Une synergie d’actions existe entre les différents départements intervenant en AEA "/>
    <x v="457"/>
    <s v="61212- Elaboration d’un document de référence de l'alphabétisation (concerté avec tous les acteurs)"/>
  </r>
  <r>
    <s v=" Diffusion et vulgarisation du document référentiel à tous les acteurs"/>
    <s v="impression"/>
    <s v="IMP"/>
    <n v="0"/>
    <m/>
    <n v="1000"/>
    <m/>
    <n v="1000"/>
    <n v="7.4999999999999997E-3"/>
    <n v="0"/>
    <n v="0"/>
    <n v="7.5"/>
    <n v="0"/>
    <n v="7.5"/>
    <x v="2"/>
    <s v="MENA_Programme 5. Alphabétisation et éducation non formelle"/>
    <s v="3. Dépenses de fonctionnement"/>
    <s v="DNAENF"/>
    <s v="DNAENF"/>
    <x v="0"/>
    <x v="5"/>
    <x v="38"/>
    <s v="612- Une synergie d’actions existe entre les différents départements intervenant en AEA "/>
    <x v="457"/>
    <s v="61213- Diffusion et vulgarisation du document référentiel à tous les acteurs"/>
  </r>
  <r>
    <s v="Renforcement des capacités de plaidoyer et de suivi des structures en charge de l'AEA"/>
    <m/>
    <m/>
    <n v="0"/>
    <m/>
    <m/>
    <m/>
    <m/>
    <m/>
    <m/>
    <m/>
    <m/>
    <m/>
    <m/>
    <x v="0"/>
    <m/>
    <m/>
    <m/>
    <m/>
    <x v="3"/>
    <x v="5"/>
    <x v="38"/>
    <s v="612- Une synergie d’actions existe entre les différents départements intervenant en AEA "/>
    <x v="458"/>
    <s v="6122-Renforcement des capacités de plaidoyer et de suivi des structures en charge de l'AEA"/>
  </r>
  <r>
    <s v="Organisation d'une concertation sur les stratégies d'AENF (acquis et faiblesses)"/>
    <s v="Atelier"/>
    <s v="h/j/ap"/>
    <n v="0"/>
    <n v="60"/>
    <m/>
    <m/>
    <n v="60"/>
    <n v="0.255"/>
    <n v="0"/>
    <n v="15.3"/>
    <n v="0"/>
    <n v="0"/>
    <n v="15.3"/>
    <x v="6"/>
    <s v="MENA_Programme 5. Alphabétisation et éducation non formelle"/>
    <s v="3. Dépenses de fonctionnement"/>
    <s v="DNAENF"/>
    <s v="DNAENF"/>
    <x v="0"/>
    <x v="5"/>
    <x v="38"/>
    <s v="612- Une synergie d’actions existe entre les différents départements intervenant en AEA "/>
    <x v="458"/>
    <s v="61221-Organisation d'une concertation sur les stratégies d'AENF (acquis et faiblesses)"/>
  </r>
  <r>
    <s v="Elaboration d'un manuel de procédure pour l'organisation des activités de plaidoyer de suivi évaluation des activités d'AENF en tenant compte des résultats de la concertation)"/>
    <s v="Assistance technique"/>
    <s v="h/j/ci"/>
    <n v="0"/>
    <m/>
    <n v="15"/>
    <m/>
    <n v="15"/>
    <n v="10.404797"/>
    <n v="0"/>
    <n v="0"/>
    <n v="156.071955"/>
    <n v="0"/>
    <n v="156.071955"/>
    <x v="6"/>
    <s v="MENA_Programme 5. Alphabétisation et éducation non formelle"/>
    <s v="3. Dépenses de fonctionnement"/>
    <s v="DNAENF"/>
    <s v="DNAENF"/>
    <x v="0"/>
    <x v="5"/>
    <x v="38"/>
    <s v="612- Une synergie d’actions existe entre les différents départements intervenant en AEA "/>
    <x v="458"/>
    <s v="61222-Elaboration d'un manuel de procédure pour l'organisation des activités de plaidoyer de suivi évaluation des activités d'AENF en tenant compte des résultats de la concertation)"/>
  </r>
  <r>
    <s v="Renforcement de capacités des acteurs en plaidoyer et suivi évaluation des activités d'AENF"/>
    <s v="atelier"/>
    <s v="h/j/f"/>
    <n v="0"/>
    <m/>
    <n v="280"/>
    <m/>
    <n v="280"/>
    <n v="0.67666666666666664"/>
    <n v="0"/>
    <n v="0"/>
    <n v="189.46666666666667"/>
    <n v="0"/>
    <n v="189.46666666666667"/>
    <x v="6"/>
    <s v="MENA_Programme 5. Alphabétisation et éducation non formelle"/>
    <s v="3. Formation"/>
    <s v="DNAENF"/>
    <s v="DNAENF"/>
    <x v="0"/>
    <x v="5"/>
    <x v="38"/>
    <s v="612- Une synergie d’actions existe entre les différents départements intervenant en AEA "/>
    <x v="458"/>
    <s v="61223-Renforcement de capacités des acteurs en plaidoyer et suivi évaluation des activités d'AENF"/>
  </r>
  <r>
    <s v="Vulgarisation des manuels de procédures"/>
    <s v="impression"/>
    <s v="IMP"/>
    <n v="0"/>
    <m/>
    <n v="2000"/>
    <m/>
    <n v="2000"/>
    <n v="7.4999999999999997E-3"/>
    <n v="0"/>
    <n v="0"/>
    <n v="15"/>
    <n v="0"/>
    <n v="15"/>
    <x v="6"/>
    <s v="MENA_Programme 5. Alphabétisation et éducation non formelle"/>
    <s v="3. Dépenses de fonctionnement"/>
    <s v="DNAENF"/>
    <s v="DNAENF"/>
    <x v="0"/>
    <x v="5"/>
    <x v="38"/>
    <s v="612- Une synergie d’actions existe entre les différents départements intervenant en AEA "/>
    <x v="458"/>
    <s v="61224-Vulgarisation des manuels de procédures"/>
  </r>
  <r>
    <s v="Démultiplication de la formation au niveau des acteurs"/>
    <s v="atelier"/>
    <s v="h/j/f"/>
    <n v="0"/>
    <m/>
    <n v="192"/>
    <m/>
    <n v="192"/>
    <n v="0.67666666666666664"/>
    <n v="0"/>
    <n v="0"/>
    <n v="129.91999999999999"/>
    <n v="0"/>
    <n v="129.91999999999999"/>
    <x v="6"/>
    <s v="MENA_Programme 5. Alphabétisation et éducation non formelle"/>
    <s v="3. Formation"/>
    <s v="DNAENF"/>
    <s v="Antenne AEA/ section AEA"/>
    <x v="0"/>
    <x v="5"/>
    <x v="38"/>
    <s v="612- Une synergie d’actions existe entre les différents départements intervenant en AEA "/>
    <x v="458"/>
    <s v="61225-Démultiplication de la formation au niveau des acteurs"/>
  </r>
  <r>
    <s v="déploiement des acteurs formés sur le terrain pour le plaidoyer"/>
    <s v="missions"/>
    <s v="h/j/m"/>
    <n v="0"/>
    <m/>
    <n v="480"/>
    <m/>
    <n v="480"/>
    <n v="0.8177777777777776"/>
    <n v="0"/>
    <n v="0"/>
    <n v="392.53333333333325"/>
    <n v="0"/>
    <n v="392.53333333333325"/>
    <x v="6"/>
    <s v="MENA_Programme 5. Alphabétisation et éducation non formelle"/>
    <s v="3. Dépenses de fonctionnement"/>
    <s v="DNAENF"/>
    <s v="Antenne AEA/ section AEA"/>
    <x v="0"/>
    <x v="5"/>
    <x v="38"/>
    <s v="612- Une synergie d’actions existe entre les différents départements intervenant en AEA "/>
    <x v="458"/>
    <s v="61226-déploiement des acteurs formés sur le terrain pour le plaidoyer"/>
  </r>
  <r>
    <s v=" Diversification des approches pour un plus grand accès équitable (modèles, des types de  centres )"/>
    <m/>
    <m/>
    <n v="0"/>
    <m/>
    <m/>
    <m/>
    <m/>
    <m/>
    <m/>
    <m/>
    <m/>
    <m/>
    <m/>
    <x v="0"/>
    <m/>
    <m/>
    <m/>
    <m/>
    <x v="3"/>
    <x v="5"/>
    <x v="39"/>
    <s v="62- Diversification des approches pour un plus grand accès équitable (modèles, des types de  centres )"/>
    <x v="459"/>
    <s v="62- Diversification des approches pour un plus grand accès équitable (modèles, des types de  centres )"/>
  </r>
  <r>
    <s v="Plusieurs approches et modèles sont identifiées, validées et développées dans l’AEA"/>
    <m/>
    <m/>
    <n v="0"/>
    <m/>
    <m/>
    <m/>
    <m/>
    <m/>
    <m/>
    <m/>
    <m/>
    <m/>
    <m/>
    <x v="0"/>
    <m/>
    <m/>
    <m/>
    <m/>
    <x v="3"/>
    <x v="5"/>
    <x v="39"/>
    <s v="621-Plusieurs approches et modèles sont identifiées, validées et développées dans l’AEA"/>
    <x v="460"/>
    <s v="621-Plusieurs approches et modèles sont identifiées, validées et développées dans l’AEA"/>
  </r>
  <r>
    <s v="Renforcement des capacités des acteurs sur les nouvelles approches"/>
    <m/>
    <m/>
    <n v="0"/>
    <m/>
    <m/>
    <m/>
    <m/>
    <m/>
    <m/>
    <m/>
    <m/>
    <m/>
    <m/>
    <x v="0"/>
    <m/>
    <m/>
    <m/>
    <m/>
    <x v="3"/>
    <x v="5"/>
    <x v="39"/>
    <s v="621-Plusieurs approches et modèles sont identifiées, validées et développées dans l’AEA"/>
    <x v="461"/>
    <s v="6211-Renforcement des capacités des acteurs sur les nouvelles approches"/>
  </r>
  <r>
    <s v="identification des opérateurs (dans le cadre de l'étude du milieu)"/>
    <s v="missions"/>
    <s v="h/j/m"/>
    <n v="0"/>
    <n v="44.805599999999998"/>
    <n v="44.805599999999998"/>
    <n v="44.805599999999998"/>
    <n v="134.41679999999999"/>
    <n v="0.8177777777777776"/>
    <n v="0"/>
    <n v="36.641023999999987"/>
    <n v="36.641023999999987"/>
    <n v="36.641023999999987"/>
    <n v="109.92307199999996"/>
    <x v="2"/>
    <s v="MENA_Programme 5. Alphabétisation et éducation non formelle"/>
    <s v="3. Dépenses de fonctionnement"/>
    <s v="DNAENF"/>
    <s v="Réseaux"/>
    <x v="0"/>
    <x v="5"/>
    <x v="39"/>
    <s v="621-Plusieurs approches et modèles sont identifiées, validées et développées dans l’AEA"/>
    <x v="461"/>
    <s v="62111-identification des opérateurs (dans le cadre de l'étude du milieu)"/>
  </r>
  <r>
    <s v="identification des opérateurs (dans le cadre de l'étude du milieu)"/>
    <s v="missions"/>
    <s v="h/j/m"/>
    <n v="0"/>
    <n v="11.1944"/>
    <n v="11.1944"/>
    <n v="11.1944"/>
    <n v="33.583199999999998"/>
    <n v="0.8177777777777776"/>
    <n v="0"/>
    <n v="9.154531555555554"/>
    <n v="9.154531555555554"/>
    <n v="9.154531555555554"/>
    <n v="27.463594666666662"/>
    <x v="13"/>
    <s v="MENA_Programme 5. Alphabétisation et éducation non formelle"/>
    <s v="3. Dépenses de fonctionnement"/>
    <s v="DNAENF"/>
    <s v="Réseaux"/>
    <x v="0"/>
    <x v="5"/>
    <x v="39"/>
    <s v="621-Plusieurs approches et modèles sont identifiées, validées et développées dans l’AEA"/>
    <x v="461"/>
    <s v="62111-identification des opérateurs (dans le cadre de l'étude du milieu)"/>
  </r>
  <r>
    <s v="identification des approches "/>
    <s v="atelier"/>
    <s v="h/j/ap"/>
    <n v="0"/>
    <n v="60"/>
    <m/>
    <n v="60"/>
    <n v="120"/>
    <n v="0.255"/>
    <n v="0"/>
    <n v="15.3"/>
    <n v="0"/>
    <n v="15.3"/>
    <n v="30.6"/>
    <x v="2"/>
    <s v="MENA_Programme 5. Alphabétisation et éducation non formelle"/>
    <s v="3. Dépenses de fonctionnement"/>
    <s v="DNAENF"/>
    <s v="DNAENF"/>
    <x v="0"/>
    <x v="5"/>
    <x v="39"/>
    <s v="621-Plusieurs approches et modèles sont identifiées, validées et développées dans l’AEA"/>
    <x v="461"/>
    <s v="62112-identification des approches "/>
  </r>
  <r>
    <s v="formation des formateurs aux nouvelles approches"/>
    <s v="atelier"/>
    <s v="h/j/f"/>
    <n v="0"/>
    <m/>
    <n v="280.03500000000003"/>
    <m/>
    <n v="280.03500000000003"/>
    <n v="0.67666666666666664"/>
    <n v="0"/>
    <n v="0"/>
    <n v="189.49035000000001"/>
    <n v="0"/>
    <n v="189.49035000000001"/>
    <x v="2"/>
    <s v="MENA_Programme 5. Alphabétisation et éducation non formelle"/>
    <s v="3. Formation"/>
    <s v="DNAENF"/>
    <s v="DNAENF"/>
    <x v="0"/>
    <x v="5"/>
    <x v="39"/>
    <s v="621-Plusieurs approches et modèles sont identifiées, validées et développées dans l’AEA"/>
    <x v="461"/>
    <s v="62113-formation des formateurs aux nouvelles approches"/>
  </r>
  <r>
    <s v="formation des formateurs aux nouvelles approches"/>
    <s v="atelier"/>
    <s v="h/j/f"/>
    <n v="0"/>
    <m/>
    <n v="69.965000000000003"/>
    <m/>
    <n v="69.965000000000003"/>
    <n v="0.67666666666666664"/>
    <n v="0"/>
    <n v="0"/>
    <n v="47.342983333333336"/>
    <n v="0"/>
    <n v="47.342983333333336"/>
    <x v="13"/>
    <s v="MENA_Programme 5. Alphabétisation et éducation non formelle"/>
    <s v="3. Formation"/>
    <s v="DNAENF"/>
    <s v="DNAENF"/>
    <x v="0"/>
    <x v="5"/>
    <x v="39"/>
    <s v="621-Plusieurs approches et modèles sont identifiées, validées et développées dans l’AEA"/>
    <x v="461"/>
    <s v="62113-formation des formateurs aux nouvelles approches"/>
  </r>
  <r>
    <s v="démultiplication de la formation au niveau des alphabétiseurs"/>
    <s v="atelier"/>
    <s v="h/j/f"/>
    <n v="0"/>
    <m/>
    <n v="336.04200000000003"/>
    <m/>
    <n v="336.04200000000003"/>
    <n v="0.67666666666666664"/>
    <n v="0"/>
    <n v="0"/>
    <n v="227.38842000000002"/>
    <n v="0"/>
    <n v="227.38842000000002"/>
    <x v="2"/>
    <s v="MENA_Programme 5. Alphabétisation et éducation non formelle"/>
    <s v="3. Formation"/>
    <s v="DNAENF"/>
    <s v="ONG"/>
    <x v="0"/>
    <x v="5"/>
    <x v="39"/>
    <s v="621-Plusieurs approches et modèles sont identifiées, validées et développées dans l’AEA"/>
    <x v="461"/>
    <s v="62114-démultiplication de la formation au niveau des alphabétiseurs"/>
  </r>
  <r>
    <s v="démultiplication de la formation au niveau des alphabétiseurs"/>
    <s v="atelier"/>
    <s v="h/j/f"/>
    <n v="0"/>
    <m/>
    <n v="83.957999999999998"/>
    <m/>
    <n v="83.957999999999998"/>
    <n v="0.67666666666666664"/>
    <n v="0"/>
    <n v="0"/>
    <n v="56.811579999999999"/>
    <n v="0"/>
    <n v="56.811579999999999"/>
    <x v="13"/>
    <s v="MENA_Programme 5. Alphabétisation et éducation non formelle"/>
    <s v="3. Formation"/>
    <s v="DNAENF"/>
    <s v="ONG"/>
    <x v="0"/>
    <x v="5"/>
    <x v="39"/>
    <s v="621-Plusieurs approches et modèles sont identifiées, validées et développées dans l’AEA"/>
    <x v="461"/>
    <s v="62114-démultiplication de la formation au niveau des alphabétiseurs"/>
  </r>
  <r>
    <s v="formaliser le partenariat avec les radios rurales et la télévision nationale pour l’approche un foyer un centre d’alphabétisation (en partenariat avec le Ministère de l'information)"/>
    <s v="Partenariat"/>
    <s v="sif"/>
    <n v="0"/>
    <n v="1"/>
    <m/>
    <m/>
    <n v="1"/>
    <n v="0"/>
    <m/>
    <m/>
    <m/>
    <m/>
    <m/>
    <x v="2"/>
    <s v="MENA_Programme 5. Alphabétisation et éducation non formelle"/>
    <s v=""/>
    <s v="DNAENF"/>
    <s v="DNAENF"/>
    <x v="0"/>
    <x v="5"/>
    <x v="39"/>
    <s v="621-Plusieurs approches et modèles sont identifiées, validées et développées dans l’AEA"/>
    <x v="461"/>
    <s v="62115-formaliser le partenariat avec les radios rurales et la télévision nationale pour l’approche un foyer un centre d’alphabétisation (en partenariat avec le Ministère de l'information)"/>
  </r>
  <r>
    <s v="Intégration des modules dans le programme de diffusion "/>
    <s v="partenariat avec le ministère de la communication"/>
    <s v="sif"/>
    <n v="0"/>
    <m/>
    <n v="1"/>
    <n v="1"/>
    <n v="2"/>
    <n v="0"/>
    <m/>
    <m/>
    <m/>
    <m/>
    <m/>
    <x v="2"/>
    <s v="MENA_Programme 5. Alphabétisation et éducation non formelle"/>
    <s v=""/>
    <s v="DNAENF"/>
    <s v="DNAENF"/>
    <x v="0"/>
    <x v="5"/>
    <x v="39"/>
    <s v="621-Plusieurs approches et modèles sont identifiées, validées et développées dans l’AEA"/>
    <x v="461"/>
    <s v="62116-Intégration des modules dans le programme de diffusion "/>
  </r>
  <r>
    <s v="Diffusion des cours d'alphabétisation selon le programme retenu par les radios et la télévision"/>
    <s v="diffusion ds cours"/>
    <s v="diffusion"/>
    <n v="0"/>
    <n v="96"/>
    <n v="96"/>
    <n v="96"/>
    <n v="288"/>
    <n v="0.4"/>
    <n v="0"/>
    <n v="38.400000000000006"/>
    <n v="38.400000000000006"/>
    <n v="38.400000000000006"/>
    <n v="115.20000000000002"/>
    <x v="2"/>
    <s v="MENA_Programme 5. Alphabétisation et éducation non formelle"/>
    <s v="3. Dépenses de fonctionnement"/>
    <s v="DNAENF"/>
    <s v="DNAENF"/>
    <x v="0"/>
    <x v="5"/>
    <x v="39"/>
    <s v="621-Plusieurs approches et modèles sont identifiées, validées et développées dans l’AEA"/>
    <x v="461"/>
    <s v="62117-Diffusion des cours d'alphabétisation selon le programme retenu par les radios et la télévision"/>
  </r>
  <r>
    <s v="Mise en œuvre et suivi évaluation de l'apprentissage"/>
    <m/>
    <m/>
    <n v="0"/>
    <m/>
    <m/>
    <m/>
    <m/>
    <m/>
    <m/>
    <m/>
    <m/>
    <m/>
    <m/>
    <x v="0"/>
    <m/>
    <m/>
    <m/>
    <m/>
    <x v="3"/>
    <x v="5"/>
    <x v="39"/>
    <s v="621-Plusieurs approches et modèles sont identifiées, validées et développées dans l’AEA"/>
    <x v="462"/>
    <s v="6212-Mise en œuvre et suivi évaluation de l'apprentissage"/>
  </r>
  <r>
    <s v="identification des cibles (Localités et centres)"/>
    <s v="missions"/>
    <s v="h/j/m"/>
    <n v="0"/>
    <n v="200"/>
    <m/>
    <n v="200"/>
    <n v="400"/>
    <n v="0.8177777777777776"/>
    <n v="0"/>
    <n v="163.55555555555551"/>
    <n v="0"/>
    <n v="163.55555555555551"/>
    <n v="327.11111111111103"/>
    <x v="2"/>
    <s v="MENA_Programme 5. Alphabétisation et éducation non formelle"/>
    <s v="3. Dépenses de fonctionnement"/>
    <s v="DNAENF"/>
    <s v="DNAENF"/>
    <x v="0"/>
    <x v="5"/>
    <x v="39"/>
    <s v="621-Plusieurs approches et modèles sont identifiées, validées et développées dans l’AEA"/>
    <x v="462"/>
    <s v="62121-identification des cibles (Localités et centres)"/>
  </r>
  <r>
    <s v="organisation des sessions de formation des formateurs"/>
    <s v="formation"/>
    <s v="h/j/f"/>
    <n v="0"/>
    <n v="38.112076799999997"/>
    <n v="63.520128000000007"/>
    <n v="63.520128000000007"/>
    <n v="165.15233280000001"/>
    <n v="0.67666666666666664"/>
    <n v="0"/>
    <n v="25.789171967999998"/>
    <n v="42.981953280000006"/>
    <n v="42.981953280000006"/>
    <n v="111.753078528"/>
    <x v="2"/>
    <s v="MENA_Programme 5. Alphabétisation et éducation non formelle"/>
    <s v="3. Formation"/>
    <s v="DNAENF"/>
    <s v="ONG"/>
    <x v="0"/>
    <x v="5"/>
    <x v="39"/>
    <s v="621-Plusieurs approches et modèles sont identifiées, validées et développées dans l’AEA"/>
    <x v="462"/>
    <s v="62122-organisation des sessions de formation des formateurs"/>
  </r>
  <r>
    <s v="organisation des sessions de formation des formateurs"/>
    <s v="formation"/>
    <s v="h/j/f"/>
    <n v="0"/>
    <n v="1.5880031999999999"/>
    <n v="2.6466720000000006"/>
    <n v="2.6466720000000006"/>
    <n v="6.8813472000000013"/>
    <n v="0.67666666666666664"/>
    <n v="0"/>
    <n v="1.0745488319999998"/>
    <n v="1.7909147200000004"/>
    <n v="1.7909147200000004"/>
    <n v="4.6563782720000013"/>
    <x v="13"/>
    <s v="MENA_Programme 5. Alphabétisation et éducation non formelle"/>
    <s v="3. Formation"/>
    <s v="DNAENF"/>
    <s v="ONG"/>
    <x v="0"/>
    <x v="5"/>
    <x v="39"/>
    <s v="621-Plusieurs approches et modèles sont identifiées, validées et développées dans l’AEA"/>
    <x v="462"/>
    <s v="62122-organisation des sessions de formation des formateurs"/>
  </r>
  <r>
    <s v="Organisation des campagnes d'alphabétisation par les opérateurs"/>
    <s v="Session"/>
    <s v="per/alpha"/>
    <n v="0"/>
    <m/>
    <m/>
    <m/>
    <n v="0"/>
    <n v="0.15612899999999999"/>
    <n v="0"/>
    <n v="0"/>
    <n v="0"/>
    <n v="0"/>
    <n v="0"/>
    <x v="8"/>
    <s v="MENA_Programme 5. Alphabétisation et éducation non formelle"/>
    <s v="3. Manuels scolaires et matériels pédagogiques"/>
    <s v="DNAENF"/>
    <s v="ONG"/>
    <x v="0"/>
    <x v="5"/>
    <x v="39"/>
    <s v="621-Plusieurs approches et modèles sont identifiées, validées et développées dans l’AEA"/>
    <x v="462"/>
    <s v="62123-Organisation des campagnes d'alphabétisation par les opérateurs"/>
  </r>
  <r>
    <s v="Organisation des campagnes d'alphabétisation par les opérateurs"/>
    <s v="Session"/>
    <s v="per/alpha"/>
    <n v="0"/>
    <n v="2835.72"/>
    <n v="4726.2"/>
    <n v="4726.2"/>
    <n v="12288.119999999999"/>
    <n v="0.15612899999999999"/>
    <n v="0"/>
    <n v="442.73812787999992"/>
    <n v="737.89687979999997"/>
    <n v="737.89687979999997"/>
    <n v="1918.53188748"/>
    <x v="6"/>
    <s v="MENA_Programme 5. Alphabétisation et éducation non formelle"/>
    <s v="3. Manuels scolaires et matériels pédagogiques"/>
    <s v="DNAENF"/>
    <s v="ONG"/>
    <x v="0"/>
    <x v="5"/>
    <x v="39"/>
    <s v="621-Plusieurs approches et modèles sont identifiées, validées et développées dans l’AEA"/>
    <x v="462"/>
    <s v="62123-Organisation des campagnes d'alphabétisation par les opérateurs"/>
  </r>
  <r>
    <s v="Organisation des campagnes d'alphabétisation par les opérateurs"/>
    <s v="Session"/>
    <s v="per/alpha"/>
    <n v="0"/>
    <n v="75619.199999999997"/>
    <n v="84057.600000000006"/>
    <n v="92495.200000000012"/>
    <n v="252172"/>
    <n v="0.15612899999999999"/>
    <n v="0"/>
    <n v="11806.350076799999"/>
    <n v="13123.8290304"/>
    <n v="14441.183080800001"/>
    <n v="39371.362187999999"/>
    <x v="2"/>
    <s v="MENA_Programme 5. Alphabétisation et éducation non formelle"/>
    <s v="3. Manuels scolaires et matériels pédagogiques"/>
    <s v="DNAENF"/>
    <s v="ONG"/>
    <x v="0"/>
    <x v="5"/>
    <x v="39"/>
    <s v="621-Plusieurs approches et modèles sont identifiées, validées et développées dans l’AEA"/>
    <x v="462"/>
    <s v="62123-Organisation des campagnes d'alphabétisation par les opérateurs"/>
  </r>
  <r>
    <s v="supervision des activités"/>
    <s v="missions"/>
    <s v="h/j/m"/>
    <n v="0"/>
    <n v="160"/>
    <n v="160"/>
    <n v="160"/>
    <n v="480"/>
    <n v="0.8177777777777776"/>
    <n v="0"/>
    <n v="130.84444444444441"/>
    <n v="130.84444444444441"/>
    <n v="130.84444444444441"/>
    <n v="392.53333333333319"/>
    <x v="2"/>
    <s v="MENA_Programme 5. Alphabétisation et éducation non formelle"/>
    <s v="3. Dépenses de fonctionnement"/>
    <s v="DNAENF"/>
    <s v="Antenne AEA/section AEA"/>
    <x v="0"/>
    <x v="5"/>
    <x v="39"/>
    <s v="621-Plusieurs approches et modèles sont identifiées, validées et développées dans l’AEA"/>
    <x v="462"/>
    <s v="62123-supervision des activités"/>
  </r>
  <r>
    <s v="suivi et évaluation par le niveau déconcentré"/>
    <s v="PM"/>
    <s v="sif"/>
    <n v="0"/>
    <n v="1"/>
    <n v="1"/>
    <n v="1"/>
    <n v="3"/>
    <n v="0"/>
    <m/>
    <m/>
    <m/>
    <m/>
    <m/>
    <x v="2"/>
    <s v="MENA_Programme 5. Alphabétisation et éducation non formelle"/>
    <s v=""/>
    <s v="DNAENF"/>
    <s v="antenne AEA/section AEA/ONG"/>
    <x v="0"/>
    <x v="5"/>
    <x v="39"/>
    <s v="621-Plusieurs approches et modèles sont identifiées, validées et développées dans l’AEA"/>
    <x v="462"/>
    <s v="62124-suivi et évaluation par le niveau déconcentré"/>
  </r>
  <r>
    <s v="suivi et évaluation conjoint par le niveau central et les Réseaux d'ONG"/>
    <s v="missions"/>
    <s v="h/j/m"/>
    <n v="0"/>
    <m/>
    <m/>
    <m/>
    <n v="0"/>
    <n v="0.8177777777777776"/>
    <n v="0"/>
    <n v="0"/>
    <n v="0"/>
    <n v="0"/>
    <n v="0"/>
    <x v="8"/>
    <s v="MENA_Programme 5. Alphabétisation et éducation non formelle"/>
    <s v="3. Dépenses de fonctionnement"/>
    <s v="DNAENF"/>
    <s v="DNAENF"/>
    <x v="0"/>
    <x v="5"/>
    <x v="39"/>
    <s v="621-Plusieurs approches et modèles sont identifiées, validées et développées dans l’AEA"/>
    <x v="462"/>
    <s v="62125-suivi et évaluation conjoint par le niveau central et les Réseaux d'ONG"/>
  </r>
  <r>
    <s v="suivi et évaluation conjoint par le niveau central et les Réseaux d'ONG"/>
    <s v="missions"/>
    <s v="h/j/m"/>
    <n v="0"/>
    <n v="63"/>
    <n v="63"/>
    <n v="112"/>
    <n v="238"/>
    <n v="0.8177777777777776"/>
    <n v="0"/>
    <n v="51.519999999999989"/>
    <n v="51.519999999999989"/>
    <n v="91.59111111111109"/>
    <n v="194.63111111111107"/>
    <x v="6"/>
    <s v="MENA_Programme 5. Alphabétisation et éducation non formelle"/>
    <s v="3. Dépenses de fonctionnement"/>
    <s v="DNAENF"/>
    <s v="DNAENF"/>
    <x v="0"/>
    <x v="5"/>
    <x v="39"/>
    <s v="621-Plusieurs approches et modèles sont identifiées, validées et développées dans l’AEA"/>
    <x v="462"/>
    <s v="62125-suivi et évaluation conjoint par le niveau central et les Réseaux d'ONG"/>
  </r>
  <r>
    <s v=" Amélioration de la qualité "/>
    <m/>
    <m/>
    <n v="0"/>
    <m/>
    <m/>
    <m/>
    <m/>
    <m/>
    <m/>
    <m/>
    <m/>
    <m/>
    <m/>
    <x v="0"/>
    <m/>
    <m/>
    <m/>
    <m/>
    <x v="3"/>
    <x v="5"/>
    <x v="40"/>
    <s v="63- Amélioration de la qualité "/>
    <x v="463"/>
    <s v="63- Amélioration de la qualité "/>
  </r>
  <r>
    <s v=" Les curricula sont adaptés et maitrisés par les opérateurs et les formateurs"/>
    <m/>
    <m/>
    <n v="0"/>
    <m/>
    <m/>
    <m/>
    <m/>
    <m/>
    <m/>
    <m/>
    <m/>
    <m/>
    <m/>
    <x v="0"/>
    <m/>
    <m/>
    <m/>
    <m/>
    <x v="3"/>
    <x v="5"/>
    <x v="40"/>
    <s v="631- Les curricula sont adaptés et maitrisés par les opérateurs et les formateurs"/>
    <x v="464"/>
    <s v="631- Les curricula sont adaptés et maitrisés par les opérateurs et les formateurs"/>
  </r>
  <r>
    <s v="Révision et d'adaptation des curricula de l'AEA"/>
    <m/>
    <m/>
    <n v="0"/>
    <m/>
    <m/>
    <m/>
    <m/>
    <m/>
    <m/>
    <m/>
    <m/>
    <m/>
    <m/>
    <x v="0"/>
    <m/>
    <m/>
    <m/>
    <m/>
    <x v="3"/>
    <x v="5"/>
    <x v="40"/>
    <s v="631- Les curricula sont adaptés et maitrisés par les opérateurs et les formateurs"/>
    <x v="465"/>
    <s v="6311-Révision et d'adaptation des curricula de l'AEA"/>
  </r>
  <r>
    <s v="actualisation et élaboration des curricula"/>
    <s v="atelier"/>
    <s v="h/j/ap"/>
    <n v="0"/>
    <n v="32"/>
    <m/>
    <m/>
    <n v="32"/>
    <n v="0.255"/>
    <n v="0"/>
    <n v="8.16"/>
    <n v="0"/>
    <n v="0"/>
    <n v="8.16"/>
    <x v="6"/>
    <s v="MENA_Programme 5. Alphabétisation et éducation non formelle"/>
    <s v="3. Dépenses de fonctionnement"/>
    <s v="DNAENF"/>
    <s v=" INRAP"/>
    <x v="0"/>
    <x v="5"/>
    <x v="40"/>
    <s v="631- Les curricula sont adaptés et maitrisés par les opérateurs et les formateurs"/>
    <x v="465"/>
    <s v="63111-actualisation et élaboration des curricula"/>
  </r>
  <r>
    <s v="reproduction des curricula"/>
    <s v="impression"/>
    <s v="IMP/PR"/>
    <n v="0"/>
    <m/>
    <n v="7440.2080000000005"/>
    <m/>
    <n v="7440.2080000000005"/>
    <n v="0.03"/>
    <n v="0"/>
    <n v="0"/>
    <n v="223.20624000000001"/>
    <n v="0"/>
    <n v="223.20624000000001"/>
    <x v="6"/>
    <s v="MENA_Programme 5. Alphabétisation et éducation non formelle"/>
    <s v="3. Manuels scolaires et matériels pédagogiques"/>
    <s v="DNAENF"/>
    <s v="DNAENF"/>
    <x v="0"/>
    <x v="5"/>
    <x v="40"/>
    <s v="631- Les curricula sont adaptés et maitrisés par les opérateurs et les formateurs"/>
    <x v="465"/>
    <s v="63112-reproduction des curricula"/>
  </r>
  <r>
    <s v="dissémination (dans le cadre des missions de suivi)"/>
    <s v="mission"/>
    <s v="sif"/>
    <n v="0"/>
    <m/>
    <n v="1"/>
    <n v="1"/>
    <n v="2"/>
    <n v="0"/>
    <m/>
    <m/>
    <m/>
    <m/>
    <m/>
    <x v="6"/>
    <s v="MENA_Programme 5. Alphabétisation et éducation non formelle"/>
    <s v=""/>
    <s v="DNAENF"/>
    <s v="DNAENF"/>
    <x v="0"/>
    <x v="5"/>
    <x v="40"/>
    <s v="631- Les curricula sont adaptés et maitrisés par les opérateurs et les formateurs"/>
    <x v="465"/>
    <s v="63113-dissémination (dans le cadre des missions de suivi)"/>
  </r>
  <r>
    <s v="La révision de la durée des formations d'alphabétisation (Alpha initiale 6 mois, 1mois de consolidation et 5 mois de post alpha)"/>
    <s v="décision"/>
    <s v="sif"/>
    <n v="0"/>
    <n v="1"/>
    <m/>
    <m/>
    <n v="1"/>
    <n v="0"/>
    <m/>
    <m/>
    <m/>
    <m/>
    <m/>
    <x v="2"/>
    <s v="MENA_Programme 5. Alphabétisation et éducation non formelle"/>
    <s v=""/>
    <s v="DNAENF"/>
    <s v="DNAENF"/>
    <x v="0"/>
    <x v="5"/>
    <x v="40"/>
    <s v="631- Les curricula sont adaptés et maitrisés par les opérateurs et les formateurs"/>
    <x v="465"/>
    <s v="63114-La révision de la durée des formations d'alphabétisation (Alpha initiale 6 mois, 1mois de consolidation et 5 mois de post alpha)"/>
  </r>
  <r>
    <s v="Formation sur les nouveaux curricula"/>
    <m/>
    <m/>
    <n v="0"/>
    <m/>
    <m/>
    <m/>
    <m/>
    <m/>
    <m/>
    <m/>
    <m/>
    <m/>
    <m/>
    <x v="0"/>
    <m/>
    <m/>
    <m/>
    <m/>
    <x v="3"/>
    <x v="5"/>
    <x v="40"/>
    <s v="631- Les curricula sont adaptés et maitrisés par les opérateurs et les formateurs"/>
    <x v="466"/>
    <s v="6312-Formation sur les nouveaux curricula"/>
  </r>
  <r>
    <s v=" formation des formateurs"/>
    <s v="atelier"/>
    <s v="h/j/f"/>
    <n v="0"/>
    <m/>
    <m/>
    <n v="192.024"/>
    <n v="192.024"/>
    <n v="0.67666666666666664"/>
    <n v="0"/>
    <n v="0"/>
    <n v="0"/>
    <n v="129.93624"/>
    <n v="129.93624"/>
    <x v="6"/>
    <s v="MENA_Programme 5. Alphabétisation et éducation non formelle"/>
    <s v="3. Formation"/>
    <s v="DNAENF"/>
    <s v="INRAP"/>
    <x v="0"/>
    <x v="5"/>
    <x v="40"/>
    <s v="631- Les curricula sont adaptés et maitrisés par les opérateurs et les formateurs"/>
    <x v="466"/>
    <s v="63121- formation des formateurs"/>
  </r>
  <r>
    <s v=" formation des formateurs"/>
    <s v="atelier"/>
    <s v="h/j/f"/>
    <n v="0"/>
    <m/>
    <m/>
    <n v="47.975999999999999"/>
    <n v="47.975999999999999"/>
    <n v="0.67666666666666664"/>
    <n v="0"/>
    <n v="0"/>
    <n v="0"/>
    <n v="32.463760000000001"/>
    <n v="32.463760000000001"/>
    <x v="13"/>
    <s v="MENA_Programme 5. Alphabétisation et éducation non formelle"/>
    <s v="3. Formation"/>
    <s v="DNAENF"/>
    <s v="INRAP"/>
    <x v="0"/>
    <x v="5"/>
    <x v="40"/>
    <s v="631- Les curricula sont adaptés et maitrisés par les opérateurs et les formateurs"/>
    <x v="466"/>
    <s v="63121- formation des formateurs"/>
  </r>
  <r>
    <s v="formation des superviseurs et animateurs"/>
    <s v="atelier"/>
    <s v="h/j/f"/>
    <n v="0"/>
    <m/>
    <n v="420"/>
    <n v="420"/>
    <n v="840"/>
    <n v="0.67666666666666664"/>
    <n v="0"/>
    <n v="0"/>
    <n v="284.2"/>
    <n v="284.2"/>
    <n v="568.4"/>
    <x v="6"/>
    <s v="MENA_Programme 5. Alphabétisation et éducation non formelle"/>
    <s v="3. Formation"/>
    <s v="DNAENF"/>
    <s v="INRAP"/>
    <x v="0"/>
    <x v="5"/>
    <x v="40"/>
    <s v="631- Les curricula sont adaptés et maitrisés par les opérateurs et les formateurs"/>
    <x v="466"/>
    <s v="63122-formation des superviseurs et animateurs"/>
  </r>
  <r>
    <s v="formation des superviseurs et animateurs"/>
    <s v="atelier"/>
    <s v="h/j/f"/>
    <n v="0"/>
    <m/>
    <m/>
    <n v="83.957999999999998"/>
    <n v="83.957999999999998"/>
    <n v="0.67666666666666664"/>
    <n v="0"/>
    <n v="0"/>
    <n v="0"/>
    <n v="56.811579999999999"/>
    <n v="56.811579999999999"/>
    <x v="13"/>
    <s v="MENA_Programme 5. Alphabétisation et éducation non formelle"/>
    <s v="3. Formation"/>
    <s v="DNAENF"/>
    <s v="INRAP"/>
    <x v="0"/>
    <x v="5"/>
    <x v="40"/>
    <s v="631- Les curricula sont adaptés et maitrisés par les opérateurs et les formateurs"/>
    <x v="466"/>
    <s v="63122-formation des superviseurs et animateurs"/>
  </r>
  <r>
    <s v=" Les bonnes pratiques d’AENF sont identifiées, améliorées et partagées"/>
    <m/>
    <m/>
    <n v="0"/>
    <m/>
    <m/>
    <m/>
    <m/>
    <m/>
    <m/>
    <m/>
    <m/>
    <m/>
    <m/>
    <x v="0"/>
    <m/>
    <m/>
    <m/>
    <m/>
    <x v="3"/>
    <x v="5"/>
    <x v="40"/>
    <s v="632- Les bonnes pratiques d’AENF sont identifiées, améliorées et partagées"/>
    <x v="467"/>
    <s v="632- Les bonnes pratiques d’AENF sont identifiées, améliorées et partagées"/>
  </r>
  <r>
    <s v="Mise en place d'un dispositif d'identification des innovations"/>
    <m/>
    <m/>
    <n v="0"/>
    <m/>
    <m/>
    <m/>
    <m/>
    <m/>
    <m/>
    <m/>
    <m/>
    <m/>
    <m/>
    <x v="0"/>
    <m/>
    <m/>
    <m/>
    <m/>
    <x v="3"/>
    <x v="5"/>
    <x v="40"/>
    <s v="632- Les bonnes pratiques d’AENF sont identifiées, améliorées et partagées"/>
    <x v="468"/>
    <s v="6321-Mise en place d'un dispositif d'identification des innovations"/>
  </r>
  <r>
    <s v="identification des bonnes pratiques (conjoint DNAENF et ONG)"/>
    <s v="voyage d'étude "/>
    <s v="voy/per"/>
    <n v="0"/>
    <n v="4"/>
    <m/>
    <m/>
    <n v="4"/>
    <n v="40.32"/>
    <n v="0"/>
    <n v="161.28"/>
    <n v="0"/>
    <n v="0"/>
    <n v="161.28"/>
    <x v="13"/>
    <s v="MENA_Programme 5. Alphabétisation et éducation non formelle"/>
    <s v="3. Formation"/>
    <s v="DNAENF"/>
    <s v="DNAENF"/>
    <x v="0"/>
    <x v="5"/>
    <x v="40"/>
    <s v="632- Les bonnes pratiques d’AENF sont identifiées, améliorées et partagées"/>
    <x v="468"/>
    <s v="63211-identification des bonnes pratiques (conjoint DNAENF et ONG)"/>
  </r>
  <r>
    <s v="Partage des résultats du voyage d'études "/>
    <s v="atelier"/>
    <s v="h/j/a"/>
    <n v="0"/>
    <n v="280"/>
    <m/>
    <m/>
    <n v="280"/>
    <n v="0.3133333333333333"/>
    <n v="0"/>
    <n v="87.73333333333332"/>
    <n v="0"/>
    <n v="0"/>
    <n v="87.73333333333332"/>
    <x v="13"/>
    <s v="MENA_Programme 5. Alphabétisation et éducation non formelle"/>
    <s v="3. Formation"/>
    <s v="DNAENF"/>
    <s v="DNAENF"/>
    <x v="0"/>
    <x v="5"/>
    <x v="40"/>
    <s v="632- Les bonnes pratiques d’AENF sont identifiées, améliorées et partagées"/>
    <x v="468"/>
    <s v="63212-Partage des résultats du voyage d'études "/>
  </r>
  <r>
    <s v="Elaboration de guides sur les innovations"/>
    <s v="Assistance technique"/>
    <s v="h/j/cn"/>
    <n v="0"/>
    <n v="10"/>
    <m/>
    <m/>
    <n v="10"/>
    <n v="2.651545"/>
    <n v="0"/>
    <n v="26.515450000000001"/>
    <n v="0"/>
    <n v="0"/>
    <n v="26.515450000000001"/>
    <x v="13"/>
    <s v="MENA_Programme 5. Alphabétisation et éducation non formelle"/>
    <s v="3. Dépenses de fonctionnement"/>
    <s v="DNAENF"/>
    <s v="DNAENF"/>
    <x v="0"/>
    <x v="5"/>
    <x v="40"/>
    <s v="632- Les bonnes pratiques d’AENF sont identifiées, améliorées et partagées"/>
    <x v="468"/>
    <s v="63212-Elaboration de guides sur les innovations"/>
  </r>
  <r>
    <s v="formation des superviseurs et animateurs sur les innovations"/>
    <s v="atelier"/>
    <s v="h/j/f"/>
    <n v="0"/>
    <m/>
    <n v="336.04200000000003"/>
    <m/>
    <n v="336.04200000000003"/>
    <n v="0.67666666666666664"/>
    <n v="0"/>
    <n v="0"/>
    <n v="227.38842000000002"/>
    <n v="0"/>
    <n v="227.38842000000002"/>
    <x v="2"/>
    <s v="MENA_Programme 5. Alphabétisation et éducation non formelle"/>
    <s v="3. Formation"/>
    <s v="DNAENF"/>
    <s v="DNAENF"/>
    <x v="0"/>
    <x v="5"/>
    <x v="40"/>
    <s v="632- Les bonnes pratiques d’AENF sont identifiées, améliorées et partagées"/>
    <x v="468"/>
    <s v="63213-formation des superviseurs et animateurs sur les innovations"/>
  </r>
  <r>
    <s v="formation des superviseurs et animateurs sur les innovations"/>
    <s v="atelier"/>
    <s v="h/j/f"/>
    <n v="0"/>
    <m/>
    <n v="83.957999999999998"/>
    <m/>
    <n v="83.957999999999998"/>
    <n v="0.67666666666666664"/>
    <n v="0"/>
    <n v="0"/>
    <n v="56.811579999999999"/>
    <n v="0"/>
    <n v="56.811579999999999"/>
    <x v="13"/>
    <s v="MENA_Programme 5. Alphabétisation et éducation non formelle"/>
    <s v="3. Formation"/>
    <s v="DNAENF"/>
    <s v="DNAENF"/>
    <x v="0"/>
    <x v="5"/>
    <x v="40"/>
    <s v="632- Les bonnes pratiques d’AENF sont identifiées, améliorées et partagées"/>
    <x v="468"/>
    <s v="63213-formation des superviseurs et animateurs sur les innovations"/>
  </r>
  <r>
    <s v="expérimentation des bonnes pratiques (par les centres)"/>
    <s v="formation"/>
    <s v="sif"/>
    <n v="0"/>
    <m/>
    <n v="1"/>
    <n v="1"/>
    <n v="2"/>
    <n v="0"/>
    <m/>
    <m/>
    <m/>
    <m/>
    <m/>
    <x v="2"/>
    <s v="MENA_Programme 5. Alphabétisation et éducation non formelle"/>
    <s v=""/>
    <s v="DNAENF"/>
    <s v="ONG"/>
    <x v="0"/>
    <x v="5"/>
    <x v="40"/>
    <s v="632- Les bonnes pratiques d’AENF sont identifiées, améliorées et partagées"/>
    <x v="468"/>
    <s v="63214-expérimentation des bonnes pratiques (par les centres)"/>
  </r>
  <r>
    <s v="bonnes pratiques capitalisées et diffusée (Rapport)"/>
    <s v="atelier"/>
    <s v="h/j/ap"/>
    <n v="0"/>
    <m/>
    <m/>
    <n v="140"/>
    <n v="140"/>
    <n v="0.255"/>
    <n v="0"/>
    <n v="0"/>
    <n v="0"/>
    <n v="35.700000000000003"/>
    <n v="35.700000000000003"/>
    <x v="2"/>
    <s v="MENA_Programme 5. Alphabétisation et éducation non formelle"/>
    <s v="3. Dépenses de fonctionnement"/>
    <s v="DNAENF"/>
    <s v="DNAENF"/>
    <x v="0"/>
    <x v="5"/>
    <x v="40"/>
    <s v="632- Les bonnes pratiques d’AENF sont identifiées, améliorées et partagées"/>
    <x v="468"/>
    <s v="63215-bonnes pratiques capitalisées et diffusée (Rapport)"/>
  </r>
  <r>
    <s v="multiplication et vulgarisation du rapport sur les bonnes pratiques"/>
    <s v="impression"/>
    <s v="IMP/PR"/>
    <n v="0"/>
    <m/>
    <m/>
    <n v="200"/>
    <n v="200"/>
    <n v="0.03"/>
    <n v="0"/>
    <n v="0"/>
    <n v="0"/>
    <n v="6"/>
    <n v="6"/>
    <x v="2"/>
    <s v="MENA_Programme 5. Alphabétisation et éducation non formelle"/>
    <s v="3. Manuels scolaires et matériels pédagogiques"/>
    <s v="DNAENF"/>
    <s v="DNAENF"/>
    <x v="0"/>
    <x v="5"/>
    <x v="40"/>
    <s v="632- Les bonnes pratiques d’AENF sont identifiées, améliorées et partagées"/>
    <x v="468"/>
    <s v="63216-multiplication et vulgarisation du rapport sur les bonnes pratiques"/>
  </r>
  <r>
    <s v=" Des modules de formation en andragogie sont intégrés dans les cursus de la formation initiale des enseignants"/>
    <m/>
    <m/>
    <n v="0"/>
    <m/>
    <m/>
    <m/>
    <m/>
    <m/>
    <m/>
    <m/>
    <m/>
    <m/>
    <m/>
    <x v="0"/>
    <m/>
    <m/>
    <m/>
    <m/>
    <x v="3"/>
    <x v="5"/>
    <x v="40"/>
    <s v="633- Des modules de formation en andragogie sont intégrés dans les cursus de la formation initiale des enseignants"/>
    <x v="469"/>
    <s v="633- Des modules de formation en andragogie sont intégrés dans les cursus de la formation initiale des enseignants"/>
  </r>
  <r>
    <s v="Développement de modules de formations"/>
    <m/>
    <m/>
    <n v="0"/>
    <m/>
    <m/>
    <m/>
    <m/>
    <m/>
    <m/>
    <m/>
    <m/>
    <m/>
    <m/>
    <x v="0"/>
    <m/>
    <m/>
    <m/>
    <m/>
    <x v="3"/>
    <x v="5"/>
    <x v="40"/>
    <s v="633- Des modules de formation en andragogie sont intégrés dans les cursus de la formation initiale des enseignants"/>
    <x v="470"/>
    <s v="6331-Développement de modules de formations"/>
  </r>
  <r>
    <s v="Elaboration d'un programme harmonisé de formation des formateurs en AENF "/>
    <s v="Assistance technique"/>
    <s v="h/j/cn"/>
    <n v="0"/>
    <n v="45"/>
    <m/>
    <m/>
    <n v="45"/>
    <n v="2.651545"/>
    <n v="0"/>
    <n v="119.319525"/>
    <n v="0"/>
    <n v="0"/>
    <n v="119.319525"/>
    <x v="13"/>
    <s v="MENA_Programme 5. Alphabétisation et éducation non formelle"/>
    <s v="3. Dépenses de fonctionnement"/>
    <s v="DNAENF"/>
    <s v="ISSEG"/>
    <x v="2"/>
    <x v="5"/>
    <x v="40"/>
    <s v="633- Des modules de formation en andragogie sont intégrés dans les cursus de la formation initiale des enseignants"/>
    <x v="470"/>
    <s v="63311-Elaboration d'un programme harmonisé de formation des formateurs en AENF "/>
  </r>
  <r>
    <s v="Elaborer un module de formation en AENF pour les professeurs d’Ecoles Normales (PEN) et les Conseillers Pédagogique Maitre Formateur (CPMF) à l’ISSEG (introduire dans la révision des programmes de l'ISSEG)"/>
    <s v="PM"/>
    <s v="sif"/>
    <n v="0"/>
    <n v="1"/>
    <m/>
    <m/>
    <n v="1"/>
    <n v="0"/>
    <m/>
    <m/>
    <m/>
    <m/>
    <m/>
    <x v="2"/>
    <s v="MENA_Programme 5. Alphabétisation et éducation non formelle"/>
    <s v=""/>
    <s v="DNAENF"/>
    <s v="ISSEG"/>
    <x v="2"/>
    <x v="5"/>
    <x v="40"/>
    <s v="633- Des modules de formation en andragogie sont intégrés dans les cursus de la formation initiale des enseignants"/>
    <x v="470"/>
    <s v="63312-Elaborer un module de formation en AENF pour les professeurs d’Ecoles Normales (PEN) et les Conseillers Pédagogique Maitre Formateur (CPMF) à l’ISSEG (introduire dans la révision des programmes de l'ISSEG)"/>
  </r>
  <r>
    <s v="Elaborer et introduire un module de formation en AENF pour les élèves Maitres des ENI (introduire dans la révision des programmes des ENI)"/>
    <s v="Pm"/>
    <s v="sif"/>
    <n v="0"/>
    <m/>
    <n v="1"/>
    <m/>
    <n v="1"/>
    <n v="0"/>
    <m/>
    <m/>
    <m/>
    <m/>
    <m/>
    <x v="2"/>
    <s v="MENA_Programme 5. Alphabétisation et éducation non formelle"/>
    <s v=""/>
    <s v="DNAENF"/>
    <s v="ENI"/>
    <x v="1"/>
    <x v="5"/>
    <x v="40"/>
    <s v="633- Des modules de formation en andragogie sont intégrés dans les cursus de la formation initiale des enseignants"/>
    <x v="470"/>
    <s v="63312-Elaborer et introduire un module de formation en AENF pour les élèves Maitres des ENI (introduire dans la révision des programmes des ENI)"/>
  </r>
  <r>
    <s v="Implantation des modules de formation sur l'AENF"/>
    <m/>
    <m/>
    <n v="0"/>
    <m/>
    <m/>
    <m/>
    <m/>
    <m/>
    <m/>
    <m/>
    <m/>
    <m/>
    <m/>
    <x v="0"/>
    <m/>
    <m/>
    <m/>
    <m/>
    <x v="3"/>
    <x v="5"/>
    <x v="40"/>
    <s v="633- Des modules de formation en andragogie sont intégrés dans les cursus de la formation initiale des enseignants"/>
    <x v="471"/>
    <s v="6332-Implantation des modules de formation sur l'AENF"/>
  </r>
  <r>
    <s v="introduction des modules dans les programmes d’enseignements"/>
    <s v="texte juridique"/>
    <s v="sif"/>
    <n v="0"/>
    <m/>
    <n v="1"/>
    <m/>
    <n v="1"/>
    <n v="0"/>
    <m/>
    <m/>
    <m/>
    <m/>
    <m/>
    <x v="2"/>
    <s v="MENA_Programme 5. Alphabétisation et éducation non formelle"/>
    <s v=""/>
    <s v="ISSEG"/>
    <s v="ISSEG"/>
    <x v="2"/>
    <x v="5"/>
    <x v="40"/>
    <s v="633- Des modules de formation en andragogie sont intégrés dans les cursus de la formation initiale des enseignants"/>
    <x v="471"/>
    <s v="63321-introduction des modules dans les programmes d’enseignements"/>
  </r>
  <r>
    <s v="Mise en place des formations à l'ISSEG (subvention ISSEG)"/>
    <s v="formation"/>
    <s v="sif"/>
    <n v="0"/>
    <m/>
    <m/>
    <n v="1"/>
    <n v="1"/>
    <n v="0"/>
    <m/>
    <m/>
    <m/>
    <m/>
    <m/>
    <x v="2"/>
    <s v="MENA_Programme 5. Alphabétisation et éducation non formelle"/>
    <s v=""/>
    <s v="ISSEG"/>
    <s v="ISSEG"/>
    <x v="2"/>
    <x v="5"/>
    <x v="40"/>
    <s v="633- Des modules de formation en andragogie sont intégrés dans les cursus de la formation initiale des enseignants"/>
    <x v="471"/>
    <s v="63322-Mise en place des formations à l'ISSEG (subvention ISSEG)"/>
  </r>
  <r>
    <s v=" Un dispositif d’accréditation des différents niveaux et de certification en AENF est mis en place."/>
    <m/>
    <m/>
    <n v="0"/>
    <m/>
    <m/>
    <m/>
    <m/>
    <m/>
    <m/>
    <m/>
    <m/>
    <m/>
    <m/>
    <x v="0"/>
    <m/>
    <m/>
    <m/>
    <m/>
    <x v="3"/>
    <x v="5"/>
    <x v="40"/>
    <s v="634- Un dispositif d’accréditation des différents niveaux et de certification en AENF est mis en place."/>
    <x v="472"/>
    <s v="634- Un dispositif d’accréditation des différents niveaux et de certification en AENF est mis en place."/>
  </r>
  <r>
    <s v="DéFinition du dispositif de certification"/>
    <m/>
    <m/>
    <n v="0"/>
    <m/>
    <m/>
    <m/>
    <m/>
    <m/>
    <m/>
    <m/>
    <m/>
    <m/>
    <m/>
    <x v="0"/>
    <m/>
    <m/>
    <m/>
    <m/>
    <x v="3"/>
    <x v="5"/>
    <x v="40"/>
    <s v="634- Un dispositif d’accréditation des différents niveaux et de certification en AENF est mis en place."/>
    <x v="473"/>
    <s v="6341-DéFinition du dispositif de certification"/>
  </r>
  <r>
    <s v="mise en place de l'équipe d'évaluation (operateur, section préfectorale d'AENF)"/>
    <s v="texte "/>
    <s v="sif"/>
    <n v="0"/>
    <m/>
    <n v="1"/>
    <m/>
    <n v="1"/>
    <n v="0"/>
    <m/>
    <m/>
    <m/>
    <m/>
    <m/>
    <x v="2"/>
    <s v="MENA_Programme 5. Alphabétisation et éducation non formelle"/>
    <s v=""/>
    <s v="DNAENF"/>
    <s v="antenne AEA/section AEA/ONG operatrice"/>
    <x v="0"/>
    <x v="5"/>
    <x v="40"/>
    <s v="634- Un dispositif d’accréditation des différents niveaux et de certification en AENF est mis en place."/>
    <x v="473"/>
    <s v="63411-mise en place de l'équipe d'évaluation (operateur, section préfectorale d'AENF)"/>
  </r>
  <r>
    <s v="Révision des outils de l'évaluation"/>
    <s v="travaux administratifs"/>
    <s v="sif"/>
    <n v="0"/>
    <m/>
    <m/>
    <n v="3"/>
    <n v="3"/>
    <n v="0"/>
    <m/>
    <m/>
    <m/>
    <m/>
    <m/>
    <x v="2"/>
    <s v="MENA_Programme 5. Alphabétisation et éducation non formelle"/>
    <s v=""/>
    <s v="DNAENF"/>
    <s v="DNAENF"/>
    <x v="0"/>
    <x v="5"/>
    <x v="40"/>
    <s v="634- Un dispositif d’accréditation des différents niveaux et de certification en AENF est mis en place."/>
    <x v="473"/>
    <s v="63412-Révision des outils de l'évaluation"/>
  </r>
  <r>
    <s v="Evaluation de Fin d'apprentissage par niveau"/>
    <s v="mission par structures déconcentrées"/>
    <s v="h/j/m"/>
    <n v="0"/>
    <m/>
    <m/>
    <n v="192.024"/>
    <n v="192.024"/>
    <n v="0.8177777777777776"/>
    <n v="0"/>
    <n v="0"/>
    <n v="0"/>
    <n v="157.03295999999997"/>
    <n v="157.03295999999997"/>
    <x v="2"/>
    <s v="MENA_Programme 5. Alphabétisation et éducation non formelle"/>
    <s v="3. Dépenses de fonctionnement"/>
    <s v="DNAENF"/>
    <s v="ONG"/>
    <x v="0"/>
    <x v="5"/>
    <x v="40"/>
    <s v="634- Un dispositif d’accréditation des différents niveaux et de certification en AENF est mis en place."/>
    <x v="473"/>
    <s v="63413-Evaluation de Fin d'apprentissage par niveau"/>
  </r>
  <r>
    <s v="Evaluation de Fin d'apprentissage par niveau"/>
    <s v="mission par structures déconcentrées"/>
    <s v="h/j/m"/>
    <n v="0"/>
    <m/>
    <m/>
    <n v="47.975999999999999"/>
    <n v="47.975999999999999"/>
    <n v="0.8177777777777776"/>
    <n v="0"/>
    <n v="0"/>
    <n v="0"/>
    <n v="39.233706666666656"/>
    <n v="39.233706666666656"/>
    <x v="13"/>
    <s v="MENA_Programme 5. Alphabétisation et éducation non formelle"/>
    <s v="3. Dépenses de fonctionnement"/>
    <s v="DNAENF"/>
    <s v="ONG"/>
    <x v="0"/>
    <x v="5"/>
    <x v="40"/>
    <s v="634- Un dispositif d’accréditation des différents niveaux et de certification en AENF est mis en place."/>
    <x v="473"/>
    <s v="63413-Evaluation de Fin d'apprentissage par niveau"/>
  </r>
  <r>
    <s v="Certification des apprenants"/>
    <m/>
    <m/>
    <n v="0"/>
    <m/>
    <m/>
    <m/>
    <m/>
    <m/>
    <m/>
    <m/>
    <m/>
    <m/>
    <m/>
    <x v="0"/>
    <m/>
    <m/>
    <m/>
    <m/>
    <x v="3"/>
    <x v="5"/>
    <x v="40"/>
    <s v="634- Un dispositif d’accréditation des différents niveaux et de certification en AENF est mis en place."/>
    <x v="474"/>
    <s v="6342-Certification des apprenants"/>
  </r>
  <r>
    <s v="conception, reproduction des certificats"/>
    <s v="reproduction"/>
    <s v="IMP"/>
    <n v="0"/>
    <n v="163.42894098431998"/>
    <n v="272.38156830719998"/>
    <n v="272.38156830719998"/>
    <n v="708.19207759871995"/>
    <n v="7.4999999999999997E-3"/>
    <n v="0"/>
    <n v="1.2257170573823999"/>
    <n v="2.0428617623039997"/>
    <n v="2.0428617623039997"/>
    <n v="5.3114405819903991"/>
    <x v="2"/>
    <s v="MENA_Programme 5. Alphabétisation et éducation non formelle"/>
    <s v="3. Dépenses de fonctionnement"/>
    <s v="DNAENF"/>
    <s v="DNAENF"/>
    <x v="0"/>
    <x v="5"/>
    <x v="40"/>
    <s v="634- Un dispositif d’accréditation des différents niveaux et de certification en AENF est mis en place."/>
    <x v="474"/>
    <s v="63421-conception, reproduction des certificats"/>
  </r>
  <r>
    <s v="conception, reproduction des certificats"/>
    <s v="reproduction"/>
    <s v="IMP"/>
    <n v="0"/>
    <n v="6.8095392076800003"/>
    <n v="11.3492320128"/>
    <n v="11.3492320128"/>
    <n v="29.50800323328"/>
    <n v="7.4999999999999997E-3"/>
    <n v="0"/>
    <n v="5.1071544057599998E-2"/>
    <n v="8.5119240095999998E-2"/>
    <n v="8.5119240095999998E-2"/>
    <n v="0.2213100242496"/>
    <x v="13"/>
    <s v="MENA_Programme 5. Alphabétisation et éducation non formelle"/>
    <s v="3. Dépenses de fonctionnement"/>
    <s v="DNAENF"/>
    <s v="DNAENF"/>
    <x v="0"/>
    <x v="5"/>
    <x v="40"/>
    <s v="634- Un dispositif d’accréditation des différents niveaux et de certification en AENF est mis en place."/>
    <x v="474"/>
    <s v="63421-conception, reproduction des certificats"/>
  </r>
  <r>
    <s v="Remise des certificats par les ONG"/>
    <s v="PM"/>
    <m/>
    <n v="0"/>
    <n v="1"/>
    <n v="1"/>
    <n v="1"/>
    <n v="3"/>
    <n v="0"/>
    <m/>
    <m/>
    <m/>
    <m/>
    <m/>
    <x v="2"/>
    <s v="MENA_Programme 5. Alphabétisation et éducation non formelle"/>
    <s v=""/>
    <s v="DNAENF"/>
    <s v="ONG"/>
    <x v="0"/>
    <x v="5"/>
    <x v="40"/>
    <s v="634- Un dispositif d’accréditation des différents niveaux et de certification en AENF est mis en place."/>
    <x v="474"/>
    <s v="63422-Remise des certificats par les ONG"/>
  </r>
  <r>
    <s v=" Les compétences linguistiques, pédagogiques et andragogiques des moniteurs, des éducateurs, des animateurs et autres sont renforcées."/>
    <m/>
    <m/>
    <n v="0"/>
    <m/>
    <m/>
    <m/>
    <m/>
    <m/>
    <m/>
    <m/>
    <m/>
    <m/>
    <m/>
    <x v="0"/>
    <m/>
    <m/>
    <m/>
    <m/>
    <x v="3"/>
    <x v="5"/>
    <x v="40"/>
    <s v="635- Les compétences linguistiques, pédagogiques et andragogiques des moniteurs, des éducateurs, des animateurs et autres sont renforcées."/>
    <x v="475"/>
    <s v="635- Les compétences linguistiques, pédagogiques et andragogiques des moniteurs, des éducateurs, des animateurs et autres sont renforcées."/>
  </r>
  <r>
    <s v="Élaboration du matériel et du dispositif de formation"/>
    <m/>
    <m/>
    <n v="0"/>
    <m/>
    <m/>
    <m/>
    <m/>
    <m/>
    <m/>
    <m/>
    <m/>
    <m/>
    <m/>
    <x v="0"/>
    <m/>
    <m/>
    <m/>
    <m/>
    <x v="3"/>
    <x v="5"/>
    <x v="40"/>
    <s v="635- Les compétences linguistiques, pédagogiques et andragogiques des moniteurs, des éducateurs, des animateurs et autres sont renforcées."/>
    <x v="476"/>
    <s v="6351-Élaboration du matériel et du dispositif de formation"/>
  </r>
  <r>
    <s v="Conception et élaboration du matériel de formation des formateurs"/>
    <s v="atelier"/>
    <s v="h/j/ap"/>
    <n v="0"/>
    <n v="60"/>
    <n v="60"/>
    <m/>
    <n v="120"/>
    <n v="0.255"/>
    <n v="0"/>
    <n v="15.3"/>
    <n v="15.3"/>
    <n v="0"/>
    <n v="30.6"/>
    <x v="2"/>
    <s v="MENA_Programme 5. Alphabétisation et éducation non formelle"/>
    <s v="3. Dépenses de fonctionnement"/>
    <s v="DNAENF"/>
    <s v="DNAENF"/>
    <x v="0"/>
    <x v="5"/>
    <x v="40"/>
    <s v="635- Les compétences linguistiques, pédagogiques et andragogiques des moniteurs, des éducateurs, des animateurs et autres sont renforcées."/>
    <x v="476"/>
    <s v="63511-Conception et élaboration du matériel de formation des formateurs"/>
  </r>
  <r>
    <s v="Formation des formateurs relais"/>
    <s v="formation "/>
    <s v="sif"/>
    <n v="0"/>
    <n v="1"/>
    <n v="1"/>
    <n v="1"/>
    <n v="3"/>
    <n v="0"/>
    <m/>
    <m/>
    <m/>
    <m/>
    <m/>
    <x v="2"/>
    <s v="MENA_Programme 5. Alphabétisation et éducation non formelle"/>
    <s v=""/>
    <s v="DNAENF"/>
    <s v="ENI"/>
    <x v="1"/>
    <x v="5"/>
    <x v="40"/>
    <s v="635- Les compétences linguistiques, pédagogiques et andragogiques des moniteurs, des éducateurs, des animateurs et autres sont renforcées."/>
    <x v="476"/>
    <s v="63512-Formation des formateurs relais"/>
  </r>
  <r>
    <s v="Mise en place du dispositif et organisation régulière des formations"/>
    <m/>
    <m/>
    <n v="0"/>
    <m/>
    <m/>
    <m/>
    <m/>
    <m/>
    <m/>
    <m/>
    <m/>
    <m/>
    <m/>
    <x v="0"/>
    <m/>
    <m/>
    <m/>
    <m/>
    <x v="3"/>
    <x v="5"/>
    <x v="40"/>
    <s v="635- Les compétences linguistiques, pédagogiques et andragogiques des moniteurs, des éducateurs, des animateurs et autres sont renforcées."/>
    <x v="477"/>
    <s v="6352-Mise en place du dispositif et organisation régulière des formations"/>
  </r>
  <r>
    <s v="Organisation par les formateurs des formations au niveau local (pris en charge par les ONG et autres opérateurs)"/>
    <s v="PM "/>
    <s v="sif"/>
    <n v="0"/>
    <n v="1"/>
    <n v="1"/>
    <n v="1"/>
    <n v="3"/>
    <n v="0"/>
    <m/>
    <m/>
    <m/>
    <m/>
    <m/>
    <x v="2"/>
    <s v="MENA_Programme 5. Alphabétisation et éducation non formelle"/>
    <s v=""/>
    <s v="DNAENF"/>
    <s v="ONG"/>
    <x v="0"/>
    <x v="5"/>
    <x v="40"/>
    <s v="635- Les compétences linguistiques, pédagogiques et andragogiques des moniteurs, des éducateurs, des animateurs et autres sont renforcées."/>
    <x v="477"/>
    <s v="63521-Organisation par les formateurs des formations au niveau local (pris en charge par les ONG et autres opérateurs)"/>
  </r>
  <r>
    <s v="Suivi des résultats des formations"/>
    <s v="Mission"/>
    <s v="h/j/m"/>
    <n v="0"/>
    <m/>
    <n v="64.00800000000001"/>
    <n v="64.00800000000001"/>
    <n v="128.01600000000002"/>
    <n v="0.8177777777777776"/>
    <n v="0"/>
    <n v="0"/>
    <n v="52.344319999999996"/>
    <n v="52.344319999999996"/>
    <n v="104.68863999999999"/>
    <x v="2"/>
    <s v="MENA_Programme 5. Alphabétisation et éducation non formelle"/>
    <s v="3. Dépenses de fonctionnement"/>
    <s v="DNAENF"/>
    <s v="DNAENF"/>
    <x v="0"/>
    <x v="5"/>
    <x v="40"/>
    <s v="635- Les compétences linguistiques, pédagogiques et andragogiques des moniteurs, des éducateurs, des animateurs et autres sont renforcées."/>
    <x v="477"/>
    <s v="63522-Suivi des résultats des formations"/>
  </r>
  <r>
    <s v="Suivi des résultats des formations"/>
    <s v="Mission"/>
    <s v="h/j/m"/>
    <n v="0"/>
    <m/>
    <n v="15.991999999999999"/>
    <n v="15.991999999999999"/>
    <n v="31.983999999999998"/>
    <n v="0.8177777777777776"/>
    <n v="0"/>
    <n v="0"/>
    <n v="13.077902222222219"/>
    <n v="13.077902222222219"/>
    <n v="26.155804444444438"/>
    <x v="13"/>
    <s v="MENA_Programme 5. Alphabétisation et éducation non formelle"/>
    <s v="3. Dépenses de fonctionnement"/>
    <s v="DNAENF"/>
    <s v="DNAENF"/>
    <x v="0"/>
    <x v="5"/>
    <x v="40"/>
    <s v="635- Les compétences linguistiques, pédagogiques et andragogiques des moniteurs, des éducateurs, des animateurs et autres sont renforcées."/>
    <x v="477"/>
    <s v="63522-Suivi des résultats des formations"/>
  </r>
  <r>
    <s v=" Les capacités des opérateurs d’AENF en matière de mise en œuvre des activités d'AEA sont renforcées "/>
    <m/>
    <m/>
    <n v="0"/>
    <m/>
    <m/>
    <m/>
    <m/>
    <m/>
    <m/>
    <m/>
    <m/>
    <m/>
    <m/>
    <x v="0"/>
    <m/>
    <m/>
    <m/>
    <m/>
    <x v="3"/>
    <x v="5"/>
    <x v="40"/>
    <s v="636- Les capacités des opérateurs d’AENF en matière de mise en œuvre des activités d'AEA sont renforcées "/>
    <x v="478"/>
    <s v="636- Les capacités des opérateurs d’AENF en matière de mise en œuvre des activités d'AEA sont renforcées "/>
  </r>
  <r>
    <s v="Recensement des opérateurs par les réseaux"/>
    <s v="collecte des données"/>
    <s v="h/j/m"/>
    <n v="0"/>
    <n v="80.010000000000005"/>
    <n v="80.010000000000005"/>
    <n v="80.010000000000005"/>
    <n v="240.03000000000003"/>
    <n v="0.8177777777777776"/>
    <n v="0"/>
    <n v="65.430399999999992"/>
    <n v="65.430399999999992"/>
    <n v="65.430399999999992"/>
    <n v="196.29119999999998"/>
    <x v="2"/>
    <s v="MENA_Programme 5. Alphabétisation et éducation non formelle"/>
    <s v="3. Dépenses de fonctionnement"/>
    <s v="DNAENF"/>
    <s v="RESEAUX"/>
    <x v="0"/>
    <x v="5"/>
    <x v="40"/>
    <s v="636- Les capacités des opérateurs d’AENF en matière de mise en œuvre des activités d'AEA sont renforcées "/>
    <x v="478"/>
    <s v="63611-Recensement des opérateurs par les réseaux"/>
  </r>
  <r>
    <s v="Recensement des opérateurs par les réseaux"/>
    <s v="collecte des données"/>
    <s v="h/j/m"/>
    <n v="0"/>
    <n v="19.989999999999998"/>
    <n v="19.989999999999998"/>
    <n v="19.989999999999998"/>
    <n v="59.97"/>
    <n v="0.8177777777777776"/>
    <n v="0"/>
    <n v="16.347377777777773"/>
    <n v="16.347377777777773"/>
    <n v="16.347377777777773"/>
    <n v="49.042133333333318"/>
    <x v="13"/>
    <s v="MENA_Programme 5. Alphabétisation et éducation non formelle"/>
    <s v="3. Dépenses de fonctionnement"/>
    <s v="DNAENF"/>
    <s v="RESEAUX"/>
    <x v="0"/>
    <x v="5"/>
    <x v="40"/>
    <s v="636- Les capacités des opérateurs d’AENF en matière de mise en œuvre des activités d'AEA sont renforcées "/>
    <x v="478"/>
    <s v="63611-Recensement des opérateurs par les réseaux"/>
  </r>
  <r>
    <s v="Elaboration d'un annuaire des opérateurs"/>
    <s v="travaux administratifs"/>
    <s v="sif"/>
    <n v="0"/>
    <n v="1"/>
    <n v="1"/>
    <n v="1"/>
    <n v="3"/>
    <n v="0"/>
    <m/>
    <m/>
    <m/>
    <m/>
    <m/>
    <x v="2"/>
    <s v="MENA_Programme 5. Alphabétisation et éducation non formelle"/>
    <s v=""/>
    <s v="DNAENF"/>
    <s v="RESEAUX"/>
    <x v="0"/>
    <x v="5"/>
    <x v="40"/>
    <s v="636- Les capacités des opérateurs d’AENF en matière de mise en œuvre des activités d'AEA sont renforcées "/>
    <x v="478"/>
    <s v="63612-Elaboration d'un annuaire des opérateurs"/>
  </r>
  <r>
    <s v="Révision concertée du manuel de procédures d'alphabétisation (mode faire faire)"/>
    <s v="atelier"/>
    <s v="h/j/ap"/>
    <n v="0"/>
    <n v="40"/>
    <m/>
    <m/>
    <n v="40"/>
    <n v="0.255"/>
    <n v="0"/>
    <n v="10.199999999999999"/>
    <n v="0"/>
    <n v="0"/>
    <n v="10.199999999999999"/>
    <x v="2"/>
    <s v="MENA_Programme 5. Alphabétisation et éducation non formelle"/>
    <s v="3. Dépenses de fonctionnement"/>
    <s v="DNAENF"/>
    <s v="DNAENF"/>
    <x v="0"/>
    <x v="5"/>
    <x v="40"/>
    <s v="636- Les capacités des opérateurs d’AENF en matière de mise en œuvre des activités d'AEA sont renforcées "/>
    <x v="478"/>
    <s v="63613-Révision concertée du manuel de procédures d'alphabétisation (mode faire faire)"/>
  </r>
  <r>
    <s v="Validation du manuel de procédure en mode faire-faire"/>
    <s v="atelier"/>
    <s v="h/j/a"/>
    <n v="0"/>
    <n v="30"/>
    <m/>
    <m/>
    <n v="30"/>
    <n v="0.3133333333333333"/>
    <n v="0"/>
    <n v="9.3999999999999986"/>
    <n v="0"/>
    <n v="0"/>
    <n v="9.3999999999999986"/>
    <x v="2"/>
    <s v="MENA_Programme 5. Alphabétisation et éducation non formelle"/>
    <s v="3. Formation"/>
    <s v="DNAENF"/>
    <s v="DNAENF"/>
    <x v="0"/>
    <x v="5"/>
    <x v="40"/>
    <s v="636- Les capacités des opérateurs d’AENF en matière de mise en œuvre des activités d'AEA sont renforcées "/>
    <x v="478"/>
    <s v="63614-Validation du manuel de procédure en mode faire-faire"/>
  </r>
  <r>
    <s v="Partage et dissémination du nouveau manuel"/>
    <s v="impression"/>
    <s v="IMP/PR"/>
    <n v="0"/>
    <m/>
    <n v="750"/>
    <m/>
    <n v="750"/>
    <n v="0.03"/>
    <n v="0"/>
    <n v="0"/>
    <n v="22.5"/>
    <n v="0"/>
    <n v="22.5"/>
    <x v="2"/>
    <s v="MENA_Programme 5. Alphabétisation et éducation non formelle"/>
    <s v="3. Manuels scolaires et matériels pédagogiques"/>
    <s v="DNAENF"/>
    <s v="DNAENF"/>
    <x v="0"/>
    <x v="5"/>
    <x v="40"/>
    <s v="636- Les capacités des opérateurs d’AENF en matière de mise en œuvre des activités d'AEA sont renforcées "/>
    <x v="478"/>
    <s v="63614-Partage et dissémination du nouveau manuel"/>
  </r>
  <r>
    <s v="Production de livrets et de guides"/>
    <m/>
    <m/>
    <n v="0"/>
    <m/>
    <m/>
    <m/>
    <m/>
    <m/>
    <m/>
    <m/>
    <m/>
    <m/>
    <m/>
    <x v="0"/>
    <m/>
    <m/>
    <m/>
    <m/>
    <x v="3"/>
    <x v="5"/>
    <x v="40"/>
    <s v="636- Les capacités des opérateurs d’AENF en matière de mise en œuvre des activités d'AEA sont renforcées "/>
    <x v="479"/>
    <s v="6362-Production de livrets et de guides"/>
  </r>
  <r>
    <s v="Elaboration des livrets et guides de formation"/>
    <s v="atelier"/>
    <s v="h/j/ap"/>
    <n v="0"/>
    <n v="160"/>
    <m/>
    <m/>
    <n v="160"/>
    <n v="0.255"/>
    <n v="0"/>
    <n v="40.799999999999997"/>
    <n v="0"/>
    <n v="0"/>
    <n v="40.799999999999997"/>
    <x v="2"/>
    <s v="MENA_Programme 5. Alphabétisation et éducation non formelle"/>
    <s v="3. Dépenses de fonctionnement"/>
    <s v="DNAENF"/>
    <s v="DNAENF"/>
    <x v="0"/>
    <x v="5"/>
    <x v="40"/>
    <s v="636- Les capacités des opérateurs d’AENF en matière de mise en œuvre des activités d'AEA sont renforcées "/>
    <x v="479"/>
    <s v="63621-Elaboration des livrets et guides de formation"/>
  </r>
  <r>
    <s v=" Validation des livrets"/>
    <s v="atelier"/>
    <s v="h/j/a"/>
    <n v="0"/>
    <n v="60"/>
    <m/>
    <m/>
    <n v="60"/>
    <n v="0.3133333333333333"/>
    <n v="0"/>
    <n v="18.799999999999997"/>
    <n v="0"/>
    <n v="0"/>
    <n v="18.799999999999997"/>
    <x v="2"/>
    <s v="MENA_Programme 5. Alphabétisation et éducation non formelle"/>
    <s v="3. Formation"/>
    <s v="DNAENF"/>
    <s v="DNAENF"/>
    <x v="0"/>
    <x v="5"/>
    <x v="40"/>
    <s v="636- Les capacités des opérateurs d’AENF en matière de mise en œuvre des activités d'AEA sont renforcées "/>
    <x v="479"/>
    <s v="63622- Validation des livrets"/>
  </r>
  <r>
    <s v="Financement des activités d'AENF pour les operateurs"/>
    <m/>
    <m/>
    <n v="0"/>
    <m/>
    <m/>
    <m/>
    <m/>
    <m/>
    <m/>
    <m/>
    <m/>
    <m/>
    <m/>
    <x v="0"/>
    <m/>
    <m/>
    <m/>
    <m/>
    <x v="3"/>
    <x v="5"/>
    <x v="40"/>
    <s v="636- Les capacités des opérateurs d’AENF en matière de mise en œuvre des activités d'AEA sont renforcées "/>
    <x v="480"/>
    <s v="6363-Financement des activités d'AENF pour les operateurs"/>
  </r>
  <r>
    <s v="appel d'offres pour le choix des opérateurs"/>
    <s v="cahiers de charge"/>
    <s v="IMP"/>
    <n v="0"/>
    <n v="200"/>
    <n v="200"/>
    <n v="200"/>
    <n v="600"/>
    <n v="7.4999999999999997E-3"/>
    <n v="0"/>
    <n v="1.5"/>
    <n v="1.5"/>
    <n v="1.5"/>
    <n v="4.5"/>
    <x v="2"/>
    <s v="MENA_Programme 5. Alphabétisation et éducation non formelle"/>
    <s v="3. Dépenses de fonctionnement"/>
    <s v="DNAENF"/>
    <s v="DAF"/>
    <x v="0"/>
    <x v="5"/>
    <x v="40"/>
    <s v="636- Les capacités des opérateurs d’AENF en matière de mise en œuvre des activités d'AEA sont renforcées "/>
    <x v="480"/>
    <s v="63631-appel d'offres pour le choix des opérateurs"/>
  </r>
  <r>
    <s v="Choix des opérateurs et signature des contrats"/>
    <s v="travaux administratifs"/>
    <s v="sif"/>
    <n v="0"/>
    <n v="1"/>
    <n v="1"/>
    <n v="1"/>
    <n v="3"/>
    <n v="0"/>
    <m/>
    <m/>
    <m/>
    <m/>
    <m/>
    <x v="2"/>
    <s v="MENA_Programme 5. Alphabétisation et éducation non formelle"/>
    <s v=""/>
    <s v="DNAENF"/>
    <s v="DAF"/>
    <x v="0"/>
    <x v="5"/>
    <x v="40"/>
    <s v="636- Les capacités des opérateurs d’AENF en matière de mise en œuvre des activités d'AEA sont renforcées "/>
    <x v="480"/>
    <s v="63632-Choix des opérateurs et signature des contrats"/>
  </r>
  <r>
    <s v="Le matériel didactique approprié est disponible en quantité suffisante "/>
    <m/>
    <m/>
    <n v="0"/>
    <m/>
    <m/>
    <m/>
    <m/>
    <m/>
    <m/>
    <m/>
    <m/>
    <m/>
    <m/>
    <x v="0"/>
    <m/>
    <m/>
    <m/>
    <m/>
    <x v="3"/>
    <x v="5"/>
    <x v="40"/>
    <s v="637-Le matériel didactique approprié est disponible en quantité suffisante "/>
    <x v="481"/>
    <s v="637-Le matériel didactique approprié est disponible en quantité suffisante "/>
  </r>
  <r>
    <s v="Acquisition et distribution de matériel didactique"/>
    <m/>
    <m/>
    <n v="0"/>
    <m/>
    <m/>
    <m/>
    <m/>
    <m/>
    <m/>
    <m/>
    <m/>
    <m/>
    <m/>
    <x v="0"/>
    <m/>
    <m/>
    <m/>
    <m/>
    <x v="3"/>
    <x v="5"/>
    <x v="40"/>
    <s v="637-Le matériel didactique approprié est disponible en quantité suffisante "/>
    <x v="482"/>
    <s v="6371-Acquisition et distribution de matériel didactique"/>
  </r>
  <r>
    <s v="Acquisition et distribution de manuels et guides pour les alphabétiseurs"/>
    <s v="Impression manuel et guide"/>
    <s v="man/alpha/educ"/>
    <n v="0"/>
    <n v="163.35448632000001"/>
    <n v="272.25747719999998"/>
    <n v="272.25747719999998"/>
    <n v="707.86944072000006"/>
    <n v="1.7999999999999999E-2"/>
    <n v="0"/>
    <n v="2.94038075376"/>
    <n v="4.9006345895999992"/>
    <n v="4.9006345895999992"/>
    <n v="12.741649932959998"/>
    <x v="2"/>
    <s v="MENA_Programme 5. Alphabétisation et éducation non formelle"/>
    <s v="3. Manuels scolaires et matériels pédagogiques"/>
    <s v="DNAENF"/>
    <s v="DAF"/>
    <x v="0"/>
    <x v="5"/>
    <x v="40"/>
    <s v="637-Le matériel didactique approprié est disponible en quantité suffisante "/>
    <x v="482"/>
    <s v="63721-Acquisition et distribution de manuels et guides pour les alphabétiseurs"/>
  </r>
  <r>
    <s v="Acquisition et distribution de manuels et guides pour les alphabétiseurs"/>
    <s v="Impression manuel et guide"/>
    <s v="man/alpha/educ"/>
    <n v="0"/>
    <n v="6.7887136800000007"/>
    <n v="11.314522799999999"/>
    <n v="11.314522799999999"/>
    <n v="29.417759279999999"/>
    <n v="1.7999999999999999E-2"/>
    <n v="0"/>
    <n v="0.12219684624"/>
    <n v="0.20366141039999996"/>
    <n v="0.20366141039999996"/>
    <n v="0.52951966703999997"/>
    <x v="13"/>
    <s v="MENA_Programme 5. Alphabétisation et éducation non formelle"/>
    <s v="3. Manuels scolaires et matériels pédagogiques"/>
    <s v="DNAENF"/>
    <s v="DAF"/>
    <x v="0"/>
    <x v="5"/>
    <x v="40"/>
    <s v="637-Le matériel didactique approprié est disponible en quantité suffisante "/>
    <x v="482"/>
    <s v="63721-Acquisition et distribution de manuels et guides pour les alphabétiseurs"/>
  </r>
  <r>
    <s v="Acquisition de livrets pour les apprenants"/>
    <s v="impression livret"/>
    <s v="apprenant/alpha"/>
    <n v="0"/>
    <n v="8167.7243160000007"/>
    <n v="13612.87386"/>
    <n v="13612.87386"/>
    <n v="35393.472035999999"/>
    <n v="1.7999999999999999E-2"/>
    <n v="0"/>
    <n v="147.019037688"/>
    <n v="245.03172947999997"/>
    <n v="245.03172947999997"/>
    <n v="637.08249664799996"/>
    <x v="2"/>
    <s v="MENA_Programme 5. Alphabétisation et éducation non formelle"/>
    <s v="3. Manuels scolaires et matériels pédagogiques"/>
    <s v="DNAENF"/>
    <s v="DAF"/>
    <x v="0"/>
    <x v="5"/>
    <x v="40"/>
    <s v="637-Le matériel didactique approprié est disponible en quantité suffisante "/>
    <x v="482"/>
    <s v="63722-Acquisition de livrets pour les apprenants"/>
  </r>
  <r>
    <s v="Acquisition de livrets pour les apprenants"/>
    <s v="impression livret"/>
    <s v="apprenant/alpha"/>
    <n v="0"/>
    <n v="339.43568400000004"/>
    <n v="565.72613999999999"/>
    <n v="565.72613999999999"/>
    <n v="1470.887964"/>
    <n v="1.7999999999999999E-2"/>
    <n v="0"/>
    <n v="6.1098423120000005"/>
    <n v="10.183070519999999"/>
    <n v="10.183070519999999"/>
    <n v="26.475983352"/>
    <x v="13"/>
    <s v="MENA_Programme 5. Alphabétisation et éducation non formelle"/>
    <s v="3. Manuels scolaires et matériels pédagogiques"/>
    <s v="DNAENF"/>
    <s v="DAF"/>
    <x v="0"/>
    <x v="5"/>
    <x v="40"/>
    <s v="637-Le matériel didactique approprié est disponible en quantité suffisante "/>
    <x v="482"/>
    <s v="63722-Acquisition de livrets pour les apprenants"/>
  </r>
  <r>
    <s v=" Le suivi évaluation des activités d'AEA est amélioré et systématisé au niveau central et déconcentré "/>
    <m/>
    <m/>
    <n v="0"/>
    <m/>
    <m/>
    <m/>
    <m/>
    <m/>
    <m/>
    <m/>
    <m/>
    <m/>
    <m/>
    <x v="0"/>
    <m/>
    <m/>
    <m/>
    <m/>
    <x v="3"/>
    <x v="5"/>
    <x v="40"/>
    <s v="638- Le suivi évaluation des activités d'AEA est amélioré et systématisé au niveau central et déconcentré "/>
    <x v="483"/>
    <s v="638- Le suivi évaluation des activités d'AEA est amélioré et systématisé au niveau central et déconcentré "/>
  </r>
  <r>
    <s v="Renforcement des capacités en suivi, évaluation et contrôle au niveau central et local"/>
    <m/>
    <m/>
    <n v="0"/>
    <m/>
    <m/>
    <m/>
    <m/>
    <m/>
    <m/>
    <m/>
    <m/>
    <m/>
    <m/>
    <x v="0"/>
    <m/>
    <m/>
    <m/>
    <m/>
    <x v="3"/>
    <x v="5"/>
    <x v="40"/>
    <s v="638- Le suivi évaluation des activités d'AEA est amélioré et systématisé au niveau central et déconcentré "/>
    <x v="484"/>
    <s v="6381-Renforcement des capacités en suivi, évaluation et contrôle au niveau central et local"/>
  </r>
  <r>
    <s v="Elaboration d'un guide pour le suivi et l'évaluation des activités d'alphabétisation"/>
    <s v="Atelier"/>
    <s v="h/j/ap"/>
    <n v="0"/>
    <n v="40"/>
    <m/>
    <m/>
    <n v="40"/>
    <n v="0.255"/>
    <n v="0"/>
    <n v="10.199999999999999"/>
    <n v="0"/>
    <n v="0"/>
    <n v="10.199999999999999"/>
    <x v="2"/>
    <s v="MENA_Programme 5. Alphabétisation et éducation non formelle"/>
    <s v="3. Dépenses de fonctionnement"/>
    <s v="DNAENF"/>
    <s v="DNAENF"/>
    <x v="0"/>
    <x v="5"/>
    <x v="40"/>
    <s v="638- Le suivi évaluation des activités d'AEA est amélioré et systématisé au niveau central et déconcentré "/>
    <x v="484"/>
    <s v="63821-Elaboration d'un guide pour le suivi et l'évaluation des activités d'alphabétisation"/>
  </r>
  <r>
    <s v="Reproduction et distribution des guide"/>
    <s v="impression"/>
    <s v="imp"/>
    <n v="0"/>
    <n v="500"/>
    <n v="500"/>
    <n v="500"/>
    <n v="1500"/>
    <n v="7.4999999999999997E-3"/>
    <n v="0"/>
    <n v="3.75"/>
    <n v="3.75"/>
    <n v="3.75"/>
    <n v="11.25"/>
    <x v="2"/>
    <s v="MENA_Programme 5. Alphabétisation et éducation non formelle"/>
    <s v="3. Dépenses de fonctionnement"/>
    <s v="DNAENF"/>
    <s v="DAF"/>
    <x v="0"/>
    <x v="5"/>
    <x v="40"/>
    <s v="638- Le suivi évaluation des activités d'AEA est amélioré et systématisé au niveau central et déconcentré "/>
    <x v="484"/>
    <s v="63822-Reproduction et distribution des guide"/>
  </r>
  <r>
    <s v="Acquisition de matériel roulant pour les chefs section AENF"/>
    <s v="Matériel roulant"/>
    <s v="moto"/>
    <n v="0"/>
    <m/>
    <n v="38"/>
    <m/>
    <n v="38"/>
    <n v="15"/>
    <n v="0"/>
    <n v="0"/>
    <n v="570"/>
    <n v="0"/>
    <n v="570"/>
    <x v="2"/>
    <s v="MENA_Programme 5. Alphabétisation et éducation non formelle"/>
    <s v="5. Investissement"/>
    <s v="DNAENF"/>
    <s v="DAF"/>
    <x v="0"/>
    <x v="5"/>
    <x v="40"/>
    <s v="638- Le suivi évaluation des activités d'AEA est amélioré et systématisé au niveau central et déconcentré "/>
    <x v="484"/>
    <s v="63823-Acquisition de matériel roulant pour les chefs section AENF"/>
  </r>
  <r>
    <s v="Acquisition d'équipement informatique pour la DNAENF"/>
    <s v="matériel informatique"/>
    <s v="poste de travail"/>
    <n v="0"/>
    <m/>
    <n v="10"/>
    <m/>
    <n v="10"/>
    <n v="10.034934666666667"/>
    <n v="0"/>
    <n v="0"/>
    <n v="100.34934666666666"/>
    <n v="0"/>
    <n v="100.34934666666666"/>
    <x v="2"/>
    <s v="MENA_Programme 5. Alphabétisation et éducation non formelle"/>
    <s v="5. Investissement"/>
    <s v="DNAENF"/>
    <s v="DAF"/>
    <x v="0"/>
    <x v="5"/>
    <x v="40"/>
    <s v="638- Le suivi évaluation des activités d'AEA est amélioré et systématisé au niveau central et déconcentré "/>
    <x v="484"/>
    <s v="63824-Acquisition d'équipement informatique pour la DNAENF"/>
  </r>
  <r>
    <s v="installation de l'internet au niveau de la direction"/>
    <s v="connexion"/>
    <s v="abon/an"/>
    <n v="0"/>
    <m/>
    <n v="1"/>
    <m/>
    <n v="1"/>
    <n v="24"/>
    <n v="0"/>
    <n v="0"/>
    <n v="24"/>
    <n v="0"/>
    <n v="24"/>
    <x v="2"/>
    <s v="MENA_Programme 5. Alphabétisation et éducation non formelle"/>
    <s v="3. Dépenses de fonctionnement"/>
    <s v="DNAENF"/>
    <s v="DAF"/>
    <x v="0"/>
    <x v="5"/>
    <x v="40"/>
    <s v="638- Le suivi évaluation des activités d'AEA est amélioré et systématisé au niveau central et déconcentré "/>
    <x v="484"/>
    <s v="63825-installation de l'internet au niveau de la direction"/>
  </r>
  <r>
    <s v="Renforcement des capacités des cadres et agents d'encadrement"/>
    <m/>
    <m/>
    <n v="0"/>
    <m/>
    <m/>
    <m/>
    <m/>
    <m/>
    <m/>
    <m/>
    <m/>
    <m/>
    <m/>
    <x v="0"/>
    <m/>
    <m/>
    <m/>
    <m/>
    <x v="3"/>
    <x v="5"/>
    <x v="40"/>
    <s v="638- Le suivi évaluation des activités d'AEA est amélioré et systématisé au niveau central et déconcentré "/>
    <x v="485"/>
    <s v="6382-Renforcement des capacités des cadres et agents d'encadrement"/>
  </r>
  <r>
    <s v="Participation des cadres aux rencontres nationale, sous régionale et internationale en AEA (budget mission)"/>
    <s v="voyages"/>
    <s v="Cu/fe"/>
    <n v="0"/>
    <n v="1.5"/>
    <n v="1.5"/>
    <n v="1.5"/>
    <n v="4.5"/>
    <n v="50.336534"/>
    <n v="0"/>
    <n v="75.504801"/>
    <n v="75.504801"/>
    <n v="75.504801"/>
    <n v="226.51440300000002"/>
    <x v="2"/>
    <s v="MENA_Programme 5. Alphabétisation et éducation non formelle"/>
    <s v="3. Formation"/>
    <s v="DNAENF"/>
    <s v="DAF"/>
    <x v="0"/>
    <x v="5"/>
    <x v="40"/>
    <s v="638- Le suivi évaluation des activités d'AEA est amélioré et systématisé au niveau central et déconcentré "/>
    <x v="485"/>
    <s v="63821-Participation des cadres aux rencontres nationale, sous régionale et internationale en AEA (budget mission)"/>
  </r>
  <r>
    <s v="participation des cadres aux formations sous régionales et internationale en matière d'AEA (sur invitation)"/>
    <s v="formation"/>
    <s v="Cu/fe"/>
    <n v="0"/>
    <n v="2"/>
    <n v="2"/>
    <n v="2"/>
    <n v="6"/>
    <n v="50.336534"/>
    <n v="0"/>
    <n v="100.673068"/>
    <n v="100.673068"/>
    <n v="100.673068"/>
    <n v="302.019204"/>
    <x v="13"/>
    <s v="MENA_Programme 5. Alphabétisation et éducation non formelle"/>
    <s v="3. Formation"/>
    <s v="DNAENF"/>
    <s v="DAF"/>
    <x v="0"/>
    <x v="5"/>
    <x v="40"/>
    <s v="638- Le suivi évaluation des activités d'AEA est amélioré et systématisé au niveau central et déconcentré "/>
    <x v="485"/>
    <s v="63822-participation des cadres aux formations sous régionales et internationale en matière d'AEA (sur invitation)"/>
  </r>
  <r>
    <s v="Organisation annuelle de la journée internationale de l'alphabétisation"/>
    <m/>
    <m/>
    <n v="0"/>
    <m/>
    <m/>
    <m/>
    <m/>
    <m/>
    <m/>
    <m/>
    <m/>
    <m/>
    <m/>
    <x v="0"/>
    <m/>
    <m/>
    <m/>
    <m/>
    <x v="3"/>
    <x v="5"/>
    <x v="40"/>
    <s v="638- Le suivi évaluation des activités d'AEA est amélioré et systématisé au niveau central et déconcentré "/>
    <x v="486"/>
    <s v="6383-Organisation annuelle de la journée internationale de l'alphabétisation"/>
  </r>
  <r>
    <s v="Mise en place de la commission d'organisation"/>
    <s v="décision"/>
    <s v="sif"/>
    <n v="0"/>
    <n v="9"/>
    <m/>
    <m/>
    <n v="9"/>
    <n v="0"/>
    <m/>
    <m/>
    <m/>
    <m/>
    <m/>
    <x v="2"/>
    <s v="MENA_Programme 5. Alphabétisation et éducation non formelle"/>
    <s v=""/>
    <s v="DNAENF"/>
    <s v="DNAENF"/>
    <x v="0"/>
    <x v="5"/>
    <x v="40"/>
    <s v="638- Le suivi évaluation des activités d'AEA est amélioré et systématisé au niveau central et déconcentré "/>
    <x v="486"/>
    <s v="63831-Mise en place de la commission d'organisation"/>
  </r>
  <r>
    <s v="Organisation de l'atelier bilan et collecte des informations"/>
    <s v="Atelier"/>
    <s v="h/j/ap"/>
    <n v="0"/>
    <n v="75"/>
    <n v="75"/>
    <n v="75"/>
    <n v="225"/>
    <n v="0.255"/>
    <n v="0"/>
    <n v="19.125"/>
    <n v="19.125"/>
    <n v="19.125"/>
    <n v="57.375"/>
    <x v="2"/>
    <s v="MENA_Programme 5. Alphabétisation et éducation non formelle"/>
    <s v="3. Dépenses de fonctionnement"/>
    <s v="DNAENF"/>
    <s v="BSD"/>
    <x v="0"/>
    <x v="5"/>
    <x v="40"/>
    <s v="638- Le suivi évaluation des activités d'AEA est amélioré et systématisé au niveau central et déconcentré "/>
    <x v="486"/>
    <s v="63832-Organisation de l'atelier bilan et collecte des informations"/>
  </r>
  <r>
    <s v="Organisation des cérémonies commémoratives du 8 septembre"/>
    <s v="Cérémonie"/>
    <s v="forf/cerémonie"/>
    <n v="0"/>
    <n v="1"/>
    <n v="1"/>
    <n v="1"/>
    <n v="3"/>
    <n v="200"/>
    <n v="0"/>
    <n v="200"/>
    <n v="200"/>
    <n v="200"/>
    <n v="600"/>
    <x v="2"/>
    <s v="MENA_Programme 5. Alphabétisation et éducation non formelle"/>
    <s v="3. Dépenses de fonctionnement"/>
    <s v="DNAENF"/>
    <s v="DNAENF"/>
    <x v="0"/>
    <x v="5"/>
    <x v="40"/>
    <s v="638- Le suivi évaluation des activités d'AEA est amélioré et systématisé au niveau central et déconcentré "/>
    <x v="486"/>
    <s v="63831-Organisation des cérémonies commémoratives du 8 septembre"/>
  </r>
  <r>
    <s v="Développement de la Post-alphabétisation "/>
    <m/>
    <m/>
    <n v="0"/>
    <m/>
    <m/>
    <m/>
    <m/>
    <m/>
    <m/>
    <m/>
    <m/>
    <m/>
    <m/>
    <x v="0"/>
    <m/>
    <m/>
    <m/>
    <m/>
    <x v="3"/>
    <x v="5"/>
    <x v="41"/>
    <s v="64-Développement de la Post-alphabétisation "/>
    <x v="487"/>
    <s v="64-Développement de la Post-alphabétisation "/>
  </r>
  <r>
    <s v="Promotion du développement de la production écrite en langues nationales "/>
    <m/>
    <m/>
    <n v="0"/>
    <m/>
    <m/>
    <m/>
    <m/>
    <m/>
    <m/>
    <m/>
    <m/>
    <m/>
    <m/>
    <x v="0"/>
    <m/>
    <m/>
    <m/>
    <m/>
    <x v="3"/>
    <x v="5"/>
    <x v="41"/>
    <s v="641-Promotion du développement de la production écrite en langues nationales "/>
    <x v="488"/>
    <s v="641-Promotion du développement de la production écrite en langues nationales "/>
  </r>
  <r>
    <s v="Promouvoir la production endogène des ouvrages, journaux, etc écrits en langues nationales"/>
    <m/>
    <m/>
    <n v="0"/>
    <m/>
    <m/>
    <m/>
    <m/>
    <m/>
    <m/>
    <m/>
    <m/>
    <m/>
    <m/>
    <x v="0"/>
    <m/>
    <m/>
    <m/>
    <m/>
    <x v="3"/>
    <x v="5"/>
    <x v="41"/>
    <s v="641-Promotion du développement de la production écrite en langues nationales "/>
    <x v="489"/>
    <s v="6411-Promouvoir la production endogène des ouvrages, journaux, etc écrits en langues nationales"/>
  </r>
  <r>
    <s v="identification et formation des écrivains en langues nationales parmi les néo alphabètes"/>
    <s v="formation"/>
    <s v="h/f"/>
    <n v="0"/>
    <n v="96"/>
    <n v="96"/>
    <n v="96"/>
    <n v="288"/>
    <n v="1.5"/>
    <n v="0"/>
    <n v="144"/>
    <n v="144"/>
    <n v="144"/>
    <n v="432"/>
    <x v="2"/>
    <s v="MENA_Programme 5. Alphabétisation et éducation non formelle"/>
    <s v="3. Formation"/>
    <s v="DNAENF"/>
    <s v="Antenne AEA/section AEA/ONG"/>
    <x v="0"/>
    <x v="5"/>
    <x v="41"/>
    <s v="641-Promotion du développement de la production écrite en langues nationales "/>
    <x v="489"/>
    <s v="64111-identification et formation des écrivains en langues nationales parmi les néo alphabètes"/>
  </r>
  <r>
    <s v="identification et formation des écrivains en langues nationales parmi les néo alphabètes"/>
    <s v="formation"/>
    <s v="h/f"/>
    <n v="0"/>
    <n v="24"/>
    <n v="24"/>
    <n v="24"/>
    <n v="72"/>
    <n v="1.5"/>
    <n v="0"/>
    <n v="36"/>
    <n v="36"/>
    <n v="36"/>
    <n v="108"/>
    <x v="13"/>
    <s v="MENA_Programme 5. Alphabétisation et éducation non formelle"/>
    <s v="3. Formation"/>
    <s v="DNAENF"/>
    <s v="Antenne AEA/section AEA/ONG"/>
    <x v="0"/>
    <x v="5"/>
    <x v="41"/>
    <s v="641-Promotion du développement de la production écrite en langues nationales "/>
    <x v="489"/>
    <s v="64111-identification et formation des écrivains en langues nationales parmi les néo alphabètes"/>
  </r>
  <r>
    <s v="Organisation de concours de meilleurs récits, histoires, monographies des villages……)  "/>
    <s v="Prix"/>
    <s v="forfait/prix"/>
    <n v="0"/>
    <n v="0.8"/>
    <n v="0.8"/>
    <n v="0.8"/>
    <n v="2.4000000000000004"/>
    <n v="100"/>
    <n v="0"/>
    <n v="80"/>
    <n v="80"/>
    <n v="80"/>
    <n v="240"/>
    <x v="2"/>
    <s v="MENA_Programme 5. Alphabétisation et éducation non formelle"/>
    <s v="4. Transferts et subventions"/>
    <s v="DNAENF"/>
    <s v="DAF"/>
    <x v="0"/>
    <x v="5"/>
    <x v="41"/>
    <s v="641-Promotion du développement de la production écrite en langues nationales "/>
    <x v="489"/>
    <s v="64112-Organisation de concours de meilleurs récits, histoires, monographies des villages……)  "/>
  </r>
  <r>
    <s v="Organisation de concours de meilleurs récits, histoires, monographies des villages……)  "/>
    <s v="Prix"/>
    <s v="forfait/prix"/>
    <n v="0"/>
    <n v="0.2"/>
    <n v="0.2"/>
    <n v="0.2"/>
    <n v="0.60000000000000009"/>
    <n v="100"/>
    <n v="0"/>
    <n v="20"/>
    <n v="20"/>
    <n v="20"/>
    <n v="60"/>
    <x v="13"/>
    <s v="MENA_Programme 5. Alphabétisation et éducation non formelle"/>
    <s v="4. Transferts et subventions"/>
    <s v="DNAENF"/>
    <s v="DAF"/>
    <x v="0"/>
    <x v="5"/>
    <x v="41"/>
    <s v="641-Promotion du développement de la production écrite en langues nationales "/>
    <x v="489"/>
    <s v="64112-Organisation de concours de meilleurs récits, histoires, monographies des villages……)  "/>
  </r>
  <r>
    <s v="Publication de la production dans les journaux locaux "/>
    <s v="Plaidoyer"/>
    <s v="sif"/>
    <n v="0"/>
    <m/>
    <n v="1"/>
    <n v="1"/>
    <n v="2"/>
    <n v="0"/>
    <m/>
    <m/>
    <m/>
    <m/>
    <m/>
    <x v="2"/>
    <s v="MENA_Programme 5. Alphabétisation et éducation non formelle"/>
    <s v=""/>
    <s v="DNAENF"/>
    <s v="DNAENF"/>
    <x v="0"/>
    <x v="5"/>
    <x v="41"/>
    <s v="641-Promotion du développement de la production écrite en langues nationales "/>
    <x v="489"/>
    <s v="64113-Publication de la production dans les journaux locaux "/>
  </r>
  <r>
    <s v="Organisation d'atelier de rédaction d'articles en langues nationales par les néo alphabètes "/>
    <s v="atelier"/>
    <s v="h/j/a"/>
    <n v="0"/>
    <n v="224"/>
    <n v="224"/>
    <n v="224"/>
    <n v="672"/>
    <n v="0.3133333333333333"/>
    <n v="0"/>
    <n v="70.186666666666653"/>
    <n v="70.186666666666653"/>
    <n v="70.186666666666653"/>
    <n v="210.55999999999995"/>
    <x v="2"/>
    <s v="MENA_Programme 5. Alphabétisation et éducation non formelle"/>
    <s v="3. Formation"/>
    <s v="DNAENF"/>
    <s v="antenne AEA/section AEA/ONG/néoalphabètes"/>
    <x v="0"/>
    <x v="5"/>
    <x v="41"/>
    <s v="641-Promotion du développement de la production écrite en langues nationales "/>
    <x v="489"/>
    <s v="64114-Organisation d'atelier de rédaction d'articles en langues nationales par les néo alphabètes "/>
  </r>
  <r>
    <s v="Organisation d'atelier de rédaction d'articles en langues nationales par les néo alphabètes "/>
    <s v="atelier"/>
    <s v="h/j/a"/>
    <n v="0"/>
    <n v="56"/>
    <n v="56"/>
    <n v="56"/>
    <n v="168"/>
    <n v="0.3133333333333333"/>
    <n v="0"/>
    <n v="17.546666666666663"/>
    <n v="17.546666666666663"/>
    <n v="17.546666666666663"/>
    <n v="52.639999999999986"/>
    <x v="13"/>
    <s v="MENA_Programme 5. Alphabétisation et éducation non formelle"/>
    <s v="3. Formation"/>
    <s v="DNAENF"/>
    <s v="antenne AEA/section AEA/ONG/néoalphabètes"/>
    <x v="0"/>
    <x v="5"/>
    <x v="41"/>
    <s v="641-Promotion du développement de la production écrite en langues nationales "/>
    <x v="489"/>
    <s v="64114-Organisation d'atelier de rédaction d'articles en langues nationales par les néo alphabètes "/>
  </r>
  <r>
    <s v="Développement d'actions de plaidoyer pour la production d'enseignes et d'écriteaux en langues nationales"/>
    <m/>
    <m/>
    <n v="0"/>
    <m/>
    <m/>
    <m/>
    <m/>
    <m/>
    <m/>
    <m/>
    <m/>
    <m/>
    <m/>
    <x v="0"/>
    <m/>
    <m/>
    <m/>
    <m/>
    <x v="3"/>
    <x v="5"/>
    <x v="41"/>
    <s v="641-Promotion du développement de la production écrite en langues nationales "/>
    <x v="490"/>
    <s v="6412-Développement d'actions de plaidoyer pour la production d'enseignes et d'écriteaux en langues nationales"/>
  </r>
  <r>
    <s v="Elaboration d'une stratégie nationale de création et de développement de foyers d'environnement lettré"/>
    <s v="atelier"/>
    <s v="h/j/ap"/>
    <n v="0"/>
    <m/>
    <m/>
    <m/>
    <n v="0"/>
    <n v="0.255"/>
    <n v="0"/>
    <n v="0"/>
    <n v="0"/>
    <n v="0"/>
    <n v="0"/>
    <x v="2"/>
    <s v="MENA_Programme 5. Alphabétisation et éducation non formelle"/>
    <s v="3. Dépenses de fonctionnement"/>
    <s v="DNAENF"/>
    <s v="DNAENF"/>
    <x v="0"/>
    <x v="5"/>
    <x v="41"/>
    <s v="641-Promotion du développement de la production écrite en langues nationales "/>
    <x v="490"/>
    <s v="64121-Elaboration d'une stratégie nationale de création et de développement de foyers d'environnement lettré"/>
  </r>
  <r>
    <s v="Validation technique de la stratégie"/>
    <s v="Atelier"/>
    <s v="h/j/ap"/>
    <n v="0"/>
    <n v="50"/>
    <m/>
    <m/>
    <n v="50"/>
    <n v="0.255"/>
    <n v="0"/>
    <n v="12.75"/>
    <n v="0"/>
    <n v="0"/>
    <n v="12.75"/>
    <x v="2"/>
    <s v="MENA_Programme 5. Alphabétisation et éducation non formelle"/>
    <s v="3. Dépenses de fonctionnement"/>
    <s v="DNAENF"/>
    <s v="DNAENF"/>
    <x v="0"/>
    <x v="5"/>
    <x v="41"/>
    <s v="641-Promotion du développement de la production écrite en langues nationales "/>
    <x v="490"/>
    <s v="64122-Validation technique de la stratégie"/>
  </r>
  <r>
    <s v="Soumission de la stratégie pour validation au gouvernement"/>
    <s v="travaux administratifs"/>
    <s v="sif"/>
    <n v="0"/>
    <n v="1"/>
    <m/>
    <m/>
    <n v="1"/>
    <n v="0"/>
    <m/>
    <m/>
    <m/>
    <m/>
    <m/>
    <x v="2"/>
    <s v="MENA_Programme 5. Alphabétisation et éducation non formelle"/>
    <s v=""/>
    <s v="DNAENF"/>
    <s v="MENA "/>
    <x v="0"/>
    <x v="5"/>
    <x v="41"/>
    <s v="641-Promotion du développement de la production écrite en langues nationales "/>
    <x v="490"/>
    <s v="64123-Soumission de la stratégie pour validation au gouvernement"/>
  </r>
  <r>
    <s v="Adoption par le Gouvernement de la stratégie nationale pour le développement d'un environnement lettré en langues nationales "/>
    <s v="Décison"/>
    <s v="sif"/>
    <n v="0"/>
    <m/>
    <n v="1"/>
    <m/>
    <n v="1"/>
    <n v="0"/>
    <m/>
    <m/>
    <m/>
    <m/>
    <m/>
    <x v="2"/>
    <s v="MENA_Programme 5. Alphabétisation et éducation non formelle"/>
    <s v=""/>
    <s v="MENA"/>
    <s v="MENA "/>
    <x v="0"/>
    <x v="5"/>
    <x v="41"/>
    <s v="641-Promotion du développement de la production écrite en langues nationales "/>
    <x v="490"/>
    <s v="64124-Adoption par le Gouvernement de la stratégie nationale pour le développement d'un environnement lettré en langues nationales "/>
  </r>
  <r>
    <s v="Poursuite de l'expérimentation sur l'utilisation du numérique pour renforcer la post alphabétisation (DVV)"/>
    <s v="PM"/>
    <s v="sif"/>
    <n v="0"/>
    <n v="1"/>
    <m/>
    <m/>
    <n v="1"/>
    <n v="0"/>
    <m/>
    <m/>
    <m/>
    <m/>
    <m/>
    <x v="2"/>
    <s v="MENA_Programme 5. Alphabétisation et éducation non formelle"/>
    <s v=""/>
    <s v="DNAENF"/>
    <s v="DVV"/>
    <x v="0"/>
    <x v="5"/>
    <x v="41"/>
    <s v="641-Promotion du développement de la production écrite en langues nationales "/>
    <x v="490"/>
    <s v="64125-Poursuite de l'expérimentation sur l'utilisation du numérique pour renforcer la post alphabétisation (DVV)"/>
  </r>
  <r>
    <s v="Evaluation de l'expérimentation sur l'utilisation du numérique pour renforcer la post alphabétisation (DVV)"/>
    <s v="PM"/>
    <s v="sif"/>
    <n v="0"/>
    <n v="1"/>
    <m/>
    <m/>
    <n v="1"/>
    <n v="0"/>
    <m/>
    <m/>
    <m/>
    <m/>
    <m/>
    <x v="2"/>
    <s v="MENA_Programme 5. Alphabétisation et éducation non formelle"/>
    <s v=""/>
    <s v="DNAENF"/>
    <s v="DVV"/>
    <x v="0"/>
    <x v="5"/>
    <x v="41"/>
    <s v="641-Promotion du développement de la production écrite en langues nationales "/>
    <x v="490"/>
    <s v="64126-Evaluation de l'expérimentation sur l'utilisation du numérique pour renforcer la post alphabétisation (DVV)"/>
  </r>
  <r>
    <s v="Analyse des résultats de l'expérimentation sur l'utilisation du numérique pour renforcer la post alphabétisation (DVV)"/>
    <s v="atelier"/>
    <s v="h/j/a"/>
    <n v="0"/>
    <m/>
    <n v="40"/>
    <m/>
    <n v="40"/>
    <n v="0.3133333333333333"/>
    <n v="0"/>
    <n v="0"/>
    <n v="12.533333333333331"/>
    <n v="0"/>
    <n v="12.533333333333331"/>
    <x v="2"/>
    <s v="MENA_Programme 5. Alphabétisation et éducation non formelle"/>
    <s v="3. Formation"/>
    <s v="DNAENF"/>
    <s v="DNAENF"/>
    <x v="0"/>
    <x v="5"/>
    <x v="41"/>
    <s v="641-Promotion du développement de la production écrite en langues nationales "/>
    <x v="490"/>
    <s v="64127-Analyse des résultats de l'expérimentation sur l'utilisation du numérique pour renforcer la post alphabétisation (DVV)"/>
  </r>
  <r>
    <s v="Redynamisation des bibliothèques villageoise"/>
    <m/>
    <m/>
    <n v="0"/>
    <m/>
    <m/>
    <m/>
    <m/>
    <m/>
    <m/>
    <m/>
    <m/>
    <m/>
    <m/>
    <x v="0"/>
    <m/>
    <m/>
    <m/>
    <m/>
    <x v="3"/>
    <x v="5"/>
    <x v="41"/>
    <s v="641-Promotion du développement de la production écrite en langues nationales "/>
    <x v="491"/>
    <s v="6413-Redynamisation des bibliothèques villageoise"/>
  </r>
  <r>
    <s v="Etat des lieux des bibliothèques villageoises"/>
    <s v="mission"/>
    <s v="h/j/m"/>
    <n v="0"/>
    <m/>
    <n v="144.018"/>
    <n v="144.018"/>
    <n v="288.036"/>
    <n v="0.8177777777777776"/>
    <n v="0"/>
    <n v="0"/>
    <n v="117.77471999999997"/>
    <n v="117.77471999999997"/>
    <n v="235.54943999999995"/>
    <x v="2"/>
    <s v="MENA_Programme 5. Alphabétisation et éducation non formelle"/>
    <s v="3. Dépenses de fonctionnement"/>
    <s v="DNAENF"/>
    <s v="ONG"/>
    <x v="0"/>
    <x v="5"/>
    <x v="41"/>
    <s v="641-Promotion du développement de la production écrite en langues nationales "/>
    <x v="491"/>
    <s v="64131-Etat des lieux des bibliothèques villageoises"/>
  </r>
  <r>
    <s v="Etat des lieux des bibliothèques villageoises"/>
    <s v="mission"/>
    <s v="h/j/m"/>
    <n v="0"/>
    <m/>
    <n v="35.981999999999999"/>
    <n v="35.981999999999999"/>
    <n v="71.963999999999999"/>
    <n v="0.8177777777777776"/>
    <n v="0"/>
    <n v="0"/>
    <n v="29.425279999999994"/>
    <n v="29.425279999999994"/>
    <n v="58.850559999999987"/>
    <x v="13"/>
    <s v="MENA_Programme 5. Alphabétisation et éducation non formelle"/>
    <s v="3. Dépenses de fonctionnement"/>
    <s v="DNAENF"/>
    <s v="ONG"/>
    <x v="0"/>
    <x v="5"/>
    <x v="41"/>
    <s v="641-Promotion du développement de la production écrite en langues nationales "/>
    <x v="491"/>
    <s v="64131-Etat des lieux des bibliothèques villageoises"/>
  </r>
  <r>
    <s v="DéFinitions des besoins prioritaires"/>
    <s v="travaux administratifs"/>
    <s v="sif"/>
    <n v="0"/>
    <n v="1"/>
    <n v="1"/>
    <n v="1"/>
    <n v="3"/>
    <n v="0"/>
    <m/>
    <m/>
    <m/>
    <m/>
    <m/>
    <x v="2"/>
    <s v="MENA_Programme 5. Alphabétisation et éducation non formelle"/>
    <s v=""/>
    <s v="DNAENF"/>
    <s v="antenne AEA/Section AEA/appr"/>
    <x v="0"/>
    <x v="5"/>
    <x v="41"/>
    <s v="641-Promotion du développement de la production écrite en langues nationales "/>
    <x v="491"/>
    <s v="64132-DéFinitions des besoins prioritaires"/>
  </r>
  <r>
    <s v="construction de nouvelles bibliothèques villageoise"/>
    <s v="Local"/>
    <s v="cons/biblio"/>
    <n v="0"/>
    <m/>
    <m/>
    <n v="40"/>
    <n v="40"/>
    <n v="69"/>
    <n v="0"/>
    <n v="0"/>
    <n v="0"/>
    <n v="2760"/>
    <n v="2760"/>
    <x v="2"/>
    <s v="MENA_Programme 5. Alphabétisation et éducation non formelle"/>
    <s v="5. Investissement"/>
    <s v="DNAENF"/>
    <s v="SNIES"/>
    <x v="0"/>
    <x v="5"/>
    <x v="41"/>
    <s v="641-Promotion du développement de la production écrite en langues nationales "/>
    <x v="491"/>
    <s v="64133-construction de nouvelles bibliothèques villageoise"/>
  </r>
  <r>
    <s v="construction de nouvelles bibliothèques villageoise"/>
    <s v="Local"/>
    <s v="cons/biblio"/>
    <n v="0"/>
    <m/>
    <m/>
    <n v="10"/>
    <n v="10"/>
    <n v="69"/>
    <n v="0"/>
    <n v="0"/>
    <n v="0"/>
    <n v="690"/>
    <n v="690"/>
    <x v="13"/>
    <s v="MENA_Programme 5. Alphabétisation et éducation non formelle"/>
    <s v="5. Investissement"/>
    <s v="DNAENF"/>
    <s v="SNIES"/>
    <x v="0"/>
    <x v="5"/>
    <x v="41"/>
    <s v="641-Promotion du développement de la production écrite en langues nationales "/>
    <x v="491"/>
    <s v="64133-construction de nouvelles bibliothèques villageoise"/>
  </r>
  <r>
    <s v="Equipement des bibliothèques villageoise"/>
    <s v="Local"/>
    <s v="EQ/bib/vill"/>
    <n v="0"/>
    <m/>
    <m/>
    <n v="50"/>
    <n v="50"/>
    <n v="45"/>
    <n v="0"/>
    <n v="0"/>
    <n v="0"/>
    <n v="2250"/>
    <n v="2250"/>
    <x v="2"/>
    <s v="MENA_Programme 5. Alphabétisation et éducation non formelle"/>
    <s v="5. Investissement"/>
    <s v="DNAENF"/>
    <s v="SNIES"/>
    <x v="0"/>
    <x v="5"/>
    <x v="41"/>
    <s v="641-Promotion du développement de la production écrite en langues nationales "/>
    <x v="491"/>
    <s v="64134-Equipement des bibliothèques villageoise"/>
  </r>
  <r>
    <s v="Reproduction et distribution des livrets et des productions en langues nationales"/>
    <s v="Dotation en Kits  faits  en LN"/>
    <s v="Kit/bibliothéque"/>
    <n v="0"/>
    <m/>
    <m/>
    <n v="1000"/>
    <n v="1000"/>
    <n v="0.27500000000000002"/>
    <n v="0"/>
    <n v="0"/>
    <n v="0"/>
    <n v="275"/>
    <n v="275"/>
    <x v="2"/>
    <s v="MENA_Programme 5. Alphabétisation et éducation non formelle"/>
    <s v="3. Manuels scolaires et matériels pédagogiques"/>
    <s v="DNAENF"/>
    <s v="DAF"/>
    <x v="0"/>
    <x v="5"/>
    <x v="41"/>
    <s v="641-Promotion du développement de la production écrite en langues nationales "/>
    <x v="491"/>
    <s v="64135-Reproduction et distribution des livrets et des productions en langues nationales"/>
  </r>
  <r>
    <s v=" Les activités génératrices de revenus sont encouragées et soutenues (autour des structures d'alphabétisation)"/>
    <m/>
    <m/>
    <n v="0"/>
    <m/>
    <m/>
    <m/>
    <m/>
    <m/>
    <m/>
    <m/>
    <m/>
    <m/>
    <m/>
    <x v="0"/>
    <m/>
    <m/>
    <m/>
    <m/>
    <x v="3"/>
    <x v="5"/>
    <x v="41"/>
    <s v="642- Les activités génératrices de revenus sont encouragées et soutenues (autour des structures d'alphabétisation)"/>
    <x v="492"/>
    <s v="642- Les activités génératrices de revenus sont encouragées et soutenues (autour des structures d'alphabétisation)"/>
  </r>
  <r>
    <s v="Promotion de l'organisation des alphabétisés et des alphabétiseurs en Groupement de métier"/>
    <m/>
    <m/>
    <n v="0"/>
    <m/>
    <m/>
    <m/>
    <m/>
    <m/>
    <m/>
    <m/>
    <m/>
    <m/>
    <m/>
    <x v="0"/>
    <m/>
    <m/>
    <m/>
    <m/>
    <x v="3"/>
    <x v="5"/>
    <x v="41"/>
    <s v="642- Les activités génératrices de revenus sont encouragées et soutenues (autour des structures d'alphabétisation)"/>
    <x v="493"/>
    <s v="6421-Promotion de l'organisation des alphabétisés et des alphabétiseurs en Groupement de métier"/>
  </r>
  <r>
    <s v="Regroupement des néo alphabètes et des alphabétiseurs par groupement de métiers "/>
    <s v="travaux administratifs"/>
    <s v="sif"/>
    <n v="0"/>
    <m/>
    <n v="1"/>
    <n v="1"/>
    <n v="2"/>
    <n v="0"/>
    <m/>
    <m/>
    <m/>
    <m/>
    <m/>
    <x v="2"/>
    <s v="MENA_Programme 5. Alphabétisation et éducation non formelle"/>
    <s v=""/>
    <s v="DNAENF"/>
    <s v="ONG"/>
    <x v="0"/>
    <x v="5"/>
    <x v="41"/>
    <s v="642- Les activités génératrices de revenus sont encouragées et soutenues (autour des structures d'alphabétisation)"/>
    <x v="493"/>
    <s v="64211-Regroupement des néo alphabètes et des alphabétiseurs par groupement de métiers "/>
  </r>
  <r>
    <s v="Financement d'AGR en faveur de ces groupements"/>
    <s v="Financement des AGR"/>
    <s v="Forf/AGR"/>
    <n v="0"/>
    <m/>
    <n v="50"/>
    <n v="80"/>
    <n v="130"/>
    <n v="20.175000000000001"/>
    <n v="0"/>
    <n v="0"/>
    <n v="1008.75"/>
    <n v="1614"/>
    <n v="2622.75"/>
    <x v="2"/>
    <s v="MENA_Programme 5. Alphabétisation et éducation non formelle"/>
    <s v="4. Transferts et subventions"/>
    <s v="DNAENF"/>
    <s v="DAF"/>
    <x v="0"/>
    <x v="5"/>
    <x v="41"/>
    <s v="642- Les activités génératrices de revenus sont encouragées et soutenues (autour des structures d'alphabétisation)"/>
    <x v="493"/>
    <s v="64212-Financement d'AGR en faveur de ces groupements"/>
  </r>
  <r>
    <s v="Développement de modules de formation en matière de gestion Financière, organisation paysanne et communication et formation des membres des groupements"/>
    <m/>
    <m/>
    <n v="0"/>
    <m/>
    <m/>
    <m/>
    <m/>
    <m/>
    <m/>
    <m/>
    <m/>
    <m/>
    <m/>
    <x v="0"/>
    <m/>
    <m/>
    <m/>
    <m/>
    <x v="3"/>
    <x v="5"/>
    <x v="41"/>
    <s v="642- Les activités génératrices de revenus sont encouragées et soutenues (autour des structures d'alphabétisation)"/>
    <x v="494"/>
    <s v="6422-Développement de modules de formation en matière de gestion Financière, organisation paysanne et communication et formation des membres des groupements"/>
  </r>
  <r>
    <s v="Conception et élaboration de documents de gestion en faveur des groupements mis en place"/>
    <s v="atelier"/>
    <s v="h/j/ap"/>
    <n v="0"/>
    <m/>
    <n v="21"/>
    <n v="21"/>
    <n v="42"/>
    <n v="0.255"/>
    <n v="0"/>
    <n v="0"/>
    <n v="5.3550000000000004"/>
    <n v="5.3550000000000004"/>
    <n v="10.71"/>
    <x v="2"/>
    <s v="MENA_Programme 5. Alphabétisation et éducation non formelle"/>
    <s v="3. Dépenses de fonctionnement"/>
    <s v="DNAENF"/>
    <s v="DNAENF"/>
    <x v="0"/>
    <x v="5"/>
    <x v="41"/>
    <s v="642- Les activités génératrices de revenus sont encouragées et soutenues (autour des structures d'alphabétisation)"/>
    <x v="494"/>
    <s v="64221-Conception et élaboration de documents de gestion en faveur des groupements mis en place"/>
  </r>
  <r>
    <s v="formation des membres des groupements en gestion Financière"/>
    <s v="atelier"/>
    <s v="h/j/f"/>
    <n v="0"/>
    <m/>
    <n v="450"/>
    <n v="720"/>
    <n v="1170"/>
    <n v="0.67666666666666664"/>
    <n v="0"/>
    <n v="0"/>
    <n v="304.5"/>
    <n v="487.2"/>
    <n v="791.7"/>
    <x v="2"/>
    <s v="MENA_Programme 5. Alphabétisation et éducation non formelle"/>
    <s v="3. Formation"/>
    <s v="DNAENF"/>
    <s v="ONG"/>
    <x v="0"/>
    <x v="5"/>
    <x v="41"/>
    <s v="642- Les activités génératrices de revenus sont encouragées et soutenues (autour des structures d'alphabétisation)"/>
    <x v="494"/>
    <s v="64222-formation des membres des groupements en gestion Financière"/>
  </r>
  <r>
    <s v=" Les activités de post alphabétisation sont soutenues "/>
    <m/>
    <m/>
    <n v="0"/>
    <m/>
    <m/>
    <m/>
    <m/>
    <m/>
    <m/>
    <m/>
    <m/>
    <m/>
    <m/>
    <x v="0"/>
    <m/>
    <m/>
    <m/>
    <m/>
    <x v="3"/>
    <x v="5"/>
    <x v="41"/>
    <s v="643- Les activités de post alphabétisation sont soutenues "/>
    <x v="495"/>
    <s v="643- Les activités de post alphabétisation sont soutenues "/>
  </r>
  <r>
    <s v="Organisation systématique de formation en post alphabétisation pour les néoalphabétisés"/>
    <m/>
    <m/>
    <n v="0"/>
    <m/>
    <m/>
    <m/>
    <m/>
    <m/>
    <m/>
    <m/>
    <m/>
    <m/>
    <m/>
    <x v="0"/>
    <m/>
    <m/>
    <m/>
    <m/>
    <x v="3"/>
    <x v="5"/>
    <x v="41"/>
    <s v="643- Les activités de post alphabétisation sont soutenues "/>
    <x v="496"/>
    <s v="6431-Organisation systématique de formation en post alphabétisation pour les néoalphabétisés"/>
  </r>
  <r>
    <s v="Formation des néo alphabétisés"/>
    <s v="formation"/>
    <s v="per/post alpha"/>
    <n v="0"/>
    <m/>
    <m/>
    <m/>
    <n v="0"/>
    <n v="3.1150000000000001E-2"/>
    <n v="0"/>
    <n v="0"/>
    <n v="0"/>
    <n v="0"/>
    <n v="0"/>
    <x v="8"/>
    <s v="MENA_Programme 5. Alphabétisation et éducation non formelle"/>
    <s v="3. Manuels scolaires et matériels pédagogiques"/>
    <s v="DNAENF"/>
    <s v="ONG"/>
    <x v="0"/>
    <x v="5"/>
    <x v="41"/>
    <s v="643- Les activités de post alphabétisation sont soutenues "/>
    <x v="496"/>
    <s v="64311-Formation des néo alphabétisés"/>
  </r>
  <r>
    <s v="Formation des néo alphabétisés"/>
    <s v="formation"/>
    <s v="per/post alpha"/>
    <n v="0"/>
    <n v="0"/>
    <n v="39227.46"/>
    <n v="44391.9"/>
    <n v="83619.360000000001"/>
    <n v="3.1150000000000001E-2"/>
    <n v="0"/>
    <n v="0"/>
    <n v="1221.935379"/>
    <n v="1382.807685"/>
    <n v="2604.7430640000002"/>
    <x v="6"/>
    <s v="MENA_Programme 5. Alphabétisation et éducation non formelle"/>
    <s v="3. Manuels scolaires et matériels pédagogiques"/>
    <s v="DNAENF"/>
    <s v="ONG"/>
    <x v="0"/>
    <x v="5"/>
    <x v="41"/>
    <s v="643- Les activités de post alphabétisation sont soutenues "/>
    <x v="496"/>
    <s v="64311-Formation des néo alphabétisés"/>
  </r>
  <r>
    <s v="suivi des formation"/>
    <s v="suivi"/>
    <s v="h/j/m"/>
    <m/>
    <m/>
    <n v="160"/>
    <n v="160"/>
    <n v="320"/>
    <n v="0.8177777777777776"/>
    <n v="0"/>
    <n v="0"/>
    <n v="130.84444444444441"/>
    <n v="130.84444444444441"/>
    <n v="261.68888888888881"/>
    <x v="2"/>
    <s v="MENA_Programme 5. Alphabétisation et éducation non formelle"/>
    <s v="3. Dépenses de fonctionnement"/>
    <s v="DNAENF"/>
    <s v="DNAENF"/>
    <x v="0"/>
    <x v="5"/>
    <x v="41"/>
    <s v="643- Les activités de post alphabétisation sont soutenues "/>
    <x v="496"/>
    <s v="64312-suivi des formation"/>
  </r>
  <r>
    <s v="Organisations des activités de CCC sur l’accès des enfants dépourvus, exclus et vulnérables aux soins affectifs, psychosociaux, services de santé et d’éducation de qualité y compris en situation d’urgence "/>
    <s v="Seances"/>
    <s v="h/j/a"/>
    <m/>
    <n v="9"/>
    <n v="9"/>
    <m/>
    <n v="18"/>
    <n v="439"/>
    <n v="395410"/>
    <n v="48000"/>
    <n v="32000"/>
    <m/>
    <n v="475410"/>
    <x v="3"/>
    <s v="MENA_Programme 2. Développement du préscolaire"/>
    <s v="3. Formation"/>
    <m/>
    <m/>
    <x v="0"/>
    <x v="0"/>
    <x v="1"/>
    <s v="113- Les capacités d’accueil au préscolaire public et communautaires augmentent en milieux rural et urbain"/>
    <x v="30"/>
    <s v="11345-Organisations des activités de CCC sur l’accès des enfants dépourvus, exclus et vulnérables aux soins affectifs, psychosociaux, services de santé et d’éducation de qualité y compris en situation d’urgence "/>
  </r>
  <r>
    <s v="Appuis aux communautés pour l’experientation de l’approche Maman Modele pour soutenir et promouvoir le développement de la petite enfance (santé, nutrition, la protection et le développement psycho moteur et cognitif de l’enfant) et la responsabilité parentale"/>
    <s v="communaute"/>
    <s v="Campagne"/>
    <n v="4"/>
    <n v="4"/>
    <n v="4"/>
    <m/>
    <n v="12"/>
    <n v="4389"/>
    <n v="30000"/>
    <n v="74667"/>
    <n v="49778"/>
    <m/>
    <n v="154445"/>
    <x v="3"/>
    <s v="MENA_Programme 2. Développement du préscolaire"/>
    <s v="3. Dépenses de fonctionnement"/>
    <m/>
    <m/>
    <x v="0"/>
    <x v="0"/>
    <x v="1"/>
    <s v="113- Les capacités d’accueil au préscolaire public et communautaires augmentent en milieux rural et urbain"/>
    <x v="30"/>
    <s v="11346-Appuis aux communautés pour l’experientation de l’approche Maman Modele pour soutenir et promouvoir le développement de la petite enfance (santé, nutrition, la protection et le développement psycho moteur et cognitif de l’enfant) et la responsabilité parentale"/>
  </r>
  <r>
    <s v="Participation active aux réseaux déjà existants et alliances sur le Développement de la petite enfance (ECDAN, Cadre des ONG I en Guinea, African Early Childhood Network (AfECN), Clusters, etc...);"/>
    <s v="participation"/>
    <s v="Campagne"/>
    <m/>
    <n v="12"/>
    <n v="12"/>
    <m/>
    <n v="24"/>
    <n v="2743"/>
    <m/>
    <n v="40000"/>
    <n v="26667"/>
    <m/>
    <n v="66667"/>
    <x v="3"/>
    <s v="MENA_Programme 2. Développement du préscolaire"/>
    <s v="3. Dépenses de fonctionnement"/>
    <m/>
    <m/>
    <x v="0"/>
    <x v="0"/>
    <x v="1"/>
    <s v="113- Les capacités d’accueil au préscolaire public et communautaires augmentent en milieux rural et urbain"/>
    <x v="6"/>
    <s v="11347-Participation active aux réseaux déjà existants et alliances sur le Développement de la petite enfance (ECDAN, Cadre des ONG I en Guinea, African Early Childhood Network (AfECN), Clusters, etc...);"/>
  </r>
  <r>
    <s v="Implication des OSC, des medias dans les campagnes d’éducation à la parentalité positive.(Participation des OCB,  des medias dans les campagnes d’éducation à la parentalité positive)"/>
    <s v="séance"/>
    <s v="Campagne"/>
    <m/>
    <n v="16"/>
    <n v="16"/>
    <m/>
    <n v="32"/>
    <n v="36460"/>
    <n v="3269236"/>
    <n v="170667"/>
    <n v="113778"/>
    <m/>
    <n v="3553681"/>
    <x v="3"/>
    <s v="MENA_Programme 2. Développement du préscolaire"/>
    <s v="3. Dépenses de fonctionnement"/>
    <m/>
    <m/>
    <x v="0"/>
    <x v="0"/>
    <x v="1"/>
    <s v="113- Les capacités d’accueil au préscolaire public et communautaires augmentent en milieux rural et urbain"/>
    <x v="6"/>
    <s v="11348-Implication des OSC, des medias dans les campagnes d’éducation à la parentalité positive.(Participation des OCB,  des medias dans les campagnes d’éducation à la parentalité positive)"/>
  </r>
  <r>
    <s v="Appui a la realisation des supervisions conjointes CO/LP/IRE/DPE"/>
    <s v="Mission"/>
    <s v="h/j/m"/>
    <n v="4"/>
    <n v="4"/>
    <n v="4"/>
    <m/>
    <n v="12"/>
    <m/>
    <n v="7984"/>
    <n v="4000"/>
    <n v="2667"/>
    <m/>
    <n v="14651"/>
    <x v="3"/>
    <s v="MENA_Programme 2. Développement du préscolaire"/>
    <s v="3. Dépenses de fonctionnement"/>
    <m/>
    <m/>
    <x v="0"/>
    <x v="4"/>
    <x v="30"/>
    <s v="521-Les rôles et responsabilités des acteurs sont clairement définis"/>
    <x v="353"/>
    <s v="52111-Appui a la realisation des supervisions conjointes CO/LP/IRE/DPE"/>
  </r>
  <r>
    <s v="Appui aux DPE/IRE pour le renforcement des capacites des DE, Chefs d'etablissement en leadership administratif et pedagogique et la gestion des classes multigrades"/>
    <s v="formation"/>
    <s v="h/j/f"/>
    <m/>
    <n v="75"/>
    <n v="75"/>
    <m/>
    <m/>
    <n v="3000"/>
    <n v="3000"/>
    <n v="3000"/>
    <n v="3000"/>
    <n v="3000"/>
    <n v="3000"/>
    <x v="3"/>
    <s v="MENA_Programme 2. Développement du préscolaire"/>
    <s v="3. Formation"/>
    <m/>
    <m/>
    <x v="0"/>
    <x v="0"/>
    <x v="36"/>
    <s v="581- Les cadres organiques des différentes structures sont redéfinis pour que leur efficacité s’améliore "/>
    <x v="431"/>
    <s v="58111-Appui aux DPE/IRE pour le renforcement des capacites des DE, Chefs d'etablissement en leadership administratif et pedagogique et la gestion des classes multigrades"/>
  </r>
  <r>
    <s v="Amélioration des compétences d'apprentissage et des services de base pour les femmes et les filles fréquentant le Centre d'Autonomisation et de Promotion des Femmes de la Fria »"/>
    <s v="Formation+Equipement"/>
    <s v="h/j/fp"/>
    <n v="60"/>
    <m/>
    <m/>
    <m/>
    <m/>
    <m/>
    <n v="44147"/>
    <m/>
    <m/>
    <m/>
    <n v="44147"/>
    <x v="3"/>
    <s v="MENA_Programme 2. Développement du préscolaire"/>
    <s v="3. Formation"/>
    <m/>
    <m/>
    <x v="0"/>
    <x v="4"/>
    <x v="30"/>
    <s v="521-Les rôles et responsabilités des acteurs sont clairement définis"/>
    <x v="353"/>
    <s v="52111-Amélioration des compétences d'apprentissage et des services de base pour les femmes et les filles fréquentant le Centre d'Autonomisation et de Promotion des Femmes de la Fria »"/>
  </r>
  <r>
    <s v="Building community and youth response capacity for child protection during crisis "/>
    <s v="séance"/>
    <s v="Campagne"/>
    <n v="1"/>
    <m/>
    <m/>
    <m/>
    <m/>
    <m/>
    <n v="88901"/>
    <m/>
    <m/>
    <m/>
    <n v="88901"/>
    <x v="3"/>
    <s v="MENA_Programme 2. Développement du préscolaire"/>
    <s v="3. Dépenses de fonctionnement"/>
    <m/>
    <m/>
    <x v="0"/>
    <x v="0"/>
    <x v="1"/>
    <s v="113- Les capacités d’accueil au préscolaire public et communautaires augmentent en milieux rural et urbain"/>
    <x v="353"/>
    <s v="11351-Building community and youth response capacity for child protection during crisis "/>
  </r>
  <r>
    <s v="Amelioration de  l'acces des enfants aux services d'education prescolaire par  l'octroi des velos a Dabola"/>
    <s v="Travaux administratifs"/>
    <s v="Campagne"/>
    <n v="100"/>
    <m/>
    <m/>
    <m/>
    <m/>
    <m/>
    <n v="22882"/>
    <m/>
    <m/>
    <m/>
    <n v="22882"/>
    <x v="3"/>
    <s v="MENA_Programme 2. Développement du préscolaire"/>
    <s v="3. Dépenses de fonctionnement"/>
    <m/>
    <m/>
    <x v="0"/>
    <x v="0"/>
    <x v="1"/>
    <s v="521-Les rôles et responsabilités des acteurs sont clairement définis"/>
    <x v="353"/>
    <s v="52111-Amelioration de  l'acces des enfants aux services d'education prescolaire par  l'octroi des velos a Dabola"/>
  </r>
  <r>
    <s v="Amenagement des aires de jeux au niveau des CEC"/>
    <s v="Amenagement"/>
    <s v="SDC/pr"/>
    <n v="10"/>
    <n v="10"/>
    <n v="5"/>
    <n v="5"/>
    <n v="30"/>
    <n v="5.0000000000000001E-3"/>
    <n v="0.05"/>
    <n v="0.5"/>
    <n v="2.5"/>
    <n v="12.5"/>
    <n v="15.55"/>
    <x v="5"/>
    <s v="MENA_Programme 2. Développement du préscolaire"/>
    <s v="5. Investissement"/>
    <m/>
    <m/>
    <x v="0"/>
    <x v="0"/>
    <x v="1"/>
    <s v="521-Les rôles et responsabilités des acteurs sont clairement définis"/>
    <x v="5"/>
    <s v="52112-Amenagement des aires de jeux au niveau des CEC"/>
  </r>
  <r>
    <s v="Acquisition des équipements et matériels diactiques/ludiques pour les CEC"/>
    <s v="achat"/>
    <s v="guide/ens/pr"/>
    <n v="10"/>
    <n v="10"/>
    <n v="5"/>
    <n v="5"/>
    <n v="30"/>
    <n v="0.01"/>
    <n v="0.1"/>
    <n v="1"/>
    <n v="5"/>
    <n v="25"/>
    <n v="31.1"/>
    <x v="5"/>
    <s v="MENA_Programme 2. Développement du préscolaire"/>
    <s v="3. Manuels scolaires et matériels pédagogiques"/>
    <m/>
    <m/>
    <x v="0"/>
    <x v="0"/>
    <x v="1"/>
    <s v="521-Les rôles et responsabilités des acteurs sont clairement définis"/>
    <x v="5"/>
    <s v="52113-Acquisition des équipements et matériels diactiques/ludiques pour les CEC"/>
  </r>
  <r>
    <s v="Organisation des visites medicales en faveur des enfants des CEC"/>
    <s v="Visite"/>
    <s v="Campagne"/>
    <n v="3000"/>
    <n v="3000"/>
    <n v="3000"/>
    <n v="3000"/>
    <n v="12000"/>
    <n v="5.0000000000000001E-3"/>
    <n v="15"/>
    <n v="15"/>
    <n v="15"/>
    <n v="15"/>
    <n v="60"/>
    <x v="5"/>
    <s v="MENA_Programme 2. Développement du préscolaire"/>
    <s v="3. Dépenses de fonctionnement"/>
    <m/>
    <m/>
    <x v="0"/>
    <x v="0"/>
    <x v="1"/>
    <s v="521-Les rôles et responsabilités des acteurs sont clairement définis"/>
    <x v="5"/>
    <s v="52114-Organisation des visites medicales en faveur des enfants des CEC"/>
  </r>
  <r>
    <s v="Formation des eduacteurs des CEC"/>
    <s v="Formation"/>
    <s v="h/j/f"/>
    <n v="50"/>
    <n v="50"/>
    <n v="30"/>
    <n v="0"/>
    <n v="130"/>
    <n v="0.1"/>
    <n v="5"/>
    <n v="5"/>
    <n v="3"/>
    <n v="0"/>
    <n v="13"/>
    <x v="5"/>
    <s v="MENA_Programme 2. Développement du préscolaire"/>
    <s v="3. Formation"/>
    <m/>
    <m/>
    <x v="0"/>
    <x v="0"/>
    <x v="11"/>
    <s v="521-Les rôles et responsabilités des acteurs sont clairement définis"/>
    <x v="5"/>
    <s v="52115-Formation des eduacteurs des CEC"/>
  </r>
  <r>
    <s v="Acquisition et distribution des fournitures aux enfants défavorisés"/>
    <s v="Achat"/>
    <s v="kit/élév"/>
    <n v="500"/>
    <n v="500"/>
    <n v="0"/>
    <n v="0"/>
    <n v="1000"/>
    <n v="0.03"/>
    <n v="15"/>
    <n v="15"/>
    <n v="0"/>
    <n v="0"/>
    <n v="30"/>
    <x v="5"/>
    <s v="MENA_Programme 3. Enseignement élémentaire"/>
    <s v="3. Manuels scolaires et matériels pédagogiques"/>
    <m/>
    <m/>
    <x v="0"/>
    <x v="0"/>
    <x v="13"/>
    <s v="521-Les rôles et responsabilités des acteurs sont clairement définis"/>
    <x v="7"/>
    <s v="52116-Acquisition et distribution des fournitures aux enfants défavorisés"/>
  </r>
  <r>
    <s v="Appui au   suivi pedagogique au CEC"/>
    <s v="Suivi"/>
    <s v="Campagne"/>
    <n v="1"/>
    <n v="1"/>
    <n v="1"/>
    <n v="1"/>
    <n v="4"/>
    <n v="1"/>
    <n v="1"/>
    <n v="1"/>
    <n v="1"/>
    <n v="1"/>
    <n v="4"/>
    <x v="5"/>
    <s v="MENA_Programme 2. Développement du préscolaire"/>
    <s v="3. Dépenses de fonctionnement"/>
    <m/>
    <m/>
    <x v="0"/>
    <x v="0"/>
    <x v="1"/>
    <s v="521-Les rôles et responsabilités des acteurs sont clairement définis"/>
    <x v="114"/>
    <s v="52117-Appui au   suivi pedagogique au CEC"/>
  </r>
  <r>
    <s v="Sensibilisation sur  l'education des filles et les enfants en situation de handicap"/>
    <s v="sensibilisation"/>
    <s v="Campagne"/>
    <n v="5"/>
    <n v="10"/>
    <n v="5"/>
    <n v="20"/>
    <n v="40"/>
    <n v="2"/>
    <n v="10"/>
    <n v="20"/>
    <n v="10"/>
    <n v="40"/>
    <n v="80"/>
    <x v="5"/>
    <s v="MENA_Programme 2. Développement du préscolaire"/>
    <s v="3. Dépenses de fonctionnement"/>
    <m/>
    <m/>
    <x v="0"/>
    <x v="0"/>
    <x v="5"/>
    <s v="521-Les rôles et responsabilités des acteurs sont clairement définis"/>
    <x v="134"/>
    <s v="52118-Sensibilisation sur  l'education des filles et les enfants en situation de handicap"/>
  </r>
  <r>
    <s v="Acquisition et distribution des fournitures et kits aux enfants défavorisés"/>
    <s v="scolarisation"/>
    <s v="kit/élév"/>
    <n v="300"/>
    <n v="300"/>
    <n v="300"/>
    <n v="300"/>
    <n v="1200"/>
    <n v="0.03"/>
    <n v="9"/>
    <n v="9"/>
    <n v="9"/>
    <n v="9"/>
    <n v="36"/>
    <x v="5"/>
    <s v="MENA_Programme 3. Enseignement élémentaire"/>
    <s v="3. Manuels scolaires et matériels pédagogiques"/>
    <m/>
    <m/>
    <x v="0"/>
    <x v="0"/>
    <x v="5"/>
    <s v="521-Les rôles et responsabilités des acteurs sont clairement définis"/>
    <x v="482"/>
    <s v="52119-Acquisition et distribution des fournitures et kits aux enfants défavorisés"/>
  </r>
  <r>
    <s v="Formation des enseignants l'ECS, accent un accent sur les IST/VIH-Sida en milieu scolaire et sur la prévention des grossesses et mariage precoce"/>
    <s v="Formation"/>
    <s v="h/j/f"/>
    <n v="572"/>
    <n v="100"/>
    <n v="100"/>
    <n v="100"/>
    <n v="872"/>
    <n v="7.0000000000000007E-2"/>
    <n v="40.040000000000006"/>
    <n v="7.0000000000000009"/>
    <n v="7.0000000000000009"/>
    <n v="7.0000000000000009"/>
    <n v="61.040000000000006"/>
    <x v="5"/>
    <s v="MENA_Programme 3. Enseignement élémentaire"/>
    <s v="3. Formation"/>
    <m/>
    <m/>
    <x v="0"/>
    <x v="0"/>
    <x v="11"/>
    <s v="521-Les rôles et responsabilités des acteurs sont clairement définis"/>
    <x v="494"/>
    <s v="521201-Formation des enseignants l'ECS, accent un accent sur les IST/VIH-Sida en milieu scolaire et sur la prévention des grossesses et mariage precoce"/>
  </r>
  <r>
    <s v="Sensibilisation des élèves sur la prévention des grossesses précoces et non désirées, les IST/VIH-Sida en milieu scolaire "/>
    <s v="sensibilisation"/>
    <s v="Campagne"/>
    <n v="300"/>
    <n v="100"/>
    <n v="400"/>
    <n v="500"/>
    <n v="1300"/>
    <n v="0.5"/>
    <n v="150"/>
    <n v="50"/>
    <n v="200"/>
    <n v="250"/>
    <n v="650"/>
    <x v="5"/>
    <s v="MENA_Programme 3. Enseignement élémentaire"/>
    <s v="3. Dépenses de fonctionnement"/>
    <m/>
    <m/>
    <x v="3"/>
    <x v="0"/>
    <x v="11"/>
    <s v="521-Les rôles et responsabilités des acteurs sont clairement définis"/>
    <x v="353"/>
    <s v="521202-Sensibilisation des élèves sur la prévention des grossesses précoces et non désirées, les IST/VIH-Sida en milieu scolaire "/>
  </r>
  <r>
    <s v="Dotation des ecoles des planches du ruban rouge et des fiches pedagogiques sur l'ECS"/>
    <s v="achat"/>
    <s v="kit/élév"/>
    <n v="572"/>
    <n v="0"/>
    <n v="100"/>
    <n v="0"/>
    <n v="672"/>
    <n v="0.51"/>
    <n v="291.72000000000003"/>
    <n v="0"/>
    <n v="51"/>
    <n v="0"/>
    <n v="342.72"/>
    <x v="5"/>
    <s v="MENA_Transversal"/>
    <s v="3. Manuels scolaires et matériels pédagogiques"/>
    <m/>
    <m/>
    <x v="0"/>
    <x v="0"/>
    <x v="13"/>
    <s v="521-Les rôles et responsabilités des acteurs sont clairement définis"/>
    <x v="205"/>
    <s v="521203-Dotation des ecoles des planches du ruban rouge et des fiches pedagogiques sur l'ECS"/>
  </r>
  <r>
    <s v="Sensibilisation des menages et communautes sur la prevention des mariages precoces, les grossesses precoces, le suivi des enfants a l'ecole, la reduction des charges domestiques pour les filles, et les violences sur les enfants e particulier sur les filles"/>
    <s v="sensibilisation"/>
    <s v="Campagne"/>
    <n v="1000"/>
    <n v="2000"/>
    <n v="3000"/>
    <n v="1000"/>
    <n v="7000"/>
    <n v="0.05"/>
    <n v="50"/>
    <n v="100"/>
    <n v="150"/>
    <n v="50"/>
    <n v="350"/>
    <x v="5"/>
    <s v="MENA_Transversal"/>
    <s v="3. Dépenses de fonctionnement"/>
    <m/>
    <m/>
    <x v="0"/>
    <x v="0"/>
    <x v="11"/>
    <s v="521-Les rôles et responsabilités des acteurs sont clairement définis"/>
    <x v="447"/>
    <s v="521204-Sensibilisation des menages et communautes sur la prevention des mariages precoces, les grossesses precoces, le suivi des enfants a l'ecole, la reduction des charges domestiques pour les filles, et les violences sur les enfants e particulier sur les filles"/>
  </r>
  <r>
    <s v="Sensibilisation des elus locaux  des collectivites sur la prevention des mariages precoces, les grossesses precoces, et les violences sur les enfants en particulier sur les filles"/>
    <s v="sensibilisation"/>
    <s v="Campagne"/>
    <n v="59"/>
    <n v="59"/>
    <n v="59"/>
    <n v="59"/>
    <n v="236"/>
    <n v="0.5"/>
    <n v="29.5"/>
    <n v="29.5"/>
    <n v="29.5"/>
    <n v="29.5"/>
    <n v="118"/>
    <x v="5"/>
    <s v="MENA_Transversal"/>
    <s v="3. Dépenses de fonctionnement"/>
    <m/>
    <m/>
    <x v="0"/>
    <x v="0"/>
    <x v="11"/>
    <s v="521-Les rôles et responsabilités des acteurs sont clairement définis"/>
    <x v="447"/>
    <s v="521205-Sensibilisation des elus locaux  des collectivites sur la prevention des mariages precoces, les grossesses precoces, et les violences sur les enfants en particulier sur les filles"/>
  </r>
  <r>
    <s v="Renforcement des capacites des organisations Communautaires de base (APEAE, AME,GDE,CDE)"/>
    <s v="Formation/appui"/>
    <s v="h/f"/>
    <n v="500"/>
    <n v="1000"/>
    <n v="1000"/>
    <n v="1000"/>
    <n v="3500"/>
    <n v="0.1"/>
    <n v="50"/>
    <n v="100"/>
    <n v="100"/>
    <n v="100"/>
    <n v="350"/>
    <x v="5"/>
    <s v="MENA_Transversal"/>
    <s v="3. Formation"/>
    <m/>
    <m/>
    <x v="0"/>
    <x v="0"/>
    <x v="11"/>
    <s v="521-Les rôles et responsabilités des acteurs sont clairement définis"/>
    <x v="447"/>
    <s v="522208-Renforcement des capacites des organisations Communautaires de base (APEAE, AME,GDE,CDE)"/>
  </r>
  <r>
    <s v="Appui a la participation des organisations des enfants et des jeunes dans la gestion des ecoles"/>
    <s v="Appui"/>
    <s v="Campagne"/>
    <n v="500"/>
    <n v="1000"/>
    <n v="1000"/>
    <n v="1000"/>
    <n v="3500"/>
    <n v="0.1"/>
    <n v="50"/>
    <n v="100"/>
    <n v="100"/>
    <n v="100"/>
    <n v="350"/>
    <x v="5"/>
    <s v="MENA_Programme 3. Enseignement élémentaire"/>
    <s v="3. Dépenses de fonctionnement"/>
    <m/>
    <m/>
    <x v="0"/>
    <x v="0"/>
    <x v="36"/>
    <s v="521-Les rôles et responsabilités des acteurs sont clairement définis"/>
    <x v="418"/>
    <s v="12181-Appui a la participation des organisations des enfants et des jeunes dans la gestion des ecoles"/>
  </r>
  <r>
    <s v="Soutien des actions de plaidoyer des OCB et societe civile"/>
    <s v="Soutien"/>
    <s v="Campagne"/>
    <n v="50"/>
    <n v="50"/>
    <n v="50"/>
    <n v="50"/>
    <n v="200"/>
    <n v="1"/>
    <n v="50"/>
    <n v="50"/>
    <n v="50"/>
    <n v="50"/>
    <n v="200"/>
    <x v="5"/>
    <s v="MENA_Transversal"/>
    <s v="3. Dépenses de fonctionnement"/>
    <m/>
    <m/>
    <x v="0"/>
    <x v="0"/>
    <x v="36"/>
    <s v="521-Les rôles et responsabilités des acteurs sont clairement définis"/>
    <x v="421"/>
    <s v="12191-Soutien des actions de plaidoyer des OCB et societe civile"/>
  </r>
  <r>
    <s v="Amelioration de l'environnement d'apprentissage avec prise en compte des besoins des filles (latrines, lavage des mains, espaces des jeux)"/>
    <s v="Amenagement"/>
    <s v="Campagne"/>
    <n v="5"/>
    <n v="15"/>
    <n v="20"/>
    <n v="20"/>
    <n v="60"/>
    <n v="20"/>
    <n v="100"/>
    <n v="300"/>
    <n v="400"/>
    <n v="400"/>
    <n v="1200"/>
    <x v="5"/>
    <s v="MENA_Transversal"/>
    <s v="3. Dépenses de fonctionnement"/>
    <m/>
    <m/>
    <x v="0"/>
    <x v="0"/>
    <x v="5"/>
    <s v="151- L'environnement d’enseignement et d'apprentissage est adapté aux besoins spécifiques  des enfants en situation de handicap"/>
    <x v="62"/>
    <s v="24201-Amelioration de l'environnement d'apprentissage avec prise en compte des besoins des filles (latrines, lavage des mains, espaces des jeux)"/>
  </r>
  <r>
    <s v="Appui a l'emelioration des programmes d'enseignements avec prise en compte des besoins specifiques des filles ( MGF/E, autres violences, )"/>
    <s v="Amelioration"/>
    <s v="guide/ens/pr"/>
    <n v="1"/>
    <n v="1"/>
    <n v="0"/>
    <n v="0"/>
    <n v="2"/>
    <n v="100"/>
    <n v="100"/>
    <n v="100"/>
    <n v="0"/>
    <n v="0"/>
    <n v="200"/>
    <x v="5"/>
    <s v="MENA_Transversal"/>
    <s v="3. Manuels scolaires et matériels pédagogiques"/>
    <m/>
    <m/>
    <x v="3"/>
    <x v="0"/>
    <x v="5"/>
    <s v="151- L'environnement d’enseignement et d'apprentissage est adapté aux besoins spécifiques  des enfants en situation de handicap"/>
    <x v="67"/>
    <s v="52221-Appui a l'emelioration des programmes d'enseignements avec prise en compte des besoins specifiques des filles ( MGF/E, autres violences, )"/>
  </r>
  <r>
    <s v="Suivi pedagogique des enseignants au niveau des ecoles"/>
    <s v="Suivi"/>
    <s v="forfait/suivi"/>
    <n v="1"/>
    <n v="1"/>
    <n v="1"/>
    <n v="1"/>
    <n v="4"/>
    <n v="25"/>
    <n v="25"/>
    <n v="25"/>
    <n v="25"/>
    <n v="25"/>
    <n v="100"/>
    <x v="5"/>
    <s v="MENA_Transversal"/>
    <s v="3. Dépenses de fonctionnement"/>
    <m/>
    <m/>
    <x v="0"/>
    <x v="0"/>
    <x v="12"/>
    <s v="242- L’encadrement dispose des ressources humaines en nombre nécessaire et en profil pertinent"/>
    <x v="114"/>
    <s v="23111-Suivi pedagogique des enseignants au niveau des ecoles"/>
  </r>
  <r>
    <s v="Formation des enseignants sur l'education inclusive, les pedagogies actives et les didactiques en francais, mathematique, secience d'observations et autres displines"/>
    <s v="Formation"/>
    <s v="h/f"/>
    <n v="500"/>
    <n v="500"/>
    <n v="500"/>
    <n v="500"/>
    <n v="2000"/>
    <n v="0.1"/>
    <n v="50"/>
    <n v="50"/>
    <n v="50"/>
    <n v="50"/>
    <n v="200"/>
    <x v="5"/>
    <s v="MENA_Transversal"/>
    <s v="3. Formation"/>
    <m/>
    <m/>
    <x v="0"/>
    <x v="0"/>
    <x v="11"/>
    <s v="231- Une formation initiale de qualité (polyvalence, méthodes pédagogiques innovantes, éducation inclusive et gestion des classes multigrades) des formateurs et cohérente avec les curricula, est mise en place"/>
    <x v="67"/>
    <s v="23121-Formation des enseignants sur l'education inclusive, les pedagogies actives et les didactiques en francais, mathematique, secience d'observations et autres displines"/>
  </r>
  <r>
    <s v="Formation des enseignants l'ECS, accent un accent sur les IST/VIH-Sida en milieu scolaire et sur la prévention des grossesses et mariage precoce"/>
    <s v="Formation"/>
    <s v="h/f"/>
    <n v="154"/>
    <n v="50"/>
    <n v="50"/>
    <n v="50"/>
    <n v="304"/>
    <n v="7.0000000000000007E-2"/>
    <n v="10.780000000000001"/>
    <n v="3.5000000000000004"/>
    <n v="3.5000000000000004"/>
    <n v="3.5000000000000004"/>
    <n v="21.28"/>
    <x v="5"/>
    <s v="MENA_Transversal"/>
    <s v="3. Formation"/>
    <m/>
    <m/>
    <x v="3"/>
    <x v="0"/>
    <x v="11"/>
    <s v="231- Une formation initiale de qualité (polyvalence, méthodes pédagogiques innovantes, éducation inclusive et gestion des classes multigrades) des formateurs et cohérente avec les curricula, est mise en place"/>
    <x v="104"/>
    <s v="23111-Formation des enseignants l'ECS, accent un accent sur les IST/VIH-Sida en milieu scolaire et sur la prévention des grossesses et mariage precoce"/>
  </r>
  <r>
    <s v="Sensibilisation des élèves sur la prévention des grossesses précoces et non désirées et les IST/VIH-Sida en milieu scolaire "/>
    <s v="sensibilisation"/>
    <s v="Campagne"/>
    <n v="154"/>
    <n v="100"/>
    <n v="100"/>
    <n v="100"/>
    <n v="454"/>
    <n v="0.5"/>
    <n v="77"/>
    <n v="50"/>
    <n v="50"/>
    <n v="50"/>
    <n v="227"/>
    <x v="5"/>
    <s v="MENA_Transversal"/>
    <s v="3. Dépenses de fonctionnement"/>
    <m/>
    <m/>
    <x v="3"/>
    <x v="0"/>
    <x v="11"/>
    <s v="231- Une formation initiale de qualité (polyvalence, méthodes pédagogiques innovantes, éducation inclusive et gestion des classes multigrades) des formateurs et cohérente avec les curricula, est mise en place"/>
    <x v="105"/>
    <s v="23121-Sensibilisation des élèves sur la prévention des grossesses précoces et non désirées et les IST/VIH-Sida en milieu scolaire "/>
  </r>
  <r>
    <s v="Dotation des ecoles des planches du ruban rouge et des fiches pedagogiques sur l'ECS"/>
    <s v="achat"/>
    <s v="kit/élév"/>
    <n v="154"/>
    <n v="0"/>
    <n v="50"/>
    <n v="0"/>
    <n v="204"/>
    <n v="0.51"/>
    <n v="78.540000000000006"/>
    <n v="0"/>
    <n v="25.5"/>
    <n v="0"/>
    <n v="104.04"/>
    <x v="5"/>
    <s v="MENA_Transversal"/>
    <s v="3. Manuels scolaires et matériels pédagogiques"/>
    <m/>
    <m/>
    <x v="3"/>
    <x v="0"/>
    <x v="13"/>
    <s v="251- Les manuels et guides adaptés aux nouveaux curricula sont développés"/>
    <x v="131"/>
    <s v="25111-Dotation des ecoles des planches du ruban rouge et des fiches pedagogiques sur l'ECS"/>
  </r>
  <r>
    <s v="Appui a la participation des organisations des enfants et des jeunes dans la gestion des ecoles"/>
    <s v="Appui"/>
    <s v="h/f"/>
    <n v="79"/>
    <n v="50"/>
    <n v="60"/>
    <n v="40"/>
    <n v="229"/>
    <n v="0.1"/>
    <n v="7.9"/>
    <n v="5"/>
    <n v="6"/>
    <n v="4"/>
    <n v="22.9"/>
    <x v="5"/>
    <s v="MENA_Transversal"/>
    <s v="3. Formation"/>
    <m/>
    <m/>
    <x v="3"/>
    <x v="0"/>
    <x v="36"/>
    <s v="581- Les cadres organiques des différentes structures sont redéfinis pour que leur efficacité s’améliore "/>
    <x v="432"/>
    <s v="58121-Appui a la participation des organisations des enfants et des jeunes dans la gestion des ecoles"/>
  </r>
  <r>
    <s v="Amelioration de l'envoronnement d'apprentissage avec prise en compte des besoins des filles (latrines, rampes,points d'eau, spaces des jeux )"/>
    <s v="Construction"/>
    <s v="Campagne"/>
    <n v="0"/>
    <n v="10"/>
    <n v="10"/>
    <n v="10"/>
    <n v="30"/>
    <n v="30"/>
    <n v="0"/>
    <n v="300"/>
    <n v="300"/>
    <n v="300"/>
    <n v="900"/>
    <x v="5"/>
    <s v="MENA_Programme 3. Enseignement élémentaire"/>
    <s v="3. Dépenses de fonctionnement"/>
    <m/>
    <m/>
    <x v="0"/>
    <x v="0"/>
    <x v="13"/>
    <s v="251- Les manuels et guides adaptés aux nouveaux curricula sont développés"/>
    <x v="199"/>
    <s v="25131-Amelioration de l'envoronnement d'apprentissage avec prise en compte des besoins des filles (latrines, rampes,points d'eau, spaces des jeux )"/>
  </r>
  <r>
    <s v="Suivi pedagogique des enseignants au niveau des ecoles"/>
    <s v="Suivi"/>
    <s v="forfait/suivi"/>
    <n v="1"/>
    <n v="1"/>
    <n v="1"/>
    <n v="1"/>
    <n v="4"/>
    <n v="10"/>
    <n v="10"/>
    <n v="10"/>
    <n v="10"/>
    <n v="10"/>
    <n v="40"/>
    <x v="5"/>
    <s v="MENA_Transversal"/>
    <s v="3. Dépenses de fonctionnement"/>
    <m/>
    <m/>
    <x v="3"/>
    <x v="0"/>
    <x v="12"/>
    <s v="241- Un dispositif efficace d’encadrement est défini (organisation, rôles des différents acteurs)"/>
    <x v="119"/>
    <s v="24111-Suivi pedagogique des enseignants au niveau des ecoles"/>
  </r>
  <r>
    <s v="Formation des enseignants sur l'education inclusive, les pedagogies actives et les didactiques en francais, mathematique, secience d'observations et autres displines"/>
    <s v="Formation"/>
    <s v="h/f"/>
    <n v="200"/>
    <n v="200"/>
    <n v="200"/>
    <n v="200"/>
    <n v="800"/>
    <n v="0.15"/>
    <n v="30"/>
    <n v="30"/>
    <n v="30"/>
    <n v="30"/>
    <n v="120"/>
    <x v="5"/>
    <s v="MENA_Transversal"/>
    <s v="3. Formation"/>
    <m/>
    <m/>
    <x v="0"/>
    <x v="0"/>
    <x v="5"/>
    <s v="151- L'environnement d’enseignement et d'apprentissage est adapté aux besoins spécifiques  des enfants en situation de handicap"/>
    <x v="66"/>
    <s v="15111-Formation des enseignants sur l'education inclusive, les pedagogies actives et les didactiques en francais, mathematique, secience d'observations et autres displines"/>
  </r>
  <r>
    <s v="Insertion des enfants et jeunes dans les centres d'apprentissages des metiers"/>
    <s v="Insertion"/>
    <s v="h/f"/>
    <n v="30"/>
    <n v="50"/>
    <n v="50"/>
    <n v="50"/>
    <n v="180"/>
    <n v="1"/>
    <n v="30"/>
    <n v="50"/>
    <n v="50"/>
    <n v="50"/>
    <n v="180"/>
    <x v="5"/>
    <s v="MENA_Sous-programme 4.1. Collège "/>
    <s v="3. Formation"/>
    <m/>
    <m/>
    <x v="3"/>
    <x v="0"/>
    <x v="5"/>
    <s v="152- Un protocole d’assistance matérielle, humaine et technique est élaboré et adopté"/>
    <x v="64"/>
    <s v="15211-Insertion des enfants et jeunes dans les centres d'apprentissages des metiers"/>
  </r>
  <r>
    <s v="Promotion de l'employabilite des filles"/>
    <s v="Insertion"/>
    <s v="Campagne"/>
    <n v="10"/>
    <n v="10"/>
    <n v="10"/>
    <n v="10"/>
    <n v="40"/>
    <n v="0.6"/>
    <n v="6"/>
    <n v="6"/>
    <n v="6"/>
    <n v="6"/>
    <n v="24"/>
    <x v="5"/>
    <s v="MENA_Sous-programme 4.1. Collège "/>
    <s v="3. Dépenses de fonctionnement"/>
    <m/>
    <m/>
    <x v="3"/>
    <x v="0"/>
    <x v="5"/>
    <s v="153- L'éducation inclusive est intégrée dans la prise de décision par les différents acteurs"/>
    <x v="67"/>
    <s v="15311-Promotion de l'employabilite des filles"/>
  </r>
  <r>
    <s v="Soutien  aux familles ( revenu, information, gestion des enfants..)"/>
    <s v="Soutien"/>
    <s v="Campagne"/>
    <n v="500"/>
    <n v="500"/>
    <n v="500"/>
    <n v="500"/>
    <n v="2000"/>
    <n v="0.01"/>
    <n v="5"/>
    <n v="5"/>
    <n v="5"/>
    <n v="5"/>
    <n v="20"/>
    <x v="5"/>
    <s v="MENA_Transversal"/>
    <s v="3. Dépenses de fonctionnement"/>
    <m/>
    <m/>
    <x v="3"/>
    <x v="0"/>
    <x v="34"/>
    <s v="561-Le financement du secteur est en adéquation avec les objectifs"/>
    <x v="405"/>
    <s v="56111-Soutien  aux familles ( revenu, information, gestion des enfants..)"/>
  </r>
  <r>
    <s v="Appui aux fonctionnement des structures de dialogue sectorielle (CSPPE,CPPE,CRPE)"/>
    <s v="session"/>
    <s v="dot/fonct"/>
    <n v="50"/>
    <n v="50"/>
    <n v="50"/>
    <n v="50"/>
    <n v="200"/>
    <n v="1"/>
    <n v="50"/>
    <n v="50"/>
    <n v="50"/>
    <n v="50"/>
    <n v="200"/>
    <x v="5"/>
    <s v="MENA_Transversal"/>
    <s v="3. Dépenses de fonctionnement"/>
    <m/>
    <m/>
    <x v="3"/>
    <x v="0"/>
    <x v="35"/>
    <s v="571- Des organes de pilotage et de coordination interministérielles existent et fonctionnent éfficacement"/>
    <x v="419"/>
    <s v="57111-Appui aux fonctionnement des structures de dialogue sectorielle (CSPPE,CPPE,CRP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Bailleurs">
  <location ref="A3:E8" firstHeaderRow="0" firstDataRow="1" firstDataCol="1"/>
  <pivotFields count="25">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items count="23">
        <item x="19"/>
        <item x="20"/>
        <item x="7"/>
        <item x="12"/>
        <item x="13"/>
        <item x="6"/>
        <item x="10"/>
        <item x="1"/>
        <item x="21"/>
        <item x="3"/>
        <item x="8"/>
        <item x="14"/>
        <item x="15"/>
        <item x="2"/>
        <item x="16"/>
        <item x="9"/>
        <item x="5"/>
        <item x="18"/>
        <item x="17"/>
        <item x="11"/>
        <item x="4"/>
        <item h="1" x="0"/>
        <item t="default"/>
      </items>
    </pivotField>
    <pivotField showAll="0"/>
    <pivotField showAll="0"/>
    <pivotField showAll="0"/>
    <pivotField showAll="0"/>
    <pivotField axis="axisRow" showAll="0">
      <items count="6">
        <item x="0"/>
        <item x="2"/>
        <item x="1"/>
        <item h="1" x="3"/>
        <item x="4"/>
        <item t="default"/>
      </items>
    </pivotField>
    <pivotField showAll="0"/>
    <pivotField showAll="0"/>
    <pivotField showAll="0"/>
    <pivotField showAll="0"/>
    <pivotField showAll="0"/>
  </pivotFields>
  <rowFields count="1">
    <field x="19"/>
  </rowFields>
  <rowItems count="5">
    <i>
      <x/>
    </i>
    <i>
      <x v="1"/>
    </i>
    <i>
      <x v="2"/>
    </i>
    <i>
      <x v="4"/>
    </i>
    <i t="grand">
      <x/>
    </i>
  </rowItems>
  <colFields count="1">
    <field x="-2"/>
  </colFields>
  <colItems count="4">
    <i>
      <x/>
    </i>
    <i i="1">
      <x v="1"/>
    </i>
    <i i="2">
      <x v="2"/>
    </i>
    <i i="3">
      <x v="3"/>
    </i>
  </colItems>
  <dataFields count="4">
    <dataField name=" Montant 2021" fld="9" baseField="0" baseItem="1"/>
    <dataField name=" Montant 2022" fld="10" baseField="0" baseItem="2"/>
    <dataField name=" Montant 2023" fld="11" baseField="0" baseItem="0"/>
    <dataField name=" Montant 2024" fld="12" baseField="0" baseItem="0"/>
  </dataFields>
  <formats count="21">
    <format dxfId="161">
      <pivotArea type="all" dataOnly="0" outline="0" fieldPosition="0"/>
    </format>
    <format dxfId="160">
      <pivotArea outline="0" collapsedLevelsAreSubtotals="1" fieldPosition="0"/>
    </format>
    <format dxfId="159">
      <pivotArea field="14" type="button" dataOnly="0" labelOnly="1" outline="0"/>
    </format>
    <format dxfId="158">
      <pivotArea dataOnly="0" labelOnly="1" grandRow="1" outline="0" fieldPosition="0"/>
    </format>
    <format dxfId="157">
      <pivotArea dataOnly="0" labelOnly="1" outline="0" fieldPosition="0">
        <references count="1">
          <reference field="4294967294" count="2">
            <x v="0"/>
            <x v="1"/>
          </reference>
        </references>
      </pivotArea>
    </format>
    <format dxfId="156">
      <pivotArea type="all" dataOnly="0" outline="0" fieldPosition="0"/>
    </format>
    <format dxfId="155">
      <pivotArea outline="0" collapsedLevelsAreSubtotals="1" fieldPosition="0"/>
    </format>
    <format dxfId="154">
      <pivotArea field="19" type="button" dataOnly="0" labelOnly="1" outline="0" axis="axisRow" fieldPosition="0"/>
    </format>
    <format dxfId="153">
      <pivotArea dataOnly="0" labelOnly="1" fieldPosition="0">
        <references count="1">
          <reference field="19" count="0"/>
        </references>
      </pivotArea>
    </format>
    <format dxfId="152">
      <pivotArea dataOnly="0" labelOnly="1" grandRow="1" outline="0" fieldPosition="0"/>
    </format>
    <format dxfId="151">
      <pivotArea dataOnly="0" labelOnly="1" outline="0" fieldPosition="0">
        <references count="1">
          <reference field="4294967294" count="2">
            <x v="0"/>
            <x v="1"/>
          </reference>
        </references>
      </pivotArea>
    </format>
    <format dxfId="150">
      <pivotArea type="all" dataOnly="0" outline="0" fieldPosition="0"/>
    </format>
    <format dxfId="149">
      <pivotArea outline="0" collapsedLevelsAreSubtotals="1" fieldPosition="0"/>
    </format>
    <format dxfId="148">
      <pivotArea field="19" type="button" dataOnly="0" labelOnly="1" outline="0" axis="axisRow" fieldPosition="0"/>
    </format>
    <format dxfId="147">
      <pivotArea dataOnly="0" labelOnly="1" fieldPosition="0">
        <references count="1">
          <reference field="19" count="0"/>
        </references>
      </pivotArea>
    </format>
    <format dxfId="146">
      <pivotArea dataOnly="0" labelOnly="1" grandRow="1" outline="0" fieldPosition="0"/>
    </format>
    <format dxfId="145">
      <pivotArea dataOnly="0" labelOnly="1" outline="0" fieldPosition="0">
        <references count="1">
          <reference field="4294967294" count="2">
            <x v="0"/>
            <x v="1"/>
          </reference>
        </references>
      </pivotArea>
    </format>
    <format dxfId="144">
      <pivotArea field="19" type="button" dataOnly="0" labelOnly="1" outline="0" axis="axisRow" fieldPosition="0"/>
    </format>
    <format dxfId="143">
      <pivotArea dataOnly="0" labelOnly="1" outline="0" fieldPosition="0">
        <references count="1">
          <reference field="4294967294" count="4">
            <x v="0"/>
            <x v="1"/>
            <x v="2"/>
            <x v="3"/>
          </reference>
        </references>
      </pivotArea>
    </format>
    <format dxfId="142">
      <pivotArea field="19" type="button" dataOnly="0" labelOnly="1" outline="0" axis="axisRow" fieldPosition="0"/>
    </format>
    <format dxfId="14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Bailleurs">
  <location ref="A3:F25" firstHeaderRow="0" firstDataRow="1" firstDataCol="1"/>
  <pivotFields count="25">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axis="axisRow" showAll="0">
      <items count="23">
        <item x="19"/>
        <item x="20"/>
        <item x="7"/>
        <item x="12"/>
        <item x="13"/>
        <item x="6"/>
        <item x="10"/>
        <item x="1"/>
        <item x="21"/>
        <item x="3"/>
        <item x="8"/>
        <item x="14"/>
        <item x="15"/>
        <item x="2"/>
        <item x="16"/>
        <item x="9"/>
        <item x="5"/>
        <item x="18"/>
        <item x="17"/>
        <item x="11"/>
        <item x="4"/>
        <item h="1" x="0"/>
        <item t="default"/>
      </items>
    </pivotField>
    <pivotField showAll="0"/>
    <pivotField showAll="0"/>
    <pivotField showAll="0"/>
    <pivotField showAll="0"/>
    <pivotField showAll="0"/>
    <pivotField showAll="0"/>
    <pivotField showAll="0"/>
    <pivotField showAll="0"/>
    <pivotField showAll="0"/>
    <pivotField showAll="0"/>
  </pivotFields>
  <rowFields count="1">
    <field x="14"/>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5">
    <i>
      <x/>
    </i>
    <i i="1">
      <x v="1"/>
    </i>
    <i i="2">
      <x v="2"/>
    </i>
    <i i="3">
      <x v="3"/>
    </i>
    <i i="4">
      <x v="4"/>
    </i>
  </colItems>
  <dataFields count="5">
    <dataField name=" Montant 2021" fld="9" baseField="0" baseItem="1"/>
    <dataField name=" Montant 2022" fld="10" baseField="0" baseItem="2"/>
    <dataField name=" Montant 2023" fld="11" baseField="0" baseItem="0"/>
    <dataField name=" Montant 2024" fld="12" baseField="0" baseItem="0"/>
    <dataField name=" Montant Total 2021-2024" fld="13" baseField="0" baseItem="0"/>
  </dataFields>
  <formats count="13">
    <format dxfId="140">
      <pivotArea type="all" dataOnly="0" outline="0" fieldPosition="0"/>
    </format>
    <format dxfId="139">
      <pivotArea outline="0" collapsedLevelsAreSubtotals="1" fieldPosition="0"/>
    </format>
    <format dxfId="138">
      <pivotArea field="14" type="button" dataOnly="0" labelOnly="1" outline="0" axis="axisRow" fieldPosition="0"/>
    </format>
    <format dxfId="137">
      <pivotArea dataOnly="0" labelOnly="1" fieldPosition="0">
        <references count="1">
          <reference field="14" count="0"/>
        </references>
      </pivotArea>
    </format>
    <format dxfId="136">
      <pivotArea dataOnly="0" labelOnly="1" grandRow="1" outline="0" fieldPosition="0"/>
    </format>
    <format dxfId="135">
      <pivotArea dataOnly="0" labelOnly="1" outline="0" fieldPosition="0">
        <references count="1">
          <reference field="4294967294" count="2">
            <x v="0"/>
            <x v="1"/>
          </reference>
        </references>
      </pivotArea>
    </format>
    <format dxfId="134">
      <pivotArea field="14" type="button" dataOnly="0" labelOnly="1" outline="0" axis="axisRow" fieldPosition="0"/>
    </format>
    <format dxfId="133">
      <pivotArea dataOnly="0" labelOnly="1" outline="0" fieldPosition="0">
        <references count="1">
          <reference field="4294967294" count="4">
            <x v="0"/>
            <x v="1"/>
            <x v="2"/>
            <x v="3"/>
          </reference>
        </references>
      </pivotArea>
    </format>
    <format dxfId="132">
      <pivotArea field="14" type="button" dataOnly="0" labelOnly="1" outline="0" axis="axisRow" fieldPosition="0"/>
    </format>
    <format dxfId="131">
      <pivotArea dataOnly="0" labelOnly="1" outline="0" fieldPosition="0">
        <references count="1">
          <reference field="4294967294" count="4">
            <x v="0"/>
            <x v="1"/>
            <x v="2"/>
            <x v="3"/>
          </reference>
        </references>
      </pivotArea>
    </format>
    <format dxfId="130">
      <pivotArea dataOnly="0" outline="0" fieldPosition="0">
        <references count="1">
          <reference field="4294967294" count="1">
            <x v="4"/>
          </reference>
        </references>
      </pivotArea>
    </format>
    <format dxfId="129">
      <pivotArea field="14" type="button" dataOnly="0" labelOnly="1" outline="0" axis="axisRow" fieldPosition="0"/>
    </format>
    <format dxfId="128">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Programmes ">
  <location ref="A3:F77" firstHeaderRow="0" firstDataRow="1" firstDataCol="1"/>
  <pivotFields count="25">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axis="axisRow" showAll="0">
      <items count="23">
        <item x="2"/>
        <item x="6"/>
        <item x="19"/>
        <item x="20"/>
        <item x="7"/>
        <item x="12"/>
        <item x="13"/>
        <item x="10"/>
        <item x="1"/>
        <item x="21"/>
        <item x="3"/>
        <item x="8"/>
        <item x="14"/>
        <item x="15"/>
        <item x="16"/>
        <item x="9"/>
        <item x="5"/>
        <item x="18"/>
        <item x="17"/>
        <item x="11"/>
        <item x="4"/>
        <item h="1" x="0"/>
        <item t="default"/>
      </items>
    </pivotField>
    <pivotField showAll="0"/>
    <pivotField showAll="0"/>
    <pivotField showAll="0"/>
    <pivotField showAll="0"/>
    <pivotField showAll="0"/>
    <pivotField axis="axisRow" showAll="0">
      <items count="7">
        <item x="0"/>
        <item x="1"/>
        <item x="2"/>
        <item x="3"/>
        <item x="4"/>
        <item x="5"/>
        <item t="default"/>
      </items>
    </pivotField>
    <pivotField showAll="0"/>
    <pivotField showAll="0"/>
    <pivotField showAll="0"/>
    <pivotField showAll="0"/>
  </pivotFields>
  <rowFields count="2">
    <field x="14"/>
    <field x="20"/>
  </rowFields>
  <rowItems count="74">
    <i>
      <x/>
    </i>
    <i r="1">
      <x/>
    </i>
    <i r="1">
      <x v="1"/>
    </i>
    <i r="1">
      <x v="2"/>
    </i>
    <i r="1">
      <x v="3"/>
    </i>
    <i r="1">
      <x v="4"/>
    </i>
    <i r="1">
      <x v="5"/>
    </i>
    <i>
      <x v="1"/>
    </i>
    <i r="1">
      <x/>
    </i>
    <i r="1">
      <x v="1"/>
    </i>
    <i r="1">
      <x v="2"/>
    </i>
    <i r="1">
      <x v="3"/>
    </i>
    <i r="1">
      <x v="4"/>
    </i>
    <i r="1">
      <x v="5"/>
    </i>
    <i>
      <x v="2"/>
    </i>
    <i r="1">
      <x v="2"/>
    </i>
    <i>
      <x v="3"/>
    </i>
    <i r="1">
      <x v="2"/>
    </i>
    <i>
      <x v="4"/>
    </i>
    <i r="1">
      <x/>
    </i>
    <i>
      <x v="5"/>
    </i>
    <i r="1">
      <x/>
    </i>
    <i r="1">
      <x v="1"/>
    </i>
    <i r="1">
      <x v="4"/>
    </i>
    <i>
      <x v="6"/>
    </i>
    <i r="1">
      <x/>
    </i>
    <i r="1">
      <x v="1"/>
    </i>
    <i r="1">
      <x v="2"/>
    </i>
    <i r="1">
      <x v="4"/>
    </i>
    <i r="1">
      <x v="5"/>
    </i>
    <i>
      <x v="7"/>
    </i>
    <i r="1">
      <x/>
    </i>
    <i>
      <x v="8"/>
    </i>
    <i r="1">
      <x/>
    </i>
    <i r="1">
      <x v="1"/>
    </i>
    <i r="1">
      <x v="3"/>
    </i>
    <i r="1">
      <x v="4"/>
    </i>
    <i>
      <x v="9"/>
    </i>
    <i r="1">
      <x v="2"/>
    </i>
    <i r="1">
      <x v="3"/>
    </i>
    <i r="1">
      <x v="4"/>
    </i>
    <i>
      <x v="10"/>
    </i>
    <i r="1">
      <x/>
    </i>
    <i r="1">
      <x v="4"/>
    </i>
    <i>
      <x v="11"/>
    </i>
    <i r="1">
      <x/>
    </i>
    <i r="1">
      <x v="1"/>
    </i>
    <i r="1">
      <x v="4"/>
    </i>
    <i r="1">
      <x v="5"/>
    </i>
    <i>
      <x v="12"/>
    </i>
    <i r="1">
      <x/>
    </i>
    <i>
      <x v="13"/>
    </i>
    <i r="1">
      <x/>
    </i>
    <i>
      <x v="14"/>
    </i>
    <i r="1">
      <x/>
    </i>
    <i r="1">
      <x v="2"/>
    </i>
    <i>
      <x v="15"/>
    </i>
    <i r="1">
      <x/>
    </i>
    <i>
      <x v="16"/>
    </i>
    <i r="1">
      <x/>
    </i>
    <i r="1">
      <x v="1"/>
    </i>
    <i>
      <x v="17"/>
    </i>
    <i r="1">
      <x v="2"/>
    </i>
    <i>
      <x v="18"/>
    </i>
    <i r="1">
      <x v="2"/>
    </i>
    <i r="1">
      <x v="4"/>
    </i>
    <i>
      <x v="19"/>
    </i>
    <i r="1">
      <x/>
    </i>
    <i r="1">
      <x v="4"/>
    </i>
    <i>
      <x v="20"/>
    </i>
    <i r="1">
      <x/>
    </i>
    <i r="1">
      <x v="1"/>
    </i>
    <i r="1">
      <x v="4"/>
    </i>
    <i t="grand">
      <x/>
    </i>
  </rowItems>
  <colFields count="1">
    <field x="-2"/>
  </colFields>
  <colItems count="5">
    <i>
      <x/>
    </i>
    <i i="1">
      <x v="1"/>
    </i>
    <i i="2">
      <x v="2"/>
    </i>
    <i i="3">
      <x v="3"/>
    </i>
    <i i="4">
      <x v="4"/>
    </i>
  </colItems>
  <dataFields count="5">
    <dataField name=" Montant 2021" fld="9" baseField="0" baseItem="1"/>
    <dataField name=" Montant 2022" fld="10" baseField="0" baseItem="2"/>
    <dataField name=" Montant 2023" fld="11" baseField="0" baseItem="0"/>
    <dataField name=" Montant 2024" fld="12" baseField="0" baseItem="0"/>
    <dataField name=" Montant Total 2021-2024" fld="13" baseField="0" baseItem="0"/>
  </dataFields>
  <formats count="16">
    <format dxfId="127">
      <pivotArea type="all" dataOnly="0" outline="0" fieldPosition="0"/>
    </format>
    <format dxfId="126">
      <pivotArea outline="0" collapsedLevelsAreSubtotals="1" fieldPosition="0"/>
    </format>
    <format dxfId="125">
      <pivotArea field="14" type="button" dataOnly="0" labelOnly="1" outline="0" axis="axisRow" fieldPosition="0"/>
    </format>
    <format dxfId="124">
      <pivotArea dataOnly="0" labelOnly="1" fieldPosition="0">
        <references count="1">
          <reference field="14" count="0"/>
        </references>
      </pivotArea>
    </format>
    <format dxfId="123">
      <pivotArea dataOnly="0" labelOnly="1" grandRow="1" outline="0" fieldPosition="0"/>
    </format>
    <format dxfId="122">
      <pivotArea dataOnly="0" labelOnly="1" outline="0" fieldPosition="0">
        <references count="1">
          <reference field="4294967294" count="2">
            <x v="0"/>
            <x v="1"/>
          </reference>
        </references>
      </pivotArea>
    </format>
    <format dxfId="121">
      <pivotArea outline="0" collapsedLevelsAreSubtotals="1" fieldPosition="0"/>
    </format>
    <format dxfId="120">
      <pivotArea dataOnly="0" labelOnly="1" outline="0" fieldPosition="0">
        <references count="1">
          <reference field="4294967294" count="2">
            <x v="0"/>
            <x v="1"/>
          </reference>
        </references>
      </pivotArea>
    </format>
    <format dxfId="119">
      <pivotArea outline="0" collapsedLevelsAreSubtotals="1" fieldPosition="0"/>
    </format>
    <format dxfId="118">
      <pivotArea dataOnly="0" labelOnly="1" outline="0" fieldPosition="0">
        <references count="1">
          <reference field="4294967294" count="2">
            <x v="0"/>
            <x v="1"/>
          </reference>
        </references>
      </pivotArea>
    </format>
    <format dxfId="117">
      <pivotArea field="14" type="button" dataOnly="0" labelOnly="1" outline="0" axis="axisRow" fieldPosition="0"/>
    </format>
    <format dxfId="116">
      <pivotArea dataOnly="0" labelOnly="1" outline="0" fieldPosition="0">
        <references count="1">
          <reference field="4294967294" count="4">
            <x v="0"/>
            <x v="1"/>
            <x v="2"/>
            <x v="3"/>
          </reference>
        </references>
      </pivotArea>
    </format>
    <format dxfId="115">
      <pivotArea field="14" type="button" dataOnly="0" labelOnly="1" outline="0" axis="axisRow" fieldPosition="0"/>
    </format>
    <format dxfId="114">
      <pivotArea dataOnly="0" labelOnly="1" outline="0" fieldPosition="0">
        <references count="1">
          <reference field="4294967294" count="4">
            <x v="0"/>
            <x v="1"/>
            <x v="2"/>
            <x v="3"/>
          </reference>
        </references>
      </pivotArea>
    </format>
    <format dxfId="113">
      <pivotArea field="14" type="button" dataOnly="0" labelOnly="1" outline="0" axis="axisRow" fieldPosition="0"/>
    </format>
    <format dxfId="11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Bailleurs">
  <location ref="A3:F44" firstHeaderRow="0" firstDataRow="1" firstDataCol="1"/>
  <pivotFields count="25">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axis="axisRow" showAll="0">
      <items count="23">
        <item x="19"/>
        <item x="20"/>
        <item x="7"/>
        <item x="12"/>
        <item x="13"/>
        <item x="6"/>
        <item x="10"/>
        <item x="1"/>
        <item x="21"/>
        <item x="3"/>
        <item x="8"/>
        <item x="14"/>
        <item x="15"/>
        <item x="2"/>
        <item x="16"/>
        <item x="9"/>
        <item x="5"/>
        <item x="18"/>
        <item x="17"/>
        <item x="11"/>
        <item x="4"/>
        <item h="1" x="0"/>
        <item t="default"/>
      </items>
    </pivotField>
    <pivotField showAll="0"/>
    <pivotField showAll="0"/>
    <pivotField showAll="0"/>
    <pivotField showAll="0"/>
    <pivotField axis="axisRow" showAll="0">
      <items count="6">
        <item x="0"/>
        <item x="4"/>
        <item x="2"/>
        <item x="1"/>
        <item h="1" x="3"/>
        <item t="default"/>
      </items>
    </pivotField>
    <pivotField showAll="0"/>
    <pivotField showAll="0"/>
    <pivotField showAll="0"/>
    <pivotField showAll="0"/>
    <pivotField showAll="0"/>
  </pivotFields>
  <rowFields count="2">
    <field x="19"/>
    <field x="14"/>
  </rowFields>
  <rowItems count="41">
    <i>
      <x/>
    </i>
    <i r="1">
      <x v="2"/>
    </i>
    <i r="1">
      <x v="3"/>
    </i>
    <i r="1">
      <x v="4"/>
    </i>
    <i r="1">
      <x v="5"/>
    </i>
    <i r="1">
      <x v="6"/>
    </i>
    <i r="1">
      <x v="7"/>
    </i>
    <i r="1">
      <x v="9"/>
    </i>
    <i r="1">
      <x v="10"/>
    </i>
    <i r="1">
      <x v="11"/>
    </i>
    <i r="1">
      <x v="12"/>
    </i>
    <i r="1">
      <x v="13"/>
    </i>
    <i r="1">
      <x v="14"/>
    </i>
    <i r="1">
      <x v="15"/>
    </i>
    <i r="1">
      <x v="16"/>
    </i>
    <i r="1">
      <x v="19"/>
    </i>
    <i r="1">
      <x v="20"/>
    </i>
    <i>
      <x v="1"/>
    </i>
    <i r="1">
      <x v="5"/>
    </i>
    <i r="1">
      <x v="10"/>
    </i>
    <i r="1">
      <x v="13"/>
    </i>
    <i>
      <x v="2"/>
    </i>
    <i r="1">
      <x v="4"/>
    </i>
    <i r="1">
      <x v="5"/>
    </i>
    <i r="1">
      <x v="7"/>
    </i>
    <i r="1">
      <x v="8"/>
    </i>
    <i r="1">
      <x v="10"/>
    </i>
    <i r="1">
      <x v="13"/>
    </i>
    <i>
      <x v="3"/>
    </i>
    <i r="1">
      <x/>
    </i>
    <i r="1">
      <x v="1"/>
    </i>
    <i r="1">
      <x v="4"/>
    </i>
    <i r="1">
      <x v="5"/>
    </i>
    <i r="1">
      <x v="7"/>
    </i>
    <i r="1">
      <x v="8"/>
    </i>
    <i r="1">
      <x v="10"/>
    </i>
    <i r="1">
      <x v="13"/>
    </i>
    <i r="1">
      <x v="14"/>
    </i>
    <i r="1">
      <x v="17"/>
    </i>
    <i r="1">
      <x v="18"/>
    </i>
    <i t="grand">
      <x/>
    </i>
  </rowItems>
  <colFields count="1">
    <field x="-2"/>
  </colFields>
  <colItems count="5">
    <i>
      <x/>
    </i>
    <i i="1">
      <x v="1"/>
    </i>
    <i i="2">
      <x v="2"/>
    </i>
    <i i="3">
      <x v="3"/>
    </i>
    <i i="4">
      <x v="4"/>
    </i>
  </colItems>
  <dataFields count="5">
    <dataField name=" Montant 2021" fld="9" baseField="0" baseItem="1"/>
    <dataField name=" Montant 2022" fld="10" baseField="0" baseItem="2"/>
    <dataField name=" Montant 2023" fld="11" baseField="0" baseItem="0"/>
    <dataField name=" Montant 2024" fld="12" baseField="0" baseItem="0"/>
    <dataField name=" Montant Total 2021-2024" fld="13" baseField="0" baseItem="0"/>
  </dataFields>
  <formats count="12">
    <format dxfId="111">
      <pivotArea type="all" dataOnly="0" outline="0" fieldPosition="0"/>
    </format>
    <format dxfId="110">
      <pivotArea outline="0" collapsedLevelsAreSubtotals="1" fieldPosition="0"/>
    </format>
    <format dxfId="109">
      <pivotArea field="14" type="button" dataOnly="0" labelOnly="1" outline="0" axis="axisRow" fieldPosition="1"/>
    </format>
    <format dxfId="108">
      <pivotArea dataOnly="0" labelOnly="1" fieldPosition="0">
        <references count="1">
          <reference field="14" count="0"/>
        </references>
      </pivotArea>
    </format>
    <format dxfId="107">
      <pivotArea dataOnly="0" labelOnly="1" grandRow="1" outline="0" fieldPosition="0"/>
    </format>
    <format dxfId="106">
      <pivotArea dataOnly="0" labelOnly="1" outline="0" fieldPosition="0">
        <references count="1">
          <reference field="4294967294" count="2">
            <x v="0"/>
            <x v="1"/>
          </reference>
        </references>
      </pivotArea>
    </format>
    <format dxfId="105">
      <pivotArea field="19" type="button" dataOnly="0" labelOnly="1" outline="0" axis="axisRow" fieldPosition="0"/>
    </format>
    <format dxfId="104">
      <pivotArea dataOnly="0" labelOnly="1" outline="0" fieldPosition="0">
        <references count="1">
          <reference field="4294967294" count="5">
            <x v="0"/>
            <x v="1"/>
            <x v="2"/>
            <x v="3"/>
            <x v="4"/>
          </reference>
        </references>
      </pivotArea>
    </format>
    <format dxfId="103">
      <pivotArea field="19" type="button" dataOnly="0" labelOnly="1" outline="0" axis="axisRow" fieldPosition="0"/>
    </format>
    <format dxfId="102">
      <pivotArea dataOnly="0" labelOnly="1" outline="0" fieldPosition="0">
        <references count="1">
          <reference field="4294967294" count="5">
            <x v="0"/>
            <x v="1"/>
            <x v="2"/>
            <x v="3"/>
            <x v="4"/>
          </reference>
        </references>
      </pivotArea>
    </format>
    <format dxfId="101">
      <pivotArea field="19" type="button" dataOnly="0" labelOnly="1" outline="0" axis="axisRow" fieldPosition="0"/>
    </format>
    <format dxfId="100">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Programmes prioritaires">
  <location ref="A3:F10" firstHeaderRow="0" firstDataRow="1" firstDataCol="1"/>
  <pivotFields count="25">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items count="23">
        <item x="19"/>
        <item x="20"/>
        <item x="7"/>
        <item x="12"/>
        <item x="13"/>
        <item x="6"/>
        <item x="10"/>
        <item x="1"/>
        <item x="21"/>
        <item x="3"/>
        <item x="8"/>
        <item x="14"/>
        <item x="15"/>
        <item x="2"/>
        <item x="16"/>
        <item x="9"/>
        <item x="5"/>
        <item x="18"/>
        <item x="17"/>
        <item x="11"/>
        <item x="4"/>
        <item h="1" x="0"/>
        <item t="default"/>
      </items>
    </pivotField>
    <pivotField showAll="0"/>
    <pivotField showAll="0"/>
    <pivotField showAll="0"/>
    <pivotField showAll="0"/>
    <pivotField showAll="0"/>
    <pivotField axis="axisRow" showAll="0">
      <items count="7">
        <item x="0"/>
        <item x="1"/>
        <item x="2"/>
        <item x="3"/>
        <item x="4"/>
        <item x="5"/>
        <item t="default"/>
      </items>
    </pivotField>
    <pivotField showAll="0"/>
    <pivotField showAll="0"/>
    <pivotField showAll="0"/>
    <pivotField showAll="0"/>
  </pivotFields>
  <rowFields count="1">
    <field x="20"/>
  </rowFields>
  <rowItems count="7">
    <i>
      <x/>
    </i>
    <i>
      <x v="1"/>
    </i>
    <i>
      <x v="2"/>
    </i>
    <i>
      <x v="3"/>
    </i>
    <i>
      <x v="4"/>
    </i>
    <i>
      <x v="5"/>
    </i>
    <i t="grand">
      <x/>
    </i>
  </rowItems>
  <colFields count="1">
    <field x="-2"/>
  </colFields>
  <colItems count="5">
    <i>
      <x/>
    </i>
    <i i="1">
      <x v="1"/>
    </i>
    <i i="2">
      <x v="2"/>
    </i>
    <i i="3">
      <x v="3"/>
    </i>
    <i i="4">
      <x v="4"/>
    </i>
  </colItems>
  <dataFields count="5">
    <dataField name=" Montant 2021" fld="9" baseField="0" baseItem="1"/>
    <dataField name=" Montant 2022" fld="10" baseField="0" baseItem="2"/>
    <dataField name=" Montant 2023" fld="11" baseField="0" baseItem="0"/>
    <dataField name=" Montant 2024" fld="12" baseField="0" baseItem="0"/>
    <dataField name=" Montant Total 2021-2024" fld="13" baseField="0" baseItem="0"/>
  </dataFields>
  <formats count="41">
    <format dxfId="99">
      <pivotArea type="all" dataOnly="0" outline="0" fieldPosition="0"/>
    </format>
    <format dxfId="98">
      <pivotArea outline="0" collapsedLevelsAreSubtotals="1" fieldPosition="0"/>
    </format>
    <format dxfId="97">
      <pivotArea field="14" type="button" dataOnly="0" labelOnly="1" outline="0"/>
    </format>
    <format dxfId="96">
      <pivotArea dataOnly="0" labelOnly="1" grandRow="1" outline="0" fieldPosition="0"/>
    </format>
    <format dxfId="95">
      <pivotArea dataOnly="0" labelOnly="1" outline="0" fieldPosition="0">
        <references count="1">
          <reference field="4294967294" count="2">
            <x v="0"/>
            <x v="1"/>
          </reference>
        </references>
      </pivotArea>
    </format>
    <format dxfId="94">
      <pivotArea type="all" dataOnly="0" outline="0" fieldPosition="0"/>
    </format>
    <format dxfId="93">
      <pivotArea outline="0" collapsedLevelsAreSubtotals="1" fieldPosition="0"/>
    </format>
    <format dxfId="92">
      <pivotArea field="20" type="button" dataOnly="0" labelOnly="1" outline="0" axis="axisRow" fieldPosition="0"/>
    </format>
    <format dxfId="91">
      <pivotArea dataOnly="0" labelOnly="1" fieldPosition="0">
        <references count="1">
          <reference field="20" count="0"/>
        </references>
      </pivotArea>
    </format>
    <format dxfId="90">
      <pivotArea dataOnly="0" labelOnly="1" grandRow="1" outline="0" fieldPosition="0"/>
    </format>
    <format dxfId="89">
      <pivotArea dataOnly="0" labelOnly="1" outline="0" fieldPosition="0">
        <references count="1">
          <reference field="4294967294" count="2">
            <x v="0"/>
            <x v="1"/>
          </reference>
        </references>
      </pivotArea>
    </format>
    <format dxfId="88">
      <pivotArea type="all" dataOnly="0" outline="0" fieldPosition="0"/>
    </format>
    <format dxfId="87">
      <pivotArea outline="0" collapsedLevelsAreSubtotals="1" fieldPosition="0"/>
    </format>
    <format dxfId="86">
      <pivotArea field="20" type="button" dataOnly="0" labelOnly="1" outline="0" axis="axisRow" fieldPosition="0"/>
    </format>
    <format dxfId="85">
      <pivotArea dataOnly="0" labelOnly="1" fieldPosition="0">
        <references count="1">
          <reference field="20" count="0"/>
        </references>
      </pivotArea>
    </format>
    <format dxfId="84">
      <pivotArea dataOnly="0" labelOnly="1" grandRow="1" outline="0" fieldPosition="0"/>
    </format>
    <format dxfId="83">
      <pivotArea dataOnly="0" labelOnly="1" outline="0" fieldPosition="0">
        <references count="1">
          <reference field="4294967294" count="2">
            <x v="0"/>
            <x v="1"/>
          </reference>
        </references>
      </pivotArea>
    </format>
    <format dxfId="82">
      <pivotArea type="all" dataOnly="0" outline="0" fieldPosition="0"/>
    </format>
    <format dxfId="81">
      <pivotArea outline="0" collapsedLevelsAreSubtotals="1" fieldPosition="0"/>
    </format>
    <format dxfId="80">
      <pivotArea field="20" type="button" dataOnly="0" labelOnly="1" outline="0" axis="axisRow" fieldPosition="0"/>
    </format>
    <format dxfId="79">
      <pivotArea dataOnly="0" labelOnly="1" fieldPosition="0">
        <references count="1">
          <reference field="20" count="0"/>
        </references>
      </pivotArea>
    </format>
    <format dxfId="78">
      <pivotArea dataOnly="0" labelOnly="1" grandRow="1" outline="0" fieldPosition="0"/>
    </format>
    <format dxfId="77">
      <pivotArea dataOnly="0" labelOnly="1" outline="0" fieldPosition="0">
        <references count="1">
          <reference field="4294967294" count="2">
            <x v="0"/>
            <x v="1"/>
          </reference>
        </references>
      </pivotArea>
    </format>
    <format dxfId="76">
      <pivotArea type="all" dataOnly="0" outline="0" fieldPosition="0"/>
    </format>
    <format dxfId="75">
      <pivotArea outline="0" collapsedLevelsAreSubtotals="1" fieldPosition="0"/>
    </format>
    <format dxfId="74">
      <pivotArea field="20" type="button" dataOnly="0" labelOnly="1" outline="0" axis="axisRow" fieldPosition="0"/>
    </format>
    <format dxfId="73">
      <pivotArea dataOnly="0" labelOnly="1" fieldPosition="0">
        <references count="1">
          <reference field="20" count="0"/>
        </references>
      </pivotArea>
    </format>
    <format dxfId="72">
      <pivotArea dataOnly="0" labelOnly="1" grandRow="1" outline="0" fieldPosition="0"/>
    </format>
    <format dxfId="71">
      <pivotArea dataOnly="0" labelOnly="1" outline="0" fieldPosition="0">
        <references count="1">
          <reference field="4294967294" count="2">
            <x v="0"/>
            <x v="1"/>
          </reference>
        </references>
      </pivotArea>
    </format>
    <format dxfId="70">
      <pivotArea type="all" dataOnly="0" outline="0" fieldPosition="0"/>
    </format>
    <format dxfId="69">
      <pivotArea outline="0" collapsedLevelsAreSubtotals="1" fieldPosition="0"/>
    </format>
    <format dxfId="68">
      <pivotArea field="20" type="button" dataOnly="0" labelOnly="1" outline="0" axis="axisRow" fieldPosition="0"/>
    </format>
    <format dxfId="67">
      <pivotArea dataOnly="0" labelOnly="1" fieldPosition="0">
        <references count="1">
          <reference field="20" count="0"/>
        </references>
      </pivotArea>
    </format>
    <format dxfId="66">
      <pivotArea dataOnly="0" labelOnly="1" grandRow="1" outline="0" fieldPosition="0"/>
    </format>
    <format dxfId="65">
      <pivotArea dataOnly="0" labelOnly="1" outline="0" fieldPosition="0">
        <references count="1">
          <reference field="4294967294" count="2">
            <x v="0"/>
            <x v="1"/>
          </reference>
        </references>
      </pivotArea>
    </format>
    <format dxfId="64">
      <pivotArea field="20" type="button" dataOnly="0" labelOnly="1" outline="0" axis="axisRow" fieldPosition="0"/>
    </format>
    <format dxfId="63">
      <pivotArea dataOnly="0" labelOnly="1" outline="0" fieldPosition="0">
        <references count="1">
          <reference field="4294967294" count="5">
            <x v="0"/>
            <x v="1"/>
            <x v="2"/>
            <x v="3"/>
            <x v="4"/>
          </reference>
        </references>
      </pivotArea>
    </format>
    <format dxfId="62">
      <pivotArea field="20" type="button" dataOnly="0" labelOnly="1" outline="0" axis="axisRow" fieldPosition="0"/>
    </format>
    <format dxfId="61">
      <pivotArea dataOnly="0" labelOnly="1" outline="0" fieldPosition="0">
        <references count="1">
          <reference field="4294967294" count="5">
            <x v="0"/>
            <x v="1"/>
            <x v="2"/>
            <x v="3"/>
            <x v="4"/>
          </reference>
        </references>
      </pivotArea>
    </format>
    <format dxfId="60">
      <pivotArea field="20" type="button" dataOnly="0" labelOnly="1" outline="0" axis="axisRow" fieldPosition="0"/>
    </format>
    <format dxfId="59">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Sous programmes prioritaires">
  <location ref="A3:F46" firstHeaderRow="0" firstDataRow="1" firstDataCol="1"/>
  <pivotFields count="25">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items count="23">
        <item x="19"/>
        <item x="20"/>
        <item x="7"/>
        <item x="12"/>
        <item x="13"/>
        <item x="6"/>
        <item x="10"/>
        <item x="1"/>
        <item x="21"/>
        <item x="3"/>
        <item x="8"/>
        <item x="14"/>
        <item x="15"/>
        <item x="2"/>
        <item x="16"/>
        <item x="9"/>
        <item x="5"/>
        <item x="18"/>
        <item x="17"/>
        <item x="11"/>
        <item x="4"/>
        <item h="1" x="0"/>
        <item t="default"/>
      </items>
    </pivotField>
    <pivotField showAll="0"/>
    <pivotField showAll="0"/>
    <pivotField showAll="0"/>
    <pivotField showAll="0"/>
    <pivotField showAll="0"/>
    <pivotField showAll="0"/>
    <pivotField axis="axisRow" showAll="0">
      <items count="43">
        <item x="1"/>
        <item x="2"/>
        <item x="3"/>
        <item x="4"/>
        <item x="5"/>
        <item x="6"/>
        <item x="7"/>
        <item x="0"/>
        <item x="9"/>
        <item x="10"/>
        <item x="11"/>
        <item x="12"/>
        <item x="13"/>
        <item x="14"/>
        <item x="15"/>
        <item x="8"/>
        <item x="17"/>
        <item x="18"/>
        <item x="19"/>
        <item x="20"/>
        <item x="21"/>
        <item x="22"/>
        <item x="16"/>
        <item x="24"/>
        <item x="25"/>
        <item x="26"/>
        <item x="27"/>
        <item x="23"/>
        <item x="29"/>
        <item x="30"/>
        <item x="31"/>
        <item x="32"/>
        <item x="33"/>
        <item x="34"/>
        <item x="35"/>
        <item x="36"/>
        <item x="28"/>
        <item x="38"/>
        <item x="39"/>
        <item x="40"/>
        <item x="41"/>
        <item x="37"/>
        <item t="default"/>
      </items>
    </pivotField>
    <pivotField showAll="0"/>
    <pivotField showAll="0"/>
    <pivotField showAll="0"/>
  </pivotFields>
  <rowFields count="1">
    <field x="21"/>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Fields count="1">
    <field x="-2"/>
  </colFields>
  <colItems count="5">
    <i>
      <x/>
    </i>
    <i i="1">
      <x v="1"/>
    </i>
    <i i="2">
      <x v="2"/>
    </i>
    <i i="3">
      <x v="3"/>
    </i>
    <i i="4">
      <x v="4"/>
    </i>
  </colItems>
  <dataFields count="5">
    <dataField name=" Montant 2021" fld="9" baseField="0" baseItem="1"/>
    <dataField name=" Montant 2022" fld="10" baseField="0" baseItem="2"/>
    <dataField name=" Montant 2023" fld="11" baseField="0" baseItem="0"/>
    <dataField name=" Montant 2024" fld="12" baseField="0" baseItem="0"/>
    <dataField name=" Montant Total 2021-2024" fld="13" baseField="0" baseItem="0"/>
  </dataFields>
  <formats count="30">
    <format dxfId="58">
      <pivotArea type="all" dataOnly="0" outline="0" fieldPosition="0"/>
    </format>
    <format dxfId="57">
      <pivotArea outline="0" collapsedLevelsAreSubtotals="1" fieldPosition="0"/>
    </format>
    <format dxfId="56">
      <pivotArea field="14" type="button" dataOnly="0" labelOnly="1" outline="0"/>
    </format>
    <format dxfId="55">
      <pivotArea dataOnly="0" labelOnly="1" grandRow="1" outline="0" fieldPosition="0"/>
    </format>
    <format dxfId="54">
      <pivotArea dataOnly="0" labelOnly="1" outline="0" fieldPosition="0">
        <references count="1">
          <reference field="4294967294" count="2">
            <x v="0"/>
            <x v="1"/>
          </reference>
        </references>
      </pivotArea>
    </format>
    <format dxfId="53">
      <pivotArea field="21" type="button" dataOnly="0" labelOnly="1" outline="0" axis="axisRow" fieldPosition="0"/>
    </format>
    <format dxfId="52">
      <pivotArea dataOnly="0" labelOnly="1" fieldPosition="0">
        <references count="1">
          <reference field="21" count="0"/>
        </references>
      </pivotArea>
    </format>
    <format dxfId="51">
      <pivotArea dataOnly="0" labelOnly="1" grandRow="1" outline="0" fieldPosition="0"/>
    </format>
    <format dxfId="50">
      <pivotArea field="21" type="button" dataOnly="0" labelOnly="1" outline="0" axis="axisRow" fieldPosition="0"/>
    </format>
    <format dxfId="49">
      <pivotArea dataOnly="0" labelOnly="1" fieldPosition="0">
        <references count="1">
          <reference field="21" count="0"/>
        </references>
      </pivotArea>
    </format>
    <format dxfId="48">
      <pivotArea dataOnly="0" labelOnly="1" grandRow="1" outline="0" fieldPosition="0"/>
    </format>
    <format dxfId="47">
      <pivotArea field="21" type="button" dataOnly="0" labelOnly="1" outline="0" axis="axisRow" fieldPosition="0"/>
    </format>
    <format dxfId="46">
      <pivotArea dataOnly="0" labelOnly="1" fieldPosition="0">
        <references count="1">
          <reference field="21" count="0"/>
        </references>
      </pivotArea>
    </format>
    <format dxfId="45">
      <pivotArea dataOnly="0" labelOnly="1" grandRow="1" outline="0" fieldPosition="0"/>
    </format>
    <format dxfId="44">
      <pivotArea field="21" type="button" dataOnly="0" labelOnly="1" outline="0" axis="axisRow" fieldPosition="0"/>
    </format>
    <format dxfId="43">
      <pivotArea dataOnly="0" labelOnly="1" fieldPosition="0">
        <references count="1">
          <reference field="21" count="0"/>
        </references>
      </pivotArea>
    </format>
    <format dxfId="42">
      <pivotArea dataOnly="0" labelOnly="1" grandRow="1" outline="0" fieldPosition="0"/>
    </format>
    <format dxfId="41">
      <pivotArea field="21" type="button" dataOnly="0" labelOnly="1" outline="0" axis="axisRow" fieldPosition="0"/>
    </format>
    <format dxfId="40">
      <pivotArea dataOnly="0" labelOnly="1" fieldPosition="0">
        <references count="1">
          <reference field="21" count="0"/>
        </references>
      </pivotArea>
    </format>
    <format dxfId="39">
      <pivotArea dataOnly="0" labelOnly="1" grandRow="1" outline="0" fieldPosition="0"/>
    </format>
    <format dxfId="38">
      <pivotArea outline="0" collapsedLevelsAreSubtotals="1" fieldPosition="0"/>
    </format>
    <format dxfId="37">
      <pivotArea dataOnly="0" labelOnly="1" outline="0" fieldPosition="0">
        <references count="1">
          <reference field="4294967294" count="2">
            <x v="0"/>
            <x v="1"/>
          </reference>
        </references>
      </pivotArea>
    </format>
    <format dxfId="36">
      <pivotArea outline="0" collapsedLevelsAreSubtotals="1" fieldPosition="0"/>
    </format>
    <format dxfId="35">
      <pivotArea dataOnly="0" labelOnly="1" outline="0" fieldPosition="0">
        <references count="1">
          <reference field="4294967294" count="2">
            <x v="0"/>
            <x v="1"/>
          </reference>
        </references>
      </pivotArea>
    </format>
    <format dxfId="34">
      <pivotArea field="21" type="button" dataOnly="0" labelOnly="1" outline="0" axis="axisRow" fieldPosition="0"/>
    </format>
    <format dxfId="33">
      <pivotArea dataOnly="0" labelOnly="1" outline="0" fieldPosition="0">
        <references count="1">
          <reference field="4294967294" count="5">
            <x v="0"/>
            <x v="1"/>
            <x v="2"/>
            <x v="3"/>
            <x v="4"/>
          </reference>
        </references>
      </pivotArea>
    </format>
    <format dxfId="32">
      <pivotArea field="21" type="button" dataOnly="0" labelOnly="1" outline="0" axis="axisRow" fieldPosition="0"/>
    </format>
    <format dxfId="31">
      <pivotArea dataOnly="0" labelOnly="1" outline="0" fieldPosition="0">
        <references count="1">
          <reference field="4294967294" count="5">
            <x v="0"/>
            <x v="1"/>
            <x v="2"/>
            <x v="3"/>
            <x v="4"/>
          </reference>
        </references>
      </pivotArea>
    </format>
    <format dxfId="30">
      <pivotArea field="21" type="button" dataOnly="0" labelOnly="1" outline="0" axis="axisRow" fieldPosition="0"/>
    </format>
    <format dxfId="29">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Stratégies par Ministère">
  <location ref="A3:F663" firstHeaderRow="0" firstDataRow="1" firstDataCol="1"/>
  <pivotFields count="25">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items count="23">
        <item x="19"/>
        <item x="20"/>
        <item x="7"/>
        <item x="12"/>
        <item x="13"/>
        <item x="6"/>
        <item x="10"/>
        <item x="1"/>
        <item x="21"/>
        <item x="3"/>
        <item x="8"/>
        <item x="14"/>
        <item x="15"/>
        <item x="2"/>
        <item x="16"/>
        <item x="9"/>
        <item x="5"/>
        <item x="18"/>
        <item x="17"/>
        <item x="11"/>
        <item x="4"/>
        <item h="1" x="0"/>
        <item t="default"/>
      </items>
    </pivotField>
    <pivotField showAll="0"/>
    <pivotField showAll="0"/>
    <pivotField showAll="0"/>
    <pivotField showAll="0"/>
    <pivotField axis="axisRow" showAll="0">
      <items count="6">
        <item x="0"/>
        <item x="4"/>
        <item x="2"/>
        <item x="1"/>
        <item x="3"/>
        <item t="default"/>
      </items>
    </pivotField>
    <pivotField showAll="0"/>
    <pivotField showAll="0"/>
    <pivotField showAll="0"/>
    <pivotField axis="axisRow" showAll="0">
      <items count="498">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8"/>
        <item x="39"/>
        <item x="40"/>
        <item x="37"/>
        <item x="41"/>
        <item x="42"/>
        <item x="43"/>
        <item x="45"/>
        <item x="46"/>
        <item x="47"/>
        <item x="44"/>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0"/>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6"/>
        <item x="175"/>
        <item x="178"/>
        <item x="177"/>
        <item x="179"/>
        <item x="180"/>
        <item x="89"/>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7"/>
        <item x="238"/>
        <item x="236"/>
        <item x="239"/>
        <item x="240"/>
        <item x="241"/>
        <item x="242"/>
        <item x="243"/>
        <item x="244"/>
        <item x="245"/>
        <item x="246"/>
        <item x="247"/>
        <item x="248"/>
        <item x="249"/>
        <item x="251"/>
        <item x="252"/>
        <item x="250"/>
        <item x="253"/>
        <item x="254"/>
        <item x="255"/>
        <item x="256"/>
        <item x="257"/>
        <item x="258"/>
        <item x="259"/>
        <item x="260"/>
        <item x="261"/>
        <item x="262"/>
        <item x="263"/>
        <item x="264"/>
        <item x="181"/>
        <item x="266"/>
        <item x="267"/>
        <item x="291"/>
        <item x="268"/>
        <item x="269"/>
        <item x="270"/>
        <item x="271"/>
        <item x="272"/>
        <item x="273"/>
        <item x="274"/>
        <item x="275"/>
        <item x="276"/>
        <item x="277"/>
        <item x="278"/>
        <item x="279"/>
        <item x="280"/>
        <item x="281"/>
        <item x="282"/>
        <item x="283"/>
        <item x="284"/>
        <item x="285"/>
        <item x="286"/>
        <item x="287"/>
        <item x="288"/>
        <item x="289"/>
        <item x="290"/>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265"/>
        <item x="343"/>
        <item x="344"/>
        <item x="345"/>
        <item x="342"/>
        <item x="347"/>
        <item x="346"/>
        <item x="348"/>
        <item x="349"/>
        <item x="350"/>
        <item x="341"/>
        <item x="353"/>
        <item x="352"/>
        <item x="355"/>
        <item x="356"/>
        <item x="357"/>
        <item x="354"/>
        <item x="351"/>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5"/>
        <item x="406"/>
        <item x="407"/>
        <item x="404"/>
        <item x="408"/>
        <item x="409"/>
        <item x="410"/>
        <item x="411"/>
        <item x="412"/>
        <item x="413"/>
        <item x="414"/>
        <item x="415"/>
        <item x="416"/>
        <item x="417"/>
        <item x="418"/>
        <item x="419"/>
        <item x="420"/>
        <item x="421"/>
        <item x="422"/>
        <item x="423"/>
        <item x="424"/>
        <item x="425"/>
        <item x="426"/>
        <item x="427"/>
        <item x="429"/>
        <item x="430"/>
        <item x="431"/>
        <item x="432"/>
        <item x="433"/>
        <item x="434"/>
        <item x="428"/>
        <item x="435"/>
        <item x="436"/>
        <item x="437"/>
        <item x="438"/>
        <item x="439"/>
        <item x="440"/>
        <item x="441"/>
        <item x="443"/>
        <item x="444"/>
        <item x="442"/>
        <item x="445"/>
        <item x="446"/>
        <item x="447"/>
        <item x="448"/>
        <item x="340"/>
        <item x="451"/>
        <item x="452"/>
        <item x="453"/>
        <item x="454"/>
        <item x="455"/>
        <item x="456"/>
        <item x="457"/>
        <item x="458"/>
        <item x="450"/>
        <item x="459"/>
        <item x="461"/>
        <item x="462"/>
        <item x="460"/>
        <item x="463"/>
        <item x="464"/>
        <item x="465"/>
        <item x="466"/>
        <item x="467"/>
        <item x="468"/>
        <item x="469"/>
        <item x="470"/>
        <item x="471"/>
        <item x="472"/>
        <item x="473"/>
        <item x="474"/>
        <item x="475"/>
        <item x="476"/>
        <item x="477"/>
        <item x="479"/>
        <item x="480"/>
        <item x="478"/>
        <item x="482"/>
        <item x="481"/>
        <item x="483"/>
        <item x="484"/>
        <item x="485"/>
        <item x="486"/>
        <item x="489"/>
        <item x="490"/>
        <item x="491"/>
        <item x="488"/>
        <item x="492"/>
        <item x="493"/>
        <item x="494"/>
        <item x="495"/>
        <item x="496"/>
        <item x="487"/>
        <item x="449"/>
        <item t="default"/>
      </items>
    </pivotField>
    <pivotField showAll="0"/>
  </pivotFields>
  <rowFields count="2">
    <field x="19"/>
    <field x="23"/>
  </rowFields>
  <rowItems count="660">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98"/>
    </i>
    <i r="1">
      <x v="204"/>
    </i>
    <i r="1">
      <x v="340"/>
    </i>
    <i r="1">
      <x v="341"/>
    </i>
    <i r="1">
      <x v="342"/>
    </i>
    <i r="1">
      <x v="344"/>
    </i>
    <i r="1">
      <x v="347"/>
    </i>
    <i r="1">
      <x v="348"/>
    </i>
    <i r="1">
      <x v="350"/>
    </i>
    <i r="1">
      <x v="352"/>
    </i>
    <i r="1">
      <x v="353"/>
    </i>
    <i r="1">
      <x v="354"/>
    </i>
    <i r="1">
      <x v="359"/>
    </i>
    <i r="1">
      <x v="360"/>
    </i>
    <i r="1">
      <x v="361"/>
    </i>
    <i r="1">
      <x v="363"/>
    </i>
    <i r="1">
      <x v="364"/>
    </i>
    <i r="1">
      <x v="365"/>
    </i>
    <i r="1">
      <x v="367"/>
    </i>
    <i r="1">
      <x v="368"/>
    </i>
    <i r="1">
      <x v="370"/>
    </i>
    <i r="1">
      <x v="373"/>
    </i>
    <i r="1">
      <x v="374"/>
    </i>
    <i r="1">
      <x v="377"/>
    </i>
    <i r="1">
      <x v="378"/>
    </i>
    <i r="1">
      <x v="381"/>
    </i>
    <i r="1">
      <x v="382"/>
    </i>
    <i r="1">
      <x v="383"/>
    </i>
    <i r="1">
      <x v="385"/>
    </i>
    <i r="1">
      <x v="386"/>
    </i>
    <i r="1">
      <x v="387"/>
    </i>
    <i r="1">
      <x v="389"/>
    </i>
    <i r="1">
      <x v="390"/>
    </i>
    <i r="1">
      <x v="391"/>
    </i>
    <i r="1">
      <x v="393"/>
    </i>
    <i r="1">
      <x v="394"/>
    </i>
    <i r="1">
      <x v="395"/>
    </i>
    <i r="1">
      <x v="396"/>
    </i>
    <i r="1">
      <x v="398"/>
    </i>
    <i r="1">
      <x v="399"/>
    </i>
    <i r="1">
      <x v="400"/>
    </i>
    <i r="1">
      <x v="401"/>
    </i>
    <i r="1">
      <x v="403"/>
    </i>
    <i r="1">
      <x v="404"/>
    </i>
    <i r="1">
      <x v="405"/>
    </i>
    <i r="1">
      <x v="408"/>
    </i>
    <i r="1">
      <x v="409"/>
    </i>
    <i r="1">
      <x v="410"/>
    </i>
    <i r="1">
      <x v="412"/>
    </i>
    <i r="1">
      <x v="413"/>
    </i>
    <i r="1">
      <x v="414"/>
    </i>
    <i r="1">
      <x v="415"/>
    </i>
    <i r="1">
      <x v="417"/>
    </i>
    <i r="1">
      <x v="418"/>
    </i>
    <i r="1">
      <x v="419"/>
    </i>
    <i r="1">
      <x v="420"/>
    </i>
    <i r="1">
      <x v="421"/>
    </i>
    <i r="1">
      <x v="426"/>
    </i>
    <i r="1">
      <x v="429"/>
    </i>
    <i r="1">
      <x v="430"/>
    </i>
    <i r="1">
      <x v="431"/>
    </i>
    <i r="1">
      <x v="432"/>
    </i>
    <i r="1">
      <x v="434"/>
    </i>
    <i r="1">
      <x v="435"/>
    </i>
    <i r="1">
      <x v="436"/>
    </i>
    <i r="1">
      <x v="437"/>
    </i>
    <i r="1">
      <x v="438"/>
    </i>
    <i r="1">
      <x v="440"/>
    </i>
    <i r="1">
      <x v="441"/>
    </i>
    <i r="1">
      <x v="442"/>
    </i>
    <i r="1">
      <x v="446"/>
    </i>
    <i r="1">
      <x v="447"/>
    </i>
    <i r="1">
      <x v="450"/>
    </i>
    <i r="1">
      <x v="451"/>
    </i>
    <i r="1">
      <x v="452"/>
    </i>
    <i r="1">
      <x v="453"/>
    </i>
    <i r="1">
      <x v="455"/>
    </i>
    <i r="1">
      <x v="456"/>
    </i>
    <i r="1">
      <x v="459"/>
    </i>
    <i r="1">
      <x v="460"/>
    </i>
    <i r="1">
      <x v="464"/>
    </i>
    <i r="1">
      <x v="465"/>
    </i>
    <i r="1">
      <x v="467"/>
    </i>
    <i r="1">
      <x v="472"/>
    </i>
    <i r="1">
      <x v="473"/>
    </i>
    <i r="1">
      <x v="475"/>
    </i>
    <i r="1">
      <x v="476"/>
    </i>
    <i r="1">
      <x v="477"/>
    </i>
    <i r="1">
      <x v="478"/>
    </i>
    <i r="1">
      <x v="479"/>
    </i>
    <i r="1">
      <x v="480"/>
    </i>
    <i r="1">
      <x v="483"/>
    </i>
    <i r="1">
      <x v="484"/>
    </i>
    <i r="1">
      <x v="485"/>
    </i>
    <i r="1">
      <x v="486"/>
    </i>
    <i r="1">
      <x v="487"/>
    </i>
    <i r="1">
      <x v="488"/>
    </i>
    <i r="1">
      <x v="491"/>
    </i>
    <i r="1">
      <x v="492"/>
    </i>
    <i r="1">
      <x v="494"/>
    </i>
    <i>
      <x v="1"/>
    </i>
    <i r="1">
      <x v="373"/>
    </i>
    <i r="1">
      <x v="405"/>
    </i>
    <i r="1">
      <x v="408"/>
    </i>
    <i r="1">
      <x v="409"/>
    </i>
    <i r="1">
      <x v="415"/>
    </i>
    <i r="1">
      <x v="420"/>
    </i>
    <i r="1">
      <x v="424"/>
    </i>
    <i r="1">
      <x v="425"/>
    </i>
    <i>
      <x v="2"/>
    </i>
    <i r="1">
      <x v="92"/>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2"/>
    </i>
    <i r="1">
      <x v="359"/>
    </i>
    <i r="1">
      <x v="361"/>
    </i>
    <i r="1">
      <x v="364"/>
    </i>
    <i r="1">
      <x v="370"/>
    </i>
    <i r="1">
      <x v="374"/>
    </i>
    <i r="1">
      <x v="377"/>
    </i>
    <i r="1">
      <x v="378"/>
    </i>
    <i r="1">
      <x v="400"/>
    </i>
    <i r="1">
      <x v="404"/>
    </i>
    <i r="1">
      <x v="408"/>
    </i>
    <i r="1">
      <x v="410"/>
    </i>
    <i r="1">
      <x v="413"/>
    </i>
    <i r="1">
      <x v="423"/>
    </i>
    <i r="1">
      <x v="430"/>
    </i>
    <i r="1">
      <x v="435"/>
    </i>
    <i r="1">
      <x v="436"/>
    </i>
    <i r="1">
      <x v="469"/>
    </i>
    <i r="1">
      <x v="470"/>
    </i>
    <i>
      <x v="3"/>
    </i>
    <i r="1">
      <x v="23"/>
    </i>
    <i r="1">
      <x v="92"/>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342"/>
    </i>
    <i r="1">
      <x v="359"/>
    </i>
    <i r="1">
      <x v="361"/>
    </i>
    <i r="1">
      <x v="364"/>
    </i>
    <i r="1">
      <x v="370"/>
    </i>
    <i r="1">
      <x v="374"/>
    </i>
    <i r="1">
      <x v="377"/>
    </i>
    <i r="1">
      <x v="378"/>
    </i>
    <i r="1">
      <x v="400"/>
    </i>
    <i r="1">
      <x v="404"/>
    </i>
    <i r="1">
      <x v="408"/>
    </i>
    <i r="1">
      <x v="410"/>
    </i>
    <i r="1">
      <x v="413"/>
    </i>
    <i r="1">
      <x v="420"/>
    </i>
    <i r="1">
      <x v="424"/>
    </i>
    <i r="1">
      <x v="425"/>
    </i>
    <i r="1">
      <x v="426"/>
    </i>
    <i r="1">
      <x v="433"/>
    </i>
    <i r="1">
      <x v="445"/>
    </i>
    <i r="1">
      <x v="469"/>
    </i>
    <i r="1">
      <x v="475"/>
    </i>
    <i>
      <x v="4"/>
    </i>
    <i r="1">
      <x v="63"/>
    </i>
    <i r="1">
      <x v="66"/>
    </i>
    <i r="1">
      <x v="103"/>
    </i>
    <i r="1">
      <x v="104"/>
    </i>
    <i r="1">
      <x v="118"/>
    </i>
    <i r="1">
      <x v="130"/>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t="grand">
      <x/>
    </i>
  </rowItems>
  <colFields count="1">
    <field x="-2"/>
  </colFields>
  <colItems count="5">
    <i>
      <x/>
    </i>
    <i i="1">
      <x v="1"/>
    </i>
    <i i="2">
      <x v="2"/>
    </i>
    <i i="3">
      <x v="3"/>
    </i>
    <i i="4">
      <x v="4"/>
    </i>
  </colItems>
  <dataFields count="5">
    <dataField name=" Montant 2021" fld="9" baseField="0" baseItem="1"/>
    <dataField name=" Montant 2022" fld="10" baseField="0" baseItem="2"/>
    <dataField name=" Montant 2023" fld="11" baseField="0" baseItem="0"/>
    <dataField name=" Montant 2024" fld="12" baseField="0" baseItem="0"/>
    <dataField name=" Montant Total 2021-2024" fld="13" baseField="0" baseItem="0"/>
  </dataFields>
  <formats count="29">
    <format dxfId="28">
      <pivotArea type="all" dataOnly="0" outline="0" fieldPosition="0"/>
    </format>
    <format dxfId="27">
      <pivotArea outline="0" collapsedLevelsAreSubtotals="1" fieldPosition="0"/>
    </format>
    <format dxfId="26">
      <pivotArea field="14" type="button" dataOnly="0" labelOnly="1" outline="0"/>
    </format>
    <format dxfId="25">
      <pivotArea dataOnly="0" labelOnly="1" grandRow="1" outline="0" fieldPosition="0"/>
    </format>
    <format dxfId="24">
      <pivotArea dataOnly="0" labelOnly="1" outline="0" fieldPosition="0">
        <references count="1">
          <reference field="4294967294" count="2">
            <x v="0"/>
            <x v="1"/>
          </reference>
        </references>
      </pivotArea>
    </format>
    <format dxfId="23">
      <pivotArea type="all" dataOnly="0" outline="0" fieldPosition="0"/>
    </format>
    <format dxfId="22">
      <pivotArea outline="0" collapsedLevelsAreSubtotals="1" fieldPosition="0"/>
    </format>
    <format dxfId="21">
      <pivotArea field="19" type="button" dataOnly="0" labelOnly="1" outline="0" axis="axisRow" fieldPosition="0"/>
    </format>
    <format dxfId="20">
      <pivotArea dataOnly="0" labelOnly="1" fieldPosition="0">
        <references count="1">
          <reference field="19" count="0"/>
        </references>
      </pivotArea>
    </format>
    <format dxfId="19">
      <pivotArea dataOnly="0" labelOnly="1" grandRow="1" outline="0" fieldPosition="0"/>
    </format>
    <format dxfId="18">
      <pivotArea dataOnly="0" labelOnly="1" fieldPosition="0">
        <references count="2">
          <reference field="19" count="1" selected="0">
            <x v="0"/>
          </reference>
          <reference field="2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
      <pivotArea dataOnly="0" labelOnly="1" fieldPosition="0">
        <references count="2">
          <reference field="19" count="1" selected="0">
            <x v="0"/>
          </reference>
          <reference field="2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6">
      <pivotArea dataOnly="0" labelOnly="1" fieldPosition="0">
        <references count="2">
          <reference field="19" count="1" selected="0">
            <x v="0"/>
          </reference>
          <reference field="2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5">
      <pivotArea dataOnly="0" labelOnly="1" fieldPosition="0">
        <references count="2">
          <reference field="19" count="1" selected="0">
            <x v="0"/>
          </reference>
          <reference field="23" count="50">
            <x v="150"/>
            <x v="151"/>
            <x v="152"/>
            <x v="153"/>
            <x v="154"/>
            <x v="155"/>
            <x v="156"/>
            <x v="157"/>
            <x v="158"/>
            <x v="159"/>
            <x v="160"/>
            <x v="161"/>
            <x v="162"/>
            <x v="163"/>
            <x v="164"/>
            <x v="165"/>
            <x v="166"/>
            <x v="167"/>
            <x v="168"/>
            <x v="169"/>
            <x v="170"/>
            <x v="171"/>
            <x v="172"/>
            <x v="173"/>
            <x v="174"/>
            <x v="175"/>
            <x v="176"/>
            <x v="177"/>
            <x v="178"/>
            <x v="179"/>
            <x v="180"/>
            <x v="198"/>
            <x v="204"/>
            <x v="340"/>
            <x v="341"/>
            <x v="342"/>
            <x v="344"/>
            <x v="347"/>
            <x v="348"/>
            <x v="350"/>
            <x v="352"/>
            <x v="353"/>
            <x v="354"/>
            <x v="359"/>
            <x v="360"/>
            <x v="361"/>
            <x v="363"/>
            <x v="364"/>
            <x v="365"/>
            <x v="367"/>
          </reference>
        </references>
      </pivotArea>
    </format>
    <format dxfId="14">
      <pivotArea dataOnly="0" labelOnly="1" fieldPosition="0">
        <references count="2">
          <reference field="19" count="1" selected="0">
            <x v="0"/>
          </reference>
          <reference field="23" count="50">
            <x v="368"/>
            <x v="370"/>
            <x v="373"/>
            <x v="374"/>
            <x v="377"/>
            <x v="378"/>
            <x v="381"/>
            <x v="382"/>
            <x v="383"/>
            <x v="385"/>
            <x v="386"/>
            <x v="387"/>
            <x v="389"/>
            <x v="390"/>
            <x v="391"/>
            <x v="393"/>
            <x v="394"/>
            <x v="395"/>
            <x v="396"/>
            <x v="398"/>
            <x v="399"/>
            <x v="400"/>
            <x v="401"/>
            <x v="403"/>
            <x v="404"/>
            <x v="405"/>
            <x v="408"/>
            <x v="409"/>
            <x v="410"/>
            <x v="412"/>
            <x v="413"/>
            <x v="414"/>
            <x v="415"/>
            <x v="417"/>
            <x v="418"/>
            <x v="419"/>
            <x v="420"/>
            <x v="421"/>
            <x v="426"/>
            <x v="429"/>
            <x v="430"/>
            <x v="431"/>
            <x v="432"/>
            <x v="434"/>
            <x v="435"/>
            <x v="436"/>
            <x v="437"/>
            <x v="438"/>
            <x v="440"/>
            <x v="441"/>
          </reference>
        </references>
      </pivotArea>
    </format>
    <format dxfId="13">
      <pivotArea dataOnly="0" labelOnly="1" fieldPosition="0">
        <references count="2">
          <reference field="19" count="1" selected="0">
            <x v="0"/>
          </reference>
          <reference field="23" count="31">
            <x v="442"/>
            <x v="446"/>
            <x v="447"/>
            <x v="450"/>
            <x v="451"/>
            <x v="452"/>
            <x v="453"/>
            <x v="455"/>
            <x v="456"/>
            <x v="459"/>
            <x v="460"/>
            <x v="464"/>
            <x v="465"/>
            <x v="467"/>
            <x v="472"/>
            <x v="473"/>
            <x v="475"/>
            <x v="476"/>
            <x v="477"/>
            <x v="478"/>
            <x v="479"/>
            <x v="480"/>
            <x v="483"/>
            <x v="484"/>
            <x v="485"/>
            <x v="486"/>
            <x v="487"/>
            <x v="488"/>
            <x v="491"/>
            <x v="492"/>
            <x v="494"/>
          </reference>
        </references>
      </pivotArea>
    </format>
    <format dxfId="12">
      <pivotArea dataOnly="0" labelOnly="1" fieldPosition="0">
        <references count="2">
          <reference field="19" count="1" selected="0">
            <x v="1"/>
          </reference>
          <reference field="23" count="8">
            <x v="373"/>
            <x v="405"/>
            <x v="408"/>
            <x v="409"/>
            <x v="415"/>
            <x v="420"/>
            <x v="424"/>
            <x v="425"/>
          </reference>
        </references>
      </pivotArea>
    </format>
    <format dxfId="11">
      <pivotArea dataOnly="0" labelOnly="1" fieldPosition="0">
        <references count="2">
          <reference field="19" count="1" selected="0">
            <x v="2"/>
          </reference>
          <reference field="23" count="50">
            <x v="92"/>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reference>
        </references>
      </pivotArea>
    </format>
    <format dxfId="10">
      <pivotArea dataOnly="0" labelOnly="1" fieldPosition="0">
        <references count="2">
          <reference field="19" count="1" selected="0">
            <x v="2"/>
          </reference>
          <reference field="23" count="45">
            <x v="314"/>
            <x v="315"/>
            <x v="316"/>
            <x v="317"/>
            <x v="318"/>
            <x v="319"/>
            <x v="320"/>
            <x v="321"/>
            <x v="322"/>
            <x v="323"/>
            <x v="324"/>
            <x v="325"/>
            <x v="326"/>
            <x v="327"/>
            <x v="328"/>
            <x v="329"/>
            <x v="330"/>
            <x v="331"/>
            <x v="332"/>
            <x v="333"/>
            <x v="334"/>
            <x v="335"/>
            <x v="336"/>
            <x v="337"/>
            <x v="338"/>
            <x v="339"/>
            <x v="342"/>
            <x v="359"/>
            <x v="361"/>
            <x v="364"/>
            <x v="370"/>
            <x v="374"/>
            <x v="377"/>
            <x v="378"/>
            <x v="400"/>
            <x v="404"/>
            <x v="408"/>
            <x v="410"/>
            <x v="413"/>
            <x v="423"/>
            <x v="430"/>
            <x v="435"/>
            <x v="436"/>
            <x v="469"/>
            <x v="470"/>
          </reference>
        </references>
      </pivotArea>
    </format>
    <format dxfId="9">
      <pivotArea dataOnly="0" labelOnly="1" fieldPosition="0">
        <references count="2">
          <reference field="19" count="1" selected="0">
            <x v="3"/>
          </reference>
          <reference field="23" count="50">
            <x v="23"/>
            <x v="92"/>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reference>
        </references>
      </pivotArea>
    </format>
    <format dxfId="8">
      <pivotArea dataOnly="0" labelOnly="1" fieldPosition="0">
        <references count="2">
          <reference field="19" count="1" selected="0">
            <x v="3"/>
          </reference>
          <reference field="23" count="50">
            <x v="229"/>
            <x v="230"/>
            <x v="231"/>
            <x v="232"/>
            <x v="233"/>
            <x v="234"/>
            <x v="235"/>
            <x v="236"/>
            <x v="237"/>
            <x v="238"/>
            <x v="239"/>
            <x v="240"/>
            <x v="241"/>
            <x v="242"/>
            <x v="243"/>
            <x v="244"/>
            <x v="245"/>
            <x v="246"/>
            <x v="247"/>
            <x v="248"/>
            <x v="249"/>
            <x v="250"/>
            <x v="251"/>
            <x v="252"/>
            <x v="253"/>
            <x v="254"/>
            <x v="255"/>
            <x v="256"/>
            <x v="257"/>
            <x v="258"/>
            <x v="259"/>
            <x v="260"/>
            <x v="261"/>
            <x v="262"/>
            <x v="263"/>
            <x v="264"/>
            <x v="342"/>
            <x v="359"/>
            <x v="361"/>
            <x v="364"/>
            <x v="370"/>
            <x v="374"/>
            <x v="377"/>
            <x v="378"/>
            <x v="400"/>
            <x v="404"/>
            <x v="408"/>
            <x v="410"/>
            <x v="413"/>
            <x v="420"/>
          </reference>
        </references>
      </pivotArea>
    </format>
    <format dxfId="7">
      <pivotArea dataOnly="0" labelOnly="1" fieldPosition="0">
        <references count="2">
          <reference field="19" count="1" selected="0">
            <x v="3"/>
          </reference>
          <reference field="23" count="7">
            <x v="424"/>
            <x v="425"/>
            <x v="426"/>
            <x v="433"/>
            <x v="445"/>
            <x v="469"/>
            <x v="475"/>
          </reference>
        </references>
      </pivotArea>
    </format>
    <format dxfId="6">
      <pivotArea dataOnly="0" labelOnly="1" fieldPosition="0">
        <references count="2">
          <reference field="19" count="1" selected="0">
            <x v="4"/>
          </reference>
          <reference field="23" count="50">
            <x v="63"/>
            <x v="66"/>
            <x v="103"/>
            <x v="104"/>
            <x v="118"/>
            <x v="130"/>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reference>
        </references>
      </pivotArea>
    </format>
    <format dxfId="5">
      <pivotArea dataOnly="0" labelOnly="1" fieldPosition="0">
        <references count="2">
          <reference field="19" count="1" selected="0">
            <x v="4"/>
          </reference>
          <reference field="23" count="50">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reference>
        </references>
      </pivotArea>
    </format>
    <format dxfId="4">
      <pivotArea dataOnly="0" labelOnly="1" fieldPosition="0">
        <references count="2">
          <reference field="19" count="1" selected="0">
            <x v="4"/>
          </reference>
          <reference field="23" count="50">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reference>
        </references>
      </pivotArea>
    </format>
    <format dxfId="3">
      <pivotArea dataOnly="0" labelOnly="1" fieldPosition="0">
        <references count="2">
          <reference field="19" count="1" selected="0">
            <x v="4"/>
          </reference>
          <reference field="23" count="13">
            <x v="484"/>
            <x v="485"/>
            <x v="486"/>
            <x v="487"/>
            <x v="488"/>
            <x v="489"/>
            <x v="490"/>
            <x v="491"/>
            <x v="492"/>
            <x v="493"/>
            <x v="494"/>
            <x v="495"/>
            <x v="496"/>
          </reference>
        </references>
      </pivotArea>
    </format>
    <format dxfId="2">
      <pivotArea dataOnly="0" labelOnly="1" outline="0" fieldPosition="0">
        <references count="1">
          <reference field="4294967294" count="2">
            <x v="0"/>
            <x v="1"/>
          </reference>
        </references>
      </pivotArea>
    </format>
    <format dxfId="1">
      <pivotArea outline="0" collapsedLevelsAreSubtotals="1" fieldPosition="0"/>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255"/>
  <sheetViews>
    <sheetView zoomScale="130" zoomScaleNormal="130" workbookViewId="0">
      <pane ySplit="3" topLeftCell="A4" activePane="bottomLeft" state="frozen"/>
      <selection pane="bottomLeft" activeCell="C4" sqref="C4"/>
    </sheetView>
  </sheetViews>
  <sheetFormatPr baseColWidth="10" defaultColWidth="11.25" defaultRowHeight="16" x14ac:dyDescent="0.8"/>
  <cols>
    <col min="1" max="1" width="9" customWidth="1"/>
    <col min="2" max="2" width="37.625" customWidth="1"/>
    <col min="3" max="3" width="11.25" customWidth="1"/>
    <col min="4" max="4" width="13.375" customWidth="1"/>
    <col min="5" max="5" width="13.125" customWidth="1"/>
    <col min="6" max="6" width="12.25" customWidth="1"/>
    <col min="7" max="7" width="13" customWidth="1"/>
    <col min="8" max="8" width="11" style="242" customWidth="1"/>
    <col min="9" max="9" width="10.75" style="243" customWidth="1"/>
    <col min="10" max="10" width="9.75" style="244" hidden="1" customWidth="1"/>
    <col min="11" max="11" width="19.25" bestFit="1" customWidth="1"/>
    <col min="12" max="14" width="14.625" bestFit="1" customWidth="1"/>
    <col min="257" max="257" width="9" customWidth="1"/>
    <col min="258" max="258" width="37.625" customWidth="1"/>
    <col min="259" max="259" width="11.25" customWidth="1"/>
    <col min="260" max="260" width="14.5" customWidth="1"/>
    <col min="261" max="261" width="13.125" customWidth="1"/>
    <col min="262" max="262" width="14.5" customWidth="1"/>
    <col min="263" max="263" width="13" customWidth="1"/>
    <col min="264" max="264" width="11" customWidth="1"/>
    <col min="265" max="265" width="10.75" customWidth="1"/>
    <col min="266" max="266" width="0" hidden="1" customWidth="1"/>
    <col min="267" max="267" width="19.25" bestFit="1" customWidth="1"/>
    <col min="268" max="270" width="14.625" bestFit="1" customWidth="1"/>
    <col min="513" max="513" width="9" customWidth="1"/>
    <col min="514" max="514" width="37.625" customWidth="1"/>
    <col min="515" max="515" width="11.25" customWidth="1"/>
    <col min="516" max="516" width="14.5" customWidth="1"/>
    <col min="517" max="517" width="13.125" customWidth="1"/>
    <col min="518" max="518" width="14.5" customWidth="1"/>
    <col min="519" max="519" width="13" customWidth="1"/>
    <col min="520" max="520" width="11" customWidth="1"/>
    <col min="521" max="521" width="10.75" customWidth="1"/>
    <col min="522" max="522" width="0" hidden="1" customWidth="1"/>
    <col min="523" max="523" width="19.25" bestFit="1" customWidth="1"/>
    <col min="524" max="526" width="14.625" bestFit="1" customWidth="1"/>
    <col min="769" max="769" width="9" customWidth="1"/>
    <col min="770" max="770" width="37.625" customWidth="1"/>
    <col min="771" max="771" width="11.25" customWidth="1"/>
    <col min="772" max="772" width="14.5" customWidth="1"/>
    <col min="773" max="773" width="13.125" customWidth="1"/>
    <col min="774" max="774" width="14.5" customWidth="1"/>
    <col min="775" max="775" width="13" customWidth="1"/>
    <col min="776" max="776" width="11" customWidth="1"/>
    <col min="777" max="777" width="10.75" customWidth="1"/>
    <col min="778" max="778" width="0" hidden="1" customWidth="1"/>
    <col min="779" max="779" width="19.25" bestFit="1" customWidth="1"/>
    <col min="780" max="782" width="14.625" bestFit="1" customWidth="1"/>
    <col min="1025" max="1025" width="9" customWidth="1"/>
    <col min="1026" max="1026" width="37.625" customWidth="1"/>
    <col min="1027" max="1027" width="11.25" customWidth="1"/>
    <col min="1028" max="1028" width="14.5" customWidth="1"/>
    <col min="1029" max="1029" width="13.125" customWidth="1"/>
    <col min="1030" max="1030" width="14.5" customWidth="1"/>
    <col min="1031" max="1031" width="13" customWidth="1"/>
    <col min="1032" max="1032" width="11" customWidth="1"/>
    <col min="1033" max="1033" width="10.75" customWidth="1"/>
    <col min="1034" max="1034" width="0" hidden="1" customWidth="1"/>
    <col min="1035" max="1035" width="19.25" bestFit="1" customWidth="1"/>
    <col min="1036" max="1038" width="14.625" bestFit="1" customWidth="1"/>
    <col min="1281" max="1281" width="9" customWidth="1"/>
    <col min="1282" max="1282" width="37.625" customWidth="1"/>
    <col min="1283" max="1283" width="11.25" customWidth="1"/>
    <col min="1284" max="1284" width="14.5" customWidth="1"/>
    <col min="1285" max="1285" width="13.125" customWidth="1"/>
    <col min="1286" max="1286" width="14.5" customWidth="1"/>
    <col min="1287" max="1287" width="13" customWidth="1"/>
    <col min="1288" max="1288" width="11" customWidth="1"/>
    <col min="1289" max="1289" width="10.75" customWidth="1"/>
    <col min="1290" max="1290" width="0" hidden="1" customWidth="1"/>
    <col min="1291" max="1291" width="19.25" bestFit="1" customWidth="1"/>
    <col min="1292" max="1294" width="14.625" bestFit="1" customWidth="1"/>
    <col min="1537" max="1537" width="9" customWidth="1"/>
    <col min="1538" max="1538" width="37.625" customWidth="1"/>
    <col min="1539" max="1539" width="11.25" customWidth="1"/>
    <col min="1540" max="1540" width="14.5" customWidth="1"/>
    <col min="1541" max="1541" width="13.125" customWidth="1"/>
    <col min="1542" max="1542" width="14.5" customWidth="1"/>
    <col min="1543" max="1543" width="13" customWidth="1"/>
    <col min="1544" max="1544" width="11" customWidth="1"/>
    <col min="1545" max="1545" width="10.75" customWidth="1"/>
    <col min="1546" max="1546" width="0" hidden="1" customWidth="1"/>
    <col min="1547" max="1547" width="19.25" bestFit="1" customWidth="1"/>
    <col min="1548" max="1550" width="14.625" bestFit="1" customWidth="1"/>
    <col min="1793" max="1793" width="9" customWidth="1"/>
    <col min="1794" max="1794" width="37.625" customWidth="1"/>
    <col min="1795" max="1795" width="11.25" customWidth="1"/>
    <col min="1796" max="1796" width="14.5" customWidth="1"/>
    <col min="1797" max="1797" width="13.125" customWidth="1"/>
    <col min="1798" max="1798" width="14.5" customWidth="1"/>
    <col min="1799" max="1799" width="13" customWidth="1"/>
    <col min="1800" max="1800" width="11" customWidth="1"/>
    <col min="1801" max="1801" width="10.75" customWidth="1"/>
    <col min="1802" max="1802" width="0" hidden="1" customWidth="1"/>
    <col min="1803" max="1803" width="19.25" bestFit="1" customWidth="1"/>
    <col min="1804" max="1806" width="14.625" bestFit="1" customWidth="1"/>
    <col min="2049" max="2049" width="9" customWidth="1"/>
    <col min="2050" max="2050" width="37.625" customWidth="1"/>
    <col min="2051" max="2051" width="11.25" customWidth="1"/>
    <col min="2052" max="2052" width="14.5" customWidth="1"/>
    <col min="2053" max="2053" width="13.125" customWidth="1"/>
    <col min="2054" max="2054" width="14.5" customWidth="1"/>
    <col min="2055" max="2055" width="13" customWidth="1"/>
    <col min="2056" max="2056" width="11" customWidth="1"/>
    <col min="2057" max="2057" width="10.75" customWidth="1"/>
    <col min="2058" max="2058" width="0" hidden="1" customWidth="1"/>
    <col min="2059" max="2059" width="19.25" bestFit="1" customWidth="1"/>
    <col min="2060" max="2062" width="14.625" bestFit="1" customWidth="1"/>
    <col min="2305" max="2305" width="9" customWidth="1"/>
    <col min="2306" max="2306" width="37.625" customWidth="1"/>
    <col min="2307" max="2307" width="11.25" customWidth="1"/>
    <col min="2308" max="2308" width="14.5" customWidth="1"/>
    <col min="2309" max="2309" width="13.125" customWidth="1"/>
    <col min="2310" max="2310" width="14.5" customWidth="1"/>
    <col min="2311" max="2311" width="13" customWidth="1"/>
    <col min="2312" max="2312" width="11" customWidth="1"/>
    <col min="2313" max="2313" width="10.75" customWidth="1"/>
    <col min="2314" max="2314" width="0" hidden="1" customWidth="1"/>
    <col min="2315" max="2315" width="19.25" bestFit="1" customWidth="1"/>
    <col min="2316" max="2318" width="14.625" bestFit="1" customWidth="1"/>
    <col min="2561" max="2561" width="9" customWidth="1"/>
    <col min="2562" max="2562" width="37.625" customWidth="1"/>
    <col min="2563" max="2563" width="11.25" customWidth="1"/>
    <col min="2564" max="2564" width="14.5" customWidth="1"/>
    <col min="2565" max="2565" width="13.125" customWidth="1"/>
    <col min="2566" max="2566" width="14.5" customWidth="1"/>
    <col min="2567" max="2567" width="13" customWidth="1"/>
    <col min="2568" max="2568" width="11" customWidth="1"/>
    <col min="2569" max="2569" width="10.75" customWidth="1"/>
    <col min="2570" max="2570" width="0" hidden="1" customWidth="1"/>
    <col min="2571" max="2571" width="19.25" bestFit="1" customWidth="1"/>
    <col min="2572" max="2574" width="14.625" bestFit="1" customWidth="1"/>
    <col min="2817" max="2817" width="9" customWidth="1"/>
    <col min="2818" max="2818" width="37.625" customWidth="1"/>
    <col min="2819" max="2819" width="11.25" customWidth="1"/>
    <col min="2820" max="2820" width="14.5" customWidth="1"/>
    <col min="2821" max="2821" width="13.125" customWidth="1"/>
    <col min="2822" max="2822" width="14.5" customWidth="1"/>
    <col min="2823" max="2823" width="13" customWidth="1"/>
    <col min="2824" max="2824" width="11" customWidth="1"/>
    <col min="2825" max="2825" width="10.75" customWidth="1"/>
    <col min="2826" max="2826" width="0" hidden="1" customWidth="1"/>
    <col min="2827" max="2827" width="19.25" bestFit="1" customWidth="1"/>
    <col min="2828" max="2830" width="14.625" bestFit="1" customWidth="1"/>
    <col min="3073" max="3073" width="9" customWidth="1"/>
    <col min="3074" max="3074" width="37.625" customWidth="1"/>
    <col min="3075" max="3075" width="11.25" customWidth="1"/>
    <col min="3076" max="3076" width="14.5" customWidth="1"/>
    <col min="3077" max="3077" width="13.125" customWidth="1"/>
    <col min="3078" max="3078" width="14.5" customWidth="1"/>
    <col min="3079" max="3079" width="13" customWidth="1"/>
    <col min="3080" max="3080" width="11" customWidth="1"/>
    <col min="3081" max="3081" width="10.75" customWidth="1"/>
    <col min="3082" max="3082" width="0" hidden="1" customWidth="1"/>
    <col min="3083" max="3083" width="19.25" bestFit="1" customWidth="1"/>
    <col min="3084" max="3086" width="14.625" bestFit="1" customWidth="1"/>
    <col min="3329" max="3329" width="9" customWidth="1"/>
    <col min="3330" max="3330" width="37.625" customWidth="1"/>
    <col min="3331" max="3331" width="11.25" customWidth="1"/>
    <col min="3332" max="3332" width="14.5" customWidth="1"/>
    <col min="3333" max="3333" width="13.125" customWidth="1"/>
    <col min="3334" max="3334" width="14.5" customWidth="1"/>
    <col min="3335" max="3335" width="13" customWidth="1"/>
    <col min="3336" max="3336" width="11" customWidth="1"/>
    <col min="3337" max="3337" width="10.75" customWidth="1"/>
    <col min="3338" max="3338" width="0" hidden="1" customWidth="1"/>
    <col min="3339" max="3339" width="19.25" bestFit="1" customWidth="1"/>
    <col min="3340" max="3342" width="14.625" bestFit="1" customWidth="1"/>
    <col min="3585" max="3585" width="9" customWidth="1"/>
    <col min="3586" max="3586" width="37.625" customWidth="1"/>
    <col min="3587" max="3587" width="11.25" customWidth="1"/>
    <col min="3588" max="3588" width="14.5" customWidth="1"/>
    <col min="3589" max="3589" width="13.125" customWidth="1"/>
    <col min="3590" max="3590" width="14.5" customWidth="1"/>
    <col min="3591" max="3591" width="13" customWidth="1"/>
    <col min="3592" max="3592" width="11" customWidth="1"/>
    <col min="3593" max="3593" width="10.75" customWidth="1"/>
    <col min="3594" max="3594" width="0" hidden="1" customWidth="1"/>
    <col min="3595" max="3595" width="19.25" bestFit="1" customWidth="1"/>
    <col min="3596" max="3598" width="14.625" bestFit="1" customWidth="1"/>
    <col min="3841" max="3841" width="9" customWidth="1"/>
    <col min="3842" max="3842" width="37.625" customWidth="1"/>
    <col min="3843" max="3843" width="11.25" customWidth="1"/>
    <col min="3844" max="3844" width="14.5" customWidth="1"/>
    <col min="3845" max="3845" width="13.125" customWidth="1"/>
    <col min="3846" max="3846" width="14.5" customWidth="1"/>
    <col min="3847" max="3847" width="13" customWidth="1"/>
    <col min="3848" max="3848" width="11" customWidth="1"/>
    <col min="3849" max="3849" width="10.75" customWidth="1"/>
    <col min="3850" max="3850" width="0" hidden="1" customWidth="1"/>
    <col min="3851" max="3851" width="19.25" bestFit="1" customWidth="1"/>
    <col min="3852" max="3854" width="14.625" bestFit="1" customWidth="1"/>
    <col min="4097" max="4097" width="9" customWidth="1"/>
    <col min="4098" max="4098" width="37.625" customWidth="1"/>
    <col min="4099" max="4099" width="11.25" customWidth="1"/>
    <col min="4100" max="4100" width="14.5" customWidth="1"/>
    <col min="4101" max="4101" width="13.125" customWidth="1"/>
    <col min="4102" max="4102" width="14.5" customWidth="1"/>
    <col min="4103" max="4103" width="13" customWidth="1"/>
    <col min="4104" max="4104" width="11" customWidth="1"/>
    <col min="4105" max="4105" width="10.75" customWidth="1"/>
    <col min="4106" max="4106" width="0" hidden="1" customWidth="1"/>
    <col min="4107" max="4107" width="19.25" bestFit="1" customWidth="1"/>
    <col min="4108" max="4110" width="14.625" bestFit="1" customWidth="1"/>
    <col min="4353" max="4353" width="9" customWidth="1"/>
    <col min="4354" max="4354" width="37.625" customWidth="1"/>
    <col min="4355" max="4355" width="11.25" customWidth="1"/>
    <col min="4356" max="4356" width="14.5" customWidth="1"/>
    <col min="4357" max="4357" width="13.125" customWidth="1"/>
    <col min="4358" max="4358" width="14.5" customWidth="1"/>
    <col min="4359" max="4359" width="13" customWidth="1"/>
    <col min="4360" max="4360" width="11" customWidth="1"/>
    <col min="4361" max="4361" width="10.75" customWidth="1"/>
    <col min="4362" max="4362" width="0" hidden="1" customWidth="1"/>
    <col min="4363" max="4363" width="19.25" bestFit="1" customWidth="1"/>
    <col min="4364" max="4366" width="14.625" bestFit="1" customWidth="1"/>
    <col min="4609" max="4609" width="9" customWidth="1"/>
    <col min="4610" max="4610" width="37.625" customWidth="1"/>
    <col min="4611" max="4611" width="11.25" customWidth="1"/>
    <col min="4612" max="4612" width="14.5" customWidth="1"/>
    <col min="4613" max="4613" width="13.125" customWidth="1"/>
    <col min="4614" max="4614" width="14.5" customWidth="1"/>
    <col min="4615" max="4615" width="13" customWidth="1"/>
    <col min="4616" max="4616" width="11" customWidth="1"/>
    <col min="4617" max="4617" width="10.75" customWidth="1"/>
    <col min="4618" max="4618" width="0" hidden="1" customWidth="1"/>
    <col min="4619" max="4619" width="19.25" bestFit="1" customWidth="1"/>
    <col min="4620" max="4622" width="14.625" bestFit="1" customWidth="1"/>
    <col min="4865" max="4865" width="9" customWidth="1"/>
    <col min="4866" max="4866" width="37.625" customWidth="1"/>
    <col min="4867" max="4867" width="11.25" customWidth="1"/>
    <col min="4868" max="4868" width="14.5" customWidth="1"/>
    <col min="4869" max="4869" width="13.125" customWidth="1"/>
    <col min="4870" max="4870" width="14.5" customWidth="1"/>
    <col min="4871" max="4871" width="13" customWidth="1"/>
    <col min="4872" max="4872" width="11" customWidth="1"/>
    <col min="4873" max="4873" width="10.75" customWidth="1"/>
    <col min="4874" max="4874" width="0" hidden="1" customWidth="1"/>
    <col min="4875" max="4875" width="19.25" bestFit="1" customWidth="1"/>
    <col min="4876" max="4878" width="14.625" bestFit="1" customWidth="1"/>
    <col min="5121" max="5121" width="9" customWidth="1"/>
    <col min="5122" max="5122" width="37.625" customWidth="1"/>
    <col min="5123" max="5123" width="11.25" customWidth="1"/>
    <col min="5124" max="5124" width="14.5" customWidth="1"/>
    <col min="5125" max="5125" width="13.125" customWidth="1"/>
    <col min="5126" max="5126" width="14.5" customWidth="1"/>
    <col min="5127" max="5127" width="13" customWidth="1"/>
    <col min="5128" max="5128" width="11" customWidth="1"/>
    <col min="5129" max="5129" width="10.75" customWidth="1"/>
    <col min="5130" max="5130" width="0" hidden="1" customWidth="1"/>
    <col min="5131" max="5131" width="19.25" bestFit="1" customWidth="1"/>
    <col min="5132" max="5134" width="14.625" bestFit="1" customWidth="1"/>
    <col min="5377" max="5377" width="9" customWidth="1"/>
    <col min="5378" max="5378" width="37.625" customWidth="1"/>
    <col min="5379" max="5379" width="11.25" customWidth="1"/>
    <col min="5380" max="5380" width="14.5" customWidth="1"/>
    <col min="5381" max="5381" width="13.125" customWidth="1"/>
    <col min="5382" max="5382" width="14.5" customWidth="1"/>
    <col min="5383" max="5383" width="13" customWidth="1"/>
    <col min="5384" max="5384" width="11" customWidth="1"/>
    <col min="5385" max="5385" width="10.75" customWidth="1"/>
    <col min="5386" max="5386" width="0" hidden="1" customWidth="1"/>
    <col min="5387" max="5387" width="19.25" bestFit="1" customWidth="1"/>
    <col min="5388" max="5390" width="14.625" bestFit="1" customWidth="1"/>
    <col min="5633" max="5633" width="9" customWidth="1"/>
    <col min="5634" max="5634" width="37.625" customWidth="1"/>
    <col min="5635" max="5635" width="11.25" customWidth="1"/>
    <col min="5636" max="5636" width="14.5" customWidth="1"/>
    <col min="5637" max="5637" width="13.125" customWidth="1"/>
    <col min="5638" max="5638" width="14.5" customWidth="1"/>
    <col min="5639" max="5639" width="13" customWidth="1"/>
    <col min="5640" max="5640" width="11" customWidth="1"/>
    <col min="5641" max="5641" width="10.75" customWidth="1"/>
    <col min="5642" max="5642" width="0" hidden="1" customWidth="1"/>
    <col min="5643" max="5643" width="19.25" bestFit="1" customWidth="1"/>
    <col min="5644" max="5646" width="14.625" bestFit="1" customWidth="1"/>
    <col min="5889" max="5889" width="9" customWidth="1"/>
    <col min="5890" max="5890" width="37.625" customWidth="1"/>
    <col min="5891" max="5891" width="11.25" customWidth="1"/>
    <col min="5892" max="5892" width="14.5" customWidth="1"/>
    <col min="5893" max="5893" width="13.125" customWidth="1"/>
    <col min="5894" max="5894" width="14.5" customWidth="1"/>
    <col min="5895" max="5895" width="13" customWidth="1"/>
    <col min="5896" max="5896" width="11" customWidth="1"/>
    <col min="5897" max="5897" width="10.75" customWidth="1"/>
    <col min="5898" max="5898" width="0" hidden="1" customWidth="1"/>
    <col min="5899" max="5899" width="19.25" bestFit="1" customWidth="1"/>
    <col min="5900" max="5902" width="14.625" bestFit="1" customWidth="1"/>
    <col min="6145" max="6145" width="9" customWidth="1"/>
    <col min="6146" max="6146" width="37.625" customWidth="1"/>
    <col min="6147" max="6147" width="11.25" customWidth="1"/>
    <col min="6148" max="6148" width="14.5" customWidth="1"/>
    <col min="6149" max="6149" width="13.125" customWidth="1"/>
    <col min="6150" max="6150" width="14.5" customWidth="1"/>
    <col min="6151" max="6151" width="13" customWidth="1"/>
    <col min="6152" max="6152" width="11" customWidth="1"/>
    <col min="6153" max="6153" width="10.75" customWidth="1"/>
    <col min="6154" max="6154" width="0" hidden="1" customWidth="1"/>
    <col min="6155" max="6155" width="19.25" bestFit="1" customWidth="1"/>
    <col min="6156" max="6158" width="14.625" bestFit="1" customWidth="1"/>
    <col min="6401" max="6401" width="9" customWidth="1"/>
    <col min="6402" max="6402" width="37.625" customWidth="1"/>
    <col min="6403" max="6403" width="11.25" customWidth="1"/>
    <col min="6404" max="6404" width="14.5" customWidth="1"/>
    <col min="6405" max="6405" width="13.125" customWidth="1"/>
    <col min="6406" max="6406" width="14.5" customWidth="1"/>
    <col min="6407" max="6407" width="13" customWidth="1"/>
    <col min="6408" max="6408" width="11" customWidth="1"/>
    <col min="6409" max="6409" width="10.75" customWidth="1"/>
    <col min="6410" max="6410" width="0" hidden="1" customWidth="1"/>
    <col min="6411" max="6411" width="19.25" bestFit="1" customWidth="1"/>
    <col min="6412" max="6414" width="14.625" bestFit="1" customWidth="1"/>
    <col min="6657" max="6657" width="9" customWidth="1"/>
    <col min="6658" max="6658" width="37.625" customWidth="1"/>
    <col min="6659" max="6659" width="11.25" customWidth="1"/>
    <col min="6660" max="6660" width="14.5" customWidth="1"/>
    <col min="6661" max="6661" width="13.125" customWidth="1"/>
    <col min="6662" max="6662" width="14.5" customWidth="1"/>
    <col min="6663" max="6663" width="13" customWidth="1"/>
    <col min="6664" max="6664" width="11" customWidth="1"/>
    <col min="6665" max="6665" width="10.75" customWidth="1"/>
    <col min="6666" max="6666" width="0" hidden="1" customWidth="1"/>
    <col min="6667" max="6667" width="19.25" bestFit="1" customWidth="1"/>
    <col min="6668" max="6670" width="14.625" bestFit="1" customWidth="1"/>
    <col min="6913" max="6913" width="9" customWidth="1"/>
    <col min="6914" max="6914" width="37.625" customWidth="1"/>
    <col min="6915" max="6915" width="11.25" customWidth="1"/>
    <col min="6916" max="6916" width="14.5" customWidth="1"/>
    <col min="6917" max="6917" width="13.125" customWidth="1"/>
    <col min="6918" max="6918" width="14.5" customWidth="1"/>
    <col min="6919" max="6919" width="13" customWidth="1"/>
    <col min="6920" max="6920" width="11" customWidth="1"/>
    <col min="6921" max="6921" width="10.75" customWidth="1"/>
    <col min="6922" max="6922" width="0" hidden="1" customWidth="1"/>
    <col min="6923" max="6923" width="19.25" bestFit="1" customWidth="1"/>
    <col min="6924" max="6926" width="14.625" bestFit="1" customWidth="1"/>
    <col min="7169" max="7169" width="9" customWidth="1"/>
    <col min="7170" max="7170" width="37.625" customWidth="1"/>
    <col min="7171" max="7171" width="11.25" customWidth="1"/>
    <col min="7172" max="7172" width="14.5" customWidth="1"/>
    <col min="7173" max="7173" width="13.125" customWidth="1"/>
    <col min="7174" max="7174" width="14.5" customWidth="1"/>
    <col min="7175" max="7175" width="13" customWidth="1"/>
    <col min="7176" max="7176" width="11" customWidth="1"/>
    <col min="7177" max="7177" width="10.75" customWidth="1"/>
    <col min="7178" max="7178" width="0" hidden="1" customWidth="1"/>
    <col min="7179" max="7179" width="19.25" bestFit="1" customWidth="1"/>
    <col min="7180" max="7182" width="14.625" bestFit="1" customWidth="1"/>
    <col min="7425" max="7425" width="9" customWidth="1"/>
    <col min="7426" max="7426" width="37.625" customWidth="1"/>
    <col min="7427" max="7427" width="11.25" customWidth="1"/>
    <col min="7428" max="7428" width="14.5" customWidth="1"/>
    <col min="7429" max="7429" width="13.125" customWidth="1"/>
    <col min="7430" max="7430" width="14.5" customWidth="1"/>
    <col min="7431" max="7431" width="13" customWidth="1"/>
    <col min="7432" max="7432" width="11" customWidth="1"/>
    <col min="7433" max="7433" width="10.75" customWidth="1"/>
    <col min="7434" max="7434" width="0" hidden="1" customWidth="1"/>
    <col min="7435" max="7435" width="19.25" bestFit="1" customWidth="1"/>
    <col min="7436" max="7438" width="14.625" bestFit="1" customWidth="1"/>
    <col min="7681" max="7681" width="9" customWidth="1"/>
    <col min="7682" max="7682" width="37.625" customWidth="1"/>
    <col min="7683" max="7683" width="11.25" customWidth="1"/>
    <col min="7684" max="7684" width="14.5" customWidth="1"/>
    <col min="7685" max="7685" width="13.125" customWidth="1"/>
    <col min="7686" max="7686" width="14.5" customWidth="1"/>
    <col min="7687" max="7687" width="13" customWidth="1"/>
    <col min="7688" max="7688" width="11" customWidth="1"/>
    <col min="7689" max="7689" width="10.75" customWidth="1"/>
    <col min="7690" max="7690" width="0" hidden="1" customWidth="1"/>
    <col min="7691" max="7691" width="19.25" bestFit="1" customWidth="1"/>
    <col min="7692" max="7694" width="14.625" bestFit="1" customWidth="1"/>
    <col min="7937" max="7937" width="9" customWidth="1"/>
    <col min="7938" max="7938" width="37.625" customWidth="1"/>
    <col min="7939" max="7939" width="11.25" customWidth="1"/>
    <col min="7940" max="7940" width="14.5" customWidth="1"/>
    <col min="7941" max="7941" width="13.125" customWidth="1"/>
    <col min="7942" max="7942" width="14.5" customWidth="1"/>
    <col min="7943" max="7943" width="13" customWidth="1"/>
    <col min="7944" max="7944" width="11" customWidth="1"/>
    <col min="7945" max="7945" width="10.75" customWidth="1"/>
    <col min="7946" max="7946" width="0" hidden="1" customWidth="1"/>
    <col min="7947" max="7947" width="19.25" bestFit="1" customWidth="1"/>
    <col min="7948" max="7950" width="14.625" bestFit="1" customWidth="1"/>
    <col min="8193" max="8193" width="9" customWidth="1"/>
    <col min="8194" max="8194" width="37.625" customWidth="1"/>
    <col min="8195" max="8195" width="11.25" customWidth="1"/>
    <col min="8196" max="8196" width="14.5" customWidth="1"/>
    <col min="8197" max="8197" width="13.125" customWidth="1"/>
    <col min="8198" max="8198" width="14.5" customWidth="1"/>
    <col min="8199" max="8199" width="13" customWidth="1"/>
    <col min="8200" max="8200" width="11" customWidth="1"/>
    <col min="8201" max="8201" width="10.75" customWidth="1"/>
    <col min="8202" max="8202" width="0" hidden="1" customWidth="1"/>
    <col min="8203" max="8203" width="19.25" bestFit="1" customWidth="1"/>
    <col min="8204" max="8206" width="14.625" bestFit="1" customWidth="1"/>
    <col min="8449" max="8449" width="9" customWidth="1"/>
    <col min="8450" max="8450" width="37.625" customWidth="1"/>
    <col min="8451" max="8451" width="11.25" customWidth="1"/>
    <col min="8452" max="8452" width="14.5" customWidth="1"/>
    <col min="8453" max="8453" width="13.125" customWidth="1"/>
    <col min="8454" max="8454" width="14.5" customWidth="1"/>
    <col min="8455" max="8455" width="13" customWidth="1"/>
    <col min="8456" max="8456" width="11" customWidth="1"/>
    <col min="8457" max="8457" width="10.75" customWidth="1"/>
    <col min="8458" max="8458" width="0" hidden="1" customWidth="1"/>
    <col min="8459" max="8459" width="19.25" bestFit="1" customWidth="1"/>
    <col min="8460" max="8462" width="14.625" bestFit="1" customWidth="1"/>
    <col min="8705" max="8705" width="9" customWidth="1"/>
    <col min="8706" max="8706" width="37.625" customWidth="1"/>
    <col min="8707" max="8707" width="11.25" customWidth="1"/>
    <col min="8708" max="8708" width="14.5" customWidth="1"/>
    <col min="8709" max="8709" width="13.125" customWidth="1"/>
    <col min="8710" max="8710" width="14.5" customWidth="1"/>
    <col min="8711" max="8711" width="13" customWidth="1"/>
    <col min="8712" max="8712" width="11" customWidth="1"/>
    <col min="8713" max="8713" width="10.75" customWidth="1"/>
    <col min="8714" max="8714" width="0" hidden="1" customWidth="1"/>
    <col min="8715" max="8715" width="19.25" bestFit="1" customWidth="1"/>
    <col min="8716" max="8718" width="14.625" bestFit="1" customWidth="1"/>
    <col min="8961" max="8961" width="9" customWidth="1"/>
    <col min="8962" max="8962" width="37.625" customWidth="1"/>
    <col min="8963" max="8963" width="11.25" customWidth="1"/>
    <col min="8964" max="8964" width="14.5" customWidth="1"/>
    <col min="8965" max="8965" width="13.125" customWidth="1"/>
    <col min="8966" max="8966" width="14.5" customWidth="1"/>
    <col min="8967" max="8967" width="13" customWidth="1"/>
    <col min="8968" max="8968" width="11" customWidth="1"/>
    <col min="8969" max="8969" width="10.75" customWidth="1"/>
    <col min="8970" max="8970" width="0" hidden="1" customWidth="1"/>
    <col min="8971" max="8971" width="19.25" bestFit="1" customWidth="1"/>
    <col min="8972" max="8974" width="14.625" bestFit="1" customWidth="1"/>
    <col min="9217" max="9217" width="9" customWidth="1"/>
    <col min="9218" max="9218" width="37.625" customWidth="1"/>
    <col min="9219" max="9219" width="11.25" customWidth="1"/>
    <col min="9220" max="9220" width="14.5" customWidth="1"/>
    <col min="9221" max="9221" width="13.125" customWidth="1"/>
    <col min="9222" max="9222" width="14.5" customWidth="1"/>
    <col min="9223" max="9223" width="13" customWidth="1"/>
    <col min="9224" max="9224" width="11" customWidth="1"/>
    <col min="9225" max="9225" width="10.75" customWidth="1"/>
    <col min="9226" max="9226" width="0" hidden="1" customWidth="1"/>
    <col min="9227" max="9227" width="19.25" bestFit="1" customWidth="1"/>
    <col min="9228" max="9230" width="14.625" bestFit="1" customWidth="1"/>
    <col min="9473" max="9473" width="9" customWidth="1"/>
    <col min="9474" max="9474" width="37.625" customWidth="1"/>
    <col min="9475" max="9475" width="11.25" customWidth="1"/>
    <col min="9476" max="9476" width="14.5" customWidth="1"/>
    <col min="9477" max="9477" width="13.125" customWidth="1"/>
    <col min="9478" max="9478" width="14.5" customWidth="1"/>
    <col min="9479" max="9479" width="13" customWidth="1"/>
    <col min="9480" max="9480" width="11" customWidth="1"/>
    <col min="9481" max="9481" width="10.75" customWidth="1"/>
    <col min="9482" max="9482" width="0" hidden="1" customWidth="1"/>
    <col min="9483" max="9483" width="19.25" bestFit="1" customWidth="1"/>
    <col min="9484" max="9486" width="14.625" bestFit="1" customWidth="1"/>
    <col min="9729" max="9729" width="9" customWidth="1"/>
    <col min="9730" max="9730" width="37.625" customWidth="1"/>
    <col min="9731" max="9731" width="11.25" customWidth="1"/>
    <col min="9732" max="9732" width="14.5" customWidth="1"/>
    <col min="9733" max="9733" width="13.125" customWidth="1"/>
    <col min="9734" max="9734" width="14.5" customWidth="1"/>
    <col min="9735" max="9735" width="13" customWidth="1"/>
    <col min="9736" max="9736" width="11" customWidth="1"/>
    <col min="9737" max="9737" width="10.75" customWidth="1"/>
    <col min="9738" max="9738" width="0" hidden="1" customWidth="1"/>
    <col min="9739" max="9739" width="19.25" bestFit="1" customWidth="1"/>
    <col min="9740" max="9742" width="14.625" bestFit="1" customWidth="1"/>
    <col min="9985" max="9985" width="9" customWidth="1"/>
    <col min="9986" max="9986" width="37.625" customWidth="1"/>
    <col min="9987" max="9987" width="11.25" customWidth="1"/>
    <col min="9988" max="9988" width="14.5" customWidth="1"/>
    <col min="9989" max="9989" width="13.125" customWidth="1"/>
    <col min="9990" max="9990" width="14.5" customWidth="1"/>
    <col min="9991" max="9991" width="13" customWidth="1"/>
    <col min="9992" max="9992" width="11" customWidth="1"/>
    <col min="9993" max="9993" width="10.75" customWidth="1"/>
    <col min="9994" max="9994" width="0" hidden="1" customWidth="1"/>
    <col min="9995" max="9995" width="19.25" bestFit="1" customWidth="1"/>
    <col min="9996" max="9998" width="14.625" bestFit="1" customWidth="1"/>
    <col min="10241" max="10241" width="9" customWidth="1"/>
    <col min="10242" max="10242" width="37.625" customWidth="1"/>
    <col min="10243" max="10243" width="11.25" customWidth="1"/>
    <col min="10244" max="10244" width="14.5" customWidth="1"/>
    <col min="10245" max="10245" width="13.125" customWidth="1"/>
    <col min="10246" max="10246" width="14.5" customWidth="1"/>
    <col min="10247" max="10247" width="13" customWidth="1"/>
    <col min="10248" max="10248" width="11" customWidth="1"/>
    <col min="10249" max="10249" width="10.75" customWidth="1"/>
    <col min="10250" max="10250" width="0" hidden="1" customWidth="1"/>
    <col min="10251" max="10251" width="19.25" bestFit="1" customWidth="1"/>
    <col min="10252" max="10254" width="14.625" bestFit="1" customWidth="1"/>
    <col min="10497" max="10497" width="9" customWidth="1"/>
    <col min="10498" max="10498" width="37.625" customWidth="1"/>
    <col min="10499" max="10499" width="11.25" customWidth="1"/>
    <col min="10500" max="10500" width="14.5" customWidth="1"/>
    <col min="10501" max="10501" width="13.125" customWidth="1"/>
    <col min="10502" max="10502" width="14.5" customWidth="1"/>
    <col min="10503" max="10503" width="13" customWidth="1"/>
    <col min="10504" max="10504" width="11" customWidth="1"/>
    <col min="10505" max="10505" width="10.75" customWidth="1"/>
    <col min="10506" max="10506" width="0" hidden="1" customWidth="1"/>
    <col min="10507" max="10507" width="19.25" bestFit="1" customWidth="1"/>
    <col min="10508" max="10510" width="14.625" bestFit="1" customWidth="1"/>
    <col min="10753" max="10753" width="9" customWidth="1"/>
    <col min="10754" max="10754" width="37.625" customWidth="1"/>
    <col min="10755" max="10755" width="11.25" customWidth="1"/>
    <col min="10756" max="10756" width="14.5" customWidth="1"/>
    <col min="10757" max="10757" width="13.125" customWidth="1"/>
    <col min="10758" max="10758" width="14.5" customWidth="1"/>
    <col min="10759" max="10759" width="13" customWidth="1"/>
    <col min="10760" max="10760" width="11" customWidth="1"/>
    <col min="10761" max="10761" width="10.75" customWidth="1"/>
    <col min="10762" max="10762" width="0" hidden="1" customWidth="1"/>
    <col min="10763" max="10763" width="19.25" bestFit="1" customWidth="1"/>
    <col min="10764" max="10766" width="14.625" bestFit="1" customWidth="1"/>
    <col min="11009" max="11009" width="9" customWidth="1"/>
    <col min="11010" max="11010" width="37.625" customWidth="1"/>
    <col min="11011" max="11011" width="11.25" customWidth="1"/>
    <col min="11012" max="11012" width="14.5" customWidth="1"/>
    <col min="11013" max="11013" width="13.125" customWidth="1"/>
    <col min="11014" max="11014" width="14.5" customWidth="1"/>
    <col min="11015" max="11015" width="13" customWidth="1"/>
    <col min="11016" max="11016" width="11" customWidth="1"/>
    <col min="11017" max="11017" width="10.75" customWidth="1"/>
    <col min="11018" max="11018" width="0" hidden="1" customWidth="1"/>
    <col min="11019" max="11019" width="19.25" bestFit="1" customWidth="1"/>
    <col min="11020" max="11022" width="14.625" bestFit="1" customWidth="1"/>
    <col min="11265" max="11265" width="9" customWidth="1"/>
    <col min="11266" max="11266" width="37.625" customWidth="1"/>
    <col min="11267" max="11267" width="11.25" customWidth="1"/>
    <col min="11268" max="11268" width="14.5" customWidth="1"/>
    <col min="11269" max="11269" width="13.125" customWidth="1"/>
    <col min="11270" max="11270" width="14.5" customWidth="1"/>
    <col min="11271" max="11271" width="13" customWidth="1"/>
    <col min="11272" max="11272" width="11" customWidth="1"/>
    <col min="11273" max="11273" width="10.75" customWidth="1"/>
    <col min="11274" max="11274" width="0" hidden="1" customWidth="1"/>
    <col min="11275" max="11275" width="19.25" bestFit="1" customWidth="1"/>
    <col min="11276" max="11278" width="14.625" bestFit="1" customWidth="1"/>
    <col min="11521" max="11521" width="9" customWidth="1"/>
    <col min="11522" max="11522" width="37.625" customWidth="1"/>
    <col min="11523" max="11523" width="11.25" customWidth="1"/>
    <col min="11524" max="11524" width="14.5" customWidth="1"/>
    <col min="11525" max="11525" width="13.125" customWidth="1"/>
    <col min="11526" max="11526" width="14.5" customWidth="1"/>
    <col min="11527" max="11527" width="13" customWidth="1"/>
    <col min="11528" max="11528" width="11" customWidth="1"/>
    <col min="11529" max="11529" width="10.75" customWidth="1"/>
    <col min="11530" max="11530" width="0" hidden="1" customWidth="1"/>
    <col min="11531" max="11531" width="19.25" bestFit="1" customWidth="1"/>
    <col min="11532" max="11534" width="14.625" bestFit="1" customWidth="1"/>
    <col min="11777" max="11777" width="9" customWidth="1"/>
    <col min="11778" max="11778" width="37.625" customWidth="1"/>
    <col min="11779" max="11779" width="11.25" customWidth="1"/>
    <col min="11780" max="11780" width="14.5" customWidth="1"/>
    <col min="11781" max="11781" width="13.125" customWidth="1"/>
    <col min="11782" max="11782" width="14.5" customWidth="1"/>
    <col min="11783" max="11783" width="13" customWidth="1"/>
    <col min="11784" max="11784" width="11" customWidth="1"/>
    <col min="11785" max="11785" width="10.75" customWidth="1"/>
    <col min="11786" max="11786" width="0" hidden="1" customWidth="1"/>
    <col min="11787" max="11787" width="19.25" bestFit="1" customWidth="1"/>
    <col min="11788" max="11790" width="14.625" bestFit="1" customWidth="1"/>
    <col min="12033" max="12033" width="9" customWidth="1"/>
    <col min="12034" max="12034" width="37.625" customWidth="1"/>
    <col min="12035" max="12035" width="11.25" customWidth="1"/>
    <col min="12036" max="12036" width="14.5" customWidth="1"/>
    <col min="12037" max="12037" width="13.125" customWidth="1"/>
    <col min="12038" max="12038" width="14.5" customWidth="1"/>
    <col min="12039" max="12039" width="13" customWidth="1"/>
    <col min="12040" max="12040" width="11" customWidth="1"/>
    <col min="12041" max="12041" width="10.75" customWidth="1"/>
    <col min="12042" max="12042" width="0" hidden="1" customWidth="1"/>
    <col min="12043" max="12043" width="19.25" bestFit="1" customWidth="1"/>
    <col min="12044" max="12046" width="14.625" bestFit="1" customWidth="1"/>
    <col min="12289" max="12289" width="9" customWidth="1"/>
    <col min="12290" max="12290" width="37.625" customWidth="1"/>
    <col min="12291" max="12291" width="11.25" customWidth="1"/>
    <col min="12292" max="12292" width="14.5" customWidth="1"/>
    <col min="12293" max="12293" width="13.125" customWidth="1"/>
    <col min="12294" max="12294" width="14.5" customWidth="1"/>
    <col min="12295" max="12295" width="13" customWidth="1"/>
    <col min="12296" max="12296" width="11" customWidth="1"/>
    <col min="12297" max="12297" width="10.75" customWidth="1"/>
    <col min="12298" max="12298" width="0" hidden="1" customWidth="1"/>
    <col min="12299" max="12299" width="19.25" bestFit="1" customWidth="1"/>
    <col min="12300" max="12302" width="14.625" bestFit="1" customWidth="1"/>
    <col min="12545" max="12545" width="9" customWidth="1"/>
    <col min="12546" max="12546" width="37.625" customWidth="1"/>
    <col min="12547" max="12547" width="11.25" customWidth="1"/>
    <col min="12548" max="12548" width="14.5" customWidth="1"/>
    <col min="12549" max="12549" width="13.125" customWidth="1"/>
    <col min="12550" max="12550" width="14.5" customWidth="1"/>
    <col min="12551" max="12551" width="13" customWidth="1"/>
    <col min="12552" max="12552" width="11" customWidth="1"/>
    <col min="12553" max="12553" width="10.75" customWidth="1"/>
    <col min="12554" max="12554" width="0" hidden="1" customWidth="1"/>
    <col min="12555" max="12555" width="19.25" bestFit="1" customWidth="1"/>
    <col min="12556" max="12558" width="14.625" bestFit="1" customWidth="1"/>
    <col min="12801" max="12801" width="9" customWidth="1"/>
    <col min="12802" max="12802" width="37.625" customWidth="1"/>
    <col min="12803" max="12803" width="11.25" customWidth="1"/>
    <col min="12804" max="12804" width="14.5" customWidth="1"/>
    <col min="12805" max="12805" width="13.125" customWidth="1"/>
    <col min="12806" max="12806" width="14.5" customWidth="1"/>
    <col min="12807" max="12807" width="13" customWidth="1"/>
    <col min="12808" max="12808" width="11" customWidth="1"/>
    <col min="12809" max="12809" width="10.75" customWidth="1"/>
    <col min="12810" max="12810" width="0" hidden="1" customWidth="1"/>
    <col min="12811" max="12811" width="19.25" bestFit="1" customWidth="1"/>
    <col min="12812" max="12814" width="14.625" bestFit="1" customWidth="1"/>
    <col min="13057" max="13057" width="9" customWidth="1"/>
    <col min="13058" max="13058" width="37.625" customWidth="1"/>
    <col min="13059" max="13059" width="11.25" customWidth="1"/>
    <col min="13060" max="13060" width="14.5" customWidth="1"/>
    <col min="13061" max="13061" width="13.125" customWidth="1"/>
    <col min="13062" max="13062" width="14.5" customWidth="1"/>
    <col min="13063" max="13063" width="13" customWidth="1"/>
    <col min="13064" max="13064" width="11" customWidth="1"/>
    <col min="13065" max="13065" width="10.75" customWidth="1"/>
    <col min="13066" max="13066" width="0" hidden="1" customWidth="1"/>
    <col min="13067" max="13067" width="19.25" bestFit="1" customWidth="1"/>
    <col min="13068" max="13070" width="14.625" bestFit="1" customWidth="1"/>
    <col min="13313" max="13313" width="9" customWidth="1"/>
    <col min="13314" max="13314" width="37.625" customWidth="1"/>
    <col min="13315" max="13315" width="11.25" customWidth="1"/>
    <col min="13316" max="13316" width="14.5" customWidth="1"/>
    <col min="13317" max="13317" width="13.125" customWidth="1"/>
    <col min="13318" max="13318" width="14.5" customWidth="1"/>
    <col min="13319" max="13319" width="13" customWidth="1"/>
    <col min="13320" max="13320" width="11" customWidth="1"/>
    <col min="13321" max="13321" width="10.75" customWidth="1"/>
    <col min="13322" max="13322" width="0" hidden="1" customWidth="1"/>
    <col min="13323" max="13323" width="19.25" bestFit="1" customWidth="1"/>
    <col min="13324" max="13326" width="14.625" bestFit="1" customWidth="1"/>
    <col min="13569" max="13569" width="9" customWidth="1"/>
    <col min="13570" max="13570" width="37.625" customWidth="1"/>
    <col min="13571" max="13571" width="11.25" customWidth="1"/>
    <col min="13572" max="13572" width="14.5" customWidth="1"/>
    <col min="13573" max="13573" width="13.125" customWidth="1"/>
    <col min="13574" max="13574" width="14.5" customWidth="1"/>
    <col min="13575" max="13575" width="13" customWidth="1"/>
    <col min="13576" max="13576" width="11" customWidth="1"/>
    <col min="13577" max="13577" width="10.75" customWidth="1"/>
    <col min="13578" max="13578" width="0" hidden="1" customWidth="1"/>
    <col min="13579" max="13579" width="19.25" bestFit="1" customWidth="1"/>
    <col min="13580" max="13582" width="14.625" bestFit="1" customWidth="1"/>
    <col min="13825" max="13825" width="9" customWidth="1"/>
    <col min="13826" max="13826" width="37.625" customWidth="1"/>
    <col min="13827" max="13827" width="11.25" customWidth="1"/>
    <col min="13828" max="13828" width="14.5" customWidth="1"/>
    <col min="13829" max="13829" width="13.125" customWidth="1"/>
    <col min="13830" max="13830" width="14.5" customWidth="1"/>
    <col min="13831" max="13831" width="13" customWidth="1"/>
    <col min="13832" max="13832" width="11" customWidth="1"/>
    <col min="13833" max="13833" width="10.75" customWidth="1"/>
    <col min="13834" max="13834" width="0" hidden="1" customWidth="1"/>
    <col min="13835" max="13835" width="19.25" bestFit="1" customWidth="1"/>
    <col min="13836" max="13838" width="14.625" bestFit="1" customWidth="1"/>
    <col min="14081" max="14081" width="9" customWidth="1"/>
    <col min="14082" max="14082" width="37.625" customWidth="1"/>
    <col min="14083" max="14083" width="11.25" customWidth="1"/>
    <col min="14084" max="14084" width="14.5" customWidth="1"/>
    <col min="14085" max="14085" width="13.125" customWidth="1"/>
    <col min="14086" max="14086" width="14.5" customWidth="1"/>
    <col min="14087" max="14087" width="13" customWidth="1"/>
    <col min="14088" max="14088" width="11" customWidth="1"/>
    <col min="14089" max="14089" width="10.75" customWidth="1"/>
    <col min="14090" max="14090" width="0" hidden="1" customWidth="1"/>
    <col min="14091" max="14091" width="19.25" bestFit="1" customWidth="1"/>
    <col min="14092" max="14094" width="14.625" bestFit="1" customWidth="1"/>
    <col min="14337" max="14337" width="9" customWidth="1"/>
    <col min="14338" max="14338" width="37.625" customWidth="1"/>
    <col min="14339" max="14339" width="11.25" customWidth="1"/>
    <col min="14340" max="14340" width="14.5" customWidth="1"/>
    <col min="14341" max="14341" width="13.125" customWidth="1"/>
    <col min="14342" max="14342" width="14.5" customWidth="1"/>
    <col min="14343" max="14343" width="13" customWidth="1"/>
    <col min="14344" max="14344" width="11" customWidth="1"/>
    <col min="14345" max="14345" width="10.75" customWidth="1"/>
    <col min="14346" max="14346" width="0" hidden="1" customWidth="1"/>
    <col min="14347" max="14347" width="19.25" bestFit="1" customWidth="1"/>
    <col min="14348" max="14350" width="14.625" bestFit="1" customWidth="1"/>
    <col min="14593" max="14593" width="9" customWidth="1"/>
    <col min="14594" max="14594" width="37.625" customWidth="1"/>
    <col min="14595" max="14595" width="11.25" customWidth="1"/>
    <col min="14596" max="14596" width="14.5" customWidth="1"/>
    <col min="14597" max="14597" width="13.125" customWidth="1"/>
    <col min="14598" max="14598" width="14.5" customWidth="1"/>
    <col min="14599" max="14599" width="13" customWidth="1"/>
    <col min="14600" max="14600" width="11" customWidth="1"/>
    <col min="14601" max="14601" width="10.75" customWidth="1"/>
    <col min="14602" max="14602" width="0" hidden="1" customWidth="1"/>
    <col min="14603" max="14603" width="19.25" bestFit="1" customWidth="1"/>
    <col min="14604" max="14606" width="14.625" bestFit="1" customWidth="1"/>
    <col min="14849" max="14849" width="9" customWidth="1"/>
    <col min="14850" max="14850" width="37.625" customWidth="1"/>
    <col min="14851" max="14851" width="11.25" customWidth="1"/>
    <col min="14852" max="14852" width="14.5" customWidth="1"/>
    <col min="14853" max="14853" width="13.125" customWidth="1"/>
    <col min="14854" max="14854" width="14.5" customWidth="1"/>
    <col min="14855" max="14855" width="13" customWidth="1"/>
    <col min="14856" max="14856" width="11" customWidth="1"/>
    <col min="14857" max="14857" width="10.75" customWidth="1"/>
    <col min="14858" max="14858" width="0" hidden="1" customWidth="1"/>
    <col min="14859" max="14859" width="19.25" bestFit="1" customWidth="1"/>
    <col min="14860" max="14862" width="14.625" bestFit="1" customWidth="1"/>
    <col min="15105" max="15105" width="9" customWidth="1"/>
    <col min="15106" max="15106" width="37.625" customWidth="1"/>
    <col min="15107" max="15107" width="11.25" customWidth="1"/>
    <col min="15108" max="15108" width="14.5" customWidth="1"/>
    <col min="15109" max="15109" width="13.125" customWidth="1"/>
    <col min="15110" max="15110" width="14.5" customWidth="1"/>
    <col min="15111" max="15111" width="13" customWidth="1"/>
    <col min="15112" max="15112" width="11" customWidth="1"/>
    <col min="15113" max="15113" width="10.75" customWidth="1"/>
    <col min="15114" max="15114" width="0" hidden="1" customWidth="1"/>
    <col min="15115" max="15115" width="19.25" bestFit="1" customWidth="1"/>
    <col min="15116" max="15118" width="14.625" bestFit="1" customWidth="1"/>
    <col min="15361" max="15361" width="9" customWidth="1"/>
    <col min="15362" max="15362" width="37.625" customWidth="1"/>
    <col min="15363" max="15363" width="11.25" customWidth="1"/>
    <col min="15364" max="15364" width="14.5" customWidth="1"/>
    <col min="15365" max="15365" width="13.125" customWidth="1"/>
    <col min="15366" max="15366" width="14.5" customWidth="1"/>
    <col min="15367" max="15367" width="13" customWidth="1"/>
    <col min="15368" max="15368" width="11" customWidth="1"/>
    <col min="15369" max="15369" width="10.75" customWidth="1"/>
    <col min="15370" max="15370" width="0" hidden="1" customWidth="1"/>
    <col min="15371" max="15371" width="19.25" bestFit="1" customWidth="1"/>
    <col min="15372" max="15374" width="14.625" bestFit="1" customWidth="1"/>
    <col min="15617" max="15617" width="9" customWidth="1"/>
    <col min="15618" max="15618" width="37.625" customWidth="1"/>
    <col min="15619" max="15619" width="11.25" customWidth="1"/>
    <col min="15620" max="15620" width="14.5" customWidth="1"/>
    <col min="15621" max="15621" width="13.125" customWidth="1"/>
    <col min="15622" max="15622" width="14.5" customWidth="1"/>
    <col min="15623" max="15623" width="13" customWidth="1"/>
    <col min="15624" max="15624" width="11" customWidth="1"/>
    <col min="15625" max="15625" width="10.75" customWidth="1"/>
    <col min="15626" max="15626" width="0" hidden="1" customWidth="1"/>
    <col min="15627" max="15627" width="19.25" bestFit="1" customWidth="1"/>
    <col min="15628" max="15630" width="14.625" bestFit="1" customWidth="1"/>
    <col min="15873" max="15873" width="9" customWidth="1"/>
    <col min="15874" max="15874" width="37.625" customWidth="1"/>
    <col min="15875" max="15875" width="11.25" customWidth="1"/>
    <col min="15876" max="15876" width="14.5" customWidth="1"/>
    <col min="15877" max="15877" width="13.125" customWidth="1"/>
    <col min="15878" max="15878" width="14.5" customWidth="1"/>
    <col min="15879" max="15879" width="13" customWidth="1"/>
    <col min="15880" max="15880" width="11" customWidth="1"/>
    <col min="15881" max="15881" width="10.75" customWidth="1"/>
    <col min="15882" max="15882" width="0" hidden="1" customWidth="1"/>
    <col min="15883" max="15883" width="19.25" bestFit="1" customWidth="1"/>
    <col min="15884" max="15886" width="14.625" bestFit="1" customWidth="1"/>
    <col min="16129" max="16129" width="9" customWidth="1"/>
    <col min="16130" max="16130" width="37.625" customWidth="1"/>
    <col min="16131" max="16131" width="11.25" customWidth="1"/>
    <col min="16132" max="16132" width="14.5" customWidth="1"/>
    <col min="16133" max="16133" width="13.125" customWidth="1"/>
    <col min="16134" max="16134" width="14.5" customWidth="1"/>
    <col min="16135" max="16135" width="13" customWidth="1"/>
    <col min="16136" max="16136" width="11" customWidth="1"/>
    <col min="16137" max="16137" width="10.75" customWidth="1"/>
    <col min="16138" max="16138" width="0" hidden="1" customWidth="1"/>
    <col min="16139" max="16139" width="19.25" bestFit="1" customWidth="1"/>
    <col min="16140" max="16142" width="14.625" bestFit="1" customWidth="1"/>
  </cols>
  <sheetData>
    <row r="2" spans="1:11" x14ac:dyDescent="0.8">
      <c r="A2" s="300" t="s">
        <v>3193</v>
      </c>
      <c r="B2" s="302" t="s">
        <v>3194</v>
      </c>
      <c r="C2" s="303" t="s">
        <v>3195</v>
      </c>
      <c r="D2" s="305" t="s">
        <v>3196</v>
      </c>
      <c r="E2" s="305"/>
      <c r="F2" s="305"/>
      <c r="G2" s="305"/>
      <c r="H2" s="305"/>
      <c r="I2" s="110">
        <v>9100</v>
      </c>
      <c r="J2" s="111"/>
      <c r="K2" s="96"/>
    </row>
    <row r="3" spans="1:11" ht="45.4" customHeight="1" x14ac:dyDescent="0.8">
      <c r="A3" s="301"/>
      <c r="B3" s="302"/>
      <c r="C3" s="304"/>
      <c r="D3" s="112" t="s">
        <v>3197</v>
      </c>
      <c r="E3" s="112" t="s">
        <v>3198</v>
      </c>
      <c r="F3" s="112" t="s">
        <v>3199</v>
      </c>
      <c r="G3" s="112" t="s">
        <v>3200</v>
      </c>
      <c r="H3" s="113" t="s">
        <v>3201</v>
      </c>
      <c r="I3" s="114" t="s">
        <v>3202</v>
      </c>
      <c r="J3" s="111" t="s">
        <v>3203</v>
      </c>
      <c r="K3" s="96"/>
    </row>
    <row r="4" spans="1:11" ht="25.5" x14ac:dyDescent="0.8">
      <c r="A4" s="115">
        <v>1</v>
      </c>
      <c r="B4" s="116" t="s">
        <v>3204</v>
      </c>
      <c r="C4" s="117"/>
      <c r="D4" s="118"/>
      <c r="E4" s="118"/>
      <c r="F4" s="118"/>
      <c r="G4" s="118"/>
      <c r="H4" s="119"/>
      <c r="I4" s="118"/>
      <c r="J4" s="111"/>
      <c r="K4" s="96"/>
    </row>
    <row r="5" spans="1:11" ht="25.5" x14ac:dyDescent="0.8">
      <c r="A5" s="117">
        <v>1</v>
      </c>
      <c r="B5" s="120" t="s">
        <v>3205</v>
      </c>
      <c r="C5" s="117" t="s">
        <v>301</v>
      </c>
      <c r="D5" s="118">
        <v>730000</v>
      </c>
      <c r="E5" s="118">
        <v>650000</v>
      </c>
      <c r="F5" s="118"/>
      <c r="G5" s="118">
        <v>650000</v>
      </c>
      <c r="H5" s="119">
        <f>IFERROR(AVERAGE(D5:G5),0)/1000000</f>
        <v>0.67666666666666664</v>
      </c>
      <c r="I5" s="118">
        <f>(H5*1000000)/$I$2</f>
        <v>74.358974358974351</v>
      </c>
      <c r="J5" s="121" t="s">
        <v>3206</v>
      </c>
      <c r="K5" s="96"/>
    </row>
    <row r="6" spans="1:11" ht="25.5" x14ac:dyDescent="0.8">
      <c r="A6" s="117">
        <v>1</v>
      </c>
      <c r="B6" s="120" t="s">
        <v>3207</v>
      </c>
      <c r="C6" s="117" t="s">
        <v>352</v>
      </c>
      <c r="D6" s="118"/>
      <c r="E6" s="118">
        <v>546000</v>
      </c>
      <c r="F6" s="118"/>
      <c r="G6" s="118"/>
      <c r="H6" s="119">
        <f t="shared" ref="H6:H21" si="0">IFERROR(AVERAGE(D6:G6),0)/1000000</f>
        <v>0.54600000000000004</v>
      </c>
      <c r="I6" s="118">
        <f t="shared" ref="I6:I21" si="1">(H6*1000000)/$I$2</f>
        <v>60</v>
      </c>
      <c r="J6" s="121" t="s">
        <v>3206</v>
      </c>
      <c r="K6" s="96"/>
    </row>
    <row r="7" spans="1:11" ht="25.5" x14ac:dyDescent="0.8">
      <c r="A7" s="117">
        <v>1</v>
      </c>
      <c r="B7" s="120" t="s">
        <v>3208</v>
      </c>
      <c r="C7" s="117" t="s">
        <v>52</v>
      </c>
      <c r="D7" s="118"/>
      <c r="E7" s="118">
        <v>1500000</v>
      </c>
      <c r="F7" s="118"/>
      <c r="G7" s="118"/>
      <c r="H7" s="119">
        <f t="shared" si="0"/>
        <v>1.5</v>
      </c>
      <c r="I7" s="118">
        <f t="shared" si="1"/>
        <v>164.83516483516485</v>
      </c>
      <c r="J7" s="121" t="s">
        <v>3206</v>
      </c>
      <c r="K7" s="96"/>
    </row>
    <row r="8" spans="1:11" ht="25.5" x14ac:dyDescent="0.8">
      <c r="A8" s="117">
        <v>1</v>
      </c>
      <c r="B8" s="120" t="s">
        <v>3209</v>
      </c>
      <c r="C8" s="117" t="s">
        <v>506</v>
      </c>
      <c r="D8" s="118"/>
      <c r="E8" s="118">
        <v>450000</v>
      </c>
      <c r="F8" s="118"/>
      <c r="G8" s="118"/>
      <c r="H8" s="119">
        <f t="shared" si="0"/>
        <v>0.45</v>
      </c>
      <c r="I8" s="118">
        <f t="shared" si="1"/>
        <v>49.450549450549453</v>
      </c>
      <c r="J8" s="121" t="s">
        <v>3206</v>
      </c>
      <c r="K8" s="96"/>
    </row>
    <row r="9" spans="1:11" ht="25.5" x14ac:dyDescent="0.8">
      <c r="A9" s="117">
        <v>1</v>
      </c>
      <c r="B9" s="122" t="s">
        <v>3210</v>
      </c>
      <c r="C9" s="117" t="s">
        <v>66</v>
      </c>
      <c r="D9" s="118">
        <v>500000</v>
      </c>
      <c r="E9" s="118">
        <v>500000</v>
      </c>
      <c r="F9" s="118"/>
      <c r="G9" s="118"/>
      <c r="H9" s="119">
        <f t="shared" si="0"/>
        <v>0.5</v>
      </c>
      <c r="I9" s="118">
        <f t="shared" si="1"/>
        <v>54.945054945054942</v>
      </c>
      <c r="J9" s="121" t="s">
        <v>1945</v>
      </c>
      <c r="K9" s="96"/>
    </row>
    <row r="10" spans="1:11" ht="25.5" x14ac:dyDescent="0.8">
      <c r="A10" s="117">
        <v>1</v>
      </c>
      <c r="B10" s="120" t="s">
        <v>3211</v>
      </c>
      <c r="C10" s="117" t="s">
        <v>38</v>
      </c>
      <c r="D10" s="118">
        <v>730000</v>
      </c>
      <c r="E10" s="118">
        <v>210000</v>
      </c>
      <c r="F10" s="118"/>
      <c r="G10" s="118">
        <v>0</v>
      </c>
      <c r="H10" s="119">
        <f t="shared" si="0"/>
        <v>0.3133333333333333</v>
      </c>
      <c r="I10" s="118">
        <f t="shared" si="1"/>
        <v>34.432234432234431</v>
      </c>
      <c r="J10" s="121" t="s">
        <v>3206</v>
      </c>
      <c r="K10" s="96"/>
    </row>
    <row r="11" spans="1:11" x14ac:dyDescent="0.8">
      <c r="A11" s="117">
        <v>1</v>
      </c>
      <c r="B11" s="120" t="s">
        <v>3212</v>
      </c>
      <c r="C11" s="117" t="s">
        <v>59</v>
      </c>
      <c r="D11" s="118">
        <v>720000</v>
      </c>
      <c r="E11" s="118">
        <v>483333.33333333331</v>
      </c>
      <c r="F11" s="118"/>
      <c r="G11" s="118">
        <v>1250000</v>
      </c>
      <c r="H11" s="119">
        <f t="shared" si="0"/>
        <v>0.8177777777777776</v>
      </c>
      <c r="I11" s="118">
        <f t="shared" si="1"/>
        <v>89.865689865689845</v>
      </c>
      <c r="J11" s="121" t="s">
        <v>1945</v>
      </c>
      <c r="K11" s="96"/>
    </row>
    <row r="12" spans="1:11" ht="38.25" x14ac:dyDescent="0.8">
      <c r="A12" s="117">
        <v>1</v>
      </c>
      <c r="B12" s="120" t="s">
        <v>3213</v>
      </c>
      <c r="C12" s="117" t="s">
        <v>1327</v>
      </c>
      <c r="D12" s="123">
        <v>252000000</v>
      </c>
      <c r="E12" s="118"/>
      <c r="F12" s="118"/>
      <c r="G12" s="118"/>
      <c r="H12" s="119">
        <f t="shared" si="0"/>
        <v>252</v>
      </c>
      <c r="I12" s="118">
        <f>(H12*1000000)/$I$2</f>
        <v>27692.307692307691</v>
      </c>
      <c r="J12" s="121" t="s">
        <v>3206</v>
      </c>
      <c r="K12" s="96"/>
    </row>
    <row r="13" spans="1:11" ht="38.25" x14ac:dyDescent="0.8">
      <c r="A13" s="117">
        <v>1</v>
      </c>
      <c r="B13" s="120" t="s">
        <v>3214</v>
      </c>
      <c r="C13" s="117" t="s">
        <v>1068</v>
      </c>
      <c r="D13" s="123">
        <v>95900000</v>
      </c>
      <c r="E13" s="118"/>
      <c r="F13" s="123">
        <v>120000000</v>
      </c>
      <c r="G13" s="118"/>
      <c r="H13" s="119">
        <f t="shared" si="0"/>
        <v>107.95</v>
      </c>
      <c r="I13" s="118">
        <f t="shared" si="1"/>
        <v>11862.637362637362</v>
      </c>
      <c r="J13" s="121" t="s">
        <v>3206</v>
      </c>
      <c r="K13" s="96"/>
    </row>
    <row r="14" spans="1:11" ht="25.5" x14ac:dyDescent="0.8">
      <c r="A14" s="117">
        <v>1</v>
      </c>
      <c r="B14" s="120" t="s">
        <v>3215</v>
      </c>
      <c r="C14" s="117" t="s">
        <v>295</v>
      </c>
      <c r="D14" s="118">
        <v>38115000</v>
      </c>
      <c r="E14" s="118"/>
      <c r="F14" s="123"/>
      <c r="G14" s="118">
        <v>42525000</v>
      </c>
      <c r="H14" s="119">
        <f t="shared" si="0"/>
        <v>40.32</v>
      </c>
      <c r="I14" s="118">
        <f t="shared" si="1"/>
        <v>4430.7692307692305</v>
      </c>
      <c r="J14" s="121" t="s">
        <v>3206</v>
      </c>
      <c r="K14" s="96"/>
    </row>
    <row r="15" spans="1:11" x14ac:dyDescent="0.8">
      <c r="A15" s="117">
        <v>1</v>
      </c>
      <c r="B15" s="120" t="s">
        <v>3216</v>
      </c>
      <c r="C15" s="117" t="s">
        <v>961</v>
      </c>
      <c r="D15" s="118"/>
      <c r="E15" s="118"/>
      <c r="F15" s="123"/>
      <c r="G15" s="118">
        <f>882000000/500</f>
        <v>1764000</v>
      </c>
      <c r="H15" s="119">
        <f t="shared" si="0"/>
        <v>1.764</v>
      </c>
      <c r="I15" s="118">
        <f t="shared" si="1"/>
        <v>193.84615384615384</v>
      </c>
      <c r="J15" s="121" t="s">
        <v>3206</v>
      </c>
      <c r="K15" s="96"/>
    </row>
    <row r="16" spans="1:11" ht="25.5" x14ac:dyDescent="0.8">
      <c r="A16" s="117">
        <v>1</v>
      </c>
      <c r="B16" s="120" t="s">
        <v>3217</v>
      </c>
      <c r="C16" s="117" t="s">
        <v>3218</v>
      </c>
      <c r="D16" s="118"/>
      <c r="E16" s="118"/>
      <c r="F16" s="123"/>
      <c r="G16" s="118">
        <v>41256.107855395763</v>
      </c>
      <c r="H16" s="119">
        <f t="shared" si="0"/>
        <v>4.1256107855395761E-2</v>
      </c>
      <c r="I16" s="118">
        <f t="shared" si="1"/>
        <v>4.5336382258676666</v>
      </c>
      <c r="J16" s="121" t="s">
        <v>3206</v>
      </c>
      <c r="K16" s="96"/>
    </row>
    <row r="17" spans="1:11" x14ac:dyDescent="0.8">
      <c r="A17" s="117">
        <v>1</v>
      </c>
      <c r="B17" s="122" t="s">
        <v>3219</v>
      </c>
      <c r="C17" s="117" t="s">
        <v>501</v>
      </c>
      <c r="D17" s="118"/>
      <c r="E17" s="118"/>
      <c r="F17" s="123"/>
      <c r="G17" s="118">
        <v>50336534</v>
      </c>
      <c r="H17" s="119">
        <f t="shared" si="0"/>
        <v>50.336534</v>
      </c>
      <c r="I17" s="118">
        <f t="shared" si="1"/>
        <v>5531.4872527472526</v>
      </c>
      <c r="J17" s="121" t="s">
        <v>3206</v>
      </c>
      <c r="K17" s="124"/>
    </row>
    <row r="18" spans="1:11" ht="25.5" x14ac:dyDescent="0.8">
      <c r="A18" s="117">
        <v>1</v>
      </c>
      <c r="B18" s="122" t="s">
        <v>3220</v>
      </c>
      <c r="C18" s="125" t="s">
        <v>1788</v>
      </c>
      <c r="D18" s="118"/>
      <c r="E18" s="118"/>
      <c r="F18" s="123">
        <v>100000000</v>
      </c>
      <c r="G18" s="118"/>
      <c r="H18" s="119">
        <f t="shared" si="0"/>
        <v>100</v>
      </c>
      <c r="I18" s="118">
        <f t="shared" si="1"/>
        <v>10989.010989010989</v>
      </c>
      <c r="J18" s="121" t="s">
        <v>3206</v>
      </c>
      <c r="K18" s="124"/>
    </row>
    <row r="19" spans="1:11" ht="25.5" x14ac:dyDescent="0.8">
      <c r="A19" s="117">
        <v>1</v>
      </c>
      <c r="B19" s="122" t="s">
        <v>3221</v>
      </c>
      <c r="C19" s="118" t="s">
        <v>623</v>
      </c>
      <c r="D19" s="118"/>
      <c r="E19" s="118"/>
      <c r="F19" s="118"/>
      <c r="G19" s="118">
        <v>50000</v>
      </c>
      <c r="H19" s="119">
        <f t="shared" si="0"/>
        <v>0.05</v>
      </c>
      <c r="I19" s="118">
        <f t="shared" si="1"/>
        <v>5.4945054945054945</v>
      </c>
      <c r="J19" s="121" t="s">
        <v>1945</v>
      </c>
      <c r="K19" s="126"/>
    </row>
    <row r="20" spans="1:11" ht="25.5" x14ac:dyDescent="0.8">
      <c r="A20" s="117">
        <v>1</v>
      </c>
      <c r="B20" s="122" t="s">
        <v>3222</v>
      </c>
      <c r="C20" s="118" t="s">
        <v>2127</v>
      </c>
      <c r="D20" s="118"/>
      <c r="E20" s="118">
        <v>1006586350</v>
      </c>
      <c r="F20" s="118"/>
      <c r="G20" s="118"/>
      <c r="H20" s="119">
        <f t="shared" si="0"/>
        <v>1006.58635</v>
      </c>
      <c r="I20" s="118">
        <f t="shared" si="1"/>
        <v>110613.88461538461</v>
      </c>
      <c r="J20" s="121" t="s">
        <v>1945</v>
      </c>
      <c r="K20" s="96"/>
    </row>
    <row r="21" spans="1:11" ht="25.5" x14ac:dyDescent="0.8">
      <c r="A21" s="117">
        <v>1</v>
      </c>
      <c r="B21" s="122" t="s">
        <v>3223</v>
      </c>
      <c r="C21" s="118" t="s">
        <v>1760</v>
      </c>
      <c r="D21" s="118"/>
      <c r="E21" s="118"/>
      <c r="F21" s="118">
        <v>57600000</v>
      </c>
      <c r="G21" s="118"/>
      <c r="H21" s="119">
        <f t="shared" si="0"/>
        <v>57.6</v>
      </c>
      <c r="I21" s="118">
        <f t="shared" si="1"/>
        <v>6329.6703296703299</v>
      </c>
      <c r="J21" s="121" t="s">
        <v>1945</v>
      </c>
      <c r="K21" s="96"/>
    </row>
    <row r="22" spans="1:11" x14ac:dyDescent="0.8">
      <c r="A22" s="127">
        <v>2</v>
      </c>
      <c r="B22" s="128" t="s">
        <v>3224</v>
      </c>
      <c r="C22" s="129"/>
      <c r="D22" s="130"/>
      <c r="E22" s="130"/>
      <c r="F22" s="130"/>
      <c r="G22" s="130"/>
      <c r="H22" s="131"/>
      <c r="I22" s="130"/>
      <c r="J22" s="121" t="s">
        <v>1945</v>
      </c>
      <c r="K22" s="96"/>
    </row>
    <row r="23" spans="1:11" ht="38.25" x14ac:dyDescent="0.8">
      <c r="A23" s="132">
        <v>2</v>
      </c>
      <c r="B23" s="133" t="s">
        <v>3225</v>
      </c>
      <c r="C23" s="132" t="s">
        <v>1919</v>
      </c>
      <c r="D23" s="134">
        <v>1500000</v>
      </c>
      <c r="E23" s="134">
        <v>1500000</v>
      </c>
      <c r="F23" s="134"/>
      <c r="G23" s="135"/>
      <c r="H23" s="136">
        <f>IFERROR(AVERAGE(D23:G23),0)/1000000</f>
        <v>1.5</v>
      </c>
      <c r="I23" s="134">
        <f>(H23*1000000)/$I$2</f>
        <v>164.83516483516485</v>
      </c>
      <c r="J23" s="121" t="s">
        <v>1945</v>
      </c>
      <c r="K23" s="96"/>
    </row>
    <row r="24" spans="1:11" ht="38.25" x14ac:dyDescent="0.8">
      <c r="A24" s="132">
        <v>2</v>
      </c>
      <c r="B24" s="133" t="s">
        <v>3226</v>
      </c>
      <c r="C24" s="132" t="s">
        <v>73</v>
      </c>
      <c r="D24" s="134"/>
      <c r="E24" s="134">
        <v>400000</v>
      </c>
      <c r="F24" s="135"/>
      <c r="G24" s="135"/>
      <c r="H24" s="136">
        <f t="shared" ref="H24:H36" si="2">IFERROR(AVERAGE(D24:G24),0)/1000000</f>
        <v>0.4</v>
      </c>
      <c r="I24" s="134">
        <f t="shared" ref="I24:I36" si="3">(H24*1000000)/$I$2</f>
        <v>43.956043956043956</v>
      </c>
      <c r="J24" s="121" t="s">
        <v>1945</v>
      </c>
      <c r="K24" s="96"/>
    </row>
    <row r="25" spans="1:11" ht="25.5" x14ac:dyDescent="0.8">
      <c r="A25" s="132">
        <v>2</v>
      </c>
      <c r="B25" s="133" t="s">
        <v>3227</v>
      </c>
      <c r="C25" s="132" t="s">
        <v>2674</v>
      </c>
      <c r="D25" s="134"/>
      <c r="E25" s="134"/>
      <c r="F25" s="135"/>
      <c r="G25" s="134">
        <v>45936800</v>
      </c>
      <c r="H25" s="136">
        <f t="shared" si="2"/>
        <v>45.936799999999998</v>
      </c>
      <c r="I25" s="134">
        <f t="shared" si="3"/>
        <v>5048</v>
      </c>
      <c r="J25" s="121" t="s">
        <v>1945</v>
      </c>
      <c r="K25" s="96"/>
    </row>
    <row r="26" spans="1:11" ht="25.5" x14ac:dyDescent="0.8">
      <c r="A26" s="132">
        <v>2</v>
      </c>
      <c r="B26" s="133" t="s">
        <v>3228</v>
      </c>
      <c r="C26" s="132" t="s">
        <v>1438</v>
      </c>
      <c r="D26" s="134"/>
      <c r="E26" s="134"/>
      <c r="F26" s="135"/>
      <c r="G26" s="134">
        <f>G25+(E24*4)+(E23*2)</f>
        <v>50536800</v>
      </c>
      <c r="H26" s="136">
        <f t="shared" si="2"/>
        <v>50.536799999999999</v>
      </c>
      <c r="I26" s="134">
        <f t="shared" si="3"/>
        <v>5553.4945054945056</v>
      </c>
      <c r="J26" s="121" t="s">
        <v>1945</v>
      </c>
      <c r="K26" s="96"/>
    </row>
    <row r="27" spans="1:11" ht="63.75" x14ac:dyDescent="0.8">
      <c r="A27" s="132">
        <v>2</v>
      </c>
      <c r="B27" s="133" t="s">
        <v>3229</v>
      </c>
      <c r="C27" s="132" t="s">
        <v>70</v>
      </c>
      <c r="D27" s="134"/>
      <c r="E27" s="134"/>
      <c r="F27" s="135"/>
      <c r="G27" s="134">
        <f>(1150000*9500)*0.6*2/427</f>
        <v>30702576.112412177</v>
      </c>
      <c r="H27" s="136">
        <f t="shared" si="2"/>
        <v>30.702576112412178</v>
      </c>
      <c r="I27" s="134">
        <f t="shared" si="3"/>
        <v>3373.9094629024371</v>
      </c>
      <c r="J27" s="121" t="s">
        <v>1945</v>
      </c>
      <c r="K27" s="96"/>
    </row>
    <row r="28" spans="1:11" ht="38.25" x14ac:dyDescent="0.8">
      <c r="A28" s="137">
        <v>2</v>
      </c>
      <c r="B28" s="138" t="s">
        <v>3230</v>
      </c>
      <c r="C28" s="137" t="s">
        <v>816</v>
      </c>
      <c r="D28" s="130"/>
      <c r="E28" s="130">
        <v>7500</v>
      </c>
      <c r="F28" s="130"/>
      <c r="G28" s="130"/>
      <c r="H28" s="136">
        <f t="shared" si="2"/>
        <v>7.4999999999999997E-3</v>
      </c>
      <c r="I28" s="134">
        <f t="shared" si="3"/>
        <v>0.82417582417582413</v>
      </c>
      <c r="J28" s="121" t="s">
        <v>1945</v>
      </c>
      <c r="K28" s="96"/>
    </row>
    <row r="29" spans="1:11" ht="25.5" x14ac:dyDescent="0.8">
      <c r="A29" s="137">
        <v>2</v>
      </c>
      <c r="B29" s="139" t="s">
        <v>3231</v>
      </c>
      <c r="C29" s="137" t="s">
        <v>2007</v>
      </c>
      <c r="D29" s="130"/>
      <c r="E29" s="130"/>
      <c r="F29" s="130"/>
      <c r="G29" s="130">
        <v>385000</v>
      </c>
      <c r="H29" s="136">
        <f t="shared" si="2"/>
        <v>0.38500000000000001</v>
      </c>
      <c r="I29" s="134">
        <f t="shared" si="3"/>
        <v>42.307692307692307</v>
      </c>
      <c r="J29" s="121" t="s">
        <v>1945</v>
      </c>
      <c r="K29" s="96"/>
    </row>
    <row r="30" spans="1:11" ht="25.5" x14ac:dyDescent="0.8">
      <c r="A30" s="137">
        <v>2</v>
      </c>
      <c r="B30" s="138" t="s">
        <v>3232</v>
      </c>
      <c r="C30" s="137" t="s">
        <v>1994</v>
      </c>
      <c r="D30" s="130"/>
      <c r="E30" s="130"/>
      <c r="F30" s="130">
        <v>40000000</v>
      </c>
      <c r="G30" s="130"/>
      <c r="H30" s="136">
        <f t="shared" si="2"/>
        <v>40</v>
      </c>
      <c r="I30" s="134">
        <f t="shared" si="3"/>
        <v>4395.6043956043959</v>
      </c>
      <c r="J30" s="121" t="s">
        <v>1945</v>
      </c>
      <c r="K30" s="96"/>
    </row>
    <row r="31" spans="1:11" ht="25.5" x14ac:dyDescent="0.8">
      <c r="A31" s="137">
        <v>2</v>
      </c>
      <c r="B31" s="138" t="s">
        <v>3233</v>
      </c>
      <c r="C31" s="137" t="s">
        <v>3234</v>
      </c>
      <c r="D31" s="130"/>
      <c r="E31" s="130"/>
      <c r="F31" s="130">
        <v>180000000</v>
      </c>
      <c r="G31" s="130"/>
      <c r="H31" s="136">
        <f t="shared" si="2"/>
        <v>180</v>
      </c>
      <c r="I31" s="134">
        <f t="shared" si="3"/>
        <v>19780.219780219781</v>
      </c>
      <c r="J31" s="121" t="s">
        <v>1945</v>
      </c>
      <c r="K31" s="96"/>
    </row>
    <row r="32" spans="1:11" ht="25.5" x14ac:dyDescent="0.8">
      <c r="A32" s="137">
        <v>2</v>
      </c>
      <c r="B32" s="138" t="s">
        <v>3235</v>
      </c>
      <c r="C32" s="137" t="s">
        <v>1997</v>
      </c>
      <c r="D32" s="130"/>
      <c r="E32" s="130"/>
      <c r="F32" s="130"/>
      <c r="G32" s="130">
        <v>24000000</v>
      </c>
      <c r="H32" s="136">
        <f t="shared" si="2"/>
        <v>24</v>
      </c>
      <c r="I32" s="134">
        <f t="shared" si="3"/>
        <v>2637.3626373626375</v>
      </c>
      <c r="J32" s="121" t="s">
        <v>1945</v>
      </c>
      <c r="K32" s="96"/>
    </row>
    <row r="33" spans="1:11" x14ac:dyDescent="0.8">
      <c r="A33" s="137">
        <v>3</v>
      </c>
      <c r="B33" s="138" t="s">
        <v>3236</v>
      </c>
      <c r="C33" s="137" t="s">
        <v>3237</v>
      </c>
      <c r="D33" s="130"/>
      <c r="E33" s="130"/>
      <c r="F33" s="130"/>
      <c r="G33" s="130">
        <v>49796365</v>
      </c>
      <c r="H33" s="136">
        <f t="shared" si="2"/>
        <v>49.796365000000002</v>
      </c>
      <c r="I33" s="134">
        <f t="shared" si="3"/>
        <v>5472.1280219780219</v>
      </c>
      <c r="J33" s="121" t="s">
        <v>1945</v>
      </c>
      <c r="K33" s="96"/>
    </row>
    <row r="34" spans="1:11" x14ac:dyDescent="0.8">
      <c r="A34" s="137">
        <v>2</v>
      </c>
      <c r="B34" s="138" t="s">
        <v>3238</v>
      </c>
      <c r="C34" s="137" t="s">
        <v>1992</v>
      </c>
      <c r="D34" s="130"/>
      <c r="E34" s="130">
        <v>525000</v>
      </c>
      <c r="F34" s="130"/>
      <c r="G34" s="130"/>
      <c r="H34" s="136">
        <f t="shared" si="2"/>
        <v>0.52500000000000002</v>
      </c>
      <c r="I34" s="134">
        <f t="shared" si="3"/>
        <v>57.692307692307693</v>
      </c>
      <c r="J34" s="121" t="s">
        <v>1945</v>
      </c>
      <c r="K34" s="96"/>
    </row>
    <row r="35" spans="1:11" x14ac:dyDescent="0.8">
      <c r="A35" s="137">
        <v>2</v>
      </c>
      <c r="B35" s="138" t="s">
        <v>3239</v>
      </c>
      <c r="C35" s="137" t="s">
        <v>1509</v>
      </c>
      <c r="D35" s="130">
        <v>500000</v>
      </c>
      <c r="E35" s="130">
        <v>450000</v>
      </c>
      <c r="F35" s="130">
        <v>500000</v>
      </c>
      <c r="G35" s="130"/>
      <c r="H35" s="136">
        <f t="shared" si="2"/>
        <v>0.48333333333333334</v>
      </c>
      <c r="I35" s="134">
        <f t="shared" si="3"/>
        <v>53.11355311355311</v>
      </c>
      <c r="J35" s="121" t="s">
        <v>1945</v>
      </c>
      <c r="K35" s="96"/>
    </row>
    <row r="36" spans="1:11" x14ac:dyDescent="0.8">
      <c r="A36" s="137">
        <v>2</v>
      </c>
      <c r="B36" s="138" t="s">
        <v>3240</v>
      </c>
      <c r="C36" s="137" t="s">
        <v>2180</v>
      </c>
      <c r="D36" s="130"/>
      <c r="E36" s="130"/>
      <c r="F36" s="130"/>
      <c r="G36" s="130">
        <v>200000</v>
      </c>
      <c r="H36" s="136">
        <f t="shared" si="2"/>
        <v>0.2</v>
      </c>
      <c r="I36" s="134">
        <f t="shared" si="3"/>
        <v>21.978021978021978</v>
      </c>
      <c r="J36" s="121" t="s">
        <v>1945</v>
      </c>
      <c r="K36" s="96"/>
    </row>
    <row r="37" spans="1:11" x14ac:dyDescent="0.8">
      <c r="A37" s="140">
        <v>3</v>
      </c>
      <c r="B37" s="141" t="s">
        <v>3241</v>
      </c>
      <c r="C37" s="142"/>
      <c r="D37" s="143"/>
      <c r="E37" s="143"/>
      <c r="F37" s="143"/>
      <c r="G37" s="143"/>
      <c r="H37" s="144"/>
      <c r="I37" s="143"/>
      <c r="J37" s="121" t="s">
        <v>3242</v>
      </c>
      <c r="K37" s="96"/>
    </row>
    <row r="38" spans="1:11" ht="38.25" x14ac:dyDescent="0.8">
      <c r="A38" s="142">
        <v>3</v>
      </c>
      <c r="B38" s="145" t="s">
        <v>3243</v>
      </c>
      <c r="C38" s="146" t="s">
        <v>1974</v>
      </c>
      <c r="D38" s="143"/>
      <c r="E38" s="143"/>
      <c r="F38" s="143"/>
      <c r="G38" s="143">
        <f>6000*9500</f>
        <v>57000000</v>
      </c>
      <c r="H38" s="144">
        <f>IFERROR(AVERAGE(D38:G38),0)/1000000</f>
        <v>57</v>
      </c>
      <c r="I38" s="147">
        <f>(H38*1000000)/$I$2</f>
        <v>6263.7362637362639</v>
      </c>
      <c r="J38" s="121" t="s">
        <v>3242</v>
      </c>
      <c r="K38" s="96"/>
    </row>
    <row r="39" spans="1:11" ht="25.5" x14ac:dyDescent="0.8">
      <c r="A39" s="142">
        <v>3</v>
      </c>
      <c r="B39" s="148" t="s">
        <v>3244</v>
      </c>
      <c r="C39" s="142" t="s">
        <v>132</v>
      </c>
      <c r="D39" s="143"/>
      <c r="E39" s="143"/>
      <c r="F39" s="143"/>
      <c r="G39" s="143">
        <v>18750000</v>
      </c>
      <c r="H39" s="144">
        <f t="shared" ref="H39:H76" si="4">IFERROR(AVERAGE(D39:G39),0)/1000000</f>
        <v>18.75</v>
      </c>
      <c r="I39" s="147">
        <f t="shared" ref="I39:I76" si="5">(H39*1000000)/$I$2</f>
        <v>2060.4395604395604</v>
      </c>
      <c r="J39" s="121" t="s">
        <v>3242</v>
      </c>
      <c r="K39" s="96"/>
    </row>
    <row r="40" spans="1:11" ht="25.5" x14ac:dyDescent="0.8">
      <c r="A40" s="142">
        <v>3</v>
      </c>
      <c r="B40" s="148" t="s">
        <v>3245</v>
      </c>
      <c r="C40" s="142" t="s">
        <v>107</v>
      </c>
      <c r="D40" s="143"/>
      <c r="E40" s="143"/>
      <c r="F40" s="143"/>
      <c r="G40" s="143">
        <v>31675000</v>
      </c>
      <c r="H40" s="144">
        <f t="shared" si="4"/>
        <v>31.675000000000001</v>
      </c>
      <c r="I40" s="147">
        <f t="shared" si="5"/>
        <v>3480.7692307692309</v>
      </c>
      <c r="J40" s="121" t="s">
        <v>3242</v>
      </c>
      <c r="K40" s="96"/>
    </row>
    <row r="41" spans="1:11" ht="25.5" x14ac:dyDescent="0.8">
      <c r="A41" s="142">
        <v>3</v>
      </c>
      <c r="B41" s="148" t="s">
        <v>3246</v>
      </c>
      <c r="C41" s="142" t="s">
        <v>226</v>
      </c>
      <c r="D41" s="143"/>
      <c r="E41" s="143"/>
      <c r="F41" s="143"/>
      <c r="G41" s="143">
        <v>23333333.333333332</v>
      </c>
      <c r="H41" s="144">
        <f t="shared" si="4"/>
        <v>23.333333333333332</v>
      </c>
      <c r="I41" s="147">
        <f t="shared" si="5"/>
        <v>2564.102564102564</v>
      </c>
      <c r="J41" s="121" t="s">
        <v>3242</v>
      </c>
      <c r="K41" s="96"/>
    </row>
    <row r="42" spans="1:11" ht="25.5" x14ac:dyDescent="0.8">
      <c r="A42" s="142">
        <v>3</v>
      </c>
      <c r="B42" s="148" t="s">
        <v>3247</v>
      </c>
      <c r="C42" s="142" t="s">
        <v>417</v>
      </c>
      <c r="D42" s="143"/>
      <c r="E42" s="143"/>
      <c r="F42" s="143"/>
      <c r="G42" s="143">
        <v>35000000</v>
      </c>
      <c r="H42" s="144">
        <f t="shared" si="4"/>
        <v>35</v>
      </c>
      <c r="I42" s="147">
        <f t="shared" si="5"/>
        <v>3846.1538461538462</v>
      </c>
      <c r="J42" s="121" t="s">
        <v>3242</v>
      </c>
      <c r="K42" s="96"/>
    </row>
    <row r="43" spans="1:11" ht="25.5" x14ac:dyDescent="0.8">
      <c r="A43" s="142">
        <v>3</v>
      </c>
      <c r="B43" s="148" t="s">
        <v>3248</v>
      </c>
      <c r="C43" s="142" t="s">
        <v>540</v>
      </c>
      <c r="D43" s="143"/>
      <c r="E43" s="143"/>
      <c r="F43" s="143"/>
      <c r="G43" s="143">
        <v>45833333.333333336</v>
      </c>
      <c r="H43" s="144">
        <f t="shared" si="4"/>
        <v>45.833333333333336</v>
      </c>
      <c r="I43" s="147">
        <f t="shared" si="5"/>
        <v>5036.6300366300366</v>
      </c>
      <c r="J43" s="121" t="s">
        <v>3242</v>
      </c>
      <c r="K43" s="96"/>
    </row>
    <row r="44" spans="1:11" ht="25.5" x14ac:dyDescent="0.8">
      <c r="A44" s="142">
        <v>3</v>
      </c>
      <c r="B44" s="145" t="s">
        <v>3249</v>
      </c>
      <c r="C44" s="142" t="s">
        <v>608</v>
      </c>
      <c r="D44" s="149"/>
      <c r="E44" s="143">
        <v>39550000</v>
      </c>
      <c r="F44" s="143"/>
      <c r="G44" s="143"/>
      <c r="H44" s="144">
        <f t="shared" si="4"/>
        <v>39.549999999999997</v>
      </c>
      <c r="I44" s="147">
        <f t="shared" si="5"/>
        <v>4346.1538461538457</v>
      </c>
      <c r="J44" s="121" t="s">
        <v>3242</v>
      </c>
      <c r="K44" s="96"/>
    </row>
    <row r="45" spans="1:11" ht="38.25" x14ac:dyDescent="0.8">
      <c r="A45" s="142">
        <v>3</v>
      </c>
      <c r="B45" s="145" t="s">
        <v>3250</v>
      </c>
      <c r="C45" s="146" t="s">
        <v>3251</v>
      </c>
      <c r="D45" s="150">
        <v>12791010</v>
      </c>
      <c r="E45" s="143"/>
      <c r="F45" s="143"/>
      <c r="G45" s="143"/>
      <c r="H45" s="144">
        <f t="shared" si="4"/>
        <v>12.79101</v>
      </c>
      <c r="I45" s="147">
        <f t="shared" si="5"/>
        <v>1405.6054945054946</v>
      </c>
      <c r="J45" s="121" t="s">
        <v>3242</v>
      </c>
      <c r="K45" s="96"/>
    </row>
    <row r="46" spans="1:11" ht="38.25" x14ac:dyDescent="0.8">
      <c r="A46" s="142">
        <v>3</v>
      </c>
      <c r="B46" s="148" t="s">
        <v>3252</v>
      </c>
      <c r="C46" s="142" t="s">
        <v>383</v>
      </c>
      <c r="D46" s="143"/>
      <c r="E46" s="143">
        <v>10012500</v>
      </c>
      <c r="F46" s="143"/>
      <c r="G46" s="143"/>
      <c r="H46" s="144">
        <f t="shared" si="4"/>
        <v>10.012499999999999</v>
      </c>
      <c r="I46" s="147">
        <f t="shared" si="5"/>
        <v>1100.2747252747254</v>
      </c>
      <c r="J46" s="121" t="s">
        <v>3242</v>
      </c>
      <c r="K46" s="96"/>
    </row>
    <row r="47" spans="1:11" ht="25.5" x14ac:dyDescent="0.8">
      <c r="A47" s="142">
        <v>3</v>
      </c>
      <c r="B47" s="145" t="s">
        <v>3253</v>
      </c>
      <c r="C47" s="142" t="s">
        <v>386</v>
      </c>
      <c r="D47" s="142"/>
      <c r="E47" s="143"/>
      <c r="F47" s="143"/>
      <c r="G47" s="143">
        <v>8336331.8181818174</v>
      </c>
      <c r="H47" s="144">
        <f t="shared" si="4"/>
        <v>8.3363318181818169</v>
      </c>
      <c r="I47" s="147">
        <f t="shared" si="5"/>
        <v>916.0804195804194</v>
      </c>
      <c r="J47" s="121" t="s">
        <v>3242</v>
      </c>
      <c r="K47" s="96"/>
    </row>
    <row r="48" spans="1:11" ht="38.25" x14ac:dyDescent="0.8">
      <c r="A48" s="142">
        <v>3</v>
      </c>
      <c r="B48" s="145" t="s">
        <v>3254</v>
      </c>
      <c r="C48" s="142" t="s">
        <v>2598</v>
      </c>
      <c r="D48" s="143"/>
      <c r="E48" s="150">
        <v>45000000</v>
      </c>
      <c r="F48" s="143"/>
      <c r="G48" s="143"/>
      <c r="H48" s="144">
        <f t="shared" si="4"/>
        <v>45</v>
      </c>
      <c r="I48" s="147">
        <f t="shared" si="5"/>
        <v>4945.0549450549452</v>
      </c>
      <c r="J48" s="121" t="s">
        <v>3242</v>
      </c>
      <c r="K48" s="96"/>
    </row>
    <row r="49" spans="1:11" x14ac:dyDescent="0.8">
      <c r="A49" s="142">
        <v>3</v>
      </c>
      <c r="B49" s="148" t="s">
        <v>3255</v>
      </c>
      <c r="C49" s="142" t="s">
        <v>974</v>
      </c>
      <c r="D49" s="143">
        <v>6000000</v>
      </c>
      <c r="E49" s="143">
        <v>6000000</v>
      </c>
      <c r="F49" s="143">
        <v>7000000</v>
      </c>
      <c r="G49" s="143"/>
      <c r="H49" s="144">
        <f t="shared" si="4"/>
        <v>6.333333333333333</v>
      </c>
      <c r="I49" s="147">
        <f t="shared" si="5"/>
        <v>695.97069597069594</v>
      </c>
      <c r="J49" s="121" t="s">
        <v>3242</v>
      </c>
      <c r="K49" s="96"/>
    </row>
    <row r="50" spans="1:11" ht="25.5" x14ac:dyDescent="0.8">
      <c r="A50" s="142">
        <v>3</v>
      </c>
      <c r="B50" s="145" t="s">
        <v>3256</v>
      </c>
      <c r="C50" s="142" t="s">
        <v>1620</v>
      </c>
      <c r="D50" s="143">
        <v>6754804</v>
      </c>
      <c r="E50" s="143">
        <v>15350000</v>
      </c>
      <c r="F50" s="143">
        <v>8000000</v>
      </c>
      <c r="G50" s="143"/>
      <c r="H50" s="144">
        <f t="shared" si="4"/>
        <v>10.034934666666667</v>
      </c>
      <c r="I50" s="147">
        <f t="shared" si="5"/>
        <v>1102.7400732600731</v>
      </c>
      <c r="J50" s="121" t="s">
        <v>3242</v>
      </c>
      <c r="K50" s="96"/>
    </row>
    <row r="51" spans="1:11" ht="25.5" x14ac:dyDescent="0.8">
      <c r="A51" s="142">
        <v>3</v>
      </c>
      <c r="B51" s="145" t="s">
        <v>3257</v>
      </c>
      <c r="C51" s="142" t="s">
        <v>972</v>
      </c>
      <c r="D51" s="143"/>
      <c r="E51" s="143"/>
      <c r="F51" s="143"/>
      <c r="G51" s="143">
        <f>5000000</f>
        <v>5000000</v>
      </c>
      <c r="H51" s="144">
        <f t="shared" si="4"/>
        <v>5</v>
      </c>
      <c r="I51" s="147">
        <f t="shared" si="5"/>
        <v>549.45054945054949</v>
      </c>
      <c r="J51" s="121" t="s">
        <v>3242</v>
      </c>
      <c r="K51" s="96"/>
    </row>
    <row r="52" spans="1:11" x14ac:dyDescent="0.8">
      <c r="A52" s="142">
        <v>3</v>
      </c>
      <c r="B52" s="145" t="s">
        <v>3258</v>
      </c>
      <c r="C52" s="151" t="s">
        <v>2074</v>
      </c>
      <c r="D52" s="143"/>
      <c r="E52" s="143"/>
      <c r="F52" s="143"/>
      <c r="G52" s="143">
        <v>10500000</v>
      </c>
      <c r="H52" s="144">
        <f t="shared" si="4"/>
        <v>10.5</v>
      </c>
      <c r="I52" s="147">
        <f t="shared" si="5"/>
        <v>1153.8461538461538</v>
      </c>
      <c r="J52" s="121" t="s">
        <v>3242</v>
      </c>
      <c r="K52" s="96"/>
    </row>
    <row r="53" spans="1:11" x14ac:dyDescent="0.8">
      <c r="A53" s="142">
        <v>3</v>
      </c>
      <c r="B53" s="148" t="s">
        <v>3259</v>
      </c>
      <c r="C53" s="151" t="s">
        <v>1624</v>
      </c>
      <c r="D53" s="143"/>
      <c r="E53" s="143">
        <v>43000000</v>
      </c>
      <c r="F53" s="150">
        <v>17000000</v>
      </c>
      <c r="G53" s="143"/>
      <c r="H53" s="144">
        <f t="shared" si="4"/>
        <v>30</v>
      </c>
      <c r="I53" s="147">
        <f t="shared" si="5"/>
        <v>3296.7032967032969</v>
      </c>
      <c r="J53" s="121" t="s">
        <v>3242</v>
      </c>
      <c r="K53" s="96"/>
    </row>
    <row r="54" spans="1:11" x14ac:dyDescent="0.8">
      <c r="A54" s="142">
        <v>3</v>
      </c>
      <c r="B54" s="145" t="s">
        <v>3260</v>
      </c>
      <c r="C54" s="151" t="s">
        <v>1636</v>
      </c>
      <c r="D54" s="152"/>
      <c r="E54" s="152">
        <v>3000000</v>
      </c>
      <c r="F54" s="152"/>
      <c r="G54" s="152"/>
      <c r="H54" s="144">
        <f t="shared" si="4"/>
        <v>3</v>
      </c>
      <c r="I54" s="147">
        <f t="shared" si="5"/>
        <v>329.67032967032969</v>
      </c>
      <c r="J54" s="121" t="s">
        <v>3242</v>
      </c>
      <c r="K54" s="96"/>
    </row>
    <row r="55" spans="1:11" ht="25.5" x14ac:dyDescent="0.8">
      <c r="A55" s="142">
        <v>3</v>
      </c>
      <c r="B55" s="145" t="s">
        <v>3261</v>
      </c>
      <c r="C55" s="151" t="s">
        <v>3262</v>
      </c>
      <c r="D55" s="152">
        <v>1200000</v>
      </c>
      <c r="E55" s="152"/>
      <c r="F55" s="152"/>
      <c r="G55" s="152"/>
      <c r="H55" s="144">
        <f t="shared" si="4"/>
        <v>1.2</v>
      </c>
      <c r="I55" s="147">
        <f t="shared" si="5"/>
        <v>131.86813186813185</v>
      </c>
      <c r="J55" s="121" t="s">
        <v>3242</v>
      </c>
      <c r="K55" s="96"/>
    </row>
    <row r="56" spans="1:11" x14ac:dyDescent="0.8">
      <c r="A56" s="142">
        <v>3</v>
      </c>
      <c r="B56" s="148" t="s">
        <v>3263</v>
      </c>
      <c r="C56" s="151" t="s">
        <v>3264</v>
      </c>
      <c r="D56" s="152">
        <v>7600000</v>
      </c>
      <c r="E56" s="152">
        <v>7000000</v>
      </c>
      <c r="F56" s="152"/>
      <c r="G56" s="152"/>
      <c r="H56" s="144">
        <f t="shared" si="4"/>
        <v>7.3</v>
      </c>
      <c r="I56" s="147">
        <f t="shared" si="5"/>
        <v>802.19780219780216</v>
      </c>
      <c r="J56" s="121" t="s">
        <v>3242</v>
      </c>
      <c r="K56" s="96"/>
    </row>
    <row r="57" spans="1:11" x14ac:dyDescent="0.8">
      <c r="A57" s="142">
        <v>4</v>
      </c>
      <c r="B57" s="148" t="s">
        <v>3265</v>
      </c>
      <c r="C57" s="151" t="s">
        <v>1827</v>
      </c>
      <c r="D57" s="152"/>
      <c r="E57" s="152"/>
      <c r="F57" s="152"/>
      <c r="G57" s="152">
        <f>500*10500</f>
        <v>5250000</v>
      </c>
      <c r="H57" s="144">
        <f t="shared" si="4"/>
        <v>5.25</v>
      </c>
      <c r="I57" s="147">
        <f t="shared" si="5"/>
        <v>576.92307692307691</v>
      </c>
      <c r="J57" s="121" t="s">
        <v>3242</v>
      </c>
      <c r="K57" s="96"/>
    </row>
    <row r="58" spans="1:11" ht="38.25" x14ac:dyDescent="0.8">
      <c r="A58" s="142">
        <v>3</v>
      </c>
      <c r="B58" s="148" t="s">
        <v>3266</v>
      </c>
      <c r="C58" s="151" t="s">
        <v>1009</v>
      </c>
      <c r="D58" s="152"/>
      <c r="E58" s="152"/>
      <c r="F58" s="152"/>
      <c r="G58" s="152">
        <v>58400000</v>
      </c>
      <c r="H58" s="144">
        <f t="shared" si="4"/>
        <v>58.4</v>
      </c>
      <c r="I58" s="147">
        <f t="shared" si="5"/>
        <v>6417.5824175824173</v>
      </c>
      <c r="J58" s="121" t="s">
        <v>3242</v>
      </c>
      <c r="K58" s="96"/>
    </row>
    <row r="59" spans="1:11" ht="25.5" x14ac:dyDescent="0.8">
      <c r="A59" s="142">
        <v>3</v>
      </c>
      <c r="B59" s="148" t="s">
        <v>3267</v>
      </c>
      <c r="C59" s="151" t="s">
        <v>1308</v>
      </c>
      <c r="D59" s="153">
        <v>16391000000</v>
      </c>
      <c r="E59" s="152"/>
      <c r="F59" s="152"/>
      <c r="G59" s="152"/>
      <c r="H59" s="144">
        <f t="shared" si="4"/>
        <v>16391</v>
      </c>
      <c r="I59" s="147">
        <f t="shared" si="5"/>
        <v>1801208.7912087913</v>
      </c>
      <c r="J59" s="121" t="s">
        <v>3242</v>
      </c>
      <c r="K59" s="96"/>
    </row>
    <row r="60" spans="1:11" x14ac:dyDescent="0.8">
      <c r="A60" s="142">
        <v>3</v>
      </c>
      <c r="B60" s="145" t="s">
        <v>3268</v>
      </c>
      <c r="C60" s="151" t="s">
        <v>3269</v>
      </c>
      <c r="D60" s="152">
        <v>645370050</v>
      </c>
      <c r="E60" s="152"/>
      <c r="F60" s="152"/>
      <c r="G60" s="152"/>
      <c r="H60" s="144">
        <f t="shared" si="4"/>
        <v>645.37004999999999</v>
      </c>
      <c r="I60" s="147">
        <f t="shared" si="5"/>
        <v>70919.78571428571</v>
      </c>
      <c r="J60" s="121" t="s">
        <v>3242</v>
      </c>
      <c r="K60" s="96"/>
    </row>
    <row r="61" spans="1:11" ht="25.5" x14ac:dyDescent="0.8">
      <c r="A61" s="142">
        <v>3</v>
      </c>
      <c r="B61" s="148" t="s">
        <v>3270</v>
      </c>
      <c r="C61" s="151" t="s">
        <v>1289</v>
      </c>
      <c r="D61" s="150">
        <f>1880585*9500</f>
        <v>17865557500</v>
      </c>
      <c r="E61" s="152"/>
      <c r="F61" s="152"/>
      <c r="G61" s="152"/>
      <c r="H61" s="144">
        <f t="shared" si="4"/>
        <v>17865.557499999999</v>
      </c>
      <c r="I61" s="147">
        <f t="shared" si="5"/>
        <v>1963248.076923077</v>
      </c>
      <c r="J61" s="121" t="s">
        <v>3242</v>
      </c>
      <c r="K61" s="96"/>
    </row>
    <row r="62" spans="1:11" x14ac:dyDescent="0.8">
      <c r="A62" s="142">
        <v>3</v>
      </c>
      <c r="B62" s="148" t="s">
        <v>3271</v>
      </c>
      <c r="C62" s="151" t="s">
        <v>1224</v>
      </c>
      <c r="D62" s="152">
        <v>645370050</v>
      </c>
      <c r="E62" s="152"/>
      <c r="F62" s="152"/>
      <c r="G62" s="152"/>
      <c r="H62" s="144">
        <f t="shared" si="4"/>
        <v>645.37004999999999</v>
      </c>
      <c r="I62" s="147">
        <f t="shared" si="5"/>
        <v>70919.78571428571</v>
      </c>
      <c r="J62" s="121" t="s">
        <v>3242</v>
      </c>
      <c r="K62" s="96"/>
    </row>
    <row r="63" spans="1:11" ht="51" x14ac:dyDescent="0.8">
      <c r="A63" s="142"/>
      <c r="B63" s="148" t="s">
        <v>3272</v>
      </c>
      <c r="C63" s="151" t="s">
        <v>1314</v>
      </c>
      <c r="D63" s="152"/>
      <c r="E63" s="152"/>
      <c r="F63" s="152"/>
      <c r="G63" s="152">
        <f>(8000000+550000)*10500</f>
        <v>89775000000</v>
      </c>
      <c r="H63" s="144">
        <f t="shared" si="4"/>
        <v>89775</v>
      </c>
      <c r="I63" s="147">
        <f t="shared" si="5"/>
        <v>9865384.615384616</v>
      </c>
      <c r="J63" s="121" t="s">
        <v>3242</v>
      </c>
      <c r="K63" s="96"/>
    </row>
    <row r="64" spans="1:11" ht="25.5" x14ac:dyDescent="0.8">
      <c r="A64" s="142">
        <v>3</v>
      </c>
      <c r="B64" s="145" t="s">
        <v>3273</v>
      </c>
      <c r="C64" s="146" t="s">
        <v>1818</v>
      </c>
      <c r="D64" s="154">
        <v>400000000</v>
      </c>
      <c r="E64" s="154"/>
      <c r="F64" s="154">
        <v>400000000</v>
      </c>
      <c r="G64" s="152"/>
      <c r="H64" s="144">
        <f t="shared" si="4"/>
        <v>400</v>
      </c>
      <c r="I64" s="147">
        <f t="shared" si="5"/>
        <v>43956.043956043955</v>
      </c>
      <c r="J64" s="121" t="s">
        <v>3242</v>
      </c>
      <c r="K64" s="96"/>
    </row>
    <row r="65" spans="1:11" ht="25.5" x14ac:dyDescent="0.8">
      <c r="A65" s="142">
        <v>3</v>
      </c>
      <c r="B65" s="145" t="s">
        <v>3274</v>
      </c>
      <c r="C65" s="146" t="s">
        <v>1240</v>
      </c>
      <c r="D65" s="150">
        <v>100000000</v>
      </c>
      <c r="E65" s="143"/>
      <c r="F65" s="143"/>
      <c r="G65" s="143"/>
      <c r="H65" s="144">
        <f t="shared" si="4"/>
        <v>100</v>
      </c>
      <c r="I65" s="147">
        <f t="shared" si="5"/>
        <v>10989.010989010989</v>
      </c>
      <c r="J65" s="121" t="s">
        <v>3242</v>
      </c>
      <c r="K65" s="96"/>
    </row>
    <row r="66" spans="1:11" ht="25.5" x14ac:dyDescent="0.8">
      <c r="A66" s="142">
        <v>3</v>
      </c>
      <c r="B66" s="145" t="s">
        <v>3275</v>
      </c>
      <c r="C66" s="146" t="s">
        <v>1242</v>
      </c>
      <c r="D66" s="150">
        <v>60000000</v>
      </c>
      <c r="E66" s="143"/>
      <c r="F66" s="143"/>
      <c r="G66" s="143"/>
      <c r="H66" s="144">
        <f t="shared" si="4"/>
        <v>60</v>
      </c>
      <c r="I66" s="147">
        <f t="shared" si="5"/>
        <v>6593.4065934065939</v>
      </c>
      <c r="J66" s="121" t="s">
        <v>3242</v>
      </c>
      <c r="K66" s="96"/>
    </row>
    <row r="67" spans="1:11" ht="51" x14ac:dyDescent="0.8">
      <c r="A67" s="142">
        <v>3</v>
      </c>
      <c r="B67" s="145" t="s">
        <v>3276</v>
      </c>
      <c r="C67" s="142" t="s">
        <v>977</v>
      </c>
      <c r="D67" s="149"/>
      <c r="E67" s="143"/>
      <c r="F67" s="143"/>
      <c r="G67" s="143">
        <v>241200000</v>
      </c>
      <c r="H67" s="144">
        <f t="shared" si="4"/>
        <v>241.2</v>
      </c>
      <c r="I67" s="147">
        <f t="shared" si="5"/>
        <v>26505.494505494506</v>
      </c>
      <c r="J67" s="121" t="s">
        <v>3242</v>
      </c>
      <c r="K67" s="96"/>
    </row>
    <row r="68" spans="1:11" ht="25.5" x14ac:dyDescent="0.8">
      <c r="A68" s="142">
        <v>3</v>
      </c>
      <c r="B68" s="145" t="s">
        <v>3277</v>
      </c>
      <c r="C68" s="142" t="s">
        <v>3278</v>
      </c>
      <c r="D68" s="143">
        <v>2718937515</v>
      </c>
      <c r="E68" s="143"/>
      <c r="F68" s="143"/>
      <c r="G68" s="143"/>
      <c r="H68" s="144">
        <f>IFERROR(AVERAGE(D68:G68),0)/1000000</f>
        <v>2718.9375150000001</v>
      </c>
      <c r="I68" s="147">
        <f>(H68*1000000)/$I$2</f>
        <v>298784.34230769234</v>
      </c>
      <c r="J68" s="121" t="s">
        <v>3242</v>
      </c>
      <c r="K68" s="96"/>
    </row>
    <row r="69" spans="1:11" ht="25.5" x14ac:dyDescent="0.8">
      <c r="A69" s="142">
        <v>3</v>
      </c>
      <c r="B69" s="145" t="s">
        <v>3279</v>
      </c>
      <c r="C69" s="142" t="s">
        <v>1316</v>
      </c>
      <c r="D69" s="143">
        <f>650000*9500</f>
        <v>6175000000</v>
      </c>
      <c r="E69" s="143"/>
      <c r="F69" s="143"/>
      <c r="G69" s="143"/>
      <c r="H69" s="144">
        <f t="shared" si="4"/>
        <v>6175</v>
      </c>
      <c r="I69" s="147">
        <f t="shared" si="5"/>
        <v>678571.42857142852</v>
      </c>
      <c r="J69" s="121" t="s">
        <v>3242</v>
      </c>
      <c r="K69" s="96"/>
    </row>
    <row r="70" spans="1:11" x14ac:dyDescent="0.8">
      <c r="A70" s="142">
        <v>3</v>
      </c>
      <c r="B70" s="145" t="s">
        <v>3280</v>
      </c>
      <c r="C70" s="142" t="s">
        <v>1299</v>
      </c>
      <c r="D70" s="143">
        <f>((35000+8000)*9500)/3</f>
        <v>136166666.66666666</v>
      </c>
      <c r="E70" s="143"/>
      <c r="F70" s="143"/>
      <c r="G70" s="143"/>
      <c r="H70" s="144">
        <f t="shared" si="4"/>
        <v>136.16666666666666</v>
      </c>
      <c r="I70" s="147">
        <f t="shared" si="5"/>
        <v>14963.369963369962</v>
      </c>
      <c r="J70" s="121" t="s">
        <v>3242</v>
      </c>
      <c r="K70" s="96"/>
    </row>
    <row r="71" spans="1:11" ht="25.5" x14ac:dyDescent="0.8">
      <c r="A71" s="142">
        <v>3</v>
      </c>
      <c r="B71" s="145" t="s">
        <v>3281</v>
      </c>
      <c r="C71" s="142" t="s">
        <v>1521</v>
      </c>
      <c r="D71" s="143">
        <v>610483887</v>
      </c>
      <c r="E71" s="143"/>
      <c r="F71" s="143"/>
      <c r="G71" s="143"/>
      <c r="H71" s="144">
        <f t="shared" si="4"/>
        <v>610.48388699999998</v>
      </c>
      <c r="I71" s="147">
        <f t="shared" si="5"/>
        <v>67086.141428571427</v>
      </c>
      <c r="J71" s="121" t="s">
        <v>3242</v>
      </c>
      <c r="K71" s="96"/>
    </row>
    <row r="72" spans="1:11" ht="38.25" x14ac:dyDescent="0.8">
      <c r="A72" s="142">
        <v>3</v>
      </c>
      <c r="B72" s="148" t="s">
        <v>3282</v>
      </c>
      <c r="C72" s="142" t="s">
        <v>844</v>
      </c>
      <c r="D72" s="143"/>
      <c r="E72" s="143"/>
      <c r="F72" s="143"/>
      <c r="G72" s="143">
        <f>(100000*9500)</f>
        <v>950000000</v>
      </c>
      <c r="H72" s="144">
        <f t="shared" si="4"/>
        <v>950</v>
      </c>
      <c r="I72" s="147">
        <f t="shared" si="5"/>
        <v>104395.6043956044</v>
      </c>
      <c r="J72" s="121" t="s">
        <v>3242</v>
      </c>
      <c r="K72" s="96"/>
    </row>
    <row r="73" spans="1:11" ht="25.5" x14ac:dyDescent="0.8">
      <c r="A73" s="142">
        <v>3</v>
      </c>
      <c r="B73" s="148" t="s">
        <v>3283</v>
      </c>
      <c r="C73" s="142" t="s">
        <v>1699</v>
      </c>
      <c r="D73" s="143"/>
      <c r="E73" s="143"/>
      <c r="F73" s="143"/>
      <c r="G73" s="143">
        <v>51995976000</v>
      </c>
      <c r="H73" s="144">
        <f t="shared" si="4"/>
        <v>51995.976000000002</v>
      </c>
      <c r="I73" s="147">
        <f t="shared" si="5"/>
        <v>5713843.5164835164</v>
      </c>
      <c r="J73" s="121" t="s">
        <v>3242</v>
      </c>
      <c r="K73" s="96"/>
    </row>
    <row r="74" spans="1:11" ht="25.5" x14ac:dyDescent="0.8">
      <c r="A74" s="142">
        <v>3</v>
      </c>
      <c r="B74" s="145" t="s">
        <v>3284</v>
      </c>
      <c r="C74" s="142" t="s">
        <v>1639</v>
      </c>
      <c r="D74" s="143"/>
      <c r="E74" s="143"/>
      <c r="F74" s="143"/>
      <c r="G74" s="143">
        <v>472500</v>
      </c>
      <c r="H74" s="144">
        <f t="shared" si="4"/>
        <v>0.47249999999999998</v>
      </c>
      <c r="I74" s="147">
        <f t="shared" si="5"/>
        <v>51.92307692307692</v>
      </c>
      <c r="J74" s="121" t="s">
        <v>3242</v>
      </c>
      <c r="K74" s="96"/>
    </row>
    <row r="75" spans="1:11" ht="38.25" x14ac:dyDescent="0.8">
      <c r="A75" s="142">
        <v>3</v>
      </c>
      <c r="B75" s="145" t="s">
        <v>3285</v>
      </c>
      <c r="C75" s="142" t="s">
        <v>2286</v>
      </c>
      <c r="D75" s="143"/>
      <c r="E75" s="143"/>
      <c r="F75" s="143"/>
      <c r="G75" s="143">
        <f>11000*9500</f>
        <v>104500000</v>
      </c>
      <c r="H75" s="144">
        <f t="shared" si="4"/>
        <v>104.5</v>
      </c>
      <c r="I75" s="147">
        <f t="shared" si="5"/>
        <v>11483.516483516483</v>
      </c>
      <c r="J75" s="121" t="s">
        <v>3242</v>
      </c>
      <c r="K75" s="96"/>
    </row>
    <row r="76" spans="1:11" ht="38.25" x14ac:dyDescent="0.8">
      <c r="A76" s="142">
        <v>3</v>
      </c>
      <c r="B76" s="145" t="s">
        <v>3286</v>
      </c>
      <c r="C76" s="142" t="s">
        <v>2283</v>
      </c>
      <c r="D76" s="143"/>
      <c r="E76" s="143"/>
      <c r="F76" s="143"/>
      <c r="G76" s="143">
        <f>1000*9500</f>
        <v>9500000</v>
      </c>
      <c r="H76" s="144">
        <f t="shared" si="4"/>
        <v>9.5</v>
      </c>
      <c r="I76" s="147">
        <f t="shared" si="5"/>
        <v>1043.9560439560439</v>
      </c>
      <c r="J76" s="121" t="s">
        <v>3242</v>
      </c>
      <c r="K76" s="96"/>
    </row>
    <row r="77" spans="1:11" ht="25.5" x14ac:dyDescent="0.8">
      <c r="A77" s="155">
        <v>4</v>
      </c>
      <c r="B77" s="156" t="s">
        <v>3287</v>
      </c>
      <c r="C77" s="157"/>
      <c r="D77" s="158"/>
      <c r="E77" s="158"/>
      <c r="F77" s="158"/>
      <c r="G77" s="158"/>
      <c r="H77" s="159"/>
      <c r="I77" s="158"/>
      <c r="J77" s="121" t="s">
        <v>3242</v>
      </c>
      <c r="K77" s="96"/>
    </row>
    <row r="78" spans="1:11" ht="25.5" x14ac:dyDescent="0.8">
      <c r="A78" s="160">
        <v>4</v>
      </c>
      <c r="B78" s="161" t="s">
        <v>3288</v>
      </c>
      <c r="C78" s="160" t="s">
        <v>104</v>
      </c>
      <c r="D78" s="158"/>
      <c r="E78" s="158">
        <v>158800000</v>
      </c>
      <c r="F78" s="158"/>
      <c r="G78" s="158">
        <v>178500000</v>
      </c>
      <c r="H78" s="159">
        <f>IFERROR(AVERAGE(D78:G78),0)/1000000</f>
        <v>168.65</v>
      </c>
      <c r="I78" s="158">
        <f>(H78*1000000)/$I$2</f>
        <v>18532.967032967033</v>
      </c>
      <c r="J78" s="121" t="s">
        <v>3242</v>
      </c>
      <c r="K78" s="96"/>
    </row>
    <row r="79" spans="1:11" ht="25.5" x14ac:dyDescent="0.8">
      <c r="A79" s="160">
        <v>4</v>
      </c>
      <c r="B79" s="161" t="s">
        <v>3289</v>
      </c>
      <c r="C79" s="160" t="s">
        <v>128</v>
      </c>
      <c r="D79" s="158"/>
      <c r="E79" s="158">
        <v>81135000</v>
      </c>
      <c r="F79" s="158"/>
      <c r="G79" s="158"/>
      <c r="H79" s="159">
        <f t="shared" ref="H79:H122" si="6">IFERROR(AVERAGE(D79:G79),0)/1000000</f>
        <v>81.135000000000005</v>
      </c>
      <c r="I79" s="158">
        <f t="shared" ref="I79:I122" si="7">(H79*1000000)/$I$2</f>
        <v>8915.9340659340651</v>
      </c>
      <c r="J79" s="121" t="s">
        <v>3242</v>
      </c>
      <c r="K79" s="96"/>
    </row>
    <row r="80" spans="1:11" x14ac:dyDescent="0.8">
      <c r="A80" s="160">
        <v>4</v>
      </c>
      <c r="B80" s="162" t="s">
        <v>3290</v>
      </c>
      <c r="C80" s="160" t="s">
        <v>218</v>
      </c>
      <c r="D80" s="158"/>
      <c r="E80" s="158">
        <v>138000000</v>
      </c>
      <c r="F80" s="158"/>
      <c r="G80" s="158"/>
      <c r="H80" s="159">
        <f t="shared" si="6"/>
        <v>138</v>
      </c>
      <c r="I80" s="158">
        <f t="shared" si="7"/>
        <v>15164.835164835165</v>
      </c>
      <c r="J80" s="121" t="s">
        <v>3242</v>
      </c>
      <c r="K80" s="96"/>
    </row>
    <row r="81" spans="1:12" ht="25.5" x14ac:dyDescent="0.8">
      <c r="A81" s="160">
        <v>4</v>
      </c>
      <c r="B81" s="161" t="s">
        <v>3291</v>
      </c>
      <c r="C81" s="160" t="s">
        <v>411</v>
      </c>
      <c r="D81" s="158"/>
      <c r="E81" s="158">
        <v>187500000</v>
      </c>
      <c r="F81" s="158"/>
      <c r="G81" s="158"/>
      <c r="H81" s="159">
        <f t="shared" si="6"/>
        <v>187.5</v>
      </c>
      <c r="I81" s="158">
        <f t="shared" si="7"/>
        <v>20604.395604395606</v>
      </c>
      <c r="J81" s="121" t="s">
        <v>3242</v>
      </c>
      <c r="K81" s="96"/>
    </row>
    <row r="82" spans="1:12" ht="38.25" x14ac:dyDescent="0.8">
      <c r="A82" s="160">
        <v>4</v>
      </c>
      <c r="B82" s="161" t="s">
        <v>3292</v>
      </c>
      <c r="C82" s="160" t="s">
        <v>539</v>
      </c>
      <c r="D82" s="158"/>
      <c r="E82" s="158">
        <v>500000000</v>
      </c>
      <c r="F82" s="158"/>
      <c r="G82" s="158"/>
      <c r="H82" s="159">
        <f t="shared" si="6"/>
        <v>500</v>
      </c>
      <c r="I82" s="158">
        <f t="shared" si="7"/>
        <v>54945.054945054944</v>
      </c>
      <c r="J82" s="121" t="s">
        <v>3242</v>
      </c>
      <c r="K82" s="96"/>
    </row>
    <row r="83" spans="1:12" ht="25.5" x14ac:dyDescent="0.8">
      <c r="A83" s="160">
        <v>4</v>
      </c>
      <c r="B83" s="163" t="s">
        <v>3293</v>
      </c>
      <c r="C83" s="164" t="s">
        <v>3294</v>
      </c>
      <c r="D83" s="165"/>
      <c r="E83" s="165">
        <v>187500000</v>
      </c>
      <c r="F83" s="165"/>
      <c r="G83" s="165"/>
      <c r="H83" s="159">
        <f t="shared" si="6"/>
        <v>187.5</v>
      </c>
      <c r="I83" s="158">
        <f t="shared" si="7"/>
        <v>20604.395604395606</v>
      </c>
      <c r="J83" s="121" t="s">
        <v>3242</v>
      </c>
      <c r="K83" s="96"/>
    </row>
    <row r="84" spans="1:12" ht="25.5" x14ac:dyDescent="0.8">
      <c r="A84" s="160">
        <v>4</v>
      </c>
      <c r="B84" s="163" t="s">
        <v>3295</v>
      </c>
      <c r="C84" s="164" t="s">
        <v>2596</v>
      </c>
      <c r="D84" s="165"/>
      <c r="E84" s="165"/>
      <c r="F84" s="165"/>
      <c r="G84" s="165">
        <f>E80*50%</f>
        <v>69000000</v>
      </c>
      <c r="H84" s="159">
        <f t="shared" si="6"/>
        <v>69</v>
      </c>
      <c r="I84" s="158">
        <f t="shared" si="7"/>
        <v>7582.4175824175827</v>
      </c>
      <c r="J84" s="121" t="s">
        <v>3242</v>
      </c>
      <c r="K84" s="96"/>
    </row>
    <row r="85" spans="1:12" ht="38.25" x14ac:dyDescent="0.8">
      <c r="A85" s="160">
        <v>4</v>
      </c>
      <c r="B85" s="163" t="s">
        <v>3296</v>
      </c>
      <c r="C85" s="164" t="s">
        <v>224</v>
      </c>
      <c r="D85" s="165"/>
      <c r="E85" s="165"/>
      <c r="F85" s="165"/>
      <c r="G85" s="165">
        <f>(108958597826.087*74%)/123</f>
        <v>655523271.47401941</v>
      </c>
      <c r="H85" s="159">
        <f>IFERROR(AVERAGE(D85:G85),0)/1000000</f>
        <v>655.52327147401945</v>
      </c>
      <c r="I85" s="158">
        <f>(H85*1000000)/$I$2</f>
        <v>72035.524337804338</v>
      </c>
      <c r="J85" s="121" t="s">
        <v>3242</v>
      </c>
      <c r="K85" s="96"/>
    </row>
    <row r="86" spans="1:12" ht="38.25" x14ac:dyDescent="0.8">
      <c r="A86" s="160">
        <v>4</v>
      </c>
      <c r="B86" s="163" t="s">
        <v>3297</v>
      </c>
      <c r="C86" s="164" t="s">
        <v>413</v>
      </c>
      <c r="D86" s="165"/>
      <c r="E86" s="165"/>
      <c r="F86" s="165"/>
      <c r="G86" s="165">
        <f>(52721902173.913*74%)/63</f>
        <v>619273136.64596224</v>
      </c>
      <c r="H86" s="159">
        <f>IFERROR(AVERAGE(D86:G86),0)/1000000</f>
        <v>619.27313664596227</v>
      </c>
      <c r="I86" s="158">
        <f>(H86*1000000)/$I$2</f>
        <v>68051.993038017827</v>
      </c>
      <c r="J86" s="121" t="s">
        <v>3242</v>
      </c>
      <c r="K86" s="96"/>
    </row>
    <row r="87" spans="1:12" x14ac:dyDescent="0.8">
      <c r="A87" s="160">
        <v>4</v>
      </c>
      <c r="B87" s="161" t="s">
        <v>3298</v>
      </c>
      <c r="C87" s="160" t="s">
        <v>3299</v>
      </c>
      <c r="D87" s="158">
        <v>25083221000</v>
      </c>
      <c r="E87" s="158"/>
      <c r="F87" s="158"/>
      <c r="G87" s="158"/>
      <c r="H87" s="159">
        <f t="shared" si="6"/>
        <v>25083.221000000001</v>
      </c>
      <c r="I87" s="158">
        <f t="shared" si="7"/>
        <v>2756397.9120879122</v>
      </c>
      <c r="J87" s="121" t="s">
        <v>3242</v>
      </c>
      <c r="K87" s="96"/>
    </row>
    <row r="88" spans="1:12" x14ac:dyDescent="0.8">
      <c r="A88" s="160">
        <v>4</v>
      </c>
      <c r="B88" s="161" t="s">
        <v>3300</v>
      </c>
      <c r="C88" s="160" t="s">
        <v>3301</v>
      </c>
      <c r="D88" s="158">
        <v>17142857142.857143</v>
      </c>
      <c r="E88" s="158"/>
      <c r="F88" s="158"/>
      <c r="G88" s="158"/>
      <c r="H88" s="159">
        <f t="shared" si="6"/>
        <v>17142.857142857145</v>
      </c>
      <c r="I88" s="158">
        <f t="shared" si="7"/>
        <v>1883830.455259027</v>
      </c>
      <c r="J88" s="121" t="s">
        <v>3242</v>
      </c>
      <c r="K88" s="96"/>
    </row>
    <row r="89" spans="1:12" x14ac:dyDescent="0.8">
      <c r="A89" s="160">
        <v>4</v>
      </c>
      <c r="B89" s="161" t="s">
        <v>3302</v>
      </c>
      <c r="C89" s="160" t="s">
        <v>3303</v>
      </c>
      <c r="D89" s="158">
        <v>46289261183</v>
      </c>
      <c r="E89" s="166"/>
      <c r="F89" s="158"/>
      <c r="G89" s="158"/>
      <c r="H89" s="159">
        <f t="shared" si="6"/>
        <v>46289.261183000002</v>
      </c>
      <c r="I89" s="158">
        <f t="shared" si="7"/>
        <v>5086731.9981318684</v>
      </c>
      <c r="J89" s="121" t="s">
        <v>3242</v>
      </c>
      <c r="K89" s="96"/>
    </row>
    <row r="90" spans="1:12" x14ac:dyDescent="0.8">
      <c r="A90" s="160">
        <v>4</v>
      </c>
      <c r="B90" s="161" t="s">
        <v>3304</v>
      </c>
      <c r="C90" s="160" t="s">
        <v>1293</v>
      </c>
      <c r="D90" s="158">
        <v>22879500000</v>
      </c>
      <c r="E90" s="158"/>
      <c r="F90" s="158"/>
      <c r="G90" s="158"/>
      <c r="H90" s="159">
        <f t="shared" si="6"/>
        <v>22879.5</v>
      </c>
      <c r="I90" s="158">
        <f t="shared" si="7"/>
        <v>2514230.769230769</v>
      </c>
      <c r="J90" s="121" t="s">
        <v>3242</v>
      </c>
      <c r="K90" s="167"/>
      <c r="L90" s="168"/>
    </row>
    <row r="91" spans="1:12" ht="25.5" x14ac:dyDescent="0.8">
      <c r="A91" s="160">
        <v>4</v>
      </c>
      <c r="B91" s="163" t="s">
        <v>3305</v>
      </c>
      <c r="C91" s="164" t="s">
        <v>3306</v>
      </c>
      <c r="D91" s="165">
        <v>2363295260</v>
      </c>
      <c r="E91" s="169"/>
      <c r="F91" s="169"/>
      <c r="G91" s="169"/>
      <c r="H91" s="159">
        <f t="shared" si="6"/>
        <v>2363.2952599999999</v>
      </c>
      <c r="I91" s="158">
        <f t="shared" si="7"/>
        <v>259702.77582417583</v>
      </c>
      <c r="J91" s="121" t="s">
        <v>3242</v>
      </c>
      <c r="K91" s="96"/>
    </row>
    <row r="92" spans="1:12" ht="25.5" x14ac:dyDescent="0.8">
      <c r="A92" s="160">
        <v>4</v>
      </c>
      <c r="B92" s="161" t="s">
        <v>3307</v>
      </c>
      <c r="C92" s="160" t="s">
        <v>377</v>
      </c>
      <c r="D92" s="158"/>
      <c r="E92" s="158">
        <v>320000000</v>
      </c>
      <c r="F92" s="158"/>
      <c r="G92" s="158"/>
      <c r="H92" s="159">
        <f t="shared" si="6"/>
        <v>320</v>
      </c>
      <c r="I92" s="158">
        <f t="shared" si="7"/>
        <v>35164.835164835167</v>
      </c>
      <c r="J92" s="121" t="s">
        <v>3242</v>
      </c>
      <c r="K92" s="96"/>
    </row>
    <row r="93" spans="1:12" ht="25.5" x14ac:dyDescent="0.8">
      <c r="A93" s="160">
        <v>4</v>
      </c>
      <c r="B93" s="161" t="s">
        <v>3308</v>
      </c>
      <c r="C93" s="160" t="s">
        <v>465</v>
      </c>
      <c r="D93" s="158"/>
      <c r="E93" s="165">
        <v>2760000</v>
      </c>
      <c r="F93" s="158"/>
      <c r="G93" s="158"/>
      <c r="H93" s="159">
        <f t="shared" si="6"/>
        <v>2.76</v>
      </c>
      <c r="I93" s="158">
        <f t="shared" si="7"/>
        <v>303.2967032967033</v>
      </c>
      <c r="J93" s="121" t="s">
        <v>3242</v>
      </c>
      <c r="K93" s="96"/>
    </row>
    <row r="94" spans="1:12" ht="38.25" x14ac:dyDescent="0.8">
      <c r="A94" s="160">
        <v>4</v>
      </c>
      <c r="B94" s="161" t="s">
        <v>3309</v>
      </c>
      <c r="C94" s="160" t="s">
        <v>472</v>
      </c>
      <c r="D94" s="158"/>
      <c r="E94" s="158">
        <v>48949999.999999993</v>
      </c>
      <c r="F94" s="158"/>
      <c r="G94" s="158"/>
      <c r="H94" s="159">
        <f t="shared" si="6"/>
        <v>48.949999999999996</v>
      </c>
      <c r="I94" s="158">
        <f t="shared" si="7"/>
        <v>5379.1208791208783</v>
      </c>
      <c r="J94" s="121" t="s">
        <v>3242</v>
      </c>
      <c r="K94" s="96"/>
    </row>
    <row r="95" spans="1:12" ht="38.25" x14ac:dyDescent="0.8">
      <c r="A95" s="160">
        <v>4</v>
      </c>
      <c r="B95" s="161" t="s">
        <v>3310</v>
      </c>
      <c r="C95" s="160" t="s">
        <v>573</v>
      </c>
      <c r="D95" s="158"/>
      <c r="E95" s="158">
        <v>65800000</v>
      </c>
      <c r="F95" s="158"/>
      <c r="G95" s="158"/>
      <c r="H95" s="159">
        <f t="shared" si="6"/>
        <v>65.8</v>
      </c>
      <c r="I95" s="158">
        <f t="shared" si="7"/>
        <v>7230.7692307692305</v>
      </c>
      <c r="J95" s="121" t="s">
        <v>3242</v>
      </c>
      <c r="K95" s="96"/>
    </row>
    <row r="96" spans="1:12" ht="25.5" x14ac:dyDescent="0.8">
      <c r="A96" s="160">
        <v>4</v>
      </c>
      <c r="B96" s="161" t="s">
        <v>3311</v>
      </c>
      <c r="C96" s="160" t="s">
        <v>586</v>
      </c>
      <c r="D96" s="158">
        <v>60000000</v>
      </c>
      <c r="E96" s="158">
        <v>55000000</v>
      </c>
      <c r="F96" s="158">
        <v>65000000</v>
      </c>
      <c r="G96" s="158"/>
      <c r="H96" s="159">
        <f t="shared" si="6"/>
        <v>60</v>
      </c>
      <c r="I96" s="158">
        <f t="shared" si="7"/>
        <v>6593.4065934065939</v>
      </c>
      <c r="J96" s="121" t="s">
        <v>3242</v>
      </c>
      <c r="K96" s="96"/>
    </row>
    <row r="97" spans="1:11" ht="25.5" x14ac:dyDescent="0.8">
      <c r="A97" s="160">
        <v>4</v>
      </c>
      <c r="B97" s="161" t="s">
        <v>3311</v>
      </c>
      <c r="C97" s="160" t="s">
        <v>584</v>
      </c>
      <c r="D97" s="158"/>
      <c r="E97" s="158"/>
      <c r="F97" s="158">
        <f>F96*0.3</f>
        <v>19500000</v>
      </c>
      <c r="G97" s="158"/>
      <c r="H97" s="159">
        <f t="shared" si="6"/>
        <v>19.5</v>
      </c>
      <c r="I97" s="158">
        <f t="shared" si="7"/>
        <v>2142.8571428571427</v>
      </c>
      <c r="J97" s="121" t="s">
        <v>3242</v>
      </c>
      <c r="K97" s="96"/>
    </row>
    <row r="98" spans="1:11" ht="25.5" x14ac:dyDescent="0.8">
      <c r="A98" s="160">
        <v>4</v>
      </c>
      <c r="B98" s="161" t="s">
        <v>3312</v>
      </c>
      <c r="C98" s="157" t="s">
        <v>1707</v>
      </c>
      <c r="D98" s="158"/>
      <c r="E98" s="158"/>
      <c r="F98" s="158">
        <v>10000000000</v>
      </c>
      <c r="G98" s="158"/>
      <c r="H98" s="159">
        <f t="shared" si="6"/>
        <v>10000</v>
      </c>
      <c r="I98" s="158">
        <f t="shared" si="7"/>
        <v>1098901.0989010988</v>
      </c>
      <c r="J98" s="121" t="s">
        <v>3242</v>
      </c>
      <c r="K98" s="96"/>
    </row>
    <row r="99" spans="1:11" x14ac:dyDescent="0.8">
      <c r="A99" s="160">
        <v>4</v>
      </c>
      <c r="B99" s="161" t="s">
        <v>3313</v>
      </c>
      <c r="C99" s="157" t="s">
        <v>1714</v>
      </c>
      <c r="D99" s="158"/>
      <c r="E99" s="158"/>
      <c r="F99" s="169"/>
      <c r="G99" s="158">
        <v>7500000000</v>
      </c>
      <c r="H99" s="159">
        <f t="shared" si="6"/>
        <v>7500</v>
      </c>
      <c r="I99" s="158">
        <f t="shared" si="7"/>
        <v>824175.82417582418</v>
      </c>
      <c r="J99" s="121" t="s">
        <v>3242</v>
      </c>
      <c r="K99" s="96"/>
    </row>
    <row r="100" spans="1:11" ht="25.5" x14ac:dyDescent="0.8">
      <c r="A100" s="160">
        <v>4</v>
      </c>
      <c r="B100" s="161" t="s">
        <v>3314</v>
      </c>
      <c r="C100" s="157" t="s">
        <v>3315</v>
      </c>
      <c r="D100" s="158"/>
      <c r="E100" s="158"/>
      <c r="F100" s="169"/>
      <c r="G100" s="158">
        <v>34560000000</v>
      </c>
      <c r="H100" s="159">
        <f t="shared" si="6"/>
        <v>34560</v>
      </c>
      <c r="I100" s="158">
        <f t="shared" si="7"/>
        <v>3797802.1978021977</v>
      </c>
      <c r="J100" s="121" t="s">
        <v>3242</v>
      </c>
      <c r="K100" s="96"/>
    </row>
    <row r="101" spans="1:11" ht="25.5" x14ac:dyDescent="0.8">
      <c r="A101" s="160">
        <v>4</v>
      </c>
      <c r="B101" s="170" t="s">
        <v>3316</v>
      </c>
      <c r="C101" s="157" t="s">
        <v>3317</v>
      </c>
      <c r="D101" s="158"/>
      <c r="E101" s="158"/>
      <c r="F101" s="158"/>
      <c r="G101" s="158">
        <v>23000000000</v>
      </c>
      <c r="H101" s="159">
        <f t="shared" si="6"/>
        <v>23000</v>
      </c>
      <c r="I101" s="158">
        <f t="shared" si="7"/>
        <v>2527472.5274725277</v>
      </c>
      <c r="J101" s="121" t="s">
        <v>3242</v>
      </c>
      <c r="K101" s="96"/>
    </row>
    <row r="102" spans="1:11" ht="25.5" x14ac:dyDescent="0.8">
      <c r="A102" s="160">
        <v>4</v>
      </c>
      <c r="B102" s="171" t="s">
        <v>3318</v>
      </c>
      <c r="C102" s="157" t="s">
        <v>1695</v>
      </c>
      <c r="D102" s="158"/>
      <c r="E102" s="158"/>
      <c r="F102" s="158"/>
      <c r="G102" s="158">
        <v>45000000000</v>
      </c>
      <c r="H102" s="159">
        <f t="shared" si="6"/>
        <v>45000</v>
      </c>
      <c r="I102" s="158">
        <f t="shared" si="7"/>
        <v>4945054.9450549446</v>
      </c>
      <c r="J102" s="121" t="s">
        <v>3242</v>
      </c>
      <c r="K102" s="96"/>
    </row>
    <row r="103" spans="1:11" x14ac:dyDescent="0.8">
      <c r="A103" s="160">
        <v>4</v>
      </c>
      <c r="B103" s="161" t="s">
        <v>3319</v>
      </c>
      <c r="C103" s="157" t="s">
        <v>1283</v>
      </c>
      <c r="D103" s="158">
        <v>9225691963</v>
      </c>
      <c r="E103" s="158"/>
      <c r="F103" s="158"/>
      <c r="G103" s="158"/>
      <c r="H103" s="159">
        <f t="shared" si="6"/>
        <v>9225.6919629999993</v>
      </c>
      <c r="I103" s="158">
        <f t="shared" si="7"/>
        <v>1013812.3036263736</v>
      </c>
      <c r="J103" s="121" t="s">
        <v>3242</v>
      </c>
      <c r="K103" s="96"/>
    </row>
    <row r="104" spans="1:11" x14ac:dyDescent="0.8">
      <c r="A104" s="160">
        <v>4</v>
      </c>
      <c r="B104" s="161" t="s">
        <v>1294</v>
      </c>
      <c r="C104" s="157" t="s">
        <v>1295</v>
      </c>
      <c r="D104" s="158">
        <v>5099777000</v>
      </c>
      <c r="E104" s="158"/>
      <c r="F104" s="158"/>
      <c r="G104" s="158"/>
      <c r="H104" s="159">
        <f t="shared" si="6"/>
        <v>5099.777</v>
      </c>
      <c r="I104" s="158">
        <f t="shared" si="7"/>
        <v>560415.05494505493</v>
      </c>
      <c r="J104" s="121" t="s">
        <v>3242</v>
      </c>
      <c r="K104" s="96"/>
    </row>
    <row r="105" spans="1:11" ht="25.5" x14ac:dyDescent="0.8">
      <c r="A105" s="160">
        <v>4</v>
      </c>
      <c r="B105" s="163" t="s">
        <v>3320</v>
      </c>
      <c r="C105" s="157" t="s">
        <v>3321</v>
      </c>
      <c r="D105" s="158"/>
      <c r="E105" s="158">
        <v>20800000</v>
      </c>
      <c r="F105" s="158"/>
      <c r="G105" s="158"/>
      <c r="H105" s="159">
        <f t="shared" si="6"/>
        <v>20.8</v>
      </c>
      <c r="I105" s="158">
        <f t="shared" si="7"/>
        <v>2285.7142857142858</v>
      </c>
      <c r="J105" s="121" t="s">
        <v>3242</v>
      </c>
      <c r="K105" s="96"/>
    </row>
    <row r="106" spans="1:11" ht="25.5" x14ac:dyDescent="0.8">
      <c r="A106" s="160">
        <v>4</v>
      </c>
      <c r="B106" s="161" t="s">
        <v>3322</v>
      </c>
      <c r="C106" s="157" t="s">
        <v>1517</v>
      </c>
      <c r="D106" s="165">
        <v>173224743</v>
      </c>
      <c r="E106" s="158"/>
      <c r="F106" s="158"/>
      <c r="G106" s="158"/>
      <c r="H106" s="159">
        <f t="shared" si="6"/>
        <v>173.22474299999999</v>
      </c>
      <c r="I106" s="158">
        <f t="shared" si="7"/>
        <v>19035.686043956044</v>
      </c>
      <c r="J106" s="121" t="s">
        <v>3242</v>
      </c>
      <c r="K106" s="96"/>
    </row>
    <row r="107" spans="1:11" ht="25.5" x14ac:dyDescent="0.8">
      <c r="A107" s="160">
        <v>4</v>
      </c>
      <c r="B107" s="163" t="s">
        <v>3323</v>
      </c>
      <c r="C107" s="172" t="s">
        <v>1297</v>
      </c>
      <c r="D107" s="158">
        <v>17142857143</v>
      </c>
      <c r="E107" s="158"/>
      <c r="F107" s="158"/>
      <c r="G107" s="158"/>
      <c r="H107" s="159">
        <f t="shared" si="6"/>
        <v>17142.857143000001</v>
      </c>
      <c r="I107" s="158">
        <f t="shared" si="7"/>
        <v>1883830.4552747256</v>
      </c>
      <c r="J107" s="121" t="s">
        <v>3242</v>
      </c>
      <c r="K107" s="96"/>
    </row>
    <row r="108" spans="1:11" x14ac:dyDescent="0.8">
      <c r="A108" s="160">
        <v>4</v>
      </c>
      <c r="B108" s="163" t="s">
        <v>3324</v>
      </c>
      <c r="C108" s="172" t="s">
        <v>1301</v>
      </c>
      <c r="D108" s="158">
        <v>2499604000</v>
      </c>
      <c r="E108" s="158"/>
      <c r="F108" s="158"/>
      <c r="G108" s="158"/>
      <c r="H108" s="159">
        <f t="shared" si="6"/>
        <v>2499.6039999999998</v>
      </c>
      <c r="I108" s="158">
        <f t="shared" si="7"/>
        <v>274681.75824175822</v>
      </c>
      <c r="J108" s="121" t="s">
        <v>3242</v>
      </c>
      <c r="K108" s="96"/>
    </row>
    <row r="109" spans="1:11" x14ac:dyDescent="0.8">
      <c r="A109" s="160">
        <v>4</v>
      </c>
      <c r="B109" s="161" t="s">
        <v>1302</v>
      </c>
      <c r="C109" s="157" t="s">
        <v>1303</v>
      </c>
      <c r="D109" s="158">
        <v>8366500000</v>
      </c>
      <c r="E109" s="158"/>
      <c r="F109" s="158"/>
      <c r="G109" s="158"/>
      <c r="H109" s="159">
        <f t="shared" si="6"/>
        <v>8366.5</v>
      </c>
      <c r="I109" s="158">
        <f t="shared" si="7"/>
        <v>919395.60439560434</v>
      </c>
      <c r="J109" s="121" t="s">
        <v>3242</v>
      </c>
      <c r="K109" s="96"/>
    </row>
    <row r="110" spans="1:11" ht="63.75" x14ac:dyDescent="0.8">
      <c r="A110" s="160">
        <v>4</v>
      </c>
      <c r="B110" s="161" t="s">
        <v>3325</v>
      </c>
      <c r="C110" s="157" t="s">
        <v>1311</v>
      </c>
      <c r="D110" s="158"/>
      <c r="E110" s="158"/>
      <c r="F110" s="158"/>
      <c r="G110" s="158">
        <f>10500000*I2</f>
        <v>95550000000</v>
      </c>
      <c r="H110" s="159">
        <f t="shared" si="6"/>
        <v>95550</v>
      </c>
      <c r="I110" s="158">
        <f t="shared" si="7"/>
        <v>10500000</v>
      </c>
      <c r="J110" s="121" t="s">
        <v>3242</v>
      </c>
      <c r="K110" s="96"/>
    </row>
    <row r="111" spans="1:11" ht="25.5" x14ac:dyDescent="0.8">
      <c r="A111" s="160">
        <v>4</v>
      </c>
      <c r="B111" s="163" t="s">
        <v>3326</v>
      </c>
      <c r="C111" s="157" t="s">
        <v>528</v>
      </c>
      <c r="D111" s="158"/>
      <c r="E111" s="158"/>
      <c r="F111" s="158"/>
      <c r="G111" s="158">
        <v>16000000000</v>
      </c>
      <c r="H111" s="159">
        <f t="shared" si="6"/>
        <v>16000</v>
      </c>
      <c r="I111" s="158">
        <f t="shared" si="7"/>
        <v>1758241.7582417582</v>
      </c>
      <c r="J111" s="121" t="s">
        <v>3242</v>
      </c>
      <c r="K111" s="96"/>
    </row>
    <row r="112" spans="1:11" x14ac:dyDescent="0.8">
      <c r="A112" s="160">
        <v>4</v>
      </c>
      <c r="B112" s="163" t="s">
        <v>3327</v>
      </c>
      <c r="C112" s="157" t="s">
        <v>3328</v>
      </c>
      <c r="D112" s="158"/>
      <c r="E112" s="158"/>
      <c r="F112" s="158"/>
      <c r="G112" s="158">
        <f>E79*30%</f>
        <v>24340500</v>
      </c>
      <c r="H112" s="159">
        <f t="shared" si="6"/>
        <v>24.340499999999999</v>
      </c>
      <c r="I112" s="158">
        <f t="shared" si="7"/>
        <v>2674.7802197802198</v>
      </c>
      <c r="J112" s="121" t="s">
        <v>3242</v>
      </c>
      <c r="K112" s="96"/>
    </row>
    <row r="113" spans="1:12" ht="25.5" x14ac:dyDescent="0.8">
      <c r="A113" s="160">
        <v>4</v>
      </c>
      <c r="B113" s="161" t="s">
        <v>3329</v>
      </c>
      <c r="C113" s="164" t="s">
        <v>209</v>
      </c>
      <c r="D113" s="158"/>
      <c r="E113" s="158">
        <v>25000000</v>
      </c>
      <c r="F113" s="173"/>
      <c r="G113" s="158"/>
      <c r="H113" s="159">
        <f t="shared" si="6"/>
        <v>25</v>
      </c>
      <c r="I113" s="158">
        <f t="shared" si="7"/>
        <v>2747.2527472527472</v>
      </c>
      <c r="J113" s="121" t="s">
        <v>3242</v>
      </c>
      <c r="K113" s="96"/>
    </row>
    <row r="114" spans="1:12" ht="25.5" x14ac:dyDescent="0.8">
      <c r="A114" s="160">
        <v>4</v>
      </c>
      <c r="B114" s="161" t="s">
        <v>3330</v>
      </c>
      <c r="C114" s="164" t="s">
        <v>545</v>
      </c>
      <c r="D114" s="158"/>
      <c r="E114" s="158">
        <v>83350000</v>
      </c>
      <c r="F114" s="166"/>
      <c r="G114" s="158"/>
      <c r="H114" s="159">
        <f t="shared" si="6"/>
        <v>83.35</v>
      </c>
      <c r="I114" s="158">
        <f t="shared" si="7"/>
        <v>9159.3406593406598</v>
      </c>
      <c r="J114" s="121" t="s">
        <v>3242</v>
      </c>
      <c r="K114" s="96"/>
    </row>
    <row r="115" spans="1:12" ht="25.5" x14ac:dyDescent="0.8">
      <c r="A115" s="160">
        <v>4</v>
      </c>
      <c r="B115" s="161" t="s">
        <v>3331</v>
      </c>
      <c r="C115" s="164" t="s">
        <v>409</v>
      </c>
      <c r="D115" s="158"/>
      <c r="E115" s="158">
        <v>33750000</v>
      </c>
      <c r="F115" s="158"/>
      <c r="G115" s="158"/>
      <c r="H115" s="159">
        <f t="shared" si="6"/>
        <v>33.75</v>
      </c>
      <c r="I115" s="158">
        <f t="shared" si="7"/>
        <v>3708.7912087912086</v>
      </c>
      <c r="J115" s="121" t="s">
        <v>3242</v>
      </c>
      <c r="K115" s="96"/>
    </row>
    <row r="116" spans="1:12" ht="25.5" x14ac:dyDescent="0.8">
      <c r="A116" s="160">
        <v>4</v>
      </c>
      <c r="B116" s="161" t="s">
        <v>3332</v>
      </c>
      <c r="C116" s="160" t="s">
        <v>375</v>
      </c>
      <c r="D116" s="158"/>
      <c r="E116" s="158"/>
      <c r="F116" s="158"/>
      <c r="G116" s="158">
        <v>48000000</v>
      </c>
      <c r="H116" s="159">
        <f t="shared" si="6"/>
        <v>48</v>
      </c>
      <c r="I116" s="158">
        <f t="shared" si="7"/>
        <v>5274.7252747252751</v>
      </c>
      <c r="J116" s="121" t="s">
        <v>3242</v>
      </c>
      <c r="K116" s="96"/>
    </row>
    <row r="117" spans="1:12" ht="25.5" x14ac:dyDescent="0.8">
      <c r="A117" s="160">
        <v>4</v>
      </c>
      <c r="B117" s="161" t="s">
        <v>3333</v>
      </c>
      <c r="C117" s="160" t="s">
        <v>571</v>
      </c>
      <c r="D117" s="158"/>
      <c r="E117" s="158">
        <v>15444000</v>
      </c>
      <c r="F117" s="158"/>
      <c r="G117" s="158"/>
      <c r="H117" s="159">
        <f t="shared" si="6"/>
        <v>15.444000000000001</v>
      </c>
      <c r="I117" s="158">
        <f t="shared" si="7"/>
        <v>1697.1428571428571</v>
      </c>
      <c r="J117" s="121" t="s">
        <v>3242</v>
      </c>
      <c r="K117" s="96"/>
    </row>
    <row r="118" spans="1:12" x14ac:dyDescent="0.8">
      <c r="A118" s="160">
        <v>4</v>
      </c>
      <c r="B118" s="161" t="s">
        <v>3334</v>
      </c>
      <c r="C118" s="160" t="s">
        <v>584</v>
      </c>
      <c r="D118" s="158"/>
      <c r="E118" s="158">
        <v>18900000</v>
      </c>
      <c r="F118" s="158">
        <v>20000000</v>
      </c>
      <c r="G118" s="158"/>
      <c r="H118" s="159">
        <f t="shared" si="6"/>
        <v>19.45</v>
      </c>
      <c r="I118" s="158">
        <f t="shared" si="7"/>
        <v>2137.3626373626375</v>
      </c>
      <c r="J118" s="121" t="s">
        <v>3242</v>
      </c>
      <c r="K118" s="96"/>
    </row>
    <row r="119" spans="1:12" x14ac:dyDescent="0.8">
      <c r="A119" s="160">
        <v>4</v>
      </c>
      <c r="B119" s="163" t="s">
        <v>3335</v>
      </c>
      <c r="C119" s="160" t="s">
        <v>605</v>
      </c>
      <c r="D119" s="158"/>
      <c r="E119" s="158">
        <v>33750000</v>
      </c>
      <c r="F119" s="158"/>
      <c r="G119" s="158"/>
      <c r="H119" s="159">
        <f t="shared" si="6"/>
        <v>33.75</v>
      </c>
      <c r="I119" s="158">
        <f t="shared" si="7"/>
        <v>3708.7912087912086</v>
      </c>
      <c r="J119" s="121" t="s">
        <v>3242</v>
      </c>
      <c r="K119" s="96"/>
    </row>
    <row r="120" spans="1:12" ht="38.25" x14ac:dyDescent="0.8">
      <c r="A120" s="160">
        <v>4</v>
      </c>
      <c r="B120" s="161" t="s">
        <v>3336</v>
      </c>
      <c r="C120" s="157" t="s">
        <v>1710</v>
      </c>
      <c r="D120" s="158"/>
      <c r="E120" s="158">
        <v>47891000000</v>
      </c>
      <c r="F120" s="169"/>
      <c r="G120" s="158"/>
      <c r="H120" s="159">
        <f t="shared" si="6"/>
        <v>47891</v>
      </c>
      <c r="I120" s="158">
        <f t="shared" si="7"/>
        <v>5262747.2527472526</v>
      </c>
      <c r="J120" s="121" t="s">
        <v>3242</v>
      </c>
      <c r="K120" s="96"/>
    </row>
    <row r="121" spans="1:12" ht="25.5" x14ac:dyDescent="0.8">
      <c r="A121" s="160">
        <v>4</v>
      </c>
      <c r="B121" s="161" t="s">
        <v>3337</v>
      </c>
      <c r="C121" s="157" t="s">
        <v>1716</v>
      </c>
      <c r="D121" s="158"/>
      <c r="E121" s="158">
        <v>361835000000</v>
      </c>
      <c r="F121" s="169"/>
      <c r="G121" s="158"/>
      <c r="H121" s="159">
        <f>IFERROR(AVERAGE(D121:G121),0)/1000000</f>
        <v>361835</v>
      </c>
      <c r="I121" s="158">
        <f t="shared" si="7"/>
        <v>39762087.91208791</v>
      </c>
      <c r="J121" s="121" t="s">
        <v>3242</v>
      </c>
      <c r="K121" s="96"/>
    </row>
    <row r="122" spans="1:12" ht="25.5" x14ac:dyDescent="0.8">
      <c r="A122" s="160">
        <v>4</v>
      </c>
      <c r="B122" s="161" t="s">
        <v>3338</v>
      </c>
      <c r="C122" s="157" t="s">
        <v>1718</v>
      </c>
      <c r="D122" s="158"/>
      <c r="E122" s="158">
        <v>53078000000</v>
      </c>
      <c r="F122" s="169"/>
      <c r="G122" s="158"/>
      <c r="H122" s="159">
        <f t="shared" si="6"/>
        <v>53078</v>
      </c>
      <c r="I122" s="158">
        <f t="shared" si="7"/>
        <v>5832747.2527472526</v>
      </c>
      <c r="J122" s="121" t="s">
        <v>3242</v>
      </c>
      <c r="K122" s="96"/>
    </row>
    <row r="123" spans="1:12" ht="25.5" x14ac:dyDescent="0.8">
      <c r="A123" s="174">
        <v>5</v>
      </c>
      <c r="B123" s="175" t="s">
        <v>3339</v>
      </c>
      <c r="C123" s="176"/>
      <c r="D123" s="177"/>
      <c r="E123" s="177"/>
      <c r="F123" s="177"/>
      <c r="G123" s="177"/>
      <c r="H123" s="178"/>
      <c r="I123" s="177"/>
      <c r="J123" s="121" t="s">
        <v>3340</v>
      </c>
      <c r="K123" s="96"/>
    </row>
    <row r="124" spans="1:12" ht="25.5" x14ac:dyDescent="0.8">
      <c r="A124" s="179">
        <v>5</v>
      </c>
      <c r="B124" s="180" t="s">
        <v>3341</v>
      </c>
      <c r="C124" s="181" t="s">
        <v>3342</v>
      </c>
      <c r="D124" s="182"/>
      <c r="E124" s="182">
        <v>30000</v>
      </c>
      <c r="F124" s="183"/>
      <c r="G124" s="183"/>
      <c r="H124" s="184">
        <f>IFERROR(AVERAGE(D124:G124),0)/1000000</f>
        <v>0.03</v>
      </c>
      <c r="I124" s="182">
        <f>(H124*1000000)/$I$2</f>
        <v>3.2967032967032965</v>
      </c>
      <c r="J124" s="121" t="s">
        <v>3340</v>
      </c>
      <c r="K124" s="96"/>
    </row>
    <row r="125" spans="1:12" ht="25.5" x14ac:dyDescent="0.8">
      <c r="A125" s="179">
        <v>5</v>
      </c>
      <c r="B125" s="180" t="s">
        <v>3343</v>
      </c>
      <c r="C125" s="181" t="s">
        <v>878</v>
      </c>
      <c r="D125" s="182"/>
      <c r="E125" s="182"/>
      <c r="F125" s="183"/>
      <c r="G125" s="182">
        <v>126905.60000000001</v>
      </c>
      <c r="H125" s="184">
        <f t="shared" ref="H125:H150" si="8">IFERROR(AVERAGE(D125:G125),0)/1000000</f>
        <v>0.12690560000000001</v>
      </c>
      <c r="I125" s="182">
        <f t="shared" ref="I125:I150" si="9">(H125*1000000)/$I$2</f>
        <v>13.94567032967033</v>
      </c>
      <c r="J125" s="121" t="s">
        <v>3340</v>
      </c>
      <c r="K125" s="96"/>
    </row>
    <row r="126" spans="1:12" ht="25.5" x14ac:dyDescent="0.8">
      <c r="A126" s="179">
        <v>5</v>
      </c>
      <c r="B126" s="185" t="s">
        <v>3344</v>
      </c>
      <c r="C126" s="179" t="s">
        <v>896</v>
      </c>
      <c r="D126" s="177"/>
      <c r="E126" s="177"/>
      <c r="F126" s="177"/>
      <c r="G126" s="177">
        <v>22000</v>
      </c>
      <c r="H126" s="184">
        <f t="shared" si="8"/>
        <v>2.1999999999999999E-2</v>
      </c>
      <c r="I126" s="182">
        <f t="shared" si="9"/>
        <v>2.4175824175824174</v>
      </c>
      <c r="J126" s="121" t="s">
        <v>3340</v>
      </c>
      <c r="K126" s="96"/>
    </row>
    <row r="127" spans="1:12" ht="25.5" x14ac:dyDescent="0.8">
      <c r="A127" s="179">
        <v>5</v>
      </c>
      <c r="B127" s="185" t="s">
        <v>3345</v>
      </c>
      <c r="C127" s="179" t="s">
        <v>900</v>
      </c>
      <c r="D127" s="177"/>
      <c r="E127" s="177"/>
      <c r="F127" s="177"/>
      <c r="G127" s="177">
        <v>46000</v>
      </c>
      <c r="H127" s="184">
        <f t="shared" si="8"/>
        <v>4.5999999999999999E-2</v>
      </c>
      <c r="I127" s="182">
        <f t="shared" si="9"/>
        <v>5.0549450549450547</v>
      </c>
      <c r="J127" s="121" t="s">
        <v>3340</v>
      </c>
      <c r="K127" s="186"/>
      <c r="L127" s="187"/>
    </row>
    <row r="128" spans="1:12" x14ac:dyDescent="0.8">
      <c r="A128" s="179">
        <v>5</v>
      </c>
      <c r="B128" s="185" t="s">
        <v>3346</v>
      </c>
      <c r="C128" s="176" t="s">
        <v>894</v>
      </c>
      <c r="D128" s="177"/>
      <c r="E128" s="177"/>
      <c r="F128" s="177"/>
      <c r="G128" s="177">
        <v>22272</v>
      </c>
      <c r="H128" s="184">
        <f t="shared" si="8"/>
        <v>2.2272E-2</v>
      </c>
      <c r="I128" s="182">
        <f t="shared" si="9"/>
        <v>2.4474725274725273</v>
      </c>
      <c r="J128" s="121" t="s">
        <v>3340</v>
      </c>
      <c r="K128" s="96"/>
    </row>
    <row r="129" spans="1:11" x14ac:dyDescent="0.8">
      <c r="A129" s="179">
        <v>5</v>
      </c>
      <c r="B129" s="185" t="s">
        <v>3347</v>
      </c>
      <c r="C129" s="176" t="s">
        <v>898</v>
      </c>
      <c r="D129" s="177"/>
      <c r="E129" s="177"/>
      <c r="F129" s="177"/>
      <c r="G129" s="177">
        <v>40753</v>
      </c>
      <c r="H129" s="184">
        <f t="shared" si="8"/>
        <v>4.0752999999999998E-2</v>
      </c>
      <c r="I129" s="182">
        <f t="shared" si="9"/>
        <v>4.4783516483516488</v>
      </c>
      <c r="J129" s="121" t="s">
        <v>3340</v>
      </c>
      <c r="K129" s="96"/>
    </row>
    <row r="130" spans="1:11" x14ac:dyDescent="0.8">
      <c r="A130" s="179">
        <v>5</v>
      </c>
      <c r="B130" s="185" t="s">
        <v>3348</v>
      </c>
      <c r="C130" s="176" t="s">
        <v>3349</v>
      </c>
      <c r="D130" s="177"/>
      <c r="E130" s="177"/>
      <c r="F130" s="177"/>
      <c r="G130" s="177">
        <v>56650</v>
      </c>
      <c r="H130" s="184">
        <f t="shared" si="8"/>
        <v>5.6649999999999999E-2</v>
      </c>
      <c r="I130" s="182">
        <f t="shared" si="9"/>
        <v>6.2252747252747254</v>
      </c>
      <c r="J130" s="121" t="s">
        <v>3340</v>
      </c>
      <c r="K130" s="96"/>
    </row>
    <row r="131" spans="1:11" ht="25.5" x14ac:dyDescent="0.8">
      <c r="A131" s="179">
        <v>5</v>
      </c>
      <c r="B131" s="180" t="s">
        <v>3350</v>
      </c>
      <c r="C131" s="179" t="s">
        <v>135</v>
      </c>
      <c r="D131" s="177"/>
      <c r="E131" s="177"/>
      <c r="F131" s="177"/>
      <c r="G131" s="177">
        <v>3500000</v>
      </c>
      <c r="H131" s="184">
        <f t="shared" si="8"/>
        <v>3.5</v>
      </c>
      <c r="I131" s="182">
        <f t="shared" si="9"/>
        <v>384.61538461538464</v>
      </c>
      <c r="J131" s="121" t="s">
        <v>3340</v>
      </c>
      <c r="K131" s="96"/>
    </row>
    <row r="132" spans="1:11" ht="25.5" x14ac:dyDescent="0.8">
      <c r="A132" s="179">
        <v>5</v>
      </c>
      <c r="B132" s="180" t="s">
        <v>3351</v>
      </c>
      <c r="C132" s="179" t="s">
        <v>936</v>
      </c>
      <c r="D132" s="177"/>
      <c r="E132" s="177"/>
      <c r="F132" s="177"/>
      <c r="G132" s="177">
        <f>(300000*9500)</f>
        <v>2850000000</v>
      </c>
      <c r="H132" s="184">
        <f t="shared" si="8"/>
        <v>2850</v>
      </c>
      <c r="I132" s="182">
        <f t="shared" si="9"/>
        <v>313186.8131868132</v>
      </c>
      <c r="J132" s="121" t="s">
        <v>3340</v>
      </c>
      <c r="K132" s="96"/>
    </row>
    <row r="133" spans="1:11" ht="38.25" x14ac:dyDescent="0.8">
      <c r="A133" s="179">
        <v>5</v>
      </c>
      <c r="B133" s="180" t="s">
        <v>3352</v>
      </c>
      <c r="C133" s="179" t="s">
        <v>729</v>
      </c>
      <c r="D133" s="177"/>
      <c r="E133" s="177"/>
      <c r="F133" s="177"/>
      <c r="G133" s="177">
        <v>52800000</v>
      </c>
      <c r="H133" s="184">
        <f t="shared" si="8"/>
        <v>52.8</v>
      </c>
      <c r="I133" s="182">
        <f t="shared" si="9"/>
        <v>5802.197802197802</v>
      </c>
      <c r="J133" s="121" t="s">
        <v>3340</v>
      </c>
      <c r="K133" s="96"/>
    </row>
    <row r="134" spans="1:11" ht="25.5" x14ac:dyDescent="0.8">
      <c r="A134" s="179">
        <v>5</v>
      </c>
      <c r="B134" s="185" t="s">
        <v>3353</v>
      </c>
      <c r="C134" s="179" t="s">
        <v>359</v>
      </c>
      <c r="D134" s="183"/>
      <c r="E134" s="177"/>
      <c r="F134" s="177"/>
      <c r="G134" s="177">
        <v>60923138</v>
      </c>
      <c r="H134" s="184">
        <f t="shared" si="8"/>
        <v>60.923138000000002</v>
      </c>
      <c r="I134" s="182">
        <f t="shared" si="9"/>
        <v>6694.8503296703293</v>
      </c>
      <c r="J134" s="121" t="s">
        <v>3340</v>
      </c>
      <c r="K134" s="96"/>
    </row>
    <row r="135" spans="1:11" ht="25.5" x14ac:dyDescent="0.8">
      <c r="A135" s="179">
        <v>5</v>
      </c>
      <c r="B135" s="185" t="s">
        <v>3354</v>
      </c>
      <c r="C135" s="179" t="s">
        <v>3355</v>
      </c>
      <c r="D135" s="183"/>
      <c r="E135" s="177"/>
      <c r="F135" s="177"/>
      <c r="G135" s="177">
        <v>120000</v>
      </c>
      <c r="H135" s="184">
        <f t="shared" si="8"/>
        <v>0.12</v>
      </c>
      <c r="I135" s="182">
        <f t="shared" si="9"/>
        <v>13.186813186813186</v>
      </c>
      <c r="J135" s="121" t="s">
        <v>3340</v>
      </c>
      <c r="K135" s="96"/>
    </row>
    <row r="136" spans="1:11" ht="25.5" x14ac:dyDescent="0.8">
      <c r="A136" s="179">
        <v>5</v>
      </c>
      <c r="B136" s="185" t="s">
        <v>3356</v>
      </c>
      <c r="C136" s="179" t="s">
        <v>520</v>
      </c>
      <c r="D136" s="183"/>
      <c r="E136" s="177"/>
      <c r="F136" s="177"/>
      <c r="G136" s="177">
        <v>100000</v>
      </c>
      <c r="H136" s="184">
        <f t="shared" si="8"/>
        <v>0.1</v>
      </c>
      <c r="I136" s="182">
        <f t="shared" si="9"/>
        <v>10.989010989010989</v>
      </c>
      <c r="J136" s="121" t="s">
        <v>3340</v>
      </c>
      <c r="K136" s="96"/>
    </row>
    <row r="137" spans="1:11" ht="25.5" x14ac:dyDescent="0.8">
      <c r="A137" s="179">
        <v>5</v>
      </c>
      <c r="B137" s="180" t="s">
        <v>3357</v>
      </c>
      <c r="C137" s="179" t="s">
        <v>3358</v>
      </c>
      <c r="D137" s="183"/>
      <c r="E137" s="177"/>
      <c r="F137" s="177"/>
      <c r="G137" s="177">
        <v>30000000</v>
      </c>
      <c r="H137" s="184">
        <f t="shared" si="8"/>
        <v>30</v>
      </c>
      <c r="I137" s="182">
        <f t="shared" si="9"/>
        <v>3296.7032967032969</v>
      </c>
      <c r="J137" s="121" t="s">
        <v>3340</v>
      </c>
      <c r="K137" s="96"/>
    </row>
    <row r="138" spans="1:11" ht="38.25" x14ac:dyDescent="0.8">
      <c r="A138" s="179">
        <v>5</v>
      </c>
      <c r="B138" s="185" t="s">
        <v>3359</v>
      </c>
      <c r="C138" s="179" t="s">
        <v>693</v>
      </c>
      <c r="D138" s="183"/>
      <c r="E138" s="177"/>
      <c r="F138" s="177"/>
      <c r="G138" s="177">
        <v>891000000</v>
      </c>
      <c r="H138" s="184">
        <f t="shared" si="8"/>
        <v>891</v>
      </c>
      <c r="I138" s="182">
        <f t="shared" si="9"/>
        <v>97912.087912087911</v>
      </c>
      <c r="J138" s="121" t="s">
        <v>3340</v>
      </c>
      <c r="K138" s="96"/>
    </row>
    <row r="139" spans="1:11" ht="25.5" x14ac:dyDescent="0.8">
      <c r="A139" s="179">
        <v>5</v>
      </c>
      <c r="B139" s="185" t="s">
        <v>3360</v>
      </c>
      <c r="C139" s="179" t="s">
        <v>3361</v>
      </c>
      <c r="D139" s="182">
        <v>6750000</v>
      </c>
      <c r="E139" s="177"/>
      <c r="F139" s="177"/>
      <c r="G139" s="177"/>
      <c r="H139" s="184">
        <f t="shared" si="8"/>
        <v>6.75</v>
      </c>
      <c r="I139" s="182">
        <f t="shared" si="9"/>
        <v>741.75824175824175</v>
      </c>
      <c r="J139" s="121" t="s">
        <v>3340</v>
      </c>
      <c r="K139" s="96"/>
    </row>
    <row r="140" spans="1:11" ht="25.5" x14ac:dyDescent="0.8">
      <c r="A140" s="179">
        <v>5</v>
      </c>
      <c r="B140" s="180" t="s">
        <v>3362</v>
      </c>
      <c r="C140" s="179" t="s">
        <v>391</v>
      </c>
      <c r="D140" s="177"/>
      <c r="E140" s="182">
        <v>5750000</v>
      </c>
      <c r="F140" s="177"/>
      <c r="G140" s="177"/>
      <c r="H140" s="184">
        <f t="shared" si="8"/>
        <v>5.75</v>
      </c>
      <c r="I140" s="182">
        <f t="shared" si="9"/>
        <v>631.86813186813185</v>
      </c>
      <c r="J140" s="121" t="s">
        <v>3340</v>
      </c>
      <c r="K140" s="96"/>
    </row>
    <row r="141" spans="1:11" ht="38.25" x14ac:dyDescent="0.8">
      <c r="A141" s="179">
        <v>5</v>
      </c>
      <c r="B141" s="180" t="s">
        <v>3363</v>
      </c>
      <c r="C141" s="179" t="s">
        <v>930</v>
      </c>
      <c r="D141" s="177"/>
      <c r="E141" s="183"/>
      <c r="F141" s="177"/>
      <c r="G141" s="177">
        <v>1000000</v>
      </c>
      <c r="H141" s="184">
        <f t="shared" si="8"/>
        <v>1</v>
      </c>
      <c r="I141" s="182">
        <f t="shared" si="9"/>
        <v>109.89010989010988</v>
      </c>
      <c r="J141" s="121" t="s">
        <v>3340</v>
      </c>
      <c r="K141" s="96"/>
    </row>
    <row r="142" spans="1:11" x14ac:dyDescent="0.8">
      <c r="A142" s="179">
        <v>5</v>
      </c>
      <c r="B142" s="188" t="s">
        <v>3364</v>
      </c>
      <c r="C142" s="179" t="s">
        <v>2545</v>
      </c>
      <c r="D142" s="177"/>
      <c r="E142" s="177">
        <v>18000</v>
      </c>
      <c r="F142" s="177"/>
      <c r="G142" s="177"/>
      <c r="H142" s="184">
        <f t="shared" si="8"/>
        <v>1.7999999999999999E-2</v>
      </c>
      <c r="I142" s="182">
        <f t="shared" si="9"/>
        <v>1.9780219780219781</v>
      </c>
      <c r="J142" s="121" t="s">
        <v>3340</v>
      </c>
      <c r="K142" s="96"/>
    </row>
    <row r="143" spans="1:11" x14ac:dyDescent="0.8">
      <c r="A143" s="179">
        <v>5</v>
      </c>
      <c r="B143" s="180" t="s">
        <v>3365</v>
      </c>
      <c r="C143" s="179" t="s">
        <v>2548</v>
      </c>
      <c r="D143" s="177"/>
      <c r="E143" s="177">
        <v>18000</v>
      </c>
      <c r="F143" s="177"/>
      <c r="G143" s="177"/>
      <c r="H143" s="184">
        <f t="shared" si="8"/>
        <v>1.7999999999999999E-2</v>
      </c>
      <c r="I143" s="182">
        <f t="shared" si="9"/>
        <v>1.9780219780219781</v>
      </c>
      <c r="J143" s="121" t="s">
        <v>3340</v>
      </c>
      <c r="K143" s="96"/>
    </row>
    <row r="144" spans="1:11" x14ac:dyDescent="0.8">
      <c r="A144" s="179">
        <v>5</v>
      </c>
      <c r="B144" s="188" t="s">
        <v>3366</v>
      </c>
      <c r="C144" s="179" t="s">
        <v>3367</v>
      </c>
      <c r="D144" s="177"/>
      <c r="E144" s="177">
        <v>18000</v>
      </c>
      <c r="F144" s="177"/>
      <c r="G144" s="177"/>
      <c r="H144" s="184">
        <f t="shared" si="8"/>
        <v>1.7999999999999999E-2</v>
      </c>
      <c r="I144" s="182">
        <f t="shared" si="9"/>
        <v>1.9780219780219781</v>
      </c>
      <c r="J144" s="121" t="s">
        <v>3340</v>
      </c>
      <c r="K144" s="96"/>
    </row>
    <row r="145" spans="1:14" x14ac:dyDescent="0.8">
      <c r="A145" s="179">
        <v>5</v>
      </c>
      <c r="B145" s="188" t="s">
        <v>3368</v>
      </c>
      <c r="C145" s="179" t="s">
        <v>2472</v>
      </c>
      <c r="D145" s="177"/>
      <c r="E145" s="177"/>
      <c r="F145" s="177"/>
      <c r="G145" s="177">
        <v>156129</v>
      </c>
      <c r="H145" s="184">
        <f t="shared" si="8"/>
        <v>0.15612899999999999</v>
      </c>
      <c r="I145" s="182">
        <f t="shared" si="9"/>
        <v>17.157032967032968</v>
      </c>
      <c r="J145" s="121" t="s">
        <v>3340</v>
      </c>
      <c r="K145" s="96"/>
    </row>
    <row r="146" spans="1:14" x14ac:dyDescent="0.8">
      <c r="A146" s="179">
        <v>5</v>
      </c>
      <c r="B146" s="188" t="s">
        <v>3369</v>
      </c>
      <c r="C146" s="179" t="s">
        <v>2614</v>
      </c>
      <c r="D146" s="177"/>
      <c r="E146" s="177"/>
      <c r="F146" s="177"/>
      <c r="G146" s="177">
        <v>31150</v>
      </c>
      <c r="H146" s="184">
        <f t="shared" si="8"/>
        <v>3.1150000000000001E-2</v>
      </c>
      <c r="I146" s="182">
        <f t="shared" si="9"/>
        <v>3.4230769230769229</v>
      </c>
      <c r="J146" s="121" t="s">
        <v>3340</v>
      </c>
      <c r="K146" s="96"/>
    </row>
    <row r="147" spans="1:14" x14ac:dyDescent="0.8">
      <c r="A147" s="179">
        <v>5</v>
      </c>
      <c r="B147" s="188" t="s">
        <v>3370</v>
      </c>
      <c r="C147" s="179" t="s">
        <v>944</v>
      </c>
      <c r="D147" s="177"/>
      <c r="E147" s="177"/>
      <c r="F147" s="177"/>
      <c r="G147" s="177">
        <f>300000000</f>
        <v>300000000</v>
      </c>
      <c r="H147" s="184">
        <f t="shared" si="8"/>
        <v>300</v>
      </c>
      <c r="I147" s="182">
        <f t="shared" si="9"/>
        <v>32967.032967032967</v>
      </c>
      <c r="J147" s="121" t="s">
        <v>3340</v>
      </c>
      <c r="K147" s="96"/>
    </row>
    <row r="148" spans="1:14" x14ac:dyDescent="0.8">
      <c r="A148" s="179">
        <v>5</v>
      </c>
      <c r="B148" s="188" t="s">
        <v>3371</v>
      </c>
      <c r="C148" s="179" t="s">
        <v>956</v>
      </c>
      <c r="D148" s="177"/>
      <c r="E148" s="177"/>
      <c r="F148" s="177"/>
      <c r="G148" s="177">
        <f>100000000*50</f>
        <v>5000000000</v>
      </c>
      <c r="H148" s="184">
        <f t="shared" si="8"/>
        <v>5000</v>
      </c>
      <c r="I148" s="182">
        <f t="shared" si="9"/>
        <v>549450.54945054941</v>
      </c>
      <c r="J148" s="121" t="s">
        <v>3340</v>
      </c>
      <c r="K148" s="96"/>
    </row>
    <row r="149" spans="1:14" x14ac:dyDescent="0.8">
      <c r="A149" s="179">
        <v>5</v>
      </c>
      <c r="B149" s="188" t="s">
        <v>3372</v>
      </c>
      <c r="C149" s="179" t="s">
        <v>1123</v>
      </c>
      <c r="D149" s="177"/>
      <c r="E149" s="177"/>
      <c r="F149" s="177"/>
      <c r="G149" s="177">
        <f>3277500000/10</f>
        <v>327750000</v>
      </c>
      <c r="H149" s="184">
        <f t="shared" si="8"/>
        <v>327.75</v>
      </c>
      <c r="I149" s="182">
        <f t="shared" si="9"/>
        <v>36016.483516483517</v>
      </c>
      <c r="J149" s="121" t="s">
        <v>3340</v>
      </c>
      <c r="K149" s="96"/>
    </row>
    <row r="150" spans="1:14" ht="25.5" x14ac:dyDescent="0.8">
      <c r="A150" s="179">
        <v>5</v>
      </c>
      <c r="B150" s="185" t="s">
        <v>3373</v>
      </c>
      <c r="C150" s="179" t="s">
        <v>2601</v>
      </c>
      <c r="D150" s="177"/>
      <c r="E150" s="177">
        <v>275000</v>
      </c>
      <c r="F150" s="177"/>
      <c r="G150" s="177"/>
      <c r="H150" s="184">
        <f t="shared" si="8"/>
        <v>0.27500000000000002</v>
      </c>
      <c r="I150" s="182">
        <f t="shared" si="9"/>
        <v>30.219780219780219</v>
      </c>
      <c r="J150" s="121" t="s">
        <v>3340</v>
      </c>
      <c r="K150" s="96"/>
    </row>
    <row r="151" spans="1:14" x14ac:dyDescent="0.8">
      <c r="A151" s="189">
        <v>6</v>
      </c>
      <c r="B151" s="190" t="s">
        <v>3374</v>
      </c>
      <c r="C151" s="191"/>
      <c r="D151" s="192"/>
      <c r="E151" s="192"/>
      <c r="F151" s="192"/>
      <c r="G151" s="192"/>
      <c r="H151" s="193"/>
      <c r="I151" s="192"/>
      <c r="J151" s="121" t="s">
        <v>3375</v>
      </c>
      <c r="K151" s="96"/>
    </row>
    <row r="152" spans="1:14" ht="25.5" x14ac:dyDescent="0.8">
      <c r="A152" s="194">
        <v>6</v>
      </c>
      <c r="B152" s="195" t="s">
        <v>3376</v>
      </c>
      <c r="C152" s="194" t="s">
        <v>147</v>
      </c>
      <c r="D152" s="192"/>
      <c r="E152" s="192"/>
      <c r="F152" s="192"/>
      <c r="G152" s="192">
        <f>25444608.7901433*K234</f>
        <v>26979451.490762979</v>
      </c>
      <c r="H152" s="193">
        <f>IFERROR(AVERAGE(D152:G152),0)/1000000</f>
        <v>26.97945149076298</v>
      </c>
      <c r="I152" s="192">
        <f>(H152*1000000)/$I$2</f>
        <v>2964.7748890948328</v>
      </c>
      <c r="J152" s="121" t="s">
        <v>3375</v>
      </c>
      <c r="K152" s="96"/>
    </row>
    <row r="153" spans="1:14" ht="25.5" x14ac:dyDescent="0.8">
      <c r="A153" s="194">
        <v>6</v>
      </c>
      <c r="B153" s="195" t="s">
        <v>3377</v>
      </c>
      <c r="C153" s="194" t="s">
        <v>156</v>
      </c>
      <c r="D153" s="192"/>
      <c r="E153" s="192"/>
      <c r="F153" s="192"/>
      <c r="G153" s="192">
        <f>12722304.3950716*K234</f>
        <v>13489725.745381435</v>
      </c>
      <c r="H153" s="193">
        <f t="shared" ref="H153:H167" si="10">IFERROR(AVERAGE(D153:G153),0)/1000000</f>
        <v>13.489725745381435</v>
      </c>
      <c r="I153" s="192">
        <f t="shared" ref="I153:I167" si="11">(H153*1000000)/$I$2</f>
        <v>1482.3874445474105</v>
      </c>
      <c r="J153" s="121" t="s">
        <v>3375</v>
      </c>
      <c r="K153" s="96"/>
    </row>
    <row r="154" spans="1:14" ht="25.5" x14ac:dyDescent="0.8">
      <c r="A154" s="194">
        <v>6</v>
      </c>
      <c r="B154" s="195" t="s">
        <v>3378</v>
      </c>
      <c r="C154" s="194" t="s">
        <v>241</v>
      </c>
      <c r="D154" s="192"/>
      <c r="E154" s="192"/>
      <c r="F154" s="192"/>
      <c r="G154" s="192">
        <f>23673243.1732805*K234</f>
        <v>25101235.436167225</v>
      </c>
      <c r="H154" s="193">
        <f t="shared" si="10"/>
        <v>25.101235436167226</v>
      </c>
      <c r="I154" s="192">
        <f t="shared" si="11"/>
        <v>2758.377520457937</v>
      </c>
      <c r="J154" s="121" t="s">
        <v>3375</v>
      </c>
      <c r="K154" s="96"/>
    </row>
    <row r="155" spans="1:14" ht="38.25" x14ac:dyDescent="0.8">
      <c r="A155" s="194">
        <v>6</v>
      </c>
      <c r="B155" s="195" t="s">
        <v>3379</v>
      </c>
      <c r="C155" s="194" t="s">
        <v>424</v>
      </c>
      <c r="D155" s="192"/>
      <c r="E155" s="192"/>
      <c r="F155" s="192"/>
      <c r="G155" s="192">
        <f>22642370.9060321*K234</f>
        <v>24008179.985529881</v>
      </c>
      <c r="H155" s="193">
        <f t="shared" si="10"/>
        <v>24.008179985529882</v>
      </c>
      <c r="I155" s="192">
        <f t="shared" si="11"/>
        <v>2638.2615368714155</v>
      </c>
      <c r="J155" s="121" t="s">
        <v>3375</v>
      </c>
      <c r="K155" s="96"/>
    </row>
    <row r="156" spans="1:14" ht="25.5" x14ac:dyDescent="0.8">
      <c r="A156" s="194">
        <v>6</v>
      </c>
      <c r="B156" s="195" t="s">
        <v>3380</v>
      </c>
      <c r="C156" s="194" t="s">
        <v>3381</v>
      </c>
      <c r="D156" s="192"/>
      <c r="E156" s="192"/>
      <c r="F156" s="192"/>
      <c r="G156" s="192">
        <f>6162980.28*K234</f>
        <v>6534737.038959695</v>
      </c>
      <c r="H156" s="193">
        <f t="shared" si="10"/>
        <v>6.5347370389596948</v>
      </c>
      <c r="I156" s="192">
        <f t="shared" si="11"/>
        <v>718.10297131425216</v>
      </c>
      <c r="J156" s="121" t="s">
        <v>3375</v>
      </c>
      <c r="K156" s="96"/>
    </row>
    <row r="157" spans="1:14" ht="25.5" x14ac:dyDescent="0.8">
      <c r="A157" s="194">
        <v>6</v>
      </c>
      <c r="B157" s="195" t="s">
        <v>3382</v>
      </c>
      <c r="C157" s="194" t="s">
        <v>554</v>
      </c>
      <c r="D157" s="192"/>
      <c r="E157" s="192"/>
      <c r="F157" s="192"/>
      <c r="G157" s="192">
        <f>33354875.852971*K234</f>
        <v>35366873.292398706</v>
      </c>
      <c r="H157" s="193">
        <f t="shared" si="10"/>
        <v>35.366873292398708</v>
      </c>
      <c r="I157" s="192">
        <f t="shared" si="11"/>
        <v>3886.4695925712863</v>
      </c>
      <c r="J157" s="121" t="s">
        <v>3375</v>
      </c>
      <c r="K157" s="96"/>
    </row>
    <row r="158" spans="1:14" ht="25.5" x14ac:dyDescent="0.8">
      <c r="A158" s="194">
        <v>6</v>
      </c>
      <c r="B158" s="195" t="s">
        <v>3383</v>
      </c>
      <c r="C158" s="194" t="s">
        <v>3384</v>
      </c>
      <c r="D158" s="192"/>
      <c r="E158" s="192"/>
      <c r="F158" s="192"/>
      <c r="G158" s="192">
        <f>10357515.7897752*K234</f>
        <v>10982290.870327735</v>
      </c>
      <c r="H158" s="193">
        <f t="shared" si="10"/>
        <v>10.982290870327736</v>
      </c>
      <c r="I158" s="192">
        <f t="shared" si="11"/>
        <v>1206.8451505854655</v>
      </c>
      <c r="J158" s="121" t="s">
        <v>3375</v>
      </c>
      <c r="K158" s="96"/>
    </row>
    <row r="159" spans="1:14" ht="25.5" x14ac:dyDescent="0.8">
      <c r="A159" s="194">
        <v>6</v>
      </c>
      <c r="B159" s="195" t="s">
        <v>3385</v>
      </c>
      <c r="C159" s="194" t="s">
        <v>150</v>
      </c>
      <c r="D159" s="192"/>
      <c r="E159" s="192"/>
      <c r="F159" s="192"/>
      <c r="G159" s="192">
        <f>43906539430.6826*K234</f>
        <v>46555023127.581047</v>
      </c>
      <c r="H159" s="193">
        <f t="shared" si="10"/>
        <v>46555.023127581044</v>
      </c>
      <c r="I159" s="192">
        <f t="shared" si="11"/>
        <v>5115936.6074264888</v>
      </c>
      <c r="J159" s="121" t="s">
        <v>3375</v>
      </c>
      <c r="K159" s="186"/>
      <c r="L159" s="187"/>
      <c r="M159" s="187"/>
      <c r="N159" s="187">
        <f>M159*130%</f>
        <v>0</v>
      </c>
    </row>
    <row r="160" spans="1:14" ht="25.5" x14ac:dyDescent="0.8">
      <c r="A160" s="194">
        <v>6</v>
      </c>
      <c r="B160" s="195" t="s">
        <v>3386</v>
      </c>
      <c r="C160" s="194" t="s">
        <v>258</v>
      </c>
      <c r="D160" s="192"/>
      <c r="E160" s="192"/>
      <c r="F160" s="192"/>
      <c r="G160" s="192">
        <v>853398985436.31702</v>
      </c>
      <c r="H160" s="193">
        <f t="shared" si="10"/>
        <v>853398.98543631705</v>
      </c>
      <c r="I160" s="192">
        <f t="shared" si="11"/>
        <v>93780108.289705172</v>
      </c>
      <c r="J160" s="121" t="s">
        <v>3375</v>
      </c>
      <c r="K160" s="186"/>
      <c r="L160" s="187"/>
      <c r="M160" s="187"/>
      <c r="N160" s="187">
        <f>M160*130%</f>
        <v>0</v>
      </c>
    </row>
    <row r="161" spans="1:14" ht="25.5" x14ac:dyDescent="0.8">
      <c r="A161" s="194">
        <v>6</v>
      </c>
      <c r="B161" s="195" t="s">
        <v>3387</v>
      </c>
      <c r="C161" s="194" t="s">
        <v>426</v>
      </c>
      <c r="D161" s="192"/>
      <c r="E161" s="192"/>
      <c r="F161" s="192"/>
      <c r="G161" s="192">
        <v>217355719702.71701</v>
      </c>
      <c r="H161" s="193">
        <f t="shared" si="10"/>
        <v>217355.719702717</v>
      </c>
      <c r="I161" s="192">
        <f t="shared" si="11"/>
        <v>23885243.923375495</v>
      </c>
      <c r="J161" s="121" t="s">
        <v>3375</v>
      </c>
      <c r="K161" s="186"/>
      <c r="L161" s="187"/>
      <c r="M161" s="187"/>
      <c r="N161" s="187">
        <f>M161*130%</f>
        <v>0</v>
      </c>
    </row>
    <row r="162" spans="1:14" ht="25.5" x14ac:dyDescent="0.8">
      <c r="A162" s="194">
        <v>6</v>
      </c>
      <c r="B162" s="195" t="s">
        <v>3388</v>
      </c>
      <c r="C162" s="194" t="s">
        <v>557</v>
      </c>
      <c r="D162" s="192"/>
      <c r="E162" s="192"/>
      <c r="F162" s="192"/>
      <c r="G162" s="192">
        <v>105961457681.81</v>
      </c>
      <c r="H162" s="193">
        <f t="shared" si="10"/>
        <v>105961.45768181</v>
      </c>
      <c r="I162" s="192">
        <f t="shared" si="11"/>
        <v>11644116.228770329</v>
      </c>
      <c r="J162" s="121" t="s">
        <v>3375</v>
      </c>
      <c r="K162" s="186"/>
      <c r="L162" s="187"/>
      <c r="M162" s="187"/>
      <c r="N162" s="187">
        <f>M162*130%</f>
        <v>0</v>
      </c>
    </row>
    <row r="163" spans="1:14" ht="38.25" x14ac:dyDescent="0.8">
      <c r="A163" s="194">
        <v>6</v>
      </c>
      <c r="B163" s="195" t="s">
        <v>3389</v>
      </c>
      <c r="C163" s="194" t="s">
        <v>2158</v>
      </c>
      <c r="D163" s="192"/>
      <c r="E163" s="192"/>
      <c r="F163" s="192"/>
      <c r="G163" s="192">
        <v>191872632967.95148</v>
      </c>
      <c r="H163" s="193">
        <f t="shared" si="10"/>
        <v>191872.63296795147</v>
      </c>
      <c r="I163" s="192">
        <f t="shared" si="11"/>
        <v>21084904.721752908</v>
      </c>
      <c r="J163" s="121" t="s">
        <v>3375</v>
      </c>
      <c r="K163" s="186"/>
      <c r="L163" s="187"/>
      <c r="M163" s="187"/>
      <c r="N163" s="187">
        <v>0</v>
      </c>
    </row>
    <row r="164" spans="1:14" ht="38.25" x14ac:dyDescent="0.8">
      <c r="A164" s="194">
        <v>6</v>
      </c>
      <c r="B164" s="196" t="s">
        <v>3390</v>
      </c>
      <c r="C164" s="197" t="s">
        <v>2160</v>
      </c>
      <c r="D164" s="192"/>
      <c r="E164" s="192"/>
      <c r="F164" s="192"/>
      <c r="G164" s="192">
        <v>14578589454.048</v>
      </c>
      <c r="H164" s="193">
        <f t="shared" si="10"/>
        <v>14578.589454048</v>
      </c>
      <c r="I164" s="192">
        <f t="shared" si="11"/>
        <v>1602042.797148132</v>
      </c>
      <c r="J164" s="121" t="s">
        <v>3375</v>
      </c>
      <c r="K164" s="186"/>
      <c r="L164" s="187"/>
      <c r="M164" s="187"/>
      <c r="N164" s="187">
        <v>0</v>
      </c>
    </row>
    <row r="165" spans="1:14" ht="25.5" x14ac:dyDescent="0.8">
      <c r="A165" s="194">
        <v>6</v>
      </c>
      <c r="B165" s="196" t="s">
        <v>3391</v>
      </c>
      <c r="C165" s="197" t="s">
        <v>1322</v>
      </c>
      <c r="D165" s="192"/>
      <c r="E165" s="192"/>
      <c r="F165" s="192"/>
      <c r="G165" s="192">
        <v>70656731413.700897</v>
      </c>
      <c r="H165" s="193">
        <f t="shared" si="10"/>
        <v>70656.731413700894</v>
      </c>
      <c r="I165" s="192">
        <f t="shared" si="11"/>
        <v>7764475.9795275712</v>
      </c>
      <c r="J165" s="121" t="s">
        <v>3375</v>
      </c>
      <c r="K165" s="186"/>
      <c r="L165" s="187"/>
      <c r="M165" s="187"/>
      <c r="N165" s="187">
        <v>0</v>
      </c>
    </row>
    <row r="166" spans="1:14" ht="25.5" x14ac:dyDescent="0.8">
      <c r="A166" s="194">
        <v>6</v>
      </c>
      <c r="B166" s="196" t="s">
        <v>3392</v>
      </c>
      <c r="C166" s="197" t="s">
        <v>716</v>
      </c>
      <c r="D166" s="192"/>
      <c r="E166" s="192"/>
      <c r="F166" s="192"/>
      <c r="G166" s="192">
        <v>9719135888.5830708</v>
      </c>
      <c r="H166" s="193">
        <f t="shared" si="10"/>
        <v>9719.1358885830705</v>
      </c>
      <c r="I166" s="192">
        <f t="shared" si="11"/>
        <v>1068036.9108333045</v>
      </c>
      <c r="J166" s="121" t="s">
        <v>3375</v>
      </c>
      <c r="K166" s="186"/>
      <c r="L166" s="187"/>
      <c r="M166" s="187"/>
      <c r="N166" s="187">
        <v>0</v>
      </c>
    </row>
    <row r="167" spans="1:14" ht="25.5" x14ac:dyDescent="0.8">
      <c r="A167" s="194">
        <v>6</v>
      </c>
      <c r="B167" s="196" t="s">
        <v>3393</v>
      </c>
      <c r="C167" s="197" t="s">
        <v>1722</v>
      </c>
      <c r="D167" s="192"/>
      <c r="E167" s="192"/>
      <c r="F167" s="192"/>
      <c r="G167" s="192">
        <v>255321596485.922</v>
      </c>
      <c r="H167" s="193">
        <f t="shared" si="10"/>
        <v>255321.596485922</v>
      </c>
      <c r="I167" s="192">
        <f t="shared" si="11"/>
        <v>28057318.295156263</v>
      </c>
      <c r="J167" s="121" t="s">
        <v>3375</v>
      </c>
      <c r="K167" s="186"/>
      <c r="L167" s="187"/>
      <c r="M167" s="187"/>
      <c r="N167" s="187">
        <f>M167*130%</f>
        <v>0</v>
      </c>
    </row>
    <row r="168" spans="1:14" ht="25.5" x14ac:dyDescent="0.8">
      <c r="A168" s="198">
        <v>7</v>
      </c>
      <c r="B168" s="199" t="s">
        <v>3394</v>
      </c>
      <c r="C168" s="200"/>
      <c r="D168" s="201"/>
      <c r="E168" s="201"/>
      <c r="F168" s="201"/>
      <c r="G168" s="201"/>
      <c r="H168" s="202"/>
      <c r="I168" s="201"/>
      <c r="J168" s="121" t="s">
        <v>3395</v>
      </c>
      <c r="K168" s="96"/>
    </row>
    <row r="169" spans="1:14" ht="25.5" x14ac:dyDescent="0.8">
      <c r="A169" s="200">
        <v>7</v>
      </c>
      <c r="B169" s="203" t="s">
        <v>3396</v>
      </c>
      <c r="C169" s="200" t="s">
        <v>84</v>
      </c>
      <c r="D169" s="201"/>
      <c r="E169" s="201"/>
      <c r="F169" s="201"/>
      <c r="G169" s="201">
        <v>250000</v>
      </c>
      <c r="H169" s="202">
        <f>IFERROR(AVERAGE(D169:G169),0)/1000000</f>
        <v>0.25</v>
      </c>
      <c r="I169" s="201">
        <f>(H169*1000000)/$I$2</f>
        <v>27.472527472527471</v>
      </c>
      <c r="J169" s="121" t="s">
        <v>3395</v>
      </c>
      <c r="K169" s="96"/>
    </row>
    <row r="170" spans="1:14" ht="25.5" x14ac:dyDescent="0.8">
      <c r="A170" s="200">
        <v>7</v>
      </c>
      <c r="B170" s="204" t="s">
        <v>3397</v>
      </c>
      <c r="C170" s="200" t="s">
        <v>3398</v>
      </c>
      <c r="D170" s="201"/>
      <c r="E170" s="201"/>
      <c r="F170" s="201"/>
      <c r="G170" s="201">
        <v>600000</v>
      </c>
      <c r="H170" s="202">
        <f t="shared" ref="H170:H195" si="12">IFERROR(AVERAGE(D170:G170),0)/1000000</f>
        <v>0.6</v>
      </c>
      <c r="I170" s="201">
        <f t="shared" ref="I170:I195" si="13">(H170*1000000)/$I$2</f>
        <v>65.934065934065927</v>
      </c>
      <c r="J170" s="121" t="s">
        <v>3395</v>
      </c>
      <c r="K170" s="96"/>
    </row>
    <row r="171" spans="1:14" ht="25.5" x14ac:dyDescent="0.8">
      <c r="A171" s="200">
        <v>7</v>
      </c>
      <c r="B171" s="204" t="s">
        <v>3399</v>
      </c>
      <c r="C171" s="200" t="s">
        <v>2574</v>
      </c>
      <c r="D171" s="201"/>
      <c r="E171" s="201"/>
      <c r="F171" s="201"/>
      <c r="G171" s="201">
        <f>100000000</f>
        <v>100000000</v>
      </c>
      <c r="H171" s="202">
        <f t="shared" si="12"/>
        <v>100</v>
      </c>
      <c r="I171" s="201">
        <f t="shared" si="13"/>
        <v>10989.010989010989</v>
      </c>
      <c r="J171" s="121" t="s">
        <v>3395</v>
      </c>
      <c r="K171" s="96"/>
    </row>
    <row r="172" spans="1:14" ht="25.5" x14ac:dyDescent="0.8">
      <c r="A172" s="200">
        <v>7</v>
      </c>
      <c r="B172" s="203" t="s">
        <v>3400</v>
      </c>
      <c r="C172" s="200" t="s">
        <v>627</v>
      </c>
      <c r="D172" s="201"/>
      <c r="E172" s="201">
        <v>50000</v>
      </c>
      <c r="F172" s="201"/>
      <c r="G172" s="201"/>
      <c r="H172" s="202">
        <f t="shared" si="12"/>
        <v>0.05</v>
      </c>
      <c r="I172" s="201">
        <f t="shared" si="13"/>
        <v>5.4945054945054945</v>
      </c>
      <c r="J172" s="121" t="s">
        <v>3395</v>
      </c>
      <c r="K172" s="96"/>
    </row>
    <row r="173" spans="1:14" ht="25.5" x14ac:dyDescent="0.8">
      <c r="A173" s="200">
        <v>7</v>
      </c>
      <c r="B173" s="203" t="s">
        <v>3401</v>
      </c>
      <c r="C173" s="200" t="s">
        <v>629</v>
      </c>
      <c r="D173" s="201"/>
      <c r="E173" s="201">
        <v>50000</v>
      </c>
      <c r="F173" s="201"/>
      <c r="G173" s="201"/>
      <c r="H173" s="202">
        <f t="shared" si="12"/>
        <v>0.05</v>
      </c>
      <c r="I173" s="201">
        <f t="shared" si="13"/>
        <v>5.4945054945054945</v>
      </c>
      <c r="J173" s="121" t="s">
        <v>3395</v>
      </c>
      <c r="K173" s="96"/>
    </row>
    <row r="174" spans="1:14" ht="25.5" x14ac:dyDescent="0.8">
      <c r="A174" s="200">
        <v>7</v>
      </c>
      <c r="B174" s="203" t="s">
        <v>3402</v>
      </c>
      <c r="C174" s="200" t="s">
        <v>639</v>
      </c>
      <c r="D174" s="201">
        <v>100000</v>
      </c>
      <c r="E174" s="201"/>
      <c r="F174" s="201"/>
      <c r="G174" s="201"/>
      <c r="H174" s="202">
        <f t="shared" si="12"/>
        <v>0.1</v>
      </c>
      <c r="I174" s="201">
        <f t="shared" si="13"/>
        <v>10.989010989010989</v>
      </c>
      <c r="J174" s="121" t="s">
        <v>3395</v>
      </c>
      <c r="K174" s="96"/>
    </row>
    <row r="175" spans="1:14" ht="38.25" x14ac:dyDescent="0.8">
      <c r="A175" s="200">
        <v>7</v>
      </c>
      <c r="B175" s="203" t="s">
        <v>3403</v>
      </c>
      <c r="C175" s="200" t="s">
        <v>324</v>
      </c>
      <c r="D175" s="201"/>
      <c r="E175" s="201">
        <v>2000000</v>
      </c>
      <c r="F175" s="201"/>
      <c r="G175" s="201"/>
      <c r="H175" s="202">
        <f t="shared" si="12"/>
        <v>2</v>
      </c>
      <c r="I175" s="201">
        <f t="shared" si="13"/>
        <v>219.78021978021977</v>
      </c>
      <c r="J175" s="121" t="s">
        <v>3395</v>
      </c>
      <c r="K175" s="96"/>
    </row>
    <row r="176" spans="1:14" ht="38.25" x14ac:dyDescent="0.8">
      <c r="A176" s="200">
        <v>7</v>
      </c>
      <c r="B176" s="203" t="s">
        <v>3404</v>
      </c>
      <c r="C176" s="200" t="s">
        <v>458</v>
      </c>
      <c r="D176" s="201"/>
      <c r="E176" s="201">
        <v>100000000</v>
      </c>
      <c r="F176" s="201"/>
      <c r="G176" s="201"/>
      <c r="H176" s="202">
        <f t="shared" si="12"/>
        <v>100</v>
      </c>
      <c r="I176" s="201">
        <f t="shared" si="13"/>
        <v>10989.010989010989</v>
      </c>
      <c r="J176" s="121" t="s">
        <v>3395</v>
      </c>
      <c r="K176" s="96"/>
    </row>
    <row r="177" spans="1:11" ht="38.25" x14ac:dyDescent="0.8">
      <c r="A177" s="200">
        <v>7</v>
      </c>
      <c r="B177" s="203" t="s">
        <v>3405</v>
      </c>
      <c r="C177" s="200" t="s">
        <v>491</v>
      </c>
      <c r="D177" s="201"/>
      <c r="E177" s="201"/>
      <c r="F177" s="201"/>
      <c r="G177" s="201">
        <f>((442375.25*9500)/4601)*600</f>
        <v>548041496.41382301</v>
      </c>
      <c r="H177" s="202">
        <f t="shared" si="12"/>
        <v>548.04149641382298</v>
      </c>
      <c r="I177" s="201">
        <f t="shared" si="13"/>
        <v>60224.340265255276</v>
      </c>
      <c r="J177" s="121" t="s">
        <v>3395</v>
      </c>
      <c r="K177" s="96"/>
    </row>
    <row r="178" spans="1:11" ht="51" x14ac:dyDescent="0.8">
      <c r="A178" s="200">
        <v>7</v>
      </c>
      <c r="B178" s="204" t="s">
        <v>3406</v>
      </c>
      <c r="C178" s="200" t="s">
        <v>1036</v>
      </c>
      <c r="D178" s="201"/>
      <c r="E178" s="205">
        <v>185475000</v>
      </c>
      <c r="F178" s="206"/>
      <c r="G178" s="201"/>
      <c r="H178" s="202">
        <f t="shared" si="12"/>
        <v>185.47499999999999</v>
      </c>
      <c r="I178" s="201">
        <f t="shared" si="13"/>
        <v>20381.86813186813</v>
      </c>
      <c r="J178" s="121" t="s">
        <v>3395</v>
      </c>
      <c r="K178" s="96"/>
    </row>
    <row r="179" spans="1:11" ht="38.25" x14ac:dyDescent="0.8">
      <c r="A179" s="200">
        <v>7</v>
      </c>
      <c r="B179" s="204" t="s">
        <v>3407</v>
      </c>
      <c r="C179" s="200" t="s">
        <v>3408</v>
      </c>
      <c r="D179" s="201"/>
      <c r="E179" s="206"/>
      <c r="F179" s="205">
        <v>100000000</v>
      </c>
      <c r="G179" s="201"/>
      <c r="H179" s="202">
        <f t="shared" si="12"/>
        <v>100</v>
      </c>
      <c r="I179" s="201">
        <f t="shared" si="13"/>
        <v>10989.010989010989</v>
      </c>
      <c r="J179" s="121" t="s">
        <v>3395</v>
      </c>
      <c r="K179" s="96"/>
    </row>
    <row r="180" spans="1:11" ht="51" x14ac:dyDescent="0.8">
      <c r="A180" s="200">
        <v>7</v>
      </c>
      <c r="B180" s="204" t="s">
        <v>3409</v>
      </c>
      <c r="C180" s="200" t="s">
        <v>1749</v>
      </c>
      <c r="D180" s="201"/>
      <c r="E180" s="206"/>
      <c r="F180" s="205"/>
      <c r="G180" s="201">
        <f>1000000000</f>
        <v>1000000000</v>
      </c>
      <c r="H180" s="202">
        <f t="shared" si="12"/>
        <v>1000</v>
      </c>
      <c r="I180" s="201">
        <f>(H180*1000000)/$I$2</f>
        <v>109890.10989010989</v>
      </c>
      <c r="J180" s="121" t="s">
        <v>3395</v>
      </c>
      <c r="K180" s="96"/>
    </row>
    <row r="181" spans="1:11" ht="25.5" x14ac:dyDescent="0.8">
      <c r="A181" s="200">
        <v>7</v>
      </c>
      <c r="B181" s="204" t="s">
        <v>3410</v>
      </c>
      <c r="C181" s="207" t="s">
        <v>594</v>
      </c>
      <c r="D181" s="201"/>
      <c r="E181" s="205">
        <v>1500000</v>
      </c>
      <c r="F181" s="201"/>
      <c r="G181" s="201"/>
      <c r="H181" s="202">
        <f t="shared" si="12"/>
        <v>1.5</v>
      </c>
      <c r="I181" s="201">
        <f>(H181*1000000)/$I$2</f>
        <v>164.83516483516485</v>
      </c>
      <c r="J181" s="121" t="s">
        <v>3395</v>
      </c>
      <c r="K181" s="96"/>
    </row>
    <row r="182" spans="1:11" ht="25.5" x14ac:dyDescent="0.8">
      <c r="A182" s="200">
        <v>7</v>
      </c>
      <c r="B182" s="203" t="s">
        <v>3411</v>
      </c>
      <c r="C182" s="200" t="s">
        <v>2607</v>
      </c>
      <c r="D182" s="201"/>
      <c r="E182" s="201">
        <v>20175000</v>
      </c>
      <c r="F182" s="201"/>
      <c r="G182" s="201"/>
      <c r="H182" s="202">
        <f t="shared" si="12"/>
        <v>20.175000000000001</v>
      </c>
      <c r="I182" s="201">
        <f t="shared" si="13"/>
        <v>2217.032967032967</v>
      </c>
      <c r="J182" s="121" t="s">
        <v>3395</v>
      </c>
      <c r="K182" s="96"/>
    </row>
    <row r="183" spans="1:11" ht="25.5" x14ac:dyDescent="0.8">
      <c r="A183" s="200">
        <v>7</v>
      </c>
      <c r="B183" s="204" t="s">
        <v>3412</v>
      </c>
      <c r="C183" s="208" t="s">
        <v>1366</v>
      </c>
      <c r="D183" s="205"/>
      <c r="E183" s="201"/>
      <c r="F183" s="201"/>
      <c r="G183" s="201">
        <v>16876081738.4408</v>
      </c>
      <c r="H183" s="202">
        <f t="shared" si="12"/>
        <v>16876.0817384408</v>
      </c>
      <c r="I183" s="201">
        <f t="shared" si="13"/>
        <v>1854514.4767517361</v>
      </c>
      <c r="J183" s="121" t="s">
        <v>3395</v>
      </c>
      <c r="K183" s="96"/>
    </row>
    <row r="184" spans="1:11" ht="25.5" x14ac:dyDescent="0.8">
      <c r="A184" s="200">
        <v>7</v>
      </c>
      <c r="B184" s="204" t="s">
        <v>3413</v>
      </c>
      <c r="C184" s="208" t="s">
        <v>1656</v>
      </c>
      <c r="D184" s="205"/>
      <c r="E184" s="201"/>
      <c r="F184" s="201"/>
      <c r="G184" s="201">
        <v>52229201482.749199</v>
      </c>
      <c r="H184" s="202">
        <f t="shared" si="12"/>
        <v>52229.201482749202</v>
      </c>
      <c r="I184" s="201">
        <f t="shared" si="13"/>
        <v>5739472.6904119998</v>
      </c>
      <c r="J184" s="121" t="s">
        <v>3395</v>
      </c>
      <c r="K184" s="96"/>
    </row>
    <row r="185" spans="1:11" ht="25.5" x14ac:dyDescent="0.8">
      <c r="A185" s="200">
        <v>7</v>
      </c>
      <c r="B185" s="204" t="s">
        <v>3414</v>
      </c>
      <c r="C185" s="208" t="s">
        <v>1659</v>
      </c>
      <c r="D185" s="205"/>
      <c r="E185" s="201"/>
      <c r="F185" s="201"/>
      <c r="G185" s="201">
        <v>61533247835.2789</v>
      </c>
      <c r="H185" s="202">
        <f t="shared" si="12"/>
        <v>61533.247835278897</v>
      </c>
      <c r="I185" s="201">
        <f t="shared" si="13"/>
        <v>6761895.366514165</v>
      </c>
      <c r="J185" s="121" t="s">
        <v>3395</v>
      </c>
      <c r="K185" s="96"/>
    </row>
    <row r="186" spans="1:11" ht="25.5" x14ac:dyDescent="0.8">
      <c r="A186" s="200">
        <v>7</v>
      </c>
      <c r="B186" s="204" t="s">
        <v>3415</v>
      </c>
      <c r="C186" s="208" t="s">
        <v>1661</v>
      </c>
      <c r="D186" s="205"/>
      <c r="E186" s="201"/>
      <c r="F186" s="201"/>
      <c r="G186" s="201">
        <v>91174700000</v>
      </c>
      <c r="H186" s="202">
        <f t="shared" si="12"/>
        <v>91174.7</v>
      </c>
      <c r="I186" s="201">
        <f t="shared" si="13"/>
        <v>10019197.802197803</v>
      </c>
      <c r="J186" s="121" t="s">
        <v>3395</v>
      </c>
      <c r="K186" s="96"/>
    </row>
    <row r="187" spans="1:11" ht="25.5" x14ac:dyDescent="0.8">
      <c r="A187" s="200">
        <v>7</v>
      </c>
      <c r="B187" s="204" t="s">
        <v>3416</v>
      </c>
      <c r="C187" s="209" t="s">
        <v>1732</v>
      </c>
      <c r="D187" s="201"/>
      <c r="E187" s="201"/>
      <c r="F187" s="205">
        <v>300000</v>
      </c>
      <c r="G187" s="201"/>
      <c r="H187" s="202">
        <f t="shared" si="12"/>
        <v>0.3</v>
      </c>
      <c r="I187" s="201">
        <f t="shared" si="13"/>
        <v>32.967032967032964</v>
      </c>
      <c r="J187" s="121" t="s">
        <v>3395</v>
      </c>
      <c r="K187" s="96"/>
    </row>
    <row r="188" spans="1:11" ht="25.5" x14ac:dyDescent="0.8">
      <c r="A188" s="200">
        <v>7</v>
      </c>
      <c r="B188" s="204" t="s">
        <v>3417</v>
      </c>
      <c r="C188" s="208" t="s">
        <v>1812</v>
      </c>
      <c r="D188" s="201"/>
      <c r="E188" s="201"/>
      <c r="F188" s="205">
        <v>1000000000</v>
      </c>
      <c r="G188" s="201"/>
      <c r="H188" s="202">
        <f t="shared" si="12"/>
        <v>1000</v>
      </c>
      <c r="I188" s="201">
        <f t="shared" si="13"/>
        <v>109890.10989010989</v>
      </c>
      <c r="J188" s="121" t="s">
        <v>3395</v>
      </c>
      <c r="K188" s="96"/>
    </row>
    <row r="189" spans="1:11" ht="25.5" x14ac:dyDescent="0.8">
      <c r="A189" s="200">
        <v>7</v>
      </c>
      <c r="B189" s="204" t="s">
        <v>3418</v>
      </c>
      <c r="C189" s="208" t="s">
        <v>1362</v>
      </c>
      <c r="D189" s="205">
        <v>1800000</v>
      </c>
      <c r="E189" s="201"/>
      <c r="F189" s="201"/>
      <c r="G189" s="201"/>
      <c r="H189" s="202">
        <f t="shared" si="12"/>
        <v>1.8</v>
      </c>
      <c r="I189" s="201">
        <f t="shared" si="13"/>
        <v>197.80219780219781</v>
      </c>
      <c r="J189" s="121" t="s">
        <v>3395</v>
      </c>
      <c r="K189" s="96"/>
    </row>
    <row r="190" spans="1:11" ht="38.25" x14ac:dyDescent="0.8">
      <c r="A190" s="200">
        <v>7</v>
      </c>
      <c r="B190" s="203" t="s">
        <v>3419</v>
      </c>
      <c r="C190" s="209" t="s">
        <v>611</v>
      </c>
      <c r="D190" s="201"/>
      <c r="E190" s="201">
        <v>41190000</v>
      </c>
      <c r="F190" s="201"/>
      <c r="G190" s="201"/>
      <c r="H190" s="202">
        <f t="shared" si="12"/>
        <v>41.19</v>
      </c>
      <c r="I190" s="201">
        <f t="shared" si="13"/>
        <v>4526.3736263736264</v>
      </c>
      <c r="J190" s="121" t="s">
        <v>3395</v>
      </c>
      <c r="K190" s="96"/>
    </row>
    <row r="191" spans="1:11" ht="25.5" x14ac:dyDescent="0.8">
      <c r="A191" s="200">
        <v>7</v>
      </c>
      <c r="B191" s="203" t="s">
        <v>3420</v>
      </c>
      <c r="C191" s="209" t="s">
        <v>615</v>
      </c>
      <c r="D191" s="201"/>
      <c r="E191" s="201">
        <v>250000</v>
      </c>
      <c r="F191" s="201"/>
      <c r="G191" s="201"/>
      <c r="H191" s="202">
        <f t="shared" si="12"/>
        <v>0.25</v>
      </c>
      <c r="I191" s="201">
        <f t="shared" si="13"/>
        <v>27.472527472527471</v>
      </c>
      <c r="J191" s="121" t="s">
        <v>3395</v>
      </c>
      <c r="K191" s="96"/>
    </row>
    <row r="192" spans="1:11" ht="38.25" x14ac:dyDescent="0.8">
      <c r="A192" s="200">
        <v>7</v>
      </c>
      <c r="B192" s="203" t="s">
        <v>3421</v>
      </c>
      <c r="C192" s="209" t="s">
        <v>1380</v>
      </c>
      <c r="D192" s="210"/>
      <c r="E192" s="210"/>
      <c r="F192" s="210"/>
      <c r="G192" s="210">
        <v>20000000</v>
      </c>
      <c r="H192" s="202">
        <f t="shared" si="12"/>
        <v>20</v>
      </c>
      <c r="I192" s="201">
        <f t="shared" si="13"/>
        <v>2197.802197802198</v>
      </c>
      <c r="J192" s="121" t="s">
        <v>3395</v>
      </c>
      <c r="K192" s="96"/>
    </row>
    <row r="193" spans="1:11" ht="51" x14ac:dyDescent="0.8">
      <c r="A193" s="200">
        <v>7</v>
      </c>
      <c r="B193" s="204" t="s">
        <v>3422</v>
      </c>
      <c r="C193" s="209" t="s">
        <v>851</v>
      </c>
      <c r="D193" s="210"/>
      <c r="E193" s="210"/>
      <c r="F193" s="210"/>
      <c r="G193" s="210">
        <f>(100000*9500)</f>
        <v>950000000</v>
      </c>
      <c r="H193" s="202">
        <f t="shared" si="12"/>
        <v>950</v>
      </c>
      <c r="I193" s="201">
        <f t="shared" si="13"/>
        <v>104395.6043956044</v>
      </c>
      <c r="J193" s="121" t="s">
        <v>3395</v>
      </c>
      <c r="K193" s="96"/>
    </row>
    <row r="194" spans="1:11" ht="25.5" x14ac:dyDescent="0.8">
      <c r="A194" s="200"/>
      <c r="B194" s="204" t="s">
        <v>3423</v>
      </c>
      <c r="C194" s="209" t="s">
        <v>281</v>
      </c>
      <c r="D194" s="210"/>
      <c r="E194" s="210"/>
      <c r="F194" s="210"/>
      <c r="G194" s="210">
        <v>16029660670.5131</v>
      </c>
      <c r="H194" s="202">
        <f t="shared" si="12"/>
        <v>16029.6606705131</v>
      </c>
      <c r="I194" s="201">
        <f t="shared" si="13"/>
        <v>1761501.1725838571</v>
      </c>
      <c r="J194" s="121" t="s">
        <v>3395</v>
      </c>
      <c r="K194" s="96"/>
    </row>
    <row r="195" spans="1:11" ht="25.5" x14ac:dyDescent="0.8">
      <c r="A195" s="200">
        <v>7</v>
      </c>
      <c r="B195" s="204" t="s">
        <v>3424</v>
      </c>
      <c r="C195" s="209" t="s">
        <v>200</v>
      </c>
      <c r="D195" s="210"/>
      <c r="E195" s="210"/>
      <c r="F195" s="210"/>
      <c r="G195" s="210">
        <v>1046000000</v>
      </c>
      <c r="H195" s="202">
        <f t="shared" si="12"/>
        <v>1046</v>
      </c>
      <c r="I195" s="201">
        <f t="shared" si="13"/>
        <v>114945.05494505494</v>
      </c>
      <c r="J195" s="121" t="s">
        <v>3395</v>
      </c>
      <c r="K195" s="96"/>
    </row>
    <row r="196" spans="1:11" x14ac:dyDescent="0.8">
      <c r="A196" s="211">
        <v>8</v>
      </c>
      <c r="B196" s="212" t="s">
        <v>167</v>
      </c>
      <c r="C196" s="213"/>
      <c r="D196" s="214"/>
      <c r="E196" s="214"/>
      <c r="F196" s="214"/>
      <c r="G196" s="214"/>
      <c r="H196" s="215"/>
      <c r="I196" s="214"/>
      <c r="J196" s="121" t="s">
        <v>1945</v>
      </c>
      <c r="K196" s="96"/>
    </row>
    <row r="197" spans="1:11" ht="38.25" x14ac:dyDescent="0.8">
      <c r="A197" s="216">
        <v>8</v>
      </c>
      <c r="B197" s="217" t="s">
        <v>3425</v>
      </c>
      <c r="C197" s="216" t="s">
        <v>3426</v>
      </c>
      <c r="D197" s="218">
        <v>208095947</v>
      </c>
      <c r="E197" s="218"/>
      <c r="F197" s="218"/>
      <c r="G197" s="218">
        <v>231000000</v>
      </c>
      <c r="H197" s="219">
        <f>IFERROR(AVERAGE(D197:G197),0)/1000000</f>
        <v>219.54797350000001</v>
      </c>
      <c r="I197" s="218">
        <f>(H197*1000000)/$I$2</f>
        <v>24126.150934065936</v>
      </c>
      <c r="J197" s="121" t="s">
        <v>1945</v>
      </c>
      <c r="K197" s="96"/>
    </row>
    <row r="198" spans="1:11" ht="25.5" x14ac:dyDescent="0.8">
      <c r="A198" s="216">
        <v>8</v>
      </c>
      <c r="B198" s="217" t="s">
        <v>3427</v>
      </c>
      <c r="C198" s="216" t="s">
        <v>3428</v>
      </c>
      <c r="D198" s="218">
        <v>53030903</v>
      </c>
      <c r="E198" s="218"/>
      <c r="F198" s="218"/>
      <c r="G198" s="218"/>
      <c r="H198" s="219">
        <f t="shared" ref="H198:H218" si="14">IFERROR(AVERAGE(D198:G198),0)/1000000</f>
        <v>53.030903000000002</v>
      </c>
      <c r="I198" s="218">
        <f t="shared" ref="I198:I218" si="15">(H198*1000000)/$I$2</f>
        <v>5827.5717582417583</v>
      </c>
      <c r="J198" s="121" t="s">
        <v>1945</v>
      </c>
      <c r="K198" s="96"/>
    </row>
    <row r="199" spans="1:11" ht="25.5" x14ac:dyDescent="0.8">
      <c r="A199" s="216">
        <v>8</v>
      </c>
      <c r="B199" s="217" t="s">
        <v>3429</v>
      </c>
      <c r="C199" s="213" t="s">
        <v>2087</v>
      </c>
      <c r="D199" s="214"/>
      <c r="E199" s="214"/>
      <c r="F199" s="214"/>
      <c r="G199" s="220">
        <f>3000*12*9500</f>
        <v>342000000</v>
      </c>
      <c r="H199" s="219">
        <f t="shared" si="14"/>
        <v>342</v>
      </c>
      <c r="I199" s="218">
        <f t="shared" si="15"/>
        <v>37582.417582417584</v>
      </c>
      <c r="J199" s="121" t="s">
        <v>1945</v>
      </c>
      <c r="K199" s="96"/>
    </row>
    <row r="200" spans="1:11" ht="38.25" x14ac:dyDescent="0.8">
      <c r="A200" s="216">
        <v>8</v>
      </c>
      <c r="B200" s="217" t="s">
        <v>3430</v>
      </c>
      <c r="C200" s="216" t="s">
        <v>3431</v>
      </c>
      <c r="D200" s="218">
        <v>10404797</v>
      </c>
      <c r="E200" s="218"/>
      <c r="F200" s="218"/>
      <c r="G200" s="218"/>
      <c r="H200" s="219">
        <f t="shared" si="14"/>
        <v>10.404797</v>
      </c>
      <c r="I200" s="218">
        <f t="shared" si="15"/>
        <v>1143.3842857142856</v>
      </c>
      <c r="J200" s="121" t="s">
        <v>1945</v>
      </c>
      <c r="K200" s="96"/>
    </row>
    <row r="201" spans="1:11" ht="25.5" x14ac:dyDescent="0.8">
      <c r="A201" s="216">
        <v>8</v>
      </c>
      <c r="B201" s="217" t="s">
        <v>3432</v>
      </c>
      <c r="C201" s="216" t="s">
        <v>1429</v>
      </c>
      <c r="D201" s="218">
        <v>2651545</v>
      </c>
      <c r="E201" s="218"/>
      <c r="F201" s="218"/>
      <c r="G201" s="218"/>
      <c r="H201" s="219">
        <f t="shared" si="14"/>
        <v>2.651545</v>
      </c>
      <c r="I201" s="218">
        <f t="shared" si="15"/>
        <v>291.37857142857143</v>
      </c>
      <c r="J201" s="121" t="s">
        <v>1945</v>
      </c>
      <c r="K201" s="96"/>
    </row>
    <row r="202" spans="1:11" ht="38.25" x14ac:dyDescent="0.8">
      <c r="A202" s="216">
        <v>8</v>
      </c>
      <c r="B202" s="217" t="s">
        <v>1703</v>
      </c>
      <c r="C202" s="213" t="s">
        <v>1704</v>
      </c>
      <c r="D202" s="218"/>
      <c r="E202" s="218"/>
      <c r="F202" s="221">
        <v>10000000000</v>
      </c>
      <c r="G202" s="218"/>
      <c r="H202" s="219">
        <f t="shared" si="14"/>
        <v>10000</v>
      </c>
      <c r="I202" s="218">
        <f t="shared" si="15"/>
        <v>1098901.0989010988</v>
      </c>
      <c r="J202" s="121" t="s">
        <v>3242</v>
      </c>
      <c r="K202" s="96"/>
    </row>
    <row r="203" spans="1:11" ht="25.5" x14ac:dyDescent="0.8">
      <c r="A203" s="216">
        <v>8</v>
      </c>
      <c r="B203" s="217" t="s">
        <v>3433</v>
      </c>
      <c r="C203" s="213" t="s">
        <v>1279</v>
      </c>
      <c r="D203" s="218">
        <v>3703140895</v>
      </c>
      <c r="E203" s="218"/>
      <c r="F203" s="218"/>
      <c r="G203" s="218"/>
      <c r="H203" s="219">
        <f t="shared" si="14"/>
        <v>3703.140895</v>
      </c>
      <c r="I203" s="218">
        <f t="shared" si="15"/>
        <v>406938.55989010987</v>
      </c>
      <c r="J203" s="121" t="s">
        <v>3242</v>
      </c>
      <c r="K203" s="96"/>
    </row>
    <row r="204" spans="1:11" x14ac:dyDescent="0.8">
      <c r="A204" s="216">
        <v>8</v>
      </c>
      <c r="B204" s="217" t="s">
        <v>3434</v>
      </c>
      <c r="C204" s="213" t="s">
        <v>308</v>
      </c>
      <c r="D204" s="218"/>
      <c r="E204" s="218"/>
      <c r="F204" s="218"/>
      <c r="G204" s="218">
        <f>((50000+40000)*9500)</f>
        <v>855000000</v>
      </c>
      <c r="H204" s="219">
        <f>IFERROR(AVERAGE(D204:G204),0)/1000000</f>
        <v>855</v>
      </c>
      <c r="I204" s="218">
        <f>(H204*1000000)/$I$2</f>
        <v>93956.043956043955</v>
      </c>
      <c r="J204" s="121" t="s">
        <v>1945</v>
      </c>
      <c r="K204" s="96"/>
    </row>
    <row r="205" spans="1:11" ht="25.5" x14ac:dyDescent="0.8">
      <c r="A205" s="216">
        <v>8</v>
      </c>
      <c r="B205" s="217" t="s">
        <v>166</v>
      </c>
      <c r="C205" s="213" t="s">
        <v>168</v>
      </c>
      <c r="D205" s="218"/>
      <c r="E205" s="218"/>
      <c r="F205" s="218"/>
      <c r="G205" s="218">
        <f>25000*10500</f>
        <v>262500000</v>
      </c>
      <c r="H205" s="219">
        <f t="shared" si="14"/>
        <v>262.5</v>
      </c>
      <c r="I205" s="218">
        <f t="shared" si="15"/>
        <v>28846.153846153848</v>
      </c>
      <c r="J205" s="121" t="s">
        <v>1945</v>
      </c>
      <c r="K205" s="96"/>
    </row>
    <row r="206" spans="1:11" ht="25.5" x14ac:dyDescent="0.8">
      <c r="A206" s="216">
        <v>8</v>
      </c>
      <c r="B206" s="217" t="s">
        <v>3435</v>
      </c>
      <c r="C206" s="213" t="s">
        <v>497</v>
      </c>
      <c r="D206" s="218"/>
      <c r="E206" s="218"/>
      <c r="F206" s="218"/>
      <c r="G206" s="218">
        <f>(30000*9500)</f>
        <v>285000000</v>
      </c>
      <c r="H206" s="219">
        <f t="shared" si="14"/>
        <v>285</v>
      </c>
      <c r="I206" s="218">
        <f t="shared" si="15"/>
        <v>31318.68131868132</v>
      </c>
      <c r="J206" s="121" t="s">
        <v>1945</v>
      </c>
      <c r="K206" s="96"/>
    </row>
    <row r="207" spans="1:11" ht="25.5" x14ac:dyDescent="0.8">
      <c r="A207" s="216">
        <v>8</v>
      </c>
      <c r="B207" s="217" t="s">
        <v>3436</v>
      </c>
      <c r="C207" s="213" t="s">
        <v>2123</v>
      </c>
      <c r="D207" s="218"/>
      <c r="E207" s="218"/>
      <c r="F207" s="218"/>
      <c r="G207" s="218">
        <f>115000*10500</f>
        <v>1207500000</v>
      </c>
      <c r="H207" s="219">
        <f t="shared" si="14"/>
        <v>1207.5</v>
      </c>
      <c r="I207" s="218">
        <f t="shared" si="15"/>
        <v>132692.30769230769</v>
      </c>
      <c r="J207" s="121" t="s">
        <v>1945</v>
      </c>
      <c r="K207" s="96"/>
    </row>
    <row r="208" spans="1:11" ht="38.25" x14ac:dyDescent="0.8">
      <c r="A208" s="216">
        <v>8</v>
      </c>
      <c r="B208" s="217" t="s">
        <v>3437</v>
      </c>
      <c r="C208" s="213" t="s">
        <v>992</v>
      </c>
      <c r="D208" s="218"/>
      <c r="E208" s="218"/>
      <c r="F208" s="218"/>
      <c r="G208" s="218">
        <f>(50000*9500)</f>
        <v>475000000</v>
      </c>
      <c r="H208" s="219">
        <f t="shared" si="14"/>
        <v>475</v>
      </c>
      <c r="I208" s="218">
        <f t="shared" si="15"/>
        <v>52197.802197802201</v>
      </c>
      <c r="J208" s="121" t="s">
        <v>1945</v>
      </c>
      <c r="K208" s="96"/>
    </row>
    <row r="209" spans="1:11" x14ac:dyDescent="0.8">
      <c r="A209" s="216">
        <v>8</v>
      </c>
      <c r="B209" s="217" t="s">
        <v>3438</v>
      </c>
      <c r="C209" s="213" t="s">
        <v>1125</v>
      </c>
      <c r="D209" s="218"/>
      <c r="E209" s="218"/>
      <c r="F209" s="218"/>
      <c r="G209" s="218">
        <f>(30000*9500)</f>
        <v>285000000</v>
      </c>
      <c r="H209" s="219">
        <f t="shared" si="14"/>
        <v>285</v>
      </c>
      <c r="I209" s="218">
        <f t="shared" si="15"/>
        <v>31318.68131868132</v>
      </c>
      <c r="J209" s="121" t="s">
        <v>1945</v>
      </c>
      <c r="K209" s="96"/>
    </row>
    <row r="210" spans="1:11" ht="25.5" x14ac:dyDescent="0.8">
      <c r="A210" s="216">
        <v>8</v>
      </c>
      <c r="B210" s="217" t="s">
        <v>3439</v>
      </c>
      <c r="C210" s="213" t="s">
        <v>2308</v>
      </c>
      <c r="D210" s="218"/>
      <c r="E210" s="218"/>
      <c r="F210" s="218"/>
      <c r="G210" s="218">
        <f>((1200*2*30)*10500)+((20*15)*E9)</f>
        <v>906000000</v>
      </c>
      <c r="H210" s="219">
        <f t="shared" si="14"/>
        <v>906</v>
      </c>
      <c r="I210" s="218">
        <f t="shared" si="15"/>
        <v>99560.439560439554</v>
      </c>
      <c r="J210" s="121" t="s">
        <v>1945</v>
      </c>
      <c r="K210" s="96"/>
    </row>
    <row r="211" spans="1:11" ht="38.25" x14ac:dyDescent="0.8">
      <c r="A211" s="216">
        <v>8</v>
      </c>
      <c r="B211" s="217" t="s">
        <v>3440</v>
      </c>
      <c r="C211" s="213" t="s">
        <v>1048</v>
      </c>
      <c r="D211" s="218"/>
      <c r="E211" s="218">
        <v>1152000000</v>
      </c>
      <c r="F211" s="218"/>
      <c r="G211" s="218"/>
      <c r="H211" s="219">
        <f>IFERROR(AVERAGE(D211:G211),0)/1000000</f>
        <v>1152</v>
      </c>
      <c r="I211" s="218">
        <f>(H211*1000000)/$I$2</f>
        <v>126593.40659340659</v>
      </c>
      <c r="J211" s="121" t="s">
        <v>1945</v>
      </c>
      <c r="K211" s="96"/>
    </row>
    <row r="212" spans="1:11" ht="38.25" x14ac:dyDescent="0.8">
      <c r="A212" s="216">
        <v>8</v>
      </c>
      <c r="B212" s="217" t="s">
        <v>3441</v>
      </c>
      <c r="C212" s="213" t="s">
        <v>1060</v>
      </c>
      <c r="D212" s="218"/>
      <c r="E212" s="218">
        <v>889637500</v>
      </c>
      <c r="F212" s="218"/>
      <c r="G212" s="218"/>
      <c r="H212" s="219">
        <f>IFERROR(AVERAGE(D212:G212),0)/1000000</f>
        <v>889.63750000000005</v>
      </c>
      <c r="I212" s="218">
        <f>(H212*1000000)/$I$2</f>
        <v>97762.362637362632</v>
      </c>
      <c r="J212" s="121" t="s">
        <v>1945</v>
      </c>
      <c r="K212" s="96"/>
    </row>
    <row r="213" spans="1:11" ht="25.5" x14ac:dyDescent="0.8">
      <c r="A213" s="216">
        <v>8</v>
      </c>
      <c r="B213" s="217" t="s">
        <v>3442</v>
      </c>
      <c r="C213" s="213" t="s">
        <v>1052</v>
      </c>
      <c r="D213" s="218"/>
      <c r="E213" s="218"/>
      <c r="F213" s="218"/>
      <c r="G213" s="218">
        <f>350000*9500</f>
        <v>3325000000</v>
      </c>
      <c r="H213" s="219">
        <f>IFERROR(AVERAGE(D213:G213),0)/1000000</f>
        <v>3325</v>
      </c>
      <c r="I213" s="218">
        <f>(H213*1000000)/$I$2</f>
        <v>365384.61538461538</v>
      </c>
      <c r="J213" s="121" t="s">
        <v>1945</v>
      </c>
      <c r="K213" s="96"/>
    </row>
    <row r="214" spans="1:11" x14ac:dyDescent="0.8">
      <c r="A214" s="216">
        <v>8</v>
      </c>
      <c r="B214" s="217" t="s">
        <v>3443</v>
      </c>
      <c r="C214" s="213" t="s">
        <v>1057</v>
      </c>
      <c r="D214" s="218"/>
      <c r="E214" s="218"/>
      <c r="F214" s="218"/>
      <c r="G214" s="218">
        <f>538003000</f>
        <v>538003000</v>
      </c>
      <c r="H214" s="219">
        <f>IFERROR(AVERAGE(D214:G214),0)/1000000</f>
        <v>538.00300000000004</v>
      </c>
      <c r="I214" s="218">
        <f>(H214*1000000)/$I$2</f>
        <v>59121.208791208788</v>
      </c>
      <c r="J214" s="121" t="s">
        <v>1945</v>
      </c>
      <c r="K214" s="96"/>
    </row>
    <row r="215" spans="1:11" ht="25.5" x14ac:dyDescent="0.8">
      <c r="A215" s="216">
        <v>8</v>
      </c>
      <c r="B215" s="217" t="s">
        <v>1078</v>
      </c>
      <c r="C215" s="213" t="s">
        <v>1079</v>
      </c>
      <c r="D215" s="218"/>
      <c r="E215" s="218"/>
      <c r="F215" s="218"/>
      <c r="G215" s="218">
        <f>(60000*9500)</f>
        <v>570000000</v>
      </c>
      <c r="H215" s="219">
        <f>IFERROR(AVERAGE(D215:G215),0)/1000000</f>
        <v>570</v>
      </c>
      <c r="I215" s="218">
        <f>(H215*1000000)/$I$2</f>
        <v>62637.362637362639</v>
      </c>
      <c r="J215" s="121" t="s">
        <v>1945</v>
      </c>
      <c r="K215" s="96"/>
    </row>
    <row r="216" spans="1:11" ht="25.5" x14ac:dyDescent="0.8">
      <c r="A216" s="216">
        <v>8</v>
      </c>
      <c r="B216" s="217" t="s">
        <v>3444</v>
      </c>
      <c r="C216" s="213" t="s">
        <v>1275</v>
      </c>
      <c r="D216" s="218">
        <v>2006657680</v>
      </c>
      <c r="E216" s="218"/>
      <c r="F216" s="218"/>
      <c r="G216" s="218"/>
      <c r="H216" s="219">
        <f t="shared" si="14"/>
        <v>2006.65768</v>
      </c>
      <c r="I216" s="218">
        <f t="shared" si="15"/>
        <v>220511.83296703297</v>
      </c>
      <c r="J216" s="121" t="s">
        <v>1945</v>
      </c>
      <c r="K216" s="96"/>
    </row>
    <row r="217" spans="1:11" ht="25.5" x14ac:dyDescent="0.8">
      <c r="A217" s="216">
        <v>8</v>
      </c>
      <c r="B217" s="217" t="s">
        <v>3445</v>
      </c>
      <c r="C217" s="213" t="s">
        <v>110</v>
      </c>
      <c r="D217" s="218"/>
      <c r="E217" s="218">
        <v>7176000</v>
      </c>
      <c r="F217" s="218"/>
      <c r="G217" s="218"/>
      <c r="H217" s="219">
        <f t="shared" si="14"/>
        <v>7.1760000000000002</v>
      </c>
      <c r="I217" s="218">
        <f t="shared" si="15"/>
        <v>788.57142857142856</v>
      </c>
      <c r="J217" s="121" t="s">
        <v>1945</v>
      </c>
      <c r="K217" s="96"/>
    </row>
    <row r="218" spans="1:11" ht="25.5" x14ac:dyDescent="0.8">
      <c r="A218" s="216">
        <v>8</v>
      </c>
      <c r="B218" s="217" t="s">
        <v>3446</v>
      </c>
      <c r="C218" s="213" t="s">
        <v>576</v>
      </c>
      <c r="D218" s="218"/>
      <c r="E218" s="218">
        <f>E95*0.052</f>
        <v>3421600</v>
      </c>
      <c r="F218" s="218"/>
      <c r="G218" s="218"/>
      <c r="H218" s="219">
        <f t="shared" si="14"/>
        <v>3.4216000000000002</v>
      </c>
      <c r="I218" s="218">
        <f t="shared" si="15"/>
        <v>376</v>
      </c>
      <c r="J218" s="121" t="s">
        <v>1945</v>
      </c>
      <c r="K218" s="96"/>
    </row>
    <row r="219" spans="1:11" ht="25.5" x14ac:dyDescent="0.8">
      <c r="A219" s="216">
        <v>8</v>
      </c>
      <c r="B219" s="217" t="s">
        <v>3447</v>
      </c>
      <c r="C219" s="213" t="s">
        <v>138</v>
      </c>
      <c r="D219" s="218"/>
      <c r="E219" s="218">
        <f>E115*0.052</f>
        <v>1755000</v>
      </c>
      <c r="F219" s="218"/>
      <c r="G219" s="218"/>
      <c r="H219" s="219">
        <f>IFERROR(AVERAGE(D219:G219),0)/1000000</f>
        <v>1.7549999999999999</v>
      </c>
      <c r="I219" s="218">
        <f>(H219*1000000)/$I$2</f>
        <v>192.85714285714286</v>
      </c>
      <c r="J219" s="121" t="s">
        <v>3242</v>
      </c>
      <c r="K219" s="96"/>
    </row>
    <row r="220" spans="1:11" ht="25.5" x14ac:dyDescent="0.8">
      <c r="A220" s="216">
        <v>8</v>
      </c>
      <c r="B220" s="217" t="s">
        <v>3448</v>
      </c>
      <c r="C220" s="213" t="s">
        <v>2252</v>
      </c>
      <c r="D220" s="218"/>
      <c r="E220" s="218"/>
      <c r="F220" s="218"/>
      <c r="G220" s="218">
        <f>80000*9500</f>
        <v>760000000</v>
      </c>
      <c r="H220" s="219">
        <f>IFERROR(AVERAGE(D220:G220),0)/1000000</f>
        <v>760</v>
      </c>
      <c r="I220" s="218">
        <f>(H220*1000000)/$I$2</f>
        <v>83516.483516483509</v>
      </c>
      <c r="J220" s="121" t="s">
        <v>1945</v>
      </c>
      <c r="K220" s="96"/>
    </row>
    <row r="221" spans="1:11" ht="25.5" x14ac:dyDescent="0.8">
      <c r="A221" s="216">
        <v>8</v>
      </c>
      <c r="B221" s="217" t="s">
        <v>3449</v>
      </c>
      <c r="C221" s="213" t="s">
        <v>1906</v>
      </c>
      <c r="D221" s="218"/>
      <c r="E221" s="218">
        <v>10000</v>
      </c>
      <c r="F221" s="218"/>
      <c r="G221" s="218"/>
      <c r="H221" s="219">
        <f>IFERROR(AVERAGE(D221:G221),0)/1000000</f>
        <v>0.01</v>
      </c>
      <c r="I221" s="218">
        <f>(H221*1000000)/$I$2</f>
        <v>1.098901098901099</v>
      </c>
      <c r="J221" s="121" t="s">
        <v>1945</v>
      </c>
      <c r="K221" s="96"/>
    </row>
    <row r="222" spans="1:11" x14ac:dyDescent="0.8">
      <c r="A222" s="222">
        <v>9</v>
      </c>
      <c r="B222" s="223" t="s">
        <v>3450</v>
      </c>
      <c r="C222" s="224"/>
      <c r="D222" s="225"/>
      <c r="E222" s="225"/>
      <c r="F222" s="225"/>
      <c r="G222" s="225"/>
      <c r="H222" s="226"/>
      <c r="I222" s="225"/>
      <c r="J222" s="121" t="s">
        <v>1945</v>
      </c>
      <c r="K222" s="96"/>
    </row>
    <row r="223" spans="1:11" ht="25.5" x14ac:dyDescent="0.8">
      <c r="A223" s="227">
        <v>9</v>
      </c>
      <c r="B223" s="228" t="s">
        <v>3451</v>
      </c>
      <c r="C223" s="227" t="s">
        <v>1230</v>
      </c>
      <c r="D223" s="225"/>
      <c r="E223" s="229"/>
      <c r="F223" s="225"/>
      <c r="G223" s="225">
        <v>41384007740.617996</v>
      </c>
      <c r="H223" s="226">
        <f>IFERROR(AVERAGE(D223:G223),0)/1000000</f>
        <v>41384.007740617999</v>
      </c>
      <c r="I223" s="225">
        <f>(H223*1000000)/$I$2</f>
        <v>4547693.1583096702</v>
      </c>
      <c r="J223" s="121" t="s">
        <v>1945</v>
      </c>
      <c r="K223" s="96"/>
    </row>
    <row r="224" spans="1:11" ht="25.5" x14ac:dyDescent="0.8">
      <c r="A224" s="227">
        <v>9</v>
      </c>
      <c r="B224" s="228" t="s">
        <v>3452</v>
      </c>
      <c r="C224" s="227" t="s">
        <v>1101</v>
      </c>
      <c r="D224" s="225"/>
      <c r="E224" s="230"/>
      <c r="F224" s="225"/>
      <c r="G224" s="225">
        <v>45791453339.168198</v>
      </c>
      <c r="H224" s="226">
        <f t="shared" ref="H224:H252" si="16">IFERROR(AVERAGE(D224:G224),0)/1000000</f>
        <v>45791.453339168198</v>
      </c>
      <c r="I224" s="225">
        <f t="shared" ref="I224:I252" si="17">(H224*1000000)/$I$2</f>
        <v>5032027.8394690324</v>
      </c>
      <c r="J224" s="121" t="s">
        <v>1945</v>
      </c>
      <c r="K224" s="96"/>
    </row>
    <row r="225" spans="1:11" ht="25.5" x14ac:dyDescent="0.8">
      <c r="A225" s="227">
        <v>9</v>
      </c>
      <c r="B225" s="231" t="s">
        <v>3453</v>
      </c>
      <c r="C225" s="227" t="s">
        <v>2566</v>
      </c>
      <c r="D225" s="225"/>
      <c r="E225" s="225">
        <v>200000000</v>
      </c>
      <c r="F225" s="225"/>
      <c r="G225" s="225"/>
      <c r="H225" s="226">
        <f t="shared" si="16"/>
        <v>200</v>
      </c>
      <c r="I225" s="225">
        <f t="shared" si="17"/>
        <v>21978.021978021978</v>
      </c>
      <c r="J225" s="121" t="s">
        <v>1945</v>
      </c>
      <c r="K225" s="96"/>
    </row>
    <row r="226" spans="1:11" ht="51" x14ac:dyDescent="0.8">
      <c r="A226" s="227">
        <v>9</v>
      </c>
      <c r="B226" s="228" t="s">
        <v>3454</v>
      </c>
      <c r="C226" s="224" t="s">
        <v>1773</v>
      </c>
      <c r="D226" s="225"/>
      <c r="E226" s="225"/>
      <c r="F226" s="230">
        <v>50000000</v>
      </c>
      <c r="G226" s="225"/>
      <c r="H226" s="226">
        <f t="shared" si="16"/>
        <v>50</v>
      </c>
      <c r="I226" s="225">
        <f t="shared" si="17"/>
        <v>5494.5054945054944</v>
      </c>
      <c r="J226" s="121" t="s">
        <v>1945</v>
      </c>
      <c r="K226" s="96"/>
    </row>
    <row r="227" spans="1:11" ht="25.5" x14ac:dyDescent="0.8">
      <c r="A227" s="227">
        <v>9</v>
      </c>
      <c r="B227" s="228" t="s">
        <v>3455</v>
      </c>
      <c r="C227" s="224" t="s">
        <v>1807</v>
      </c>
      <c r="D227" s="225"/>
      <c r="E227" s="225"/>
      <c r="F227" s="230">
        <v>500000000</v>
      </c>
      <c r="G227" s="225"/>
      <c r="H227" s="226">
        <f t="shared" si="16"/>
        <v>500</v>
      </c>
      <c r="I227" s="225">
        <f t="shared" si="17"/>
        <v>54945.054945054944</v>
      </c>
      <c r="J227" s="121" t="s">
        <v>1945</v>
      </c>
      <c r="K227" s="96"/>
    </row>
    <row r="228" spans="1:11" ht="38.25" x14ac:dyDescent="0.8">
      <c r="A228" s="227">
        <v>9</v>
      </c>
      <c r="B228" s="232" t="s">
        <v>3456</v>
      </c>
      <c r="C228" s="224" t="s">
        <v>723</v>
      </c>
      <c r="D228" s="225"/>
      <c r="E228" s="225">
        <f>((180000*9500)/3)</f>
        <v>570000000</v>
      </c>
      <c r="F228" s="225"/>
      <c r="G228" s="225"/>
      <c r="H228" s="226">
        <f t="shared" si="16"/>
        <v>570</v>
      </c>
      <c r="I228" s="225">
        <f t="shared" si="17"/>
        <v>62637.362637362639</v>
      </c>
      <c r="J228" s="121" t="s">
        <v>1945</v>
      </c>
      <c r="K228" s="96"/>
    </row>
    <row r="229" spans="1:11" ht="38.25" x14ac:dyDescent="0.8">
      <c r="A229" s="227">
        <v>9</v>
      </c>
      <c r="B229" s="232" t="s">
        <v>3457</v>
      </c>
      <c r="C229" s="224" t="s">
        <v>2212</v>
      </c>
      <c r="D229" s="225"/>
      <c r="E229" s="225"/>
      <c r="F229" s="225"/>
      <c r="G229" s="225">
        <f>28879505391</f>
        <v>28879505391</v>
      </c>
      <c r="H229" s="226">
        <f t="shared" si="16"/>
        <v>28879.505390999999</v>
      </c>
      <c r="I229" s="225">
        <f t="shared" si="17"/>
        <v>3173572.020989011</v>
      </c>
      <c r="J229" s="121" t="s">
        <v>1945</v>
      </c>
      <c r="K229" s="233"/>
    </row>
    <row r="230" spans="1:11" ht="25.5" x14ac:dyDescent="0.8">
      <c r="A230" s="227">
        <v>9</v>
      </c>
      <c r="B230" s="234" t="s">
        <v>3458</v>
      </c>
      <c r="C230" s="224" t="s">
        <v>2215</v>
      </c>
      <c r="D230" s="225"/>
      <c r="E230" s="225"/>
      <c r="F230" s="225"/>
      <c r="G230" s="225">
        <v>32221870422.193401</v>
      </c>
      <c r="H230" s="226">
        <f t="shared" si="16"/>
        <v>32221.870422193402</v>
      </c>
      <c r="I230" s="225">
        <f t="shared" si="17"/>
        <v>3540864.8815597142</v>
      </c>
      <c r="J230" s="121" t="s">
        <v>1945</v>
      </c>
      <c r="K230" s="233"/>
    </row>
    <row r="231" spans="1:11" ht="38.25" x14ac:dyDescent="0.8">
      <c r="A231" s="227">
        <v>9</v>
      </c>
      <c r="B231" s="234" t="s">
        <v>3459</v>
      </c>
      <c r="C231" s="224" t="s">
        <v>2217</v>
      </c>
      <c r="D231" s="225"/>
      <c r="E231" s="225"/>
      <c r="F231" s="225"/>
      <c r="G231" s="225">
        <v>7704705452.2202902</v>
      </c>
      <c r="H231" s="226">
        <f t="shared" si="16"/>
        <v>7704.7054522202898</v>
      </c>
      <c r="I231" s="225">
        <f t="shared" si="17"/>
        <v>846670.92881541653</v>
      </c>
      <c r="J231" s="121" t="s">
        <v>1945</v>
      </c>
      <c r="K231" s="233"/>
    </row>
    <row r="232" spans="1:11" ht="25.5" x14ac:dyDescent="0.8">
      <c r="A232" s="227">
        <v>9</v>
      </c>
      <c r="B232" s="234" t="s">
        <v>3460</v>
      </c>
      <c r="C232" s="224" t="s">
        <v>2219</v>
      </c>
      <c r="D232" s="225"/>
      <c r="E232" s="225"/>
      <c r="F232" s="225"/>
      <c r="G232" s="225">
        <v>10483764696.7255</v>
      </c>
      <c r="H232" s="226">
        <f t="shared" si="16"/>
        <v>10483.7646967255</v>
      </c>
      <c r="I232" s="225">
        <f t="shared" si="17"/>
        <v>1152062.0545852198</v>
      </c>
      <c r="J232" s="121" t="s">
        <v>1945</v>
      </c>
      <c r="K232" s="233"/>
    </row>
    <row r="233" spans="1:11" ht="51" x14ac:dyDescent="0.8">
      <c r="A233" s="227">
        <v>9</v>
      </c>
      <c r="B233" s="232" t="s">
        <v>3461</v>
      </c>
      <c r="C233" s="224" t="s">
        <v>2293</v>
      </c>
      <c r="D233" s="225"/>
      <c r="E233" s="225"/>
      <c r="F233" s="225"/>
      <c r="G233" s="225">
        <v>1511000000</v>
      </c>
      <c r="H233" s="226">
        <f t="shared" si="16"/>
        <v>1511</v>
      </c>
      <c r="I233" s="225">
        <f t="shared" si="17"/>
        <v>166043.95604395604</v>
      </c>
      <c r="J233" s="121" t="s">
        <v>1945</v>
      </c>
      <c r="K233" s="233"/>
    </row>
    <row r="234" spans="1:11" ht="25.5" x14ac:dyDescent="0.8">
      <c r="A234" s="227">
        <v>9</v>
      </c>
      <c r="B234" s="232" t="s">
        <v>3462</v>
      </c>
      <c r="C234" s="224" t="s">
        <v>2297</v>
      </c>
      <c r="D234" s="225"/>
      <c r="E234" s="225"/>
      <c r="F234" s="225"/>
      <c r="G234" s="225">
        <f>((60*G5)*5)+20000000</f>
        <v>215000000</v>
      </c>
      <c r="H234" s="226">
        <f t="shared" si="16"/>
        <v>215</v>
      </c>
      <c r="I234" s="225">
        <f t="shared" si="17"/>
        <v>23626.373626373625</v>
      </c>
      <c r="J234" s="121" t="s">
        <v>1945</v>
      </c>
      <c r="K234" s="233">
        <v>1.0603209392322921</v>
      </c>
    </row>
    <row r="235" spans="1:11" ht="38.25" x14ac:dyDescent="0.8">
      <c r="A235" s="227">
        <v>9</v>
      </c>
      <c r="B235" s="234" t="s">
        <v>3463</v>
      </c>
      <c r="C235" s="224" t="s">
        <v>1354</v>
      </c>
      <c r="D235" s="225"/>
      <c r="E235" s="225"/>
      <c r="F235" s="225"/>
      <c r="G235" s="225">
        <v>11105788684.4839</v>
      </c>
      <c r="H235" s="226">
        <f t="shared" si="16"/>
        <v>11105.788684483899</v>
      </c>
      <c r="I235" s="225">
        <f t="shared" si="17"/>
        <v>1220416.3389542748</v>
      </c>
      <c r="J235" s="121" t="s">
        <v>1945</v>
      </c>
      <c r="K235" s="233">
        <v>1.0603209392322921</v>
      </c>
    </row>
    <row r="236" spans="1:11" ht="25.5" x14ac:dyDescent="0.8">
      <c r="A236" s="227">
        <v>9</v>
      </c>
      <c r="B236" s="234" t="s">
        <v>3464</v>
      </c>
      <c r="C236" s="224" t="s">
        <v>719</v>
      </c>
      <c r="D236" s="225"/>
      <c r="E236" s="225"/>
      <c r="F236" s="225"/>
      <c r="G236" s="225">
        <v>2253878345.1118598</v>
      </c>
      <c r="H236" s="226">
        <f t="shared" si="16"/>
        <v>2253.8783451118597</v>
      </c>
      <c r="I236" s="225">
        <f t="shared" si="17"/>
        <v>247678.9390232813</v>
      </c>
      <c r="J236" s="121" t="s">
        <v>1945</v>
      </c>
      <c r="K236" s="233">
        <v>1.0603209392322921</v>
      </c>
    </row>
    <row r="237" spans="1:11" ht="25.5" x14ac:dyDescent="0.8">
      <c r="A237" s="227">
        <v>9</v>
      </c>
      <c r="B237" s="234" t="s">
        <v>3465</v>
      </c>
      <c r="C237" s="224" t="s">
        <v>1690</v>
      </c>
      <c r="D237" s="225"/>
      <c r="E237" s="225"/>
      <c r="F237" s="225"/>
      <c r="G237" s="225">
        <v>150012512659.918</v>
      </c>
      <c r="H237" s="226">
        <f t="shared" si="16"/>
        <v>150012.51265991799</v>
      </c>
      <c r="I237" s="225">
        <f t="shared" si="17"/>
        <v>16484891.50108989</v>
      </c>
      <c r="J237" s="121" t="s">
        <v>1945</v>
      </c>
      <c r="K237" s="233">
        <v>1.0603209392322921</v>
      </c>
    </row>
    <row r="238" spans="1:11" ht="25.5" x14ac:dyDescent="0.8">
      <c r="A238" s="227">
        <v>9</v>
      </c>
      <c r="B238" s="234" t="s">
        <v>3466</v>
      </c>
      <c r="C238" s="224" t="s">
        <v>1840</v>
      </c>
      <c r="D238" s="225"/>
      <c r="E238" s="225"/>
      <c r="F238" s="225"/>
      <c r="G238" s="225">
        <v>50737009102.768997</v>
      </c>
      <c r="H238" s="226">
        <f t="shared" si="16"/>
        <v>50737.009102769</v>
      </c>
      <c r="I238" s="225">
        <f t="shared" si="17"/>
        <v>5575495.5057987906</v>
      </c>
      <c r="J238" s="121" t="s">
        <v>1945</v>
      </c>
      <c r="K238" s="233">
        <v>1.0603209392322921</v>
      </c>
    </row>
    <row r="239" spans="1:11" ht="25.5" x14ac:dyDescent="0.8">
      <c r="A239" s="227">
        <v>9</v>
      </c>
      <c r="B239" s="234" t="s">
        <v>3467</v>
      </c>
      <c r="C239" s="224" t="s">
        <v>1833</v>
      </c>
      <c r="D239" s="225"/>
      <c r="E239" s="225"/>
      <c r="F239" s="225"/>
      <c r="G239" s="225">
        <v>2273931271.90978</v>
      </c>
      <c r="H239" s="226">
        <f t="shared" si="16"/>
        <v>2273.9312719097802</v>
      </c>
      <c r="I239" s="225">
        <f t="shared" si="17"/>
        <v>249882.55735272309</v>
      </c>
      <c r="J239" s="121" t="s">
        <v>1945</v>
      </c>
      <c r="K239" s="233">
        <v>1.0603209392322921</v>
      </c>
    </row>
    <row r="240" spans="1:11" x14ac:dyDescent="0.8">
      <c r="A240" s="227">
        <v>9</v>
      </c>
      <c r="B240" s="232" t="s">
        <v>3468</v>
      </c>
      <c r="C240" s="224" t="s">
        <v>1333</v>
      </c>
      <c r="D240" s="225"/>
      <c r="E240" s="225"/>
      <c r="F240" s="225"/>
      <c r="G240" s="225">
        <f>44000000/350</f>
        <v>125714.28571428571</v>
      </c>
      <c r="H240" s="226">
        <f t="shared" si="16"/>
        <v>0.12571428571428572</v>
      </c>
      <c r="I240" s="225">
        <f t="shared" si="17"/>
        <v>13.814756671899531</v>
      </c>
      <c r="J240" s="121" t="s">
        <v>1945</v>
      </c>
      <c r="K240" s="96"/>
    </row>
    <row r="241" spans="1:14" x14ac:dyDescent="0.8">
      <c r="A241" s="227">
        <v>9</v>
      </c>
      <c r="B241" s="232" t="s">
        <v>3469</v>
      </c>
      <c r="C241" s="224" t="s">
        <v>1385</v>
      </c>
      <c r="D241" s="225"/>
      <c r="E241" s="225"/>
      <c r="F241" s="225"/>
      <c r="G241" s="225">
        <v>25906700</v>
      </c>
      <c r="H241" s="226">
        <f t="shared" si="16"/>
        <v>25.906700000000001</v>
      </c>
      <c r="I241" s="225">
        <f t="shared" si="17"/>
        <v>2846.8901098901097</v>
      </c>
      <c r="J241" s="121" t="s">
        <v>1945</v>
      </c>
      <c r="K241" s="96"/>
    </row>
    <row r="242" spans="1:14" ht="25.5" x14ac:dyDescent="0.8">
      <c r="A242" s="227">
        <v>9</v>
      </c>
      <c r="B242" s="232" t="s">
        <v>3470</v>
      </c>
      <c r="C242" s="224" t="s">
        <v>1969</v>
      </c>
      <c r="D242" s="225"/>
      <c r="E242" s="225">
        <v>9500</v>
      </c>
      <c r="F242" s="225"/>
      <c r="G242" s="225"/>
      <c r="H242" s="226">
        <f t="shared" si="16"/>
        <v>9.4999999999999998E-3</v>
      </c>
      <c r="I242" s="225">
        <f t="shared" si="17"/>
        <v>1.043956043956044</v>
      </c>
      <c r="J242" s="121" t="s">
        <v>1945</v>
      </c>
      <c r="K242" s="96"/>
    </row>
    <row r="243" spans="1:14" ht="25.5" x14ac:dyDescent="0.8">
      <c r="A243" s="227">
        <v>9</v>
      </c>
      <c r="B243" s="232" t="s">
        <v>3471</v>
      </c>
      <c r="C243" s="224" t="s">
        <v>854</v>
      </c>
      <c r="D243" s="225"/>
      <c r="E243" s="225"/>
      <c r="F243" s="225"/>
      <c r="G243" s="225">
        <v>2234856.6207357277</v>
      </c>
      <c r="H243" s="226">
        <f t="shared" si="16"/>
        <v>2.2348566207357279</v>
      </c>
      <c r="I243" s="225">
        <f t="shared" si="17"/>
        <v>245.58863964128875</v>
      </c>
      <c r="J243" s="121" t="s">
        <v>1945</v>
      </c>
      <c r="K243" s="167"/>
    </row>
    <row r="244" spans="1:14" ht="25.5" x14ac:dyDescent="0.8">
      <c r="A244" s="227">
        <v>9</v>
      </c>
      <c r="B244" s="234" t="s">
        <v>3471</v>
      </c>
      <c r="C244" s="224" t="s">
        <v>857</v>
      </c>
      <c r="D244" s="225"/>
      <c r="E244" s="225"/>
      <c r="F244" s="225"/>
      <c r="G244" s="230">
        <v>4092967816.9176898</v>
      </c>
      <c r="H244" s="226">
        <f t="shared" si="16"/>
        <v>4092.96781691769</v>
      </c>
      <c r="I244" s="225">
        <f t="shared" si="17"/>
        <v>449776.68317776814</v>
      </c>
      <c r="J244" s="121" t="s">
        <v>1945</v>
      </c>
      <c r="K244" s="167"/>
    </row>
    <row r="245" spans="1:14" ht="25.5" x14ac:dyDescent="0.8">
      <c r="A245" s="227">
        <v>9</v>
      </c>
      <c r="B245" s="234" t="s">
        <v>3471</v>
      </c>
      <c r="C245" s="224" t="s">
        <v>859</v>
      </c>
      <c r="D245" s="225"/>
      <c r="E245" s="225"/>
      <c r="F245" s="225"/>
      <c r="G245" s="225">
        <v>1900632919.16205</v>
      </c>
      <c r="H245" s="226">
        <f>IFERROR(AVERAGE(D245:G245),0)/1000000</f>
        <v>1900.63291916205</v>
      </c>
      <c r="I245" s="225">
        <f>(H245*1000000)/$I$2</f>
        <v>208860.76034747803</v>
      </c>
      <c r="J245" s="121" t="s">
        <v>1945</v>
      </c>
      <c r="K245" s="167"/>
    </row>
    <row r="246" spans="1:14" ht="25.5" x14ac:dyDescent="0.8">
      <c r="A246" s="227">
        <v>9</v>
      </c>
      <c r="B246" s="234" t="s">
        <v>3472</v>
      </c>
      <c r="C246" s="224" t="s">
        <v>3473</v>
      </c>
      <c r="D246" s="225"/>
      <c r="E246" s="225"/>
      <c r="F246" s="225"/>
      <c r="G246" s="225">
        <f>((5000000/655)+(35000000/655)+((10000*9500)/10500))*10500</f>
        <v>736221374.04580164</v>
      </c>
      <c r="H246" s="226">
        <f t="shared" si="16"/>
        <v>736.22137404580167</v>
      </c>
      <c r="I246" s="225">
        <f t="shared" si="17"/>
        <v>80903.447697340845</v>
      </c>
      <c r="J246" s="121" t="s">
        <v>1945</v>
      </c>
      <c r="K246" s="167"/>
    </row>
    <row r="247" spans="1:14" ht="25.5" x14ac:dyDescent="0.8">
      <c r="A247" s="227">
        <v>9</v>
      </c>
      <c r="B247" s="232" t="s">
        <v>3474</v>
      </c>
      <c r="C247" s="224" t="s">
        <v>1840</v>
      </c>
      <c r="D247" s="225"/>
      <c r="E247" s="225"/>
      <c r="F247" s="225"/>
      <c r="G247" s="225">
        <v>51369347352.76902</v>
      </c>
      <c r="H247" s="226">
        <f t="shared" si="16"/>
        <v>51369.347352769022</v>
      </c>
      <c r="I247" s="225">
        <f t="shared" si="17"/>
        <v>5644983.2255790131</v>
      </c>
      <c r="J247" s="121" t="s">
        <v>1945</v>
      </c>
      <c r="K247" s="167"/>
    </row>
    <row r="248" spans="1:14" x14ac:dyDescent="0.8">
      <c r="A248" s="227">
        <v>9</v>
      </c>
      <c r="B248" s="232" t="s">
        <v>3475</v>
      </c>
      <c r="C248" s="224" t="s">
        <v>1690</v>
      </c>
      <c r="D248" s="225"/>
      <c r="E248" s="225"/>
      <c r="F248" s="225"/>
      <c r="G248" s="225">
        <v>49671000000</v>
      </c>
      <c r="H248" s="226">
        <f t="shared" si="16"/>
        <v>49671</v>
      </c>
      <c r="I248" s="225">
        <f t="shared" si="17"/>
        <v>5458351.6483516479</v>
      </c>
      <c r="J248" s="121" t="s">
        <v>1945</v>
      </c>
      <c r="K248" s="186"/>
    </row>
    <row r="249" spans="1:14" ht="38.25" x14ac:dyDescent="0.8">
      <c r="A249" s="227">
        <v>9</v>
      </c>
      <c r="B249" s="232" t="s">
        <v>3476</v>
      </c>
      <c r="C249" s="224" t="s">
        <v>2312</v>
      </c>
      <c r="D249" s="225"/>
      <c r="E249" s="225"/>
      <c r="F249" s="225"/>
      <c r="G249" s="225">
        <v>4302800866.6666603</v>
      </c>
      <c r="H249" s="226">
        <f>IFERROR(AVERAGE(D249:G249),0)/1000000</f>
        <v>4302.8008666666601</v>
      </c>
      <c r="I249" s="225">
        <f>(H249*1000000)/$I$2</f>
        <v>472835.26007325936</v>
      </c>
      <c r="J249" s="121" t="s">
        <v>1945</v>
      </c>
      <c r="K249" s="186"/>
      <c r="L249" s="187"/>
      <c r="M249" s="187"/>
      <c r="N249" s="187">
        <f>M249*130%</f>
        <v>0</v>
      </c>
    </row>
    <row r="250" spans="1:14" ht="38.25" x14ac:dyDescent="0.8">
      <c r="A250" s="227">
        <v>9</v>
      </c>
      <c r="B250" s="232" t="s">
        <v>3477</v>
      </c>
      <c r="C250" s="224" t="s">
        <v>2322</v>
      </c>
      <c r="D250" s="225"/>
      <c r="E250" s="225"/>
      <c r="F250" s="225"/>
      <c r="G250" s="225">
        <f>(1400000*10500)/5</f>
        <v>2940000000</v>
      </c>
      <c r="H250" s="226">
        <f t="shared" si="16"/>
        <v>2940</v>
      </c>
      <c r="I250" s="225">
        <f t="shared" si="17"/>
        <v>323076.92307692306</v>
      </c>
      <c r="J250" s="121" t="s">
        <v>1945</v>
      </c>
      <c r="K250" s="186"/>
      <c r="L250" s="187"/>
      <c r="M250" s="187"/>
      <c r="N250" s="187">
        <f>M250*130%</f>
        <v>0</v>
      </c>
    </row>
    <row r="251" spans="1:14" ht="25.5" x14ac:dyDescent="0.8">
      <c r="A251" s="227">
        <v>9</v>
      </c>
      <c r="B251" s="232" t="s">
        <v>3478</v>
      </c>
      <c r="C251" s="224" t="s">
        <v>2318</v>
      </c>
      <c r="D251" s="225"/>
      <c r="E251" s="225"/>
      <c r="F251" s="225"/>
      <c r="G251" s="225">
        <f>767900*9500</f>
        <v>7295050000</v>
      </c>
      <c r="H251" s="226">
        <f>IFERROR(AVERAGE(D251:G251),0)/1000000</f>
        <v>7295.05</v>
      </c>
      <c r="I251" s="225">
        <f>(H251*1000000)/$I$2</f>
        <v>801653.84615384613</v>
      </c>
      <c r="J251" s="121" t="s">
        <v>1945</v>
      </c>
      <c r="K251" s="186"/>
      <c r="L251" s="187"/>
      <c r="M251" s="187"/>
      <c r="N251" s="187">
        <f>M251*130%</f>
        <v>0</v>
      </c>
    </row>
    <row r="252" spans="1:14" ht="51" x14ac:dyDescent="0.8">
      <c r="A252" s="227">
        <v>9</v>
      </c>
      <c r="B252" s="232" t="s">
        <v>3479</v>
      </c>
      <c r="C252" s="224" t="s">
        <v>2315</v>
      </c>
      <c r="D252" s="225"/>
      <c r="E252" s="225"/>
      <c r="F252" s="225"/>
      <c r="G252" s="225">
        <f>(1500000*9500)/4</f>
        <v>3562500000</v>
      </c>
      <c r="H252" s="226">
        <f t="shared" si="16"/>
        <v>3562.5</v>
      </c>
      <c r="I252" s="225">
        <f t="shared" si="17"/>
        <v>391483.51648351649</v>
      </c>
      <c r="J252" s="121" t="s">
        <v>1945</v>
      </c>
      <c r="K252" s="186"/>
      <c r="L252" s="187"/>
      <c r="M252" s="187"/>
      <c r="N252" s="187">
        <f>M252*130%</f>
        <v>0</v>
      </c>
    </row>
    <row r="253" spans="1:14" x14ac:dyDescent="0.8">
      <c r="A253" s="235">
        <v>10</v>
      </c>
      <c r="B253" s="236" t="s">
        <v>979</v>
      </c>
      <c r="C253" s="237"/>
      <c r="D253" s="238"/>
      <c r="E253" s="238"/>
      <c r="F253" s="238"/>
      <c r="G253" s="238"/>
      <c r="H253" s="239"/>
      <c r="I253" s="238"/>
      <c r="J253" s="121" t="s">
        <v>3242</v>
      </c>
      <c r="K253" s="96"/>
    </row>
    <row r="254" spans="1:14" x14ac:dyDescent="0.8">
      <c r="A254" s="237">
        <v>10</v>
      </c>
      <c r="B254" s="240" t="s">
        <v>3480</v>
      </c>
      <c r="C254" s="241" t="s">
        <v>1347</v>
      </c>
      <c r="D254" s="238">
        <v>15000000</v>
      </c>
      <c r="E254" s="238"/>
      <c r="F254" s="238"/>
      <c r="G254" s="238"/>
      <c r="H254" s="239">
        <f>IFERROR(AVERAGE(D254:G254),0)/1000000</f>
        <v>15</v>
      </c>
      <c r="I254" s="238">
        <f>(H254*1000000)/$I$2</f>
        <v>1648.3516483516485</v>
      </c>
      <c r="J254" s="121" t="s">
        <v>3242</v>
      </c>
      <c r="K254" s="96"/>
    </row>
    <row r="255" spans="1:14" x14ac:dyDescent="0.8">
      <c r="A255" s="237">
        <v>10</v>
      </c>
      <c r="B255" s="240" t="s">
        <v>3481</v>
      </c>
      <c r="C255" s="237" t="s">
        <v>980</v>
      </c>
      <c r="D255" s="238">
        <v>300000000</v>
      </c>
      <c r="E255" s="238"/>
      <c r="F255" s="238"/>
      <c r="G255" s="238"/>
      <c r="H255" s="239">
        <f>IFERROR(AVERAGE(D255:G255),0)/1000000</f>
        <v>300</v>
      </c>
      <c r="I255" s="238">
        <f>(H255*1000000)/$I$2</f>
        <v>32967.032967032967</v>
      </c>
      <c r="J255" s="121" t="s">
        <v>3242</v>
      </c>
      <c r="K255" s="96"/>
    </row>
  </sheetData>
  <mergeCells count="4">
    <mergeCell ref="A2:A3"/>
    <mergeCell ref="B2:B3"/>
    <mergeCell ref="C2:C3"/>
    <mergeCell ref="D2:H2"/>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00B0F0"/>
  </sheetPr>
  <dimension ref="A1:AD2169"/>
  <sheetViews>
    <sheetView tabSelected="1" zoomScale="70" zoomScaleNormal="70" workbookViewId="0">
      <pane ySplit="2" topLeftCell="A382" activePane="bottomLeft" state="frozen"/>
      <selection pane="bottomLeft" activeCell="I571" sqref="I571"/>
    </sheetView>
  </sheetViews>
  <sheetFormatPr baseColWidth="10" defaultColWidth="11" defaultRowHeight="15.25" x14ac:dyDescent="0.8"/>
  <cols>
    <col min="1" max="1" width="13.5" style="49" customWidth="1"/>
    <col min="2" max="2" width="5.125" style="2" customWidth="1"/>
    <col min="3" max="3" width="5.5" style="2" customWidth="1"/>
    <col min="4" max="4" width="6.25" style="2" customWidth="1"/>
    <col min="5" max="5" width="14.75" style="49" bestFit="1" customWidth="1"/>
    <col min="6" max="6" width="61.125" style="2" customWidth="1"/>
    <col min="7" max="7" width="14.5" style="3" customWidth="1"/>
    <col min="8" max="8" width="18" style="3" customWidth="1"/>
    <col min="9" max="9" width="17.25" style="54" customWidth="1"/>
    <col min="10" max="10" width="19.125" style="50" customWidth="1"/>
    <col min="11" max="11" width="17.25" style="50" customWidth="1"/>
    <col min="12" max="12" width="18.625" style="50" customWidth="1"/>
    <col min="13" max="13" width="19.125" style="50" customWidth="1"/>
    <col min="14" max="14" width="17.25" style="50" customWidth="1"/>
    <col min="15" max="15" width="19.375" style="50" customWidth="1"/>
    <col min="16" max="16" width="21.375" style="50" customWidth="1"/>
    <col min="17" max="17" width="21" style="50" customWidth="1"/>
    <col min="18" max="18" width="23.25" style="50" customWidth="1"/>
    <col min="19" max="19" width="15.25" style="50" customWidth="1"/>
    <col min="20" max="20" width="17.25" style="7" customWidth="1"/>
    <col min="21" max="21" width="26.25" style="4" customWidth="1"/>
    <col min="22" max="22" width="21.25" style="4" customWidth="1"/>
    <col min="23" max="23" width="16" style="4" customWidth="1"/>
    <col min="24" max="24" width="17.25" style="4" customWidth="1"/>
    <col min="25" max="25" width="22.75" style="4" customWidth="1"/>
    <col min="26" max="26" width="23.125" style="4" customWidth="1"/>
    <col min="27" max="27" width="37.5" style="4" customWidth="1"/>
    <col min="28" max="28" width="52.125" style="4" customWidth="1"/>
    <col min="29" max="29" width="83.75" style="8" customWidth="1"/>
    <col min="30" max="30" width="65" style="3" customWidth="1"/>
    <col min="31" max="16384" width="11" style="3"/>
  </cols>
  <sheetData>
    <row r="1" spans="1:30" ht="44.25" x14ac:dyDescent="0.8">
      <c r="A1" s="270" t="s">
        <v>3486</v>
      </c>
      <c r="N1" s="51"/>
      <c r="O1" s="51"/>
      <c r="P1" s="51"/>
      <c r="Q1" s="51"/>
      <c r="R1" s="51"/>
    </row>
    <row r="2" spans="1:30" s="13" customFormat="1" ht="45.75" x14ac:dyDescent="0.8">
      <c r="A2" s="9" t="s">
        <v>1</v>
      </c>
      <c r="B2" s="9" t="s">
        <v>2</v>
      </c>
      <c r="C2" s="9" t="s">
        <v>3</v>
      </c>
      <c r="D2" s="9" t="s">
        <v>4</v>
      </c>
      <c r="E2" s="9" t="s">
        <v>5</v>
      </c>
      <c r="F2" s="9" t="s">
        <v>6</v>
      </c>
      <c r="G2" s="9" t="s">
        <v>7</v>
      </c>
      <c r="H2" s="9" t="s">
        <v>8</v>
      </c>
      <c r="I2" s="55" t="s">
        <v>11</v>
      </c>
      <c r="J2" s="52" t="s">
        <v>12</v>
      </c>
      <c r="K2" s="52" t="s">
        <v>3487</v>
      </c>
      <c r="L2" s="52" t="s">
        <v>3488</v>
      </c>
      <c r="M2" s="52" t="s">
        <v>13</v>
      </c>
      <c r="N2" s="52" t="s">
        <v>14</v>
      </c>
      <c r="O2" s="52" t="s">
        <v>17</v>
      </c>
      <c r="P2" s="52" t="s">
        <v>18</v>
      </c>
      <c r="Q2" s="52" t="s">
        <v>3489</v>
      </c>
      <c r="R2" s="52" t="s">
        <v>3490</v>
      </c>
      <c r="S2" s="52" t="s">
        <v>3493</v>
      </c>
      <c r="T2" s="10" t="s">
        <v>20</v>
      </c>
      <c r="U2" s="10" t="s">
        <v>21</v>
      </c>
      <c r="V2" s="10" t="s">
        <v>22</v>
      </c>
      <c r="W2" s="10" t="s">
        <v>23</v>
      </c>
      <c r="X2" s="10" t="s">
        <v>24</v>
      </c>
      <c r="Y2" s="10" t="s">
        <v>25</v>
      </c>
      <c r="Z2" s="10" t="s">
        <v>26</v>
      </c>
      <c r="AA2" s="10" t="s">
        <v>27</v>
      </c>
      <c r="AB2" s="10" t="s">
        <v>28</v>
      </c>
      <c r="AC2" s="12" t="s">
        <v>29</v>
      </c>
      <c r="AD2" s="12" t="s">
        <v>30</v>
      </c>
    </row>
    <row r="3" spans="1:30" s="22" customFormat="1" ht="30" customHeight="1" x14ac:dyDescent="0.8">
      <c r="A3" s="14">
        <v>1</v>
      </c>
      <c r="B3" s="15">
        <v>1</v>
      </c>
      <c r="C3" s="15">
        <v>1</v>
      </c>
      <c r="D3" s="15">
        <v>1</v>
      </c>
      <c r="E3" s="14">
        <v>1</v>
      </c>
      <c r="F3" s="16" t="s">
        <v>31</v>
      </c>
      <c r="G3" s="17"/>
      <c r="H3" s="17"/>
      <c r="I3" s="56"/>
      <c r="J3" s="56"/>
      <c r="K3" s="56"/>
      <c r="L3" s="56"/>
      <c r="M3" s="56"/>
      <c r="N3" s="56"/>
      <c r="O3" s="56"/>
      <c r="P3" s="56"/>
      <c r="Q3" s="56"/>
      <c r="R3" s="56"/>
      <c r="S3" s="56"/>
      <c r="T3" s="18"/>
      <c r="U3" s="18"/>
      <c r="V3" s="19"/>
      <c r="W3" s="18"/>
      <c r="X3" s="18"/>
      <c r="Y3" s="19" t="s">
        <v>32</v>
      </c>
      <c r="Z3" s="19" t="str">
        <f>A3 &amp; "-" &amp; VLOOKUP(A3,[4]PROGRAMMES!$E$1:$F$7,2,FALSE)</f>
        <v>1-Accès et équité à l'enseignement général</v>
      </c>
      <c r="AA3" s="19" t="str">
        <f>B3 &amp; "-" &amp; VLOOKUP(B3,[4]SOUSPROGRAMMES!$E$1:$F$44,2,FALSE)</f>
        <v>1-Accès et équité à l'enseignement général</v>
      </c>
      <c r="AB3" s="19" t="str">
        <f>C3 &amp; "-" &amp; VLOOKUP(C3,[4]RESULTATS!$E$1:$F$176,2,FALSE)</f>
        <v>1-Accès et équité à l'enseignement général</v>
      </c>
      <c r="AC3" s="20" t="str">
        <f>D3 &amp; "-" &amp; VLOOKUP(D3,[4]STRATEGIES!$E$1:$F$504,2,FALSE)</f>
        <v>1-Accès et équité à l'enseignement général</v>
      </c>
      <c r="AD3" s="21" t="str">
        <f>E3 &amp; "-" &amp; F3</f>
        <v>1-Accès et équité à l'enseignement général</v>
      </c>
    </row>
    <row r="4" spans="1:30" s="22" customFormat="1" ht="15" customHeight="1" x14ac:dyDescent="0.8">
      <c r="A4" s="14">
        <v>1</v>
      </c>
      <c r="B4" s="15">
        <v>11</v>
      </c>
      <c r="C4" s="15">
        <v>11</v>
      </c>
      <c r="D4" s="15">
        <v>11</v>
      </c>
      <c r="E4" s="14">
        <v>11</v>
      </c>
      <c r="F4" s="16" t="s">
        <v>33</v>
      </c>
      <c r="G4" s="17"/>
      <c r="H4" s="17"/>
      <c r="I4" s="56"/>
      <c r="J4" s="56"/>
      <c r="K4" s="56"/>
      <c r="L4" s="56"/>
      <c r="M4" s="56"/>
      <c r="N4" s="56"/>
      <c r="O4" s="56"/>
      <c r="P4" s="56"/>
      <c r="Q4" s="56"/>
      <c r="R4" s="56"/>
      <c r="S4" s="56"/>
      <c r="T4" s="18"/>
      <c r="U4" s="18"/>
      <c r="V4" s="19"/>
      <c r="W4" s="18"/>
      <c r="X4" s="18"/>
      <c r="Y4" s="19" t="s">
        <v>32</v>
      </c>
      <c r="Z4" s="19" t="str">
        <f>A4 &amp; "-" &amp; VLOOKUP(A4,[4]PROGRAMMES!$E$1:$F$7,2,FALSE)</f>
        <v>1-Accès et équité à l'enseignement général</v>
      </c>
      <c r="AA4" s="19" t="str">
        <f>B4 &amp; "-" &amp; VLOOKUP(B4,[4]SOUSPROGRAMMES!$E$1:$F$44,2,FALSE)</f>
        <v>11- Accès équitable au préscolaire</v>
      </c>
      <c r="AB4" s="19" t="str">
        <f>C4 &amp; "-" &amp; VLOOKUP(C4,[4]RESULTATS!$E$1:$F$176,2,FALSE)</f>
        <v>11- Accès équitable au préscolaire</v>
      </c>
      <c r="AC4" s="20" t="str">
        <f>D4 &amp; "-" &amp; VLOOKUP(D4,[4]STRATEGIES!$E$1:$F$504,2,FALSE)</f>
        <v>11- Accès équitable au préscolaire</v>
      </c>
      <c r="AD4" s="21" t="str">
        <f t="shared" ref="AD4:AD67" si="0">E4 &amp; "-" &amp; F4</f>
        <v>11-Accès équitable au préscolaire</v>
      </c>
    </row>
    <row r="5" spans="1:30" s="22" customFormat="1" ht="15" customHeight="1" x14ac:dyDescent="0.8">
      <c r="A5" s="14">
        <v>1</v>
      </c>
      <c r="B5" s="15">
        <v>11</v>
      </c>
      <c r="C5" s="15">
        <v>111</v>
      </c>
      <c r="D5" s="15">
        <v>111</v>
      </c>
      <c r="E5" s="14">
        <v>111</v>
      </c>
      <c r="F5" s="16" t="s">
        <v>34</v>
      </c>
      <c r="G5" s="17"/>
      <c r="H5" s="17"/>
      <c r="I5" s="56"/>
      <c r="J5" s="56"/>
      <c r="K5" s="56"/>
      <c r="L5" s="56"/>
      <c r="M5" s="56"/>
      <c r="N5" s="56"/>
      <c r="O5" s="56"/>
      <c r="P5" s="56"/>
      <c r="Q5" s="56"/>
      <c r="R5" s="56"/>
      <c r="S5" s="56"/>
      <c r="T5" s="18"/>
      <c r="U5" s="18"/>
      <c r="V5" s="19"/>
      <c r="W5" s="18"/>
      <c r="X5" s="18"/>
      <c r="Y5" s="19" t="s">
        <v>32</v>
      </c>
      <c r="Z5" s="19" t="str">
        <f>A5 &amp; "-" &amp; VLOOKUP(A5,[4]PROGRAMMES!$E$1:$F$7,2,FALSE)</f>
        <v>1-Accès et équité à l'enseignement général</v>
      </c>
      <c r="AA5" s="19" t="str">
        <f>B5 &amp; "-" &amp; VLOOKUP(B5,[4]SOUSPROGRAMMES!$E$1:$F$44,2,FALSE)</f>
        <v>11- Accès équitable au préscolaire</v>
      </c>
      <c r="AB5" s="19" t="str">
        <f>C5 &amp; "-" &amp; VLOOKUP(C5,[4]RESULTATS!$E$1:$F$176,2,FALSE)</f>
        <v>111- Le préscolaire est réorganisé</v>
      </c>
      <c r="AC5" s="20" t="str">
        <f>D5 &amp; "-" &amp; VLOOKUP(D5,[4]STRATEGIES!$E$1:$F$504,2,FALSE)</f>
        <v>111- Le préscolaire est réorganisé</v>
      </c>
      <c r="AD5" s="21" t="str">
        <f t="shared" si="0"/>
        <v>111- Le préscolaire est réorganisé</v>
      </c>
    </row>
    <row r="6" spans="1:30" s="22" customFormat="1" ht="15" customHeight="1" x14ac:dyDescent="0.8">
      <c r="A6" s="14">
        <v>1</v>
      </c>
      <c r="B6" s="15">
        <v>11</v>
      </c>
      <c r="C6" s="15">
        <v>111</v>
      </c>
      <c r="D6" s="15">
        <v>1111</v>
      </c>
      <c r="E6" s="14">
        <v>1111</v>
      </c>
      <c r="F6" s="16" t="s">
        <v>35</v>
      </c>
      <c r="G6" s="17"/>
      <c r="H6" s="17"/>
      <c r="I6" s="56"/>
      <c r="J6" s="56"/>
      <c r="K6" s="56"/>
      <c r="L6" s="56"/>
      <c r="M6" s="56"/>
      <c r="N6" s="56"/>
      <c r="O6" s="56"/>
      <c r="P6" s="56"/>
      <c r="Q6" s="56"/>
      <c r="R6" s="56"/>
      <c r="S6" s="56"/>
      <c r="T6" s="18"/>
      <c r="U6" s="18"/>
      <c r="V6" s="19"/>
      <c r="W6" s="18"/>
      <c r="X6" s="18"/>
      <c r="Y6" s="19" t="s">
        <v>32</v>
      </c>
      <c r="Z6" s="19" t="str">
        <f>A6 &amp; "-" &amp; VLOOKUP(A6,[4]PROGRAMMES!$E$1:$F$7,2,FALSE)</f>
        <v>1-Accès et équité à l'enseignement général</v>
      </c>
      <c r="AA6" s="19" t="str">
        <f>B6 &amp; "-" &amp; VLOOKUP(B6,[4]SOUSPROGRAMMES!$E$1:$F$44,2,FALSE)</f>
        <v>11- Accès équitable au préscolaire</v>
      </c>
      <c r="AB6" s="19" t="str">
        <f>C6 &amp; "-" &amp; VLOOKUP(C6,[4]RESULTATS!$E$1:$F$176,2,FALSE)</f>
        <v>111- Le préscolaire est réorganisé</v>
      </c>
      <c r="AC6" s="20" t="str">
        <f>D6 &amp; "-" &amp; VLOOKUP(D6,[4]STRATEGIES!$E$1:$F$504,2,FALSE)</f>
        <v>1111-Réorganisation de l’offre du préscolaire (de 3 à 2 ans)</v>
      </c>
      <c r="AD6" s="21" t="str">
        <f t="shared" si="0"/>
        <v>1111-Réorganisation de l’offre du préscolaire (de 3 à 2 ans)</v>
      </c>
    </row>
    <row r="7" spans="1:30" s="22" customFormat="1" ht="45" customHeight="1" x14ac:dyDescent="0.8">
      <c r="A7" s="14">
        <v>1</v>
      </c>
      <c r="B7" s="15">
        <v>11</v>
      </c>
      <c r="C7" s="15">
        <v>111</v>
      </c>
      <c r="D7" s="15">
        <v>1111</v>
      </c>
      <c r="E7" s="14">
        <v>11111</v>
      </c>
      <c r="F7" s="16" t="s">
        <v>36</v>
      </c>
      <c r="G7" s="21" t="s">
        <v>37</v>
      </c>
      <c r="H7" s="17" t="s">
        <v>38</v>
      </c>
      <c r="I7" s="56">
        <f>50*1</f>
        <v>50</v>
      </c>
      <c r="J7" s="56"/>
      <c r="K7" s="56"/>
      <c r="L7" s="56"/>
      <c r="M7" s="56">
        <f t="shared" ref="M7:M75" si="1">SUM(I7:L7)</f>
        <v>50</v>
      </c>
      <c r="N7" s="56">
        <f>IF(OR(H7="",H7="sif",H7="PM"),0,VLOOKUP(H7,[5]CU!$C$4:$H$255,6,FALSE))</f>
        <v>0.3133333333333333</v>
      </c>
      <c r="O7" s="56">
        <f>IFERROR($N7*I7,0)</f>
        <v>15.666666666666664</v>
      </c>
      <c r="P7" s="56">
        <f t="shared" ref="P7:R13" si="2">$N7*J7</f>
        <v>0</v>
      </c>
      <c r="Q7" s="56">
        <f t="shared" si="2"/>
        <v>0</v>
      </c>
      <c r="R7" s="56">
        <f t="shared" si="2"/>
        <v>0</v>
      </c>
      <c r="S7" s="56">
        <f t="shared" ref="S7:S13" si="3">SUM(O7:R7)</f>
        <v>15.666666666666664</v>
      </c>
      <c r="T7" s="23" t="s">
        <v>39</v>
      </c>
      <c r="U7" s="19" t="s">
        <v>40</v>
      </c>
      <c r="V7" s="19" t="str">
        <f>IF(OR($H7="",$H7="sif",$H7="PM"),"",VLOOKUP($H7,[5]CU!$C$5:$J$255,8,FALSE))</f>
        <v>3. Formation</v>
      </c>
      <c r="W7" s="19" t="s">
        <v>41</v>
      </c>
      <c r="X7" s="19" t="s">
        <v>41</v>
      </c>
      <c r="Y7" s="19" t="s">
        <v>32</v>
      </c>
      <c r="Z7" s="19" t="str">
        <f>A7 &amp; "-" &amp; VLOOKUP(A7,[4]PROGRAMMES!$E$1:$F$7,2,FALSE)</f>
        <v>1-Accès et équité à l'enseignement général</v>
      </c>
      <c r="AA7" s="19" t="str">
        <f>B7 &amp; "-" &amp; VLOOKUP(B7,[4]SOUSPROGRAMMES!$E$1:$F$44,2,FALSE)</f>
        <v>11- Accès équitable au préscolaire</v>
      </c>
      <c r="AB7" s="19" t="str">
        <f>C7 &amp; "-" &amp; VLOOKUP(C7,[4]RESULTATS!$E$1:$F$176,2,FALSE)</f>
        <v>111- Le préscolaire est réorganisé</v>
      </c>
      <c r="AC7" s="20" t="str">
        <f>D7 &amp; "-" &amp; VLOOKUP(D7,[4]STRATEGIES!$E$1:$F$504,2,FALSE)</f>
        <v>1111-Réorganisation de l’offre du préscolaire (de 3 à 2 ans)</v>
      </c>
      <c r="AD7" s="21" t="str">
        <f t="shared" si="0"/>
        <v>11111-Validation politique des normes et standards du préscolaire (projet disponible)</v>
      </c>
    </row>
    <row r="8" spans="1:30" s="22" customFormat="1" ht="45" customHeight="1" x14ac:dyDescent="0.8">
      <c r="A8" s="14">
        <v>1</v>
      </c>
      <c r="B8" s="15">
        <v>11</v>
      </c>
      <c r="C8" s="15">
        <v>111</v>
      </c>
      <c r="D8" s="15">
        <v>1111</v>
      </c>
      <c r="E8" s="14">
        <v>11112</v>
      </c>
      <c r="F8" s="16" t="s">
        <v>42</v>
      </c>
      <c r="G8" s="21" t="s">
        <v>37</v>
      </c>
      <c r="H8" s="17" t="s">
        <v>38</v>
      </c>
      <c r="I8" s="56">
        <f>25*5</f>
        <v>125</v>
      </c>
      <c r="J8" s="56">
        <f>25*5</f>
        <v>125</v>
      </c>
      <c r="K8" s="56"/>
      <c r="L8" s="56"/>
      <c r="M8" s="56">
        <f t="shared" si="1"/>
        <v>250</v>
      </c>
      <c r="N8" s="56">
        <f>IF(OR(H8="",H8="sif",H8="PM"),0,VLOOKUP(H8,[5]CU!$C$4:$H$255,6,FALSE))</f>
        <v>0.3133333333333333</v>
      </c>
      <c r="O8" s="56">
        <f>$N8*I8</f>
        <v>39.166666666666664</v>
      </c>
      <c r="P8" s="56">
        <f t="shared" si="2"/>
        <v>39.166666666666664</v>
      </c>
      <c r="Q8" s="56">
        <f t="shared" si="2"/>
        <v>0</v>
      </c>
      <c r="R8" s="56">
        <f t="shared" si="2"/>
        <v>0</v>
      </c>
      <c r="S8" s="56">
        <f t="shared" si="3"/>
        <v>78.333333333333329</v>
      </c>
      <c r="T8" s="23" t="s">
        <v>39</v>
      </c>
      <c r="U8" s="19" t="s">
        <v>40</v>
      </c>
      <c r="V8" s="19" t="str">
        <f>IF(OR($H8="",$H8="sif",$H8="PM"),"",VLOOKUP($H8,[5]CU!$C$5:$J$255,8,FALSE))</f>
        <v>3. Formation</v>
      </c>
      <c r="W8" s="19" t="s">
        <v>41</v>
      </c>
      <c r="X8" s="19" t="s">
        <v>41</v>
      </c>
      <c r="Y8" s="19" t="s">
        <v>32</v>
      </c>
      <c r="Z8" s="19" t="str">
        <f>A8 &amp; "-" &amp; VLOOKUP(A8,[4]PROGRAMMES!$E$1:$F$7,2,FALSE)</f>
        <v>1-Accès et équité à l'enseignement général</v>
      </c>
      <c r="AA8" s="19" t="str">
        <f>B8 &amp; "-" &amp; VLOOKUP(B8,[4]SOUSPROGRAMMES!$E$1:$F$44,2,FALSE)</f>
        <v>11- Accès équitable au préscolaire</v>
      </c>
      <c r="AB8" s="19" t="str">
        <f>C8 &amp; "-" &amp; VLOOKUP(C8,[4]RESULTATS!$E$1:$F$176,2,FALSE)</f>
        <v>111- Le préscolaire est réorganisé</v>
      </c>
      <c r="AC8" s="20" t="str">
        <f>D8 &amp; "-" &amp; VLOOKUP(D8,[4]STRATEGIES!$E$1:$F$504,2,FALSE)</f>
        <v>1111-Réorganisation de l’offre du préscolaire (de 3 à 2 ans)</v>
      </c>
      <c r="AD8" s="21" t="str">
        <f t="shared" si="0"/>
        <v>11112-Finalisation du document politique du préscolaire</v>
      </c>
    </row>
    <row r="9" spans="1:30" s="22" customFormat="1" ht="45" customHeight="1" x14ac:dyDescent="0.8">
      <c r="A9" s="14">
        <v>1</v>
      </c>
      <c r="B9" s="15">
        <v>11</v>
      </c>
      <c r="C9" s="15">
        <v>111</v>
      </c>
      <c r="D9" s="15">
        <v>1111</v>
      </c>
      <c r="E9" s="14">
        <v>11113</v>
      </c>
      <c r="F9" s="16" t="s">
        <v>43</v>
      </c>
      <c r="G9" s="21" t="s">
        <v>44</v>
      </c>
      <c r="H9" s="17" t="s">
        <v>45</v>
      </c>
      <c r="I9" s="56"/>
      <c r="J9" s="56">
        <v>2000</v>
      </c>
      <c r="K9" s="56"/>
      <c r="L9" s="56"/>
      <c r="M9" s="56">
        <f t="shared" si="1"/>
        <v>2000</v>
      </c>
      <c r="N9" s="56">
        <f>IF(OR(H9="",H9="sif",H9="PM"),0,VLOOKUP(H9,[5]CU!$C$4:$H$255,6,FALSE))</f>
        <v>0.03</v>
      </c>
      <c r="O9" s="56">
        <f>$N9*I9</f>
        <v>0</v>
      </c>
      <c r="P9" s="56">
        <f t="shared" si="2"/>
        <v>60</v>
      </c>
      <c r="Q9" s="56">
        <f t="shared" si="2"/>
        <v>0</v>
      </c>
      <c r="R9" s="56">
        <f t="shared" si="2"/>
        <v>0</v>
      </c>
      <c r="S9" s="56">
        <f t="shared" si="3"/>
        <v>60</v>
      </c>
      <c r="T9" s="23" t="s">
        <v>39</v>
      </c>
      <c r="U9" s="19" t="s">
        <v>40</v>
      </c>
      <c r="V9" s="19" t="str">
        <f>IF(OR($H9="",$H9="sif",$H9="PM"),"",VLOOKUP($H9,[5]CU!$C$5:$J$255,8,FALSE))</f>
        <v>3. Manuels scolaires et matériels pédagogiques</v>
      </c>
      <c r="W9" s="19" t="s">
        <v>41</v>
      </c>
      <c r="X9" s="19" t="s">
        <v>41</v>
      </c>
      <c r="Y9" s="19" t="s">
        <v>32</v>
      </c>
      <c r="Z9" s="19" t="str">
        <f>A9 &amp; "-" &amp; VLOOKUP(A9,[4]PROGRAMMES!$E$1:$F$7,2,FALSE)</f>
        <v>1-Accès et équité à l'enseignement général</v>
      </c>
      <c r="AA9" s="19" t="str">
        <f>B9 &amp; "-" &amp; VLOOKUP(B9,[4]SOUSPROGRAMMES!$E$1:$F$44,2,FALSE)</f>
        <v>11- Accès équitable au préscolaire</v>
      </c>
      <c r="AB9" s="19" t="str">
        <f>C9 &amp; "-" &amp; VLOOKUP(C9,[4]RESULTATS!$E$1:$F$176,2,FALSE)</f>
        <v>111- Le préscolaire est réorganisé</v>
      </c>
      <c r="AC9" s="20" t="str">
        <f>D9 &amp; "-" &amp; VLOOKUP(D9,[4]STRATEGIES!$E$1:$F$504,2,FALSE)</f>
        <v>1111-Réorganisation de l’offre du préscolaire (de 3 à 2 ans)</v>
      </c>
      <c r="AD9" s="21" t="str">
        <f t="shared" si="0"/>
        <v>11113-Reprographie du document de politique du préscolaire et les normes et standards</v>
      </c>
    </row>
    <row r="10" spans="1:30" s="22" customFormat="1" ht="45" customHeight="1" x14ac:dyDescent="0.8">
      <c r="A10" s="14">
        <v>1</v>
      </c>
      <c r="B10" s="15">
        <v>11</v>
      </c>
      <c r="C10" s="15">
        <v>111</v>
      </c>
      <c r="D10" s="15">
        <v>1111</v>
      </c>
      <c r="E10" s="14">
        <v>11114</v>
      </c>
      <c r="F10" s="16" t="s">
        <v>46</v>
      </c>
      <c r="G10" s="21" t="s">
        <v>47</v>
      </c>
      <c r="H10" s="17" t="s">
        <v>38</v>
      </c>
      <c r="I10" s="56"/>
      <c r="J10" s="56">
        <f>8*40*2</f>
        <v>640</v>
      </c>
      <c r="K10" s="56"/>
      <c r="L10" s="56"/>
      <c r="M10" s="56">
        <f t="shared" si="1"/>
        <v>640</v>
      </c>
      <c r="N10" s="56">
        <f>IF(OR(H10="",H10="sif",H10="PM"),0,VLOOKUP(H10,[5]CU!$C$4:$H$255,6,FALSE))</f>
        <v>0.3133333333333333</v>
      </c>
      <c r="O10" s="56">
        <f>$N10*I10</f>
        <v>0</v>
      </c>
      <c r="P10" s="56">
        <f t="shared" si="2"/>
        <v>200.5333333333333</v>
      </c>
      <c r="Q10" s="56">
        <f t="shared" si="2"/>
        <v>0</v>
      </c>
      <c r="R10" s="56">
        <f t="shared" si="2"/>
        <v>0</v>
      </c>
      <c r="S10" s="56">
        <f t="shared" si="3"/>
        <v>200.5333333333333</v>
      </c>
      <c r="T10" s="23" t="s">
        <v>39</v>
      </c>
      <c r="U10" s="19" t="s">
        <v>40</v>
      </c>
      <c r="V10" s="19" t="str">
        <f>IF(OR($H10="",$H10="sif",$H10="PM"),"",VLOOKUP($H10,[5]CU!$C$5:$J$255,8,FALSE))</f>
        <v>3. Formation</v>
      </c>
      <c r="W10" s="19" t="s">
        <v>41</v>
      </c>
      <c r="X10" s="19" t="s">
        <v>41</v>
      </c>
      <c r="Y10" s="19" t="s">
        <v>32</v>
      </c>
      <c r="Z10" s="19" t="str">
        <f>A10 &amp; "-" &amp; VLOOKUP(A10,[4]PROGRAMMES!$E$1:$F$7,2,FALSE)</f>
        <v>1-Accès et équité à l'enseignement général</v>
      </c>
      <c r="AA10" s="19" t="str">
        <f>B10 &amp; "-" &amp; VLOOKUP(B10,[4]SOUSPROGRAMMES!$E$1:$F$44,2,FALSE)</f>
        <v>11- Accès équitable au préscolaire</v>
      </c>
      <c r="AB10" s="19" t="str">
        <f>C10 &amp; "-" &amp; VLOOKUP(C10,[4]RESULTATS!$E$1:$F$176,2,FALSE)</f>
        <v>111- Le préscolaire est réorganisé</v>
      </c>
      <c r="AC10" s="20" t="str">
        <f>D10 &amp; "-" &amp; VLOOKUP(D10,[4]STRATEGIES!$E$1:$F$504,2,FALSE)</f>
        <v>1111-Réorganisation de l’offre du préscolaire (de 3 à 2 ans)</v>
      </c>
      <c r="AD10" s="21" t="str">
        <f t="shared" si="0"/>
        <v xml:space="preserve">11114-Vulgarisation au niveau régional de la politique et les normes et standards du préscolaire  </v>
      </c>
    </row>
    <row r="11" spans="1:30" s="22" customFormat="1" ht="45" customHeight="1" x14ac:dyDescent="0.8">
      <c r="A11" s="14">
        <v>1</v>
      </c>
      <c r="B11" s="15">
        <v>11</v>
      </c>
      <c r="C11" s="15">
        <v>111</v>
      </c>
      <c r="D11" s="15">
        <v>1111</v>
      </c>
      <c r="E11" s="14">
        <v>11115</v>
      </c>
      <c r="F11" s="16" t="s">
        <v>48</v>
      </c>
      <c r="G11" s="21" t="s">
        <v>47</v>
      </c>
      <c r="H11" s="17" t="s">
        <v>38</v>
      </c>
      <c r="I11" s="56"/>
      <c r="J11" s="56">
        <f>427*4</f>
        <v>1708</v>
      </c>
      <c r="K11" s="56">
        <f>427*4</f>
        <v>1708</v>
      </c>
      <c r="L11" s="56"/>
      <c r="M11" s="56">
        <f t="shared" si="1"/>
        <v>3416</v>
      </c>
      <c r="N11" s="56">
        <f>IF(OR(H11="",H11="sif",H11="PM"),0,VLOOKUP(H11,[5]CU!$C$4:$H$255,6,FALSE))</f>
        <v>0.3133333333333333</v>
      </c>
      <c r="O11" s="56">
        <f>$N11*I11</f>
        <v>0</v>
      </c>
      <c r="P11" s="56">
        <f t="shared" si="2"/>
        <v>535.17333333333329</v>
      </c>
      <c r="Q11" s="56">
        <f t="shared" si="2"/>
        <v>535.17333333333329</v>
      </c>
      <c r="R11" s="56">
        <f t="shared" si="2"/>
        <v>0</v>
      </c>
      <c r="S11" s="56">
        <f t="shared" si="3"/>
        <v>1070.3466666666666</v>
      </c>
      <c r="T11" s="23" t="s">
        <v>39</v>
      </c>
      <c r="U11" s="19" t="s">
        <v>40</v>
      </c>
      <c r="V11" s="19" t="str">
        <f>IF(OR($H11="",$H11="sif",$H11="PM"),"",VLOOKUP($H11,[5]CU!$C$5:$J$255,8,FALSE))</f>
        <v>3. Formation</v>
      </c>
      <c r="W11" s="19" t="s">
        <v>41</v>
      </c>
      <c r="X11" s="19" t="s">
        <v>41</v>
      </c>
      <c r="Y11" s="19" t="s">
        <v>32</v>
      </c>
      <c r="Z11" s="19" t="str">
        <f>A11 &amp; "-" &amp; VLOOKUP(A11,[4]PROGRAMMES!$E$1:$F$7,2,FALSE)</f>
        <v>1-Accès et équité à l'enseignement général</v>
      </c>
      <c r="AA11" s="19" t="str">
        <f>B11 &amp; "-" &amp; VLOOKUP(B11,[4]SOUSPROGRAMMES!$E$1:$F$44,2,FALSE)</f>
        <v>11- Accès équitable au préscolaire</v>
      </c>
      <c r="AB11" s="19" t="str">
        <f>C11 &amp; "-" &amp; VLOOKUP(C11,[4]RESULTATS!$E$1:$F$176,2,FALSE)</f>
        <v>111- Le préscolaire est réorganisé</v>
      </c>
      <c r="AC11" s="20" t="str">
        <f>D11 &amp; "-" &amp; VLOOKUP(D11,[4]STRATEGIES!$E$1:$F$504,2,FALSE)</f>
        <v>1111-Réorganisation de l’offre du préscolaire (de 3 à 2 ans)</v>
      </c>
      <c r="AD11" s="21" t="str">
        <f t="shared" si="0"/>
        <v xml:space="preserve">11115-Vulgarisation au niveau préfectoral du document de politique du préscolaire et des normes et standards  </v>
      </c>
    </row>
    <row r="12" spans="1:30" s="22" customFormat="1" ht="15" customHeight="1" x14ac:dyDescent="0.8">
      <c r="A12" s="14">
        <v>1</v>
      </c>
      <c r="B12" s="15">
        <v>11</v>
      </c>
      <c r="C12" s="15">
        <v>111</v>
      </c>
      <c r="D12" s="15">
        <v>1112</v>
      </c>
      <c r="E12" s="14">
        <v>1112</v>
      </c>
      <c r="F12" s="16" t="s">
        <v>49</v>
      </c>
      <c r="G12" s="17"/>
      <c r="H12" s="17"/>
      <c r="I12" s="56"/>
      <c r="J12" s="56"/>
      <c r="K12" s="56"/>
      <c r="L12" s="56"/>
      <c r="M12" s="56"/>
      <c r="N12" s="56"/>
      <c r="O12" s="56"/>
      <c r="P12" s="56"/>
      <c r="Q12" s="56"/>
      <c r="R12" s="56"/>
      <c r="S12" s="56"/>
      <c r="T12" s="18"/>
      <c r="U12" s="18"/>
      <c r="V12" s="19"/>
      <c r="W12" s="18"/>
      <c r="X12" s="18"/>
      <c r="Y12" s="19" t="s">
        <v>32</v>
      </c>
      <c r="Z12" s="19" t="str">
        <f>A12 &amp; "-" &amp; VLOOKUP(A12,[4]PROGRAMMES!$E$1:$F$7,2,FALSE)</f>
        <v>1-Accès et équité à l'enseignement général</v>
      </c>
      <c r="AA12" s="19" t="str">
        <f>B12 &amp; "-" &amp; VLOOKUP(B12,[4]SOUSPROGRAMMES!$E$1:$F$44,2,FALSE)</f>
        <v>11- Accès équitable au préscolaire</v>
      </c>
      <c r="AB12" s="19" t="str">
        <f>C12 &amp; "-" &amp; VLOOKUP(C12,[4]RESULTATS!$E$1:$F$176,2,FALSE)</f>
        <v>111- Le préscolaire est réorganisé</v>
      </c>
      <c r="AC12" s="20" t="str">
        <f>D12 &amp; "-" &amp; VLOOKUP(D12,[4]STRATEGIES!$E$1:$F$504,2,FALSE)</f>
        <v>1112-Adaptation du mode de fonctionnement du préscolaire</v>
      </c>
      <c r="AD12" s="21" t="str">
        <f t="shared" si="0"/>
        <v>1112-Adaptation du mode de fonctionnement du préscolaire</v>
      </c>
    </row>
    <row r="13" spans="1:30" s="22" customFormat="1" ht="60" customHeight="1" x14ac:dyDescent="0.8">
      <c r="A13" s="14">
        <v>1</v>
      </c>
      <c r="B13" s="15">
        <v>11</v>
      </c>
      <c r="C13" s="15">
        <v>111</v>
      </c>
      <c r="D13" s="15">
        <v>1112</v>
      </c>
      <c r="E13" s="14">
        <v>11121</v>
      </c>
      <c r="F13" s="16" t="s">
        <v>50</v>
      </c>
      <c r="G13" s="21" t="s">
        <v>51</v>
      </c>
      <c r="H13" s="17" t="s">
        <v>52</v>
      </c>
      <c r="I13" s="56"/>
      <c r="J13" s="56">
        <f>(8+38+427+10)</f>
        <v>483</v>
      </c>
      <c r="K13" s="56"/>
      <c r="L13" s="56"/>
      <c r="M13" s="56">
        <f t="shared" si="1"/>
        <v>483</v>
      </c>
      <c r="N13" s="56">
        <f>IF(OR(H13="",H13="sif",H13="PM"),0,VLOOKUP(H13,[5]CU!$C$4:$H$255,6,FALSE))</f>
        <v>1.5</v>
      </c>
      <c r="O13" s="56">
        <f>$N13*I18</f>
        <v>67.2</v>
      </c>
      <c r="P13" s="56">
        <f t="shared" si="2"/>
        <v>724.5</v>
      </c>
      <c r="Q13" s="56">
        <f t="shared" si="2"/>
        <v>0</v>
      </c>
      <c r="R13" s="56">
        <f t="shared" si="2"/>
        <v>0</v>
      </c>
      <c r="S13" s="56">
        <f t="shared" si="3"/>
        <v>791.7</v>
      </c>
      <c r="T13" s="23" t="s">
        <v>39</v>
      </c>
      <c r="U13" s="19" t="s">
        <v>40</v>
      </c>
      <c r="V13" s="19" t="str">
        <f>IF(OR($H13="",$H13="sif",$H13="PM"),"",VLOOKUP($H13,[5]CU!$C$5:$J$255,8,FALSE))</f>
        <v>3. Formation</v>
      </c>
      <c r="W13" s="19" t="s">
        <v>41</v>
      </c>
      <c r="X13" s="19" t="s">
        <v>41</v>
      </c>
      <c r="Y13" s="19" t="s">
        <v>32</v>
      </c>
      <c r="Z13" s="19" t="str">
        <f>A13 &amp; "-" &amp; VLOOKUP(A13,[4]PROGRAMMES!$E$1:$F$7,2,FALSE)</f>
        <v>1-Accès et équité à l'enseignement général</v>
      </c>
      <c r="AA13" s="19" t="str">
        <f>B13 &amp; "-" &amp; VLOOKUP(B13,[4]SOUSPROGRAMMES!$E$1:$F$44,2,FALSE)</f>
        <v>11- Accès équitable au préscolaire</v>
      </c>
      <c r="AB13" s="19" t="str">
        <f>C13 &amp; "-" &amp; VLOOKUP(C13,[4]RESULTATS!$E$1:$F$176,2,FALSE)</f>
        <v>111- Le préscolaire est réorganisé</v>
      </c>
      <c r="AC13" s="20" t="str">
        <f>D13 &amp; "-" &amp; VLOOKUP(D13,[4]STRATEGIES!$E$1:$F$504,2,FALSE)</f>
        <v>1112-Adaptation du mode de fonctionnement du préscolaire</v>
      </c>
      <c r="AD13" s="21" t="str">
        <f t="shared" si="0"/>
        <v>11121-Formation des encadreurs du préscolaire au niveau IRE, DPE/DCE, DSEE sur l'encadrement du préscolaire (y compris les classes uniques au Préscolaire)/pris en compte dans activité 23327</v>
      </c>
    </row>
    <row r="14" spans="1:30" s="22" customFormat="1" ht="30" hidden="1" customHeight="1" x14ac:dyDescent="0.8">
      <c r="A14" s="14">
        <v>1</v>
      </c>
      <c r="B14" s="15">
        <v>11</v>
      </c>
      <c r="C14" s="15">
        <v>111</v>
      </c>
      <c r="D14" s="15">
        <v>1112</v>
      </c>
      <c r="E14" s="14">
        <v>11122</v>
      </c>
      <c r="F14" s="16" t="s">
        <v>53</v>
      </c>
      <c r="G14" s="21" t="s">
        <v>54</v>
      </c>
      <c r="H14" s="17" t="s">
        <v>55</v>
      </c>
      <c r="I14" s="56"/>
      <c r="J14" s="56">
        <v>1</v>
      </c>
      <c r="K14" s="56">
        <v>1</v>
      </c>
      <c r="L14" s="56">
        <v>1</v>
      </c>
      <c r="M14" s="56">
        <f t="shared" si="1"/>
        <v>3</v>
      </c>
      <c r="N14" s="56">
        <f>IF(OR(H14="",H14="sif",H14="PM"),0,VLOOKUP(H14,[5]CU!$C$4:$H$255,6,FALSE))</f>
        <v>0</v>
      </c>
      <c r="O14" s="56"/>
      <c r="P14" s="56"/>
      <c r="Q14" s="56"/>
      <c r="R14" s="56"/>
      <c r="S14" s="56"/>
      <c r="T14" s="23" t="s">
        <v>56</v>
      </c>
      <c r="U14" s="18" t="s">
        <v>40</v>
      </c>
      <c r="V14" s="19" t="str">
        <f>IF(OR($H14="",$H14="sif",$H14="PM"),"",VLOOKUP($H14,[5]CU!$C$5:$J$255,8,FALSE))</f>
        <v/>
      </c>
      <c r="W14" s="18" t="s">
        <v>41</v>
      </c>
      <c r="X14" s="18" t="s">
        <v>41</v>
      </c>
      <c r="Y14" s="19" t="s">
        <v>32</v>
      </c>
      <c r="Z14" s="19" t="str">
        <f>A14 &amp; "-" &amp; VLOOKUP(A14,[4]PROGRAMMES!$E$1:$F$7,2,FALSE)</f>
        <v>1-Accès et équité à l'enseignement général</v>
      </c>
      <c r="AA14" s="19" t="str">
        <f>B14 &amp; "-" &amp; VLOOKUP(B14,[4]SOUSPROGRAMMES!$E$1:$F$44,2,FALSE)</f>
        <v>11- Accès équitable au préscolaire</v>
      </c>
      <c r="AB14" s="19" t="str">
        <f>C14 &amp; "-" &amp; VLOOKUP(C14,[4]RESULTATS!$E$1:$F$176,2,FALSE)</f>
        <v>111- Le préscolaire est réorganisé</v>
      </c>
      <c r="AC14" s="20" t="str">
        <f>D14 &amp; "-" &amp; VLOOKUP(D14,[4]STRATEGIES!$E$1:$F$504,2,FALSE)</f>
        <v>1112-Adaptation du mode de fonctionnement du préscolaire</v>
      </c>
      <c r="AD14" s="21" t="str">
        <f t="shared" si="0"/>
        <v>11122-Mise en place des classes uniques du préscolaire dans les écoles primaires publiques en zone rurale</v>
      </c>
    </row>
    <row r="15" spans="1:30" s="22" customFormat="1" ht="15" hidden="1" customHeight="1" x14ac:dyDescent="0.8">
      <c r="A15" s="14">
        <v>1</v>
      </c>
      <c r="B15" s="15">
        <v>11</v>
      </c>
      <c r="C15" s="15">
        <v>111</v>
      </c>
      <c r="D15" s="15">
        <v>1112</v>
      </c>
      <c r="E15" s="14">
        <v>11123</v>
      </c>
      <c r="F15" s="16" t="s">
        <v>57</v>
      </c>
      <c r="G15" s="21" t="s">
        <v>58</v>
      </c>
      <c r="H15" s="17" t="s">
        <v>59</v>
      </c>
      <c r="I15" s="56">
        <f>(3*8*6)*92.04%</f>
        <v>132.53760000000003</v>
      </c>
      <c r="J15" s="56">
        <f>(3*8*6)*92.04%</f>
        <v>132.53760000000003</v>
      </c>
      <c r="K15" s="56">
        <f>(3*8*10)*92.04%</f>
        <v>220.89600000000002</v>
      </c>
      <c r="L15" s="56">
        <f>(3*8*10)*92.04%</f>
        <v>220.89600000000002</v>
      </c>
      <c r="M15" s="56">
        <f>SUM(I15:L15)</f>
        <v>706.86720000000014</v>
      </c>
      <c r="N15" s="56">
        <f>IF(OR(H15="",H15="sif",H15="PM"),0,VLOOKUP(H15,[5]CU!$C$4:$H$255,6,FALSE))</f>
        <v>0.8177777777777776</v>
      </c>
      <c r="O15" s="56">
        <f t="shared" ref="O15:R18" si="4">$N15*I15</f>
        <v>108.386304</v>
      </c>
      <c r="P15" s="56">
        <f t="shared" si="4"/>
        <v>108.386304</v>
      </c>
      <c r="Q15" s="56">
        <f t="shared" si="4"/>
        <v>180.64383999999998</v>
      </c>
      <c r="R15" s="56">
        <f t="shared" si="4"/>
        <v>180.64383999999998</v>
      </c>
      <c r="S15" s="56">
        <f>SUM(O15:R15)</f>
        <v>578.0602879999999</v>
      </c>
      <c r="T15" s="23" t="s">
        <v>56</v>
      </c>
      <c r="U15" s="18" t="s">
        <v>40</v>
      </c>
      <c r="V15" s="19" t="str">
        <f>IF(OR($H15="",$H15="sif",$H15="PM"),"",VLOOKUP($H15,[5]CU!$C$5:$J$255,8,FALSE))</f>
        <v>3. Dépenses de fonctionnement</v>
      </c>
      <c r="W15" s="18" t="s">
        <v>41</v>
      </c>
      <c r="X15" s="18" t="s">
        <v>41</v>
      </c>
      <c r="Y15" s="19" t="s">
        <v>32</v>
      </c>
      <c r="Z15" s="19" t="str">
        <f>A15 &amp; "-" &amp; VLOOKUP(A15,[4]PROGRAMMES!$E$1:$F$7,2,FALSE)</f>
        <v>1-Accès et équité à l'enseignement général</v>
      </c>
      <c r="AA15" s="19" t="str">
        <f>B15 &amp; "-" &amp; VLOOKUP(B15,[4]SOUSPROGRAMMES!$E$1:$F$44,2,FALSE)</f>
        <v>11- Accès équitable au préscolaire</v>
      </c>
      <c r="AB15" s="19" t="str">
        <f>C15 &amp; "-" &amp; VLOOKUP(C15,[4]RESULTATS!$E$1:$F$176,2,FALSE)</f>
        <v>111- Le préscolaire est réorganisé</v>
      </c>
      <c r="AC15" s="20" t="str">
        <f>D15 &amp; "-" &amp; VLOOKUP(D15,[4]STRATEGIES!$E$1:$F$504,2,FALSE)</f>
        <v>1112-Adaptation du mode de fonctionnement du préscolaire</v>
      </c>
      <c r="AD15" s="21" t="str">
        <f t="shared" si="0"/>
        <v>11123-Supervision des CEC et des établissements préscolaires publics</v>
      </c>
    </row>
    <row r="16" spans="1:30" s="22" customFormat="1" ht="15" customHeight="1" x14ac:dyDescent="0.8">
      <c r="A16" s="14">
        <v>1</v>
      </c>
      <c r="B16" s="15">
        <v>11</v>
      </c>
      <c r="C16" s="15">
        <v>111</v>
      </c>
      <c r="D16" s="15">
        <v>1112</v>
      </c>
      <c r="E16" s="14">
        <v>11123</v>
      </c>
      <c r="F16" s="16" t="s">
        <v>57</v>
      </c>
      <c r="G16" s="21" t="s">
        <v>58</v>
      </c>
      <c r="H16" s="17" t="s">
        <v>59</v>
      </c>
      <c r="I16" s="56">
        <f>(3*8*6)*7.96%</f>
        <v>11.462400000000001</v>
      </c>
      <c r="J16" s="56">
        <f>(3*8*6)*7.96%</f>
        <v>11.462400000000001</v>
      </c>
      <c r="K16" s="56">
        <f>(3*8*10)*7.96%</f>
        <v>19.103999999999999</v>
      </c>
      <c r="L16" s="56">
        <f>(3*8*10)*7.96%</f>
        <v>19.103999999999999</v>
      </c>
      <c r="M16" s="56">
        <f t="shared" si="1"/>
        <v>61.132800000000003</v>
      </c>
      <c r="N16" s="56">
        <f>IF(OR(H16="",H16="sif",H16="PM"),0,VLOOKUP(H16,[5]CU!$C$4:$H$255,6,FALSE))</f>
        <v>0.8177777777777776</v>
      </c>
      <c r="O16" s="56">
        <f t="shared" si="4"/>
        <v>9.3736959999999989</v>
      </c>
      <c r="P16" s="56">
        <f t="shared" si="4"/>
        <v>9.3736959999999989</v>
      </c>
      <c r="Q16" s="56">
        <f t="shared" si="4"/>
        <v>15.622826666666663</v>
      </c>
      <c r="R16" s="56">
        <f t="shared" si="4"/>
        <v>15.622826666666663</v>
      </c>
      <c r="S16" s="56">
        <f t="shared" ref="S16:S28" si="5">SUM(O16:R16)</f>
        <v>49.99304533333332</v>
      </c>
      <c r="T16" s="23" t="s">
        <v>60</v>
      </c>
      <c r="U16" s="18" t="s">
        <v>40</v>
      </c>
      <c r="V16" s="19" t="str">
        <f>IF(OR($H16="",$H16="sif",$H16="PM"),"",VLOOKUP($H16,[5]CU!$C$5:$J$255,8,FALSE))</f>
        <v>3. Dépenses de fonctionnement</v>
      </c>
      <c r="W16" s="18" t="s">
        <v>41</v>
      </c>
      <c r="X16" s="18" t="s">
        <v>41</v>
      </c>
      <c r="Y16" s="19" t="s">
        <v>32</v>
      </c>
      <c r="Z16" s="19" t="str">
        <f>A16 &amp; "-" &amp; VLOOKUP(A16,[4]PROGRAMMES!$E$1:$F$7,2,FALSE)</f>
        <v>1-Accès et équité à l'enseignement général</v>
      </c>
      <c r="AA16" s="19" t="str">
        <f>B16 &amp; "-" &amp; VLOOKUP(B16,[4]SOUSPROGRAMMES!$E$1:$F$44,2,FALSE)</f>
        <v>11- Accès équitable au préscolaire</v>
      </c>
      <c r="AB16" s="19" t="str">
        <f>C16 &amp; "-" &amp; VLOOKUP(C16,[4]RESULTATS!$E$1:$F$176,2,FALSE)</f>
        <v>111- Le préscolaire est réorganisé</v>
      </c>
      <c r="AC16" s="20" t="str">
        <f>D16 &amp; "-" &amp; VLOOKUP(D16,[4]STRATEGIES!$E$1:$F$504,2,FALSE)</f>
        <v>1112-Adaptation du mode de fonctionnement du préscolaire</v>
      </c>
      <c r="AD16" s="21" t="str">
        <f t="shared" si="0"/>
        <v>11123-Supervision des CEC et des établissements préscolaires publics</v>
      </c>
    </row>
    <row r="17" spans="1:30" s="22" customFormat="1" ht="45" customHeight="1" x14ac:dyDescent="0.8">
      <c r="A17" s="14">
        <v>1</v>
      </c>
      <c r="B17" s="15">
        <v>11</v>
      </c>
      <c r="C17" s="15">
        <v>111</v>
      </c>
      <c r="D17" s="15">
        <v>1112</v>
      </c>
      <c r="E17" s="14">
        <v>11124</v>
      </c>
      <c r="F17" s="16" t="s">
        <v>61</v>
      </c>
      <c r="G17" s="21" t="s">
        <v>51</v>
      </c>
      <c r="H17" s="17" t="s">
        <v>52</v>
      </c>
      <c r="I17" s="56">
        <f>((8+38+10))*20%</f>
        <v>11.200000000000001</v>
      </c>
      <c r="J17" s="56">
        <f>(215*3)*20%</f>
        <v>129</v>
      </c>
      <c r="K17" s="56">
        <f>(215*3)*20%</f>
        <v>129</v>
      </c>
      <c r="L17" s="56">
        <f>(215*3)*20%</f>
        <v>129</v>
      </c>
      <c r="M17" s="56">
        <f>SUM(I17:L17)</f>
        <v>398.2</v>
      </c>
      <c r="N17" s="56">
        <f>IF(OR(H17="",H17="sif",H17="PM"),0,VLOOKUP(H17,[5]CU!$C$4:$H$255,6,FALSE))</f>
        <v>1.5</v>
      </c>
      <c r="O17" s="56">
        <f t="shared" si="4"/>
        <v>16.8</v>
      </c>
      <c r="P17" s="56">
        <f t="shared" si="4"/>
        <v>193.5</v>
      </c>
      <c r="Q17" s="56">
        <f t="shared" si="4"/>
        <v>193.5</v>
      </c>
      <c r="R17" s="56">
        <f t="shared" si="4"/>
        <v>193.5</v>
      </c>
      <c r="S17" s="56">
        <f>SUM(O17:R17)</f>
        <v>597.29999999999995</v>
      </c>
      <c r="T17" s="23" t="s">
        <v>39</v>
      </c>
      <c r="U17" s="19" t="s">
        <v>40</v>
      </c>
      <c r="V17" s="19" t="str">
        <f>IF(OR($H17="",$H17="sif",$H17="PM"),"",VLOOKUP($H17,[5]CU!$C$5:$J$255,8,FALSE))</f>
        <v>3. Formation</v>
      </c>
      <c r="W17" s="19" t="s">
        <v>41</v>
      </c>
      <c r="X17" s="19" t="s">
        <v>62</v>
      </c>
      <c r="Y17" s="19" t="s">
        <v>32</v>
      </c>
      <c r="Z17" s="19" t="str">
        <f>A17 &amp; "-" &amp; VLOOKUP(A17,[4]PROGRAMMES!$E$1:$F$7,2,FALSE)</f>
        <v>1-Accès et équité à l'enseignement général</v>
      </c>
      <c r="AA17" s="19" t="str">
        <f>B17 &amp; "-" &amp; VLOOKUP(B17,[4]SOUSPROGRAMMES!$E$1:$F$44,2,FALSE)</f>
        <v>11- Accès équitable au préscolaire</v>
      </c>
      <c r="AB17" s="19" t="str">
        <f>C17 &amp; "-" &amp; VLOOKUP(C17,[4]RESULTATS!$E$1:$F$176,2,FALSE)</f>
        <v>111- Le préscolaire est réorganisé</v>
      </c>
      <c r="AC17" s="20" t="str">
        <f>D17 &amp; "-" &amp; VLOOKUP(D17,[4]STRATEGIES!$E$1:$F$504,2,FALSE)</f>
        <v>1112-Adaptation du mode de fonctionnement du préscolaire</v>
      </c>
      <c r="AD17" s="21" t="str">
        <f t="shared" si="0"/>
        <v xml:space="preserve">11124-Formation des éducateurs sur la gestion des classes uniques </v>
      </c>
    </row>
    <row r="18" spans="1:30" s="22" customFormat="1" ht="45" customHeight="1" x14ac:dyDescent="0.8">
      <c r="A18" s="14">
        <v>1</v>
      </c>
      <c r="B18" s="15">
        <v>11</v>
      </c>
      <c r="C18" s="15">
        <v>111</v>
      </c>
      <c r="D18" s="15">
        <v>1112</v>
      </c>
      <c r="E18" s="14">
        <v>11124</v>
      </c>
      <c r="F18" s="16" t="s">
        <v>61</v>
      </c>
      <c r="G18" s="21" t="s">
        <v>51</v>
      </c>
      <c r="H18" s="17" t="s">
        <v>52</v>
      </c>
      <c r="I18" s="56">
        <f>((8+38+10))*80%</f>
        <v>44.800000000000004</v>
      </c>
      <c r="J18" s="56">
        <f>(215*3)*80%</f>
        <v>516</v>
      </c>
      <c r="K18" s="56">
        <f>(215*3)*80%</f>
        <v>516</v>
      </c>
      <c r="L18" s="56">
        <f>(215*3)*80%</f>
        <v>516</v>
      </c>
      <c r="M18" s="56">
        <f>SUM(I18:L18)</f>
        <v>1592.8</v>
      </c>
      <c r="N18" s="56">
        <f>IF(OR(H18="",H18="sif",H18="PM"),0,VLOOKUP(H18,[5]CU!$C$4:$H$255,6,FALSE))</f>
        <v>1.5</v>
      </c>
      <c r="O18" s="56">
        <f t="shared" si="4"/>
        <v>67.2</v>
      </c>
      <c r="P18" s="56">
        <f t="shared" si="4"/>
        <v>774</v>
      </c>
      <c r="Q18" s="56">
        <f t="shared" si="4"/>
        <v>774</v>
      </c>
      <c r="R18" s="56">
        <f t="shared" si="4"/>
        <v>774</v>
      </c>
      <c r="S18" s="56">
        <f>SUM(O18:R18)</f>
        <v>2389.1999999999998</v>
      </c>
      <c r="T18" s="23" t="s">
        <v>39</v>
      </c>
      <c r="U18" s="19" t="s">
        <v>40</v>
      </c>
      <c r="V18" s="19" t="str">
        <f>IF(OR($H18="",$H18="sif",$H18="PM"),"",VLOOKUP($H18,[5]CU!$C$5:$J$255,8,FALSE))</f>
        <v>3. Formation</v>
      </c>
      <c r="W18" s="19" t="s">
        <v>41</v>
      </c>
      <c r="X18" s="19" t="s">
        <v>62</v>
      </c>
      <c r="Y18" s="19" t="s">
        <v>32</v>
      </c>
      <c r="Z18" s="19" t="str">
        <f>A18 &amp; "-" &amp; VLOOKUP(A18,[4]PROGRAMMES!$E$1:$F$7,2,FALSE)</f>
        <v>1-Accès et équité à l'enseignement général</v>
      </c>
      <c r="AA18" s="19" t="str">
        <f>B18 &amp; "-" &amp; VLOOKUP(B18,[4]SOUSPROGRAMMES!$E$1:$F$44,2,FALSE)</f>
        <v>11- Accès équitable au préscolaire</v>
      </c>
      <c r="AB18" s="19" t="str">
        <f>C18 &amp; "-" &amp; VLOOKUP(C18,[4]RESULTATS!$E$1:$F$176,2,FALSE)</f>
        <v>111- Le préscolaire est réorganisé</v>
      </c>
      <c r="AC18" s="20" t="str">
        <f>D18 &amp; "-" &amp; VLOOKUP(D18,[4]STRATEGIES!$E$1:$F$504,2,FALSE)</f>
        <v>1112-Adaptation du mode de fonctionnement du préscolaire</v>
      </c>
      <c r="AD18" s="21" t="str">
        <f t="shared" si="0"/>
        <v xml:space="preserve">11124-Formation des éducateurs sur la gestion des classes uniques </v>
      </c>
    </row>
    <row r="19" spans="1:30" s="22" customFormat="1" ht="30" customHeight="1" x14ac:dyDescent="0.8">
      <c r="A19" s="14">
        <v>1</v>
      </c>
      <c r="B19" s="15">
        <v>11</v>
      </c>
      <c r="C19" s="15">
        <v>112</v>
      </c>
      <c r="D19" s="15">
        <v>112</v>
      </c>
      <c r="E19" s="14">
        <v>112</v>
      </c>
      <c r="F19" s="16" t="s">
        <v>63</v>
      </c>
      <c r="G19" s="17"/>
      <c r="H19" s="17"/>
      <c r="I19" s="56"/>
      <c r="J19" s="56"/>
      <c r="K19" s="56"/>
      <c r="L19" s="56"/>
      <c r="M19" s="56"/>
      <c r="N19" s="56"/>
      <c r="O19" s="56"/>
      <c r="P19" s="56"/>
      <c r="Q19" s="56"/>
      <c r="R19" s="56"/>
      <c r="S19" s="56"/>
      <c r="T19" s="18"/>
      <c r="U19" s="18"/>
      <c r="V19" s="19"/>
      <c r="W19" s="18"/>
      <c r="X19" s="18"/>
      <c r="Y19" s="19" t="s">
        <v>32</v>
      </c>
      <c r="Z19" s="19" t="str">
        <f>A19 &amp; "-" &amp; VLOOKUP(A19,[4]PROGRAMMES!$E$1:$F$7,2,FALSE)</f>
        <v>1-Accès et équité à l'enseignement général</v>
      </c>
      <c r="AA19" s="19" t="str">
        <f>B19 &amp; "-" &amp; VLOOKUP(B19,[4]SOUSPROGRAMMES!$E$1:$F$44,2,FALSE)</f>
        <v>11- Accès équitable au préscolaire</v>
      </c>
      <c r="AB19" s="19" t="str">
        <f>C19 &amp; "-" &amp; VLOOKUP(C19,[4]RESULTATS!$E$1:$F$176,2,FALSE)</f>
        <v>112- La demande de préscolarisation est stimulée</v>
      </c>
      <c r="AC19" s="20" t="str">
        <f>D19 &amp; "-" &amp; VLOOKUP(D19,[4]STRATEGIES!$E$1:$F$504,2,FALSE)</f>
        <v>112- La demande de préscolarisation est stimulée</v>
      </c>
      <c r="AD19" s="21" t="str">
        <f t="shared" si="0"/>
        <v>112- La demande de préscolarisation est stimulée</v>
      </c>
    </row>
    <row r="20" spans="1:30" s="22" customFormat="1" ht="45" customHeight="1" x14ac:dyDescent="0.8">
      <c r="A20" s="14">
        <v>1</v>
      </c>
      <c r="B20" s="15">
        <v>11</v>
      </c>
      <c r="C20" s="15">
        <v>112</v>
      </c>
      <c r="D20" s="15">
        <v>1121</v>
      </c>
      <c r="E20" s="14">
        <v>1121</v>
      </c>
      <c r="F20" s="16" t="s">
        <v>64</v>
      </c>
      <c r="G20" s="17"/>
      <c r="H20" s="17"/>
      <c r="I20" s="56"/>
      <c r="J20" s="56"/>
      <c r="K20" s="56"/>
      <c r="L20" s="56"/>
      <c r="M20" s="56"/>
      <c r="N20" s="56"/>
      <c r="O20" s="56"/>
      <c r="P20" s="56"/>
      <c r="Q20" s="56"/>
      <c r="R20" s="56"/>
      <c r="S20" s="56"/>
      <c r="T20" s="18"/>
      <c r="U20" s="18"/>
      <c r="V20" s="19"/>
      <c r="W20" s="18"/>
      <c r="X20" s="18"/>
      <c r="Y20" s="19" t="s">
        <v>32</v>
      </c>
      <c r="Z20" s="19" t="str">
        <f>A20 &amp; "-" &amp; VLOOKUP(A20,[4]PROGRAMMES!$E$1:$F$7,2,FALSE)</f>
        <v>1-Accès et équité à l'enseignement général</v>
      </c>
      <c r="AA20" s="19" t="str">
        <f>B20 &amp; "-" &amp; VLOOKUP(B20,[4]SOUSPROGRAMMES!$E$1:$F$44,2,FALSE)</f>
        <v>11- Accès équitable au préscolaire</v>
      </c>
      <c r="AB20" s="19" t="str">
        <f>C20 &amp; "-" &amp; VLOOKUP(C20,[4]RESULTATS!$E$1:$F$176,2,FALSE)</f>
        <v>112- La demande de préscolarisation est stimulée</v>
      </c>
      <c r="AC20" s="20" t="str">
        <f>D20 &amp; "-" &amp; VLOOKUP(D20,[4]STRATEGIES!$E$1:$F$504,2,FALSE)</f>
        <v>1121-Sensibilisation des communautés sur l'importance de la préscolarisation des enfants et la nouvelle organisation du préscolaire</v>
      </c>
      <c r="AD20" s="21" t="str">
        <f t="shared" si="0"/>
        <v>1121-Sensibilisation des communautés sur l'importance de la préscolarisation des enfants et la nouvelle organisation du préscolaire</v>
      </c>
    </row>
    <row r="21" spans="1:30" s="22" customFormat="1" ht="30" customHeight="1" x14ac:dyDescent="0.8">
      <c r="A21" s="14">
        <v>1</v>
      </c>
      <c r="B21" s="15">
        <v>11</v>
      </c>
      <c r="C21" s="15">
        <v>112</v>
      </c>
      <c r="D21" s="15">
        <v>1121</v>
      </c>
      <c r="E21" s="14">
        <v>11211</v>
      </c>
      <c r="F21" s="16" t="s">
        <v>65</v>
      </c>
      <c r="G21" s="21" t="s">
        <v>37</v>
      </c>
      <c r="H21" s="17" t="s">
        <v>66</v>
      </c>
      <c r="I21" s="56"/>
      <c r="J21" s="53">
        <f>20*5*1</f>
        <v>100</v>
      </c>
      <c r="K21" s="53"/>
      <c r="L21" s="53"/>
      <c r="M21" s="53">
        <f t="shared" si="1"/>
        <v>100</v>
      </c>
      <c r="N21" s="53">
        <f>IF(OR(H21="",H21="sif",H21="PM"),0,VLOOKUP(H21,[5]CU!$C$4:$H$255,6,FALSE))</f>
        <v>0.255</v>
      </c>
      <c r="O21" s="53">
        <f t="shared" ref="O21:R28" si="6">$N21*I21</f>
        <v>0</v>
      </c>
      <c r="P21" s="53">
        <f t="shared" si="6"/>
        <v>25.5</v>
      </c>
      <c r="Q21" s="53">
        <f t="shared" si="6"/>
        <v>0</v>
      </c>
      <c r="R21" s="53">
        <f t="shared" si="6"/>
        <v>0</v>
      </c>
      <c r="S21" s="53">
        <f t="shared" si="5"/>
        <v>25.5</v>
      </c>
      <c r="T21" s="23" t="s">
        <v>67</v>
      </c>
      <c r="U21" s="18" t="s">
        <v>40</v>
      </c>
      <c r="V21" s="19" t="str">
        <f>IF(OR($H21="",$H21="sif",$H21="PM"),"",VLOOKUP($H21,[5]CU!$C$5:$J$255,8,FALSE))</f>
        <v>3. Dépenses de fonctionnement</v>
      </c>
      <c r="W21" s="18" t="s">
        <v>41</v>
      </c>
      <c r="X21" s="18" t="s">
        <v>41</v>
      </c>
      <c r="Y21" s="19" t="s">
        <v>32</v>
      </c>
      <c r="Z21" s="19" t="str">
        <f>A21 &amp; "-" &amp; VLOOKUP(A21,[4]PROGRAMMES!$E$1:$F$7,2,FALSE)</f>
        <v>1-Accès et équité à l'enseignement général</v>
      </c>
      <c r="AA21" s="19" t="str">
        <f>B21 &amp; "-" &amp; VLOOKUP(B21,[4]SOUSPROGRAMMES!$E$1:$F$44,2,FALSE)</f>
        <v>11- Accès équitable au préscolaire</v>
      </c>
      <c r="AB21" s="19" t="str">
        <f>C21 &amp; "-" &amp; VLOOKUP(C21,[4]RESULTATS!$E$1:$F$176,2,FALSE)</f>
        <v>112- La demande de préscolarisation est stimulée</v>
      </c>
      <c r="AC21" s="20" t="str">
        <f>D21 &amp; "-" &amp; VLOOKUP(D21,[4]STRATEGIES!$E$1:$F$504,2,FALSE)</f>
        <v>1121-Sensibilisation des communautés sur l'importance de la préscolarisation des enfants et la nouvelle organisation du préscolaire</v>
      </c>
      <c r="AD21" s="21" t="str">
        <f t="shared" si="0"/>
        <v>11211-Conception des messages publicitaires et des affiches sur la préscolarisation des enfants</v>
      </c>
    </row>
    <row r="22" spans="1:30" s="22" customFormat="1" ht="45" customHeight="1" x14ac:dyDescent="0.8">
      <c r="A22" s="14">
        <v>1</v>
      </c>
      <c r="B22" s="15">
        <v>11</v>
      </c>
      <c r="C22" s="15">
        <v>112</v>
      </c>
      <c r="D22" s="15">
        <v>1121</v>
      </c>
      <c r="E22" s="14">
        <v>11212</v>
      </c>
      <c r="F22" s="16" t="s">
        <v>68</v>
      </c>
      <c r="G22" s="21" t="s">
        <v>69</v>
      </c>
      <c r="H22" s="17" t="s">
        <v>70</v>
      </c>
      <c r="I22" s="56"/>
      <c r="J22" s="53">
        <v>30</v>
      </c>
      <c r="K22" s="53">
        <v>27</v>
      </c>
      <c r="L22" s="53">
        <v>25</v>
      </c>
      <c r="M22" s="53">
        <f t="shared" si="1"/>
        <v>82</v>
      </c>
      <c r="N22" s="53">
        <f>IF(OR(H22="",H22="sif",H22="PM"),0,VLOOKUP(H22,[5]CU!$C$4:$H$255,6,FALSE))</f>
        <v>30.702576112412178</v>
      </c>
      <c r="O22" s="53">
        <f t="shared" si="6"/>
        <v>0</v>
      </c>
      <c r="P22" s="53">
        <f t="shared" si="6"/>
        <v>921.07728337236529</v>
      </c>
      <c r="Q22" s="53">
        <f t="shared" si="6"/>
        <v>828.96955503512879</v>
      </c>
      <c r="R22" s="53">
        <f t="shared" si="6"/>
        <v>767.5644028103045</v>
      </c>
      <c r="S22" s="53">
        <f t="shared" si="5"/>
        <v>2517.6112412177986</v>
      </c>
      <c r="T22" s="23" t="s">
        <v>67</v>
      </c>
      <c r="U22" s="19" t="s">
        <v>40</v>
      </c>
      <c r="V22" s="19" t="str">
        <f>IF(OR($H22="",$H22="sif",$H22="PM"),"",VLOOKUP($H22,[5]CU!$C$5:$J$255,8,FALSE))</f>
        <v>3. Dépenses de fonctionnement</v>
      </c>
      <c r="W22" s="19" t="s">
        <v>41</v>
      </c>
      <c r="X22" s="19" t="s">
        <v>41</v>
      </c>
      <c r="Y22" s="19" t="s">
        <v>32</v>
      </c>
      <c r="Z22" s="19" t="str">
        <f>A22 &amp; "-" &amp; VLOOKUP(A22,[4]PROGRAMMES!$E$1:$F$7,2,FALSE)</f>
        <v>1-Accès et équité à l'enseignement général</v>
      </c>
      <c r="AA22" s="19" t="str">
        <f>B22 &amp; "-" &amp; VLOOKUP(B22,[4]SOUSPROGRAMMES!$E$1:$F$44,2,FALSE)</f>
        <v>11- Accès équitable au préscolaire</v>
      </c>
      <c r="AB22" s="19" t="str">
        <f>C22 &amp; "-" &amp; VLOOKUP(C22,[4]RESULTATS!$E$1:$F$176,2,FALSE)</f>
        <v>112- La demande de préscolarisation est stimulée</v>
      </c>
      <c r="AC22" s="20" t="str">
        <f>D22 &amp; "-" &amp; VLOOKUP(D22,[4]STRATEGIES!$E$1:$F$504,2,FALSE)</f>
        <v>1121-Sensibilisation des communautés sur l'importance de la préscolarisation des enfants et la nouvelle organisation du préscolaire</v>
      </c>
      <c r="AD22" s="21" t="str">
        <f t="shared" si="0"/>
        <v>11212-Impression et distribution des outils de sensibilisation des communautés sur la préscolarisation des enfants (Affiches, boîtes à image, etc.)</v>
      </c>
    </row>
    <row r="23" spans="1:30" s="22" customFormat="1" ht="45" customHeight="1" x14ac:dyDescent="0.8">
      <c r="A23" s="14">
        <v>1</v>
      </c>
      <c r="B23" s="15">
        <v>11</v>
      </c>
      <c r="C23" s="15">
        <v>112</v>
      </c>
      <c r="D23" s="15">
        <v>1121</v>
      </c>
      <c r="E23" s="14">
        <v>11212</v>
      </c>
      <c r="F23" s="16" t="s">
        <v>68</v>
      </c>
      <c r="G23" s="21" t="s">
        <v>69</v>
      </c>
      <c r="H23" s="17" t="s">
        <v>70</v>
      </c>
      <c r="I23" s="56"/>
      <c r="J23" s="56">
        <v>70</v>
      </c>
      <c r="K23" s="56">
        <v>70</v>
      </c>
      <c r="L23" s="56">
        <v>70</v>
      </c>
      <c r="M23" s="56">
        <f>SUM(I23:L23)</f>
        <v>210</v>
      </c>
      <c r="N23" s="56">
        <f>IF(OR(H23="",H23="sif",H23="PM"),0,VLOOKUP(H23,[5]CU!$C$4:$H$255,6,FALSE))</f>
        <v>30.702576112412178</v>
      </c>
      <c r="O23" s="56">
        <f t="shared" si="6"/>
        <v>0</v>
      </c>
      <c r="P23" s="56">
        <f t="shared" si="6"/>
        <v>2149.1803278688526</v>
      </c>
      <c r="Q23" s="56">
        <f t="shared" si="6"/>
        <v>2149.1803278688526</v>
      </c>
      <c r="R23" s="56">
        <f t="shared" si="6"/>
        <v>2149.1803278688526</v>
      </c>
      <c r="S23" s="56">
        <f>SUM(O23:R23)</f>
        <v>6447.5409836065573</v>
      </c>
      <c r="T23" s="23" t="s">
        <v>39</v>
      </c>
      <c r="U23" s="19" t="s">
        <v>40</v>
      </c>
      <c r="V23" s="19" t="str">
        <f>IF(OR($H23="",$H23="sif",$H23="PM"),"",VLOOKUP($H23,[5]CU!$C$5:$J$255,8,FALSE))</f>
        <v>3. Dépenses de fonctionnement</v>
      </c>
      <c r="W23" s="19" t="s">
        <v>41</v>
      </c>
      <c r="X23" s="19" t="s">
        <v>41</v>
      </c>
      <c r="Y23" s="19" t="s">
        <v>32</v>
      </c>
      <c r="Z23" s="19" t="str">
        <f>A23 &amp; "-" &amp; VLOOKUP(A23,[4]PROGRAMMES!$E$1:$F$7,2,FALSE)</f>
        <v>1-Accès et équité à l'enseignement général</v>
      </c>
      <c r="AA23" s="19" t="str">
        <f>B23 &amp; "-" &amp; VLOOKUP(B23,[4]SOUSPROGRAMMES!$E$1:$F$44,2,FALSE)</f>
        <v>11- Accès équitable au préscolaire</v>
      </c>
      <c r="AB23" s="19" t="str">
        <f>C23 &amp; "-" &amp; VLOOKUP(C23,[4]RESULTATS!$E$1:$F$176,2,FALSE)</f>
        <v>112- La demande de préscolarisation est stimulée</v>
      </c>
      <c r="AC23" s="20" t="str">
        <f>D23 &amp; "-" &amp; VLOOKUP(D23,[4]STRATEGIES!$E$1:$F$504,2,FALSE)</f>
        <v>1121-Sensibilisation des communautés sur l'importance de la préscolarisation des enfants et la nouvelle organisation du préscolaire</v>
      </c>
      <c r="AD23" s="21" t="str">
        <f t="shared" si="0"/>
        <v>11212-Impression et distribution des outils de sensibilisation des communautés sur la préscolarisation des enfants (Affiches, boîtes à image, etc.)</v>
      </c>
    </row>
    <row r="24" spans="1:30" s="22" customFormat="1" ht="45" hidden="1" customHeight="1" x14ac:dyDescent="0.8">
      <c r="A24" s="14">
        <v>1</v>
      </c>
      <c r="B24" s="15">
        <v>11</v>
      </c>
      <c r="C24" s="15">
        <v>112</v>
      </c>
      <c r="D24" s="15">
        <v>1121</v>
      </c>
      <c r="E24" s="14">
        <v>11212</v>
      </c>
      <c r="F24" s="16" t="s">
        <v>68</v>
      </c>
      <c r="G24" s="21" t="s">
        <v>69</v>
      </c>
      <c r="H24" s="17" t="s">
        <v>70</v>
      </c>
      <c r="I24" s="56">
        <v>8</v>
      </c>
      <c r="J24" s="56">
        <v>20</v>
      </c>
      <c r="K24" s="56">
        <v>10</v>
      </c>
      <c r="L24" s="56">
        <v>5</v>
      </c>
      <c r="M24" s="56">
        <f t="shared" si="1"/>
        <v>43</v>
      </c>
      <c r="N24" s="56">
        <f>IF(OR(H24="",H24="sif",H24="PM"),0,VLOOKUP(H24,[5]CU!$C$4:$H$255,6,FALSE))</f>
        <v>30.702576112412178</v>
      </c>
      <c r="O24" s="56">
        <f t="shared" si="6"/>
        <v>245.62060889929742</v>
      </c>
      <c r="P24" s="56">
        <f t="shared" si="6"/>
        <v>614.0515222482436</v>
      </c>
      <c r="Q24" s="56">
        <f t="shared" si="6"/>
        <v>307.0257611241218</v>
      </c>
      <c r="R24" s="56">
        <f t="shared" si="6"/>
        <v>153.5128805620609</v>
      </c>
      <c r="S24" s="56">
        <f t="shared" si="5"/>
        <v>1320.2107728337237</v>
      </c>
      <c r="T24" s="23" t="s">
        <v>56</v>
      </c>
      <c r="U24" s="19" t="s">
        <v>40</v>
      </c>
      <c r="V24" s="19" t="str">
        <f>IF(OR($H24="",$H24="sif",$H24="PM"),"",VLOOKUP($H24,[5]CU!$C$5:$J$255,8,FALSE))</f>
        <v>3. Dépenses de fonctionnement</v>
      </c>
      <c r="W24" s="19" t="s">
        <v>41</v>
      </c>
      <c r="X24" s="19" t="s">
        <v>41</v>
      </c>
      <c r="Y24" s="19" t="s">
        <v>32</v>
      </c>
      <c r="Z24" s="19" t="str">
        <f>A24 &amp; "-" &amp; VLOOKUP(A24,[4]PROGRAMMES!$E$1:$F$7,2,FALSE)</f>
        <v>1-Accès et équité à l'enseignement général</v>
      </c>
      <c r="AA24" s="19" t="str">
        <f>B24 &amp; "-" &amp; VLOOKUP(B24,[4]SOUSPROGRAMMES!$E$1:$F$44,2,FALSE)</f>
        <v>11- Accès équitable au préscolaire</v>
      </c>
      <c r="AB24" s="19" t="str">
        <f>C24 &amp; "-" &amp; VLOOKUP(C24,[4]RESULTATS!$E$1:$F$176,2,FALSE)</f>
        <v>112- La demande de préscolarisation est stimulée</v>
      </c>
      <c r="AC24" s="20" t="str">
        <f>D24 &amp; "-" &amp; VLOOKUP(D24,[4]STRATEGIES!$E$1:$F$504,2,FALSE)</f>
        <v>1121-Sensibilisation des communautés sur l'importance de la préscolarisation des enfants et la nouvelle organisation du préscolaire</v>
      </c>
      <c r="AD24" s="21" t="str">
        <f t="shared" si="0"/>
        <v>11212-Impression et distribution des outils de sensibilisation des communautés sur la préscolarisation des enfants (Affiches, boîtes à image, etc.)</v>
      </c>
    </row>
    <row r="25" spans="1:30" s="22" customFormat="1" ht="30" customHeight="1" x14ac:dyDescent="0.8">
      <c r="A25" s="14">
        <v>1</v>
      </c>
      <c r="B25" s="15">
        <v>11</v>
      </c>
      <c r="C25" s="15">
        <v>112</v>
      </c>
      <c r="D25" s="15">
        <v>1121</v>
      </c>
      <c r="E25" s="14">
        <v>11213</v>
      </c>
      <c r="F25" s="16" t="s">
        <v>71</v>
      </c>
      <c r="G25" s="21" t="s">
        <v>72</v>
      </c>
      <c r="H25" s="17" t="s">
        <v>73</v>
      </c>
      <c r="I25" s="56"/>
      <c r="J25" s="53">
        <f>ROUNDDOWN(33*15*0.7,0)</f>
        <v>346</v>
      </c>
      <c r="K25" s="53">
        <f>ROUNDDOWN(33*15*0.7,0)</f>
        <v>346</v>
      </c>
      <c r="L25" s="53">
        <f>ROUNDDOWN(33*15*0.7,0)</f>
        <v>346</v>
      </c>
      <c r="M25" s="53">
        <f>SUM(I25:L25)</f>
        <v>1038</v>
      </c>
      <c r="N25" s="53">
        <f>IF(OR(H25="",H25="sif",H25="PM"),0,VLOOKUP(H25,[5]CU!$C$4:$H$255,6,FALSE))</f>
        <v>0.4</v>
      </c>
      <c r="O25" s="53">
        <f t="shared" si="6"/>
        <v>0</v>
      </c>
      <c r="P25" s="53">
        <f t="shared" si="6"/>
        <v>138.4</v>
      </c>
      <c r="Q25" s="53">
        <f t="shared" si="6"/>
        <v>138.4</v>
      </c>
      <c r="R25" s="53">
        <f t="shared" si="6"/>
        <v>138.4</v>
      </c>
      <c r="S25" s="53">
        <f>SUM(O25:R25)</f>
        <v>415.20000000000005</v>
      </c>
      <c r="T25" s="23" t="s">
        <v>67</v>
      </c>
      <c r="U25" s="18" t="s">
        <v>40</v>
      </c>
      <c r="V25" s="19" t="str">
        <f>IF(OR($H25="",$H25="sif",$H25="PM"),"",VLOOKUP($H25,[5]CU!$C$5:$J$255,8,FALSE))</f>
        <v>3. Dépenses de fonctionnement</v>
      </c>
      <c r="W25" s="18" t="s">
        <v>41</v>
      </c>
      <c r="X25" s="18" t="s">
        <v>41</v>
      </c>
      <c r="Y25" s="19" t="s">
        <v>32</v>
      </c>
      <c r="Z25" s="19" t="str">
        <f>A25 &amp; "-" &amp; VLOOKUP(A25,[4]PROGRAMMES!$E$1:$F$7,2,FALSE)</f>
        <v>1-Accès et équité à l'enseignement général</v>
      </c>
      <c r="AA25" s="19" t="str">
        <f>B25 &amp; "-" &amp; VLOOKUP(B25,[4]SOUSPROGRAMMES!$E$1:$F$44,2,FALSE)</f>
        <v>11- Accès équitable au préscolaire</v>
      </c>
      <c r="AB25" s="19" t="str">
        <f>C25 &amp; "-" &amp; VLOOKUP(C25,[4]RESULTATS!$E$1:$F$176,2,FALSE)</f>
        <v>112- La demande de préscolarisation est stimulée</v>
      </c>
      <c r="AC25" s="20" t="str">
        <f>D25 &amp; "-" &amp; VLOOKUP(D25,[4]STRATEGIES!$E$1:$F$504,2,FALSE)</f>
        <v>1121-Sensibilisation des communautés sur l'importance de la préscolarisation des enfants et la nouvelle organisation du préscolaire</v>
      </c>
      <c r="AD25" s="21" t="str">
        <f t="shared" si="0"/>
        <v>11213-Diffusions des messages dans les médias sur la préscolarisation des enfants</v>
      </c>
    </row>
    <row r="26" spans="1:30" s="22" customFormat="1" ht="30" hidden="1" customHeight="1" x14ac:dyDescent="0.8">
      <c r="A26" s="14">
        <v>1</v>
      </c>
      <c r="B26" s="15">
        <v>11</v>
      </c>
      <c r="C26" s="15">
        <v>112</v>
      </c>
      <c r="D26" s="15">
        <v>1121</v>
      </c>
      <c r="E26" s="14">
        <v>11213</v>
      </c>
      <c r="F26" s="16" t="s">
        <v>71</v>
      </c>
      <c r="G26" s="21" t="s">
        <v>72</v>
      </c>
      <c r="H26" s="17" t="s">
        <v>73</v>
      </c>
      <c r="I26" s="56">
        <v>29</v>
      </c>
      <c r="J26" s="56">
        <f>ROUNDUP(33*15*0.3,0)</f>
        <v>149</v>
      </c>
      <c r="K26" s="56">
        <f>ROUNDUP(33*15*0.3,0)</f>
        <v>149</v>
      </c>
      <c r="L26" s="56">
        <f>ROUNDUP(33*15*0.3,0)</f>
        <v>149</v>
      </c>
      <c r="M26" s="56">
        <f>SUM(I26:L26)</f>
        <v>476</v>
      </c>
      <c r="N26" s="56">
        <f>IF(OR(H26="",H26="sif",H26="PM"),0,VLOOKUP(H26,[5]CU!$C$4:$H$255,6,FALSE))</f>
        <v>0.4</v>
      </c>
      <c r="O26" s="56">
        <f t="shared" si="6"/>
        <v>11.600000000000001</v>
      </c>
      <c r="P26" s="56">
        <f t="shared" si="6"/>
        <v>59.6</v>
      </c>
      <c r="Q26" s="56">
        <f t="shared" si="6"/>
        <v>59.6</v>
      </c>
      <c r="R26" s="56">
        <f t="shared" si="6"/>
        <v>59.6</v>
      </c>
      <c r="S26" s="56">
        <f t="shared" si="5"/>
        <v>190.4</v>
      </c>
      <c r="T26" s="23" t="s">
        <v>56</v>
      </c>
      <c r="U26" s="18" t="s">
        <v>40</v>
      </c>
      <c r="V26" s="19" t="str">
        <f>IF(OR($H26="",$H26="sif",$H26="PM"),"",VLOOKUP($H26,[5]CU!$C$5:$J$255,8,FALSE))</f>
        <v>3. Dépenses de fonctionnement</v>
      </c>
      <c r="W26" s="18" t="s">
        <v>41</v>
      </c>
      <c r="X26" s="18" t="s">
        <v>41</v>
      </c>
      <c r="Y26" s="19" t="s">
        <v>32</v>
      </c>
      <c r="Z26" s="19" t="str">
        <f>A26 &amp; "-" &amp; VLOOKUP(A26,[4]PROGRAMMES!$E$1:$F$7,2,FALSE)</f>
        <v>1-Accès et équité à l'enseignement général</v>
      </c>
      <c r="AA26" s="19" t="str">
        <f>B26 &amp; "-" &amp; VLOOKUP(B26,[4]SOUSPROGRAMMES!$E$1:$F$44,2,FALSE)</f>
        <v>11- Accès équitable au préscolaire</v>
      </c>
      <c r="AB26" s="19" t="str">
        <f>C26 &amp; "-" &amp; VLOOKUP(C26,[4]RESULTATS!$E$1:$F$176,2,FALSE)</f>
        <v>112- La demande de préscolarisation est stimulée</v>
      </c>
      <c r="AC26" s="20" t="str">
        <f>D26 &amp; "-" &amp; VLOOKUP(D26,[4]STRATEGIES!$E$1:$F$504,2,FALSE)</f>
        <v>1121-Sensibilisation des communautés sur l'importance de la préscolarisation des enfants et la nouvelle organisation du préscolaire</v>
      </c>
      <c r="AD26" s="21" t="str">
        <f t="shared" si="0"/>
        <v>11213-Diffusions des messages dans les médias sur la préscolarisation des enfants</v>
      </c>
    </row>
    <row r="27" spans="1:30" s="22" customFormat="1" ht="30" customHeight="1" x14ac:dyDescent="0.8">
      <c r="A27" s="14">
        <v>1</v>
      </c>
      <c r="B27" s="15">
        <v>11</v>
      </c>
      <c r="C27" s="15">
        <v>112</v>
      </c>
      <c r="D27" s="15">
        <v>1121</v>
      </c>
      <c r="E27" s="14">
        <v>11214</v>
      </c>
      <c r="F27" s="16" t="s">
        <v>74</v>
      </c>
      <c r="G27" s="21" t="s">
        <v>75</v>
      </c>
      <c r="H27" s="17" t="s">
        <v>76</v>
      </c>
      <c r="I27" s="56">
        <v>8</v>
      </c>
      <c r="J27" s="53">
        <v>7</v>
      </c>
      <c r="K27" s="53">
        <v>1</v>
      </c>
      <c r="L27" s="53">
        <v>1</v>
      </c>
      <c r="M27" s="53">
        <f>SUM(I27:L27)</f>
        <v>17</v>
      </c>
      <c r="N27" s="53">
        <f>IF(OR(H27="",H27="sif",H27="PM"),0,VLOOKUP(H27,[5]CU!$C$4:$H$255,6,FALSE))</f>
        <v>45.936799999999998</v>
      </c>
      <c r="O27" s="53">
        <f t="shared" si="6"/>
        <v>367.49439999999998</v>
      </c>
      <c r="P27" s="53">
        <f t="shared" si="6"/>
        <v>321.55759999999998</v>
      </c>
      <c r="Q27" s="53">
        <f t="shared" si="6"/>
        <v>45.936799999999998</v>
      </c>
      <c r="R27" s="53">
        <f t="shared" si="6"/>
        <v>45.936799999999998</v>
      </c>
      <c r="S27" s="53">
        <f>SUM(O27:R27)</f>
        <v>780.9255999999998</v>
      </c>
      <c r="T27" s="23" t="s">
        <v>67</v>
      </c>
      <c r="U27" s="18" t="s">
        <v>40</v>
      </c>
      <c r="V27" s="19" t="str">
        <f>IF(OR($H27="",$H27="sif",$H27="PM"),"",VLOOKUP($H27,[5]CU!$C$5:$J$255,8,FALSE))</f>
        <v>3. Dépenses de fonctionnement</v>
      </c>
      <c r="W27" s="18" t="s">
        <v>41</v>
      </c>
      <c r="X27" s="18" t="s">
        <v>77</v>
      </c>
      <c r="Y27" s="19" t="s">
        <v>32</v>
      </c>
      <c r="Z27" s="19" t="str">
        <f>A27 &amp; "-" &amp; VLOOKUP(A27,[4]PROGRAMMES!$E$1:$F$7,2,FALSE)</f>
        <v>1-Accès et équité à l'enseignement général</v>
      </c>
      <c r="AA27" s="19" t="str">
        <f>B27 &amp; "-" &amp; VLOOKUP(B27,[4]SOUSPROGRAMMES!$E$1:$F$44,2,FALSE)</f>
        <v>11- Accès équitable au préscolaire</v>
      </c>
      <c r="AB27" s="19" t="str">
        <f>C27 &amp; "-" &amp; VLOOKUP(C27,[4]RESULTATS!$E$1:$F$176,2,FALSE)</f>
        <v>112- La demande de préscolarisation est stimulée</v>
      </c>
      <c r="AC27" s="20" t="str">
        <f>D27 &amp; "-" &amp; VLOOKUP(D27,[4]STRATEGIES!$E$1:$F$504,2,FALSE)</f>
        <v>1121-Sensibilisation des communautés sur l'importance de la préscolarisation des enfants et la nouvelle organisation du préscolaire</v>
      </c>
      <c r="AD27" s="21" t="str">
        <f t="shared" si="0"/>
        <v xml:space="preserve">11214-Sensibilisation des communautés sur la préscolarisation des enfants à l'intérieur du pays </v>
      </c>
    </row>
    <row r="28" spans="1:30" s="22" customFormat="1" ht="30" hidden="1" customHeight="1" x14ac:dyDescent="0.8">
      <c r="A28" s="14">
        <v>1</v>
      </c>
      <c r="B28" s="15">
        <v>11</v>
      </c>
      <c r="C28" s="15">
        <v>112</v>
      </c>
      <c r="D28" s="15">
        <v>1121</v>
      </c>
      <c r="E28" s="14">
        <v>11214</v>
      </c>
      <c r="F28" s="16" t="s">
        <v>74</v>
      </c>
      <c r="G28" s="21" t="s">
        <v>75</v>
      </c>
      <c r="H28" s="17" t="s">
        <v>76</v>
      </c>
      <c r="I28" s="56">
        <v>276.13800000000003</v>
      </c>
      <c r="J28" s="56">
        <v>1</v>
      </c>
      <c r="K28" s="56">
        <v>1</v>
      </c>
      <c r="L28" s="56">
        <v>1</v>
      </c>
      <c r="M28" s="56">
        <f t="shared" si="1"/>
        <v>279.13800000000003</v>
      </c>
      <c r="N28" s="56">
        <f>IF(OR(H28="",H28="sif",H28="PM"),0,VLOOKUP(H28,[5]CU!$C$4:$H$255,6,FALSE))</f>
        <v>45.936799999999998</v>
      </c>
      <c r="O28" s="56">
        <f t="shared" si="6"/>
        <v>12684.896078400001</v>
      </c>
      <c r="P28" s="56">
        <f t="shared" si="6"/>
        <v>45.936799999999998</v>
      </c>
      <c r="Q28" s="56">
        <f t="shared" si="6"/>
        <v>45.936799999999998</v>
      </c>
      <c r="R28" s="56">
        <f t="shared" si="6"/>
        <v>45.936799999999998</v>
      </c>
      <c r="S28" s="56">
        <f t="shared" si="5"/>
        <v>12822.706478399999</v>
      </c>
      <c r="T28" s="23" t="s">
        <v>56</v>
      </c>
      <c r="U28" s="18" t="s">
        <v>40</v>
      </c>
      <c r="V28" s="19" t="str">
        <f>IF(OR($H28="",$H28="sif",$H28="PM"),"",VLOOKUP($H28,[5]CU!$C$5:$J$255,8,FALSE))</f>
        <v>3. Dépenses de fonctionnement</v>
      </c>
      <c r="W28" s="18" t="s">
        <v>41</v>
      </c>
      <c r="X28" s="18" t="s">
        <v>77</v>
      </c>
      <c r="Y28" s="19" t="s">
        <v>32</v>
      </c>
      <c r="Z28" s="19" t="str">
        <f>A28 &amp; "-" &amp; VLOOKUP(A28,[4]PROGRAMMES!$E$1:$F$7,2,FALSE)</f>
        <v>1-Accès et équité à l'enseignement général</v>
      </c>
      <c r="AA28" s="19" t="str">
        <f>B28 &amp; "-" &amp; VLOOKUP(B28,[4]SOUSPROGRAMMES!$E$1:$F$44,2,FALSE)</f>
        <v>11- Accès équitable au préscolaire</v>
      </c>
      <c r="AB28" s="19" t="str">
        <f>C28 &amp; "-" &amp; VLOOKUP(C28,[4]RESULTATS!$E$1:$F$176,2,FALSE)</f>
        <v>112- La demande de préscolarisation est stimulée</v>
      </c>
      <c r="AC28" s="20" t="str">
        <f>D28 &amp; "-" &amp; VLOOKUP(D28,[4]STRATEGIES!$E$1:$F$504,2,FALSE)</f>
        <v>1121-Sensibilisation des communautés sur l'importance de la préscolarisation des enfants et la nouvelle organisation du préscolaire</v>
      </c>
      <c r="AD28" s="21" t="str">
        <f t="shared" si="0"/>
        <v xml:space="preserve">11214-Sensibilisation des communautés sur la préscolarisation des enfants à l'intérieur du pays </v>
      </c>
    </row>
    <row r="29" spans="1:30" s="22" customFormat="1" ht="30" customHeight="1" x14ac:dyDescent="0.8">
      <c r="A29" s="14">
        <v>1</v>
      </c>
      <c r="B29" s="15">
        <v>11</v>
      </c>
      <c r="C29" s="15">
        <v>112</v>
      </c>
      <c r="D29" s="15">
        <v>1122</v>
      </c>
      <c r="E29" s="14">
        <v>1122</v>
      </c>
      <c r="F29" s="16" t="s">
        <v>78</v>
      </c>
      <c r="G29" s="17"/>
      <c r="H29" s="17"/>
      <c r="I29" s="56">
        <v>183.86199999999999</v>
      </c>
      <c r="J29" s="56"/>
      <c r="K29" s="56"/>
      <c r="L29" s="56"/>
      <c r="M29" s="56"/>
      <c r="N29" s="56"/>
      <c r="O29" s="56"/>
      <c r="P29" s="56"/>
      <c r="Q29" s="56"/>
      <c r="R29" s="56"/>
      <c r="S29" s="56"/>
      <c r="T29" s="18"/>
      <c r="U29" s="18"/>
      <c r="V29" s="19"/>
      <c r="W29" s="18"/>
      <c r="X29" s="18"/>
      <c r="Y29" s="19" t="s">
        <v>32</v>
      </c>
      <c r="Z29" s="19" t="str">
        <f>A29 &amp; "-" &amp; VLOOKUP(A29,[4]PROGRAMMES!$E$1:$F$7,2,FALSE)</f>
        <v>1-Accès et équité à l'enseignement général</v>
      </c>
      <c r="AA29" s="19" t="str">
        <f>B29 &amp; "-" &amp; VLOOKUP(B29,[4]SOUSPROGRAMMES!$E$1:$F$44,2,FALSE)</f>
        <v>11- Accès équitable au préscolaire</v>
      </c>
      <c r="AB29" s="19" t="str">
        <f>C29 &amp; "-" &amp; VLOOKUP(C29,[4]RESULTATS!$E$1:$F$176,2,FALSE)</f>
        <v>112- La demande de préscolarisation est stimulée</v>
      </c>
      <c r="AC29" s="20" t="str">
        <f>D29 &amp; "-" &amp; VLOOKUP(D29,[4]STRATEGIES!$E$1:$F$504,2,FALSE)</f>
        <v>1122-Prise en charge des enfants du préscolaire par les cantines des écoles situées à proximité</v>
      </c>
      <c r="AD29" s="21" t="str">
        <f t="shared" si="0"/>
        <v>1122-Prise en charge des enfants du préscolaire par les cantines des écoles situées à proximité</v>
      </c>
    </row>
    <row r="30" spans="1:30" s="22" customFormat="1" ht="30" hidden="1" customHeight="1" x14ac:dyDescent="0.8">
      <c r="A30" s="14">
        <v>1</v>
      </c>
      <c r="B30" s="15">
        <v>11</v>
      </c>
      <c r="C30" s="15">
        <v>112</v>
      </c>
      <c r="D30" s="15">
        <v>1122</v>
      </c>
      <c r="E30" s="14">
        <v>11221</v>
      </c>
      <c r="F30" s="16" t="s">
        <v>79</v>
      </c>
      <c r="G30" s="21" t="s">
        <v>80</v>
      </c>
      <c r="H30" s="17" t="s">
        <v>55</v>
      </c>
      <c r="I30" s="56">
        <v>203.80499999999998</v>
      </c>
      <c r="J30" s="56"/>
      <c r="K30" s="56"/>
      <c r="L30" s="56"/>
      <c r="M30" s="56">
        <f t="shared" si="1"/>
        <v>203.80499999999998</v>
      </c>
      <c r="N30" s="56">
        <f>IF(OR(H30="",H30="sif",H30="PM"),0,VLOOKUP(H30,[5]CU!$C$4:$H$255,6,FALSE))</f>
        <v>0</v>
      </c>
      <c r="O30" s="56"/>
      <c r="P30" s="56"/>
      <c r="Q30" s="56"/>
      <c r="R30" s="56"/>
      <c r="S30" s="56"/>
      <c r="T30" s="23" t="s">
        <v>56</v>
      </c>
      <c r="U30" s="18" t="s">
        <v>40</v>
      </c>
      <c r="V30" s="19" t="str">
        <f>IF(OR($H30="",$H30="sif",$H30="PM"),"",VLOOKUP($H30,[5]CU!$C$5:$J$255,8,FALSE))</f>
        <v/>
      </c>
      <c r="W30" s="18" t="s">
        <v>41</v>
      </c>
      <c r="X30" s="18" t="s">
        <v>81</v>
      </c>
      <c r="Y30" s="19" t="s">
        <v>32</v>
      </c>
      <c r="Z30" s="19" t="str">
        <f>A30 &amp; "-" &amp; VLOOKUP(A30,[4]PROGRAMMES!$E$1:$F$7,2,FALSE)</f>
        <v>1-Accès et équité à l'enseignement général</v>
      </c>
      <c r="AA30" s="19" t="str">
        <f>B30 &amp; "-" &amp; VLOOKUP(B30,[4]SOUSPROGRAMMES!$E$1:$F$44,2,FALSE)</f>
        <v>11- Accès équitable au préscolaire</v>
      </c>
      <c r="AB30" s="19" t="str">
        <f>C30 &amp; "-" &amp; VLOOKUP(C30,[4]RESULTATS!$E$1:$F$176,2,FALSE)</f>
        <v>112- La demande de préscolarisation est stimulée</v>
      </c>
      <c r="AC30" s="20" t="str">
        <f>D30 &amp; "-" &amp; VLOOKUP(D30,[4]STRATEGIES!$E$1:$F$504,2,FALSE)</f>
        <v>1122-Prise en charge des enfants du préscolaire par les cantines des écoles situées à proximité</v>
      </c>
      <c r="AD30" s="21" t="str">
        <f t="shared" si="0"/>
        <v>11221-Identification des CEC situés à proximité des écoles à cantines</v>
      </c>
    </row>
    <row r="31" spans="1:30" s="22" customFormat="1" ht="45" customHeight="1" x14ac:dyDescent="0.8">
      <c r="A31" s="14">
        <v>1</v>
      </c>
      <c r="B31" s="15">
        <v>11</v>
      </c>
      <c r="C31" s="15">
        <v>112</v>
      </c>
      <c r="D31" s="15">
        <v>1122</v>
      </c>
      <c r="E31" s="14">
        <v>11222</v>
      </c>
      <c r="F31" s="16" t="s">
        <v>82</v>
      </c>
      <c r="G31" s="21" t="s">
        <v>83</v>
      </c>
      <c r="H31" s="17" t="s">
        <v>84</v>
      </c>
      <c r="I31" s="56">
        <v>0</v>
      </c>
      <c r="J31" s="56"/>
      <c r="K31" s="56">
        <v>6000</v>
      </c>
      <c r="L31" s="56">
        <v>18000</v>
      </c>
      <c r="M31" s="56">
        <f t="shared" si="1"/>
        <v>24000</v>
      </c>
      <c r="N31" s="56">
        <f>IF(OR(H31="",H31="sif",H31="PM"),0,VLOOKUP(H31,[5]CU!$C$4:$H$255,6,FALSE))</f>
        <v>0.25</v>
      </c>
      <c r="O31" s="56">
        <f t="shared" ref="O31:R32" si="7">$N31*I31</f>
        <v>0</v>
      </c>
      <c r="P31" s="56">
        <f t="shared" si="7"/>
        <v>0</v>
      </c>
      <c r="Q31" s="56">
        <f t="shared" si="7"/>
        <v>1500</v>
      </c>
      <c r="R31" s="56">
        <f t="shared" si="7"/>
        <v>4500</v>
      </c>
      <c r="S31" s="56">
        <f>SUM(O31:R31)</f>
        <v>6000</v>
      </c>
      <c r="T31" s="23" t="s">
        <v>39</v>
      </c>
      <c r="U31" s="19" t="s">
        <v>40</v>
      </c>
      <c r="V31" s="19" t="str">
        <f>IF(OR($H31="",$H31="sif",$H31="PM"),"",VLOOKUP($H31,[5]CU!$C$5:$J$255,8,FALSE))</f>
        <v>4. Transferts et subventions</v>
      </c>
      <c r="W31" s="19" t="s">
        <v>41</v>
      </c>
      <c r="X31" s="19" t="s">
        <v>81</v>
      </c>
      <c r="Y31" s="19" t="s">
        <v>32</v>
      </c>
      <c r="Z31" s="19" t="str">
        <f>A31 &amp; "-" &amp; VLOOKUP(A31,[4]PROGRAMMES!$E$1:$F$7,2,FALSE)</f>
        <v>1-Accès et équité à l'enseignement général</v>
      </c>
      <c r="AA31" s="19" t="str">
        <f>B31 &amp; "-" &amp; VLOOKUP(B31,[4]SOUSPROGRAMMES!$E$1:$F$44,2,FALSE)</f>
        <v>11- Accès équitable au préscolaire</v>
      </c>
      <c r="AB31" s="19" t="str">
        <f>C31 &amp; "-" &amp; VLOOKUP(C31,[4]RESULTATS!$E$1:$F$176,2,FALSE)</f>
        <v>112- La demande de préscolarisation est stimulée</v>
      </c>
      <c r="AC31" s="20" t="str">
        <f>D31 &amp; "-" &amp; VLOOKUP(D31,[4]STRATEGIES!$E$1:$F$504,2,FALSE)</f>
        <v>1122-Prise en charge des enfants du préscolaire par les cantines des écoles situées à proximité</v>
      </c>
      <c r="AD31" s="21" t="str">
        <f t="shared" si="0"/>
        <v>11222-Acquisition et distribution des vivres supplémentaires</v>
      </c>
    </row>
    <row r="32" spans="1:30" s="22" customFormat="1" ht="45" customHeight="1" x14ac:dyDescent="0.8">
      <c r="A32" s="14">
        <v>1</v>
      </c>
      <c r="B32" s="15">
        <v>11</v>
      </c>
      <c r="C32" s="15">
        <v>112</v>
      </c>
      <c r="D32" s="15">
        <v>1122</v>
      </c>
      <c r="E32" s="14">
        <v>11223</v>
      </c>
      <c r="F32" s="16" t="s">
        <v>85</v>
      </c>
      <c r="G32" s="21" t="s">
        <v>58</v>
      </c>
      <c r="H32" s="17" t="s">
        <v>59</v>
      </c>
      <c r="I32" s="56">
        <v>0</v>
      </c>
      <c r="J32" s="56">
        <f>10*3*10</f>
        <v>300</v>
      </c>
      <c r="K32" s="56">
        <f>15*3*10</f>
        <v>450</v>
      </c>
      <c r="L32" s="56">
        <f>20*3*10</f>
        <v>600</v>
      </c>
      <c r="M32" s="56">
        <f t="shared" si="1"/>
        <v>1350</v>
      </c>
      <c r="N32" s="56">
        <f>IF(OR(H32="",H32="sif",H32="PM"),0,VLOOKUP(H32,[5]CU!$C$4:$H$255,6,FALSE))</f>
        <v>0.8177777777777776</v>
      </c>
      <c r="O32" s="56">
        <f t="shared" si="7"/>
        <v>0</v>
      </c>
      <c r="P32" s="56">
        <f t="shared" si="7"/>
        <v>245.33333333333329</v>
      </c>
      <c r="Q32" s="56">
        <f t="shared" si="7"/>
        <v>367.99999999999994</v>
      </c>
      <c r="R32" s="56">
        <f t="shared" si="7"/>
        <v>490.66666666666657</v>
      </c>
      <c r="S32" s="56">
        <f>SUM(O32:R32)</f>
        <v>1103.9999999999998</v>
      </c>
      <c r="T32" s="23" t="s">
        <v>39</v>
      </c>
      <c r="U32" s="19" t="s">
        <v>40</v>
      </c>
      <c r="V32" s="19" t="str">
        <f>IF(OR($H32="",$H32="sif",$H32="PM"),"",VLOOKUP($H32,[5]CU!$C$5:$J$255,8,FALSE))</f>
        <v>3. Dépenses de fonctionnement</v>
      </c>
      <c r="W32" s="19" t="s">
        <v>41</v>
      </c>
      <c r="X32" s="19" t="s">
        <v>81</v>
      </c>
      <c r="Y32" s="19" t="s">
        <v>32</v>
      </c>
      <c r="Z32" s="19" t="str">
        <f>A32 &amp; "-" &amp; VLOOKUP(A32,[4]PROGRAMMES!$E$1:$F$7,2,FALSE)</f>
        <v>1-Accès et équité à l'enseignement général</v>
      </c>
      <c r="AA32" s="19" t="str">
        <f>B32 &amp; "-" &amp; VLOOKUP(B32,[4]SOUSPROGRAMMES!$E$1:$F$44,2,FALSE)</f>
        <v>11- Accès équitable au préscolaire</v>
      </c>
      <c r="AB32" s="19" t="str">
        <f>C32 &amp; "-" &amp; VLOOKUP(C32,[4]RESULTATS!$E$1:$F$176,2,FALSE)</f>
        <v>112- La demande de préscolarisation est stimulée</v>
      </c>
      <c r="AC32" s="20" t="str">
        <f>D32 &amp; "-" &amp; VLOOKUP(D32,[4]STRATEGIES!$E$1:$F$504,2,FALSE)</f>
        <v>1122-Prise en charge des enfants du préscolaire par les cantines des écoles situées à proximité</v>
      </c>
      <c r="AD32" s="21" t="str">
        <f t="shared" si="0"/>
        <v>11223-Suivi de la gestion des cantines scolaires</v>
      </c>
    </row>
    <row r="33" spans="1:30" s="22" customFormat="1" ht="30" customHeight="1" x14ac:dyDescent="0.8">
      <c r="A33" s="14">
        <v>1</v>
      </c>
      <c r="B33" s="15">
        <v>11</v>
      </c>
      <c r="C33" s="15">
        <v>112</v>
      </c>
      <c r="D33" s="15">
        <v>1123</v>
      </c>
      <c r="E33" s="14">
        <v>1123</v>
      </c>
      <c r="F33" s="16" t="s">
        <v>86</v>
      </c>
      <c r="G33" s="17"/>
      <c r="H33" s="17"/>
      <c r="I33" s="56">
        <v>0</v>
      </c>
      <c r="J33" s="56"/>
      <c r="K33" s="56"/>
      <c r="L33" s="56"/>
      <c r="M33" s="56"/>
      <c r="N33" s="56"/>
      <c r="O33" s="56"/>
      <c r="P33" s="56"/>
      <c r="Q33" s="56"/>
      <c r="R33" s="56"/>
      <c r="S33" s="56"/>
      <c r="T33" s="18"/>
      <c r="U33" s="18"/>
      <c r="V33" s="19"/>
      <c r="W33" s="18"/>
      <c r="X33" s="18"/>
      <c r="Y33" s="19" t="s">
        <v>32</v>
      </c>
      <c r="Z33" s="19" t="str">
        <f>A33 &amp; "-" &amp; VLOOKUP(A33,[4]PROGRAMMES!$E$1:$F$7,2,FALSE)</f>
        <v>1-Accès et équité à l'enseignement général</v>
      </c>
      <c r="AA33" s="19" t="str">
        <f>B33 &amp; "-" &amp; VLOOKUP(B33,[4]SOUSPROGRAMMES!$E$1:$F$44,2,FALSE)</f>
        <v>11- Accès équitable au préscolaire</v>
      </c>
      <c r="AB33" s="19" t="str">
        <f>C33 &amp; "-" &amp; VLOOKUP(C33,[4]RESULTATS!$E$1:$F$176,2,FALSE)</f>
        <v>112- La demande de préscolarisation est stimulée</v>
      </c>
      <c r="AC33" s="20" t="str">
        <f>D33 &amp; "-" &amp; VLOOKUP(D33,[4]STRATEGIES!$E$1:$F$504,2,FALSE)</f>
        <v>1123-Création de cantines au niveau des CEC éloignés des écoles primaires à cantine</v>
      </c>
      <c r="AD33" s="21" t="str">
        <f t="shared" si="0"/>
        <v>1123-Création de cantines au niveau des CEC éloignés des écoles primaires à cantine</v>
      </c>
    </row>
    <row r="34" spans="1:30" s="22" customFormat="1" ht="30" hidden="1" customHeight="1" x14ac:dyDescent="0.8">
      <c r="A34" s="14">
        <v>1</v>
      </c>
      <c r="B34" s="15">
        <v>11</v>
      </c>
      <c r="C34" s="15">
        <v>112</v>
      </c>
      <c r="D34" s="15">
        <v>1123</v>
      </c>
      <c r="E34" s="14">
        <v>11231</v>
      </c>
      <c r="F34" s="16" t="s">
        <v>87</v>
      </c>
      <c r="G34" s="21" t="s">
        <v>88</v>
      </c>
      <c r="H34" s="17" t="s">
        <v>55</v>
      </c>
      <c r="I34" s="56">
        <v>0</v>
      </c>
      <c r="J34" s="56"/>
      <c r="K34" s="56">
        <v>2</v>
      </c>
      <c r="L34" s="56"/>
      <c r="M34" s="56">
        <f t="shared" si="1"/>
        <v>2</v>
      </c>
      <c r="N34" s="56">
        <f>IF(OR(H34="",H34="sif",H34="PM"),0,VLOOKUP(H34,[5]CU!$C$4:$H$255,6,FALSE))</f>
        <v>0</v>
      </c>
      <c r="O34" s="56"/>
      <c r="P34" s="56"/>
      <c r="Q34" s="56"/>
      <c r="R34" s="56"/>
      <c r="S34" s="56"/>
      <c r="T34" s="23" t="s">
        <v>56</v>
      </c>
      <c r="U34" s="18" t="s">
        <v>40</v>
      </c>
      <c r="V34" s="19" t="str">
        <f>IF(OR($H34="",$H34="sif",$H34="PM"),"",VLOOKUP($H34,[5]CU!$C$5:$J$255,8,FALSE))</f>
        <v/>
      </c>
      <c r="W34" s="18" t="s">
        <v>41</v>
      </c>
      <c r="X34" s="18" t="s">
        <v>81</v>
      </c>
      <c r="Y34" s="19" t="s">
        <v>32</v>
      </c>
      <c r="Z34" s="19" t="str">
        <f>A34 &amp; "-" &amp; VLOOKUP(A34,[4]PROGRAMMES!$E$1:$F$7,2,FALSE)</f>
        <v>1-Accès et équité à l'enseignement général</v>
      </c>
      <c r="AA34" s="19" t="str">
        <f>B34 &amp; "-" &amp; VLOOKUP(B34,[4]SOUSPROGRAMMES!$E$1:$F$44,2,FALSE)</f>
        <v>11- Accès équitable au préscolaire</v>
      </c>
      <c r="AB34" s="19" t="str">
        <f>C34 &amp; "-" &amp; VLOOKUP(C34,[4]RESULTATS!$E$1:$F$176,2,FALSE)</f>
        <v>112- La demande de préscolarisation est stimulée</v>
      </c>
      <c r="AC34" s="20" t="str">
        <f>D34 &amp; "-" &amp; VLOOKUP(D34,[4]STRATEGIES!$E$1:$F$504,2,FALSE)</f>
        <v>1123-Création de cantines au niveau des CEC éloignés des écoles primaires à cantine</v>
      </c>
      <c r="AD34" s="21" t="str">
        <f t="shared" si="0"/>
        <v>11231-Identification des CEC éloignés des écoles primaires à cantine</v>
      </c>
    </row>
    <row r="35" spans="1:30" s="22" customFormat="1" ht="30" hidden="1" customHeight="1" x14ac:dyDescent="0.8">
      <c r="A35" s="14">
        <v>1</v>
      </c>
      <c r="B35" s="15">
        <v>11</v>
      </c>
      <c r="C35" s="15">
        <v>112</v>
      </c>
      <c r="D35" s="15">
        <v>1123</v>
      </c>
      <c r="E35" s="14">
        <v>11232</v>
      </c>
      <c r="F35" s="16" t="s">
        <v>89</v>
      </c>
      <c r="G35" s="21" t="s">
        <v>58</v>
      </c>
      <c r="H35" s="17" t="s">
        <v>59</v>
      </c>
      <c r="I35" s="56">
        <v>0</v>
      </c>
      <c r="J35" s="56">
        <v>1</v>
      </c>
      <c r="K35" s="56"/>
      <c r="L35" s="56"/>
      <c r="M35" s="56">
        <f t="shared" si="1"/>
        <v>1</v>
      </c>
      <c r="N35" s="56">
        <f>IF(OR(H35="",H35="sif",H35="PM"),0,VLOOKUP(H35,[5]CU!$C$4:$H$255,6,FALSE))</f>
        <v>0.8177777777777776</v>
      </c>
      <c r="O35" s="56">
        <f t="shared" ref="O35:R37" si="8">$N35*I35</f>
        <v>0</v>
      </c>
      <c r="P35" s="56">
        <f t="shared" si="8"/>
        <v>0.8177777777777776</v>
      </c>
      <c r="Q35" s="56">
        <f t="shared" si="8"/>
        <v>0</v>
      </c>
      <c r="R35" s="56">
        <f t="shared" si="8"/>
        <v>0</v>
      </c>
      <c r="S35" s="56">
        <f>SUM(O35:R35)</f>
        <v>0.8177777777777776</v>
      </c>
      <c r="T35" s="23" t="s">
        <v>56</v>
      </c>
      <c r="U35" s="18" t="s">
        <v>40</v>
      </c>
      <c r="V35" s="19" t="str">
        <f>IF(OR($H35="",$H35="sif",$H35="PM"),"",VLOOKUP($H35,[5]CU!$C$5:$J$255,8,FALSE))</f>
        <v>3. Dépenses de fonctionnement</v>
      </c>
      <c r="W35" s="18" t="s">
        <v>41</v>
      </c>
      <c r="X35" s="18" t="s">
        <v>81</v>
      </c>
      <c r="Y35" s="19" t="s">
        <v>32</v>
      </c>
      <c r="Z35" s="19" t="str">
        <f>A35 &amp; "-" &amp; VLOOKUP(A35,[4]PROGRAMMES!$E$1:$F$7,2,FALSE)</f>
        <v>1-Accès et équité à l'enseignement général</v>
      </c>
      <c r="AA35" s="19" t="str">
        <f>B35 &amp; "-" &amp; VLOOKUP(B35,[4]SOUSPROGRAMMES!$E$1:$F$44,2,FALSE)</f>
        <v>11- Accès équitable au préscolaire</v>
      </c>
      <c r="AB35" s="19" t="str">
        <f>C35 &amp; "-" &amp; VLOOKUP(C35,[4]RESULTATS!$E$1:$F$176,2,FALSE)</f>
        <v>112- La demande de préscolarisation est stimulée</v>
      </c>
      <c r="AC35" s="20" t="str">
        <f>D35 &amp; "-" &amp; VLOOKUP(D35,[4]STRATEGIES!$E$1:$F$504,2,FALSE)</f>
        <v>1123-Création de cantines au niveau des CEC éloignés des écoles primaires à cantine</v>
      </c>
      <c r="AD35" s="21" t="str">
        <f t="shared" si="0"/>
        <v xml:space="preserve">11232-Implantation des nouvelles cantines dans les CEC en concertation avec les communautés </v>
      </c>
    </row>
    <row r="36" spans="1:30" s="22" customFormat="1" ht="30" customHeight="1" x14ac:dyDescent="0.8">
      <c r="A36" s="14">
        <v>1</v>
      </c>
      <c r="B36" s="15">
        <v>11</v>
      </c>
      <c r="C36" s="15">
        <v>112</v>
      </c>
      <c r="D36" s="15">
        <v>1123</v>
      </c>
      <c r="E36" s="14">
        <v>11233</v>
      </c>
      <c r="F36" s="16" t="s">
        <v>90</v>
      </c>
      <c r="G36" s="21" t="s">
        <v>83</v>
      </c>
      <c r="H36" s="17" t="s">
        <v>84</v>
      </c>
      <c r="I36" s="56">
        <v>0</v>
      </c>
      <c r="J36" s="56">
        <v>2897</v>
      </c>
      <c r="K36" s="56">
        <v>3488</v>
      </c>
      <c r="L36" s="56">
        <v>4134</v>
      </c>
      <c r="M36" s="56">
        <f>SUM(I36:L36)</f>
        <v>10519</v>
      </c>
      <c r="N36" s="56">
        <f>IF(OR(H36="",H36="sif",H36="PM"),0,VLOOKUP(H36,[5]CU!$C$4:$H$255,6,FALSE))</f>
        <v>0.25</v>
      </c>
      <c r="O36" s="56">
        <f>$N36*I36</f>
        <v>0</v>
      </c>
      <c r="P36" s="56">
        <f>$N36*J36</f>
        <v>724.25</v>
      </c>
      <c r="Q36" s="56">
        <f>$N36*K36</f>
        <v>872</v>
      </c>
      <c r="R36" s="56">
        <f>$N36*L36</f>
        <v>1033.5</v>
      </c>
      <c r="S36" s="56">
        <f>SUM(O36:R36)</f>
        <v>2629.75</v>
      </c>
      <c r="T36" s="23" t="s">
        <v>60</v>
      </c>
      <c r="U36" s="18" t="s">
        <v>40</v>
      </c>
      <c r="V36" s="19" t="str">
        <f>IF(OR($H36="",$H36="sif",$H36="PM"),"",VLOOKUP($H36,[5]CU!$C$5:$J$255,8,FALSE))</f>
        <v>4. Transferts et subventions</v>
      </c>
      <c r="W36" s="18" t="s">
        <v>41</v>
      </c>
      <c r="X36" s="18" t="s">
        <v>81</v>
      </c>
      <c r="Y36" s="19" t="s">
        <v>32</v>
      </c>
      <c r="Z36" s="19" t="str">
        <f>A36 &amp; "-" &amp; VLOOKUP(A36,[4]PROGRAMMES!$E$1:$F$7,2,FALSE)</f>
        <v>1-Accès et équité à l'enseignement général</v>
      </c>
      <c r="AA36" s="19" t="str">
        <f>B36 &amp; "-" &amp; VLOOKUP(B36,[4]SOUSPROGRAMMES!$E$1:$F$44,2,FALSE)</f>
        <v>11- Accès équitable au préscolaire</v>
      </c>
      <c r="AB36" s="19" t="str">
        <f>C36 &amp; "-" &amp; VLOOKUP(C36,[4]RESULTATS!$E$1:$F$176,2,FALSE)</f>
        <v>112- La demande de préscolarisation est stimulée</v>
      </c>
      <c r="AC36" s="20" t="str">
        <f>D36 &amp; "-" &amp; VLOOKUP(D36,[4]STRATEGIES!$E$1:$F$504,2,FALSE)</f>
        <v>1123-Création de cantines au niveau des CEC éloignés des écoles primaires à cantine</v>
      </c>
      <c r="AD36" s="21" t="str">
        <f t="shared" si="0"/>
        <v>11233-Acquisition et distribution des vivres aux CEC à cantine</v>
      </c>
    </row>
    <row r="37" spans="1:30" s="22" customFormat="1" ht="30" hidden="1" customHeight="1" x14ac:dyDescent="0.8">
      <c r="A37" s="14">
        <v>1</v>
      </c>
      <c r="B37" s="15">
        <v>11</v>
      </c>
      <c r="C37" s="15">
        <v>112</v>
      </c>
      <c r="D37" s="15">
        <v>1123</v>
      </c>
      <c r="E37" s="14">
        <v>11233</v>
      </c>
      <c r="F37" s="16" t="s">
        <v>90</v>
      </c>
      <c r="G37" s="21" t="s">
        <v>83</v>
      </c>
      <c r="H37" s="17" t="s">
        <v>84</v>
      </c>
      <c r="I37" s="56">
        <v>0</v>
      </c>
      <c r="J37" s="56">
        <v>2896</v>
      </c>
      <c r="K37" s="56">
        <v>3488</v>
      </c>
      <c r="L37" s="56">
        <v>4134</v>
      </c>
      <c r="M37" s="56">
        <f t="shared" si="1"/>
        <v>10518</v>
      </c>
      <c r="N37" s="56">
        <f>IF(OR(H37="",H37="sif",H37="PM"),0,VLOOKUP(H37,[5]CU!$C$4:$H$255,6,FALSE))</f>
        <v>0.25</v>
      </c>
      <c r="O37" s="56">
        <f t="shared" si="8"/>
        <v>0</v>
      </c>
      <c r="P37" s="56">
        <f t="shared" si="8"/>
        <v>724</v>
      </c>
      <c r="Q37" s="56">
        <f t="shared" si="8"/>
        <v>872</v>
      </c>
      <c r="R37" s="56">
        <f t="shared" si="8"/>
        <v>1033.5</v>
      </c>
      <c r="S37" s="56">
        <f>SUM(O37:R37)</f>
        <v>2629.5</v>
      </c>
      <c r="T37" s="23" t="s">
        <v>56</v>
      </c>
      <c r="U37" s="18" t="s">
        <v>40</v>
      </c>
      <c r="V37" s="19" t="str">
        <f>IF(OR($H37="",$H37="sif",$H37="PM"),"",VLOOKUP($H37,[5]CU!$C$5:$J$255,8,FALSE))</f>
        <v>4. Transferts et subventions</v>
      </c>
      <c r="W37" s="18" t="s">
        <v>41</v>
      </c>
      <c r="X37" s="18" t="s">
        <v>81</v>
      </c>
      <c r="Y37" s="19" t="s">
        <v>32</v>
      </c>
      <c r="Z37" s="19" t="str">
        <f>A37 &amp; "-" &amp; VLOOKUP(A37,[4]PROGRAMMES!$E$1:$F$7,2,FALSE)</f>
        <v>1-Accès et équité à l'enseignement général</v>
      </c>
      <c r="AA37" s="19" t="str">
        <f>B37 &amp; "-" &amp; VLOOKUP(B37,[4]SOUSPROGRAMMES!$E$1:$F$44,2,FALSE)</f>
        <v>11- Accès équitable au préscolaire</v>
      </c>
      <c r="AB37" s="19" t="str">
        <f>C37 &amp; "-" &amp; VLOOKUP(C37,[4]RESULTATS!$E$1:$F$176,2,FALSE)</f>
        <v>112- La demande de préscolarisation est stimulée</v>
      </c>
      <c r="AC37" s="20" t="str">
        <f>D37 &amp; "-" &amp; VLOOKUP(D37,[4]STRATEGIES!$E$1:$F$504,2,FALSE)</f>
        <v>1123-Création de cantines au niveau des CEC éloignés des écoles primaires à cantine</v>
      </c>
      <c r="AD37" s="21" t="str">
        <f t="shared" si="0"/>
        <v>11233-Acquisition et distribution des vivres aux CEC à cantine</v>
      </c>
    </row>
    <row r="38" spans="1:30" s="22" customFormat="1" ht="30" hidden="1" customHeight="1" x14ac:dyDescent="0.8">
      <c r="A38" s="14">
        <v>1</v>
      </c>
      <c r="B38" s="15">
        <v>11</v>
      </c>
      <c r="C38" s="15">
        <v>112</v>
      </c>
      <c r="D38" s="15">
        <v>1123</v>
      </c>
      <c r="E38" s="14">
        <v>11234</v>
      </c>
      <c r="F38" s="16" t="s">
        <v>91</v>
      </c>
      <c r="G38" s="21" t="s">
        <v>92</v>
      </c>
      <c r="H38" s="17" t="s">
        <v>55</v>
      </c>
      <c r="I38" s="56">
        <v>0</v>
      </c>
      <c r="J38" s="56"/>
      <c r="K38" s="56">
        <v>1</v>
      </c>
      <c r="L38" s="56">
        <v>1</v>
      </c>
      <c r="M38" s="56">
        <f t="shared" si="1"/>
        <v>2</v>
      </c>
      <c r="N38" s="56">
        <f>IF(OR(H38="",H38="sif",H38="PM"),0,VLOOKUP(H38,[5]CU!$C$4:$H$255,6,FALSE))</f>
        <v>0</v>
      </c>
      <c r="O38" s="56"/>
      <c r="P38" s="56"/>
      <c r="Q38" s="56"/>
      <c r="R38" s="56"/>
      <c r="S38" s="56"/>
      <c r="T38" s="23" t="s">
        <v>56</v>
      </c>
      <c r="U38" s="18" t="s">
        <v>40</v>
      </c>
      <c r="V38" s="19" t="str">
        <f>IF(OR($H38="",$H38="sif",$H38="PM"),"",VLOOKUP($H38,[5]CU!$C$5:$J$255,8,FALSE))</f>
        <v/>
      </c>
      <c r="W38" s="18" t="s">
        <v>41</v>
      </c>
      <c r="X38" s="18" t="s">
        <v>81</v>
      </c>
      <c r="Y38" s="19" t="s">
        <v>32</v>
      </c>
      <c r="Z38" s="19" t="str">
        <f>A38 &amp; "-" &amp; VLOOKUP(A38,[4]PROGRAMMES!$E$1:$F$7,2,FALSE)</f>
        <v>1-Accès et équité à l'enseignement général</v>
      </c>
      <c r="AA38" s="19" t="str">
        <f>B38 &amp; "-" &amp; VLOOKUP(B38,[4]SOUSPROGRAMMES!$E$1:$F$44,2,FALSE)</f>
        <v>11- Accès équitable au préscolaire</v>
      </c>
      <c r="AB38" s="19" t="str">
        <f>C38 &amp; "-" &amp; VLOOKUP(C38,[4]RESULTATS!$E$1:$F$176,2,FALSE)</f>
        <v>112- La demande de préscolarisation est stimulée</v>
      </c>
      <c r="AC38" s="20" t="str">
        <f>D38 &amp; "-" &amp; VLOOKUP(D38,[4]STRATEGIES!$E$1:$F$504,2,FALSE)</f>
        <v>1123-Création de cantines au niveau des CEC éloignés des écoles primaires à cantine</v>
      </c>
      <c r="AD38" s="21" t="str">
        <f t="shared" si="0"/>
        <v>11234-Suivi de la gestion des cantines préscolaires (pris en compte dans activité 11223)</v>
      </c>
    </row>
    <row r="39" spans="1:30" s="22" customFormat="1" ht="45" customHeight="1" x14ac:dyDescent="0.8">
      <c r="A39" s="14">
        <v>1</v>
      </c>
      <c r="B39" s="15">
        <v>11</v>
      </c>
      <c r="C39" s="15">
        <v>113</v>
      </c>
      <c r="D39" s="15">
        <v>113</v>
      </c>
      <c r="E39" s="14">
        <v>113</v>
      </c>
      <c r="F39" s="16" t="s">
        <v>93</v>
      </c>
      <c r="G39" s="17"/>
      <c r="H39" s="17"/>
      <c r="I39" s="56">
        <v>0</v>
      </c>
      <c r="J39" s="56"/>
      <c r="K39" s="56"/>
      <c r="L39" s="56"/>
      <c r="M39" s="56"/>
      <c r="N39" s="56"/>
      <c r="O39" s="56"/>
      <c r="P39" s="56"/>
      <c r="Q39" s="56"/>
      <c r="R39" s="56"/>
      <c r="S39" s="56"/>
      <c r="T39" s="18"/>
      <c r="U39" s="18"/>
      <c r="V39" s="19"/>
      <c r="W39" s="18"/>
      <c r="X39" s="18"/>
      <c r="Y39" s="19" t="s">
        <v>32</v>
      </c>
      <c r="Z39" s="19" t="str">
        <f>A39 &amp; "-" &amp; VLOOKUP(A39,[4]PROGRAMMES!$E$1:$F$7,2,FALSE)</f>
        <v>1-Accès et équité à l'enseignement général</v>
      </c>
      <c r="AA39" s="19" t="str">
        <f>B39 &amp; "-" &amp; VLOOKUP(B39,[4]SOUSPROGRAMMES!$E$1:$F$44,2,FALSE)</f>
        <v>11- Accès équitable au préscolaire</v>
      </c>
      <c r="AB39" s="19" t="str">
        <f>C39 &amp; "-" &amp; VLOOKUP(C39,[4]RESULTATS!$E$1:$F$176,2,FALSE)</f>
        <v>113- Les capacités d’accueil au préscolaire public et communautaires augmentent en milieux rural et urbain</v>
      </c>
      <c r="AC39" s="20" t="str">
        <f>D39 &amp; "-" &amp; VLOOKUP(D39,[4]STRATEGIES!$E$1:$F$504,2,FALSE)</f>
        <v>113- Les capacités d’accueil au préscolaire public et communautaires augmentent en milieux rural et urbain</v>
      </c>
      <c r="AD39" s="21" t="str">
        <f t="shared" si="0"/>
        <v>113- Les capacités d’accueil au préscolaire public et communautaires augmentent en milieux rural et urbain</v>
      </c>
    </row>
    <row r="40" spans="1:30" s="22" customFormat="1" ht="45" customHeight="1" x14ac:dyDescent="0.8">
      <c r="A40" s="14">
        <v>1</v>
      </c>
      <c r="B40" s="15">
        <v>11</v>
      </c>
      <c r="C40" s="15">
        <v>113</v>
      </c>
      <c r="D40" s="15">
        <v>1131</v>
      </c>
      <c r="E40" s="14">
        <v>1131</v>
      </c>
      <c r="F40" s="16" t="s">
        <v>94</v>
      </c>
      <c r="G40" s="17"/>
      <c r="H40" s="17"/>
      <c r="I40" s="56">
        <v>100</v>
      </c>
      <c r="J40" s="56"/>
      <c r="K40" s="56"/>
      <c r="L40" s="56"/>
      <c r="M40" s="56"/>
      <c r="N40" s="56"/>
      <c r="O40" s="56"/>
      <c r="P40" s="56"/>
      <c r="Q40" s="56"/>
      <c r="R40" s="56"/>
      <c r="S40" s="56"/>
      <c r="T40" s="18"/>
      <c r="U40" s="18"/>
      <c r="V40" s="19"/>
      <c r="W40" s="18"/>
      <c r="X40" s="18"/>
      <c r="Y40" s="19" t="s">
        <v>32</v>
      </c>
      <c r="Z40" s="19" t="str">
        <f>A40 &amp; "-" &amp; VLOOKUP(A40,[4]PROGRAMMES!$E$1:$F$7,2,FALSE)</f>
        <v>1-Accès et équité à l'enseignement général</v>
      </c>
      <c r="AA40" s="19" t="str">
        <f>B40 &amp; "-" &amp; VLOOKUP(B40,[4]SOUSPROGRAMMES!$E$1:$F$44,2,FALSE)</f>
        <v>11- Accès équitable au préscolaire</v>
      </c>
      <c r="AB40" s="19" t="str">
        <f>C40 &amp; "-" &amp; VLOOKUP(C40,[4]RESULTATS!$E$1:$F$176,2,FALSE)</f>
        <v>113- Les capacités d’accueil au préscolaire public et communautaires augmentent en milieux rural et urbain</v>
      </c>
      <c r="AC40" s="20" t="str">
        <f>D40 &amp; "-" &amp; VLOOKUP(D40,[4]STRATEGIES!$E$1:$F$504,2,FALSE)</f>
        <v>1131-Construction d'établissements préscolaires publics en zone urbaine</v>
      </c>
      <c r="AD40" s="21" t="str">
        <f t="shared" si="0"/>
        <v>1131-Construction d'établissements préscolaires publics en zone urbaine</v>
      </c>
    </row>
    <row r="41" spans="1:30" s="22" customFormat="1" ht="45" hidden="1" customHeight="1" x14ac:dyDescent="0.8">
      <c r="A41" s="14">
        <v>1</v>
      </c>
      <c r="B41" s="15">
        <v>11</v>
      </c>
      <c r="C41" s="15">
        <v>113</v>
      </c>
      <c r="D41" s="15">
        <v>1131</v>
      </c>
      <c r="E41" s="14">
        <v>11311</v>
      </c>
      <c r="F41" s="16" t="s">
        <v>95</v>
      </c>
      <c r="G41" s="21" t="s">
        <v>88</v>
      </c>
      <c r="H41" s="17" t="s">
        <v>55</v>
      </c>
      <c r="I41" s="56">
        <v>100</v>
      </c>
      <c r="J41" s="56"/>
      <c r="K41" s="56"/>
      <c r="L41" s="56"/>
      <c r="M41" s="56">
        <f t="shared" si="1"/>
        <v>100</v>
      </c>
      <c r="N41" s="56">
        <f>IF(OR(H41="",H41="sif",H41="PM"),0,VLOOKUP(H41,[5]CU!$C$4:$H$255,6,FALSE))</f>
        <v>0</v>
      </c>
      <c r="O41" s="56"/>
      <c r="P41" s="56"/>
      <c r="Q41" s="56"/>
      <c r="R41" s="56"/>
      <c r="S41" s="56"/>
      <c r="T41" s="23" t="s">
        <v>56</v>
      </c>
      <c r="U41" s="18" t="s">
        <v>40</v>
      </c>
      <c r="V41" s="19" t="str">
        <f>IF(OR($H41="",$H41="sif",$H41="PM"),"",VLOOKUP($H41,[5]CU!$C$5:$J$255,8,FALSE))</f>
        <v/>
      </c>
      <c r="W41" s="18" t="s">
        <v>41</v>
      </c>
      <c r="X41" s="18" t="s">
        <v>96</v>
      </c>
      <c r="Y41" s="19" t="s">
        <v>32</v>
      </c>
      <c r="Z41" s="19" t="str">
        <f>A41 &amp; "-" &amp; VLOOKUP(A41,[4]PROGRAMMES!$E$1:$F$7,2,FALSE)</f>
        <v>1-Accès et équité à l'enseignement général</v>
      </c>
      <c r="AA41" s="19" t="str">
        <f>B41 &amp; "-" &amp; VLOOKUP(B41,[4]SOUSPROGRAMMES!$E$1:$F$44,2,FALSE)</f>
        <v>11- Accès équitable au préscolaire</v>
      </c>
      <c r="AB41" s="19" t="str">
        <f>C41 &amp; "-" &amp; VLOOKUP(C41,[4]RESULTATS!$E$1:$F$176,2,FALSE)</f>
        <v>113- Les capacités d’accueil au préscolaire public et communautaires augmentent en milieux rural et urbain</v>
      </c>
      <c r="AC41" s="20" t="str">
        <f>D41 &amp; "-" &amp; VLOOKUP(D41,[4]STRATEGIES!$E$1:$F$504,2,FALSE)</f>
        <v>1131-Construction d'établissements préscolaires publics en zone urbaine</v>
      </c>
      <c r="AD41" s="21" t="str">
        <f t="shared" si="0"/>
        <v>11311-Identification des sites de construction des établissements préscolaires publics</v>
      </c>
    </row>
    <row r="42" spans="1:30" s="22" customFormat="1" ht="45" hidden="1" customHeight="1" x14ac:dyDescent="0.8">
      <c r="A42" s="14">
        <v>1</v>
      </c>
      <c r="B42" s="15">
        <v>11</v>
      </c>
      <c r="C42" s="15">
        <v>113</v>
      </c>
      <c r="D42" s="15">
        <v>1131</v>
      </c>
      <c r="E42" s="14">
        <v>11312</v>
      </c>
      <c r="F42" s="16" t="s">
        <v>97</v>
      </c>
      <c r="G42" s="21" t="s">
        <v>58</v>
      </c>
      <c r="H42" s="17" t="s">
        <v>59</v>
      </c>
      <c r="I42" s="56">
        <v>0</v>
      </c>
      <c r="J42" s="56">
        <f>4*5*2</f>
        <v>40</v>
      </c>
      <c r="K42" s="56">
        <f>4*5*4</f>
        <v>80</v>
      </c>
      <c r="L42" s="56">
        <f>4*5*6</f>
        <v>120</v>
      </c>
      <c r="M42" s="56">
        <f t="shared" si="1"/>
        <v>240</v>
      </c>
      <c r="N42" s="56">
        <f>IF(OR(H42="",H42="sif",H42="PM"),0,VLOOKUP(H42,[5]CU!$C$4:$H$255,6,FALSE))</f>
        <v>0.8177777777777776</v>
      </c>
      <c r="O42" s="56">
        <f t="shared" ref="O42:R46" si="9">$N42*I42</f>
        <v>0</v>
      </c>
      <c r="P42" s="56">
        <f t="shared" si="9"/>
        <v>32.711111111111101</v>
      </c>
      <c r="Q42" s="56">
        <f t="shared" si="9"/>
        <v>65.422222222222203</v>
      </c>
      <c r="R42" s="56">
        <f t="shared" si="9"/>
        <v>98.133333333333312</v>
      </c>
      <c r="S42" s="56">
        <f>SUM(O42:R42)</f>
        <v>196.26666666666659</v>
      </c>
      <c r="T42" s="23" t="s">
        <v>56</v>
      </c>
      <c r="U42" s="18" t="s">
        <v>40</v>
      </c>
      <c r="V42" s="19" t="str">
        <f>IF(OR($H42="",$H42="sif",$H42="PM"),"",VLOOKUP($H42,[5]CU!$C$5:$J$255,8,FALSE))</f>
        <v>3. Dépenses de fonctionnement</v>
      </c>
      <c r="W42" s="18" t="s">
        <v>96</v>
      </c>
      <c r="X42" s="18" t="s">
        <v>98</v>
      </c>
      <c r="Y42" s="19" t="s">
        <v>32</v>
      </c>
      <c r="Z42" s="19" t="str">
        <f>A42 &amp; "-" &amp; VLOOKUP(A42,[4]PROGRAMMES!$E$1:$F$7,2,FALSE)</f>
        <v>1-Accès et équité à l'enseignement général</v>
      </c>
      <c r="AA42" s="19" t="str">
        <f>B42 &amp; "-" &amp; VLOOKUP(B42,[4]SOUSPROGRAMMES!$E$1:$F$44,2,FALSE)</f>
        <v>11- Accès équitable au préscolaire</v>
      </c>
      <c r="AB42" s="19" t="str">
        <f>C42 &amp; "-" &amp; VLOOKUP(C42,[4]RESULTATS!$E$1:$F$176,2,FALSE)</f>
        <v>113- Les capacités d’accueil au préscolaire public et communautaires augmentent en milieux rural et urbain</v>
      </c>
      <c r="AC42" s="20" t="str">
        <f>D42 &amp; "-" &amp; VLOOKUP(D42,[4]STRATEGIES!$E$1:$F$504,2,FALSE)</f>
        <v>1131-Construction d'établissements préscolaires publics en zone urbaine</v>
      </c>
      <c r="AD42" s="21" t="str">
        <f t="shared" si="0"/>
        <v>11312-Confirmation des sites de construction des établissements préscolaires publics</v>
      </c>
    </row>
    <row r="43" spans="1:30" s="22" customFormat="1" ht="45" customHeight="1" x14ac:dyDescent="0.8">
      <c r="A43" s="14">
        <v>1</v>
      </c>
      <c r="B43" s="15">
        <v>11</v>
      </c>
      <c r="C43" s="15">
        <v>113</v>
      </c>
      <c r="D43" s="15">
        <v>1131</v>
      </c>
      <c r="E43" s="14">
        <v>11313</v>
      </c>
      <c r="F43" s="16" t="s">
        <v>99</v>
      </c>
      <c r="G43" s="21" t="s">
        <v>100</v>
      </c>
      <c r="H43" s="17" t="s">
        <v>101</v>
      </c>
      <c r="I43" s="56">
        <v>1</v>
      </c>
      <c r="J43" s="56">
        <f>1*15</f>
        <v>15</v>
      </c>
      <c r="K43" s="56"/>
      <c r="L43" s="56"/>
      <c r="M43" s="56">
        <f t="shared" si="1"/>
        <v>16</v>
      </c>
      <c r="N43" s="56">
        <f>IF(OR(H43="",H43="sif",H43="PM"),0,VLOOKUP(H43,[5]CU!$C$4:$H$255,6,FALSE))</f>
        <v>2.651545</v>
      </c>
      <c r="O43" s="56">
        <f t="shared" si="9"/>
        <v>2.651545</v>
      </c>
      <c r="P43" s="56">
        <f t="shared" si="9"/>
        <v>39.773175000000002</v>
      </c>
      <c r="Q43" s="56">
        <f t="shared" si="9"/>
        <v>0</v>
      </c>
      <c r="R43" s="56">
        <f t="shared" si="9"/>
        <v>0</v>
      </c>
      <c r="S43" s="56">
        <f>SUM(O43:R43)</f>
        <v>42.424720000000001</v>
      </c>
      <c r="T43" s="23" t="s">
        <v>39</v>
      </c>
      <c r="U43" s="19" t="s">
        <v>40</v>
      </c>
      <c r="V43" s="19" t="str">
        <f>IF(OR($H43="",$H43="sif",$H43="PM"),"",VLOOKUP($H43,[5]CU!$C$5:$J$255,8,FALSE))</f>
        <v>3. Dépenses de fonctionnement</v>
      </c>
      <c r="W43" s="19" t="s">
        <v>41</v>
      </c>
      <c r="X43" s="19" t="s">
        <v>98</v>
      </c>
      <c r="Y43" s="19" t="s">
        <v>32</v>
      </c>
      <c r="Z43" s="19" t="str">
        <f>A43 &amp; "-" &amp; VLOOKUP(A43,[4]PROGRAMMES!$E$1:$F$7,2,FALSE)</f>
        <v>1-Accès et équité à l'enseignement général</v>
      </c>
      <c r="AA43" s="19" t="str">
        <f>B43 &amp; "-" &amp; VLOOKUP(B43,[4]SOUSPROGRAMMES!$E$1:$F$44,2,FALSE)</f>
        <v>11- Accès équitable au préscolaire</v>
      </c>
      <c r="AB43" s="19" t="str">
        <f>C43 &amp; "-" &amp; VLOOKUP(C43,[4]RESULTATS!$E$1:$F$176,2,FALSE)</f>
        <v>113- Les capacités d’accueil au préscolaire public et communautaires augmentent en milieux rural et urbain</v>
      </c>
      <c r="AC43" s="20" t="str">
        <f>D43 &amp; "-" &amp; VLOOKUP(D43,[4]STRATEGIES!$E$1:$F$504,2,FALSE)</f>
        <v>1131-Construction d'établissements préscolaires publics en zone urbaine</v>
      </c>
      <c r="AD43" s="21" t="str">
        <f t="shared" si="0"/>
        <v>11313-Etude du plan-type d'établissement préscolaire préfectoral public</v>
      </c>
    </row>
    <row r="44" spans="1:30" s="22" customFormat="1" ht="45" hidden="1" customHeight="1" x14ac:dyDescent="0.8">
      <c r="A44" s="14">
        <v>1</v>
      </c>
      <c r="B44" s="15">
        <v>11</v>
      </c>
      <c r="C44" s="15">
        <v>113</v>
      </c>
      <c r="D44" s="15">
        <v>1131</v>
      </c>
      <c r="E44" s="14">
        <v>11314</v>
      </c>
      <c r="F44" s="16" t="s">
        <v>102</v>
      </c>
      <c r="G44" s="21" t="s">
        <v>103</v>
      </c>
      <c r="H44" s="17" t="s">
        <v>104</v>
      </c>
      <c r="I44" s="56">
        <v>0</v>
      </c>
      <c r="J44" s="56">
        <f>12*2</f>
        <v>24</v>
      </c>
      <c r="K44" s="56">
        <f>12*4</f>
        <v>48</v>
      </c>
      <c r="L44" s="56">
        <f>12*6</f>
        <v>72</v>
      </c>
      <c r="M44" s="56">
        <f t="shared" si="1"/>
        <v>144</v>
      </c>
      <c r="N44" s="56">
        <f>IF(OR(H44="",H44="sif",H44="PM"),0,VLOOKUP(H44,[5]CU!$C$4:$H$255,6,FALSE))</f>
        <v>168.65</v>
      </c>
      <c r="O44" s="56">
        <f t="shared" si="9"/>
        <v>0</v>
      </c>
      <c r="P44" s="56">
        <f t="shared" si="9"/>
        <v>4047.6000000000004</v>
      </c>
      <c r="Q44" s="56">
        <f t="shared" si="9"/>
        <v>8095.2000000000007</v>
      </c>
      <c r="R44" s="56">
        <f t="shared" si="9"/>
        <v>12142.800000000001</v>
      </c>
      <c r="S44" s="56">
        <f>SUM(O44:R44)</f>
        <v>24285.600000000002</v>
      </c>
      <c r="T44" s="23" t="s">
        <v>56</v>
      </c>
      <c r="U44" s="18" t="s">
        <v>40</v>
      </c>
      <c r="V44" s="19" t="str">
        <f>IF(OR($H44="",$H44="sif",$H44="PM"),"",VLOOKUP($H44,[5]CU!$C$5:$J$255,8,FALSE))</f>
        <v>5. Investissement</v>
      </c>
      <c r="W44" s="18" t="s">
        <v>41</v>
      </c>
      <c r="X44" s="18" t="s">
        <v>98</v>
      </c>
      <c r="Y44" s="19" t="s">
        <v>32</v>
      </c>
      <c r="Z44" s="19" t="str">
        <f>A44 &amp; "-" &amp; VLOOKUP(A44,[4]PROGRAMMES!$E$1:$F$7,2,FALSE)</f>
        <v>1-Accès et équité à l'enseignement général</v>
      </c>
      <c r="AA44" s="19" t="str">
        <f>B44 &amp; "-" &amp; VLOOKUP(B44,[4]SOUSPROGRAMMES!$E$1:$F$44,2,FALSE)</f>
        <v>11- Accès équitable au préscolaire</v>
      </c>
      <c r="AB44" s="19" t="str">
        <f>C44 &amp; "-" &amp; VLOOKUP(C44,[4]RESULTATS!$E$1:$F$176,2,FALSE)</f>
        <v>113- Les capacités d’accueil au préscolaire public et communautaires augmentent en milieux rural et urbain</v>
      </c>
      <c r="AC44" s="20" t="str">
        <f>D44 &amp; "-" &amp; VLOOKUP(D44,[4]STRATEGIES!$E$1:$F$504,2,FALSE)</f>
        <v>1131-Construction d'établissements préscolaires publics en zone urbaine</v>
      </c>
      <c r="AD44" s="21" t="str">
        <f t="shared" si="0"/>
        <v>11314-Exécution des travaux de construction des établissements préscolaires publics</v>
      </c>
    </row>
    <row r="45" spans="1:30" s="22" customFormat="1" ht="45" hidden="1" customHeight="1" x14ac:dyDescent="0.8">
      <c r="A45" s="14">
        <v>1</v>
      </c>
      <c r="B45" s="15">
        <v>11</v>
      </c>
      <c r="C45" s="15">
        <v>113</v>
      </c>
      <c r="D45" s="15">
        <v>1131</v>
      </c>
      <c r="E45" s="14">
        <v>11315</v>
      </c>
      <c r="F45" s="16" t="s">
        <v>105</v>
      </c>
      <c r="G45" s="21" t="s">
        <v>106</v>
      </c>
      <c r="H45" s="17" t="s">
        <v>107</v>
      </c>
      <c r="I45" s="56">
        <v>23</v>
      </c>
      <c r="J45" s="56"/>
      <c r="K45" s="56">
        <f>J44</f>
        <v>24</v>
      </c>
      <c r="L45" s="56">
        <f>K44</f>
        <v>48</v>
      </c>
      <c r="M45" s="56">
        <f t="shared" si="1"/>
        <v>95</v>
      </c>
      <c r="N45" s="56">
        <f>IF(OR(H45="",H45="sif",H45="PM"),0,VLOOKUP(H45,[5]CU!$C$4:$H$255,6,FALSE))</f>
        <v>31.675000000000001</v>
      </c>
      <c r="O45" s="56">
        <f t="shared" si="9"/>
        <v>728.52499999999998</v>
      </c>
      <c r="P45" s="56">
        <f t="shared" si="9"/>
        <v>0</v>
      </c>
      <c r="Q45" s="56">
        <f t="shared" si="9"/>
        <v>760.2</v>
      </c>
      <c r="R45" s="56">
        <f t="shared" si="9"/>
        <v>1520.4</v>
      </c>
      <c r="S45" s="56">
        <f>SUM(O45:R45)</f>
        <v>3009.125</v>
      </c>
      <c r="T45" s="23" t="s">
        <v>56</v>
      </c>
      <c r="U45" s="18" t="s">
        <v>40</v>
      </c>
      <c r="V45" s="19" t="str">
        <f>IF(OR($H45="",$H45="sif",$H45="PM"),"",VLOOKUP($H45,[5]CU!$C$5:$J$255,8,FALSE))</f>
        <v>5. Investissement</v>
      </c>
      <c r="W45" s="18" t="s">
        <v>41</v>
      </c>
      <c r="X45" s="18" t="s">
        <v>98</v>
      </c>
      <c r="Y45" s="19" t="s">
        <v>32</v>
      </c>
      <c r="Z45" s="19" t="str">
        <f>A45 &amp; "-" &amp; VLOOKUP(A45,[4]PROGRAMMES!$E$1:$F$7,2,FALSE)</f>
        <v>1-Accès et équité à l'enseignement général</v>
      </c>
      <c r="AA45" s="19" t="str">
        <f>B45 &amp; "-" &amp; VLOOKUP(B45,[4]SOUSPROGRAMMES!$E$1:$F$44,2,FALSE)</f>
        <v>11- Accès équitable au préscolaire</v>
      </c>
      <c r="AB45" s="19" t="str">
        <f>C45 &amp; "-" &amp; VLOOKUP(C45,[4]RESULTATS!$E$1:$F$176,2,FALSE)</f>
        <v>113- Les capacités d’accueil au préscolaire public et communautaires augmentent en milieux rural et urbain</v>
      </c>
      <c r="AC45" s="20" t="str">
        <f>D45 &amp; "-" &amp; VLOOKUP(D45,[4]STRATEGIES!$E$1:$F$504,2,FALSE)</f>
        <v>1131-Construction d'établissements préscolaires publics en zone urbaine</v>
      </c>
      <c r="AD45" s="21" t="str">
        <f t="shared" si="0"/>
        <v>11315-Equipement des établissements préscolaires public en mobiliers et matériels ludiques</v>
      </c>
    </row>
    <row r="46" spans="1:30" s="22" customFormat="1" ht="45" hidden="1" customHeight="1" x14ac:dyDescent="0.8">
      <c r="A46" s="14">
        <v>1</v>
      </c>
      <c r="B46" s="15">
        <v>11</v>
      </c>
      <c r="C46" s="15">
        <v>113</v>
      </c>
      <c r="D46" s="15">
        <v>1131</v>
      </c>
      <c r="E46" s="14">
        <v>11316</v>
      </c>
      <c r="F46" s="16" t="s">
        <v>108</v>
      </c>
      <c r="G46" s="21" t="s">
        <v>109</v>
      </c>
      <c r="H46" s="17" t="s">
        <v>110</v>
      </c>
      <c r="I46" s="56">
        <v>453</v>
      </c>
      <c r="J46" s="56">
        <f>J44</f>
        <v>24</v>
      </c>
      <c r="K46" s="56">
        <f>K44</f>
        <v>48</v>
      </c>
      <c r="L46" s="56">
        <f>L44</f>
        <v>72</v>
      </c>
      <c r="M46" s="56">
        <f t="shared" si="1"/>
        <v>597</v>
      </c>
      <c r="N46" s="56">
        <f>IF(OR(H46="",H46="sif",H46="PM"),0,VLOOKUP(H46,[5]CU!$C$4:$H$255,6,FALSE))</f>
        <v>7.1760000000000002</v>
      </c>
      <c r="O46" s="56">
        <f t="shared" si="9"/>
        <v>3250.7280000000001</v>
      </c>
      <c r="P46" s="56">
        <f t="shared" si="9"/>
        <v>172.22399999999999</v>
      </c>
      <c r="Q46" s="56">
        <f t="shared" si="9"/>
        <v>344.44799999999998</v>
      </c>
      <c r="R46" s="56">
        <f t="shared" si="9"/>
        <v>516.67200000000003</v>
      </c>
      <c r="S46" s="56">
        <f>SUM(O46:R46)</f>
        <v>4284.0720000000001</v>
      </c>
      <c r="T46" s="23" t="s">
        <v>56</v>
      </c>
      <c r="U46" s="18" t="s">
        <v>40</v>
      </c>
      <c r="V46" s="19" t="str">
        <f>IF(OR($H46="",$H46="sif",$H46="PM"),"",VLOOKUP($H46,[5]CU!$C$5:$J$255,8,FALSE))</f>
        <v>3. Dépenses de fonctionnement</v>
      </c>
      <c r="W46" s="18" t="s">
        <v>98</v>
      </c>
      <c r="X46" s="18" t="s">
        <v>98</v>
      </c>
      <c r="Y46" s="19" t="s">
        <v>32</v>
      </c>
      <c r="Z46" s="19" t="str">
        <f>A46 &amp; "-" &amp; VLOOKUP(A46,[4]PROGRAMMES!$E$1:$F$7,2,FALSE)</f>
        <v>1-Accès et équité à l'enseignement général</v>
      </c>
      <c r="AA46" s="19" t="str">
        <f>B46 &amp; "-" &amp; VLOOKUP(B46,[4]SOUSPROGRAMMES!$E$1:$F$44,2,FALSE)</f>
        <v>11- Accès équitable au préscolaire</v>
      </c>
      <c r="AB46" s="19" t="str">
        <f>C46 &amp; "-" &amp; VLOOKUP(C46,[4]RESULTATS!$E$1:$F$176,2,FALSE)</f>
        <v>113- Les capacités d’accueil au préscolaire public et communautaires augmentent en milieux rural et urbain</v>
      </c>
      <c r="AC46" s="20" t="str">
        <f>D46 &amp; "-" &amp; VLOOKUP(D46,[4]STRATEGIES!$E$1:$F$504,2,FALSE)</f>
        <v>1131-Construction d'établissements préscolaires publics en zone urbaine</v>
      </c>
      <c r="AD46" s="21" t="str">
        <f t="shared" si="0"/>
        <v>11316-Supervision des travaux de construction des établissements préscolaires publics</v>
      </c>
    </row>
    <row r="47" spans="1:30" s="22" customFormat="1" ht="45" customHeight="1" x14ac:dyDescent="0.8">
      <c r="A47" s="14">
        <v>1</v>
      </c>
      <c r="B47" s="15">
        <v>11</v>
      </c>
      <c r="C47" s="15">
        <v>113</v>
      </c>
      <c r="D47" s="15">
        <v>1132</v>
      </c>
      <c r="E47" s="14">
        <v>1132</v>
      </c>
      <c r="F47" s="16" t="s">
        <v>111</v>
      </c>
      <c r="G47" s="17"/>
      <c r="H47" s="17"/>
      <c r="I47" s="56">
        <v>0</v>
      </c>
      <c r="J47" s="56"/>
      <c r="K47" s="56"/>
      <c r="L47" s="56"/>
      <c r="M47" s="56"/>
      <c r="N47" s="56"/>
      <c r="O47" s="56"/>
      <c r="P47" s="56"/>
      <c r="Q47" s="56"/>
      <c r="R47" s="56"/>
      <c r="S47" s="56"/>
      <c r="T47" s="18"/>
      <c r="U47" s="18"/>
      <c r="V47" s="19"/>
      <c r="W47" s="18"/>
      <c r="X47" s="18"/>
      <c r="Y47" s="19" t="s">
        <v>32</v>
      </c>
      <c r="Z47" s="19" t="str">
        <f>A47 &amp; "-" &amp; VLOOKUP(A47,[4]PROGRAMMES!$E$1:$F$7,2,FALSE)</f>
        <v>1-Accès et équité à l'enseignement général</v>
      </c>
      <c r="AA47" s="19" t="str">
        <f>B47 &amp; "-" &amp; VLOOKUP(B47,[4]SOUSPROGRAMMES!$E$1:$F$44,2,FALSE)</f>
        <v>11- Accès équitable au préscolaire</v>
      </c>
      <c r="AB47" s="19" t="str">
        <f>C47 &amp; "-" &amp; VLOOKUP(C47,[4]RESULTATS!$E$1:$F$176,2,FALSE)</f>
        <v>113- Les capacités d’accueil au préscolaire public et communautaires augmentent en milieux rural et urbain</v>
      </c>
      <c r="AC47" s="20" t="str">
        <f>D47 &amp; "-" &amp; VLOOKUP(D47,[4]STRATEGIES!$E$1:$F$504,2,FALSE)</f>
        <v>1132-Construction de salles d’activités de préprimaire à coté des écoles primaires publiques à cantine en zone rurale</v>
      </c>
      <c r="AD47" s="21" t="str">
        <f t="shared" si="0"/>
        <v>1132-Construction de salles d’activités de préprimaire à coté des écoles primaires publiques à cantine en zone rurale</v>
      </c>
    </row>
    <row r="48" spans="1:30" s="22" customFormat="1" ht="45" hidden="1" customHeight="1" x14ac:dyDescent="0.8">
      <c r="A48" s="14">
        <v>1</v>
      </c>
      <c r="B48" s="15">
        <v>11</v>
      </c>
      <c r="C48" s="15">
        <v>113</v>
      </c>
      <c r="D48" s="15">
        <v>1132</v>
      </c>
      <c r="E48" s="14">
        <v>11321</v>
      </c>
      <c r="F48" s="16" t="s">
        <v>112</v>
      </c>
      <c r="G48" s="21" t="s">
        <v>88</v>
      </c>
      <c r="H48" s="17" t="s">
        <v>55</v>
      </c>
      <c r="I48" s="56">
        <v>12102.9548</v>
      </c>
      <c r="J48" s="56"/>
      <c r="K48" s="56"/>
      <c r="L48" s="56"/>
      <c r="M48" s="56">
        <f t="shared" si="1"/>
        <v>12102.9548</v>
      </c>
      <c r="N48" s="56">
        <f>IF(OR(H48="",H48="sif",H48="PM"),0,VLOOKUP(H48,[5]CU!$C$4:$H$255,6,FALSE))</f>
        <v>0</v>
      </c>
      <c r="O48" s="56"/>
      <c r="P48" s="56"/>
      <c r="Q48" s="56"/>
      <c r="R48" s="56"/>
      <c r="S48" s="56"/>
      <c r="T48" s="23" t="s">
        <v>56</v>
      </c>
      <c r="U48" s="18" t="s">
        <v>40</v>
      </c>
      <c r="V48" s="19" t="str">
        <f>IF(OR($H48="",$H48="sif",$H48="PM"),"",VLOOKUP($H48,[5]CU!$C$5:$J$255,8,FALSE))</f>
        <v/>
      </c>
      <c r="W48" s="18" t="s">
        <v>41</v>
      </c>
      <c r="X48" s="18" t="s">
        <v>96</v>
      </c>
      <c r="Y48" s="19" t="s">
        <v>32</v>
      </c>
      <c r="Z48" s="19" t="str">
        <f>A48 &amp; "-" &amp; VLOOKUP(A48,[4]PROGRAMMES!$E$1:$F$7,2,FALSE)</f>
        <v>1-Accès et équité à l'enseignement général</v>
      </c>
      <c r="AA48" s="19" t="str">
        <f>B48 &amp; "-" &amp; VLOOKUP(B48,[4]SOUSPROGRAMMES!$E$1:$F$44,2,FALSE)</f>
        <v>11- Accès équitable au préscolaire</v>
      </c>
      <c r="AB48" s="19" t="str">
        <f>C48 &amp; "-" &amp; VLOOKUP(C48,[4]RESULTATS!$E$1:$F$176,2,FALSE)</f>
        <v>113- Les capacités d’accueil au préscolaire public et communautaires augmentent en milieux rural et urbain</v>
      </c>
      <c r="AC48" s="20" t="str">
        <f>D48 &amp; "-" &amp; VLOOKUP(D48,[4]STRATEGIES!$E$1:$F$504,2,FALSE)</f>
        <v>1132-Construction de salles d’activités de préprimaire à coté des écoles primaires publiques à cantine en zone rurale</v>
      </c>
      <c r="AD48" s="21" t="str">
        <f t="shared" si="0"/>
        <v xml:space="preserve">11321-Identification des sites de construction des salles d’activités de pré primaire </v>
      </c>
    </row>
    <row r="49" spans="1:30" s="22" customFormat="1" ht="45" customHeight="1" x14ac:dyDescent="0.8">
      <c r="A49" s="14">
        <v>1</v>
      </c>
      <c r="B49" s="15">
        <v>11</v>
      </c>
      <c r="C49" s="15">
        <v>113</v>
      </c>
      <c r="D49" s="15">
        <v>1132</v>
      </c>
      <c r="E49" s="14">
        <v>11322</v>
      </c>
      <c r="F49" s="16" t="s">
        <v>113</v>
      </c>
      <c r="G49" s="21" t="s">
        <v>58</v>
      </c>
      <c r="H49" s="17" t="s">
        <v>59</v>
      </c>
      <c r="I49" s="56">
        <v>537970.24</v>
      </c>
      <c r="J49" s="56">
        <f>4*5*4</f>
        <v>80</v>
      </c>
      <c r="K49" s="56">
        <f>4*7*4</f>
        <v>112</v>
      </c>
      <c r="L49" s="56">
        <f>4*10*4</f>
        <v>160</v>
      </c>
      <c r="M49" s="56">
        <f t="shared" si="1"/>
        <v>538322.24</v>
      </c>
      <c r="N49" s="56">
        <f>IF(OR(H49="",H49="sif",H49="PM"),0,VLOOKUP(H49,[5]CU!$C$4:$H$255,6,FALSE))</f>
        <v>0.8177777777777776</v>
      </c>
      <c r="O49" s="56">
        <f t="shared" ref="O49:R53" si="10">$N49*I49</f>
        <v>439940.10737777769</v>
      </c>
      <c r="P49" s="56">
        <f t="shared" si="10"/>
        <v>65.422222222222203</v>
      </c>
      <c r="Q49" s="56">
        <f t="shared" si="10"/>
        <v>91.59111111111109</v>
      </c>
      <c r="R49" s="56">
        <f t="shared" si="10"/>
        <v>130.84444444444441</v>
      </c>
      <c r="S49" s="56">
        <f>SUM(O49:R49)</f>
        <v>440227.96515555546</v>
      </c>
      <c r="T49" s="23" t="s">
        <v>39</v>
      </c>
      <c r="U49" s="19" t="s">
        <v>40</v>
      </c>
      <c r="V49" s="19" t="str">
        <f>IF(OR($H49="",$H49="sif",$H49="PM"),"",VLOOKUP($H49,[5]CU!$C$5:$J$255,8,FALSE))</f>
        <v>3. Dépenses de fonctionnement</v>
      </c>
      <c r="W49" s="19" t="s">
        <v>96</v>
      </c>
      <c r="X49" s="19" t="s">
        <v>98</v>
      </c>
      <c r="Y49" s="19" t="s">
        <v>32</v>
      </c>
      <c r="Z49" s="19" t="str">
        <f>A49 &amp; "-" &amp; VLOOKUP(A49,[4]PROGRAMMES!$E$1:$F$7,2,FALSE)</f>
        <v>1-Accès et équité à l'enseignement général</v>
      </c>
      <c r="AA49" s="19" t="str">
        <f>B49 &amp; "-" &amp; VLOOKUP(B49,[4]SOUSPROGRAMMES!$E$1:$F$44,2,FALSE)</f>
        <v>11- Accès équitable au préscolaire</v>
      </c>
      <c r="AB49" s="19" t="str">
        <f>C49 &amp; "-" &amp; VLOOKUP(C49,[4]RESULTATS!$E$1:$F$176,2,FALSE)</f>
        <v>113- Les capacités d’accueil au préscolaire public et communautaires augmentent en milieux rural et urbain</v>
      </c>
      <c r="AC49" s="20" t="str">
        <f>D49 &amp; "-" &amp; VLOOKUP(D49,[4]STRATEGIES!$E$1:$F$504,2,FALSE)</f>
        <v>1132-Construction de salles d’activités de préprimaire à coté des écoles primaires publiques à cantine en zone rurale</v>
      </c>
      <c r="AD49" s="21" t="str">
        <f t="shared" si="0"/>
        <v xml:space="preserve">11322-Confirmation des sites de construction des salles d’activités de pré primaire </v>
      </c>
    </row>
    <row r="50" spans="1:30" s="22" customFormat="1" ht="45" customHeight="1" x14ac:dyDescent="0.8">
      <c r="A50" s="14">
        <v>1</v>
      </c>
      <c r="B50" s="15">
        <v>11</v>
      </c>
      <c r="C50" s="15">
        <v>113</v>
      </c>
      <c r="D50" s="15">
        <v>1132</v>
      </c>
      <c r="E50" s="14">
        <v>11323</v>
      </c>
      <c r="F50" s="16" t="s">
        <v>114</v>
      </c>
      <c r="G50" s="21" t="s">
        <v>115</v>
      </c>
      <c r="H50" s="17" t="s">
        <v>104</v>
      </c>
      <c r="I50" s="56">
        <v>0</v>
      </c>
      <c r="J50" s="56">
        <v>200</v>
      </c>
      <c r="K50" s="56">
        <v>300</v>
      </c>
      <c r="L50" s="56">
        <v>300</v>
      </c>
      <c r="M50" s="56">
        <f t="shared" si="1"/>
        <v>800</v>
      </c>
      <c r="N50" s="56">
        <f>IF(OR(H50="",H50="sif",H50="PM"),0,VLOOKUP(H50,[5]CU!$C$4:$H$255,6,FALSE))</f>
        <v>168.65</v>
      </c>
      <c r="O50" s="56">
        <f t="shared" si="10"/>
        <v>0</v>
      </c>
      <c r="P50" s="56">
        <f t="shared" si="10"/>
        <v>33730</v>
      </c>
      <c r="Q50" s="56">
        <f t="shared" si="10"/>
        <v>50595</v>
      </c>
      <c r="R50" s="56">
        <f t="shared" si="10"/>
        <v>50595</v>
      </c>
      <c r="S50" s="56">
        <f>SUM(O50:R50)</f>
        <v>134920</v>
      </c>
      <c r="T50" s="23" t="s">
        <v>39</v>
      </c>
      <c r="U50" s="19" t="s">
        <v>40</v>
      </c>
      <c r="V50" s="19" t="str">
        <f>IF(OR($H50="",$H50="sif",$H50="PM"),"",VLOOKUP($H50,[5]CU!$C$5:$J$255,8,FALSE))</f>
        <v>5. Investissement</v>
      </c>
      <c r="W50" s="19" t="s">
        <v>41</v>
      </c>
      <c r="X50" s="19" t="s">
        <v>98</v>
      </c>
      <c r="Y50" s="19" t="s">
        <v>32</v>
      </c>
      <c r="Z50" s="19" t="str">
        <f>A50 &amp; "-" &amp; VLOOKUP(A50,[4]PROGRAMMES!$E$1:$F$7,2,FALSE)</f>
        <v>1-Accès et équité à l'enseignement général</v>
      </c>
      <c r="AA50" s="19" t="str">
        <f>B50 &amp; "-" &amp; VLOOKUP(B50,[4]SOUSPROGRAMMES!$E$1:$F$44,2,FALSE)</f>
        <v>11- Accès équitable au préscolaire</v>
      </c>
      <c r="AB50" s="19" t="str">
        <f>C50 &amp; "-" &amp; VLOOKUP(C50,[4]RESULTATS!$E$1:$F$176,2,FALSE)</f>
        <v>113- Les capacités d’accueil au préscolaire public et communautaires augmentent en milieux rural et urbain</v>
      </c>
      <c r="AC50" s="20" t="str">
        <f>D50 &amp; "-" &amp; VLOOKUP(D50,[4]STRATEGIES!$E$1:$F$504,2,FALSE)</f>
        <v>1132-Construction de salles d’activités de préprimaire à coté des écoles primaires publiques à cantine en zone rurale</v>
      </c>
      <c r="AD50" s="21" t="str">
        <f t="shared" si="0"/>
        <v>11323-Exécution des travaux de construction des salles d'activité de pré primaire</v>
      </c>
    </row>
    <row r="51" spans="1:30" s="22" customFormat="1" ht="45" customHeight="1" x14ac:dyDescent="0.8">
      <c r="A51" s="14">
        <v>1</v>
      </c>
      <c r="B51" s="15">
        <v>11</v>
      </c>
      <c r="C51" s="15">
        <v>113</v>
      </c>
      <c r="D51" s="15">
        <v>1132</v>
      </c>
      <c r="E51" s="14">
        <v>11324</v>
      </c>
      <c r="F51" s="16" t="s">
        <v>116</v>
      </c>
      <c r="G51" s="21" t="s">
        <v>117</v>
      </c>
      <c r="H51" s="17" t="s">
        <v>107</v>
      </c>
      <c r="I51" s="56">
        <v>0</v>
      </c>
      <c r="J51" s="56">
        <f>(J49)*50%</f>
        <v>40</v>
      </c>
      <c r="K51" s="56">
        <f>(K49)*50%</f>
        <v>56</v>
      </c>
      <c r="L51" s="56">
        <f>(L49)*50%</f>
        <v>80</v>
      </c>
      <c r="M51" s="56">
        <f>SUM(I51:L51)</f>
        <v>176</v>
      </c>
      <c r="N51" s="56">
        <f>IF(OR(H51="",H51="sif",H51="PM"),0,VLOOKUP(H51,[5]CU!$C$4:$H$255,6,FALSE))</f>
        <v>31.675000000000001</v>
      </c>
      <c r="O51" s="56">
        <f>$N51*I51</f>
        <v>0</v>
      </c>
      <c r="P51" s="56">
        <f>$N51*J51</f>
        <v>1267</v>
      </c>
      <c r="Q51" s="56">
        <f>$N51*K51</f>
        <v>1773.8</v>
      </c>
      <c r="R51" s="56">
        <f>$N51*L51</f>
        <v>2534</v>
      </c>
      <c r="S51" s="56">
        <f>SUM(O51:R51)</f>
        <v>5574.8</v>
      </c>
      <c r="T51" s="23" t="s">
        <v>39</v>
      </c>
      <c r="U51" s="19" t="s">
        <v>40</v>
      </c>
      <c r="V51" s="19" t="str">
        <f>IF(OR($H51="",$H51="sif",$H51="PM"),"",VLOOKUP($H51,[5]CU!$C$5:$J$255,8,FALSE))</f>
        <v>5. Investissement</v>
      </c>
      <c r="W51" s="19" t="s">
        <v>41</v>
      </c>
      <c r="X51" s="19" t="s">
        <v>98</v>
      </c>
      <c r="Y51" s="19" t="s">
        <v>32</v>
      </c>
      <c r="Z51" s="19" t="str">
        <f>A51 &amp; "-" &amp; VLOOKUP(A51,[4]PROGRAMMES!$E$1:$F$7,2,FALSE)</f>
        <v>1-Accès et équité à l'enseignement général</v>
      </c>
      <c r="AA51" s="19" t="str">
        <f>B51 &amp; "-" &amp; VLOOKUP(B51,[4]SOUSPROGRAMMES!$E$1:$F$44,2,FALSE)</f>
        <v>11- Accès équitable au préscolaire</v>
      </c>
      <c r="AB51" s="19" t="str">
        <f>C51 &amp; "-" &amp; VLOOKUP(C51,[4]RESULTATS!$E$1:$F$176,2,FALSE)</f>
        <v>113- Les capacités d’accueil au préscolaire public et communautaires augmentent en milieux rural et urbain</v>
      </c>
      <c r="AC51" s="20" t="str">
        <f>D51 &amp; "-" &amp; VLOOKUP(D51,[4]STRATEGIES!$E$1:$F$504,2,FALSE)</f>
        <v>1132-Construction de salles d’activités de préprimaire à coté des écoles primaires publiques à cantine en zone rurale</v>
      </c>
      <c r="AD51" s="21" t="str">
        <f t="shared" si="0"/>
        <v>11324-Equipement des salles de pré primaire en mobiliers et matériels ludiques</v>
      </c>
    </row>
    <row r="52" spans="1:30" s="22" customFormat="1" ht="45" customHeight="1" x14ac:dyDescent="0.8">
      <c r="A52" s="14">
        <v>1</v>
      </c>
      <c r="B52" s="15">
        <v>11</v>
      </c>
      <c r="C52" s="15">
        <v>113</v>
      </c>
      <c r="D52" s="15">
        <v>1132</v>
      </c>
      <c r="E52" s="14">
        <v>11324</v>
      </c>
      <c r="F52" s="16" t="s">
        <v>116</v>
      </c>
      <c r="G52" s="21" t="s">
        <v>117</v>
      </c>
      <c r="H52" s="17" t="s">
        <v>107</v>
      </c>
      <c r="I52" s="56">
        <v>0</v>
      </c>
      <c r="J52" s="56">
        <f>(J49)*50%</f>
        <v>40</v>
      </c>
      <c r="K52" s="56">
        <f>(K49)*50%</f>
        <v>56</v>
      </c>
      <c r="L52" s="56">
        <f>(L49)*50%</f>
        <v>80</v>
      </c>
      <c r="M52" s="56">
        <f t="shared" si="1"/>
        <v>176</v>
      </c>
      <c r="N52" s="56">
        <f>IF(OR(H52="",H52="sif",H52="PM"),0,VLOOKUP(H52,[5]CU!$C$4:$H$255,6,FALSE))</f>
        <v>31.675000000000001</v>
      </c>
      <c r="O52" s="56">
        <f t="shared" si="10"/>
        <v>0</v>
      </c>
      <c r="P52" s="56">
        <f t="shared" si="10"/>
        <v>1267</v>
      </c>
      <c r="Q52" s="56">
        <f t="shared" si="10"/>
        <v>1773.8</v>
      </c>
      <c r="R52" s="56">
        <f t="shared" si="10"/>
        <v>2534</v>
      </c>
      <c r="S52" s="53">
        <f>SUM(O52:R52)</f>
        <v>5574.8</v>
      </c>
      <c r="T52" s="23" t="s">
        <v>39</v>
      </c>
      <c r="U52" s="19" t="s">
        <v>40</v>
      </c>
      <c r="V52" s="19" t="str">
        <f>IF(OR($H52="",$H52="sif",$H52="PM"),"",VLOOKUP($H52,[5]CU!$C$5:$J$255,8,FALSE))</f>
        <v>5. Investissement</v>
      </c>
      <c r="W52" s="19" t="s">
        <v>41</v>
      </c>
      <c r="X52" s="19" t="s">
        <v>98</v>
      </c>
      <c r="Y52" s="19" t="s">
        <v>32</v>
      </c>
      <c r="Z52" s="19" t="str">
        <f>A52 &amp; "-" &amp; VLOOKUP(A52,[4]PROGRAMMES!$E$1:$F$7,2,FALSE)</f>
        <v>1-Accès et équité à l'enseignement général</v>
      </c>
      <c r="AA52" s="19" t="str">
        <f>B52 &amp; "-" &amp; VLOOKUP(B52,[4]SOUSPROGRAMMES!$E$1:$F$44,2,FALSE)</f>
        <v>11- Accès équitable au préscolaire</v>
      </c>
      <c r="AB52" s="19" t="str">
        <f>C52 &amp; "-" &amp; VLOOKUP(C52,[4]RESULTATS!$E$1:$F$176,2,FALSE)</f>
        <v>113- Les capacités d’accueil au préscolaire public et communautaires augmentent en milieux rural et urbain</v>
      </c>
      <c r="AC52" s="20" t="str">
        <f>D52 &amp; "-" &amp; VLOOKUP(D52,[4]STRATEGIES!$E$1:$F$504,2,FALSE)</f>
        <v>1132-Construction de salles d’activités de préprimaire à coté des écoles primaires publiques à cantine en zone rurale</v>
      </c>
      <c r="AD52" s="21" t="str">
        <f t="shared" si="0"/>
        <v>11324-Equipement des salles de pré primaire en mobiliers et matériels ludiques</v>
      </c>
    </row>
    <row r="53" spans="1:30" s="22" customFormat="1" ht="45" customHeight="1" x14ac:dyDescent="0.8">
      <c r="A53" s="14">
        <v>1</v>
      </c>
      <c r="B53" s="15">
        <v>11</v>
      </c>
      <c r="C53" s="15">
        <v>113</v>
      </c>
      <c r="D53" s="15">
        <v>1132</v>
      </c>
      <c r="E53" s="14">
        <v>11325</v>
      </c>
      <c r="F53" s="16" t="s">
        <v>119</v>
      </c>
      <c r="G53" s="21" t="s">
        <v>109</v>
      </c>
      <c r="H53" s="17" t="s">
        <v>110</v>
      </c>
      <c r="I53" s="56">
        <v>0</v>
      </c>
      <c r="J53" s="56">
        <f>J50</f>
        <v>200</v>
      </c>
      <c r="K53" s="56">
        <f>K50</f>
        <v>300</v>
      </c>
      <c r="L53" s="56">
        <f>L50</f>
        <v>300</v>
      </c>
      <c r="M53" s="56">
        <f t="shared" si="1"/>
        <v>800</v>
      </c>
      <c r="N53" s="56">
        <f>IF(OR(H53="",H53="sif",H53="PM"),0,VLOOKUP(H53,[5]CU!$C$4:$H$255,6,FALSE))</f>
        <v>7.1760000000000002</v>
      </c>
      <c r="O53" s="56">
        <f t="shared" si="10"/>
        <v>0</v>
      </c>
      <c r="P53" s="56">
        <f t="shared" si="10"/>
        <v>1435.2</v>
      </c>
      <c r="Q53" s="56">
        <f t="shared" si="10"/>
        <v>2152.8000000000002</v>
      </c>
      <c r="R53" s="56">
        <f t="shared" si="10"/>
        <v>2152.8000000000002</v>
      </c>
      <c r="S53" s="56">
        <f>SUM(O53:R53)</f>
        <v>5740.8</v>
      </c>
      <c r="T53" s="23" t="s">
        <v>39</v>
      </c>
      <c r="U53" s="19" t="s">
        <v>40</v>
      </c>
      <c r="V53" s="19" t="str">
        <f>IF(OR($H53="",$H53="sif",$H53="PM"),"",VLOOKUP($H53,[5]CU!$C$5:$J$255,8,FALSE))</f>
        <v>3. Dépenses de fonctionnement</v>
      </c>
      <c r="W53" s="19" t="s">
        <v>98</v>
      </c>
      <c r="X53" s="19" t="s">
        <v>98</v>
      </c>
      <c r="Y53" s="19" t="s">
        <v>32</v>
      </c>
      <c r="Z53" s="19" t="str">
        <f>A53 &amp; "-" &amp; VLOOKUP(A53,[4]PROGRAMMES!$E$1:$F$7,2,FALSE)</f>
        <v>1-Accès et équité à l'enseignement général</v>
      </c>
      <c r="AA53" s="19" t="str">
        <f>B53 &amp; "-" &amp; VLOOKUP(B53,[4]SOUSPROGRAMMES!$E$1:$F$44,2,FALSE)</f>
        <v>11- Accès équitable au préscolaire</v>
      </c>
      <c r="AB53" s="19" t="str">
        <f>C53 &amp; "-" &amp; VLOOKUP(C53,[4]RESULTATS!$E$1:$F$176,2,FALSE)</f>
        <v>113- Les capacités d’accueil au préscolaire public et communautaires augmentent en milieux rural et urbain</v>
      </c>
      <c r="AC53" s="20" t="str">
        <f>D53 &amp; "-" &amp; VLOOKUP(D53,[4]STRATEGIES!$E$1:$F$504,2,FALSE)</f>
        <v>1132-Construction de salles d’activités de préprimaire à coté des écoles primaires publiques à cantine en zone rurale</v>
      </c>
      <c r="AD53" s="21" t="str">
        <f t="shared" si="0"/>
        <v>11325-Supervision des travaux de construction et d'équipement des salles d'activité de pré primaire</v>
      </c>
    </row>
    <row r="54" spans="1:30" s="22" customFormat="1" ht="45" customHeight="1" x14ac:dyDescent="0.8">
      <c r="A54" s="14">
        <v>1</v>
      </c>
      <c r="B54" s="15">
        <v>11</v>
      </c>
      <c r="C54" s="15">
        <v>113</v>
      </c>
      <c r="D54" s="15">
        <v>1133</v>
      </c>
      <c r="E54" s="14">
        <v>1133</v>
      </c>
      <c r="F54" s="16" t="s">
        <v>120</v>
      </c>
      <c r="G54" s="17"/>
      <c r="H54" s="17"/>
      <c r="I54" s="56">
        <v>0</v>
      </c>
      <c r="J54" s="56"/>
      <c r="K54" s="56"/>
      <c r="L54" s="56"/>
      <c r="M54" s="56"/>
      <c r="N54" s="56"/>
      <c r="O54" s="56"/>
      <c r="P54" s="56"/>
      <c r="Q54" s="56"/>
      <c r="R54" s="56"/>
      <c r="S54" s="56"/>
      <c r="T54" s="18"/>
      <c r="U54" s="18"/>
      <c r="V54" s="19"/>
      <c r="W54" s="18"/>
      <c r="X54" s="18"/>
      <c r="Y54" s="19" t="s">
        <v>32</v>
      </c>
      <c r="Z54" s="19" t="str">
        <f>A54 &amp; "-" &amp; VLOOKUP(A54,[4]PROGRAMMES!$E$1:$F$7,2,FALSE)</f>
        <v>1-Accès et équité à l'enseignement général</v>
      </c>
      <c r="AA54" s="19" t="str">
        <f>B54 &amp; "-" &amp; VLOOKUP(B54,[4]SOUSPROGRAMMES!$E$1:$F$44,2,FALSE)</f>
        <v>11- Accès équitable au préscolaire</v>
      </c>
      <c r="AB54" s="19" t="str">
        <f>C54 &amp; "-" &amp; VLOOKUP(C54,[4]RESULTATS!$E$1:$F$176,2,FALSE)</f>
        <v>113- Les capacités d’accueil au préscolaire public et communautaires augmentent en milieux rural et urbain</v>
      </c>
      <c r="AC54" s="20" t="str">
        <f>D54 &amp; "-" &amp; VLOOKUP(D54,[4]STRATEGIES!$E$1:$F$504,2,FALSE)</f>
        <v>1133-Construction/réhabilitation/rénovation de CEC</v>
      </c>
      <c r="AD54" s="21" t="str">
        <f t="shared" si="0"/>
        <v>1133-Construction/réhabilitation/rénovation de CEC</v>
      </c>
    </row>
    <row r="55" spans="1:30" s="22" customFormat="1" ht="45" hidden="1" customHeight="1" x14ac:dyDescent="0.8">
      <c r="A55" s="14">
        <v>1</v>
      </c>
      <c r="B55" s="15">
        <v>11</v>
      </c>
      <c r="C55" s="15">
        <v>113</v>
      </c>
      <c r="D55" s="15">
        <v>1133</v>
      </c>
      <c r="E55" s="14">
        <v>11331</v>
      </c>
      <c r="F55" s="16" t="s">
        <v>121</v>
      </c>
      <c r="G55" s="21" t="s">
        <v>58</v>
      </c>
      <c r="H55" s="17" t="s">
        <v>55</v>
      </c>
      <c r="I55" s="56">
        <v>189</v>
      </c>
      <c r="J55" s="56"/>
      <c r="K55" s="56"/>
      <c r="L55" s="56"/>
      <c r="M55" s="56">
        <f t="shared" si="1"/>
        <v>189</v>
      </c>
      <c r="N55" s="56">
        <f>IF(OR(H55="",H55="sif",H55="PM"),0,VLOOKUP(H55,[5]CU!$C$4:$H$255,6,FALSE))</f>
        <v>0</v>
      </c>
      <c r="O55" s="56"/>
      <c r="P55" s="56"/>
      <c r="Q55" s="56"/>
      <c r="R55" s="56"/>
      <c r="S55" s="56"/>
      <c r="T55" s="23" t="s">
        <v>56</v>
      </c>
      <c r="U55" s="18" t="s">
        <v>40</v>
      </c>
      <c r="V55" s="19" t="str">
        <f>IF(OR($H55="",$H55="sif",$H55="PM"),"",VLOOKUP($H55,[5]CU!$C$5:$J$255,8,FALSE))</f>
        <v/>
      </c>
      <c r="W55" s="18" t="s">
        <v>41</v>
      </c>
      <c r="X55" s="18" t="s">
        <v>96</v>
      </c>
      <c r="Y55" s="19" t="s">
        <v>32</v>
      </c>
      <c r="Z55" s="19" t="str">
        <f>A55 &amp; "-" &amp; VLOOKUP(A55,[4]PROGRAMMES!$E$1:$F$7,2,FALSE)</f>
        <v>1-Accès et équité à l'enseignement général</v>
      </c>
      <c r="AA55" s="19" t="str">
        <f>B55 &amp; "-" &amp; VLOOKUP(B55,[4]SOUSPROGRAMMES!$E$1:$F$44,2,FALSE)</f>
        <v>11- Accès équitable au préscolaire</v>
      </c>
      <c r="AB55" s="19" t="str">
        <f>C55 &amp; "-" &amp; VLOOKUP(C55,[4]RESULTATS!$E$1:$F$176,2,FALSE)</f>
        <v>113- Les capacités d’accueil au préscolaire public et communautaires augmentent en milieux rural et urbain</v>
      </c>
      <c r="AC55" s="20" t="str">
        <f>D55 &amp; "-" &amp; VLOOKUP(D55,[4]STRATEGIES!$E$1:$F$504,2,FALSE)</f>
        <v>1133-Construction/réhabilitation/rénovation de CEC</v>
      </c>
      <c r="AD55" s="21" t="str">
        <f t="shared" si="0"/>
        <v xml:space="preserve">11331-Evaluation/inventaire des CEC existants </v>
      </c>
    </row>
    <row r="56" spans="1:30" s="22" customFormat="1" ht="45" hidden="1" customHeight="1" x14ac:dyDescent="0.8">
      <c r="A56" s="14">
        <v>1</v>
      </c>
      <c r="B56" s="15">
        <v>11</v>
      </c>
      <c r="C56" s="15">
        <v>113</v>
      </c>
      <c r="D56" s="15">
        <v>1133</v>
      </c>
      <c r="E56" s="14">
        <v>11332</v>
      </c>
      <c r="F56" s="16" t="s">
        <v>122</v>
      </c>
      <c r="G56" s="21" t="s">
        <v>123</v>
      </c>
      <c r="H56" s="17" t="s">
        <v>55</v>
      </c>
      <c r="I56" s="56">
        <v>912</v>
      </c>
      <c r="J56" s="56"/>
      <c r="K56" s="56"/>
      <c r="L56" s="56"/>
      <c r="M56" s="56">
        <f t="shared" si="1"/>
        <v>912</v>
      </c>
      <c r="N56" s="56">
        <f>IF(OR(H56="",H56="sif",H56="PM"),0,VLOOKUP(H56,[5]CU!$C$4:$H$255,6,FALSE))</f>
        <v>0</v>
      </c>
      <c r="O56" s="56"/>
      <c r="P56" s="56"/>
      <c r="Q56" s="56"/>
      <c r="R56" s="56"/>
      <c r="S56" s="56"/>
      <c r="T56" s="23" t="s">
        <v>56</v>
      </c>
      <c r="U56" s="18" t="s">
        <v>40</v>
      </c>
      <c r="V56" s="19" t="str">
        <f>IF(OR($H56="",$H56="sif",$H56="PM"),"",VLOOKUP($H56,[5]CU!$C$5:$J$255,8,FALSE))</f>
        <v/>
      </c>
      <c r="W56" s="18" t="s">
        <v>41</v>
      </c>
      <c r="X56" s="18" t="s">
        <v>96</v>
      </c>
      <c r="Y56" s="19" t="s">
        <v>32</v>
      </c>
      <c r="Z56" s="19" t="str">
        <f>A56 &amp; "-" &amp; VLOOKUP(A56,[4]PROGRAMMES!$E$1:$F$7,2,FALSE)</f>
        <v>1-Accès et équité à l'enseignement général</v>
      </c>
      <c r="AA56" s="19" t="str">
        <f>B56 &amp; "-" &amp; VLOOKUP(B56,[4]SOUSPROGRAMMES!$E$1:$F$44,2,FALSE)</f>
        <v>11- Accès équitable au préscolaire</v>
      </c>
      <c r="AB56" s="19" t="str">
        <f>C56 &amp; "-" &amp; VLOOKUP(C56,[4]RESULTATS!$E$1:$F$176,2,FALSE)</f>
        <v>113- Les capacités d’accueil au préscolaire public et communautaires augmentent en milieux rural et urbain</v>
      </c>
      <c r="AC56" s="20" t="str">
        <f>D56 &amp; "-" &amp; VLOOKUP(D56,[4]STRATEGIES!$E$1:$F$504,2,FALSE)</f>
        <v>1133-Construction/réhabilitation/rénovation de CEC</v>
      </c>
      <c r="AD56" s="21" t="str">
        <f t="shared" si="0"/>
        <v xml:space="preserve">11332-Identification des CEC à rénover/réhabiliter </v>
      </c>
    </row>
    <row r="57" spans="1:30" s="22" customFormat="1" ht="45" hidden="1" customHeight="1" x14ac:dyDescent="0.8">
      <c r="A57" s="14">
        <v>1</v>
      </c>
      <c r="B57" s="15">
        <v>11</v>
      </c>
      <c r="C57" s="15">
        <v>113</v>
      </c>
      <c r="D57" s="15">
        <v>1133</v>
      </c>
      <c r="E57" s="14">
        <v>11333</v>
      </c>
      <c r="F57" s="16" t="s">
        <v>124</v>
      </c>
      <c r="G57" s="21" t="s">
        <v>92</v>
      </c>
      <c r="H57" s="17" t="s">
        <v>55</v>
      </c>
      <c r="I57" s="56">
        <v>20</v>
      </c>
      <c r="J57" s="56">
        <v>1</v>
      </c>
      <c r="K57" s="56">
        <v>1</v>
      </c>
      <c r="L57" s="56">
        <v>1</v>
      </c>
      <c r="M57" s="56">
        <f t="shared" si="1"/>
        <v>23</v>
      </c>
      <c r="N57" s="56">
        <f>IF(OR(H57="",H57="sif",H57="PM"),0,VLOOKUP(H57,[5]CU!$C$4:$H$255,6,FALSE))</f>
        <v>0</v>
      </c>
      <c r="O57" s="56"/>
      <c r="P57" s="56"/>
      <c r="Q57" s="56"/>
      <c r="R57" s="56"/>
      <c r="S57" s="56"/>
      <c r="T57" s="23" t="s">
        <v>56</v>
      </c>
      <c r="U57" s="18" t="s">
        <v>40</v>
      </c>
      <c r="V57" s="19" t="str">
        <f>IF(OR($H57="",$H57="sif",$H57="PM"),"",VLOOKUP($H57,[5]CU!$C$5:$J$255,8,FALSE))</f>
        <v/>
      </c>
      <c r="W57" s="18" t="s">
        <v>96</v>
      </c>
      <c r="X57" s="18" t="s">
        <v>98</v>
      </c>
      <c r="Y57" s="19" t="s">
        <v>32</v>
      </c>
      <c r="Z57" s="19" t="str">
        <f>A57 &amp; "-" &amp; VLOOKUP(A57,[4]PROGRAMMES!$E$1:$F$7,2,FALSE)</f>
        <v>1-Accès et équité à l'enseignement général</v>
      </c>
      <c r="AA57" s="19" t="str">
        <f>B57 &amp; "-" &amp; VLOOKUP(B57,[4]SOUSPROGRAMMES!$E$1:$F$44,2,FALSE)</f>
        <v>11- Accès équitable au préscolaire</v>
      </c>
      <c r="AB57" s="19" t="str">
        <f>C57 &amp; "-" &amp; VLOOKUP(C57,[4]RESULTATS!$E$1:$F$176,2,FALSE)</f>
        <v>113- Les capacités d’accueil au préscolaire public et communautaires augmentent en milieux rural et urbain</v>
      </c>
      <c r="AC57" s="20" t="str">
        <f>D57 &amp; "-" &amp; VLOOKUP(D57,[4]STRATEGIES!$E$1:$F$504,2,FALSE)</f>
        <v>1133-Construction/réhabilitation/rénovation de CEC</v>
      </c>
      <c r="AD57" s="21" t="str">
        <f t="shared" si="0"/>
        <v>11333-Confirmation des sites de construction des nouveaux CEC (par les partenaires)</v>
      </c>
    </row>
    <row r="58" spans="1:30" s="22" customFormat="1" ht="45" customHeight="1" x14ac:dyDescent="0.8">
      <c r="A58" s="14">
        <v>1</v>
      </c>
      <c r="B58" s="15">
        <v>11</v>
      </c>
      <c r="C58" s="15">
        <v>113</v>
      </c>
      <c r="D58" s="15">
        <v>1133</v>
      </c>
      <c r="E58" s="14">
        <v>11334</v>
      </c>
      <c r="F58" s="16" t="s">
        <v>125</v>
      </c>
      <c r="G58" s="21" t="s">
        <v>103</v>
      </c>
      <c r="H58" s="17" t="s">
        <v>126</v>
      </c>
      <c r="I58" s="56">
        <v>18</v>
      </c>
      <c r="J58" s="53">
        <f>340*0.03</f>
        <v>10.199999999999999</v>
      </c>
      <c r="K58" s="53">
        <f>340*0.03</f>
        <v>10.199999999999999</v>
      </c>
      <c r="L58" s="53">
        <f>340*0.1</f>
        <v>34</v>
      </c>
      <c r="M58" s="53">
        <f t="shared" si="1"/>
        <v>72.400000000000006</v>
      </c>
      <c r="N58" s="53">
        <f>IF(OR(H58="",H58="sif",H58="PM"),0,VLOOKUP(H58,[5]CU!$C$4:$H$255,6,FALSE))</f>
        <v>24.340499999999999</v>
      </c>
      <c r="O58" s="53">
        <f t="shared" ref="O58:R67" si="11">$N58*I58</f>
        <v>438.12899999999996</v>
      </c>
      <c r="P58" s="53">
        <f t="shared" si="11"/>
        <v>248.27309999999997</v>
      </c>
      <c r="Q58" s="53">
        <f t="shared" si="11"/>
        <v>248.27309999999997</v>
      </c>
      <c r="R58" s="53">
        <f t="shared" si="11"/>
        <v>827.577</v>
      </c>
      <c r="S58" s="53">
        <f t="shared" ref="S58:S68" si="12">SUM(O58:R58)</f>
        <v>1762.2521999999999</v>
      </c>
      <c r="T58" s="23" t="s">
        <v>67</v>
      </c>
      <c r="U58" s="18" t="s">
        <v>40</v>
      </c>
      <c r="V58" s="19" t="str">
        <f>IF(OR($H58="",$H58="sif",$H58="PM"),"",VLOOKUP($H58,[5]CU!$C$5:$J$255,8,FALSE))</f>
        <v>5. Investissement</v>
      </c>
      <c r="W58" s="18" t="s">
        <v>41</v>
      </c>
      <c r="X58" s="18" t="s">
        <v>98</v>
      </c>
      <c r="Y58" s="19" t="s">
        <v>32</v>
      </c>
      <c r="Z58" s="19" t="str">
        <f>A58 &amp; "-" &amp; VLOOKUP(A58,[4]PROGRAMMES!$E$1:$F$7,2,FALSE)</f>
        <v>1-Accès et équité à l'enseignement général</v>
      </c>
      <c r="AA58" s="19" t="str">
        <f>B58 &amp; "-" &amp; VLOOKUP(B58,[4]SOUSPROGRAMMES!$E$1:$F$44,2,FALSE)</f>
        <v>11- Accès équitable au préscolaire</v>
      </c>
      <c r="AB58" s="19" t="str">
        <f>C58 &amp; "-" &amp; VLOOKUP(C58,[4]RESULTATS!$E$1:$F$176,2,FALSE)</f>
        <v>113- Les capacités d’accueil au préscolaire public et communautaires augmentent en milieux rural et urbain</v>
      </c>
      <c r="AC58" s="20" t="str">
        <f>D58 &amp; "-" &amp; VLOOKUP(D58,[4]STRATEGIES!$E$1:$F$504,2,FALSE)</f>
        <v>1133-Construction/réhabilitation/rénovation de CEC</v>
      </c>
      <c r="AD58" s="21" t="str">
        <f t="shared" si="0"/>
        <v>11334-Exécution des travaux de réhabilitation/rénovation des CEC</v>
      </c>
    </row>
    <row r="59" spans="1:30" s="22" customFormat="1" ht="45" customHeight="1" x14ac:dyDescent="0.8">
      <c r="A59" s="14">
        <v>1</v>
      </c>
      <c r="B59" s="15">
        <v>11</v>
      </c>
      <c r="C59" s="15">
        <v>113</v>
      </c>
      <c r="D59" s="15">
        <v>1133</v>
      </c>
      <c r="E59" s="14">
        <v>11335</v>
      </c>
      <c r="F59" s="16" t="s">
        <v>127</v>
      </c>
      <c r="G59" s="21" t="s">
        <v>103</v>
      </c>
      <c r="H59" s="17" t="s">
        <v>128</v>
      </c>
      <c r="I59" s="56">
        <v>29</v>
      </c>
      <c r="J59" s="53">
        <v>20</v>
      </c>
      <c r="K59" s="53"/>
      <c r="L59" s="53"/>
      <c r="M59" s="53">
        <f t="shared" si="1"/>
        <v>49</v>
      </c>
      <c r="N59" s="53">
        <f>IF(OR(H59="",H59="sif",H59="PM"),0,VLOOKUP(H59,[5]CU!$C$4:$H$255,6,FALSE))</f>
        <v>81.135000000000005</v>
      </c>
      <c r="O59" s="53">
        <f t="shared" si="11"/>
        <v>2352.915</v>
      </c>
      <c r="P59" s="53">
        <f t="shared" si="11"/>
        <v>1622.7</v>
      </c>
      <c r="Q59" s="53">
        <f t="shared" si="11"/>
        <v>0</v>
      </c>
      <c r="R59" s="53">
        <f t="shared" si="11"/>
        <v>0</v>
      </c>
      <c r="S59" s="53">
        <f t="shared" si="12"/>
        <v>3975.6149999999998</v>
      </c>
      <c r="T59" s="23" t="s">
        <v>67</v>
      </c>
      <c r="U59" s="18" t="s">
        <v>40</v>
      </c>
      <c r="V59" s="19" t="str">
        <f>IF(OR($H59="",$H59="sif",$H59="PM"),"",VLOOKUP($H59,[5]CU!$C$5:$J$255,8,FALSE))</f>
        <v>5. Investissement</v>
      </c>
      <c r="W59" s="18" t="s">
        <v>41</v>
      </c>
      <c r="X59" s="18" t="s">
        <v>98</v>
      </c>
      <c r="Y59" s="19" t="s">
        <v>32</v>
      </c>
      <c r="Z59" s="19" t="str">
        <f>A59 &amp; "-" &amp; VLOOKUP(A59,[4]PROGRAMMES!$E$1:$F$7,2,FALSE)</f>
        <v>1-Accès et équité à l'enseignement général</v>
      </c>
      <c r="AA59" s="19" t="str">
        <f>B59 &amp; "-" &amp; VLOOKUP(B59,[4]SOUSPROGRAMMES!$E$1:$F$44,2,FALSE)</f>
        <v>11- Accès équitable au préscolaire</v>
      </c>
      <c r="AB59" s="19" t="str">
        <f>C59 &amp; "-" &amp; VLOOKUP(C59,[4]RESULTATS!$E$1:$F$176,2,FALSE)</f>
        <v>113- Les capacités d’accueil au préscolaire public et communautaires augmentent en milieux rural et urbain</v>
      </c>
      <c r="AC59" s="20" t="str">
        <f>D59 &amp; "-" &amp; VLOOKUP(D59,[4]STRATEGIES!$E$1:$F$504,2,FALSE)</f>
        <v>1133-Construction/réhabilitation/rénovation de CEC</v>
      </c>
      <c r="AD59" s="21" t="str">
        <f t="shared" si="0"/>
        <v>11335-Exécution des travaux de construction des nouveaux CEC</v>
      </c>
    </row>
    <row r="60" spans="1:30" s="22" customFormat="1" ht="45" customHeight="1" x14ac:dyDescent="0.8">
      <c r="A60" s="14">
        <v>1</v>
      </c>
      <c r="B60" s="15">
        <v>11</v>
      </c>
      <c r="C60" s="15">
        <v>113</v>
      </c>
      <c r="D60" s="15">
        <v>1133</v>
      </c>
      <c r="E60" s="14">
        <v>11335</v>
      </c>
      <c r="F60" s="16" t="s">
        <v>127</v>
      </c>
      <c r="G60" s="21" t="s">
        <v>103</v>
      </c>
      <c r="H60" s="17" t="s">
        <v>128</v>
      </c>
      <c r="I60" s="56">
        <v>0</v>
      </c>
      <c r="J60" s="56"/>
      <c r="K60" s="56">
        <v>7</v>
      </c>
      <c r="L60" s="56"/>
      <c r="M60" s="56">
        <f t="shared" si="1"/>
        <v>7</v>
      </c>
      <c r="N60" s="56">
        <f>IF(OR(H60="",H60="sif",H60="PM"),0,VLOOKUP(H60,[5]CU!$C$4:$H$255,6,FALSE))</f>
        <v>81.135000000000005</v>
      </c>
      <c r="O60" s="56">
        <f t="shared" si="11"/>
        <v>0</v>
      </c>
      <c r="P60" s="56">
        <f t="shared" si="11"/>
        <v>0</v>
      </c>
      <c r="Q60" s="56">
        <f t="shared" si="11"/>
        <v>567.94500000000005</v>
      </c>
      <c r="R60" s="56">
        <f t="shared" si="11"/>
        <v>0</v>
      </c>
      <c r="S60" s="56">
        <f>SUM(O60:R60)</f>
        <v>567.94500000000005</v>
      </c>
      <c r="T60" s="23" t="s">
        <v>60</v>
      </c>
      <c r="U60" s="18" t="s">
        <v>40</v>
      </c>
      <c r="V60" s="19" t="str">
        <f>IF(OR($H60="",$H60="sif",$H60="PM"),"",VLOOKUP($H60,[5]CU!$C$5:$J$255,8,FALSE))</f>
        <v>5. Investissement</v>
      </c>
      <c r="W60" s="18" t="s">
        <v>41</v>
      </c>
      <c r="X60" s="18" t="s">
        <v>98</v>
      </c>
      <c r="Y60" s="19" t="s">
        <v>32</v>
      </c>
      <c r="Z60" s="19" t="str">
        <f>A60 &amp; "-" &amp; VLOOKUP(A60,[4]PROGRAMMES!$E$1:$F$7,2,FALSE)</f>
        <v>1-Accès et équité à l'enseignement général</v>
      </c>
      <c r="AA60" s="19" t="str">
        <f>B60 &amp; "-" &amp; VLOOKUP(B60,[4]SOUSPROGRAMMES!$E$1:$F$44,2,FALSE)</f>
        <v>11- Accès équitable au préscolaire</v>
      </c>
      <c r="AB60" s="19" t="str">
        <f>C60 &amp; "-" &amp; VLOOKUP(C60,[4]RESULTATS!$E$1:$F$176,2,FALSE)</f>
        <v>113- Les capacités d’accueil au préscolaire public et communautaires augmentent en milieux rural et urbain</v>
      </c>
      <c r="AC60" s="20" t="str">
        <f>D60 &amp; "-" &amp; VLOOKUP(D60,[4]STRATEGIES!$E$1:$F$504,2,FALSE)</f>
        <v>1133-Construction/réhabilitation/rénovation de CEC</v>
      </c>
      <c r="AD60" s="21" t="str">
        <f t="shared" si="0"/>
        <v>11335-Exécution des travaux de construction des nouveaux CEC</v>
      </c>
    </row>
    <row r="61" spans="1:30" s="22" customFormat="1" ht="45" customHeight="1" x14ac:dyDescent="0.8">
      <c r="A61" s="14">
        <v>1</v>
      </c>
      <c r="B61" s="15">
        <v>11</v>
      </c>
      <c r="C61" s="15">
        <v>113</v>
      </c>
      <c r="D61" s="15">
        <v>1133</v>
      </c>
      <c r="E61" s="14">
        <v>11335</v>
      </c>
      <c r="F61" s="16" t="s">
        <v>127</v>
      </c>
      <c r="G61" s="21" t="s">
        <v>103</v>
      </c>
      <c r="H61" s="17" t="s">
        <v>128</v>
      </c>
      <c r="I61" s="56">
        <v>8</v>
      </c>
      <c r="J61" s="56"/>
      <c r="K61" s="56">
        <v>10</v>
      </c>
      <c r="L61" s="56"/>
      <c r="M61" s="56">
        <f t="shared" si="1"/>
        <v>18</v>
      </c>
      <c r="N61" s="56">
        <f>IF(OR(H61="",H61="sif",H61="PM"),0,VLOOKUP(H61,[5]CU!$C$4:$H$255,6,FALSE))</f>
        <v>81.135000000000005</v>
      </c>
      <c r="O61" s="56">
        <f t="shared" si="11"/>
        <v>649.08000000000004</v>
      </c>
      <c r="P61" s="56">
        <f t="shared" si="11"/>
        <v>0</v>
      </c>
      <c r="Q61" s="56">
        <f t="shared" si="11"/>
        <v>811.35</v>
      </c>
      <c r="R61" s="56">
        <f t="shared" si="11"/>
        <v>0</v>
      </c>
      <c r="S61" s="56">
        <f>SUM(O61:R61)</f>
        <v>1460.43</v>
      </c>
      <c r="T61" s="23" t="s">
        <v>129</v>
      </c>
      <c r="U61" s="19" t="s">
        <v>40</v>
      </c>
      <c r="V61" s="19" t="str">
        <f>IF(OR($H61="",$H61="sif",$H61="PM"),"",VLOOKUP($H61,[5]CU!$C$5:$J$255,8,FALSE))</f>
        <v>5. Investissement</v>
      </c>
      <c r="W61" s="18" t="s">
        <v>41</v>
      </c>
      <c r="X61" s="18" t="s">
        <v>98</v>
      </c>
      <c r="Y61" s="19" t="s">
        <v>32</v>
      </c>
      <c r="Z61" s="19" t="str">
        <f>A61 &amp; "-" &amp; VLOOKUP(A61,[4]PROGRAMMES!$E$1:$F$7,2,FALSE)</f>
        <v>1-Accès et équité à l'enseignement général</v>
      </c>
      <c r="AA61" s="19" t="str">
        <f>B61 &amp; "-" &amp; VLOOKUP(B61,[4]SOUSPROGRAMMES!$E$1:$F$44,2,FALSE)</f>
        <v>11- Accès équitable au préscolaire</v>
      </c>
      <c r="AB61" s="19" t="str">
        <f>C61 &amp; "-" &amp; VLOOKUP(C61,[4]RESULTATS!$E$1:$F$176,2,FALSE)</f>
        <v>113- Les capacités d’accueil au préscolaire public et communautaires augmentent en milieux rural et urbain</v>
      </c>
      <c r="AC61" s="20" t="str">
        <f>D61 &amp; "-" &amp; VLOOKUP(D61,[4]STRATEGIES!$E$1:$F$504,2,FALSE)</f>
        <v>1133-Construction/réhabilitation/rénovation de CEC</v>
      </c>
      <c r="AD61" s="21" t="str">
        <f t="shared" si="0"/>
        <v>11335-Exécution des travaux de construction des nouveaux CEC</v>
      </c>
    </row>
    <row r="62" spans="1:30" s="22" customFormat="1" ht="45" hidden="1" customHeight="1" x14ac:dyDescent="0.8">
      <c r="A62" s="14">
        <v>1</v>
      </c>
      <c r="B62" s="15">
        <v>11</v>
      </c>
      <c r="C62" s="15">
        <v>113</v>
      </c>
      <c r="D62" s="15">
        <v>1133</v>
      </c>
      <c r="E62" s="14">
        <v>11335</v>
      </c>
      <c r="F62" s="16" t="s">
        <v>127</v>
      </c>
      <c r="G62" s="21" t="s">
        <v>103</v>
      </c>
      <c r="H62" s="17" t="s">
        <v>128</v>
      </c>
      <c r="I62" s="56">
        <v>50</v>
      </c>
      <c r="J62" s="56"/>
      <c r="K62" s="56"/>
      <c r="L62" s="56">
        <v>5</v>
      </c>
      <c r="M62" s="56">
        <f t="shared" si="1"/>
        <v>55</v>
      </c>
      <c r="N62" s="56">
        <f>IF(OR(H62="",H62="sif",H62="PM"),0,VLOOKUP(H62,[5]CU!$C$4:$H$255,6,FALSE))</f>
        <v>81.135000000000005</v>
      </c>
      <c r="O62" s="56">
        <f t="shared" si="11"/>
        <v>4056.7500000000005</v>
      </c>
      <c r="P62" s="56">
        <f t="shared" si="11"/>
        <v>0</v>
      </c>
      <c r="Q62" s="56">
        <f t="shared" si="11"/>
        <v>0</v>
      </c>
      <c r="R62" s="56">
        <f t="shared" si="11"/>
        <v>405.67500000000001</v>
      </c>
      <c r="S62" s="56">
        <f>SUM(O62:R62)</f>
        <v>4462.4250000000002</v>
      </c>
      <c r="T62" s="23" t="s">
        <v>56</v>
      </c>
      <c r="U62" s="18" t="s">
        <v>40</v>
      </c>
      <c r="V62" s="19" t="str">
        <f>IF(OR($H62="",$H62="sif",$H62="PM"),"",VLOOKUP($H62,[5]CU!$C$5:$J$255,8,FALSE))</f>
        <v>5. Investissement</v>
      </c>
      <c r="W62" s="18" t="s">
        <v>41</v>
      </c>
      <c r="X62" s="18" t="s">
        <v>98</v>
      </c>
      <c r="Y62" s="19" t="s">
        <v>32</v>
      </c>
      <c r="Z62" s="19" t="str">
        <f>A62 &amp; "-" &amp; VLOOKUP(A62,[4]PROGRAMMES!$E$1:$F$7,2,FALSE)</f>
        <v>1-Accès et équité à l'enseignement général</v>
      </c>
      <c r="AA62" s="19" t="str">
        <f>B62 &amp; "-" &amp; VLOOKUP(B62,[4]SOUSPROGRAMMES!$E$1:$F$44,2,FALSE)</f>
        <v>11- Accès équitable au préscolaire</v>
      </c>
      <c r="AB62" s="19" t="str">
        <f>C62 &amp; "-" &amp; VLOOKUP(C62,[4]RESULTATS!$E$1:$F$176,2,FALSE)</f>
        <v>113- Les capacités d’accueil au préscolaire public et communautaires augmentent en milieux rural et urbain</v>
      </c>
      <c r="AC62" s="20" t="str">
        <f>D62 &amp; "-" &amp; VLOOKUP(D62,[4]STRATEGIES!$E$1:$F$504,2,FALSE)</f>
        <v>1133-Construction/réhabilitation/rénovation de CEC</v>
      </c>
      <c r="AD62" s="21" t="str">
        <f t="shared" si="0"/>
        <v>11335-Exécution des travaux de construction des nouveaux CEC</v>
      </c>
    </row>
    <row r="63" spans="1:30" s="22" customFormat="1" ht="45" customHeight="1" x14ac:dyDescent="0.8">
      <c r="A63" s="14">
        <v>1</v>
      </c>
      <c r="B63" s="15">
        <v>11</v>
      </c>
      <c r="C63" s="15">
        <v>113</v>
      </c>
      <c r="D63" s="15">
        <v>1133</v>
      </c>
      <c r="E63" s="14">
        <v>11336</v>
      </c>
      <c r="F63" s="16" t="s">
        <v>130</v>
      </c>
      <c r="G63" s="21" t="s">
        <v>131</v>
      </c>
      <c r="H63" s="17" t="s">
        <v>132</v>
      </c>
      <c r="I63" s="56">
        <v>29</v>
      </c>
      <c r="J63" s="53">
        <f>J59</f>
        <v>20</v>
      </c>
      <c r="K63" s="53">
        <f>K59</f>
        <v>0</v>
      </c>
      <c r="L63" s="53">
        <f>L59</f>
        <v>0</v>
      </c>
      <c r="M63" s="53">
        <f t="shared" si="1"/>
        <v>49</v>
      </c>
      <c r="N63" s="53">
        <f>IF(OR(H63="",H63="sif",H63="PM"),0,VLOOKUP(H63,[5]CU!$C$4:$H$255,6,FALSE))</f>
        <v>18.75</v>
      </c>
      <c r="O63" s="53">
        <f t="shared" si="11"/>
        <v>543.75</v>
      </c>
      <c r="P63" s="53">
        <f t="shared" si="11"/>
        <v>375</v>
      </c>
      <c r="Q63" s="53">
        <f t="shared" si="11"/>
        <v>0</v>
      </c>
      <c r="R63" s="53">
        <f t="shared" si="11"/>
        <v>0</v>
      </c>
      <c r="S63" s="53">
        <f t="shared" si="12"/>
        <v>918.75</v>
      </c>
      <c r="T63" s="23" t="s">
        <v>67</v>
      </c>
      <c r="U63" s="18" t="s">
        <v>40</v>
      </c>
      <c r="V63" s="19" t="str">
        <f>IF(OR($H63="",$H63="sif",$H63="PM"),"",VLOOKUP($H63,[5]CU!$C$5:$J$255,8,FALSE))</f>
        <v>5. Investissement</v>
      </c>
      <c r="W63" s="18" t="s">
        <v>41</v>
      </c>
      <c r="X63" s="18" t="s">
        <v>98</v>
      </c>
      <c r="Y63" s="19" t="s">
        <v>32</v>
      </c>
      <c r="Z63" s="19" t="str">
        <f>A63 &amp; "-" &amp; VLOOKUP(A63,[4]PROGRAMMES!$E$1:$F$7,2,FALSE)</f>
        <v>1-Accès et équité à l'enseignement général</v>
      </c>
      <c r="AA63" s="19" t="str">
        <f>B63 &amp; "-" &amp; VLOOKUP(B63,[4]SOUSPROGRAMMES!$E$1:$F$44,2,FALSE)</f>
        <v>11- Accès équitable au préscolaire</v>
      </c>
      <c r="AB63" s="19" t="str">
        <f>C63 &amp; "-" &amp; VLOOKUP(C63,[4]RESULTATS!$E$1:$F$176,2,FALSE)</f>
        <v>113- Les capacités d’accueil au préscolaire public et communautaires augmentent en milieux rural et urbain</v>
      </c>
      <c r="AC63" s="20" t="str">
        <f>D63 &amp; "-" &amp; VLOOKUP(D63,[4]STRATEGIES!$E$1:$F$504,2,FALSE)</f>
        <v>1133-Construction/réhabilitation/rénovation de CEC</v>
      </c>
      <c r="AD63" s="21" t="str">
        <f t="shared" si="0"/>
        <v xml:space="preserve">11336-Equipement des CEC en mobiliers </v>
      </c>
    </row>
    <row r="64" spans="1:30" s="22" customFormat="1" ht="45" hidden="1" customHeight="1" x14ac:dyDescent="0.8">
      <c r="A64" s="14">
        <v>1</v>
      </c>
      <c r="B64" s="15">
        <v>11</v>
      </c>
      <c r="C64" s="15">
        <v>113</v>
      </c>
      <c r="D64" s="15">
        <v>1133</v>
      </c>
      <c r="E64" s="14">
        <v>11336</v>
      </c>
      <c r="F64" s="16" t="s">
        <v>130</v>
      </c>
      <c r="G64" s="21" t="s">
        <v>131</v>
      </c>
      <c r="H64" s="17" t="s">
        <v>132</v>
      </c>
      <c r="I64" s="56">
        <f>I62+I58</f>
        <v>68</v>
      </c>
      <c r="J64" s="56">
        <f>J62+J58</f>
        <v>10.199999999999999</v>
      </c>
      <c r="K64" s="56">
        <f>K62+K58</f>
        <v>10.199999999999999</v>
      </c>
      <c r="L64" s="56">
        <f>L62+L58</f>
        <v>39</v>
      </c>
      <c r="M64" s="56">
        <f t="shared" si="1"/>
        <v>127.4</v>
      </c>
      <c r="N64" s="56">
        <f>IF(OR(H64="",H64="sif",H64="PM"),0,VLOOKUP(H64,[5]CU!$C$4:$H$255,6,FALSE))</f>
        <v>18.75</v>
      </c>
      <c r="O64" s="56">
        <f t="shared" si="11"/>
        <v>1275</v>
      </c>
      <c r="P64" s="56">
        <f t="shared" si="11"/>
        <v>191.25</v>
      </c>
      <c r="Q64" s="56">
        <f t="shared" si="11"/>
        <v>191.25</v>
      </c>
      <c r="R64" s="56">
        <f t="shared" si="11"/>
        <v>731.25</v>
      </c>
      <c r="S64" s="56">
        <f t="shared" si="12"/>
        <v>2388.75</v>
      </c>
      <c r="T64" s="23" t="s">
        <v>56</v>
      </c>
      <c r="U64" s="18" t="s">
        <v>40</v>
      </c>
      <c r="V64" s="19" t="str">
        <f>IF(OR($H64="",$H64="sif",$H64="PM"),"",VLOOKUP($H64,[5]CU!$C$5:$J$255,8,FALSE))</f>
        <v>5. Investissement</v>
      </c>
      <c r="W64" s="18" t="s">
        <v>41</v>
      </c>
      <c r="X64" s="18" t="s">
        <v>98</v>
      </c>
      <c r="Y64" s="19" t="s">
        <v>32</v>
      </c>
      <c r="Z64" s="19" t="str">
        <f>A64 &amp; "-" &amp; VLOOKUP(A64,[4]PROGRAMMES!$E$1:$F$7,2,FALSE)</f>
        <v>1-Accès et équité à l'enseignement général</v>
      </c>
      <c r="AA64" s="19" t="str">
        <f>B64 &amp; "-" &amp; VLOOKUP(B64,[4]SOUSPROGRAMMES!$E$1:$F$44,2,FALSE)</f>
        <v>11- Accès équitable au préscolaire</v>
      </c>
      <c r="AB64" s="19" t="str">
        <f>C64 &amp; "-" &amp; VLOOKUP(C64,[4]RESULTATS!$E$1:$F$176,2,FALSE)</f>
        <v>113- Les capacités d’accueil au préscolaire public et communautaires augmentent en milieux rural et urbain</v>
      </c>
      <c r="AC64" s="20" t="str">
        <f>D64 &amp; "-" &amp; VLOOKUP(D64,[4]STRATEGIES!$E$1:$F$504,2,FALSE)</f>
        <v>1133-Construction/réhabilitation/rénovation de CEC</v>
      </c>
      <c r="AD64" s="21" t="str">
        <f t="shared" si="0"/>
        <v xml:space="preserve">11336-Equipement des CEC en mobiliers </v>
      </c>
    </row>
    <row r="65" spans="1:30" s="22" customFormat="1" ht="45" customHeight="1" x14ac:dyDescent="0.8">
      <c r="A65" s="14">
        <v>1</v>
      </c>
      <c r="B65" s="15">
        <v>11</v>
      </c>
      <c r="C65" s="15">
        <v>113</v>
      </c>
      <c r="D65" s="15">
        <v>1133</v>
      </c>
      <c r="E65" s="14">
        <v>11337</v>
      </c>
      <c r="F65" s="16" t="s">
        <v>133</v>
      </c>
      <c r="G65" s="21" t="s">
        <v>134</v>
      </c>
      <c r="H65" s="17" t="s">
        <v>135</v>
      </c>
      <c r="I65" s="56">
        <f>460*60.03%</f>
        <v>276.13800000000003</v>
      </c>
      <c r="J65" s="53">
        <f>(J61+J57+J58+J59+J60)*60.03%</f>
        <v>18.72936</v>
      </c>
      <c r="K65" s="53">
        <f>(K61+K57+K58+K59+K60)*60.03%</f>
        <v>16.928460000000001</v>
      </c>
      <c r="L65" s="53">
        <f>(L61+L57+L58+L59+L60)*60.03%</f>
        <v>21.0105</v>
      </c>
      <c r="M65" s="53">
        <f>SUM(I65:L65)</f>
        <v>332.80632000000003</v>
      </c>
      <c r="N65" s="53">
        <f>IF(OR(H65="",H65="sif",H65="PM"),0,VLOOKUP(H65,[5]CU!$C$4:$H$255,6,FALSE))</f>
        <v>3.5</v>
      </c>
      <c r="O65" s="53">
        <f>$N65*I65</f>
        <v>966.48300000000017</v>
      </c>
      <c r="P65" s="53">
        <f>$N65*J65</f>
        <v>65.552760000000006</v>
      </c>
      <c r="Q65" s="53">
        <f>$N65*K65</f>
        <v>59.249610000000004</v>
      </c>
      <c r="R65" s="53">
        <f>$N65*L65</f>
        <v>73.536749999999998</v>
      </c>
      <c r="S65" s="53">
        <f>SUM(O65:R65)</f>
        <v>1164.8221200000003</v>
      </c>
      <c r="T65" s="23" t="s">
        <v>67</v>
      </c>
      <c r="U65" s="18" t="s">
        <v>40</v>
      </c>
      <c r="V65" s="19" t="str">
        <f>IF(OR($H65="",$H65="sif",$H65="PM"),"",VLOOKUP($H65,[5]CU!$C$5:$J$255,8,FALSE))</f>
        <v>3. Manuels scolaires et matériels pédagogiques</v>
      </c>
      <c r="W65" s="18" t="s">
        <v>41</v>
      </c>
      <c r="X65" s="18" t="s">
        <v>98</v>
      </c>
      <c r="Y65" s="19" t="s">
        <v>32</v>
      </c>
      <c r="Z65" s="19" t="str">
        <f>A65 &amp; "-" &amp; VLOOKUP(A65,[4]PROGRAMMES!$E$1:$F$7,2,FALSE)</f>
        <v>1-Accès et équité à l'enseignement général</v>
      </c>
      <c r="AA65" s="19" t="str">
        <f>B65 &amp; "-" &amp; VLOOKUP(B65,[4]SOUSPROGRAMMES!$E$1:$F$44,2,FALSE)</f>
        <v>11- Accès équitable au préscolaire</v>
      </c>
      <c r="AB65" s="19" t="str">
        <f>C65 &amp; "-" &amp; VLOOKUP(C65,[4]RESULTATS!$E$1:$F$176,2,FALSE)</f>
        <v>113- Les capacités d’accueil au préscolaire public et communautaires augmentent en milieux rural et urbain</v>
      </c>
      <c r="AC65" s="20" t="str">
        <f>D65 &amp; "-" &amp; VLOOKUP(D65,[4]STRATEGIES!$E$1:$F$504,2,FALSE)</f>
        <v>1133-Construction/réhabilitation/rénovation de CEC</v>
      </c>
      <c r="AD65" s="21" t="str">
        <f t="shared" si="0"/>
        <v>11337-Equipement des CEC en matériels ludiques</v>
      </c>
    </row>
    <row r="66" spans="1:30" s="22" customFormat="1" ht="45" customHeight="1" x14ac:dyDescent="0.8">
      <c r="A66" s="14">
        <v>1</v>
      </c>
      <c r="B66" s="15">
        <v>11</v>
      </c>
      <c r="C66" s="15">
        <v>113</v>
      </c>
      <c r="D66" s="15">
        <v>1133</v>
      </c>
      <c r="E66" s="14">
        <v>11337</v>
      </c>
      <c r="F66" s="16" t="s">
        <v>133</v>
      </c>
      <c r="G66" s="21" t="s">
        <v>134</v>
      </c>
      <c r="H66" s="17" t="s">
        <v>135</v>
      </c>
      <c r="I66" s="56">
        <f>460*39.97%</f>
        <v>183.86199999999999</v>
      </c>
      <c r="J66" s="56">
        <f>(J61+J57+J58+J59+J60)*39.97%</f>
        <v>12.47064</v>
      </c>
      <c r="K66" s="56">
        <f>(K61+K57+K58+K59+K60)*39.97%</f>
        <v>11.27154</v>
      </c>
      <c r="L66" s="56">
        <f>(L61+L57+L58+L59+L60)*39.97%</f>
        <v>13.9895</v>
      </c>
      <c r="M66" s="56">
        <f t="shared" si="1"/>
        <v>221.59367999999998</v>
      </c>
      <c r="N66" s="56">
        <f>IF(OR(H66="",H66="sif",H66="PM"),0,VLOOKUP(H66,[5]CU!$C$4:$H$255,6,FALSE))</f>
        <v>3.5</v>
      </c>
      <c r="O66" s="56">
        <f t="shared" si="11"/>
        <v>643.51699999999994</v>
      </c>
      <c r="P66" s="56">
        <f t="shared" si="11"/>
        <v>43.647239999999996</v>
      </c>
      <c r="Q66" s="56">
        <f t="shared" si="11"/>
        <v>39.450389999999999</v>
      </c>
      <c r="R66" s="56">
        <f t="shared" si="11"/>
        <v>48.963250000000002</v>
      </c>
      <c r="S66" s="56">
        <f t="shared" si="12"/>
        <v>775.57787999999994</v>
      </c>
      <c r="T66" s="23" t="s">
        <v>39</v>
      </c>
      <c r="U66" s="18" t="s">
        <v>40</v>
      </c>
      <c r="V66" s="19" t="str">
        <f>IF(OR($H66="",$H66="sif",$H66="PM"),"",VLOOKUP($H66,[5]CU!$C$5:$J$255,8,FALSE))</f>
        <v>3. Manuels scolaires et matériels pédagogiques</v>
      </c>
      <c r="W66" s="18" t="s">
        <v>41</v>
      </c>
      <c r="X66" s="18" t="s">
        <v>98</v>
      </c>
      <c r="Y66" s="19" t="s">
        <v>32</v>
      </c>
      <c r="Z66" s="19" t="str">
        <f>A66 &amp; "-" &amp; VLOOKUP(A66,[4]PROGRAMMES!$E$1:$F$7,2,FALSE)</f>
        <v>1-Accès et équité à l'enseignement général</v>
      </c>
      <c r="AA66" s="19" t="str">
        <f>B66 &amp; "-" &amp; VLOOKUP(B66,[4]SOUSPROGRAMMES!$E$1:$F$44,2,FALSE)</f>
        <v>11- Accès équitable au préscolaire</v>
      </c>
      <c r="AB66" s="19" t="str">
        <f>C66 &amp; "-" &amp; VLOOKUP(C66,[4]RESULTATS!$E$1:$F$176,2,FALSE)</f>
        <v>113- Les capacités d’accueil au préscolaire public et communautaires augmentent en milieux rural et urbain</v>
      </c>
      <c r="AC66" s="20" t="str">
        <f>D66 &amp; "-" &amp; VLOOKUP(D66,[4]STRATEGIES!$E$1:$F$504,2,FALSE)</f>
        <v>1133-Construction/réhabilitation/rénovation de CEC</v>
      </c>
      <c r="AD66" s="21" t="str">
        <f t="shared" si="0"/>
        <v>11337-Equipement des CEC en matériels ludiques</v>
      </c>
    </row>
    <row r="67" spans="1:30" s="22" customFormat="1" ht="45" customHeight="1" x14ac:dyDescent="0.8">
      <c r="A67" s="14">
        <v>1</v>
      </c>
      <c r="B67" s="15">
        <v>11</v>
      </c>
      <c r="C67" s="15">
        <v>113</v>
      </c>
      <c r="D67" s="15">
        <v>1133</v>
      </c>
      <c r="E67" s="14">
        <v>11338</v>
      </c>
      <c r="F67" s="16" t="s">
        <v>136</v>
      </c>
      <c r="G67" s="21" t="s">
        <v>137</v>
      </c>
      <c r="H67" s="17" t="s">
        <v>138</v>
      </c>
      <c r="I67" s="56">
        <f>+I66</f>
        <v>183.86199999999999</v>
      </c>
      <c r="J67" s="53">
        <f>+J66</f>
        <v>12.47064</v>
      </c>
      <c r="K67" s="53">
        <f>+K66</f>
        <v>11.27154</v>
      </c>
      <c r="L67" s="53">
        <f>+L66</f>
        <v>13.9895</v>
      </c>
      <c r="M67" s="53">
        <f>+M66</f>
        <v>221.59367999999998</v>
      </c>
      <c r="N67" s="53">
        <f>IF(OR(H67="",H67="sif",H67="PM"),0,VLOOKUP(H67,[5]CU!$C$4:$H$255,6,FALSE))</f>
        <v>1.7549999999999999</v>
      </c>
      <c r="O67" s="53">
        <f>$N67*I67</f>
        <v>322.67780999999997</v>
      </c>
      <c r="P67" s="53">
        <f t="shared" si="11"/>
        <v>21.885973199999999</v>
      </c>
      <c r="Q67" s="53">
        <f t="shared" si="11"/>
        <v>19.781552699999999</v>
      </c>
      <c r="R67" s="53">
        <f t="shared" si="11"/>
        <v>24.551572499999999</v>
      </c>
      <c r="S67" s="53">
        <f t="shared" si="12"/>
        <v>388.89690840000003</v>
      </c>
      <c r="T67" s="23" t="s">
        <v>67</v>
      </c>
      <c r="U67" s="18" t="s">
        <v>40</v>
      </c>
      <c r="V67" s="19" t="str">
        <f>IF(OR($H67="",$H67="sif",$H67="PM"),"",VLOOKUP($H67,[5]CU!$C$5:$J$255,8,FALSE))</f>
        <v>5. Investissement</v>
      </c>
      <c r="W67" s="18" t="s">
        <v>98</v>
      </c>
      <c r="X67" s="18" t="s">
        <v>98</v>
      </c>
      <c r="Y67" s="19" t="s">
        <v>32</v>
      </c>
      <c r="Z67" s="19" t="str">
        <f>A67 &amp; "-" &amp; VLOOKUP(A67,[4]PROGRAMMES!$E$1:$F$7,2,FALSE)</f>
        <v>1-Accès et équité à l'enseignement général</v>
      </c>
      <c r="AA67" s="19" t="str">
        <f>B67 &amp; "-" &amp; VLOOKUP(B67,[4]SOUSPROGRAMMES!$E$1:$F$44,2,FALSE)</f>
        <v>11- Accès équitable au préscolaire</v>
      </c>
      <c r="AB67" s="19" t="str">
        <f>C67 &amp; "-" &amp; VLOOKUP(C67,[4]RESULTATS!$E$1:$F$176,2,FALSE)</f>
        <v>113- Les capacités d’accueil au préscolaire public et communautaires augmentent en milieux rural et urbain</v>
      </c>
      <c r="AC67" s="20" t="str">
        <f>D67 &amp; "-" &amp; VLOOKUP(D67,[4]STRATEGIES!$E$1:$F$504,2,FALSE)</f>
        <v>1133-Construction/réhabilitation/rénovation de CEC</v>
      </c>
      <c r="AD67" s="21" t="str">
        <f t="shared" si="0"/>
        <v>11338-Supervision des travaux de construction/ réhabilitation/ rénovation /équipement des CEC</v>
      </c>
    </row>
    <row r="68" spans="1:30" s="22" customFormat="1" ht="45" hidden="1" customHeight="1" x14ac:dyDescent="0.8">
      <c r="A68" s="14">
        <v>1</v>
      </c>
      <c r="B68" s="15">
        <v>11</v>
      </c>
      <c r="C68" s="15">
        <v>113</v>
      </c>
      <c r="D68" s="15">
        <v>1133</v>
      </c>
      <c r="E68" s="14">
        <v>11338</v>
      </c>
      <c r="F68" s="16" t="s">
        <v>136</v>
      </c>
      <c r="G68" s="21" t="s">
        <v>137</v>
      </c>
      <c r="H68" s="17" t="s">
        <v>138</v>
      </c>
      <c r="I68" s="56">
        <f>I62</f>
        <v>50</v>
      </c>
      <c r="J68" s="56">
        <f>J62</f>
        <v>0</v>
      </c>
      <c r="K68" s="56">
        <f>K62</f>
        <v>0</v>
      </c>
      <c r="L68" s="56">
        <f>L62</f>
        <v>5</v>
      </c>
      <c r="M68" s="56">
        <f>SUM(I68:L68)</f>
        <v>55</v>
      </c>
      <c r="N68" s="56">
        <f>IF(OR(H68="",H68="sif",H68="PM"),0,VLOOKUP(H68,[5]CU!$C$4:$H$255,6,FALSE))</f>
        <v>1.7549999999999999</v>
      </c>
      <c r="O68" s="56">
        <f>$N68*I68</f>
        <v>87.75</v>
      </c>
      <c r="P68" s="56">
        <f>$N68*J68</f>
        <v>0</v>
      </c>
      <c r="Q68" s="56">
        <f>$N68*K68</f>
        <v>0</v>
      </c>
      <c r="R68" s="56">
        <f>$N68*L68</f>
        <v>8.7749999999999986</v>
      </c>
      <c r="S68" s="56">
        <f t="shared" si="12"/>
        <v>96.525000000000006</v>
      </c>
      <c r="T68" s="23" t="s">
        <v>56</v>
      </c>
      <c r="U68" s="18" t="s">
        <v>40</v>
      </c>
      <c r="V68" s="19" t="str">
        <f>IF(OR($H68="",$H68="sif",$H68="PM"),"",VLOOKUP($H68,[5]CU!$C$5:$J$255,8,FALSE))</f>
        <v>5. Investissement</v>
      </c>
      <c r="W68" s="18" t="s">
        <v>98</v>
      </c>
      <c r="X68" s="18" t="s">
        <v>98</v>
      </c>
      <c r="Y68" s="19" t="s">
        <v>32</v>
      </c>
      <c r="Z68" s="19" t="str">
        <f>A68 &amp; "-" &amp; VLOOKUP(A68,[4]PROGRAMMES!$E$1:$F$7,2,FALSE)</f>
        <v>1-Accès et équité à l'enseignement général</v>
      </c>
      <c r="AA68" s="19" t="str">
        <f>B68 &amp; "-" &amp; VLOOKUP(B68,[4]SOUSPROGRAMMES!$E$1:$F$44,2,FALSE)</f>
        <v>11- Accès équitable au préscolaire</v>
      </c>
      <c r="AB68" s="19" t="str">
        <f>C68 &amp; "-" &amp; VLOOKUP(C68,[4]RESULTATS!$E$1:$F$176,2,FALSE)</f>
        <v>113- Les capacités d’accueil au préscolaire public et communautaires augmentent en milieux rural et urbain</v>
      </c>
      <c r="AC68" s="20" t="str">
        <f>D68 &amp; "-" &amp; VLOOKUP(D68,[4]STRATEGIES!$E$1:$F$504,2,FALSE)</f>
        <v>1133-Construction/réhabilitation/rénovation de CEC</v>
      </c>
      <c r="AD68" s="21" t="str">
        <f t="shared" ref="AD68:AD131" si="13">E68 &amp; "-" &amp; F68</f>
        <v>11338-Supervision des travaux de construction/ réhabilitation/ rénovation /équipement des CEC</v>
      </c>
    </row>
    <row r="69" spans="1:30" s="22" customFormat="1" ht="45" customHeight="1" x14ac:dyDescent="0.8">
      <c r="A69" s="14">
        <v>1</v>
      </c>
      <c r="B69" s="15">
        <v>11</v>
      </c>
      <c r="C69" s="15">
        <v>114</v>
      </c>
      <c r="D69" s="15">
        <v>114</v>
      </c>
      <c r="E69" s="14">
        <v>114</v>
      </c>
      <c r="F69" s="16" t="s">
        <v>139</v>
      </c>
      <c r="G69" s="17"/>
      <c r="H69" s="17"/>
      <c r="I69" s="56"/>
      <c r="J69" s="56"/>
      <c r="K69" s="56"/>
      <c r="L69" s="56"/>
      <c r="M69" s="56"/>
      <c r="N69" s="56"/>
      <c r="O69" s="56"/>
      <c r="P69" s="56"/>
      <c r="Q69" s="56"/>
      <c r="R69" s="56"/>
      <c r="S69" s="56"/>
      <c r="T69" s="18"/>
      <c r="U69" s="18"/>
      <c r="V69" s="19"/>
      <c r="W69" s="18"/>
      <c r="X69" s="18"/>
      <c r="Y69" s="19" t="s">
        <v>32</v>
      </c>
      <c r="Z69" s="19" t="str">
        <f>A69 &amp; "-" &amp; VLOOKUP(A69,[4]PROGRAMMES!$E$1:$F$7,2,FALSE)</f>
        <v>1-Accès et équité à l'enseignement général</v>
      </c>
      <c r="AA69" s="19" t="str">
        <f>B69 &amp; "-" &amp; VLOOKUP(B69,[4]SOUSPROGRAMMES!$E$1:$F$44,2,FALSE)</f>
        <v>11- Accès équitable au préscolaire</v>
      </c>
      <c r="AB69" s="19" t="str">
        <f>C69 &amp; "-" &amp; VLOOKUP(C69,[4]RESULTATS!$E$1:$F$176,2,FALSE)</f>
        <v xml:space="preserve">114- Les CEC et les établissements préscolaires publics sont dotées en éducateurs en nombre suffisant </v>
      </c>
      <c r="AC69" s="20" t="str">
        <f>D69 &amp; "-" &amp; VLOOKUP(D69,[4]STRATEGIES!$E$1:$F$504,2,FALSE)</f>
        <v xml:space="preserve">114- Les CEC et les établissements préscolaires publics sont dotées en éducateurs en nombre suffisant </v>
      </c>
      <c r="AD69" s="21" t="str">
        <f t="shared" si="13"/>
        <v xml:space="preserve">114- Les CEC et les établissements préscolaires publics sont dotées en éducateurs en nombre suffisant </v>
      </c>
    </row>
    <row r="70" spans="1:30" s="22" customFormat="1" ht="45" customHeight="1" x14ac:dyDescent="0.8">
      <c r="A70" s="14">
        <v>1</v>
      </c>
      <c r="B70" s="15">
        <v>11</v>
      </c>
      <c r="C70" s="15">
        <v>114</v>
      </c>
      <c r="D70" s="15">
        <v>1141</v>
      </c>
      <c r="E70" s="14">
        <v>1141</v>
      </c>
      <c r="F70" s="16" t="s">
        <v>140</v>
      </c>
      <c r="G70" s="17"/>
      <c r="H70" s="17"/>
      <c r="I70" s="56"/>
      <c r="J70" s="56"/>
      <c r="K70" s="56"/>
      <c r="L70" s="56"/>
      <c r="M70" s="56"/>
      <c r="N70" s="56"/>
      <c r="O70" s="56"/>
      <c r="P70" s="56"/>
      <c r="Q70" s="56"/>
      <c r="R70" s="56"/>
      <c r="S70" s="56"/>
      <c r="T70" s="18"/>
      <c r="U70" s="18"/>
      <c r="V70" s="19"/>
      <c r="W70" s="18"/>
      <c r="X70" s="18"/>
      <c r="Y70" s="19" t="s">
        <v>32</v>
      </c>
      <c r="Z70" s="19" t="str">
        <f>A70 &amp; "-" &amp; VLOOKUP(A70,[4]PROGRAMMES!$E$1:$F$7,2,FALSE)</f>
        <v>1-Accès et équité à l'enseignement général</v>
      </c>
      <c r="AA70" s="19" t="str">
        <f>B70 &amp; "-" &amp; VLOOKUP(B70,[4]SOUSPROGRAMMES!$E$1:$F$44,2,FALSE)</f>
        <v>11- Accès équitable au préscolaire</v>
      </c>
      <c r="AB70" s="19" t="str">
        <f>C70 &amp; "-" &amp; VLOOKUP(C70,[4]RESULTATS!$E$1:$F$176,2,FALSE)</f>
        <v xml:space="preserve">114- Les CEC et les établissements préscolaires publics sont dotées en éducateurs en nombre suffisant </v>
      </c>
      <c r="AC70" s="20" t="str">
        <f>D70 &amp; "-" &amp; VLOOKUP(D70,[4]STRATEGIES!$E$1:$F$504,2,FALSE)</f>
        <v>1141-Recrutement d’éducateurs en nombre suffisant</v>
      </c>
      <c r="AD70" s="21" t="str">
        <f t="shared" si="13"/>
        <v>1141-Recrutement d’éducateurs en nombre suffisant</v>
      </c>
    </row>
    <row r="71" spans="1:30" s="22" customFormat="1" ht="45" hidden="1" customHeight="1" x14ac:dyDescent="0.8">
      <c r="A71" s="14">
        <v>1</v>
      </c>
      <c r="B71" s="15">
        <v>11</v>
      </c>
      <c r="C71" s="15">
        <v>114</v>
      </c>
      <c r="D71" s="15">
        <v>1141</v>
      </c>
      <c r="E71" s="14">
        <v>11411</v>
      </c>
      <c r="F71" s="16" t="s">
        <v>141</v>
      </c>
      <c r="G71" s="21" t="s">
        <v>88</v>
      </c>
      <c r="H71" s="17" t="s">
        <v>55</v>
      </c>
      <c r="I71" s="56">
        <v>1</v>
      </c>
      <c r="J71" s="56">
        <v>1</v>
      </c>
      <c r="K71" s="56">
        <v>1</v>
      </c>
      <c r="L71" s="56">
        <v>1</v>
      </c>
      <c r="M71" s="56">
        <f t="shared" si="1"/>
        <v>4</v>
      </c>
      <c r="N71" s="56">
        <f>IF(OR(H71="",H71="sif",H71="PM"),0,VLOOKUP(H71,[5]CU!$C$4:$H$255,6,FALSE))</f>
        <v>0</v>
      </c>
      <c r="O71" s="56"/>
      <c r="P71" s="56"/>
      <c r="Q71" s="56"/>
      <c r="R71" s="56"/>
      <c r="S71" s="56"/>
      <c r="T71" s="23" t="s">
        <v>56</v>
      </c>
      <c r="U71" s="18" t="s">
        <v>40</v>
      </c>
      <c r="V71" s="19" t="str">
        <f>IF(OR($H71="",$H71="sif",$H71="PM"),"",VLOOKUP($H71,[5]CU!$C$5:$J$255,8,FALSE))</f>
        <v/>
      </c>
      <c r="W71" s="18" t="s">
        <v>142</v>
      </c>
      <c r="X71" s="18" t="s">
        <v>96</v>
      </c>
      <c r="Y71" s="19" t="s">
        <v>32</v>
      </c>
      <c r="Z71" s="19" t="str">
        <f>A71 &amp; "-" &amp; VLOOKUP(A71,[4]PROGRAMMES!$E$1:$F$7,2,FALSE)</f>
        <v>1-Accès et équité à l'enseignement général</v>
      </c>
      <c r="AA71" s="19" t="str">
        <f>B71 &amp; "-" &amp; VLOOKUP(B71,[4]SOUSPROGRAMMES!$E$1:$F$44,2,FALSE)</f>
        <v>11- Accès équitable au préscolaire</v>
      </c>
      <c r="AB71" s="19" t="str">
        <f>C71 &amp; "-" &amp; VLOOKUP(C71,[4]RESULTATS!$E$1:$F$176,2,FALSE)</f>
        <v xml:space="preserve">114- Les CEC et les établissements préscolaires publics sont dotées en éducateurs en nombre suffisant </v>
      </c>
      <c r="AC71" s="20" t="str">
        <f>D71 &amp; "-" &amp; VLOOKUP(D71,[4]STRATEGIES!$E$1:$F$504,2,FALSE)</f>
        <v>1141-Recrutement d’éducateurs en nombre suffisant</v>
      </c>
      <c r="AD71" s="21" t="str">
        <f t="shared" si="13"/>
        <v>11411-Identification des besoins en tenant compte des capacités d'accueil</v>
      </c>
    </row>
    <row r="72" spans="1:30" s="22" customFormat="1" ht="45" hidden="1" customHeight="1" x14ac:dyDescent="0.8">
      <c r="A72" s="14">
        <v>1</v>
      </c>
      <c r="B72" s="15">
        <v>11</v>
      </c>
      <c r="C72" s="15">
        <v>114</v>
      </c>
      <c r="D72" s="15">
        <v>1141</v>
      </c>
      <c r="E72" s="14">
        <v>11412</v>
      </c>
      <c r="F72" s="16" t="s">
        <v>143</v>
      </c>
      <c r="G72" s="21" t="s">
        <v>92</v>
      </c>
      <c r="H72" s="17" t="s">
        <v>55</v>
      </c>
      <c r="I72" s="56">
        <v>1</v>
      </c>
      <c r="J72" s="56">
        <v>1</v>
      </c>
      <c r="K72" s="56">
        <v>1</v>
      </c>
      <c r="L72" s="56">
        <v>1</v>
      </c>
      <c r="M72" s="56">
        <f t="shared" si="1"/>
        <v>4</v>
      </c>
      <c r="N72" s="56">
        <f>IF(OR(H72="",H72="sif",H72="PM"),0,VLOOKUP(H72,[5]CU!$C$4:$H$255,6,FALSE))</f>
        <v>0</v>
      </c>
      <c r="O72" s="56"/>
      <c r="P72" s="56"/>
      <c r="Q72" s="56"/>
      <c r="R72" s="56"/>
      <c r="S72" s="56"/>
      <c r="T72" s="23" t="s">
        <v>56</v>
      </c>
      <c r="U72" s="18" t="s">
        <v>40</v>
      </c>
      <c r="V72" s="19" t="str">
        <f>IF(OR($H72="",$H72="sif",$H72="PM"),"",VLOOKUP($H72,[5]CU!$C$5:$J$255,8,FALSE))</f>
        <v/>
      </c>
      <c r="W72" s="18" t="s">
        <v>142</v>
      </c>
      <c r="X72" s="18" t="s">
        <v>144</v>
      </c>
      <c r="Y72" s="19" t="s">
        <v>32</v>
      </c>
      <c r="Z72" s="19" t="str">
        <f>A72 &amp; "-" &amp; VLOOKUP(A72,[4]PROGRAMMES!$E$1:$F$7,2,FALSE)</f>
        <v>1-Accès et équité à l'enseignement général</v>
      </c>
      <c r="AA72" s="19" t="str">
        <f>B72 &amp; "-" &amp; VLOOKUP(B72,[4]SOUSPROGRAMMES!$E$1:$F$44,2,FALSE)</f>
        <v>11- Accès équitable au préscolaire</v>
      </c>
      <c r="AB72" s="19" t="str">
        <f>C72 &amp; "-" &amp; VLOOKUP(C72,[4]RESULTATS!$E$1:$F$176,2,FALSE)</f>
        <v xml:space="preserve">114- Les CEC et les établissements préscolaires publics sont dotées en éducateurs en nombre suffisant </v>
      </c>
      <c r="AC72" s="20" t="str">
        <f>D72 &amp; "-" &amp; VLOOKUP(D72,[4]STRATEGIES!$E$1:$F$504,2,FALSE)</f>
        <v>1141-Recrutement d’éducateurs en nombre suffisant</v>
      </c>
      <c r="AD72" s="21" t="str">
        <f t="shared" si="13"/>
        <v>11412-Organisation de concours de recrutement des éducateurs au niveau déconcentré/décentralisé (organisé par la fonction publique)</v>
      </c>
    </row>
    <row r="73" spans="1:30" s="22" customFormat="1" ht="45" hidden="1" customHeight="1" x14ac:dyDescent="0.8">
      <c r="A73" s="14">
        <v>1</v>
      </c>
      <c r="B73" s="15">
        <v>11</v>
      </c>
      <c r="C73" s="15">
        <v>114</v>
      </c>
      <c r="D73" s="15">
        <v>1141</v>
      </c>
      <c r="E73" s="14">
        <v>11413</v>
      </c>
      <c r="F73" s="16" t="s">
        <v>145</v>
      </c>
      <c r="G73" s="21" t="s">
        <v>146</v>
      </c>
      <c r="H73" s="17" t="s">
        <v>147</v>
      </c>
      <c r="I73" s="56"/>
      <c r="J73" s="56">
        <f>68*94.32%</f>
        <v>64.137599999999992</v>
      </c>
      <c r="K73" s="56">
        <f>66*94.32%</f>
        <v>62.251199999999997</v>
      </c>
      <c r="L73" s="56">
        <f>63*94.32%</f>
        <v>59.421599999999998</v>
      </c>
      <c r="M73" s="56">
        <f>SUM(I73:L73)</f>
        <v>185.81039999999999</v>
      </c>
      <c r="N73" s="56">
        <f>IF(OR(H73="",H73="sif",H73="PM"),0,VLOOKUP(H73,[5]CU!$C$4:$H$255,6,FALSE))</f>
        <v>26.97945149076298</v>
      </c>
      <c r="O73" s="56">
        <f>$N73*I73</f>
        <v>0</v>
      </c>
      <c r="P73" s="56">
        <f>$N73*J73</f>
        <v>1730.3972679339595</v>
      </c>
      <c r="Q73" s="56">
        <f>$N73*K73</f>
        <v>1679.5032306417843</v>
      </c>
      <c r="R73" s="56">
        <f>$N73*L73</f>
        <v>1603.1621747035215</v>
      </c>
      <c r="S73" s="56">
        <f>SUM(O73:R73)</f>
        <v>5013.0626732792653</v>
      </c>
      <c r="T73" s="23" t="s">
        <v>56</v>
      </c>
      <c r="U73" s="18" t="s">
        <v>40</v>
      </c>
      <c r="V73" s="19" t="str">
        <f>IF(OR($H73="",$H73="sif",$H73="PM"),"",VLOOKUP($H73,[5]CU!$C$5:$J$255,8,FALSE))</f>
        <v>2. Personnel</v>
      </c>
      <c r="W73" s="18" t="s">
        <v>142</v>
      </c>
      <c r="X73" s="18" t="s">
        <v>144</v>
      </c>
      <c r="Y73" s="19" t="s">
        <v>32</v>
      </c>
      <c r="Z73" s="19" t="str">
        <f>A73 &amp; "-" &amp; VLOOKUP(A73,[4]PROGRAMMES!$E$1:$F$7,2,FALSE)</f>
        <v>1-Accès et équité à l'enseignement général</v>
      </c>
      <c r="AA73" s="19" t="str">
        <f>B73 &amp; "-" &amp; VLOOKUP(B73,[4]SOUSPROGRAMMES!$E$1:$F$44,2,FALSE)</f>
        <v>11- Accès équitable au préscolaire</v>
      </c>
      <c r="AB73" s="19" t="str">
        <f>C73 &amp; "-" &amp; VLOOKUP(C73,[4]RESULTATS!$E$1:$F$176,2,FALSE)</f>
        <v xml:space="preserve">114- Les CEC et les établissements préscolaires publics sont dotées en éducateurs en nombre suffisant </v>
      </c>
      <c r="AC73" s="20" t="str">
        <f>D73 &amp; "-" &amp; VLOOKUP(D73,[4]STRATEGIES!$E$1:$F$504,2,FALSE)</f>
        <v>1141-Recrutement d’éducateurs en nombre suffisant</v>
      </c>
      <c r="AD73" s="21" t="str">
        <f t="shared" si="13"/>
        <v>11413-Prise en charge des candidats retenus après leur prise de service</v>
      </c>
    </row>
    <row r="74" spans="1:30" s="22" customFormat="1" ht="45" hidden="1" customHeight="1" x14ac:dyDescent="0.8">
      <c r="A74" s="14">
        <v>1</v>
      </c>
      <c r="B74" s="15">
        <v>11</v>
      </c>
      <c r="C74" s="15">
        <v>114</v>
      </c>
      <c r="D74" s="15">
        <v>1141</v>
      </c>
      <c r="E74" s="14">
        <v>11413</v>
      </c>
      <c r="F74" s="16" t="s">
        <v>145</v>
      </c>
      <c r="G74" s="21" t="s">
        <v>146</v>
      </c>
      <c r="H74" s="17" t="s">
        <v>147</v>
      </c>
      <c r="I74" s="56"/>
      <c r="J74" s="56">
        <f>68*5.68%</f>
        <v>3.8623999999999996</v>
      </c>
      <c r="K74" s="56">
        <f>66*5.68%</f>
        <v>3.7487999999999997</v>
      </c>
      <c r="L74" s="56">
        <f>63*5.68%</f>
        <v>3.5783999999999998</v>
      </c>
      <c r="M74" s="56">
        <f t="shared" si="1"/>
        <v>11.189599999999999</v>
      </c>
      <c r="N74" s="56">
        <f>IF(OR(H74="",H74="sif",H74="PM"),0,VLOOKUP(H74,[5]CU!$C$4:$H$255,6,FALSE))</f>
        <v>26.97945149076298</v>
      </c>
      <c r="O74" s="56">
        <f t="shared" ref="O74:R75" si="14">$N74*I74</f>
        <v>0</v>
      </c>
      <c r="P74" s="56">
        <f t="shared" si="14"/>
        <v>104.20543343792292</v>
      </c>
      <c r="Q74" s="56">
        <f t="shared" si="14"/>
        <v>101.14056774857225</v>
      </c>
      <c r="R74" s="56">
        <f t="shared" si="14"/>
        <v>96.543269214546243</v>
      </c>
      <c r="S74" s="56">
        <f>SUM(O74:R74)</f>
        <v>301.88927040104141</v>
      </c>
      <c r="T74" s="23" t="s">
        <v>56</v>
      </c>
      <c r="U74" s="18" t="s">
        <v>40</v>
      </c>
      <c r="V74" s="19" t="str">
        <f>IF(OR($H74="",$H74="sif",$H74="PM"),"",VLOOKUP($H74,[5]CU!$C$5:$J$255,8,FALSE))</f>
        <v>2. Personnel</v>
      </c>
      <c r="W74" s="18" t="s">
        <v>142</v>
      </c>
      <c r="X74" s="18" t="s">
        <v>144</v>
      </c>
      <c r="Y74" s="19" t="s">
        <v>32</v>
      </c>
      <c r="Z74" s="19" t="str">
        <f>A74 &amp; "-" &amp; VLOOKUP(A74,[4]PROGRAMMES!$E$1:$F$7,2,FALSE)</f>
        <v>1-Accès et équité à l'enseignement général</v>
      </c>
      <c r="AA74" s="19" t="str">
        <f>B74 &amp; "-" &amp; VLOOKUP(B74,[4]SOUSPROGRAMMES!$E$1:$F$44,2,FALSE)</f>
        <v>11- Accès équitable au préscolaire</v>
      </c>
      <c r="AB74" s="19" t="str">
        <f>C74 &amp; "-" &amp; VLOOKUP(C74,[4]RESULTATS!$E$1:$F$176,2,FALSE)</f>
        <v xml:space="preserve">114- Les CEC et les établissements préscolaires publics sont dotées en éducateurs en nombre suffisant </v>
      </c>
      <c r="AC74" s="20" t="str">
        <f>D74 &amp; "-" &amp; VLOOKUP(D74,[4]STRATEGIES!$E$1:$F$504,2,FALSE)</f>
        <v>1141-Recrutement d’éducateurs en nombre suffisant</v>
      </c>
      <c r="AD74" s="21" t="str">
        <f t="shared" si="13"/>
        <v>11413-Prise en charge des candidats retenus après leur prise de service</v>
      </c>
    </row>
    <row r="75" spans="1:30" s="22" customFormat="1" ht="45" hidden="1" customHeight="1" x14ac:dyDescent="0.8">
      <c r="A75" s="14">
        <v>1</v>
      </c>
      <c r="B75" s="15">
        <v>11</v>
      </c>
      <c r="C75" s="15">
        <v>114</v>
      </c>
      <c r="D75" s="15">
        <v>1141</v>
      </c>
      <c r="E75" s="14">
        <v>11414</v>
      </c>
      <c r="F75" s="16" t="s">
        <v>148</v>
      </c>
      <c r="G75" s="21" t="s">
        <v>149</v>
      </c>
      <c r="H75" s="17" t="s">
        <v>150</v>
      </c>
      <c r="I75" s="56">
        <v>0.64587672675183305</v>
      </c>
      <c r="J75" s="56">
        <v>0.65612691651796995</v>
      </c>
      <c r="K75" s="56">
        <v>0.98880131112164604</v>
      </c>
      <c r="L75" s="56">
        <v>1.35507177236038</v>
      </c>
      <c r="M75" s="56">
        <f t="shared" si="1"/>
        <v>3.6458767267518288</v>
      </c>
      <c r="N75" s="56">
        <f>IF(OR(H75="",H75="sif",H75="PM"),0,VLOOKUP(H75,[5]CU!$C$4:$H$255,6,FALSE))</f>
        <v>46555.023127581044</v>
      </c>
      <c r="O75" s="56">
        <f t="shared" si="14"/>
        <v>30068.805951497929</v>
      </c>
      <c r="P75" s="56">
        <f t="shared" si="14"/>
        <v>30546.003773122527</v>
      </c>
      <c r="Q75" s="56">
        <f t="shared" si="14"/>
        <v>46033.667907850693</v>
      </c>
      <c r="R75" s="56">
        <f t="shared" si="14"/>
        <v>63085.397701769725</v>
      </c>
      <c r="S75" s="56">
        <f>SUM(O75:R75)</f>
        <v>169733.87533424087</v>
      </c>
      <c r="T75" s="23" t="s">
        <v>56</v>
      </c>
      <c r="U75" s="18" t="s">
        <v>40</v>
      </c>
      <c r="V75" s="19" t="str">
        <f>IF(OR($H75="",$H75="sif",$H75="PM"),"",VLOOKUP($H75,[5]CU!$C$5:$J$255,8,FALSE))</f>
        <v>2. Personnel</v>
      </c>
      <c r="W75" s="18" t="s">
        <v>142</v>
      </c>
      <c r="X75" s="18" t="s">
        <v>96</v>
      </c>
      <c r="Y75" s="19" t="s">
        <v>32</v>
      </c>
      <c r="Z75" s="19" t="str">
        <f>A75 &amp; "-" &amp; VLOOKUP(A75,[4]PROGRAMMES!$E$1:$F$7,2,FALSE)</f>
        <v>1-Accès et équité à l'enseignement général</v>
      </c>
      <c r="AA75" s="19" t="str">
        <f>B75 &amp; "-" &amp; VLOOKUP(B75,[4]SOUSPROGRAMMES!$E$1:$F$44,2,FALSE)</f>
        <v>11- Accès équitable au préscolaire</v>
      </c>
      <c r="AB75" s="19" t="str">
        <f>C75 &amp; "-" &amp; VLOOKUP(C75,[4]RESULTATS!$E$1:$F$176,2,FALSE)</f>
        <v xml:space="preserve">114- Les CEC et les établissements préscolaires publics sont dotées en éducateurs en nombre suffisant </v>
      </c>
      <c r="AC75" s="20" t="str">
        <f>D75 &amp; "-" &amp; VLOOKUP(D75,[4]STRATEGIES!$E$1:$F$504,2,FALSE)</f>
        <v>1141-Recrutement d’éducateurs en nombre suffisant</v>
      </c>
      <c r="AD75" s="21" t="str">
        <f t="shared" si="13"/>
        <v>11414-prise en charge des salaires du personnel dans les établissements du préscolaire</v>
      </c>
    </row>
    <row r="76" spans="1:30" s="22" customFormat="1" ht="45" hidden="1" customHeight="1" x14ac:dyDescent="0.8">
      <c r="A76" s="14">
        <v>1</v>
      </c>
      <c r="B76" s="15">
        <v>11</v>
      </c>
      <c r="C76" s="15">
        <v>114</v>
      </c>
      <c r="D76" s="15">
        <v>1141</v>
      </c>
      <c r="E76" s="14">
        <v>11415</v>
      </c>
      <c r="F76" s="16" t="s">
        <v>151</v>
      </c>
      <c r="G76" s="21" t="s">
        <v>92</v>
      </c>
      <c r="H76" s="17" t="s">
        <v>55</v>
      </c>
      <c r="I76" s="56">
        <v>1</v>
      </c>
      <c r="J76" s="56">
        <v>1</v>
      </c>
      <c r="K76" s="56">
        <v>1</v>
      </c>
      <c r="L76" s="56">
        <v>1</v>
      </c>
      <c r="M76" s="56"/>
      <c r="N76" s="56">
        <f>IF(OR(H76="",H76="sif",H76="PM"),0,VLOOKUP(H76,[5]CU!$C$4:$H$255,6,FALSE))</f>
        <v>0</v>
      </c>
      <c r="O76" s="56"/>
      <c r="P76" s="56"/>
      <c r="Q76" s="56"/>
      <c r="R76" s="56"/>
      <c r="S76" s="56"/>
      <c r="T76" s="23" t="s">
        <v>56</v>
      </c>
      <c r="U76" s="18" t="s">
        <v>40</v>
      </c>
      <c r="V76" s="19" t="str">
        <f>IF(OR($H76="",$H76="sif",$H76="PM"),"",VLOOKUP($H76,[5]CU!$C$5:$J$255,8,FALSE))</f>
        <v/>
      </c>
      <c r="W76" s="18" t="s">
        <v>142</v>
      </c>
      <c r="X76" s="18" t="s">
        <v>142</v>
      </c>
      <c r="Y76" s="19" t="s">
        <v>32</v>
      </c>
      <c r="Z76" s="19" t="str">
        <f>A76 &amp; "-" &amp; VLOOKUP(A76,[4]PROGRAMMES!$E$1:$F$7,2,FALSE)</f>
        <v>1-Accès et équité à l'enseignement général</v>
      </c>
      <c r="AA76" s="19" t="str">
        <f>B76 &amp; "-" &amp; VLOOKUP(B76,[4]SOUSPROGRAMMES!$E$1:$F$44,2,FALSE)</f>
        <v>11- Accès équitable au préscolaire</v>
      </c>
      <c r="AB76" s="19" t="str">
        <f>C76 &amp; "-" &amp; VLOOKUP(C76,[4]RESULTATS!$E$1:$F$176,2,FALSE)</f>
        <v xml:space="preserve">114- Les CEC et les établissements préscolaires publics sont dotées en éducateurs en nombre suffisant </v>
      </c>
      <c r="AC76" s="20" t="str">
        <f>D76 &amp; "-" &amp; VLOOKUP(D76,[4]STRATEGIES!$E$1:$F$504,2,FALSE)</f>
        <v>1141-Recrutement d’éducateurs en nombre suffisant</v>
      </c>
      <c r="AD76" s="21" t="str">
        <f t="shared" si="13"/>
        <v>11415-Suivi de l'allocation des éducateurs aux établissements (pris en compte dans gouvernance)</v>
      </c>
    </row>
    <row r="77" spans="1:30" s="22" customFormat="1" ht="45" customHeight="1" x14ac:dyDescent="0.8">
      <c r="A77" s="14">
        <v>1</v>
      </c>
      <c r="B77" s="15">
        <v>11</v>
      </c>
      <c r="C77" s="15">
        <v>114</v>
      </c>
      <c r="D77" s="15">
        <v>1142</v>
      </c>
      <c r="E77" s="14">
        <v>1142</v>
      </c>
      <c r="F77" s="16" t="s">
        <v>152</v>
      </c>
      <c r="G77" s="17"/>
      <c r="H77" s="17"/>
      <c r="I77" s="56"/>
      <c r="J77" s="56"/>
      <c r="K77" s="56"/>
      <c r="L77" s="56"/>
      <c r="M77" s="56"/>
      <c r="N77" s="56"/>
      <c r="O77" s="56"/>
      <c r="P77" s="56"/>
      <c r="Q77" s="56"/>
      <c r="R77" s="56"/>
      <c r="S77" s="56"/>
      <c r="T77" s="18"/>
      <c r="U77" s="18"/>
      <c r="V77" s="19"/>
      <c r="W77" s="18"/>
      <c r="X77" s="18"/>
      <c r="Y77" s="19" t="s">
        <v>32</v>
      </c>
      <c r="Z77" s="19" t="str">
        <f>A77 &amp; "-" &amp; VLOOKUP(A77,[4]PROGRAMMES!$E$1:$F$7,2,FALSE)</f>
        <v>1-Accès et équité à l'enseignement général</v>
      </c>
      <c r="AA77" s="19" t="str">
        <f>B77 &amp; "-" &amp; VLOOKUP(B77,[4]SOUSPROGRAMMES!$E$1:$F$44,2,FALSE)</f>
        <v>11- Accès équitable au préscolaire</v>
      </c>
      <c r="AB77" s="19" t="str">
        <f>C77 &amp; "-" &amp; VLOOKUP(C77,[4]RESULTATS!$E$1:$F$176,2,FALSE)</f>
        <v xml:space="preserve">114- Les CEC et les établissements préscolaires publics sont dotées en éducateurs en nombre suffisant </v>
      </c>
      <c r="AC77" s="20" t="str">
        <f>D77 &amp; "-" &amp; VLOOKUP(D77,[4]STRATEGIES!$E$1:$F$504,2,FALSE)</f>
        <v>1142-Prise en charge progressive de la rémunération des éducateurs communautaires par l’Etat</v>
      </c>
      <c r="AD77" s="21" t="str">
        <f t="shared" si="13"/>
        <v>1142-Prise en charge progressive de la rémunération des éducateurs communautaires par l’Etat</v>
      </c>
    </row>
    <row r="78" spans="1:30" s="22" customFormat="1" ht="45" hidden="1" customHeight="1" x14ac:dyDescent="0.8">
      <c r="A78" s="14">
        <v>1</v>
      </c>
      <c r="B78" s="15">
        <v>11</v>
      </c>
      <c r="C78" s="15">
        <v>114</v>
      </c>
      <c r="D78" s="15">
        <v>1142</v>
      </c>
      <c r="E78" s="14">
        <v>11421</v>
      </c>
      <c r="F78" s="16" t="s">
        <v>153</v>
      </c>
      <c r="G78" s="21" t="s">
        <v>58</v>
      </c>
      <c r="H78" s="17" t="s">
        <v>59</v>
      </c>
      <c r="I78" s="56"/>
      <c r="J78" s="56">
        <f>4*5*8</f>
        <v>160</v>
      </c>
      <c r="K78" s="56"/>
      <c r="L78" s="56"/>
      <c r="M78" s="56">
        <f t="shared" ref="M78:M115" si="15">SUM(I78:L78)</f>
        <v>160</v>
      </c>
      <c r="N78" s="56">
        <f>IF(OR(H78="",H78="sif",H78="PM"),0,VLOOKUP(H78,[5]CU!$C$4:$H$255,6,FALSE))</f>
        <v>0.8177777777777776</v>
      </c>
      <c r="O78" s="56">
        <f t="shared" ref="O78:R79" si="16">$N78*I78</f>
        <v>0</v>
      </c>
      <c r="P78" s="56">
        <f t="shared" si="16"/>
        <v>130.84444444444441</v>
      </c>
      <c r="Q78" s="56">
        <f t="shared" si="16"/>
        <v>0</v>
      </c>
      <c r="R78" s="56">
        <f t="shared" si="16"/>
        <v>0</v>
      </c>
      <c r="S78" s="56">
        <f>SUM(O78:R78)</f>
        <v>130.84444444444441</v>
      </c>
      <c r="T78" s="23" t="s">
        <v>56</v>
      </c>
      <c r="U78" s="18" t="s">
        <v>40</v>
      </c>
      <c r="V78" s="19" t="str">
        <f>IF(OR($H78="",$H78="sif",$H78="PM"),"",VLOOKUP($H78,[5]CU!$C$5:$J$255,8,FALSE))</f>
        <v>3. Dépenses de fonctionnement</v>
      </c>
      <c r="W78" s="18" t="s">
        <v>142</v>
      </c>
      <c r="X78" s="18" t="s">
        <v>144</v>
      </c>
      <c r="Y78" s="19" t="s">
        <v>32</v>
      </c>
      <c r="Z78" s="19" t="str">
        <f>A78 &amp; "-" &amp; VLOOKUP(A78,[4]PROGRAMMES!$E$1:$F$7,2,FALSE)</f>
        <v>1-Accès et équité à l'enseignement général</v>
      </c>
      <c r="AA78" s="19" t="str">
        <f>B78 &amp; "-" &amp; VLOOKUP(B78,[4]SOUSPROGRAMMES!$E$1:$F$44,2,FALSE)</f>
        <v>11- Accès équitable au préscolaire</v>
      </c>
      <c r="AB78" s="19" t="str">
        <f>C78 &amp; "-" &amp; VLOOKUP(C78,[4]RESULTATS!$E$1:$F$176,2,FALSE)</f>
        <v xml:space="preserve">114- Les CEC et les établissements préscolaires publics sont dotées en éducateurs en nombre suffisant </v>
      </c>
      <c r="AC78" s="20" t="str">
        <f>D78 &amp; "-" &amp; VLOOKUP(D78,[4]STRATEGIES!$E$1:$F$504,2,FALSE)</f>
        <v>1142-Prise en charge progressive de la rémunération des éducateurs communautaires par l’Etat</v>
      </c>
      <c r="AD78" s="21" t="str">
        <f t="shared" si="13"/>
        <v>11421-Identification et évaluation des éducateurs communautaires en service</v>
      </c>
    </row>
    <row r="79" spans="1:30" s="22" customFormat="1" ht="45" hidden="1" customHeight="1" x14ac:dyDescent="0.8">
      <c r="A79" s="14">
        <v>1</v>
      </c>
      <c r="B79" s="15">
        <v>11</v>
      </c>
      <c r="C79" s="15">
        <v>114</v>
      </c>
      <c r="D79" s="15">
        <v>1142</v>
      </c>
      <c r="E79" s="14">
        <v>11422</v>
      </c>
      <c r="F79" s="16" t="s">
        <v>154</v>
      </c>
      <c r="G79" s="21" t="s">
        <v>155</v>
      </c>
      <c r="H79" s="17" t="s">
        <v>156</v>
      </c>
      <c r="I79" s="56"/>
      <c r="J79" s="56">
        <v>145</v>
      </c>
      <c r="K79" s="56">
        <v>211</v>
      </c>
      <c r="L79" s="56">
        <v>293</v>
      </c>
      <c r="M79" s="56">
        <f t="shared" si="15"/>
        <v>649</v>
      </c>
      <c r="N79" s="56">
        <f>IF(OR(H79="",H79="sif",H79="PM"),0,VLOOKUP(H79,[5]CU!$C$4:$H$255,6,FALSE))</f>
        <v>13.489725745381435</v>
      </c>
      <c r="O79" s="56">
        <f t="shared" si="16"/>
        <v>0</v>
      </c>
      <c r="P79" s="56">
        <f t="shared" si="16"/>
        <v>1956.0102330803081</v>
      </c>
      <c r="Q79" s="56">
        <f t="shared" si="16"/>
        <v>2846.3321322754828</v>
      </c>
      <c r="R79" s="56">
        <f t="shared" si="16"/>
        <v>3952.4896433967606</v>
      </c>
      <c r="S79" s="56">
        <f>SUM(O79:R79)</f>
        <v>8754.8320087525517</v>
      </c>
      <c r="T79" s="23" t="s">
        <v>56</v>
      </c>
      <c r="U79" s="18" t="s">
        <v>40</v>
      </c>
      <c r="V79" s="19" t="str">
        <f>IF(OR($H79="",$H79="sif",$H79="PM"),"",VLOOKUP($H79,[5]CU!$C$5:$J$255,8,FALSE))</f>
        <v>2. Personnel</v>
      </c>
      <c r="W79" s="18" t="s">
        <v>142</v>
      </c>
      <c r="X79" s="18" t="s">
        <v>142</v>
      </c>
      <c r="Y79" s="19" t="s">
        <v>32</v>
      </c>
      <c r="Z79" s="19" t="str">
        <f>A79 &amp; "-" &amp; VLOOKUP(A79,[4]PROGRAMMES!$E$1:$F$7,2,FALSE)</f>
        <v>1-Accès et équité à l'enseignement général</v>
      </c>
      <c r="AA79" s="19" t="str">
        <f>B79 &amp; "-" &amp; VLOOKUP(B79,[4]SOUSPROGRAMMES!$E$1:$F$44,2,FALSE)</f>
        <v>11- Accès équitable au préscolaire</v>
      </c>
      <c r="AB79" s="19" t="str">
        <f>C79 &amp; "-" &amp; VLOOKUP(C79,[4]RESULTATS!$E$1:$F$176,2,FALSE)</f>
        <v xml:space="preserve">114- Les CEC et les établissements préscolaires publics sont dotées en éducateurs en nombre suffisant </v>
      </c>
      <c r="AC79" s="20" t="str">
        <f>D79 &amp; "-" &amp; VLOOKUP(D79,[4]STRATEGIES!$E$1:$F$504,2,FALSE)</f>
        <v>1142-Prise en charge progressive de la rémunération des éducateurs communautaires par l’Etat</v>
      </c>
      <c r="AD79" s="21" t="str">
        <f t="shared" si="13"/>
        <v>11422-Prise en charge des élèves-éducateurs certifiés après leur reprise de service</v>
      </c>
    </row>
    <row r="80" spans="1:30" s="22" customFormat="1" ht="45" customHeight="1" x14ac:dyDescent="0.8">
      <c r="A80" s="14">
        <v>1</v>
      </c>
      <c r="B80" s="15">
        <v>11</v>
      </c>
      <c r="C80" s="15">
        <v>114</v>
      </c>
      <c r="D80" s="15">
        <v>1143</v>
      </c>
      <c r="E80" s="14">
        <v>1143</v>
      </c>
      <c r="F80" s="16" t="s">
        <v>157</v>
      </c>
      <c r="G80" s="17"/>
      <c r="H80" s="17"/>
      <c r="I80" s="56"/>
      <c r="J80" s="56"/>
      <c r="K80" s="56"/>
      <c r="L80" s="56"/>
      <c r="M80" s="56"/>
      <c r="N80" s="56"/>
      <c r="O80" s="56"/>
      <c r="P80" s="56"/>
      <c r="Q80" s="56"/>
      <c r="R80" s="56"/>
      <c r="S80" s="56"/>
      <c r="T80" s="18"/>
      <c r="U80" s="18"/>
      <c r="V80" s="19"/>
      <c r="W80" s="18"/>
      <c r="X80" s="18"/>
      <c r="Y80" s="19" t="s">
        <v>32</v>
      </c>
      <c r="Z80" s="19" t="str">
        <f>A80 &amp; "-" &amp; VLOOKUP(A80,[4]PROGRAMMES!$E$1:$F$7,2,FALSE)</f>
        <v>1-Accès et équité à l'enseignement général</v>
      </c>
      <c r="AA80" s="19" t="str">
        <f>B80 &amp; "-" &amp; VLOOKUP(B80,[4]SOUSPROGRAMMES!$E$1:$F$44,2,FALSE)</f>
        <v>11- Accès équitable au préscolaire</v>
      </c>
      <c r="AB80" s="19" t="str">
        <f>C80 &amp; "-" &amp; VLOOKUP(C80,[4]RESULTATS!$E$1:$F$176,2,FALSE)</f>
        <v xml:space="preserve">114- Les CEC et les établissements préscolaires publics sont dotées en éducateurs en nombre suffisant </v>
      </c>
      <c r="AC80" s="20" t="str">
        <f>D80 &amp; "-" &amp; VLOOKUP(D80,[4]STRATEGIES!$E$1:$F$504,2,FALSE)</f>
        <v>1143-Prise en charge des aides-éducateurs par l’Etat à travers de subventions aux comités de gestion</v>
      </c>
      <c r="AD80" s="21" t="str">
        <f t="shared" si="13"/>
        <v>1143-Prise en charge des aides-éducateurs par l’Etat à travers de subventions aux comités de gestion</v>
      </c>
    </row>
    <row r="81" spans="1:30" s="22" customFormat="1" ht="45" hidden="1" customHeight="1" x14ac:dyDescent="0.8">
      <c r="A81" s="14">
        <v>1</v>
      </c>
      <c r="B81" s="15">
        <v>11</v>
      </c>
      <c r="C81" s="15">
        <v>114</v>
      </c>
      <c r="D81" s="15">
        <v>1143</v>
      </c>
      <c r="E81" s="14">
        <v>11431</v>
      </c>
      <c r="F81" s="16" t="s">
        <v>158</v>
      </c>
      <c r="G81" s="21" t="s">
        <v>159</v>
      </c>
      <c r="H81" s="17" t="s">
        <v>55</v>
      </c>
      <c r="I81" s="56"/>
      <c r="J81" s="56">
        <v>1</v>
      </c>
      <c r="K81" s="56"/>
      <c r="L81" s="56"/>
      <c r="M81" s="56">
        <f t="shared" si="15"/>
        <v>1</v>
      </c>
      <c r="N81" s="56">
        <f>IF(OR(H81="",H81="sif",H81="PM"),0,VLOOKUP(H81,[5]CU!$C$4:$H$255,6,FALSE))</f>
        <v>0</v>
      </c>
      <c r="O81" s="56"/>
      <c r="P81" s="56"/>
      <c r="Q81" s="56"/>
      <c r="R81" s="56"/>
      <c r="S81" s="56"/>
      <c r="T81" s="23" t="s">
        <v>56</v>
      </c>
      <c r="U81" s="18" t="s">
        <v>40</v>
      </c>
      <c r="V81" s="19" t="str">
        <f>IF(OR($H81="",$H81="sif",$H81="PM"),"",VLOOKUP($H81,[5]CU!$C$5:$J$255,8,FALSE))</f>
        <v/>
      </c>
      <c r="W81" s="18" t="s">
        <v>41</v>
      </c>
      <c r="X81" s="18" t="s">
        <v>160</v>
      </c>
      <c r="Y81" s="19" t="s">
        <v>32</v>
      </c>
      <c r="Z81" s="19" t="str">
        <f>A81 &amp; "-" &amp; VLOOKUP(A81,[4]PROGRAMMES!$E$1:$F$7,2,FALSE)</f>
        <v>1-Accès et équité à l'enseignement général</v>
      </c>
      <c r="AA81" s="19" t="str">
        <f>B81 &amp; "-" &amp; VLOOKUP(B81,[4]SOUSPROGRAMMES!$E$1:$F$44,2,FALSE)</f>
        <v>11- Accès équitable au préscolaire</v>
      </c>
      <c r="AB81" s="19" t="str">
        <f>C81 &amp; "-" &amp; VLOOKUP(C81,[4]RESULTATS!$E$1:$F$176,2,FALSE)</f>
        <v xml:space="preserve">114- Les CEC et les établissements préscolaires publics sont dotées en éducateurs en nombre suffisant </v>
      </c>
      <c r="AC81" s="20" t="str">
        <f>D81 &amp; "-" &amp; VLOOKUP(D81,[4]STRATEGIES!$E$1:$F$504,2,FALSE)</f>
        <v>1143-Prise en charge des aides-éducateurs par l’Etat à travers de subventions aux comités de gestion</v>
      </c>
      <c r="AD81" s="21" t="str">
        <f t="shared" si="13"/>
        <v>11431-Identification et évaluation des aides-éducateurs communautaires en service ( Voir activité 11421)</v>
      </c>
    </row>
    <row r="82" spans="1:30" s="22" customFormat="1" ht="45" hidden="1" customHeight="1" x14ac:dyDescent="0.8">
      <c r="A82" s="14">
        <v>1</v>
      </c>
      <c r="B82" s="15">
        <v>11</v>
      </c>
      <c r="C82" s="15">
        <v>114</v>
      </c>
      <c r="D82" s="15">
        <v>1143</v>
      </c>
      <c r="E82" s="14">
        <v>11432</v>
      </c>
      <c r="F82" s="16" t="s">
        <v>161</v>
      </c>
      <c r="G82" s="21" t="s">
        <v>37</v>
      </c>
      <c r="H82" s="17" t="s">
        <v>66</v>
      </c>
      <c r="I82" s="56"/>
      <c r="J82" s="56">
        <f>30*3</f>
        <v>90</v>
      </c>
      <c r="K82" s="56"/>
      <c r="L82" s="56"/>
      <c r="M82" s="56">
        <f t="shared" si="15"/>
        <v>90</v>
      </c>
      <c r="N82" s="56">
        <f>IF(OR(H82="",H82="sif",H82="PM"),0,VLOOKUP(H82,[5]CU!$C$4:$H$255,6,FALSE))</f>
        <v>0.255</v>
      </c>
      <c r="O82" s="56">
        <f>$N82*I82</f>
        <v>0</v>
      </c>
      <c r="P82" s="56">
        <f>$N82*J82</f>
        <v>22.95</v>
      </c>
      <c r="Q82" s="56">
        <f>$N82*K82</f>
        <v>0</v>
      </c>
      <c r="R82" s="56">
        <f>$N82*L82</f>
        <v>0</v>
      </c>
      <c r="S82" s="56">
        <f>SUM(O82:R82)</f>
        <v>22.95</v>
      </c>
      <c r="T82" s="23" t="s">
        <v>56</v>
      </c>
      <c r="U82" s="18" t="s">
        <v>40</v>
      </c>
      <c r="V82" s="19" t="str">
        <f>IF(OR($H82="",$H82="sif",$H82="PM"),"",VLOOKUP($H82,[5]CU!$C$5:$J$255,8,FALSE))</f>
        <v>3. Dépenses de fonctionnement</v>
      </c>
      <c r="W82" s="18" t="s">
        <v>41</v>
      </c>
      <c r="X82" s="18" t="s">
        <v>160</v>
      </c>
      <c r="Y82" s="19" t="s">
        <v>32</v>
      </c>
      <c r="Z82" s="19" t="str">
        <f>A82 &amp; "-" &amp; VLOOKUP(A82,[4]PROGRAMMES!$E$1:$F$7,2,FALSE)</f>
        <v>1-Accès et équité à l'enseignement général</v>
      </c>
      <c r="AA82" s="19" t="str">
        <f>B82 &amp; "-" &amp; VLOOKUP(B82,[4]SOUSPROGRAMMES!$E$1:$F$44,2,FALSE)</f>
        <v>11- Accès équitable au préscolaire</v>
      </c>
      <c r="AB82" s="19" t="str">
        <f>C82 &amp; "-" &amp; VLOOKUP(C82,[4]RESULTATS!$E$1:$F$176,2,FALSE)</f>
        <v xml:space="preserve">114- Les CEC et les établissements préscolaires publics sont dotées en éducateurs en nombre suffisant </v>
      </c>
      <c r="AC82" s="20" t="str">
        <f>D82 &amp; "-" &amp; VLOOKUP(D82,[4]STRATEGIES!$E$1:$F$504,2,FALSE)</f>
        <v>1143-Prise en charge des aides-éducateurs par l’Etat à travers de subventions aux comités de gestion</v>
      </c>
      <c r="AD82" s="21" t="str">
        <f t="shared" si="13"/>
        <v>11432-Elaboration et adoption d'un protocole d'accord avec les CR pour la prise en charge des aides-éducateurs</v>
      </c>
    </row>
    <row r="83" spans="1:30" s="22" customFormat="1" ht="45" hidden="1" customHeight="1" x14ac:dyDescent="0.8">
      <c r="A83" s="14">
        <v>1</v>
      </c>
      <c r="B83" s="15">
        <v>11</v>
      </c>
      <c r="C83" s="15">
        <v>114</v>
      </c>
      <c r="D83" s="15">
        <v>1143</v>
      </c>
      <c r="E83" s="14">
        <v>11433</v>
      </c>
      <c r="F83" s="16" t="s">
        <v>162</v>
      </c>
      <c r="G83" s="21" t="s">
        <v>92</v>
      </c>
      <c r="H83" s="17" t="s">
        <v>55</v>
      </c>
      <c r="I83" s="56"/>
      <c r="J83" s="56">
        <v>872</v>
      </c>
      <c r="K83" s="56">
        <v>970</v>
      </c>
      <c r="L83" s="56">
        <v>1074</v>
      </c>
      <c r="M83" s="56">
        <f t="shared" si="15"/>
        <v>2916</v>
      </c>
      <c r="N83" s="56">
        <f>IF(OR(H83="",H83="sif",H83="PM"),0,VLOOKUP(H83,[5]CU!$C$4:$H$255,6,FALSE))</f>
        <v>0</v>
      </c>
      <c r="O83" s="56"/>
      <c r="P83" s="56"/>
      <c r="Q83" s="56"/>
      <c r="R83" s="56"/>
      <c r="S83" s="56"/>
      <c r="T83" s="23" t="s">
        <v>56</v>
      </c>
      <c r="U83" s="18" t="s">
        <v>40</v>
      </c>
      <c r="V83" s="19" t="str">
        <f>IF(OR($H83="",$H83="sif",$H83="PM"),"",VLOOKUP($H83,[5]CU!$C$5:$J$255,8,FALSE))</f>
        <v/>
      </c>
      <c r="W83" s="18" t="s">
        <v>41</v>
      </c>
      <c r="X83" s="18" t="s">
        <v>160</v>
      </c>
      <c r="Y83" s="19" t="s">
        <v>32</v>
      </c>
      <c r="Z83" s="19" t="str">
        <f>A83 &amp; "-" &amp; VLOOKUP(A83,[4]PROGRAMMES!$E$1:$F$7,2,FALSE)</f>
        <v>1-Accès et équité à l'enseignement général</v>
      </c>
      <c r="AA83" s="19" t="str">
        <f>B83 &amp; "-" &amp; VLOOKUP(B83,[4]SOUSPROGRAMMES!$E$1:$F$44,2,FALSE)</f>
        <v>11- Accès équitable au préscolaire</v>
      </c>
      <c r="AB83" s="19" t="str">
        <f>C83 &amp; "-" &amp; VLOOKUP(C83,[4]RESULTATS!$E$1:$F$176,2,FALSE)</f>
        <v xml:space="preserve">114- Les CEC et les établissements préscolaires publics sont dotées en éducateurs en nombre suffisant </v>
      </c>
      <c r="AC83" s="20" t="str">
        <f>D83 &amp; "-" &amp; VLOOKUP(D83,[4]STRATEGIES!$E$1:$F$504,2,FALSE)</f>
        <v>1143-Prise en charge des aides-éducateurs par l’Etat à travers de subventions aux comités de gestion</v>
      </c>
      <c r="AD83" s="21" t="str">
        <f t="shared" si="13"/>
        <v>11433-Prise en charge des aides-éducateurs suivant le protocole adopté (pris en charge par les CT)</v>
      </c>
    </row>
    <row r="84" spans="1:30" s="22" customFormat="1" ht="30" customHeight="1" x14ac:dyDescent="0.8">
      <c r="A84" s="14">
        <v>1</v>
      </c>
      <c r="B84" s="15">
        <v>12</v>
      </c>
      <c r="C84" s="15">
        <v>12</v>
      </c>
      <c r="D84" s="15">
        <v>12</v>
      </c>
      <c r="E84" s="14">
        <v>12</v>
      </c>
      <c r="F84" s="16" t="s">
        <v>163</v>
      </c>
      <c r="G84" s="17"/>
      <c r="H84" s="17"/>
      <c r="I84" s="56"/>
      <c r="J84" s="56"/>
      <c r="K84" s="56"/>
      <c r="L84" s="56"/>
      <c r="M84" s="56"/>
      <c r="N84" s="56"/>
      <c r="O84" s="56"/>
      <c r="P84" s="56"/>
      <c r="Q84" s="56"/>
      <c r="R84" s="56"/>
      <c r="S84" s="56"/>
      <c r="T84" s="18"/>
      <c r="U84" s="18"/>
      <c r="V84" s="19"/>
      <c r="W84" s="18"/>
      <c r="X84" s="18"/>
      <c r="Y84" s="19" t="s">
        <v>32</v>
      </c>
      <c r="Z84" s="19" t="str">
        <f>A84 &amp; "-" &amp; VLOOKUP(A84,[4]PROGRAMMES!$E$1:$F$7,2,FALSE)</f>
        <v>1-Accès et équité à l'enseignement général</v>
      </c>
      <c r="AA84" s="19" t="str">
        <f>B84 &amp; "-" &amp; VLOOKUP(B84,[4]SOUSPROGRAMMES!$E$1:$F$44,2,FALSE)</f>
        <v>12- Accès équitable et achèvement du primaire</v>
      </c>
      <c r="AB84" s="19" t="str">
        <f>C84 &amp; "-" &amp; VLOOKUP(C84,[4]RESULTATS!$E$1:$F$176,2,FALSE)</f>
        <v>12- Accès équitable et achèvement du primaire</v>
      </c>
      <c r="AC84" s="20" t="str">
        <f>D84 &amp; "-" &amp; VLOOKUP(D84,[4]STRATEGIES!$E$1:$F$504,2,FALSE)</f>
        <v>12- Accès équitable et achèvement du primaire</v>
      </c>
      <c r="AD84" s="21" t="str">
        <f t="shared" si="13"/>
        <v>12- Accès équitable et achèvement du primaire</v>
      </c>
    </row>
    <row r="85" spans="1:30" s="22" customFormat="1" ht="30" customHeight="1" x14ac:dyDescent="0.8">
      <c r="A85" s="14">
        <v>1</v>
      </c>
      <c r="B85" s="15">
        <v>12</v>
      </c>
      <c r="C85" s="15">
        <v>121</v>
      </c>
      <c r="D85" s="15">
        <v>121</v>
      </c>
      <c r="E85" s="14">
        <v>121</v>
      </c>
      <c r="F85" s="16" t="s">
        <v>164</v>
      </c>
      <c r="G85" s="17"/>
      <c r="H85" s="17"/>
      <c r="I85" s="56"/>
      <c r="J85" s="56"/>
      <c r="K85" s="56"/>
      <c r="L85" s="56"/>
      <c r="M85" s="56"/>
      <c r="N85" s="56"/>
      <c r="O85" s="56"/>
      <c r="P85" s="56"/>
      <c r="Q85" s="56"/>
      <c r="R85" s="56"/>
      <c r="S85" s="56"/>
      <c r="T85" s="18"/>
      <c r="U85" s="18"/>
      <c r="V85" s="19"/>
      <c r="W85" s="18"/>
      <c r="X85" s="18"/>
      <c r="Y85" s="19" t="s">
        <v>32</v>
      </c>
      <c r="Z85" s="19" t="str">
        <f>A85 &amp; "-" &amp; VLOOKUP(A85,[4]PROGRAMMES!$E$1:$F$7,2,FALSE)</f>
        <v>1-Accès et équité à l'enseignement général</v>
      </c>
      <c r="AA85" s="19" t="str">
        <f>B85 &amp; "-" &amp; VLOOKUP(B85,[4]SOUSPROGRAMMES!$E$1:$F$44,2,FALSE)</f>
        <v>12- Accès équitable et achèvement du primaire</v>
      </c>
      <c r="AB85" s="19" t="str">
        <f>C85 &amp; "-" &amp; VLOOKUP(C85,[4]RESULTATS!$E$1:$F$176,2,FALSE)</f>
        <v xml:space="preserve">121- Tous les enfants de 6 ans sont inscrits au primaire </v>
      </c>
      <c r="AC85" s="20" t="str">
        <f>D85 &amp; "-" &amp; VLOOKUP(D85,[4]STRATEGIES!$E$1:$F$504,2,FALSE)</f>
        <v xml:space="preserve">121- Tous les enfants de 6 ans sont inscrits au primaire </v>
      </c>
      <c r="AD85" s="21" t="str">
        <f t="shared" si="13"/>
        <v xml:space="preserve">121- Tous les enfants de 6 ans sont inscrits au primaire </v>
      </c>
    </row>
    <row r="86" spans="1:30" s="22" customFormat="1" ht="30" customHeight="1" x14ac:dyDescent="0.8">
      <c r="A86" s="14">
        <v>1</v>
      </c>
      <c r="B86" s="15">
        <v>12</v>
      </c>
      <c r="C86" s="15">
        <v>121</v>
      </c>
      <c r="D86" s="15">
        <v>1211</v>
      </c>
      <c r="E86" s="14">
        <v>1211</v>
      </c>
      <c r="F86" s="16" t="s">
        <v>165</v>
      </c>
      <c r="G86" s="17"/>
      <c r="H86" s="17"/>
      <c r="I86" s="56"/>
      <c r="J86" s="56"/>
      <c r="K86" s="56"/>
      <c r="L86" s="56"/>
      <c r="M86" s="56"/>
      <c r="N86" s="56"/>
      <c r="O86" s="56"/>
      <c r="P86" s="56"/>
      <c r="Q86" s="56"/>
      <c r="R86" s="56"/>
      <c r="S86" s="56"/>
      <c r="T86" s="18"/>
      <c r="U86" s="18"/>
      <c r="V86" s="19"/>
      <c r="W86" s="18"/>
      <c r="X86" s="18"/>
      <c r="Y86" s="19" t="s">
        <v>32</v>
      </c>
      <c r="Z86" s="19" t="str">
        <f>A86 &amp; "-" &amp; VLOOKUP(A86,[4]PROGRAMMES!$E$1:$F$7,2,FALSE)</f>
        <v>1-Accès et équité à l'enseignement général</v>
      </c>
      <c r="AA86" s="19" t="str">
        <f>B86 &amp; "-" &amp; VLOOKUP(B86,[4]SOUSPROGRAMMES!$E$1:$F$44,2,FALSE)</f>
        <v>12- Accès équitable et achèvement du primaire</v>
      </c>
      <c r="AB86" s="19" t="str">
        <f>C86 &amp; "-" &amp; VLOOKUP(C86,[4]RESULTATS!$E$1:$F$176,2,FALSE)</f>
        <v xml:space="preserve">121- Tous les enfants de 6 ans sont inscrits au primaire </v>
      </c>
      <c r="AC86" s="20" t="str">
        <f>D86 &amp; "-" &amp; VLOOKUP(D86,[4]STRATEGIES!$E$1:$F$504,2,FALSE)</f>
        <v>1211-Identification des causes de la faiblesse de la scolarisation</v>
      </c>
      <c r="AD86" s="21" t="str">
        <f t="shared" si="13"/>
        <v>1211-Identification des causes de la faiblesse de la scolarisation</v>
      </c>
    </row>
    <row r="87" spans="1:30" ht="30" hidden="1" customHeight="1" x14ac:dyDescent="0.8">
      <c r="A87" s="25">
        <v>1</v>
      </c>
      <c r="B87" s="16">
        <v>12</v>
      </c>
      <c r="C87" s="16">
        <v>121</v>
      </c>
      <c r="D87" s="16">
        <v>1211</v>
      </c>
      <c r="E87" s="25">
        <v>12111</v>
      </c>
      <c r="F87" s="16" t="s">
        <v>166</v>
      </c>
      <c r="G87" s="21" t="s">
        <v>167</v>
      </c>
      <c r="H87" s="21" t="s">
        <v>168</v>
      </c>
      <c r="I87" s="56">
        <v>0</v>
      </c>
      <c r="J87" s="57"/>
      <c r="K87" s="57">
        <v>1</v>
      </c>
      <c r="L87" s="57"/>
      <c r="M87" s="57">
        <f t="shared" si="15"/>
        <v>1</v>
      </c>
      <c r="N87" s="57">
        <f>IF(OR(H87="",H87="sif",H87="PM"),0,VLOOKUP(H87,[5]CU!$C$4:$H$255,6,FALSE))</f>
        <v>262.5</v>
      </c>
      <c r="O87" s="57">
        <f t="shared" ref="O87:R95" si="17">$N87*I87</f>
        <v>0</v>
      </c>
      <c r="P87" s="57">
        <f t="shared" si="17"/>
        <v>0</v>
      </c>
      <c r="Q87" s="57">
        <f>$N87*K87</f>
        <v>262.5</v>
      </c>
      <c r="R87" s="57">
        <f t="shared" si="17"/>
        <v>0</v>
      </c>
      <c r="S87" s="57">
        <f t="shared" ref="S87:S94" si="18">SUM(O87:R87)</f>
        <v>262.5</v>
      </c>
      <c r="T87" s="26" t="s">
        <v>169</v>
      </c>
      <c r="U87" s="19" t="s">
        <v>170</v>
      </c>
      <c r="V87" s="19" t="str">
        <f>IF(OR($H87="",$H87="sif",$H87="PM"),"",VLOOKUP($H87,[5]CU!$C$5:$J$255,8,FALSE))</f>
        <v>3. Dépenses de fonctionnement</v>
      </c>
      <c r="W87" s="19" t="s">
        <v>96</v>
      </c>
      <c r="X87" s="19" t="s">
        <v>96</v>
      </c>
      <c r="Y87" s="19" t="s">
        <v>32</v>
      </c>
      <c r="Z87" s="19" t="str">
        <f>A87 &amp; "-" &amp; VLOOKUP(A87,[4]PROGRAMMES!$E$1:$F$7,2,FALSE)</f>
        <v>1-Accès et équité à l'enseignement général</v>
      </c>
      <c r="AA87" s="19" t="str">
        <f>B87 &amp; "-" &amp; VLOOKUP(B87,[4]SOUSPROGRAMMES!$E$1:$F$44,2,FALSE)</f>
        <v>12- Accès équitable et achèvement du primaire</v>
      </c>
      <c r="AB87" s="19" t="str">
        <f>C87 &amp; "-" &amp; VLOOKUP(C87,[4]RESULTATS!$E$1:$F$176,2,FALSE)</f>
        <v xml:space="preserve">121- Tous les enfants de 6 ans sont inscrits au primaire </v>
      </c>
      <c r="AC87" s="20" t="str">
        <f>D87 &amp; "-" &amp; VLOOKUP(D87,[4]STRATEGIES!$E$1:$F$504,2,FALSE)</f>
        <v>1211-Identification des causes de la faiblesse de la scolarisation</v>
      </c>
      <c r="AD87" s="21" t="str">
        <f t="shared" si="13"/>
        <v>12111-Etude sur les causes de la faible scolarisation</v>
      </c>
    </row>
    <row r="88" spans="1:30" ht="45" customHeight="1" x14ac:dyDescent="0.8">
      <c r="A88" s="25">
        <v>1</v>
      </c>
      <c r="B88" s="16">
        <v>12</v>
      </c>
      <c r="C88" s="16">
        <v>121</v>
      </c>
      <c r="D88" s="16">
        <v>1212</v>
      </c>
      <c r="E88" s="25">
        <v>1212</v>
      </c>
      <c r="F88" s="16" t="s">
        <v>171</v>
      </c>
      <c r="G88" s="21"/>
      <c r="H88" s="21"/>
      <c r="I88" s="56"/>
      <c r="J88" s="57"/>
      <c r="K88" s="57"/>
      <c r="L88" s="57"/>
      <c r="M88" s="57"/>
      <c r="N88" s="57"/>
      <c r="O88" s="57"/>
      <c r="P88" s="57"/>
      <c r="Q88" s="57"/>
      <c r="R88" s="57"/>
      <c r="S88" s="57"/>
      <c r="T88" s="19"/>
      <c r="U88" s="19"/>
      <c r="V88" s="19"/>
      <c r="W88" s="19"/>
      <c r="X88" s="19"/>
      <c r="Y88" s="19" t="s">
        <v>32</v>
      </c>
      <c r="Z88" s="19" t="str">
        <f>A88 &amp; "-" &amp; VLOOKUP(A88,[4]PROGRAMMES!$E$1:$F$7,2,FALSE)</f>
        <v>1-Accès et équité à l'enseignement général</v>
      </c>
      <c r="AA88" s="19" t="str">
        <f>B88 &amp; "-" &amp; VLOOKUP(B88,[4]SOUSPROGRAMMES!$E$1:$F$44,2,FALSE)</f>
        <v>12- Accès équitable et achèvement du primaire</v>
      </c>
      <c r="AB88" s="19" t="str">
        <f>C88 &amp; "-" &amp; VLOOKUP(C88,[4]RESULTATS!$E$1:$F$176,2,FALSE)</f>
        <v xml:space="preserve">121- Tous les enfants de 6 ans sont inscrits au primaire </v>
      </c>
      <c r="AC88" s="20" t="str">
        <f>D88 &amp; "-" &amp; VLOOKUP(D88,[4]STRATEGIES!$E$1:$F$504,2,FALSE)</f>
        <v>1212-Information/sensibilisation des parents pour la scolarisation des enfants en particulier les filles dans les zones à faible taux de scolarisation</v>
      </c>
      <c r="AD88" s="21" t="str">
        <f t="shared" si="13"/>
        <v>1212-Information/sensibilisation des parents pour la scolarisation des enfants en particulier les filles dans les zones à faible taux de scolarisation</v>
      </c>
    </row>
    <row r="89" spans="1:30" ht="30" hidden="1" customHeight="1" x14ac:dyDescent="0.8">
      <c r="A89" s="25">
        <v>1</v>
      </c>
      <c r="B89" s="16">
        <v>12</v>
      </c>
      <c r="C89" s="16">
        <v>121</v>
      </c>
      <c r="D89" s="16">
        <v>1212</v>
      </c>
      <c r="E89" s="25">
        <v>12121</v>
      </c>
      <c r="F89" s="16" t="s">
        <v>172</v>
      </c>
      <c r="G89" s="21" t="s">
        <v>37</v>
      </c>
      <c r="H89" s="21" t="s">
        <v>38</v>
      </c>
      <c r="I89" s="56">
        <v>0</v>
      </c>
      <c r="J89" s="57"/>
      <c r="K89" s="57"/>
      <c r="L89" s="57"/>
      <c r="M89" s="57">
        <f t="shared" si="15"/>
        <v>0</v>
      </c>
      <c r="N89" s="57">
        <f>IF(OR(H89="",H89="sif",H89="PM"),0,VLOOKUP(H89,[5]CU!$C$4:$H$255,6,FALSE))</f>
        <v>0.3133333333333333</v>
      </c>
      <c r="O89" s="57">
        <f t="shared" si="17"/>
        <v>0</v>
      </c>
      <c r="P89" s="57">
        <f t="shared" si="17"/>
        <v>0</v>
      </c>
      <c r="Q89" s="57">
        <f t="shared" si="17"/>
        <v>0</v>
      </c>
      <c r="R89" s="57">
        <f t="shared" si="17"/>
        <v>0</v>
      </c>
      <c r="S89" s="57">
        <f t="shared" si="18"/>
        <v>0</v>
      </c>
      <c r="T89" s="26" t="s">
        <v>169</v>
      </c>
      <c r="U89" s="19" t="s">
        <v>170</v>
      </c>
      <c r="V89" s="19" t="str">
        <f>IF(OR($H89="",$H89="sif",$H89="PM"),"",VLOOKUP($H89,[5]CU!$C$5:$J$255,8,FALSE))</f>
        <v>3. Formation</v>
      </c>
      <c r="W89" s="19" t="s">
        <v>173</v>
      </c>
      <c r="X89" s="19" t="s">
        <v>173</v>
      </c>
      <c r="Y89" s="19" t="s">
        <v>32</v>
      </c>
      <c r="Z89" s="19" t="str">
        <f>A89 &amp; "-" &amp; VLOOKUP(A89,[4]PROGRAMMES!$E$1:$F$7,2,FALSE)</f>
        <v>1-Accès et équité à l'enseignement général</v>
      </c>
      <c r="AA89" s="19" t="str">
        <f>B89 &amp; "-" &amp; VLOOKUP(B89,[4]SOUSPROGRAMMES!$E$1:$F$44,2,FALSE)</f>
        <v>12- Accès équitable et achèvement du primaire</v>
      </c>
      <c r="AB89" s="19" t="str">
        <f>C89 &amp; "-" &amp; VLOOKUP(C89,[4]RESULTATS!$E$1:$F$176,2,FALSE)</f>
        <v xml:space="preserve">121- Tous les enfants de 6 ans sont inscrits au primaire </v>
      </c>
      <c r="AC89" s="20" t="str">
        <f>D89 &amp; "-" &amp; VLOOKUP(D89,[4]STRATEGIES!$E$1:$F$504,2,FALSE)</f>
        <v>1212-Information/sensibilisation des parents pour la scolarisation des enfants en particulier les filles dans les zones à faible taux de scolarisation</v>
      </c>
      <c r="AD89" s="21" t="str">
        <f t="shared" si="13"/>
        <v>12121-Conception de messages publicitaires</v>
      </c>
    </row>
    <row r="90" spans="1:30" ht="30" hidden="1" customHeight="1" x14ac:dyDescent="0.8">
      <c r="A90" s="25">
        <v>1</v>
      </c>
      <c r="B90" s="16">
        <v>12</v>
      </c>
      <c r="C90" s="16">
        <v>121</v>
      </c>
      <c r="D90" s="16">
        <v>1212</v>
      </c>
      <c r="E90" s="25">
        <v>12122</v>
      </c>
      <c r="F90" s="16" t="s">
        <v>174</v>
      </c>
      <c r="G90" s="21" t="s">
        <v>72</v>
      </c>
      <c r="H90" s="21" t="s">
        <v>73</v>
      </c>
      <c r="I90" s="56">
        <v>0</v>
      </c>
      <c r="J90" s="57">
        <f>(38*2*15)*20%</f>
        <v>228</v>
      </c>
      <c r="K90" s="57">
        <f t="shared" ref="J90:L91" si="19">(38*2*15)*50%</f>
        <v>570</v>
      </c>
      <c r="L90" s="57">
        <f t="shared" si="19"/>
        <v>570</v>
      </c>
      <c r="M90" s="57">
        <f>SUM(I90:L90)</f>
        <v>1368</v>
      </c>
      <c r="N90" s="57">
        <f>IF(OR(H90="",H90="sif",H90="PM"),0,VLOOKUP(H90,[5]CU!$C$4:$H$255,6,FALSE))</f>
        <v>0.4</v>
      </c>
      <c r="O90" s="57">
        <f>$N90*I90</f>
        <v>0</v>
      </c>
      <c r="P90" s="57">
        <f>$N90*J90</f>
        <v>91.2</v>
      </c>
      <c r="Q90" s="57">
        <f t="shared" si="17"/>
        <v>228</v>
      </c>
      <c r="R90" s="57">
        <f>$N90*L90</f>
        <v>228</v>
      </c>
      <c r="S90" s="57">
        <f>SUM(O90:R90)</f>
        <v>547.20000000000005</v>
      </c>
      <c r="T90" s="26" t="s">
        <v>169</v>
      </c>
      <c r="U90" s="19" t="s">
        <v>170</v>
      </c>
      <c r="V90" s="19" t="str">
        <f>IF(OR($H90="",$H90="sif",$H90="PM"),"",VLOOKUP($H90,[5]CU!$C$5:$J$255,8,FALSE))</f>
        <v>3. Dépenses de fonctionnement</v>
      </c>
      <c r="W90" s="19" t="s">
        <v>173</v>
      </c>
      <c r="X90" s="19" t="s">
        <v>173</v>
      </c>
      <c r="Y90" s="19" t="s">
        <v>32</v>
      </c>
      <c r="Z90" s="19" t="str">
        <f>A90 &amp; "-" &amp; VLOOKUP(A90,[4]PROGRAMMES!$E$1:$F$7,2,FALSE)</f>
        <v>1-Accès et équité à l'enseignement général</v>
      </c>
      <c r="AA90" s="19" t="str">
        <f>B90 &amp; "-" &amp; VLOOKUP(B90,[4]SOUSPROGRAMMES!$E$1:$F$44,2,FALSE)</f>
        <v>12- Accès équitable et achèvement du primaire</v>
      </c>
      <c r="AB90" s="19" t="str">
        <f>C90 &amp; "-" &amp; VLOOKUP(C90,[4]RESULTATS!$E$1:$F$176,2,FALSE)</f>
        <v xml:space="preserve">121- Tous les enfants de 6 ans sont inscrits au primaire </v>
      </c>
      <c r="AC90" s="20" t="str">
        <f>D90 &amp; "-" &amp; VLOOKUP(D90,[4]STRATEGIES!$E$1:$F$504,2,FALSE)</f>
        <v>1212-Information/sensibilisation des parents pour la scolarisation des enfants en particulier les filles dans les zones à faible taux de scolarisation</v>
      </c>
      <c r="AD90" s="21" t="str">
        <f t="shared" si="13"/>
        <v>12122-Diffusions des messages dans les médias</v>
      </c>
    </row>
    <row r="91" spans="1:30" s="22" customFormat="1" ht="30" customHeight="1" x14ac:dyDescent="0.8">
      <c r="A91" s="14">
        <v>1</v>
      </c>
      <c r="B91" s="15">
        <v>12</v>
      </c>
      <c r="C91" s="15">
        <v>121</v>
      </c>
      <c r="D91" s="15">
        <v>1212</v>
      </c>
      <c r="E91" s="14">
        <v>12122</v>
      </c>
      <c r="F91" s="16" t="s">
        <v>174</v>
      </c>
      <c r="G91" s="21" t="s">
        <v>72</v>
      </c>
      <c r="H91" s="17" t="s">
        <v>73</v>
      </c>
      <c r="I91" s="56">
        <v>0</v>
      </c>
      <c r="J91" s="56">
        <f t="shared" si="19"/>
        <v>570</v>
      </c>
      <c r="K91" s="56">
        <f t="shared" si="19"/>
        <v>570</v>
      </c>
      <c r="L91" s="56">
        <f t="shared" si="19"/>
        <v>570</v>
      </c>
      <c r="M91" s="56">
        <f t="shared" si="15"/>
        <v>1710</v>
      </c>
      <c r="N91" s="56">
        <f>IF(OR(H91="",H91="sif",H91="PM"),0,VLOOKUP(H91,[5]CU!$C$4:$H$255,6,FALSE))</f>
        <v>0.4</v>
      </c>
      <c r="O91" s="56">
        <f t="shared" si="17"/>
        <v>0</v>
      </c>
      <c r="P91" s="56">
        <f t="shared" si="17"/>
        <v>228</v>
      </c>
      <c r="Q91" s="56">
        <f t="shared" si="17"/>
        <v>228</v>
      </c>
      <c r="R91" s="56">
        <f t="shared" si="17"/>
        <v>228</v>
      </c>
      <c r="S91" s="56">
        <f t="shared" si="18"/>
        <v>684</v>
      </c>
      <c r="T91" s="23" t="s">
        <v>39</v>
      </c>
      <c r="U91" s="19" t="s">
        <v>170</v>
      </c>
      <c r="V91" s="19" t="str">
        <f>IF(OR($H91="",$H91="sif",$H91="PM"),"",VLOOKUP($H91,[5]CU!$C$5:$J$255,8,FALSE))</f>
        <v>3. Dépenses de fonctionnement</v>
      </c>
      <c r="W91" s="19" t="s">
        <v>173</v>
      </c>
      <c r="X91" s="19" t="s">
        <v>173</v>
      </c>
      <c r="Y91" s="19" t="s">
        <v>32</v>
      </c>
      <c r="Z91" s="19" t="str">
        <f>A91 &amp; "-" &amp; VLOOKUP(A91,[4]PROGRAMMES!$E$1:$F$7,2,FALSE)</f>
        <v>1-Accès et équité à l'enseignement général</v>
      </c>
      <c r="AA91" s="19" t="str">
        <f>B91 &amp; "-" &amp; VLOOKUP(B91,[4]SOUSPROGRAMMES!$E$1:$F$44,2,FALSE)</f>
        <v>12- Accès équitable et achèvement du primaire</v>
      </c>
      <c r="AB91" s="19" t="str">
        <f>C91 &amp; "-" &amp; VLOOKUP(C91,[4]RESULTATS!$E$1:$F$176,2,FALSE)</f>
        <v xml:space="preserve">121- Tous les enfants de 6 ans sont inscrits au primaire </v>
      </c>
      <c r="AC91" s="20" t="str">
        <f>D91 &amp; "-" &amp; VLOOKUP(D91,[4]STRATEGIES!$E$1:$F$504,2,FALSE)</f>
        <v>1212-Information/sensibilisation des parents pour la scolarisation des enfants en particulier les filles dans les zones à faible taux de scolarisation</v>
      </c>
      <c r="AD91" s="21" t="str">
        <f t="shared" si="13"/>
        <v>12122-Diffusions des messages dans les médias</v>
      </c>
    </row>
    <row r="92" spans="1:30" s="22" customFormat="1" ht="30" customHeight="1" x14ac:dyDescent="0.8">
      <c r="A92" s="14">
        <v>1</v>
      </c>
      <c r="B92" s="15">
        <v>12</v>
      </c>
      <c r="C92" s="15">
        <v>121</v>
      </c>
      <c r="D92" s="15">
        <v>1212</v>
      </c>
      <c r="E92" s="14">
        <v>12123</v>
      </c>
      <c r="F92" s="16" t="s">
        <v>175</v>
      </c>
      <c r="G92" s="21" t="s">
        <v>58</v>
      </c>
      <c r="H92" s="17" t="s">
        <v>59</v>
      </c>
      <c r="I92" s="56">
        <f>(3*7*10)*97.05%</f>
        <v>203.80499999999998</v>
      </c>
      <c r="J92" s="53">
        <f>(3*7*10)*97.05%</f>
        <v>203.80499999999998</v>
      </c>
      <c r="K92" s="53">
        <f>(3*7*10)*97.05%</f>
        <v>203.80499999999998</v>
      </c>
      <c r="L92" s="53">
        <f>(3*7*10)*97.05%</f>
        <v>203.80499999999998</v>
      </c>
      <c r="M92" s="53">
        <f>SUM(I92:L92)</f>
        <v>815.21999999999991</v>
      </c>
      <c r="N92" s="53">
        <f>IF(OR(H92="",H92="sif",H92="PM"),0,VLOOKUP(H92,[5]CU!$C$4:$H$255,6,FALSE))</f>
        <v>0.8177777777777776</v>
      </c>
      <c r="O92" s="53">
        <f>$N92*I92</f>
        <v>166.66719999999995</v>
      </c>
      <c r="P92" s="53">
        <f>$N92*J92</f>
        <v>166.66719999999995</v>
      </c>
      <c r="Q92" s="53">
        <f>$N92*K92</f>
        <v>166.66719999999995</v>
      </c>
      <c r="R92" s="53">
        <f>$N92*L92</f>
        <v>166.66719999999995</v>
      </c>
      <c r="S92" s="53">
        <f>SUM(O92:R92)</f>
        <v>666.66879999999981</v>
      </c>
      <c r="T92" s="23" t="s">
        <v>67</v>
      </c>
      <c r="U92" s="18" t="s">
        <v>170</v>
      </c>
      <c r="V92" s="19" t="str">
        <f>IF(OR($H92="",$H92="sif",$H92="PM"),"",VLOOKUP($H92,[5]CU!$C$5:$J$255,8,FALSE))</f>
        <v>3. Dépenses de fonctionnement</v>
      </c>
      <c r="W92" s="18" t="s">
        <v>173</v>
      </c>
      <c r="X92" s="18" t="s">
        <v>173</v>
      </c>
      <c r="Y92" s="19" t="s">
        <v>32</v>
      </c>
      <c r="Z92" s="19" t="str">
        <f>A92 &amp; "-" &amp; VLOOKUP(A92,[4]PROGRAMMES!$E$1:$F$7,2,FALSE)</f>
        <v>1-Accès et équité à l'enseignement général</v>
      </c>
      <c r="AA92" s="19" t="str">
        <f>B92 &amp; "-" &amp; VLOOKUP(B92,[4]SOUSPROGRAMMES!$E$1:$F$44,2,FALSE)</f>
        <v>12- Accès équitable et achèvement du primaire</v>
      </c>
      <c r="AB92" s="19" t="str">
        <f>C92 &amp; "-" &amp; VLOOKUP(C92,[4]RESULTATS!$E$1:$F$176,2,FALSE)</f>
        <v xml:space="preserve">121- Tous les enfants de 6 ans sont inscrits au primaire </v>
      </c>
      <c r="AC92" s="20" t="str">
        <f>D92 &amp; "-" &amp; VLOOKUP(D92,[4]STRATEGIES!$E$1:$F$504,2,FALSE)</f>
        <v>1212-Information/sensibilisation des parents pour la scolarisation des enfants en particulier les filles dans les zones à faible taux de scolarisation</v>
      </c>
      <c r="AD92" s="21" t="str">
        <f t="shared" si="13"/>
        <v>12123-Missions de sensibilisation des communautés dans les sous-préfectures les moins scolarisées (genre et entrées précoces)</v>
      </c>
    </row>
    <row r="93" spans="1:30" s="22" customFormat="1" ht="30" customHeight="1" x14ac:dyDescent="0.8">
      <c r="A93" s="14">
        <v>1</v>
      </c>
      <c r="B93" s="15">
        <v>12</v>
      </c>
      <c r="C93" s="15">
        <v>121</v>
      </c>
      <c r="D93" s="15">
        <v>1212</v>
      </c>
      <c r="E93" s="14">
        <v>12123</v>
      </c>
      <c r="F93" s="16" t="s">
        <v>175</v>
      </c>
      <c r="G93" s="21" t="s">
        <v>58</v>
      </c>
      <c r="H93" s="17" t="s">
        <v>59</v>
      </c>
      <c r="I93" s="56">
        <v>0</v>
      </c>
      <c r="J93" s="56">
        <f>(3*7*10)*2.95%</f>
        <v>6.1950000000000003</v>
      </c>
      <c r="K93" s="56">
        <f>(3*7*10)*2.95%</f>
        <v>6.1950000000000003</v>
      </c>
      <c r="L93" s="56">
        <f>(3*7*10)*2.95%</f>
        <v>6.1950000000000003</v>
      </c>
      <c r="M93" s="56">
        <f t="shared" si="15"/>
        <v>18.585000000000001</v>
      </c>
      <c r="N93" s="56">
        <f>IF(OR(H93="",H93="sif",H93="PM"),0,VLOOKUP(H93,[5]CU!$C$4:$H$255,6,FALSE))</f>
        <v>0.8177777777777776</v>
      </c>
      <c r="O93" s="56">
        <f t="shared" si="17"/>
        <v>0</v>
      </c>
      <c r="P93" s="56">
        <f t="shared" si="17"/>
        <v>5.0661333333333323</v>
      </c>
      <c r="Q93" s="56">
        <f t="shared" si="17"/>
        <v>5.0661333333333323</v>
      </c>
      <c r="R93" s="56">
        <f t="shared" si="17"/>
        <v>5.0661333333333323</v>
      </c>
      <c r="S93" s="56">
        <f t="shared" si="18"/>
        <v>15.198399999999996</v>
      </c>
      <c r="T93" s="23" t="s">
        <v>2669</v>
      </c>
      <c r="U93" s="18" t="s">
        <v>170</v>
      </c>
      <c r="V93" s="19" t="str">
        <f>IF(OR($H93="",$H93="sif",$H93="PM"),"",VLOOKUP($H93,[5]CU!$C$5:$J$255,8,FALSE))</f>
        <v>3. Dépenses de fonctionnement</v>
      </c>
      <c r="W93" s="18" t="s">
        <v>173</v>
      </c>
      <c r="X93" s="18" t="s">
        <v>173</v>
      </c>
      <c r="Y93" s="19" t="s">
        <v>32</v>
      </c>
      <c r="Z93" s="19" t="str">
        <f>A93 &amp; "-" &amp; VLOOKUP(A93,[4]PROGRAMMES!$E$1:$F$7,2,FALSE)</f>
        <v>1-Accès et équité à l'enseignement général</v>
      </c>
      <c r="AA93" s="19" t="str">
        <f>B93 &amp; "-" &amp; VLOOKUP(B93,[4]SOUSPROGRAMMES!$E$1:$F$44,2,FALSE)</f>
        <v>12- Accès équitable et achèvement du primaire</v>
      </c>
      <c r="AB93" s="19" t="str">
        <f>C93 &amp; "-" &amp; VLOOKUP(C93,[4]RESULTATS!$E$1:$F$176,2,FALSE)</f>
        <v xml:space="preserve">121- Tous les enfants de 6 ans sont inscrits au primaire </v>
      </c>
      <c r="AC93" s="20" t="str">
        <f>D93 &amp; "-" &amp; VLOOKUP(D93,[4]STRATEGIES!$E$1:$F$504,2,FALSE)</f>
        <v>1212-Information/sensibilisation des parents pour la scolarisation des enfants en particulier les filles dans les zones à faible taux de scolarisation</v>
      </c>
      <c r="AD93" s="21" t="str">
        <f t="shared" si="13"/>
        <v>12123-Missions de sensibilisation des communautés dans les sous-préfectures les moins scolarisées (genre et entrées précoces)</v>
      </c>
    </row>
    <row r="94" spans="1:30" s="22" customFormat="1" ht="30" hidden="1" customHeight="1" x14ac:dyDescent="0.8">
      <c r="A94" s="14">
        <v>1</v>
      </c>
      <c r="B94" s="15">
        <v>12</v>
      </c>
      <c r="C94" s="15">
        <v>121</v>
      </c>
      <c r="D94" s="15">
        <v>1212</v>
      </c>
      <c r="E94" s="14">
        <v>12124</v>
      </c>
      <c r="F94" s="16" t="s">
        <v>176</v>
      </c>
      <c r="G94" s="21" t="s">
        <v>177</v>
      </c>
      <c r="H94" s="17" t="s">
        <v>59</v>
      </c>
      <c r="I94" s="56">
        <v>0</v>
      </c>
      <c r="J94" s="56">
        <v>0</v>
      </c>
      <c r="K94" s="56">
        <v>0</v>
      </c>
      <c r="L94" s="56">
        <v>0</v>
      </c>
      <c r="M94" s="56">
        <f>SUM(I94:L94)</f>
        <v>0</v>
      </c>
      <c r="N94" s="56">
        <f>IF(OR(H94="",H94="sif",H94="PM"),0,VLOOKUP(H94,[5]CU!$C$4:$H$255,6,FALSE))</f>
        <v>0.8177777777777776</v>
      </c>
      <c r="O94" s="56">
        <f>$N94*I94</f>
        <v>0</v>
      </c>
      <c r="P94" s="56"/>
      <c r="Q94" s="56"/>
      <c r="R94" s="56"/>
      <c r="S94" s="56">
        <f t="shared" si="18"/>
        <v>0</v>
      </c>
      <c r="T94" s="23" t="s">
        <v>178</v>
      </c>
      <c r="U94" s="18" t="s">
        <v>170</v>
      </c>
      <c r="V94" s="19" t="str">
        <f>IF(OR($H94="",$H94="sif",$H94="PM"),"",VLOOKUP($H94,[5]CU!$C$5:$J$255,8,FALSE))</f>
        <v>3. Dépenses de fonctionnement</v>
      </c>
      <c r="W94" s="18" t="s">
        <v>173</v>
      </c>
      <c r="X94" s="18" t="s">
        <v>179</v>
      </c>
      <c r="Y94" s="19" t="s">
        <v>32</v>
      </c>
      <c r="Z94" s="19" t="str">
        <f>A94 &amp; "-" &amp; VLOOKUP(A94,[4]PROGRAMMES!$E$1:$F$7,2,FALSE)</f>
        <v>1-Accès et équité à l'enseignement général</v>
      </c>
      <c r="AA94" s="19" t="str">
        <f>B94 &amp; "-" &amp; VLOOKUP(B94,[4]SOUSPROGRAMMES!$E$1:$F$44,2,FALSE)</f>
        <v>12- Accès équitable et achèvement du primaire</v>
      </c>
      <c r="AB94" s="19" t="str">
        <f>C94 &amp; "-" &amp; VLOOKUP(C94,[4]RESULTATS!$E$1:$F$176,2,FALSE)</f>
        <v xml:space="preserve">121- Tous les enfants de 6 ans sont inscrits au primaire </v>
      </c>
      <c r="AC94" s="20" t="str">
        <f>D94 &amp; "-" &amp; VLOOKUP(D94,[4]STRATEGIES!$E$1:$F$504,2,FALSE)</f>
        <v>1212-Information/sensibilisation des parents pour la scolarisation des enfants en particulier les filles dans les zones à faible taux de scolarisation</v>
      </c>
      <c r="AD94" s="21" t="str">
        <f t="shared" si="13"/>
        <v>12124-Sensibilisation des enseignants et encadreurs sur la question de genre et les entrées précoces à l'école</v>
      </c>
    </row>
    <row r="95" spans="1:30" s="22" customFormat="1" ht="30" hidden="1" customHeight="1" x14ac:dyDescent="0.8">
      <c r="A95" s="14">
        <v>1</v>
      </c>
      <c r="B95" s="15">
        <v>12</v>
      </c>
      <c r="C95" s="15">
        <v>121</v>
      </c>
      <c r="D95" s="15">
        <v>1212</v>
      </c>
      <c r="E95" s="14">
        <v>12124</v>
      </c>
      <c r="F95" s="16" t="s">
        <v>176</v>
      </c>
      <c r="G95" s="21" t="s">
        <v>177</v>
      </c>
      <c r="H95" s="17" t="s">
        <v>59</v>
      </c>
      <c r="I95" s="56">
        <v>0</v>
      </c>
      <c r="J95" s="56">
        <f>4*5*8</f>
        <v>160</v>
      </c>
      <c r="K95" s="56">
        <f>4*5*8</f>
        <v>160</v>
      </c>
      <c r="L95" s="56">
        <f>4*5*8</f>
        <v>160</v>
      </c>
      <c r="M95" s="56">
        <f t="shared" si="15"/>
        <v>480</v>
      </c>
      <c r="N95" s="56">
        <f>IF(OR(H95="",H95="sif",H95="PM"),0,VLOOKUP(H95,[5]CU!$C$4:$H$255,6,FALSE))</f>
        <v>0.8177777777777776</v>
      </c>
      <c r="O95" s="56"/>
      <c r="P95" s="56">
        <f t="shared" si="17"/>
        <v>130.84444444444441</v>
      </c>
      <c r="Q95" s="56">
        <f t="shared" si="17"/>
        <v>130.84444444444441</v>
      </c>
      <c r="R95" s="56">
        <f t="shared" si="17"/>
        <v>130.84444444444441</v>
      </c>
      <c r="S95" s="56">
        <f>SUM(O95:R95)</f>
        <v>392.53333333333319</v>
      </c>
      <c r="T95" s="23" t="s">
        <v>56</v>
      </c>
      <c r="U95" s="18" t="s">
        <v>170</v>
      </c>
      <c r="V95" s="19" t="str">
        <f>IF(OR($H95="",$H95="sif",$H95="PM"),"",VLOOKUP($H95,[5]CU!$C$5:$J$255,8,FALSE))</f>
        <v>3. Dépenses de fonctionnement</v>
      </c>
      <c r="W95" s="18" t="s">
        <v>173</v>
      </c>
      <c r="X95" s="18" t="s">
        <v>179</v>
      </c>
      <c r="Y95" s="19" t="s">
        <v>32</v>
      </c>
      <c r="Z95" s="19" t="str">
        <f>A95 &amp; "-" &amp; VLOOKUP(A95,[4]PROGRAMMES!$E$1:$F$7,2,FALSE)</f>
        <v>1-Accès et équité à l'enseignement général</v>
      </c>
      <c r="AA95" s="19" t="str">
        <f>B95 &amp; "-" &amp; VLOOKUP(B95,[4]SOUSPROGRAMMES!$E$1:$F$44,2,FALSE)</f>
        <v>12- Accès équitable et achèvement du primaire</v>
      </c>
      <c r="AB95" s="19" t="str">
        <f>C95 &amp; "-" &amp; VLOOKUP(C95,[4]RESULTATS!$E$1:$F$176,2,FALSE)</f>
        <v xml:space="preserve">121- Tous les enfants de 6 ans sont inscrits au primaire </v>
      </c>
      <c r="AC95" s="20" t="str">
        <f>D95 &amp; "-" &amp; VLOOKUP(D95,[4]STRATEGIES!$E$1:$F$504,2,FALSE)</f>
        <v>1212-Information/sensibilisation des parents pour la scolarisation des enfants en particulier les filles dans les zones à faible taux de scolarisation</v>
      </c>
      <c r="AD95" s="21" t="str">
        <f t="shared" si="13"/>
        <v>12124-Sensibilisation des enseignants et encadreurs sur la question de genre et les entrées précoces à l'école</v>
      </c>
    </row>
    <row r="96" spans="1:30" s="22" customFormat="1" ht="30" customHeight="1" x14ac:dyDescent="0.8">
      <c r="A96" s="14">
        <v>1</v>
      </c>
      <c r="B96" s="15">
        <v>12</v>
      </c>
      <c r="C96" s="15">
        <v>121</v>
      </c>
      <c r="D96" s="15">
        <v>1213</v>
      </c>
      <c r="E96" s="14">
        <v>1213</v>
      </c>
      <c r="F96" s="16" t="s">
        <v>180</v>
      </c>
      <c r="G96" s="17"/>
      <c r="H96" s="17"/>
      <c r="I96" s="56">
        <v>0</v>
      </c>
      <c r="J96" s="56"/>
      <c r="K96" s="56"/>
      <c r="L96" s="56"/>
      <c r="M96" s="56"/>
      <c r="N96" s="56"/>
      <c r="O96" s="56"/>
      <c r="P96" s="56"/>
      <c r="Q96" s="56"/>
      <c r="R96" s="56"/>
      <c r="S96" s="56"/>
      <c r="T96" s="18"/>
      <c r="U96" s="18"/>
      <c r="V96" s="19"/>
      <c r="W96" s="18"/>
      <c r="X96" s="18"/>
      <c r="Y96" s="19" t="s">
        <v>32</v>
      </c>
      <c r="Z96" s="19" t="str">
        <f>A96 &amp; "-" &amp; VLOOKUP(A96,[4]PROGRAMMES!$E$1:$F$7,2,FALSE)</f>
        <v>1-Accès et équité à l'enseignement général</v>
      </c>
      <c r="AA96" s="19" t="str">
        <f>B96 &amp; "-" &amp; VLOOKUP(B96,[4]SOUSPROGRAMMES!$E$1:$F$44,2,FALSE)</f>
        <v>12- Accès équitable et achèvement du primaire</v>
      </c>
      <c r="AB96" s="19" t="str">
        <f>C96 &amp; "-" &amp; VLOOKUP(C96,[4]RESULTATS!$E$1:$F$176,2,FALSE)</f>
        <v xml:space="preserve">121- Tous les enfants de 6 ans sont inscrits au primaire </v>
      </c>
      <c r="AC96" s="20" t="str">
        <f>D96 &amp; "-" &amp; VLOOKUP(D96,[4]STRATEGIES!$E$1:$F$504,2,FALSE)</f>
        <v>1213-Incitation de la demande de scolarisation par la création des cantines dans les milieux défavorisés y compris les écoles FA</v>
      </c>
      <c r="AD96" s="21" t="str">
        <f t="shared" si="13"/>
        <v>1213-Incitation de la demande de scolarisation par la création des cantines dans les milieux défavorisés y compris les écoles FA</v>
      </c>
    </row>
    <row r="97" spans="1:30" s="22" customFormat="1" ht="30" hidden="1" customHeight="1" x14ac:dyDescent="0.8">
      <c r="A97" s="14">
        <v>1</v>
      </c>
      <c r="B97" s="15">
        <v>12</v>
      </c>
      <c r="C97" s="15">
        <v>121</v>
      </c>
      <c r="D97" s="15">
        <v>1213</v>
      </c>
      <c r="E97" s="14">
        <v>12131</v>
      </c>
      <c r="F97" s="16" t="s">
        <v>181</v>
      </c>
      <c r="G97" s="21" t="s">
        <v>182</v>
      </c>
      <c r="H97" s="17" t="s">
        <v>55</v>
      </c>
      <c r="I97" s="56">
        <v>0</v>
      </c>
      <c r="J97" s="56">
        <v>1</v>
      </c>
      <c r="K97" s="56"/>
      <c r="L97" s="56"/>
      <c r="M97" s="56">
        <f t="shared" si="15"/>
        <v>1</v>
      </c>
      <c r="N97" s="56">
        <f>IF(OR(H97="",H97="sif",H97="PM"),0,VLOOKUP(H97,[5]CU!$C$4:$H$255,6,FALSE))</f>
        <v>0</v>
      </c>
      <c r="O97" s="56"/>
      <c r="P97" s="56"/>
      <c r="Q97" s="56"/>
      <c r="R97" s="56"/>
      <c r="S97" s="56"/>
      <c r="T97" s="23" t="s">
        <v>56</v>
      </c>
      <c r="U97" s="18" t="s">
        <v>170</v>
      </c>
      <c r="V97" s="19" t="str">
        <f>IF(OR($H97="",$H97="sif",$H97="PM"),"",VLOOKUP($H97,[5]CU!$C$5:$J$255,8,FALSE))</f>
        <v/>
      </c>
      <c r="W97" s="18" t="s">
        <v>96</v>
      </c>
      <c r="X97" s="18" t="s">
        <v>96</v>
      </c>
      <c r="Y97" s="19" t="s">
        <v>32</v>
      </c>
      <c r="Z97" s="19" t="str">
        <f>A97 &amp; "-" &amp; VLOOKUP(A97,[4]PROGRAMMES!$E$1:$F$7,2,FALSE)</f>
        <v>1-Accès et équité à l'enseignement général</v>
      </c>
      <c r="AA97" s="19" t="str">
        <f>B97 &amp; "-" &amp; VLOOKUP(B97,[4]SOUSPROGRAMMES!$E$1:$F$44,2,FALSE)</f>
        <v>12- Accès équitable et achèvement du primaire</v>
      </c>
      <c r="AB97" s="19" t="str">
        <f>C97 &amp; "-" &amp; VLOOKUP(C97,[4]RESULTATS!$E$1:$F$176,2,FALSE)</f>
        <v xml:space="preserve">121- Tous les enfants de 6 ans sont inscrits au primaire </v>
      </c>
      <c r="AC97" s="20" t="str">
        <f>D97 &amp; "-" &amp; VLOOKUP(D97,[4]STRATEGIES!$E$1:$F$504,2,FALSE)</f>
        <v>1213-Incitation de la demande de scolarisation par la création des cantines dans les milieux défavorisés y compris les écoles FA</v>
      </c>
      <c r="AD97" s="21" t="str">
        <f t="shared" si="13"/>
        <v>12131-DéFinition concertée de critères de choix des écoles devant bénéficier de cantines</v>
      </c>
    </row>
    <row r="98" spans="1:30" s="22" customFormat="1" ht="30" hidden="1" customHeight="1" x14ac:dyDescent="0.8">
      <c r="A98" s="14">
        <v>1</v>
      </c>
      <c r="B98" s="15">
        <v>12</v>
      </c>
      <c r="C98" s="15">
        <v>121</v>
      </c>
      <c r="D98" s="15">
        <v>1213</v>
      </c>
      <c r="E98" s="14">
        <v>12132</v>
      </c>
      <c r="F98" s="16" t="s">
        <v>183</v>
      </c>
      <c r="G98" s="21" t="s">
        <v>88</v>
      </c>
      <c r="H98" s="17" t="s">
        <v>55</v>
      </c>
      <c r="I98" s="56">
        <v>0</v>
      </c>
      <c r="J98" s="56">
        <v>1</v>
      </c>
      <c r="K98" s="56">
        <v>1</v>
      </c>
      <c r="L98" s="56">
        <v>1</v>
      </c>
      <c r="M98" s="56">
        <f t="shared" si="15"/>
        <v>3</v>
      </c>
      <c r="N98" s="56">
        <f>IF(OR(H98="",H98="sif",H98="PM"),0,VLOOKUP(H98,[5]CU!$C$4:$H$255,6,FALSE))</f>
        <v>0</v>
      </c>
      <c r="O98" s="56"/>
      <c r="P98" s="56"/>
      <c r="Q98" s="56"/>
      <c r="R98" s="56"/>
      <c r="S98" s="56"/>
      <c r="T98" s="23" t="s">
        <v>56</v>
      </c>
      <c r="U98" s="18" t="s">
        <v>170</v>
      </c>
      <c r="V98" s="19" t="str">
        <f>IF(OR($H98="",$H98="sif",$H98="PM"),"",VLOOKUP($H98,[5]CU!$C$5:$J$255,8,FALSE))</f>
        <v/>
      </c>
      <c r="W98" s="18" t="s">
        <v>96</v>
      </c>
      <c r="X98" s="18" t="s">
        <v>96</v>
      </c>
      <c r="Y98" s="19" t="s">
        <v>32</v>
      </c>
      <c r="Z98" s="19" t="str">
        <f>A98 &amp; "-" &amp; VLOOKUP(A98,[4]PROGRAMMES!$E$1:$F$7,2,FALSE)</f>
        <v>1-Accès et équité à l'enseignement général</v>
      </c>
      <c r="AA98" s="19" t="str">
        <f>B98 &amp; "-" &amp; VLOOKUP(B98,[4]SOUSPROGRAMMES!$E$1:$F$44,2,FALSE)</f>
        <v>12- Accès équitable et achèvement du primaire</v>
      </c>
      <c r="AB98" s="19" t="str">
        <f>C98 &amp; "-" &amp; VLOOKUP(C98,[4]RESULTATS!$E$1:$F$176,2,FALSE)</f>
        <v xml:space="preserve">121- Tous les enfants de 6 ans sont inscrits au primaire </v>
      </c>
      <c r="AC98" s="20" t="str">
        <f>D98 &amp; "-" &amp; VLOOKUP(D98,[4]STRATEGIES!$E$1:$F$504,2,FALSE)</f>
        <v>1213-Incitation de la demande de scolarisation par la création des cantines dans les milieux défavorisés y compris les écoles FA</v>
      </c>
      <c r="AD98" s="21" t="str">
        <f t="shared" si="13"/>
        <v>12132-Identification des écoles prioritaires sur la base des critères retenus</v>
      </c>
    </row>
    <row r="99" spans="1:30" s="22" customFormat="1" ht="30" hidden="1" customHeight="1" x14ac:dyDescent="0.8">
      <c r="A99" s="14">
        <v>1</v>
      </c>
      <c r="B99" s="15">
        <v>12</v>
      </c>
      <c r="C99" s="15">
        <v>121</v>
      </c>
      <c r="D99" s="15">
        <v>1213</v>
      </c>
      <c r="E99" s="14">
        <v>12133</v>
      </c>
      <c r="F99" s="16" t="s">
        <v>184</v>
      </c>
      <c r="G99" s="21" t="s">
        <v>58</v>
      </c>
      <c r="H99" s="17" t="s">
        <v>59</v>
      </c>
      <c r="I99" s="56">
        <v>0</v>
      </c>
      <c r="J99" s="56">
        <f>(4*5*20)*20%</f>
        <v>80</v>
      </c>
      <c r="K99" s="56">
        <f>(4*7*10)*20%</f>
        <v>56</v>
      </c>
      <c r="L99" s="56">
        <f>(4*7*10)*20%</f>
        <v>56</v>
      </c>
      <c r="M99" s="56">
        <f>SUM(I99:L99)</f>
        <v>192</v>
      </c>
      <c r="N99" s="56">
        <f>IF(OR(H99="",H99="sif",H99="PM"),0,VLOOKUP(H99,[5]CU!$C$4:$H$255,6,FALSE))</f>
        <v>0.8177777777777776</v>
      </c>
      <c r="O99" s="56">
        <f>$N99*I99</f>
        <v>0</v>
      </c>
      <c r="P99" s="56">
        <f>$N99*J99</f>
        <v>65.422222222222203</v>
      </c>
      <c r="Q99" s="56">
        <f>$N99*K99</f>
        <v>45.795555555555545</v>
      </c>
      <c r="R99" s="56">
        <f>$N99*L99</f>
        <v>45.795555555555545</v>
      </c>
      <c r="S99" s="56">
        <f>SUM(O99:R99)</f>
        <v>157.01333333333329</v>
      </c>
      <c r="T99" s="23" t="s">
        <v>56</v>
      </c>
      <c r="U99" s="18" t="s">
        <v>170</v>
      </c>
      <c r="V99" s="19" t="str">
        <f>IF(OR($H99="",$H99="sif",$H99="PM"),"",VLOOKUP($H99,[5]CU!$C$5:$J$255,8,FALSE))</f>
        <v>3. Dépenses de fonctionnement</v>
      </c>
      <c r="W99" s="18" t="s">
        <v>81</v>
      </c>
      <c r="X99" s="18" t="s">
        <v>81</v>
      </c>
      <c r="Y99" s="19" t="s">
        <v>32</v>
      </c>
      <c r="Z99" s="19" t="str">
        <f>A99 &amp; "-" &amp; VLOOKUP(A99,[4]PROGRAMMES!$E$1:$F$7,2,FALSE)</f>
        <v>1-Accès et équité à l'enseignement général</v>
      </c>
      <c r="AA99" s="19" t="str">
        <f>B99 &amp; "-" &amp; VLOOKUP(B99,[4]SOUSPROGRAMMES!$E$1:$F$44,2,FALSE)</f>
        <v>12- Accès équitable et achèvement du primaire</v>
      </c>
      <c r="AB99" s="19" t="str">
        <f>C99 &amp; "-" &amp; VLOOKUP(C99,[4]RESULTATS!$E$1:$F$176,2,FALSE)</f>
        <v xml:space="preserve">121- Tous les enfants de 6 ans sont inscrits au primaire </v>
      </c>
      <c r="AC99" s="20" t="str">
        <f>D99 &amp; "-" &amp; VLOOKUP(D99,[4]STRATEGIES!$E$1:$F$504,2,FALSE)</f>
        <v>1213-Incitation de la demande de scolarisation par la création des cantines dans les milieux défavorisés y compris les écoles FA</v>
      </c>
      <c r="AD99" s="21" t="str">
        <f t="shared" si="13"/>
        <v xml:space="preserve">12133-Implantation des nouvelles cantines en concertation avec les communautés </v>
      </c>
    </row>
    <row r="100" spans="1:30" s="22" customFormat="1" ht="30" customHeight="1" x14ac:dyDescent="0.8">
      <c r="A100" s="14">
        <v>1</v>
      </c>
      <c r="B100" s="15">
        <v>12</v>
      </c>
      <c r="C100" s="15">
        <v>121</v>
      </c>
      <c r="D100" s="15">
        <v>1213</v>
      </c>
      <c r="E100" s="14">
        <v>12133</v>
      </c>
      <c r="F100" s="16" t="s">
        <v>184</v>
      </c>
      <c r="G100" s="21" t="s">
        <v>58</v>
      </c>
      <c r="H100" s="17" t="s">
        <v>59</v>
      </c>
      <c r="I100" s="56">
        <v>0</v>
      </c>
      <c r="J100" s="56">
        <f>(4*5*20)*80%</f>
        <v>320</v>
      </c>
      <c r="K100" s="56">
        <f>(4*7*10)*80%</f>
        <v>224</v>
      </c>
      <c r="L100" s="56">
        <f>(4*7*10)*80%</f>
        <v>224</v>
      </c>
      <c r="M100" s="56">
        <f t="shared" si="15"/>
        <v>768</v>
      </c>
      <c r="N100" s="56">
        <f>IF(OR(H100="",H100="sif",H100="PM"),0,VLOOKUP(H100,[5]CU!$C$4:$H$255,6,FALSE))</f>
        <v>0.8177777777777776</v>
      </c>
      <c r="O100" s="56">
        <f t="shared" ref="O100:R115" si="20">$N100*I100</f>
        <v>0</v>
      </c>
      <c r="P100" s="56">
        <f t="shared" si="20"/>
        <v>261.68888888888881</v>
      </c>
      <c r="Q100" s="56">
        <f t="shared" si="20"/>
        <v>183.18222222222218</v>
      </c>
      <c r="R100" s="56">
        <f t="shared" si="20"/>
        <v>183.18222222222218</v>
      </c>
      <c r="S100" s="56">
        <f t="shared" ref="S100:S115" si="21">SUM(O100:R100)</f>
        <v>628.05333333333317</v>
      </c>
      <c r="T100" s="23" t="s">
        <v>187</v>
      </c>
      <c r="U100" s="18" t="s">
        <v>170</v>
      </c>
      <c r="V100" s="19" t="str">
        <f>IF(OR($H100="",$H100="sif",$H100="PM"),"",VLOOKUP($H100,[5]CU!$C$5:$J$255,8,FALSE))</f>
        <v>3. Dépenses de fonctionnement</v>
      </c>
      <c r="W100" s="18" t="s">
        <v>81</v>
      </c>
      <c r="X100" s="18" t="s">
        <v>81</v>
      </c>
      <c r="Y100" s="19" t="s">
        <v>32</v>
      </c>
      <c r="Z100" s="19" t="str">
        <f>A100 &amp; "-" &amp; VLOOKUP(A100,[4]PROGRAMMES!$E$1:$F$7,2,FALSE)</f>
        <v>1-Accès et équité à l'enseignement général</v>
      </c>
      <c r="AA100" s="19" t="str">
        <f>B100 &amp; "-" &amp; VLOOKUP(B100,[4]SOUSPROGRAMMES!$E$1:$F$44,2,FALSE)</f>
        <v>12- Accès équitable et achèvement du primaire</v>
      </c>
      <c r="AB100" s="19" t="str">
        <f>C100 &amp; "-" &amp; VLOOKUP(C100,[4]RESULTATS!$E$1:$F$176,2,FALSE)</f>
        <v xml:space="preserve">121- Tous les enfants de 6 ans sont inscrits au primaire </v>
      </c>
      <c r="AC100" s="20" t="str">
        <f>D100 &amp; "-" &amp; VLOOKUP(D100,[4]STRATEGIES!$E$1:$F$504,2,FALSE)</f>
        <v>1213-Incitation de la demande de scolarisation par la création des cantines dans les milieux défavorisés y compris les écoles FA</v>
      </c>
      <c r="AD100" s="21" t="str">
        <f t="shared" si="13"/>
        <v xml:space="preserve">12133-Implantation des nouvelles cantines en concertation avec les communautés </v>
      </c>
    </row>
    <row r="101" spans="1:30" s="22" customFormat="1" ht="30" hidden="1" customHeight="1" x14ac:dyDescent="0.8">
      <c r="A101" s="14">
        <v>1</v>
      </c>
      <c r="B101" s="15">
        <v>12</v>
      </c>
      <c r="C101" s="15">
        <v>121</v>
      </c>
      <c r="D101" s="15">
        <v>1213</v>
      </c>
      <c r="E101" s="14">
        <v>12134</v>
      </c>
      <c r="F101" s="16" t="s">
        <v>185</v>
      </c>
      <c r="G101" s="21" t="s">
        <v>83</v>
      </c>
      <c r="H101" s="17" t="s">
        <v>186</v>
      </c>
      <c r="I101" s="56">
        <v>0</v>
      </c>
      <c r="J101" s="56">
        <f>198976.756766479*20%</f>
        <v>39795.351353295802</v>
      </c>
      <c r="K101" s="56">
        <f>227525.647602184*20%</f>
        <v>45505.129520436807</v>
      </c>
      <c r="L101" s="56">
        <f>256776.621425082*20%</f>
        <v>51355.324285016402</v>
      </c>
      <c r="M101" s="56">
        <f t="shared" si="15"/>
        <v>136655.80515874902</v>
      </c>
      <c r="N101" s="56">
        <f>IF(OR(H101="",H101="sif",H101="PM"),0,VLOOKUP(H101,[5]CU!$C$4:$H$255,6,FALSE))</f>
        <v>0.25</v>
      </c>
      <c r="O101" s="56">
        <f t="shared" si="20"/>
        <v>0</v>
      </c>
      <c r="P101" s="56">
        <f t="shared" si="20"/>
        <v>9948.8378383239506</v>
      </c>
      <c r="Q101" s="56">
        <f t="shared" si="20"/>
        <v>11376.282380109202</v>
      </c>
      <c r="R101" s="56">
        <f t="shared" si="20"/>
        <v>12838.831071254101</v>
      </c>
      <c r="S101" s="56">
        <f t="shared" si="21"/>
        <v>34163.951289687255</v>
      </c>
      <c r="T101" s="23" t="s">
        <v>56</v>
      </c>
      <c r="U101" s="19" t="s">
        <v>170</v>
      </c>
      <c r="V101" s="19" t="str">
        <f>IF(OR($H101="",$H101="sif",$H101="PM"),"",VLOOKUP($H101,[5]CU!$C$5:$J$255,8,FALSE))</f>
        <v>4. Transferts et subventions</v>
      </c>
      <c r="W101" s="19" t="s">
        <v>81</v>
      </c>
      <c r="X101" s="19" t="s">
        <v>81</v>
      </c>
      <c r="Y101" s="19" t="s">
        <v>32</v>
      </c>
      <c r="Z101" s="19" t="str">
        <f>A101 &amp; "-" &amp; VLOOKUP(A101,[4]PROGRAMMES!$E$1:$F$7,2,FALSE)</f>
        <v>1-Accès et équité à l'enseignement général</v>
      </c>
      <c r="AA101" s="19" t="str">
        <f>B101 &amp; "-" &amp; VLOOKUP(B101,[4]SOUSPROGRAMMES!$E$1:$F$44,2,FALSE)</f>
        <v>12- Accès équitable et achèvement du primaire</v>
      </c>
      <c r="AB101" s="19" t="str">
        <f>C101 &amp; "-" &amp; VLOOKUP(C101,[4]RESULTATS!$E$1:$F$176,2,FALSE)</f>
        <v xml:space="preserve">121- Tous les enfants de 6 ans sont inscrits au primaire </v>
      </c>
      <c r="AC101" s="20" t="str">
        <f>D101 &amp; "-" &amp; VLOOKUP(D101,[4]STRATEGIES!$E$1:$F$504,2,FALSE)</f>
        <v>1213-Incitation de la demande de scolarisation par la création des cantines dans les milieux défavorisés y compris les écoles FA</v>
      </c>
      <c r="AD101" s="21" t="str">
        <f t="shared" si="13"/>
        <v>12134-Acquisition et distribution des vivres pour les cantines scolaires</v>
      </c>
    </row>
    <row r="102" spans="1:30" s="22" customFormat="1" ht="30" customHeight="1" x14ac:dyDescent="0.8">
      <c r="A102" s="14">
        <v>1</v>
      </c>
      <c r="B102" s="15">
        <v>12</v>
      </c>
      <c r="C102" s="15">
        <v>121</v>
      </c>
      <c r="D102" s="15">
        <v>1213</v>
      </c>
      <c r="E102" s="14">
        <v>12134</v>
      </c>
      <c r="F102" s="16" t="s">
        <v>185</v>
      </c>
      <c r="G102" s="21" t="s">
        <v>83</v>
      </c>
      <c r="H102" s="17" t="s">
        <v>186</v>
      </c>
      <c r="I102" s="56">
        <v>0</v>
      </c>
      <c r="J102" s="56">
        <f>198976.756766479*75%</f>
        <v>149232.56757485925</v>
      </c>
      <c r="K102" s="56">
        <f>227525.647602184*75%</f>
        <v>170644.23570163801</v>
      </c>
      <c r="L102" s="56">
        <f>256776.621425082*75%</f>
        <v>192582.46606881151</v>
      </c>
      <c r="M102" s="56">
        <f>SUM(I102:L102)</f>
        <v>512459.26934530877</v>
      </c>
      <c r="N102" s="56">
        <f>IF(OR(H102="",H102="sif",H102="PM"),0,VLOOKUP(H102,[5]CU!$C$4:$H$255,6,FALSE))</f>
        <v>0.25</v>
      </c>
      <c r="O102" s="56">
        <f t="shared" si="20"/>
        <v>0</v>
      </c>
      <c r="P102" s="56">
        <f t="shared" si="20"/>
        <v>37308.141893714812</v>
      </c>
      <c r="Q102" s="56">
        <f t="shared" si="20"/>
        <v>42661.058925409503</v>
      </c>
      <c r="R102" s="56">
        <f t="shared" si="20"/>
        <v>48145.616517202878</v>
      </c>
      <c r="S102" s="56">
        <f>SUM(O102:R102)</f>
        <v>128114.81733632719</v>
      </c>
      <c r="T102" s="23" t="s">
        <v>187</v>
      </c>
      <c r="U102" s="19" t="s">
        <v>170</v>
      </c>
      <c r="V102" s="19" t="str">
        <f>IF(OR($H102="",$H102="sif",$H102="PM"),"",VLOOKUP($H102,[5]CU!$C$5:$J$255,8,FALSE))</f>
        <v>4. Transferts et subventions</v>
      </c>
      <c r="W102" s="19" t="s">
        <v>81</v>
      </c>
      <c r="X102" s="19" t="s">
        <v>81</v>
      </c>
      <c r="Y102" s="19" t="s">
        <v>32</v>
      </c>
      <c r="Z102" s="19" t="str">
        <f>A102 &amp; "-" &amp; VLOOKUP(A102,[4]PROGRAMMES!$E$1:$F$7,2,FALSE)</f>
        <v>1-Accès et équité à l'enseignement général</v>
      </c>
      <c r="AA102" s="19" t="str">
        <f>B102 &amp; "-" &amp; VLOOKUP(B102,[4]SOUSPROGRAMMES!$E$1:$F$44,2,FALSE)</f>
        <v>12- Accès équitable et achèvement du primaire</v>
      </c>
      <c r="AB102" s="19" t="str">
        <f>C102 &amp; "-" &amp; VLOOKUP(C102,[4]RESULTATS!$E$1:$F$176,2,FALSE)</f>
        <v xml:space="preserve">121- Tous les enfants de 6 ans sont inscrits au primaire </v>
      </c>
      <c r="AC102" s="20" t="str">
        <f>D102 &amp; "-" &amp; VLOOKUP(D102,[4]STRATEGIES!$E$1:$F$504,2,FALSE)</f>
        <v>1213-Incitation de la demande de scolarisation par la création des cantines dans les milieux défavorisés y compris les écoles FA</v>
      </c>
      <c r="AD102" s="21" t="str">
        <f t="shared" si="13"/>
        <v>12134-Acquisition et distribution des vivres pour les cantines scolaires</v>
      </c>
    </row>
    <row r="103" spans="1:30" s="22" customFormat="1" ht="30" customHeight="1" x14ac:dyDescent="0.8">
      <c r="A103" s="14">
        <v>1</v>
      </c>
      <c r="B103" s="15">
        <v>12</v>
      </c>
      <c r="C103" s="15">
        <v>121</v>
      </c>
      <c r="D103" s="15">
        <v>1213</v>
      </c>
      <c r="E103" s="14">
        <v>12134</v>
      </c>
      <c r="F103" s="16" t="s">
        <v>185</v>
      </c>
      <c r="G103" s="21" t="s">
        <v>83</v>
      </c>
      <c r="H103" s="17" t="s">
        <v>186</v>
      </c>
      <c r="I103" s="56">
        <v>0</v>
      </c>
      <c r="J103" s="56">
        <f>198976.756766479-J101-J102</f>
        <v>9948.8378383239615</v>
      </c>
      <c r="K103" s="56">
        <f>227525.647602184-K101-K102</f>
        <v>11376.282380109187</v>
      </c>
      <c r="L103" s="56">
        <f>256776.621425082-L101-L102</f>
        <v>12838.831071254099</v>
      </c>
      <c r="M103" s="56">
        <f>SUM(I103:L103)</f>
        <v>34163.951289687247</v>
      </c>
      <c r="N103" s="56">
        <f>IF(OR(H103="",H103="sif",H103="PM"),0,VLOOKUP(H103,[5]CU!$C$4:$H$255,6,FALSE))</f>
        <v>0.25</v>
      </c>
      <c r="O103" s="56">
        <f t="shared" si="20"/>
        <v>0</v>
      </c>
      <c r="P103" s="56">
        <f t="shared" si="20"/>
        <v>2487.2094595809904</v>
      </c>
      <c r="Q103" s="56">
        <f t="shared" si="20"/>
        <v>2844.0705950272968</v>
      </c>
      <c r="R103" s="56">
        <f t="shared" si="20"/>
        <v>3209.7077678135247</v>
      </c>
      <c r="S103" s="56">
        <f>SUM(O103:R103)</f>
        <v>8540.9878224218119</v>
      </c>
      <c r="T103" s="23" t="s">
        <v>187</v>
      </c>
      <c r="U103" s="19" t="s">
        <v>170</v>
      </c>
      <c r="V103" s="19" t="str">
        <f>IF(OR($H103="",$H103="sif",$H103="PM"),"",VLOOKUP($H103,[5]CU!$C$5:$J$255,8,FALSE))</f>
        <v>4. Transferts et subventions</v>
      </c>
      <c r="W103" s="19" t="s">
        <v>81</v>
      </c>
      <c r="X103" s="19" t="s">
        <v>81</v>
      </c>
      <c r="Y103" s="19" t="s">
        <v>32</v>
      </c>
      <c r="Z103" s="19" t="str">
        <f>A103 &amp; "-" &amp; VLOOKUP(A103,[4]PROGRAMMES!$E$1:$F$7,2,FALSE)</f>
        <v>1-Accès et équité à l'enseignement général</v>
      </c>
      <c r="AA103" s="19" t="str">
        <f>B103 &amp; "-" &amp; VLOOKUP(B103,[4]SOUSPROGRAMMES!$E$1:$F$44,2,FALSE)</f>
        <v>12- Accès équitable et achèvement du primaire</v>
      </c>
      <c r="AB103" s="19" t="str">
        <f>C103 &amp; "-" &amp; VLOOKUP(C103,[4]RESULTATS!$E$1:$F$176,2,FALSE)</f>
        <v xml:space="preserve">121- Tous les enfants de 6 ans sont inscrits au primaire </v>
      </c>
      <c r="AC103" s="20" t="str">
        <f>D103 &amp; "-" &amp; VLOOKUP(D103,[4]STRATEGIES!$E$1:$F$504,2,FALSE)</f>
        <v>1213-Incitation de la demande de scolarisation par la création des cantines dans les milieux défavorisés y compris les écoles FA</v>
      </c>
      <c r="AD103" s="21" t="str">
        <f t="shared" si="13"/>
        <v>12134-Acquisition et distribution des vivres pour les cantines scolaires</v>
      </c>
    </row>
    <row r="104" spans="1:30" s="22" customFormat="1" ht="30" customHeight="1" x14ac:dyDescent="0.8">
      <c r="A104" s="14">
        <v>1</v>
      </c>
      <c r="B104" s="15">
        <v>12</v>
      </c>
      <c r="C104" s="15">
        <v>121</v>
      </c>
      <c r="D104" s="15">
        <v>1213</v>
      </c>
      <c r="E104" s="14">
        <v>12135</v>
      </c>
      <c r="F104" s="16" t="s">
        <v>188</v>
      </c>
      <c r="G104" s="21" t="s">
        <v>58</v>
      </c>
      <c r="H104" s="17" t="s">
        <v>59</v>
      </c>
      <c r="I104" s="56">
        <v>0</v>
      </c>
      <c r="J104" s="56">
        <f>(4*10*8)*15.01%</f>
        <v>48.032000000000004</v>
      </c>
      <c r="K104" s="56">
        <f>(4*10*8)*15.01%</f>
        <v>48.032000000000004</v>
      </c>
      <c r="L104" s="56">
        <f>(4*15*8)*15.01%</f>
        <v>72.048000000000002</v>
      </c>
      <c r="M104" s="56">
        <f>SUM(I104:L104)</f>
        <v>168.11200000000002</v>
      </c>
      <c r="N104" s="56">
        <f>IF(OR(H104="",H104="sif",H104="PM"),0,VLOOKUP(H104,[5]CU!$C$4:$H$255,6,FALSE))</f>
        <v>0.8177777777777776</v>
      </c>
      <c r="O104" s="56">
        <f t="shared" si="20"/>
        <v>0</v>
      </c>
      <c r="P104" s="56">
        <f t="shared" si="20"/>
        <v>39.27950222222222</v>
      </c>
      <c r="Q104" s="56">
        <f t="shared" si="20"/>
        <v>39.27950222222222</v>
      </c>
      <c r="R104" s="56">
        <f t="shared" si="20"/>
        <v>58.919253333333323</v>
      </c>
      <c r="S104" s="56">
        <f>SUM(O104:R104)</f>
        <v>137.47825777777777</v>
      </c>
      <c r="T104" s="23" t="s">
        <v>39</v>
      </c>
      <c r="U104" s="19" t="s">
        <v>170</v>
      </c>
      <c r="V104" s="19" t="str">
        <f>IF(OR($H104="",$H104="sif",$H104="PM"),"",VLOOKUP($H104,[5]CU!$C$5:$J$255,8,FALSE))</f>
        <v>3. Dépenses de fonctionnement</v>
      </c>
      <c r="W104" s="19" t="s">
        <v>81</v>
      </c>
      <c r="X104" s="19" t="s">
        <v>81</v>
      </c>
      <c r="Y104" s="19" t="s">
        <v>32</v>
      </c>
      <c r="Z104" s="19" t="str">
        <f>A104 &amp; "-" &amp; VLOOKUP(A104,[4]PROGRAMMES!$E$1:$F$7,2,FALSE)</f>
        <v>1-Accès et équité à l'enseignement général</v>
      </c>
      <c r="AA104" s="19" t="str">
        <f>B104 &amp; "-" &amp; VLOOKUP(B104,[4]SOUSPROGRAMMES!$E$1:$F$44,2,FALSE)</f>
        <v>12- Accès équitable et achèvement du primaire</v>
      </c>
      <c r="AB104" s="19" t="str">
        <f>C104 &amp; "-" &amp; VLOOKUP(C104,[4]RESULTATS!$E$1:$F$176,2,FALSE)</f>
        <v xml:space="preserve">121- Tous les enfants de 6 ans sont inscrits au primaire </v>
      </c>
      <c r="AC104" s="20" t="str">
        <f>D104 &amp; "-" &amp; VLOOKUP(D104,[4]STRATEGIES!$E$1:$F$504,2,FALSE)</f>
        <v>1213-Incitation de la demande de scolarisation par la création des cantines dans les milieux défavorisés y compris les écoles FA</v>
      </c>
      <c r="AD104" s="21" t="str">
        <f t="shared" si="13"/>
        <v>12135-Suivi des cantines scolaires</v>
      </c>
    </row>
    <row r="105" spans="1:30" s="22" customFormat="1" ht="30" customHeight="1" x14ac:dyDescent="0.8">
      <c r="A105" s="14">
        <v>1</v>
      </c>
      <c r="B105" s="15">
        <v>12</v>
      </c>
      <c r="C105" s="15">
        <v>121</v>
      </c>
      <c r="D105" s="15">
        <v>1213</v>
      </c>
      <c r="E105" s="14">
        <v>12135</v>
      </c>
      <c r="F105" s="16" t="s">
        <v>188</v>
      </c>
      <c r="G105" s="21" t="s">
        <v>58</v>
      </c>
      <c r="H105" s="17" t="s">
        <v>59</v>
      </c>
      <c r="I105" s="56">
        <v>0</v>
      </c>
      <c r="J105" s="56">
        <f>(4*10*8)*69.99%</f>
        <v>223.96799999999999</v>
      </c>
      <c r="K105" s="56">
        <f>(4*10*8)*69.99%</f>
        <v>223.96799999999999</v>
      </c>
      <c r="L105" s="56">
        <f>(4*15*8)*69.99%</f>
        <v>335.952</v>
      </c>
      <c r="M105" s="56">
        <f>SUM(I105:L105)</f>
        <v>783.88799999999992</v>
      </c>
      <c r="N105" s="56">
        <f>IF(OR(H105="",H105="sif",H105="PM"),0,VLOOKUP(H105,[5]CU!$C$4:$H$255,6,FALSE))</f>
        <v>0.8177777777777776</v>
      </c>
      <c r="O105" s="56">
        <f t="shared" si="20"/>
        <v>0</v>
      </c>
      <c r="P105" s="56">
        <f t="shared" si="20"/>
        <v>183.15605333333329</v>
      </c>
      <c r="Q105" s="56">
        <f t="shared" si="20"/>
        <v>183.15605333333329</v>
      </c>
      <c r="R105" s="56">
        <f t="shared" si="20"/>
        <v>274.73407999999995</v>
      </c>
      <c r="S105" s="56">
        <f>SUM(O105:R105)</f>
        <v>641.04618666666647</v>
      </c>
      <c r="T105" s="23" t="s">
        <v>187</v>
      </c>
      <c r="U105" s="19" t="s">
        <v>170</v>
      </c>
      <c r="V105" s="19" t="str">
        <f>IF(OR($H105="",$H105="sif",$H105="PM"),"",VLOOKUP($H105,[5]CU!$C$5:$J$255,8,FALSE))</f>
        <v>3. Dépenses de fonctionnement</v>
      </c>
      <c r="W105" s="19" t="s">
        <v>81</v>
      </c>
      <c r="X105" s="19" t="s">
        <v>81</v>
      </c>
      <c r="Y105" s="19" t="s">
        <v>32</v>
      </c>
      <c r="Z105" s="19" t="str">
        <f>A105 &amp; "-" &amp; VLOOKUP(A105,[4]PROGRAMMES!$E$1:$F$7,2,FALSE)</f>
        <v>1-Accès et équité à l'enseignement général</v>
      </c>
      <c r="AA105" s="19" t="str">
        <f>B105 &amp; "-" &amp; VLOOKUP(B105,[4]SOUSPROGRAMMES!$E$1:$F$44,2,FALSE)</f>
        <v>12- Accès équitable et achèvement du primaire</v>
      </c>
      <c r="AB105" s="19" t="str">
        <f>C105 &amp; "-" &amp; VLOOKUP(C105,[4]RESULTATS!$E$1:$F$176,2,FALSE)</f>
        <v xml:space="preserve">121- Tous les enfants de 6 ans sont inscrits au primaire </v>
      </c>
      <c r="AC105" s="20" t="str">
        <f>D105 &amp; "-" &amp; VLOOKUP(D105,[4]STRATEGIES!$E$1:$F$504,2,FALSE)</f>
        <v>1213-Incitation de la demande de scolarisation par la création des cantines dans les milieux défavorisés y compris les écoles FA</v>
      </c>
      <c r="AD105" s="21" t="str">
        <f t="shared" si="13"/>
        <v>12135-Suivi des cantines scolaires</v>
      </c>
    </row>
    <row r="106" spans="1:30" s="22" customFormat="1" ht="30" customHeight="1" x14ac:dyDescent="0.8">
      <c r="A106" s="14">
        <v>1</v>
      </c>
      <c r="B106" s="15">
        <v>12</v>
      </c>
      <c r="C106" s="15">
        <v>121</v>
      </c>
      <c r="D106" s="15">
        <v>1213</v>
      </c>
      <c r="E106" s="14">
        <v>12135</v>
      </c>
      <c r="F106" s="16" t="s">
        <v>188</v>
      </c>
      <c r="G106" s="21" t="s">
        <v>58</v>
      </c>
      <c r="H106" s="17" t="s">
        <v>59</v>
      </c>
      <c r="I106" s="56">
        <v>0</v>
      </c>
      <c r="J106" s="56">
        <f>(4*10*8)*15%</f>
        <v>48</v>
      </c>
      <c r="K106" s="56">
        <f>(4*10*8)*15%</f>
        <v>48</v>
      </c>
      <c r="L106" s="56">
        <f>(4*15*8)*15%</f>
        <v>72</v>
      </c>
      <c r="M106" s="56">
        <f t="shared" si="15"/>
        <v>168</v>
      </c>
      <c r="N106" s="56">
        <f>IF(OR(H106="",H106="sif",H106="PM"),0,VLOOKUP(H106,[5]CU!$C$4:$H$255,6,FALSE))</f>
        <v>0.8177777777777776</v>
      </c>
      <c r="O106" s="56">
        <f t="shared" si="20"/>
        <v>0</v>
      </c>
      <c r="P106" s="56">
        <f t="shared" si="20"/>
        <v>39.253333333333323</v>
      </c>
      <c r="Q106" s="56">
        <f t="shared" si="20"/>
        <v>39.253333333333323</v>
      </c>
      <c r="R106" s="56">
        <f t="shared" si="20"/>
        <v>58.879999999999988</v>
      </c>
      <c r="S106" s="56">
        <f t="shared" si="21"/>
        <v>137.38666666666663</v>
      </c>
      <c r="T106" s="23" t="s">
        <v>39</v>
      </c>
      <c r="U106" s="19" t="s">
        <v>170</v>
      </c>
      <c r="V106" s="19" t="str">
        <f>IF(OR($H106="",$H106="sif",$H106="PM"),"",VLOOKUP($H106,[5]CU!$C$5:$J$255,8,FALSE))</f>
        <v>3. Dépenses de fonctionnement</v>
      </c>
      <c r="W106" s="19" t="s">
        <v>81</v>
      </c>
      <c r="X106" s="19" t="s">
        <v>81</v>
      </c>
      <c r="Y106" s="19" t="s">
        <v>32</v>
      </c>
      <c r="Z106" s="19" t="str">
        <f>A106 &amp; "-" &amp; VLOOKUP(A106,[4]PROGRAMMES!$E$1:$F$7,2,FALSE)</f>
        <v>1-Accès et équité à l'enseignement général</v>
      </c>
      <c r="AA106" s="19" t="str">
        <f>B106 &amp; "-" &amp; VLOOKUP(B106,[4]SOUSPROGRAMMES!$E$1:$F$44,2,FALSE)</f>
        <v>12- Accès équitable et achèvement du primaire</v>
      </c>
      <c r="AB106" s="19" t="str">
        <f>C106 &amp; "-" &amp; VLOOKUP(C106,[4]RESULTATS!$E$1:$F$176,2,FALSE)</f>
        <v xml:space="preserve">121- Tous les enfants de 6 ans sont inscrits au primaire </v>
      </c>
      <c r="AC106" s="20" t="str">
        <f>D106 &amp; "-" &amp; VLOOKUP(D106,[4]STRATEGIES!$E$1:$F$504,2,FALSE)</f>
        <v>1213-Incitation de la demande de scolarisation par la création des cantines dans les milieux défavorisés y compris les écoles FA</v>
      </c>
      <c r="AD106" s="21" t="str">
        <f t="shared" si="13"/>
        <v>12135-Suivi des cantines scolaires</v>
      </c>
    </row>
    <row r="107" spans="1:30" s="22" customFormat="1" ht="30" customHeight="1" x14ac:dyDescent="0.8">
      <c r="A107" s="14">
        <v>1</v>
      </c>
      <c r="B107" s="15">
        <v>12</v>
      </c>
      <c r="C107" s="15">
        <v>121</v>
      </c>
      <c r="D107" s="15">
        <v>1214</v>
      </c>
      <c r="E107" s="14">
        <v>1214</v>
      </c>
      <c r="F107" s="16" t="s">
        <v>189</v>
      </c>
      <c r="G107" s="17"/>
      <c r="H107" s="17"/>
      <c r="I107" s="56">
        <v>0</v>
      </c>
      <c r="J107" s="56"/>
      <c r="K107" s="56"/>
      <c r="L107" s="56"/>
      <c r="M107" s="56"/>
      <c r="N107" s="56"/>
      <c r="O107" s="56"/>
      <c r="P107" s="56"/>
      <c r="Q107" s="56"/>
      <c r="R107" s="56"/>
      <c r="S107" s="56"/>
      <c r="T107" s="18"/>
      <c r="U107" s="18"/>
      <c r="V107" s="19"/>
      <c r="W107" s="18"/>
      <c r="X107" s="18"/>
      <c r="Y107" s="19" t="s">
        <v>32</v>
      </c>
      <c r="Z107" s="19" t="str">
        <f>A107 &amp; "-" &amp; VLOOKUP(A107,[4]PROGRAMMES!$E$1:$F$7,2,FALSE)</f>
        <v>1-Accès et équité à l'enseignement général</v>
      </c>
      <c r="AA107" s="19" t="str">
        <f>B107 &amp; "-" &amp; VLOOKUP(B107,[4]SOUSPROGRAMMES!$E$1:$F$44,2,FALSE)</f>
        <v>12- Accès équitable et achèvement du primaire</v>
      </c>
      <c r="AB107" s="19" t="str">
        <f>C107 &amp; "-" &amp; VLOOKUP(C107,[4]RESULTATS!$E$1:$F$176,2,FALSE)</f>
        <v xml:space="preserve">121- Tous les enfants de 6 ans sont inscrits au primaire </v>
      </c>
      <c r="AC107" s="20" t="str">
        <f>D107 &amp; "-" &amp; VLOOKUP(D107,[4]STRATEGIES!$E$1:$F$504,2,FALSE)</f>
        <v>1214-Mise en place d'une stratégie de scolarisation des enfants des foyers coraniques et des centres de mémorisation du Saint Coran</v>
      </c>
      <c r="AD107" s="21" t="str">
        <f t="shared" si="13"/>
        <v>1214-Mise en place d'une stratégie de scolarisation des enfants des foyers coraniques et des centres de mémorisation du Saint Coran</v>
      </c>
    </row>
    <row r="108" spans="1:30" s="22" customFormat="1" ht="30" customHeight="1" x14ac:dyDescent="0.8">
      <c r="A108" s="14">
        <v>1</v>
      </c>
      <c r="B108" s="15">
        <v>12</v>
      </c>
      <c r="C108" s="15">
        <v>121</v>
      </c>
      <c r="D108" s="15">
        <v>1214</v>
      </c>
      <c r="E108" s="14">
        <v>12141</v>
      </c>
      <c r="F108" s="16" t="s">
        <v>190</v>
      </c>
      <c r="G108" s="21" t="s">
        <v>58</v>
      </c>
      <c r="H108" s="17" t="s">
        <v>59</v>
      </c>
      <c r="I108" s="56">
        <v>0</v>
      </c>
      <c r="J108" s="56">
        <f>3*2*427</f>
        <v>2562</v>
      </c>
      <c r="K108" s="56"/>
      <c r="L108" s="56"/>
      <c r="M108" s="56">
        <f t="shared" si="15"/>
        <v>2562</v>
      </c>
      <c r="N108" s="56">
        <f>IF(OR(H108="",H108="sif",H108="PM"),0,VLOOKUP(H108,[5]CU!$C$4:$H$255,6,FALSE))</f>
        <v>0.8177777777777776</v>
      </c>
      <c r="O108" s="56">
        <f t="shared" si="20"/>
        <v>0</v>
      </c>
      <c r="P108" s="56">
        <f t="shared" si="20"/>
        <v>2095.1466666666661</v>
      </c>
      <c r="Q108" s="56">
        <f t="shared" si="20"/>
        <v>0</v>
      </c>
      <c r="R108" s="56">
        <f t="shared" si="20"/>
        <v>0</v>
      </c>
      <c r="S108" s="56">
        <f t="shared" si="21"/>
        <v>2095.1466666666661</v>
      </c>
      <c r="T108" s="23" t="s">
        <v>191</v>
      </c>
      <c r="U108" s="18" t="s">
        <v>170</v>
      </c>
      <c r="V108" s="19" t="str">
        <f>IF(OR($H108="",$H108="sif",$H108="PM"),"",VLOOKUP($H108,[5]CU!$C$5:$J$255,8,FALSE))</f>
        <v>3. Dépenses de fonctionnement</v>
      </c>
      <c r="W108" s="18" t="s">
        <v>192</v>
      </c>
      <c r="X108" s="18" t="s">
        <v>193</v>
      </c>
      <c r="Y108" s="19" t="s">
        <v>32</v>
      </c>
      <c r="Z108" s="19" t="str">
        <f>A108 &amp; "-" &amp; VLOOKUP(A108,[4]PROGRAMMES!$E$1:$F$7,2,FALSE)</f>
        <v>1-Accès et équité à l'enseignement général</v>
      </c>
      <c r="AA108" s="19" t="str">
        <f>B108 &amp; "-" &amp; VLOOKUP(B108,[4]SOUSPROGRAMMES!$E$1:$F$44,2,FALSE)</f>
        <v>12- Accès équitable et achèvement du primaire</v>
      </c>
      <c r="AB108" s="19" t="str">
        <f>C108 &amp; "-" &amp; VLOOKUP(C108,[4]RESULTATS!$E$1:$F$176,2,FALSE)</f>
        <v xml:space="preserve">121- Tous les enfants de 6 ans sont inscrits au primaire </v>
      </c>
      <c r="AC108" s="20" t="str">
        <f>D108 &amp; "-" &amp; VLOOKUP(D108,[4]STRATEGIES!$E$1:$F$504,2,FALSE)</f>
        <v>1214-Mise en place d'une stratégie de scolarisation des enfants des foyers coraniques et des centres de mémorisation du Saint Coran</v>
      </c>
      <c r="AD108" s="21" t="str">
        <f t="shared" si="13"/>
        <v>12141-Recensement des écoles arabo-islamiques, des foyers coraniques et des centres de mémorisation du saint Coran</v>
      </c>
    </row>
    <row r="109" spans="1:30" s="22" customFormat="1" ht="45" customHeight="1" x14ac:dyDescent="0.8">
      <c r="A109" s="14">
        <v>1</v>
      </c>
      <c r="B109" s="15">
        <v>12</v>
      </c>
      <c r="C109" s="15">
        <v>121</v>
      </c>
      <c r="D109" s="15">
        <v>1214</v>
      </c>
      <c r="E109" s="14">
        <v>12142</v>
      </c>
      <c r="F109" s="16" t="s">
        <v>194</v>
      </c>
      <c r="G109" s="21" t="s">
        <v>195</v>
      </c>
      <c r="H109" s="17" t="s">
        <v>101</v>
      </c>
      <c r="I109" s="56">
        <v>0</v>
      </c>
      <c r="J109" s="56">
        <f>(2*40)*74.96%</f>
        <v>59.967999999999996</v>
      </c>
      <c r="K109" s="56"/>
      <c r="L109" s="56"/>
      <c r="M109" s="56">
        <f>SUM(I109:L109)</f>
        <v>59.967999999999996</v>
      </c>
      <c r="N109" s="56">
        <f>IF(OR(H109="",H109="sif",H109="PM"),0,VLOOKUP(H109,[5]CU!$C$4:$H$255,6,FALSE))</f>
        <v>2.651545</v>
      </c>
      <c r="O109" s="56">
        <f>$N109*I109</f>
        <v>0</v>
      </c>
      <c r="P109" s="56">
        <f>$N109*J109</f>
        <v>159.00785055999998</v>
      </c>
      <c r="Q109" s="56">
        <f>$N109*K109</f>
        <v>0</v>
      </c>
      <c r="R109" s="56">
        <f>$N109*L109</f>
        <v>0</v>
      </c>
      <c r="S109" s="56">
        <f>SUM(O109:R109)</f>
        <v>159.00785055999998</v>
      </c>
      <c r="T109" s="23" t="s">
        <v>191</v>
      </c>
      <c r="U109" s="18" t="s">
        <v>170</v>
      </c>
      <c r="V109" s="19" t="str">
        <f>IF(OR($H109="",$H109="sif",$H109="PM"),"",VLOOKUP($H109,[5]CU!$C$5:$J$255,8,FALSE))</f>
        <v>3. Dépenses de fonctionnement</v>
      </c>
      <c r="W109" s="18" t="s">
        <v>192</v>
      </c>
      <c r="X109" s="18" t="s">
        <v>196</v>
      </c>
      <c r="Y109" s="19" t="s">
        <v>32</v>
      </c>
      <c r="Z109" s="19" t="str">
        <f>A109 &amp; "-" &amp; VLOOKUP(A109,[4]PROGRAMMES!$E$1:$F$7,2,FALSE)</f>
        <v>1-Accès et équité à l'enseignement général</v>
      </c>
      <c r="AA109" s="19" t="str">
        <f>B109 &amp; "-" &amp; VLOOKUP(B109,[4]SOUSPROGRAMMES!$E$1:$F$44,2,FALSE)</f>
        <v>12- Accès équitable et achèvement du primaire</v>
      </c>
      <c r="AB109" s="19" t="str">
        <f>C109 &amp; "-" &amp; VLOOKUP(C109,[4]RESULTATS!$E$1:$F$176,2,FALSE)</f>
        <v xml:space="preserve">121- Tous les enfants de 6 ans sont inscrits au primaire </v>
      </c>
      <c r="AC109" s="20" t="str">
        <f>D109 &amp; "-" &amp; VLOOKUP(D109,[4]STRATEGIES!$E$1:$F$504,2,FALSE)</f>
        <v>1214-Mise en place d'une stratégie de scolarisation des enfants des foyers coraniques et des centres de mémorisation du Saint Coran</v>
      </c>
      <c r="AD109" s="21" t="str">
        <f t="shared" si="13"/>
        <v>12142-Elaboration d'une stratégie de scolarisation des enfants des écoles arabo-islamiques, des foyers coraniques et des centres de mémorisation du saint Coran</v>
      </c>
    </row>
    <row r="110" spans="1:30" s="22" customFormat="1" ht="45" customHeight="1" x14ac:dyDescent="0.8">
      <c r="A110" s="14">
        <v>1</v>
      </c>
      <c r="B110" s="15">
        <v>12</v>
      </c>
      <c r="C110" s="15">
        <v>121</v>
      </c>
      <c r="D110" s="15">
        <v>1214</v>
      </c>
      <c r="E110" s="14">
        <v>12142</v>
      </c>
      <c r="F110" s="16" t="s">
        <v>194</v>
      </c>
      <c r="G110" s="21" t="s">
        <v>195</v>
      </c>
      <c r="H110" s="17" t="s">
        <v>101</v>
      </c>
      <c r="I110" s="56">
        <v>0</v>
      </c>
      <c r="J110" s="56">
        <f>(2*40)*25.04%</f>
        <v>20.032</v>
      </c>
      <c r="K110" s="56"/>
      <c r="L110" s="56"/>
      <c r="M110" s="56">
        <f t="shared" si="15"/>
        <v>20.032</v>
      </c>
      <c r="N110" s="56">
        <f>IF(OR(H110="",H110="sif",H110="PM"),0,VLOOKUP(H110,[5]CU!$C$4:$H$255,6,FALSE))</f>
        <v>2.651545</v>
      </c>
      <c r="O110" s="56">
        <f t="shared" si="20"/>
        <v>0</v>
      </c>
      <c r="P110" s="56">
        <f t="shared" si="20"/>
        <v>53.115749440000002</v>
      </c>
      <c r="Q110" s="56">
        <f t="shared" si="20"/>
        <v>0</v>
      </c>
      <c r="R110" s="56">
        <f t="shared" si="20"/>
        <v>0</v>
      </c>
      <c r="S110" s="56">
        <f t="shared" si="21"/>
        <v>53.115749440000002</v>
      </c>
      <c r="T110" s="23" t="s">
        <v>2128</v>
      </c>
      <c r="U110" s="18" t="s">
        <v>170</v>
      </c>
      <c r="V110" s="19" t="str">
        <f>IF(OR($H110="",$H110="sif",$H110="PM"),"",VLOOKUP($H110,[5]CU!$C$5:$J$255,8,FALSE))</f>
        <v>3. Dépenses de fonctionnement</v>
      </c>
      <c r="W110" s="18" t="s">
        <v>192</v>
      </c>
      <c r="X110" s="18" t="s">
        <v>196</v>
      </c>
      <c r="Y110" s="19" t="s">
        <v>32</v>
      </c>
      <c r="Z110" s="19" t="str">
        <f>A110 &amp; "-" &amp; VLOOKUP(A110,[4]PROGRAMMES!$E$1:$F$7,2,FALSE)</f>
        <v>1-Accès et équité à l'enseignement général</v>
      </c>
      <c r="AA110" s="19" t="str">
        <f>B110 &amp; "-" &amp; VLOOKUP(B110,[4]SOUSPROGRAMMES!$E$1:$F$44,2,FALSE)</f>
        <v>12- Accès équitable et achèvement du primaire</v>
      </c>
      <c r="AB110" s="19" t="str">
        <f>C110 &amp; "-" &amp; VLOOKUP(C110,[4]RESULTATS!$E$1:$F$176,2,FALSE)</f>
        <v xml:space="preserve">121- Tous les enfants de 6 ans sont inscrits au primaire </v>
      </c>
      <c r="AC110" s="20" t="str">
        <f>D110 &amp; "-" &amp; VLOOKUP(D110,[4]STRATEGIES!$E$1:$F$504,2,FALSE)</f>
        <v>1214-Mise en place d'une stratégie de scolarisation des enfants des foyers coraniques et des centres de mémorisation du Saint Coran</v>
      </c>
      <c r="AD110" s="21" t="str">
        <f t="shared" si="13"/>
        <v>12142-Elaboration d'une stratégie de scolarisation des enfants des écoles arabo-islamiques, des foyers coraniques et des centres de mémorisation du saint Coran</v>
      </c>
    </row>
    <row r="111" spans="1:30" s="22" customFormat="1" ht="45" customHeight="1" x14ac:dyDescent="0.8">
      <c r="A111" s="14">
        <v>1</v>
      </c>
      <c r="B111" s="15">
        <v>12</v>
      </c>
      <c r="C111" s="15">
        <v>121</v>
      </c>
      <c r="D111" s="15">
        <v>1214</v>
      </c>
      <c r="E111" s="14">
        <v>12143</v>
      </c>
      <c r="F111" s="16" t="s">
        <v>197</v>
      </c>
      <c r="G111" s="21" t="s">
        <v>37</v>
      </c>
      <c r="H111" s="17" t="s">
        <v>38</v>
      </c>
      <c r="I111" s="56">
        <v>0</v>
      </c>
      <c r="J111" s="56"/>
      <c r="K111" s="56">
        <f>30*3</f>
        <v>90</v>
      </c>
      <c r="L111" s="56"/>
      <c r="M111" s="56">
        <f t="shared" si="15"/>
        <v>90</v>
      </c>
      <c r="N111" s="56">
        <f>IF(OR(H111="",H111="sif",H111="PM"),0,VLOOKUP(H111,[5]CU!$C$4:$H$255,6,FALSE))</f>
        <v>0.3133333333333333</v>
      </c>
      <c r="O111" s="56">
        <f t="shared" si="20"/>
        <v>0</v>
      </c>
      <c r="P111" s="56">
        <f t="shared" si="20"/>
        <v>0</v>
      </c>
      <c r="Q111" s="56">
        <f t="shared" si="20"/>
        <v>28.199999999999996</v>
      </c>
      <c r="R111" s="56">
        <f t="shared" si="20"/>
        <v>0</v>
      </c>
      <c r="S111" s="56">
        <f t="shared" si="21"/>
        <v>28.199999999999996</v>
      </c>
      <c r="T111" s="23" t="s">
        <v>191</v>
      </c>
      <c r="U111" s="18" t="s">
        <v>170</v>
      </c>
      <c r="V111" s="19" t="str">
        <f>IF(OR($H111="",$H111="sif",$H111="PM"),"",VLOOKUP($H111,[5]CU!$C$5:$J$255,8,FALSE))</f>
        <v>3. Formation</v>
      </c>
      <c r="W111" s="18" t="s">
        <v>192</v>
      </c>
      <c r="X111" s="18" t="s">
        <v>196</v>
      </c>
      <c r="Y111" s="19" t="s">
        <v>32</v>
      </c>
      <c r="Z111" s="19" t="str">
        <f>A111 &amp; "-" &amp; VLOOKUP(A111,[4]PROGRAMMES!$E$1:$F$7,2,FALSE)</f>
        <v>1-Accès et équité à l'enseignement général</v>
      </c>
      <c r="AA111" s="19" t="str">
        <f>B111 &amp; "-" &amp; VLOOKUP(B111,[4]SOUSPROGRAMMES!$E$1:$F$44,2,FALSE)</f>
        <v>12- Accès équitable et achèvement du primaire</v>
      </c>
      <c r="AB111" s="19" t="str">
        <f>C111 &amp; "-" &amp; VLOOKUP(C111,[4]RESULTATS!$E$1:$F$176,2,FALSE)</f>
        <v xml:space="preserve">121- Tous les enfants de 6 ans sont inscrits au primaire </v>
      </c>
      <c r="AC111" s="20" t="str">
        <f>D111 &amp; "-" &amp; VLOOKUP(D111,[4]STRATEGIES!$E$1:$F$504,2,FALSE)</f>
        <v>1214-Mise en place d'une stratégie de scolarisation des enfants des foyers coraniques et des centres de mémorisation du Saint Coran</v>
      </c>
      <c r="AD111" s="21" t="str">
        <f t="shared" si="13"/>
        <v>12143-Validation et diffusion de la stratégie de scolarisation des enfants des écoles arabo-islamiques, des foyers coraniques et des centres de mémorisation du saint Coran</v>
      </c>
    </row>
    <row r="112" spans="1:30" s="22" customFormat="1" ht="45" customHeight="1" x14ac:dyDescent="0.8">
      <c r="A112" s="14">
        <v>1</v>
      </c>
      <c r="B112" s="15">
        <v>12</v>
      </c>
      <c r="C112" s="15">
        <v>121</v>
      </c>
      <c r="D112" s="15">
        <v>1214</v>
      </c>
      <c r="E112" s="14">
        <v>12144</v>
      </c>
      <c r="F112" s="16" t="s">
        <v>198</v>
      </c>
      <c r="G112" s="21" t="s">
        <v>199</v>
      </c>
      <c r="H112" s="17" t="s">
        <v>200</v>
      </c>
      <c r="I112" s="56">
        <v>0</v>
      </c>
      <c r="J112" s="56"/>
      <c r="K112" s="56"/>
      <c r="L112" s="56">
        <f>1*50%</f>
        <v>0.5</v>
      </c>
      <c r="M112" s="56">
        <f>SUM(I112:L112)</f>
        <v>0.5</v>
      </c>
      <c r="N112" s="56">
        <f>IF(OR(H112="",H112="sif",H112="PM"),0,VLOOKUP(H112,[5]CU!$C$4:$H$255,6,FALSE))</f>
        <v>1046</v>
      </c>
      <c r="O112" s="56">
        <f>$N112*I112</f>
        <v>0</v>
      </c>
      <c r="P112" s="56">
        <f>$N112*J112</f>
        <v>0</v>
      </c>
      <c r="Q112" s="56">
        <f>$N112*K112</f>
        <v>0</v>
      </c>
      <c r="R112" s="56">
        <f>$N112*L112</f>
        <v>523</v>
      </c>
      <c r="S112" s="56">
        <f>SUM(O112:R112)</f>
        <v>523</v>
      </c>
      <c r="T112" s="23" t="s">
        <v>191</v>
      </c>
      <c r="U112" s="18" t="s">
        <v>170</v>
      </c>
      <c r="V112" s="19" t="str">
        <f>IF(OR($H112="",$H112="sif",$H112="PM"),"",VLOOKUP($H112,[5]CU!$C$5:$J$255,8,FALSE))</f>
        <v>4. Transferts et subventions</v>
      </c>
      <c r="W112" s="18" t="s">
        <v>192</v>
      </c>
      <c r="X112" s="18" t="s">
        <v>192</v>
      </c>
      <c r="Y112" s="19" t="s">
        <v>32</v>
      </c>
      <c r="Z112" s="19" t="str">
        <f>A112 &amp; "-" &amp; VLOOKUP(A112,[4]PROGRAMMES!$E$1:$F$7,2,FALSE)</f>
        <v>1-Accès et équité à l'enseignement général</v>
      </c>
      <c r="AA112" s="19" t="str">
        <f>B112 &amp; "-" &amp; VLOOKUP(B112,[4]SOUSPROGRAMMES!$E$1:$F$44,2,FALSE)</f>
        <v>12- Accès équitable et achèvement du primaire</v>
      </c>
      <c r="AB112" s="19" t="str">
        <f>C112 &amp; "-" &amp; VLOOKUP(C112,[4]RESULTATS!$E$1:$F$176,2,FALSE)</f>
        <v xml:space="preserve">121- Tous les enfants de 6 ans sont inscrits au primaire </v>
      </c>
      <c r="AC112" s="20" t="str">
        <f>D112 &amp; "-" &amp; VLOOKUP(D112,[4]STRATEGIES!$E$1:$F$504,2,FALSE)</f>
        <v>1214-Mise en place d'une stratégie de scolarisation des enfants des foyers coraniques et des centres de mémorisation du Saint Coran</v>
      </c>
      <c r="AD112" s="21" t="str">
        <f t="shared" si="13"/>
        <v>12144-Mise en œuvre de la stratégie de scolarisation des enfants des écoles arabo-islamiques, des foyers coraniques et des centres de mémorisation du saint Coran</v>
      </c>
    </row>
    <row r="113" spans="1:30" s="22" customFormat="1" ht="45" customHeight="1" x14ac:dyDescent="0.8">
      <c r="A113" s="14">
        <v>1</v>
      </c>
      <c r="B113" s="15">
        <v>12</v>
      </c>
      <c r="C113" s="15">
        <v>121</v>
      </c>
      <c r="D113" s="15">
        <v>1214</v>
      </c>
      <c r="E113" s="14">
        <v>12144</v>
      </c>
      <c r="F113" s="16" t="s">
        <v>198</v>
      </c>
      <c r="G113" s="21" t="s">
        <v>199</v>
      </c>
      <c r="H113" s="17" t="s">
        <v>200</v>
      </c>
      <c r="I113" s="56">
        <v>0</v>
      </c>
      <c r="J113" s="56"/>
      <c r="K113" s="56"/>
      <c r="L113" s="56">
        <f>1*50%</f>
        <v>0.5</v>
      </c>
      <c r="M113" s="56">
        <f>SUM(I113:L113)</f>
        <v>0.5</v>
      </c>
      <c r="N113" s="56">
        <f>IF(OR(H113="",H113="sif",H113="PM"),0,VLOOKUP(H113,[5]CU!$C$4:$H$255,6,FALSE))</f>
        <v>1046</v>
      </c>
      <c r="O113" s="56">
        <f t="shared" si="20"/>
        <v>0</v>
      </c>
      <c r="P113" s="56">
        <f t="shared" si="20"/>
        <v>0</v>
      </c>
      <c r="Q113" s="56">
        <f t="shared" si="20"/>
        <v>0</v>
      </c>
      <c r="R113" s="56">
        <f t="shared" si="20"/>
        <v>523</v>
      </c>
      <c r="S113" s="56">
        <f t="shared" si="21"/>
        <v>523</v>
      </c>
      <c r="T113" s="23" t="s">
        <v>2128</v>
      </c>
      <c r="U113" s="18" t="s">
        <v>170</v>
      </c>
      <c r="V113" s="19" t="str">
        <f>IF(OR($H113="",$H113="sif",$H113="PM"),"",VLOOKUP($H113,[5]CU!$C$5:$J$255,8,FALSE))</f>
        <v>4. Transferts et subventions</v>
      </c>
      <c r="W113" s="18" t="s">
        <v>192</v>
      </c>
      <c r="X113" s="18" t="s">
        <v>192</v>
      </c>
      <c r="Y113" s="19" t="s">
        <v>32</v>
      </c>
      <c r="Z113" s="19" t="str">
        <f>A113 &amp; "-" &amp; VLOOKUP(A113,[4]PROGRAMMES!$E$1:$F$7,2,FALSE)</f>
        <v>1-Accès et équité à l'enseignement général</v>
      </c>
      <c r="AA113" s="19" t="str">
        <f>B113 &amp; "-" &amp; VLOOKUP(B113,[4]SOUSPROGRAMMES!$E$1:$F$44,2,FALSE)</f>
        <v>12- Accès équitable et achèvement du primaire</v>
      </c>
      <c r="AB113" s="19" t="str">
        <f>C113 &amp; "-" &amp; VLOOKUP(C113,[4]RESULTATS!$E$1:$F$176,2,FALSE)</f>
        <v xml:space="preserve">121- Tous les enfants de 6 ans sont inscrits au primaire </v>
      </c>
      <c r="AC113" s="20" t="str">
        <f>D113 &amp; "-" &amp; VLOOKUP(D113,[4]STRATEGIES!$E$1:$F$504,2,FALSE)</f>
        <v>1214-Mise en place d'une stratégie de scolarisation des enfants des foyers coraniques et des centres de mémorisation du Saint Coran</v>
      </c>
      <c r="AD113" s="21" t="str">
        <f t="shared" si="13"/>
        <v>12144-Mise en œuvre de la stratégie de scolarisation des enfants des écoles arabo-islamiques, des foyers coraniques et des centres de mémorisation du saint Coran</v>
      </c>
    </row>
    <row r="114" spans="1:30" s="22" customFormat="1" ht="30" customHeight="1" x14ac:dyDescent="0.8">
      <c r="A114" s="14">
        <v>1</v>
      </c>
      <c r="B114" s="15">
        <v>12</v>
      </c>
      <c r="C114" s="15">
        <v>121</v>
      </c>
      <c r="D114" s="15">
        <v>1214</v>
      </c>
      <c r="E114" s="14">
        <v>12145</v>
      </c>
      <c r="F114" s="16" t="s">
        <v>201</v>
      </c>
      <c r="G114" s="21" t="s">
        <v>58</v>
      </c>
      <c r="H114" s="17" t="s">
        <v>59</v>
      </c>
      <c r="I114" s="56">
        <v>0</v>
      </c>
      <c r="J114" s="56"/>
      <c r="K114" s="56">
        <f>(4*10*8)*50%</f>
        <v>160</v>
      </c>
      <c r="L114" s="56">
        <f>(4*5*8)*50%</f>
        <v>80</v>
      </c>
      <c r="M114" s="56">
        <f>SUM(I114:L114)</f>
        <v>240</v>
      </c>
      <c r="N114" s="56">
        <f>IF(OR(H114="",H114="sif",H114="PM"),0,VLOOKUP(H114,[5]CU!$C$4:$H$255,6,FALSE))</f>
        <v>0.8177777777777776</v>
      </c>
      <c r="O114" s="56">
        <f>$N114*I114</f>
        <v>0</v>
      </c>
      <c r="P114" s="56">
        <f>$N114*J114</f>
        <v>0</v>
      </c>
      <c r="Q114" s="56">
        <f>$N114*K114</f>
        <v>130.84444444444441</v>
      </c>
      <c r="R114" s="56">
        <f>$N114*L114</f>
        <v>65.422222222222203</v>
      </c>
      <c r="S114" s="56">
        <f>SUM(O114:R114)</f>
        <v>196.26666666666659</v>
      </c>
      <c r="T114" s="23" t="s">
        <v>191</v>
      </c>
      <c r="U114" s="18" t="s">
        <v>170</v>
      </c>
      <c r="V114" s="19" t="str">
        <f>IF(OR($H114="",$H114="sif",$H114="PM"),"",VLOOKUP($H114,[5]CU!$C$5:$J$255,8,FALSE))</f>
        <v>3. Dépenses de fonctionnement</v>
      </c>
      <c r="W114" s="18" t="s">
        <v>192</v>
      </c>
      <c r="X114" s="18" t="s">
        <v>192</v>
      </c>
      <c r="Y114" s="19" t="s">
        <v>32</v>
      </c>
      <c r="Z114" s="19" t="str">
        <f>A114 &amp; "-" &amp; VLOOKUP(A114,[4]PROGRAMMES!$E$1:$F$7,2,FALSE)</f>
        <v>1-Accès et équité à l'enseignement général</v>
      </c>
      <c r="AA114" s="19" t="str">
        <f>B114 &amp; "-" &amp; VLOOKUP(B114,[4]SOUSPROGRAMMES!$E$1:$F$44,2,FALSE)</f>
        <v>12- Accès équitable et achèvement du primaire</v>
      </c>
      <c r="AB114" s="19" t="str">
        <f>C114 &amp; "-" &amp; VLOOKUP(C114,[4]RESULTATS!$E$1:$F$176,2,FALSE)</f>
        <v xml:space="preserve">121- Tous les enfants de 6 ans sont inscrits au primaire </v>
      </c>
      <c r="AC114" s="20" t="str">
        <f>D114 &amp; "-" &amp; VLOOKUP(D114,[4]STRATEGIES!$E$1:$F$504,2,FALSE)</f>
        <v>1214-Mise en place d'une stratégie de scolarisation des enfants des foyers coraniques et des centres de mémorisation du Saint Coran</v>
      </c>
      <c r="AD114" s="21" t="str">
        <f t="shared" si="13"/>
        <v>12145-Suivi/évaluation de la mise en œuvre de la stratégie</v>
      </c>
    </row>
    <row r="115" spans="1:30" s="22" customFormat="1" ht="30" customHeight="1" x14ac:dyDescent="0.8">
      <c r="A115" s="14">
        <v>1</v>
      </c>
      <c r="B115" s="15">
        <v>12</v>
      </c>
      <c r="C115" s="15">
        <v>121</v>
      </c>
      <c r="D115" s="15">
        <v>1214</v>
      </c>
      <c r="E115" s="14">
        <v>12145</v>
      </c>
      <c r="F115" s="16" t="s">
        <v>201</v>
      </c>
      <c r="G115" s="21" t="s">
        <v>58</v>
      </c>
      <c r="H115" s="17" t="s">
        <v>59</v>
      </c>
      <c r="I115" s="56">
        <v>0</v>
      </c>
      <c r="J115" s="56"/>
      <c r="K115" s="56">
        <f>(4*10*8)*50%</f>
        <v>160</v>
      </c>
      <c r="L115" s="56">
        <f>(4*5*8)*50%</f>
        <v>80</v>
      </c>
      <c r="M115" s="56">
        <f t="shared" si="15"/>
        <v>240</v>
      </c>
      <c r="N115" s="56">
        <f>IF(OR(H115="",H115="sif",H115="PM"),0,VLOOKUP(H115,[5]CU!$C$4:$H$255,6,FALSE))</f>
        <v>0.8177777777777776</v>
      </c>
      <c r="O115" s="56">
        <f t="shared" si="20"/>
        <v>0</v>
      </c>
      <c r="P115" s="56">
        <f t="shared" si="20"/>
        <v>0</v>
      </c>
      <c r="Q115" s="56">
        <f t="shared" si="20"/>
        <v>130.84444444444441</v>
      </c>
      <c r="R115" s="56">
        <f t="shared" si="20"/>
        <v>65.422222222222203</v>
      </c>
      <c r="S115" s="56">
        <f t="shared" si="21"/>
        <v>196.26666666666659</v>
      </c>
      <c r="T115" s="23" t="s">
        <v>2128</v>
      </c>
      <c r="U115" s="18" t="s">
        <v>170</v>
      </c>
      <c r="V115" s="19" t="str">
        <f>IF(OR($H115="",$H115="sif",$H115="PM"),"",VLOOKUP($H115,[5]CU!$C$5:$J$255,8,FALSE))</f>
        <v>3. Dépenses de fonctionnement</v>
      </c>
      <c r="W115" s="18" t="s">
        <v>192</v>
      </c>
      <c r="X115" s="18" t="s">
        <v>192</v>
      </c>
      <c r="Y115" s="19" t="s">
        <v>32</v>
      </c>
      <c r="Z115" s="19" t="str">
        <f>A115 &amp; "-" &amp; VLOOKUP(A115,[4]PROGRAMMES!$E$1:$F$7,2,FALSE)</f>
        <v>1-Accès et équité à l'enseignement général</v>
      </c>
      <c r="AA115" s="19" t="str">
        <f>B115 &amp; "-" &amp; VLOOKUP(B115,[4]SOUSPROGRAMMES!$E$1:$F$44,2,FALSE)</f>
        <v>12- Accès équitable et achèvement du primaire</v>
      </c>
      <c r="AB115" s="19" t="str">
        <f>C115 &amp; "-" &amp; VLOOKUP(C115,[4]RESULTATS!$E$1:$F$176,2,FALSE)</f>
        <v xml:space="preserve">121- Tous les enfants de 6 ans sont inscrits au primaire </v>
      </c>
      <c r="AC115" s="20" t="str">
        <f>D115 &amp; "-" &amp; VLOOKUP(D115,[4]STRATEGIES!$E$1:$F$504,2,FALSE)</f>
        <v>1214-Mise en place d'une stratégie de scolarisation des enfants des foyers coraniques et des centres de mémorisation du Saint Coran</v>
      </c>
      <c r="AD115" s="21" t="str">
        <f t="shared" si="13"/>
        <v>12145-Suivi/évaluation de la mise en œuvre de la stratégie</v>
      </c>
    </row>
    <row r="116" spans="1:30" s="22" customFormat="1" ht="45" customHeight="1" x14ac:dyDescent="0.8">
      <c r="A116" s="14">
        <v>1</v>
      </c>
      <c r="B116" s="15">
        <v>12</v>
      </c>
      <c r="C116" s="15">
        <v>122</v>
      </c>
      <c r="D116" s="15">
        <v>122</v>
      </c>
      <c r="E116" s="14">
        <v>122</v>
      </c>
      <c r="F116" s="16" t="s">
        <v>202</v>
      </c>
      <c r="G116" s="17"/>
      <c r="H116" s="17"/>
      <c r="I116" s="56">
        <v>0</v>
      </c>
      <c r="J116" s="56"/>
      <c r="K116" s="56"/>
      <c r="L116" s="56"/>
      <c r="M116" s="56"/>
      <c r="N116" s="56"/>
      <c r="O116" s="56"/>
      <c r="P116" s="56"/>
      <c r="Q116" s="56"/>
      <c r="R116" s="56"/>
      <c r="S116" s="56"/>
      <c r="T116" s="18"/>
      <c r="U116" s="18"/>
      <c r="V116" s="19"/>
      <c r="W116" s="18"/>
      <c r="X116" s="18"/>
      <c r="Y116" s="19" t="s">
        <v>32</v>
      </c>
      <c r="Z116" s="19" t="str">
        <f>A116 &amp; "-" &amp; VLOOKUP(A116,[4]PROGRAMMES!$E$1:$F$7,2,FALSE)</f>
        <v>1-Accès et équité à l'enseignement général</v>
      </c>
      <c r="AA116" s="19" t="str">
        <f>B116 &amp; "-" &amp; VLOOKUP(B116,[4]SOUSPROGRAMMES!$E$1:$F$44,2,FALSE)</f>
        <v>12- Accès équitable et achèvement du primaire</v>
      </c>
      <c r="AB116" s="19" t="str">
        <f>C116 &amp; "-" &amp; VLOOKUP(C116,[4]RESULTATS!$E$1:$F$176,2,FALSE)</f>
        <v xml:space="preserve">122- Toutes les localités disposent d’écoles primaires avec des infrastructures adéquates  </v>
      </c>
      <c r="AC116" s="20" t="str">
        <f>D116 &amp; "-" &amp; VLOOKUP(D116,[4]STRATEGIES!$E$1:$F$504,2,FALSE)</f>
        <v xml:space="preserve">122- Toutes les localités disposent d’écoles primaires avec des infrastructures adéquates  </v>
      </c>
      <c r="AD116" s="21" t="str">
        <f t="shared" si="13"/>
        <v xml:space="preserve">122- Toutes les localités disposent d’écoles primaires avec des infrastructures adéquates  </v>
      </c>
    </row>
    <row r="117" spans="1:30" s="22" customFormat="1" ht="45" customHeight="1" x14ac:dyDescent="0.8">
      <c r="A117" s="14">
        <v>1</v>
      </c>
      <c r="B117" s="15">
        <v>12</v>
      </c>
      <c r="C117" s="15">
        <v>122</v>
      </c>
      <c r="D117" s="15">
        <v>1221</v>
      </c>
      <c r="E117" s="14">
        <v>1221</v>
      </c>
      <c r="F117" s="16" t="s">
        <v>203</v>
      </c>
      <c r="G117" s="17"/>
      <c r="H117" s="17"/>
      <c r="I117" s="56">
        <v>0</v>
      </c>
      <c r="J117" s="56"/>
      <c r="K117" s="56"/>
      <c r="L117" s="56"/>
      <c r="M117" s="56"/>
      <c r="N117" s="56"/>
      <c r="O117" s="56"/>
      <c r="P117" s="56"/>
      <c r="Q117" s="56"/>
      <c r="R117" s="56"/>
      <c r="S117" s="56"/>
      <c r="T117" s="18"/>
      <c r="U117" s="18"/>
      <c r="V117" s="19"/>
      <c r="W117" s="18"/>
      <c r="X117" s="18"/>
      <c r="Y117" s="19" t="s">
        <v>32</v>
      </c>
      <c r="Z117" s="19" t="str">
        <f>A117 &amp; "-" &amp; VLOOKUP(A117,[4]PROGRAMMES!$E$1:$F$7,2,FALSE)</f>
        <v>1-Accès et équité à l'enseignement général</v>
      </c>
      <c r="AA117" s="19" t="str">
        <f>B117 &amp; "-" &amp; VLOOKUP(B117,[4]SOUSPROGRAMMES!$E$1:$F$44,2,FALSE)</f>
        <v>12- Accès équitable et achèvement du primaire</v>
      </c>
      <c r="AB117" s="19" t="str">
        <f>C117 &amp; "-" &amp; VLOOKUP(C117,[4]RESULTATS!$E$1:$F$176,2,FALSE)</f>
        <v xml:space="preserve">122- Toutes les localités disposent d’écoles primaires avec des infrastructures adéquates  </v>
      </c>
      <c r="AC117" s="20" t="str">
        <f>D117 &amp; "-" &amp; VLOOKUP(D117,[4]STRATEGIES!$E$1:$F$504,2,FALSE)</f>
        <v>1221-Rénovation/réhabilitation de salles de classe en tenant compte de la prévention des catastrophes naturels, y compris dans les FA</v>
      </c>
      <c r="AD117" s="21" t="str">
        <f t="shared" si="13"/>
        <v>1221-Rénovation/réhabilitation de salles de classe en tenant compte de la prévention des catastrophes naturels, y compris dans les FA</v>
      </c>
    </row>
    <row r="118" spans="1:30" s="22" customFormat="1" ht="45" hidden="1" customHeight="1" x14ac:dyDescent="0.8">
      <c r="A118" s="14">
        <v>1</v>
      </c>
      <c r="B118" s="15">
        <v>12</v>
      </c>
      <c r="C118" s="15">
        <v>122</v>
      </c>
      <c r="D118" s="15">
        <v>1221</v>
      </c>
      <c r="E118" s="14">
        <v>12211</v>
      </c>
      <c r="F118" s="16" t="s">
        <v>204</v>
      </c>
      <c r="G118" s="21" t="s">
        <v>159</v>
      </c>
      <c r="H118" s="17" t="s">
        <v>55</v>
      </c>
      <c r="I118" s="56">
        <v>0</v>
      </c>
      <c r="J118" s="56"/>
      <c r="K118" s="56"/>
      <c r="L118" s="56"/>
      <c r="M118" s="56"/>
      <c r="N118" s="56">
        <f>IF(OR(H118="",H118="sif",H118="PM"),0,VLOOKUP(H118,[5]CU!$C$4:$H$255,6,FALSE))</f>
        <v>0</v>
      </c>
      <c r="O118" s="56"/>
      <c r="P118" s="56"/>
      <c r="Q118" s="56"/>
      <c r="R118" s="56"/>
      <c r="S118" s="56"/>
      <c r="T118" s="23" t="s">
        <v>56</v>
      </c>
      <c r="U118" s="18" t="s">
        <v>170</v>
      </c>
      <c r="V118" s="19" t="str">
        <f>IF(OR($H118="",$H118="sif",$H118="PM"),"",VLOOKUP($H118,[5]CU!$C$5:$J$255,8,FALSE))</f>
        <v/>
      </c>
      <c r="W118" s="18" t="s">
        <v>205</v>
      </c>
      <c r="X118" s="18" t="s">
        <v>206</v>
      </c>
      <c r="Y118" s="19" t="s">
        <v>32</v>
      </c>
      <c r="Z118" s="19" t="str">
        <f>A118 &amp; "-" &amp; VLOOKUP(A118,[4]PROGRAMMES!$E$1:$F$7,2,FALSE)</f>
        <v>1-Accès et équité à l'enseignement général</v>
      </c>
      <c r="AA118" s="19" t="str">
        <f>B118 &amp; "-" &amp; VLOOKUP(B118,[4]SOUSPROGRAMMES!$E$1:$F$44,2,FALSE)</f>
        <v>12- Accès équitable et achèvement du primaire</v>
      </c>
      <c r="AB118" s="19" t="str">
        <f>C118 &amp; "-" &amp; VLOOKUP(C118,[4]RESULTATS!$E$1:$F$176,2,FALSE)</f>
        <v xml:space="preserve">122- Toutes les localités disposent d’écoles primaires avec des infrastructures adéquates  </v>
      </c>
      <c r="AC118" s="20" t="str">
        <f>D118 &amp; "-" &amp; VLOOKUP(D118,[4]STRATEGIES!$E$1:$F$504,2,FALSE)</f>
        <v>1221-Rénovation/réhabilitation de salles de classe en tenant compte de la prévention des catastrophes naturels, y compris dans les FA</v>
      </c>
      <c r="AD118" s="21" t="str">
        <f t="shared" si="13"/>
        <v>12211-Identification des écoles devant bénéficier de réhabilitation ou de rénovation de salles de classe en tenant compte de la prévention des catastrophes naturels (travaux effectués par les communes)</v>
      </c>
    </row>
    <row r="119" spans="1:30" s="22" customFormat="1" ht="45" hidden="1" customHeight="1" x14ac:dyDescent="0.8">
      <c r="A119" s="14">
        <v>1</v>
      </c>
      <c r="B119" s="15">
        <v>12</v>
      </c>
      <c r="C119" s="15">
        <v>122</v>
      </c>
      <c r="D119" s="15">
        <v>1221</v>
      </c>
      <c r="E119" s="14">
        <v>12212</v>
      </c>
      <c r="F119" s="16" t="s">
        <v>207</v>
      </c>
      <c r="G119" s="21" t="s">
        <v>208</v>
      </c>
      <c r="H119" s="17" t="s">
        <v>209</v>
      </c>
      <c r="I119" s="56">
        <v>0</v>
      </c>
      <c r="J119" s="56">
        <v>232</v>
      </c>
      <c r="K119" s="56">
        <v>232</v>
      </c>
      <c r="L119" s="56">
        <v>232</v>
      </c>
      <c r="M119" s="56">
        <f t="shared" ref="M119:M189" si="22">SUM(I119:L119)</f>
        <v>696</v>
      </c>
      <c r="N119" s="56">
        <f>IF(OR(H119="",H119="sif",H119="PM"),0,VLOOKUP(H119,[5]CU!$C$4:$H$255,6,FALSE))</f>
        <v>25</v>
      </c>
      <c r="O119" s="56">
        <f t="shared" ref="O119:R120" si="23">$N119*I119</f>
        <v>0</v>
      </c>
      <c r="P119" s="56">
        <f t="shared" si="23"/>
        <v>5800</v>
      </c>
      <c r="Q119" s="56">
        <f t="shared" si="23"/>
        <v>5800</v>
      </c>
      <c r="R119" s="56">
        <f t="shared" si="23"/>
        <v>5800</v>
      </c>
      <c r="S119" s="56">
        <f>SUM(O119:R119)</f>
        <v>17400</v>
      </c>
      <c r="T119" s="23" t="s">
        <v>56</v>
      </c>
      <c r="U119" s="18" t="s">
        <v>170</v>
      </c>
      <c r="V119" s="19" t="str">
        <f>IF(OR($H119="",$H119="sif",$H119="PM"),"",VLOOKUP($H119,[5]CU!$C$5:$J$255,8,FALSE))</f>
        <v>5. Investissement</v>
      </c>
      <c r="W119" s="18" t="s">
        <v>205</v>
      </c>
      <c r="X119" s="18" t="s">
        <v>210</v>
      </c>
      <c r="Y119" s="19" t="s">
        <v>32</v>
      </c>
      <c r="Z119" s="19" t="str">
        <f>A119 &amp; "-" &amp; VLOOKUP(A119,[4]PROGRAMMES!$E$1:$F$7,2,FALSE)</f>
        <v>1-Accès et équité à l'enseignement général</v>
      </c>
      <c r="AA119" s="19" t="str">
        <f>B119 &amp; "-" &amp; VLOOKUP(B119,[4]SOUSPROGRAMMES!$E$1:$F$44,2,FALSE)</f>
        <v>12- Accès équitable et achèvement du primaire</v>
      </c>
      <c r="AB119" s="19" t="str">
        <f>C119 &amp; "-" &amp; VLOOKUP(C119,[4]RESULTATS!$E$1:$F$176,2,FALSE)</f>
        <v xml:space="preserve">122- Toutes les localités disposent d’écoles primaires avec des infrastructures adéquates  </v>
      </c>
      <c r="AC119" s="20" t="str">
        <f>D119 &amp; "-" &amp; VLOOKUP(D119,[4]STRATEGIES!$E$1:$F$504,2,FALSE)</f>
        <v>1221-Rénovation/réhabilitation de salles de classe en tenant compte de la prévention des catastrophes naturels, y compris dans les FA</v>
      </c>
      <c r="AD119" s="21" t="str">
        <f t="shared" si="13"/>
        <v>12212-Rénovation/réhabilitation de salles de classe, y compris dans les FA</v>
      </c>
    </row>
    <row r="120" spans="1:30" s="22" customFormat="1" ht="45" hidden="1" customHeight="1" x14ac:dyDescent="0.8">
      <c r="A120" s="14">
        <v>1</v>
      </c>
      <c r="B120" s="15">
        <v>12</v>
      </c>
      <c r="C120" s="15">
        <v>122</v>
      </c>
      <c r="D120" s="15">
        <v>1221</v>
      </c>
      <c r="E120" s="14">
        <v>12213</v>
      </c>
      <c r="F120" s="16" t="s">
        <v>211</v>
      </c>
      <c r="G120" s="21" t="s">
        <v>109</v>
      </c>
      <c r="H120" s="17" t="s">
        <v>138</v>
      </c>
      <c r="I120" s="56">
        <v>0</v>
      </c>
      <c r="J120" s="56">
        <f>J119</f>
        <v>232</v>
      </c>
      <c r="K120" s="56">
        <f>K119</f>
        <v>232</v>
      </c>
      <c r="L120" s="56">
        <f>L119</f>
        <v>232</v>
      </c>
      <c r="M120" s="56">
        <f t="shared" si="22"/>
        <v>696</v>
      </c>
      <c r="N120" s="56">
        <f>IF(OR(H120="",H120="sif",H120="PM"),0,VLOOKUP(H120,[5]CU!$C$4:$H$255,6,FALSE))</f>
        <v>1.7549999999999999</v>
      </c>
      <c r="O120" s="56">
        <f t="shared" si="23"/>
        <v>0</v>
      </c>
      <c r="P120" s="56">
        <f t="shared" si="23"/>
        <v>407.15999999999997</v>
      </c>
      <c r="Q120" s="56">
        <f t="shared" si="23"/>
        <v>407.15999999999997</v>
      </c>
      <c r="R120" s="56">
        <f t="shared" si="23"/>
        <v>407.15999999999997</v>
      </c>
      <c r="S120" s="56">
        <f>SUM(O120:R120)</f>
        <v>1221.48</v>
      </c>
      <c r="T120" s="23" t="s">
        <v>56</v>
      </c>
      <c r="U120" s="18" t="s">
        <v>170</v>
      </c>
      <c r="V120" s="19" t="str">
        <f>IF(OR($H120="",$H120="sif",$H120="PM"),"",VLOOKUP($H120,[5]CU!$C$5:$J$255,8,FALSE))</f>
        <v>5. Investissement</v>
      </c>
      <c r="W120" s="18" t="s">
        <v>205</v>
      </c>
      <c r="X120" s="18" t="s">
        <v>210</v>
      </c>
      <c r="Y120" s="19" t="s">
        <v>32</v>
      </c>
      <c r="Z120" s="19" t="str">
        <f>A120 &amp; "-" &amp; VLOOKUP(A120,[4]PROGRAMMES!$E$1:$F$7,2,FALSE)</f>
        <v>1-Accès et équité à l'enseignement général</v>
      </c>
      <c r="AA120" s="19" t="str">
        <f>B120 &amp; "-" &amp; VLOOKUP(B120,[4]SOUSPROGRAMMES!$E$1:$F$44,2,FALSE)</f>
        <v>12- Accès équitable et achèvement du primaire</v>
      </c>
      <c r="AB120" s="19" t="str">
        <f>C120 &amp; "-" &amp; VLOOKUP(C120,[4]RESULTATS!$E$1:$F$176,2,FALSE)</f>
        <v xml:space="preserve">122- Toutes les localités disposent d’écoles primaires avec des infrastructures adéquates  </v>
      </c>
      <c r="AC120" s="20" t="str">
        <f>D120 &amp; "-" &amp; VLOOKUP(D120,[4]STRATEGIES!$E$1:$F$504,2,FALSE)</f>
        <v>1221-Rénovation/réhabilitation de salles de classe en tenant compte de la prévention des catastrophes naturels, y compris dans les FA</v>
      </c>
      <c r="AD120" s="21" t="str">
        <f t="shared" si="13"/>
        <v>12213-Supervision des travaux de réhabilitation/rénovation des salles de classe</v>
      </c>
    </row>
    <row r="121" spans="1:30" s="22" customFormat="1" ht="45" hidden="1" customHeight="1" x14ac:dyDescent="0.8">
      <c r="A121" s="14">
        <v>1</v>
      </c>
      <c r="B121" s="15">
        <v>12</v>
      </c>
      <c r="C121" s="15">
        <v>122</v>
      </c>
      <c r="D121" s="15">
        <v>1221</v>
      </c>
      <c r="E121" s="14">
        <v>12214</v>
      </c>
      <c r="F121" s="16" t="s">
        <v>212</v>
      </c>
      <c r="G121" s="21" t="s">
        <v>213</v>
      </c>
      <c r="H121" s="17" t="s">
        <v>55</v>
      </c>
      <c r="I121" s="56">
        <v>0</v>
      </c>
      <c r="J121" s="56">
        <v>1</v>
      </c>
      <c r="K121" s="56">
        <v>1</v>
      </c>
      <c r="L121" s="56">
        <v>1</v>
      </c>
      <c r="M121" s="56">
        <f t="shared" si="22"/>
        <v>3</v>
      </c>
      <c r="N121" s="56">
        <f>IF(OR(H121="",H121="sif",H121="PM"),0,VLOOKUP(H121,[5]CU!$C$4:$H$255,6,FALSE))</f>
        <v>0</v>
      </c>
      <c r="O121" s="56"/>
      <c r="P121" s="56"/>
      <c r="Q121" s="56"/>
      <c r="R121" s="56"/>
      <c r="S121" s="56"/>
      <c r="T121" s="23" t="s">
        <v>56</v>
      </c>
      <c r="U121" s="18" t="s">
        <v>170</v>
      </c>
      <c r="V121" s="19" t="str">
        <f>IF(OR($H121="",$H121="sif",$H121="PM"),"",VLOOKUP($H121,[5]CU!$C$5:$J$255,8,FALSE))</f>
        <v/>
      </c>
      <c r="W121" s="18" t="s">
        <v>205</v>
      </c>
      <c r="X121" s="18" t="s">
        <v>210</v>
      </c>
      <c r="Y121" s="19" t="s">
        <v>32</v>
      </c>
      <c r="Z121" s="19" t="str">
        <f>A121 &amp; "-" &amp; VLOOKUP(A121,[4]PROGRAMMES!$E$1:$F$7,2,FALSE)</f>
        <v>1-Accès et équité à l'enseignement général</v>
      </c>
      <c r="AA121" s="19" t="str">
        <f>B121 &amp; "-" &amp; VLOOKUP(B121,[4]SOUSPROGRAMMES!$E$1:$F$44,2,FALSE)</f>
        <v>12- Accès équitable et achèvement du primaire</v>
      </c>
      <c r="AB121" s="19" t="str">
        <f>C121 &amp; "-" &amp; VLOOKUP(C121,[4]RESULTATS!$E$1:$F$176,2,FALSE)</f>
        <v xml:space="preserve">122- Toutes les localités disposent d’écoles primaires avec des infrastructures adéquates  </v>
      </c>
      <c r="AC121" s="20" t="str">
        <f>D121 &amp; "-" &amp; VLOOKUP(D121,[4]STRATEGIES!$E$1:$F$504,2,FALSE)</f>
        <v>1221-Rénovation/réhabilitation de salles de classe en tenant compte de la prévention des catastrophes naturels, y compris dans les FA</v>
      </c>
      <c r="AD121" s="21" t="str">
        <f t="shared" si="13"/>
        <v>12214-Suivi/évaluation de la réhabilitation/rénovation des salles de classe (voir suivi construction activité 122210)</v>
      </c>
    </row>
    <row r="122" spans="1:30" s="22" customFormat="1" ht="45" customHeight="1" x14ac:dyDescent="0.8">
      <c r="A122" s="14">
        <v>1</v>
      </c>
      <c r="B122" s="15">
        <v>12</v>
      </c>
      <c r="C122" s="15">
        <v>122</v>
      </c>
      <c r="D122" s="15">
        <v>1222</v>
      </c>
      <c r="E122" s="14">
        <v>1222</v>
      </c>
      <c r="F122" s="16" t="s">
        <v>214</v>
      </c>
      <c r="G122" s="17"/>
      <c r="H122" s="17"/>
      <c r="I122" s="56">
        <v>0</v>
      </c>
      <c r="J122" s="56"/>
      <c r="K122" s="56"/>
      <c r="L122" s="56"/>
      <c r="M122" s="56"/>
      <c r="N122" s="56"/>
      <c r="O122" s="56"/>
      <c r="P122" s="56"/>
      <c r="Q122" s="56"/>
      <c r="R122" s="56"/>
      <c r="S122" s="56"/>
      <c r="T122" s="18"/>
      <c r="U122" s="18"/>
      <c r="V122" s="19"/>
      <c r="W122" s="18"/>
      <c r="X122" s="18"/>
      <c r="Y122" s="19" t="s">
        <v>32</v>
      </c>
      <c r="Z122" s="19" t="str">
        <f>A122 &amp; "-" &amp; VLOOKUP(A122,[4]PROGRAMMES!$E$1:$F$7,2,FALSE)</f>
        <v>1-Accès et équité à l'enseignement général</v>
      </c>
      <c r="AA122" s="19" t="str">
        <f>B122 &amp; "-" &amp; VLOOKUP(B122,[4]SOUSPROGRAMMES!$E$1:$F$44,2,FALSE)</f>
        <v>12- Accès équitable et achèvement du primaire</v>
      </c>
      <c r="AB122" s="19" t="str">
        <f>C122 &amp; "-" &amp; VLOOKUP(C122,[4]RESULTATS!$E$1:$F$176,2,FALSE)</f>
        <v xml:space="preserve">122- Toutes les localités disposent d’écoles primaires avec des infrastructures adéquates  </v>
      </c>
      <c r="AC122" s="20" t="str">
        <f>D122 &amp; "-" &amp; VLOOKUP(D122,[4]STRATEGIES!$E$1:$F$504,2,FALSE)</f>
        <v>1222-Construction et équipement de salles de classe au primaire avec rampe d’accès et en tenant compte de la prévention des catastrophes naturels</v>
      </c>
      <c r="AD122" s="21" t="str">
        <f t="shared" si="13"/>
        <v>1222-Construction et équipement de salles de classe au primaire avec rampe d’accès et en tenant compte de la prévention des catastrophes naturels</v>
      </c>
    </row>
    <row r="123" spans="1:30" s="22" customFormat="1" ht="45" hidden="1" customHeight="1" x14ac:dyDescent="0.8">
      <c r="A123" s="14">
        <v>1</v>
      </c>
      <c r="B123" s="15">
        <v>12</v>
      </c>
      <c r="C123" s="15">
        <v>122</v>
      </c>
      <c r="D123" s="15">
        <v>1222</v>
      </c>
      <c r="E123" s="14">
        <v>12221</v>
      </c>
      <c r="F123" s="16" t="s">
        <v>215</v>
      </c>
      <c r="G123" s="21" t="s">
        <v>88</v>
      </c>
      <c r="H123" s="17" t="s">
        <v>55</v>
      </c>
      <c r="I123" s="56">
        <v>0</v>
      </c>
      <c r="J123" s="56">
        <v>1</v>
      </c>
      <c r="K123" s="56">
        <v>1</v>
      </c>
      <c r="L123" s="56">
        <v>1</v>
      </c>
      <c r="M123" s="56">
        <f t="shared" si="22"/>
        <v>3</v>
      </c>
      <c r="N123" s="56">
        <f>IF(OR(H123="",H123="sif",H123="PM"),0,VLOOKUP(H123,[5]CU!$C$4:$H$255,6,FALSE))</f>
        <v>0</v>
      </c>
      <c r="O123" s="56"/>
      <c r="P123" s="56"/>
      <c r="Q123" s="56"/>
      <c r="R123" s="56"/>
      <c r="S123" s="56"/>
      <c r="T123" s="23" t="s">
        <v>56</v>
      </c>
      <c r="U123" s="18" t="s">
        <v>170</v>
      </c>
      <c r="V123" s="19" t="str">
        <f>IF(OR($H123="",$H123="sif",$H123="PM"),"",VLOOKUP($H123,[5]CU!$C$5:$J$255,8,FALSE))</f>
        <v/>
      </c>
      <c r="W123" s="18" t="s">
        <v>96</v>
      </c>
      <c r="X123" s="18" t="s">
        <v>77</v>
      </c>
      <c r="Y123" s="19" t="s">
        <v>32</v>
      </c>
      <c r="Z123" s="19" t="str">
        <f>A123 &amp; "-" &amp; VLOOKUP(A123,[4]PROGRAMMES!$E$1:$F$7,2,FALSE)</f>
        <v>1-Accès et équité à l'enseignement général</v>
      </c>
      <c r="AA123" s="19" t="str">
        <f>B123 &amp; "-" &amp; VLOOKUP(B123,[4]SOUSPROGRAMMES!$E$1:$F$44,2,FALSE)</f>
        <v>12- Accès équitable et achèvement du primaire</v>
      </c>
      <c r="AB123" s="19" t="str">
        <f>C123 &amp; "-" &amp; VLOOKUP(C123,[4]RESULTATS!$E$1:$F$176,2,FALSE)</f>
        <v xml:space="preserve">122- Toutes les localités disposent d’écoles primaires avec des infrastructures adéquates  </v>
      </c>
      <c r="AC123" s="20" t="str">
        <f>D123 &amp; "-" &amp; VLOOKUP(D123,[4]STRATEGIES!$E$1:$F$504,2,FALSE)</f>
        <v>1222-Construction et équipement de salles de classe au primaire avec rampe d’accès et en tenant compte de la prévention des catastrophes naturels</v>
      </c>
      <c r="AD123" s="21" t="str">
        <f t="shared" si="13"/>
        <v>12221-Identification de sites de nouvelles constructions ou d'extension</v>
      </c>
    </row>
    <row r="124" spans="1:30" ht="45" hidden="1" customHeight="1" x14ac:dyDescent="0.8">
      <c r="A124" s="25">
        <v>1</v>
      </c>
      <c r="B124" s="16">
        <v>12</v>
      </c>
      <c r="C124" s="16">
        <v>122</v>
      </c>
      <c r="D124" s="16">
        <v>1222</v>
      </c>
      <c r="E124" s="25">
        <v>12222</v>
      </c>
      <c r="F124" s="16" t="s">
        <v>216</v>
      </c>
      <c r="G124" s="21" t="s">
        <v>58</v>
      </c>
      <c r="H124" s="21" t="s">
        <v>59</v>
      </c>
      <c r="I124" s="56">
        <v>0</v>
      </c>
      <c r="J124" s="57"/>
      <c r="K124" s="57">
        <f>15*10*2</f>
        <v>300</v>
      </c>
      <c r="L124" s="57">
        <f>15*10</f>
        <v>150</v>
      </c>
      <c r="M124" s="57">
        <f t="shared" si="22"/>
        <v>450</v>
      </c>
      <c r="N124" s="57">
        <f>IF(OR(H124="",H124="sif",H124="PM"),0,VLOOKUP(H124,[5]CU!$C$4:$H$255,6,FALSE))</f>
        <v>0.8177777777777776</v>
      </c>
      <c r="O124" s="57">
        <f t="shared" ref="O124:R141" si="24">$N124*I124</f>
        <v>0</v>
      </c>
      <c r="P124" s="57">
        <f t="shared" si="24"/>
        <v>0</v>
      </c>
      <c r="Q124" s="57">
        <f>$N124*K124</f>
        <v>245.33333333333329</v>
      </c>
      <c r="R124" s="57">
        <f t="shared" si="24"/>
        <v>122.66666666666664</v>
      </c>
      <c r="S124" s="57">
        <f t="shared" ref="S124:S141" si="25">SUM(O124:R124)</f>
        <v>367.99999999999994</v>
      </c>
      <c r="T124" s="26" t="s">
        <v>169</v>
      </c>
      <c r="U124" s="19" t="s">
        <v>170</v>
      </c>
      <c r="V124" s="19" t="str">
        <f>IF(OR($H124="",$H124="sif",$H124="PM"),"",VLOOKUP($H124,[5]CU!$C$5:$J$255,8,FALSE))</f>
        <v>3. Dépenses de fonctionnement</v>
      </c>
      <c r="W124" s="19" t="s">
        <v>96</v>
      </c>
      <c r="X124" s="19" t="s">
        <v>98</v>
      </c>
      <c r="Y124" s="19" t="s">
        <v>32</v>
      </c>
      <c r="Z124" s="19" t="str">
        <f>A124 &amp; "-" &amp; VLOOKUP(A124,[4]PROGRAMMES!$E$1:$F$7,2,FALSE)</f>
        <v>1-Accès et équité à l'enseignement général</v>
      </c>
      <c r="AA124" s="19" t="str">
        <f>B124 &amp; "-" &amp; VLOOKUP(B124,[4]SOUSPROGRAMMES!$E$1:$F$44,2,FALSE)</f>
        <v>12- Accès équitable et achèvement du primaire</v>
      </c>
      <c r="AB124" s="19" t="str">
        <f>C124 &amp; "-" &amp; VLOOKUP(C124,[4]RESULTATS!$E$1:$F$176,2,FALSE)</f>
        <v xml:space="preserve">122- Toutes les localités disposent d’écoles primaires avec des infrastructures adéquates  </v>
      </c>
      <c r="AC124" s="20" t="str">
        <f>D124 &amp; "-" &amp; VLOOKUP(D124,[4]STRATEGIES!$E$1:$F$504,2,FALSE)</f>
        <v>1222-Construction et équipement de salles de classe au primaire avec rampe d’accès et en tenant compte de la prévention des catastrophes naturels</v>
      </c>
      <c r="AD124" s="21" t="str">
        <f t="shared" si="13"/>
        <v>12222-Validation des sites devant bénéficier de construction de salles de classe</v>
      </c>
    </row>
    <row r="125" spans="1:30" s="22" customFormat="1" ht="45" hidden="1" customHeight="1" x14ac:dyDescent="0.8">
      <c r="A125" s="14">
        <v>1</v>
      </c>
      <c r="B125" s="15">
        <v>12</v>
      </c>
      <c r="C125" s="15">
        <v>122</v>
      </c>
      <c r="D125" s="15">
        <v>1222</v>
      </c>
      <c r="E125" s="14">
        <v>12223</v>
      </c>
      <c r="F125" s="16" t="s">
        <v>217</v>
      </c>
      <c r="G125" s="21" t="s">
        <v>103</v>
      </c>
      <c r="H125" s="17" t="s">
        <v>218</v>
      </c>
      <c r="I125" s="56">
        <v>0</v>
      </c>
      <c r="J125" s="56">
        <f>(4167/2)*20%</f>
        <v>416.70000000000005</v>
      </c>
      <c r="K125" s="56">
        <f>(4167/2)*50%</f>
        <v>1041.75</v>
      </c>
      <c r="L125" s="56">
        <f>(4167/2)*30%</f>
        <v>625.04999999999995</v>
      </c>
      <c r="M125" s="56">
        <f t="shared" si="22"/>
        <v>2083.5</v>
      </c>
      <c r="N125" s="56">
        <f>IF(OR(H125="",H125="sif",H125="PM"),0,VLOOKUP(H125,[5]CU!$C$4:$H$255,6,FALSE))</f>
        <v>138</v>
      </c>
      <c r="O125" s="56">
        <f t="shared" si="24"/>
        <v>0</v>
      </c>
      <c r="P125" s="56">
        <f t="shared" si="24"/>
        <v>57504.600000000006</v>
      </c>
      <c r="Q125" s="56">
        <f t="shared" si="24"/>
        <v>143761.5</v>
      </c>
      <c r="R125" s="56">
        <f t="shared" si="24"/>
        <v>86256.9</v>
      </c>
      <c r="S125" s="56">
        <f t="shared" si="25"/>
        <v>287523</v>
      </c>
      <c r="T125" s="23" t="s">
        <v>56</v>
      </c>
      <c r="U125" s="18" t="s">
        <v>170</v>
      </c>
      <c r="V125" s="19" t="str">
        <f>IF(OR($H125="",$H125="sif",$H125="PM"),"",VLOOKUP($H125,[5]CU!$C$5:$J$255,8,FALSE))</f>
        <v>5. Investissement</v>
      </c>
      <c r="W125" s="18" t="s">
        <v>206</v>
      </c>
      <c r="X125" s="18" t="s">
        <v>205</v>
      </c>
      <c r="Y125" s="19" t="s">
        <v>32</v>
      </c>
      <c r="Z125" s="19" t="str">
        <f>A125 &amp; "-" &amp; VLOOKUP(A125,[4]PROGRAMMES!$E$1:$F$7,2,FALSE)</f>
        <v>1-Accès et équité à l'enseignement général</v>
      </c>
      <c r="AA125" s="19" t="str">
        <f>B125 &amp; "-" &amp; VLOOKUP(B125,[4]SOUSPROGRAMMES!$E$1:$F$44,2,FALSE)</f>
        <v>12- Accès équitable et achèvement du primaire</v>
      </c>
      <c r="AB125" s="19" t="str">
        <f>C125 &amp; "-" &amp; VLOOKUP(C125,[4]RESULTATS!$E$1:$F$176,2,FALSE)</f>
        <v xml:space="preserve">122- Toutes les localités disposent d’écoles primaires avec des infrastructures adéquates  </v>
      </c>
      <c r="AC125" s="20" t="str">
        <f>D125 &amp; "-" &amp; VLOOKUP(D125,[4]STRATEGIES!$E$1:$F$504,2,FALSE)</f>
        <v>1222-Construction et équipement de salles de classe au primaire avec rampe d’accès et en tenant compte de la prévention des catastrophes naturels</v>
      </c>
      <c r="AD125" s="21" t="str">
        <f t="shared" si="13"/>
        <v>12223-Réalisation des travaux de construction des salles de classe maitrise d'ouvrage des communes</v>
      </c>
    </row>
    <row r="126" spans="1:30" s="22" customFormat="1" ht="45" hidden="1" customHeight="1" x14ac:dyDescent="0.8">
      <c r="A126" s="14">
        <v>1</v>
      </c>
      <c r="B126" s="15">
        <v>12</v>
      </c>
      <c r="C126" s="15">
        <v>122</v>
      </c>
      <c r="D126" s="15">
        <v>1222</v>
      </c>
      <c r="E126" s="14">
        <v>12224</v>
      </c>
      <c r="F126" s="16" t="s">
        <v>219</v>
      </c>
      <c r="G126" s="21" t="s">
        <v>103</v>
      </c>
      <c r="H126" s="17" t="s">
        <v>218</v>
      </c>
      <c r="I126" s="56">
        <v>0</v>
      </c>
      <c r="J126" s="56"/>
      <c r="K126" s="56"/>
      <c r="L126" s="56"/>
      <c r="M126" s="56">
        <f>SUM(I126:L126)</f>
        <v>0</v>
      </c>
      <c r="N126" s="56">
        <f>IF(OR(H126="",H126="sif",H126="PM"),0,VLOOKUP(H126,[5]CU!$C$4:$H$255,6,FALSE))</f>
        <v>138</v>
      </c>
      <c r="O126" s="56">
        <f>$N126*I126</f>
        <v>0</v>
      </c>
      <c r="P126" s="56">
        <f>$N126*J126</f>
        <v>0</v>
      </c>
      <c r="Q126" s="56">
        <f>$N126*K126</f>
        <v>0</v>
      </c>
      <c r="R126" s="56">
        <f>$N126*L126</f>
        <v>0</v>
      </c>
      <c r="S126" s="58">
        <f>SUM(O126:R126)</f>
        <v>0</v>
      </c>
      <c r="T126" s="23" t="s">
        <v>178</v>
      </c>
      <c r="U126" s="18" t="s">
        <v>170</v>
      </c>
      <c r="V126" s="19" t="str">
        <f>IF(OR($H126="",$H126="sif",$H126="PM"),"",VLOOKUP($H126,[5]CU!$C$5:$J$255,8,FALSE))</f>
        <v>5. Investissement</v>
      </c>
      <c r="W126" s="18" t="s">
        <v>98</v>
      </c>
      <c r="X126" s="18" t="s">
        <v>98</v>
      </c>
      <c r="Y126" s="19" t="s">
        <v>32</v>
      </c>
      <c r="Z126" s="19" t="str">
        <f>A126 &amp; "-" &amp; VLOOKUP(A126,[4]PROGRAMMES!$E$1:$F$7,2,FALSE)</f>
        <v>1-Accès et équité à l'enseignement général</v>
      </c>
      <c r="AA126" s="19" t="str">
        <f>B126 &amp; "-" &amp; VLOOKUP(B126,[4]SOUSPROGRAMMES!$E$1:$F$44,2,FALSE)</f>
        <v>12- Accès équitable et achèvement du primaire</v>
      </c>
      <c r="AB126" s="19" t="str">
        <f>C126 &amp; "-" &amp; VLOOKUP(C126,[4]RESULTATS!$E$1:$F$176,2,FALSE)</f>
        <v xml:space="preserve">122- Toutes les localités disposent d’écoles primaires avec des infrastructures adéquates  </v>
      </c>
      <c r="AC126" s="20" t="str">
        <f>D126 &amp; "-" &amp; VLOOKUP(D126,[4]STRATEGIES!$E$1:$F$504,2,FALSE)</f>
        <v>1222-Construction et équipement de salles de classe au primaire avec rampe d’accès et en tenant compte de la prévention des catastrophes naturels</v>
      </c>
      <c r="AD126" s="21" t="str">
        <f t="shared" si="13"/>
        <v>12224-Réalisation des travaux de construction des salles de classe maitrise d'ouvrage SNIES</v>
      </c>
    </row>
    <row r="127" spans="1:30" ht="45" hidden="1" customHeight="1" x14ac:dyDescent="0.8">
      <c r="A127" s="25">
        <v>1</v>
      </c>
      <c r="B127" s="16">
        <v>12</v>
      </c>
      <c r="C127" s="16">
        <v>122</v>
      </c>
      <c r="D127" s="16">
        <v>1222</v>
      </c>
      <c r="E127" s="25">
        <v>12224</v>
      </c>
      <c r="F127" s="16" t="s">
        <v>219</v>
      </c>
      <c r="G127" s="21" t="s">
        <v>103</v>
      </c>
      <c r="H127" s="21" t="s">
        <v>218</v>
      </c>
      <c r="I127" s="56">
        <v>0</v>
      </c>
      <c r="J127" s="57">
        <v>0</v>
      </c>
      <c r="K127" s="57">
        <v>180</v>
      </c>
      <c r="L127" s="57">
        <v>90</v>
      </c>
      <c r="M127" s="57">
        <f>SUM(I127:L127)</f>
        <v>270</v>
      </c>
      <c r="N127" s="57">
        <f>IF(OR(H127="",H127="sif",H127="PM"),0,VLOOKUP(H127,[5]CU!$C$4:$H$255,6,FALSE))</f>
        <v>138</v>
      </c>
      <c r="O127" s="57">
        <f t="shared" si="24"/>
        <v>0</v>
      </c>
      <c r="P127" s="57">
        <f t="shared" si="24"/>
        <v>0</v>
      </c>
      <c r="Q127" s="57">
        <f>$N127*K127</f>
        <v>24840</v>
      </c>
      <c r="R127" s="57">
        <f t="shared" si="24"/>
        <v>12420</v>
      </c>
      <c r="S127" s="59">
        <f t="shared" si="25"/>
        <v>37260</v>
      </c>
      <c r="T127" s="26" t="s">
        <v>169</v>
      </c>
      <c r="U127" s="19" t="s">
        <v>170</v>
      </c>
      <c r="V127" s="19" t="str">
        <f>IF(OR($H127="",$H127="sif",$H127="PM"),"",VLOOKUP($H127,[5]CU!$C$5:$J$255,8,FALSE))</f>
        <v>5. Investissement</v>
      </c>
      <c r="W127" s="19" t="s">
        <v>98</v>
      </c>
      <c r="X127" s="19" t="s">
        <v>98</v>
      </c>
      <c r="Y127" s="19" t="s">
        <v>32</v>
      </c>
      <c r="Z127" s="19" t="str">
        <f>A127 &amp; "-" &amp; VLOOKUP(A127,[4]PROGRAMMES!$E$1:$F$7,2,FALSE)</f>
        <v>1-Accès et équité à l'enseignement général</v>
      </c>
      <c r="AA127" s="19" t="str">
        <f>B127 &amp; "-" &amp; VLOOKUP(B127,[4]SOUSPROGRAMMES!$E$1:$F$44,2,FALSE)</f>
        <v>12- Accès équitable et achèvement du primaire</v>
      </c>
      <c r="AB127" s="19" t="str">
        <f>C127 &amp; "-" &amp; VLOOKUP(C127,[4]RESULTATS!$E$1:$F$176,2,FALSE)</f>
        <v xml:space="preserve">122- Toutes les localités disposent d’écoles primaires avec des infrastructures adéquates  </v>
      </c>
      <c r="AC127" s="20" t="str">
        <f>D127 &amp; "-" &amp; VLOOKUP(D127,[4]STRATEGIES!$E$1:$F$504,2,FALSE)</f>
        <v>1222-Construction et équipement de salles de classe au primaire avec rampe d’accès et en tenant compte de la prévention des catastrophes naturels</v>
      </c>
      <c r="AD127" s="21" t="str">
        <f t="shared" si="13"/>
        <v>12224-Réalisation des travaux de construction des salles de classe maitrise d'ouvrage SNIES</v>
      </c>
    </row>
    <row r="128" spans="1:30" ht="45" hidden="1" customHeight="1" x14ac:dyDescent="0.8">
      <c r="A128" s="25">
        <v>1</v>
      </c>
      <c r="B128" s="16">
        <v>12</v>
      </c>
      <c r="C128" s="16">
        <v>122</v>
      </c>
      <c r="D128" s="16">
        <v>1222</v>
      </c>
      <c r="E128" s="25">
        <v>12224</v>
      </c>
      <c r="F128" s="16" t="s">
        <v>219</v>
      </c>
      <c r="G128" s="21" t="s">
        <v>103</v>
      </c>
      <c r="H128" s="21" t="s">
        <v>218</v>
      </c>
      <c r="I128" s="56">
        <v>0</v>
      </c>
      <c r="J128" s="57">
        <f>(208.35-J126-J127)</f>
        <v>208.35</v>
      </c>
      <c r="K128" s="57">
        <f>(520.875-K126-K127)</f>
        <v>340.875</v>
      </c>
      <c r="L128" s="57">
        <f>(312.525-L126-L127)</f>
        <v>222.52499999999998</v>
      </c>
      <c r="M128" s="57">
        <f>SUM(I128:L128)</f>
        <v>771.75</v>
      </c>
      <c r="N128" s="57">
        <f>IF(OR(H128="",H128="sif",H128="PM"),0,VLOOKUP(H128,[5]CU!$C$4:$H$255,6,FALSE))</f>
        <v>138</v>
      </c>
      <c r="O128" s="57">
        <f t="shared" si="24"/>
        <v>0</v>
      </c>
      <c r="P128" s="57">
        <f t="shared" si="24"/>
        <v>28752.3</v>
      </c>
      <c r="Q128" s="57">
        <f t="shared" si="24"/>
        <v>47040.75</v>
      </c>
      <c r="R128" s="57">
        <f t="shared" si="24"/>
        <v>30708.449999999997</v>
      </c>
      <c r="S128" s="59">
        <f>SUM(O128:R128)</f>
        <v>106501.5</v>
      </c>
      <c r="T128" s="26" t="s">
        <v>56</v>
      </c>
      <c r="U128" s="19" t="s">
        <v>170</v>
      </c>
      <c r="V128" s="19" t="str">
        <f>IF(OR($H128="",$H128="sif",$H128="PM"),"",VLOOKUP($H128,[5]CU!$C$5:$J$255,8,FALSE))</f>
        <v>5. Investissement</v>
      </c>
      <c r="W128" s="19" t="s">
        <v>98</v>
      </c>
      <c r="X128" s="19" t="s">
        <v>98</v>
      </c>
      <c r="Y128" s="19" t="s">
        <v>32</v>
      </c>
      <c r="Z128" s="19" t="str">
        <f>A128 &amp; "-" &amp; VLOOKUP(A128,[4]PROGRAMMES!$E$1:$F$7,2,FALSE)</f>
        <v>1-Accès et équité à l'enseignement général</v>
      </c>
      <c r="AA128" s="19" t="str">
        <f>B128 &amp; "-" &amp; VLOOKUP(B128,[4]SOUSPROGRAMMES!$E$1:$F$44,2,FALSE)</f>
        <v>12- Accès équitable et achèvement du primaire</v>
      </c>
      <c r="AB128" s="19" t="str">
        <f>C128 &amp; "-" &amp; VLOOKUP(C128,[4]RESULTATS!$E$1:$F$176,2,FALSE)</f>
        <v xml:space="preserve">122- Toutes les localités disposent d’écoles primaires avec des infrastructures adéquates  </v>
      </c>
      <c r="AC128" s="20" t="str">
        <f>D128 &amp; "-" &amp; VLOOKUP(D128,[4]STRATEGIES!$E$1:$F$504,2,FALSE)</f>
        <v>1222-Construction et équipement de salles de classe au primaire avec rampe d’accès et en tenant compte de la prévention des catastrophes naturels</v>
      </c>
      <c r="AD128" s="21" t="str">
        <f t="shared" si="13"/>
        <v>12224-Réalisation des travaux de construction des salles de classe maitrise d'ouvrage SNIES</v>
      </c>
    </row>
    <row r="129" spans="1:30" ht="45" customHeight="1" x14ac:dyDescent="0.8">
      <c r="A129" s="25">
        <v>1</v>
      </c>
      <c r="B129" s="16">
        <v>12</v>
      </c>
      <c r="C129" s="16">
        <v>122</v>
      </c>
      <c r="D129" s="16">
        <v>1222</v>
      </c>
      <c r="E129" s="25">
        <v>12225</v>
      </c>
      <c r="F129" s="16" t="s">
        <v>220</v>
      </c>
      <c r="G129" s="21" t="s">
        <v>103</v>
      </c>
      <c r="H129" s="21" t="s">
        <v>218</v>
      </c>
      <c r="I129" s="56">
        <v>0</v>
      </c>
      <c r="J129" s="57">
        <f>(J124/2)*82.24%</f>
        <v>0</v>
      </c>
      <c r="K129" s="57">
        <f>(K124/2)*82.24%</f>
        <v>123.35999999999999</v>
      </c>
      <c r="L129" s="57">
        <f>(L124/2)*82.24%</f>
        <v>61.679999999999993</v>
      </c>
      <c r="M129" s="57">
        <f>SUM(I129:L129)</f>
        <v>185.03999999999996</v>
      </c>
      <c r="N129" s="57">
        <f>IF(OR(H129="",H129="sif",H129="PM"),0,VLOOKUP(H129,[5]CU!$C$4:$H$255,6,FALSE))</f>
        <v>138</v>
      </c>
      <c r="O129" s="57">
        <f t="shared" si="24"/>
        <v>0</v>
      </c>
      <c r="P129" s="57">
        <f t="shared" si="24"/>
        <v>0</v>
      </c>
      <c r="Q129" s="57">
        <f t="shared" si="24"/>
        <v>17023.679999999997</v>
      </c>
      <c r="R129" s="57">
        <f t="shared" si="24"/>
        <v>8511.8399999999983</v>
      </c>
      <c r="S129" s="57">
        <f>SUM(O129:R129)</f>
        <v>25535.519999999997</v>
      </c>
      <c r="T129" s="26" t="s">
        <v>221</v>
      </c>
      <c r="U129" s="19" t="s">
        <v>170</v>
      </c>
      <c r="V129" s="19" t="str">
        <f>IF(OR($H129="",$H129="sif",$H129="PM"),"",VLOOKUP($H129,[5]CU!$C$5:$J$255,8,FALSE))</f>
        <v>5. Investissement</v>
      </c>
      <c r="W129" s="19" t="s">
        <v>98</v>
      </c>
      <c r="X129" s="19" t="s">
        <v>222</v>
      </c>
      <c r="Y129" s="19" t="s">
        <v>32</v>
      </c>
      <c r="Z129" s="19" t="str">
        <f>A129 &amp; "-" &amp; VLOOKUP(A129,[4]PROGRAMMES!$E$1:$F$7,2,FALSE)</f>
        <v>1-Accès et équité à l'enseignement général</v>
      </c>
      <c r="AA129" s="19" t="str">
        <f>B129 &amp; "-" &amp; VLOOKUP(B129,[4]SOUSPROGRAMMES!$E$1:$F$44,2,FALSE)</f>
        <v>12- Accès équitable et achèvement du primaire</v>
      </c>
      <c r="AB129" s="19" t="str">
        <f>C129 &amp; "-" &amp; VLOOKUP(C129,[4]RESULTATS!$E$1:$F$176,2,FALSE)</f>
        <v xml:space="preserve">122- Toutes les localités disposent d’écoles primaires avec des infrastructures adéquates  </v>
      </c>
      <c r="AC129" s="20" t="str">
        <f>D129 &amp; "-" &amp; VLOOKUP(D129,[4]STRATEGIES!$E$1:$F$504,2,FALSE)</f>
        <v>1222-Construction et équipement de salles de classe au primaire avec rampe d’accès et en tenant compte de la prévention des catastrophes naturels</v>
      </c>
      <c r="AD129" s="21" t="str">
        <f t="shared" si="13"/>
        <v>12225-Réalisation des travaux de construction des salles de classe maitrise d'ouvrage ONG</v>
      </c>
    </row>
    <row r="130" spans="1:30" ht="45" customHeight="1" x14ac:dyDescent="0.8">
      <c r="A130" s="25">
        <v>1</v>
      </c>
      <c r="B130" s="16">
        <v>12</v>
      </c>
      <c r="C130" s="16">
        <v>122</v>
      </c>
      <c r="D130" s="16">
        <v>1222</v>
      </c>
      <c r="E130" s="25">
        <v>12225</v>
      </c>
      <c r="F130" s="16" t="s">
        <v>220</v>
      </c>
      <c r="G130" s="21" t="s">
        <v>103</v>
      </c>
      <c r="H130" s="21" t="s">
        <v>218</v>
      </c>
      <c r="I130" s="56">
        <v>0</v>
      </c>
      <c r="J130" s="57">
        <f>(J124/2)*17.76%</f>
        <v>0</v>
      </c>
      <c r="K130" s="57">
        <f>(K124/2)*17.76%</f>
        <v>26.64</v>
      </c>
      <c r="L130" s="57">
        <f>(L124/2)*17.76%</f>
        <v>13.32</v>
      </c>
      <c r="M130" s="57">
        <f t="shared" si="22"/>
        <v>39.96</v>
      </c>
      <c r="N130" s="57">
        <f>IF(OR(H130="",H130="sif",H130="PM"),0,VLOOKUP(H130,[5]CU!$C$4:$H$255,6,FALSE))</f>
        <v>138</v>
      </c>
      <c r="O130" s="57">
        <f t="shared" si="24"/>
        <v>0</v>
      </c>
      <c r="P130" s="57">
        <f t="shared" si="24"/>
        <v>0</v>
      </c>
      <c r="Q130" s="57">
        <f t="shared" si="24"/>
        <v>3676.32</v>
      </c>
      <c r="R130" s="57">
        <f t="shared" si="24"/>
        <v>1838.16</v>
      </c>
      <c r="S130" s="57">
        <f t="shared" si="25"/>
        <v>5514.4800000000005</v>
      </c>
      <c r="T130" s="26" t="s">
        <v>118</v>
      </c>
      <c r="U130" s="19" t="s">
        <v>170</v>
      </c>
      <c r="V130" s="19" t="str">
        <f>IF(OR($H130="",$H130="sif",$H130="PM"),"",VLOOKUP($H130,[5]CU!$C$5:$J$255,8,FALSE))</f>
        <v>5. Investissement</v>
      </c>
      <c r="W130" s="19" t="s">
        <v>98</v>
      </c>
      <c r="X130" s="19" t="s">
        <v>222</v>
      </c>
      <c r="Y130" s="19" t="s">
        <v>32</v>
      </c>
      <c r="Z130" s="19" t="str">
        <f>A130 &amp; "-" &amp; VLOOKUP(A130,[4]PROGRAMMES!$E$1:$F$7,2,FALSE)</f>
        <v>1-Accès et équité à l'enseignement général</v>
      </c>
      <c r="AA130" s="19" t="str">
        <f>B130 &amp; "-" &amp; VLOOKUP(B130,[4]SOUSPROGRAMMES!$E$1:$F$44,2,FALSE)</f>
        <v>12- Accès équitable et achèvement du primaire</v>
      </c>
      <c r="AB130" s="19" t="str">
        <f>C130 &amp; "-" &amp; VLOOKUP(C130,[4]RESULTATS!$E$1:$F$176,2,FALSE)</f>
        <v xml:space="preserve">122- Toutes les localités disposent d’écoles primaires avec des infrastructures adéquates  </v>
      </c>
      <c r="AC130" s="20" t="str">
        <f>D130 &amp; "-" &amp; VLOOKUP(D130,[4]STRATEGIES!$E$1:$F$504,2,FALSE)</f>
        <v>1222-Construction et équipement de salles de classe au primaire avec rampe d’accès et en tenant compte de la prévention des catastrophes naturels</v>
      </c>
      <c r="AD130" s="21" t="str">
        <f t="shared" si="13"/>
        <v>12225-Réalisation des travaux de construction des salles de classe maitrise d'ouvrage ONG</v>
      </c>
    </row>
    <row r="131" spans="1:30" ht="45" hidden="1" customHeight="1" x14ac:dyDescent="0.8">
      <c r="A131" s="25">
        <v>1</v>
      </c>
      <c r="B131" s="16">
        <v>12</v>
      </c>
      <c r="C131" s="16">
        <v>122</v>
      </c>
      <c r="D131" s="16">
        <v>1222</v>
      </c>
      <c r="E131" s="25">
        <v>12226</v>
      </c>
      <c r="F131" s="16" t="s">
        <v>223</v>
      </c>
      <c r="G131" s="21" t="s">
        <v>103</v>
      </c>
      <c r="H131" s="21" t="s">
        <v>224</v>
      </c>
      <c r="I131" s="56">
        <v>0</v>
      </c>
      <c r="J131" s="57"/>
      <c r="K131" s="57"/>
      <c r="L131" s="57"/>
      <c r="M131" s="57">
        <f t="shared" si="22"/>
        <v>0</v>
      </c>
      <c r="N131" s="57">
        <f>IF(OR(H131="",H131="sif",H131="PM"),0,VLOOKUP(H131,[5]CU!$C$4:$H$255,6,FALSE))</f>
        <v>655.52327147401945</v>
      </c>
      <c r="O131" s="57">
        <f t="shared" si="24"/>
        <v>0</v>
      </c>
      <c r="P131" s="57">
        <f t="shared" si="24"/>
        <v>0</v>
      </c>
      <c r="Q131" s="57">
        <f t="shared" si="24"/>
        <v>0</v>
      </c>
      <c r="R131" s="57">
        <f t="shared" si="24"/>
        <v>0</v>
      </c>
      <c r="S131" s="57">
        <f t="shared" si="25"/>
        <v>0</v>
      </c>
      <c r="T131" s="26" t="s">
        <v>178</v>
      </c>
      <c r="U131" s="19" t="s">
        <v>170</v>
      </c>
      <c r="V131" s="19" t="str">
        <f>IF(OR($H131="",$H131="sif",$H131="PM"),"",VLOOKUP($H131,[5]CU!$C$5:$J$255,8,FALSE))</f>
        <v>5. Investissement</v>
      </c>
      <c r="W131" s="19" t="s">
        <v>206</v>
      </c>
      <c r="X131" s="19" t="s">
        <v>205</v>
      </c>
      <c r="Y131" s="19" t="s">
        <v>32</v>
      </c>
      <c r="Z131" s="19" t="str">
        <f>A131 &amp; "-" &amp; VLOOKUP(A131,[4]PROGRAMMES!$E$1:$F$7,2,FALSE)</f>
        <v>1-Accès et équité à l'enseignement général</v>
      </c>
      <c r="AA131" s="19" t="str">
        <f>B131 &amp; "-" &amp; VLOOKUP(B131,[4]SOUSPROGRAMMES!$E$1:$F$44,2,FALSE)</f>
        <v>12- Accès équitable et achèvement du primaire</v>
      </c>
      <c r="AB131" s="19" t="str">
        <f>C131 &amp; "-" &amp; VLOOKUP(C131,[4]RESULTATS!$E$1:$F$176,2,FALSE)</f>
        <v xml:space="preserve">122- Toutes les localités disposent d’écoles primaires avec des infrastructures adéquates  </v>
      </c>
      <c r="AC131" s="20" t="str">
        <f>D131 &amp; "-" &amp; VLOOKUP(D131,[4]STRATEGIES!$E$1:$F$504,2,FALSE)</f>
        <v>1222-Construction et équipement de salles de classe au primaire avec rampe d’accès et en tenant compte de la prévention des catastrophes naturels</v>
      </c>
      <c r="AD131" s="21" t="str">
        <f t="shared" si="13"/>
        <v>12226-Réalisation des travaux de construction de 123 salles de classe, latrines et équipement (maitrise d'ouvrage partenaire)</v>
      </c>
    </row>
    <row r="132" spans="1:30" ht="45" hidden="1" customHeight="1" x14ac:dyDescent="0.8">
      <c r="A132" s="25">
        <v>1</v>
      </c>
      <c r="B132" s="16">
        <v>12</v>
      </c>
      <c r="C132" s="16">
        <v>122</v>
      </c>
      <c r="D132" s="16">
        <v>1222</v>
      </c>
      <c r="E132" s="25">
        <v>12227</v>
      </c>
      <c r="F132" s="16" t="s">
        <v>225</v>
      </c>
      <c r="G132" s="21" t="s">
        <v>106</v>
      </c>
      <c r="H132" s="21" t="s">
        <v>226</v>
      </c>
      <c r="I132" s="56">
        <v>0</v>
      </c>
      <c r="J132" s="57">
        <f>J125</f>
        <v>416.70000000000005</v>
      </c>
      <c r="K132" s="57">
        <f>K125</f>
        <v>1041.75</v>
      </c>
      <c r="L132" s="57">
        <f>L125</f>
        <v>625.04999999999995</v>
      </c>
      <c r="M132" s="57">
        <f t="shared" si="22"/>
        <v>2083.5</v>
      </c>
      <c r="N132" s="57">
        <f>IF(OR(H132="",H132="sif",H132="PM"),0,VLOOKUP(H132,[5]CU!$C$4:$H$255,6,FALSE))</f>
        <v>23.333333333333332</v>
      </c>
      <c r="O132" s="57">
        <f t="shared" si="24"/>
        <v>0</v>
      </c>
      <c r="P132" s="57">
        <f t="shared" si="24"/>
        <v>9723</v>
      </c>
      <c r="Q132" s="57">
        <f t="shared" si="24"/>
        <v>24307.5</v>
      </c>
      <c r="R132" s="57">
        <f t="shared" si="24"/>
        <v>14584.499999999998</v>
      </c>
      <c r="S132" s="57">
        <f t="shared" si="25"/>
        <v>48615</v>
      </c>
      <c r="T132" s="26" t="s">
        <v>56</v>
      </c>
      <c r="U132" s="19" t="s">
        <v>170</v>
      </c>
      <c r="V132" s="19" t="str">
        <f>IF(OR($H132="",$H132="sif",$H132="PM"),"",VLOOKUP($H132,[5]CU!$C$5:$J$255,8,FALSE))</f>
        <v>5. Investissement</v>
      </c>
      <c r="W132" s="19" t="s">
        <v>98</v>
      </c>
      <c r="X132" s="19" t="s">
        <v>98</v>
      </c>
      <c r="Y132" s="19" t="s">
        <v>32</v>
      </c>
      <c r="Z132" s="19" t="str">
        <f>A132 &amp; "-" &amp; VLOOKUP(A132,[4]PROGRAMMES!$E$1:$F$7,2,FALSE)</f>
        <v>1-Accès et équité à l'enseignement général</v>
      </c>
      <c r="AA132" s="19" t="str">
        <f>B132 &amp; "-" &amp; VLOOKUP(B132,[4]SOUSPROGRAMMES!$E$1:$F$44,2,FALSE)</f>
        <v>12- Accès équitable et achèvement du primaire</v>
      </c>
      <c r="AB132" s="19" t="str">
        <f>C132 &amp; "-" &amp; VLOOKUP(C132,[4]RESULTATS!$E$1:$F$176,2,FALSE)</f>
        <v xml:space="preserve">122- Toutes les localités disposent d’écoles primaires avec des infrastructures adéquates  </v>
      </c>
      <c r="AC132" s="20" t="str">
        <f>D132 &amp; "-" &amp; VLOOKUP(D132,[4]STRATEGIES!$E$1:$F$504,2,FALSE)</f>
        <v>1222-Construction et équipement de salles de classe au primaire avec rampe d’accès et en tenant compte de la prévention des catastrophes naturels</v>
      </c>
      <c r="AD132" s="21" t="str">
        <f t="shared" ref="AD132:AD195" si="26">E132 &amp; "-" &amp; F132</f>
        <v>12227-Équipement des salles de classe en mobiliers scolaires (communes)</v>
      </c>
    </row>
    <row r="133" spans="1:30" ht="45" hidden="1" customHeight="1" x14ac:dyDescent="0.8">
      <c r="A133" s="25">
        <v>1</v>
      </c>
      <c r="B133" s="16">
        <v>12</v>
      </c>
      <c r="C133" s="16">
        <v>122</v>
      </c>
      <c r="D133" s="16">
        <v>1222</v>
      </c>
      <c r="E133" s="25">
        <v>12228</v>
      </c>
      <c r="F133" s="16" t="s">
        <v>227</v>
      </c>
      <c r="G133" s="21" t="s">
        <v>106</v>
      </c>
      <c r="H133" s="21" t="s">
        <v>226</v>
      </c>
      <c r="I133" s="56">
        <v>0</v>
      </c>
      <c r="J133" s="57"/>
      <c r="K133" s="57"/>
      <c r="L133" s="57"/>
      <c r="M133" s="57">
        <f>SUM(I133:L133)</f>
        <v>0</v>
      </c>
      <c r="N133" s="57">
        <f>IF(OR(H133="",H133="sif",H133="PM"),0,VLOOKUP(H133,[5]CU!$C$4:$H$255,6,FALSE))</f>
        <v>23.333333333333332</v>
      </c>
      <c r="O133" s="57">
        <f>$N133*I133</f>
        <v>0</v>
      </c>
      <c r="P133" s="57">
        <f>$N133*J133</f>
        <v>0</v>
      </c>
      <c r="Q133" s="57">
        <f>$N133*K133</f>
        <v>0</v>
      </c>
      <c r="R133" s="57">
        <f>$N133*L133</f>
        <v>0</v>
      </c>
      <c r="S133" s="59">
        <f>SUM(O133:R133)</f>
        <v>0</v>
      </c>
      <c r="T133" s="26" t="s">
        <v>178</v>
      </c>
      <c r="U133" s="19" t="s">
        <v>170</v>
      </c>
      <c r="V133" s="19" t="str">
        <f>IF(OR($H133="",$H133="sif",$H133="PM"),"",VLOOKUP($H133,[5]CU!$C$5:$J$255,8,FALSE))</f>
        <v>5. Investissement</v>
      </c>
      <c r="W133" s="19" t="s">
        <v>98</v>
      </c>
      <c r="X133" s="19" t="s">
        <v>222</v>
      </c>
      <c r="Y133" s="19" t="s">
        <v>32</v>
      </c>
      <c r="Z133" s="19" t="str">
        <f>A133 &amp; "-" &amp; VLOOKUP(A133,[4]PROGRAMMES!$E$1:$F$7,2,FALSE)</f>
        <v>1-Accès et équité à l'enseignement général</v>
      </c>
      <c r="AA133" s="19" t="str">
        <f>B133 &amp; "-" &amp; VLOOKUP(B133,[4]SOUSPROGRAMMES!$E$1:$F$44,2,FALSE)</f>
        <v>12- Accès équitable et achèvement du primaire</v>
      </c>
      <c r="AB133" s="19" t="str">
        <f>C133 &amp; "-" &amp; VLOOKUP(C133,[4]RESULTATS!$E$1:$F$176,2,FALSE)</f>
        <v xml:space="preserve">122- Toutes les localités disposent d’écoles primaires avec des infrastructures adéquates  </v>
      </c>
      <c r="AC133" s="20" t="str">
        <f>D133 &amp; "-" &amp; VLOOKUP(D133,[4]STRATEGIES!$E$1:$F$504,2,FALSE)</f>
        <v>1222-Construction et équipement de salles de classe au primaire avec rampe d’accès et en tenant compte de la prévention des catastrophes naturels</v>
      </c>
      <c r="AD133" s="21" t="str">
        <f t="shared" si="26"/>
        <v>12228-Equipement des salles de classe en mobiliers scolaires (SNIES)</v>
      </c>
    </row>
    <row r="134" spans="1:30" ht="45" hidden="1" customHeight="1" x14ac:dyDescent="0.8">
      <c r="A134" s="25">
        <v>1</v>
      </c>
      <c r="B134" s="16">
        <v>12</v>
      </c>
      <c r="C134" s="16">
        <v>122</v>
      </c>
      <c r="D134" s="16">
        <v>1222</v>
      </c>
      <c r="E134" s="25">
        <v>12228</v>
      </c>
      <c r="F134" s="16" t="s">
        <v>227</v>
      </c>
      <c r="G134" s="21" t="s">
        <v>106</v>
      </c>
      <c r="H134" s="21" t="s">
        <v>226</v>
      </c>
      <c r="I134" s="56">
        <v>0</v>
      </c>
      <c r="J134" s="57"/>
      <c r="K134" s="57">
        <f>K127*2</f>
        <v>360</v>
      </c>
      <c r="L134" s="57">
        <f t="shared" ref="J134:L135" si="27">L127</f>
        <v>90</v>
      </c>
      <c r="M134" s="57">
        <f t="shared" si="22"/>
        <v>450</v>
      </c>
      <c r="N134" s="57">
        <f>IF(OR(H134="",H134="sif",H134="PM"),0,VLOOKUP(H134,[5]CU!$C$4:$H$255,6,FALSE))</f>
        <v>23.333333333333332</v>
      </c>
      <c r="O134" s="57">
        <f t="shared" si="24"/>
        <v>0</v>
      </c>
      <c r="P134" s="57">
        <f t="shared" si="24"/>
        <v>0</v>
      </c>
      <c r="Q134" s="57">
        <f>$N134*K134</f>
        <v>8400</v>
      </c>
      <c r="R134" s="57">
        <f t="shared" si="24"/>
        <v>2100</v>
      </c>
      <c r="S134" s="59">
        <f t="shared" si="25"/>
        <v>10500</v>
      </c>
      <c r="T134" s="26" t="s">
        <v>169</v>
      </c>
      <c r="U134" s="19" t="s">
        <v>170</v>
      </c>
      <c r="V134" s="19" t="str">
        <f>IF(OR($H134="",$H134="sif",$H134="PM"),"",VLOOKUP($H134,[5]CU!$C$5:$J$255,8,FALSE))</f>
        <v>5. Investissement</v>
      </c>
      <c r="W134" s="19" t="s">
        <v>98</v>
      </c>
      <c r="X134" s="19" t="s">
        <v>222</v>
      </c>
      <c r="Y134" s="19" t="s">
        <v>32</v>
      </c>
      <c r="Z134" s="19" t="str">
        <f>A134 &amp; "-" &amp; VLOOKUP(A134,[4]PROGRAMMES!$E$1:$F$7,2,FALSE)</f>
        <v>1-Accès et équité à l'enseignement général</v>
      </c>
      <c r="AA134" s="19" t="str">
        <f>B134 &amp; "-" &amp; VLOOKUP(B134,[4]SOUSPROGRAMMES!$E$1:$F$44,2,FALSE)</f>
        <v>12- Accès équitable et achèvement du primaire</v>
      </c>
      <c r="AB134" s="19" t="str">
        <f>C134 &amp; "-" &amp; VLOOKUP(C134,[4]RESULTATS!$E$1:$F$176,2,FALSE)</f>
        <v xml:space="preserve">122- Toutes les localités disposent d’écoles primaires avec des infrastructures adéquates  </v>
      </c>
      <c r="AC134" s="20" t="str">
        <f>D134 &amp; "-" &amp; VLOOKUP(D134,[4]STRATEGIES!$E$1:$F$504,2,FALSE)</f>
        <v>1222-Construction et équipement de salles de classe au primaire avec rampe d’accès et en tenant compte de la prévention des catastrophes naturels</v>
      </c>
      <c r="AD134" s="21" t="str">
        <f t="shared" si="26"/>
        <v>12228-Equipement des salles de classe en mobiliers scolaires (SNIES)</v>
      </c>
    </row>
    <row r="135" spans="1:30" s="22" customFormat="1" ht="45" customHeight="1" x14ac:dyDescent="0.8">
      <c r="A135" s="14">
        <v>1</v>
      </c>
      <c r="B135" s="15">
        <v>12</v>
      </c>
      <c r="C135" s="15">
        <v>122</v>
      </c>
      <c r="D135" s="15">
        <v>1222</v>
      </c>
      <c r="E135" s="14">
        <v>12228</v>
      </c>
      <c r="F135" s="16" t="s">
        <v>227</v>
      </c>
      <c r="G135" s="21" t="s">
        <v>106</v>
      </c>
      <c r="H135" s="17" t="s">
        <v>226</v>
      </c>
      <c r="I135" s="56">
        <v>0</v>
      </c>
      <c r="J135" s="56">
        <f t="shared" si="27"/>
        <v>208.35</v>
      </c>
      <c r="K135" s="56">
        <f t="shared" si="27"/>
        <v>340.875</v>
      </c>
      <c r="L135" s="56">
        <f t="shared" si="27"/>
        <v>222.52499999999998</v>
      </c>
      <c r="M135" s="56">
        <f>SUM(I135:L135)</f>
        <v>771.75</v>
      </c>
      <c r="N135" s="56">
        <f>IF(OR(H135="",H135="sif",H135="PM"),0,VLOOKUP(H135,[5]CU!$C$4:$H$255,6,FALSE))</f>
        <v>23.333333333333332</v>
      </c>
      <c r="O135" s="56">
        <f>$N135*I135</f>
        <v>0</v>
      </c>
      <c r="P135" s="56">
        <f>$N135*J135</f>
        <v>4861.5</v>
      </c>
      <c r="Q135" s="56">
        <f>$N135*K135</f>
        <v>7953.75</v>
      </c>
      <c r="R135" s="56">
        <f>$N135*L135</f>
        <v>5192.2499999999991</v>
      </c>
      <c r="S135" s="58">
        <f>SUM(O135:R135)</f>
        <v>18007.5</v>
      </c>
      <c r="T135" s="23" t="s">
        <v>191</v>
      </c>
      <c r="U135" s="18" t="s">
        <v>170</v>
      </c>
      <c r="V135" s="19" t="str">
        <f>IF(OR($H135="",$H135="sif",$H135="PM"),"",VLOOKUP($H135,[5]CU!$C$5:$J$255,8,FALSE))</f>
        <v>5. Investissement</v>
      </c>
      <c r="W135" s="18" t="s">
        <v>98</v>
      </c>
      <c r="X135" s="18" t="s">
        <v>222</v>
      </c>
      <c r="Y135" s="19" t="s">
        <v>32</v>
      </c>
      <c r="Z135" s="19" t="str">
        <f>A135 &amp; "-" &amp; VLOOKUP(A135,[4]PROGRAMMES!$E$1:$F$7,2,FALSE)</f>
        <v>1-Accès et équité à l'enseignement général</v>
      </c>
      <c r="AA135" s="19" t="str">
        <f>B135 &amp; "-" &amp; VLOOKUP(B135,[4]SOUSPROGRAMMES!$E$1:$F$44,2,FALSE)</f>
        <v>12- Accès équitable et achèvement du primaire</v>
      </c>
      <c r="AB135" s="19" t="str">
        <f>C135 &amp; "-" &amp; VLOOKUP(C135,[4]RESULTATS!$E$1:$F$176,2,FALSE)</f>
        <v xml:space="preserve">122- Toutes les localités disposent d’écoles primaires avec des infrastructures adéquates  </v>
      </c>
      <c r="AC135" s="20" t="str">
        <f>D135 &amp; "-" &amp; VLOOKUP(D135,[4]STRATEGIES!$E$1:$F$504,2,FALSE)</f>
        <v>1222-Construction et équipement de salles de classe au primaire avec rampe d’accès et en tenant compte de la prévention des catastrophes naturels</v>
      </c>
      <c r="AD135" s="21" t="str">
        <f t="shared" si="26"/>
        <v>12228-Equipement des salles de classe en mobiliers scolaires (SNIES)</v>
      </c>
    </row>
    <row r="136" spans="1:30" s="22" customFormat="1" ht="45" customHeight="1" x14ac:dyDescent="0.8">
      <c r="A136" s="14">
        <v>1</v>
      </c>
      <c r="B136" s="15">
        <v>12</v>
      </c>
      <c r="C136" s="15">
        <v>122</v>
      </c>
      <c r="D136" s="15">
        <v>1222</v>
      </c>
      <c r="E136" s="14">
        <v>12229</v>
      </c>
      <c r="F136" s="16" t="s">
        <v>228</v>
      </c>
      <c r="G136" s="21" t="s">
        <v>106</v>
      </c>
      <c r="H136" s="17" t="s">
        <v>226</v>
      </c>
      <c r="I136" s="56">
        <v>0</v>
      </c>
      <c r="J136" s="56">
        <f>J130</f>
        <v>0</v>
      </c>
      <c r="K136" s="56">
        <f>K130</f>
        <v>26.64</v>
      </c>
      <c r="L136" s="56">
        <f>L130</f>
        <v>13.32</v>
      </c>
      <c r="M136" s="56">
        <f t="shared" si="22"/>
        <v>39.96</v>
      </c>
      <c r="N136" s="56">
        <f>IF(OR(H136="",H136="sif",H136="PM"),0,VLOOKUP(H136,[5]CU!$C$4:$H$255,6,FALSE))</f>
        <v>23.333333333333332</v>
      </c>
      <c r="O136" s="56">
        <f t="shared" si="24"/>
        <v>0</v>
      </c>
      <c r="P136" s="56">
        <f t="shared" si="24"/>
        <v>0</v>
      </c>
      <c r="Q136" s="56">
        <f t="shared" si="24"/>
        <v>621.6</v>
      </c>
      <c r="R136" s="56">
        <f t="shared" si="24"/>
        <v>310.8</v>
      </c>
      <c r="S136" s="56">
        <f t="shared" si="25"/>
        <v>932.40000000000009</v>
      </c>
      <c r="T136" s="23" t="s">
        <v>221</v>
      </c>
      <c r="U136" s="18" t="s">
        <v>170</v>
      </c>
      <c r="V136" s="19" t="str">
        <f>IF(OR($H136="",$H136="sif",$H136="PM"),"",VLOOKUP($H136,[5]CU!$C$5:$J$255,8,FALSE))</f>
        <v>5. Investissement</v>
      </c>
      <c r="W136" s="18" t="s">
        <v>98</v>
      </c>
      <c r="X136" s="18" t="s">
        <v>98</v>
      </c>
      <c r="Y136" s="19" t="s">
        <v>32</v>
      </c>
      <c r="Z136" s="19" t="str">
        <f>A136 &amp; "-" &amp; VLOOKUP(A136,[4]PROGRAMMES!$E$1:$F$7,2,FALSE)</f>
        <v>1-Accès et équité à l'enseignement général</v>
      </c>
      <c r="AA136" s="19" t="str">
        <f>B136 &amp; "-" &amp; VLOOKUP(B136,[4]SOUSPROGRAMMES!$E$1:$F$44,2,FALSE)</f>
        <v>12- Accès équitable et achèvement du primaire</v>
      </c>
      <c r="AB136" s="19" t="str">
        <f>C136 &amp; "-" &amp; VLOOKUP(C136,[4]RESULTATS!$E$1:$F$176,2,FALSE)</f>
        <v xml:space="preserve">122- Toutes les localités disposent d’écoles primaires avec des infrastructures adéquates  </v>
      </c>
      <c r="AC136" s="20" t="str">
        <f>D136 &amp; "-" &amp; VLOOKUP(D136,[4]STRATEGIES!$E$1:$F$504,2,FALSE)</f>
        <v>1222-Construction et équipement de salles de classe au primaire avec rampe d’accès et en tenant compte de la prévention des catastrophes naturels</v>
      </c>
      <c r="AD136" s="21" t="str">
        <f t="shared" si="26"/>
        <v>12229-Equipement des salles de classe en mobiliers scolaires (ONG)</v>
      </c>
    </row>
    <row r="137" spans="1:30" s="22" customFormat="1" ht="45" hidden="1" customHeight="1" x14ac:dyDescent="0.8">
      <c r="A137" s="14">
        <v>1</v>
      </c>
      <c r="B137" s="15">
        <v>12</v>
      </c>
      <c r="C137" s="15">
        <v>122</v>
      </c>
      <c r="D137" s="15">
        <v>1222</v>
      </c>
      <c r="E137" s="14">
        <v>122210</v>
      </c>
      <c r="F137" s="16" t="s">
        <v>229</v>
      </c>
      <c r="G137" s="21" t="s">
        <v>58</v>
      </c>
      <c r="H137" s="17" t="s">
        <v>110</v>
      </c>
      <c r="I137" s="56">
        <v>0</v>
      </c>
      <c r="J137" s="56">
        <f>J125</f>
        <v>416.70000000000005</v>
      </c>
      <c r="K137" s="56">
        <f>K125</f>
        <v>1041.75</v>
      </c>
      <c r="L137" s="56">
        <f>L125</f>
        <v>625.04999999999995</v>
      </c>
      <c r="M137" s="56">
        <f t="shared" si="22"/>
        <v>2083.5</v>
      </c>
      <c r="N137" s="56">
        <f>IF(OR(H137="",H137="sif",H137="PM"),0,VLOOKUP(H137,[5]CU!$C$4:$H$255,6,FALSE))</f>
        <v>7.1760000000000002</v>
      </c>
      <c r="O137" s="56">
        <f t="shared" si="24"/>
        <v>0</v>
      </c>
      <c r="P137" s="56">
        <f t="shared" si="24"/>
        <v>2990.2392000000004</v>
      </c>
      <c r="Q137" s="56">
        <f t="shared" si="24"/>
        <v>7475.598</v>
      </c>
      <c r="R137" s="56">
        <f t="shared" si="24"/>
        <v>4485.3588</v>
      </c>
      <c r="S137" s="56">
        <f t="shared" si="25"/>
        <v>14951.196</v>
      </c>
      <c r="T137" s="23" t="s">
        <v>56</v>
      </c>
      <c r="U137" s="18" t="s">
        <v>170</v>
      </c>
      <c r="V137" s="19" t="str">
        <f>IF(OR($H137="",$H137="sif",$H137="PM"),"",VLOOKUP($H137,[5]CU!$C$5:$J$255,8,FALSE))</f>
        <v>3. Dépenses de fonctionnement</v>
      </c>
      <c r="W137" s="18" t="s">
        <v>98</v>
      </c>
      <c r="X137" s="18" t="s">
        <v>98</v>
      </c>
      <c r="Y137" s="19" t="s">
        <v>32</v>
      </c>
      <c r="Z137" s="19" t="str">
        <f>A137 &amp; "-" &amp; VLOOKUP(A137,[4]PROGRAMMES!$E$1:$F$7,2,FALSE)</f>
        <v>1-Accès et équité à l'enseignement général</v>
      </c>
      <c r="AA137" s="19" t="str">
        <f>B137 &amp; "-" &amp; VLOOKUP(B137,[4]SOUSPROGRAMMES!$E$1:$F$44,2,FALSE)</f>
        <v>12- Accès équitable et achèvement du primaire</v>
      </c>
      <c r="AB137" s="19" t="str">
        <f>C137 &amp; "-" &amp; VLOOKUP(C137,[4]RESULTATS!$E$1:$F$176,2,FALSE)</f>
        <v xml:space="preserve">122- Toutes les localités disposent d’écoles primaires avec des infrastructures adéquates  </v>
      </c>
      <c r="AC137" s="20" t="str">
        <f>D137 &amp; "-" &amp; VLOOKUP(D137,[4]STRATEGIES!$E$1:$F$504,2,FALSE)</f>
        <v>1222-Construction et équipement de salles de classe au primaire avec rampe d’accès et en tenant compte de la prévention des catastrophes naturels</v>
      </c>
      <c r="AD137" s="21" t="str">
        <f t="shared" si="26"/>
        <v>122210-Supervision des travaux de construction et d'équipement des salles de classe (maitrise d'ouvrage des communes)</v>
      </c>
    </row>
    <row r="138" spans="1:30" ht="45" hidden="1" customHeight="1" x14ac:dyDescent="0.8">
      <c r="A138" s="25">
        <v>1</v>
      </c>
      <c r="B138" s="16">
        <v>12</v>
      </c>
      <c r="C138" s="16">
        <v>122</v>
      </c>
      <c r="D138" s="16">
        <v>1222</v>
      </c>
      <c r="E138" s="25">
        <v>122210</v>
      </c>
      <c r="F138" s="16" t="s">
        <v>230</v>
      </c>
      <c r="G138" s="21" t="s">
        <v>58</v>
      </c>
      <c r="H138" s="21" t="s">
        <v>110</v>
      </c>
      <c r="I138" s="56">
        <v>0</v>
      </c>
      <c r="J138" s="57">
        <f>J127</f>
        <v>0</v>
      </c>
      <c r="K138" s="57">
        <f>K127*2</f>
        <v>360</v>
      </c>
      <c r="L138" s="57">
        <f>L127</f>
        <v>90</v>
      </c>
      <c r="M138" s="57">
        <f>SUM(I138:L138)</f>
        <v>450</v>
      </c>
      <c r="N138" s="57">
        <f>IF(OR(H138="",H138="sif",H138="PM"),0,VLOOKUP(H138,[5]CU!$C$4:$H$255,6,FALSE))</f>
        <v>7.1760000000000002</v>
      </c>
      <c r="O138" s="57">
        <f>$N138*I138</f>
        <v>0</v>
      </c>
      <c r="P138" s="57">
        <f>$N138*J138</f>
        <v>0</v>
      </c>
      <c r="Q138" s="57">
        <f>$N138*K138</f>
        <v>2583.36</v>
      </c>
      <c r="R138" s="57">
        <f>$N138*L138</f>
        <v>645.84</v>
      </c>
      <c r="S138" s="59">
        <f>SUM(O138:R138)</f>
        <v>3229.2000000000003</v>
      </c>
      <c r="T138" s="26" t="s">
        <v>169</v>
      </c>
      <c r="U138" s="19" t="s">
        <v>170</v>
      </c>
      <c r="V138" s="19" t="str">
        <f>IF(OR($H138="",$H138="sif",$H138="PM"),"",VLOOKUP($H138,[5]CU!$C$5:$J$255,8,FALSE))</f>
        <v>3. Dépenses de fonctionnement</v>
      </c>
      <c r="W138" s="19" t="s">
        <v>98</v>
      </c>
      <c r="X138" s="19" t="s">
        <v>98</v>
      </c>
      <c r="Y138" s="19" t="s">
        <v>32</v>
      </c>
      <c r="Z138" s="19" t="str">
        <f>A138 &amp; "-" &amp; VLOOKUP(A138,[4]PROGRAMMES!$E$1:$F$7,2,FALSE)</f>
        <v>1-Accès et équité à l'enseignement général</v>
      </c>
      <c r="AA138" s="19" t="str">
        <f>B138 &amp; "-" &amp; VLOOKUP(B138,[4]SOUSPROGRAMMES!$E$1:$F$44,2,FALSE)</f>
        <v>12- Accès équitable et achèvement du primaire</v>
      </c>
      <c r="AB138" s="19" t="str">
        <f>C138 &amp; "-" &amp; VLOOKUP(C138,[4]RESULTATS!$E$1:$F$176,2,FALSE)</f>
        <v xml:space="preserve">122- Toutes les localités disposent d’écoles primaires avec des infrastructures adéquates  </v>
      </c>
      <c r="AC138" s="20" t="str">
        <f>D138 &amp; "-" &amp; VLOOKUP(D138,[4]STRATEGIES!$E$1:$F$504,2,FALSE)</f>
        <v>1222-Construction et équipement de salles de classe au primaire avec rampe d’accès et en tenant compte de la prévention des catastrophes naturels</v>
      </c>
      <c r="AD138" s="21" t="str">
        <f t="shared" si="26"/>
        <v>122210-Supervision des travaux de construction et d'équipement des salles de classe (maitrise d'ouvrage SNIES)</v>
      </c>
    </row>
    <row r="139" spans="1:30" s="22" customFormat="1" ht="45" customHeight="1" x14ac:dyDescent="0.8">
      <c r="A139" s="14">
        <v>1</v>
      </c>
      <c r="B139" s="15">
        <v>12</v>
      </c>
      <c r="C139" s="15">
        <v>122</v>
      </c>
      <c r="D139" s="15">
        <v>1222</v>
      </c>
      <c r="E139" s="14">
        <v>122210</v>
      </c>
      <c r="F139" s="16" t="s">
        <v>231</v>
      </c>
      <c r="G139" s="21" t="s">
        <v>58</v>
      </c>
      <c r="H139" s="17" t="s">
        <v>110</v>
      </c>
      <c r="I139" s="56">
        <v>0</v>
      </c>
      <c r="J139" s="56">
        <f>J130</f>
        <v>0</v>
      </c>
      <c r="K139" s="56">
        <f>K130</f>
        <v>26.64</v>
      </c>
      <c r="L139" s="56">
        <f>L130</f>
        <v>13.32</v>
      </c>
      <c r="M139" s="56">
        <f t="shared" si="22"/>
        <v>39.96</v>
      </c>
      <c r="N139" s="56">
        <f>IF(OR(H139="",H139="sif",H139="PM"),0,VLOOKUP(H139,[5]CU!$C$4:$H$255,6,FALSE))</f>
        <v>7.1760000000000002</v>
      </c>
      <c r="O139" s="56">
        <f t="shared" si="24"/>
        <v>0</v>
      </c>
      <c r="P139" s="56">
        <f t="shared" si="24"/>
        <v>0</v>
      </c>
      <c r="Q139" s="56">
        <f t="shared" si="24"/>
        <v>191.16864000000001</v>
      </c>
      <c r="R139" s="56">
        <f t="shared" si="24"/>
        <v>95.584320000000005</v>
      </c>
      <c r="S139" s="56">
        <f t="shared" si="25"/>
        <v>286.75296000000003</v>
      </c>
      <c r="T139" s="23" t="s">
        <v>221</v>
      </c>
      <c r="U139" s="18" t="s">
        <v>170</v>
      </c>
      <c r="V139" s="19" t="str">
        <f>IF(OR($H139="",$H139="sif",$H139="PM"),"",VLOOKUP($H139,[5]CU!$C$5:$J$255,8,FALSE))</f>
        <v>3. Dépenses de fonctionnement</v>
      </c>
      <c r="W139" s="18" t="s">
        <v>98</v>
      </c>
      <c r="X139" s="18" t="s">
        <v>98</v>
      </c>
      <c r="Y139" s="19" t="s">
        <v>32</v>
      </c>
      <c r="Z139" s="19" t="str">
        <f>A139 &amp; "-" &amp; VLOOKUP(A139,[4]PROGRAMMES!$E$1:$F$7,2,FALSE)</f>
        <v>1-Accès et équité à l'enseignement général</v>
      </c>
      <c r="AA139" s="19" t="str">
        <f>B139 &amp; "-" &amp; VLOOKUP(B139,[4]SOUSPROGRAMMES!$E$1:$F$44,2,FALSE)</f>
        <v>12- Accès équitable et achèvement du primaire</v>
      </c>
      <c r="AB139" s="19" t="str">
        <f>C139 &amp; "-" &amp; VLOOKUP(C139,[4]RESULTATS!$E$1:$F$176,2,FALSE)</f>
        <v xml:space="preserve">122- Toutes les localités disposent d’écoles primaires avec des infrastructures adéquates  </v>
      </c>
      <c r="AC139" s="20" t="str">
        <f>D139 &amp; "-" &amp; VLOOKUP(D139,[4]STRATEGIES!$E$1:$F$504,2,FALSE)</f>
        <v>1222-Construction et équipement de salles de classe au primaire avec rampe d’accès et en tenant compte de la prévention des catastrophes naturels</v>
      </c>
      <c r="AD139" s="21" t="str">
        <f t="shared" si="26"/>
        <v>122210-Supervision des travaux de construction et d'équipement des salles de classe (maitrise d'ouvrage ONG)</v>
      </c>
    </row>
    <row r="140" spans="1:30" ht="45" hidden="1" customHeight="1" x14ac:dyDescent="0.8">
      <c r="A140" s="25">
        <v>1</v>
      </c>
      <c r="B140" s="16">
        <v>12</v>
      </c>
      <c r="C140" s="16">
        <v>122</v>
      </c>
      <c r="D140" s="16">
        <v>1222</v>
      </c>
      <c r="E140" s="25">
        <v>122211</v>
      </c>
      <c r="F140" s="16" t="s">
        <v>232</v>
      </c>
      <c r="G140" s="21" t="s">
        <v>58</v>
      </c>
      <c r="H140" s="21" t="s">
        <v>59</v>
      </c>
      <c r="I140" s="56">
        <v>0</v>
      </c>
      <c r="J140" s="57">
        <v>0</v>
      </c>
      <c r="K140" s="57">
        <f>(4*15*4)*50%*2</f>
        <v>240</v>
      </c>
      <c r="L140" s="57">
        <f t="shared" ref="J140:L141" si="28">(4*15*4)*50%</f>
        <v>120</v>
      </c>
      <c r="M140" s="57">
        <f>SUM(I140:L140)</f>
        <v>360</v>
      </c>
      <c r="N140" s="57">
        <f>IF(OR(H140="",H140="sif",H140="PM"),0,VLOOKUP(H140,[5]CU!$C$4:$H$255,6,FALSE))</f>
        <v>0.8177777777777776</v>
      </c>
      <c r="O140" s="57">
        <f>$N140*I140</f>
        <v>0</v>
      </c>
      <c r="P140" s="57">
        <f>$N140*J140</f>
        <v>0</v>
      </c>
      <c r="Q140" s="57">
        <f>$N140*K140</f>
        <v>196.26666666666662</v>
      </c>
      <c r="R140" s="57">
        <f>$N140*L140</f>
        <v>98.133333333333312</v>
      </c>
      <c r="S140" s="57">
        <f>SUM(O140:R140)</f>
        <v>294.39999999999992</v>
      </c>
      <c r="T140" s="26" t="s">
        <v>169</v>
      </c>
      <c r="U140" s="19" t="s">
        <v>170</v>
      </c>
      <c r="V140" s="19" t="str">
        <f>IF(OR($H140="",$H140="sif",$H140="PM"),"",VLOOKUP($H140,[5]CU!$C$5:$J$255,8,FALSE))</f>
        <v>3. Dépenses de fonctionnement</v>
      </c>
      <c r="W140" s="19" t="s">
        <v>96</v>
      </c>
      <c r="X140" s="19" t="s">
        <v>96</v>
      </c>
      <c r="Y140" s="19" t="s">
        <v>32</v>
      </c>
      <c r="Z140" s="19" t="str">
        <f>A140 &amp; "-" &amp; VLOOKUP(A140,[4]PROGRAMMES!$E$1:$F$7,2,FALSE)</f>
        <v>1-Accès et équité à l'enseignement général</v>
      </c>
      <c r="AA140" s="19" t="str">
        <f>B140 &amp; "-" &amp; VLOOKUP(B140,[4]SOUSPROGRAMMES!$E$1:$F$44,2,FALSE)</f>
        <v>12- Accès équitable et achèvement du primaire</v>
      </c>
      <c r="AB140" s="19" t="str">
        <f>C140 &amp; "-" &amp; VLOOKUP(C140,[4]RESULTATS!$E$1:$F$176,2,FALSE)</f>
        <v xml:space="preserve">122- Toutes les localités disposent d’écoles primaires avec des infrastructures adéquates  </v>
      </c>
      <c r="AC140" s="20" t="str">
        <f>D140 &amp; "-" &amp; VLOOKUP(D140,[4]STRATEGIES!$E$1:$F$504,2,FALSE)</f>
        <v>1222-Construction et équipement de salles de classe au primaire avec rampe d’accès et en tenant compte de la prévention des catastrophes naturels</v>
      </c>
      <c r="AD140" s="21" t="str">
        <f t="shared" si="26"/>
        <v>122211-Suivi évaluation des constructions (à tous les niveaux de l'enseignement général et les réhabilitations)</v>
      </c>
    </row>
    <row r="141" spans="1:30" s="22" customFormat="1" ht="45" customHeight="1" x14ac:dyDescent="0.8">
      <c r="A141" s="14">
        <v>1</v>
      </c>
      <c r="B141" s="15">
        <v>12</v>
      </c>
      <c r="C141" s="15">
        <v>122</v>
      </c>
      <c r="D141" s="15">
        <v>1222</v>
      </c>
      <c r="E141" s="14">
        <v>122211</v>
      </c>
      <c r="F141" s="16" t="s">
        <v>232</v>
      </c>
      <c r="G141" s="21" t="s">
        <v>58</v>
      </c>
      <c r="H141" s="17" t="s">
        <v>59</v>
      </c>
      <c r="I141" s="56">
        <v>0</v>
      </c>
      <c r="J141" s="56">
        <f t="shared" si="28"/>
        <v>120</v>
      </c>
      <c r="K141" s="56">
        <f t="shared" si="28"/>
        <v>120</v>
      </c>
      <c r="L141" s="56">
        <f t="shared" si="28"/>
        <v>120</v>
      </c>
      <c r="M141" s="56">
        <f t="shared" si="22"/>
        <v>360</v>
      </c>
      <c r="N141" s="56">
        <f>IF(OR(H141="",H141="sif",H141="PM"),0,VLOOKUP(H141,[5]CU!$C$4:$H$255,6,FALSE))</f>
        <v>0.8177777777777776</v>
      </c>
      <c r="O141" s="56">
        <f t="shared" si="24"/>
        <v>0</v>
      </c>
      <c r="P141" s="56">
        <f t="shared" si="24"/>
        <v>98.133333333333312</v>
      </c>
      <c r="Q141" s="56">
        <f t="shared" si="24"/>
        <v>98.133333333333312</v>
      </c>
      <c r="R141" s="56">
        <f t="shared" si="24"/>
        <v>98.133333333333312</v>
      </c>
      <c r="S141" s="56">
        <f t="shared" si="25"/>
        <v>294.39999999999992</v>
      </c>
      <c r="T141" s="23" t="s">
        <v>191</v>
      </c>
      <c r="U141" s="18" t="s">
        <v>170</v>
      </c>
      <c r="V141" s="19" t="str">
        <f>IF(OR($H141="",$H141="sif",$H141="PM"),"",VLOOKUP($H141,[5]CU!$C$5:$J$255,8,FALSE))</f>
        <v>3. Dépenses de fonctionnement</v>
      </c>
      <c r="W141" s="18" t="s">
        <v>96</v>
      </c>
      <c r="X141" s="18" t="s">
        <v>96</v>
      </c>
      <c r="Y141" s="19" t="s">
        <v>32</v>
      </c>
      <c r="Z141" s="19" t="str">
        <f>A141 &amp; "-" &amp; VLOOKUP(A141,[4]PROGRAMMES!$E$1:$F$7,2,FALSE)</f>
        <v>1-Accès et équité à l'enseignement général</v>
      </c>
      <c r="AA141" s="19" t="str">
        <f>B141 &amp; "-" &amp; VLOOKUP(B141,[4]SOUSPROGRAMMES!$E$1:$F$44,2,FALSE)</f>
        <v>12- Accès équitable et achèvement du primaire</v>
      </c>
      <c r="AB141" s="19" t="str">
        <f>C141 &amp; "-" &amp; VLOOKUP(C141,[4]RESULTATS!$E$1:$F$176,2,FALSE)</f>
        <v xml:space="preserve">122- Toutes les localités disposent d’écoles primaires avec des infrastructures adéquates  </v>
      </c>
      <c r="AC141" s="20" t="str">
        <f>D141 &amp; "-" &amp; VLOOKUP(D141,[4]STRATEGIES!$E$1:$F$504,2,FALSE)</f>
        <v>1222-Construction et équipement de salles de classe au primaire avec rampe d’accès et en tenant compte de la prévention des catastrophes naturels</v>
      </c>
      <c r="AD141" s="21" t="str">
        <f t="shared" si="26"/>
        <v>122211-Suivi évaluation des constructions (à tous les niveaux de l'enseignement général et les réhabilitations)</v>
      </c>
    </row>
    <row r="142" spans="1:30" s="22" customFormat="1" ht="60" customHeight="1" x14ac:dyDescent="0.8">
      <c r="A142" s="14">
        <v>1</v>
      </c>
      <c r="B142" s="15">
        <v>12</v>
      </c>
      <c r="C142" s="15">
        <v>123</v>
      </c>
      <c r="D142" s="15">
        <v>123</v>
      </c>
      <c r="E142" s="14">
        <v>123</v>
      </c>
      <c r="F142" s="16" t="s">
        <v>233</v>
      </c>
      <c r="G142" s="17"/>
      <c r="H142" s="17"/>
      <c r="I142" s="56">
        <v>0</v>
      </c>
      <c r="J142" s="56"/>
      <c r="K142" s="56"/>
      <c r="L142" s="56"/>
      <c r="M142" s="56"/>
      <c r="N142" s="56"/>
      <c r="O142" s="56"/>
      <c r="P142" s="56"/>
      <c r="Q142" s="56"/>
      <c r="R142" s="56"/>
      <c r="S142" s="56"/>
      <c r="T142" s="18"/>
      <c r="U142" s="18"/>
      <c r="V142" s="19"/>
      <c r="W142" s="18"/>
      <c r="X142" s="18"/>
      <c r="Y142" s="19" t="s">
        <v>32</v>
      </c>
      <c r="Z142" s="19" t="str">
        <f>A142 &amp; "-" &amp; VLOOKUP(A142,[4]PROGRAMMES!$E$1:$F$7,2,FALSE)</f>
        <v>1-Accès et équité à l'enseignement général</v>
      </c>
      <c r="AA142" s="19" t="str">
        <f>B142 &amp; "-" &amp; VLOOKUP(B142,[4]SOUSPROGRAMMES!$E$1:$F$44,2,FALSE)</f>
        <v>12- Accès équitable et achèvement du primaire</v>
      </c>
      <c r="AB142" s="19" t="str">
        <f>C142 &amp; "-" &amp; VLOOKUP(C142,[4]RESULTATS!$E$1:$F$176,2,FALSE)</f>
        <v>123- Toutes les écoles primaires publiques et communautaires sont dotées en enseignants en nombre suffisant, y compris les FA</v>
      </c>
      <c r="AC142" s="20" t="str">
        <f>D142 &amp; "-" &amp; VLOOKUP(D142,[4]STRATEGIES!$E$1:$F$504,2,FALSE)</f>
        <v>123- Toutes les écoles primaires publiques et communautaires sont dotées en enseignants en nombre suffisant, y compris les FA</v>
      </c>
      <c r="AD142" s="21" t="str">
        <f t="shared" si="26"/>
        <v>123- Toutes les écoles primaires publiques et communautaires sont dotées en enseignants en nombre suffisant, y compris les FA</v>
      </c>
    </row>
    <row r="143" spans="1:30" s="22" customFormat="1" ht="60" customHeight="1" x14ac:dyDescent="0.8">
      <c r="A143" s="14">
        <v>1</v>
      </c>
      <c r="B143" s="15">
        <v>12</v>
      </c>
      <c r="C143" s="15">
        <v>123</v>
      </c>
      <c r="D143" s="15">
        <v>1231</v>
      </c>
      <c r="E143" s="14">
        <v>1231</v>
      </c>
      <c r="F143" s="16" t="s">
        <v>234</v>
      </c>
      <c r="G143" s="17"/>
      <c r="H143" s="17"/>
      <c r="I143" s="56">
        <v>0</v>
      </c>
      <c r="J143" s="56"/>
      <c r="K143" s="56"/>
      <c r="L143" s="56"/>
      <c r="M143" s="56"/>
      <c r="N143" s="56"/>
      <c r="O143" s="56"/>
      <c r="P143" s="56"/>
      <c r="Q143" s="56"/>
      <c r="R143" s="56"/>
      <c r="S143" s="56"/>
      <c r="T143" s="18"/>
      <c r="U143" s="18"/>
      <c r="V143" s="19"/>
      <c r="W143" s="18"/>
      <c r="X143" s="18"/>
      <c r="Y143" s="19" t="s">
        <v>32</v>
      </c>
      <c r="Z143" s="19" t="str">
        <f>A143 &amp; "-" &amp; VLOOKUP(A143,[4]PROGRAMMES!$E$1:$F$7,2,FALSE)</f>
        <v>1-Accès et équité à l'enseignement général</v>
      </c>
      <c r="AA143" s="19" t="str">
        <f>B143 &amp; "-" &amp; VLOOKUP(B143,[4]SOUSPROGRAMMES!$E$1:$F$44,2,FALSE)</f>
        <v>12- Accès équitable et achèvement du primaire</v>
      </c>
      <c r="AB143" s="19" t="str">
        <f>C143 &amp; "-" &amp; VLOOKUP(C143,[4]RESULTATS!$E$1:$F$176,2,FALSE)</f>
        <v>123- Toutes les écoles primaires publiques et communautaires sont dotées en enseignants en nombre suffisant, y compris les FA</v>
      </c>
      <c r="AC143" s="20" t="str">
        <f>D143 &amp; "-" &amp; VLOOKUP(D143,[4]STRATEGIES!$E$1:$F$504,2,FALSE)</f>
        <v>1231-Recrutement d’enseignants</v>
      </c>
      <c r="AD143" s="21" t="str">
        <f t="shared" si="26"/>
        <v>1231-Recrutement d’enseignants</v>
      </c>
    </row>
    <row r="144" spans="1:30" s="22" customFormat="1" ht="60" hidden="1" customHeight="1" x14ac:dyDescent="0.8">
      <c r="A144" s="14">
        <v>1</v>
      </c>
      <c r="B144" s="15">
        <v>12</v>
      </c>
      <c r="C144" s="15">
        <v>123</v>
      </c>
      <c r="D144" s="15">
        <v>1231</v>
      </c>
      <c r="E144" s="14">
        <v>12311</v>
      </c>
      <c r="F144" s="16" t="s">
        <v>235</v>
      </c>
      <c r="G144" s="21" t="s">
        <v>88</v>
      </c>
      <c r="H144" s="17" t="s">
        <v>55</v>
      </c>
      <c r="I144" s="56">
        <v>0</v>
      </c>
      <c r="J144" s="56">
        <v>1</v>
      </c>
      <c r="K144" s="56">
        <v>1</v>
      </c>
      <c r="L144" s="56">
        <v>1</v>
      </c>
      <c r="M144" s="56">
        <f t="shared" si="22"/>
        <v>3</v>
      </c>
      <c r="N144" s="56">
        <f>IF(OR(H144="",H144="sif",H144="PM"),0,VLOOKUP(H144,[5]CU!$C$4:$H$255,6,FALSE))</f>
        <v>0</v>
      </c>
      <c r="O144" s="56"/>
      <c r="P144" s="56"/>
      <c r="Q144" s="56"/>
      <c r="R144" s="56"/>
      <c r="S144" s="56"/>
      <c r="T144" s="23" t="s">
        <v>56</v>
      </c>
      <c r="U144" s="18" t="s">
        <v>170</v>
      </c>
      <c r="V144" s="19" t="str">
        <f>IF(OR($H144="",$H144="sif",$H144="PM"),"",VLOOKUP($H144,[5]CU!$C$5:$J$255,8,FALSE))</f>
        <v/>
      </c>
      <c r="W144" s="18" t="s">
        <v>142</v>
      </c>
      <c r="X144" s="18" t="s">
        <v>236</v>
      </c>
      <c r="Y144" s="19" t="s">
        <v>32</v>
      </c>
      <c r="Z144" s="19" t="str">
        <f>A144 &amp; "-" &amp; VLOOKUP(A144,[4]PROGRAMMES!$E$1:$F$7,2,FALSE)</f>
        <v>1-Accès et équité à l'enseignement général</v>
      </c>
      <c r="AA144" s="19" t="str">
        <f>B144 &amp; "-" &amp; VLOOKUP(B144,[4]SOUSPROGRAMMES!$E$1:$F$44,2,FALSE)</f>
        <v>12- Accès équitable et achèvement du primaire</v>
      </c>
      <c r="AB144" s="19" t="str">
        <f>C144 &amp; "-" &amp; VLOOKUP(C144,[4]RESULTATS!$E$1:$F$176,2,FALSE)</f>
        <v>123- Toutes les écoles primaires publiques et communautaires sont dotées en enseignants en nombre suffisant, y compris les FA</v>
      </c>
      <c r="AC144" s="20" t="str">
        <f>D144 &amp; "-" &amp; VLOOKUP(D144,[4]STRATEGIES!$E$1:$F$504,2,FALSE)</f>
        <v>1231-Recrutement d’enseignants</v>
      </c>
      <c r="AD144" s="21" t="str">
        <f t="shared" si="26"/>
        <v>12311-Identification des besoins en enseignants</v>
      </c>
    </row>
    <row r="145" spans="1:30" s="22" customFormat="1" ht="60" hidden="1" customHeight="1" x14ac:dyDescent="0.8">
      <c r="A145" s="14">
        <v>1</v>
      </c>
      <c r="B145" s="15">
        <v>12</v>
      </c>
      <c r="C145" s="15">
        <v>123</v>
      </c>
      <c r="D145" s="15">
        <v>1231</v>
      </c>
      <c r="E145" s="14">
        <v>12312</v>
      </c>
      <c r="F145" s="16" t="s">
        <v>237</v>
      </c>
      <c r="G145" s="21" t="s">
        <v>238</v>
      </c>
      <c r="H145" s="17" t="s">
        <v>55</v>
      </c>
      <c r="I145" s="56">
        <v>0</v>
      </c>
      <c r="J145" s="56">
        <v>1</v>
      </c>
      <c r="K145" s="56">
        <v>1</v>
      </c>
      <c r="L145" s="56">
        <v>1</v>
      </c>
      <c r="M145" s="56">
        <f t="shared" si="22"/>
        <v>3</v>
      </c>
      <c r="N145" s="56">
        <f>IF(OR(H145="",H145="sif",H145="PM"),0,VLOOKUP(H145,[5]CU!$C$4:$H$255,6,FALSE))</f>
        <v>0</v>
      </c>
      <c r="O145" s="56"/>
      <c r="P145" s="56"/>
      <c r="Q145" s="56"/>
      <c r="R145" s="56"/>
      <c r="S145" s="56"/>
      <c r="T145" s="23" t="s">
        <v>56</v>
      </c>
      <c r="U145" s="18" t="s">
        <v>170</v>
      </c>
      <c r="V145" s="19" t="str">
        <f>IF(OR($H145="",$H145="sif",$H145="PM"),"",VLOOKUP($H145,[5]CU!$C$5:$J$255,8,FALSE))</f>
        <v/>
      </c>
      <c r="W145" s="18" t="s">
        <v>142</v>
      </c>
      <c r="X145" s="18" t="s">
        <v>239</v>
      </c>
      <c r="Y145" s="19" t="s">
        <v>32</v>
      </c>
      <c r="Z145" s="19" t="str">
        <f>A145 &amp; "-" &amp; VLOOKUP(A145,[4]PROGRAMMES!$E$1:$F$7,2,FALSE)</f>
        <v>1-Accès et équité à l'enseignement général</v>
      </c>
      <c r="AA145" s="19" t="str">
        <f>B145 &amp; "-" &amp; VLOOKUP(B145,[4]SOUSPROGRAMMES!$E$1:$F$44,2,FALSE)</f>
        <v>12- Accès équitable et achèvement du primaire</v>
      </c>
      <c r="AB145" s="19" t="str">
        <f>C145 &amp; "-" &amp; VLOOKUP(C145,[4]RESULTATS!$E$1:$F$176,2,FALSE)</f>
        <v>123- Toutes les écoles primaires publiques et communautaires sont dotées en enseignants en nombre suffisant, y compris les FA</v>
      </c>
      <c r="AC145" s="20" t="str">
        <f>D145 &amp; "-" &amp; VLOOKUP(D145,[4]STRATEGIES!$E$1:$F$504,2,FALSE)</f>
        <v>1231-Recrutement d’enseignants</v>
      </c>
      <c r="AD145" s="21" t="str">
        <f t="shared" si="26"/>
        <v>12312-Organisation de concours de recrutement des enseignants au niveau déconcentré/décentralisé (pris en charge par les frais d'inscription)</v>
      </c>
    </row>
    <row r="146" spans="1:30" s="22" customFormat="1" ht="75" hidden="1" customHeight="1" x14ac:dyDescent="0.8">
      <c r="A146" s="14">
        <v>1</v>
      </c>
      <c r="B146" s="15">
        <v>12</v>
      </c>
      <c r="C146" s="15">
        <v>123</v>
      </c>
      <c r="D146" s="15">
        <v>1231</v>
      </c>
      <c r="E146" s="14">
        <v>12313</v>
      </c>
      <c r="F146" s="16" t="s">
        <v>145</v>
      </c>
      <c r="G146" s="21" t="s">
        <v>240</v>
      </c>
      <c r="H146" s="17" t="s">
        <v>241</v>
      </c>
      <c r="I146" s="56">
        <v>0</v>
      </c>
      <c r="J146" s="56">
        <v>2509</v>
      </c>
      <c r="K146" s="56">
        <v>2554</v>
      </c>
      <c r="L146" s="56">
        <v>2528</v>
      </c>
      <c r="M146" s="56">
        <f t="shared" si="22"/>
        <v>7591</v>
      </c>
      <c r="N146" s="56">
        <f>IF(OR(H146="",H146="sif",H146="PM"),0,VLOOKUP(H146,[5]CU!$C$4:$H$255,6,FALSE))</f>
        <v>25.101235436167226</v>
      </c>
      <c r="O146" s="56">
        <f t="shared" ref="O146:R147" si="29">$N146*I146</f>
        <v>0</v>
      </c>
      <c r="P146" s="56">
        <f t="shared" si="29"/>
        <v>62978.999709343567</v>
      </c>
      <c r="Q146" s="56">
        <f t="shared" si="29"/>
        <v>64108.555303971094</v>
      </c>
      <c r="R146" s="56">
        <f t="shared" si="29"/>
        <v>63455.923182630744</v>
      </c>
      <c r="S146" s="56">
        <f>SUM(O146:R146)</f>
        <v>190543.47819594541</v>
      </c>
      <c r="T146" s="23" t="s">
        <v>56</v>
      </c>
      <c r="U146" s="18" t="s">
        <v>170</v>
      </c>
      <c r="V146" s="19" t="str">
        <f>IF(OR($H146="",$H146="sif",$H146="PM"),"",VLOOKUP($H146,[5]CU!$C$5:$J$255,8,FALSE))</f>
        <v>2. Personnel</v>
      </c>
      <c r="W146" s="18" t="s">
        <v>142</v>
      </c>
      <c r="X146" s="18" t="s">
        <v>242</v>
      </c>
      <c r="Y146" s="19" t="s">
        <v>32</v>
      </c>
      <c r="Z146" s="19" t="str">
        <f>A146 &amp; "-" &amp; VLOOKUP(A146,[4]PROGRAMMES!$E$1:$F$7,2,FALSE)</f>
        <v>1-Accès et équité à l'enseignement général</v>
      </c>
      <c r="AA146" s="19" t="str">
        <f>B146 &amp; "-" &amp; VLOOKUP(B146,[4]SOUSPROGRAMMES!$E$1:$F$44,2,FALSE)</f>
        <v>12- Accès équitable et achèvement du primaire</v>
      </c>
      <c r="AB146" s="19" t="str">
        <f>C146 &amp; "-" &amp; VLOOKUP(C146,[4]RESULTATS!$E$1:$F$176,2,FALSE)</f>
        <v>123- Toutes les écoles primaires publiques et communautaires sont dotées en enseignants en nombre suffisant, y compris les FA</v>
      </c>
      <c r="AC146" s="20" t="str">
        <f>D146 &amp; "-" &amp; VLOOKUP(D146,[4]STRATEGIES!$E$1:$F$504,2,FALSE)</f>
        <v>1231-Recrutement d’enseignants</v>
      </c>
      <c r="AD146" s="21" t="str">
        <f t="shared" si="26"/>
        <v>12313-Prise en charge des candidats retenus après leur prise de service</v>
      </c>
    </row>
    <row r="147" spans="1:30" s="22" customFormat="1" ht="60" customHeight="1" x14ac:dyDescent="0.8">
      <c r="A147" s="14">
        <v>1</v>
      </c>
      <c r="B147" s="15">
        <v>12</v>
      </c>
      <c r="C147" s="15">
        <v>123</v>
      </c>
      <c r="D147" s="15">
        <v>1231</v>
      </c>
      <c r="E147" s="14">
        <v>12314</v>
      </c>
      <c r="F147" s="16" t="s">
        <v>243</v>
      </c>
      <c r="G147" s="21" t="s">
        <v>58</v>
      </c>
      <c r="H147" s="17" t="s">
        <v>59</v>
      </c>
      <c r="I147" s="56">
        <v>0</v>
      </c>
      <c r="J147" s="56">
        <f>4*7*38</f>
        <v>1064</v>
      </c>
      <c r="K147" s="56">
        <f>4*7*38</f>
        <v>1064</v>
      </c>
      <c r="L147" s="56">
        <f>4*7*38</f>
        <v>1064</v>
      </c>
      <c r="M147" s="56">
        <f t="shared" si="22"/>
        <v>3192</v>
      </c>
      <c r="N147" s="56">
        <f>IF(OR(H147="",H147="sif",H147="PM"),0,VLOOKUP(H147,[5]CU!$C$4:$H$255,6,FALSE))</f>
        <v>0.8177777777777776</v>
      </c>
      <c r="O147" s="56">
        <f t="shared" si="29"/>
        <v>0</v>
      </c>
      <c r="P147" s="56">
        <f t="shared" si="29"/>
        <v>870.11555555555537</v>
      </c>
      <c r="Q147" s="56">
        <f t="shared" si="29"/>
        <v>870.11555555555537</v>
      </c>
      <c r="R147" s="56">
        <f t="shared" si="29"/>
        <v>870.11555555555537</v>
      </c>
      <c r="S147" s="56">
        <f>SUM(O147:R147)</f>
        <v>2610.3466666666664</v>
      </c>
      <c r="T147" s="23" t="s">
        <v>39</v>
      </c>
      <c r="U147" s="18" t="s">
        <v>170</v>
      </c>
      <c r="V147" s="19" t="str">
        <f>IF(OR($H147="",$H147="sif",$H147="PM"),"",VLOOKUP($H147,[5]CU!$C$5:$J$255,8,FALSE))</f>
        <v>3. Dépenses de fonctionnement</v>
      </c>
      <c r="W147" s="18" t="s">
        <v>142</v>
      </c>
      <c r="X147" s="18" t="s">
        <v>242</v>
      </c>
      <c r="Y147" s="19" t="s">
        <v>32</v>
      </c>
      <c r="Z147" s="19" t="str">
        <f>A147 &amp; "-" &amp; VLOOKUP(A147,[4]PROGRAMMES!$E$1:$F$7,2,FALSE)</f>
        <v>1-Accès et équité à l'enseignement général</v>
      </c>
      <c r="AA147" s="19" t="str">
        <f>B147 &amp; "-" &amp; VLOOKUP(B147,[4]SOUSPROGRAMMES!$E$1:$F$44,2,FALSE)</f>
        <v>12- Accès équitable et achèvement du primaire</v>
      </c>
      <c r="AB147" s="19" t="str">
        <f>C147 &amp; "-" &amp; VLOOKUP(C147,[4]RESULTATS!$E$1:$F$176,2,FALSE)</f>
        <v>123- Toutes les écoles primaires publiques et communautaires sont dotées en enseignants en nombre suffisant, y compris les FA</v>
      </c>
      <c r="AC147" s="20" t="str">
        <f>D147 &amp; "-" &amp; VLOOKUP(D147,[4]STRATEGIES!$E$1:$F$504,2,FALSE)</f>
        <v>1231-Recrutement d’enseignants</v>
      </c>
      <c r="AD147" s="21" t="str">
        <f t="shared" si="26"/>
        <v>12314-Suivi de l'allocation des enseignants</v>
      </c>
    </row>
    <row r="148" spans="1:30" s="22" customFormat="1" ht="60" customHeight="1" x14ac:dyDescent="0.8">
      <c r="A148" s="14">
        <v>1</v>
      </c>
      <c r="B148" s="15">
        <v>12</v>
      </c>
      <c r="C148" s="15">
        <v>123</v>
      </c>
      <c r="D148" s="15">
        <v>1232</v>
      </c>
      <c r="E148" s="14">
        <v>1232</v>
      </c>
      <c r="F148" s="16" t="s">
        <v>244</v>
      </c>
      <c r="G148" s="17"/>
      <c r="H148" s="17"/>
      <c r="I148" s="56">
        <v>0</v>
      </c>
      <c r="J148" s="56"/>
      <c r="K148" s="56"/>
      <c r="L148" s="56"/>
      <c r="M148" s="56"/>
      <c r="N148" s="56"/>
      <c r="O148" s="56"/>
      <c r="P148" s="56"/>
      <c r="Q148" s="56"/>
      <c r="R148" s="56"/>
      <c r="S148" s="56"/>
      <c r="T148" s="18"/>
      <c r="U148" s="18"/>
      <c r="V148" s="19"/>
      <c r="W148" s="18"/>
      <c r="X148" s="18"/>
      <c r="Y148" s="19" t="s">
        <v>32</v>
      </c>
      <c r="Z148" s="19" t="str">
        <f>A148 &amp; "-" &amp; VLOOKUP(A148,[4]PROGRAMMES!$E$1:$F$7,2,FALSE)</f>
        <v>1-Accès et équité à l'enseignement général</v>
      </c>
      <c r="AA148" s="19" t="str">
        <f>B148 &amp; "-" &amp; VLOOKUP(B148,[4]SOUSPROGRAMMES!$E$1:$F$44,2,FALSE)</f>
        <v>12- Accès équitable et achèvement du primaire</v>
      </c>
      <c r="AB148" s="19" t="str">
        <f>C148 &amp; "-" &amp; VLOOKUP(C148,[4]RESULTATS!$E$1:$F$176,2,FALSE)</f>
        <v>123- Toutes les écoles primaires publiques et communautaires sont dotées en enseignants en nombre suffisant, y compris les FA</v>
      </c>
      <c r="AC148" s="20" t="str">
        <f>D148 &amp; "-" &amp; VLOOKUP(D148,[4]STRATEGIES!$E$1:$F$504,2,FALSE)</f>
        <v>1232-Prise en charge progressive des enseignants communautaires</v>
      </c>
      <c r="AD148" s="21" t="str">
        <f t="shared" si="26"/>
        <v>1232-Prise en charge progressive des enseignants communautaires</v>
      </c>
    </row>
    <row r="149" spans="1:30" s="22" customFormat="1" ht="60" hidden="1" customHeight="1" x14ac:dyDescent="0.8">
      <c r="A149" s="14">
        <v>1</v>
      </c>
      <c r="B149" s="15">
        <v>12</v>
      </c>
      <c r="C149" s="15">
        <v>123</v>
      </c>
      <c r="D149" s="15">
        <v>1232</v>
      </c>
      <c r="E149" s="14">
        <v>12321</v>
      </c>
      <c r="F149" s="16" t="s">
        <v>245</v>
      </c>
      <c r="G149" s="21" t="s">
        <v>58</v>
      </c>
      <c r="H149" s="17" t="s">
        <v>55</v>
      </c>
      <c r="I149" s="56">
        <v>0</v>
      </c>
      <c r="J149" s="56">
        <v>1</v>
      </c>
      <c r="K149" s="56"/>
      <c r="L149" s="56"/>
      <c r="M149" s="56">
        <f t="shared" si="22"/>
        <v>1</v>
      </c>
      <c r="N149" s="56">
        <f>IF(OR(H149="",H149="sif",H149="PM"),0,VLOOKUP(H149,[5]CU!$C$4:$H$255,6,FALSE))</f>
        <v>0</v>
      </c>
      <c r="O149" s="56"/>
      <c r="P149" s="56"/>
      <c r="Q149" s="56"/>
      <c r="R149" s="56"/>
      <c r="S149" s="56"/>
      <c r="T149" s="23" t="s">
        <v>56</v>
      </c>
      <c r="U149" s="18" t="s">
        <v>170</v>
      </c>
      <c r="V149" s="19" t="str">
        <f>IF(OR($H149="",$H149="sif",$H149="PM"),"",VLOOKUP($H149,[5]CU!$C$5:$J$255,8,FALSE))</f>
        <v/>
      </c>
      <c r="W149" s="18" t="s">
        <v>142</v>
      </c>
      <c r="X149" s="18" t="s">
        <v>246</v>
      </c>
      <c r="Y149" s="19" t="s">
        <v>32</v>
      </c>
      <c r="Z149" s="19" t="str">
        <f>A149 &amp; "-" &amp; VLOOKUP(A149,[4]PROGRAMMES!$E$1:$F$7,2,FALSE)</f>
        <v>1-Accès et équité à l'enseignement général</v>
      </c>
      <c r="AA149" s="19" t="str">
        <f>B149 &amp; "-" &amp; VLOOKUP(B149,[4]SOUSPROGRAMMES!$E$1:$F$44,2,FALSE)</f>
        <v>12- Accès équitable et achèvement du primaire</v>
      </c>
      <c r="AB149" s="19" t="str">
        <f>C149 &amp; "-" &amp; VLOOKUP(C149,[4]RESULTATS!$E$1:$F$176,2,FALSE)</f>
        <v>123- Toutes les écoles primaires publiques et communautaires sont dotées en enseignants en nombre suffisant, y compris les FA</v>
      </c>
      <c r="AC149" s="20" t="str">
        <f>D149 &amp; "-" &amp; VLOOKUP(D149,[4]STRATEGIES!$E$1:$F$504,2,FALSE)</f>
        <v>1232-Prise en charge progressive des enseignants communautaires</v>
      </c>
      <c r="AD149" s="21" t="str">
        <f t="shared" si="26"/>
        <v>12321-Identification de qualification des enseignants communautaires en service</v>
      </c>
    </row>
    <row r="150" spans="1:30" s="22" customFormat="1" ht="60" hidden="1" customHeight="1" x14ac:dyDescent="0.8">
      <c r="A150" s="14">
        <v>1</v>
      </c>
      <c r="B150" s="15">
        <v>12</v>
      </c>
      <c r="C150" s="15">
        <v>123</v>
      </c>
      <c r="D150" s="15">
        <v>1232</v>
      </c>
      <c r="E150" s="14">
        <v>12322</v>
      </c>
      <c r="F150" s="16" t="s">
        <v>247</v>
      </c>
      <c r="G150" s="21" t="s">
        <v>159</v>
      </c>
      <c r="H150" s="17" t="s">
        <v>55</v>
      </c>
      <c r="I150" s="56">
        <v>0</v>
      </c>
      <c r="J150" s="56">
        <v>1</v>
      </c>
      <c r="K150" s="56">
        <v>1</v>
      </c>
      <c r="L150" s="56">
        <v>1</v>
      </c>
      <c r="M150" s="56">
        <f t="shared" si="22"/>
        <v>3</v>
      </c>
      <c r="N150" s="56">
        <f>IF(OR(H150="",H150="sif",H150="PM"),0,VLOOKUP(H150,[5]CU!$C$4:$H$255,6,FALSE))</f>
        <v>0</v>
      </c>
      <c r="O150" s="56"/>
      <c r="P150" s="56"/>
      <c r="Q150" s="56"/>
      <c r="R150" s="56"/>
      <c r="S150" s="56"/>
      <c r="T150" s="23" t="s">
        <v>56</v>
      </c>
      <c r="U150" s="18" t="s">
        <v>170</v>
      </c>
      <c r="V150" s="19" t="str">
        <f>IF(OR($H150="",$H150="sif",$H150="PM"),"",VLOOKUP($H150,[5]CU!$C$5:$J$255,8,FALSE))</f>
        <v/>
      </c>
      <c r="W150" s="18" t="s">
        <v>142</v>
      </c>
      <c r="X150" s="18" t="s">
        <v>248</v>
      </c>
      <c r="Y150" s="19" t="s">
        <v>32</v>
      </c>
      <c r="Z150" s="19" t="str">
        <f>A150 &amp; "-" &amp; VLOOKUP(A150,[4]PROGRAMMES!$E$1:$F$7,2,FALSE)</f>
        <v>1-Accès et équité à l'enseignement général</v>
      </c>
      <c r="AA150" s="19" t="str">
        <f>B150 &amp; "-" &amp; VLOOKUP(B150,[4]SOUSPROGRAMMES!$E$1:$F$44,2,FALSE)</f>
        <v>12- Accès équitable et achèvement du primaire</v>
      </c>
      <c r="AB150" s="19" t="str">
        <f>C150 &amp; "-" &amp; VLOOKUP(C150,[4]RESULTATS!$E$1:$F$176,2,FALSE)</f>
        <v>123- Toutes les écoles primaires publiques et communautaires sont dotées en enseignants en nombre suffisant, y compris les FA</v>
      </c>
      <c r="AC150" s="20" t="str">
        <f>D150 &amp; "-" &amp; VLOOKUP(D150,[4]STRATEGIES!$E$1:$F$504,2,FALSE)</f>
        <v>1232-Prise en charge progressive des enseignants communautaires</v>
      </c>
      <c r="AD150" s="21" t="str">
        <f t="shared" si="26"/>
        <v>12322-Formation des enseignants communautaires à l'ENI (pris en compte dans budget ENI)</v>
      </c>
    </row>
    <row r="151" spans="1:30" s="22" customFormat="1" ht="60" hidden="1" customHeight="1" x14ac:dyDescent="0.8">
      <c r="A151" s="14">
        <v>1</v>
      </c>
      <c r="B151" s="15">
        <v>12</v>
      </c>
      <c r="C151" s="15">
        <v>123</v>
      </c>
      <c r="D151" s="15">
        <v>1232</v>
      </c>
      <c r="E151" s="14">
        <v>12323</v>
      </c>
      <c r="F151" s="16" t="s">
        <v>249</v>
      </c>
      <c r="G151" s="21" t="s">
        <v>159</v>
      </c>
      <c r="H151" s="17" t="s">
        <v>55</v>
      </c>
      <c r="I151" s="56">
        <v>0</v>
      </c>
      <c r="J151" s="56">
        <v>1</v>
      </c>
      <c r="K151" s="56">
        <v>1</v>
      </c>
      <c r="L151" s="56">
        <v>1</v>
      </c>
      <c r="M151" s="56">
        <f t="shared" si="22"/>
        <v>3</v>
      </c>
      <c r="N151" s="56">
        <f>IF(OR(H151="",H151="sif",H151="PM"),0,VLOOKUP(H151,[5]CU!$C$4:$H$255,6,FALSE))</f>
        <v>0</v>
      </c>
      <c r="O151" s="56"/>
      <c r="P151" s="56"/>
      <c r="Q151" s="56"/>
      <c r="R151" s="56"/>
      <c r="S151" s="56"/>
      <c r="T151" s="23" t="s">
        <v>56</v>
      </c>
      <c r="U151" s="18" t="s">
        <v>170</v>
      </c>
      <c r="V151" s="19" t="str">
        <f>IF(OR($H151="",$H151="sif",$H151="PM"),"",VLOOKUP($H151,[5]CU!$C$5:$J$255,8,FALSE))</f>
        <v/>
      </c>
      <c r="W151" s="18" t="s">
        <v>142</v>
      </c>
      <c r="X151" s="18" t="s">
        <v>142</v>
      </c>
      <c r="Y151" s="19" t="s">
        <v>32</v>
      </c>
      <c r="Z151" s="19" t="str">
        <f>A151 &amp; "-" &amp; VLOOKUP(A151,[4]PROGRAMMES!$E$1:$F$7,2,FALSE)</f>
        <v>1-Accès et équité à l'enseignement général</v>
      </c>
      <c r="AA151" s="19" t="str">
        <f>B151 &amp; "-" &amp; VLOOKUP(B151,[4]SOUSPROGRAMMES!$E$1:$F$44,2,FALSE)</f>
        <v>12- Accès équitable et achèvement du primaire</v>
      </c>
      <c r="AB151" s="19" t="str">
        <f>C151 &amp; "-" &amp; VLOOKUP(C151,[4]RESULTATS!$E$1:$F$176,2,FALSE)</f>
        <v>123- Toutes les écoles primaires publiques et communautaires sont dotées en enseignants en nombre suffisant, y compris les FA</v>
      </c>
      <c r="AC151" s="20" t="str">
        <f>D151 &amp; "-" &amp; VLOOKUP(D151,[4]STRATEGIES!$E$1:$F$504,2,FALSE)</f>
        <v>1232-Prise en charge progressive des enseignants communautaires</v>
      </c>
      <c r="AD151" s="21" t="str">
        <f t="shared" si="26"/>
        <v>12323-Prise en charge des maîtres communautaires certifiés (pris en compte dans activité 12313)</v>
      </c>
    </row>
    <row r="152" spans="1:30" s="22" customFormat="1" ht="60" customHeight="1" x14ac:dyDescent="0.8">
      <c r="A152" s="14">
        <v>1</v>
      </c>
      <c r="B152" s="15">
        <v>12</v>
      </c>
      <c r="C152" s="15">
        <v>123</v>
      </c>
      <c r="D152" s="15">
        <v>1233</v>
      </c>
      <c r="E152" s="14">
        <v>1233</v>
      </c>
      <c r="F152" s="16" t="s">
        <v>250</v>
      </c>
      <c r="G152" s="17"/>
      <c r="H152" s="17"/>
      <c r="I152" s="56">
        <v>0</v>
      </c>
      <c r="J152" s="56"/>
      <c r="K152" s="56"/>
      <c r="L152" s="56"/>
      <c r="M152" s="56"/>
      <c r="N152" s="56"/>
      <c r="O152" s="56"/>
      <c r="P152" s="56"/>
      <c r="Q152" s="56"/>
      <c r="R152" s="56"/>
      <c r="S152" s="56"/>
      <c r="T152" s="18"/>
      <c r="U152" s="18"/>
      <c r="V152" s="19"/>
      <c r="W152" s="18"/>
      <c r="X152" s="18"/>
      <c r="Y152" s="19" t="s">
        <v>32</v>
      </c>
      <c r="Z152" s="19" t="str">
        <f>A152 &amp; "-" &amp; VLOOKUP(A152,[4]PROGRAMMES!$E$1:$F$7,2,FALSE)</f>
        <v>1-Accès et équité à l'enseignement général</v>
      </c>
      <c r="AA152" s="19" t="str">
        <f>B152 &amp; "-" &amp; VLOOKUP(B152,[4]SOUSPROGRAMMES!$E$1:$F$44,2,FALSE)</f>
        <v>12- Accès équitable et achèvement du primaire</v>
      </c>
      <c r="AB152" s="19" t="str">
        <f>C152 &amp; "-" &amp; VLOOKUP(C152,[4]RESULTATS!$E$1:$F$176,2,FALSE)</f>
        <v>123- Toutes les écoles primaires publiques et communautaires sont dotées en enseignants en nombre suffisant, y compris les FA</v>
      </c>
      <c r="AC152" s="20" t="str">
        <f>D152 &amp; "-" &amp; VLOOKUP(D152,[4]STRATEGIES!$E$1:$F$504,2,FALSE)</f>
        <v>1233-Optimisation de l’utilisation des enseignants</v>
      </c>
      <c r="AD152" s="21" t="str">
        <f t="shared" si="26"/>
        <v>1233-Optimisation de l’utilisation des enseignants</v>
      </c>
    </row>
    <row r="153" spans="1:30" ht="60" hidden="1" customHeight="1" x14ac:dyDescent="0.8">
      <c r="A153" s="25">
        <v>1</v>
      </c>
      <c r="B153" s="16">
        <v>12</v>
      </c>
      <c r="C153" s="16">
        <v>123</v>
      </c>
      <c r="D153" s="16">
        <v>1233</v>
      </c>
      <c r="E153" s="25">
        <v>12331</v>
      </c>
      <c r="F153" s="16" t="s">
        <v>251</v>
      </c>
      <c r="G153" s="21" t="s">
        <v>37</v>
      </c>
      <c r="H153" s="21" t="s">
        <v>66</v>
      </c>
      <c r="I153" s="56">
        <v>0</v>
      </c>
      <c r="J153" s="57">
        <f>30*5*1</f>
        <v>150</v>
      </c>
      <c r="K153" s="57">
        <f t="shared" ref="K153:L153" si="30">30*5*1</f>
        <v>150</v>
      </c>
      <c r="L153" s="57">
        <f t="shared" si="30"/>
        <v>150</v>
      </c>
      <c r="M153" s="57">
        <f t="shared" si="22"/>
        <v>450</v>
      </c>
      <c r="N153" s="57">
        <f>IF(OR(H153="",H153="sif",H153="PM"),0,VLOOKUP(H153,[5]CU!$C$4:$H$255,6,FALSE))</f>
        <v>0.255</v>
      </c>
      <c r="O153" s="57">
        <f>$N153*I153</f>
        <v>0</v>
      </c>
      <c r="P153" s="57">
        <f>$N153*J153</f>
        <v>38.25</v>
      </c>
      <c r="Q153" s="57">
        <f>$N153*K153</f>
        <v>38.25</v>
      </c>
      <c r="R153" s="57">
        <f>$N153*L153</f>
        <v>38.25</v>
      </c>
      <c r="S153" s="57">
        <f>SUM(O153:R153)</f>
        <v>114.75</v>
      </c>
      <c r="T153" s="26" t="s">
        <v>169</v>
      </c>
      <c r="U153" s="19" t="s">
        <v>170</v>
      </c>
      <c r="V153" s="19" t="str">
        <f>IF(OR($H153="",$H153="sif",$H153="PM"),"",VLOOKUP($H153,[5]CU!$C$5:$J$255,8,FALSE))</f>
        <v>3. Dépenses de fonctionnement</v>
      </c>
      <c r="W153" s="19" t="s">
        <v>142</v>
      </c>
      <c r="X153" s="19" t="s">
        <v>142</v>
      </c>
      <c r="Y153" s="19" t="s">
        <v>32</v>
      </c>
      <c r="Z153" s="19" t="str">
        <f>A153 &amp; "-" &amp; VLOOKUP(A153,[4]PROGRAMMES!$E$1:$F$7,2,FALSE)</f>
        <v>1-Accès et équité à l'enseignement général</v>
      </c>
      <c r="AA153" s="19" t="str">
        <f>B153 &amp; "-" &amp; VLOOKUP(B153,[4]SOUSPROGRAMMES!$E$1:$F$44,2,FALSE)</f>
        <v>12- Accès équitable et achèvement du primaire</v>
      </c>
      <c r="AB153" s="19" t="str">
        <f>C153 &amp; "-" &amp; VLOOKUP(C153,[4]RESULTATS!$E$1:$F$176,2,FALSE)</f>
        <v>123- Toutes les écoles primaires publiques et communautaires sont dotées en enseignants en nombre suffisant, y compris les FA</v>
      </c>
      <c r="AC153" s="20" t="str">
        <f>D153 &amp; "-" &amp; VLOOKUP(D153,[4]STRATEGIES!$E$1:$F$504,2,FALSE)</f>
        <v>1233-Optimisation de l’utilisation des enseignants</v>
      </c>
      <c r="AD153" s="21" t="str">
        <f t="shared" si="26"/>
        <v>12331-Réactualisation des critères de redéploiement des enseignants en concertation avec les syndicats</v>
      </c>
    </row>
    <row r="154" spans="1:30" s="22" customFormat="1" ht="60" hidden="1" customHeight="1" x14ac:dyDescent="0.8">
      <c r="A154" s="14">
        <v>1</v>
      </c>
      <c r="B154" s="15">
        <v>12</v>
      </c>
      <c r="C154" s="15">
        <v>123</v>
      </c>
      <c r="D154" s="15">
        <v>1233</v>
      </c>
      <c r="E154" s="14">
        <v>12332</v>
      </c>
      <c r="F154" s="16" t="s">
        <v>252</v>
      </c>
      <c r="G154" s="21" t="s">
        <v>182</v>
      </c>
      <c r="H154" s="17" t="s">
        <v>55</v>
      </c>
      <c r="I154" s="56">
        <v>0</v>
      </c>
      <c r="J154" s="56">
        <v>1</v>
      </c>
      <c r="K154" s="56">
        <v>1</v>
      </c>
      <c r="L154" s="56">
        <v>1</v>
      </c>
      <c r="M154" s="56">
        <f t="shared" si="22"/>
        <v>3</v>
      </c>
      <c r="N154" s="56">
        <f>IF(OR(H154="",H154="sif",H154="PM"),0,VLOOKUP(H154,[5]CU!$C$4:$H$255,6,FALSE))</f>
        <v>0</v>
      </c>
      <c r="O154" s="56"/>
      <c r="P154" s="56"/>
      <c r="Q154" s="56"/>
      <c r="R154" s="56"/>
      <c r="S154" s="56"/>
      <c r="T154" s="23" t="s">
        <v>56</v>
      </c>
      <c r="U154" s="18" t="s">
        <v>170</v>
      </c>
      <c r="V154" s="19" t="str">
        <f>IF(OR($H154="",$H154="sif",$H154="PM"),"",VLOOKUP($H154,[5]CU!$C$5:$J$255,8,FALSE))</f>
        <v/>
      </c>
      <c r="W154" s="18" t="s">
        <v>142</v>
      </c>
      <c r="X154" s="18" t="s">
        <v>77</v>
      </c>
      <c r="Y154" s="19" t="s">
        <v>32</v>
      </c>
      <c r="Z154" s="19" t="str">
        <f>A154 &amp; "-" &amp; VLOOKUP(A154,[4]PROGRAMMES!$E$1:$F$7,2,FALSE)</f>
        <v>1-Accès et équité à l'enseignement général</v>
      </c>
      <c r="AA154" s="19" t="str">
        <f>B154 &amp; "-" &amp; VLOOKUP(B154,[4]SOUSPROGRAMMES!$E$1:$F$44,2,FALSE)</f>
        <v>12- Accès équitable et achèvement du primaire</v>
      </c>
      <c r="AB154" s="19" t="str">
        <f>C154 &amp; "-" &amp; VLOOKUP(C154,[4]RESULTATS!$E$1:$F$176,2,FALSE)</f>
        <v>123- Toutes les écoles primaires publiques et communautaires sont dotées en enseignants en nombre suffisant, y compris les FA</v>
      </c>
      <c r="AC154" s="20" t="str">
        <f>D154 &amp; "-" &amp; VLOOKUP(D154,[4]STRATEGIES!$E$1:$F$504,2,FALSE)</f>
        <v>1233-Optimisation de l’utilisation des enseignants</v>
      </c>
      <c r="AD154" s="21" t="str">
        <f t="shared" si="26"/>
        <v>12332-Identification des enseignants sans charge horaire (pris en compte dans le budget des structures déconcentrées)</v>
      </c>
    </row>
    <row r="155" spans="1:30" s="22" customFormat="1" ht="60" hidden="1" customHeight="1" x14ac:dyDescent="0.8">
      <c r="A155" s="14">
        <v>1</v>
      </c>
      <c r="B155" s="15">
        <v>12</v>
      </c>
      <c r="C155" s="15">
        <v>123</v>
      </c>
      <c r="D155" s="15">
        <v>1233</v>
      </c>
      <c r="E155" s="14">
        <v>12333</v>
      </c>
      <c r="F155" s="16" t="s">
        <v>253</v>
      </c>
      <c r="G155" s="21" t="s">
        <v>54</v>
      </c>
      <c r="H155" s="17" t="s">
        <v>55</v>
      </c>
      <c r="I155" s="56">
        <v>0</v>
      </c>
      <c r="J155" s="56">
        <v>1</v>
      </c>
      <c r="K155" s="56">
        <v>1</v>
      </c>
      <c r="L155" s="56">
        <v>1</v>
      </c>
      <c r="M155" s="56">
        <f t="shared" si="22"/>
        <v>3</v>
      </c>
      <c r="N155" s="56">
        <f>IF(OR(H155="",H155="sif",H155="PM"),0,VLOOKUP(H155,[5]CU!$C$4:$H$255,6,FALSE))</f>
        <v>0</v>
      </c>
      <c r="O155" s="56"/>
      <c r="P155" s="56"/>
      <c r="Q155" s="56"/>
      <c r="R155" s="56"/>
      <c r="S155" s="56"/>
      <c r="T155" s="23" t="s">
        <v>56</v>
      </c>
      <c r="U155" s="18" t="s">
        <v>170</v>
      </c>
      <c r="V155" s="19" t="str">
        <f>IF(OR($H155="",$H155="sif",$H155="PM"),"",VLOOKUP($H155,[5]CU!$C$5:$J$255,8,FALSE))</f>
        <v/>
      </c>
      <c r="W155" s="18" t="s">
        <v>254</v>
      </c>
      <c r="X155" s="18" t="s">
        <v>255</v>
      </c>
      <c r="Y155" s="19" t="s">
        <v>32</v>
      </c>
      <c r="Z155" s="19" t="str">
        <f>A155 &amp; "-" &amp; VLOOKUP(A155,[4]PROGRAMMES!$E$1:$F$7,2,FALSE)</f>
        <v>1-Accès et équité à l'enseignement général</v>
      </c>
      <c r="AA155" s="19" t="str">
        <f>B155 &amp; "-" &amp; VLOOKUP(B155,[4]SOUSPROGRAMMES!$E$1:$F$44,2,FALSE)</f>
        <v>12- Accès équitable et achèvement du primaire</v>
      </c>
      <c r="AB155" s="19" t="str">
        <f>C155 &amp; "-" &amp; VLOOKUP(C155,[4]RESULTATS!$E$1:$F$176,2,FALSE)</f>
        <v>123- Toutes les écoles primaires publiques et communautaires sont dotées en enseignants en nombre suffisant, y compris les FA</v>
      </c>
      <c r="AC155" s="20" t="str">
        <f>D155 &amp; "-" &amp; VLOOKUP(D155,[4]STRATEGIES!$E$1:$F$504,2,FALSE)</f>
        <v>1233-Optimisation de l’utilisation des enseignants</v>
      </c>
      <c r="AD155" s="21" t="str">
        <f t="shared" si="26"/>
        <v>12333-Redéploiement des enseignants sans charge vers les zones déficitaires</v>
      </c>
    </row>
    <row r="156" spans="1:30" s="22" customFormat="1" ht="60" hidden="1" customHeight="1" x14ac:dyDescent="0.8">
      <c r="A156" s="14">
        <v>1</v>
      </c>
      <c r="B156" s="15">
        <v>12</v>
      </c>
      <c r="C156" s="15">
        <v>123</v>
      </c>
      <c r="D156" s="15">
        <v>1233</v>
      </c>
      <c r="E156" s="14">
        <v>12334</v>
      </c>
      <c r="F156" s="16" t="s">
        <v>256</v>
      </c>
      <c r="G156" s="21" t="s">
        <v>92</v>
      </c>
      <c r="H156" s="17" t="s">
        <v>55</v>
      </c>
      <c r="I156" s="56">
        <v>0</v>
      </c>
      <c r="J156" s="56">
        <v>1</v>
      </c>
      <c r="K156" s="56">
        <v>1</v>
      </c>
      <c r="L156" s="56">
        <v>1</v>
      </c>
      <c r="M156" s="56">
        <f t="shared" si="22"/>
        <v>3</v>
      </c>
      <c r="N156" s="56">
        <f>IF(OR(H156="",H156="sif",H156="PM"),0,VLOOKUP(H156,[5]CU!$C$4:$H$255,6,FALSE))</f>
        <v>0</v>
      </c>
      <c r="O156" s="56"/>
      <c r="P156" s="56"/>
      <c r="Q156" s="56"/>
      <c r="R156" s="56"/>
      <c r="S156" s="56"/>
      <c r="T156" s="23" t="s">
        <v>56</v>
      </c>
      <c r="U156" s="18" t="s">
        <v>170</v>
      </c>
      <c r="V156" s="19" t="str">
        <f>IF(OR($H156="",$H156="sif",$H156="PM"),"",VLOOKUP($H156,[5]CU!$C$5:$J$255,8,FALSE))</f>
        <v/>
      </c>
      <c r="W156" s="18" t="s">
        <v>142</v>
      </c>
      <c r="X156" s="18" t="s">
        <v>142</v>
      </c>
      <c r="Y156" s="19" t="s">
        <v>32</v>
      </c>
      <c r="Z156" s="19" t="str">
        <f>A156 &amp; "-" &amp; VLOOKUP(A156,[4]PROGRAMMES!$E$1:$F$7,2,FALSE)</f>
        <v>1-Accès et équité à l'enseignement général</v>
      </c>
      <c r="AA156" s="19" t="str">
        <f>B156 &amp; "-" &amp; VLOOKUP(B156,[4]SOUSPROGRAMMES!$E$1:$F$44,2,FALSE)</f>
        <v>12- Accès équitable et achèvement du primaire</v>
      </c>
      <c r="AB156" s="19" t="str">
        <f>C156 &amp; "-" &amp; VLOOKUP(C156,[4]RESULTATS!$E$1:$F$176,2,FALSE)</f>
        <v>123- Toutes les écoles primaires publiques et communautaires sont dotées en enseignants en nombre suffisant, y compris les FA</v>
      </c>
      <c r="AC156" s="20" t="str">
        <f>D156 &amp; "-" &amp; VLOOKUP(D156,[4]STRATEGIES!$E$1:$F$504,2,FALSE)</f>
        <v>1233-Optimisation de l’utilisation des enseignants</v>
      </c>
      <c r="AD156" s="21" t="str">
        <f t="shared" si="26"/>
        <v>12334-Suivi du redéploiement des enseignants (pris en compte dans activité 12314)</v>
      </c>
    </row>
    <row r="157" spans="1:30" s="22" customFormat="1" ht="60" hidden="1" customHeight="1" x14ac:dyDescent="0.8">
      <c r="A157" s="14">
        <v>1</v>
      </c>
      <c r="B157" s="15">
        <v>12</v>
      </c>
      <c r="C157" s="15">
        <v>123</v>
      </c>
      <c r="D157" s="15">
        <v>1233</v>
      </c>
      <c r="E157" s="14">
        <v>12335</v>
      </c>
      <c r="F157" s="16" t="s">
        <v>257</v>
      </c>
      <c r="G157" s="21" t="s">
        <v>149</v>
      </c>
      <c r="H157" s="17" t="s">
        <v>258</v>
      </c>
      <c r="I157" s="56">
        <v>0</v>
      </c>
      <c r="J157" s="56">
        <v>0.92965546113574704</v>
      </c>
      <c r="K157" s="56">
        <v>1.02623733201423</v>
      </c>
      <c r="L157" s="56">
        <v>1.12897507139086</v>
      </c>
      <c r="M157" s="56">
        <f t="shared" si="22"/>
        <v>3.0848678645408372</v>
      </c>
      <c r="N157" s="56">
        <f>IF(OR(H157="",H157="sif",H157="PM"),0,VLOOKUP(H157,[5]CU!$C$4:$H$255,6,FALSE))</f>
        <v>853398.98543631705</v>
      </c>
      <c r="O157" s="56">
        <f>$N157*I157</f>
        <v>0</v>
      </c>
      <c r="P157" s="56">
        <f>$N157*J157</f>
        <v>793367.02733857802</v>
      </c>
      <c r="Q157" s="56">
        <f>$N157*K157</f>
        <v>875789.89795781672</v>
      </c>
      <c r="R157" s="56">
        <f>$N157*L157</f>
        <v>963466.18050785351</v>
      </c>
      <c r="S157" s="56">
        <f>SUM(O157:R157)</f>
        <v>2632623.1058042482</v>
      </c>
      <c r="T157" s="23" t="s">
        <v>56</v>
      </c>
      <c r="U157" s="18" t="s">
        <v>170</v>
      </c>
      <c r="V157" s="19" t="str">
        <f>IF(OR($H157="",$H157="sif",$H157="PM"),"",VLOOKUP($H157,[5]CU!$C$5:$J$255,8,FALSE))</f>
        <v>2. Personnel</v>
      </c>
      <c r="W157" s="18" t="s">
        <v>142</v>
      </c>
      <c r="X157" s="18" t="s">
        <v>142</v>
      </c>
      <c r="Y157" s="19" t="s">
        <v>32</v>
      </c>
      <c r="Z157" s="19" t="str">
        <f>A157 &amp; "-" &amp; VLOOKUP(A157,[4]PROGRAMMES!$E$1:$F$7,2,FALSE)</f>
        <v>1-Accès et équité à l'enseignement général</v>
      </c>
      <c r="AA157" s="19" t="str">
        <f>B157 &amp; "-" &amp; VLOOKUP(B157,[4]SOUSPROGRAMMES!$E$1:$F$44,2,FALSE)</f>
        <v>12- Accès équitable et achèvement du primaire</v>
      </c>
      <c r="AB157" s="19" t="str">
        <f>C157 &amp; "-" &amp; VLOOKUP(C157,[4]RESULTATS!$E$1:$F$176,2,FALSE)</f>
        <v>123- Toutes les écoles primaires publiques et communautaires sont dotées en enseignants en nombre suffisant, y compris les FA</v>
      </c>
      <c r="AC157" s="20" t="str">
        <f>D157 &amp; "-" &amp; VLOOKUP(D157,[4]STRATEGIES!$E$1:$F$504,2,FALSE)</f>
        <v>1233-Optimisation de l’utilisation des enseignants</v>
      </c>
      <c r="AD157" s="21" t="str">
        <f t="shared" si="26"/>
        <v>12335-Paiement des salaires des enseignants en service</v>
      </c>
    </row>
    <row r="158" spans="1:30" s="22" customFormat="1" ht="60" customHeight="1" x14ac:dyDescent="0.8">
      <c r="A158" s="14">
        <v>1</v>
      </c>
      <c r="B158" s="15">
        <v>12</v>
      </c>
      <c r="C158" s="15">
        <v>123</v>
      </c>
      <c r="D158" s="15">
        <v>1234</v>
      </c>
      <c r="E158" s="14">
        <v>1234</v>
      </c>
      <c r="F158" s="16" t="s">
        <v>259</v>
      </c>
      <c r="G158" s="17"/>
      <c r="H158" s="17"/>
      <c r="I158" s="56">
        <v>0</v>
      </c>
      <c r="J158" s="56"/>
      <c r="K158" s="56"/>
      <c r="L158" s="56"/>
      <c r="M158" s="56"/>
      <c r="N158" s="56"/>
      <c r="O158" s="56"/>
      <c r="P158" s="56"/>
      <c r="Q158" s="56"/>
      <c r="R158" s="56"/>
      <c r="S158" s="56"/>
      <c r="T158" s="18"/>
      <c r="U158" s="18"/>
      <c r="V158" s="19"/>
      <c r="W158" s="18"/>
      <c r="X158" s="18"/>
      <c r="Y158" s="19" t="s">
        <v>32</v>
      </c>
      <c r="Z158" s="19" t="str">
        <f>A158 &amp; "-" &amp; VLOOKUP(A158,[4]PROGRAMMES!$E$1:$F$7,2,FALSE)</f>
        <v>1-Accès et équité à l'enseignement général</v>
      </c>
      <c r="AA158" s="19" t="str">
        <f>B158 &amp; "-" &amp; VLOOKUP(B158,[4]SOUSPROGRAMMES!$E$1:$F$44,2,FALSE)</f>
        <v>12- Accès équitable et achèvement du primaire</v>
      </c>
      <c r="AB158" s="19" t="str">
        <f>C158 &amp; "-" &amp; VLOOKUP(C158,[4]RESULTATS!$E$1:$F$176,2,FALSE)</f>
        <v>123- Toutes les écoles primaires publiques et communautaires sont dotées en enseignants en nombre suffisant, y compris les FA</v>
      </c>
      <c r="AC158" s="20" t="str">
        <f>D158 &amp; "-" &amp; VLOOKUP(D158,[4]STRATEGIES!$E$1:$F$504,2,FALSE)</f>
        <v>1234-Renforcement des mesures incitatives pour le maintien des enseignants dans les zones difficiles</v>
      </c>
      <c r="AD158" s="21" t="str">
        <f t="shared" si="26"/>
        <v>1234-Renforcement des mesures incitatives pour le maintien des enseignants dans les zones difficiles</v>
      </c>
    </row>
    <row r="159" spans="1:30" s="22" customFormat="1" ht="60" hidden="1" customHeight="1" x14ac:dyDescent="0.8">
      <c r="A159" s="14">
        <v>1</v>
      </c>
      <c r="B159" s="15">
        <v>12</v>
      </c>
      <c r="C159" s="15">
        <v>123</v>
      </c>
      <c r="D159" s="15">
        <v>1234</v>
      </c>
      <c r="E159" s="14">
        <v>12341</v>
      </c>
      <c r="F159" s="16" t="s">
        <v>260</v>
      </c>
      <c r="G159" s="21" t="s">
        <v>182</v>
      </c>
      <c r="H159" s="17" t="s">
        <v>55</v>
      </c>
      <c r="I159" s="56">
        <v>0</v>
      </c>
      <c r="J159" s="56">
        <v>1</v>
      </c>
      <c r="K159" s="56"/>
      <c r="L159" s="56"/>
      <c r="M159" s="56">
        <f t="shared" si="22"/>
        <v>1</v>
      </c>
      <c r="N159" s="56">
        <f>IF(OR(H159="",H159="sif",H159="PM"),0,VLOOKUP(H159,[5]CU!$C$4:$H$255,6,FALSE))</f>
        <v>0</v>
      </c>
      <c r="O159" s="56"/>
      <c r="P159" s="56"/>
      <c r="Q159" s="56"/>
      <c r="R159" s="56"/>
      <c r="S159" s="56"/>
      <c r="T159" s="23" t="s">
        <v>56</v>
      </c>
      <c r="U159" s="18" t="s">
        <v>170</v>
      </c>
      <c r="V159" s="19" t="str">
        <f>IF(OR($H159="",$H159="sif",$H159="PM"),"",VLOOKUP($H159,[5]CU!$C$5:$J$255,8,FALSE))</f>
        <v/>
      </c>
      <c r="W159" s="18" t="s">
        <v>142</v>
      </c>
      <c r="X159" s="18" t="s">
        <v>142</v>
      </c>
      <c r="Y159" s="19" t="s">
        <v>32</v>
      </c>
      <c r="Z159" s="19" t="str">
        <f>A159 &amp; "-" &amp; VLOOKUP(A159,[4]PROGRAMMES!$E$1:$F$7,2,FALSE)</f>
        <v>1-Accès et équité à l'enseignement général</v>
      </c>
      <c r="AA159" s="19" t="str">
        <f>B159 &amp; "-" &amp; VLOOKUP(B159,[4]SOUSPROGRAMMES!$E$1:$F$44,2,FALSE)</f>
        <v>12- Accès équitable et achèvement du primaire</v>
      </c>
      <c r="AB159" s="19" t="str">
        <f>C159 &amp; "-" &amp; VLOOKUP(C159,[4]RESULTATS!$E$1:$F$176,2,FALSE)</f>
        <v>123- Toutes les écoles primaires publiques et communautaires sont dotées en enseignants en nombre suffisant, y compris les FA</v>
      </c>
      <c r="AC159" s="20" t="str">
        <f>D159 &amp; "-" &amp; VLOOKUP(D159,[4]STRATEGIES!$E$1:$F$504,2,FALSE)</f>
        <v>1234-Renforcement des mesures incitatives pour le maintien des enseignants dans les zones difficiles</v>
      </c>
      <c r="AD159" s="21" t="str">
        <f t="shared" si="26"/>
        <v>12341-Travaux préparatoires de la concertation sur les mesures incitatives à mettre en place en faveur des enseignants (enveloppes des primes accordées aux enseignants, nombre de bénéficiaires : craie, prime de zone, multigrade, critères, etc.)</v>
      </c>
    </row>
    <row r="160" spans="1:30" ht="60" hidden="1" customHeight="1" x14ac:dyDescent="0.8">
      <c r="A160" s="25">
        <v>1</v>
      </c>
      <c r="B160" s="16">
        <v>12</v>
      </c>
      <c r="C160" s="16">
        <v>123</v>
      </c>
      <c r="D160" s="16">
        <v>1234</v>
      </c>
      <c r="E160" s="25">
        <v>12342</v>
      </c>
      <c r="F160" s="16" t="s">
        <v>261</v>
      </c>
      <c r="G160" s="21" t="s">
        <v>262</v>
      </c>
      <c r="H160" s="21" t="s">
        <v>38</v>
      </c>
      <c r="I160" s="56">
        <v>0</v>
      </c>
      <c r="J160" s="57">
        <f>54*3*4</f>
        <v>648</v>
      </c>
      <c r="K160" s="57">
        <f>54*3*4</f>
        <v>648</v>
      </c>
      <c r="L160" s="57">
        <f>54*3*4</f>
        <v>648</v>
      </c>
      <c r="M160" s="57">
        <f t="shared" si="22"/>
        <v>1944</v>
      </c>
      <c r="N160" s="57">
        <f>IF(OR(H160="",H160="sif",H160="PM"),0,VLOOKUP(H160,[5]CU!$C$4:$H$255,6,FALSE))</f>
        <v>0.3133333333333333</v>
      </c>
      <c r="O160" s="57">
        <f t="shared" ref="O160:R161" si="31">$N160*I160</f>
        <v>0</v>
      </c>
      <c r="P160" s="57">
        <f>$N160*J160</f>
        <v>203.03999999999996</v>
      </c>
      <c r="Q160" s="57">
        <f t="shared" ref="Q160:Q161" si="32">$N160*K160</f>
        <v>203.03999999999996</v>
      </c>
      <c r="R160" s="57">
        <f t="shared" si="31"/>
        <v>203.03999999999996</v>
      </c>
      <c r="S160" s="57">
        <f>SUM(O160:R160)</f>
        <v>609.11999999999989</v>
      </c>
      <c r="T160" s="26" t="s">
        <v>169</v>
      </c>
      <c r="U160" s="19" t="s">
        <v>170</v>
      </c>
      <c r="V160" s="19" t="str">
        <f>IF(OR($H160="",$H160="sif",$H160="PM"),"",VLOOKUP($H160,[5]CU!$C$5:$J$255,8,FALSE))</f>
        <v>3. Formation</v>
      </c>
      <c r="W160" s="19" t="s">
        <v>263</v>
      </c>
      <c r="X160" s="19" t="s">
        <v>142</v>
      </c>
      <c r="Y160" s="19" t="s">
        <v>32</v>
      </c>
      <c r="Z160" s="19" t="str">
        <f>A160 &amp; "-" &amp; VLOOKUP(A160,[4]PROGRAMMES!$E$1:$F$7,2,FALSE)</f>
        <v>1-Accès et équité à l'enseignement général</v>
      </c>
      <c r="AA160" s="19" t="str">
        <f>B160 &amp; "-" &amp; VLOOKUP(B160,[4]SOUSPROGRAMMES!$E$1:$F$44,2,FALSE)</f>
        <v>12- Accès équitable et achèvement du primaire</v>
      </c>
      <c r="AB160" s="19" t="str">
        <f>C160 &amp; "-" &amp; VLOOKUP(C160,[4]RESULTATS!$E$1:$F$176,2,FALSE)</f>
        <v>123- Toutes les écoles primaires publiques et communautaires sont dotées en enseignants en nombre suffisant, y compris les FA</v>
      </c>
      <c r="AC160" s="20" t="str">
        <f>D160 &amp; "-" &amp; VLOOKUP(D160,[4]STRATEGIES!$E$1:$F$504,2,FALSE)</f>
        <v>1234-Renforcement des mesures incitatives pour le maintien des enseignants dans les zones difficiles</v>
      </c>
      <c r="AD160" s="21" t="str">
        <f t="shared" si="26"/>
        <v>12342-Concertation avec les partenaires sociaux (en particulier les syndicats) pour l'identification des mesures incitatives pour le maintien des enseignants dans les zones difficiles</v>
      </c>
    </row>
    <row r="161" spans="1:30" ht="60" hidden="1" customHeight="1" x14ac:dyDescent="0.8">
      <c r="A161" s="25">
        <v>1</v>
      </c>
      <c r="B161" s="16">
        <v>12</v>
      </c>
      <c r="C161" s="16">
        <v>123</v>
      </c>
      <c r="D161" s="16">
        <v>1234</v>
      </c>
      <c r="E161" s="25">
        <v>12343</v>
      </c>
      <c r="F161" s="16" t="s">
        <v>264</v>
      </c>
      <c r="G161" s="21" t="s">
        <v>37</v>
      </c>
      <c r="H161" s="21" t="s">
        <v>38</v>
      </c>
      <c r="I161" s="56">
        <v>0</v>
      </c>
      <c r="J161" s="57"/>
      <c r="K161" s="57">
        <f t="shared" ref="K161" si="33">30*5*1</f>
        <v>150</v>
      </c>
      <c r="L161" s="57"/>
      <c r="M161" s="57">
        <f t="shared" si="22"/>
        <v>150</v>
      </c>
      <c r="N161" s="57">
        <f>IF(OR(H161="",H161="sif",H161="PM"),0,VLOOKUP(H161,[5]CU!$C$4:$H$255,6,FALSE))</f>
        <v>0.3133333333333333</v>
      </c>
      <c r="O161" s="57">
        <f t="shared" si="31"/>
        <v>0</v>
      </c>
      <c r="P161" s="57">
        <f t="shared" si="31"/>
        <v>0</v>
      </c>
      <c r="Q161" s="57">
        <f t="shared" si="32"/>
        <v>46.999999999999993</v>
      </c>
      <c r="R161" s="57">
        <f t="shared" si="31"/>
        <v>0</v>
      </c>
      <c r="S161" s="57">
        <f>SUM(O161:R161)</f>
        <v>46.999999999999993</v>
      </c>
      <c r="T161" s="26" t="s">
        <v>169</v>
      </c>
      <c r="U161" s="19" t="s">
        <v>170</v>
      </c>
      <c r="V161" s="19" t="str">
        <f>IF(OR($H161="",$H161="sif",$H161="PM"),"",VLOOKUP($H161,[5]CU!$C$5:$J$255,8,FALSE))</f>
        <v>3. Formation</v>
      </c>
      <c r="W161" s="19" t="s">
        <v>263</v>
      </c>
      <c r="X161" s="19" t="s">
        <v>142</v>
      </c>
      <c r="Y161" s="19" t="s">
        <v>32</v>
      </c>
      <c r="Z161" s="19" t="str">
        <f>A161 &amp; "-" &amp; VLOOKUP(A161,[4]PROGRAMMES!$E$1:$F$7,2,FALSE)</f>
        <v>1-Accès et équité à l'enseignement général</v>
      </c>
      <c r="AA161" s="19" t="str">
        <f>B161 &amp; "-" &amp; VLOOKUP(B161,[4]SOUSPROGRAMMES!$E$1:$F$44,2,FALSE)</f>
        <v>12- Accès équitable et achèvement du primaire</v>
      </c>
      <c r="AB161" s="19" t="str">
        <f>C161 &amp; "-" &amp; VLOOKUP(C161,[4]RESULTATS!$E$1:$F$176,2,FALSE)</f>
        <v>123- Toutes les écoles primaires publiques et communautaires sont dotées en enseignants en nombre suffisant, y compris les FA</v>
      </c>
      <c r="AC161" s="20" t="str">
        <f>D161 &amp; "-" &amp; VLOOKUP(D161,[4]STRATEGIES!$E$1:$F$504,2,FALSE)</f>
        <v>1234-Renforcement des mesures incitatives pour le maintien des enseignants dans les zones difficiles</v>
      </c>
      <c r="AD161" s="21" t="str">
        <f t="shared" si="26"/>
        <v xml:space="preserve">12343-Validation des mesures incitatives et des modalités de paiement pour le maintien des enseignants dans les zones difficiles </v>
      </c>
    </row>
    <row r="162" spans="1:30" s="22" customFormat="1" ht="60" hidden="1" customHeight="1" x14ac:dyDescent="0.8">
      <c r="A162" s="14">
        <v>1</v>
      </c>
      <c r="B162" s="15">
        <v>12</v>
      </c>
      <c r="C162" s="15">
        <v>123</v>
      </c>
      <c r="D162" s="15">
        <v>1234</v>
      </c>
      <c r="E162" s="14">
        <v>12344</v>
      </c>
      <c r="F162" s="16" t="s">
        <v>265</v>
      </c>
      <c r="G162" s="21" t="s">
        <v>88</v>
      </c>
      <c r="H162" s="17" t="s">
        <v>55</v>
      </c>
      <c r="I162" s="56">
        <v>0</v>
      </c>
      <c r="J162" s="56">
        <v>1</v>
      </c>
      <c r="K162" s="56"/>
      <c r="L162" s="56"/>
      <c r="M162" s="56">
        <f t="shared" si="22"/>
        <v>1</v>
      </c>
      <c r="N162" s="56">
        <f>IF(OR(H162="",H162="sif",H162="PM"),0,VLOOKUP(H162,[5]CU!$C$4:$H$255,6,FALSE))</f>
        <v>0</v>
      </c>
      <c r="O162" s="56"/>
      <c r="P162" s="56"/>
      <c r="Q162" s="56"/>
      <c r="R162" s="56"/>
      <c r="S162" s="56"/>
      <c r="T162" s="23" t="s">
        <v>56</v>
      </c>
      <c r="U162" s="18" t="s">
        <v>170</v>
      </c>
      <c r="V162" s="19" t="str">
        <f>IF(OR($H162="",$H162="sif",$H162="PM"),"",VLOOKUP($H162,[5]CU!$C$5:$J$255,8,FALSE))</f>
        <v/>
      </c>
      <c r="W162" s="18" t="s">
        <v>263</v>
      </c>
      <c r="X162" s="18" t="s">
        <v>142</v>
      </c>
      <c r="Y162" s="19" t="s">
        <v>32</v>
      </c>
      <c r="Z162" s="19" t="str">
        <f>A162 &amp; "-" &amp; VLOOKUP(A162,[4]PROGRAMMES!$E$1:$F$7,2,FALSE)</f>
        <v>1-Accès et équité à l'enseignement général</v>
      </c>
      <c r="AA162" s="19" t="str">
        <f>B162 &amp; "-" &amp; VLOOKUP(B162,[4]SOUSPROGRAMMES!$E$1:$F$44,2,FALSE)</f>
        <v>12- Accès équitable et achèvement du primaire</v>
      </c>
      <c r="AB162" s="19" t="str">
        <f>C162 &amp; "-" &amp; VLOOKUP(C162,[4]RESULTATS!$E$1:$F$176,2,FALSE)</f>
        <v>123- Toutes les écoles primaires publiques et communautaires sont dotées en enseignants en nombre suffisant, y compris les FA</v>
      </c>
      <c r="AC162" s="20" t="str">
        <f>D162 &amp; "-" &amp; VLOOKUP(D162,[4]STRATEGIES!$E$1:$F$504,2,FALSE)</f>
        <v>1234-Renforcement des mesures incitatives pour le maintien des enseignants dans les zones difficiles</v>
      </c>
      <c r="AD162" s="21" t="str">
        <f t="shared" si="26"/>
        <v>12344-Adoption du document portant les modalités d'octroi et de paiement des primes aux enseignants (craie, zones, etc.)</v>
      </c>
    </row>
    <row r="163" spans="1:30" s="90" customFormat="1" ht="60" hidden="1" customHeight="1" x14ac:dyDescent="0.8">
      <c r="A163" s="84">
        <v>1</v>
      </c>
      <c r="B163" s="85">
        <v>12</v>
      </c>
      <c r="C163" s="85">
        <v>123</v>
      </c>
      <c r="D163" s="85">
        <v>1234</v>
      </c>
      <c r="E163" s="84">
        <v>12345</v>
      </c>
      <c r="F163" s="75" t="s">
        <v>266</v>
      </c>
      <c r="G163" s="76" t="s">
        <v>159</v>
      </c>
      <c r="H163" s="86" t="s">
        <v>55</v>
      </c>
      <c r="I163" s="78">
        <v>0</v>
      </c>
      <c r="J163" s="78"/>
      <c r="K163" s="78">
        <v>1</v>
      </c>
      <c r="L163" s="78">
        <v>1</v>
      </c>
      <c r="M163" s="78">
        <f t="shared" si="22"/>
        <v>2</v>
      </c>
      <c r="N163" s="78">
        <f>IF(OR(H163="",H163="sif",H163="PM"),0,VLOOKUP(H163,[5]CU!$C$4:$H$255,6,FALSE))</f>
        <v>0</v>
      </c>
      <c r="O163" s="78"/>
      <c r="P163" s="78"/>
      <c r="Q163" s="78"/>
      <c r="R163" s="78"/>
      <c r="S163" s="78"/>
      <c r="T163" s="80" t="s">
        <v>56</v>
      </c>
      <c r="U163" s="87" t="s">
        <v>170</v>
      </c>
      <c r="V163" s="88" t="str">
        <f>IF(OR($H163="",$H163="sif",$H163="PM"),"",VLOOKUP($H163,[5]CU!$C$5:$J$255,8,FALSE))</f>
        <v/>
      </c>
      <c r="W163" s="87" t="s">
        <v>142</v>
      </c>
      <c r="X163" s="87" t="s">
        <v>77</v>
      </c>
      <c r="Y163" s="88" t="s">
        <v>32</v>
      </c>
      <c r="Z163" s="88" t="str">
        <f>A163 &amp; "-" &amp; VLOOKUP(A163,[4]PROGRAMMES!$E$1:$F$7,2,FALSE)</f>
        <v>1-Accès et équité à l'enseignement général</v>
      </c>
      <c r="AA163" s="88" t="str">
        <f>B163 &amp; "-" &amp; VLOOKUP(B163,[4]SOUSPROGRAMMES!$E$1:$F$44,2,FALSE)</f>
        <v>12- Accès équitable et achèvement du primaire</v>
      </c>
      <c r="AB163" s="88" t="str">
        <f>C163 &amp; "-" &amp; VLOOKUP(C163,[4]RESULTATS!$E$1:$F$176,2,FALSE)</f>
        <v>123- Toutes les écoles primaires publiques et communautaires sont dotées en enseignants en nombre suffisant, y compris les FA</v>
      </c>
      <c r="AC163" s="89" t="str">
        <f>D163 &amp; "-" &amp; VLOOKUP(D163,[4]STRATEGIES!$E$1:$F$504,2,FALSE)</f>
        <v>1234-Renforcement des mesures incitatives pour le maintien des enseignants dans les zones difficiles</v>
      </c>
      <c r="AD163" s="76" t="str">
        <f t="shared" si="26"/>
        <v>12345-Identification annuelle des enseignants des zones difficiles devant bénéficier des mesures incitatives (pris en compte dans budget services déconcentrés)</v>
      </c>
    </row>
    <row r="164" spans="1:30" s="90" customFormat="1" ht="60" hidden="1" customHeight="1" x14ac:dyDescent="0.8">
      <c r="A164" s="84">
        <v>1</v>
      </c>
      <c r="B164" s="85">
        <v>12</v>
      </c>
      <c r="C164" s="85">
        <v>123</v>
      </c>
      <c r="D164" s="85">
        <v>1234</v>
      </c>
      <c r="E164" s="84">
        <v>12346</v>
      </c>
      <c r="F164" s="75" t="s">
        <v>267</v>
      </c>
      <c r="G164" s="76" t="s">
        <v>159</v>
      </c>
      <c r="H164" s="86" t="s">
        <v>55</v>
      </c>
      <c r="I164" s="78">
        <v>0</v>
      </c>
      <c r="J164" s="78">
        <v>1</v>
      </c>
      <c r="K164" s="78">
        <v>1</v>
      </c>
      <c r="L164" s="78">
        <v>1</v>
      </c>
      <c r="M164" s="78">
        <f t="shared" si="22"/>
        <v>3</v>
      </c>
      <c r="N164" s="78">
        <f>IF(OR(H164="",H164="sif",H164="PM"),0,VLOOKUP(H164,[5]CU!$C$4:$H$255,6,FALSE))</f>
        <v>0</v>
      </c>
      <c r="O164" s="78"/>
      <c r="P164" s="78"/>
      <c r="Q164" s="78"/>
      <c r="R164" s="78"/>
      <c r="S164" s="78"/>
      <c r="T164" s="80" t="s">
        <v>56</v>
      </c>
      <c r="U164" s="87" t="s">
        <v>170</v>
      </c>
      <c r="V164" s="88" t="str">
        <f>IF(OR($H164="",$H164="sif",$H164="PM"),"",VLOOKUP($H164,[5]CU!$C$5:$J$255,8,FALSE))</f>
        <v/>
      </c>
      <c r="W164" s="87" t="s">
        <v>142</v>
      </c>
      <c r="X164" s="87" t="s">
        <v>268</v>
      </c>
      <c r="Y164" s="88" t="s">
        <v>32</v>
      </c>
      <c r="Z164" s="88" t="str">
        <f>A164 &amp; "-" &amp; VLOOKUP(A164,[4]PROGRAMMES!$E$1:$F$7,2,FALSE)</f>
        <v>1-Accès et équité à l'enseignement général</v>
      </c>
      <c r="AA164" s="88" t="str">
        <f>B164 &amp; "-" &amp; VLOOKUP(B164,[4]SOUSPROGRAMMES!$E$1:$F$44,2,FALSE)</f>
        <v>12- Accès équitable et achèvement du primaire</v>
      </c>
      <c r="AB164" s="88" t="str">
        <f>C164 &amp; "-" &amp; VLOOKUP(C164,[4]RESULTATS!$E$1:$F$176,2,FALSE)</f>
        <v>123- Toutes les écoles primaires publiques et communautaires sont dotées en enseignants en nombre suffisant, y compris les FA</v>
      </c>
      <c r="AC164" s="89" t="str">
        <f>D164 &amp; "-" &amp; VLOOKUP(D164,[4]STRATEGIES!$E$1:$F$504,2,FALSE)</f>
        <v>1234-Renforcement des mesures incitatives pour le maintien des enseignants dans les zones difficiles</v>
      </c>
      <c r="AD164" s="76" t="str">
        <f t="shared" si="26"/>
        <v>12346-Octroi des avantages aux enseignants évoluant dans les zones difficiles (pris en compte dans le salaire moyen des enseignants)</v>
      </c>
    </row>
    <row r="165" spans="1:30" s="71" customFormat="1" ht="60" hidden="1" customHeight="1" x14ac:dyDescent="0.8">
      <c r="A165" s="91">
        <v>1</v>
      </c>
      <c r="B165" s="75">
        <v>12</v>
      </c>
      <c r="C165" s="75">
        <v>123</v>
      </c>
      <c r="D165" s="75">
        <v>1234</v>
      </c>
      <c r="E165" s="91">
        <v>12347</v>
      </c>
      <c r="F165" s="75" t="s">
        <v>269</v>
      </c>
      <c r="G165" s="76" t="s">
        <v>58</v>
      </c>
      <c r="H165" s="76" t="s">
        <v>59</v>
      </c>
      <c r="I165" s="78">
        <v>0</v>
      </c>
      <c r="J165" s="77"/>
      <c r="K165" s="77">
        <f>4*10*8*2</f>
        <v>640</v>
      </c>
      <c r="L165" s="77">
        <f>4*10*8</f>
        <v>320</v>
      </c>
      <c r="M165" s="77">
        <f t="shared" si="22"/>
        <v>960</v>
      </c>
      <c r="N165" s="77">
        <f>IF(OR(H165="",H165="sif",H165="PM"),0,VLOOKUP(H165,[5]CU!$C$4:$H$255,6,FALSE))</f>
        <v>0.8177777777777776</v>
      </c>
      <c r="O165" s="77">
        <f t="shared" ref="O165:R169" si="34">$N165*I165</f>
        <v>0</v>
      </c>
      <c r="P165" s="77">
        <f t="shared" si="34"/>
        <v>0</v>
      </c>
      <c r="Q165" s="77">
        <f>$N165*K165</f>
        <v>523.37777777777762</v>
      </c>
      <c r="R165" s="77">
        <f t="shared" si="34"/>
        <v>261.68888888888881</v>
      </c>
      <c r="S165" s="77">
        <f>SUM(O165:R165)</f>
        <v>785.06666666666638</v>
      </c>
      <c r="T165" s="92" t="s">
        <v>169</v>
      </c>
      <c r="U165" s="88" t="s">
        <v>170</v>
      </c>
      <c r="V165" s="88" t="str">
        <f>IF(OR($H165="",$H165="sif",$H165="PM"),"",VLOOKUP($H165,[5]CU!$C$5:$J$255,8,FALSE))</f>
        <v>3. Dépenses de fonctionnement</v>
      </c>
      <c r="W165" s="88" t="s">
        <v>142</v>
      </c>
      <c r="X165" s="88" t="s">
        <v>270</v>
      </c>
      <c r="Y165" s="88" t="s">
        <v>32</v>
      </c>
      <c r="Z165" s="88" t="str">
        <f>A165 &amp; "-" &amp; VLOOKUP(A165,[4]PROGRAMMES!$E$1:$F$7,2,FALSE)</f>
        <v>1-Accès et équité à l'enseignement général</v>
      </c>
      <c r="AA165" s="88" t="str">
        <f>B165 &amp; "-" &amp; VLOOKUP(B165,[4]SOUSPROGRAMMES!$E$1:$F$44,2,FALSE)</f>
        <v>12- Accès équitable et achèvement du primaire</v>
      </c>
      <c r="AB165" s="88" t="str">
        <f>C165 &amp; "-" &amp; VLOOKUP(C165,[4]RESULTATS!$E$1:$F$176,2,FALSE)</f>
        <v>123- Toutes les écoles primaires publiques et communautaires sont dotées en enseignants en nombre suffisant, y compris les FA</v>
      </c>
      <c r="AC165" s="89" t="str">
        <f>D165 &amp; "-" &amp; VLOOKUP(D165,[4]STRATEGIES!$E$1:$F$504,2,FALSE)</f>
        <v>1234-Renforcement des mesures incitatives pour le maintien des enseignants dans les zones difficiles</v>
      </c>
      <c r="AD165" s="76" t="str">
        <f t="shared" si="26"/>
        <v>12347-Suivi de l'octroi des primes et autres avantages (pour tous les niveaux)</v>
      </c>
    </row>
    <row r="166" spans="1:30" s="90" customFormat="1" ht="60" customHeight="1" x14ac:dyDescent="0.8">
      <c r="A166" s="84">
        <v>1</v>
      </c>
      <c r="B166" s="85">
        <v>12</v>
      </c>
      <c r="C166" s="85">
        <v>123</v>
      </c>
      <c r="D166" s="85">
        <v>1235</v>
      </c>
      <c r="E166" s="84">
        <v>1235</v>
      </c>
      <c r="F166" s="75" t="s">
        <v>271</v>
      </c>
      <c r="G166" s="86"/>
      <c r="H166" s="86"/>
      <c r="I166" s="78">
        <v>0</v>
      </c>
      <c r="J166" s="78"/>
      <c r="K166" s="78"/>
      <c r="L166" s="78"/>
      <c r="M166" s="78"/>
      <c r="N166" s="78"/>
      <c r="O166" s="78"/>
      <c r="P166" s="78"/>
      <c r="Q166" s="78"/>
      <c r="R166" s="78"/>
      <c r="S166" s="78"/>
      <c r="T166" s="87"/>
      <c r="U166" s="87"/>
      <c r="V166" s="88"/>
      <c r="W166" s="87"/>
      <c r="X166" s="87"/>
      <c r="Y166" s="88" t="s">
        <v>32</v>
      </c>
      <c r="Z166" s="88" t="str">
        <f>A166 &amp; "-" &amp; VLOOKUP(A166,[4]PROGRAMMES!$E$1:$F$7,2,FALSE)</f>
        <v>1-Accès et équité à l'enseignement général</v>
      </c>
      <c r="AA166" s="88" t="str">
        <f>B166 &amp; "-" &amp; VLOOKUP(B166,[4]SOUSPROGRAMMES!$E$1:$F$44,2,FALSE)</f>
        <v>12- Accès équitable et achèvement du primaire</v>
      </c>
      <c r="AB166" s="88" t="str">
        <f>C166 &amp; "-" &amp; VLOOKUP(C166,[4]RESULTATS!$E$1:$F$176,2,FALSE)</f>
        <v>123- Toutes les écoles primaires publiques et communautaires sont dotées en enseignants en nombre suffisant, y compris les FA</v>
      </c>
      <c r="AC166" s="89" t="str">
        <f>D166 &amp; "-" &amp; VLOOKUP(D166,[4]STRATEGIES!$E$1:$F$504,2,FALSE)</f>
        <v>1235-Normalisation des enseignement dans les écoles FA privées</v>
      </c>
      <c r="AD166" s="76" t="str">
        <f t="shared" si="26"/>
        <v>1235-Normalisation des enseignement dans les écoles FA privées</v>
      </c>
    </row>
    <row r="167" spans="1:30" s="90" customFormat="1" ht="60" customHeight="1" x14ac:dyDescent="0.8">
      <c r="A167" s="84">
        <v>1</v>
      </c>
      <c r="B167" s="85">
        <v>12</v>
      </c>
      <c r="C167" s="85">
        <v>123</v>
      </c>
      <c r="D167" s="85">
        <v>1235</v>
      </c>
      <c r="E167" s="84">
        <v>12351</v>
      </c>
      <c r="F167" s="75" t="s">
        <v>272</v>
      </c>
      <c r="G167" s="76" t="s">
        <v>177</v>
      </c>
      <c r="H167" s="86" t="s">
        <v>59</v>
      </c>
      <c r="I167" s="78">
        <v>0</v>
      </c>
      <c r="J167" s="78">
        <f>4*15*8</f>
        <v>480</v>
      </c>
      <c r="K167" s="78"/>
      <c r="L167" s="78"/>
      <c r="M167" s="78">
        <f t="shared" si="22"/>
        <v>480</v>
      </c>
      <c r="N167" s="78">
        <f>IF(OR(H167="",H167="sif",H167="PM"),0,VLOOKUP(H167,[5]CU!$C$4:$H$255,6,FALSE))</f>
        <v>0.8177777777777776</v>
      </c>
      <c r="O167" s="78">
        <f t="shared" si="34"/>
        <v>0</v>
      </c>
      <c r="P167" s="78">
        <f t="shared" si="34"/>
        <v>392.53333333333325</v>
      </c>
      <c r="Q167" s="78">
        <f t="shared" si="34"/>
        <v>0</v>
      </c>
      <c r="R167" s="78">
        <f t="shared" si="34"/>
        <v>0</v>
      </c>
      <c r="S167" s="78">
        <f>SUM(O167:R167)</f>
        <v>392.53333333333325</v>
      </c>
      <c r="T167" s="80" t="s">
        <v>191</v>
      </c>
      <c r="U167" s="87" t="s">
        <v>170</v>
      </c>
      <c r="V167" s="88" t="str">
        <f>IF(OR($H167="",$H167="sif",$H167="PM"),"",VLOOKUP($H167,[5]CU!$C$5:$J$255,8,FALSE))</f>
        <v>3. Dépenses de fonctionnement</v>
      </c>
      <c r="W167" s="87" t="s">
        <v>273</v>
      </c>
      <c r="X167" s="87" t="s">
        <v>77</v>
      </c>
      <c r="Y167" s="88" t="s">
        <v>32</v>
      </c>
      <c r="Z167" s="88" t="str">
        <f>A167 &amp; "-" &amp; VLOOKUP(A167,[4]PROGRAMMES!$E$1:$F$7,2,FALSE)</f>
        <v>1-Accès et équité à l'enseignement général</v>
      </c>
      <c r="AA167" s="88" t="str">
        <f>B167 &amp; "-" &amp; VLOOKUP(B167,[4]SOUSPROGRAMMES!$E$1:$F$44,2,FALSE)</f>
        <v>12- Accès équitable et achèvement du primaire</v>
      </c>
      <c r="AB167" s="88" t="str">
        <f>C167 &amp; "-" &amp; VLOOKUP(C167,[4]RESULTATS!$E$1:$F$176,2,FALSE)</f>
        <v>123- Toutes les écoles primaires publiques et communautaires sont dotées en enseignants en nombre suffisant, y compris les FA</v>
      </c>
      <c r="AC167" s="89" t="str">
        <f>D167 &amp; "-" &amp; VLOOKUP(D167,[4]STRATEGIES!$E$1:$F$504,2,FALSE)</f>
        <v>1235-Normalisation des enseignement dans les écoles FA privées</v>
      </c>
      <c r="AD167" s="76" t="str">
        <f t="shared" si="26"/>
        <v>12351-Etude diagnostique de l'enseignement FA en Guinée</v>
      </c>
    </row>
    <row r="168" spans="1:30" s="90" customFormat="1" ht="60" customHeight="1" x14ac:dyDescent="0.8">
      <c r="A168" s="84">
        <v>1</v>
      </c>
      <c r="B168" s="85">
        <v>12</v>
      </c>
      <c r="C168" s="85">
        <v>123</v>
      </c>
      <c r="D168" s="85">
        <v>1235</v>
      </c>
      <c r="E168" s="84">
        <v>12352</v>
      </c>
      <c r="F168" s="75" t="s">
        <v>274</v>
      </c>
      <c r="G168" s="76" t="s">
        <v>37</v>
      </c>
      <c r="H168" s="86" t="s">
        <v>66</v>
      </c>
      <c r="I168" s="78">
        <v>0</v>
      </c>
      <c r="J168" s="78">
        <f xml:space="preserve"> 10*5</f>
        <v>50</v>
      </c>
      <c r="K168" s="78"/>
      <c r="L168" s="78"/>
      <c r="M168" s="78">
        <f t="shared" si="22"/>
        <v>50</v>
      </c>
      <c r="N168" s="78">
        <f>IF(OR(H168="",H168="sif",H168="PM"),0,VLOOKUP(H168,[5]CU!$C$4:$H$255,6,FALSE))</f>
        <v>0.255</v>
      </c>
      <c r="O168" s="78">
        <f t="shared" si="34"/>
        <v>0</v>
      </c>
      <c r="P168" s="78">
        <f t="shared" si="34"/>
        <v>12.75</v>
      </c>
      <c r="Q168" s="78">
        <f t="shared" si="34"/>
        <v>0</v>
      </c>
      <c r="R168" s="78">
        <f t="shared" si="34"/>
        <v>0</v>
      </c>
      <c r="S168" s="78">
        <f>SUM(O168:R168)</f>
        <v>12.75</v>
      </c>
      <c r="T168" s="80" t="s">
        <v>191</v>
      </c>
      <c r="U168" s="87" t="s">
        <v>170</v>
      </c>
      <c r="V168" s="88" t="str">
        <f>IF(OR($H168="",$H168="sif",$H168="PM"),"",VLOOKUP($H168,[5]CU!$C$5:$J$255,8,FALSE))</f>
        <v>3. Dépenses de fonctionnement</v>
      </c>
      <c r="W168" s="87" t="s">
        <v>273</v>
      </c>
      <c r="X168" s="87" t="s">
        <v>273</v>
      </c>
      <c r="Y168" s="88" t="s">
        <v>32</v>
      </c>
      <c r="Z168" s="88" t="str">
        <f>A168 &amp; "-" &amp; VLOOKUP(A168,[4]PROGRAMMES!$E$1:$F$7,2,FALSE)</f>
        <v>1-Accès et équité à l'enseignement général</v>
      </c>
      <c r="AA168" s="88" t="str">
        <f>B168 &amp; "-" &amp; VLOOKUP(B168,[4]SOUSPROGRAMMES!$E$1:$F$44,2,FALSE)</f>
        <v>12- Accès équitable et achèvement du primaire</v>
      </c>
      <c r="AB168" s="88" t="str">
        <f>C168 &amp; "-" &amp; VLOOKUP(C168,[4]RESULTATS!$E$1:$F$176,2,FALSE)</f>
        <v>123- Toutes les écoles primaires publiques et communautaires sont dotées en enseignants en nombre suffisant, y compris les FA</v>
      </c>
      <c r="AC168" s="89" t="str">
        <f>D168 &amp; "-" &amp; VLOOKUP(D168,[4]STRATEGIES!$E$1:$F$504,2,FALSE)</f>
        <v>1235-Normalisation des enseignement dans les écoles FA privées</v>
      </c>
      <c r="AD168" s="76" t="str">
        <f t="shared" si="26"/>
        <v xml:space="preserve">12352-Elaboration d'un cahier de charge type et d'un modèle d'un plan de modernisation </v>
      </c>
    </row>
    <row r="169" spans="1:30" s="90" customFormat="1" ht="60" customHeight="1" x14ac:dyDescent="0.8">
      <c r="A169" s="84">
        <v>1</v>
      </c>
      <c r="B169" s="85">
        <v>12</v>
      </c>
      <c r="C169" s="85">
        <v>123</v>
      </c>
      <c r="D169" s="85">
        <v>1235</v>
      </c>
      <c r="E169" s="84">
        <v>12353</v>
      </c>
      <c r="F169" s="75" t="s">
        <v>275</v>
      </c>
      <c r="G169" s="76" t="s">
        <v>37</v>
      </c>
      <c r="H169" s="86" t="s">
        <v>38</v>
      </c>
      <c r="I169" s="78">
        <v>0</v>
      </c>
      <c r="J169" s="78">
        <f>50*1*2</f>
        <v>100</v>
      </c>
      <c r="K169" s="78"/>
      <c r="L169" s="78"/>
      <c r="M169" s="78">
        <f t="shared" si="22"/>
        <v>100</v>
      </c>
      <c r="N169" s="78">
        <f>IF(OR(H169="",H169="sif",H169="PM"),0,VLOOKUP(H169,[5]CU!$C$4:$H$255,6,FALSE))</f>
        <v>0.3133333333333333</v>
      </c>
      <c r="O169" s="78">
        <f t="shared" si="34"/>
        <v>0</v>
      </c>
      <c r="P169" s="78">
        <f t="shared" si="34"/>
        <v>31.333333333333329</v>
      </c>
      <c r="Q169" s="78">
        <f t="shared" si="34"/>
        <v>0</v>
      </c>
      <c r="R169" s="78">
        <f t="shared" si="34"/>
        <v>0</v>
      </c>
      <c r="S169" s="78">
        <f>SUM(O169:R169)</f>
        <v>31.333333333333329</v>
      </c>
      <c r="T169" s="80" t="s">
        <v>191</v>
      </c>
      <c r="U169" s="87" t="s">
        <v>170</v>
      </c>
      <c r="V169" s="88" t="str">
        <f>IF(OR($H169="",$H169="sif",$H169="PM"),"",VLOOKUP($H169,[5]CU!$C$5:$J$255,8,FALSE))</f>
        <v>3. Formation</v>
      </c>
      <c r="W169" s="87" t="s">
        <v>273</v>
      </c>
      <c r="X169" s="87" t="s">
        <v>273</v>
      </c>
      <c r="Y169" s="88" t="s">
        <v>32</v>
      </c>
      <c r="Z169" s="88" t="str">
        <f>A169 &amp; "-" &amp; VLOOKUP(A169,[4]PROGRAMMES!$E$1:$F$7,2,FALSE)</f>
        <v>1-Accès et équité à l'enseignement général</v>
      </c>
      <c r="AA169" s="88" t="str">
        <f>B169 &amp; "-" &amp; VLOOKUP(B169,[4]SOUSPROGRAMMES!$E$1:$F$44,2,FALSE)</f>
        <v>12- Accès équitable et achèvement du primaire</v>
      </c>
      <c r="AB169" s="88" t="str">
        <f>C169 &amp; "-" &amp; VLOOKUP(C169,[4]RESULTATS!$E$1:$F$176,2,FALSE)</f>
        <v>123- Toutes les écoles primaires publiques et communautaires sont dotées en enseignants en nombre suffisant, y compris les FA</v>
      </c>
      <c r="AC169" s="89" t="str">
        <f>D169 &amp; "-" &amp; VLOOKUP(D169,[4]STRATEGIES!$E$1:$F$504,2,FALSE)</f>
        <v>1235-Normalisation des enseignement dans les écoles FA privées</v>
      </c>
      <c r="AD169" s="76" t="str">
        <f t="shared" si="26"/>
        <v>12353-Concertation et diffusion auprès des promoteurs des écoles FA</v>
      </c>
    </row>
    <row r="170" spans="1:30" s="90" customFormat="1" ht="60" customHeight="1" x14ac:dyDescent="0.8">
      <c r="A170" s="84">
        <v>1</v>
      </c>
      <c r="B170" s="85">
        <v>12</v>
      </c>
      <c r="C170" s="85">
        <v>123</v>
      </c>
      <c r="D170" s="85">
        <v>1235</v>
      </c>
      <c r="E170" s="84">
        <v>12354</v>
      </c>
      <c r="F170" s="75" t="s">
        <v>276</v>
      </c>
      <c r="G170" s="76" t="s">
        <v>92</v>
      </c>
      <c r="H170" s="86" t="s">
        <v>55</v>
      </c>
      <c r="I170" s="78">
        <v>0</v>
      </c>
      <c r="J170" s="78">
        <v>1</v>
      </c>
      <c r="K170" s="78"/>
      <c r="L170" s="78">
        <v>1</v>
      </c>
      <c r="M170" s="78">
        <f t="shared" si="22"/>
        <v>2</v>
      </c>
      <c r="N170" s="78">
        <f>IF(OR(H170="",H170="sif",H170="PM"),0,VLOOKUP(H170,[5]CU!$C$4:$H$255,6,FALSE))</f>
        <v>0</v>
      </c>
      <c r="O170" s="78"/>
      <c r="P170" s="78"/>
      <c r="Q170" s="78"/>
      <c r="R170" s="78"/>
      <c r="S170" s="78"/>
      <c r="T170" s="80" t="s">
        <v>191</v>
      </c>
      <c r="U170" s="87" t="s">
        <v>170</v>
      </c>
      <c r="V170" s="88" t="str">
        <f>IF(OR($H170="",$H170="sif",$H170="PM"),"",VLOOKUP($H170,[5]CU!$C$5:$J$255,8,FALSE))</f>
        <v/>
      </c>
      <c r="W170" s="87" t="s">
        <v>273</v>
      </c>
      <c r="X170" s="87" t="s">
        <v>277</v>
      </c>
      <c r="Y170" s="88" t="s">
        <v>32</v>
      </c>
      <c r="Z170" s="88" t="str">
        <f>A170 &amp; "-" &amp; VLOOKUP(A170,[4]PROGRAMMES!$E$1:$F$7,2,FALSE)</f>
        <v>1-Accès et équité à l'enseignement général</v>
      </c>
      <c r="AA170" s="88" t="str">
        <f>B170 &amp; "-" &amp; VLOOKUP(B170,[4]SOUSPROGRAMMES!$E$1:$F$44,2,FALSE)</f>
        <v>12- Accès équitable et achèvement du primaire</v>
      </c>
      <c r="AB170" s="88" t="str">
        <f>C170 &amp; "-" &amp; VLOOKUP(C170,[4]RESULTATS!$E$1:$F$176,2,FALSE)</f>
        <v>123- Toutes les écoles primaires publiques et communautaires sont dotées en enseignants en nombre suffisant, y compris les FA</v>
      </c>
      <c r="AC170" s="89" t="str">
        <f>D170 &amp; "-" &amp; VLOOKUP(D170,[4]STRATEGIES!$E$1:$F$504,2,FALSE)</f>
        <v>1235-Normalisation des enseignement dans les écoles FA privées</v>
      </c>
      <c r="AD170" s="76" t="str">
        <f t="shared" si="26"/>
        <v xml:space="preserve">12354-Elaboration de plan de normalisation par les écoles FA </v>
      </c>
    </row>
    <row r="171" spans="1:30" s="90" customFormat="1" ht="60" customHeight="1" x14ac:dyDescent="0.8">
      <c r="A171" s="84">
        <v>1</v>
      </c>
      <c r="B171" s="85">
        <v>12</v>
      </c>
      <c r="C171" s="85">
        <v>123</v>
      </c>
      <c r="D171" s="85">
        <v>1235</v>
      </c>
      <c r="E171" s="84">
        <v>12355</v>
      </c>
      <c r="F171" s="75" t="s">
        <v>278</v>
      </c>
      <c r="G171" s="76" t="s">
        <v>182</v>
      </c>
      <c r="H171" s="86" t="s">
        <v>55</v>
      </c>
      <c r="I171" s="78">
        <v>0</v>
      </c>
      <c r="J171" s="78">
        <v>1</v>
      </c>
      <c r="K171" s="78"/>
      <c r="L171" s="78">
        <v>1</v>
      </c>
      <c r="M171" s="78">
        <f t="shared" si="22"/>
        <v>2</v>
      </c>
      <c r="N171" s="78">
        <f>IF(OR(H171="",H171="sif",H171="PM"),0,VLOOKUP(H171,[5]CU!$C$4:$H$255,6,FALSE))</f>
        <v>0</v>
      </c>
      <c r="O171" s="78"/>
      <c r="P171" s="78"/>
      <c r="Q171" s="78"/>
      <c r="R171" s="78"/>
      <c r="S171" s="78"/>
      <c r="T171" s="80" t="s">
        <v>191</v>
      </c>
      <c r="U171" s="87" t="s">
        <v>170</v>
      </c>
      <c r="V171" s="88" t="str">
        <f>IF(OR($H171="",$H171="sif",$H171="PM"),"",VLOOKUP($H171,[5]CU!$C$5:$J$255,8,FALSE))</f>
        <v/>
      </c>
      <c r="W171" s="87" t="s">
        <v>273</v>
      </c>
      <c r="X171" s="87" t="s">
        <v>273</v>
      </c>
      <c r="Y171" s="88" t="s">
        <v>32</v>
      </c>
      <c r="Z171" s="88" t="str">
        <f>A171 &amp; "-" &amp; VLOOKUP(A171,[4]PROGRAMMES!$E$1:$F$7,2,FALSE)</f>
        <v>1-Accès et équité à l'enseignement général</v>
      </c>
      <c r="AA171" s="88" t="str">
        <f>B171 &amp; "-" &amp; VLOOKUP(B171,[4]SOUSPROGRAMMES!$E$1:$F$44,2,FALSE)</f>
        <v>12- Accès équitable et achèvement du primaire</v>
      </c>
      <c r="AB171" s="88" t="str">
        <f>C171 &amp; "-" &amp; VLOOKUP(C171,[4]RESULTATS!$E$1:$F$176,2,FALSE)</f>
        <v>123- Toutes les écoles primaires publiques et communautaires sont dotées en enseignants en nombre suffisant, y compris les FA</v>
      </c>
      <c r="AC171" s="89" t="str">
        <f>D171 &amp; "-" &amp; VLOOKUP(D171,[4]STRATEGIES!$E$1:$F$504,2,FALSE)</f>
        <v>1235-Normalisation des enseignement dans les écoles FA privées</v>
      </c>
      <c r="AD171" s="76" t="str">
        <f t="shared" si="26"/>
        <v>12355-Choix des écoles à normaliser et signature de contrat de normalisation</v>
      </c>
    </row>
    <row r="172" spans="1:30" s="90" customFormat="1" ht="60" customHeight="1" x14ac:dyDescent="0.8">
      <c r="A172" s="84">
        <v>1</v>
      </c>
      <c r="B172" s="85">
        <v>12</v>
      </c>
      <c r="C172" s="85">
        <v>123</v>
      </c>
      <c r="D172" s="85">
        <v>1235</v>
      </c>
      <c r="E172" s="84">
        <v>12356</v>
      </c>
      <c r="F172" s="75" t="s">
        <v>279</v>
      </c>
      <c r="G172" s="76" t="s">
        <v>280</v>
      </c>
      <c r="H172" s="86" t="s">
        <v>281</v>
      </c>
      <c r="I172" s="78">
        <v>0</v>
      </c>
      <c r="J172" s="78">
        <v>0.76753395380891098</v>
      </c>
      <c r="K172" s="78">
        <v>1.0611362869919501</v>
      </c>
      <c r="L172" s="78">
        <v>1.1713297591991401</v>
      </c>
      <c r="M172" s="78">
        <f t="shared" si="22"/>
        <v>3.0000000000000009</v>
      </c>
      <c r="N172" s="78">
        <f>IF(OR(H172="",H172="sif",H172="PM"),0,VLOOKUP(H172,[5]CU!$C$4:$H$255,6,FALSE))</f>
        <v>16029.6606705131</v>
      </c>
      <c r="O172" s="78">
        <f t="shared" ref="O172:R173" si="35">$N172*I172</f>
        <v>0</v>
      </c>
      <c r="P172" s="78">
        <f t="shared" si="35"/>
        <v>12303.308832654118</v>
      </c>
      <c r="Q172" s="78">
        <f t="shared" si="35"/>
        <v>17009.654605649164</v>
      </c>
      <c r="R172" s="78">
        <f t="shared" si="35"/>
        <v>18776.018573236037</v>
      </c>
      <c r="S172" s="78">
        <f>SUM(O172:R172)</f>
        <v>48088.982011539323</v>
      </c>
      <c r="T172" s="80" t="s">
        <v>191</v>
      </c>
      <c r="U172" s="87" t="s">
        <v>170</v>
      </c>
      <c r="V172" s="88" t="str">
        <f>IF(OR($H172="",$H172="sif",$H172="PM"),"",VLOOKUP($H172,[5]CU!$C$5:$J$255,8,FALSE))</f>
        <v>4. Transferts et subventions</v>
      </c>
      <c r="W172" s="87" t="s">
        <v>273</v>
      </c>
      <c r="X172" s="87" t="s">
        <v>282</v>
      </c>
      <c r="Y172" s="88" t="s">
        <v>32</v>
      </c>
      <c r="Z172" s="88" t="str">
        <f>A172 &amp; "-" &amp; VLOOKUP(A172,[4]PROGRAMMES!$E$1:$F$7,2,FALSE)</f>
        <v>1-Accès et équité à l'enseignement général</v>
      </c>
      <c r="AA172" s="88" t="str">
        <f>B172 &amp; "-" &amp; VLOOKUP(B172,[4]SOUSPROGRAMMES!$E$1:$F$44,2,FALSE)</f>
        <v>12- Accès équitable et achèvement du primaire</v>
      </c>
      <c r="AB172" s="88" t="str">
        <f>C172 &amp; "-" &amp; VLOOKUP(C172,[4]RESULTATS!$E$1:$F$176,2,FALSE)</f>
        <v>123- Toutes les écoles primaires publiques et communautaires sont dotées en enseignants en nombre suffisant, y compris les FA</v>
      </c>
      <c r="AC172" s="89" t="str">
        <f>D172 &amp; "-" &amp; VLOOKUP(D172,[4]STRATEGIES!$E$1:$F$504,2,FALSE)</f>
        <v>1235-Normalisation des enseignement dans les écoles FA privées</v>
      </c>
      <c r="AD172" s="76" t="str">
        <f t="shared" si="26"/>
        <v>12356-Appui aux écoles retenues</v>
      </c>
    </row>
    <row r="173" spans="1:30" s="90" customFormat="1" ht="60" customHeight="1" x14ac:dyDescent="0.8">
      <c r="A173" s="84">
        <v>1</v>
      </c>
      <c r="B173" s="85">
        <v>12</v>
      </c>
      <c r="C173" s="85">
        <v>123</v>
      </c>
      <c r="D173" s="85">
        <v>1235</v>
      </c>
      <c r="E173" s="84">
        <v>12357</v>
      </c>
      <c r="F173" s="75" t="s">
        <v>283</v>
      </c>
      <c r="G173" s="76" t="s">
        <v>58</v>
      </c>
      <c r="H173" s="86" t="s">
        <v>59</v>
      </c>
      <c r="I173" s="78">
        <v>0</v>
      </c>
      <c r="J173" s="78">
        <f>2*10*1</f>
        <v>20</v>
      </c>
      <c r="K173" s="78">
        <f>2*50*1</f>
        <v>100</v>
      </c>
      <c r="L173" s="78">
        <f>2*30*1</f>
        <v>60</v>
      </c>
      <c r="M173" s="78">
        <f t="shared" si="22"/>
        <v>180</v>
      </c>
      <c r="N173" s="78">
        <f>IF(OR(H173="",H173="sif",H173="PM"),0,VLOOKUP(H173,[5]CU!$C$4:$H$255,6,FALSE))</f>
        <v>0.8177777777777776</v>
      </c>
      <c r="O173" s="78">
        <f t="shared" si="35"/>
        <v>0</v>
      </c>
      <c r="P173" s="78">
        <f t="shared" si="35"/>
        <v>16.355555555555551</v>
      </c>
      <c r="Q173" s="78">
        <f t="shared" si="35"/>
        <v>81.777777777777757</v>
      </c>
      <c r="R173" s="78">
        <f t="shared" si="35"/>
        <v>49.066666666666656</v>
      </c>
      <c r="S173" s="78">
        <f>SUM(O173:R173)</f>
        <v>147.19999999999996</v>
      </c>
      <c r="T173" s="80" t="s">
        <v>191</v>
      </c>
      <c r="U173" s="87" t="s">
        <v>170</v>
      </c>
      <c r="V173" s="88" t="str">
        <f>IF(OR($H173="",$H173="sif",$H173="PM"),"",VLOOKUP($H173,[5]CU!$C$5:$J$255,8,FALSE))</f>
        <v>3. Dépenses de fonctionnement</v>
      </c>
      <c r="W173" s="87" t="s">
        <v>273</v>
      </c>
      <c r="X173" s="87" t="s">
        <v>282</v>
      </c>
      <c r="Y173" s="88" t="s">
        <v>32</v>
      </c>
      <c r="Z173" s="88" t="str">
        <f>A173 &amp; "-" &amp; VLOOKUP(A173,[4]PROGRAMMES!$E$1:$F$7,2,FALSE)</f>
        <v>1-Accès et équité à l'enseignement général</v>
      </c>
      <c r="AA173" s="88" t="str">
        <f>B173 &amp; "-" &amp; VLOOKUP(B173,[4]SOUSPROGRAMMES!$E$1:$F$44,2,FALSE)</f>
        <v>12- Accès équitable et achèvement du primaire</v>
      </c>
      <c r="AB173" s="88" t="str">
        <f>C173 &amp; "-" &amp; VLOOKUP(C173,[4]RESULTATS!$E$1:$F$176,2,FALSE)</f>
        <v>123- Toutes les écoles primaires publiques et communautaires sont dotées en enseignants en nombre suffisant, y compris les FA</v>
      </c>
      <c r="AC173" s="89" t="str">
        <f>D173 &amp; "-" &amp; VLOOKUP(D173,[4]STRATEGIES!$E$1:$F$504,2,FALSE)</f>
        <v>1235-Normalisation des enseignement dans les écoles FA privées</v>
      </c>
      <c r="AD173" s="76" t="str">
        <f t="shared" si="26"/>
        <v>12357-Suivi de la normalisation des écoles retenues</v>
      </c>
    </row>
    <row r="174" spans="1:30" s="90" customFormat="1" ht="60" customHeight="1" x14ac:dyDescent="0.8">
      <c r="A174" s="84">
        <v>1</v>
      </c>
      <c r="B174" s="85">
        <v>12</v>
      </c>
      <c r="C174" s="85">
        <v>123</v>
      </c>
      <c r="D174" s="85">
        <v>1236</v>
      </c>
      <c r="E174" s="84">
        <v>1236</v>
      </c>
      <c r="F174" s="75" t="s">
        <v>284</v>
      </c>
      <c r="G174" s="86"/>
      <c r="H174" s="86"/>
      <c r="I174" s="78">
        <v>0</v>
      </c>
      <c r="J174" s="78"/>
      <c r="K174" s="78"/>
      <c r="L174" s="78"/>
      <c r="M174" s="78"/>
      <c r="N174" s="78"/>
      <c r="O174" s="78"/>
      <c r="P174" s="78"/>
      <c r="Q174" s="78"/>
      <c r="R174" s="78"/>
      <c r="S174" s="78"/>
      <c r="T174" s="87"/>
      <c r="U174" s="87"/>
      <c r="V174" s="88"/>
      <c r="W174" s="87"/>
      <c r="X174" s="87"/>
      <c r="Y174" s="88" t="s">
        <v>32</v>
      </c>
      <c r="Z174" s="88" t="str">
        <f>A174 &amp; "-" &amp; VLOOKUP(A174,[4]PROGRAMMES!$E$1:$F$7,2,FALSE)</f>
        <v>1-Accès et équité à l'enseignement général</v>
      </c>
      <c r="AA174" s="88" t="str">
        <f>B174 &amp; "-" &amp; VLOOKUP(B174,[4]SOUSPROGRAMMES!$E$1:$F$44,2,FALSE)</f>
        <v>12- Accès équitable et achèvement du primaire</v>
      </c>
      <c r="AB174" s="88" t="str">
        <f>C174 &amp; "-" &amp; VLOOKUP(C174,[4]RESULTATS!$E$1:$F$176,2,FALSE)</f>
        <v>123- Toutes les écoles primaires publiques et communautaires sont dotées en enseignants en nombre suffisant, y compris les FA</v>
      </c>
      <c r="AC174" s="89" t="str">
        <f>D174 &amp; "-" &amp; VLOOKUP(D174,[4]STRATEGIES!$E$1:$F$504,2,FALSE)</f>
        <v>1236-Remplacement de salles de classe précaires, y compris dans les FA</v>
      </c>
      <c r="AD174" s="76" t="str">
        <f t="shared" si="26"/>
        <v>1236-Remplacement de salles de classe précaires, y compris dans les FA</v>
      </c>
    </row>
    <row r="175" spans="1:30" s="71" customFormat="1" ht="60" hidden="1" customHeight="1" x14ac:dyDescent="0.8">
      <c r="A175" s="91">
        <v>1</v>
      </c>
      <c r="B175" s="75">
        <v>12</v>
      </c>
      <c r="C175" s="75">
        <v>123</v>
      </c>
      <c r="D175" s="75">
        <v>1236</v>
      </c>
      <c r="E175" s="91">
        <v>12361</v>
      </c>
      <c r="F175" s="75" t="s">
        <v>285</v>
      </c>
      <c r="G175" s="76" t="s">
        <v>88</v>
      </c>
      <c r="H175" s="76" t="s">
        <v>55</v>
      </c>
      <c r="I175" s="78">
        <v>0</v>
      </c>
      <c r="J175" s="77">
        <v>1</v>
      </c>
      <c r="K175" s="77">
        <v>1</v>
      </c>
      <c r="L175" s="77">
        <v>1</v>
      </c>
      <c r="M175" s="77">
        <f t="shared" si="22"/>
        <v>3</v>
      </c>
      <c r="N175" s="77">
        <f>IF(OR(H175="",H175="sif",H175="PM"),0,VLOOKUP(H175,[5]CU!$C$4:$H$255,6,FALSE))</f>
        <v>0</v>
      </c>
      <c r="O175" s="77"/>
      <c r="P175" s="77"/>
      <c r="Q175" s="77">
        <f>$N175*K175</f>
        <v>0</v>
      </c>
      <c r="R175" s="77"/>
      <c r="S175" s="77"/>
      <c r="T175" s="92" t="s">
        <v>169</v>
      </c>
      <c r="U175" s="88" t="s">
        <v>170</v>
      </c>
      <c r="V175" s="88" t="str">
        <f>IF(OR($H175="",$H175="sif",$H175="PM"),"",VLOOKUP($H175,[5]CU!$C$5:$J$255,8,FALSE))</f>
        <v/>
      </c>
      <c r="W175" s="88" t="s">
        <v>96</v>
      </c>
      <c r="X175" s="88" t="s">
        <v>77</v>
      </c>
      <c r="Y175" s="88" t="s">
        <v>32</v>
      </c>
      <c r="Z175" s="88" t="str">
        <f>A175 &amp; "-" &amp; VLOOKUP(A175,[4]PROGRAMMES!$E$1:$F$7,2,FALSE)</f>
        <v>1-Accès et équité à l'enseignement général</v>
      </c>
      <c r="AA175" s="88" t="str">
        <f>B175 &amp; "-" &amp; VLOOKUP(B175,[4]SOUSPROGRAMMES!$E$1:$F$44,2,FALSE)</f>
        <v>12- Accès équitable et achèvement du primaire</v>
      </c>
      <c r="AB175" s="88" t="str">
        <f>C175 &amp; "-" &amp; VLOOKUP(C175,[4]RESULTATS!$E$1:$F$176,2,FALSE)</f>
        <v>123- Toutes les écoles primaires publiques et communautaires sont dotées en enseignants en nombre suffisant, y compris les FA</v>
      </c>
      <c r="AC175" s="89" t="str">
        <f>D175 &amp; "-" &amp; VLOOKUP(D175,[4]STRATEGIES!$E$1:$F$504,2,FALSE)</f>
        <v>1236-Remplacement de salles de classe précaires, y compris dans les FA</v>
      </c>
      <c r="AD175" s="76" t="str">
        <f t="shared" si="26"/>
        <v>12361-Identification des écoles avec des classes précaires (hangars, banco, paille, etc.)</v>
      </c>
    </row>
    <row r="176" spans="1:30" s="90" customFormat="1" ht="60" hidden="1" customHeight="1" x14ac:dyDescent="0.8">
      <c r="A176" s="84">
        <v>1</v>
      </c>
      <c r="B176" s="85">
        <v>12</v>
      </c>
      <c r="C176" s="85">
        <v>123</v>
      </c>
      <c r="D176" s="85">
        <v>1236</v>
      </c>
      <c r="E176" s="84">
        <v>12362</v>
      </c>
      <c r="F176" s="75" t="s">
        <v>286</v>
      </c>
      <c r="G176" s="76" t="s">
        <v>103</v>
      </c>
      <c r="H176" s="86" t="s">
        <v>218</v>
      </c>
      <c r="I176" s="78">
        <v>0</v>
      </c>
      <c r="J176" s="78">
        <f>(534/2)*20%</f>
        <v>53.400000000000006</v>
      </c>
      <c r="K176" s="78">
        <f>(534/2)*50%</f>
        <v>133.5</v>
      </c>
      <c r="L176" s="78">
        <f>(534/2)*30%</f>
        <v>80.099999999999994</v>
      </c>
      <c r="M176" s="78">
        <f t="shared" si="22"/>
        <v>267</v>
      </c>
      <c r="N176" s="78">
        <f>IF(OR(H176="",H176="sif",H176="PM"),0,VLOOKUP(H176,[5]CU!$C$4:$H$255,6,FALSE))</f>
        <v>138</v>
      </c>
      <c r="O176" s="78">
        <f t="shared" ref="O176:R183" si="36">$N176*I176</f>
        <v>0</v>
      </c>
      <c r="P176" s="78">
        <f t="shared" si="36"/>
        <v>7369.2000000000007</v>
      </c>
      <c r="Q176" s="78">
        <f t="shared" si="36"/>
        <v>18423</v>
      </c>
      <c r="R176" s="78">
        <f t="shared" si="36"/>
        <v>11053.8</v>
      </c>
      <c r="S176" s="78">
        <f t="shared" ref="S176:S183" si="37">SUM(O176:R176)</f>
        <v>36846</v>
      </c>
      <c r="T176" s="80" t="s">
        <v>56</v>
      </c>
      <c r="U176" s="87" t="s">
        <v>170</v>
      </c>
      <c r="V176" s="88" t="str">
        <f>IF(OR($H176="",$H176="sif",$H176="PM"),"",VLOOKUP($H176,[5]CU!$C$5:$J$255,8,FALSE))</f>
        <v>5. Investissement</v>
      </c>
      <c r="W176" s="87" t="s">
        <v>206</v>
      </c>
      <c r="X176" s="87" t="s">
        <v>205</v>
      </c>
      <c r="Y176" s="88" t="s">
        <v>32</v>
      </c>
      <c r="Z176" s="88" t="str">
        <f>A176 &amp; "-" &amp; VLOOKUP(A176,[4]PROGRAMMES!$E$1:$F$7,2,FALSE)</f>
        <v>1-Accès et équité à l'enseignement général</v>
      </c>
      <c r="AA176" s="88" t="str">
        <f>B176 &amp; "-" &amp; VLOOKUP(B176,[4]SOUSPROGRAMMES!$E$1:$F$44,2,FALSE)</f>
        <v>12- Accès équitable et achèvement du primaire</v>
      </c>
      <c r="AB176" s="88" t="str">
        <f>C176 &amp; "-" &amp; VLOOKUP(C176,[4]RESULTATS!$E$1:$F$176,2,FALSE)</f>
        <v>123- Toutes les écoles primaires publiques et communautaires sont dotées en enseignants en nombre suffisant, y compris les FA</v>
      </c>
      <c r="AC176" s="89" t="str">
        <f>D176 &amp; "-" &amp; VLOOKUP(D176,[4]STRATEGIES!$E$1:$F$504,2,FALSE)</f>
        <v>1236-Remplacement de salles de classe précaires, y compris dans les FA</v>
      </c>
      <c r="AD176" s="76" t="str">
        <f t="shared" si="26"/>
        <v>12362-Construction de salles de classe pour le remplacement des salles de classe précaires, y compris dans les FA (maitrise d'ouvrage communes)</v>
      </c>
    </row>
    <row r="177" spans="1:30" s="71" customFormat="1" ht="60" hidden="1" customHeight="1" x14ac:dyDescent="0.8">
      <c r="A177" s="91">
        <v>1</v>
      </c>
      <c r="B177" s="75">
        <v>12</v>
      </c>
      <c r="C177" s="75">
        <v>123</v>
      </c>
      <c r="D177" s="75">
        <v>1236</v>
      </c>
      <c r="E177" s="91">
        <v>12363</v>
      </c>
      <c r="F177" s="75" t="s">
        <v>287</v>
      </c>
      <c r="G177" s="76" t="s">
        <v>103</v>
      </c>
      <c r="H177" s="76" t="s">
        <v>218</v>
      </c>
      <c r="I177" s="78">
        <v>0</v>
      </c>
      <c r="J177" s="77">
        <v>0</v>
      </c>
      <c r="K177" s="77">
        <v>90</v>
      </c>
      <c r="L177" s="77">
        <v>45</v>
      </c>
      <c r="M177" s="77">
        <f t="shared" si="22"/>
        <v>135</v>
      </c>
      <c r="N177" s="77">
        <f>IF(OR(H177="",H177="sif",H177="PM"),0,VLOOKUP(H177,[5]CU!$C$4:$H$255,6,FALSE))</f>
        <v>138</v>
      </c>
      <c r="O177" s="77">
        <f t="shared" si="36"/>
        <v>0</v>
      </c>
      <c r="P177" s="77">
        <f t="shared" si="36"/>
        <v>0</v>
      </c>
      <c r="Q177" s="77">
        <f>$N177*K177</f>
        <v>12420</v>
      </c>
      <c r="R177" s="77">
        <f t="shared" si="36"/>
        <v>6210</v>
      </c>
      <c r="S177" s="77">
        <f>SUM(O177:R177)</f>
        <v>18630</v>
      </c>
      <c r="T177" s="92" t="s">
        <v>169</v>
      </c>
      <c r="U177" s="88" t="s">
        <v>170</v>
      </c>
      <c r="V177" s="88" t="str">
        <f>IF(OR($H177="",$H177="sif",$H177="PM"),"",VLOOKUP($H177,[5]CU!$C$5:$J$255,8,FALSE))</f>
        <v>5. Investissement</v>
      </c>
      <c r="W177" s="88" t="s">
        <v>98</v>
      </c>
      <c r="X177" s="88" t="s">
        <v>98</v>
      </c>
      <c r="Y177" s="88" t="s">
        <v>32</v>
      </c>
      <c r="Z177" s="88" t="str">
        <f>A177 &amp; "-" &amp; VLOOKUP(A177,[4]PROGRAMMES!$E$1:$F$7,2,FALSE)</f>
        <v>1-Accès et équité à l'enseignement général</v>
      </c>
      <c r="AA177" s="88" t="str">
        <f>B177 &amp; "-" &amp; VLOOKUP(B177,[4]SOUSPROGRAMMES!$E$1:$F$44,2,FALSE)</f>
        <v>12- Accès équitable et achèvement du primaire</v>
      </c>
      <c r="AB177" s="88" t="str">
        <f>C177 &amp; "-" &amp; VLOOKUP(C177,[4]RESULTATS!$E$1:$F$176,2,FALSE)</f>
        <v>123- Toutes les écoles primaires publiques et communautaires sont dotées en enseignants en nombre suffisant, y compris les FA</v>
      </c>
      <c r="AC177" s="89" t="str">
        <f>D177 &amp; "-" &amp; VLOOKUP(D177,[4]STRATEGIES!$E$1:$F$504,2,FALSE)</f>
        <v>1236-Remplacement de salles de classe précaires, y compris dans les FA</v>
      </c>
      <c r="AD177" s="76" t="str">
        <f t="shared" si="26"/>
        <v>12363-Construction de salles de classe pour le remplacement des salles de classe précaires, y compris dans les FA maitrise d'ouvrage SNIES</v>
      </c>
    </row>
    <row r="178" spans="1:30" s="90" customFormat="1" ht="60" customHeight="1" x14ac:dyDescent="0.8">
      <c r="A178" s="84">
        <v>1</v>
      </c>
      <c r="B178" s="85">
        <v>12</v>
      </c>
      <c r="C178" s="85">
        <v>123</v>
      </c>
      <c r="D178" s="85">
        <v>1236</v>
      </c>
      <c r="E178" s="84">
        <v>12364</v>
      </c>
      <c r="F178" s="75" t="s">
        <v>288</v>
      </c>
      <c r="G178" s="76" t="s">
        <v>103</v>
      </c>
      <c r="H178" s="86" t="s">
        <v>218</v>
      </c>
      <c r="I178" s="78">
        <v>0</v>
      </c>
      <c r="J178" s="78">
        <f>J176/2</f>
        <v>26.700000000000003</v>
      </c>
      <c r="K178" s="78">
        <f>K176/2</f>
        <v>66.75</v>
      </c>
      <c r="L178" s="78">
        <f>L176/2</f>
        <v>40.049999999999997</v>
      </c>
      <c r="M178" s="78">
        <f t="shared" si="22"/>
        <v>133.5</v>
      </c>
      <c r="N178" s="78">
        <f>IF(OR(H178="",H178="sif",H178="PM"),0,VLOOKUP(H178,[5]CU!$C$4:$H$255,6,FALSE))</f>
        <v>138</v>
      </c>
      <c r="O178" s="78">
        <f t="shared" si="36"/>
        <v>0</v>
      </c>
      <c r="P178" s="78">
        <f t="shared" si="36"/>
        <v>3684.6000000000004</v>
      </c>
      <c r="Q178" s="78">
        <f t="shared" si="36"/>
        <v>9211.5</v>
      </c>
      <c r="R178" s="78">
        <f t="shared" si="36"/>
        <v>5526.9</v>
      </c>
      <c r="S178" s="78">
        <f t="shared" si="37"/>
        <v>18423</v>
      </c>
      <c r="T178" s="80" t="s">
        <v>221</v>
      </c>
      <c r="U178" s="87" t="s">
        <v>170</v>
      </c>
      <c r="V178" s="88" t="str">
        <f>IF(OR($H178="",$H178="sif",$H178="PM"),"",VLOOKUP($H178,[5]CU!$C$5:$J$255,8,FALSE))</f>
        <v>5. Investissement</v>
      </c>
      <c r="W178" s="87" t="s">
        <v>98</v>
      </c>
      <c r="X178" s="87" t="s">
        <v>222</v>
      </c>
      <c r="Y178" s="88" t="s">
        <v>32</v>
      </c>
      <c r="Z178" s="88" t="str">
        <f>A178 &amp; "-" &amp; VLOOKUP(A178,[4]PROGRAMMES!$E$1:$F$7,2,FALSE)</f>
        <v>1-Accès et équité à l'enseignement général</v>
      </c>
      <c r="AA178" s="88" t="str">
        <f>B178 &amp; "-" &amp; VLOOKUP(B178,[4]SOUSPROGRAMMES!$E$1:$F$44,2,FALSE)</f>
        <v>12- Accès équitable et achèvement du primaire</v>
      </c>
      <c r="AB178" s="88" t="str">
        <f>C178 &amp; "-" &amp; VLOOKUP(C178,[4]RESULTATS!$E$1:$F$176,2,FALSE)</f>
        <v>123- Toutes les écoles primaires publiques et communautaires sont dotées en enseignants en nombre suffisant, y compris les FA</v>
      </c>
      <c r="AC178" s="89" t="str">
        <f>D178 &amp; "-" &amp; VLOOKUP(D178,[4]STRATEGIES!$E$1:$F$504,2,FALSE)</f>
        <v>1236-Remplacement de salles de classe précaires, y compris dans les FA</v>
      </c>
      <c r="AD178" s="76" t="str">
        <f t="shared" si="26"/>
        <v>12364-Construction de salles de classe pour le remplacement des salles de classe précaires, y compris dans les FA maitrise d'ouvrage ONG</v>
      </c>
    </row>
    <row r="179" spans="1:30" s="90" customFormat="1" ht="60" hidden="1" customHeight="1" x14ac:dyDescent="0.8">
      <c r="A179" s="84">
        <v>1</v>
      </c>
      <c r="B179" s="85">
        <v>12</v>
      </c>
      <c r="C179" s="85">
        <v>123</v>
      </c>
      <c r="D179" s="85">
        <v>1236</v>
      </c>
      <c r="E179" s="84">
        <v>12365</v>
      </c>
      <c r="F179" s="75" t="s">
        <v>289</v>
      </c>
      <c r="G179" s="76" t="s">
        <v>106</v>
      </c>
      <c r="H179" s="86" t="s">
        <v>226</v>
      </c>
      <c r="I179" s="78">
        <v>0</v>
      </c>
      <c r="J179" s="78">
        <f t="shared" ref="J179:L181" si="38">J176</f>
        <v>53.400000000000006</v>
      </c>
      <c r="K179" s="78">
        <f t="shared" si="38"/>
        <v>133.5</v>
      </c>
      <c r="L179" s="78">
        <f t="shared" si="38"/>
        <v>80.099999999999994</v>
      </c>
      <c r="M179" s="78">
        <f t="shared" si="22"/>
        <v>267</v>
      </c>
      <c r="N179" s="78">
        <f>IF(OR(H179="",H179="sif",H179="PM"),0,VLOOKUP(H179,[5]CU!$C$4:$H$255,6,FALSE))</f>
        <v>23.333333333333332</v>
      </c>
      <c r="O179" s="78">
        <f t="shared" si="36"/>
        <v>0</v>
      </c>
      <c r="P179" s="78">
        <f t="shared" si="36"/>
        <v>1246</v>
      </c>
      <c r="Q179" s="78">
        <f t="shared" si="36"/>
        <v>3115</v>
      </c>
      <c r="R179" s="78">
        <f t="shared" si="36"/>
        <v>1868.9999999999998</v>
      </c>
      <c r="S179" s="78">
        <f t="shared" si="37"/>
        <v>6230</v>
      </c>
      <c r="T179" s="80" t="s">
        <v>56</v>
      </c>
      <c r="U179" s="87" t="s">
        <v>170</v>
      </c>
      <c r="V179" s="88" t="str">
        <f>IF(OR($H179="",$H179="sif",$H179="PM"),"",VLOOKUP($H179,[5]CU!$C$5:$J$255,8,FALSE))</f>
        <v>5. Investissement</v>
      </c>
      <c r="W179" s="87" t="s">
        <v>206</v>
      </c>
      <c r="X179" s="87" t="s">
        <v>205</v>
      </c>
      <c r="Y179" s="88" t="s">
        <v>32</v>
      </c>
      <c r="Z179" s="88" t="str">
        <f>A179 &amp; "-" &amp; VLOOKUP(A179,[4]PROGRAMMES!$E$1:$F$7,2,FALSE)</f>
        <v>1-Accès et équité à l'enseignement général</v>
      </c>
      <c r="AA179" s="88" t="str">
        <f>B179 &amp; "-" &amp; VLOOKUP(B179,[4]SOUSPROGRAMMES!$E$1:$F$44,2,FALSE)</f>
        <v>12- Accès équitable et achèvement du primaire</v>
      </c>
      <c r="AB179" s="88" t="str">
        <f>C179 &amp; "-" &amp; VLOOKUP(C179,[4]RESULTATS!$E$1:$F$176,2,FALSE)</f>
        <v>123- Toutes les écoles primaires publiques et communautaires sont dotées en enseignants en nombre suffisant, y compris les FA</v>
      </c>
      <c r="AC179" s="89" t="str">
        <f>D179 &amp; "-" &amp; VLOOKUP(D179,[4]STRATEGIES!$E$1:$F$504,2,FALSE)</f>
        <v>1236-Remplacement de salles de classe précaires, y compris dans les FA</v>
      </c>
      <c r="AD179" s="76" t="str">
        <f t="shared" si="26"/>
        <v>12365-Equipement des salles de classe en mobiliers scolaires (communes)</v>
      </c>
    </row>
    <row r="180" spans="1:30" s="71" customFormat="1" ht="60" hidden="1" customHeight="1" x14ac:dyDescent="0.8">
      <c r="A180" s="91">
        <v>1</v>
      </c>
      <c r="B180" s="75">
        <v>12</v>
      </c>
      <c r="C180" s="75">
        <v>123</v>
      </c>
      <c r="D180" s="75">
        <v>1236</v>
      </c>
      <c r="E180" s="91">
        <v>12366</v>
      </c>
      <c r="F180" s="75" t="s">
        <v>227</v>
      </c>
      <c r="G180" s="76" t="s">
        <v>106</v>
      </c>
      <c r="H180" s="76" t="s">
        <v>226</v>
      </c>
      <c r="I180" s="78">
        <v>0</v>
      </c>
      <c r="J180" s="77">
        <f t="shared" si="38"/>
        <v>0</v>
      </c>
      <c r="K180" s="77">
        <f>K177*2</f>
        <v>180</v>
      </c>
      <c r="L180" s="77">
        <f t="shared" si="38"/>
        <v>45</v>
      </c>
      <c r="M180" s="77">
        <f t="shared" si="22"/>
        <v>225</v>
      </c>
      <c r="N180" s="77">
        <f>IF(OR(H180="",H180="sif",H180="PM"),0,VLOOKUP(H180,[5]CU!$C$4:$H$255,6,FALSE))</f>
        <v>23.333333333333332</v>
      </c>
      <c r="O180" s="77">
        <f t="shared" si="36"/>
        <v>0</v>
      </c>
      <c r="P180" s="77">
        <f t="shared" si="36"/>
        <v>0</v>
      </c>
      <c r="Q180" s="77">
        <f>$N180*K180</f>
        <v>4200</v>
      </c>
      <c r="R180" s="77">
        <f t="shared" si="36"/>
        <v>1050</v>
      </c>
      <c r="S180" s="77">
        <f t="shared" si="37"/>
        <v>5250</v>
      </c>
      <c r="T180" s="92" t="s">
        <v>169</v>
      </c>
      <c r="U180" s="88" t="s">
        <v>170</v>
      </c>
      <c r="V180" s="88" t="str">
        <f>IF(OR($H180="",$H180="sif",$H180="PM"),"",VLOOKUP($H180,[5]CU!$C$5:$J$255,8,FALSE))</f>
        <v>5. Investissement</v>
      </c>
      <c r="W180" s="88" t="s">
        <v>98</v>
      </c>
      <c r="X180" s="88" t="s">
        <v>98</v>
      </c>
      <c r="Y180" s="88" t="s">
        <v>32</v>
      </c>
      <c r="Z180" s="88" t="str">
        <f>A180 &amp; "-" &amp; VLOOKUP(A180,[4]PROGRAMMES!$E$1:$F$7,2,FALSE)</f>
        <v>1-Accès et équité à l'enseignement général</v>
      </c>
      <c r="AA180" s="88" t="str">
        <f>B180 &amp; "-" &amp; VLOOKUP(B180,[4]SOUSPROGRAMMES!$E$1:$F$44,2,FALSE)</f>
        <v>12- Accès équitable et achèvement du primaire</v>
      </c>
      <c r="AB180" s="88" t="str">
        <f>C180 &amp; "-" &amp; VLOOKUP(C180,[4]RESULTATS!$E$1:$F$176,2,FALSE)</f>
        <v>123- Toutes les écoles primaires publiques et communautaires sont dotées en enseignants en nombre suffisant, y compris les FA</v>
      </c>
      <c r="AC180" s="89" t="str">
        <f>D180 &amp; "-" &amp; VLOOKUP(D180,[4]STRATEGIES!$E$1:$F$504,2,FALSE)</f>
        <v>1236-Remplacement de salles de classe précaires, y compris dans les FA</v>
      </c>
      <c r="AD180" s="76" t="str">
        <f t="shared" si="26"/>
        <v>12366-Equipement des salles de classe en mobiliers scolaires (SNIES)</v>
      </c>
    </row>
    <row r="181" spans="1:30" s="90" customFormat="1" ht="60" customHeight="1" x14ac:dyDescent="0.8">
      <c r="A181" s="84">
        <v>1</v>
      </c>
      <c r="B181" s="85">
        <v>12</v>
      </c>
      <c r="C181" s="85">
        <v>123</v>
      </c>
      <c r="D181" s="85">
        <v>1236</v>
      </c>
      <c r="E181" s="84">
        <v>12367</v>
      </c>
      <c r="F181" s="75" t="s">
        <v>228</v>
      </c>
      <c r="G181" s="76" t="s">
        <v>106</v>
      </c>
      <c r="H181" s="86" t="s">
        <v>226</v>
      </c>
      <c r="I181" s="78">
        <v>0</v>
      </c>
      <c r="J181" s="78">
        <f t="shared" si="38"/>
        <v>26.700000000000003</v>
      </c>
      <c r="K181" s="78">
        <f t="shared" si="38"/>
        <v>66.75</v>
      </c>
      <c r="L181" s="78">
        <f t="shared" si="38"/>
        <v>40.049999999999997</v>
      </c>
      <c r="M181" s="78">
        <f t="shared" si="22"/>
        <v>133.5</v>
      </c>
      <c r="N181" s="78">
        <f>IF(OR(H181="",H181="sif",H181="PM"),0,VLOOKUP(H181,[5]CU!$C$4:$H$255,6,FALSE))</f>
        <v>23.333333333333332</v>
      </c>
      <c r="O181" s="78">
        <f t="shared" si="36"/>
        <v>0</v>
      </c>
      <c r="P181" s="78">
        <f t="shared" si="36"/>
        <v>623</v>
      </c>
      <c r="Q181" s="78">
        <f t="shared" si="36"/>
        <v>1557.5</v>
      </c>
      <c r="R181" s="78">
        <f t="shared" si="36"/>
        <v>934.49999999999989</v>
      </c>
      <c r="S181" s="78">
        <f t="shared" si="37"/>
        <v>3115</v>
      </c>
      <c r="T181" s="80" t="s">
        <v>221</v>
      </c>
      <c r="U181" s="87" t="s">
        <v>170</v>
      </c>
      <c r="V181" s="88" t="str">
        <f>IF(OR($H181="",$H181="sif",$H181="PM"),"",VLOOKUP($H181,[5]CU!$C$5:$J$255,8,FALSE))</f>
        <v>5. Investissement</v>
      </c>
      <c r="W181" s="87" t="s">
        <v>98</v>
      </c>
      <c r="X181" s="87" t="s">
        <v>222</v>
      </c>
      <c r="Y181" s="88" t="s">
        <v>32</v>
      </c>
      <c r="Z181" s="88" t="str">
        <f>A181 &amp; "-" &amp; VLOOKUP(A181,[4]PROGRAMMES!$E$1:$F$7,2,FALSE)</f>
        <v>1-Accès et équité à l'enseignement général</v>
      </c>
      <c r="AA181" s="88" t="str">
        <f>B181 &amp; "-" &amp; VLOOKUP(B181,[4]SOUSPROGRAMMES!$E$1:$F$44,2,FALSE)</f>
        <v>12- Accès équitable et achèvement du primaire</v>
      </c>
      <c r="AB181" s="88" t="str">
        <f>C181 &amp; "-" &amp; VLOOKUP(C181,[4]RESULTATS!$E$1:$F$176,2,FALSE)</f>
        <v>123- Toutes les écoles primaires publiques et communautaires sont dotées en enseignants en nombre suffisant, y compris les FA</v>
      </c>
      <c r="AC181" s="89" t="str">
        <f>D181 &amp; "-" &amp; VLOOKUP(D181,[4]STRATEGIES!$E$1:$F$504,2,FALSE)</f>
        <v>1236-Remplacement de salles de classe précaires, y compris dans les FA</v>
      </c>
      <c r="AD181" s="76" t="str">
        <f t="shared" si="26"/>
        <v>12367-Equipement des salles de classe en mobiliers scolaires (ONG)</v>
      </c>
    </row>
    <row r="182" spans="1:30" s="71" customFormat="1" ht="60" hidden="1" customHeight="1" x14ac:dyDescent="0.8">
      <c r="A182" s="91">
        <v>1</v>
      </c>
      <c r="B182" s="75">
        <v>12</v>
      </c>
      <c r="C182" s="75">
        <v>123</v>
      </c>
      <c r="D182" s="75">
        <v>1236</v>
      </c>
      <c r="E182" s="91">
        <v>12368</v>
      </c>
      <c r="F182" s="75" t="s">
        <v>290</v>
      </c>
      <c r="G182" s="76" t="s">
        <v>58</v>
      </c>
      <c r="H182" s="76" t="s">
        <v>110</v>
      </c>
      <c r="I182" s="78">
        <v>0</v>
      </c>
      <c r="J182" s="77">
        <f>(J177+J176+J175)*0%</f>
        <v>0</v>
      </c>
      <c r="K182" s="77">
        <f>(K177+K176+K175)*62.19%*2</f>
        <v>279.23309999999998</v>
      </c>
      <c r="L182" s="77">
        <f>(L177+L176+L175)*62.19%</f>
        <v>78.421589999999995</v>
      </c>
      <c r="M182" s="77">
        <f>SUM(I182:L182)</f>
        <v>357.65468999999996</v>
      </c>
      <c r="N182" s="77">
        <f>IF(OR(H182="",H182="sif",H182="PM"),0,VLOOKUP(H182,[5]CU!$C$4:$H$255,6,FALSE))</f>
        <v>7.1760000000000002</v>
      </c>
      <c r="O182" s="77">
        <f>$N182*I182</f>
        <v>0</v>
      </c>
      <c r="P182" s="77">
        <f>$N182*J182</f>
        <v>0</v>
      </c>
      <c r="Q182" s="77">
        <f>$N182*K182</f>
        <v>2003.7767256</v>
      </c>
      <c r="R182" s="77">
        <f>$N182*L182</f>
        <v>562.75332983999999</v>
      </c>
      <c r="S182" s="77">
        <f>SUM(O182:R182)</f>
        <v>2566.5300554400001</v>
      </c>
      <c r="T182" s="92" t="s">
        <v>169</v>
      </c>
      <c r="U182" s="88" t="s">
        <v>170</v>
      </c>
      <c r="V182" s="88" t="str">
        <f>IF(OR($H182="",$H182="sif",$H182="PM"),"",VLOOKUP($H182,[5]CU!$C$5:$J$255,8,FALSE))</f>
        <v>3. Dépenses de fonctionnement</v>
      </c>
      <c r="W182" s="88" t="s">
        <v>98</v>
      </c>
      <c r="X182" s="88" t="s">
        <v>98</v>
      </c>
      <c r="Y182" s="88" t="s">
        <v>32</v>
      </c>
      <c r="Z182" s="88" t="str">
        <f>A182 &amp; "-" &amp; VLOOKUP(A182,[4]PROGRAMMES!$E$1:$F$7,2,FALSE)</f>
        <v>1-Accès et équité à l'enseignement général</v>
      </c>
      <c r="AA182" s="88" t="str">
        <f>B182 &amp; "-" &amp; VLOOKUP(B182,[4]SOUSPROGRAMMES!$E$1:$F$44,2,FALSE)</f>
        <v>12- Accès équitable et achèvement du primaire</v>
      </c>
      <c r="AB182" s="88" t="str">
        <f>C182 &amp; "-" &amp; VLOOKUP(C182,[4]RESULTATS!$E$1:$F$176,2,FALSE)</f>
        <v>123- Toutes les écoles primaires publiques et communautaires sont dotées en enseignants en nombre suffisant, y compris les FA</v>
      </c>
      <c r="AC182" s="89" t="str">
        <f>D182 &amp; "-" &amp; VLOOKUP(D182,[4]STRATEGIES!$E$1:$F$504,2,FALSE)</f>
        <v>1236-Remplacement de salles de classe précaires, y compris dans les FA</v>
      </c>
      <c r="AD182" s="76" t="str">
        <f t="shared" si="26"/>
        <v>12368-Supervision des travaux de construction de salles de classe pour le remplacement des salles de classe précaires, y compris dans les FA</v>
      </c>
    </row>
    <row r="183" spans="1:30" s="90" customFormat="1" ht="60" customHeight="1" x14ac:dyDescent="0.8">
      <c r="A183" s="84">
        <v>1</v>
      </c>
      <c r="B183" s="85">
        <v>12</v>
      </c>
      <c r="C183" s="85">
        <v>123</v>
      </c>
      <c r="D183" s="85">
        <v>1236</v>
      </c>
      <c r="E183" s="84">
        <v>12368</v>
      </c>
      <c r="F183" s="75" t="s">
        <v>290</v>
      </c>
      <c r="G183" s="76" t="s">
        <v>58</v>
      </c>
      <c r="H183" s="86" t="s">
        <v>110</v>
      </c>
      <c r="I183" s="78">
        <v>0</v>
      </c>
      <c r="J183" s="78">
        <f>(J177+J176+J175)*37.81%</f>
        <v>20.568640000000006</v>
      </c>
      <c r="K183" s="78">
        <f>(K177+K176+K175)*37.81%</f>
        <v>84.883450000000011</v>
      </c>
      <c r="L183" s="78">
        <f>(L177+L176+L175)*37.81%</f>
        <v>47.678410000000007</v>
      </c>
      <c r="M183" s="78">
        <f t="shared" si="22"/>
        <v>153.13050000000001</v>
      </c>
      <c r="N183" s="78">
        <f>IF(OR(H183="",H183="sif",H183="PM"),0,VLOOKUP(H183,[5]CU!$C$4:$H$255,6,FALSE))</f>
        <v>7.1760000000000002</v>
      </c>
      <c r="O183" s="78">
        <f t="shared" si="36"/>
        <v>0</v>
      </c>
      <c r="P183" s="78">
        <f t="shared" si="36"/>
        <v>147.60056064000005</v>
      </c>
      <c r="Q183" s="78">
        <f t="shared" si="36"/>
        <v>609.12363720000008</v>
      </c>
      <c r="R183" s="78">
        <f t="shared" si="36"/>
        <v>342.14027016000006</v>
      </c>
      <c r="S183" s="78">
        <f t="shared" si="37"/>
        <v>1098.8644680000002</v>
      </c>
      <c r="T183" s="80" t="s">
        <v>191</v>
      </c>
      <c r="U183" s="87" t="s">
        <v>170</v>
      </c>
      <c r="V183" s="88" t="str">
        <f>IF(OR($H183="",$H183="sif",$H183="PM"),"",VLOOKUP($H183,[5]CU!$C$5:$J$255,8,FALSE))</f>
        <v>3. Dépenses de fonctionnement</v>
      </c>
      <c r="W183" s="87" t="s">
        <v>98</v>
      </c>
      <c r="X183" s="87" t="s">
        <v>98</v>
      </c>
      <c r="Y183" s="88" t="s">
        <v>32</v>
      </c>
      <c r="Z183" s="88" t="str">
        <f>A183 &amp; "-" &amp; VLOOKUP(A183,[4]PROGRAMMES!$E$1:$F$7,2,FALSE)</f>
        <v>1-Accès et équité à l'enseignement général</v>
      </c>
      <c r="AA183" s="88" t="str">
        <f>B183 &amp; "-" &amp; VLOOKUP(B183,[4]SOUSPROGRAMMES!$E$1:$F$44,2,FALSE)</f>
        <v>12- Accès équitable et achèvement du primaire</v>
      </c>
      <c r="AB183" s="88" t="str">
        <f>C183 &amp; "-" &amp; VLOOKUP(C183,[4]RESULTATS!$E$1:$F$176,2,FALSE)</f>
        <v>123- Toutes les écoles primaires publiques et communautaires sont dotées en enseignants en nombre suffisant, y compris les FA</v>
      </c>
      <c r="AC183" s="89" t="str">
        <f>D183 &amp; "-" &amp; VLOOKUP(D183,[4]STRATEGIES!$E$1:$F$504,2,FALSE)</f>
        <v>1236-Remplacement de salles de classe précaires, y compris dans les FA</v>
      </c>
      <c r="AD183" s="76" t="str">
        <f t="shared" si="26"/>
        <v>12368-Supervision des travaux de construction de salles de classe pour le remplacement des salles de classe précaires, y compris dans les FA</v>
      </c>
    </row>
    <row r="184" spans="1:30" s="90" customFormat="1" ht="60" hidden="1" customHeight="1" x14ac:dyDescent="0.8">
      <c r="A184" s="84">
        <v>1</v>
      </c>
      <c r="B184" s="85">
        <v>12</v>
      </c>
      <c r="C184" s="85">
        <v>123</v>
      </c>
      <c r="D184" s="85">
        <v>1236</v>
      </c>
      <c r="E184" s="84">
        <v>12369</v>
      </c>
      <c r="F184" s="75" t="s">
        <v>212</v>
      </c>
      <c r="G184" s="76" t="s">
        <v>159</v>
      </c>
      <c r="H184" s="86" t="s">
        <v>55</v>
      </c>
      <c r="I184" s="78">
        <v>0</v>
      </c>
      <c r="J184" s="78">
        <v>1</v>
      </c>
      <c r="K184" s="78">
        <v>1</v>
      </c>
      <c r="L184" s="78">
        <v>1</v>
      </c>
      <c r="M184" s="78">
        <f t="shared" si="22"/>
        <v>3</v>
      </c>
      <c r="N184" s="78">
        <f>IF(OR(H184="",H184="sif",H184="PM"),0,VLOOKUP(H184,[5]CU!$C$4:$H$255,6,FALSE))</f>
        <v>0</v>
      </c>
      <c r="O184" s="78"/>
      <c r="P184" s="78"/>
      <c r="Q184" s="78"/>
      <c r="R184" s="78"/>
      <c r="S184" s="78"/>
      <c r="T184" s="80" t="s">
        <v>56</v>
      </c>
      <c r="U184" s="87" t="s">
        <v>170</v>
      </c>
      <c r="V184" s="88" t="str">
        <f>IF(OR($H184="",$H184="sif",$H184="PM"),"",VLOOKUP($H184,[5]CU!$C$5:$J$255,8,FALSE))</f>
        <v/>
      </c>
      <c r="W184" s="87" t="s">
        <v>205</v>
      </c>
      <c r="X184" s="87" t="s">
        <v>210</v>
      </c>
      <c r="Y184" s="88" t="s">
        <v>32</v>
      </c>
      <c r="Z184" s="88" t="str">
        <f>A184 &amp; "-" &amp; VLOOKUP(A184,[4]PROGRAMMES!$E$1:$F$7,2,FALSE)</f>
        <v>1-Accès et équité à l'enseignement général</v>
      </c>
      <c r="AA184" s="88" t="str">
        <f>B184 &amp; "-" &amp; VLOOKUP(B184,[4]SOUSPROGRAMMES!$E$1:$F$44,2,FALSE)</f>
        <v>12- Accès équitable et achèvement du primaire</v>
      </c>
      <c r="AB184" s="88" t="str">
        <f>C184 &amp; "-" &amp; VLOOKUP(C184,[4]RESULTATS!$E$1:$F$176,2,FALSE)</f>
        <v>123- Toutes les écoles primaires publiques et communautaires sont dotées en enseignants en nombre suffisant, y compris les FA</v>
      </c>
      <c r="AC184" s="89" t="str">
        <f>D184 &amp; "-" &amp; VLOOKUP(D184,[4]STRATEGIES!$E$1:$F$504,2,FALSE)</f>
        <v>1236-Remplacement de salles de classe précaires, y compris dans les FA</v>
      </c>
      <c r="AD184" s="76" t="str">
        <f t="shared" si="26"/>
        <v>12369-Suivi/évaluation de la réhabilitation/rénovation des salles de classe (voir suivi construction activité 122210)</v>
      </c>
    </row>
    <row r="185" spans="1:30" s="90" customFormat="1" ht="60" customHeight="1" x14ac:dyDescent="0.8">
      <c r="A185" s="84">
        <v>1</v>
      </c>
      <c r="B185" s="85">
        <v>12</v>
      </c>
      <c r="C185" s="85">
        <v>124</v>
      </c>
      <c r="D185" s="85">
        <v>124</v>
      </c>
      <c r="E185" s="84">
        <v>124</v>
      </c>
      <c r="F185" s="75" t="s">
        <v>291</v>
      </c>
      <c r="G185" s="86"/>
      <c r="H185" s="86"/>
      <c r="I185" s="78">
        <v>0</v>
      </c>
      <c r="J185" s="78"/>
      <c r="K185" s="78"/>
      <c r="L185" s="78"/>
      <c r="M185" s="78"/>
      <c r="N185" s="78"/>
      <c r="O185" s="78"/>
      <c r="P185" s="78"/>
      <c r="Q185" s="78"/>
      <c r="R185" s="78"/>
      <c r="S185" s="78"/>
      <c r="T185" s="87"/>
      <c r="U185" s="87"/>
      <c r="V185" s="88"/>
      <c r="W185" s="87"/>
      <c r="X185" s="87"/>
      <c r="Y185" s="88" t="s">
        <v>32</v>
      </c>
      <c r="Z185" s="88" t="str">
        <f>A185 &amp; "-" &amp; VLOOKUP(A185,[4]PROGRAMMES!$E$1:$F$7,2,FALSE)</f>
        <v>1-Accès et équité à l'enseignement général</v>
      </c>
      <c r="AA185" s="88" t="str">
        <f>B185 &amp; "-" &amp; VLOOKUP(B185,[4]SOUSPROGRAMMES!$E$1:$F$44,2,FALSE)</f>
        <v>12- Accès équitable et achèvement du primaire</v>
      </c>
      <c r="AB185" s="88" t="str">
        <f>C185 &amp; "-" &amp; VLOOKUP(C185,[4]RESULTATS!$E$1:$F$176,2,FALSE)</f>
        <v>124- Toutes les écoles primaires, y compris les FA, offrent aux élèves des conditions favorables à leur maintien, en particulier, les filles</v>
      </c>
      <c r="AC185" s="89" t="str">
        <f>D185 &amp; "-" &amp; VLOOKUP(D185,[4]STRATEGIES!$E$1:$F$504,2,FALSE)</f>
        <v>124- Toutes les écoles primaires, y compris les FA, offrent aux élèves des conditions favorables à leur maintien, en particulier, les filles</v>
      </c>
      <c r="AD185" s="76" t="str">
        <f t="shared" si="26"/>
        <v>124- Toutes les écoles primaires, y compris les FA, offrent aux élèves des conditions favorables à leur maintien, en particulier, les filles</v>
      </c>
    </row>
    <row r="186" spans="1:30" s="90" customFormat="1" ht="60" customHeight="1" x14ac:dyDescent="0.8">
      <c r="A186" s="84">
        <v>1</v>
      </c>
      <c r="B186" s="85">
        <v>12</v>
      </c>
      <c r="C186" s="85">
        <v>124</v>
      </c>
      <c r="D186" s="85">
        <v>1241</v>
      </c>
      <c r="E186" s="84">
        <v>1241</v>
      </c>
      <c r="F186" s="75" t="s">
        <v>292</v>
      </c>
      <c r="G186" s="86"/>
      <c r="H186" s="86"/>
      <c r="I186" s="78">
        <v>0</v>
      </c>
      <c r="J186" s="78"/>
      <c r="K186" s="78"/>
      <c r="L186" s="78"/>
      <c r="M186" s="78"/>
      <c r="N186" s="78"/>
      <c r="O186" s="78"/>
      <c r="P186" s="78"/>
      <c r="Q186" s="78"/>
      <c r="R186" s="78"/>
      <c r="S186" s="78"/>
      <c r="T186" s="87"/>
      <c r="U186" s="87"/>
      <c r="V186" s="88"/>
      <c r="W186" s="87"/>
      <c r="X186" s="87"/>
      <c r="Y186" s="88" t="s">
        <v>32</v>
      </c>
      <c r="Z186" s="88" t="str">
        <f>A186 &amp; "-" &amp; VLOOKUP(A186,[4]PROGRAMMES!$E$1:$F$7,2,FALSE)</f>
        <v>1-Accès et équité à l'enseignement général</v>
      </c>
      <c r="AA186" s="88" t="str">
        <f>B186 &amp; "-" &amp; VLOOKUP(B186,[4]SOUSPROGRAMMES!$E$1:$F$44,2,FALSE)</f>
        <v>12- Accès équitable et achèvement du primaire</v>
      </c>
      <c r="AB186" s="88" t="str">
        <f>C186 &amp; "-" &amp; VLOOKUP(C186,[4]RESULTATS!$E$1:$F$176,2,FALSE)</f>
        <v>124- Toutes les écoles primaires, y compris les FA, offrent aux élèves des conditions favorables à leur maintien, en particulier, les filles</v>
      </c>
      <c r="AC186" s="89" t="str">
        <f>D186 &amp; "-" &amp; VLOOKUP(D186,[4]STRATEGIES!$E$1:$F$504,2,FALSE)</f>
        <v>1241-Adaptation du mode de fonctionnement de l’école aux ressources disponibles pour assurer la continuité éducative</v>
      </c>
      <c r="AD186" s="76" t="str">
        <f t="shared" si="26"/>
        <v>1241-Adaptation du mode de fonctionnement de l’école aux ressources disponibles pour assurer la continuité éducative</v>
      </c>
    </row>
    <row r="187" spans="1:30" s="90" customFormat="1" ht="60" hidden="1" customHeight="1" x14ac:dyDescent="0.8">
      <c r="A187" s="84">
        <v>1</v>
      </c>
      <c r="B187" s="85">
        <v>12</v>
      </c>
      <c r="C187" s="85">
        <v>124</v>
      </c>
      <c r="D187" s="85">
        <v>1241</v>
      </c>
      <c r="E187" s="84">
        <v>12411</v>
      </c>
      <c r="F187" s="75" t="s">
        <v>293</v>
      </c>
      <c r="G187" s="76" t="s">
        <v>294</v>
      </c>
      <c r="H187" s="86" t="s">
        <v>295</v>
      </c>
      <c r="I187" s="78">
        <v>0</v>
      </c>
      <c r="J187" s="78"/>
      <c r="K187" s="78"/>
      <c r="L187" s="78"/>
      <c r="M187" s="78">
        <f t="shared" si="22"/>
        <v>0</v>
      </c>
      <c r="N187" s="78">
        <f>IF(OR(H187="",H187="sif",H187="PM"),0,VLOOKUP(H187,[5]CU!$C$4:$H$255,6,FALSE))</f>
        <v>40.32</v>
      </c>
      <c r="O187" s="78">
        <f t="shared" ref="O187:R191" si="39">$N187*I187</f>
        <v>0</v>
      </c>
      <c r="P187" s="78">
        <f t="shared" si="39"/>
        <v>0</v>
      </c>
      <c r="Q187" s="78">
        <f t="shared" si="39"/>
        <v>0</v>
      </c>
      <c r="R187" s="78">
        <f t="shared" si="39"/>
        <v>0</v>
      </c>
      <c r="S187" s="78">
        <f>SUM(O187:R187)</f>
        <v>0</v>
      </c>
      <c r="T187" s="80" t="s">
        <v>178</v>
      </c>
      <c r="U187" s="87" t="s">
        <v>170</v>
      </c>
      <c r="V187" s="88" t="str">
        <f>IF(OR($H187="",$H187="sif",$H187="PM"),"",VLOOKUP($H187,[5]CU!$C$5:$J$255,8,FALSE))</f>
        <v>3. Formation</v>
      </c>
      <c r="W187" s="87" t="s">
        <v>192</v>
      </c>
      <c r="X187" s="87" t="s">
        <v>296</v>
      </c>
      <c r="Y187" s="88" t="s">
        <v>32</v>
      </c>
      <c r="Z187" s="88" t="str">
        <f>A187 &amp; "-" &amp; VLOOKUP(A187,[4]PROGRAMMES!$E$1:$F$7,2,FALSE)</f>
        <v>1-Accès et équité à l'enseignement général</v>
      </c>
      <c r="AA187" s="88" t="str">
        <f>B187 &amp; "-" &amp; VLOOKUP(B187,[4]SOUSPROGRAMMES!$E$1:$F$44,2,FALSE)</f>
        <v>12- Accès équitable et achèvement du primaire</v>
      </c>
      <c r="AB187" s="88" t="str">
        <f>C187 &amp; "-" &amp; VLOOKUP(C187,[4]RESULTATS!$E$1:$F$176,2,FALSE)</f>
        <v>124- Toutes les écoles primaires, y compris les FA, offrent aux élèves des conditions favorables à leur maintien, en particulier, les filles</v>
      </c>
      <c r="AC187" s="89" t="str">
        <f>D187 &amp; "-" &amp; VLOOKUP(D187,[4]STRATEGIES!$E$1:$F$504,2,FALSE)</f>
        <v>1241-Adaptation du mode de fonctionnement de l’école aux ressources disponibles pour assurer la continuité éducative</v>
      </c>
      <c r="AD187" s="76" t="str">
        <f t="shared" si="26"/>
        <v>12411-Voyage d'études pour s'enquérir des expériences de certains pays dans la mise en place des écoles à classe unique</v>
      </c>
    </row>
    <row r="188" spans="1:30" s="90" customFormat="1" ht="60" hidden="1" customHeight="1" x14ac:dyDescent="0.8">
      <c r="A188" s="84">
        <v>1</v>
      </c>
      <c r="B188" s="85">
        <v>12</v>
      </c>
      <c r="C188" s="85">
        <v>124</v>
      </c>
      <c r="D188" s="85">
        <v>1241</v>
      </c>
      <c r="E188" s="84">
        <v>12412</v>
      </c>
      <c r="F188" s="75" t="s">
        <v>297</v>
      </c>
      <c r="G188" s="76" t="s">
        <v>298</v>
      </c>
      <c r="H188" s="86" t="s">
        <v>38</v>
      </c>
      <c r="I188" s="78">
        <v>0</v>
      </c>
      <c r="J188" s="78"/>
      <c r="K188" s="78"/>
      <c r="L188" s="78"/>
      <c r="M188" s="78">
        <f>SUM(I188:L188)</f>
        <v>0</v>
      </c>
      <c r="N188" s="78">
        <f>IF(OR(H188="",H188="sif",H188="PM"),0,VLOOKUP(H188,[5]CU!$C$4:$H$255,6,FALSE))</f>
        <v>0.3133333333333333</v>
      </c>
      <c r="O188" s="78">
        <f>$N188*I188</f>
        <v>0</v>
      </c>
      <c r="P188" s="78">
        <f>$N188*J188</f>
        <v>0</v>
      </c>
      <c r="Q188" s="78">
        <f>$N188*K188</f>
        <v>0</v>
      </c>
      <c r="R188" s="78">
        <f>$N188*L188</f>
        <v>0</v>
      </c>
      <c r="S188" s="78">
        <f>SUM(O188:R188)</f>
        <v>0</v>
      </c>
      <c r="T188" s="80" t="s">
        <v>178</v>
      </c>
      <c r="U188" s="87" t="s">
        <v>170</v>
      </c>
      <c r="V188" s="88" t="str">
        <f>IF(OR($H188="",$H188="sif",$H188="PM"),"",VLOOKUP($H188,[5]CU!$C$5:$J$255,8,FALSE))</f>
        <v>3. Formation</v>
      </c>
      <c r="W188" s="87" t="s">
        <v>192</v>
      </c>
      <c r="X188" s="87" t="s">
        <v>296</v>
      </c>
      <c r="Y188" s="88" t="s">
        <v>32</v>
      </c>
      <c r="Z188" s="88" t="str">
        <f>A188 &amp; "-" &amp; VLOOKUP(A188,[4]PROGRAMMES!$E$1:$F$7,2,FALSE)</f>
        <v>1-Accès et équité à l'enseignement général</v>
      </c>
      <c r="AA188" s="88" t="str">
        <f>B188 &amp; "-" &amp; VLOOKUP(B188,[4]SOUSPROGRAMMES!$E$1:$F$44,2,FALSE)</f>
        <v>12- Accès équitable et achèvement du primaire</v>
      </c>
      <c r="AB188" s="88" t="str">
        <f>C188 &amp; "-" &amp; VLOOKUP(C188,[4]RESULTATS!$E$1:$F$176,2,FALSE)</f>
        <v>124- Toutes les écoles primaires, y compris les FA, offrent aux élèves des conditions favorables à leur maintien, en particulier, les filles</v>
      </c>
      <c r="AC188" s="89" t="str">
        <f>D188 &amp; "-" &amp; VLOOKUP(D188,[4]STRATEGIES!$E$1:$F$504,2,FALSE)</f>
        <v>1241-Adaptation du mode de fonctionnement de l’école aux ressources disponibles pour assurer la continuité éducative</v>
      </c>
      <c r="AD188" s="76" t="str">
        <f t="shared" si="26"/>
        <v>12412-Atelier intégré pour dégager les rôles et responsabilités, formation, capitalisation des acquis du voyage d'études et actualisation du reférentiel de compétences</v>
      </c>
    </row>
    <row r="189" spans="1:30" s="90" customFormat="1" ht="60" customHeight="1" x14ac:dyDescent="0.8">
      <c r="A189" s="84">
        <v>1</v>
      </c>
      <c r="B189" s="85">
        <v>12</v>
      </c>
      <c r="C189" s="85">
        <v>124</v>
      </c>
      <c r="D189" s="85">
        <v>1241</v>
      </c>
      <c r="E189" s="84">
        <v>12412</v>
      </c>
      <c r="F189" s="75" t="s">
        <v>297</v>
      </c>
      <c r="G189" s="76" t="s">
        <v>298</v>
      </c>
      <c r="H189" s="86" t="s">
        <v>38</v>
      </c>
      <c r="I189" s="78">
        <v>0</v>
      </c>
      <c r="J189" s="78"/>
      <c r="K189" s="78"/>
      <c r="L189" s="78"/>
      <c r="M189" s="78">
        <f t="shared" si="22"/>
        <v>0</v>
      </c>
      <c r="N189" s="78">
        <f>IF(OR(H189="",H189="sif",H189="PM"),0,VLOOKUP(H189,[5]CU!$C$4:$H$255,6,FALSE))</f>
        <v>0.3133333333333333</v>
      </c>
      <c r="O189" s="78">
        <f t="shared" si="39"/>
        <v>0</v>
      </c>
      <c r="P189" s="78">
        <f t="shared" si="39"/>
        <v>0</v>
      </c>
      <c r="Q189" s="78">
        <f t="shared" si="39"/>
        <v>0</v>
      </c>
      <c r="R189" s="78">
        <f t="shared" si="39"/>
        <v>0</v>
      </c>
      <c r="S189" s="78">
        <f>SUM(O189:R189)</f>
        <v>0</v>
      </c>
      <c r="T189" s="80" t="s">
        <v>118</v>
      </c>
      <c r="U189" s="87" t="s">
        <v>170</v>
      </c>
      <c r="V189" s="88" t="str">
        <f>IF(OR($H189="",$H189="sif",$H189="PM"),"",VLOOKUP($H189,[5]CU!$C$5:$J$255,8,FALSE))</f>
        <v>3. Formation</v>
      </c>
      <c r="W189" s="87" t="s">
        <v>192</v>
      </c>
      <c r="X189" s="87" t="s">
        <v>296</v>
      </c>
      <c r="Y189" s="88" t="s">
        <v>32</v>
      </c>
      <c r="Z189" s="88" t="str">
        <f>A189 &amp; "-" &amp; VLOOKUP(A189,[4]PROGRAMMES!$E$1:$F$7,2,FALSE)</f>
        <v>1-Accès et équité à l'enseignement général</v>
      </c>
      <c r="AA189" s="88" t="str">
        <f>B189 &amp; "-" &amp; VLOOKUP(B189,[4]SOUSPROGRAMMES!$E$1:$F$44,2,FALSE)</f>
        <v>12- Accès équitable et achèvement du primaire</v>
      </c>
      <c r="AB189" s="88" t="str">
        <f>C189 &amp; "-" &amp; VLOOKUP(C189,[4]RESULTATS!$E$1:$F$176,2,FALSE)</f>
        <v>124- Toutes les écoles primaires, y compris les FA, offrent aux élèves des conditions favorables à leur maintien, en particulier, les filles</v>
      </c>
      <c r="AC189" s="89" t="str">
        <f>D189 &amp; "-" &amp; VLOOKUP(D189,[4]STRATEGIES!$E$1:$F$504,2,FALSE)</f>
        <v>1241-Adaptation du mode de fonctionnement de l’école aux ressources disponibles pour assurer la continuité éducative</v>
      </c>
      <c r="AD189" s="76" t="str">
        <f t="shared" si="26"/>
        <v>12412-Atelier intégré pour dégager les rôles et responsabilités, formation, capitalisation des acquis du voyage d'études et actualisation du reférentiel de compétences</v>
      </c>
    </row>
    <row r="190" spans="1:30" s="71" customFormat="1" ht="60" hidden="1" customHeight="1" x14ac:dyDescent="0.8">
      <c r="A190" s="91">
        <v>1</v>
      </c>
      <c r="B190" s="75">
        <v>12</v>
      </c>
      <c r="C190" s="75">
        <v>124</v>
      </c>
      <c r="D190" s="75">
        <v>1241</v>
      </c>
      <c r="E190" s="91">
        <v>12413</v>
      </c>
      <c r="F190" s="75" t="s">
        <v>299</v>
      </c>
      <c r="G190" s="76" t="s">
        <v>37</v>
      </c>
      <c r="H190" s="76" t="s">
        <v>66</v>
      </c>
      <c r="I190" s="78">
        <v>0</v>
      </c>
      <c r="J190" s="77">
        <f>25*5</f>
        <v>125</v>
      </c>
      <c r="K190" s="77"/>
      <c r="L190" s="77"/>
      <c r="M190" s="77">
        <f t="shared" ref="M190:M230" si="40">SUM(I190:L190)</f>
        <v>125</v>
      </c>
      <c r="N190" s="77">
        <f>IF(OR(H190="",H190="sif",H190="PM"),0,VLOOKUP(H190,[5]CU!$C$4:$H$255,6,FALSE))</f>
        <v>0.255</v>
      </c>
      <c r="O190" s="77">
        <f t="shared" si="39"/>
        <v>0</v>
      </c>
      <c r="P190" s="77">
        <f t="shared" si="39"/>
        <v>31.875</v>
      </c>
      <c r="Q190" s="77">
        <f t="shared" si="39"/>
        <v>0</v>
      </c>
      <c r="R190" s="77">
        <f t="shared" si="39"/>
        <v>0</v>
      </c>
      <c r="S190" s="77">
        <f>SUM(O190:R190)</f>
        <v>31.875</v>
      </c>
      <c r="T190" s="92" t="s">
        <v>169</v>
      </c>
      <c r="U190" s="88" t="s">
        <v>170</v>
      </c>
      <c r="V190" s="88" t="str">
        <f>IF(OR($H190="",$H190="sif",$H190="PM"),"",VLOOKUP($H190,[5]CU!$C$5:$J$255,8,FALSE))</f>
        <v>3. Dépenses de fonctionnement</v>
      </c>
      <c r="W190" s="88" t="s">
        <v>192</v>
      </c>
      <c r="X190" s="88" t="s">
        <v>192</v>
      </c>
      <c r="Y190" s="88" t="s">
        <v>32</v>
      </c>
      <c r="Z190" s="88" t="str">
        <f>A190 &amp; "-" &amp; VLOOKUP(A190,[4]PROGRAMMES!$E$1:$F$7,2,FALSE)</f>
        <v>1-Accès et équité à l'enseignement général</v>
      </c>
      <c r="AA190" s="88" t="str">
        <f>B190 &amp; "-" &amp; VLOOKUP(B190,[4]SOUSPROGRAMMES!$E$1:$F$44,2,FALSE)</f>
        <v>12- Accès équitable et achèvement du primaire</v>
      </c>
      <c r="AB190" s="88" t="str">
        <f>C190 &amp; "-" &amp; VLOOKUP(C190,[4]RESULTATS!$E$1:$F$176,2,FALSE)</f>
        <v>124- Toutes les écoles primaires, y compris les FA, offrent aux élèves des conditions favorables à leur maintien, en particulier, les filles</v>
      </c>
      <c r="AC190" s="89" t="str">
        <f>D190 &amp; "-" &amp; VLOOKUP(D190,[4]STRATEGIES!$E$1:$F$504,2,FALSE)</f>
        <v>1241-Adaptation du mode de fonctionnement de l’école aux ressources disponibles pour assurer la continuité éducative</v>
      </c>
      <c r="AD190" s="76" t="str">
        <f t="shared" si="26"/>
        <v>12413-Révision des normes de fonctionnement des écoles (mode de recrutement, Ratio élèves/enseignant maximum, minimum, double-vacation, CMG, etc.)</v>
      </c>
    </row>
    <row r="191" spans="1:30" s="71" customFormat="1" ht="60" hidden="1" customHeight="1" x14ac:dyDescent="0.8">
      <c r="A191" s="91">
        <v>1</v>
      </c>
      <c r="B191" s="75">
        <v>12</v>
      </c>
      <c r="C191" s="75">
        <v>124</v>
      </c>
      <c r="D191" s="75">
        <v>1241</v>
      </c>
      <c r="E191" s="91">
        <v>12414</v>
      </c>
      <c r="F191" s="75" t="s">
        <v>300</v>
      </c>
      <c r="G191" s="76" t="s">
        <v>37</v>
      </c>
      <c r="H191" s="76" t="s">
        <v>301</v>
      </c>
      <c r="I191" s="78">
        <v>0</v>
      </c>
      <c r="J191" s="77">
        <f>50*3*5</f>
        <v>750</v>
      </c>
      <c r="K191" s="77">
        <f>60*3*5</f>
        <v>900</v>
      </c>
      <c r="L191" s="77">
        <f>60*3*5</f>
        <v>900</v>
      </c>
      <c r="M191" s="77">
        <f t="shared" si="40"/>
        <v>2550</v>
      </c>
      <c r="N191" s="77">
        <f>IF(OR(H191="",H191="sif",H191="PM"),0,VLOOKUP(H191,[5]CU!$C$4:$H$255,6,FALSE))</f>
        <v>0.67666666666666664</v>
      </c>
      <c r="O191" s="77">
        <f t="shared" si="39"/>
        <v>0</v>
      </c>
      <c r="P191" s="77">
        <f t="shared" si="39"/>
        <v>507.5</v>
      </c>
      <c r="Q191" s="77">
        <f t="shared" si="39"/>
        <v>609</v>
      </c>
      <c r="R191" s="77">
        <f t="shared" si="39"/>
        <v>609</v>
      </c>
      <c r="S191" s="77">
        <f>SUM(O191:R191)</f>
        <v>1725.5</v>
      </c>
      <c r="T191" s="92" t="s">
        <v>169</v>
      </c>
      <c r="U191" s="88" t="s">
        <v>170</v>
      </c>
      <c r="V191" s="88" t="str">
        <f>IF(OR($H191="",$H191="sif",$H191="PM"),"",VLOOKUP($H191,[5]CU!$C$5:$J$255,8,FALSE))</f>
        <v>3. Formation</v>
      </c>
      <c r="W191" s="88" t="s">
        <v>192</v>
      </c>
      <c r="X191" s="88" t="s">
        <v>192</v>
      </c>
      <c r="Y191" s="88" t="s">
        <v>32</v>
      </c>
      <c r="Z191" s="88" t="str">
        <f>A191 &amp; "-" &amp; VLOOKUP(A191,[4]PROGRAMMES!$E$1:$F$7,2,FALSE)</f>
        <v>1-Accès et équité à l'enseignement général</v>
      </c>
      <c r="AA191" s="88" t="str">
        <f>B191 &amp; "-" &amp; VLOOKUP(B191,[4]SOUSPROGRAMMES!$E$1:$F$44,2,FALSE)</f>
        <v>12- Accès équitable et achèvement du primaire</v>
      </c>
      <c r="AB191" s="88" t="str">
        <f>C191 &amp; "-" &amp; VLOOKUP(C191,[4]RESULTATS!$E$1:$F$176,2,FALSE)</f>
        <v>124- Toutes les écoles primaires, y compris les FA, offrent aux élèves des conditions favorables à leur maintien, en particulier, les filles</v>
      </c>
      <c r="AC191" s="89" t="str">
        <f>D191 &amp; "-" &amp; VLOOKUP(D191,[4]STRATEGIES!$E$1:$F$504,2,FALSE)</f>
        <v>1241-Adaptation du mode de fonctionnement de l’école aux ressources disponibles pour assurer la continuité éducative</v>
      </c>
      <c r="AD191" s="76" t="str">
        <f t="shared" si="26"/>
        <v>12414-Formation des encadreurs au niveau IRE, DPE/DCE, DSEE sur la stratégie d'optimisation de l'utilisation des ressources (salles, enseignants) : Double-flux, CMG</v>
      </c>
    </row>
    <row r="192" spans="1:30" s="90" customFormat="1" ht="60" hidden="1" customHeight="1" x14ac:dyDescent="0.8">
      <c r="A192" s="84">
        <v>1</v>
      </c>
      <c r="B192" s="85">
        <v>12</v>
      </c>
      <c r="C192" s="85">
        <v>124</v>
      </c>
      <c r="D192" s="85">
        <v>1241</v>
      </c>
      <c r="E192" s="84">
        <v>12415</v>
      </c>
      <c r="F192" s="75" t="s">
        <v>302</v>
      </c>
      <c r="G192" s="76" t="s">
        <v>54</v>
      </c>
      <c r="H192" s="86" t="s">
        <v>55</v>
      </c>
      <c r="I192" s="78">
        <v>0</v>
      </c>
      <c r="J192" s="78">
        <v>1</v>
      </c>
      <c r="K192" s="78">
        <v>1</v>
      </c>
      <c r="L192" s="78">
        <v>1</v>
      </c>
      <c r="M192" s="78">
        <f t="shared" si="40"/>
        <v>3</v>
      </c>
      <c r="N192" s="78">
        <f>IF(OR(H192="",H192="sif",H192="PM"),0,VLOOKUP(H192,[5]CU!$C$4:$H$255,6,FALSE))</f>
        <v>0</v>
      </c>
      <c r="O192" s="78"/>
      <c r="P192" s="78"/>
      <c r="Q192" s="78"/>
      <c r="R192" s="78"/>
      <c r="S192" s="78"/>
      <c r="T192" s="80" t="s">
        <v>56</v>
      </c>
      <c r="U192" s="87" t="s">
        <v>170</v>
      </c>
      <c r="V192" s="88" t="str">
        <f>IF(OR($H192="",$H192="sif",$H192="PM"),"",VLOOKUP($H192,[5]CU!$C$5:$J$255,8,FALSE))</f>
        <v/>
      </c>
      <c r="W192" s="87" t="s">
        <v>192</v>
      </c>
      <c r="X192" s="87" t="s">
        <v>246</v>
      </c>
      <c r="Y192" s="88" t="s">
        <v>32</v>
      </c>
      <c r="Z192" s="88" t="str">
        <f>A192 &amp; "-" &amp; VLOOKUP(A192,[4]PROGRAMMES!$E$1:$F$7,2,FALSE)</f>
        <v>1-Accès et équité à l'enseignement général</v>
      </c>
      <c r="AA192" s="88" t="str">
        <f>B192 &amp; "-" &amp; VLOOKUP(B192,[4]SOUSPROGRAMMES!$E$1:$F$44,2,FALSE)</f>
        <v>12- Accès équitable et achèvement du primaire</v>
      </c>
      <c r="AB192" s="88" t="str">
        <f>C192 &amp; "-" &amp; VLOOKUP(C192,[4]RESULTATS!$E$1:$F$176,2,FALSE)</f>
        <v>124- Toutes les écoles primaires, y compris les FA, offrent aux élèves des conditions favorables à leur maintien, en particulier, les filles</v>
      </c>
      <c r="AC192" s="89" t="str">
        <f>D192 &amp; "-" &amp; VLOOKUP(D192,[4]STRATEGIES!$E$1:$F$504,2,FALSE)</f>
        <v>1241-Adaptation du mode de fonctionnement de l’école aux ressources disponibles pour assurer la continuité éducative</v>
      </c>
      <c r="AD192" s="76" t="str">
        <f t="shared" si="26"/>
        <v>12415-Mise en place des classes multigrades, double vacation dans les écoles primaires en fonction de leur situation</v>
      </c>
    </row>
    <row r="193" spans="1:30" s="90" customFormat="1" ht="60" hidden="1" customHeight="1" x14ac:dyDescent="0.8">
      <c r="A193" s="84">
        <v>1</v>
      </c>
      <c r="B193" s="85">
        <v>12</v>
      </c>
      <c r="C193" s="85">
        <v>124</v>
      </c>
      <c r="D193" s="85">
        <v>1241</v>
      </c>
      <c r="E193" s="84">
        <v>12416</v>
      </c>
      <c r="F193" s="75" t="s">
        <v>303</v>
      </c>
      <c r="G193" s="76" t="s">
        <v>37</v>
      </c>
      <c r="H193" s="86" t="s">
        <v>52</v>
      </c>
      <c r="I193" s="78">
        <v>0</v>
      </c>
      <c r="J193" s="78"/>
      <c r="K193" s="78"/>
      <c r="L193" s="78"/>
      <c r="M193" s="78">
        <f>SUM(I193:L193)</f>
        <v>0</v>
      </c>
      <c r="N193" s="78">
        <f>IF(OR(H193="",H193="sif",H193="PM"),0,VLOOKUP(H193,[5]CU!$C$4:$H$255,6,FALSE))</f>
        <v>1.5</v>
      </c>
      <c r="O193" s="78">
        <f>$N193*I193</f>
        <v>0</v>
      </c>
      <c r="P193" s="78">
        <f>$N193*J193</f>
        <v>0</v>
      </c>
      <c r="Q193" s="78">
        <f>$N193*K193</f>
        <v>0</v>
      </c>
      <c r="R193" s="78">
        <f>$N193*L193</f>
        <v>0</v>
      </c>
      <c r="S193" s="78">
        <f>SUM(O193:R193)</f>
        <v>0</v>
      </c>
      <c r="T193" s="80" t="s">
        <v>178</v>
      </c>
      <c r="U193" s="88" t="s">
        <v>170</v>
      </c>
      <c r="V193" s="88" t="str">
        <f>IF(OR($H193="",$H193="sif",$H193="PM"),"",VLOOKUP($H193,[5]CU!$C$5:$J$255,8,FALSE))</f>
        <v>3. Formation</v>
      </c>
      <c r="W193" s="88" t="s">
        <v>192</v>
      </c>
      <c r="X193" s="88" t="s">
        <v>304</v>
      </c>
      <c r="Y193" s="88" t="s">
        <v>32</v>
      </c>
      <c r="Z193" s="88" t="str">
        <f>A193 &amp; "-" &amp; VLOOKUP(A193,[4]PROGRAMMES!$E$1:$F$7,2,FALSE)</f>
        <v>1-Accès et équité à l'enseignement général</v>
      </c>
      <c r="AA193" s="88" t="str">
        <f>B193 &amp; "-" &amp; VLOOKUP(B193,[4]SOUSPROGRAMMES!$E$1:$F$44,2,FALSE)</f>
        <v>12- Accès équitable et achèvement du primaire</v>
      </c>
      <c r="AB193" s="88" t="str">
        <f>C193 &amp; "-" &amp; VLOOKUP(C193,[4]RESULTATS!$E$1:$F$176,2,FALSE)</f>
        <v>124- Toutes les écoles primaires, y compris les FA, offrent aux élèves des conditions favorables à leur maintien, en particulier, les filles</v>
      </c>
      <c r="AC193" s="89" t="str">
        <f>D193 &amp; "-" &amp; VLOOKUP(D193,[4]STRATEGIES!$E$1:$F$504,2,FALSE)</f>
        <v>1241-Adaptation du mode de fonctionnement de l’école aux ressources disponibles pour assurer la continuité éducative</v>
      </c>
      <c r="AD193" s="76" t="str">
        <f t="shared" si="26"/>
        <v>12416-Formation des enseignants sur la gestion des classes multigrades, uniques ou à effectif pléthoriques</v>
      </c>
    </row>
    <row r="194" spans="1:30" s="71" customFormat="1" ht="60" hidden="1" customHeight="1" x14ac:dyDescent="0.8">
      <c r="A194" s="91">
        <v>1</v>
      </c>
      <c r="B194" s="75">
        <v>12</v>
      </c>
      <c r="C194" s="75">
        <v>124</v>
      </c>
      <c r="D194" s="75">
        <v>1241</v>
      </c>
      <c r="E194" s="91">
        <v>12416</v>
      </c>
      <c r="F194" s="75" t="s">
        <v>303</v>
      </c>
      <c r="G194" s="76" t="s">
        <v>37</v>
      </c>
      <c r="H194" s="76" t="s">
        <v>52</v>
      </c>
      <c r="I194" s="78">
        <v>0</v>
      </c>
      <c r="J194" s="77"/>
      <c r="K194" s="77">
        <v>6000</v>
      </c>
      <c r="L194" s="77">
        <v>6000</v>
      </c>
      <c r="M194" s="77">
        <f t="shared" si="40"/>
        <v>12000</v>
      </c>
      <c r="N194" s="77">
        <f>IF(OR(H194="",H194="sif",H194="PM"),0,VLOOKUP(H194,[5]CU!$C$4:$H$255,6,FALSE))</f>
        <v>1.5</v>
      </c>
      <c r="O194" s="77">
        <f t="shared" ref="O194:R207" si="41">$N194*I194</f>
        <v>0</v>
      </c>
      <c r="P194" s="77">
        <f t="shared" si="41"/>
        <v>0</v>
      </c>
      <c r="Q194" s="77">
        <f>$N194*K194</f>
        <v>9000</v>
      </c>
      <c r="R194" s="77">
        <f t="shared" si="41"/>
        <v>9000</v>
      </c>
      <c r="S194" s="77">
        <f t="shared" ref="S194:S207" si="42">SUM(O194:R194)</f>
        <v>18000</v>
      </c>
      <c r="T194" s="92" t="s">
        <v>169</v>
      </c>
      <c r="U194" s="88" t="s">
        <v>170</v>
      </c>
      <c r="V194" s="88" t="str">
        <f>IF(OR($H194="",$H194="sif",$H194="PM"),"",VLOOKUP($H194,[5]CU!$C$5:$J$255,8,FALSE))</f>
        <v>3. Formation</v>
      </c>
      <c r="W194" s="88" t="s">
        <v>192</v>
      </c>
      <c r="X194" s="88" t="s">
        <v>304</v>
      </c>
      <c r="Y194" s="88" t="s">
        <v>32</v>
      </c>
      <c r="Z194" s="88" t="str">
        <f>A194 &amp; "-" &amp; VLOOKUP(A194,[4]PROGRAMMES!$E$1:$F$7,2,FALSE)</f>
        <v>1-Accès et équité à l'enseignement général</v>
      </c>
      <c r="AA194" s="88" t="str">
        <f>B194 &amp; "-" &amp; VLOOKUP(B194,[4]SOUSPROGRAMMES!$E$1:$F$44,2,FALSE)</f>
        <v>12- Accès équitable et achèvement du primaire</v>
      </c>
      <c r="AB194" s="88" t="str">
        <f>C194 &amp; "-" &amp; VLOOKUP(C194,[4]RESULTATS!$E$1:$F$176,2,FALSE)</f>
        <v>124- Toutes les écoles primaires, y compris les FA, offrent aux élèves des conditions favorables à leur maintien, en particulier, les filles</v>
      </c>
      <c r="AC194" s="89" t="str">
        <f>D194 &amp; "-" &amp; VLOOKUP(D194,[4]STRATEGIES!$E$1:$F$504,2,FALSE)</f>
        <v>1241-Adaptation du mode de fonctionnement de l’école aux ressources disponibles pour assurer la continuité éducative</v>
      </c>
      <c r="AD194" s="76" t="str">
        <f t="shared" si="26"/>
        <v>12416-Formation des enseignants sur la gestion des classes multigrades, uniques ou à effectif pléthoriques</v>
      </c>
    </row>
    <row r="195" spans="1:30" s="90" customFormat="1" ht="60" hidden="1" customHeight="1" x14ac:dyDescent="0.8">
      <c r="A195" s="84">
        <v>1</v>
      </c>
      <c r="B195" s="85">
        <v>12</v>
      </c>
      <c r="C195" s="85">
        <v>124</v>
      </c>
      <c r="D195" s="85">
        <v>1241</v>
      </c>
      <c r="E195" s="84">
        <v>12417</v>
      </c>
      <c r="F195" s="75" t="s">
        <v>305</v>
      </c>
      <c r="G195" s="76" t="s">
        <v>58</v>
      </c>
      <c r="H195" s="86" t="s">
        <v>59</v>
      </c>
      <c r="I195" s="78">
        <v>0</v>
      </c>
      <c r="J195" s="78"/>
      <c r="K195" s="78"/>
      <c r="L195" s="78"/>
      <c r="M195" s="78">
        <f>SUM(I195:L195)</f>
        <v>0</v>
      </c>
      <c r="N195" s="78">
        <f>IF(OR(H195="",H195="sif",H195="PM"),0,VLOOKUP(H195,[5]CU!$C$4:$H$255,6,FALSE))</f>
        <v>0.8177777777777776</v>
      </c>
      <c r="O195" s="78">
        <f>$N195*I195</f>
        <v>0</v>
      </c>
      <c r="P195" s="78">
        <f>$N195*J195</f>
        <v>0</v>
      </c>
      <c r="Q195" s="78">
        <f>$N195*K195</f>
        <v>0</v>
      </c>
      <c r="R195" s="78">
        <f>$N195*L195</f>
        <v>0</v>
      </c>
      <c r="S195" s="78">
        <f>SUM(O195:R195)</f>
        <v>0</v>
      </c>
      <c r="T195" s="80" t="s">
        <v>178</v>
      </c>
      <c r="U195" s="87" t="s">
        <v>170</v>
      </c>
      <c r="V195" s="88" t="str">
        <f>IF(OR($H195="",$H195="sif",$H195="PM"),"",VLOOKUP($H195,[5]CU!$C$5:$J$255,8,FALSE))</f>
        <v>3. Dépenses de fonctionnement</v>
      </c>
      <c r="W195" s="87" t="s">
        <v>192</v>
      </c>
      <c r="X195" s="87" t="s">
        <v>192</v>
      </c>
      <c r="Y195" s="88" t="s">
        <v>32</v>
      </c>
      <c r="Z195" s="88" t="str">
        <f>A195 &amp; "-" &amp; VLOOKUP(A195,[4]PROGRAMMES!$E$1:$F$7,2,FALSE)</f>
        <v>1-Accès et équité à l'enseignement général</v>
      </c>
      <c r="AA195" s="88" t="str">
        <f>B195 &amp; "-" &amp; VLOOKUP(B195,[4]SOUSPROGRAMMES!$E$1:$F$44,2,FALSE)</f>
        <v>12- Accès équitable et achèvement du primaire</v>
      </c>
      <c r="AB195" s="88" t="str">
        <f>C195 &amp; "-" &amp; VLOOKUP(C195,[4]RESULTATS!$E$1:$F$176,2,FALSE)</f>
        <v>124- Toutes les écoles primaires, y compris les FA, offrent aux élèves des conditions favorables à leur maintien, en particulier, les filles</v>
      </c>
      <c r="AC195" s="89" t="str">
        <f>D195 &amp; "-" &amp; VLOOKUP(D195,[4]STRATEGIES!$E$1:$F$504,2,FALSE)</f>
        <v>1241-Adaptation du mode de fonctionnement de l’école aux ressources disponibles pour assurer la continuité éducative</v>
      </c>
      <c r="AD195" s="76" t="str">
        <f t="shared" si="26"/>
        <v>12417-Supervision du fonctionnement des CMG, des CDV, classe unique</v>
      </c>
    </row>
    <row r="196" spans="1:30" s="71" customFormat="1" ht="60" hidden="1" customHeight="1" x14ac:dyDescent="0.8">
      <c r="A196" s="91">
        <v>1</v>
      </c>
      <c r="B196" s="75">
        <v>12</v>
      </c>
      <c r="C196" s="75">
        <v>124</v>
      </c>
      <c r="D196" s="75">
        <v>1241</v>
      </c>
      <c r="E196" s="91">
        <v>12417</v>
      </c>
      <c r="F196" s="75" t="s">
        <v>305</v>
      </c>
      <c r="G196" s="76" t="s">
        <v>58</v>
      </c>
      <c r="H196" s="76" t="s">
        <v>59</v>
      </c>
      <c r="I196" s="78">
        <v>0</v>
      </c>
      <c r="J196" s="77"/>
      <c r="K196" s="77">
        <f>4*50*4</f>
        <v>800</v>
      </c>
      <c r="L196" s="77">
        <f>4*10*4</f>
        <v>160</v>
      </c>
      <c r="M196" s="77">
        <f t="shared" si="40"/>
        <v>960</v>
      </c>
      <c r="N196" s="77">
        <f>IF(OR(H196="",H196="sif",H196="PM"),0,VLOOKUP(H196,[5]CU!$C$4:$H$255,6,FALSE))</f>
        <v>0.8177777777777776</v>
      </c>
      <c r="O196" s="77">
        <f t="shared" si="41"/>
        <v>0</v>
      </c>
      <c r="P196" s="77">
        <f t="shared" si="41"/>
        <v>0</v>
      </c>
      <c r="Q196" s="77">
        <f>$N196*K196</f>
        <v>654.22222222222206</v>
      </c>
      <c r="R196" s="77">
        <f t="shared" si="41"/>
        <v>130.84444444444441</v>
      </c>
      <c r="S196" s="77">
        <f t="shared" si="42"/>
        <v>785.06666666666649</v>
      </c>
      <c r="T196" s="92" t="s">
        <v>169</v>
      </c>
      <c r="U196" s="88" t="s">
        <v>170</v>
      </c>
      <c r="V196" s="88" t="str">
        <f>IF(OR($H196="",$H196="sif",$H196="PM"),"",VLOOKUP($H196,[5]CU!$C$5:$J$255,8,FALSE))</f>
        <v>3. Dépenses de fonctionnement</v>
      </c>
      <c r="W196" s="88" t="s">
        <v>192</v>
      </c>
      <c r="X196" s="88" t="s">
        <v>192</v>
      </c>
      <c r="Y196" s="88" t="s">
        <v>32</v>
      </c>
      <c r="Z196" s="88" t="str">
        <f>A196 &amp; "-" &amp; VLOOKUP(A196,[4]PROGRAMMES!$E$1:$F$7,2,FALSE)</f>
        <v>1-Accès et équité à l'enseignement général</v>
      </c>
      <c r="AA196" s="88" t="str">
        <f>B196 &amp; "-" &amp; VLOOKUP(B196,[4]SOUSPROGRAMMES!$E$1:$F$44,2,FALSE)</f>
        <v>12- Accès équitable et achèvement du primaire</v>
      </c>
      <c r="AB196" s="88" t="str">
        <f>C196 &amp; "-" &amp; VLOOKUP(C196,[4]RESULTATS!$E$1:$F$176,2,FALSE)</f>
        <v>124- Toutes les écoles primaires, y compris les FA, offrent aux élèves des conditions favorables à leur maintien, en particulier, les filles</v>
      </c>
      <c r="AC196" s="89" t="str">
        <f>D196 &amp; "-" &amp; VLOOKUP(D196,[4]STRATEGIES!$E$1:$F$504,2,FALSE)</f>
        <v>1241-Adaptation du mode de fonctionnement de l’école aux ressources disponibles pour assurer la continuité éducative</v>
      </c>
      <c r="AD196" s="76" t="str">
        <f t="shared" ref="AD196:AD259" si="43">E196 &amp; "-" &amp; F196</f>
        <v>12417-Supervision du fonctionnement des CMG, des CDV, classe unique</v>
      </c>
    </row>
    <row r="197" spans="1:30" s="90" customFormat="1" ht="60" customHeight="1" x14ac:dyDescent="0.8">
      <c r="A197" s="84">
        <v>1</v>
      </c>
      <c r="B197" s="85">
        <v>12</v>
      </c>
      <c r="C197" s="85">
        <v>124</v>
      </c>
      <c r="D197" s="85">
        <v>1242</v>
      </c>
      <c r="E197" s="84">
        <v>1242</v>
      </c>
      <c r="F197" s="75" t="s">
        <v>306</v>
      </c>
      <c r="G197" s="86"/>
      <c r="H197" s="86"/>
      <c r="I197" s="78">
        <v>0</v>
      </c>
      <c r="J197" s="78"/>
      <c r="K197" s="78"/>
      <c r="L197" s="78"/>
      <c r="M197" s="78"/>
      <c r="N197" s="78"/>
      <c r="O197" s="78"/>
      <c r="P197" s="78"/>
      <c r="Q197" s="78"/>
      <c r="R197" s="78"/>
      <c r="S197" s="78"/>
      <c r="T197" s="87"/>
      <c r="U197" s="87"/>
      <c r="V197" s="88"/>
      <c r="W197" s="87"/>
      <c r="X197" s="87"/>
      <c r="Y197" s="88" t="s">
        <v>32</v>
      </c>
      <c r="Z197" s="88" t="str">
        <f>A197 &amp; "-" &amp; VLOOKUP(A197,[4]PROGRAMMES!$E$1:$F$7,2,FALSE)</f>
        <v>1-Accès et équité à l'enseignement général</v>
      </c>
      <c r="AA197" s="88" t="str">
        <f>B197 &amp; "-" &amp; VLOOKUP(B197,[4]SOUSPROGRAMMES!$E$1:$F$44,2,FALSE)</f>
        <v>12- Accès équitable et achèvement du primaire</v>
      </c>
      <c r="AB197" s="88" t="str">
        <f>C197 &amp; "-" &amp; VLOOKUP(C197,[4]RESULTATS!$E$1:$F$176,2,FALSE)</f>
        <v>124- Toutes les écoles primaires, y compris les FA, offrent aux élèves des conditions favorables à leur maintien, en particulier, les filles</v>
      </c>
      <c r="AC197" s="89" t="str">
        <f>D197 &amp; "-" &amp; VLOOKUP(D197,[4]STRATEGIES!$E$1:$F$504,2,FALSE)</f>
        <v>1242-Lutte contre les violences sur le chemin de l’école, dans les écoles, et dans les familles, particulièrement envers les filles</v>
      </c>
      <c r="AD197" s="76" t="str">
        <f t="shared" si="43"/>
        <v>1242-Lutte contre les violences sur le chemin de l’école, dans les écoles, et dans les familles, particulièrement envers les filles</v>
      </c>
    </row>
    <row r="198" spans="1:30" s="71" customFormat="1" ht="60" hidden="1" customHeight="1" x14ac:dyDescent="0.8">
      <c r="A198" s="91">
        <v>1</v>
      </c>
      <c r="B198" s="75">
        <v>12</v>
      </c>
      <c r="C198" s="75">
        <v>124</v>
      </c>
      <c r="D198" s="75">
        <v>1242</v>
      </c>
      <c r="E198" s="91">
        <v>12421</v>
      </c>
      <c r="F198" s="75" t="s">
        <v>307</v>
      </c>
      <c r="G198" s="76" t="s">
        <v>195</v>
      </c>
      <c r="H198" s="76" t="s">
        <v>308</v>
      </c>
      <c r="I198" s="78">
        <v>0</v>
      </c>
      <c r="J198" s="77"/>
      <c r="K198" s="77">
        <v>1</v>
      </c>
      <c r="L198" s="77"/>
      <c r="M198" s="77">
        <f t="shared" si="40"/>
        <v>1</v>
      </c>
      <c r="N198" s="77">
        <f>IF(OR(H198="",H198="sif",H198="PM"),0,VLOOKUP(H198,[5]CU!$C$4:$H$255,6,FALSE))</f>
        <v>855</v>
      </c>
      <c r="O198" s="77">
        <f t="shared" si="41"/>
        <v>0</v>
      </c>
      <c r="P198" s="77">
        <f t="shared" si="41"/>
        <v>0</v>
      </c>
      <c r="Q198" s="77">
        <f t="shared" si="41"/>
        <v>855</v>
      </c>
      <c r="R198" s="77">
        <f t="shared" si="41"/>
        <v>0</v>
      </c>
      <c r="S198" s="77">
        <f t="shared" si="42"/>
        <v>855</v>
      </c>
      <c r="T198" s="92" t="s">
        <v>169</v>
      </c>
      <c r="U198" s="88" t="s">
        <v>170</v>
      </c>
      <c r="V198" s="88" t="str">
        <f>IF(OR($H198="",$H198="sif",$H198="PM"),"",VLOOKUP($H198,[5]CU!$C$5:$J$255,8,FALSE))</f>
        <v>3. Dépenses de fonctionnement</v>
      </c>
      <c r="W198" s="88" t="s">
        <v>309</v>
      </c>
      <c r="X198" s="88" t="s">
        <v>309</v>
      </c>
      <c r="Y198" s="88" t="s">
        <v>32</v>
      </c>
      <c r="Z198" s="88" t="str">
        <f>A198 &amp; "-" &amp; VLOOKUP(A198,[4]PROGRAMMES!$E$1:$F$7,2,FALSE)</f>
        <v>1-Accès et équité à l'enseignement général</v>
      </c>
      <c r="AA198" s="88" t="str">
        <f>B198 &amp; "-" &amp; VLOOKUP(B198,[4]SOUSPROGRAMMES!$E$1:$F$44,2,FALSE)</f>
        <v>12- Accès équitable et achèvement du primaire</v>
      </c>
      <c r="AB198" s="88" t="str">
        <f>C198 &amp; "-" &amp; VLOOKUP(C198,[4]RESULTATS!$E$1:$F$176,2,FALSE)</f>
        <v>124- Toutes les écoles primaires, y compris les FA, offrent aux élèves des conditions favorables à leur maintien, en particulier, les filles</v>
      </c>
      <c r="AC198" s="89" t="str">
        <f>D198 &amp; "-" &amp; VLOOKUP(D198,[4]STRATEGIES!$E$1:$F$504,2,FALSE)</f>
        <v>1242-Lutte contre les violences sur le chemin de l’école, dans les écoles, et dans les familles, particulièrement envers les filles</v>
      </c>
      <c r="AD198" s="76" t="str">
        <f t="shared" si="43"/>
        <v>12421-Etude sur les violences en milieu scolaire</v>
      </c>
    </row>
    <row r="199" spans="1:30" s="71" customFormat="1" ht="60" hidden="1" customHeight="1" x14ac:dyDescent="0.8">
      <c r="A199" s="91">
        <v>1</v>
      </c>
      <c r="B199" s="75">
        <v>12</v>
      </c>
      <c r="C199" s="75">
        <v>124</v>
      </c>
      <c r="D199" s="75">
        <v>1242</v>
      </c>
      <c r="E199" s="91">
        <v>12422</v>
      </c>
      <c r="F199" s="75" t="s">
        <v>310</v>
      </c>
      <c r="G199" s="76" t="s">
        <v>37</v>
      </c>
      <c r="H199" s="76" t="s">
        <v>66</v>
      </c>
      <c r="I199" s="78">
        <v>0</v>
      </c>
      <c r="J199" s="77">
        <f>20*5</f>
        <v>100</v>
      </c>
      <c r="K199" s="77"/>
      <c r="L199" s="77"/>
      <c r="M199" s="77">
        <f t="shared" si="40"/>
        <v>100</v>
      </c>
      <c r="N199" s="77">
        <f>IF(OR(H199="",H199="sif",H199="PM"),0,VLOOKUP(H199,[5]CU!$C$4:$H$255,6,FALSE))</f>
        <v>0.255</v>
      </c>
      <c r="O199" s="77">
        <f t="shared" si="41"/>
        <v>0</v>
      </c>
      <c r="P199" s="77">
        <f t="shared" si="41"/>
        <v>25.5</v>
      </c>
      <c r="Q199" s="77">
        <f t="shared" si="41"/>
        <v>0</v>
      </c>
      <c r="R199" s="77">
        <f t="shared" si="41"/>
        <v>0</v>
      </c>
      <c r="S199" s="77">
        <f t="shared" si="42"/>
        <v>25.5</v>
      </c>
      <c r="T199" s="92" t="s">
        <v>169</v>
      </c>
      <c r="U199" s="88" t="s">
        <v>170</v>
      </c>
      <c r="V199" s="88" t="str">
        <f>IF(OR($H199="",$H199="sif",$H199="PM"),"",VLOOKUP($H199,[5]CU!$C$5:$J$255,8,FALSE))</f>
        <v>3. Dépenses de fonctionnement</v>
      </c>
      <c r="W199" s="88" t="s">
        <v>309</v>
      </c>
      <c r="X199" s="88" t="s">
        <v>311</v>
      </c>
      <c r="Y199" s="88" t="s">
        <v>32</v>
      </c>
      <c r="Z199" s="88" t="str">
        <f>A199 &amp; "-" &amp; VLOOKUP(A199,[4]PROGRAMMES!$E$1:$F$7,2,FALSE)</f>
        <v>1-Accès et équité à l'enseignement général</v>
      </c>
      <c r="AA199" s="88" t="str">
        <f>B199 &amp; "-" &amp; VLOOKUP(B199,[4]SOUSPROGRAMMES!$E$1:$F$44,2,FALSE)</f>
        <v>12- Accès équitable et achèvement du primaire</v>
      </c>
      <c r="AB199" s="88" t="str">
        <f>C199 &amp; "-" &amp; VLOOKUP(C199,[4]RESULTATS!$E$1:$F$176,2,FALSE)</f>
        <v>124- Toutes les écoles primaires, y compris les FA, offrent aux élèves des conditions favorables à leur maintien, en particulier, les filles</v>
      </c>
      <c r="AC199" s="89" t="str">
        <f>D199 &amp; "-" &amp; VLOOKUP(D199,[4]STRATEGIES!$E$1:$F$504,2,FALSE)</f>
        <v>1242-Lutte contre les violences sur le chemin de l’école, dans les écoles, et dans les familles, particulièrement envers les filles</v>
      </c>
      <c r="AD199" s="76" t="str">
        <f t="shared" si="43"/>
        <v>12422-Actualisation des textes règlementaires sur les violences en milieu scolaire</v>
      </c>
    </row>
    <row r="200" spans="1:30" s="71" customFormat="1" ht="60" hidden="1" customHeight="1" x14ac:dyDescent="0.8">
      <c r="A200" s="91">
        <v>1</v>
      </c>
      <c r="B200" s="75">
        <v>12</v>
      </c>
      <c r="C200" s="75">
        <v>124</v>
      </c>
      <c r="D200" s="75">
        <v>1242</v>
      </c>
      <c r="E200" s="91">
        <v>12423</v>
      </c>
      <c r="F200" s="75" t="s">
        <v>312</v>
      </c>
      <c r="G200" s="76" t="s">
        <v>44</v>
      </c>
      <c r="H200" s="76" t="s">
        <v>313</v>
      </c>
      <c r="I200" s="78">
        <v>0</v>
      </c>
      <c r="J200" s="77"/>
      <c r="K200" s="77">
        <f>10*100000</f>
        <v>1000000</v>
      </c>
      <c r="L200" s="77"/>
      <c r="M200" s="77">
        <f t="shared" si="40"/>
        <v>1000000</v>
      </c>
      <c r="N200" s="77">
        <f>IF(OR(H200="",H200="sif",H200="PM"),0,VLOOKUP(H200,[5]CU!$C$4:$H$255,6,FALSE))</f>
        <v>7.4999999999999997E-3</v>
      </c>
      <c r="O200" s="77">
        <f t="shared" si="41"/>
        <v>0</v>
      </c>
      <c r="P200" s="77">
        <f t="shared" si="41"/>
        <v>0</v>
      </c>
      <c r="Q200" s="77">
        <f t="shared" si="41"/>
        <v>7500</v>
      </c>
      <c r="R200" s="77">
        <f t="shared" si="41"/>
        <v>0</v>
      </c>
      <c r="S200" s="77">
        <f t="shared" si="42"/>
        <v>7500</v>
      </c>
      <c r="T200" s="92" t="s">
        <v>169</v>
      </c>
      <c r="U200" s="88" t="s">
        <v>170</v>
      </c>
      <c r="V200" s="88" t="str">
        <f>IF(OR($H200="",$H200="sif",$H200="PM"),"",VLOOKUP($H200,[5]CU!$C$5:$J$255,8,FALSE))</f>
        <v>3. Dépenses de fonctionnement</v>
      </c>
      <c r="W200" s="88" t="s">
        <v>309</v>
      </c>
      <c r="X200" s="88" t="s">
        <v>309</v>
      </c>
      <c r="Y200" s="88" t="s">
        <v>32</v>
      </c>
      <c r="Z200" s="88" t="str">
        <f>A200 &amp; "-" &amp; VLOOKUP(A200,[4]PROGRAMMES!$E$1:$F$7,2,FALSE)</f>
        <v>1-Accès et équité à l'enseignement général</v>
      </c>
      <c r="AA200" s="88" t="str">
        <f>B200 &amp; "-" &amp; VLOOKUP(B200,[4]SOUSPROGRAMMES!$E$1:$F$44,2,FALSE)</f>
        <v>12- Accès équitable et achèvement du primaire</v>
      </c>
      <c r="AB200" s="88" t="str">
        <f>C200 &amp; "-" &amp; VLOOKUP(C200,[4]RESULTATS!$E$1:$F$176,2,FALSE)</f>
        <v>124- Toutes les écoles primaires, y compris les FA, offrent aux élèves des conditions favorables à leur maintien, en particulier, les filles</v>
      </c>
      <c r="AC200" s="89" t="str">
        <f>D200 &amp; "-" &amp; VLOOKUP(D200,[4]STRATEGIES!$E$1:$F$504,2,FALSE)</f>
        <v>1242-Lutte contre les violences sur le chemin de l’école, dans les écoles, et dans les familles, particulièrement envers les filles</v>
      </c>
      <c r="AD200" s="76" t="str">
        <f t="shared" si="43"/>
        <v>12423-Impression des textes règlementaires sur les violences en milieu scolaire</v>
      </c>
    </row>
    <row r="201" spans="1:30" s="71" customFormat="1" ht="60" hidden="1" customHeight="1" x14ac:dyDescent="0.8">
      <c r="A201" s="91">
        <v>1</v>
      </c>
      <c r="B201" s="75">
        <v>12</v>
      </c>
      <c r="C201" s="75">
        <v>124</v>
      </c>
      <c r="D201" s="75">
        <v>1242</v>
      </c>
      <c r="E201" s="91">
        <v>12424</v>
      </c>
      <c r="F201" s="75" t="s">
        <v>314</v>
      </c>
      <c r="G201" s="76" t="s">
        <v>315</v>
      </c>
      <c r="H201" s="76" t="s">
        <v>38</v>
      </c>
      <c r="I201" s="78">
        <v>0</v>
      </c>
      <c r="J201" s="77"/>
      <c r="K201" s="77">
        <f>50*3*8*2</f>
        <v>2400</v>
      </c>
      <c r="L201" s="77"/>
      <c r="M201" s="77">
        <f t="shared" si="40"/>
        <v>2400</v>
      </c>
      <c r="N201" s="77">
        <f>IF(OR(H201="",H201="sif",H201="PM"),0,VLOOKUP(H201,[5]CU!$C$4:$H$255,6,FALSE))</f>
        <v>0.3133333333333333</v>
      </c>
      <c r="O201" s="77">
        <f t="shared" si="41"/>
        <v>0</v>
      </c>
      <c r="P201" s="77">
        <f t="shared" si="41"/>
        <v>0</v>
      </c>
      <c r="Q201" s="77">
        <f t="shared" si="41"/>
        <v>751.99999999999989</v>
      </c>
      <c r="R201" s="77">
        <f t="shared" si="41"/>
        <v>0</v>
      </c>
      <c r="S201" s="77">
        <f t="shared" si="42"/>
        <v>751.99999999999989</v>
      </c>
      <c r="T201" s="92" t="s">
        <v>169</v>
      </c>
      <c r="U201" s="88" t="s">
        <v>170</v>
      </c>
      <c r="V201" s="88" t="str">
        <f>IF(OR($H201="",$H201="sif",$H201="PM"),"",VLOOKUP($H201,[5]CU!$C$5:$J$255,8,FALSE))</f>
        <v>3. Formation</v>
      </c>
      <c r="W201" s="88" t="s">
        <v>309</v>
      </c>
      <c r="X201" s="88" t="s">
        <v>316</v>
      </c>
      <c r="Y201" s="88" t="s">
        <v>32</v>
      </c>
      <c r="Z201" s="88" t="str">
        <f>A201 &amp; "-" &amp; VLOOKUP(A201,[4]PROGRAMMES!$E$1:$F$7,2,FALSE)</f>
        <v>1-Accès et équité à l'enseignement général</v>
      </c>
      <c r="AA201" s="88" t="str">
        <f>B201 &amp; "-" &amp; VLOOKUP(B201,[4]SOUSPROGRAMMES!$E$1:$F$44,2,FALSE)</f>
        <v>12- Accès équitable et achèvement du primaire</v>
      </c>
      <c r="AB201" s="88" t="str">
        <f>C201 &amp; "-" &amp; VLOOKUP(C201,[4]RESULTATS!$E$1:$F$176,2,FALSE)</f>
        <v>124- Toutes les écoles primaires, y compris les FA, offrent aux élèves des conditions favorables à leur maintien, en particulier, les filles</v>
      </c>
      <c r="AC201" s="89" t="str">
        <f>D201 &amp; "-" &amp; VLOOKUP(D201,[4]STRATEGIES!$E$1:$F$504,2,FALSE)</f>
        <v>1242-Lutte contre les violences sur le chemin de l’école, dans les écoles, et dans les familles, particulièrement envers les filles</v>
      </c>
      <c r="AD201" s="76" t="str">
        <f t="shared" si="43"/>
        <v>12424-Vulgarisation des textes règlementaires sur les violences en milieu scolaire</v>
      </c>
    </row>
    <row r="202" spans="1:30" s="71" customFormat="1" ht="60" hidden="1" customHeight="1" x14ac:dyDescent="0.8">
      <c r="A202" s="91">
        <v>1</v>
      </c>
      <c r="B202" s="75">
        <v>12</v>
      </c>
      <c r="C202" s="75">
        <v>124</v>
      </c>
      <c r="D202" s="75">
        <v>1242</v>
      </c>
      <c r="E202" s="91">
        <v>12425</v>
      </c>
      <c r="F202" s="75" t="s">
        <v>317</v>
      </c>
      <c r="G202" s="76" t="s">
        <v>177</v>
      </c>
      <c r="H202" s="76" t="s">
        <v>59</v>
      </c>
      <c r="I202" s="78">
        <v>0</v>
      </c>
      <c r="J202" s="77"/>
      <c r="K202" s="77">
        <f>(427*2*3)*50%*2</f>
        <v>2562</v>
      </c>
      <c r="L202" s="77">
        <f t="shared" ref="J202:L203" si="44">(427*2*3)*46.6%</f>
        <v>1193.8920000000001</v>
      </c>
      <c r="M202" s="77">
        <f t="shared" si="40"/>
        <v>3755.8919999999998</v>
      </c>
      <c r="N202" s="77">
        <f>IF(OR(H202="",H202="sif",H202="PM"),0,VLOOKUP(H202,[5]CU!$C$4:$H$255,6,FALSE))</f>
        <v>0.8177777777777776</v>
      </c>
      <c r="O202" s="77">
        <f t="shared" si="41"/>
        <v>0</v>
      </c>
      <c r="P202" s="77">
        <f t="shared" si="41"/>
        <v>0</v>
      </c>
      <c r="Q202" s="77">
        <f t="shared" si="41"/>
        <v>2095.1466666666661</v>
      </c>
      <c r="R202" s="77">
        <f t="shared" si="41"/>
        <v>976.33834666666655</v>
      </c>
      <c r="S202" s="77">
        <f t="shared" si="42"/>
        <v>3071.4850133333325</v>
      </c>
      <c r="T202" s="92" t="s">
        <v>169</v>
      </c>
      <c r="U202" s="88" t="s">
        <v>170</v>
      </c>
      <c r="V202" s="88" t="str">
        <f>IF(OR($H202="",$H202="sif",$H202="PM"),"",VLOOKUP($H202,[5]CU!$C$5:$J$255,8,FALSE))</f>
        <v>3. Dépenses de fonctionnement</v>
      </c>
      <c r="W202" s="88" t="s">
        <v>309</v>
      </c>
      <c r="X202" s="88" t="s">
        <v>77</v>
      </c>
      <c r="Y202" s="88" t="s">
        <v>32</v>
      </c>
      <c r="Z202" s="88" t="str">
        <f>A202 &amp; "-" &amp; VLOOKUP(A202,[4]PROGRAMMES!$E$1:$F$7,2,FALSE)</f>
        <v>1-Accès et équité à l'enseignement général</v>
      </c>
      <c r="AA202" s="88" t="str">
        <f>B202 &amp; "-" &amp; VLOOKUP(B202,[4]SOUSPROGRAMMES!$E$1:$F$44,2,FALSE)</f>
        <v>12- Accès équitable et achèvement du primaire</v>
      </c>
      <c r="AB202" s="88" t="str">
        <f>C202 &amp; "-" &amp; VLOOKUP(C202,[4]RESULTATS!$E$1:$F$176,2,FALSE)</f>
        <v>124- Toutes les écoles primaires, y compris les FA, offrent aux élèves des conditions favorables à leur maintien, en particulier, les filles</v>
      </c>
      <c r="AC202" s="89" t="str">
        <f>D202 &amp; "-" &amp; VLOOKUP(D202,[4]STRATEGIES!$E$1:$F$504,2,FALSE)</f>
        <v>1242-Lutte contre les violences sur le chemin de l’école, dans les écoles, et dans les familles, particulièrement envers les filles</v>
      </c>
      <c r="AD202" s="76" t="str">
        <f t="shared" si="43"/>
        <v xml:space="preserve">12425-Sensibilisation des élèves, enseignants et parents d'élèves sur les méfaits des différentes formes de violences </v>
      </c>
    </row>
    <row r="203" spans="1:30" s="90" customFormat="1" ht="60" customHeight="1" x14ac:dyDescent="0.8">
      <c r="A203" s="84">
        <v>1</v>
      </c>
      <c r="B203" s="85">
        <v>12</v>
      </c>
      <c r="C203" s="85">
        <v>124</v>
      </c>
      <c r="D203" s="85">
        <v>1242</v>
      </c>
      <c r="E203" s="84">
        <v>12425</v>
      </c>
      <c r="F203" s="75" t="s">
        <v>317</v>
      </c>
      <c r="G203" s="76" t="s">
        <v>177</v>
      </c>
      <c r="H203" s="86" t="s">
        <v>59</v>
      </c>
      <c r="I203" s="78">
        <v>0</v>
      </c>
      <c r="J203" s="78">
        <f t="shared" si="44"/>
        <v>1193.8920000000001</v>
      </c>
      <c r="K203" s="78">
        <f t="shared" si="44"/>
        <v>1193.8920000000001</v>
      </c>
      <c r="L203" s="78">
        <f t="shared" si="44"/>
        <v>1193.8920000000001</v>
      </c>
      <c r="M203" s="78">
        <f>SUM(I203:L203)</f>
        <v>3581.6760000000004</v>
      </c>
      <c r="N203" s="78">
        <f>IF(OR(H203="",H203="sif",H203="PM"),0,VLOOKUP(H203,[5]CU!$C$4:$H$255,6,FALSE))</f>
        <v>0.8177777777777776</v>
      </c>
      <c r="O203" s="78">
        <f>$N203*I203</f>
        <v>0</v>
      </c>
      <c r="P203" s="78">
        <f>$N203*J203</f>
        <v>976.33834666666655</v>
      </c>
      <c r="Q203" s="78">
        <f>$N203*K203</f>
        <v>976.33834666666655</v>
      </c>
      <c r="R203" s="78">
        <f>$N203*L203</f>
        <v>976.33834666666655</v>
      </c>
      <c r="S203" s="78">
        <f>SUM(O203:R203)</f>
        <v>2929.0150399999998</v>
      </c>
      <c r="T203" s="80" t="s">
        <v>118</v>
      </c>
      <c r="U203" s="87" t="s">
        <v>170</v>
      </c>
      <c r="V203" s="88" t="str">
        <f>IF(OR($H203="",$H203="sif",$H203="PM"),"",VLOOKUP($H203,[5]CU!$C$5:$J$255,8,FALSE))</f>
        <v>3. Dépenses de fonctionnement</v>
      </c>
      <c r="W203" s="87" t="s">
        <v>309</v>
      </c>
      <c r="X203" s="87" t="s">
        <v>77</v>
      </c>
      <c r="Y203" s="88" t="s">
        <v>32</v>
      </c>
      <c r="Z203" s="88" t="str">
        <f>A203 &amp; "-" &amp; VLOOKUP(A203,[4]PROGRAMMES!$E$1:$F$7,2,FALSE)</f>
        <v>1-Accès et équité à l'enseignement général</v>
      </c>
      <c r="AA203" s="88" t="str">
        <f>B203 &amp; "-" &amp; VLOOKUP(B203,[4]SOUSPROGRAMMES!$E$1:$F$44,2,FALSE)</f>
        <v>12- Accès équitable et achèvement du primaire</v>
      </c>
      <c r="AB203" s="88" t="str">
        <f>C203 &amp; "-" &amp; VLOOKUP(C203,[4]RESULTATS!$E$1:$F$176,2,FALSE)</f>
        <v>124- Toutes les écoles primaires, y compris les FA, offrent aux élèves des conditions favorables à leur maintien, en particulier, les filles</v>
      </c>
      <c r="AC203" s="89" t="str">
        <f>D203 &amp; "-" &amp; VLOOKUP(D203,[4]STRATEGIES!$E$1:$F$504,2,FALSE)</f>
        <v>1242-Lutte contre les violences sur le chemin de l’école, dans les écoles, et dans les familles, particulièrement envers les filles</v>
      </c>
      <c r="AD203" s="76" t="str">
        <f t="shared" si="43"/>
        <v xml:space="preserve">12425-Sensibilisation des élèves, enseignants et parents d'élèves sur les méfaits des différentes formes de violences </v>
      </c>
    </row>
    <row r="204" spans="1:30" s="90" customFormat="1" ht="60" customHeight="1" x14ac:dyDescent="0.8">
      <c r="A204" s="84">
        <v>1</v>
      </c>
      <c r="B204" s="85">
        <v>12</v>
      </c>
      <c r="C204" s="85">
        <v>124</v>
      </c>
      <c r="D204" s="85">
        <v>1242</v>
      </c>
      <c r="E204" s="84">
        <v>12425</v>
      </c>
      <c r="F204" s="75" t="s">
        <v>317</v>
      </c>
      <c r="G204" s="76" t="s">
        <v>177</v>
      </c>
      <c r="H204" s="86" t="s">
        <v>59</v>
      </c>
      <c r="I204" s="78"/>
      <c r="J204" s="93">
        <f>(427*2*3)*6.8%</f>
        <v>174.21600000000001</v>
      </c>
      <c r="K204" s="93">
        <f>(427*2*3)*6.8%</f>
        <v>174.21600000000001</v>
      </c>
      <c r="L204" s="93">
        <f>(427*2*3)*6.8%</f>
        <v>174.21600000000001</v>
      </c>
      <c r="M204" s="93">
        <f t="shared" si="40"/>
        <v>522.64800000000002</v>
      </c>
      <c r="N204" s="93">
        <f>IF(OR(H204="",H204="sif",H204="PM"),0,VLOOKUP(H204,[5]CU!$C$4:$H$255,6,FALSE))</f>
        <v>0.8177777777777776</v>
      </c>
      <c r="O204" s="93">
        <f t="shared" si="41"/>
        <v>0</v>
      </c>
      <c r="P204" s="93">
        <f t="shared" si="41"/>
        <v>142.46997333333331</v>
      </c>
      <c r="Q204" s="93">
        <f t="shared" si="41"/>
        <v>142.46997333333331</v>
      </c>
      <c r="R204" s="93">
        <f t="shared" si="41"/>
        <v>142.46997333333331</v>
      </c>
      <c r="S204" s="93">
        <f t="shared" si="42"/>
        <v>427.40991999999994</v>
      </c>
      <c r="T204" s="80" t="s">
        <v>67</v>
      </c>
      <c r="U204" s="87" t="s">
        <v>170</v>
      </c>
      <c r="V204" s="88" t="str">
        <f>IF(OR($H204="",$H204="sif",$H204="PM"),"",VLOOKUP($H204,[5]CU!$C$5:$J$255,8,FALSE))</f>
        <v>3. Dépenses de fonctionnement</v>
      </c>
      <c r="W204" s="87" t="s">
        <v>309</v>
      </c>
      <c r="X204" s="87" t="s">
        <v>77</v>
      </c>
      <c r="Y204" s="88" t="s">
        <v>32</v>
      </c>
      <c r="Z204" s="88" t="str">
        <f>A204 &amp; "-" &amp; VLOOKUP(A204,[4]PROGRAMMES!$E$1:$F$7,2,FALSE)</f>
        <v>1-Accès et équité à l'enseignement général</v>
      </c>
      <c r="AA204" s="88" t="str">
        <f>B204 &amp; "-" &amp; VLOOKUP(B204,[4]SOUSPROGRAMMES!$E$1:$F$44,2,FALSE)</f>
        <v>12- Accès équitable et achèvement du primaire</v>
      </c>
      <c r="AB204" s="88" t="str">
        <f>C204 &amp; "-" &amp; VLOOKUP(C204,[4]RESULTATS!$E$1:$F$176,2,FALSE)</f>
        <v>124- Toutes les écoles primaires, y compris les FA, offrent aux élèves des conditions favorables à leur maintien, en particulier, les filles</v>
      </c>
      <c r="AC204" s="89" t="str">
        <f>D204 &amp; "-" &amp; VLOOKUP(D204,[4]STRATEGIES!$E$1:$F$504,2,FALSE)</f>
        <v>1242-Lutte contre les violences sur le chemin de l’école, dans les écoles, et dans les familles, particulièrement envers les filles</v>
      </c>
      <c r="AD204" s="76" t="str">
        <f t="shared" si="43"/>
        <v xml:space="preserve">12425-Sensibilisation des élèves, enseignants et parents d'élèves sur les méfaits des différentes formes de violences </v>
      </c>
    </row>
    <row r="205" spans="1:30" s="71" customFormat="1" ht="60" hidden="1" customHeight="1" x14ac:dyDescent="0.8">
      <c r="A205" s="91">
        <v>1</v>
      </c>
      <c r="B205" s="75">
        <v>12</v>
      </c>
      <c r="C205" s="75">
        <v>124</v>
      </c>
      <c r="D205" s="75">
        <v>1242</v>
      </c>
      <c r="E205" s="91">
        <v>12426</v>
      </c>
      <c r="F205" s="75" t="s">
        <v>318</v>
      </c>
      <c r="G205" s="76" t="s">
        <v>262</v>
      </c>
      <c r="H205" s="76" t="s">
        <v>59</v>
      </c>
      <c r="I205" s="78">
        <v>0</v>
      </c>
      <c r="J205" s="77"/>
      <c r="K205" s="77">
        <f>(10*2*427)*50%</f>
        <v>4270</v>
      </c>
      <c r="L205" s="77"/>
      <c r="M205" s="77">
        <f t="shared" si="40"/>
        <v>4270</v>
      </c>
      <c r="N205" s="77">
        <f>IF(OR(H205="",H205="sif",H205="PM"),0,VLOOKUP(H205,[5]CU!$C$4:$H$255,6,FALSE))</f>
        <v>0.8177777777777776</v>
      </c>
      <c r="O205" s="77">
        <f t="shared" si="41"/>
        <v>0</v>
      </c>
      <c r="P205" s="77">
        <f t="shared" si="41"/>
        <v>0</v>
      </c>
      <c r="Q205" s="77">
        <f>$N205*K205</f>
        <v>3491.9111111111106</v>
      </c>
      <c r="R205" s="77">
        <f t="shared" si="41"/>
        <v>0</v>
      </c>
      <c r="S205" s="77">
        <f t="shared" si="42"/>
        <v>3491.9111111111106</v>
      </c>
      <c r="T205" s="92" t="s">
        <v>169</v>
      </c>
      <c r="U205" s="88" t="s">
        <v>170</v>
      </c>
      <c r="V205" s="88" t="str">
        <f>IF(OR($H205="",$H205="sif",$H205="PM"),"",VLOOKUP($H205,[5]CU!$C$5:$J$255,8,FALSE))</f>
        <v>3. Dépenses de fonctionnement</v>
      </c>
      <c r="W205" s="88" t="s">
        <v>309</v>
      </c>
      <c r="X205" s="88" t="s">
        <v>77</v>
      </c>
      <c r="Y205" s="88" t="s">
        <v>32</v>
      </c>
      <c r="Z205" s="88" t="str">
        <f>A205 &amp; "-" &amp; VLOOKUP(A205,[4]PROGRAMMES!$E$1:$F$7,2,FALSE)</f>
        <v>1-Accès et équité à l'enseignement général</v>
      </c>
      <c r="AA205" s="88" t="str">
        <f>B205 &amp; "-" &amp; VLOOKUP(B205,[4]SOUSPROGRAMMES!$E$1:$F$44,2,FALSE)</f>
        <v>12- Accès équitable et achèvement du primaire</v>
      </c>
      <c r="AB205" s="88" t="str">
        <f>C205 &amp; "-" &amp; VLOOKUP(C205,[4]RESULTATS!$E$1:$F$176,2,FALSE)</f>
        <v>124- Toutes les écoles primaires, y compris les FA, offrent aux élèves des conditions favorables à leur maintien, en particulier, les filles</v>
      </c>
      <c r="AC205" s="89" t="str">
        <f>D205 &amp; "-" &amp; VLOOKUP(D205,[4]STRATEGIES!$E$1:$F$504,2,FALSE)</f>
        <v>1242-Lutte contre les violences sur le chemin de l’école, dans les écoles, et dans les familles, particulièrement envers les filles</v>
      </c>
      <c r="AD205" s="76" t="str">
        <f t="shared" si="43"/>
        <v>12426-Mise en place de structures de veille sur les violences en milieu scolaires</v>
      </c>
    </row>
    <row r="206" spans="1:30" s="90" customFormat="1" ht="60" customHeight="1" x14ac:dyDescent="0.8">
      <c r="A206" s="84">
        <v>1</v>
      </c>
      <c r="B206" s="85">
        <v>12</v>
      </c>
      <c r="C206" s="85">
        <v>124</v>
      </c>
      <c r="D206" s="85">
        <v>1242</v>
      </c>
      <c r="E206" s="84">
        <v>12426</v>
      </c>
      <c r="F206" s="75" t="s">
        <v>318</v>
      </c>
      <c r="G206" s="76" t="s">
        <v>262</v>
      </c>
      <c r="H206" s="86" t="s">
        <v>59</v>
      </c>
      <c r="I206" s="78">
        <v>0</v>
      </c>
      <c r="J206" s="78"/>
      <c r="K206" s="78">
        <f>(10*2*427)*40%</f>
        <v>3416</v>
      </c>
      <c r="L206" s="78"/>
      <c r="M206" s="78">
        <f>SUM(I206:L206)</f>
        <v>3416</v>
      </c>
      <c r="N206" s="78">
        <f>IF(OR(H206="",H206="sif",H206="PM"),0,VLOOKUP(H206,[5]CU!$C$4:$H$255,6,FALSE))</f>
        <v>0.8177777777777776</v>
      </c>
      <c r="O206" s="78">
        <f>$N206*I206</f>
        <v>0</v>
      </c>
      <c r="P206" s="78">
        <f>$N206*J206</f>
        <v>0</v>
      </c>
      <c r="Q206" s="78">
        <f>$N206*K206</f>
        <v>2793.5288888888881</v>
      </c>
      <c r="R206" s="78">
        <f>$N206*L206</f>
        <v>0</v>
      </c>
      <c r="S206" s="78">
        <f>SUM(O206:R206)</f>
        <v>2793.5288888888881</v>
      </c>
      <c r="T206" s="80" t="s">
        <v>2669</v>
      </c>
      <c r="U206" s="87" t="s">
        <v>170</v>
      </c>
      <c r="V206" s="88" t="str">
        <f>IF(OR($H206="",$H206="sif",$H206="PM"),"",VLOOKUP($H206,[5]CU!$C$5:$J$255,8,FALSE))</f>
        <v>3. Dépenses de fonctionnement</v>
      </c>
      <c r="W206" s="87" t="s">
        <v>309</v>
      </c>
      <c r="X206" s="87" t="s">
        <v>77</v>
      </c>
      <c r="Y206" s="88" t="s">
        <v>32</v>
      </c>
      <c r="Z206" s="88" t="str">
        <f>A206 &amp; "-" &amp; VLOOKUP(A206,[4]PROGRAMMES!$E$1:$F$7,2,FALSE)</f>
        <v>1-Accès et équité à l'enseignement général</v>
      </c>
      <c r="AA206" s="88" t="str">
        <f>B206 &amp; "-" &amp; VLOOKUP(B206,[4]SOUSPROGRAMMES!$E$1:$F$44,2,FALSE)</f>
        <v>12- Accès équitable et achèvement du primaire</v>
      </c>
      <c r="AB206" s="88" t="str">
        <f>C206 &amp; "-" &amp; VLOOKUP(C206,[4]RESULTATS!$E$1:$F$176,2,FALSE)</f>
        <v>124- Toutes les écoles primaires, y compris les FA, offrent aux élèves des conditions favorables à leur maintien, en particulier, les filles</v>
      </c>
      <c r="AC206" s="89" t="str">
        <f>D206 &amp; "-" &amp; VLOOKUP(D206,[4]STRATEGIES!$E$1:$F$504,2,FALSE)</f>
        <v>1242-Lutte contre les violences sur le chemin de l’école, dans les écoles, et dans les familles, particulièrement envers les filles</v>
      </c>
      <c r="AD206" s="76" t="str">
        <f t="shared" si="43"/>
        <v>12426-Mise en place de structures de veille sur les violences en milieu scolaires</v>
      </c>
    </row>
    <row r="207" spans="1:30" s="90" customFormat="1" ht="60" customHeight="1" x14ac:dyDescent="0.8">
      <c r="A207" s="84">
        <v>1</v>
      </c>
      <c r="B207" s="85">
        <v>12</v>
      </c>
      <c r="C207" s="85">
        <v>124</v>
      </c>
      <c r="D207" s="85">
        <v>1242</v>
      </c>
      <c r="E207" s="84">
        <v>12426</v>
      </c>
      <c r="F207" s="75" t="s">
        <v>318</v>
      </c>
      <c r="G207" s="76" t="s">
        <v>262</v>
      </c>
      <c r="H207" s="86" t="s">
        <v>59</v>
      </c>
      <c r="I207" s="78"/>
      <c r="J207" s="93"/>
      <c r="K207" s="93">
        <f>(10*2*427)*10%</f>
        <v>854</v>
      </c>
      <c r="L207" s="93"/>
      <c r="M207" s="93">
        <f t="shared" si="40"/>
        <v>854</v>
      </c>
      <c r="N207" s="93">
        <f>IF(OR(H207="",H207="sif",H207="PM"),0,VLOOKUP(H207,[5]CU!$C$4:$H$255,6,FALSE))</f>
        <v>0.8177777777777776</v>
      </c>
      <c r="O207" s="93">
        <f t="shared" si="41"/>
        <v>0</v>
      </c>
      <c r="P207" s="93">
        <f t="shared" si="41"/>
        <v>0</v>
      </c>
      <c r="Q207" s="93">
        <f t="shared" si="41"/>
        <v>698.38222222222203</v>
      </c>
      <c r="R207" s="93">
        <f t="shared" si="41"/>
        <v>0</v>
      </c>
      <c r="S207" s="93">
        <f t="shared" si="42"/>
        <v>698.38222222222203</v>
      </c>
      <c r="T207" s="80" t="s">
        <v>67</v>
      </c>
      <c r="U207" s="87" t="s">
        <v>170</v>
      </c>
      <c r="V207" s="88" t="str">
        <f>IF(OR($H207="",$H207="sif",$H207="PM"),"",VLOOKUP($H207,[5]CU!$C$5:$J$255,8,FALSE))</f>
        <v>3. Dépenses de fonctionnement</v>
      </c>
      <c r="W207" s="87" t="s">
        <v>309</v>
      </c>
      <c r="X207" s="87" t="s">
        <v>77</v>
      </c>
      <c r="Y207" s="88" t="s">
        <v>32</v>
      </c>
      <c r="Z207" s="88" t="str">
        <f>A207 &amp; "-" &amp; VLOOKUP(A207,[4]PROGRAMMES!$E$1:$F$7,2,FALSE)</f>
        <v>1-Accès et équité à l'enseignement général</v>
      </c>
      <c r="AA207" s="88" t="str">
        <f>B207 &amp; "-" &amp; VLOOKUP(B207,[4]SOUSPROGRAMMES!$E$1:$F$44,2,FALSE)</f>
        <v>12- Accès équitable et achèvement du primaire</v>
      </c>
      <c r="AB207" s="88" t="str">
        <f>C207 &amp; "-" &amp; VLOOKUP(C207,[4]RESULTATS!$E$1:$F$176,2,FALSE)</f>
        <v>124- Toutes les écoles primaires, y compris les FA, offrent aux élèves des conditions favorables à leur maintien, en particulier, les filles</v>
      </c>
      <c r="AC207" s="89" t="str">
        <f>D207 &amp; "-" &amp; VLOOKUP(D207,[4]STRATEGIES!$E$1:$F$504,2,FALSE)</f>
        <v>1242-Lutte contre les violences sur le chemin de l’école, dans les écoles, et dans les familles, particulièrement envers les filles</v>
      </c>
      <c r="AD207" s="76" t="str">
        <f t="shared" si="43"/>
        <v>12426-Mise en place de structures de veille sur les violences en milieu scolaires</v>
      </c>
    </row>
    <row r="208" spans="1:30" s="90" customFormat="1" ht="60" hidden="1" customHeight="1" x14ac:dyDescent="0.8">
      <c r="A208" s="84">
        <v>1</v>
      </c>
      <c r="B208" s="85">
        <v>12</v>
      </c>
      <c r="C208" s="85">
        <v>124</v>
      </c>
      <c r="D208" s="85">
        <v>1242</v>
      </c>
      <c r="E208" s="84">
        <v>12427</v>
      </c>
      <c r="F208" s="75" t="s">
        <v>319</v>
      </c>
      <c r="G208" s="76" t="s">
        <v>54</v>
      </c>
      <c r="H208" s="86" t="s">
        <v>55</v>
      </c>
      <c r="I208" s="78">
        <v>0</v>
      </c>
      <c r="J208" s="78">
        <v>1</v>
      </c>
      <c r="K208" s="78"/>
      <c r="L208" s="78"/>
      <c r="M208" s="78">
        <f t="shared" si="40"/>
        <v>1</v>
      </c>
      <c r="N208" s="78">
        <f>IF(OR(H208="",H208="sif",H208="PM"),0,VLOOKUP(H208,[5]CU!$C$4:$H$255,6,FALSE))</f>
        <v>0</v>
      </c>
      <c r="O208" s="78"/>
      <c r="P208" s="78"/>
      <c r="Q208" s="78"/>
      <c r="R208" s="78"/>
      <c r="S208" s="78"/>
      <c r="T208" s="80" t="s">
        <v>56</v>
      </c>
      <c r="U208" s="87" t="s">
        <v>170</v>
      </c>
      <c r="V208" s="88" t="str">
        <f>IF(OR($H208="",$H208="sif",$H208="PM"),"",VLOOKUP($H208,[5]CU!$C$5:$J$255,8,FALSE))</f>
        <v/>
      </c>
      <c r="W208" s="87" t="s">
        <v>273</v>
      </c>
      <c r="X208" s="87" t="s">
        <v>77</v>
      </c>
      <c r="Y208" s="88" t="s">
        <v>32</v>
      </c>
      <c r="Z208" s="88" t="str">
        <f>A208 &amp; "-" &amp; VLOOKUP(A208,[4]PROGRAMMES!$E$1:$F$7,2,FALSE)</f>
        <v>1-Accès et équité à l'enseignement général</v>
      </c>
      <c r="AA208" s="88" t="str">
        <f>B208 &amp; "-" &amp; VLOOKUP(B208,[4]SOUSPROGRAMMES!$E$1:$F$44,2,FALSE)</f>
        <v>12- Accès équitable et achèvement du primaire</v>
      </c>
      <c r="AB208" s="88" t="str">
        <f>C208 &amp; "-" &amp; VLOOKUP(C208,[4]RESULTATS!$E$1:$F$176,2,FALSE)</f>
        <v>124- Toutes les écoles primaires, y compris les FA, offrent aux élèves des conditions favorables à leur maintien, en particulier, les filles</v>
      </c>
      <c r="AC208" s="89" t="str">
        <f>D208 &amp; "-" &amp; VLOOKUP(D208,[4]STRATEGIES!$E$1:$F$504,2,FALSE)</f>
        <v>1242-Lutte contre les violences sur le chemin de l’école, dans les écoles, et dans les familles, particulièrement envers les filles</v>
      </c>
      <c r="AD208" s="76" t="str">
        <f t="shared" si="43"/>
        <v>12427-Renforcement des conseils de discipline au sein des établissements scolaires en matière de violences</v>
      </c>
    </row>
    <row r="209" spans="1:30" s="90" customFormat="1" ht="60" hidden="1" customHeight="1" x14ac:dyDescent="0.8">
      <c r="A209" s="84">
        <v>1</v>
      </c>
      <c r="B209" s="85">
        <v>12</v>
      </c>
      <c r="C209" s="85">
        <v>124</v>
      </c>
      <c r="D209" s="85">
        <v>1242</v>
      </c>
      <c r="E209" s="84">
        <v>12428</v>
      </c>
      <c r="F209" s="75" t="s">
        <v>320</v>
      </c>
      <c r="G209" s="76" t="s">
        <v>321</v>
      </c>
      <c r="H209" s="86" t="s">
        <v>55</v>
      </c>
      <c r="I209" s="78">
        <v>0</v>
      </c>
      <c r="J209" s="78">
        <v>1</v>
      </c>
      <c r="K209" s="78">
        <v>1</v>
      </c>
      <c r="L209" s="78">
        <v>1</v>
      </c>
      <c r="M209" s="78">
        <f t="shared" si="40"/>
        <v>3</v>
      </c>
      <c r="N209" s="78">
        <f>IF(OR(H209="",H209="sif",H209="PM"),0,VLOOKUP(H209,[5]CU!$C$4:$H$255,6,FALSE))</f>
        <v>0</v>
      </c>
      <c r="O209" s="78"/>
      <c r="P209" s="78"/>
      <c r="Q209" s="78"/>
      <c r="R209" s="78"/>
      <c r="S209" s="78"/>
      <c r="T209" s="80" t="s">
        <v>56</v>
      </c>
      <c r="U209" s="87" t="s">
        <v>170</v>
      </c>
      <c r="V209" s="88" t="str">
        <f>IF(OR($H209="",$H209="sif",$H209="PM"),"",VLOOKUP($H209,[5]CU!$C$5:$J$255,8,FALSE))</f>
        <v/>
      </c>
      <c r="W209" s="87" t="s">
        <v>322</v>
      </c>
      <c r="X209" s="87" t="s">
        <v>205</v>
      </c>
      <c r="Y209" s="88" t="s">
        <v>32</v>
      </c>
      <c r="Z209" s="88" t="str">
        <f>A209 &amp; "-" &amp; VLOOKUP(A209,[4]PROGRAMMES!$E$1:$F$7,2,FALSE)</f>
        <v>1-Accès et équité à l'enseignement général</v>
      </c>
      <c r="AA209" s="88" t="str">
        <f>B209 &amp; "-" &amp; VLOOKUP(B209,[4]SOUSPROGRAMMES!$E$1:$F$44,2,FALSE)</f>
        <v>12- Accès équitable et achèvement du primaire</v>
      </c>
      <c r="AB209" s="88" t="str">
        <f>C209 &amp; "-" &amp; VLOOKUP(C209,[4]RESULTATS!$E$1:$F$176,2,FALSE)</f>
        <v>124- Toutes les écoles primaires, y compris les FA, offrent aux élèves des conditions favorables à leur maintien, en particulier, les filles</v>
      </c>
      <c r="AC209" s="89" t="str">
        <f>D209 &amp; "-" &amp; VLOOKUP(D209,[4]STRATEGIES!$E$1:$F$504,2,FALSE)</f>
        <v>1242-Lutte contre les violences sur le chemin de l’école, dans les écoles, et dans les familles, particulièrement envers les filles</v>
      </c>
      <c r="AD209" s="76" t="str">
        <f t="shared" si="43"/>
        <v>12428-Appui à la stratégie de tutorat en faveur des élèves vulnérables, notamment les filles (par les communautés)</v>
      </c>
    </row>
    <row r="210" spans="1:30" s="71" customFormat="1" ht="60" hidden="1" customHeight="1" x14ac:dyDescent="0.8">
      <c r="A210" s="91">
        <v>1</v>
      </c>
      <c r="B210" s="75">
        <v>12</v>
      </c>
      <c r="C210" s="75">
        <v>124</v>
      </c>
      <c r="D210" s="75">
        <v>1242</v>
      </c>
      <c r="E210" s="91">
        <v>12429</v>
      </c>
      <c r="F210" s="75" t="s">
        <v>323</v>
      </c>
      <c r="G210" s="76" t="s">
        <v>199</v>
      </c>
      <c r="H210" s="76" t="s">
        <v>324</v>
      </c>
      <c r="I210" s="78">
        <v>0</v>
      </c>
      <c r="J210" s="77"/>
      <c r="K210" s="77">
        <f>427*60%</f>
        <v>256.2</v>
      </c>
      <c r="L210" s="77">
        <f>427*29.15%</f>
        <v>124.47049999999999</v>
      </c>
      <c r="M210" s="77">
        <f t="shared" si="40"/>
        <v>380.67049999999995</v>
      </c>
      <c r="N210" s="77">
        <f>IF(OR(H210="",H210="sif",H210="PM"),0,VLOOKUP(H210,[5]CU!$C$4:$H$255,6,FALSE))</f>
        <v>2</v>
      </c>
      <c r="O210" s="77">
        <f t="shared" ref="O210:R214" si="45">$N210*I210</f>
        <v>0</v>
      </c>
      <c r="P210" s="77">
        <f t="shared" si="45"/>
        <v>0</v>
      </c>
      <c r="Q210" s="77">
        <f>$N210*K210</f>
        <v>512.4</v>
      </c>
      <c r="R210" s="77">
        <f t="shared" si="45"/>
        <v>248.94099999999997</v>
      </c>
      <c r="S210" s="77">
        <f>SUM(O210:R210)</f>
        <v>761.34099999999989</v>
      </c>
      <c r="T210" s="92" t="s">
        <v>169</v>
      </c>
      <c r="U210" s="88" t="s">
        <v>170</v>
      </c>
      <c r="V210" s="88" t="str">
        <f>IF(OR($H210="",$H210="sif",$H210="PM"),"",VLOOKUP($H210,[5]CU!$C$5:$J$255,8,FALSE))</f>
        <v>4. Transferts et subventions</v>
      </c>
      <c r="W210" s="88" t="s">
        <v>309</v>
      </c>
      <c r="X210" s="88" t="s">
        <v>193</v>
      </c>
      <c r="Y210" s="88" t="s">
        <v>32</v>
      </c>
      <c r="Z210" s="88" t="str">
        <f>A210 &amp; "-" &amp; VLOOKUP(A210,[4]PROGRAMMES!$E$1:$F$7,2,FALSE)</f>
        <v>1-Accès et équité à l'enseignement général</v>
      </c>
      <c r="AA210" s="88" t="str">
        <f>B210 &amp; "-" &amp; VLOOKUP(B210,[4]SOUSPROGRAMMES!$E$1:$F$44,2,FALSE)</f>
        <v>12- Accès équitable et achèvement du primaire</v>
      </c>
      <c r="AB210" s="88" t="str">
        <f>C210 &amp; "-" &amp; VLOOKUP(C210,[4]RESULTATS!$E$1:$F$176,2,FALSE)</f>
        <v>124- Toutes les écoles primaires, y compris les FA, offrent aux élèves des conditions favorables à leur maintien, en particulier, les filles</v>
      </c>
      <c r="AC210" s="89" t="str">
        <f>D210 &amp; "-" &amp; VLOOKUP(D210,[4]STRATEGIES!$E$1:$F$504,2,FALSE)</f>
        <v>1242-Lutte contre les violences sur le chemin de l’école, dans les écoles, et dans les familles, particulièrement envers les filles</v>
      </c>
      <c r="AD210" s="76" t="str">
        <f t="shared" si="43"/>
        <v>12429-Prise en charge psychosociale des filles victimes de violences</v>
      </c>
    </row>
    <row r="211" spans="1:30" s="90" customFormat="1" ht="60" customHeight="1" x14ac:dyDescent="0.8">
      <c r="A211" s="84">
        <v>1</v>
      </c>
      <c r="B211" s="85">
        <v>12</v>
      </c>
      <c r="C211" s="85">
        <v>124</v>
      </c>
      <c r="D211" s="85">
        <v>1242</v>
      </c>
      <c r="E211" s="84">
        <v>12429</v>
      </c>
      <c r="F211" s="75" t="s">
        <v>323</v>
      </c>
      <c r="G211" s="76" t="s">
        <v>199</v>
      </c>
      <c r="H211" s="86" t="s">
        <v>324</v>
      </c>
      <c r="I211" s="78">
        <v>0</v>
      </c>
      <c r="J211" s="78">
        <f>427*29.14%</f>
        <v>124.42779999999999</v>
      </c>
      <c r="K211" s="78">
        <f>427*29.14%</f>
        <v>124.42779999999999</v>
      </c>
      <c r="L211" s="78">
        <f>427*29.14%</f>
        <v>124.42779999999999</v>
      </c>
      <c r="M211" s="78">
        <f>SUM(I211:L211)</f>
        <v>373.28339999999997</v>
      </c>
      <c r="N211" s="78">
        <f>IF(OR(H211="",H211="sif",H211="PM"),0,VLOOKUP(H211,[5]CU!$C$4:$H$255,6,FALSE))</f>
        <v>2</v>
      </c>
      <c r="O211" s="78">
        <f t="shared" si="45"/>
        <v>0</v>
      </c>
      <c r="P211" s="78">
        <f t="shared" si="45"/>
        <v>248.85559999999998</v>
      </c>
      <c r="Q211" s="78">
        <f t="shared" si="45"/>
        <v>248.85559999999998</v>
      </c>
      <c r="R211" s="78">
        <f t="shared" si="45"/>
        <v>248.85559999999998</v>
      </c>
      <c r="S211" s="78">
        <f>SUM(O211:R211)</f>
        <v>746.56679999999994</v>
      </c>
      <c r="T211" s="80" t="s">
        <v>2669</v>
      </c>
      <c r="U211" s="87" t="s">
        <v>170</v>
      </c>
      <c r="V211" s="88" t="str">
        <f>IF(OR($H211="",$H211="sif",$H211="PM"),"",VLOOKUP($H211,[5]CU!$C$5:$J$255,8,FALSE))</f>
        <v>4. Transferts et subventions</v>
      </c>
      <c r="W211" s="87" t="s">
        <v>309</v>
      </c>
      <c r="X211" s="87" t="s">
        <v>193</v>
      </c>
      <c r="Y211" s="88" t="s">
        <v>32</v>
      </c>
      <c r="Z211" s="88" t="str">
        <f>A211 &amp; "-" &amp; VLOOKUP(A211,[4]PROGRAMMES!$E$1:$F$7,2,FALSE)</f>
        <v>1-Accès et équité à l'enseignement général</v>
      </c>
      <c r="AA211" s="88" t="str">
        <f>B211 &amp; "-" &amp; VLOOKUP(B211,[4]SOUSPROGRAMMES!$E$1:$F$44,2,FALSE)</f>
        <v>12- Accès équitable et achèvement du primaire</v>
      </c>
      <c r="AB211" s="88" t="str">
        <f>C211 &amp; "-" &amp; VLOOKUP(C211,[4]RESULTATS!$E$1:$F$176,2,FALSE)</f>
        <v>124- Toutes les écoles primaires, y compris les FA, offrent aux élèves des conditions favorables à leur maintien, en particulier, les filles</v>
      </c>
      <c r="AC211" s="89" t="str">
        <f>D211 &amp; "-" &amp; VLOOKUP(D211,[4]STRATEGIES!$E$1:$F$504,2,FALSE)</f>
        <v>1242-Lutte contre les violences sur le chemin de l’école, dans les écoles, et dans les familles, particulièrement envers les filles</v>
      </c>
      <c r="AD211" s="76" t="str">
        <f t="shared" si="43"/>
        <v>12429-Prise en charge psychosociale des filles victimes de violences</v>
      </c>
    </row>
    <row r="212" spans="1:30" s="90" customFormat="1" ht="60" customHeight="1" x14ac:dyDescent="0.8">
      <c r="A212" s="84">
        <v>1</v>
      </c>
      <c r="B212" s="85">
        <v>12</v>
      </c>
      <c r="C212" s="85">
        <v>124</v>
      </c>
      <c r="D212" s="85">
        <v>1242</v>
      </c>
      <c r="E212" s="84">
        <v>12429</v>
      </c>
      <c r="F212" s="75" t="s">
        <v>323</v>
      </c>
      <c r="G212" s="76" t="s">
        <v>199</v>
      </c>
      <c r="H212" s="86" t="s">
        <v>324</v>
      </c>
      <c r="I212" s="78"/>
      <c r="J212" s="78">
        <f>427*41.71%</f>
        <v>178.10170000000002</v>
      </c>
      <c r="K212" s="78">
        <f>427*41.71%</f>
        <v>178.10170000000002</v>
      </c>
      <c r="L212" s="78">
        <f>427*41.71%</f>
        <v>178.10170000000002</v>
      </c>
      <c r="M212" s="78">
        <f t="shared" si="40"/>
        <v>534.30510000000004</v>
      </c>
      <c r="N212" s="78">
        <f>IF(OR(H212="",H212="sif",H212="PM"),0,VLOOKUP(H212,[5]CU!$C$4:$H$255,6,FALSE))</f>
        <v>2</v>
      </c>
      <c r="O212" s="78">
        <f t="shared" si="45"/>
        <v>0</v>
      </c>
      <c r="P212" s="78">
        <f t="shared" si="45"/>
        <v>356.20340000000004</v>
      </c>
      <c r="Q212" s="78">
        <f t="shared" si="45"/>
        <v>356.20340000000004</v>
      </c>
      <c r="R212" s="78">
        <f t="shared" si="45"/>
        <v>356.20340000000004</v>
      </c>
      <c r="S212" s="78">
        <f t="shared" ref="S212:S230" si="46">SUM(O212:R212)</f>
        <v>1068.6102000000001</v>
      </c>
      <c r="T212" s="80" t="s">
        <v>2670</v>
      </c>
      <c r="U212" s="87" t="s">
        <v>170</v>
      </c>
      <c r="V212" s="88" t="str">
        <f>IF(OR($H212="",$H212="sif",$H212="PM"),"",VLOOKUP($H212,[5]CU!$C$5:$J$255,8,FALSE))</f>
        <v>4. Transferts et subventions</v>
      </c>
      <c r="W212" s="87" t="s">
        <v>309</v>
      </c>
      <c r="X212" s="87" t="s">
        <v>193</v>
      </c>
      <c r="Y212" s="88" t="s">
        <v>32</v>
      </c>
      <c r="Z212" s="88" t="str">
        <f>A212 &amp; "-" &amp; VLOOKUP(A212,[4]PROGRAMMES!$E$1:$F$7,2,FALSE)</f>
        <v>1-Accès et équité à l'enseignement général</v>
      </c>
      <c r="AA212" s="88" t="str">
        <f>B212 &amp; "-" &amp; VLOOKUP(B212,[4]SOUSPROGRAMMES!$E$1:$F$44,2,FALSE)</f>
        <v>12- Accès équitable et achèvement du primaire</v>
      </c>
      <c r="AB212" s="88" t="str">
        <f>C212 &amp; "-" &amp; VLOOKUP(C212,[4]RESULTATS!$E$1:$F$176,2,FALSE)</f>
        <v>124- Toutes les écoles primaires, y compris les FA, offrent aux élèves des conditions favorables à leur maintien, en particulier, les filles</v>
      </c>
      <c r="AC212" s="89" t="str">
        <f>D212 &amp; "-" &amp; VLOOKUP(D212,[4]STRATEGIES!$E$1:$F$504,2,FALSE)</f>
        <v>1242-Lutte contre les violences sur le chemin de l’école, dans les écoles, et dans les familles, particulièrement envers les filles</v>
      </c>
      <c r="AD212" s="76" t="str">
        <f t="shared" si="43"/>
        <v>12429-Prise en charge psychosociale des filles victimes de violences</v>
      </c>
    </row>
    <row r="213" spans="1:30" s="71" customFormat="1" ht="60" hidden="1" customHeight="1" x14ac:dyDescent="0.8">
      <c r="A213" s="91">
        <v>1</v>
      </c>
      <c r="B213" s="75">
        <v>12</v>
      </c>
      <c r="C213" s="75">
        <v>124</v>
      </c>
      <c r="D213" s="75">
        <v>1242</v>
      </c>
      <c r="E213" s="91">
        <v>124210</v>
      </c>
      <c r="F213" s="75" t="s">
        <v>325</v>
      </c>
      <c r="G213" s="76" t="s">
        <v>177</v>
      </c>
      <c r="H213" s="76" t="s">
        <v>59</v>
      </c>
      <c r="I213" s="78">
        <v>0</v>
      </c>
      <c r="J213" s="77">
        <f>(4*5*8)*39.5%</f>
        <v>63.2</v>
      </c>
      <c r="K213" s="77">
        <f>(4*5*8)*50%*2</f>
        <v>160</v>
      </c>
      <c r="L213" s="77">
        <f>(4*5*8)*39.5%</f>
        <v>63.2</v>
      </c>
      <c r="M213" s="77">
        <f>SUM(I213:L213)</f>
        <v>286.39999999999998</v>
      </c>
      <c r="N213" s="77">
        <f>IF(OR(H213="",H213="sif",H213="PM"),0,VLOOKUP(H213,[5]CU!$C$4:$H$255,6,FALSE))</f>
        <v>0.8177777777777776</v>
      </c>
      <c r="O213" s="77">
        <f>$N213*I213</f>
        <v>0</v>
      </c>
      <c r="P213" s="77">
        <f>$N213*J213</f>
        <v>51.68355555555555</v>
      </c>
      <c r="Q213" s="77">
        <f>$N213*K213</f>
        <v>130.84444444444441</v>
      </c>
      <c r="R213" s="77">
        <f>$N213*L213</f>
        <v>51.68355555555555</v>
      </c>
      <c r="S213" s="77">
        <f>SUM(O213:R213)</f>
        <v>234.21155555555552</v>
      </c>
      <c r="T213" s="92" t="s">
        <v>169</v>
      </c>
      <c r="U213" s="88" t="s">
        <v>170</v>
      </c>
      <c r="V213" s="88" t="str">
        <f>IF(OR($H213="",$H213="sif",$H213="PM"),"",VLOOKUP($H213,[5]CU!$C$5:$J$255,8,FALSE))</f>
        <v>3. Dépenses de fonctionnement</v>
      </c>
      <c r="W213" s="88" t="s">
        <v>309</v>
      </c>
      <c r="X213" s="88" t="s">
        <v>326</v>
      </c>
      <c r="Y213" s="88" t="s">
        <v>32</v>
      </c>
      <c r="Z213" s="88" t="str">
        <f>A213 &amp; "-" &amp; VLOOKUP(A213,[4]PROGRAMMES!$E$1:$F$7,2,FALSE)</f>
        <v>1-Accès et équité à l'enseignement général</v>
      </c>
      <c r="AA213" s="88" t="str">
        <f>B213 &amp; "-" &amp; VLOOKUP(B213,[4]SOUSPROGRAMMES!$E$1:$F$44,2,FALSE)</f>
        <v>12- Accès équitable et achèvement du primaire</v>
      </c>
      <c r="AB213" s="88" t="str">
        <f>C213 &amp; "-" &amp; VLOOKUP(C213,[4]RESULTATS!$E$1:$F$176,2,FALSE)</f>
        <v>124- Toutes les écoles primaires, y compris les FA, offrent aux élèves des conditions favorables à leur maintien, en particulier, les filles</v>
      </c>
      <c r="AC213" s="89" t="str">
        <f>D213 &amp; "-" &amp; VLOOKUP(D213,[4]STRATEGIES!$E$1:$F$504,2,FALSE)</f>
        <v>1242-Lutte contre les violences sur le chemin de l’école, dans les écoles, et dans les familles, particulièrement envers les filles</v>
      </c>
      <c r="AD213" s="76" t="str">
        <f t="shared" si="43"/>
        <v>124210-Suivi/évaluation des activités sur les violences en milieu scolaire</v>
      </c>
    </row>
    <row r="214" spans="1:30" s="90" customFormat="1" ht="60" customHeight="1" x14ac:dyDescent="0.8">
      <c r="A214" s="84">
        <v>1</v>
      </c>
      <c r="B214" s="85">
        <v>12</v>
      </c>
      <c r="C214" s="85">
        <v>124</v>
      </c>
      <c r="D214" s="85">
        <v>1242</v>
      </c>
      <c r="E214" s="84">
        <v>124210</v>
      </c>
      <c r="F214" s="75" t="s">
        <v>325</v>
      </c>
      <c r="G214" s="76" t="s">
        <v>177</v>
      </c>
      <c r="H214" s="86" t="s">
        <v>59</v>
      </c>
      <c r="I214" s="78"/>
      <c r="J214" s="93">
        <f>(4*5*8)*60.5%</f>
        <v>96.8</v>
      </c>
      <c r="K214" s="93">
        <f>(4*5*8)*60.5%</f>
        <v>96.8</v>
      </c>
      <c r="L214" s="93">
        <f>(4*5*8)*60.5%</f>
        <v>96.8</v>
      </c>
      <c r="M214" s="93">
        <f t="shared" si="40"/>
        <v>290.39999999999998</v>
      </c>
      <c r="N214" s="93">
        <f>IF(OR(H214="",H214="sif",H214="PM"),0,VLOOKUP(H214,[5]CU!$C$4:$H$255,6,FALSE))</f>
        <v>0.8177777777777776</v>
      </c>
      <c r="O214" s="93">
        <f t="shared" si="45"/>
        <v>0</v>
      </c>
      <c r="P214" s="93">
        <f t="shared" si="45"/>
        <v>79.160888888888863</v>
      </c>
      <c r="Q214" s="93">
        <f t="shared" si="45"/>
        <v>79.160888888888863</v>
      </c>
      <c r="R214" s="93">
        <f t="shared" si="45"/>
        <v>79.160888888888863</v>
      </c>
      <c r="S214" s="93">
        <f t="shared" si="46"/>
        <v>237.4826666666666</v>
      </c>
      <c r="T214" s="80" t="s">
        <v>67</v>
      </c>
      <c r="U214" s="87" t="s">
        <v>170</v>
      </c>
      <c r="V214" s="88" t="str">
        <f>IF(OR($H214="",$H214="sif",$H214="PM"),"",VLOOKUP($H214,[5]CU!$C$5:$J$255,8,FALSE))</f>
        <v>3. Dépenses de fonctionnement</v>
      </c>
      <c r="W214" s="87" t="s">
        <v>309</v>
      </c>
      <c r="X214" s="87" t="s">
        <v>326</v>
      </c>
      <c r="Y214" s="88" t="s">
        <v>32</v>
      </c>
      <c r="Z214" s="88" t="str">
        <f>A214 &amp; "-" &amp; VLOOKUP(A214,[4]PROGRAMMES!$E$1:$F$7,2,FALSE)</f>
        <v>1-Accès et équité à l'enseignement général</v>
      </c>
      <c r="AA214" s="88" t="str">
        <f>B214 &amp; "-" &amp; VLOOKUP(B214,[4]SOUSPROGRAMMES!$E$1:$F$44,2,FALSE)</f>
        <v>12- Accès équitable et achèvement du primaire</v>
      </c>
      <c r="AB214" s="88" t="str">
        <f>C214 &amp; "-" &amp; VLOOKUP(C214,[4]RESULTATS!$E$1:$F$176,2,FALSE)</f>
        <v>124- Toutes les écoles primaires, y compris les FA, offrent aux élèves des conditions favorables à leur maintien, en particulier, les filles</v>
      </c>
      <c r="AC214" s="89" t="str">
        <f>D214 &amp; "-" &amp; VLOOKUP(D214,[4]STRATEGIES!$E$1:$F$504,2,FALSE)</f>
        <v>1242-Lutte contre les violences sur le chemin de l’école, dans les écoles, et dans les familles, particulièrement envers les filles</v>
      </c>
      <c r="AD214" s="76" t="str">
        <f t="shared" si="43"/>
        <v>124210-Suivi/évaluation des activités sur les violences en milieu scolaire</v>
      </c>
    </row>
    <row r="215" spans="1:30" s="90" customFormat="1" ht="15" customHeight="1" x14ac:dyDescent="0.8">
      <c r="A215" s="84">
        <v>1</v>
      </c>
      <c r="B215" s="85">
        <v>13</v>
      </c>
      <c r="C215" s="85">
        <v>13</v>
      </c>
      <c r="D215" s="85">
        <v>13</v>
      </c>
      <c r="E215" s="84">
        <v>13</v>
      </c>
      <c r="F215" s="75" t="s">
        <v>327</v>
      </c>
      <c r="G215" s="86"/>
      <c r="H215" s="86"/>
      <c r="I215" s="78">
        <v>0</v>
      </c>
      <c r="J215" s="78"/>
      <c r="K215" s="78"/>
      <c r="L215" s="78"/>
      <c r="M215" s="78"/>
      <c r="N215" s="78"/>
      <c r="O215" s="78"/>
      <c r="P215" s="78"/>
      <c r="Q215" s="78"/>
      <c r="R215" s="78"/>
      <c r="S215" s="78"/>
      <c r="T215" s="87"/>
      <c r="U215" s="87"/>
      <c r="V215" s="88"/>
      <c r="W215" s="87"/>
      <c r="X215" s="87"/>
      <c r="Y215" s="88" t="s">
        <v>32</v>
      </c>
      <c r="Z215" s="88" t="str">
        <f>A215 &amp; "-" &amp; VLOOKUP(A215,[4]PROGRAMMES!$E$1:$F$7,2,FALSE)</f>
        <v>1-Accès et équité à l'enseignement général</v>
      </c>
      <c r="AA215" s="88" t="str">
        <f>B215 &amp; "-" &amp; VLOOKUP(B215,[4]SOUSPROGRAMMES!$E$1:$F$44,2,FALSE)</f>
        <v>13- Accès à l’éducation non formelle</v>
      </c>
      <c r="AB215" s="88" t="str">
        <f>C215 &amp; "-" &amp; VLOOKUP(C215,[4]RESULTATS!$E$1:$F$176,2,FALSE)</f>
        <v>13- Accès à l’éducation non formelle</v>
      </c>
      <c r="AC215" s="89" t="str">
        <f>D215 &amp; "-" &amp; VLOOKUP(D215,[4]STRATEGIES!$E$1:$F$504,2,FALSE)</f>
        <v>13- Accès à l’éducation non formelle</v>
      </c>
      <c r="AD215" s="76" t="str">
        <f t="shared" si="43"/>
        <v>13- Accès à l’éducation non formelle</v>
      </c>
    </row>
    <row r="216" spans="1:30" s="90" customFormat="1" ht="45" customHeight="1" x14ac:dyDescent="0.8">
      <c r="A216" s="84">
        <v>1</v>
      </c>
      <c r="B216" s="85">
        <v>13</v>
      </c>
      <c r="C216" s="85">
        <v>131</v>
      </c>
      <c r="D216" s="85">
        <v>131</v>
      </c>
      <c r="E216" s="84">
        <v>131</v>
      </c>
      <c r="F216" s="75" t="s">
        <v>328</v>
      </c>
      <c r="G216" s="86"/>
      <c r="H216" s="86"/>
      <c r="I216" s="78">
        <v>0</v>
      </c>
      <c r="J216" s="78"/>
      <c r="K216" s="78"/>
      <c r="L216" s="78"/>
      <c r="M216" s="78"/>
      <c r="N216" s="78"/>
      <c r="O216" s="78"/>
      <c r="P216" s="78"/>
      <c r="Q216" s="78"/>
      <c r="R216" s="78"/>
      <c r="S216" s="78"/>
      <c r="T216" s="87"/>
      <c r="U216" s="87"/>
      <c r="V216" s="88"/>
      <c r="W216" s="87"/>
      <c r="X216" s="87"/>
      <c r="Y216" s="88" t="s">
        <v>32</v>
      </c>
      <c r="Z216" s="88" t="str">
        <f>A216 &amp; "-" &amp; VLOOKUP(A216,[4]PROGRAMMES!$E$1:$F$7,2,FALSE)</f>
        <v>1-Accès et équité à l'enseignement général</v>
      </c>
      <c r="AA216" s="88" t="str">
        <f>B216 &amp; "-" &amp; VLOOKUP(B216,[4]SOUSPROGRAMMES!$E$1:$F$44,2,FALSE)</f>
        <v>13- Accès à l’éducation non formelle</v>
      </c>
      <c r="AB216" s="88" t="str">
        <f>C216 &amp; "-" &amp; VLOOKUP(C216,[4]RESULTATS!$E$1:$F$176,2,FALSE)</f>
        <v>131-La demande de scolarisation non formelle est accrue chez les enfants déscolarisés et les non scolarisés</v>
      </c>
      <c r="AC216" s="89" t="str">
        <f>D216 &amp; "-" &amp; VLOOKUP(D216,[4]STRATEGIES!$E$1:$F$504,2,FALSE)</f>
        <v>131-La demande de scolarisation non formelle est accrue chez les enfants déscolarisés et les non scolarisés</v>
      </c>
      <c r="AD216" s="76" t="str">
        <f t="shared" si="43"/>
        <v>131-La demande de scolarisation non formelle est accrue chez les enfants déscolarisés et les non scolarisés</v>
      </c>
    </row>
    <row r="217" spans="1:30" s="90" customFormat="1" ht="45" customHeight="1" x14ac:dyDescent="0.8">
      <c r="A217" s="84">
        <v>1</v>
      </c>
      <c r="B217" s="85">
        <v>13</v>
      </c>
      <c r="C217" s="85">
        <v>131</v>
      </c>
      <c r="D217" s="85">
        <v>1311</v>
      </c>
      <c r="E217" s="84">
        <v>1311</v>
      </c>
      <c r="F217" s="75" t="s">
        <v>329</v>
      </c>
      <c r="G217" s="86"/>
      <c r="H217" s="86"/>
      <c r="I217" s="78">
        <v>0</v>
      </c>
      <c r="J217" s="78"/>
      <c r="K217" s="78"/>
      <c r="L217" s="78"/>
      <c r="M217" s="78"/>
      <c r="N217" s="78"/>
      <c r="O217" s="78"/>
      <c r="P217" s="78"/>
      <c r="Q217" s="78"/>
      <c r="R217" s="78"/>
      <c r="S217" s="78"/>
      <c r="T217" s="87"/>
      <c r="U217" s="87"/>
      <c r="V217" s="88"/>
      <c r="W217" s="87"/>
      <c r="X217" s="87"/>
      <c r="Y217" s="88" t="s">
        <v>32</v>
      </c>
      <c r="Z217" s="88" t="str">
        <f>A217 &amp; "-" &amp; VLOOKUP(A217,[4]PROGRAMMES!$E$1:$F$7,2,FALSE)</f>
        <v>1-Accès et équité à l'enseignement général</v>
      </c>
      <c r="AA217" s="88" t="str">
        <f>B217 &amp; "-" &amp; VLOOKUP(B217,[4]SOUSPROGRAMMES!$E$1:$F$44,2,FALSE)</f>
        <v>13- Accès à l’éducation non formelle</v>
      </c>
      <c r="AB217" s="88" t="str">
        <f>C217 &amp; "-" &amp; VLOOKUP(C217,[4]RESULTATS!$E$1:$F$176,2,FALSE)</f>
        <v>131-La demande de scolarisation non formelle est accrue chez les enfants déscolarisés et les non scolarisés</v>
      </c>
      <c r="AC217" s="89" t="str">
        <f>D217 &amp; "-" &amp; VLOOKUP(D217,[4]STRATEGIES!$E$1:$F$504,2,FALSE)</f>
        <v>1311-Information/sensibilisation des communautés sur l’offre d’éducation non-formelle</v>
      </c>
      <c r="AD217" s="76" t="str">
        <f t="shared" si="43"/>
        <v>1311-Information/sensibilisation des communautés sur l’offre d’éducation non-formelle</v>
      </c>
    </row>
    <row r="218" spans="1:30" s="71" customFormat="1" ht="45" hidden="1" customHeight="1" x14ac:dyDescent="0.8">
      <c r="A218" s="91">
        <v>1</v>
      </c>
      <c r="B218" s="75">
        <v>13</v>
      </c>
      <c r="C218" s="75">
        <v>131</v>
      </c>
      <c r="D218" s="75">
        <v>1311</v>
      </c>
      <c r="E218" s="91">
        <v>13111</v>
      </c>
      <c r="F218" s="75" t="s">
        <v>172</v>
      </c>
      <c r="G218" s="76" t="s">
        <v>37</v>
      </c>
      <c r="H218" s="76" t="s">
        <v>66</v>
      </c>
      <c r="I218" s="78">
        <v>0</v>
      </c>
      <c r="J218" s="77"/>
      <c r="K218" s="77">
        <f>50*5*1</f>
        <v>250</v>
      </c>
      <c r="L218" s="77"/>
      <c r="M218" s="77">
        <f t="shared" si="40"/>
        <v>250</v>
      </c>
      <c r="N218" s="77">
        <f>IF(OR(H218="",H218="sif",H218="PM"),0,VLOOKUP(H218,[5]CU!$C$4:$H$255,6,FALSE))</f>
        <v>0.255</v>
      </c>
      <c r="O218" s="77">
        <f t="shared" ref="O218:O230" si="47">N218*J218</f>
        <v>0</v>
      </c>
      <c r="P218" s="77">
        <f t="shared" ref="P218:R220" si="48">$N218*J218</f>
        <v>0</v>
      </c>
      <c r="Q218" s="77">
        <f t="shared" si="48"/>
        <v>63.75</v>
      </c>
      <c r="R218" s="77">
        <f t="shared" si="48"/>
        <v>0</v>
      </c>
      <c r="S218" s="77">
        <f t="shared" si="46"/>
        <v>63.75</v>
      </c>
      <c r="T218" s="92" t="s">
        <v>169</v>
      </c>
      <c r="U218" s="88" t="s">
        <v>330</v>
      </c>
      <c r="V218" s="88" t="str">
        <f>IF(OR($H218="",$H218="sif",$H218="PM"),"",VLOOKUP($H218,[5]CU!$C$5:$J$255,8,FALSE))</f>
        <v>3. Dépenses de fonctionnement</v>
      </c>
      <c r="W218" s="88" t="s">
        <v>331</v>
      </c>
      <c r="X218" s="88" t="s">
        <v>331</v>
      </c>
      <c r="Y218" s="88" t="s">
        <v>32</v>
      </c>
      <c r="Z218" s="88" t="str">
        <f>A218 &amp; "-" &amp; VLOOKUP(A218,[4]PROGRAMMES!$E$1:$F$7,2,FALSE)</f>
        <v>1-Accès et équité à l'enseignement général</v>
      </c>
      <c r="AA218" s="88" t="str">
        <f>B218 &amp; "-" &amp; VLOOKUP(B218,[4]SOUSPROGRAMMES!$E$1:$F$44,2,FALSE)</f>
        <v>13- Accès à l’éducation non formelle</v>
      </c>
      <c r="AB218" s="88" t="str">
        <f>C218 &amp; "-" &amp; VLOOKUP(C218,[4]RESULTATS!$E$1:$F$176,2,FALSE)</f>
        <v>131-La demande de scolarisation non formelle est accrue chez les enfants déscolarisés et les non scolarisés</v>
      </c>
      <c r="AC218" s="89" t="str">
        <f>D218 &amp; "-" &amp; VLOOKUP(D218,[4]STRATEGIES!$E$1:$F$504,2,FALSE)</f>
        <v>1311-Information/sensibilisation des communautés sur l’offre d’éducation non-formelle</v>
      </c>
      <c r="AD218" s="76" t="str">
        <f t="shared" si="43"/>
        <v>13111-Conception de messages publicitaires</v>
      </c>
    </row>
    <row r="219" spans="1:30" s="71" customFormat="1" ht="45" hidden="1" customHeight="1" x14ac:dyDescent="0.8">
      <c r="A219" s="91">
        <v>1</v>
      </c>
      <c r="B219" s="75">
        <v>13</v>
      </c>
      <c r="C219" s="75">
        <v>131</v>
      </c>
      <c r="D219" s="75">
        <v>1311</v>
      </c>
      <c r="E219" s="91">
        <v>13112</v>
      </c>
      <c r="F219" s="75" t="s">
        <v>174</v>
      </c>
      <c r="G219" s="76" t="s">
        <v>72</v>
      </c>
      <c r="H219" s="76" t="s">
        <v>73</v>
      </c>
      <c r="I219" s="78">
        <v>0</v>
      </c>
      <c r="J219" s="77">
        <v>0</v>
      </c>
      <c r="K219" s="77">
        <f>2*50*33*2</f>
        <v>6600</v>
      </c>
      <c r="L219" s="77">
        <f>2*15*33</f>
        <v>990</v>
      </c>
      <c r="M219" s="77">
        <f t="shared" si="40"/>
        <v>7590</v>
      </c>
      <c r="N219" s="77">
        <f>IF(OR(H219="",H219="sif",H219="PM"),0,VLOOKUP(H219,[5]CU!$C$4:$H$255,6,FALSE))</f>
        <v>0.4</v>
      </c>
      <c r="O219" s="77">
        <f t="shared" si="47"/>
        <v>0</v>
      </c>
      <c r="P219" s="77">
        <f t="shared" si="48"/>
        <v>0</v>
      </c>
      <c r="Q219" s="77">
        <f t="shared" si="48"/>
        <v>2640</v>
      </c>
      <c r="R219" s="77">
        <f t="shared" si="48"/>
        <v>396</v>
      </c>
      <c r="S219" s="77">
        <f t="shared" si="46"/>
        <v>3036</v>
      </c>
      <c r="T219" s="92" t="s">
        <v>169</v>
      </c>
      <c r="U219" s="88" t="s">
        <v>330</v>
      </c>
      <c r="V219" s="88" t="str">
        <f>IF(OR($H219="",$H219="sif",$H219="PM"),"",VLOOKUP($H219,[5]CU!$C$5:$J$255,8,FALSE))</f>
        <v>3. Dépenses de fonctionnement</v>
      </c>
      <c r="W219" s="88" t="s">
        <v>331</v>
      </c>
      <c r="X219" s="88" t="s">
        <v>77</v>
      </c>
      <c r="Y219" s="88" t="s">
        <v>32</v>
      </c>
      <c r="Z219" s="88" t="str">
        <f>A219 &amp; "-" &amp; VLOOKUP(A219,[4]PROGRAMMES!$E$1:$F$7,2,FALSE)</f>
        <v>1-Accès et équité à l'enseignement général</v>
      </c>
      <c r="AA219" s="88" t="str">
        <f>B219 &amp; "-" &amp; VLOOKUP(B219,[4]SOUSPROGRAMMES!$E$1:$F$44,2,FALSE)</f>
        <v>13- Accès à l’éducation non formelle</v>
      </c>
      <c r="AB219" s="88" t="str">
        <f>C219 &amp; "-" &amp; VLOOKUP(C219,[4]RESULTATS!$E$1:$F$176,2,FALSE)</f>
        <v>131-La demande de scolarisation non formelle est accrue chez les enfants déscolarisés et les non scolarisés</v>
      </c>
      <c r="AC219" s="89" t="str">
        <f>D219 &amp; "-" &amp; VLOOKUP(D219,[4]STRATEGIES!$E$1:$F$504,2,FALSE)</f>
        <v>1311-Information/sensibilisation des communautés sur l’offre d’éducation non-formelle</v>
      </c>
      <c r="AD219" s="76" t="str">
        <f t="shared" si="43"/>
        <v>13112-Diffusions des messages dans les médias</v>
      </c>
    </row>
    <row r="220" spans="1:30" s="71" customFormat="1" ht="45" hidden="1" customHeight="1" x14ac:dyDescent="0.8">
      <c r="A220" s="91">
        <v>1</v>
      </c>
      <c r="B220" s="75">
        <v>13</v>
      </c>
      <c r="C220" s="75">
        <v>131</v>
      </c>
      <c r="D220" s="75">
        <v>1311</v>
      </c>
      <c r="E220" s="91">
        <v>13113</v>
      </c>
      <c r="F220" s="75" t="s">
        <v>332</v>
      </c>
      <c r="G220" s="76" t="s">
        <v>58</v>
      </c>
      <c r="H220" s="76" t="s">
        <v>59</v>
      </c>
      <c r="I220" s="78">
        <v>0</v>
      </c>
      <c r="J220" s="77"/>
      <c r="K220" s="77">
        <f>40*2*8*2</f>
        <v>1280</v>
      </c>
      <c r="L220" s="77">
        <f>40*2*8</f>
        <v>640</v>
      </c>
      <c r="M220" s="77">
        <f t="shared" si="40"/>
        <v>1920</v>
      </c>
      <c r="N220" s="77">
        <f>IF(OR(H220="",H220="sif",H220="PM"),0,VLOOKUP(H220,[5]CU!$C$4:$H$255,6,FALSE))</f>
        <v>0.8177777777777776</v>
      </c>
      <c r="O220" s="77">
        <f t="shared" si="47"/>
        <v>0</v>
      </c>
      <c r="P220" s="77">
        <f>N220*K220</f>
        <v>1046.7555555555552</v>
      </c>
      <c r="Q220" s="77">
        <f t="shared" si="48"/>
        <v>1046.7555555555552</v>
      </c>
      <c r="R220" s="77">
        <f>$N220*L220</f>
        <v>523.37777777777762</v>
      </c>
      <c r="S220" s="77">
        <f t="shared" si="46"/>
        <v>2616.8888888888882</v>
      </c>
      <c r="T220" s="92" t="s">
        <v>169</v>
      </c>
      <c r="U220" s="88" t="s">
        <v>330</v>
      </c>
      <c r="V220" s="88" t="str">
        <f>IF(OR($H220="",$H220="sif",$H220="PM"),"",VLOOKUP($H220,[5]CU!$C$5:$J$255,8,FALSE))</f>
        <v>3. Dépenses de fonctionnement</v>
      </c>
      <c r="W220" s="88" t="s">
        <v>331</v>
      </c>
      <c r="X220" s="88" t="s">
        <v>77</v>
      </c>
      <c r="Y220" s="88" t="s">
        <v>32</v>
      </c>
      <c r="Z220" s="88" t="str">
        <f>A220 &amp; "-" &amp; VLOOKUP(A220,[4]PROGRAMMES!$E$1:$F$7,2,FALSE)</f>
        <v>1-Accès et équité à l'enseignement général</v>
      </c>
      <c r="AA220" s="88" t="str">
        <f>B220 &amp; "-" &amp; VLOOKUP(B220,[4]SOUSPROGRAMMES!$E$1:$F$44,2,FALSE)</f>
        <v>13- Accès à l’éducation non formelle</v>
      </c>
      <c r="AB220" s="88" t="str">
        <f>C220 &amp; "-" &amp; VLOOKUP(C220,[4]RESULTATS!$E$1:$F$176,2,FALSE)</f>
        <v>131-La demande de scolarisation non formelle est accrue chez les enfants déscolarisés et les non scolarisés</v>
      </c>
      <c r="AC220" s="89" t="str">
        <f>D220 &amp; "-" &amp; VLOOKUP(D220,[4]STRATEGIES!$E$1:$F$504,2,FALSE)</f>
        <v>1311-Information/sensibilisation des communautés sur l’offre d’éducation non-formelle</v>
      </c>
      <c r="AD220" s="76" t="str">
        <f t="shared" si="43"/>
        <v xml:space="preserve">13113-Missions de sensibilisation des communautés </v>
      </c>
    </row>
    <row r="221" spans="1:30" s="90" customFormat="1" ht="45" customHeight="1" x14ac:dyDescent="0.8">
      <c r="A221" s="84">
        <v>1</v>
      </c>
      <c r="B221" s="85">
        <v>13</v>
      </c>
      <c r="C221" s="85">
        <v>131</v>
      </c>
      <c r="D221" s="85">
        <v>1312</v>
      </c>
      <c r="E221" s="84">
        <v>1312</v>
      </c>
      <c r="F221" s="75" t="s">
        <v>333</v>
      </c>
      <c r="G221" s="86"/>
      <c r="H221" s="86"/>
      <c r="I221" s="78">
        <v>0</v>
      </c>
      <c r="J221" s="78"/>
      <c r="K221" s="78"/>
      <c r="L221" s="78"/>
      <c r="M221" s="78"/>
      <c r="N221" s="78"/>
      <c r="O221" s="78"/>
      <c r="P221" s="78"/>
      <c r="Q221" s="78"/>
      <c r="R221" s="78"/>
      <c r="S221" s="78"/>
      <c r="T221" s="87"/>
      <c r="U221" s="87"/>
      <c r="V221" s="88"/>
      <c r="W221" s="87"/>
      <c r="X221" s="87"/>
      <c r="Y221" s="88" t="s">
        <v>32</v>
      </c>
      <c r="Z221" s="88" t="str">
        <f>A221 &amp; "-" &amp; VLOOKUP(A221,[4]PROGRAMMES!$E$1:$F$7,2,FALSE)</f>
        <v>1-Accès et équité à l'enseignement général</v>
      </c>
      <c r="AA221" s="88" t="str">
        <f>B221 &amp; "-" &amp; VLOOKUP(B221,[4]SOUSPROGRAMMES!$E$1:$F$44,2,FALSE)</f>
        <v>13- Accès à l’éducation non formelle</v>
      </c>
      <c r="AB221" s="88" t="str">
        <f>C221 &amp; "-" &amp; VLOOKUP(C221,[4]RESULTATS!$E$1:$F$176,2,FALSE)</f>
        <v>131-La demande de scolarisation non formelle est accrue chez les enfants déscolarisés et les non scolarisés</v>
      </c>
      <c r="AC221" s="89" t="str">
        <f>D221 &amp; "-" &amp; VLOOKUP(D221,[4]STRATEGIES!$E$1:$F$504,2,FALSE)</f>
        <v>1312-Octroi de kits scolaires auxs apprenants</v>
      </c>
      <c r="AD221" s="76" t="str">
        <f t="shared" si="43"/>
        <v>1312-Octroi de kits scolaires auxs apprenants</v>
      </c>
    </row>
    <row r="222" spans="1:30" s="90" customFormat="1" ht="45" hidden="1" customHeight="1" x14ac:dyDescent="0.8">
      <c r="A222" s="84">
        <v>1</v>
      </c>
      <c r="B222" s="85">
        <v>13</v>
      </c>
      <c r="C222" s="85">
        <v>131</v>
      </c>
      <c r="D222" s="85">
        <v>1312</v>
      </c>
      <c r="E222" s="84">
        <v>13121</v>
      </c>
      <c r="F222" s="75" t="s">
        <v>334</v>
      </c>
      <c r="G222" s="76" t="s">
        <v>335</v>
      </c>
      <c r="H222" s="86" t="s">
        <v>336</v>
      </c>
      <c r="I222" s="78">
        <v>0</v>
      </c>
      <c r="J222" s="78">
        <f>2592*80%</f>
        <v>2073.6</v>
      </c>
      <c r="K222" s="78">
        <f>4821*80%</f>
        <v>3856.8</v>
      </c>
      <c r="L222" s="78">
        <f>6749*80%</f>
        <v>5399.2000000000007</v>
      </c>
      <c r="M222" s="78">
        <f>SUM(I222:L222)</f>
        <v>11329.6</v>
      </c>
      <c r="N222" s="78">
        <f>IF(OR(H222="",H222="sif",H222="PM"),0,VLOOKUP(H222,[5]CU!$C$4:$H$255,6,FALSE))</f>
        <v>0.12</v>
      </c>
      <c r="O222" s="78">
        <f>N222*J222</f>
        <v>248.83199999999999</v>
      </c>
      <c r="P222" s="78">
        <f t="shared" ref="P222:R225" si="49">$N222*J222</f>
        <v>248.83199999999999</v>
      </c>
      <c r="Q222" s="78">
        <f t="shared" si="49"/>
        <v>462.81600000000003</v>
      </c>
      <c r="R222" s="78">
        <f t="shared" si="49"/>
        <v>647.90400000000011</v>
      </c>
      <c r="S222" s="78">
        <f>SUM(O222:R222)</f>
        <v>1608.384</v>
      </c>
      <c r="T222" s="80" t="s">
        <v>56</v>
      </c>
      <c r="U222" s="87" t="s">
        <v>330</v>
      </c>
      <c r="V222" s="88" t="str">
        <f>IF(OR($H222="",$H222="sif",$H222="PM"),"",VLOOKUP($H222,[5]CU!$C$5:$J$255,8,FALSE))</f>
        <v>3. Manuels scolaires et matériels pédagogiques</v>
      </c>
      <c r="W222" s="87" t="s">
        <v>331</v>
      </c>
      <c r="X222" s="87" t="s">
        <v>331</v>
      </c>
      <c r="Y222" s="88" t="s">
        <v>32</v>
      </c>
      <c r="Z222" s="88" t="str">
        <f>A222 &amp; "-" &amp; VLOOKUP(A222,[4]PROGRAMMES!$E$1:$F$7,2,FALSE)</f>
        <v>1-Accès et équité à l'enseignement général</v>
      </c>
      <c r="AA222" s="88" t="str">
        <f>B222 &amp; "-" &amp; VLOOKUP(B222,[4]SOUSPROGRAMMES!$E$1:$F$44,2,FALSE)</f>
        <v>13- Accès à l’éducation non formelle</v>
      </c>
      <c r="AB222" s="88" t="str">
        <f>C222 &amp; "-" &amp; VLOOKUP(C222,[4]RESULTATS!$E$1:$F$176,2,FALSE)</f>
        <v>131-La demande de scolarisation non formelle est accrue chez les enfants déscolarisés et les non scolarisés</v>
      </c>
      <c r="AC222" s="89" t="str">
        <f>D222 &amp; "-" &amp; VLOOKUP(D222,[4]STRATEGIES!$E$1:$F$504,2,FALSE)</f>
        <v>1312-Octroi de kits scolaires auxs apprenants</v>
      </c>
      <c r="AD222" s="76" t="str">
        <f t="shared" si="43"/>
        <v>13121-Acquisition et distribution des kits scolaires</v>
      </c>
    </row>
    <row r="223" spans="1:30" s="90" customFormat="1" ht="45" customHeight="1" x14ac:dyDescent="0.8">
      <c r="A223" s="84">
        <v>1</v>
      </c>
      <c r="B223" s="85">
        <v>13</v>
      </c>
      <c r="C223" s="85">
        <v>131</v>
      </c>
      <c r="D223" s="85">
        <v>1312</v>
      </c>
      <c r="E223" s="84">
        <v>13121</v>
      </c>
      <c r="F223" s="75" t="s">
        <v>334</v>
      </c>
      <c r="G223" s="76" t="s">
        <v>335</v>
      </c>
      <c r="H223" s="86" t="s">
        <v>336</v>
      </c>
      <c r="I223" s="78">
        <v>0</v>
      </c>
      <c r="J223" s="78">
        <f>2592*20%</f>
        <v>518.4</v>
      </c>
      <c r="K223" s="78">
        <f>4821*20%</f>
        <v>964.2</v>
      </c>
      <c r="L223" s="78">
        <f>6749*20%</f>
        <v>1349.8000000000002</v>
      </c>
      <c r="M223" s="78">
        <f t="shared" si="40"/>
        <v>2832.4</v>
      </c>
      <c r="N223" s="78">
        <f>IF(OR(H223="",H223="sif",H223="PM"),0,VLOOKUP(H223,[5]CU!$C$4:$H$255,6,FALSE))</f>
        <v>0.12</v>
      </c>
      <c r="O223" s="78">
        <f t="shared" si="47"/>
        <v>62.207999999999998</v>
      </c>
      <c r="P223" s="78">
        <f t="shared" si="49"/>
        <v>62.207999999999998</v>
      </c>
      <c r="Q223" s="78">
        <f t="shared" si="49"/>
        <v>115.70400000000001</v>
      </c>
      <c r="R223" s="78">
        <f t="shared" si="49"/>
        <v>161.97600000000003</v>
      </c>
      <c r="S223" s="78">
        <f t="shared" si="46"/>
        <v>402.096</v>
      </c>
      <c r="T223" s="80" t="s">
        <v>2670</v>
      </c>
      <c r="U223" s="87" t="s">
        <v>330</v>
      </c>
      <c r="V223" s="88" t="str">
        <f>IF(OR($H223="",$H223="sif",$H223="PM"),"",VLOOKUP($H223,[5]CU!$C$5:$J$255,8,FALSE))</f>
        <v>3. Manuels scolaires et matériels pédagogiques</v>
      </c>
      <c r="W223" s="87" t="s">
        <v>331</v>
      </c>
      <c r="X223" s="87" t="s">
        <v>331</v>
      </c>
      <c r="Y223" s="88" t="s">
        <v>32</v>
      </c>
      <c r="Z223" s="88" t="str">
        <f>A223 &amp; "-" &amp; VLOOKUP(A223,[4]PROGRAMMES!$E$1:$F$7,2,FALSE)</f>
        <v>1-Accès et équité à l'enseignement général</v>
      </c>
      <c r="AA223" s="88" t="str">
        <f>B223 &amp; "-" &amp; VLOOKUP(B223,[4]SOUSPROGRAMMES!$E$1:$F$44,2,FALSE)</f>
        <v>13- Accès à l’éducation non formelle</v>
      </c>
      <c r="AB223" s="88" t="str">
        <f>C223 &amp; "-" &amp; VLOOKUP(C223,[4]RESULTATS!$E$1:$F$176,2,FALSE)</f>
        <v>131-La demande de scolarisation non formelle est accrue chez les enfants déscolarisés et les non scolarisés</v>
      </c>
      <c r="AC223" s="89" t="str">
        <f>D223 &amp; "-" &amp; VLOOKUP(D223,[4]STRATEGIES!$E$1:$F$504,2,FALSE)</f>
        <v>1312-Octroi de kits scolaires auxs apprenants</v>
      </c>
      <c r="AD223" s="76" t="str">
        <f t="shared" si="43"/>
        <v>13121-Acquisition et distribution des kits scolaires</v>
      </c>
    </row>
    <row r="224" spans="1:30" s="90" customFormat="1" ht="45" hidden="1" customHeight="1" x14ac:dyDescent="0.8">
      <c r="A224" s="84">
        <v>1</v>
      </c>
      <c r="B224" s="85">
        <v>13</v>
      </c>
      <c r="C224" s="85">
        <v>131</v>
      </c>
      <c r="D224" s="85">
        <v>1312</v>
      </c>
      <c r="E224" s="84">
        <v>13122</v>
      </c>
      <c r="F224" s="75" t="s">
        <v>337</v>
      </c>
      <c r="G224" s="76" t="s">
        <v>58</v>
      </c>
      <c r="H224" s="86" t="s">
        <v>110</v>
      </c>
      <c r="I224" s="78">
        <v>0</v>
      </c>
      <c r="J224" s="78">
        <f>(8*4*10)*80.01%</f>
        <v>256.03200000000004</v>
      </c>
      <c r="K224" s="78">
        <f>(8*4*10)*80.01%</f>
        <v>256.03200000000004</v>
      </c>
      <c r="L224" s="78">
        <f>(8*4*10)*80.01%</f>
        <v>256.03200000000004</v>
      </c>
      <c r="M224" s="78">
        <f>SUM(I224:L224)</f>
        <v>768.09600000000012</v>
      </c>
      <c r="N224" s="78">
        <f>IF(OR(H224="",H224="sif",H224="PM"),0,VLOOKUP(H224,[5]CU!$C$4:$H$255,6,FALSE))</f>
        <v>7.1760000000000002</v>
      </c>
      <c r="O224" s="78">
        <f>N224*J224</f>
        <v>1837.2856320000003</v>
      </c>
      <c r="P224" s="78">
        <f t="shared" si="49"/>
        <v>1837.2856320000003</v>
      </c>
      <c r="Q224" s="78">
        <f t="shared" si="49"/>
        <v>1837.2856320000003</v>
      </c>
      <c r="R224" s="78">
        <f t="shared" si="49"/>
        <v>1837.2856320000003</v>
      </c>
      <c r="S224" s="78">
        <f>SUM(O224:R224)</f>
        <v>7349.1425280000012</v>
      </c>
      <c r="T224" s="80" t="s">
        <v>56</v>
      </c>
      <c r="U224" s="87" t="s">
        <v>330</v>
      </c>
      <c r="V224" s="88" t="str">
        <f>IF(OR($H224="",$H224="sif",$H224="PM"),"",VLOOKUP($H224,[5]CU!$C$5:$J$255,8,FALSE))</f>
        <v>3. Dépenses de fonctionnement</v>
      </c>
      <c r="W224" s="87" t="s">
        <v>331</v>
      </c>
      <c r="X224" s="87" t="s">
        <v>282</v>
      </c>
      <c r="Y224" s="88" t="s">
        <v>32</v>
      </c>
      <c r="Z224" s="88" t="str">
        <f>A224 &amp; "-" &amp; VLOOKUP(A224,[4]PROGRAMMES!$E$1:$F$7,2,FALSE)</f>
        <v>1-Accès et équité à l'enseignement général</v>
      </c>
      <c r="AA224" s="88" t="str">
        <f>B224 &amp; "-" &amp; VLOOKUP(B224,[4]SOUSPROGRAMMES!$E$1:$F$44,2,FALSE)</f>
        <v>13- Accès à l’éducation non formelle</v>
      </c>
      <c r="AB224" s="88" t="str">
        <f>C224 &amp; "-" &amp; VLOOKUP(C224,[4]RESULTATS!$E$1:$F$176,2,FALSE)</f>
        <v>131-La demande de scolarisation non formelle est accrue chez les enfants déscolarisés et les non scolarisés</v>
      </c>
      <c r="AC224" s="89" t="str">
        <f>D224 &amp; "-" &amp; VLOOKUP(D224,[4]STRATEGIES!$E$1:$F$504,2,FALSE)</f>
        <v>1312-Octroi de kits scolaires auxs apprenants</v>
      </c>
      <c r="AD224" s="76" t="str">
        <f t="shared" si="43"/>
        <v>13122-Suivi/évaluation de la distribution des kits scolaires</v>
      </c>
    </row>
    <row r="225" spans="1:30" s="90" customFormat="1" ht="45" customHeight="1" x14ac:dyDescent="0.8">
      <c r="A225" s="84">
        <v>1</v>
      </c>
      <c r="B225" s="85">
        <v>13</v>
      </c>
      <c r="C225" s="85">
        <v>131</v>
      </c>
      <c r="D225" s="85">
        <v>1312</v>
      </c>
      <c r="E225" s="84">
        <v>13122</v>
      </c>
      <c r="F225" s="75" t="s">
        <v>337</v>
      </c>
      <c r="G225" s="76" t="s">
        <v>58</v>
      </c>
      <c r="H225" s="86" t="s">
        <v>110</v>
      </c>
      <c r="I225" s="78">
        <v>0</v>
      </c>
      <c r="J225" s="78">
        <f>(8*4*10)*19.99%</f>
        <v>63.967999999999996</v>
      </c>
      <c r="K225" s="78">
        <f>(8*4*10)*19.99%</f>
        <v>63.967999999999996</v>
      </c>
      <c r="L225" s="78">
        <f>(8*4*10)*19.99%</f>
        <v>63.967999999999996</v>
      </c>
      <c r="M225" s="78">
        <f t="shared" si="40"/>
        <v>191.904</v>
      </c>
      <c r="N225" s="78">
        <f>IF(OR(H225="",H225="sif",H225="PM"),0,VLOOKUP(H225,[5]CU!$C$4:$H$255,6,FALSE))</f>
        <v>7.1760000000000002</v>
      </c>
      <c r="O225" s="78">
        <f t="shared" si="47"/>
        <v>459.03436799999997</v>
      </c>
      <c r="P225" s="78">
        <f t="shared" si="49"/>
        <v>459.03436799999997</v>
      </c>
      <c r="Q225" s="78">
        <f t="shared" si="49"/>
        <v>459.03436799999997</v>
      </c>
      <c r="R225" s="78">
        <f t="shared" si="49"/>
        <v>459.03436799999997</v>
      </c>
      <c r="S225" s="78">
        <f t="shared" si="46"/>
        <v>1836.1374719999999</v>
      </c>
      <c r="T225" s="80" t="s">
        <v>2670</v>
      </c>
      <c r="U225" s="87" t="s">
        <v>330</v>
      </c>
      <c r="V225" s="88" t="str">
        <f>IF(OR($H225="",$H225="sif",$H225="PM"),"",VLOOKUP($H225,[5]CU!$C$5:$J$255,8,FALSE))</f>
        <v>3. Dépenses de fonctionnement</v>
      </c>
      <c r="W225" s="87" t="s">
        <v>331</v>
      </c>
      <c r="X225" s="87" t="s">
        <v>282</v>
      </c>
      <c r="Y225" s="88" t="s">
        <v>32</v>
      </c>
      <c r="Z225" s="88" t="str">
        <f>A225 &amp; "-" &amp; VLOOKUP(A225,[4]PROGRAMMES!$E$1:$F$7,2,FALSE)</f>
        <v>1-Accès et équité à l'enseignement général</v>
      </c>
      <c r="AA225" s="88" t="str">
        <f>B225 &amp; "-" &amp; VLOOKUP(B225,[4]SOUSPROGRAMMES!$E$1:$F$44,2,FALSE)</f>
        <v>13- Accès à l’éducation non formelle</v>
      </c>
      <c r="AB225" s="88" t="str">
        <f>C225 &amp; "-" &amp; VLOOKUP(C225,[4]RESULTATS!$E$1:$F$176,2,FALSE)</f>
        <v>131-La demande de scolarisation non formelle est accrue chez les enfants déscolarisés et les non scolarisés</v>
      </c>
      <c r="AC225" s="89" t="str">
        <f>D225 &amp; "-" &amp; VLOOKUP(D225,[4]STRATEGIES!$E$1:$F$504,2,FALSE)</f>
        <v>1312-Octroi de kits scolaires auxs apprenants</v>
      </c>
      <c r="AD225" s="76" t="str">
        <f t="shared" si="43"/>
        <v>13122-Suivi/évaluation de la distribution des kits scolaires</v>
      </c>
    </row>
    <row r="226" spans="1:30" s="90" customFormat="1" ht="45" customHeight="1" x14ac:dyDescent="0.8">
      <c r="A226" s="84">
        <v>1</v>
      </c>
      <c r="B226" s="85">
        <v>13</v>
      </c>
      <c r="C226" s="85">
        <v>131</v>
      </c>
      <c r="D226" s="85">
        <v>1313</v>
      </c>
      <c r="E226" s="84">
        <v>1313</v>
      </c>
      <c r="F226" s="75" t="s">
        <v>338</v>
      </c>
      <c r="G226" s="86"/>
      <c r="H226" s="86"/>
      <c r="I226" s="78">
        <v>0</v>
      </c>
      <c r="J226" s="78"/>
      <c r="K226" s="78"/>
      <c r="L226" s="78"/>
      <c r="M226" s="78"/>
      <c r="N226" s="78"/>
      <c r="O226" s="78"/>
      <c r="P226" s="78"/>
      <c r="Q226" s="78"/>
      <c r="R226" s="78"/>
      <c r="S226" s="78"/>
      <c r="T226" s="87"/>
      <c r="U226" s="87"/>
      <c r="V226" s="88"/>
      <c r="W226" s="87"/>
      <c r="X226" s="87"/>
      <c r="Y226" s="88" t="s">
        <v>32</v>
      </c>
      <c r="Z226" s="88" t="str">
        <f>A226 &amp; "-" &amp; VLOOKUP(A226,[4]PROGRAMMES!$E$1:$F$7,2,FALSE)</f>
        <v>1-Accès et équité à l'enseignement général</v>
      </c>
      <c r="AA226" s="88" t="str">
        <f>B226 &amp; "-" &amp; VLOOKUP(B226,[4]SOUSPROGRAMMES!$E$1:$F$44,2,FALSE)</f>
        <v>13- Accès à l’éducation non formelle</v>
      </c>
      <c r="AB226" s="88" t="str">
        <f>C226 &amp; "-" &amp; VLOOKUP(C226,[4]RESULTATS!$E$1:$F$176,2,FALSE)</f>
        <v>131-La demande de scolarisation non formelle est accrue chez les enfants déscolarisés et les non scolarisés</v>
      </c>
      <c r="AC226" s="89" t="str">
        <f>D226 &amp; "-" &amp; VLOOKUP(D226,[4]STRATEGIES!$E$1:$F$504,2,FALSE)</f>
        <v>1313-Prise en charge des apprenants du non formelle par les cantines des écoles situées à proximité</v>
      </c>
      <c r="AD226" s="76" t="str">
        <f t="shared" si="43"/>
        <v>1313-Prise en charge des apprenants du non formelle par les cantines des écoles situées à proximité</v>
      </c>
    </row>
    <row r="227" spans="1:30" s="90" customFormat="1" ht="45" hidden="1" customHeight="1" x14ac:dyDescent="0.8">
      <c r="A227" s="84">
        <v>1</v>
      </c>
      <c r="B227" s="85">
        <v>13</v>
      </c>
      <c r="C227" s="85">
        <v>131</v>
      </c>
      <c r="D227" s="85">
        <v>1313</v>
      </c>
      <c r="E227" s="84">
        <v>13131</v>
      </c>
      <c r="F227" s="75" t="s">
        <v>339</v>
      </c>
      <c r="G227" s="76" t="s">
        <v>58</v>
      </c>
      <c r="H227" s="86" t="s">
        <v>59</v>
      </c>
      <c r="I227" s="78">
        <v>0</v>
      </c>
      <c r="J227" s="78">
        <f>(16*5*2)*80.01%</f>
        <v>128.01600000000002</v>
      </c>
      <c r="K227" s="78"/>
      <c r="L227" s="78"/>
      <c r="M227" s="78">
        <f>SUM(I227:L227)</f>
        <v>128.01600000000002</v>
      </c>
      <c r="N227" s="78">
        <f>IF(OR(H227="",H227="sif",H227="PM"),0,VLOOKUP(H227,[5]CU!$C$4:$H$255,6,FALSE))</f>
        <v>0.8177777777777776</v>
      </c>
      <c r="O227" s="78">
        <f>N227*J227</f>
        <v>104.68863999999999</v>
      </c>
      <c r="P227" s="78">
        <f t="shared" ref="P227:R230" si="50">$N227*J227</f>
        <v>104.68863999999999</v>
      </c>
      <c r="Q227" s="78">
        <f t="shared" si="50"/>
        <v>0</v>
      </c>
      <c r="R227" s="78">
        <f t="shared" si="50"/>
        <v>0</v>
      </c>
      <c r="S227" s="78">
        <f>SUM(O227:R227)</f>
        <v>209.37727999999998</v>
      </c>
      <c r="T227" s="80" t="s">
        <v>56</v>
      </c>
      <c r="U227" s="87" t="s">
        <v>330</v>
      </c>
      <c r="V227" s="88" t="str">
        <f>IF(OR($H227="",$H227="sif",$H227="PM"),"",VLOOKUP($H227,[5]CU!$C$5:$J$255,8,FALSE))</f>
        <v>3. Dépenses de fonctionnement</v>
      </c>
      <c r="W227" s="87" t="s">
        <v>331</v>
      </c>
      <c r="X227" s="87" t="s">
        <v>77</v>
      </c>
      <c r="Y227" s="88" t="s">
        <v>32</v>
      </c>
      <c r="Z227" s="88" t="str">
        <f>A227 &amp; "-" &amp; VLOOKUP(A227,[4]PROGRAMMES!$E$1:$F$7,2,FALSE)</f>
        <v>1-Accès et équité à l'enseignement général</v>
      </c>
      <c r="AA227" s="88" t="str">
        <f>B227 &amp; "-" &amp; VLOOKUP(B227,[4]SOUSPROGRAMMES!$E$1:$F$44,2,FALSE)</f>
        <v>13- Accès à l’éducation non formelle</v>
      </c>
      <c r="AB227" s="88" t="str">
        <f>C227 &amp; "-" &amp; VLOOKUP(C227,[4]RESULTATS!$E$1:$F$176,2,FALSE)</f>
        <v>131-La demande de scolarisation non formelle est accrue chez les enfants déscolarisés et les non scolarisés</v>
      </c>
      <c r="AC227" s="89" t="str">
        <f>D227 &amp; "-" &amp; VLOOKUP(D227,[4]STRATEGIES!$E$1:$F$504,2,FALSE)</f>
        <v>1313-Prise en charge des apprenants du non formelle par les cantines des écoles situées à proximité</v>
      </c>
      <c r="AD227" s="76" t="str">
        <f t="shared" si="43"/>
        <v>13131-Identification des centres Nafa situés à proximité des écoles à cantines</v>
      </c>
    </row>
    <row r="228" spans="1:30" s="90" customFormat="1" ht="45" customHeight="1" x14ac:dyDescent="0.8">
      <c r="A228" s="84">
        <v>1</v>
      </c>
      <c r="B228" s="85">
        <v>13</v>
      </c>
      <c r="C228" s="85">
        <v>131</v>
      </c>
      <c r="D228" s="85">
        <v>1313</v>
      </c>
      <c r="E228" s="84">
        <v>13131</v>
      </c>
      <c r="F228" s="75" t="s">
        <v>339</v>
      </c>
      <c r="G228" s="76" t="s">
        <v>58</v>
      </c>
      <c r="H228" s="86" t="s">
        <v>59</v>
      </c>
      <c r="I228" s="78">
        <v>0</v>
      </c>
      <c r="J228" s="78">
        <f>(16*5*2)*19.99%</f>
        <v>31.983999999999998</v>
      </c>
      <c r="K228" s="78"/>
      <c r="L228" s="78"/>
      <c r="M228" s="78">
        <f t="shared" si="40"/>
        <v>31.983999999999998</v>
      </c>
      <c r="N228" s="78">
        <f>IF(OR(H228="",H228="sif",H228="PM"),0,VLOOKUP(H228,[5]CU!$C$4:$H$255,6,FALSE))</f>
        <v>0.8177777777777776</v>
      </c>
      <c r="O228" s="78">
        <f t="shared" si="47"/>
        <v>26.155804444444438</v>
      </c>
      <c r="P228" s="78">
        <f t="shared" si="50"/>
        <v>26.155804444444438</v>
      </c>
      <c r="Q228" s="78">
        <f t="shared" si="50"/>
        <v>0</v>
      </c>
      <c r="R228" s="78">
        <f t="shared" si="50"/>
        <v>0</v>
      </c>
      <c r="S228" s="78">
        <f t="shared" si="46"/>
        <v>52.311608888888877</v>
      </c>
      <c r="T228" s="80" t="s">
        <v>2671</v>
      </c>
      <c r="U228" s="87" t="s">
        <v>330</v>
      </c>
      <c r="V228" s="88" t="str">
        <f>IF(OR($H228="",$H228="sif",$H228="PM"),"",VLOOKUP($H228,[5]CU!$C$5:$J$255,8,FALSE))</f>
        <v>3. Dépenses de fonctionnement</v>
      </c>
      <c r="W228" s="87" t="s">
        <v>331</v>
      </c>
      <c r="X228" s="87" t="s">
        <v>77</v>
      </c>
      <c r="Y228" s="88" t="s">
        <v>32</v>
      </c>
      <c r="Z228" s="88" t="str">
        <f>A228 &amp; "-" &amp; VLOOKUP(A228,[4]PROGRAMMES!$E$1:$F$7,2,FALSE)</f>
        <v>1-Accès et équité à l'enseignement général</v>
      </c>
      <c r="AA228" s="88" t="str">
        <f>B228 &amp; "-" &amp; VLOOKUP(B228,[4]SOUSPROGRAMMES!$E$1:$F$44,2,FALSE)</f>
        <v>13- Accès à l’éducation non formelle</v>
      </c>
      <c r="AB228" s="88" t="str">
        <f>C228 &amp; "-" &amp; VLOOKUP(C228,[4]RESULTATS!$E$1:$F$176,2,FALSE)</f>
        <v>131-La demande de scolarisation non formelle est accrue chez les enfants déscolarisés et les non scolarisés</v>
      </c>
      <c r="AC228" s="89" t="str">
        <f>D228 &amp; "-" &amp; VLOOKUP(D228,[4]STRATEGIES!$E$1:$F$504,2,FALSE)</f>
        <v>1313-Prise en charge des apprenants du non formelle par les cantines des écoles situées à proximité</v>
      </c>
      <c r="AD228" s="76" t="str">
        <f t="shared" si="43"/>
        <v>13131-Identification des centres Nafa situés à proximité des écoles à cantines</v>
      </c>
    </row>
    <row r="229" spans="1:30" s="90" customFormat="1" ht="45" hidden="1" customHeight="1" x14ac:dyDescent="0.8">
      <c r="A229" s="84">
        <v>1</v>
      </c>
      <c r="B229" s="85">
        <v>13</v>
      </c>
      <c r="C229" s="85">
        <v>131</v>
      </c>
      <c r="D229" s="85">
        <v>1313</v>
      </c>
      <c r="E229" s="84">
        <v>13132</v>
      </c>
      <c r="F229" s="75" t="s">
        <v>82</v>
      </c>
      <c r="G229" s="76" t="s">
        <v>340</v>
      </c>
      <c r="H229" s="86" t="s">
        <v>84</v>
      </c>
      <c r="I229" s="78">
        <v>0</v>
      </c>
      <c r="J229" s="78">
        <f>(J222*12.3%)*20.01%</f>
        <v>51.03606528000001</v>
      </c>
      <c r="K229" s="78">
        <f>(K222*13.5%)*20.01%</f>
        <v>104.18566680000002</v>
      </c>
      <c r="L229" s="78">
        <f>(L222*14.8%)*20.01%</f>
        <v>159.89622816000008</v>
      </c>
      <c r="M229" s="78">
        <f>SUM(I229:L229)</f>
        <v>315.11796024000012</v>
      </c>
      <c r="N229" s="78">
        <f>IF(OR(H229="",H229="sif",H229="PM"),0,VLOOKUP(H229,[5]CU!$C$4:$H$255,6,FALSE))</f>
        <v>0.25</v>
      </c>
      <c r="O229" s="78">
        <f>N229*J229</f>
        <v>12.759016320000002</v>
      </c>
      <c r="P229" s="78">
        <f t="shared" si="50"/>
        <v>12.759016320000002</v>
      </c>
      <c r="Q229" s="78">
        <f t="shared" si="50"/>
        <v>26.046416700000005</v>
      </c>
      <c r="R229" s="78">
        <f t="shared" si="50"/>
        <v>39.974057040000019</v>
      </c>
      <c r="S229" s="78">
        <f>SUM(O229:R229)</f>
        <v>91.53850638000003</v>
      </c>
      <c r="T229" s="80" t="s">
        <v>56</v>
      </c>
      <c r="U229" s="87" t="s">
        <v>330</v>
      </c>
      <c r="V229" s="88" t="str">
        <f>IF(OR($H229="",$H229="sif",$H229="PM"),"",VLOOKUP($H229,[5]CU!$C$5:$J$255,8,FALSE))</f>
        <v>4. Transferts et subventions</v>
      </c>
      <c r="W229" s="87" t="s">
        <v>81</v>
      </c>
      <c r="X229" s="87" t="s">
        <v>81</v>
      </c>
      <c r="Y229" s="88" t="s">
        <v>32</v>
      </c>
      <c r="Z229" s="88" t="str">
        <f>A229 &amp; "-" &amp; VLOOKUP(A229,[4]PROGRAMMES!$E$1:$F$7,2,FALSE)</f>
        <v>1-Accès et équité à l'enseignement général</v>
      </c>
      <c r="AA229" s="88" t="str">
        <f>B229 &amp; "-" &amp; VLOOKUP(B229,[4]SOUSPROGRAMMES!$E$1:$F$44,2,FALSE)</f>
        <v>13- Accès à l’éducation non formelle</v>
      </c>
      <c r="AB229" s="88" t="str">
        <f>C229 &amp; "-" &amp; VLOOKUP(C229,[4]RESULTATS!$E$1:$F$176,2,FALSE)</f>
        <v>131-La demande de scolarisation non formelle est accrue chez les enfants déscolarisés et les non scolarisés</v>
      </c>
      <c r="AC229" s="89" t="str">
        <f>D229 &amp; "-" &amp; VLOOKUP(D229,[4]STRATEGIES!$E$1:$F$504,2,FALSE)</f>
        <v>1313-Prise en charge des apprenants du non formelle par les cantines des écoles situées à proximité</v>
      </c>
      <c r="AD229" s="76" t="str">
        <f t="shared" si="43"/>
        <v>13132-Acquisition et distribution des vivres supplémentaires</v>
      </c>
    </row>
    <row r="230" spans="1:30" s="90" customFormat="1" ht="45" customHeight="1" x14ac:dyDescent="0.8">
      <c r="A230" s="84">
        <v>1</v>
      </c>
      <c r="B230" s="85">
        <v>13</v>
      </c>
      <c r="C230" s="85">
        <v>131</v>
      </c>
      <c r="D230" s="85">
        <v>1313</v>
      </c>
      <c r="E230" s="84">
        <v>13132</v>
      </c>
      <c r="F230" s="75" t="s">
        <v>82</v>
      </c>
      <c r="G230" s="76" t="s">
        <v>340</v>
      </c>
      <c r="H230" s="86" t="s">
        <v>84</v>
      </c>
      <c r="I230" s="78">
        <v>0</v>
      </c>
      <c r="J230" s="78">
        <f>(J222*12.3%)*79.99%</f>
        <v>204.01673471999999</v>
      </c>
      <c r="K230" s="78">
        <f>(K222*13.5%)*79.99%</f>
        <v>416.48233319999997</v>
      </c>
      <c r="L230" s="78">
        <f>(L222*14.8%)*79.99%</f>
        <v>639.18537184000013</v>
      </c>
      <c r="M230" s="78">
        <f t="shared" si="40"/>
        <v>1259.6844397600003</v>
      </c>
      <c r="N230" s="78">
        <f>IF(OR(H230="",H230="sif",H230="PM"),0,VLOOKUP(H230,[5]CU!$C$4:$H$255,6,FALSE))</f>
        <v>0.25</v>
      </c>
      <c r="O230" s="78">
        <f t="shared" si="47"/>
        <v>51.004183679999997</v>
      </c>
      <c r="P230" s="78">
        <f t="shared" si="50"/>
        <v>51.004183679999997</v>
      </c>
      <c r="Q230" s="78">
        <f t="shared" si="50"/>
        <v>104.12058329999999</v>
      </c>
      <c r="R230" s="78">
        <f t="shared" si="50"/>
        <v>159.79634296000003</v>
      </c>
      <c r="S230" s="78">
        <f t="shared" si="46"/>
        <v>365.92529362000005</v>
      </c>
      <c r="T230" s="80" t="s">
        <v>2671</v>
      </c>
      <c r="U230" s="87" t="s">
        <v>330</v>
      </c>
      <c r="V230" s="88" t="str">
        <f>IF(OR($H230="",$H230="sif",$H230="PM"),"",VLOOKUP($H230,[5]CU!$C$5:$J$255,8,FALSE))</f>
        <v>4. Transferts et subventions</v>
      </c>
      <c r="W230" s="87" t="s">
        <v>81</v>
      </c>
      <c r="X230" s="87" t="s">
        <v>81</v>
      </c>
      <c r="Y230" s="88" t="s">
        <v>32</v>
      </c>
      <c r="Z230" s="88" t="str">
        <f>A230 &amp; "-" &amp; VLOOKUP(A230,[4]PROGRAMMES!$E$1:$F$7,2,FALSE)</f>
        <v>1-Accès et équité à l'enseignement général</v>
      </c>
      <c r="AA230" s="88" t="str">
        <f>B230 &amp; "-" &amp; VLOOKUP(B230,[4]SOUSPROGRAMMES!$E$1:$F$44,2,FALSE)</f>
        <v>13- Accès à l’éducation non formelle</v>
      </c>
      <c r="AB230" s="88" t="str">
        <f>C230 &amp; "-" &amp; VLOOKUP(C230,[4]RESULTATS!$E$1:$F$176,2,FALSE)</f>
        <v>131-La demande de scolarisation non formelle est accrue chez les enfants déscolarisés et les non scolarisés</v>
      </c>
      <c r="AC230" s="89" t="str">
        <f>D230 &amp; "-" &amp; VLOOKUP(D230,[4]STRATEGIES!$E$1:$F$504,2,FALSE)</f>
        <v>1313-Prise en charge des apprenants du non formelle par les cantines des écoles situées à proximité</v>
      </c>
      <c r="AD230" s="76" t="str">
        <f t="shared" si="43"/>
        <v>13132-Acquisition et distribution des vivres supplémentaires</v>
      </c>
    </row>
    <row r="231" spans="1:30" s="90" customFormat="1" ht="45" hidden="1" customHeight="1" x14ac:dyDescent="0.8">
      <c r="A231" s="84">
        <v>1</v>
      </c>
      <c r="B231" s="85">
        <v>13</v>
      </c>
      <c r="C231" s="85">
        <v>131</v>
      </c>
      <c r="D231" s="85">
        <v>1313</v>
      </c>
      <c r="E231" s="84">
        <v>13133</v>
      </c>
      <c r="F231" s="75" t="s">
        <v>341</v>
      </c>
      <c r="G231" s="76" t="s">
        <v>92</v>
      </c>
      <c r="H231" s="86" t="s">
        <v>55</v>
      </c>
      <c r="I231" s="78">
        <v>0</v>
      </c>
      <c r="J231" s="78">
        <v>1</v>
      </c>
      <c r="K231" s="78">
        <v>1</v>
      </c>
      <c r="L231" s="78">
        <v>1</v>
      </c>
      <c r="M231" s="78"/>
      <c r="N231" s="78">
        <f>IF(OR(H231="",H231="sif",H231="PM"),0,VLOOKUP(H231,[5]CU!$C$4:$H$255,6,FALSE))</f>
        <v>0</v>
      </c>
      <c r="O231" s="78"/>
      <c r="P231" s="78"/>
      <c r="Q231" s="78"/>
      <c r="R231" s="78"/>
      <c r="S231" s="78"/>
      <c r="T231" s="80" t="s">
        <v>56</v>
      </c>
      <c r="U231" s="87" t="s">
        <v>330</v>
      </c>
      <c r="V231" s="88" t="str">
        <f>IF(OR($H231="",$H231="sif",$H231="PM"),"",VLOOKUP($H231,[5]CU!$C$5:$J$255,8,FALSE))</f>
        <v/>
      </c>
      <c r="W231" s="87" t="s">
        <v>81</v>
      </c>
      <c r="X231" s="87" t="s">
        <v>81</v>
      </c>
      <c r="Y231" s="88" t="s">
        <v>32</v>
      </c>
      <c r="Z231" s="88" t="str">
        <f>A231 &amp; "-" &amp; VLOOKUP(A231,[4]PROGRAMMES!$E$1:$F$7,2,FALSE)</f>
        <v>1-Accès et équité à l'enseignement général</v>
      </c>
      <c r="AA231" s="88" t="str">
        <f>B231 &amp; "-" &amp; VLOOKUP(B231,[4]SOUSPROGRAMMES!$E$1:$F$44,2,FALSE)</f>
        <v>13- Accès à l’éducation non formelle</v>
      </c>
      <c r="AB231" s="88" t="str">
        <f>C231 &amp; "-" &amp; VLOOKUP(C231,[4]RESULTATS!$E$1:$F$176,2,FALSE)</f>
        <v>131-La demande de scolarisation non formelle est accrue chez les enfants déscolarisés et les non scolarisés</v>
      </c>
      <c r="AC231" s="89" t="str">
        <f>D231 &amp; "-" &amp; VLOOKUP(D231,[4]STRATEGIES!$E$1:$F$504,2,FALSE)</f>
        <v>1313-Prise en charge des apprenants du non formelle par les cantines des écoles situées à proximité</v>
      </c>
      <c r="AD231" s="76" t="str">
        <f t="shared" si="43"/>
        <v>13133-Suivi de la gestion des cantines scolaires dans les centres Nafa (voir suivi cantines activités 12125)</v>
      </c>
    </row>
    <row r="232" spans="1:30" s="90" customFormat="1" ht="30" customHeight="1" x14ac:dyDescent="0.8">
      <c r="A232" s="84">
        <v>1</v>
      </c>
      <c r="B232" s="85">
        <v>13</v>
      </c>
      <c r="C232" s="85">
        <v>132</v>
      </c>
      <c r="D232" s="85">
        <v>132</v>
      </c>
      <c r="E232" s="84">
        <v>132</v>
      </c>
      <c r="F232" s="75" t="s">
        <v>342</v>
      </c>
      <c r="G232" s="86"/>
      <c r="H232" s="86"/>
      <c r="I232" s="78">
        <v>0</v>
      </c>
      <c r="J232" s="78"/>
      <c r="K232" s="78"/>
      <c r="L232" s="78"/>
      <c r="M232" s="78"/>
      <c r="N232" s="78"/>
      <c r="O232" s="78"/>
      <c r="P232" s="78"/>
      <c r="Q232" s="78"/>
      <c r="R232" s="78"/>
      <c r="S232" s="78"/>
      <c r="T232" s="87"/>
      <c r="U232" s="87"/>
      <c r="V232" s="88"/>
      <c r="W232" s="87"/>
      <c r="X232" s="87"/>
      <c r="Y232" s="88" t="s">
        <v>32</v>
      </c>
      <c r="Z232" s="88" t="str">
        <f>A232 &amp; "-" &amp; VLOOKUP(A232,[4]PROGRAMMES!$E$1:$F$7,2,FALSE)</f>
        <v>1-Accès et équité à l'enseignement général</v>
      </c>
      <c r="AA232" s="88" t="str">
        <f>B232 &amp; "-" &amp; VLOOKUP(B232,[4]SOUSPROGRAMMES!$E$1:$F$44,2,FALSE)</f>
        <v>13- Accès à l’éducation non formelle</v>
      </c>
      <c r="AB232" s="88" t="str">
        <f>C232 &amp; "-" &amp; VLOOKUP(C232,[4]RESULTATS!$E$1:$F$176,2,FALSE)</f>
        <v>132- L’offre d’éducation non formelle est diversifiée</v>
      </c>
      <c r="AC232" s="89" t="str">
        <f>D232 &amp; "-" &amp; VLOOKUP(D232,[4]STRATEGIES!$E$1:$F$504,2,FALSE)</f>
        <v>132- L’offre d’éducation non formelle est diversifiée</v>
      </c>
      <c r="AD232" s="76" t="str">
        <f t="shared" si="43"/>
        <v>132- L’offre d’éducation non formelle est diversifiée</v>
      </c>
    </row>
    <row r="233" spans="1:30" s="90" customFormat="1" ht="30" customHeight="1" x14ac:dyDescent="0.8">
      <c r="A233" s="84">
        <v>1</v>
      </c>
      <c r="B233" s="85">
        <v>13</v>
      </c>
      <c r="C233" s="85">
        <v>132</v>
      </c>
      <c r="D233" s="85">
        <v>1321</v>
      </c>
      <c r="E233" s="84">
        <v>1321</v>
      </c>
      <c r="F233" s="75" t="s">
        <v>343</v>
      </c>
      <c r="G233" s="86"/>
      <c r="H233" s="86"/>
      <c r="I233" s="78">
        <v>0</v>
      </c>
      <c r="J233" s="78"/>
      <c r="K233" s="78"/>
      <c r="L233" s="78"/>
      <c r="M233" s="78"/>
      <c r="N233" s="78"/>
      <c r="O233" s="78"/>
      <c r="P233" s="78"/>
      <c r="Q233" s="78"/>
      <c r="R233" s="78"/>
      <c r="S233" s="78"/>
      <c r="T233" s="87"/>
      <c r="U233" s="87"/>
      <c r="V233" s="88"/>
      <c r="W233" s="87"/>
      <c r="X233" s="87"/>
      <c r="Y233" s="88" t="s">
        <v>32</v>
      </c>
      <c r="Z233" s="88" t="str">
        <f>A233 &amp; "-" &amp; VLOOKUP(A233,[4]PROGRAMMES!$E$1:$F$7,2,FALSE)</f>
        <v>1-Accès et équité à l'enseignement général</v>
      </c>
      <c r="AA233" s="88" t="str">
        <f>B233 &amp; "-" &amp; VLOOKUP(B233,[4]SOUSPROGRAMMES!$E$1:$F$44,2,FALSE)</f>
        <v>13- Accès à l’éducation non formelle</v>
      </c>
      <c r="AB233" s="88" t="str">
        <f>C233 &amp; "-" &amp; VLOOKUP(C233,[4]RESULTATS!$E$1:$F$176,2,FALSE)</f>
        <v>132- L’offre d’éducation non formelle est diversifiée</v>
      </c>
      <c r="AC233" s="89" t="str">
        <f>D233 &amp; "-" &amp; VLOOKUP(D233,[4]STRATEGIES!$E$1:$F$504,2,FALSE)</f>
        <v>1321-Elargissement de l’approche de la scolarisation primaire accélérée</v>
      </c>
      <c r="AD233" s="76" t="str">
        <f t="shared" si="43"/>
        <v>1321-Elargissement de l’approche de la scolarisation primaire accélérée</v>
      </c>
    </row>
    <row r="234" spans="1:30" s="71" customFormat="1" ht="45" hidden="1" customHeight="1" x14ac:dyDescent="0.8">
      <c r="A234" s="91">
        <v>1</v>
      </c>
      <c r="B234" s="75">
        <v>13</v>
      </c>
      <c r="C234" s="75">
        <v>132</v>
      </c>
      <c r="D234" s="75">
        <v>1321</v>
      </c>
      <c r="E234" s="91">
        <v>13211</v>
      </c>
      <c r="F234" s="75" t="s">
        <v>344</v>
      </c>
      <c r="G234" s="76" t="s">
        <v>54</v>
      </c>
      <c r="H234" s="76" t="s">
        <v>55</v>
      </c>
      <c r="I234" s="78">
        <v>0</v>
      </c>
      <c r="J234" s="77">
        <v>1</v>
      </c>
      <c r="K234" s="77"/>
      <c r="L234" s="77"/>
      <c r="M234" s="77">
        <f t="shared" ref="M234:M260" si="51">SUM(I234:L234)</f>
        <v>1</v>
      </c>
      <c r="N234" s="77">
        <f>IF(OR(H234="",H234="sif",H234="PM"),0,VLOOKUP(H234,[5]CU!$C$4:$H$255,6,FALSE))</f>
        <v>0</v>
      </c>
      <c r="O234" s="77"/>
      <c r="P234" s="77"/>
      <c r="Q234" s="77">
        <f t="shared" ref="Q234:Q239" si="52">$N234*K234</f>
        <v>0</v>
      </c>
      <c r="R234" s="77"/>
      <c r="S234" s="77"/>
      <c r="T234" s="92" t="s">
        <v>169</v>
      </c>
      <c r="U234" s="88" t="s">
        <v>330</v>
      </c>
      <c r="V234" s="88" t="str">
        <f>IF(OR($H234="",$H234="sif",$H234="PM"),"",VLOOKUP($H234,[5]CU!$C$5:$J$255,8,FALSE))</f>
        <v/>
      </c>
      <c r="W234" s="88" t="s">
        <v>331</v>
      </c>
      <c r="X234" s="88" t="s">
        <v>255</v>
      </c>
      <c r="Y234" s="88" t="s">
        <v>32</v>
      </c>
      <c r="Z234" s="88" t="str">
        <f>A234 &amp; "-" &amp; VLOOKUP(A234,[4]PROGRAMMES!$E$1:$F$7,2,FALSE)</f>
        <v>1-Accès et équité à l'enseignement général</v>
      </c>
      <c r="AA234" s="88" t="str">
        <f>B234 &amp; "-" &amp; VLOOKUP(B234,[4]SOUSPROGRAMMES!$E$1:$F$44,2,FALSE)</f>
        <v>13- Accès à l’éducation non formelle</v>
      </c>
      <c r="AB234" s="88" t="str">
        <f>C234 &amp; "-" &amp; VLOOKUP(C234,[4]RESULTATS!$E$1:$F$176,2,FALSE)</f>
        <v>132- L’offre d’éducation non formelle est diversifiée</v>
      </c>
      <c r="AC234" s="89" t="str">
        <f>D234 &amp; "-" &amp; VLOOKUP(D234,[4]STRATEGIES!$E$1:$F$504,2,FALSE)</f>
        <v>1321-Elargissement de l’approche de la scolarisation primaire accélérée</v>
      </c>
      <c r="AD234" s="76" t="str">
        <f t="shared" si="43"/>
        <v>13211-Elargissement progressif de l’approche de la scolarisation primaire accélérée</v>
      </c>
    </row>
    <row r="235" spans="1:30" s="71" customFormat="1" ht="45" hidden="1" customHeight="1" x14ac:dyDescent="0.8">
      <c r="A235" s="91">
        <v>1</v>
      </c>
      <c r="B235" s="75">
        <v>13</v>
      </c>
      <c r="C235" s="75">
        <v>132</v>
      </c>
      <c r="D235" s="75">
        <v>1321</v>
      </c>
      <c r="E235" s="91">
        <v>13212</v>
      </c>
      <c r="F235" s="75" t="s">
        <v>345</v>
      </c>
      <c r="G235" s="76" t="s">
        <v>37</v>
      </c>
      <c r="H235" s="76" t="s">
        <v>38</v>
      </c>
      <c r="I235" s="78">
        <v>0</v>
      </c>
      <c r="J235" s="77">
        <f>50*3*1</f>
        <v>150</v>
      </c>
      <c r="K235" s="77">
        <f>50*3*1</f>
        <v>150</v>
      </c>
      <c r="L235" s="77"/>
      <c r="M235" s="77">
        <f t="shared" si="51"/>
        <v>300</v>
      </c>
      <c r="N235" s="77">
        <f>IF(OR(H235="",H235="sif",H235="PM"),0,VLOOKUP(H235,[5]CU!$C$4:$H$255,6,FALSE))</f>
        <v>0.3133333333333333</v>
      </c>
      <c r="O235" s="77">
        <f>N235*I235</f>
        <v>0</v>
      </c>
      <c r="P235" s="77">
        <f t="shared" ref="P235:R246" si="53">$N235*J235</f>
        <v>46.999999999999993</v>
      </c>
      <c r="Q235" s="77">
        <f t="shared" si="52"/>
        <v>46.999999999999993</v>
      </c>
      <c r="R235" s="77">
        <f t="shared" si="53"/>
        <v>0</v>
      </c>
      <c r="S235" s="77">
        <f t="shared" ref="S235:S244" si="54">SUM(O235:R235)</f>
        <v>93.999999999999986</v>
      </c>
      <c r="T235" s="92" t="s">
        <v>169</v>
      </c>
      <c r="U235" s="88" t="s">
        <v>330</v>
      </c>
      <c r="V235" s="88" t="str">
        <f>IF(OR($H235="",$H235="sif",$H235="PM"),"",VLOOKUP($H235,[5]CU!$C$5:$J$255,8,FALSE))</f>
        <v>3. Formation</v>
      </c>
      <c r="W235" s="88" t="s">
        <v>331</v>
      </c>
      <c r="X235" s="88" t="s">
        <v>331</v>
      </c>
      <c r="Y235" s="88" t="s">
        <v>32</v>
      </c>
      <c r="Z235" s="88" t="str">
        <f>A235 &amp; "-" &amp; VLOOKUP(A235,[4]PROGRAMMES!$E$1:$F$7,2,FALSE)</f>
        <v>1-Accès et équité à l'enseignement général</v>
      </c>
      <c r="AA235" s="88" t="str">
        <f>B235 &amp; "-" &amp; VLOOKUP(B235,[4]SOUSPROGRAMMES!$E$1:$F$44,2,FALSE)</f>
        <v>13- Accès à l’éducation non formelle</v>
      </c>
      <c r="AB235" s="88" t="str">
        <f>C235 &amp; "-" &amp; VLOOKUP(C235,[4]RESULTATS!$E$1:$F$176,2,FALSE)</f>
        <v>132- L’offre d’éducation non formelle est diversifiée</v>
      </c>
      <c r="AC235" s="89" t="str">
        <f>D235 &amp; "-" &amp; VLOOKUP(D235,[4]STRATEGIES!$E$1:$F$504,2,FALSE)</f>
        <v>1321-Elargissement de l’approche de la scolarisation primaire accélérée</v>
      </c>
      <c r="AD235" s="76" t="str">
        <f t="shared" si="43"/>
        <v>13212-Partage de l'expérience de Télimélé sur l’approche de la scolarisation primaire accélérée</v>
      </c>
    </row>
    <row r="236" spans="1:30" s="71" customFormat="1" ht="45" hidden="1" customHeight="1" x14ac:dyDescent="0.8">
      <c r="A236" s="91">
        <v>1</v>
      </c>
      <c r="B236" s="75">
        <v>13</v>
      </c>
      <c r="C236" s="75">
        <v>132</v>
      </c>
      <c r="D236" s="75">
        <v>1321</v>
      </c>
      <c r="E236" s="91">
        <v>13213</v>
      </c>
      <c r="F236" s="75" t="s">
        <v>346</v>
      </c>
      <c r="G236" s="76" t="s">
        <v>37</v>
      </c>
      <c r="H236" s="76" t="s">
        <v>66</v>
      </c>
      <c r="I236" s="78">
        <v>0</v>
      </c>
      <c r="J236" s="77">
        <f>10*10</f>
        <v>100</v>
      </c>
      <c r="K236" s="77">
        <f>10*10</f>
        <v>100</v>
      </c>
      <c r="L236" s="77"/>
      <c r="M236" s="77">
        <f t="shared" si="51"/>
        <v>200</v>
      </c>
      <c r="N236" s="77">
        <f>IF(OR(H236="",H236="sif",H236="PM"),0,VLOOKUP(H236,[5]CU!$C$4:$H$255,6,FALSE))</f>
        <v>0.255</v>
      </c>
      <c r="O236" s="77">
        <f t="shared" ref="O236:O237" si="55">N236*I236</f>
        <v>0</v>
      </c>
      <c r="P236" s="77">
        <f t="shared" si="53"/>
        <v>25.5</v>
      </c>
      <c r="Q236" s="77">
        <f t="shared" si="52"/>
        <v>25.5</v>
      </c>
      <c r="R236" s="77">
        <f t="shared" si="53"/>
        <v>0</v>
      </c>
      <c r="S236" s="77">
        <f t="shared" si="54"/>
        <v>51</v>
      </c>
      <c r="T236" s="92" t="s">
        <v>169</v>
      </c>
      <c r="U236" s="88" t="s">
        <v>330</v>
      </c>
      <c r="V236" s="88" t="str">
        <f>IF(OR($H236="",$H236="sif",$H236="PM"),"",VLOOKUP($H236,[5]CU!$C$5:$J$255,8,FALSE))</f>
        <v>3. Dépenses de fonctionnement</v>
      </c>
      <c r="W236" s="88" t="s">
        <v>331</v>
      </c>
      <c r="X236" s="88" t="s">
        <v>347</v>
      </c>
      <c r="Y236" s="88" t="s">
        <v>32</v>
      </c>
      <c r="Z236" s="88" t="str">
        <f>A236 &amp; "-" &amp; VLOOKUP(A236,[4]PROGRAMMES!$E$1:$F$7,2,FALSE)</f>
        <v>1-Accès et équité à l'enseignement général</v>
      </c>
      <c r="AA236" s="88" t="str">
        <f>B236 &amp; "-" &amp; VLOOKUP(B236,[4]SOUSPROGRAMMES!$E$1:$F$44,2,FALSE)</f>
        <v>13- Accès à l’éducation non formelle</v>
      </c>
      <c r="AB236" s="88" t="str">
        <f>C236 &amp; "-" &amp; VLOOKUP(C236,[4]RESULTATS!$E$1:$F$176,2,FALSE)</f>
        <v>132- L’offre d’éducation non formelle est diversifiée</v>
      </c>
      <c r="AC236" s="89" t="str">
        <f>D236 &amp; "-" &amp; VLOOKUP(D236,[4]STRATEGIES!$E$1:$F$504,2,FALSE)</f>
        <v>1321-Elargissement de l’approche de la scolarisation primaire accélérée</v>
      </c>
      <c r="AD236" s="76" t="str">
        <f t="shared" si="43"/>
        <v>13213-Toilettage des programmes des classes accélérés</v>
      </c>
    </row>
    <row r="237" spans="1:30" s="71" customFormat="1" ht="45" hidden="1" customHeight="1" x14ac:dyDescent="0.8">
      <c r="A237" s="91">
        <v>1</v>
      </c>
      <c r="B237" s="75">
        <v>13</v>
      </c>
      <c r="C237" s="75">
        <v>132</v>
      </c>
      <c r="D237" s="75">
        <v>1321</v>
      </c>
      <c r="E237" s="91">
        <v>13214</v>
      </c>
      <c r="F237" s="75" t="s">
        <v>348</v>
      </c>
      <c r="G237" s="76" t="s">
        <v>37</v>
      </c>
      <c r="H237" s="76" t="s">
        <v>38</v>
      </c>
      <c r="I237" s="78">
        <v>0</v>
      </c>
      <c r="J237" s="77">
        <f>30*2</f>
        <v>60</v>
      </c>
      <c r="K237" s="77"/>
      <c r="L237" s="77"/>
      <c r="M237" s="77">
        <f t="shared" si="51"/>
        <v>60</v>
      </c>
      <c r="N237" s="77">
        <f>IF(OR(H237="",H237="sif",H237="PM"),0,VLOOKUP(H237,[5]CU!$C$4:$H$255,6,FALSE))</f>
        <v>0.3133333333333333</v>
      </c>
      <c r="O237" s="77">
        <f t="shared" si="55"/>
        <v>0</v>
      </c>
      <c r="P237" s="77">
        <f t="shared" si="53"/>
        <v>18.799999999999997</v>
      </c>
      <c r="Q237" s="77">
        <f t="shared" si="52"/>
        <v>0</v>
      </c>
      <c r="R237" s="77">
        <f t="shared" si="53"/>
        <v>0</v>
      </c>
      <c r="S237" s="77">
        <f t="shared" si="54"/>
        <v>18.799999999999997</v>
      </c>
      <c r="T237" s="92" t="s">
        <v>169</v>
      </c>
      <c r="U237" s="88" t="s">
        <v>330</v>
      </c>
      <c r="V237" s="88" t="str">
        <f>IF(OR($H237="",$H237="sif",$H237="PM"),"",VLOOKUP($H237,[5]CU!$C$5:$J$255,8,FALSE))</f>
        <v>3. Formation</v>
      </c>
      <c r="W237" s="88" t="s">
        <v>331</v>
      </c>
      <c r="X237" s="88" t="s">
        <v>331</v>
      </c>
      <c r="Y237" s="88" t="s">
        <v>32</v>
      </c>
      <c r="Z237" s="88" t="str">
        <f>A237 &amp; "-" &amp; VLOOKUP(A237,[4]PROGRAMMES!$E$1:$F$7,2,FALSE)</f>
        <v>1-Accès et équité à l'enseignement général</v>
      </c>
      <c r="AA237" s="88" t="str">
        <f>B237 &amp; "-" &amp; VLOOKUP(B237,[4]SOUSPROGRAMMES!$E$1:$F$44,2,FALSE)</f>
        <v>13- Accès à l’éducation non formelle</v>
      </c>
      <c r="AB237" s="88" t="str">
        <f>C237 &amp; "-" &amp; VLOOKUP(C237,[4]RESULTATS!$E$1:$F$176,2,FALSE)</f>
        <v>132- L’offre d’éducation non formelle est diversifiée</v>
      </c>
      <c r="AC237" s="89" t="str">
        <f>D237 &amp; "-" &amp; VLOOKUP(D237,[4]STRATEGIES!$E$1:$F$504,2,FALSE)</f>
        <v>1321-Elargissement de l’approche de la scolarisation primaire accélérée</v>
      </c>
      <c r="AD237" s="76" t="str">
        <f t="shared" si="43"/>
        <v>13214-Validation des nouveaux programmes</v>
      </c>
    </row>
    <row r="238" spans="1:30" s="71" customFormat="1" ht="45" hidden="1" customHeight="1" x14ac:dyDescent="0.8">
      <c r="A238" s="91">
        <v>1</v>
      </c>
      <c r="B238" s="75">
        <v>13</v>
      </c>
      <c r="C238" s="75">
        <v>132</v>
      </c>
      <c r="D238" s="75">
        <v>1321</v>
      </c>
      <c r="E238" s="91">
        <v>13215</v>
      </c>
      <c r="F238" s="75" t="s">
        <v>349</v>
      </c>
      <c r="G238" s="76" t="s">
        <v>44</v>
      </c>
      <c r="H238" s="76" t="s">
        <v>350</v>
      </c>
      <c r="I238" s="78">
        <v>0</v>
      </c>
      <c r="J238" s="77"/>
      <c r="K238" s="77">
        <f>60*8*3</f>
        <v>1440</v>
      </c>
      <c r="L238" s="77"/>
      <c r="M238" s="77">
        <f t="shared" si="51"/>
        <v>1440</v>
      </c>
      <c r="N238" s="77">
        <f>IF(OR(H238="",H238="sif",H238="PM"),0,VLOOKUP(H238,[5]CU!$C$4:$H$255,6,FALSE))</f>
        <v>0.03</v>
      </c>
      <c r="O238" s="77">
        <f t="shared" ref="O238:O242" si="56">N238*J238</f>
        <v>0</v>
      </c>
      <c r="P238" s="77">
        <f t="shared" si="53"/>
        <v>0</v>
      </c>
      <c r="Q238" s="77">
        <f t="shared" si="52"/>
        <v>43.199999999999996</v>
      </c>
      <c r="R238" s="77">
        <f t="shared" si="53"/>
        <v>0</v>
      </c>
      <c r="S238" s="77">
        <f t="shared" si="54"/>
        <v>43.199999999999996</v>
      </c>
      <c r="T238" s="92" t="s">
        <v>169</v>
      </c>
      <c r="U238" s="88" t="s">
        <v>330</v>
      </c>
      <c r="V238" s="88" t="str">
        <f>IF(OR($H238="",$H238="sif",$H238="PM"),"",VLOOKUP($H238,[5]CU!$C$5:$J$255,8,FALSE))</f>
        <v>3. Manuels scolaires et matériels pédagogiques</v>
      </c>
      <c r="W238" s="88" t="s">
        <v>331</v>
      </c>
      <c r="X238" s="88" t="s">
        <v>331</v>
      </c>
      <c r="Y238" s="88" t="s">
        <v>32</v>
      </c>
      <c r="Z238" s="88" t="str">
        <f>A238 &amp; "-" &amp; VLOOKUP(A238,[4]PROGRAMMES!$E$1:$F$7,2,FALSE)</f>
        <v>1-Accès et équité à l'enseignement général</v>
      </c>
      <c r="AA238" s="88" t="str">
        <f>B238 &amp; "-" &amp; VLOOKUP(B238,[4]SOUSPROGRAMMES!$E$1:$F$44,2,FALSE)</f>
        <v>13- Accès à l’éducation non formelle</v>
      </c>
      <c r="AB238" s="88" t="str">
        <f>C238 &amp; "-" &amp; VLOOKUP(C238,[4]RESULTATS!$E$1:$F$176,2,FALSE)</f>
        <v>132- L’offre d’éducation non formelle est diversifiée</v>
      </c>
      <c r="AC238" s="89" t="str">
        <f>D238 &amp; "-" &amp; VLOOKUP(D238,[4]STRATEGIES!$E$1:$F$504,2,FALSE)</f>
        <v>1321-Elargissement de l’approche de la scolarisation primaire accélérée</v>
      </c>
      <c r="AD238" s="76" t="str">
        <f t="shared" si="43"/>
        <v>13215-Reprographie des nouveaux programmes et des guides</v>
      </c>
    </row>
    <row r="239" spans="1:30" s="71" customFormat="1" ht="45" hidden="1" customHeight="1" x14ac:dyDescent="0.8">
      <c r="A239" s="91">
        <v>1</v>
      </c>
      <c r="B239" s="75">
        <v>13</v>
      </c>
      <c r="C239" s="75">
        <v>132</v>
      </c>
      <c r="D239" s="75">
        <v>1321</v>
      </c>
      <c r="E239" s="91">
        <v>13216</v>
      </c>
      <c r="F239" s="75" t="s">
        <v>351</v>
      </c>
      <c r="G239" s="76" t="s">
        <v>51</v>
      </c>
      <c r="H239" s="76" t="s">
        <v>352</v>
      </c>
      <c r="I239" s="78">
        <v>0</v>
      </c>
      <c r="J239" s="77">
        <f>(10*5*8)*5%</f>
        <v>20</v>
      </c>
      <c r="K239" s="77">
        <f>(50*5*8)</f>
        <v>2000</v>
      </c>
      <c r="L239" s="77">
        <f>(10*5*8)*80.01%</f>
        <v>320.04000000000002</v>
      </c>
      <c r="M239" s="77">
        <f>SUM(I239:L239)</f>
        <v>2340.04</v>
      </c>
      <c r="N239" s="77">
        <f>IF(OR(H239="",H239="sif",H239="PM"),0,VLOOKUP(H239,[5]CU!$C$4:$H$255,6,FALSE))</f>
        <v>0.54600000000000004</v>
      </c>
      <c r="O239" s="77">
        <f>N239*I239</f>
        <v>0</v>
      </c>
      <c r="P239" s="77">
        <f>$N239*J239</f>
        <v>10.920000000000002</v>
      </c>
      <c r="Q239" s="77">
        <f t="shared" si="52"/>
        <v>1092</v>
      </c>
      <c r="R239" s="77">
        <f>$N239*L239</f>
        <v>174.74184000000002</v>
      </c>
      <c r="S239" s="77">
        <f>SUM(O239:R239)</f>
        <v>1277.6618400000002</v>
      </c>
      <c r="T239" s="92" t="s">
        <v>169</v>
      </c>
      <c r="U239" s="88" t="s">
        <v>330</v>
      </c>
      <c r="V239" s="88" t="str">
        <f>IF(OR($H239="",$H239="sif",$H239="PM"),"",VLOOKUP($H239,[5]CU!$C$5:$J$255,8,FALSE))</f>
        <v>3. Formation</v>
      </c>
      <c r="W239" s="88" t="s">
        <v>331</v>
      </c>
      <c r="X239" s="88" t="s">
        <v>282</v>
      </c>
      <c r="Y239" s="88" t="s">
        <v>32</v>
      </c>
      <c r="Z239" s="88" t="str">
        <f>A239 &amp; "-" &amp; VLOOKUP(A239,[4]PROGRAMMES!$E$1:$F$7,2,FALSE)</f>
        <v>1-Accès et équité à l'enseignement général</v>
      </c>
      <c r="AA239" s="88" t="str">
        <f>B239 &amp; "-" &amp; VLOOKUP(B239,[4]SOUSPROGRAMMES!$E$1:$F$44,2,FALSE)</f>
        <v>13- Accès à l’éducation non formelle</v>
      </c>
      <c r="AB239" s="88" t="str">
        <f>C239 &amp; "-" &amp; VLOOKUP(C239,[4]RESULTATS!$E$1:$F$176,2,FALSE)</f>
        <v>132- L’offre d’éducation non formelle est diversifiée</v>
      </c>
      <c r="AC239" s="89" t="str">
        <f>D239 &amp; "-" &amp; VLOOKUP(D239,[4]STRATEGIES!$E$1:$F$504,2,FALSE)</f>
        <v>1321-Elargissement de l’approche de la scolarisation primaire accélérée</v>
      </c>
      <c r="AD239" s="76" t="str">
        <f t="shared" si="43"/>
        <v>13216-Vulgarisation et formation des encadreurs sur les programmes accéléré</v>
      </c>
    </row>
    <row r="240" spans="1:30" s="90" customFormat="1" ht="30" customHeight="1" x14ac:dyDescent="0.8">
      <c r="A240" s="84">
        <v>1</v>
      </c>
      <c r="B240" s="85">
        <v>13</v>
      </c>
      <c r="C240" s="85">
        <v>132</v>
      </c>
      <c r="D240" s="85">
        <v>1321</v>
      </c>
      <c r="E240" s="84">
        <v>13216</v>
      </c>
      <c r="F240" s="75" t="s">
        <v>351</v>
      </c>
      <c r="G240" s="76" t="s">
        <v>51</v>
      </c>
      <c r="H240" s="86" t="s">
        <v>352</v>
      </c>
      <c r="I240" s="78">
        <v>0</v>
      </c>
      <c r="J240" s="78">
        <f>(10*5*8)*19.99%</f>
        <v>79.959999999999994</v>
      </c>
      <c r="K240" s="78"/>
      <c r="L240" s="78">
        <f>(10*5*8)*19.99%</f>
        <v>79.959999999999994</v>
      </c>
      <c r="M240" s="78">
        <f t="shared" si="51"/>
        <v>159.91999999999999</v>
      </c>
      <c r="N240" s="78">
        <f>IF(OR(H240="",H240="sif",H240="PM"),0,VLOOKUP(H240,[5]CU!$C$4:$H$255,6,FALSE))</f>
        <v>0.54600000000000004</v>
      </c>
      <c r="O240" s="78">
        <f t="shared" si="56"/>
        <v>43.658160000000002</v>
      </c>
      <c r="P240" s="78">
        <f t="shared" si="53"/>
        <v>43.658160000000002</v>
      </c>
      <c r="Q240" s="78">
        <f t="shared" si="53"/>
        <v>0</v>
      </c>
      <c r="R240" s="78">
        <f t="shared" si="53"/>
        <v>43.658160000000002</v>
      </c>
      <c r="S240" s="78">
        <f t="shared" si="54"/>
        <v>130.97448</v>
      </c>
      <c r="T240" s="80" t="s">
        <v>118</v>
      </c>
      <c r="U240" s="87" t="s">
        <v>330</v>
      </c>
      <c r="V240" s="88" t="str">
        <f>IF(OR($H240="",$H240="sif",$H240="PM"),"",VLOOKUP($H240,[5]CU!$C$5:$J$255,8,FALSE))</f>
        <v>3. Formation</v>
      </c>
      <c r="W240" s="87" t="s">
        <v>331</v>
      </c>
      <c r="X240" s="87" t="s">
        <v>282</v>
      </c>
      <c r="Y240" s="88" t="s">
        <v>32</v>
      </c>
      <c r="Z240" s="88" t="str">
        <f>A240 &amp; "-" &amp; VLOOKUP(A240,[4]PROGRAMMES!$E$1:$F$7,2,FALSE)</f>
        <v>1-Accès et équité à l'enseignement général</v>
      </c>
      <c r="AA240" s="88" t="str">
        <f>B240 &amp; "-" &amp; VLOOKUP(B240,[4]SOUSPROGRAMMES!$E$1:$F$44,2,FALSE)</f>
        <v>13- Accès à l’éducation non formelle</v>
      </c>
      <c r="AB240" s="88" t="str">
        <f>C240 &amp; "-" &amp; VLOOKUP(C240,[4]RESULTATS!$E$1:$F$176,2,FALSE)</f>
        <v>132- L’offre d’éducation non formelle est diversifiée</v>
      </c>
      <c r="AC240" s="89" t="str">
        <f>D240 &amp; "-" &amp; VLOOKUP(D240,[4]STRATEGIES!$E$1:$F$504,2,FALSE)</f>
        <v>1321-Elargissement de l’approche de la scolarisation primaire accélérée</v>
      </c>
      <c r="AD240" s="76" t="str">
        <f t="shared" si="43"/>
        <v>13216-Vulgarisation et formation des encadreurs sur les programmes accéléré</v>
      </c>
    </row>
    <row r="241" spans="1:30" s="90" customFormat="1" ht="30" customHeight="1" x14ac:dyDescent="0.8">
      <c r="A241" s="84">
        <v>1</v>
      </c>
      <c r="B241" s="85">
        <v>13</v>
      </c>
      <c r="C241" s="85">
        <v>132</v>
      </c>
      <c r="D241" s="85">
        <v>1321</v>
      </c>
      <c r="E241" s="84">
        <v>13217</v>
      </c>
      <c r="F241" s="75" t="s">
        <v>353</v>
      </c>
      <c r="G241" s="76" t="s">
        <v>51</v>
      </c>
      <c r="H241" s="86" t="s">
        <v>52</v>
      </c>
      <c r="I241" s="78"/>
      <c r="J241" s="93">
        <f>30*2</f>
        <v>60</v>
      </c>
      <c r="K241" s="93">
        <f>30*2</f>
        <v>60</v>
      </c>
      <c r="L241" s="93">
        <f>30*2</f>
        <v>60</v>
      </c>
      <c r="M241" s="93">
        <f>SUM(I241:L241)</f>
        <v>180</v>
      </c>
      <c r="N241" s="93">
        <f>IF(OR(H241="",H241="sif",H241="PM"),0,VLOOKUP(H241,[5]CU!$C$4:$H$255,6,FALSE))</f>
        <v>1.5</v>
      </c>
      <c r="O241" s="93">
        <f>N241*J241</f>
        <v>90</v>
      </c>
      <c r="P241" s="93">
        <f>$N241*J241</f>
        <v>90</v>
      </c>
      <c r="Q241" s="93">
        <f>$N241*K241</f>
        <v>90</v>
      </c>
      <c r="R241" s="93">
        <f>$N241*L241</f>
        <v>90</v>
      </c>
      <c r="S241" s="93">
        <f>SUM(O241:R241)</f>
        <v>360</v>
      </c>
      <c r="T241" s="80" t="s">
        <v>67</v>
      </c>
      <c r="U241" s="87" t="s">
        <v>330</v>
      </c>
      <c r="V241" s="88" t="str">
        <f>IF(OR($H241="",$H241="sif",$H241="PM"),"",VLOOKUP($H241,[5]CU!$C$5:$J$255,8,FALSE))</f>
        <v>3. Formation</v>
      </c>
      <c r="W241" s="87" t="s">
        <v>331</v>
      </c>
      <c r="X241" s="87" t="s">
        <v>282</v>
      </c>
      <c r="Y241" s="88" t="s">
        <v>32</v>
      </c>
      <c r="Z241" s="88" t="str">
        <f>A241 &amp; "-" &amp; VLOOKUP(A241,[4]PROGRAMMES!$E$1:$F$7,2,FALSE)</f>
        <v>1-Accès et équité à l'enseignement général</v>
      </c>
      <c r="AA241" s="88" t="str">
        <f>B241 &amp; "-" &amp; VLOOKUP(B241,[4]SOUSPROGRAMMES!$E$1:$F$44,2,FALSE)</f>
        <v>13- Accès à l’éducation non formelle</v>
      </c>
      <c r="AB241" s="88" t="str">
        <f>C241 &amp; "-" &amp; VLOOKUP(C241,[4]RESULTATS!$E$1:$F$176,2,FALSE)</f>
        <v>132- L’offre d’éducation non formelle est diversifiée</v>
      </c>
      <c r="AC241" s="89" t="str">
        <f>D241 &amp; "-" &amp; VLOOKUP(D241,[4]STRATEGIES!$E$1:$F$504,2,FALSE)</f>
        <v>1321-Elargissement de l’approche de la scolarisation primaire accélérée</v>
      </c>
      <c r="AD241" s="76" t="str">
        <f t="shared" si="43"/>
        <v>13217-Formation des enseignants à l'approche de la scolarisation primaire accélérée (évaluation des élèves, etc.)</v>
      </c>
    </row>
    <row r="242" spans="1:30" s="90" customFormat="1" ht="30" hidden="1" customHeight="1" x14ac:dyDescent="0.8">
      <c r="A242" s="84">
        <v>1</v>
      </c>
      <c r="B242" s="85">
        <v>13</v>
      </c>
      <c r="C242" s="85">
        <v>132</v>
      </c>
      <c r="D242" s="85">
        <v>1321</v>
      </c>
      <c r="E242" s="84">
        <v>13217</v>
      </c>
      <c r="F242" s="75" t="s">
        <v>353</v>
      </c>
      <c r="G242" s="76" t="s">
        <v>51</v>
      </c>
      <c r="H242" s="86" t="s">
        <v>52</v>
      </c>
      <c r="I242" s="78">
        <v>0</v>
      </c>
      <c r="J242" s="78">
        <f>30*6</f>
        <v>180</v>
      </c>
      <c r="K242" s="78">
        <f>40*6</f>
        <v>240</v>
      </c>
      <c r="L242" s="78">
        <f>50*6</f>
        <v>300</v>
      </c>
      <c r="M242" s="78">
        <f t="shared" si="51"/>
        <v>720</v>
      </c>
      <c r="N242" s="78">
        <f>IF(OR(H242="",H242="sif",H242="PM"),0,VLOOKUP(H242,[5]CU!$C$4:$H$255,6,FALSE))</f>
        <v>1.5</v>
      </c>
      <c r="O242" s="78">
        <f t="shared" si="56"/>
        <v>270</v>
      </c>
      <c r="P242" s="78">
        <f t="shared" si="53"/>
        <v>270</v>
      </c>
      <c r="Q242" s="78">
        <f t="shared" si="53"/>
        <v>360</v>
      </c>
      <c r="R242" s="78">
        <f t="shared" si="53"/>
        <v>450</v>
      </c>
      <c r="S242" s="78">
        <f t="shared" si="54"/>
        <v>1350</v>
      </c>
      <c r="T242" s="80" t="s">
        <v>56</v>
      </c>
      <c r="U242" s="87" t="s">
        <v>330</v>
      </c>
      <c r="V242" s="88" t="str">
        <f>IF(OR($H242="",$H242="sif",$H242="PM"),"",VLOOKUP($H242,[5]CU!$C$5:$J$255,8,FALSE))</f>
        <v>3. Formation</v>
      </c>
      <c r="W242" s="87" t="s">
        <v>331</v>
      </c>
      <c r="X242" s="87" t="s">
        <v>282</v>
      </c>
      <c r="Y242" s="88" t="s">
        <v>32</v>
      </c>
      <c r="Z242" s="88" t="str">
        <f>A242 &amp; "-" &amp; VLOOKUP(A242,[4]PROGRAMMES!$E$1:$F$7,2,FALSE)</f>
        <v>1-Accès et équité à l'enseignement général</v>
      </c>
      <c r="AA242" s="88" t="str">
        <f>B242 &amp; "-" &amp; VLOOKUP(B242,[4]SOUSPROGRAMMES!$E$1:$F$44,2,FALSE)</f>
        <v>13- Accès à l’éducation non formelle</v>
      </c>
      <c r="AB242" s="88" t="str">
        <f>C242 &amp; "-" &amp; VLOOKUP(C242,[4]RESULTATS!$E$1:$F$176,2,FALSE)</f>
        <v>132- L’offre d’éducation non formelle est diversifiée</v>
      </c>
      <c r="AC242" s="89" t="str">
        <f>D242 &amp; "-" &amp; VLOOKUP(D242,[4]STRATEGIES!$E$1:$F$504,2,FALSE)</f>
        <v>1321-Elargissement de l’approche de la scolarisation primaire accélérée</v>
      </c>
      <c r="AD242" s="76" t="str">
        <f t="shared" si="43"/>
        <v>13217-Formation des enseignants à l'approche de la scolarisation primaire accélérée (évaluation des élèves, etc.)</v>
      </c>
    </row>
    <row r="243" spans="1:30" s="71" customFormat="1" ht="45" hidden="1" customHeight="1" x14ac:dyDescent="0.8">
      <c r="A243" s="91">
        <v>1</v>
      </c>
      <c r="B243" s="75">
        <v>13</v>
      </c>
      <c r="C243" s="75">
        <v>132</v>
      </c>
      <c r="D243" s="75">
        <v>1321</v>
      </c>
      <c r="E243" s="91">
        <v>13218</v>
      </c>
      <c r="F243" s="75" t="s">
        <v>354</v>
      </c>
      <c r="G243" s="76" t="s">
        <v>355</v>
      </c>
      <c r="H243" s="76" t="s">
        <v>59</v>
      </c>
      <c r="I243" s="78">
        <v>0</v>
      </c>
      <c r="J243" s="77"/>
      <c r="K243" s="77">
        <f>(10*10*8)*60%*2</f>
        <v>960</v>
      </c>
      <c r="L243" s="77">
        <f>(10*10*8)*58.62%</f>
        <v>468.96</v>
      </c>
      <c r="M243" s="77">
        <f>SUM(I243:L243)</f>
        <v>1428.96</v>
      </c>
      <c r="N243" s="77">
        <f>IF(OR(H243="",H243="sif",H243="PM"),0,VLOOKUP(H243,[5]CU!$C$4:$H$255,6,FALSE))</f>
        <v>0.8177777777777776</v>
      </c>
      <c r="O243" s="77">
        <f>$N243*I243</f>
        <v>0</v>
      </c>
      <c r="P243" s="77">
        <f>$N243*J243</f>
        <v>0</v>
      </c>
      <c r="Q243" s="77">
        <f>$N243*K243</f>
        <v>785.06666666666649</v>
      </c>
      <c r="R243" s="77">
        <f>$N243*L243</f>
        <v>383.50506666666655</v>
      </c>
      <c r="S243" s="77">
        <f>SUM(O243:R243)</f>
        <v>1168.571733333333</v>
      </c>
      <c r="T243" s="92" t="s">
        <v>169</v>
      </c>
      <c r="U243" s="88" t="s">
        <v>330</v>
      </c>
      <c r="V243" s="88" t="str">
        <f>IF(OR($H243="",$H243="sif",$H243="PM"),"",VLOOKUP($H243,[5]CU!$C$5:$J$255,8,FALSE))</f>
        <v>3. Dépenses de fonctionnement</v>
      </c>
      <c r="W243" s="88" t="s">
        <v>331</v>
      </c>
      <c r="X243" s="88" t="s">
        <v>77</v>
      </c>
      <c r="Y243" s="88" t="s">
        <v>32</v>
      </c>
      <c r="Z243" s="88" t="str">
        <f>A243 &amp; "-" &amp; VLOOKUP(A243,[4]PROGRAMMES!$E$1:$F$7,2,FALSE)</f>
        <v>1-Accès et équité à l'enseignement général</v>
      </c>
      <c r="AA243" s="88" t="str">
        <f>B243 &amp; "-" &amp; VLOOKUP(B243,[4]SOUSPROGRAMMES!$E$1:$F$44,2,FALSE)</f>
        <v>13- Accès à l’éducation non formelle</v>
      </c>
      <c r="AB243" s="88" t="str">
        <f>C243 &amp; "-" &amp; VLOOKUP(C243,[4]RESULTATS!$E$1:$F$176,2,FALSE)</f>
        <v>132- L’offre d’éducation non formelle est diversifiée</v>
      </c>
      <c r="AC243" s="89" t="str">
        <f>D243 &amp; "-" &amp; VLOOKUP(D243,[4]STRATEGIES!$E$1:$F$504,2,FALSE)</f>
        <v>1321-Elargissement de l’approche de la scolarisation primaire accélérée</v>
      </c>
      <c r="AD243" s="76" t="str">
        <f t="shared" si="43"/>
        <v xml:space="preserve">13218-Sensibilisation des parents et du personnel enseignant à l'approche de la scolarisation primaire accélérée </v>
      </c>
    </row>
    <row r="244" spans="1:30" s="90" customFormat="1" ht="30" customHeight="1" x14ac:dyDescent="0.8">
      <c r="A244" s="84">
        <v>1</v>
      </c>
      <c r="B244" s="85">
        <v>13</v>
      </c>
      <c r="C244" s="85">
        <v>132</v>
      </c>
      <c r="D244" s="85">
        <v>1321</v>
      </c>
      <c r="E244" s="84">
        <v>13218</v>
      </c>
      <c r="F244" s="75" t="s">
        <v>354</v>
      </c>
      <c r="G244" s="76" t="s">
        <v>355</v>
      </c>
      <c r="H244" s="86" t="s">
        <v>59</v>
      </c>
      <c r="I244" s="78"/>
      <c r="J244" s="93">
        <f>(10*10*8)*41.38%</f>
        <v>331.04</v>
      </c>
      <c r="K244" s="93">
        <f>(10*10*8)*41.38%</f>
        <v>331.04</v>
      </c>
      <c r="L244" s="93">
        <f>(10*10*8)*41.38%</f>
        <v>331.04</v>
      </c>
      <c r="M244" s="93">
        <f t="shared" si="51"/>
        <v>993.12000000000012</v>
      </c>
      <c r="N244" s="93">
        <f>IF(OR(H244="",H244="sif",H244="PM"),0,VLOOKUP(H244,[5]CU!$C$4:$H$255,6,FALSE))</f>
        <v>0.8177777777777776</v>
      </c>
      <c r="O244" s="93">
        <f>$N244*I244</f>
        <v>0</v>
      </c>
      <c r="P244" s="93">
        <f t="shared" si="53"/>
        <v>270.71715555555551</v>
      </c>
      <c r="Q244" s="93">
        <f t="shared" si="53"/>
        <v>270.71715555555551</v>
      </c>
      <c r="R244" s="93">
        <f t="shared" si="53"/>
        <v>270.71715555555551</v>
      </c>
      <c r="S244" s="93">
        <f t="shared" si="54"/>
        <v>812.15146666666647</v>
      </c>
      <c r="T244" s="80" t="s">
        <v>67</v>
      </c>
      <c r="U244" s="87" t="s">
        <v>330</v>
      </c>
      <c r="V244" s="88" t="str">
        <f>IF(OR($H244="",$H244="sif",$H244="PM"),"",VLOOKUP($H244,[5]CU!$C$5:$J$255,8,FALSE))</f>
        <v>3. Dépenses de fonctionnement</v>
      </c>
      <c r="W244" s="87" t="s">
        <v>331</v>
      </c>
      <c r="X244" s="87" t="s">
        <v>77</v>
      </c>
      <c r="Y244" s="88" t="s">
        <v>32</v>
      </c>
      <c r="Z244" s="88" t="str">
        <f>A244 &amp; "-" &amp; VLOOKUP(A244,[4]PROGRAMMES!$E$1:$F$7,2,FALSE)</f>
        <v>1-Accès et équité à l'enseignement général</v>
      </c>
      <c r="AA244" s="88" t="str">
        <f>B244 &amp; "-" &amp; VLOOKUP(B244,[4]SOUSPROGRAMMES!$E$1:$F$44,2,FALSE)</f>
        <v>13- Accès à l’éducation non formelle</v>
      </c>
      <c r="AB244" s="88" t="str">
        <f>C244 &amp; "-" &amp; VLOOKUP(C244,[4]RESULTATS!$E$1:$F$176,2,FALSE)</f>
        <v>132- L’offre d’éducation non formelle est diversifiée</v>
      </c>
      <c r="AC244" s="89" t="str">
        <f>D244 &amp; "-" &amp; VLOOKUP(D244,[4]STRATEGIES!$E$1:$F$504,2,FALSE)</f>
        <v>1321-Elargissement de l’approche de la scolarisation primaire accélérée</v>
      </c>
      <c r="AD244" s="76" t="str">
        <f t="shared" si="43"/>
        <v xml:space="preserve">13218-Sensibilisation des parents et du personnel enseignant à l'approche de la scolarisation primaire accélérée </v>
      </c>
    </row>
    <row r="245" spans="1:30" s="71" customFormat="1" ht="45" hidden="1" customHeight="1" x14ac:dyDescent="0.8">
      <c r="A245" s="91">
        <v>1</v>
      </c>
      <c r="B245" s="75">
        <v>13</v>
      </c>
      <c r="C245" s="75">
        <v>132</v>
      </c>
      <c r="D245" s="75">
        <v>1321</v>
      </c>
      <c r="E245" s="91">
        <v>13219</v>
      </c>
      <c r="F245" s="75" t="s">
        <v>356</v>
      </c>
      <c r="G245" s="76" t="s">
        <v>54</v>
      </c>
      <c r="H245" s="76" t="s">
        <v>55</v>
      </c>
      <c r="I245" s="78">
        <v>0</v>
      </c>
      <c r="J245" s="77"/>
      <c r="K245" s="77">
        <v>1</v>
      </c>
      <c r="L245" s="77">
        <v>1</v>
      </c>
      <c r="M245" s="77">
        <f t="shared" si="51"/>
        <v>2</v>
      </c>
      <c r="N245" s="77">
        <f>IF(OR(H245="",H245="sif",H245="PM"),0,VLOOKUP(H245,[5]CU!$C$4:$H$255,6,FALSE))</f>
        <v>0</v>
      </c>
      <c r="O245" s="77"/>
      <c r="P245" s="77"/>
      <c r="Q245" s="77">
        <f t="shared" si="53"/>
        <v>0</v>
      </c>
      <c r="R245" s="77"/>
      <c r="S245" s="77"/>
      <c r="T245" s="92" t="s">
        <v>169</v>
      </c>
      <c r="U245" s="88" t="s">
        <v>330</v>
      </c>
      <c r="V245" s="88" t="str">
        <f>IF(OR($H245="",$H245="sif",$H245="PM"),"",VLOOKUP($H245,[5]CU!$C$5:$J$255,8,FALSE))</f>
        <v/>
      </c>
      <c r="W245" s="88" t="s">
        <v>331</v>
      </c>
      <c r="X245" s="88" t="s">
        <v>77</v>
      </c>
      <c r="Y245" s="88" t="s">
        <v>32</v>
      </c>
      <c r="Z245" s="88" t="str">
        <f>A245 &amp; "-" &amp; VLOOKUP(A245,[4]PROGRAMMES!$E$1:$F$7,2,FALSE)</f>
        <v>1-Accès et équité à l'enseignement général</v>
      </c>
      <c r="AA245" s="88" t="str">
        <f>B245 &amp; "-" &amp; VLOOKUP(B245,[4]SOUSPROGRAMMES!$E$1:$F$44,2,FALSE)</f>
        <v>13- Accès à l’éducation non formelle</v>
      </c>
      <c r="AB245" s="88" t="str">
        <f>C245 &amp; "-" &amp; VLOOKUP(C245,[4]RESULTATS!$E$1:$F$176,2,FALSE)</f>
        <v>132- L’offre d’éducation non formelle est diversifiée</v>
      </c>
      <c r="AC245" s="89" t="str">
        <f>D245 &amp; "-" &amp; VLOOKUP(D245,[4]STRATEGIES!$E$1:$F$504,2,FALSE)</f>
        <v>1321-Elargissement de l’approche de la scolarisation primaire accélérée</v>
      </c>
      <c r="AD245" s="76" t="str">
        <f t="shared" si="43"/>
        <v xml:space="preserve">13219-Mise place progressive de l'approche de la scolarisation primaire accélérée dans les écoles </v>
      </c>
    </row>
    <row r="246" spans="1:30" s="71" customFormat="1" ht="45" hidden="1" customHeight="1" x14ac:dyDescent="0.8">
      <c r="A246" s="91">
        <v>1</v>
      </c>
      <c r="B246" s="75">
        <v>13</v>
      </c>
      <c r="C246" s="75">
        <v>132</v>
      </c>
      <c r="D246" s="75">
        <v>1321</v>
      </c>
      <c r="E246" s="91">
        <v>132110</v>
      </c>
      <c r="F246" s="75" t="s">
        <v>357</v>
      </c>
      <c r="G246" s="76" t="s">
        <v>358</v>
      </c>
      <c r="H246" s="76" t="s">
        <v>359</v>
      </c>
      <c r="I246" s="78">
        <v>0</v>
      </c>
      <c r="J246" s="77">
        <f>1*80.01%</f>
        <v>0.80010000000000003</v>
      </c>
      <c r="K246" s="77">
        <v>1</v>
      </c>
      <c r="L246" s="77">
        <f>1*80.01%</f>
        <v>0.80010000000000003</v>
      </c>
      <c r="M246" s="77">
        <f>SUM(I246:L246)</f>
        <v>2.6002000000000001</v>
      </c>
      <c r="N246" s="77">
        <f>IF(OR(H246="",H246="sif",H246="PM"),0,VLOOKUP(H246,[5]CU!$C$4:$H$255,6,FALSE))</f>
        <v>60.923138000000002</v>
      </c>
      <c r="O246" s="77">
        <f t="shared" ref="O246:R247" si="57">$N246*I246</f>
        <v>0</v>
      </c>
      <c r="P246" s="77">
        <f t="shared" si="57"/>
        <v>48.744602713800006</v>
      </c>
      <c r="Q246" s="77">
        <f t="shared" si="53"/>
        <v>60.923138000000002</v>
      </c>
      <c r="R246" s="77">
        <f t="shared" si="57"/>
        <v>48.744602713800006</v>
      </c>
      <c r="S246" s="77">
        <f>SUM(O246:R246)</f>
        <v>158.41234342760004</v>
      </c>
      <c r="T246" s="92" t="s">
        <v>169</v>
      </c>
      <c r="U246" s="88" t="s">
        <v>330</v>
      </c>
      <c r="V246" s="88" t="str">
        <f>IF(OR($H246="",$H246="sif",$H246="PM"),"",VLOOKUP($H246,[5]CU!$C$5:$J$255,8,FALSE))</f>
        <v>3. Manuels scolaires et matériels pédagogiques</v>
      </c>
      <c r="W246" s="88" t="s">
        <v>331</v>
      </c>
      <c r="X246" s="88" t="s">
        <v>77</v>
      </c>
      <c r="Y246" s="88" t="s">
        <v>32</v>
      </c>
      <c r="Z246" s="88" t="str">
        <f>A246 &amp; "-" &amp; VLOOKUP(A246,[4]PROGRAMMES!$E$1:$F$7,2,FALSE)</f>
        <v>1-Accès et équité à l'enseignement général</v>
      </c>
      <c r="AA246" s="88" t="str">
        <f>B246 &amp; "-" &amp; VLOOKUP(B246,[4]SOUSPROGRAMMES!$E$1:$F$44,2,FALSE)</f>
        <v>13- Accès à l’éducation non formelle</v>
      </c>
      <c r="AB246" s="88" t="str">
        <f>C246 &amp; "-" &amp; VLOOKUP(C246,[4]RESULTATS!$E$1:$F$176,2,FALSE)</f>
        <v>132- L’offre d’éducation non formelle est diversifiée</v>
      </c>
      <c r="AC246" s="89" t="str">
        <f>D246 &amp; "-" &amp; VLOOKUP(D246,[4]STRATEGIES!$E$1:$F$504,2,FALSE)</f>
        <v>1321-Elargissement de l’approche de la scolarisation primaire accélérée</v>
      </c>
      <c r="AD246" s="76" t="str">
        <f t="shared" si="43"/>
        <v>132110-Acquisition et distribution de fourniture scolaire et de matériel didactique pour les élèves au primaire)</v>
      </c>
    </row>
    <row r="247" spans="1:30" s="90" customFormat="1" ht="30" customHeight="1" x14ac:dyDescent="0.8">
      <c r="A247" s="84">
        <v>1</v>
      </c>
      <c r="B247" s="85">
        <v>13</v>
      </c>
      <c r="C247" s="85">
        <v>132</v>
      </c>
      <c r="D247" s="85">
        <v>1321</v>
      </c>
      <c r="E247" s="84">
        <v>132110</v>
      </c>
      <c r="F247" s="75" t="s">
        <v>357</v>
      </c>
      <c r="G247" s="76" t="s">
        <v>358</v>
      </c>
      <c r="H247" s="86" t="s">
        <v>359</v>
      </c>
      <c r="I247" s="78">
        <v>0</v>
      </c>
      <c r="J247" s="78">
        <f>1*19.99%</f>
        <v>0.19989999999999999</v>
      </c>
      <c r="K247" s="78">
        <f>1*19.99%</f>
        <v>0.19989999999999999</v>
      </c>
      <c r="L247" s="78">
        <f>1*19.99%</f>
        <v>0.19989999999999999</v>
      </c>
      <c r="M247" s="78">
        <f t="shared" si="51"/>
        <v>0.59970000000000001</v>
      </c>
      <c r="N247" s="78">
        <f>IF(OR(H247="",H247="sif",H247="PM"),0,VLOOKUP(H247,[5]CU!$C$4:$H$255,6,FALSE))</f>
        <v>60.923138000000002</v>
      </c>
      <c r="O247" s="78">
        <f t="shared" si="57"/>
        <v>0</v>
      </c>
      <c r="P247" s="78">
        <f t="shared" si="57"/>
        <v>12.178535286200001</v>
      </c>
      <c r="Q247" s="78">
        <f t="shared" si="57"/>
        <v>12.178535286200001</v>
      </c>
      <c r="R247" s="78">
        <f t="shared" si="57"/>
        <v>12.178535286200001</v>
      </c>
      <c r="S247" s="78">
        <f>SUM(O247:R247)</f>
        <v>36.5356058586</v>
      </c>
      <c r="T247" s="80" t="s">
        <v>118</v>
      </c>
      <c r="U247" s="87" t="s">
        <v>330</v>
      </c>
      <c r="V247" s="88" t="str">
        <f>IF(OR($H247="",$H247="sif",$H247="PM"),"",VLOOKUP($H247,[5]CU!$C$5:$J$255,8,FALSE))</f>
        <v>3. Manuels scolaires et matériels pédagogiques</v>
      </c>
      <c r="W247" s="87" t="s">
        <v>331</v>
      </c>
      <c r="X247" s="87" t="s">
        <v>77</v>
      </c>
      <c r="Y247" s="88" t="s">
        <v>32</v>
      </c>
      <c r="Z247" s="88" t="str">
        <f>A247 &amp; "-" &amp; VLOOKUP(A247,[4]PROGRAMMES!$E$1:$F$7,2,FALSE)</f>
        <v>1-Accès et équité à l'enseignement général</v>
      </c>
      <c r="AA247" s="88" t="str">
        <f>B247 &amp; "-" &amp; VLOOKUP(B247,[4]SOUSPROGRAMMES!$E$1:$F$44,2,FALSE)</f>
        <v>13- Accès à l’éducation non formelle</v>
      </c>
      <c r="AB247" s="88" t="str">
        <f>C247 &amp; "-" &amp; VLOOKUP(C247,[4]RESULTATS!$E$1:$F$176,2,FALSE)</f>
        <v>132- L’offre d’éducation non formelle est diversifiée</v>
      </c>
      <c r="AC247" s="89" t="str">
        <f>D247 &amp; "-" &amp; VLOOKUP(D247,[4]STRATEGIES!$E$1:$F$504,2,FALSE)</f>
        <v>1321-Elargissement de l’approche de la scolarisation primaire accélérée</v>
      </c>
      <c r="AD247" s="76" t="str">
        <f t="shared" si="43"/>
        <v>132110-Acquisition et distribution de fourniture scolaire et de matériel didactique pour les élèves au primaire)</v>
      </c>
    </row>
    <row r="248" spans="1:30" s="90" customFormat="1" ht="45" hidden="1" customHeight="1" x14ac:dyDescent="0.8">
      <c r="A248" s="84">
        <v>1</v>
      </c>
      <c r="B248" s="85">
        <v>13</v>
      </c>
      <c r="C248" s="85">
        <v>132</v>
      </c>
      <c r="D248" s="85">
        <v>1321</v>
      </c>
      <c r="E248" s="84">
        <v>132111</v>
      </c>
      <c r="F248" s="75" t="s">
        <v>360</v>
      </c>
      <c r="G248" s="76" t="s">
        <v>88</v>
      </c>
      <c r="H248" s="86" t="s">
        <v>55</v>
      </c>
      <c r="I248" s="78">
        <v>0</v>
      </c>
      <c r="J248" s="78">
        <v>1</v>
      </c>
      <c r="K248" s="78">
        <v>1</v>
      </c>
      <c r="L248" s="78">
        <v>1</v>
      </c>
      <c r="M248" s="78">
        <f t="shared" si="51"/>
        <v>3</v>
      </c>
      <c r="N248" s="78">
        <f>IF(OR(H248="",H248="sif",H248="PM"),0,VLOOKUP(H248,[5]CU!$C$4:$H$255,6,FALSE))</f>
        <v>0</v>
      </c>
      <c r="O248" s="78"/>
      <c r="P248" s="78"/>
      <c r="Q248" s="78"/>
      <c r="R248" s="78"/>
      <c r="S248" s="78"/>
      <c r="T248" s="80" t="s">
        <v>56</v>
      </c>
      <c r="U248" s="87" t="s">
        <v>330</v>
      </c>
      <c r="V248" s="88" t="str">
        <f>IF(OR($H248="",$H248="sif",$H248="PM"),"",VLOOKUP($H248,[5]CU!$C$5:$J$255,8,FALSE))</f>
        <v/>
      </c>
      <c r="W248" s="87" t="s">
        <v>331</v>
      </c>
      <c r="X248" s="87" t="s">
        <v>282</v>
      </c>
      <c r="Y248" s="88" t="s">
        <v>32</v>
      </c>
      <c r="Z248" s="88" t="str">
        <f>A248 &amp; "-" &amp; VLOOKUP(A248,[4]PROGRAMMES!$E$1:$F$7,2,FALSE)</f>
        <v>1-Accès et équité à l'enseignement général</v>
      </c>
      <c r="AA248" s="88" t="str">
        <f>B248 &amp; "-" &amp; VLOOKUP(B248,[4]SOUSPROGRAMMES!$E$1:$F$44,2,FALSE)</f>
        <v>13- Accès à l’éducation non formelle</v>
      </c>
      <c r="AB248" s="88" t="str">
        <f>C248 &amp; "-" &amp; VLOOKUP(C248,[4]RESULTATS!$E$1:$F$176,2,FALSE)</f>
        <v>132- L’offre d’éducation non formelle est diversifiée</v>
      </c>
      <c r="AC248" s="89" t="str">
        <f>D248 &amp; "-" &amp; VLOOKUP(D248,[4]STRATEGIES!$E$1:$F$504,2,FALSE)</f>
        <v>1321-Elargissement de l’approche de la scolarisation primaire accélérée</v>
      </c>
      <c r="AD248" s="76" t="str">
        <f t="shared" si="43"/>
        <v>132111-Réorganisation de l'horaire des cours pour optimiser l’utilisation des infrastructures existantes en vue d’assurer la scolarisation accélérée</v>
      </c>
    </row>
    <row r="249" spans="1:30" s="71" customFormat="1" ht="45" hidden="1" customHeight="1" x14ac:dyDescent="0.8">
      <c r="A249" s="91">
        <v>1</v>
      </c>
      <c r="B249" s="75">
        <v>13</v>
      </c>
      <c r="C249" s="75">
        <v>132</v>
      </c>
      <c r="D249" s="75">
        <v>1321</v>
      </c>
      <c r="E249" s="91">
        <v>132112</v>
      </c>
      <c r="F249" s="75" t="s">
        <v>361</v>
      </c>
      <c r="G249" s="76" t="s">
        <v>177</v>
      </c>
      <c r="H249" s="76" t="s">
        <v>59</v>
      </c>
      <c r="I249" s="78">
        <v>0</v>
      </c>
      <c r="J249" s="77"/>
      <c r="K249" s="77">
        <f>(4*10*8)*95%</f>
        <v>304</v>
      </c>
      <c r="L249" s="77">
        <f>(4*10*8)*80.01%</f>
        <v>256.03200000000004</v>
      </c>
      <c r="M249" s="77">
        <f>SUM(I249:L249)</f>
        <v>560.03200000000004</v>
      </c>
      <c r="N249" s="77">
        <f>IF(OR(H249="",H249="sif",H249="PM"),0,VLOOKUP(H249,[5]CU!$C$4:$H$255,6,FALSE))</f>
        <v>0.8177777777777776</v>
      </c>
      <c r="O249" s="77">
        <f>$N249*I249</f>
        <v>0</v>
      </c>
      <c r="P249" s="77">
        <f>$N249*J249</f>
        <v>0</v>
      </c>
      <c r="Q249" s="77">
        <f>$N249*K249</f>
        <v>248.6044444444444</v>
      </c>
      <c r="R249" s="77">
        <f>$N249*L249</f>
        <v>209.37727999999998</v>
      </c>
      <c r="S249" s="77">
        <f>SUM(O249:R249)</f>
        <v>457.98172444444435</v>
      </c>
      <c r="T249" s="92" t="s">
        <v>169</v>
      </c>
      <c r="U249" s="88" t="s">
        <v>330</v>
      </c>
      <c r="V249" s="88" t="str">
        <f>IF(OR($H249="",$H249="sif",$H249="PM"),"",VLOOKUP($H249,[5]CU!$C$5:$J$255,8,FALSE))</f>
        <v>3. Dépenses de fonctionnement</v>
      </c>
      <c r="W249" s="88" t="s">
        <v>331</v>
      </c>
      <c r="X249" s="88" t="s">
        <v>331</v>
      </c>
      <c r="Y249" s="88" t="s">
        <v>32</v>
      </c>
      <c r="Z249" s="88" t="str">
        <f>A249 &amp; "-" &amp; VLOOKUP(A249,[4]PROGRAMMES!$E$1:$F$7,2,FALSE)</f>
        <v>1-Accès et équité à l'enseignement général</v>
      </c>
      <c r="AA249" s="88" t="str">
        <f>B249 &amp; "-" &amp; VLOOKUP(B249,[4]SOUSPROGRAMMES!$E$1:$F$44,2,FALSE)</f>
        <v>13- Accès à l’éducation non formelle</v>
      </c>
      <c r="AB249" s="88" t="str">
        <f>C249 &amp; "-" &amp; VLOOKUP(C249,[4]RESULTATS!$E$1:$F$176,2,FALSE)</f>
        <v>132- L’offre d’éducation non formelle est diversifiée</v>
      </c>
      <c r="AC249" s="89" t="str">
        <f>D249 &amp; "-" &amp; VLOOKUP(D249,[4]STRATEGIES!$E$1:$F$504,2,FALSE)</f>
        <v>1321-Elargissement de l’approche de la scolarisation primaire accélérée</v>
      </c>
      <c r="AD249" s="76" t="str">
        <f t="shared" si="43"/>
        <v>132112-Suivi/évaluation de l'approche de la scolarisation primaire accélérée</v>
      </c>
    </row>
    <row r="250" spans="1:30" s="90" customFormat="1" ht="30" customHeight="1" x14ac:dyDescent="0.8">
      <c r="A250" s="84">
        <v>1</v>
      </c>
      <c r="B250" s="85">
        <v>13</v>
      </c>
      <c r="C250" s="85">
        <v>132</v>
      </c>
      <c r="D250" s="85">
        <v>1321</v>
      </c>
      <c r="E250" s="84">
        <v>132112</v>
      </c>
      <c r="F250" s="75" t="s">
        <v>361</v>
      </c>
      <c r="G250" s="76" t="s">
        <v>177</v>
      </c>
      <c r="H250" s="86" t="s">
        <v>59</v>
      </c>
      <c r="I250" s="78">
        <v>0</v>
      </c>
      <c r="J250" s="78"/>
      <c r="K250" s="78">
        <f>(4*10*8)*19.99%</f>
        <v>63.967999999999996</v>
      </c>
      <c r="L250" s="78">
        <f>(4*10*8)*19.99%</f>
        <v>63.967999999999996</v>
      </c>
      <c r="M250" s="78">
        <f t="shared" si="51"/>
        <v>127.93599999999999</v>
      </c>
      <c r="N250" s="78">
        <f>IF(OR(H250="",H250="sif",H250="PM"),0,VLOOKUP(H250,[5]CU!$C$4:$H$255,6,FALSE))</f>
        <v>0.8177777777777776</v>
      </c>
      <c r="O250" s="78">
        <f t="shared" ref="O250:R259" si="58">$N250*I250</f>
        <v>0</v>
      </c>
      <c r="P250" s="78">
        <f t="shared" si="58"/>
        <v>0</v>
      </c>
      <c r="Q250" s="78">
        <f t="shared" si="58"/>
        <v>52.311608888888877</v>
      </c>
      <c r="R250" s="78">
        <f t="shared" si="58"/>
        <v>52.311608888888877</v>
      </c>
      <c r="S250" s="78">
        <f>SUM(O250:R250)</f>
        <v>104.62321777777775</v>
      </c>
      <c r="T250" s="80" t="s">
        <v>118</v>
      </c>
      <c r="U250" s="87" t="s">
        <v>330</v>
      </c>
      <c r="V250" s="88" t="str">
        <f>IF(OR($H250="",$H250="sif",$H250="PM"),"",VLOOKUP($H250,[5]CU!$C$5:$J$255,8,FALSE))</f>
        <v>3. Dépenses de fonctionnement</v>
      </c>
      <c r="W250" s="87" t="s">
        <v>331</v>
      </c>
      <c r="X250" s="87" t="s">
        <v>331</v>
      </c>
      <c r="Y250" s="88" t="s">
        <v>32</v>
      </c>
      <c r="Z250" s="88" t="str">
        <f>A250 &amp; "-" &amp; VLOOKUP(A250,[4]PROGRAMMES!$E$1:$F$7,2,FALSE)</f>
        <v>1-Accès et équité à l'enseignement général</v>
      </c>
      <c r="AA250" s="88" t="str">
        <f>B250 &amp; "-" &amp; VLOOKUP(B250,[4]SOUSPROGRAMMES!$E$1:$F$44,2,FALSE)</f>
        <v>13- Accès à l’éducation non formelle</v>
      </c>
      <c r="AB250" s="88" t="str">
        <f>C250 &amp; "-" &amp; VLOOKUP(C250,[4]RESULTATS!$E$1:$F$176,2,FALSE)</f>
        <v>132- L’offre d’éducation non formelle est diversifiée</v>
      </c>
      <c r="AC250" s="89" t="str">
        <f>D250 &amp; "-" &amp; VLOOKUP(D250,[4]STRATEGIES!$E$1:$F$504,2,FALSE)</f>
        <v>1321-Elargissement de l’approche de la scolarisation primaire accélérée</v>
      </c>
      <c r="AD250" s="76" t="str">
        <f t="shared" si="43"/>
        <v>132112-Suivi/évaluation de l'approche de la scolarisation primaire accélérée</v>
      </c>
    </row>
    <row r="251" spans="1:30" s="90" customFormat="1" ht="45" customHeight="1" x14ac:dyDescent="0.8">
      <c r="A251" s="84">
        <v>1</v>
      </c>
      <c r="B251" s="85">
        <v>13</v>
      </c>
      <c r="C251" s="85">
        <v>132</v>
      </c>
      <c r="D251" s="85">
        <v>1322</v>
      </c>
      <c r="E251" s="84">
        <v>1322</v>
      </c>
      <c r="F251" s="75" t="s">
        <v>362</v>
      </c>
      <c r="G251" s="86"/>
      <c r="H251" s="86"/>
      <c r="I251" s="78">
        <v>0</v>
      </c>
      <c r="J251" s="78"/>
      <c r="K251" s="78"/>
      <c r="L251" s="78"/>
      <c r="M251" s="78"/>
      <c r="N251" s="78"/>
      <c r="O251" s="78"/>
      <c r="P251" s="78"/>
      <c r="Q251" s="78"/>
      <c r="R251" s="78"/>
      <c r="S251" s="78"/>
      <c r="T251" s="87"/>
      <c r="U251" s="87"/>
      <c r="V251" s="88"/>
      <c r="W251" s="87"/>
      <c r="X251" s="87"/>
      <c r="Y251" s="88" t="s">
        <v>32</v>
      </c>
      <c r="Z251" s="88" t="str">
        <f>A251 &amp; "-" &amp; VLOOKUP(A251,[4]PROGRAMMES!$E$1:$F$7,2,FALSE)</f>
        <v>1-Accès et équité à l'enseignement général</v>
      </c>
      <c r="AA251" s="88" t="str">
        <f>B251 &amp; "-" &amp; VLOOKUP(B251,[4]SOUSPROGRAMMES!$E$1:$F$44,2,FALSE)</f>
        <v>13- Accès à l’éducation non formelle</v>
      </c>
      <c r="AB251" s="88" t="str">
        <f>C251 &amp; "-" &amp; VLOOKUP(C251,[4]RESULTATS!$E$1:$F$176,2,FALSE)</f>
        <v>132- L’offre d’éducation non formelle est diversifiée</v>
      </c>
      <c r="AC251" s="89" t="str">
        <f>D251 &amp; "-" &amp; VLOOKUP(D251,[4]STRATEGIES!$E$1:$F$504,2,FALSE)</f>
        <v>1322-Réorganisation de l’apprentissage dans les centres NAFA en fonction des besoins locaux et développement des passerelles entre le formel et le non formel</v>
      </c>
      <c r="AD251" s="76" t="str">
        <f t="shared" si="43"/>
        <v>1322-Réorganisation de l’apprentissage dans les centres NAFA en fonction des besoins locaux et développement des passerelles entre le formel et le non formel</v>
      </c>
    </row>
    <row r="252" spans="1:30" s="71" customFormat="1" ht="45" hidden="1" customHeight="1" x14ac:dyDescent="0.8">
      <c r="A252" s="91">
        <v>1</v>
      </c>
      <c r="B252" s="75">
        <v>13</v>
      </c>
      <c r="C252" s="75">
        <v>132</v>
      </c>
      <c r="D252" s="75">
        <v>1322</v>
      </c>
      <c r="E252" s="91">
        <v>13221</v>
      </c>
      <c r="F252" s="75" t="s">
        <v>363</v>
      </c>
      <c r="G252" s="76" t="s">
        <v>37</v>
      </c>
      <c r="H252" s="76" t="s">
        <v>66</v>
      </c>
      <c r="I252" s="78">
        <v>0</v>
      </c>
      <c r="J252" s="77"/>
      <c r="K252" s="77">
        <f>8*20*4</f>
        <v>640</v>
      </c>
      <c r="L252" s="77"/>
      <c r="M252" s="77">
        <f t="shared" si="51"/>
        <v>640</v>
      </c>
      <c r="N252" s="77">
        <f>IF(OR(H252="",H252="sif",H252="PM"),0,VLOOKUP(H252,[5]CU!$C$4:$H$255,6,FALSE))</f>
        <v>0.255</v>
      </c>
      <c r="O252" s="77">
        <f t="shared" si="58"/>
        <v>0</v>
      </c>
      <c r="P252" s="77">
        <f t="shared" si="58"/>
        <v>0</v>
      </c>
      <c r="Q252" s="77">
        <f t="shared" si="58"/>
        <v>163.19999999999999</v>
      </c>
      <c r="R252" s="77">
        <f t="shared" si="58"/>
        <v>0</v>
      </c>
      <c r="S252" s="77">
        <f>SUM(O252:R252)</f>
        <v>163.19999999999999</v>
      </c>
      <c r="T252" s="92" t="s">
        <v>169</v>
      </c>
      <c r="U252" s="88" t="s">
        <v>330</v>
      </c>
      <c r="V252" s="88" t="str">
        <f>IF(OR($H252="",$H252="sif",$H252="PM"),"",VLOOKUP($H252,[5]CU!$C$5:$J$255,8,FALSE))</f>
        <v>3. Dépenses de fonctionnement</v>
      </c>
      <c r="W252" s="88" t="s">
        <v>331</v>
      </c>
      <c r="X252" s="88" t="s">
        <v>347</v>
      </c>
      <c r="Y252" s="88" t="s">
        <v>32</v>
      </c>
      <c r="Z252" s="88" t="str">
        <f>A252 &amp; "-" &amp; VLOOKUP(A252,[4]PROGRAMMES!$E$1:$F$7,2,FALSE)</f>
        <v>1-Accès et équité à l'enseignement général</v>
      </c>
      <c r="AA252" s="88" t="str">
        <f>B252 &amp; "-" &amp; VLOOKUP(B252,[4]SOUSPROGRAMMES!$E$1:$F$44,2,FALSE)</f>
        <v>13- Accès à l’éducation non formelle</v>
      </c>
      <c r="AB252" s="88" t="str">
        <f>C252 &amp; "-" &amp; VLOOKUP(C252,[4]RESULTATS!$E$1:$F$176,2,FALSE)</f>
        <v>132- L’offre d’éducation non formelle est diversifiée</v>
      </c>
      <c r="AC252" s="89" t="str">
        <f>D252 &amp; "-" &amp; VLOOKUP(D252,[4]STRATEGIES!$E$1:$F$504,2,FALSE)</f>
        <v>1322-Réorganisation de l’apprentissage dans les centres NAFA en fonction des besoins locaux et développement des passerelles entre le formel et le non formel</v>
      </c>
      <c r="AD252" s="76" t="str">
        <f t="shared" si="43"/>
        <v>13221-Révision des contenus des programmes pour favoriser les passerelles (programmes NAFA)</v>
      </c>
    </row>
    <row r="253" spans="1:30" s="71" customFormat="1" ht="45" hidden="1" customHeight="1" x14ac:dyDescent="0.8">
      <c r="A253" s="91">
        <v>1</v>
      </c>
      <c r="B253" s="75">
        <v>13</v>
      </c>
      <c r="C253" s="75">
        <v>132</v>
      </c>
      <c r="D253" s="75">
        <v>1322</v>
      </c>
      <c r="E253" s="91">
        <v>13222</v>
      </c>
      <c r="F253" s="75" t="s">
        <v>348</v>
      </c>
      <c r="G253" s="76" t="s">
        <v>37</v>
      </c>
      <c r="H253" s="76" t="s">
        <v>38</v>
      </c>
      <c r="I253" s="78">
        <v>0</v>
      </c>
      <c r="J253" s="77">
        <f>30*2</f>
        <v>60</v>
      </c>
      <c r="K253" s="77"/>
      <c r="L253" s="77"/>
      <c r="M253" s="77">
        <f t="shared" si="51"/>
        <v>60</v>
      </c>
      <c r="N253" s="77">
        <f>IF(OR(H253="",H253="sif",H253="PM"),0,VLOOKUP(H253,[5]CU!$C$4:$H$255,6,FALSE))</f>
        <v>0.3133333333333333</v>
      </c>
      <c r="O253" s="77">
        <f t="shared" si="58"/>
        <v>0</v>
      </c>
      <c r="P253" s="77">
        <f t="shared" si="58"/>
        <v>18.799999999999997</v>
      </c>
      <c r="Q253" s="77">
        <f t="shared" si="58"/>
        <v>0</v>
      </c>
      <c r="R253" s="77">
        <f t="shared" si="58"/>
        <v>0</v>
      </c>
      <c r="S253" s="77">
        <f>SUM(O253:R253)</f>
        <v>18.799999999999997</v>
      </c>
      <c r="T253" s="92" t="s">
        <v>169</v>
      </c>
      <c r="U253" s="88" t="s">
        <v>330</v>
      </c>
      <c r="V253" s="88" t="str">
        <f>IF(OR($H253="",$H253="sif",$H253="PM"),"",VLOOKUP($H253,[5]CU!$C$5:$J$255,8,FALSE))</f>
        <v>3. Formation</v>
      </c>
      <c r="W253" s="88" t="s">
        <v>331</v>
      </c>
      <c r="X253" s="88" t="s">
        <v>347</v>
      </c>
      <c r="Y253" s="88" t="s">
        <v>32</v>
      </c>
      <c r="Z253" s="88" t="str">
        <f>A253 &amp; "-" &amp; VLOOKUP(A253,[4]PROGRAMMES!$E$1:$F$7,2,FALSE)</f>
        <v>1-Accès et équité à l'enseignement général</v>
      </c>
      <c r="AA253" s="88" t="str">
        <f>B253 &amp; "-" &amp; VLOOKUP(B253,[4]SOUSPROGRAMMES!$E$1:$F$44,2,FALSE)</f>
        <v>13- Accès à l’éducation non formelle</v>
      </c>
      <c r="AB253" s="88" t="str">
        <f>C253 &amp; "-" &amp; VLOOKUP(C253,[4]RESULTATS!$E$1:$F$176,2,FALSE)</f>
        <v>132- L’offre d’éducation non formelle est diversifiée</v>
      </c>
      <c r="AC253" s="89" t="str">
        <f>D253 &amp; "-" &amp; VLOOKUP(D253,[4]STRATEGIES!$E$1:$F$504,2,FALSE)</f>
        <v>1322-Réorganisation de l’apprentissage dans les centres NAFA en fonction des besoins locaux et développement des passerelles entre le formel et le non formel</v>
      </c>
      <c r="AD253" s="76" t="str">
        <f t="shared" si="43"/>
        <v>13222-Validation des nouveaux programmes</v>
      </c>
    </row>
    <row r="254" spans="1:30" s="71" customFormat="1" ht="45" hidden="1" customHeight="1" x14ac:dyDescent="0.8">
      <c r="A254" s="91">
        <v>1</v>
      </c>
      <c r="B254" s="75">
        <v>13</v>
      </c>
      <c r="C254" s="75">
        <v>132</v>
      </c>
      <c r="D254" s="75">
        <v>1322</v>
      </c>
      <c r="E254" s="91">
        <v>13223</v>
      </c>
      <c r="F254" s="75" t="s">
        <v>349</v>
      </c>
      <c r="G254" s="76" t="s">
        <v>44</v>
      </c>
      <c r="H254" s="76" t="s">
        <v>350</v>
      </c>
      <c r="I254" s="78">
        <v>0</v>
      </c>
      <c r="J254" s="77"/>
      <c r="K254" s="77">
        <f>500*50*1</f>
        <v>25000</v>
      </c>
      <c r="L254" s="77"/>
      <c r="M254" s="77">
        <f t="shared" si="51"/>
        <v>25000</v>
      </c>
      <c r="N254" s="77">
        <f>IF(OR(H254="",H254="sif",H254="PM"),0,VLOOKUP(H254,[5]CU!$C$4:$H$255,6,FALSE))</f>
        <v>0.03</v>
      </c>
      <c r="O254" s="77">
        <f t="shared" si="58"/>
        <v>0</v>
      </c>
      <c r="P254" s="77">
        <f t="shared" si="58"/>
        <v>0</v>
      </c>
      <c r="Q254" s="77">
        <f t="shared" si="58"/>
        <v>750</v>
      </c>
      <c r="R254" s="77">
        <f t="shared" si="58"/>
        <v>0</v>
      </c>
      <c r="S254" s="77">
        <f>SUM(O254:R254)</f>
        <v>750</v>
      </c>
      <c r="T254" s="92" t="s">
        <v>169</v>
      </c>
      <c r="U254" s="88" t="s">
        <v>330</v>
      </c>
      <c r="V254" s="88" t="str">
        <f>IF(OR($H254="",$H254="sif",$H254="PM"),"",VLOOKUP($H254,[5]CU!$C$5:$J$255,8,FALSE))</f>
        <v>3. Manuels scolaires et matériels pédagogiques</v>
      </c>
      <c r="W254" s="88" t="s">
        <v>331</v>
      </c>
      <c r="X254" s="88" t="s">
        <v>331</v>
      </c>
      <c r="Y254" s="88" t="s">
        <v>32</v>
      </c>
      <c r="Z254" s="88" t="str">
        <f>A254 &amp; "-" &amp; VLOOKUP(A254,[4]PROGRAMMES!$E$1:$F$7,2,FALSE)</f>
        <v>1-Accès et équité à l'enseignement général</v>
      </c>
      <c r="AA254" s="88" t="str">
        <f>B254 &amp; "-" &amp; VLOOKUP(B254,[4]SOUSPROGRAMMES!$E$1:$F$44,2,FALSE)</f>
        <v>13- Accès à l’éducation non formelle</v>
      </c>
      <c r="AB254" s="88" t="str">
        <f>C254 &amp; "-" &amp; VLOOKUP(C254,[4]RESULTATS!$E$1:$F$176,2,FALSE)</f>
        <v>132- L’offre d’éducation non formelle est diversifiée</v>
      </c>
      <c r="AC254" s="89" t="str">
        <f>D254 &amp; "-" &amp; VLOOKUP(D254,[4]STRATEGIES!$E$1:$F$504,2,FALSE)</f>
        <v>1322-Réorganisation de l’apprentissage dans les centres NAFA en fonction des besoins locaux et développement des passerelles entre le formel et le non formel</v>
      </c>
      <c r="AD254" s="76" t="str">
        <f t="shared" si="43"/>
        <v>13223-Reprographie des nouveaux programmes et des guides</v>
      </c>
    </row>
    <row r="255" spans="1:30" s="71" customFormat="1" ht="45" hidden="1" customHeight="1" x14ac:dyDescent="0.8">
      <c r="A255" s="91">
        <v>1</v>
      </c>
      <c r="B255" s="75">
        <v>13</v>
      </c>
      <c r="C255" s="75">
        <v>132</v>
      </c>
      <c r="D255" s="75">
        <v>1322</v>
      </c>
      <c r="E255" s="91">
        <v>13224</v>
      </c>
      <c r="F255" s="75" t="s">
        <v>364</v>
      </c>
      <c r="G255" s="76" t="s">
        <v>37</v>
      </c>
      <c r="H255" s="76" t="s">
        <v>52</v>
      </c>
      <c r="I255" s="78">
        <v>0</v>
      </c>
      <c r="J255" s="77">
        <f>(230)*20%</f>
        <v>46</v>
      </c>
      <c r="K255" s="77">
        <f>(230)*80%</f>
        <v>184</v>
      </c>
      <c r="L255" s="77"/>
      <c r="M255" s="77">
        <f>SUM(I255:L255)</f>
        <v>230</v>
      </c>
      <c r="N255" s="77">
        <f>IF(OR(H255="",H255="sif",H255="PM"),0,VLOOKUP(H255,[5]CU!$C$4:$H$255,6,FALSE))</f>
        <v>1.5</v>
      </c>
      <c r="O255" s="77">
        <f>$N255*I255</f>
        <v>0</v>
      </c>
      <c r="P255" s="77">
        <f>$N255*J255</f>
        <v>69</v>
      </c>
      <c r="Q255" s="77">
        <f t="shared" si="58"/>
        <v>276</v>
      </c>
      <c r="R255" s="77">
        <f>$N255*L255</f>
        <v>0</v>
      </c>
      <c r="S255" s="77">
        <f>SUM(O255:R255)</f>
        <v>345</v>
      </c>
      <c r="T255" s="92" t="s">
        <v>169</v>
      </c>
      <c r="U255" s="88" t="s">
        <v>330</v>
      </c>
      <c r="V255" s="88" t="str">
        <f>IF(OR($H255="",$H255="sif",$H255="PM"),"",VLOOKUP($H255,[5]CU!$C$5:$J$255,8,FALSE))</f>
        <v>3. Formation</v>
      </c>
      <c r="W255" s="88" t="s">
        <v>331</v>
      </c>
      <c r="X255" s="88" t="s">
        <v>331</v>
      </c>
      <c r="Y255" s="88" t="s">
        <v>32</v>
      </c>
      <c r="Z255" s="88" t="str">
        <f>A255 &amp; "-" &amp; VLOOKUP(A255,[4]PROGRAMMES!$E$1:$F$7,2,FALSE)</f>
        <v>1-Accès et équité à l'enseignement général</v>
      </c>
      <c r="AA255" s="88" t="str">
        <f>B255 &amp; "-" &amp; VLOOKUP(B255,[4]SOUSPROGRAMMES!$E$1:$F$44,2,FALSE)</f>
        <v>13- Accès à l’éducation non formelle</v>
      </c>
      <c r="AB255" s="88" t="str">
        <f>C255 &amp; "-" &amp; VLOOKUP(C255,[4]RESULTATS!$E$1:$F$176,2,FALSE)</f>
        <v>132- L’offre d’éducation non formelle est diversifiée</v>
      </c>
      <c r="AC255" s="89" t="str">
        <f>D255 &amp; "-" &amp; VLOOKUP(D255,[4]STRATEGIES!$E$1:$F$504,2,FALSE)</f>
        <v>1322-Réorganisation de l’apprentissage dans les centres NAFA en fonction des besoins locaux et développement des passerelles entre le formel et le non formel</v>
      </c>
      <c r="AD255" s="76" t="str">
        <f t="shared" si="43"/>
        <v xml:space="preserve">13224-Formation des enseignants </v>
      </c>
    </row>
    <row r="256" spans="1:30" s="90" customFormat="1" ht="30" customHeight="1" x14ac:dyDescent="0.8">
      <c r="A256" s="84">
        <v>1</v>
      </c>
      <c r="B256" s="85">
        <v>13</v>
      </c>
      <c r="C256" s="85">
        <v>132</v>
      </c>
      <c r="D256" s="85">
        <v>1322</v>
      </c>
      <c r="E256" s="84">
        <v>13224</v>
      </c>
      <c r="F256" s="75" t="s">
        <v>364</v>
      </c>
      <c r="G256" s="76" t="s">
        <v>37</v>
      </c>
      <c r="H256" s="86" t="s">
        <v>52</v>
      </c>
      <c r="I256" s="78">
        <v>0</v>
      </c>
      <c r="J256" s="78">
        <f>(230)*20%</f>
        <v>46</v>
      </c>
      <c r="K256" s="78">
        <f>(230)*20%</f>
        <v>46</v>
      </c>
      <c r="L256" s="78"/>
      <c r="M256" s="78">
        <f t="shared" si="51"/>
        <v>92</v>
      </c>
      <c r="N256" s="78">
        <f>IF(OR(H256="",H256="sif",H256="PM"),0,VLOOKUP(H256,[5]CU!$C$4:$H$255,6,FALSE))</f>
        <v>1.5</v>
      </c>
      <c r="O256" s="78">
        <f t="shared" si="58"/>
        <v>0</v>
      </c>
      <c r="P256" s="78">
        <f t="shared" si="58"/>
        <v>69</v>
      </c>
      <c r="Q256" s="78">
        <f t="shared" si="58"/>
        <v>69</v>
      </c>
      <c r="R256" s="78">
        <f t="shared" si="58"/>
        <v>0</v>
      </c>
      <c r="S256" s="78">
        <f>SUM(O256:R256)</f>
        <v>138</v>
      </c>
      <c r="T256" s="80" t="s">
        <v>414</v>
      </c>
      <c r="U256" s="87" t="s">
        <v>330</v>
      </c>
      <c r="V256" s="88" t="str">
        <f>IF(OR($H256="",$H256="sif",$H256="PM"),"",VLOOKUP($H256,[5]CU!$C$5:$J$255,8,FALSE))</f>
        <v>3. Formation</v>
      </c>
      <c r="W256" s="87" t="s">
        <v>331</v>
      </c>
      <c r="X256" s="87" t="s">
        <v>331</v>
      </c>
      <c r="Y256" s="88" t="s">
        <v>32</v>
      </c>
      <c r="Z256" s="88" t="str">
        <f>A256 &amp; "-" &amp; VLOOKUP(A256,[4]PROGRAMMES!$E$1:$F$7,2,FALSE)</f>
        <v>1-Accès et équité à l'enseignement général</v>
      </c>
      <c r="AA256" s="88" t="str">
        <f>B256 &amp; "-" &amp; VLOOKUP(B256,[4]SOUSPROGRAMMES!$E$1:$F$44,2,FALSE)</f>
        <v>13- Accès à l’éducation non formelle</v>
      </c>
      <c r="AB256" s="88" t="str">
        <f>C256 &amp; "-" &amp; VLOOKUP(C256,[4]RESULTATS!$E$1:$F$176,2,FALSE)</f>
        <v>132- L’offre d’éducation non formelle est diversifiée</v>
      </c>
      <c r="AC256" s="89" t="str">
        <f>D256 &amp; "-" &amp; VLOOKUP(D256,[4]STRATEGIES!$E$1:$F$504,2,FALSE)</f>
        <v>1322-Réorganisation de l’apprentissage dans les centres NAFA en fonction des besoins locaux et développement des passerelles entre le formel et le non formel</v>
      </c>
      <c r="AD256" s="76" t="str">
        <f t="shared" si="43"/>
        <v xml:space="preserve">13224-Formation des enseignants </v>
      </c>
    </row>
    <row r="257" spans="1:30" s="71" customFormat="1" ht="45" hidden="1" customHeight="1" x14ac:dyDescent="0.8">
      <c r="A257" s="91">
        <v>1</v>
      </c>
      <c r="B257" s="75">
        <v>13</v>
      </c>
      <c r="C257" s="75">
        <v>132</v>
      </c>
      <c r="D257" s="75">
        <v>1322</v>
      </c>
      <c r="E257" s="91">
        <v>13225</v>
      </c>
      <c r="F257" s="75" t="s">
        <v>365</v>
      </c>
      <c r="G257" s="76" t="s">
        <v>366</v>
      </c>
      <c r="H257" s="76" t="s">
        <v>55</v>
      </c>
      <c r="I257" s="78">
        <v>0</v>
      </c>
      <c r="J257" s="77">
        <v>1</v>
      </c>
      <c r="K257" s="77">
        <v>1</v>
      </c>
      <c r="L257" s="77">
        <v>1</v>
      </c>
      <c r="M257" s="77">
        <f t="shared" si="51"/>
        <v>3</v>
      </c>
      <c r="N257" s="77">
        <f>IF(OR(H257="",H257="sif",H257="PM"),0,VLOOKUP(H257,[5]CU!$C$4:$H$255,6,FALSE))</f>
        <v>0</v>
      </c>
      <c r="O257" s="77"/>
      <c r="P257" s="77"/>
      <c r="Q257" s="77">
        <f t="shared" si="58"/>
        <v>0</v>
      </c>
      <c r="R257" s="77"/>
      <c r="S257" s="77"/>
      <c r="T257" s="92" t="s">
        <v>169</v>
      </c>
      <c r="U257" s="88" t="s">
        <v>330</v>
      </c>
      <c r="V257" s="88" t="str">
        <f>IF(OR($H257="",$H257="sif",$H257="PM"),"",VLOOKUP($H257,[5]CU!$C$5:$J$255,8,FALSE))</f>
        <v/>
      </c>
      <c r="W257" s="88" t="s">
        <v>282</v>
      </c>
      <c r="X257" s="88" t="s">
        <v>367</v>
      </c>
      <c r="Y257" s="88" t="s">
        <v>32</v>
      </c>
      <c r="Z257" s="88" t="str">
        <f>A257 &amp; "-" &amp; VLOOKUP(A257,[4]PROGRAMMES!$E$1:$F$7,2,FALSE)</f>
        <v>1-Accès et équité à l'enseignement général</v>
      </c>
      <c r="AA257" s="88" t="str">
        <f>B257 &amp; "-" &amp; VLOOKUP(B257,[4]SOUSPROGRAMMES!$E$1:$F$44,2,FALSE)</f>
        <v>13- Accès à l’éducation non formelle</v>
      </c>
      <c r="AB257" s="88" t="str">
        <f>C257 &amp; "-" &amp; VLOOKUP(C257,[4]RESULTATS!$E$1:$F$176,2,FALSE)</f>
        <v>132- L’offre d’éducation non formelle est diversifiée</v>
      </c>
      <c r="AC257" s="89" t="str">
        <f>D257 &amp; "-" &amp; VLOOKUP(D257,[4]STRATEGIES!$E$1:$F$504,2,FALSE)</f>
        <v>1322-Réorganisation de l’apprentissage dans les centres NAFA en fonction des besoins locaux et développement des passerelles entre le formel et le non formel</v>
      </c>
      <c r="AD257" s="76" t="str">
        <f t="shared" si="43"/>
        <v>13225-Suivi/évaluation de l'application des passerelles</v>
      </c>
    </row>
    <row r="258" spans="1:30" s="71" customFormat="1" ht="45" hidden="1" customHeight="1" x14ac:dyDescent="0.8">
      <c r="A258" s="91">
        <v>1</v>
      </c>
      <c r="B258" s="75">
        <v>13</v>
      </c>
      <c r="C258" s="75">
        <v>132</v>
      </c>
      <c r="D258" s="75">
        <v>1322</v>
      </c>
      <c r="E258" s="91">
        <v>13226</v>
      </c>
      <c r="F258" s="75" t="s">
        <v>368</v>
      </c>
      <c r="G258" s="76" t="s">
        <v>88</v>
      </c>
      <c r="H258" s="76" t="s">
        <v>55</v>
      </c>
      <c r="I258" s="78">
        <v>0</v>
      </c>
      <c r="J258" s="77"/>
      <c r="K258" s="77"/>
      <c r="L258" s="77"/>
      <c r="M258" s="77">
        <f t="shared" si="51"/>
        <v>0</v>
      </c>
      <c r="N258" s="77">
        <f>IF(OR(H258="",H258="sif",H258="PM"),0,VLOOKUP(H258,[5]CU!$C$4:$H$255,6,FALSE))</f>
        <v>0</v>
      </c>
      <c r="O258" s="77"/>
      <c r="P258" s="77"/>
      <c r="Q258" s="77">
        <f t="shared" si="58"/>
        <v>0</v>
      </c>
      <c r="R258" s="77"/>
      <c r="S258" s="77"/>
      <c r="T258" s="92" t="s">
        <v>169</v>
      </c>
      <c r="U258" s="88" t="s">
        <v>330</v>
      </c>
      <c r="V258" s="88" t="str">
        <f>IF(OR($H258="",$H258="sif",$H258="PM"),"",VLOOKUP($H258,[5]CU!$C$5:$J$255,8,FALSE))</f>
        <v/>
      </c>
      <c r="W258" s="88" t="s">
        <v>331</v>
      </c>
      <c r="X258" s="88" t="s">
        <v>331</v>
      </c>
      <c r="Y258" s="88" t="s">
        <v>32</v>
      </c>
      <c r="Z258" s="88" t="str">
        <f>A258 &amp; "-" &amp; VLOOKUP(A258,[4]PROGRAMMES!$E$1:$F$7,2,FALSE)</f>
        <v>1-Accès et équité à l'enseignement général</v>
      </c>
      <c r="AA258" s="88" t="str">
        <f>B258 &amp; "-" &amp; VLOOKUP(B258,[4]SOUSPROGRAMMES!$E$1:$F$44,2,FALSE)</f>
        <v>13- Accès à l’éducation non formelle</v>
      </c>
      <c r="AB258" s="88" t="str">
        <f>C258 &amp; "-" &amp; VLOOKUP(C258,[4]RESULTATS!$E$1:$F$176,2,FALSE)</f>
        <v>132- L’offre d’éducation non formelle est diversifiée</v>
      </c>
      <c r="AC258" s="89" t="str">
        <f>D258 &amp; "-" &amp; VLOOKUP(D258,[4]STRATEGIES!$E$1:$F$504,2,FALSE)</f>
        <v>1322-Réorganisation de l’apprentissage dans les centres NAFA en fonction des besoins locaux et développement des passerelles entre le formel et le non formel</v>
      </c>
      <c r="AD258" s="76" t="str">
        <f t="shared" si="43"/>
        <v>13226-Diversification des métiers en fonction de l'économie locale</v>
      </c>
    </row>
    <row r="259" spans="1:30" s="71" customFormat="1" ht="45" hidden="1" customHeight="1" x14ac:dyDescent="0.8">
      <c r="A259" s="91">
        <v>1</v>
      </c>
      <c r="B259" s="75">
        <v>13</v>
      </c>
      <c r="C259" s="75">
        <v>132</v>
      </c>
      <c r="D259" s="75">
        <v>1322</v>
      </c>
      <c r="E259" s="91">
        <v>13227</v>
      </c>
      <c r="F259" s="75" t="s">
        <v>369</v>
      </c>
      <c r="G259" s="76" t="s">
        <v>37</v>
      </c>
      <c r="H259" s="76" t="s">
        <v>52</v>
      </c>
      <c r="I259" s="78">
        <v>0</v>
      </c>
      <c r="J259" s="77"/>
      <c r="K259" s="77">
        <f>(250*6*1)</f>
        <v>1500</v>
      </c>
      <c r="L259" s="77">
        <f>(250*4)*80%</f>
        <v>800</v>
      </c>
      <c r="M259" s="77">
        <f>SUM(I259:L259)</f>
        <v>2300</v>
      </c>
      <c r="N259" s="77">
        <f>IF(OR(H259="",H259="sif",H259="PM"),0,VLOOKUP(H259,[5]CU!$C$4:$H$255,6,FALSE))</f>
        <v>1.5</v>
      </c>
      <c r="O259" s="77">
        <f t="shared" ref="O259:R260" si="59">$N259*I259</f>
        <v>0</v>
      </c>
      <c r="P259" s="77">
        <f t="shared" si="59"/>
        <v>0</v>
      </c>
      <c r="Q259" s="77">
        <f t="shared" si="58"/>
        <v>2250</v>
      </c>
      <c r="R259" s="77">
        <f t="shared" si="59"/>
        <v>1200</v>
      </c>
      <c r="S259" s="77">
        <f>SUM(O259:R259)</f>
        <v>3450</v>
      </c>
      <c r="T259" s="92" t="s">
        <v>169</v>
      </c>
      <c r="U259" s="88" t="s">
        <v>330</v>
      </c>
      <c r="V259" s="88" t="str">
        <f>IF(OR($H259="",$H259="sif",$H259="PM"),"",VLOOKUP($H259,[5]CU!$C$5:$J$255,8,FALSE))</f>
        <v>3. Formation</v>
      </c>
      <c r="W259" s="88" t="s">
        <v>331</v>
      </c>
      <c r="X259" s="88" t="s">
        <v>331</v>
      </c>
      <c r="Y259" s="88" t="s">
        <v>32</v>
      </c>
      <c r="Z259" s="88" t="str">
        <f>A259 &amp; "-" &amp; VLOOKUP(A259,[4]PROGRAMMES!$E$1:$F$7,2,FALSE)</f>
        <v>1-Accès et équité à l'enseignement général</v>
      </c>
      <c r="AA259" s="88" t="str">
        <f>B259 &amp; "-" &amp; VLOOKUP(B259,[4]SOUSPROGRAMMES!$E$1:$F$44,2,FALSE)</f>
        <v>13- Accès à l’éducation non formelle</v>
      </c>
      <c r="AB259" s="88" t="str">
        <f>C259 &amp; "-" &amp; VLOOKUP(C259,[4]RESULTATS!$E$1:$F$176,2,FALSE)</f>
        <v>132- L’offre d’éducation non formelle est diversifiée</v>
      </c>
      <c r="AC259" s="89" t="str">
        <f>D259 &amp; "-" &amp; VLOOKUP(D259,[4]STRATEGIES!$E$1:$F$504,2,FALSE)</f>
        <v>1322-Réorganisation de l’apprentissage dans les centres NAFA en fonction des besoins locaux et développement des passerelles entre le formel et le non formel</v>
      </c>
      <c r="AD259" s="76" t="str">
        <f t="shared" si="43"/>
        <v>13227-Formation des animateurs à l'approche Nafa</v>
      </c>
    </row>
    <row r="260" spans="1:30" s="90" customFormat="1" ht="30" customHeight="1" x14ac:dyDescent="0.8">
      <c r="A260" s="84">
        <v>1</v>
      </c>
      <c r="B260" s="85">
        <v>13</v>
      </c>
      <c r="C260" s="85">
        <v>132</v>
      </c>
      <c r="D260" s="85">
        <v>1322</v>
      </c>
      <c r="E260" s="84">
        <v>13227</v>
      </c>
      <c r="F260" s="75" t="s">
        <v>369</v>
      </c>
      <c r="G260" s="76" t="s">
        <v>37</v>
      </c>
      <c r="H260" s="86" t="s">
        <v>52</v>
      </c>
      <c r="I260" s="78">
        <v>0</v>
      </c>
      <c r="J260" s="78">
        <f>(250*4)*20%</f>
        <v>200</v>
      </c>
      <c r="K260" s="78"/>
      <c r="L260" s="78">
        <f>(250*4)*20%</f>
        <v>200</v>
      </c>
      <c r="M260" s="78">
        <f t="shared" si="51"/>
        <v>400</v>
      </c>
      <c r="N260" s="78">
        <f>IF(OR(H260="",H260="sif",H260="PM"),0,VLOOKUP(H260,[5]CU!$C$4:$H$255,6,FALSE))</f>
        <v>1.5</v>
      </c>
      <c r="O260" s="78">
        <f t="shared" si="59"/>
        <v>0</v>
      </c>
      <c r="P260" s="78">
        <f t="shared" si="59"/>
        <v>300</v>
      </c>
      <c r="Q260" s="78">
        <f t="shared" si="59"/>
        <v>0</v>
      </c>
      <c r="R260" s="78">
        <f t="shared" si="59"/>
        <v>300</v>
      </c>
      <c r="S260" s="78">
        <f>SUM(O260:R260)</f>
        <v>600</v>
      </c>
      <c r="T260" s="80" t="s">
        <v>414</v>
      </c>
      <c r="U260" s="87" t="s">
        <v>330</v>
      </c>
      <c r="V260" s="88" t="str">
        <f>IF(OR($H260="",$H260="sif",$H260="PM"),"",VLOOKUP($H260,[5]CU!$C$5:$J$255,8,FALSE))</f>
        <v>3. Formation</v>
      </c>
      <c r="W260" s="87" t="s">
        <v>331</v>
      </c>
      <c r="X260" s="87" t="s">
        <v>331</v>
      </c>
      <c r="Y260" s="88" t="s">
        <v>32</v>
      </c>
      <c r="Z260" s="88" t="str">
        <f>A260 &amp; "-" &amp; VLOOKUP(A260,[4]PROGRAMMES!$E$1:$F$7,2,FALSE)</f>
        <v>1-Accès et équité à l'enseignement général</v>
      </c>
      <c r="AA260" s="88" t="str">
        <f>B260 &amp; "-" &amp; VLOOKUP(B260,[4]SOUSPROGRAMMES!$E$1:$F$44,2,FALSE)</f>
        <v>13- Accès à l’éducation non formelle</v>
      </c>
      <c r="AB260" s="88" t="str">
        <f>C260 &amp; "-" &amp; VLOOKUP(C260,[4]RESULTATS!$E$1:$F$176,2,FALSE)</f>
        <v>132- L’offre d’éducation non formelle est diversifiée</v>
      </c>
      <c r="AC260" s="89" t="str">
        <f>D260 &amp; "-" &amp; VLOOKUP(D260,[4]STRATEGIES!$E$1:$F$504,2,FALSE)</f>
        <v>1322-Réorganisation de l’apprentissage dans les centres NAFA en fonction des besoins locaux et développement des passerelles entre le formel et le non formel</v>
      </c>
      <c r="AD260" s="76" t="str">
        <f t="shared" ref="AD260:AD323" si="60">E260 &amp; "-" &amp; F260</f>
        <v>13227-Formation des animateurs à l'approche Nafa</v>
      </c>
    </row>
    <row r="261" spans="1:30" s="90" customFormat="1" ht="30" customHeight="1" x14ac:dyDescent="0.8">
      <c r="A261" s="84">
        <v>1</v>
      </c>
      <c r="B261" s="85">
        <v>13</v>
      </c>
      <c r="C261" s="85">
        <v>133</v>
      </c>
      <c r="D261" s="85">
        <v>133</v>
      </c>
      <c r="E261" s="84">
        <v>133</v>
      </c>
      <c r="F261" s="75" t="s">
        <v>370</v>
      </c>
      <c r="G261" s="86"/>
      <c r="H261" s="86"/>
      <c r="I261" s="78">
        <v>0</v>
      </c>
      <c r="J261" s="78"/>
      <c r="K261" s="78"/>
      <c r="L261" s="78"/>
      <c r="M261" s="78"/>
      <c r="N261" s="78"/>
      <c r="O261" s="78"/>
      <c r="P261" s="78"/>
      <c r="Q261" s="78"/>
      <c r="R261" s="78"/>
      <c r="S261" s="78"/>
      <c r="T261" s="87"/>
      <c r="U261" s="87"/>
      <c r="V261" s="88"/>
      <c r="W261" s="87"/>
      <c r="X261" s="87"/>
      <c r="Y261" s="88" t="s">
        <v>32</v>
      </c>
      <c r="Z261" s="88" t="str">
        <f>A261 &amp; "-" &amp; VLOOKUP(A261,[4]PROGRAMMES!$E$1:$F$7,2,FALSE)</f>
        <v>1-Accès et équité à l'enseignement général</v>
      </c>
      <c r="AA261" s="88" t="str">
        <f>B261 &amp; "-" &amp; VLOOKUP(B261,[4]SOUSPROGRAMMES!$E$1:$F$44,2,FALSE)</f>
        <v>13- Accès à l’éducation non formelle</v>
      </c>
      <c r="AB261" s="88" t="str">
        <f>C261 &amp; "-" &amp; VLOOKUP(C261,[4]RESULTATS!$E$1:$F$176,2,FALSE)</f>
        <v>133-Les capacités d’accueil d’éducation non formelle se sont accrues</v>
      </c>
      <c r="AC261" s="89" t="str">
        <f>D261 &amp; "-" &amp; VLOOKUP(D261,[4]STRATEGIES!$E$1:$F$504,2,FALSE)</f>
        <v>133-Les capacités d’accueil d’éducation non formelle se sont accrues</v>
      </c>
      <c r="AD261" s="76" t="str">
        <f t="shared" si="60"/>
        <v>133-Les capacités d’accueil d’éducation non formelle se sont accrues</v>
      </c>
    </row>
    <row r="262" spans="1:30" s="90" customFormat="1" ht="30" customHeight="1" x14ac:dyDescent="0.8">
      <c r="A262" s="84">
        <v>1</v>
      </c>
      <c r="B262" s="85">
        <v>13</v>
      </c>
      <c r="C262" s="85">
        <v>133</v>
      </c>
      <c r="D262" s="85">
        <v>1331</v>
      </c>
      <c r="E262" s="84">
        <v>1331</v>
      </c>
      <c r="F262" s="75" t="s">
        <v>371</v>
      </c>
      <c r="G262" s="86"/>
      <c r="H262" s="86"/>
      <c r="I262" s="78">
        <v>0</v>
      </c>
      <c r="J262" s="78"/>
      <c r="K262" s="78"/>
      <c r="L262" s="78"/>
      <c r="M262" s="78"/>
      <c r="N262" s="78"/>
      <c r="O262" s="78"/>
      <c r="P262" s="78"/>
      <c r="Q262" s="78"/>
      <c r="R262" s="78"/>
      <c r="S262" s="78"/>
      <c r="T262" s="87"/>
      <c r="U262" s="87"/>
      <c r="V262" s="88"/>
      <c r="W262" s="87"/>
      <c r="X262" s="87"/>
      <c r="Y262" s="88" t="s">
        <v>32</v>
      </c>
      <c r="Z262" s="88" t="str">
        <f>A262 &amp; "-" &amp; VLOOKUP(A262,[4]PROGRAMMES!$E$1:$F$7,2,FALSE)</f>
        <v>1-Accès et équité à l'enseignement général</v>
      </c>
      <c r="AA262" s="88" t="str">
        <f>B262 &amp; "-" &amp; VLOOKUP(B262,[4]SOUSPROGRAMMES!$E$1:$F$44,2,FALSE)</f>
        <v>13- Accès à l’éducation non formelle</v>
      </c>
      <c r="AB262" s="88" t="str">
        <f>C262 &amp; "-" &amp; VLOOKUP(C262,[4]RESULTATS!$E$1:$F$176,2,FALSE)</f>
        <v>133-Les capacités d’accueil d’éducation non formelle se sont accrues</v>
      </c>
      <c r="AC262" s="89" t="str">
        <f>D262 &amp; "-" &amp; VLOOKUP(D262,[4]STRATEGIES!$E$1:$F$504,2,FALSE)</f>
        <v>1331-Construction/Réhabilitation/Renovation des centres NAFA</v>
      </c>
      <c r="AD262" s="76" t="str">
        <f t="shared" si="60"/>
        <v>1331-Construction/Réhabilitation/Renovation des centres NAFA</v>
      </c>
    </row>
    <row r="263" spans="1:30" s="71" customFormat="1" ht="45" hidden="1" customHeight="1" x14ac:dyDescent="0.8">
      <c r="A263" s="91">
        <v>1</v>
      </c>
      <c r="B263" s="75">
        <v>13</v>
      </c>
      <c r="C263" s="75">
        <v>133</v>
      </c>
      <c r="D263" s="75">
        <v>1331</v>
      </c>
      <c r="E263" s="91">
        <v>13311</v>
      </c>
      <c r="F263" s="75" t="s">
        <v>372</v>
      </c>
      <c r="G263" s="76" t="s">
        <v>92</v>
      </c>
      <c r="H263" s="76" t="s">
        <v>55</v>
      </c>
      <c r="I263" s="78">
        <v>0</v>
      </c>
      <c r="J263" s="77"/>
      <c r="K263" s="77"/>
      <c r="L263" s="77"/>
      <c r="M263" s="77"/>
      <c r="N263" s="77">
        <f>IF(OR(H263="",H263="sif",H263="PM"),0,VLOOKUP(H263,[5]CU!$C$4:$H$255,6,FALSE))</f>
        <v>0</v>
      </c>
      <c r="O263" s="77"/>
      <c r="P263" s="77"/>
      <c r="Q263" s="77">
        <f t="shared" ref="Q263:Q264" si="61">$N263*K263</f>
        <v>0</v>
      </c>
      <c r="R263" s="77"/>
      <c r="S263" s="77"/>
      <c r="T263" s="92" t="s">
        <v>169</v>
      </c>
      <c r="U263" s="88" t="s">
        <v>330</v>
      </c>
      <c r="V263" s="88" t="str">
        <f>IF(OR($H263="",$H263="sif",$H263="PM"),"",VLOOKUP($H263,[5]CU!$C$5:$J$255,8,FALSE))</f>
        <v/>
      </c>
      <c r="W263" s="88" t="s">
        <v>331</v>
      </c>
      <c r="X263" s="88" t="s">
        <v>96</v>
      </c>
      <c r="Y263" s="88" t="s">
        <v>32</v>
      </c>
      <c r="Z263" s="88" t="str">
        <f>A263 &amp; "-" &amp; VLOOKUP(A263,[4]PROGRAMMES!$E$1:$F$7,2,FALSE)</f>
        <v>1-Accès et équité à l'enseignement général</v>
      </c>
      <c r="AA263" s="88" t="str">
        <f>B263 &amp; "-" &amp; VLOOKUP(B263,[4]SOUSPROGRAMMES!$E$1:$F$44,2,FALSE)</f>
        <v>13- Accès à l’éducation non formelle</v>
      </c>
      <c r="AB263" s="88" t="str">
        <f>C263 &amp; "-" &amp; VLOOKUP(C263,[4]RESULTATS!$E$1:$F$176,2,FALSE)</f>
        <v>133-Les capacités d’accueil d’éducation non formelle se sont accrues</v>
      </c>
      <c r="AC263" s="89" t="str">
        <f>D263 &amp; "-" &amp; VLOOKUP(D263,[4]STRATEGIES!$E$1:$F$504,2,FALSE)</f>
        <v>1331-Construction/Réhabilitation/Renovation des centres NAFA</v>
      </c>
      <c r="AD263" s="76" t="str">
        <f t="shared" si="60"/>
        <v>13311-Identification des centres à rénover et des sites de construction de nouveaux centres NAFA (effectuée par les structures déconcentrées)</v>
      </c>
    </row>
    <row r="264" spans="1:30" s="71" customFormat="1" ht="45" hidden="1" customHeight="1" x14ac:dyDescent="0.8">
      <c r="A264" s="91">
        <v>1</v>
      </c>
      <c r="B264" s="75">
        <v>13</v>
      </c>
      <c r="C264" s="75">
        <v>133</v>
      </c>
      <c r="D264" s="75">
        <v>1331</v>
      </c>
      <c r="E264" s="91">
        <v>13312</v>
      </c>
      <c r="F264" s="75" t="s">
        <v>373</v>
      </c>
      <c r="G264" s="76" t="s">
        <v>374</v>
      </c>
      <c r="H264" s="76" t="s">
        <v>375</v>
      </c>
      <c r="I264" s="78">
        <v>0</v>
      </c>
      <c r="J264" s="77">
        <f>5*80.01%</f>
        <v>4.0005000000000006</v>
      </c>
      <c r="K264" s="77">
        <v>4</v>
      </c>
      <c r="L264" s="77">
        <f>6*80.01%</f>
        <v>4.8006000000000002</v>
      </c>
      <c r="M264" s="77">
        <f>SUM(I264:L264)</f>
        <v>12.801100000000002</v>
      </c>
      <c r="N264" s="77">
        <f>IF(OR(H264="",H264="sif",H264="PM"),0,VLOOKUP(H264,[5]CU!$C$4:$H$255,6,FALSE))</f>
        <v>48</v>
      </c>
      <c r="O264" s="77">
        <f>$N264*I264</f>
        <v>0</v>
      </c>
      <c r="P264" s="77">
        <f>$N264*J264</f>
        <v>192.02400000000003</v>
      </c>
      <c r="Q264" s="77">
        <f t="shared" si="61"/>
        <v>192</v>
      </c>
      <c r="R264" s="77">
        <f>$N264*L264</f>
        <v>230.42880000000002</v>
      </c>
      <c r="S264" s="77">
        <f>SUM(O264:R264)</f>
        <v>614.45280000000002</v>
      </c>
      <c r="T264" s="92" t="s">
        <v>169</v>
      </c>
      <c r="U264" s="88" t="s">
        <v>330</v>
      </c>
      <c r="V264" s="88" t="str">
        <f>IF(OR($H264="",$H264="sif",$H264="PM"),"",VLOOKUP($H264,[5]CU!$C$5:$J$255,8,FALSE))</f>
        <v>5. Investissement</v>
      </c>
      <c r="W264" s="88" t="s">
        <v>98</v>
      </c>
      <c r="X264" s="88" t="s">
        <v>98</v>
      </c>
      <c r="Y264" s="88" t="s">
        <v>32</v>
      </c>
      <c r="Z264" s="88" t="str">
        <f>A264 &amp; "-" &amp; VLOOKUP(A264,[4]PROGRAMMES!$E$1:$F$7,2,FALSE)</f>
        <v>1-Accès et équité à l'enseignement général</v>
      </c>
      <c r="AA264" s="88" t="str">
        <f>B264 &amp; "-" &amp; VLOOKUP(B264,[4]SOUSPROGRAMMES!$E$1:$F$44,2,FALSE)</f>
        <v>13- Accès à l’éducation non formelle</v>
      </c>
      <c r="AB264" s="88" t="str">
        <f>C264 &amp; "-" &amp; VLOOKUP(C264,[4]RESULTATS!$E$1:$F$176,2,FALSE)</f>
        <v>133-Les capacités d’accueil d’éducation non formelle se sont accrues</v>
      </c>
      <c r="AC264" s="89" t="str">
        <f>D264 &amp; "-" &amp; VLOOKUP(D264,[4]STRATEGIES!$E$1:$F$504,2,FALSE)</f>
        <v>1331-Construction/Réhabilitation/Renovation des centres NAFA</v>
      </c>
      <c r="AD264" s="76" t="str">
        <f t="shared" si="60"/>
        <v>13312-Réhabilitation des centres existants</v>
      </c>
    </row>
    <row r="265" spans="1:30" s="90" customFormat="1" ht="30" customHeight="1" x14ac:dyDescent="0.8">
      <c r="A265" s="84">
        <v>1</v>
      </c>
      <c r="B265" s="85">
        <v>13</v>
      </c>
      <c r="C265" s="85">
        <v>133</v>
      </c>
      <c r="D265" s="85">
        <v>1331</v>
      </c>
      <c r="E265" s="84">
        <v>13312</v>
      </c>
      <c r="F265" s="75" t="s">
        <v>373</v>
      </c>
      <c r="G265" s="76" t="s">
        <v>374</v>
      </c>
      <c r="H265" s="86" t="s">
        <v>375</v>
      </c>
      <c r="I265" s="78">
        <v>0</v>
      </c>
      <c r="J265" s="78">
        <f>5*19.99%</f>
        <v>0.99949999999999994</v>
      </c>
      <c r="K265" s="78">
        <f>5*19.99%</f>
        <v>0.99949999999999994</v>
      </c>
      <c r="L265" s="78">
        <f>6*19.99%</f>
        <v>1.1994</v>
      </c>
      <c r="M265" s="78">
        <f t="shared" ref="M265:M283" si="62">SUM(I265:L265)</f>
        <v>3.1983999999999999</v>
      </c>
      <c r="N265" s="78">
        <f>IF(OR(H265="",H265="sif",H265="PM"),0,VLOOKUP(H265,[5]CU!$C$4:$H$255,6,FALSE))</f>
        <v>48</v>
      </c>
      <c r="O265" s="78">
        <f t="shared" ref="O265:R268" si="63">$N265*I265</f>
        <v>0</v>
      </c>
      <c r="P265" s="78">
        <f t="shared" si="63"/>
        <v>47.975999999999999</v>
      </c>
      <c r="Q265" s="78">
        <f t="shared" si="63"/>
        <v>47.975999999999999</v>
      </c>
      <c r="R265" s="78">
        <f t="shared" si="63"/>
        <v>57.571200000000005</v>
      </c>
      <c r="S265" s="78">
        <f>SUM(O265:R265)</f>
        <v>153.5232</v>
      </c>
      <c r="T265" s="80" t="s">
        <v>414</v>
      </c>
      <c r="U265" s="87" t="s">
        <v>330</v>
      </c>
      <c r="V265" s="88" t="str">
        <f>IF(OR($H265="",$H265="sif",$H265="PM"),"",VLOOKUP($H265,[5]CU!$C$5:$J$255,8,FALSE))</f>
        <v>5. Investissement</v>
      </c>
      <c r="W265" s="87" t="s">
        <v>98</v>
      </c>
      <c r="X265" s="87" t="s">
        <v>98</v>
      </c>
      <c r="Y265" s="88" t="s">
        <v>32</v>
      </c>
      <c r="Z265" s="88" t="str">
        <f>A265 &amp; "-" &amp; VLOOKUP(A265,[4]PROGRAMMES!$E$1:$F$7,2,FALSE)</f>
        <v>1-Accès et équité à l'enseignement général</v>
      </c>
      <c r="AA265" s="88" t="str">
        <f>B265 &amp; "-" &amp; VLOOKUP(B265,[4]SOUSPROGRAMMES!$E$1:$F$44,2,FALSE)</f>
        <v>13- Accès à l’éducation non formelle</v>
      </c>
      <c r="AB265" s="88" t="str">
        <f>C265 &amp; "-" &amp; VLOOKUP(C265,[4]RESULTATS!$E$1:$F$176,2,FALSE)</f>
        <v>133-Les capacités d’accueil d’éducation non formelle se sont accrues</v>
      </c>
      <c r="AC265" s="89" t="str">
        <f>D265 &amp; "-" &amp; VLOOKUP(D265,[4]STRATEGIES!$E$1:$F$504,2,FALSE)</f>
        <v>1331-Construction/Réhabilitation/Renovation des centres NAFA</v>
      </c>
      <c r="AD265" s="76" t="str">
        <f t="shared" si="60"/>
        <v>13312-Réhabilitation des centres existants</v>
      </c>
    </row>
    <row r="266" spans="1:30" s="71" customFormat="1" ht="45" hidden="1" customHeight="1" x14ac:dyDescent="0.8">
      <c r="A266" s="91">
        <v>1</v>
      </c>
      <c r="B266" s="75">
        <v>13</v>
      </c>
      <c r="C266" s="75">
        <v>133</v>
      </c>
      <c r="D266" s="75">
        <v>1331</v>
      </c>
      <c r="E266" s="91">
        <v>13313</v>
      </c>
      <c r="F266" s="75" t="s">
        <v>376</v>
      </c>
      <c r="G266" s="76" t="s">
        <v>103</v>
      </c>
      <c r="H266" s="76" t="s">
        <v>377</v>
      </c>
      <c r="I266" s="78">
        <v>0</v>
      </c>
      <c r="J266" s="77"/>
      <c r="K266" s="77">
        <f>10*80%</f>
        <v>8</v>
      </c>
      <c r="L266" s="77">
        <f>11*80%</f>
        <v>8.8000000000000007</v>
      </c>
      <c r="M266" s="77">
        <f>SUM(I266:L266)</f>
        <v>16.8</v>
      </c>
      <c r="N266" s="77">
        <f>IF(OR(H266="",H266="sif",H266="PM"),0,VLOOKUP(H266,[5]CU!$C$4:$H$255,6,FALSE))</f>
        <v>320</v>
      </c>
      <c r="O266" s="77">
        <f>$N266*I266</f>
        <v>0</v>
      </c>
      <c r="P266" s="77">
        <f>$N266*J266</f>
        <v>0</v>
      </c>
      <c r="Q266" s="77">
        <f>$N266*K266</f>
        <v>2560</v>
      </c>
      <c r="R266" s="77">
        <f>$N266*L266</f>
        <v>2816</v>
      </c>
      <c r="S266" s="77">
        <f>SUM(O266:R266)</f>
        <v>5376</v>
      </c>
      <c r="T266" s="92" t="s">
        <v>169</v>
      </c>
      <c r="U266" s="88" t="s">
        <v>330</v>
      </c>
      <c r="V266" s="88" t="str">
        <f>IF(OR($H266="",$H266="sif",$H266="PM"),"",VLOOKUP($H266,[5]CU!$C$5:$J$255,8,FALSE))</f>
        <v>5. Investissement</v>
      </c>
      <c r="W266" s="88" t="s">
        <v>98</v>
      </c>
      <c r="X266" s="88" t="s">
        <v>98</v>
      </c>
      <c r="Y266" s="88" t="s">
        <v>32</v>
      </c>
      <c r="Z266" s="88" t="str">
        <f>A266 &amp; "-" &amp; VLOOKUP(A266,[4]PROGRAMMES!$E$1:$F$7,2,FALSE)</f>
        <v>1-Accès et équité à l'enseignement général</v>
      </c>
      <c r="AA266" s="88" t="str">
        <f>B266 &amp; "-" &amp; VLOOKUP(B266,[4]SOUSPROGRAMMES!$E$1:$F$44,2,FALSE)</f>
        <v>13- Accès à l’éducation non formelle</v>
      </c>
      <c r="AB266" s="88" t="str">
        <f>C266 &amp; "-" &amp; VLOOKUP(C266,[4]RESULTATS!$E$1:$F$176,2,FALSE)</f>
        <v>133-Les capacités d’accueil d’éducation non formelle se sont accrues</v>
      </c>
      <c r="AC266" s="89" t="str">
        <f>D266 &amp; "-" &amp; VLOOKUP(D266,[4]STRATEGIES!$E$1:$F$504,2,FALSE)</f>
        <v>1331-Construction/Réhabilitation/Renovation des centres NAFA</v>
      </c>
      <c r="AD266" s="76" t="str">
        <f t="shared" si="60"/>
        <v>13313-Construction de nouveaux centres Nafa</v>
      </c>
    </row>
    <row r="267" spans="1:30" s="90" customFormat="1" ht="30" customHeight="1" x14ac:dyDescent="0.8">
      <c r="A267" s="84">
        <v>1</v>
      </c>
      <c r="B267" s="85">
        <v>13</v>
      </c>
      <c r="C267" s="85">
        <v>133</v>
      </c>
      <c r="D267" s="85">
        <v>1331</v>
      </c>
      <c r="E267" s="84">
        <v>13313</v>
      </c>
      <c r="F267" s="75" t="s">
        <v>376</v>
      </c>
      <c r="G267" s="76" t="s">
        <v>103</v>
      </c>
      <c r="H267" s="86" t="s">
        <v>377</v>
      </c>
      <c r="I267" s="78">
        <v>0</v>
      </c>
      <c r="J267" s="78"/>
      <c r="K267" s="78">
        <f>10*20%</f>
        <v>2</v>
      </c>
      <c r="L267" s="78">
        <f>11*20%</f>
        <v>2.2000000000000002</v>
      </c>
      <c r="M267" s="78">
        <f t="shared" si="62"/>
        <v>4.2</v>
      </c>
      <c r="N267" s="78">
        <f>IF(OR(H267="",H267="sif",H267="PM"),0,VLOOKUP(H267,[5]CU!$C$4:$H$255,6,FALSE))</f>
        <v>320</v>
      </c>
      <c r="O267" s="78">
        <f t="shared" si="63"/>
        <v>0</v>
      </c>
      <c r="P267" s="78">
        <f t="shared" si="63"/>
        <v>0</v>
      </c>
      <c r="Q267" s="78">
        <f t="shared" si="63"/>
        <v>640</v>
      </c>
      <c r="R267" s="78">
        <f t="shared" si="63"/>
        <v>704</v>
      </c>
      <c r="S267" s="78">
        <f>SUM(O267:R267)</f>
        <v>1344</v>
      </c>
      <c r="T267" s="80" t="s">
        <v>414</v>
      </c>
      <c r="U267" s="87" t="s">
        <v>330</v>
      </c>
      <c r="V267" s="88" t="str">
        <f>IF(OR($H267="",$H267="sif",$H267="PM"),"",VLOOKUP($H267,[5]CU!$C$5:$J$255,8,FALSE))</f>
        <v>5. Investissement</v>
      </c>
      <c r="W267" s="87" t="s">
        <v>98</v>
      </c>
      <c r="X267" s="87" t="s">
        <v>98</v>
      </c>
      <c r="Y267" s="88" t="s">
        <v>32</v>
      </c>
      <c r="Z267" s="88" t="str">
        <f>A267 &amp; "-" &amp; VLOOKUP(A267,[4]PROGRAMMES!$E$1:$F$7,2,FALSE)</f>
        <v>1-Accès et équité à l'enseignement général</v>
      </c>
      <c r="AA267" s="88" t="str">
        <f>B267 &amp; "-" &amp; VLOOKUP(B267,[4]SOUSPROGRAMMES!$E$1:$F$44,2,FALSE)</f>
        <v>13- Accès à l’éducation non formelle</v>
      </c>
      <c r="AB267" s="88" t="str">
        <f>C267 &amp; "-" &amp; VLOOKUP(C267,[4]RESULTATS!$E$1:$F$176,2,FALSE)</f>
        <v>133-Les capacités d’accueil d’éducation non formelle se sont accrues</v>
      </c>
      <c r="AC267" s="89" t="str">
        <f>D267 &amp; "-" &amp; VLOOKUP(D267,[4]STRATEGIES!$E$1:$F$504,2,FALSE)</f>
        <v>1331-Construction/Réhabilitation/Renovation des centres NAFA</v>
      </c>
      <c r="AD267" s="76" t="str">
        <f t="shared" si="60"/>
        <v>13313-Construction de nouveaux centres Nafa</v>
      </c>
    </row>
    <row r="268" spans="1:30" s="71" customFormat="1" ht="45" hidden="1" customHeight="1" x14ac:dyDescent="0.8">
      <c r="A268" s="91">
        <v>1</v>
      </c>
      <c r="B268" s="75">
        <v>13</v>
      </c>
      <c r="C268" s="75">
        <v>133</v>
      </c>
      <c r="D268" s="75">
        <v>1331</v>
      </c>
      <c r="E268" s="91">
        <v>13314</v>
      </c>
      <c r="F268" s="75" t="s">
        <v>378</v>
      </c>
      <c r="G268" s="76" t="s">
        <v>109</v>
      </c>
      <c r="H268" s="76" t="s">
        <v>110</v>
      </c>
      <c r="I268" s="78">
        <v>0</v>
      </c>
      <c r="J268" s="77">
        <f>J267</f>
        <v>0</v>
      </c>
      <c r="K268" s="77">
        <f>K267+K265</f>
        <v>2.9994999999999998</v>
      </c>
      <c r="L268" s="77">
        <f>L267+L265</f>
        <v>3.3994</v>
      </c>
      <c r="M268" s="77">
        <f t="shared" si="62"/>
        <v>6.3988999999999994</v>
      </c>
      <c r="N268" s="77">
        <f>IF(OR(H268="",H268="sif",H268="PM"),0,VLOOKUP(H268,[5]CU!$C$4:$H$255,6,FALSE))</f>
        <v>7.1760000000000002</v>
      </c>
      <c r="O268" s="77">
        <f t="shared" si="63"/>
        <v>0</v>
      </c>
      <c r="P268" s="77">
        <f t="shared" si="63"/>
        <v>0</v>
      </c>
      <c r="Q268" s="77">
        <f>$N268*K268</f>
        <v>21.524411999999998</v>
      </c>
      <c r="R268" s="77">
        <f t="shared" si="63"/>
        <v>24.3940944</v>
      </c>
      <c r="S268" s="77">
        <f>SUM(O268:R268)</f>
        <v>45.918506399999998</v>
      </c>
      <c r="T268" s="92" t="s">
        <v>169</v>
      </c>
      <c r="U268" s="88" t="s">
        <v>330</v>
      </c>
      <c r="V268" s="88" t="str">
        <f>IF(OR($H268="",$H268="sif",$H268="PM"),"",VLOOKUP($H268,[5]CU!$C$5:$J$255,8,FALSE))</f>
        <v>3. Dépenses de fonctionnement</v>
      </c>
      <c r="W268" s="88" t="s">
        <v>98</v>
      </c>
      <c r="X268" s="88" t="s">
        <v>179</v>
      </c>
      <c r="Y268" s="88" t="s">
        <v>32</v>
      </c>
      <c r="Z268" s="88" t="str">
        <f>A268 &amp; "-" &amp; VLOOKUP(A268,[4]PROGRAMMES!$E$1:$F$7,2,FALSE)</f>
        <v>1-Accès et équité à l'enseignement général</v>
      </c>
      <c r="AA268" s="88" t="str">
        <f>B268 &amp; "-" &amp; VLOOKUP(B268,[4]SOUSPROGRAMMES!$E$1:$F$44,2,FALSE)</f>
        <v>13- Accès à l’éducation non formelle</v>
      </c>
      <c r="AB268" s="88" t="str">
        <f>C268 &amp; "-" &amp; VLOOKUP(C268,[4]RESULTATS!$E$1:$F$176,2,FALSE)</f>
        <v>133-Les capacités d’accueil d’éducation non formelle se sont accrues</v>
      </c>
      <c r="AC268" s="89" t="str">
        <f>D268 &amp; "-" &amp; VLOOKUP(D268,[4]STRATEGIES!$E$1:$F$504,2,FALSE)</f>
        <v>1331-Construction/Réhabilitation/Renovation des centres NAFA</v>
      </c>
      <c r="AD268" s="76" t="str">
        <f t="shared" si="60"/>
        <v>13314-Supervision des travaux de construction/réhabilitation des centres Nafa</v>
      </c>
    </row>
    <row r="269" spans="1:30" s="90" customFormat="1" ht="30" customHeight="1" x14ac:dyDescent="0.8">
      <c r="A269" s="84">
        <v>1</v>
      </c>
      <c r="B269" s="85">
        <v>13</v>
      </c>
      <c r="C269" s="85">
        <v>133</v>
      </c>
      <c r="D269" s="85">
        <v>1332</v>
      </c>
      <c r="E269" s="84">
        <v>1332</v>
      </c>
      <c r="F269" s="75" t="s">
        <v>379</v>
      </c>
      <c r="G269" s="86"/>
      <c r="H269" s="86"/>
      <c r="I269" s="78">
        <v>0</v>
      </c>
      <c r="J269" s="78"/>
      <c r="K269" s="78"/>
      <c r="L269" s="78"/>
      <c r="M269" s="78"/>
      <c r="N269" s="78"/>
      <c r="O269" s="78"/>
      <c r="P269" s="78"/>
      <c r="Q269" s="78"/>
      <c r="R269" s="78"/>
      <c r="S269" s="78"/>
      <c r="T269" s="87"/>
      <c r="U269" s="87"/>
      <c r="V269" s="88"/>
      <c r="W269" s="87"/>
      <c r="X269" s="87"/>
      <c r="Y269" s="88" t="s">
        <v>32</v>
      </c>
      <c r="Z269" s="88" t="str">
        <f>A269 &amp; "-" &amp; VLOOKUP(A269,[4]PROGRAMMES!$E$1:$F$7,2,FALSE)</f>
        <v>1-Accès et équité à l'enseignement général</v>
      </c>
      <c r="AA269" s="88" t="str">
        <f>B269 &amp; "-" &amp; VLOOKUP(B269,[4]SOUSPROGRAMMES!$E$1:$F$44,2,FALSE)</f>
        <v>13- Accès à l’éducation non formelle</v>
      </c>
      <c r="AB269" s="88" t="str">
        <f>C269 &amp; "-" &amp; VLOOKUP(C269,[4]RESULTATS!$E$1:$F$176,2,FALSE)</f>
        <v>133-Les capacités d’accueil d’éducation non formelle se sont accrues</v>
      </c>
      <c r="AC269" s="89" t="str">
        <f>D269 &amp; "-" &amp; VLOOKUP(D269,[4]STRATEGIES!$E$1:$F$504,2,FALSE)</f>
        <v>1332-Dotation des centres NAFA en équipements et mobilier</v>
      </c>
      <c r="AD269" s="76" t="str">
        <f t="shared" si="60"/>
        <v>1332-Dotation des centres NAFA en équipements et mobilier</v>
      </c>
    </row>
    <row r="270" spans="1:30" s="71" customFormat="1" ht="45" hidden="1" customHeight="1" x14ac:dyDescent="0.8">
      <c r="A270" s="91">
        <v>1</v>
      </c>
      <c r="B270" s="75">
        <v>13</v>
      </c>
      <c r="C270" s="75">
        <v>133</v>
      </c>
      <c r="D270" s="75">
        <v>1332</v>
      </c>
      <c r="E270" s="91">
        <v>13321</v>
      </c>
      <c r="F270" s="75" t="s">
        <v>380</v>
      </c>
      <c r="G270" s="76" t="s">
        <v>88</v>
      </c>
      <c r="H270" s="76" t="s">
        <v>55</v>
      </c>
      <c r="I270" s="78">
        <v>0</v>
      </c>
      <c r="J270" s="77">
        <v>1</v>
      </c>
      <c r="K270" s="77"/>
      <c r="L270" s="77"/>
      <c r="M270" s="77">
        <f t="shared" si="62"/>
        <v>1</v>
      </c>
      <c r="N270" s="77">
        <f>IF(OR(H270="",H270="sif",H270="PM"),0,VLOOKUP(H270,[5]CU!$C$4:$H$255,6,FALSE))</f>
        <v>0</v>
      </c>
      <c r="O270" s="77"/>
      <c r="P270" s="77"/>
      <c r="Q270" s="77">
        <f t="shared" ref="Q270:Q272" si="64">$N270*K270</f>
        <v>0</v>
      </c>
      <c r="R270" s="77"/>
      <c r="S270" s="77"/>
      <c r="T270" s="92" t="s">
        <v>169</v>
      </c>
      <c r="U270" s="88" t="s">
        <v>330</v>
      </c>
      <c r="V270" s="88" t="str">
        <f>IF(OR($H270="",$H270="sif",$H270="PM"),"",VLOOKUP($H270,[5]CU!$C$5:$J$255,8,FALSE))</f>
        <v/>
      </c>
      <c r="W270" s="88" t="s">
        <v>331</v>
      </c>
      <c r="X270" s="88" t="s">
        <v>96</v>
      </c>
      <c r="Y270" s="88" t="s">
        <v>32</v>
      </c>
      <c r="Z270" s="88" t="str">
        <f>A270 &amp; "-" &amp; VLOOKUP(A270,[4]PROGRAMMES!$E$1:$F$7,2,FALSE)</f>
        <v>1-Accès et équité à l'enseignement général</v>
      </c>
      <c r="AA270" s="88" t="str">
        <f>B270 &amp; "-" &amp; VLOOKUP(B270,[4]SOUSPROGRAMMES!$E$1:$F$44,2,FALSE)</f>
        <v>13- Accès à l’éducation non formelle</v>
      </c>
      <c r="AB270" s="88" t="str">
        <f>C270 &amp; "-" &amp; VLOOKUP(C270,[4]RESULTATS!$E$1:$F$176,2,FALSE)</f>
        <v>133-Les capacités d’accueil d’éducation non formelle se sont accrues</v>
      </c>
      <c r="AC270" s="89" t="str">
        <f>D270 &amp; "-" &amp; VLOOKUP(D270,[4]STRATEGIES!$E$1:$F$504,2,FALSE)</f>
        <v>1332-Dotation des centres NAFA en équipements et mobilier</v>
      </c>
      <c r="AD270" s="76" t="str">
        <f t="shared" si="60"/>
        <v>13321-Estimation des besoins en mobilier et équipement des centres Nafa</v>
      </c>
    </row>
    <row r="271" spans="1:30" s="71" customFormat="1" ht="45" hidden="1" customHeight="1" x14ac:dyDescent="0.8">
      <c r="A271" s="91">
        <v>1</v>
      </c>
      <c r="B271" s="75">
        <v>13</v>
      </c>
      <c r="C271" s="75">
        <v>133</v>
      </c>
      <c r="D271" s="75">
        <v>1332</v>
      </c>
      <c r="E271" s="91">
        <v>13322</v>
      </c>
      <c r="F271" s="75" t="s">
        <v>381</v>
      </c>
      <c r="G271" s="76" t="s">
        <v>382</v>
      </c>
      <c r="H271" s="76" t="s">
        <v>383</v>
      </c>
      <c r="I271" s="78">
        <v>0</v>
      </c>
      <c r="J271" s="77"/>
      <c r="K271" s="77">
        <f>K267</f>
        <v>2</v>
      </c>
      <c r="L271" s="77">
        <f>L267</f>
        <v>2.2000000000000002</v>
      </c>
      <c r="M271" s="77">
        <f t="shared" si="62"/>
        <v>4.2</v>
      </c>
      <c r="N271" s="77">
        <f>IF(OR(H271="",H271="sif",H271="PM"),0,VLOOKUP(H271,[5]CU!$C$4:$H$255,6,FALSE))</f>
        <v>10.012499999999999</v>
      </c>
      <c r="O271" s="77">
        <f t="shared" ref="O271:R273" si="65">$N271*I271</f>
        <v>0</v>
      </c>
      <c r="P271" s="77">
        <f t="shared" si="65"/>
        <v>0</v>
      </c>
      <c r="Q271" s="77">
        <f t="shared" si="64"/>
        <v>20.024999999999999</v>
      </c>
      <c r="R271" s="77">
        <f t="shared" si="65"/>
        <v>22.0275</v>
      </c>
      <c r="S271" s="77">
        <f>SUM(O271:R271)</f>
        <v>42.052499999999995</v>
      </c>
      <c r="T271" s="92" t="s">
        <v>169</v>
      </c>
      <c r="U271" s="88" t="s">
        <v>330</v>
      </c>
      <c r="V271" s="88" t="str">
        <f>IF(OR($H271="",$H271="sif",$H271="PM"),"",VLOOKUP($H271,[5]CU!$C$5:$J$255,8,FALSE))</f>
        <v>5. Investissement</v>
      </c>
      <c r="W271" s="88" t="s">
        <v>98</v>
      </c>
      <c r="X271" s="88" t="s">
        <v>98</v>
      </c>
      <c r="Y271" s="88" t="s">
        <v>32</v>
      </c>
      <c r="Z271" s="88" t="str">
        <f>A271 &amp; "-" &amp; VLOOKUP(A271,[4]PROGRAMMES!$E$1:$F$7,2,FALSE)</f>
        <v>1-Accès et équité à l'enseignement général</v>
      </c>
      <c r="AA271" s="88" t="str">
        <f>B271 &amp; "-" &amp; VLOOKUP(B271,[4]SOUSPROGRAMMES!$E$1:$F$44,2,FALSE)</f>
        <v>13- Accès à l’éducation non formelle</v>
      </c>
      <c r="AB271" s="88" t="str">
        <f>C271 &amp; "-" &amp; VLOOKUP(C271,[4]RESULTATS!$E$1:$F$176,2,FALSE)</f>
        <v>133-Les capacités d’accueil d’éducation non formelle se sont accrues</v>
      </c>
      <c r="AC271" s="89" t="str">
        <f>D271 &amp; "-" &amp; VLOOKUP(D271,[4]STRATEGIES!$E$1:$F$504,2,FALSE)</f>
        <v>1332-Dotation des centres NAFA en équipements et mobilier</v>
      </c>
      <c r="AD271" s="76" t="str">
        <f t="shared" si="60"/>
        <v>13322-Acquisition et distribution des mobiliers pour les nouveaux centres Nafa</v>
      </c>
    </row>
    <row r="272" spans="1:30" s="71" customFormat="1" ht="45" hidden="1" customHeight="1" x14ac:dyDescent="0.8">
      <c r="A272" s="91">
        <v>1</v>
      </c>
      <c r="B272" s="75">
        <v>13</v>
      </c>
      <c r="C272" s="75">
        <v>133</v>
      </c>
      <c r="D272" s="75">
        <v>1332</v>
      </c>
      <c r="E272" s="91">
        <v>13323</v>
      </c>
      <c r="F272" s="75" t="s">
        <v>384</v>
      </c>
      <c r="G272" s="76" t="s">
        <v>385</v>
      </c>
      <c r="H272" s="76" t="s">
        <v>386</v>
      </c>
      <c r="I272" s="78">
        <v>0</v>
      </c>
      <c r="J272" s="77">
        <f>(J264+J266)*19.98%</f>
        <v>0.79929990000000017</v>
      </c>
      <c r="K272" s="77">
        <f>(K264+K266)*19.98%</f>
        <v>2.3976000000000002</v>
      </c>
      <c r="L272" s="77">
        <f>(L264+L266)*19.98%</f>
        <v>2.7173998799999999</v>
      </c>
      <c r="M272" s="77">
        <f>SUM(I272:L272)</f>
        <v>5.9142997800000003</v>
      </c>
      <c r="N272" s="77">
        <f>IF(OR(H272="",H272="sif",H272="PM"),0,VLOOKUP(H272,[5]CU!$C$4:$H$255,6,FALSE))</f>
        <v>8.3363318181818169</v>
      </c>
      <c r="O272" s="77">
        <f>$N272*I272</f>
        <v>0</v>
      </c>
      <c r="P272" s="77">
        <f>$N272*J272</f>
        <v>6.6632291886395461</v>
      </c>
      <c r="Q272" s="77">
        <f t="shared" si="64"/>
        <v>19.987189167272724</v>
      </c>
      <c r="R272" s="77">
        <f>$N272*L272</f>
        <v>22.65314708236745</v>
      </c>
      <c r="S272" s="77">
        <f>SUM(O272:R272)</f>
        <v>49.303565438279719</v>
      </c>
      <c r="T272" s="92" t="s">
        <v>169</v>
      </c>
      <c r="U272" s="88" t="s">
        <v>330</v>
      </c>
      <c r="V272" s="88" t="str">
        <f>IF(OR($H272="",$H272="sif",$H272="PM"),"",VLOOKUP($H272,[5]CU!$C$5:$J$255,8,FALSE))</f>
        <v>5. Investissement</v>
      </c>
      <c r="W272" s="88" t="s">
        <v>331</v>
      </c>
      <c r="X272" s="88" t="s">
        <v>331</v>
      </c>
      <c r="Y272" s="88" t="s">
        <v>32</v>
      </c>
      <c r="Z272" s="88" t="str">
        <f>A272 &amp; "-" &amp; VLOOKUP(A272,[4]PROGRAMMES!$E$1:$F$7,2,FALSE)</f>
        <v>1-Accès et équité à l'enseignement général</v>
      </c>
      <c r="AA272" s="88" t="str">
        <f>B272 &amp; "-" &amp; VLOOKUP(B272,[4]SOUSPROGRAMMES!$E$1:$F$44,2,FALSE)</f>
        <v>13- Accès à l’éducation non formelle</v>
      </c>
      <c r="AB272" s="88" t="str">
        <f>C272 &amp; "-" &amp; VLOOKUP(C272,[4]RESULTATS!$E$1:$F$176,2,FALSE)</f>
        <v>133-Les capacités d’accueil d’éducation non formelle se sont accrues</v>
      </c>
      <c r="AC272" s="89" t="str">
        <f>D272 &amp; "-" &amp; VLOOKUP(D272,[4]STRATEGIES!$E$1:$F$504,2,FALSE)</f>
        <v>1332-Dotation des centres NAFA en équipements et mobilier</v>
      </c>
      <c r="AD272" s="76" t="str">
        <f t="shared" si="60"/>
        <v>13323-Acquisition et distribution des équipements pour les centres Nafa</v>
      </c>
    </row>
    <row r="273" spans="1:30" s="90" customFormat="1" ht="30" customHeight="1" x14ac:dyDescent="0.8">
      <c r="A273" s="84">
        <v>1</v>
      </c>
      <c r="B273" s="85">
        <v>13</v>
      </c>
      <c r="C273" s="85">
        <v>133</v>
      </c>
      <c r="D273" s="85">
        <v>1332</v>
      </c>
      <c r="E273" s="84">
        <v>13323</v>
      </c>
      <c r="F273" s="75" t="s">
        <v>384</v>
      </c>
      <c r="G273" s="76" t="s">
        <v>385</v>
      </c>
      <c r="H273" s="86" t="s">
        <v>386</v>
      </c>
      <c r="I273" s="78">
        <v>0</v>
      </c>
      <c r="J273" s="78">
        <f>(J264+J266)*80.02%</f>
        <v>3.2012001000000003</v>
      </c>
      <c r="K273" s="78">
        <f>(K264+K266)*80.02%</f>
        <v>9.6023999999999994</v>
      </c>
      <c r="L273" s="78">
        <f>(L264+L266)*80.02%</f>
        <v>10.88320012</v>
      </c>
      <c r="M273" s="78">
        <f t="shared" si="62"/>
        <v>23.686800220000002</v>
      </c>
      <c r="N273" s="78">
        <f>IF(OR(H273="",H273="sif",H273="PM"),0,VLOOKUP(H273,[5]CU!$C$4:$H$255,6,FALSE))</f>
        <v>8.3363318181818169</v>
      </c>
      <c r="O273" s="78">
        <f t="shared" si="65"/>
        <v>0</v>
      </c>
      <c r="P273" s="78">
        <f t="shared" si="65"/>
        <v>26.686266249996816</v>
      </c>
      <c r="Q273" s="78">
        <f t="shared" si="65"/>
        <v>80.048792650909078</v>
      </c>
      <c r="R273" s="78">
        <f t="shared" si="65"/>
        <v>90.725967443996169</v>
      </c>
      <c r="S273" s="78">
        <f>SUM(O273:R273)</f>
        <v>197.46102634490205</v>
      </c>
      <c r="T273" s="80" t="s">
        <v>414</v>
      </c>
      <c r="U273" s="87" t="s">
        <v>330</v>
      </c>
      <c r="V273" s="88" t="str">
        <f>IF(OR($H273="",$H273="sif",$H273="PM"),"",VLOOKUP($H273,[5]CU!$C$5:$J$255,8,FALSE))</f>
        <v>5. Investissement</v>
      </c>
      <c r="W273" s="87" t="s">
        <v>331</v>
      </c>
      <c r="X273" s="87" t="s">
        <v>331</v>
      </c>
      <c r="Y273" s="88" t="s">
        <v>32</v>
      </c>
      <c r="Z273" s="88" t="str">
        <f>A273 &amp; "-" &amp; VLOOKUP(A273,[4]PROGRAMMES!$E$1:$F$7,2,FALSE)</f>
        <v>1-Accès et équité à l'enseignement général</v>
      </c>
      <c r="AA273" s="88" t="str">
        <f>B273 &amp; "-" &amp; VLOOKUP(B273,[4]SOUSPROGRAMMES!$E$1:$F$44,2,FALSE)</f>
        <v>13- Accès à l’éducation non formelle</v>
      </c>
      <c r="AB273" s="88" t="str">
        <f>C273 &amp; "-" &amp; VLOOKUP(C273,[4]RESULTATS!$E$1:$F$176,2,FALSE)</f>
        <v>133-Les capacités d’accueil d’éducation non formelle se sont accrues</v>
      </c>
      <c r="AC273" s="89" t="str">
        <f>D273 &amp; "-" &amp; VLOOKUP(D273,[4]STRATEGIES!$E$1:$F$504,2,FALSE)</f>
        <v>1332-Dotation des centres NAFA en équipements et mobilier</v>
      </c>
      <c r="AD273" s="76" t="str">
        <f t="shared" si="60"/>
        <v>13323-Acquisition et distribution des équipements pour les centres Nafa</v>
      </c>
    </row>
    <row r="274" spans="1:30" s="71" customFormat="1" ht="45" hidden="1" customHeight="1" x14ac:dyDescent="0.8">
      <c r="A274" s="91">
        <v>1</v>
      </c>
      <c r="B274" s="75">
        <v>13</v>
      </c>
      <c r="C274" s="75">
        <v>133</v>
      </c>
      <c r="D274" s="75">
        <v>1332</v>
      </c>
      <c r="E274" s="91">
        <v>13324</v>
      </c>
      <c r="F274" s="75" t="s">
        <v>387</v>
      </c>
      <c r="G274" s="76" t="s">
        <v>159</v>
      </c>
      <c r="H274" s="76" t="s">
        <v>55</v>
      </c>
      <c r="I274" s="78">
        <v>0</v>
      </c>
      <c r="J274" s="77">
        <v>1</v>
      </c>
      <c r="K274" s="77">
        <v>1</v>
      </c>
      <c r="L274" s="77">
        <v>1</v>
      </c>
      <c r="M274" s="77">
        <f t="shared" si="62"/>
        <v>3</v>
      </c>
      <c r="N274" s="77">
        <f>IF(OR(H274="",H274="sif",H274="PM"),0,VLOOKUP(H274,[5]CU!$C$4:$H$255,6,FALSE))</f>
        <v>0</v>
      </c>
      <c r="O274" s="77"/>
      <c r="P274" s="77"/>
      <c r="Q274" s="77">
        <f>$N274*K274</f>
        <v>0</v>
      </c>
      <c r="R274" s="77"/>
      <c r="S274" s="77"/>
      <c r="T274" s="92" t="s">
        <v>169</v>
      </c>
      <c r="U274" s="88" t="s">
        <v>330</v>
      </c>
      <c r="V274" s="88" t="str">
        <f>IF(OR($H274="",$H274="sif",$H274="PM"),"",VLOOKUP($H274,[5]CU!$C$5:$J$255,8,FALSE))</f>
        <v/>
      </c>
      <c r="W274" s="88" t="s">
        <v>331</v>
      </c>
      <c r="X274" s="88" t="s">
        <v>179</v>
      </c>
      <c r="Y274" s="88" t="s">
        <v>32</v>
      </c>
      <c r="Z274" s="88" t="str">
        <f>A274 &amp; "-" &amp; VLOOKUP(A274,[4]PROGRAMMES!$E$1:$F$7,2,FALSE)</f>
        <v>1-Accès et équité à l'enseignement général</v>
      </c>
      <c r="AA274" s="88" t="str">
        <f>B274 &amp; "-" &amp; VLOOKUP(B274,[4]SOUSPROGRAMMES!$E$1:$F$44,2,FALSE)</f>
        <v>13- Accès à l’éducation non formelle</v>
      </c>
      <c r="AB274" s="88" t="str">
        <f>C274 &amp; "-" &amp; VLOOKUP(C274,[4]RESULTATS!$E$1:$F$176,2,FALSE)</f>
        <v>133-Les capacités d’accueil d’éducation non formelle se sont accrues</v>
      </c>
      <c r="AC274" s="89" t="str">
        <f>D274 &amp; "-" &amp; VLOOKUP(D274,[4]STRATEGIES!$E$1:$F$504,2,FALSE)</f>
        <v>1332-Dotation des centres NAFA en équipements et mobilier</v>
      </c>
      <c r="AD274" s="76" t="str">
        <f t="shared" si="60"/>
        <v>13324-Suivi de la distribution des mobiliers et équipements des centres Nafa</v>
      </c>
    </row>
    <row r="275" spans="1:30" s="90" customFormat="1" ht="30" customHeight="1" x14ac:dyDescent="0.8">
      <c r="A275" s="84">
        <v>1</v>
      </c>
      <c r="B275" s="85">
        <v>13</v>
      </c>
      <c r="C275" s="85">
        <v>133</v>
      </c>
      <c r="D275" s="85">
        <v>1333</v>
      </c>
      <c r="E275" s="84">
        <v>1333</v>
      </c>
      <c r="F275" s="75" t="s">
        <v>388</v>
      </c>
      <c r="G275" s="86"/>
      <c r="H275" s="86"/>
      <c r="I275" s="78">
        <v>0</v>
      </c>
      <c r="J275" s="78"/>
      <c r="K275" s="78"/>
      <c r="L275" s="78"/>
      <c r="M275" s="78"/>
      <c r="N275" s="78"/>
      <c r="O275" s="78"/>
      <c r="P275" s="78"/>
      <c r="Q275" s="78"/>
      <c r="R275" s="78"/>
      <c r="S275" s="78"/>
      <c r="T275" s="87"/>
      <c r="U275" s="87"/>
      <c r="V275" s="88"/>
      <c r="W275" s="87"/>
      <c r="X275" s="87"/>
      <c r="Y275" s="88" t="s">
        <v>32</v>
      </c>
      <c r="Z275" s="88" t="str">
        <f>A275 &amp; "-" &amp; VLOOKUP(A275,[4]PROGRAMMES!$E$1:$F$7,2,FALSE)</f>
        <v>1-Accès et équité à l'enseignement général</v>
      </c>
      <c r="AA275" s="88" t="str">
        <f>B275 &amp; "-" &amp; VLOOKUP(B275,[4]SOUSPROGRAMMES!$E$1:$F$44,2,FALSE)</f>
        <v>13- Accès à l’éducation non formelle</v>
      </c>
      <c r="AB275" s="88" t="str">
        <f>C275 &amp; "-" &amp; VLOOKUP(C275,[4]RESULTATS!$E$1:$F$176,2,FALSE)</f>
        <v>133-Les capacités d’accueil d’éducation non formelle se sont accrues</v>
      </c>
      <c r="AC275" s="89" t="str">
        <f>D275 &amp; "-" &amp; VLOOKUP(D275,[4]STRATEGIES!$E$1:$F$504,2,FALSE)</f>
        <v>1333-Dotation des centres NAFA en matières d'œuvre</v>
      </c>
      <c r="AD275" s="76" t="str">
        <f t="shared" si="60"/>
        <v>1333-Dotation des centres NAFA en matières d'œuvre</v>
      </c>
    </row>
    <row r="276" spans="1:30" s="90" customFormat="1" ht="30" hidden="1" customHeight="1" x14ac:dyDescent="0.8">
      <c r="A276" s="84">
        <v>1</v>
      </c>
      <c r="B276" s="85">
        <v>13</v>
      </c>
      <c r="C276" s="85">
        <v>133</v>
      </c>
      <c r="D276" s="85">
        <v>1333</v>
      </c>
      <c r="E276" s="84">
        <v>13331</v>
      </c>
      <c r="F276" s="75" t="s">
        <v>389</v>
      </c>
      <c r="G276" s="76" t="s">
        <v>390</v>
      </c>
      <c r="H276" s="86" t="s">
        <v>391</v>
      </c>
      <c r="I276" s="78">
        <v>0</v>
      </c>
      <c r="J276" s="78"/>
      <c r="K276" s="78"/>
      <c r="L276" s="78"/>
      <c r="M276" s="78">
        <f>SUM(I276:L276)</f>
        <v>0</v>
      </c>
      <c r="N276" s="78">
        <f>IF(OR(H276="",H276="sif",H276="PM"),0,VLOOKUP(H276,[5]CU!$C$4:$H$255,6,FALSE))</f>
        <v>5.75</v>
      </c>
      <c r="O276" s="78">
        <f>$N276*I276</f>
        <v>0</v>
      </c>
      <c r="P276" s="78">
        <f>$N276*J276</f>
        <v>0</v>
      </c>
      <c r="Q276" s="78">
        <f>$N276*K276</f>
        <v>0</v>
      </c>
      <c r="R276" s="78">
        <f>$N276*L276</f>
        <v>0</v>
      </c>
      <c r="S276" s="78">
        <f>SUM(O276:R276)</f>
        <v>0</v>
      </c>
      <c r="T276" s="80" t="s">
        <v>178</v>
      </c>
      <c r="U276" s="87" t="s">
        <v>330</v>
      </c>
      <c r="V276" s="88" t="str">
        <f>IF(OR($H276="",$H276="sif",$H276="PM"),"",VLOOKUP($H276,[5]CU!$C$5:$J$255,8,FALSE))</f>
        <v>3. Manuels scolaires et matériels pédagogiques</v>
      </c>
      <c r="W276" s="87" t="s">
        <v>331</v>
      </c>
      <c r="X276" s="87" t="s">
        <v>282</v>
      </c>
      <c r="Y276" s="88" t="s">
        <v>32</v>
      </c>
      <c r="Z276" s="88" t="str">
        <f>A276 &amp; "-" &amp; VLOOKUP(A276,[4]PROGRAMMES!$E$1:$F$7,2,FALSE)</f>
        <v>1-Accès et équité à l'enseignement général</v>
      </c>
      <c r="AA276" s="88" t="str">
        <f>B276 &amp; "-" &amp; VLOOKUP(B276,[4]SOUSPROGRAMMES!$E$1:$F$44,2,FALSE)</f>
        <v>13- Accès à l’éducation non formelle</v>
      </c>
      <c r="AB276" s="88" t="str">
        <f>C276 &amp; "-" &amp; VLOOKUP(C276,[4]RESULTATS!$E$1:$F$176,2,FALSE)</f>
        <v>133-Les capacités d’accueil d’éducation non formelle se sont accrues</v>
      </c>
      <c r="AC276" s="89" t="str">
        <f>D276 &amp; "-" &amp; VLOOKUP(D276,[4]STRATEGIES!$E$1:$F$504,2,FALSE)</f>
        <v>1333-Dotation des centres NAFA en matières d'œuvre</v>
      </c>
      <c r="AD276" s="76" t="str">
        <f t="shared" si="60"/>
        <v xml:space="preserve">13331-Acquisition et distribution de matières d'œuvre </v>
      </c>
    </row>
    <row r="277" spans="1:30" s="71" customFormat="1" ht="45" hidden="1" customHeight="1" x14ac:dyDescent="0.8">
      <c r="A277" s="91">
        <v>1</v>
      </c>
      <c r="B277" s="75">
        <v>13</v>
      </c>
      <c r="C277" s="75">
        <v>133</v>
      </c>
      <c r="D277" s="75">
        <v>1333</v>
      </c>
      <c r="E277" s="91">
        <v>13331</v>
      </c>
      <c r="F277" s="75" t="s">
        <v>389</v>
      </c>
      <c r="G277" s="76" t="s">
        <v>390</v>
      </c>
      <c r="H277" s="76" t="s">
        <v>391</v>
      </c>
      <c r="I277" s="78">
        <v>0</v>
      </c>
      <c r="J277" s="77">
        <v>112</v>
      </c>
      <c r="K277" s="77">
        <f>(J277+J273)*2</f>
        <v>230.40240019999999</v>
      </c>
      <c r="L277" s="77">
        <f>K277+K273</f>
        <v>240.00480019999998</v>
      </c>
      <c r="M277" s="77">
        <f t="shared" si="62"/>
        <v>582.40720039999997</v>
      </c>
      <c r="N277" s="77">
        <f>IF(OR(H277="",H277="sif",H277="PM"),0,VLOOKUP(H277,[5]CU!$C$4:$H$255,6,FALSE))</f>
        <v>5.75</v>
      </c>
      <c r="O277" s="77">
        <f t="shared" ref="O277:R278" si="66">$N277*I277</f>
        <v>0</v>
      </c>
      <c r="P277" s="77">
        <f t="shared" si="66"/>
        <v>644</v>
      </c>
      <c r="Q277" s="77">
        <f t="shared" si="66"/>
        <v>1324.81380115</v>
      </c>
      <c r="R277" s="77">
        <f t="shared" si="66"/>
        <v>1380.0276011499998</v>
      </c>
      <c r="S277" s="77">
        <f>SUM(O277:R277)</f>
        <v>3348.8414022999996</v>
      </c>
      <c r="T277" s="92" t="s">
        <v>169</v>
      </c>
      <c r="U277" s="88" t="s">
        <v>330</v>
      </c>
      <c r="V277" s="88" t="str">
        <f>IF(OR($H277="",$H277="sif",$H277="PM"),"",VLOOKUP($H277,[5]CU!$C$5:$J$255,8,FALSE))</f>
        <v>3. Manuels scolaires et matériels pédagogiques</v>
      </c>
      <c r="W277" s="88" t="s">
        <v>331</v>
      </c>
      <c r="X277" s="88" t="s">
        <v>282</v>
      </c>
      <c r="Y277" s="88" t="s">
        <v>32</v>
      </c>
      <c r="Z277" s="88" t="str">
        <f>A277 &amp; "-" &amp; VLOOKUP(A277,[4]PROGRAMMES!$E$1:$F$7,2,FALSE)</f>
        <v>1-Accès et équité à l'enseignement général</v>
      </c>
      <c r="AA277" s="88" t="str">
        <f>B277 &amp; "-" &amp; VLOOKUP(B277,[4]SOUSPROGRAMMES!$E$1:$F$44,2,FALSE)</f>
        <v>13- Accès à l’éducation non formelle</v>
      </c>
      <c r="AB277" s="88" t="str">
        <f>C277 &amp; "-" &amp; VLOOKUP(C277,[4]RESULTATS!$E$1:$F$176,2,FALSE)</f>
        <v>133-Les capacités d’accueil d’éducation non formelle se sont accrues</v>
      </c>
      <c r="AC277" s="89" t="str">
        <f>D277 &amp; "-" &amp; VLOOKUP(D277,[4]STRATEGIES!$E$1:$F$504,2,FALSE)</f>
        <v>1333-Dotation des centres NAFA en matières d'œuvre</v>
      </c>
      <c r="AD277" s="76" t="str">
        <f t="shared" si="60"/>
        <v xml:space="preserve">13331-Acquisition et distribution de matières d'œuvre </v>
      </c>
    </row>
    <row r="278" spans="1:30" s="71" customFormat="1" ht="45" hidden="1" customHeight="1" x14ac:dyDescent="0.8">
      <c r="A278" s="91">
        <v>1</v>
      </c>
      <c r="B278" s="75">
        <v>13</v>
      </c>
      <c r="C278" s="75">
        <v>133</v>
      </c>
      <c r="D278" s="75">
        <v>1333</v>
      </c>
      <c r="E278" s="91">
        <v>13332</v>
      </c>
      <c r="F278" s="75" t="s">
        <v>392</v>
      </c>
      <c r="G278" s="76" t="s">
        <v>58</v>
      </c>
      <c r="H278" s="76" t="s">
        <v>59</v>
      </c>
      <c r="I278" s="78">
        <v>0</v>
      </c>
      <c r="J278" s="77">
        <f>4*7*4</f>
        <v>112</v>
      </c>
      <c r="K278" s="77">
        <f>4*7*4</f>
        <v>112</v>
      </c>
      <c r="L278" s="77">
        <f>4*7*4</f>
        <v>112</v>
      </c>
      <c r="M278" s="77">
        <f t="shared" si="62"/>
        <v>336</v>
      </c>
      <c r="N278" s="77">
        <f>IF(OR(H278="",H278="sif",H278="PM"),0,VLOOKUP(H278,[5]CU!$C$4:$H$255,6,FALSE))</f>
        <v>0.8177777777777776</v>
      </c>
      <c r="O278" s="77">
        <f t="shared" si="66"/>
        <v>0</v>
      </c>
      <c r="P278" s="77">
        <f t="shared" si="66"/>
        <v>91.59111111111109</v>
      </c>
      <c r="Q278" s="77">
        <f t="shared" si="66"/>
        <v>91.59111111111109</v>
      </c>
      <c r="R278" s="77">
        <f t="shared" si="66"/>
        <v>91.59111111111109</v>
      </c>
      <c r="S278" s="77">
        <f>SUM(O278:R278)</f>
        <v>274.77333333333326</v>
      </c>
      <c r="T278" s="92" t="s">
        <v>169</v>
      </c>
      <c r="U278" s="88" t="s">
        <v>330</v>
      </c>
      <c r="V278" s="88" t="str">
        <f>IF(OR($H278="",$H278="sif",$H278="PM"),"",VLOOKUP($H278,[5]CU!$C$5:$J$255,8,FALSE))</f>
        <v>3. Dépenses de fonctionnement</v>
      </c>
      <c r="W278" s="88" t="s">
        <v>331</v>
      </c>
      <c r="X278" s="88" t="s">
        <v>331</v>
      </c>
      <c r="Y278" s="88" t="s">
        <v>32</v>
      </c>
      <c r="Z278" s="88" t="str">
        <f>A278 &amp; "-" &amp; VLOOKUP(A278,[4]PROGRAMMES!$E$1:$F$7,2,FALSE)</f>
        <v>1-Accès et équité à l'enseignement général</v>
      </c>
      <c r="AA278" s="88" t="str">
        <f>B278 &amp; "-" &amp; VLOOKUP(B278,[4]SOUSPROGRAMMES!$E$1:$F$44,2,FALSE)</f>
        <v>13- Accès à l’éducation non formelle</v>
      </c>
      <c r="AB278" s="88" t="str">
        <f>C278 &amp; "-" &amp; VLOOKUP(C278,[4]RESULTATS!$E$1:$F$176,2,FALSE)</f>
        <v>133-Les capacités d’accueil d’éducation non formelle se sont accrues</v>
      </c>
      <c r="AC278" s="89" t="str">
        <f>D278 &amp; "-" &amp; VLOOKUP(D278,[4]STRATEGIES!$E$1:$F$504,2,FALSE)</f>
        <v>1333-Dotation des centres NAFA en matières d'œuvre</v>
      </c>
      <c r="AD278" s="76" t="str">
        <f t="shared" si="60"/>
        <v>13332-Suivi/évaluation de la distribution des matières d'œuvre</v>
      </c>
    </row>
    <row r="279" spans="1:30" s="90" customFormat="1" ht="15" customHeight="1" x14ac:dyDescent="0.8">
      <c r="A279" s="84">
        <v>1</v>
      </c>
      <c r="B279" s="85">
        <v>14</v>
      </c>
      <c r="C279" s="85">
        <v>14</v>
      </c>
      <c r="D279" s="85">
        <v>14</v>
      </c>
      <c r="E279" s="84">
        <v>14</v>
      </c>
      <c r="F279" s="75" t="s">
        <v>393</v>
      </c>
      <c r="G279" s="86"/>
      <c r="H279" s="86"/>
      <c r="I279" s="78">
        <v>0</v>
      </c>
      <c r="J279" s="78"/>
      <c r="K279" s="78"/>
      <c r="L279" s="78"/>
      <c r="M279" s="78"/>
      <c r="N279" s="78"/>
      <c r="O279" s="78"/>
      <c r="P279" s="78"/>
      <c r="Q279" s="78"/>
      <c r="R279" s="78"/>
      <c r="S279" s="78"/>
      <c r="T279" s="87"/>
      <c r="U279" s="87"/>
      <c r="V279" s="88"/>
      <c r="W279" s="87"/>
      <c r="X279" s="87"/>
      <c r="Y279" s="88" t="s">
        <v>32</v>
      </c>
      <c r="Z279" s="88" t="str">
        <f>A279 &amp; "-" &amp; VLOOKUP(A279,[4]PROGRAMMES!$E$1:$F$7,2,FALSE)</f>
        <v>1-Accès et équité à l'enseignement général</v>
      </c>
      <c r="AA279" s="88" t="str">
        <f>B279 &amp; "-" &amp; VLOOKUP(B279,[4]SOUSPROGRAMMES!$E$1:$F$44,2,FALSE)</f>
        <v>14- Accès et équité au collège</v>
      </c>
      <c r="AB279" s="88" t="str">
        <f>C279 &amp; "-" &amp; VLOOKUP(C279,[4]RESULTATS!$E$1:$F$176,2,FALSE)</f>
        <v>14- Accès et équité au collège</v>
      </c>
      <c r="AC279" s="89" t="str">
        <f>D279 &amp; "-" &amp; VLOOKUP(D279,[4]STRATEGIES!$E$1:$F$504,2,FALSE)</f>
        <v>14- Accès et équité au collège</v>
      </c>
      <c r="AD279" s="76" t="str">
        <f t="shared" si="60"/>
        <v>14- Accès et équité au collège</v>
      </c>
    </row>
    <row r="280" spans="1:30" s="90" customFormat="1" ht="45" customHeight="1" x14ac:dyDescent="0.8">
      <c r="A280" s="84">
        <v>1</v>
      </c>
      <c r="B280" s="85">
        <v>14</v>
      </c>
      <c r="C280" s="85">
        <v>141</v>
      </c>
      <c r="D280" s="85">
        <v>141</v>
      </c>
      <c r="E280" s="84">
        <v>141</v>
      </c>
      <c r="F280" s="75" t="s">
        <v>394</v>
      </c>
      <c r="G280" s="86"/>
      <c r="H280" s="86"/>
      <c r="I280" s="78">
        <v>0</v>
      </c>
      <c r="J280" s="78"/>
      <c r="K280" s="78"/>
      <c r="L280" s="78"/>
      <c r="M280" s="78"/>
      <c r="N280" s="78"/>
      <c r="O280" s="78"/>
      <c r="P280" s="78"/>
      <c r="Q280" s="78"/>
      <c r="R280" s="78"/>
      <c r="S280" s="78"/>
      <c r="T280" s="87"/>
      <c r="U280" s="87"/>
      <c r="V280" s="88"/>
      <c r="W280" s="87"/>
      <c r="X280" s="87"/>
      <c r="Y280" s="88" t="s">
        <v>32</v>
      </c>
      <c r="Z280" s="88" t="str">
        <f>A280 &amp; "-" &amp; VLOOKUP(A280,[4]PROGRAMMES!$E$1:$F$7,2,FALSE)</f>
        <v>1-Accès et équité à l'enseignement général</v>
      </c>
      <c r="AA280" s="88" t="str">
        <f>B280 &amp; "-" &amp; VLOOKUP(B280,[4]SOUSPROGRAMMES!$E$1:$F$44,2,FALSE)</f>
        <v>14- Accès et équité au collège</v>
      </c>
      <c r="AB280" s="88" t="str">
        <f>C280 &amp; "-" &amp; VLOOKUP(C280,[4]RESULTATS!$E$1:$F$176,2,FALSE)</f>
        <v>141- L’accès au collège est amélioré en tenant compte de l’équité et de l’élargissement de l’éducation de base</v>
      </c>
      <c r="AC280" s="89" t="str">
        <f>D280 &amp; "-" &amp; VLOOKUP(D280,[4]STRATEGIES!$E$1:$F$504,2,FALSE)</f>
        <v>141- L’accès au collège est amélioré en tenant compte de l’équité et de l’élargissement de l’éducation de base</v>
      </c>
      <c r="AD280" s="76" t="str">
        <f t="shared" si="60"/>
        <v>141- L’accès au collège est amélioré en tenant compte de l’équité et de l’élargissement de l’éducation de base</v>
      </c>
    </row>
    <row r="281" spans="1:30" s="90" customFormat="1" ht="45" customHeight="1" x14ac:dyDescent="0.8">
      <c r="A281" s="84">
        <v>1</v>
      </c>
      <c r="B281" s="85">
        <v>14</v>
      </c>
      <c r="C281" s="85">
        <v>141</v>
      </c>
      <c r="D281" s="85">
        <v>1411</v>
      </c>
      <c r="E281" s="84">
        <v>1411</v>
      </c>
      <c r="F281" s="75" t="s">
        <v>395</v>
      </c>
      <c r="G281" s="86"/>
      <c r="H281" s="86"/>
      <c r="I281" s="78">
        <v>0</v>
      </c>
      <c r="J281" s="78"/>
      <c r="K281" s="78"/>
      <c r="L281" s="78"/>
      <c r="M281" s="78"/>
      <c r="N281" s="78"/>
      <c r="O281" s="78"/>
      <c r="P281" s="78"/>
      <c r="Q281" s="78"/>
      <c r="R281" s="78"/>
      <c r="S281" s="78"/>
      <c r="T281" s="87"/>
      <c r="U281" s="87"/>
      <c r="V281" s="88"/>
      <c r="W281" s="87"/>
      <c r="X281" s="87"/>
      <c r="Y281" s="88" t="s">
        <v>32</v>
      </c>
      <c r="Z281" s="88" t="str">
        <f>A281 &amp; "-" &amp; VLOOKUP(A281,[4]PROGRAMMES!$E$1:$F$7,2,FALSE)</f>
        <v>1-Accès et équité à l'enseignement général</v>
      </c>
      <c r="AA281" s="88" t="str">
        <f>B281 &amp; "-" &amp; VLOOKUP(B281,[4]SOUSPROGRAMMES!$E$1:$F$44,2,FALSE)</f>
        <v>14- Accès et équité au collège</v>
      </c>
      <c r="AB281" s="88" t="str">
        <f>C281 &amp; "-" &amp; VLOOKUP(C281,[4]RESULTATS!$E$1:$F$176,2,FALSE)</f>
        <v>141- L’accès au collège est amélioré en tenant compte de l’équité et de l’élargissement de l’éducation de base</v>
      </c>
      <c r="AC281" s="89" t="str">
        <f>D281 &amp; "-" &amp; VLOOKUP(D281,[4]STRATEGIES!$E$1:$F$504,2,FALSE)</f>
        <v>1411-Réorganisation du collège (tronc commun, collège de proximité etc)</v>
      </c>
      <c r="AD281" s="76" t="str">
        <f t="shared" si="60"/>
        <v>1411-Réorganisation du collège (tronc commun, collège de proximité etc)</v>
      </c>
    </row>
    <row r="282" spans="1:30" s="90" customFormat="1" ht="45" hidden="1" customHeight="1" x14ac:dyDescent="0.8">
      <c r="A282" s="84">
        <v>1</v>
      </c>
      <c r="B282" s="85">
        <v>14</v>
      </c>
      <c r="C282" s="85">
        <v>141</v>
      </c>
      <c r="D282" s="85">
        <v>1411</v>
      </c>
      <c r="E282" s="84">
        <v>14111</v>
      </c>
      <c r="F282" s="75" t="s">
        <v>396</v>
      </c>
      <c r="G282" s="76" t="s">
        <v>88</v>
      </c>
      <c r="H282" s="86" t="s">
        <v>55</v>
      </c>
      <c r="I282" s="78">
        <v>0</v>
      </c>
      <c r="J282" s="78">
        <v>1</v>
      </c>
      <c r="K282" s="78"/>
      <c r="L282" s="78"/>
      <c r="M282" s="78">
        <f t="shared" si="62"/>
        <v>1</v>
      </c>
      <c r="N282" s="78">
        <f>IF(OR(H282="",H282="sif",H282="PM"),0,VLOOKUP(H282,[5]CU!$C$4:$H$255,6,FALSE))</f>
        <v>0</v>
      </c>
      <c r="O282" s="78"/>
      <c r="P282" s="78"/>
      <c r="Q282" s="78"/>
      <c r="R282" s="78"/>
      <c r="S282" s="78"/>
      <c r="T282" s="80" t="s">
        <v>56</v>
      </c>
      <c r="U282" s="87" t="s">
        <v>397</v>
      </c>
      <c r="V282" s="88" t="str">
        <f>IF(OR($H282="",$H282="sif",$H282="PM"),"",VLOOKUP($H282,[5]CU!$C$5:$J$255,8,FALSE))</f>
        <v/>
      </c>
      <c r="W282" s="87" t="s">
        <v>398</v>
      </c>
      <c r="X282" s="87" t="s">
        <v>398</v>
      </c>
      <c r="Y282" s="88" t="s">
        <v>32</v>
      </c>
      <c r="Z282" s="88" t="str">
        <f>A282 &amp; "-" &amp; VLOOKUP(A282,[4]PROGRAMMES!$E$1:$F$7,2,FALSE)</f>
        <v>1-Accès et équité à l'enseignement général</v>
      </c>
      <c r="AA282" s="88" t="str">
        <f>B282 &amp; "-" &amp; VLOOKUP(B282,[4]SOUSPROGRAMMES!$E$1:$F$44,2,FALSE)</f>
        <v>14- Accès et équité au collège</v>
      </c>
      <c r="AB282" s="88" t="str">
        <f>C282 &amp; "-" &amp; VLOOKUP(C282,[4]RESULTATS!$E$1:$F$176,2,FALSE)</f>
        <v>141- L’accès au collège est amélioré en tenant compte de l’équité et de l’élargissement de l’éducation de base</v>
      </c>
      <c r="AC282" s="89" t="str">
        <f>D282 &amp; "-" &amp; VLOOKUP(D282,[4]STRATEGIES!$E$1:$F$504,2,FALSE)</f>
        <v>1411-Réorganisation du collège (tronc commun, collège de proximité etc)</v>
      </c>
      <c r="AD282" s="76" t="str">
        <f t="shared" si="60"/>
        <v>14111-Révision des textes de fonctionnement des collèges</v>
      </c>
    </row>
    <row r="283" spans="1:30" s="71" customFormat="1" ht="45" hidden="1" customHeight="1" x14ac:dyDescent="0.8">
      <c r="A283" s="91">
        <v>1</v>
      </c>
      <c r="B283" s="75">
        <v>14</v>
      </c>
      <c r="C283" s="75">
        <v>141</v>
      </c>
      <c r="D283" s="75">
        <v>1411</v>
      </c>
      <c r="E283" s="91">
        <v>14112</v>
      </c>
      <c r="F283" s="75" t="s">
        <v>399</v>
      </c>
      <c r="G283" s="76" t="s">
        <v>37</v>
      </c>
      <c r="H283" s="76" t="s">
        <v>38</v>
      </c>
      <c r="I283" s="78">
        <v>0</v>
      </c>
      <c r="J283" s="77">
        <f>18*8*3</f>
        <v>432</v>
      </c>
      <c r="K283" s="77"/>
      <c r="L283" s="77"/>
      <c r="M283" s="77">
        <f t="shared" si="62"/>
        <v>432</v>
      </c>
      <c r="N283" s="77">
        <f>IF(OR(H283="",H283="sif",H283="PM"),0,VLOOKUP(H283,[5]CU!$C$4:$H$255,6,FALSE))</f>
        <v>0.3133333333333333</v>
      </c>
      <c r="O283" s="77">
        <f>$N283*I283</f>
        <v>0</v>
      </c>
      <c r="P283" s="77">
        <f>$N283*J283</f>
        <v>135.35999999999999</v>
      </c>
      <c r="Q283" s="77">
        <f>$N283*K283</f>
        <v>0</v>
      </c>
      <c r="R283" s="77">
        <f>$N283*L283</f>
        <v>0</v>
      </c>
      <c r="S283" s="77">
        <f>SUM(O283:R283)</f>
        <v>135.35999999999999</v>
      </c>
      <c r="T283" s="92" t="s">
        <v>169</v>
      </c>
      <c r="U283" s="88" t="s">
        <v>397</v>
      </c>
      <c r="V283" s="88" t="str">
        <f>IF(OR($H283="",$H283="sif",$H283="PM"),"",VLOOKUP($H283,[5]CU!$C$5:$J$255,8,FALSE))</f>
        <v>3. Formation</v>
      </c>
      <c r="W283" s="88" t="s">
        <v>398</v>
      </c>
      <c r="X283" s="88" t="s">
        <v>398</v>
      </c>
      <c r="Y283" s="88" t="s">
        <v>32</v>
      </c>
      <c r="Z283" s="88" t="str">
        <f>A283 &amp; "-" &amp; VLOOKUP(A283,[4]PROGRAMMES!$E$1:$F$7,2,FALSE)</f>
        <v>1-Accès et équité à l'enseignement général</v>
      </c>
      <c r="AA283" s="88" t="str">
        <f>B283 &amp; "-" &amp; VLOOKUP(B283,[4]SOUSPROGRAMMES!$E$1:$F$44,2,FALSE)</f>
        <v>14- Accès et équité au collège</v>
      </c>
      <c r="AB283" s="88" t="str">
        <f>C283 &amp; "-" &amp; VLOOKUP(C283,[4]RESULTATS!$E$1:$F$176,2,FALSE)</f>
        <v>141- L’accès au collège est amélioré en tenant compte de l’équité et de l’élargissement de l’éducation de base</v>
      </c>
      <c r="AC283" s="89" t="str">
        <f>D283 &amp; "-" &amp; VLOOKUP(D283,[4]STRATEGIES!$E$1:$F$504,2,FALSE)</f>
        <v>1411-Réorganisation du collège (tronc commun, collège de proximité etc)</v>
      </c>
      <c r="AD283" s="76" t="str">
        <f t="shared" si="60"/>
        <v>14112-Diffusion et partage des nouveaux textes</v>
      </c>
    </row>
    <row r="284" spans="1:30" s="90" customFormat="1" ht="45" hidden="1" customHeight="1" x14ac:dyDescent="0.8">
      <c r="A284" s="84">
        <v>1</v>
      </c>
      <c r="B284" s="85">
        <v>14</v>
      </c>
      <c r="C284" s="85">
        <v>141</v>
      </c>
      <c r="D284" s="85">
        <v>1411</v>
      </c>
      <c r="E284" s="84">
        <v>14113</v>
      </c>
      <c r="F284" s="75" t="s">
        <v>400</v>
      </c>
      <c r="G284" s="76" t="s">
        <v>159</v>
      </c>
      <c r="H284" s="86" t="s">
        <v>55</v>
      </c>
      <c r="I284" s="78">
        <v>0</v>
      </c>
      <c r="J284" s="78"/>
      <c r="K284" s="78"/>
      <c r="L284" s="78"/>
      <c r="M284" s="78"/>
      <c r="N284" s="78">
        <f>IF(OR(H284="",H284="sif",H284="PM"),0,VLOOKUP(H284,[5]CU!$C$4:$H$255,6,FALSE))</f>
        <v>0</v>
      </c>
      <c r="O284" s="78"/>
      <c r="P284" s="78"/>
      <c r="Q284" s="78"/>
      <c r="R284" s="78"/>
      <c r="S284" s="78"/>
      <c r="T284" s="80" t="s">
        <v>56</v>
      </c>
      <c r="U284" s="87" t="s">
        <v>397</v>
      </c>
      <c r="V284" s="88" t="str">
        <f>IF(OR($H284="",$H284="sif",$H284="PM"),"",VLOOKUP($H284,[5]CU!$C$5:$J$255,8,FALSE))</f>
        <v/>
      </c>
      <c r="W284" s="87" t="s">
        <v>398</v>
      </c>
      <c r="X284" s="87" t="s">
        <v>347</v>
      </c>
      <c r="Y284" s="88" t="s">
        <v>32</v>
      </c>
      <c r="Z284" s="88" t="str">
        <f>A284 &amp; "-" &amp; VLOOKUP(A284,[4]PROGRAMMES!$E$1:$F$7,2,FALSE)</f>
        <v>1-Accès et équité à l'enseignement général</v>
      </c>
      <c r="AA284" s="88" t="str">
        <f>B284 &amp; "-" &amp; VLOOKUP(B284,[4]SOUSPROGRAMMES!$E$1:$F$44,2,FALSE)</f>
        <v>14- Accès et équité au collège</v>
      </c>
      <c r="AB284" s="88" t="str">
        <f>C284 &amp; "-" &amp; VLOOKUP(C284,[4]RESULTATS!$E$1:$F$176,2,FALSE)</f>
        <v>141- L’accès au collège est amélioré en tenant compte de l’équité et de l’élargissement de l’éducation de base</v>
      </c>
      <c r="AC284" s="89" t="str">
        <f>D284 &amp; "-" &amp; VLOOKUP(D284,[4]STRATEGIES!$E$1:$F$504,2,FALSE)</f>
        <v>1411-Réorganisation du collège (tronc commun, collège de proximité etc)</v>
      </c>
      <c r="AD284" s="76" t="str">
        <f t="shared" si="60"/>
        <v>14113-Adaptation des curricula des collèges (voir qualité)</v>
      </c>
    </row>
    <row r="285" spans="1:30" s="90" customFormat="1" ht="45" hidden="1" customHeight="1" x14ac:dyDescent="0.8">
      <c r="A285" s="84">
        <v>1</v>
      </c>
      <c r="B285" s="85">
        <v>14</v>
      </c>
      <c r="C285" s="85">
        <v>141</v>
      </c>
      <c r="D285" s="85">
        <v>1411</v>
      </c>
      <c r="E285" s="84">
        <v>14114</v>
      </c>
      <c r="F285" s="75" t="s">
        <v>401</v>
      </c>
      <c r="G285" s="76" t="s">
        <v>54</v>
      </c>
      <c r="H285" s="86" t="s">
        <v>55</v>
      </c>
      <c r="I285" s="78">
        <v>0</v>
      </c>
      <c r="J285" s="78"/>
      <c r="K285" s="78">
        <v>1</v>
      </c>
      <c r="L285" s="78"/>
      <c r="M285" s="78">
        <f>SUM(I285:L285)</f>
        <v>1</v>
      </c>
      <c r="N285" s="78">
        <f>IF(OR(H285="",H285="sif",H285="PM"),0,VLOOKUP(H285,[5]CU!$C$4:$H$255,6,FALSE))</f>
        <v>0</v>
      </c>
      <c r="O285" s="78"/>
      <c r="P285" s="78"/>
      <c r="Q285" s="78"/>
      <c r="R285" s="78"/>
      <c r="S285" s="78"/>
      <c r="T285" s="80" t="s">
        <v>56</v>
      </c>
      <c r="U285" s="87" t="s">
        <v>397</v>
      </c>
      <c r="V285" s="88" t="str">
        <f>IF(OR($H285="",$H285="sif",$H285="PM"),"",VLOOKUP($H285,[5]CU!$C$5:$J$255,8,FALSE))</f>
        <v/>
      </c>
      <c r="W285" s="87" t="s">
        <v>398</v>
      </c>
      <c r="X285" s="87" t="s">
        <v>398</v>
      </c>
      <c r="Y285" s="88" t="s">
        <v>32</v>
      </c>
      <c r="Z285" s="88" t="str">
        <f>A285 &amp; "-" &amp; VLOOKUP(A285,[4]PROGRAMMES!$E$1:$F$7,2,FALSE)</f>
        <v>1-Accès et équité à l'enseignement général</v>
      </c>
      <c r="AA285" s="88" t="str">
        <f>B285 &amp; "-" &amp; VLOOKUP(B285,[4]SOUSPROGRAMMES!$E$1:$F$44,2,FALSE)</f>
        <v>14- Accès et équité au collège</v>
      </c>
      <c r="AB285" s="88" t="str">
        <f>C285 &amp; "-" &amp; VLOOKUP(C285,[4]RESULTATS!$E$1:$F$176,2,FALSE)</f>
        <v>141- L’accès au collège est amélioré en tenant compte de l’équité et de l’élargissement de l’éducation de base</v>
      </c>
      <c r="AC285" s="89" t="str">
        <f>D285 &amp; "-" &amp; VLOOKUP(D285,[4]STRATEGIES!$E$1:$F$504,2,FALSE)</f>
        <v>1411-Réorganisation du collège (tronc commun, collège de proximité etc)</v>
      </c>
      <c r="AD285" s="76" t="str">
        <f t="shared" si="60"/>
        <v>14114-Introduction progressive de l'apprentissage des métiers traditionnels locaux au collège</v>
      </c>
    </row>
    <row r="286" spans="1:30" s="90" customFormat="1" ht="45" hidden="1" customHeight="1" x14ac:dyDescent="0.8">
      <c r="A286" s="84">
        <v>1</v>
      </c>
      <c r="B286" s="85">
        <v>14</v>
      </c>
      <c r="C286" s="85">
        <v>141</v>
      </c>
      <c r="D286" s="85">
        <v>1411</v>
      </c>
      <c r="E286" s="84">
        <v>14115</v>
      </c>
      <c r="F286" s="75" t="s">
        <v>402</v>
      </c>
      <c r="G286" s="76" t="s">
        <v>159</v>
      </c>
      <c r="H286" s="86" t="s">
        <v>55</v>
      </c>
      <c r="I286" s="78">
        <v>0</v>
      </c>
      <c r="J286" s="78"/>
      <c r="K286" s="78"/>
      <c r="L286" s="78"/>
      <c r="M286" s="78"/>
      <c r="N286" s="78">
        <f>IF(OR(H286="",H286="sif",H286="PM"),0,VLOOKUP(H286,[5]CU!$C$4:$H$255,6,FALSE))</f>
        <v>0</v>
      </c>
      <c r="O286" s="78"/>
      <c r="P286" s="78"/>
      <c r="Q286" s="78"/>
      <c r="R286" s="78"/>
      <c r="S286" s="78"/>
      <c r="T286" s="80" t="s">
        <v>56</v>
      </c>
      <c r="U286" s="87" t="s">
        <v>397</v>
      </c>
      <c r="V286" s="88" t="str">
        <f>IF(OR($H286="",$H286="sif",$H286="PM"),"",VLOOKUP($H286,[5]CU!$C$5:$J$255,8,FALSE))</f>
        <v/>
      </c>
      <c r="W286" s="87" t="s">
        <v>398</v>
      </c>
      <c r="X286" s="87" t="s">
        <v>273</v>
      </c>
      <c r="Y286" s="88" t="s">
        <v>32</v>
      </c>
      <c r="Z286" s="88" t="str">
        <f>A286 &amp; "-" &amp; VLOOKUP(A286,[4]PROGRAMMES!$E$1:$F$7,2,FALSE)</f>
        <v>1-Accès et équité à l'enseignement général</v>
      </c>
      <c r="AA286" s="88" t="str">
        <f>B286 &amp; "-" &amp; VLOOKUP(B286,[4]SOUSPROGRAMMES!$E$1:$F$44,2,FALSE)</f>
        <v>14- Accès et équité au collège</v>
      </c>
      <c r="AB286" s="88" t="str">
        <f>C286 &amp; "-" &amp; VLOOKUP(C286,[4]RESULTATS!$E$1:$F$176,2,FALSE)</f>
        <v>141- L’accès au collège est amélioré en tenant compte de l’équité et de l’élargissement de l’éducation de base</v>
      </c>
      <c r="AC286" s="89" t="str">
        <f>D286 &amp; "-" &amp; VLOOKUP(D286,[4]STRATEGIES!$E$1:$F$504,2,FALSE)</f>
        <v>1411-Réorganisation du collège (tronc commun, collège de proximité etc)</v>
      </c>
      <c r="AD286" s="76" t="str">
        <f t="shared" si="60"/>
        <v>14115-Suivi/évaluation du fonctionnement des nouveaux collèges (voir implantation des nouveaux programmes)</v>
      </c>
    </row>
    <row r="287" spans="1:30" s="90" customFormat="1" ht="45" customHeight="1" x14ac:dyDescent="0.8">
      <c r="A287" s="84">
        <v>1</v>
      </c>
      <c r="B287" s="85">
        <v>14</v>
      </c>
      <c r="C287" s="85">
        <v>141</v>
      </c>
      <c r="D287" s="85">
        <v>1412</v>
      </c>
      <c r="E287" s="84">
        <v>1412</v>
      </c>
      <c r="F287" s="75" t="s">
        <v>403</v>
      </c>
      <c r="G287" s="86"/>
      <c r="H287" s="86"/>
      <c r="I287" s="78">
        <v>0</v>
      </c>
      <c r="J287" s="78"/>
      <c r="K287" s="78"/>
      <c r="L287" s="78"/>
      <c r="M287" s="78"/>
      <c r="N287" s="78"/>
      <c r="O287" s="78"/>
      <c r="P287" s="78"/>
      <c r="Q287" s="78"/>
      <c r="R287" s="78"/>
      <c r="S287" s="78"/>
      <c r="T287" s="87"/>
      <c r="U287" s="87"/>
      <c r="V287" s="88"/>
      <c r="W287" s="87"/>
      <c r="X287" s="87"/>
      <c r="Y287" s="88" t="s">
        <v>32</v>
      </c>
      <c r="Z287" s="88" t="str">
        <f>A287 &amp; "-" &amp; VLOOKUP(A287,[4]PROGRAMMES!$E$1:$F$7,2,FALSE)</f>
        <v>1-Accès et équité à l'enseignement général</v>
      </c>
      <c r="AA287" s="88" t="str">
        <f>B287 &amp; "-" &amp; VLOOKUP(B287,[4]SOUSPROGRAMMES!$E$1:$F$44,2,FALSE)</f>
        <v>14- Accès et équité au collège</v>
      </c>
      <c r="AB287" s="88" t="str">
        <f>C287 &amp; "-" &amp; VLOOKUP(C287,[4]RESULTATS!$E$1:$F$176,2,FALSE)</f>
        <v>141- L’accès au collège est amélioré en tenant compte de l’équité et de l’élargissement de l’éducation de base</v>
      </c>
      <c r="AC287" s="89" t="str">
        <f>D287 &amp; "-" &amp; VLOOKUP(D287,[4]STRATEGIES!$E$1:$F$504,2,FALSE)</f>
        <v>1412-Optimisation de l’utilisation des salles de classe au collège, y compris les FA</v>
      </c>
      <c r="AD287" s="76" t="str">
        <f t="shared" si="60"/>
        <v>1412-Optimisation de l’utilisation des salles de classe au collège, y compris les FA</v>
      </c>
    </row>
    <row r="288" spans="1:30" s="90" customFormat="1" ht="45" hidden="1" customHeight="1" x14ac:dyDescent="0.8">
      <c r="A288" s="84">
        <v>1</v>
      </c>
      <c r="B288" s="85">
        <v>14</v>
      </c>
      <c r="C288" s="85">
        <v>141</v>
      </c>
      <c r="D288" s="85">
        <v>1412</v>
      </c>
      <c r="E288" s="84">
        <v>14121</v>
      </c>
      <c r="F288" s="75" t="s">
        <v>404</v>
      </c>
      <c r="G288" s="76" t="s">
        <v>54</v>
      </c>
      <c r="H288" s="86" t="s">
        <v>55</v>
      </c>
      <c r="I288" s="78">
        <v>0</v>
      </c>
      <c r="J288" s="78"/>
      <c r="K288" s="78">
        <v>1</v>
      </c>
      <c r="L288" s="78"/>
      <c r="M288" s="78">
        <f t="shared" ref="M288:M324" si="67">SUM(I288:L288)</f>
        <v>1</v>
      </c>
      <c r="N288" s="78">
        <f>IF(OR(H288="",H288="sif",H288="PM"),0,VLOOKUP(H288,[5]CU!$C$4:$H$255,6,FALSE))</f>
        <v>0</v>
      </c>
      <c r="O288" s="78"/>
      <c r="P288" s="78"/>
      <c r="Q288" s="78"/>
      <c r="R288" s="78"/>
      <c r="S288" s="78"/>
      <c r="T288" s="80" t="s">
        <v>56</v>
      </c>
      <c r="U288" s="87" t="s">
        <v>397</v>
      </c>
      <c r="V288" s="88" t="str">
        <f>IF(OR($H288="",$H288="sif",$H288="PM"),"",VLOOKUP($H288,[5]CU!$C$5:$J$255,8,FALSE))</f>
        <v/>
      </c>
      <c r="W288" s="87" t="s">
        <v>398</v>
      </c>
      <c r="X288" s="87" t="s">
        <v>398</v>
      </c>
      <c r="Y288" s="88" t="s">
        <v>32</v>
      </c>
      <c r="Z288" s="88" t="str">
        <f>A288 &amp; "-" &amp; VLOOKUP(A288,[4]PROGRAMMES!$E$1:$F$7,2,FALSE)</f>
        <v>1-Accès et équité à l'enseignement général</v>
      </c>
      <c r="AA288" s="88" t="str">
        <f>B288 &amp; "-" &amp; VLOOKUP(B288,[4]SOUSPROGRAMMES!$E$1:$F$44,2,FALSE)</f>
        <v>14- Accès et équité au collège</v>
      </c>
      <c r="AB288" s="88" t="str">
        <f>C288 &amp; "-" &amp; VLOOKUP(C288,[4]RESULTATS!$E$1:$F$176,2,FALSE)</f>
        <v>141- L’accès au collège est amélioré en tenant compte de l’équité et de l’élargissement de l’éducation de base</v>
      </c>
      <c r="AC288" s="89" t="str">
        <f>D288 &amp; "-" &amp; VLOOKUP(D288,[4]STRATEGIES!$E$1:$F$504,2,FALSE)</f>
        <v>1412-Optimisation de l’utilisation des salles de classe au collège, y compris les FA</v>
      </c>
      <c r="AD288" s="76" t="str">
        <f t="shared" si="60"/>
        <v>14121-Généralisation progressive de la stratégie de double flux aux collèges ruraux</v>
      </c>
    </row>
    <row r="289" spans="1:30" s="90" customFormat="1" ht="45" hidden="1" customHeight="1" x14ac:dyDescent="0.8">
      <c r="A289" s="84">
        <v>1</v>
      </c>
      <c r="B289" s="85">
        <v>14</v>
      </c>
      <c r="C289" s="85">
        <v>141</v>
      </c>
      <c r="D289" s="85">
        <v>1412</v>
      </c>
      <c r="E289" s="84">
        <v>14122</v>
      </c>
      <c r="F289" s="75" t="s">
        <v>405</v>
      </c>
      <c r="G289" s="76" t="s">
        <v>159</v>
      </c>
      <c r="H289" s="86" t="s">
        <v>55</v>
      </c>
      <c r="I289" s="78">
        <v>0</v>
      </c>
      <c r="J289" s="78"/>
      <c r="K289" s="78"/>
      <c r="L289" s="78">
        <v>1</v>
      </c>
      <c r="M289" s="78">
        <f t="shared" si="67"/>
        <v>1</v>
      </c>
      <c r="N289" s="78">
        <f>IF(OR(H289="",H289="sif",H289="PM"),0,VLOOKUP(H289,[5]CU!$C$4:$H$255,6,FALSE))</f>
        <v>0</v>
      </c>
      <c r="O289" s="78"/>
      <c r="P289" s="78"/>
      <c r="Q289" s="78"/>
      <c r="R289" s="78"/>
      <c r="S289" s="78"/>
      <c r="T289" s="80" t="s">
        <v>56</v>
      </c>
      <c r="U289" s="87" t="s">
        <v>397</v>
      </c>
      <c r="V289" s="88" t="str">
        <f>IF(OR($H289="",$H289="sif",$H289="PM"),"",VLOOKUP($H289,[5]CU!$C$5:$J$255,8,FALSE))</f>
        <v/>
      </c>
      <c r="W289" s="87" t="s">
        <v>398</v>
      </c>
      <c r="X289" s="87" t="s">
        <v>273</v>
      </c>
      <c r="Y289" s="88" t="s">
        <v>32</v>
      </c>
      <c r="Z289" s="88" t="str">
        <f>A289 &amp; "-" &amp; VLOOKUP(A289,[4]PROGRAMMES!$E$1:$F$7,2,FALSE)</f>
        <v>1-Accès et équité à l'enseignement général</v>
      </c>
      <c r="AA289" s="88" t="str">
        <f>B289 &amp; "-" &amp; VLOOKUP(B289,[4]SOUSPROGRAMMES!$E$1:$F$44,2,FALSE)</f>
        <v>14- Accès et équité au collège</v>
      </c>
      <c r="AB289" s="88" t="str">
        <f>C289 &amp; "-" &amp; VLOOKUP(C289,[4]RESULTATS!$E$1:$F$176,2,FALSE)</f>
        <v>141- L’accès au collège est amélioré en tenant compte de l’équité et de l’élargissement de l’éducation de base</v>
      </c>
      <c r="AC289" s="89" t="str">
        <f>D289 &amp; "-" &amp; VLOOKUP(D289,[4]STRATEGIES!$E$1:$F$504,2,FALSE)</f>
        <v>1412-Optimisation de l’utilisation des salles de classe au collège, y compris les FA</v>
      </c>
      <c r="AD289" s="76" t="str">
        <f t="shared" si="60"/>
        <v>14122-Suivi/évaluation du fonctionnement des double-flux collèges (Pris en compte dans les budgets des IRE)</v>
      </c>
    </row>
    <row r="290" spans="1:30" s="90" customFormat="1" ht="45" customHeight="1" x14ac:dyDescent="0.8">
      <c r="A290" s="84">
        <v>1</v>
      </c>
      <c r="B290" s="85">
        <v>14</v>
      </c>
      <c r="C290" s="85">
        <v>141</v>
      </c>
      <c r="D290" s="85">
        <v>1413</v>
      </c>
      <c r="E290" s="84">
        <v>1413</v>
      </c>
      <c r="F290" s="75" t="s">
        <v>406</v>
      </c>
      <c r="G290" s="86"/>
      <c r="H290" s="86"/>
      <c r="I290" s="78">
        <v>0</v>
      </c>
      <c r="J290" s="78"/>
      <c r="K290" s="78"/>
      <c r="L290" s="78"/>
      <c r="M290" s="78"/>
      <c r="N290" s="78"/>
      <c r="O290" s="78"/>
      <c r="P290" s="78"/>
      <c r="Q290" s="78"/>
      <c r="R290" s="78"/>
      <c r="S290" s="78"/>
      <c r="T290" s="87"/>
      <c r="U290" s="87"/>
      <c r="V290" s="88"/>
      <c r="W290" s="87"/>
      <c r="X290" s="87"/>
      <c r="Y290" s="88" t="s">
        <v>32</v>
      </c>
      <c r="Z290" s="88" t="str">
        <f>A290 &amp; "-" &amp; VLOOKUP(A290,[4]PROGRAMMES!$E$1:$F$7,2,FALSE)</f>
        <v>1-Accès et équité à l'enseignement général</v>
      </c>
      <c r="AA290" s="88" t="str">
        <f>B290 &amp; "-" &amp; VLOOKUP(B290,[4]SOUSPROGRAMMES!$E$1:$F$44,2,FALSE)</f>
        <v>14- Accès et équité au collège</v>
      </c>
      <c r="AB290" s="88" t="str">
        <f>C290 &amp; "-" &amp; VLOOKUP(C290,[4]RESULTATS!$E$1:$F$176,2,FALSE)</f>
        <v>141- L’accès au collège est amélioré en tenant compte de l’équité et de l’élargissement de l’éducation de base</v>
      </c>
      <c r="AC290" s="89" t="str">
        <f>D290 &amp; "-" &amp; VLOOKUP(D290,[4]STRATEGIES!$E$1:$F$504,2,FALSE)</f>
        <v>1413-Construction/réhabilitation/rénovation de salles de classe avec rampe d’accès au Collège en tenant compte de la prévention des catastrophes naturelles, y compris les FA</v>
      </c>
      <c r="AD290" s="76" t="str">
        <f t="shared" si="60"/>
        <v>1413-Construction/réhabilitation/rénovation de salles de classe avec rampe d’accès au Collège en tenant compte de la prévention des catastrophes naturelles, y compris les FA</v>
      </c>
    </row>
    <row r="291" spans="1:30" s="90" customFormat="1" ht="45" hidden="1" customHeight="1" x14ac:dyDescent="0.8">
      <c r="A291" s="84">
        <v>1</v>
      </c>
      <c r="B291" s="85">
        <v>14</v>
      </c>
      <c r="C291" s="85">
        <v>141</v>
      </c>
      <c r="D291" s="85">
        <v>1413</v>
      </c>
      <c r="E291" s="84">
        <v>14131</v>
      </c>
      <c r="F291" s="75" t="s">
        <v>407</v>
      </c>
      <c r="G291" s="76" t="s">
        <v>159</v>
      </c>
      <c r="H291" s="86" t="s">
        <v>55</v>
      </c>
      <c r="I291" s="78">
        <v>0</v>
      </c>
      <c r="J291" s="78">
        <v>1</v>
      </c>
      <c r="K291" s="78">
        <v>1</v>
      </c>
      <c r="L291" s="78">
        <v>1</v>
      </c>
      <c r="M291" s="78">
        <f t="shared" si="67"/>
        <v>3</v>
      </c>
      <c r="N291" s="78">
        <f>IF(OR(H291="",H291="sif",H291="PM"),0,VLOOKUP(H291,[5]CU!$C$4:$H$255,6,FALSE))</f>
        <v>0</v>
      </c>
      <c r="O291" s="78"/>
      <c r="P291" s="78"/>
      <c r="Q291" s="78"/>
      <c r="R291" s="78"/>
      <c r="S291" s="78"/>
      <c r="T291" s="80" t="s">
        <v>56</v>
      </c>
      <c r="U291" s="87" t="s">
        <v>397</v>
      </c>
      <c r="V291" s="88" t="str">
        <f>IF(OR($H291="",$H291="sif",$H291="PM"),"",VLOOKUP($H291,[5]CU!$C$5:$J$255,8,FALSE))</f>
        <v/>
      </c>
      <c r="W291" s="87" t="s">
        <v>96</v>
      </c>
      <c r="X291" s="87" t="s">
        <v>282</v>
      </c>
      <c r="Y291" s="88" t="s">
        <v>32</v>
      </c>
      <c r="Z291" s="88" t="str">
        <f>A291 &amp; "-" &amp; VLOOKUP(A291,[4]PROGRAMMES!$E$1:$F$7,2,FALSE)</f>
        <v>1-Accès et équité à l'enseignement général</v>
      </c>
      <c r="AA291" s="88" t="str">
        <f>B291 &amp; "-" &amp; VLOOKUP(B291,[4]SOUSPROGRAMMES!$E$1:$F$44,2,FALSE)</f>
        <v>14- Accès et équité au collège</v>
      </c>
      <c r="AB291" s="88" t="str">
        <f>C291 &amp; "-" &amp; VLOOKUP(C291,[4]RESULTATS!$E$1:$F$176,2,FALSE)</f>
        <v>141- L’accès au collège est amélioré en tenant compte de l’équité et de l’élargissement de l’éducation de base</v>
      </c>
      <c r="AC291" s="89" t="str">
        <f>D291 &amp; "-" &amp; VLOOKUP(D291,[4]STRATEGIES!$E$1:$F$504,2,FALSE)</f>
        <v>1413-Construction/réhabilitation/rénovation de salles de classe avec rampe d’accès au Collège en tenant compte de la prévention des catastrophes naturelles, y compris les FA</v>
      </c>
      <c r="AD291" s="76" t="str">
        <f t="shared" si="60"/>
        <v>14131-Identification des établissements et des localités devant bénéficier de construction de réhabilitation ou de rénovation de salles de classe au Collège (budget IRE)</v>
      </c>
    </row>
    <row r="292" spans="1:30" s="71" customFormat="1" ht="45" hidden="1" customHeight="1" x14ac:dyDescent="0.8">
      <c r="A292" s="91">
        <v>1</v>
      </c>
      <c r="B292" s="75">
        <v>14</v>
      </c>
      <c r="C292" s="75">
        <v>141</v>
      </c>
      <c r="D292" s="75">
        <v>1413</v>
      </c>
      <c r="E292" s="91">
        <v>14132</v>
      </c>
      <c r="F292" s="75" t="s">
        <v>216</v>
      </c>
      <c r="G292" s="76" t="s">
        <v>58</v>
      </c>
      <c r="H292" s="76" t="s">
        <v>59</v>
      </c>
      <c r="I292" s="78">
        <v>0</v>
      </c>
      <c r="J292" s="77">
        <f>4*7*5</f>
        <v>140</v>
      </c>
      <c r="K292" s="77">
        <f>4*6*4</f>
        <v>96</v>
      </c>
      <c r="L292" s="77">
        <f>4*7*4</f>
        <v>112</v>
      </c>
      <c r="M292" s="77">
        <f t="shared" si="67"/>
        <v>348</v>
      </c>
      <c r="N292" s="77">
        <f>IF(OR(H292="",H292="sif",H292="PM"),0,VLOOKUP(H292,[5]CU!$C$4:$H$255,6,FALSE))</f>
        <v>0.8177777777777776</v>
      </c>
      <c r="O292" s="77">
        <f t="shared" ref="O292:R304" si="68">$N292*I292</f>
        <v>0</v>
      </c>
      <c r="P292" s="77">
        <f t="shared" si="68"/>
        <v>114.48888888888887</v>
      </c>
      <c r="Q292" s="77">
        <f>$N292*K292</f>
        <v>78.506666666666646</v>
      </c>
      <c r="R292" s="77">
        <f t="shared" si="68"/>
        <v>91.59111111111109</v>
      </c>
      <c r="S292" s="77">
        <f t="shared" ref="S292:S304" si="69">SUM(O292:R292)</f>
        <v>284.58666666666659</v>
      </c>
      <c r="T292" s="92" t="s">
        <v>169</v>
      </c>
      <c r="U292" s="88" t="s">
        <v>397</v>
      </c>
      <c r="V292" s="88" t="str">
        <f>IF(OR($H292="",$H292="sif",$H292="PM"),"",VLOOKUP($H292,[5]CU!$C$5:$J$255,8,FALSE))</f>
        <v>3. Dépenses de fonctionnement</v>
      </c>
      <c r="W292" s="88" t="s">
        <v>96</v>
      </c>
      <c r="X292" s="88" t="s">
        <v>98</v>
      </c>
      <c r="Y292" s="88" t="s">
        <v>32</v>
      </c>
      <c r="Z292" s="88" t="str">
        <f>A292 &amp; "-" &amp; VLOOKUP(A292,[4]PROGRAMMES!$E$1:$F$7,2,FALSE)</f>
        <v>1-Accès et équité à l'enseignement général</v>
      </c>
      <c r="AA292" s="88" t="str">
        <f>B292 &amp; "-" &amp; VLOOKUP(B292,[4]SOUSPROGRAMMES!$E$1:$F$44,2,FALSE)</f>
        <v>14- Accès et équité au collège</v>
      </c>
      <c r="AB292" s="88" t="str">
        <f>C292 &amp; "-" &amp; VLOOKUP(C292,[4]RESULTATS!$E$1:$F$176,2,FALSE)</f>
        <v>141- L’accès au collège est amélioré en tenant compte de l’équité et de l’élargissement de l’éducation de base</v>
      </c>
      <c r="AC292" s="89" t="str">
        <f>D292 &amp; "-" &amp; VLOOKUP(D292,[4]STRATEGIES!$E$1:$F$504,2,FALSE)</f>
        <v>1413-Construction/réhabilitation/rénovation de salles de classe avec rampe d’accès au Collège en tenant compte de la prévention des catastrophes naturelles, y compris les FA</v>
      </c>
      <c r="AD292" s="76" t="str">
        <f t="shared" si="60"/>
        <v>14132-Validation des sites devant bénéficier de construction de salles de classe</v>
      </c>
    </row>
    <row r="293" spans="1:30" s="90" customFormat="1" ht="45" hidden="1" customHeight="1" x14ac:dyDescent="0.8">
      <c r="A293" s="84">
        <v>1</v>
      </c>
      <c r="B293" s="85">
        <v>14</v>
      </c>
      <c r="C293" s="85">
        <v>141</v>
      </c>
      <c r="D293" s="85">
        <v>1413</v>
      </c>
      <c r="E293" s="84">
        <v>14133</v>
      </c>
      <c r="F293" s="75" t="s">
        <v>408</v>
      </c>
      <c r="G293" s="76" t="s">
        <v>374</v>
      </c>
      <c r="H293" s="86" t="s">
        <v>409</v>
      </c>
      <c r="I293" s="78">
        <v>0</v>
      </c>
      <c r="J293" s="78">
        <f>36*3*20%</f>
        <v>21.6</v>
      </c>
      <c r="K293" s="78">
        <f>36*3*50%</f>
        <v>54</v>
      </c>
      <c r="L293" s="78">
        <f>36*3*30%</f>
        <v>32.4</v>
      </c>
      <c r="M293" s="78">
        <f t="shared" si="67"/>
        <v>108</v>
      </c>
      <c r="N293" s="78">
        <f>IF(OR(H293="",H293="sif",H293="PM"),0,VLOOKUP(H293,[5]CU!$C$4:$H$255,6,FALSE))</f>
        <v>33.75</v>
      </c>
      <c r="O293" s="78">
        <f t="shared" si="68"/>
        <v>0</v>
      </c>
      <c r="P293" s="78">
        <f t="shared" si="68"/>
        <v>729</v>
      </c>
      <c r="Q293" s="78">
        <f t="shared" si="68"/>
        <v>1822.5</v>
      </c>
      <c r="R293" s="78">
        <f t="shared" si="68"/>
        <v>1093.5</v>
      </c>
      <c r="S293" s="78">
        <f t="shared" si="69"/>
        <v>3645</v>
      </c>
      <c r="T293" s="80" t="s">
        <v>56</v>
      </c>
      <c r="U293" s="87" t="s">
        <v>397</v>
      </c>
      <c r="V293" s="88" t="str">
        <f>IF(OR($H293="",$H293="sif",$H293="PM"),"",VLOOKUP($H293,[5]CU!$C$5:$J$255,8,FALSE))</f>
        <v>5. Investissement</v>
      </c>
      <c r="W293" s="87" t="s">
        <v>98</v>
      </c>
      <c r="X293" s="87" t="s">
        <v>98</v>
      </c>
      <c r="Y293" s="88" t="s">
        <v>32</v>
      </c>
      <c r="Z293" s="88" t="str">
        <f>A293 &amp; "-" &amp; VLOOKUP(A293,[4]PROGRAMMES!$E$1:$F$7,2,FALSE)</f>
        <v>1-Accès et équité à l'enseignement général</v>
      </c>
      <c r="AA293" s="88" t="str">
        <f>B293 &amp; "-" &amp; VLOOKUP(B293,[4]SOUSPROGRAMMES!$E$1:$F$44,2,FALSE)</f>
        <v>14- Accès et équité au collège</v>
      </c>
      <c r="AB293" s="88" t="str">
        <f>C293 &amp; "-" &amp; VLOOKUP(C293,[4]RESULTATS!$E$1:$F$176,2,FALSE)</f>
        <v>141- L’accès au collège est amélioré en tenant compte de l’équité et de l’élargissement de l’éducation de base</v>
      </c>
      <c r="AC293" s="89" t="str">
        <f>D293 &amp; "-" &amp; VLOOKUP(D293,[4]STRATEGIES!$E$1:$F$504,2,FALSE)</f>
        <v>1413-Construction/réhabilitation/rénovation de salles de classe avec rampe d’accès au Collège en tenant compte de la prévention des catastrophes naturelles, y compris les FA</v>
      </c>
      <c r="AD293" s="76" t="str">
        <f t="shared" si="60"/>
        <v>14133-Réalisation des travaux de réhabilitation ou de rénovation des salles de classe</v>
      </c>
    </row>
    <row r="294" spans="1:30" s="90" customFormat="1" ht="45" hidden="1" customHeight="1" x14ac:dyDescent="0.8">
      <c r="A294" s="84">
        <v>1</v>
      </c>
      <c r="B294" s="85">
        <v>14</v>
      </c>
      <c r="C294" s="85">
        <v>141</v>
      </c>
      <c r="D294" s="85">
        <v>1413</v>
      </c>
      <c r="E294" s="84">
        <v>14134</v>
      </c>
      <c r="F294" s="75" t="s">
        <v>410</v>
      </c>
      <c r="G294" s="76" t="s">
        <v>103</v>
      </c>
      <c r="H294" s="86" t="s">
        <v>411</v>
      </c>
      <c r="I294" s="78">
        <v>0</v>
      </c>
      <c r="J294" s="78"/>
      <c r="K294" s="78"/>
      <c r="L294" s="78"/>
      <c r="M294" s="78">
        <f>SUM(I294:L294)</f>
        <v>0</v>
      </c>
      <c r="N294" s="78">
        <f>IF(OR(H294="",H294="sif",H294="PM"),0,VLOOKUP(H294,[5]CU!$C$4:$H$255,6,FALSE))</f>
        <v>187.5</v>
      </c>
      <c r="O294" s="78">
        <f t="shared" si="68"/>
        <v>0</v>
      </c>
      <c r="P294" s="78">
        <f t="shared" si="68"/>
        <v>0</v>
      </c>
      <c r="Q294" s="78">
        <f t="shared" si="68"/>
        <v>0</v>
      </c>
      <c r="R294" s="78">
        <f t="shared" si="68"/>
        <v>0</v>
      </c>
      <c r="S294" s="78">
        <f>SUM(O294:R294)</f>
        <v>0</v>
      </c>
      <c r="T294" s="80" t="s">
        <v>178</v>
      </c>
      <c r="U294" s="87" t="s">
        <v>397</v>
      </c>
      <c r="V294" s="88" t="str">
        <f>IF(OR($H294="",$H294="sif",$H294="PM"),"",VLOOKUP($H294,[5]CU!$C$5:$J$255,8,FALSE))</f>
        <v>5. Investissement</v>
      </c>
      <c r="W294" s="87" t="s">
        <v>98</v>
      </c>
      <c r="X294" s="87" t="s">
        <v>98</v>
      </c>
      <c r="Y294" s="88" t="s">
        <v>32</v>
      </c>
      <c r="Z294" s="88" t="str">
        <f>A294 &amp; "-" &amp; VLOOKUP(A294,[4]PROGRAMMES!$E$1:$F$7,2,FALSE)</f>
        <v>1-Accès et équité à l'enseignement général</v>
      </c>
      <c r="AA294" s="88" t="str">
        <f>B294 &amp; "-" &amp; VLOOKUP(B294,[4]SOUSPROGRAMMES!$E$1:$F$44,2,FALSE)</f>
        <v>14- Accès et équité au collège</v>
      </c>
      <c r="AB294" s="88" t="str">
        <f>C294 &amp; "-" &amp; VLOOKUP(C294,[4]RESULTATS!$E$1:$F$176,2,FALSE)</f>
        <v>141- L’accès au collège est amélioré en tenant compte de l’équité et de l’élargissement de l’éducation de base</v>
      </c>
      <c r="AC294" s="89" t="str">
        <f>D294 &amp; "-" &amp; VLOOKUP(D294,[4]STRATEGIES!$E$1:$F$504,2,FALSE)</f>
        <v>1413-Construction/réhabilitation/rénovation de salles de classe avec rampe d’accès au Collège en tenant compte de la prévention des catastrophes naturelles, y compris les FA</v>
      </c>
      <c r="AD294" s="76" t="str">
        <f t="shared" si="60"/>
        <v>14134-Réalisation des travaux de construction des salles de classe</v>
      </c>
    </row>
    <row r="295" spans="1:30" s="90" customFormat="1" ht="45" hidden="1" customHeight="1" x14ac:dyDescent="0.8">
      <c r="A295" s="84">
        <v>1</v>
      </c>
      <c r="B295" s="85">
        <v>14</v>
      </c>
      <c r="C295" s="85">
        <v>141</v>
      </c>
      <c r="D295" s="85">
        <v>1413</v>
      </c>
      <c r="E295" s="84">
        <v>14134</v>
      </c>
      <c r="F295" s="75" t="s">
        <v>410</v>
      </c>
      <c r="G295" s="76" t="s">
        <v>103</v>
      </c>
      <c r="H295" s="86" t="s">
        <v>411</v>
      </c>
      <c r="I295" s="78">
        <v>0</v>
      </c>
      <c r="J295" s="78">
        <f>627*3*20%-J296</f>
        <v>376.20000000000005</v>
      </c>
      <c r="K295" s="78">
        <f>627*3*50%-K296</f>
        <v>840.5</v>
      </c>
      <c r="L295" s="78">
        <f>627*3*30%-L296</f>
        <v>464.29999999999995</v>
      </c>
      <c r="M295" s="78">
        <f>SUM(I295:L295)</f>
        <v>1681</v>
      </c>
      <c r="N295" s="78">
        <f>IF(OR(H295="",H295="sif",H295="PM"),0,VLOOKUP(H295,[5]CU!$C$4:$H$255,6,FALSE))</f>
        <v>187.5</v>
      </c>
      <c r="O295" s="78">
        <f t="shared" si="68"/>
        <v>0</v>
      </c>
      <c r="P295" s="78">
        <f t="shared" si="68"/>
        <v>70537.500000000015</v>
      </c>
      <c r="Q295" s="78">
        <f t="shared" si="68"/>
        <v>157593.75</v>
      </c>
      <c r="R295" s="78">
        <f t="shared" si="68"/>
        <v>87056.249999999985</v>
      </c>
      <c r="S295" s="78">
        <f>SUM(O295:R295)</f>
        <v>315187.5</v>
      </c>
      <c r="T295" s="80" t="s">
        <v>56</v>
      </c>
      <c r="U295" s="87" t="s">
        <v>397</v>
      </c>
      <c r="V295" s="88" t="str">
        <f>IF(OR($H295="",$H295="sif",$H295="PM"),"",VLOOKUP($H295,[5]CU!$C$5:$J$255,8,FALSE))</f>
        <v>5. Investissement</v>
      </c>
      <c r="W295" s="87" t="s">
        <v>98</v>
      </c>
      <c r="X295" s="87" t="s">
        <v>98</v>
      </c>
      <c r="Y295" s="88" t="s">
        <v>32</v>
      </c>
      <c r="Z295" s="88" t="str">
        <f>A295 &amp; "-" &amp; VLOOKUP(A295,[4]PROGRAMMES!$E$1:$F$7,2,FALSE)</f>
        <v>1-Accès et équité à l'enseignement général</v>
      </c>
      <c r="AA295" s="88" t="str">
        <f>B295 &amp; "-" &amp; VLOOKUP(B295,[4]SOUSPROGRAMMES!$E$1:$F$44,2,FALSE)</f>
        <v>14- Accès et équité au collège</v>
      </c>
      <c r="AB295" s="88" t="str">
        <f>C295 &amp; "-" &amp; VLOOKUP(C295,[4]RESULTATS!$E$1:$F$176,2,FALSE)</f>
        <v>141- L’accès au collège est amélioré en tenant compte de l’équité et de l’élargissement de l’éducation de base</v>
      </c>
      <c r="AC295" s="89" t="str">
        <f>D295 &amp; "-" &amp; VLOOKUP(D295,[4]STRATEGIES!$E$1:$F$504,2,FALSE)</f>
        <v>1413-Construction/réhabilitation/rénovation de salles de classe avec rampe d’accès au Collège en tenant compte de la prévention des catastrophes naturelles, y compris les FA</v>
      </c>
      <c r="AD295" s="76" t="str">
        <f t="shared" si="60"/>
        <v>14134-Réalisation des travaux de construction des salles de classe</v>
      </c>
    </row>
    <row r="296" spans="1:30" s="71" customFormat="1" ht="45" hidden="1" customHeight="1" x14ac:dyDescent="0.8">
      <c r="A296" s="91">
        <v>1</v>
      </c>
      <c r="B296" s="75">
        <v>14</v>
      </c>
      <c r="C296" s="75">
        <v>141</v>
      </c>
      <c r="D296" s="75">
        <v>1413</v>
      </c>
      <c r="E296" s="91">
        <v>14134</v>
      </c>
      <c r="F296" s="75" t="s">
        <v>410</v>
      </c>
      <c r="G296" s="76" t="s">
        <v>103</v>
      </c>
      <c r="H296" s="76" t="s">
        <v>411</v>
      </c>
      <c r="I296" s="78">
        <v>0</v>
      </c>
      <c r="J296" s="77">
        <v>0</v>
      </c>
      <c r="K296" s="77">
        <v>100</v>
      </c>
      <c r="L296" s="77">
        <v>100</v>
      </c>
      <c r="M296" s="77">
        <f t="shared" si="67"/>
        <v>200</v>
      </c>
      <c r="N296" s="77">
        <f>IF(OR(H296="",H296="sif",H296="PM"),0,VLOOKUP(H296,[5]CU!$C$4:$H$255,6,FALSE))</f>
        <v>187.5</v>
      </c>
      <c r="O296" s="77">
        <f t="shared" si="68"/>
        <v>0</v>
      </c>
      <c r="P296" s="77">
        <f t="shared" si="68"/>
        <v>0</v>
      </c>
      <c r="Q296" s="77">
        <f>$N296*K296</f>
        <v>18750</v>
      </c>
      <c r="R296" s="77">
        <f t="shared" si="68"/>
        <v>18750</v>
      </c>
      <c r="S296" s="77">
        <f t="shared" si="69"/>
        <v>37500</v>
      </c>
      <c r="T296" s="92" t="s">
        <v>169</v>
      </c>
      <c r="U296" s="88" t="s">
        <v>397</v>
      </c>
      <c r="V296" s="88" t="str">
        <f>IF(OR($H296="",$H296="sif",$H296="PM"),"",VLOOKUP($H296,[5]CU!$C$5:$J$255,8,FALSE))</f>
        <v>5. Investissement</v>
      </c>
      <c r="W296" s="88" t="s">
        <v>98</v>
      </c>
      <c r="X296" s="88" t="s">
        <v>98</v>
      </c>
      <c r="Y296" s="88" t="s">
        <v>32</v>
      </c>
      <c r="Z296" s="88" t="str">
        <f>A296 &amp; "-" &amp; VLOOKUP(A296,[4]PROGRAMMES!$E$1:$F$7,2,FALSE)</f>
        <v>1-Accès et équité à l'enseignement général</v>
      </c>
      <c r="AA296" s="88" t="str">
        <f>B296 &amp; "-" &amp; VLOOKUP(B296,[4]SOUSPROGRAMMES!$E$1:$F$44,2,FALSE)</f>
        <v>14- Accès et équité au collège</v>
      </c>
      <c r="AB296" s="88" t="str">
        <f>C296 &amp; "-" &amp; VLOOKUP(C296,[4]RESULTATS!$E$1:$F$176,2,FALSE)</f>
        <v>141- L’accès au collège est amélioré en tenant compte de l’équité et de l’élargissement de l’éducation de base</v>
      </c>
      <c r="AC296" s="89" t="str">
        <f>D296 &amp; "-" &amp; VLOOKUP(D296,[4]STRATEGIES!$E$1:$F$504,2,FALSE)</f>
        <v>1413-Construction/réhabilitation/rénovation de salles de classe avec rampe d’accès au Collège en tenant compte de la prévention des catastrophes naturelles, y compris les FA</v>
      </c>
      <c r="AD296" s="76" t="str">
        <f t="shared" si="60"/>
        <v>14134-Réalisation des travaux de construction des salles de classe</v>
      </c>
    </row>
    <row r="297" spans="1:30" s="90" customFormat="1" ht="45" customHeight="1" x14ac:dyDescent="0.8">
      <c r="A297" s="84">
        <v>1</v>
      </c>
      <c r="B297" s="85">
        <v>14</v>
      </c>
      <c r="C297" s="85">
        <v>141</v>
      </c>
      <c r="D297" s="85">
        <v>1413</v>
      </c>
      <c r="E297" s="84">
        <v>14135</v>
      </c>
      <c r="F297" s="75" t="s">
        <v>412</v>
      </c>
      <c r="G297" s="76" t="s">
        <v>103</v>
      </c>
      <c r="H297" s="86" t="s">
        <v>413</v>
      </c>
      <c r="I297" s="78">
        <v>0</v>
      </c>
      <c r="J297" s="78"/>
      <c r="K297" s="78"/>
      <c r="L297" s="78"/>
      <c r="M297" s="78">
        <f t="shared" si="67"/>
        <v>0</v>
      </c>
      <c r="N297" s="78">
        <f>IF(OR(H297="",H297="sif",H297="PM"),0,VLOOKUP(H297,[5]CU!$C$4:$H$255,6,FALSE))</f>
        <v>619.27313664596227</v>
      </c>
      <c r="O297" s="78">
        <f t="shared" si="68"/>
        <v>0</v>
      </c>
      <c r="P297" s="78">
        <f t="shared" si="68"/>
        <v>0</v>
      </c>
      <c r="Q297" s="78">
        <f t="shared" si="68"/>
        <v>0</v>
      </c>
      <c r="R297" s="78">
        <f t="shared" si="68"/>
        <v>0</v>
      </c>
      <c r="S297" s="78">
        <f t="shared" si="69"/>
        <v>0</v>
      </c>
      <c r="T297" s="80" t="s">
        <v>414</v>
      </c>
      <c r="U297" s="87" t="s">
        <v>397</v>
      </c>
      <c r="V297" s="88" t="str">
        <f>IF(OR($H297="",$H297="sif",$H297="PM"),"",VLOOKUP($H297,[5]CU!$C$5:$J$255,8,FALSE))</f>
        <v>5. Investissement</v>
      </c>
      <c r="W297" s="87" t="s">
        <v>98</v>
      </c>
      <c r="X297" s="87" t="s">
        <v>98</v>
      </c>
      <c r="Y297" s="88" t="s">
        <v>32</v>
      </c>
      <c r="Z297" s="88" t="str">
        <f>A297 &amp; "-" &amp; VLOOKUP(A297,[4]PROGRAMMES!$E$1:$F$7,2,FALSE)</f>
        <v>1-Accès et équité à l'enseignement général</v>
      </c>
      <c r="AA297" s="88" t="str">
        <f>B297 &amp; "-" &amp; VLOOKUP(B297,[4]SOUSPROGRAMMES!$E$1:$F$44,2,FALSE)</f>
        <v>14- Accès et équité au collège</v>
      </c>
      <c r="AB297" s="88" t="str">
        <f>C297 &amp; "-" &amp; VLOOKUP(C297,[4]RESULTATS!$E$1:$F$176,2,FALSE)</f>
        <v>141- L’accès au collège est amélioré en tenant compte de l’équité et de l’élargissement de l’éducation de base</v>
      </c>
      <c r="AC297" s="89" t="str">
        <f>D297 &amp; "-" &amp; VLOOKUP(D297,[4]STRATEGIES!$E$1:$F$504,2,FALSE)</f>
        <v>1413-Construction/réhabilitation/rénovation de salles de classe avec rampe d’accès au Collège en tenant compte de la prévention des catastrophes naturelles, y compris les FA</v>
      </c>
      <c r="AD297" s="76" t="str">
        <f t="shared" si="60"/>
        <v>14135-Construction de 63 classes, latrines et équipement (maitrise d'ouvrage partenaire)</v>
      </c>
    </row>
    <row r="298" spans="1:30" s="90" customFormat="1" ht="45" hidden="1" customHeight="1" x14ac:dyDescent="0.8">
      <c r="A298" s="84">
        <v>1</v>
      </c>
      <c r="B298" s="94">
        <v>14</v>
      </c>
      <c r="C298" s="94">
        <v>141</v>
      </c>
      <c r="D298" s="85">
        <v>1413</v>
      </c>
      <c r="E298" s="84">
        <v>14136</v>
      </c>
      <c r="F298" s="75" t="s">
        <v>415</v>
      </c>
      <c r="G298" s="76" t="s">
        <v>416</v>
      </c>
      <c r="H298" s="86" t="s">
        <v>417</v>
      </c>
      <c r="I298" s="78">
        <v>0</v>
      </c>
      <c r="J298" s="78"/>
      <c r="K298" s="78"/>
      <c r="L298" s="78"/>
      <c r="M298" s="78">
        <f t="shared" si="67"/>
        <v>0</v>
      </c>
      <c r="N298" s="78">
        <f>IF(OR(H298="",H298="sif",H298="PM"),0,VLOOKUP(H298,[5]CU!$C$4:$H$255,6,FALSE))</f>
        <v>35</v>
      </c>
      <c r="O298" s="78">
        <f t="shared" si="68"/>
        <v>0</v>
      </c>
      <c r="P298" s="78">
        <f t="shared" si="68"/>
        <v>0</v>
      </c>
      <c r="Q298" s="78">
        <f t="shared" si="68"/>
        <v>0</v>
      </c>
      <c r="R298" s="78">
        <f t="shared" si="68"/>
        <v>0</v>
      </c>
      <c r="S298" s="78">
        <f t="shared" si="69"/>
        <v>0</v>
      </c>
      <c r="T298" s="80" t="s">
        <v>178</v>
      </c>
      <c r="U298" s="87" t="s">
        <v>397</v>
      </c>
      <c r="V298" s="88" t="str">
        <f>IF(OR($H298="",$H298="sif",$H298="PM"),"",VLOOKUP($H298,[5]CU!$C$5:$J$255,8,FALSE))</f>
        <v>5. Investissement</v>
      </c>
      <c r="W298" s="87" t="s">
        <v>98</v>
      </c>
      <c r="X298" s="87" t="s">
        <v>98</v>
      </c>
      <c r="Y298" s="88" t="s">
        <v>32</v>
      </c>
      <c r="Z298" s="88" t="str">
        <f>A298 &amp; "-" &amp; VLOOKUP(A298,[4]PROGRAMMES!$E$1:$F$7,2,FALSE)</f>
        <v>1-Accès et équité à l'enseignement général</v>
      </c>
      <c r="AA298" s="88" t="str">
        <f>B298 &amp; "-" &amp; VLOOKUP(B298,[4]SOUSPROGRAMMES!$E$1:$F$44,2,FALSE)</f>
        <v>14- Accès et équité au collège</v>
      </c>
      <c r="AB298" s="88" t="str">
        <f>C298 &amp; "-" &amp; VLOOKUP(C298,[4]RESULTATS!$E$1:$F$176,2,FALSE)</f>
        <v>141- L’accès au collège est amélioré en tenant compte de l’équité et de l’élargissement de l’éducation de base</v>
      </c>
      <c r="AC298" s="89" t="str">
        <f>D298 &amp; "-" &amp; VLOOKUP(D298,[4]STRATEGIES!$E$1:$F$504,2,FALSE)</f>
        <v>1413-Construction/réhabilitation/rénovation de salles de classe avec rampe d’accès au Collège en tenant compte de la prévention des catastrophes naturelles, y compris les FA</v>
      </c>
      <c r="AD298" s="76" t="str">
        <f t="shared" si="60"/>
        <v>14136-Equipement des salles de classe en mobiliers scolaires</v>
      </c>
    </row>
    <row r="299" spans="1:30" s="71" customFormat="1" ht="45" hidden="1" customHeight="1" x14ac:dyDescent="0.8">
      <c r="A299" s="91">
        <v>1</v>
      </c>
      <c r="B299" s="75">
        <v>14</v>
      </c>
      <c r="C299" s="75">
        <v>141</v>
      </c>
      <c r="D299" s="75">
        <v>1413</v>
      </c>
      <c r="E299" s="91">
        <v>14136</v>
      </c>
      <c r="F299" s="75" t="s">
        <v>415</v>
      </c>
      <c r="G299" s="76" t="s">
        <v>416</v>
      </c>
      <c r="H299" s="76" t="s">
        <v>417</v>
      </c>
      <c r="I299" s="78">
        <v>0</v>
      </c>
      <c r="J299" s="77">
        <f>+J296</f>
        <v>0</v>
      </c>
      <c r="K299" s="77">
        <f>+K296</f>
        <v>100</v>
      </c>
      <c r="L299" s="77">
        <f>+L296</f>
        <v>100</v>
      </c>
      <c r="M299" s="77">
        <f>SUM(I299:L299)</f>
        <v>200</v>
      </c>
      <c r="N299" s="77">
        <f>IF(OR(H299="",H299="sif",H299="PM"),0,VLOOKUP(H299,[5]CU!$C$4:$H$255,6,FALSE))</f>
        <v>35</v>
      </c>
      <c r="O299" s="77">
        <f>$N299*I299</f>
        <v>0</v>
      </c>
      <c r="P299" s="77">
        <f>$N299*J299</f>
        <v>0</v>
      </c>
      <c r="Q299" s="77">
        <f>$N299*K299</f>
        <v>3500</v>
      </c>
      <c r="R299" s="77">
        <f>$N299*L299</f>
        <v>3500</v>
      </c>
      <c r="S299" s="77">
        <f>SUM(O299:R299)</f>
        <v>7000</v>
      </c>
      <c r="T299" s="92" t="s">
        <v>169</v>
      </c>
      <c r="U299" s="88" t="s">
        <v>397</v>
      </c>
      <c r="V299" s="88" t="str">
        <f>IF(OR($H299="",$H299="sif",$H299="PM"),"",VLOOKUP($H299,[5]CU!$C$5:$J$255,8,FALSE))</f>
        <v>5. Investissement</v>
      </c>
      <c r="W299" s="88" t="s">
        <v>98</v>
      </c>
      <c r="X299" s="88" t="s">
        <v>98</v>
      </c>
      <c r="Y299" s="88" t="s">
        <v>32</v>
      </c>
      <c r="Z299" s="88" t="str">
        <f>A299 &amp; "-" &amp; VLOOKUP(A299,[4]PROGRAMMES!$E$1:$F$7,2,FALSE)</f>
        <v>1-Accès et équité à l'enseignement général</v>
      </c>
      <c r="AA299" s="88" t="str">
        <f>B299 &amp; "-" &amp; VLOOKUP(B299,[4]SOUSPROGRAMMES!$E$1:$F$44,2,FALSE)</f>
        <v>14- Accès et équité au collège</v>
      </c>
      <c r="AB299" s="88" t="str">
        <f>C299 &amp; "-" &amp; VLOOKUP(C299,[4]RESULTATS!$E$1:$F$176,2,FALSE)</f>
        <v>141- L’accès au collège est amélioré en tenant compte de l’équité et de l’élargissement de l’éducation de base</v>
      </c>
      <c r="AC299" s="89" t="str">
        <f>D299 &amp; "-" &amp; VLOOKUP(D299,[4]STRATEGIES!$E$1:$F$504,2,FALSE)</f>
        <v>1413-Construction/réhabilitation/rénovation de salles de classe avec rampe d’accès au Collège en tenant compte de la prévention des catastrophes naturelles, y compris les FA</v>
      </c>
      <c r="AD299" s="76" t="str">
        <f t="shared" si="60"/>
        <v>14136-Equipement des salles de classe en mobiliers scolaires</v>
      </c>
    </row>
    <row r="300" spans="1:30" s="90" customFormat="1" ht="45" hidden="1" customHeight="1" x14ac:dyDescent="0.8">
      <c r="A300" s="84">
        <v>1</v>
      </c>
      <c r="B300" s="85">
        <v>14</v>
      </c>
      <c r="C300" s="85">
        <v>141</v>
      </c>
      <c r="D300" s="85">
        <v>1413</v>
      </c>
      <c r="E300" s="84">
        <v>14136</v>
      </c>
      <c r="F300" s="75" t="s">
        <v>415</v>
      </c>
      <c r="G300" s="76" t="s">
        <v>416</v>
      </c>
      <c r="H300" s="86" t="s">
        <v>417</v>
      </c>
      <c r="I300" s="78">
        <v>0</v>
      </c>
      <c r="J300" s="78">
        <f>J293</f>
        <v>21.6</v>
      </c>
      <c r="K300" s="78">
        <f>K293</f>
        <v>54</v>
      </c>
      <c r="L300" s="78">
        <f>L293</f>
        <v>32.4</v>
      </c>
      <c r="M300" s="78">
        <f t="shared" si="67"/>
        <v>108</v>
      </c>
      <c r="N300" s="78">
        <f>IF(OR(H300="",H300="sif",H300="PM"),0,VLOOKUP(H300,[5]CU!$C$4:$H$255,6,FALSE))</f>
        <v>35</v>
      </c>
      <c r="O300" s="78">
        <f t="shared" si="68"/>
        <v>0</v>
      </c>
      <c r="P300" s="78">
        <f t="shared" si="68"/>
        <v>756</v>
      </c>
      <c r="Q300" s="78">
        <f t="shared" si="68"/>
        <v>1890</v>
      </c>
      <c r="R300" s="78">
        <f t="shared" si="68"/>
        <v>1134</v>
      </c>
      <c r="S300" s="78">
        <f t="shared" si="69"/>
        <v>3780</v>
      </c>
      <c r="T300" s="80" t="s">
        <v>56</v>
      </c>
      <c r="U300" s="87" t="s">
        <v>397</v>
      </c>
      <c r="V300" s="88" t="str">
        <f>IF(OR($H300="",$H300="sif",$H300="PM"),"",VLOOKUP($H300,[5]CU!$C$5:$J$255,8,FALSE))</f>
        <v>5. Investissement</v>
      </c>
      <c r="W300" s="87" t="s">
        <v>98</v>
      </c>
      <c r="X300" s="87" t="s">
        <v>98</v>
      </c>
      <c r="Y300" s="88" t="s">
        <v>32</v>
      </c>
      <c r="Z300" s="88" t="str">
        <f>A300 &amp; "-" &amp; VLOOKUP(A300,[4]PROGRAMMES!$E$1:$F$7,2,FALSE)</f>
        <v>1-Accès et équité à l'enseignement général</v>
      </c>
      <c r="AA300" s="88" t="str">
        <f>B300 &amp; "-" &amp; VLOOKUP(B300,[4]SOUSPROGRAMMES!$E$1:$F$44,2,FALSE)</f>
        <v>14- Accès et équité au collège</v>
      </c>
      <c r="AB300" s="88" t="str">
        <f>C300 &amp; "-" &amp; VLOOKUP(C300,[4]RESULTATS!$E$1:$F$176,2,FALSE)</f>
        <v>141- L’accès au collège est amélioré en tenant compte de l’équité et de l’élargissement de l’éducation de base</v>
      </c>
      <c r="AC300" s="89" t="str">
        <f>D300 &amp; "-" &amp; VLOOKUP(D300,[4]STRATEGIES!$E$1:$F$504,2,FALSE)</f>
        <v>1413-Construction/réhabilitation/rénovation de salles de classe avec rampe d’accès au Collège en tenant compte de la prévention des catastrophes naturelles, y compris les FA</v>
      </c>
      <c r="AD300" s="76" t="str">
        <f t="shared" si="60"/>
        <v>14136-Equipement des salles de classe en mobiliers scolaires</v>
      </c>
    </row>
    <row r="301" spans="1:30" s="90" customFormat="1" ht="45" hidden="1" customHeight="1" x14ac:dyDescent="0.8">
      <c r="A301" s="84">
        <v>1</v>
      </c>
      <c r="B301" s="85">
        <v>14</v>
      </c>
      <c r="C301" s="85">
        <v>141</v>
      </c>
      <c r="D301" s="85">
        <v>1413</v>
      </c>
      <c r="E301" s="84">
        <v>14137</v>
      </c>
      <c r="F301" s="75" t="s">
        <v>418</v>
      </c>
      <c r="G301" s="76" t="s">
        <v>58</v>
      </c>
      <c r="H301" s="86" t="s">
        <v>110</v>
      </c>
      <c r="I301" s="78">
        <v>0</v>
      </c>
      <c r="J301" s="78"/>
      <c r="K301" s="78"/>
      <c r="L301" s="78"/>
      <c r="M301" s="78">
        <f>SUM(I301:L301)</f>
        <v>0</v>
      </c>
      <c r="N301" s="78">
        <f>IF(OR(H301="",H301="sif",H301="PM"),0,VLOOKUP(H301,[5]CU!$C$4:$H$255,6,FALSE))</f>
        <v>7.1760000000000002</v>
      </c>
      <c r="O301" s="78">
        <f t="shared" si="68"/>
        <v>0</v>
      </c>
      <c r="P301" s="78">
        <f t="shared" si="68"/>
        <v>0</v>
      </c>
      <c r="Q301" s="78">
        <f t="shared" si="68"/>
        <v>0</v>
      </c>
      <c r="R301" s="78">
        <f t="shared" si="68"/>
        <v>0</v>
      </c>
      <c r="S301" s="78">
        <f>SUM(O301:R301)</f>
        <v>0</v>
      </c>
      <c r="T301" s="80" t="s">
        <v>178</v>
      </c>
      <c r="U301" s="87" t="s">
        <v>397</v>
      </c>
      <c r="V301" s="88" t="str">
        <f>IF(OR($H301="",$H301="sif",$H301="PM"),"",VLOOKUP($H301,[5]CU!$C$5:$J$255,8,FALSE))</f>
        <v>3. Dépenses de fonctionnement</v>
      </c>
      <c r="W301" s="87" t="s">
        <v>98</v>
      </c>
      <c r="X301" s="87" t="s">
        <v>282</v>
      </c>
      <c r="Y301" s="88" t="s">
        <v>32</v>
      </c>
      <c r="Z301" s="88" t="str">
        <f>A301 &amp; "-" &amp; VLOOKUP(A301,[4]PROGRAMMES!$E$1:$F$7,2,FALSE)</f>
        <v>1-Accès et équité à l'enseignement général</v>
      </c>
      <c r="AA301" s="88" t="str">
        <f>B301 &amp; "-" &amp; VLOOKUP(B301,[4]SOUSPROGRAMMES!$E$1:$F$44,2,FALSE)</f>
        <v>14- Accès et équité au collège</v>
      </c>
      <c r="AB301" s="88" t="str">
        <f>C301 &amp; "-" &amp; VLOOKUP(C301,[4]RESULTATS!$E$1:$F$176,2,FALSE)</f>
        <v>141- L’accès au collège est amélioré en tenant compte de l’équité et de l’élargissement de l’éducation de base</v>
      </c>
      <c r="AC301" s="89" t="str">
        <f>D301 &amp; "-" &amp; VLOOKUP(D301,[4]STRATEGIES!$E$1:$F$504,2,FALSE)</f>
        <v>1413-Construction/réhabilitation/rénovation de salles de classe avec rampe d’accès au Collège en tenant compte de la prévention des catastrophes naturelles, y compris les FA</v>
      </c>
      <c r="AD301" s="76" t="str">
        <f t="shared" si="60"/>
        <v>14137-Supervision de la construction, réhabilitation et de l'équipement des salles de classe</v>
      </c>
    </row>
    <row r="302" spans="1:30" s="90" customFormat="1" ht="45" hidden="1" customHeight="1" x14ac:dyDescent="0.8">
      <c r="A302" s="84">
        <v>1</v>
      </c>
      <c r="B302" s="85">
        <v>14</v>
      </c>
      <c r="C302" s="85">
        <v>141</v>
      </c>
      <c r="D302" s="85">
        <v>1413</v>
      </c>
      <c r="E302" s="84">
        <v>14137</v>
      </c>
      <c r="F302" s="75" t="s">
        <v>418</v>
      </c>
      <c r="G302" s="76" t="s">
        <v>58</v>
      </c>
      <c r="H302" s="86" t="s">
        <v>110</v>
      </c>
      <c r="I302" s="78">
        <v>0</v>
      </c>
      <c r="J302" s="78"/>
      <c r="K302" s="78"/>
      <c r="L302" s="78"/>
      <c r="M302" s="78">
        <f>SUM(I302:L302)</f>
        <v>0</v>
      </c>
      <c r="N302" s="78">
        <f>IF(OR(H302="",H302="sif",H302="PM"),0,VLOOKUP(H302,[5]CU!$C$4:$H$255,6,FALSE))</f>
        <v>7.1760000000000002</v>
      </c>
      <c r="O302" s="78">
        <f t="shared" si="68"/>
        <v>0</v>
      </c>
      <c r="P302" s="78">
        <f t="shared" si="68"/>
        <v>0</v>
      </c>
      <c r="Q302" s="78">
        <f t="shared" si="68"/>
        <v>0</v>
      </c>
      <c r="R302" s="78">
        <f t="shared" si="68"/>
        <v>0</v>
      </c>
      <c r="S302" s="78">
        <f>SUM(O302:R302)</f>
        <v>0</v>
      </c>
      <c r="T302" s="80" t="s">
        <v>178</v>
      </c>
      <c r="U302" s="87" t="s">
        <v>397</v>
      </c>
      <c r="V302" s="88" t="str">
        <f>IF(OR($H302="",$H302="sif",$H302="PM"),"",VLOOKUP($H302,[5]CU!$C$5:$J$255,8,FALSE))</f>
        <v>3. Dépenses de fonctionnement</v>
      </c>
      <c r="W302" s="87" t="s">
        <v>98</v>
      </c>
      <c r="X302" s="87" t="s">
        <v>282</v>
      </c>
      <c r="Y302" s="88" t="s">
        <v>32</v>
      </c>
      <c r="Z302" s="88" t="str">
        <f>A302 &amp; "-" &amp; VLOOKUP(A302,[4]PROGRAMMES!$E$1:$F$7,2,FALSE)</f>
        <v>1-Accès et équité à l'enseignement général</v>
      </c>
      <c r="AA302" s="88" t="str">
        <f>B302 &amp; "-" &amp; VLOOKUP(B302,[4]SOUSPROGRAMMES!$E$1:$F$44,2,FALSE)</f>
        <v>14- Accès et équité au collège</v>
      </c>
      <c r="AB302" s="88" t="str">
        <f>C302 &amp; "-" &amp; VLOOKUP(C302,[4]RESULTATS!$E$1:$F$176,2,FALSE)</f>
        <v>141- L’accès au collège est amélioré en tenant compte de l’équité et de l’élargissement de l’éducation de base</v>
      </c>
      <c r="AC302" s="89" t="str">
        <f>D302 &amp; "-" &amp; VLOOKUP(D302,[4]STRATEGIES!$E$1:$F$504,2,FALSE)</f>
        <v>1413-Construction/réhabilitation/rénovation de salles de classe avec rampe d’accès au Collège en tenant compte de la prévention des catastrophes naturelles, y compris les FA</v>
      </c>
      <c r="AD302" s="76" t="str">
        <f t="shared" si="60"/>
        <v>14137-Supervision de la construction, réhabilitation et de l'équipement des salles de classe</v>
      </c>
    </row>
    <row r="303" spans="1:30" s="71" customFormat="1" ht="45" hidden="1" customHeight="1" x14ac:dyDescent="0.8">
      <c r="A303" s="91">
        <v>1</v>
      </c>
      <c r="B303" s="75">
        <v>14</v>
      </c>
      <c r="C303" s="75">
        <v>141</v>
      </c>
      <c r="D303" s="75">
        <v>1413</v>
      </c>
      <c r="E303" s="91">
        <v>14137</v>
      </c>
      <c r="F303" s="75" t="s">
        <v>418</v>
      </c>
      <c r="G303" s="76" t="s">
        <v>58</v>
      </c>
      <c r="H303" s="76" t="s">
        <v>110</v>
      </c>
      <c r="I303" s="78">
        <v>0</v>
      </c>
      <c r="J303" s="77">
        <f>J299</f>
        <v>0</v>
      </c>
      <c r="K303" s="77">
        <f t="shared" ref="J303:L304" si="70">K299</f>
        <v>100</v>
      </c>
      <c r="L303" s="77">
        <f>L299</f>
        <v>100</v>
      </c>
      <c r="M303" s="77">
        <f>SUM(I303:L303)</f>
        <v>200</v>
      </c>
      <c r="N303" s="77">
        <f>IF(OR(H303="",H303="sif",H303="PM"),0,VLOOKUP(H303,[5]CU!$C$4:$H$255,6,FALSE))</f>
        <v>7.1760000000000002</v>
      </c>
      <c r="O303" s="77">
        <f t="shared" si="68"/>
        <v>0</v>
      </c>
      <c r="P303" s="77">
        <f t="shared" si="68"/>
        <v>0</v>
      </c>
      <c r="Q303" s="77">
        <f>$N303*K303</f>
        <v>717.6</v>
      </c>
      <c r="R303" s="77">
        <f t="shared" si="68"/>
        <v>717.6</v>
      </c>
      <c r="S303" s="77">
        <f>SUM(O303:R303)</f>
        <v>1435.2</v>
      </c>
      <c r="T303" s="92" t="s">
        <v>169</v>
      </c>
      <c r="U303" s="88" t="s">
        <v>397</v>
      </c>
      <c r="V303" s="88" t="str">
        <f>IF(OR($H303="",$H303="sif",$H303="PM"),"",VLOOKUP($H303,[5]CU!$C$5:$J$255,8,FALSE))</f>
        <v>3. Dépenses de fonctionnement</v>
      </c>
      <c r="W303" s="88" t="s">
        <v>98</v>
      </c>
      <c r="X303" s="88" t="s">
        <v>282</v>
      </c>
      <c r="Y303" s="88" t="s">
        <v>32</v>
      </c>
      <c r="Z303" s="88" t="str">
        <f>A303 &amp; "-" &amp; VLOOKUP(A303,[4]PROGRAMMES!$E$1:$F$7,2,FALSE)</f>
        <v>1-Accès et équité à l'enseignement général</v>
      </c>
      <c r="AA303" s="88" t="str">
        <f>B303 &amp; "-" &amp; VLOOKUP(B303,[4]SOUSPROGRAMMES!$E$1:$F$44,2,FALSE)</f>
        <v>14- Accès et équité au collège</v>
      </c>
      <c r="AB303" s="88" t="str">
        <f>C303 &amp; "-" &amp; VLOOKUP(C303,[4]RESULTATS!$E$1:$F$176,2,FALSE)</f>
        <v>141- L’accès au collège est amélioré en tenant compte de l’équité et de l’élargissement de l’éducation de base</v>
      </c>
      <c r="AC303" s="89" t="str">
        <f>D303 &amp; "-" &amp; VLOOKUP(D303,[4]STRATEGIES!$E$1:$F$504,2,FALSE)</f>
        <v>1413-Construction/réhabilitation/rénovation de salles de classe avec rampe d’accès au Collège en tenant compte de la prévention des catastrophes naturelles, y compris les FA</v>
      </c>
      <c r="AD303" s="76" t="str">
        <f t="shared" si="60"/>
        <v>14137-Supervision de la construction, réhabilitation et de l'équipement des salles de classe</v>
      </c>
    </row>
    <row r="304" spans="1:30" s="90" customFormat="1" ht="45" hidden="1" customHeight="1" x14ac:dyDescent="0.8">
      <c r="A304" s="84">
        <v>1</v>
      </c>
      <c r="B304" s="85">
        <v>14</v>
      </c>
      <c r="C304" s="85">
        <v>141</v>
      </c>
      <c r="D304" s="85">
        <v>1413</v>
      </c>
      <c r="E304" s="84">
        <v>14137</v>
      </c>
      <c r="F304" s="75" t="s">
        <v>418</v>
      </c>
      <c r="G304" s="76" t="s">
        <v>58</v>
      </c>
      <c r="H304" s="86" t="s">
        <v>110</v>
      </c>
      <c r="I304" s="78">
        <v>0</v>
      </c>
      <c r="J304" s="78">
        <f t="shared" si="70"/>
        <v>21.6</v>
      </c>
      <c r="K304" s="78">
        <f t="shared" si="70"/>
        <v>54</v>
      </c>
      <c r="L304" s="78">
        <f t="shared" si="70"/>
        <v>32.4</v>
      </c>
      <c r="M304" s="78">
        <f t="shared" si="67"/>
        <v>108</v>
      </c>
      <c r="N304" s="78">
        <f>IF(OR(H304="",H304="sif",H304="PM"),0,VLOOKUP(H304,[5]CU!$C$4:$H$255,6,FALSE))</f>
        <v>7.1760000000000002</v>
      </c>
      <c r="O304" s="78">
        <f t="shared" si="68"/>
        <v>0</v>
      </c>
      <c r="P304" s="78">
        <f t="shared" si="68"/>
        <v>155.00160000000002</v>
      </c>
      <c r="Q304" s="78">
        <f t="shared" si="68"/>
        <v>387.50400000000002</v>
      </c>
      <c r="R304" s="78">
        <f t="shared" si="68"/>
        <v>232.50239999999999</v>
      </c>
      <c r="S304" s="78">
        <f t="shared" si="69"/>
        <v>775.00800000000004</v>
      </c>
      <c r="T304" s="80" t="s">
        <v>56</v>
      </c>
      <c r="U304" s="87" t="s">
        <v>397</v>
      </c>
      <c r="V304" s="88" t="str">
        <f>IF(OR($H304="",$H304="sif",$H304="PM"),"",VLOOKUP($H304,[5]CU!$C$5:$J$255,8,FALSE))</f>
        <v>3. Dépenses de fonctionnement</v>
      </c>
      <c r="W304" s="87" t="s">
        <v>98</v>
      </c>
      <c r="X304" s="87" t="s">
        <v>282</v>
      </c>
      <c r="Y304" s="88" t="s">
        <v>32</v>
      </c>
      <c r="Z304" s="88" t="str">
        <f>A304 &amp; "-" &amp; VLOOKUP(A304,[4]PROGRAMMES!$E$1:$F$7,2,FALSE)</f>
        <v>1-Accès et équité à l'enseignement général</v>
      </c>
      <c r="AA304" s="88" t="str">
        <f>B304 &amp; "-" &amp; VLOOKUP(B304,[4]SOUSPROGRAMMES!$E$1:$F$44,2,FALSE)</f>
        <v>14- Accès et équité au collège</v>
      </c>
      <c r="AB304" s="88" t="str">
        <f>C304 &amp; "-" &amp; VLOOKUP(C304,[4]RESULTATS!$E$1:$F$176,2,FALSE)</f>
        <v>141- L’accès au collège est amélioré en tenant compte de l’équité et de l’élargissement de l’éducation de base</v>
      </c>
      <c r="AC304" s="89" t="str">
        <f>D304 &amp; "-" &amp; VLOOKUP(D304,[4]STRATEGIES!$E$1:$F$504,2,FALSE)</f>
        <v>1413-Construction/réhabilitation/rénovation de salles de classe avec rampe d’accès au Collège en tenant compte de la prévention des catastrophes naturelles, y compris les FA</v>
      </c>
      <c r="AD304" s="76" t="str">
        <f t="shared" si="60"/>
        <v>14137-Supervision de la construction, réhabilitation et de l'équipement des salles de classe</v>
      </c>
    </row>
    <row r="305" spans="1:30" s="90" customFormat="1" ht="45" customHeight="1" x14ac:dyDescent="0.8">
      <c r="A305" s="84">
        <v>1</v>
      </c>
      <c r="B305" s="85">
        <v>14</v>
      </c>
      <c r="C305" s="85">
        <v>142</v>
      </c>
      <c r="D305" s="85">
        <v>142</v>
      </c>
      <c r="E305" s="84">
        <v>142</v>
      </c>
      <c r="F305" s="75" t="s">
        <v>419</v>
      </c>
      <c r="G305" s="86"/>
      <c r="H305" s="86"/>
      <c r="I305" s="78">
        <v>0</v>
      </c>
      <c r="J305" s="78"/>
      <c r="K305" s="78"/>
      <c r="L305" s="78"/>
      <c r="M305" s="78"/>
      <c r="N305" s="78"/>
      <c r="O305" s="78"/>
      <c r="P305" s="78"/>
      <c r="Q305" s="78"/>
      <c r="R305" s="78"/>
      <c r="S305" s="93"/>
      <c r="T305" s="87"/>
      <c r="U305" s="87"/>
      <c r="V305" s="88"/>
      <c r="W305" s="87"/>
      <c r="X305" s="87"/>
      <c r="Y305" s="88" t="s">
        <v>32</v>
      </c>
      <c r="Z305" s="88" t="str">
        <f>A305 &amp; "-" &amp; VLOOKUP(A305,[4]PROGRAMMES!$E$1:$F$7,2,FALSE)</f>
        <v>1-Accès et équité à l'enseignement général</v>
      </c>
      <c r="AA305" s="88" t="str">
        <f>B305 &amp; "-" &amp; VLOOKUP(B305,[4]SOUSPROGRAMMES!$E$1:$F$44,2,FALSE)</f>
        <v>14- Accès et équité au collège</v>
      </c>
      <c r="AB305" s="88" t="str">
        <f>C305 &amp; "-" &amp; VLOOKUP(C305,[4]RESULTATS!$E$1:$F$176,2,FALSE)</f>
        <v xml:space="preserve">142- Tous les Collèges publics sont dotés en enseignants en nombre suffisant </v>
      </c>
      <c r="AC305" s="89" t="str">
        <f>D305 &amp; "-" &amp; VLOOKUP(D305,[4]STRATEGIES!$E$1:$F$504,2,FALSE)</f>
        <v xml:space="preserve">142- Tous les Collèges publics sont dotés en enseignants en nombre suffisant </v>
      </c>
      <c r="AD305" s="76" t="str">
        <f t="shared" si="60"/>
        <v xml:space="preserve">142- Tous les Collèges publics sont dotés en enseignants en nombre suffisant </v>
      </c>
    </row>
    <row r="306" spans="1:30" s="90" customFormat="1" ht="45" customHeight="1" x14ac:dyDescent="0.8">
      <c r="A306" s="84">
        <v>1</v>
      </c>
      <c r="B306" s="85">
        <v>14</v>
      </c>
      <c r="C306" s="85">
        <v>142</v>
      </c>
      <c r="D306" s="85">
        <v>1421</v>
      </c>
      <c r="E306" s="84">
        <v>1421</v>
      </c>
      <c r="F306" s="75" t="s">
        <v>420</v>
      </c>
      <c r="G306" s="86"/>
      <c r="H306" s="86"/>
      <c r="I306" s="78">
        <v>0</v>
      </c>
      <c r="J306" s="78"/>
      <c r="K306" s="78"/>
      <c r="L306" s="78"/>
      <c r="M306" s="78"/>
      <c r="N306" s="78"/>
      <c r="O306" s="78"/>
      <c r="P306" s="78"/>
      <c r="Q306" s="78"/>
      <c r="R306" s="78"/>
      <c r="S306" s="93"/>
      <c r="T306" s="87"/>
      <c r="U306" s="87"/>
      <c r="V306" s="88"/>
      <c r="W306" s="87"/>
      <c r="X306" s="87"/>
      <c r="Y306" s="88" t="s">
        <v>32</v>
      </c>
      <c r="Z306" s="88" t="str">
        <f>A306 &amp; "-" &amp; VLOOKUP(A306,[4]PROGRAMMES!$E$1:$F$7,2,FALSE)</f>
        <v>1-Accès et équité à l'enseignement général</v>
      </c>
      <c r="AA306" s="88" t="str">
        <f>B306 &amp; "-" &amp; VLOOKUP(B306,[4]SOUSPROGRAMMES!$E$1:$F$44,2,FALSE)</f>
        <v>14- Accès et équité au collège</v>
      </c>
      <c r="AB306" s="88" t="str">
        <f>C306 &amp; "-" &amp; VLOOKUP(C306,[4]RESULTATS!$E$1:$F$176,2,FALSE)</f>
        <v xml:space="preserve">142- Tous les Collèges publics sont dotés en enseignants en nombre suffisant </v>
      </c>
      <c r="AC306" s="89" t="str">
        <f>D306 &amp; "-" &amp; VLOOKUP(D306,[4]STRATEGIES!$E$1:$F$504,2,FALSE)</f>
        <v>1421-Recrutement d’enseignants en nombre suffisant</v>
      </c>
      <c r="AD306" s="76" t="str">
        <f t="shared" si="60"/>
        <v>1421-Recrutement d’enseignants en nombre suffisant</v>
      </c>
    </row>
    <row r="307" spans="1:30" s="90" customFormat="1" ht="45" hidden="1" customHeight="1" x14ac:dyDescent="0.8">
      <c r="A307" s="84">
        <v>1</v>
      </c>
      <c r="B307" s="85">
        <v>14</v>
      </c>
      <c r="C307" s="85">
        <v>142</v>
      </c>
      <c r="D307" s="85">
        <v>1421</v>
      </c>
      <c r="E307" s="84">
        <v>14211</v>
      </c>
      <c r="F307" s="75" t="s">
        <v>141</v>
      </c>
      <c r="G307" s="76" t="s">
        <v>88</v>
      </c>
      <c r="H307" s="86" t="s">
        <v>55</v>
      </c>
      <c r="I307" s="78">
        <v>0</v>
      </c>
      <c r="J307" s="78">
        <v>1</v>
      </c>
      <c r="K307" s="78">
        <v>1</v>
      </c>
      <c r="L307" s="78">
        <v>1</v>
      </c>
      <c r="M307" s="78">
        <f t="shared" si="67"/>
        <v>3</v>
      </c>
      <c r="N307" s="78">
        <f>IF(OR(H307="",H307="sif",H307="PM"),0,VLOOKUP(H307,[5]CU!$C$4:$H$255,6,FALSE))</f>
        <v>0</v>
      </c>
      <c r="O307" s="78"/>
      <c r="P307" s="78"/>
      <c r="Q307" s="78"/>
      <c r="R307" s="78"/>
      <c r="S307" s="93"/>
      <c r="T307" s="80" t="s">
        <v>56</v>
      </c>
      <c r="U307" s="87" t="s">
        <v>397</v>
      </c>
      <c r="V307" s="88" t="str">
        <f>IF(OR($H307="",$H307="sif",$H307="PM"),"",VLOOKUP($H307,[5]CU!$C$5:$J$255,8,FALSE))</f>
        <v/>
      </c>
      <c r="W307" s="87" t="s">
        <v>142</v>
      </c>
      <c r="X307" s="87" t="s">
        <v>421</v>
      </c>
      <c r="Y307" s="88" t="s">
        <v>32</v>
      </c>
      <c r="Z307" s="88" t="str">
        <f>A307 &amp; "-" &amp; VLOOKUP(A307,[4]PROGRAMMES!$E$1:$F$7,2,FALSE)</f>
        <v>1-Accès et équité à l'enseignement général</v>
      </c>
      <c r="AA307" s="88" t="str">
        <f>B307 &amp; "-" &amp; VLOOKUP(B307,[4]SOUSPROGRAMMES!$E$1:$F$44,2,FALSE)</f>
        <v>14- Accès et équité au collège</v>
      </c>
      <c r="AB307" s="88" t="str">
        <f>C307 &amp; "-" &amp; VLOOKUP(C307,[4]RESULTATS!$E$1:$F$176,2,FALSE)</f>
        <v xml:space="preserve">142- Tous les Collèges publics sont dotés en enseignants en nombre suffisant </v>
      </c>
      <c r="AC307" s="89" t="str">
        <f>D307 &amp; "-" &amp; VLOOKUP(D307,[4]STRATEGIES!$E$1:$F$504,2,FALSE)</f>
        <v>1421-Recrutement d’enseignants en nombre suffisant</v>
      </c>
      <c r="AD307" s="76" t="str">
        <f t="shared" si="60"/>
        <v>14211-Identification des besoins en tenant compte des capacités d'accueil</v>
      </c>
    </row>
    <row r="308" spans="1:30" s="90" customFormat="1" ht="45" hidden="1" customHeight="1" x14ac:dyDescent="0.8">
      <c r="A308" s="84">
        <v>1</v>
      </c>
      <c r="B308" s="85">
        <v>14</v>
      </c>
      <c r="C308" s="85">
        <v>142</v>
      </c>
      <c r="D308" s="85">
        <v>1421</v>
      </c>
      <c r="E308" s="84">
        <v>14212</v>
      </c>
      <c r="F308" s="75" t="s">
        <v>422</v>
      </c>
      <c r="G308" s="76" t="s">
        <v>423</v>
      </c>
      <c r="H308" s="86" t="s">
        <v>55</v>
      </c>
      <c r="I308" s="78">
        <v>0</v>
      </c>
      <c r="J308" s="78">
        <v>1</v>
      </c>
      <c r="K308" s="78">
        <v>1</v>
      </c>
      <c r="L308" s="78">
        <v>1</v>
      </c>
      <c r="M308" s="78">
        <f t="shared" si="67"/>
        <v>3</v>
      </c>
      <c r="N308" s="78">
        <f>IF(OR(H308="",H308="sif",H308="PM"),0,VLOOKUP(H308,[5]CU!$C$4:$H$255,6,FALSE))</f>
        <v>0</v>
      </c>
      <c r="O308" s="78"/>
      <c r="P308" s="78"/>
      <c r="Q308" s="78"/>
      <c r="R308" s="78"/>
      <c r="S308" s="93"/>
      <c r="T308" s="80" t="s">
        <v>56</v>
      </c>
      <c r="U308" s="87" t="s">
        <v>397</v>
      </c>
      <c r="V308" s="88" t="str">
        <f>IF(OR($H308="",$H308="sif",$H308="PM"),"",VLOOKUP($H308,[5]CU!$C$5:$J$255,8,FALSE))</f>
        <v/>
      </c>
      <c r="W308" s="87" t="s">
        <v>142</v>
      </c>
      <c r="X308" s="87" t="s">
        <v>282</v>
      </c>
      <c r="Y308" s="88" t="s">
        <v>32</v>
      </c>
      <c r="Z308" s="88" t="str">
        <f>A308 &amp; "-" &amp; VLOOKUP(A308,[4]PROGRAMMES!$E$1:$F$7,2,FALSE)</f>
        <v>1-Accès et équité à l'enseignement général</v>
      </c>
      <c r="AA308" s="88" t="str">
        <f>B308 &amp; "-" &amp; VLOOKUP(B308,[4]SOUSPROGRAMMES!$E$1:$F$44,2,FALSE)</f>
        <v>14- Accès et équité au collège</v>
      </c>
      <c r="AB308" s="88" t="str">
        <f>C308 &amp; "-" &amp; VLOOKUP(C308,[4]RESULTATS!$E$1:$F$176,2,FALSE)</f>
        <v xml:space="preserve">142- Tous les Collèges publics sont dotés en enseignants en nombre suffisant </v>
      </c>
      <c r="AC308" s="89" t="str">
        <f>D308 &amp; "-" &amp; VLOOKUP(D308,[4]STRATEGIES!$E$1:$F$504,2,FALSE)</f>
        <v>1421-Recrutement d’enseignants en nombre suffisant</v>
      </c>
      <c r="AD308" s="76" t="str">
        <f t="shared" si="60"/>
        <v xml:space="preserve">14212-Organisation de concours de recrutement des enseignants au niveau déconcentré/décentralisé </v>
      </c>
    </row>
    <row r="309" spans="1:30" s="90" customFormat="1" ht="45" hidden="1" customHeight="1" x14ac:dyDescent="0.8">
      <c r="A309" s="84">
        <v>1</v>
      </c>
      <c r="B309" s="85">
        <v>14</v>
      </c>
      <c r="C309" s="85">
        <v>142</v>
      </c>
      <c r="D309" s="85">
        <v>1421</v>
      </c>
      <c r="E309" s="84">
        <v>14213</v>
      </c>
      <c r="F309" s="75" t="s">
        <v>145</v>
      </c>
      <c r="G309" s="76" t="s">
        <v>146</v>
      </c>
      <c r="H309" s="86" t="s">
        <v>424</v>
      </c>
      <c r="I309" s="78">
        <v>0</v>
      </c>
      <c r="J309" s="78">
        <v>1103</v>
      </c>
      <c r="K309" s="78">
        <v>1198</v>
      </c>
      <c r="L309" s="78">
        <v>1292</v>
      </c>
      <c r="M309" s="78">
        <f t="shared" si="67"/>
        <v>3593</v>
      </c>
      <c r="N309" s="78">
        <f>IF(OR(H309="",H309="sif",H309="PM"),0,VLOOKUP(H309,[5]CU!$C$4:$H$255,6,FALSE))</f>
        <v>24.008179985529882</v>
      </c>
      <c r="O309" s="78">
        <f t="shared" ref="O309:R313" si="71">$N309*I309</f>
        <v>0</v>
      </c>
      <c r="P309" s="78">
        <f t="shared" si="71"/>
        <v>26481.022524039461</v>
      </c>
      <c r="Q309" s="78">
        <f t="shared" si="71"/>
        <v>28761.799622664799</v>
      </c>
      <c r="R309" s="78">
        <f t="shared" si="71"/>
        <v>31018.568541304609</v>
      </c>
      <c r="S309" s="93">
        <f>SUM(O309:R309)</f>
        <v>86261.390688008862</v>
      </c>
      <c r="T309" s="80" t="s">
        <v>56</v>
      </c>
      <c r="U309" s="87" t="s">
        <v>397</v>
      </c>
      <c r="V309" s="88" t="str">
        <f>IF(OR($H309="",$H309="sif",$H309="PM"),"",VLOOKUP($H309,[5]CU!$C$5:$J$255,8,FALSE))</f>
        <v>2. Personnel</v>
      </c>
      <c r="W309" s="87" t="s">
        <v>142</v>
      </c>
      <c r="X309" s="87" t="s">
        <v>144</v>
      </c>
      <c r="Y309" s="88" t="s">
        <v>32</v>
      </c>
      <c r="Z309" s="88" t="str">
        <f>A309 &amp; "-" &amp; VLOOKUP(A309,[4]PROGRAMMES!$E$1:$F$7,2,FALSE)</f>
        <v>1-Accès et équité à l'enseignement général</v>
      </c>
      <c r="AA309" s="88" t="str">
        <f>B309 &amp; "-" &amp; VLOOKUP(B309,[4]SOUSPROGRAMMES!$E$1:$F$44,2,FALSE)</f>
        <v>14- Accès et équité au collège</v>
      </c>
      <c r="AB309" s="88" t="str">
        <f>C309 &amp; "-" &amp; VLOOKUP(C309,[4]RESULTATS!$E$1:$F$176,2,FALSE)</f>
        <v xml:space="preserve">142- Tous les Collèges publics sont dotés en enseignants en nombre suffisant </v>
      </c>
      <c r="AC309" s="89" t="str">
        <f>D309 &amp; "-" &amp; VLOOKUP(D309,[4]STRATEGIES!$E$1:$F$504,2,FALSE)</f>
        <v>1421-Recrutement d’enseignants en nombre suffisant</v>
      </c>
      <c r="AD309" s="76" t="str">
        <f t="shared" si="60"/>
        <v>14213-Prise en charge des candidats retenus après leur prise de service</v>
      </c>
    </row>
    <row r="310" spans="1:30" s="90" customFormat="1" ht="45" hidden="1" customHeight="1" x14ac:dyDescent="0.8">
      <c r="A310" s="84">
        <v>1</v>
      </c>
      <c r="B310" s="85">
        <v>14</v>
      </c>
      <c r="C310" s="85">
        <v>142</v>
      </c>
      <c r="D310" s="85">
        <v>1421</v>
      </c>
      <c r="E310" s="84">
        <v>14214</v>
      </c>
      <c r="F310" s="75" t="s">
        <v>425</v>
      </c>
      <c r="G310" s="76" t="s">
        <v>146</v>
      </c>
      <c r="H310" s="86" t="s">
        <v>426</v>
      </c>
      <c r="I310" s="78">
        <v>0</v>
      </c>
      <c r="J310" s="78">
        <v>0.90884271076613798</v>
      </c>
      <c r="K310" s="78">
        <v>1.03044911307633</v>
      </c>
      <c r="L310" s="78">
        <v>1.1660636487281899</v>
      </c>
      <c r="M310" s="78">
        <f t="shared" si="67"/>
        <v>3.1053554725706576</v>
      </c>
      <c r="N310" s="78">
        <f>IF(OR(H310="",H310="sif",H310="PM"),0,VLOOKUP(H310,[5]CU!$C$4:$H$255,6,FALSE))</f>
        <v>217355.719702717</v>
      </c>
      <c r="O310" s="78">
        <f t="shared" si="71"/>
        <v>0</v>
      </c>
      <c r="P310" s="78">
        <f t="shared" si="71"/>
        <v>197542.16149514218</v>
      </c>
      <c r="Q310" s="78">
        <f t="shared" si="71"/>
        <v>223974.00858973214</v>
      </c>
      <c r="R310" s="78">
        <f t="shared" si="71"/>
        <v>253450.60358849191</v>
      </c>
      <c r="S310" s="93">
        <f>SUM(O310:R310)</f>
        <v>674966.77367336629</v>
      </c>
      <c r="T310" s="80" t="s">
        <v>56</v>
      </c>
      <c r="U310" s="87" t="s">
        <v>397</v>
      </c>
      <c r="V310" s="88" t="str">
        <f>IF(OR($H310="",$H310="sif",$H310="PM"),"",VLOOKUP($H310,[5]CU!$C$5:$J$255,8,FALSE))</f>
        <v>2. Personnel</v>
      </c>
      <c r="W310" s="87" t="s">
        <v>142</v>
      </c>
      <c r="X310" s="87" t="s">
        <v>144</v>
      </c>
      <c r="Y310" s="88" t="s">
        <v>32</v>
      </c>
      <c r="Z310" s="88" t="str">
        <f>A310 &amp; "-" &amp; VLOOKUP(A310,[4]PROGRAMMES!$E$1:$F$7,2,FALSE)</f>
        <v>1-Accès et équité à l'enseignement général</v>
      </c>
      <c r="AA310" s="88" t="str">
        <f>B310 &amp; "-" &amp; VLOOKUP(B310,[4]SOUSPROGRAMMES!$E$1:$F$44,2,FALSE)</f>
        <v>14- Accès et équité au collège</v>
      </c>
      <c r="AB310" s="88" t="str">
        <f>C310 &amp; "-" &amp; VLOOKUP(C310,[4]RESULTATS!$E$1:$F$176,2,FALSE)</f>
        <v xml:space="preserve">142- Tous les Collèges publics sont dotés en enseignants en nombre suffisant </v>
      </c>
      <c r="AC310" s="89" t="str">
        <f>D310 &amp; "-" &amp; VLOOKUP(D310,[4]STRATEGIES!$E$1:$F$504,2,FALSE)</f>
        <v>1421-Recrutement d’enseignants en nombre suffisant</v>
      </c>
      <c r="AD310" s="76" t="str">
        <f t="shared" si="60"/>
        <v>14214-Prise en charge du personnel en service dans les établissements du premier cycle du secondaire</v>
      </c>
    </row>
    <row r="311" spans="1:30" s="71" customFormat="1" ht="45" hidden="1" customHeight="1" x14ac:dyDescent="0.8">
      <c r="A311" s="91">
        <v>1</v>
      </c>
      <c r="B311" s="75">
        <v>14</v>
      </c>
      <c r="C311" s="75">
        <v>142</v>
      </c>
      <c r="D311" s="75">
        <v>1421</v>
      </c>
      <c r="E311" s="91">
        <v>14215</v>
      </c>
      <c r="F311" s="75" t="s">
        <v>243</v>
      </c>
      <c r="G311" s="76" t="s">
        <v>58</v>
      </c>
      <c r="H311" s="76" t="s">
        <v>59</v>
      </c>
      <c r="I311" s="78">
        <v>0</v>
      </c>
      <c r="J311" s="77"/>
      <c r="K311" s="77">
        <f>8*4*5*2</f>
        <v>320</v>
      </c>
      <c r="L311" s="77">
        <f>8*4*5</f>
        <v>160</v>
      </c>
      <c r="M311" s="77">
        <f t="shared" si="67"/>
        <v>480</v>
      </c>
      <c r="N311" s="77">
        <f>IF(OR(H311="",H311="sif",H311="PM"),0,VLOOKUP(H311,[5]CU!$C$4:$H$255,6,FALSE))</f>
        <v>0.8177777777777776</v>
      </c>
      <c r="O311" s="77">
        <f t="shared" si="71"/>
        <v>0</v>
      </c>
      <c r="P311" s="77">
        <f t="shared" si="71"/>
        <v>0</v>
      </c>
      <c r="Q311" s="77">
        <f>$N311*K311</f>
        <v>261.68888888888881</v>
      </c>
      <c r="R311" s="77">
        <f t="shared" si="71"/>
        <v>130.84444444444441</v>
      </c>
      <c r="S311" s="79">
        <f>SUM(O311:R311)</f>
        <v>392.53333333333319</v>
      </c>
      <c r="T311" s="92" t="s">
        <v>169</v>
      </c>
      <c r="U311" s="88" t="s">
        <v>397</v>
      </c>
      <c r="V311" s="88" t="str">
        <f>IF(OR($H311="",$H311="sif",$H311="PM"),"",VLOOKUP($H311,[5]CU!$C$5:$J$255,8,FALSE))</f>
        <v>3. Dépenses de fonctionnement</v>
      </c>
      <c r="W311" s="88" t="s">
        <v>142</v>
      </c>
      <c r="X311" s="88" t="s">
        <v>421</v>
      </c>
      <c r="Y311" s="88" t="s">
        <v>32</v>
      </c>
      <c r="Z311" s="88" t="str">
        <f>A311 &amp; "-" &amp; VLOOKUP(A311,[4]PROGRAMMES!$E$1:$F$7,2,FALSE)</f>
        <v>1-Accès et équité à l'enseignement général</v>
      </c>
      <c r="AA311" s="88" t="str">
        <f>B311 &amp; "-" &amp; VLOOKUP(B311,[4]SOUSPROGRAMMES!$E$1:$F$44,2,FALSE)</f>
        <v>14- Accès et équité au collège</v>
      </c>
      <c r="AB311" s="88" t="str">
        <f>C311 &amp; "-" &amp; VLOOKUP(C311,[4]RESULTATS!$E$1:$F$176,2,FALSE)</f>
        <v xml:space="preserve">142- Tous les Collèges publics sont dotés en enseignants en nombre suffisant </v>
      </c>
      <c r="AC311" s="89" t="str">
        <f>D311 &amp; "-" &amp; VLOOKUP(D311,[4]STRATEGIES!$E$1:$F$504,2,FALSE)</f>
        <v>1421-Recrutement d’enseignants en nombre suffisant</v>
      </c>
      <c r="AD311" s="76" t="str">
        <f t="shared" si="60"/>
        <v>14215-Suivi de l'allocation des enseignants</v>
      </c>
    </row>
    <row r="312" spans="1:30" s="90" customFormat="1" ht="45" customHeight="1" x14ac:dyDescent="0.8">
      <c r="A312" s="84">
        <v>1</v>
      </c>
      <c r="B312" s="85">
        <v>14</v>
      </c>
      <c r="C312" s="85">
        <v>142</v>
      </c>
      <c r="D312" s="85">
        <v>1422</v>
      </c>
      <c r="E312" s="84">
        <v>1422</v>
      </c>
      <c r="F312" s="75" t="s">
        <v>427</v>
      </c>
      <c r="G312" s="86"/>
      <c r="H312" s="86"/>
      <c r="I312" s="78">
        <v>0</v>
      </c>
      <c r="J312" s="78"/>
      <c r="K312" s="78"/>
      <c r="L312" s="78"/>
      <c r="M312" s="78"/>
      <c r="N312" s="78"/>
      <c r="O312" s="78"/>
      <c r="P312" s="78"/>
      <c r="Q312" s="78"/>
      <c r="R312" s="78"/>
      <c r="S312" s="93"/>
      <c r="T312" s="87"/>
      <c r="U312" s="87"/>
      <c r="V312" s="88"/>
      <c r="W312" s="87"/>
      <c r="X312" s="87"/>
      <c r="Y312" s="88" t="s">
        <v>32</v>
      </c>
      <c r="Z312" s="88" t="str">
        <f>A312 &amp; "-" &amp; VLOOKUP(A312,[4]PROGRAMMES!$E$1:$F$7,2,FALSE)</f>
        <v>1-Accès et équité à l'enseignement général</v>
      </c>
      <c r="AA312" s="88" t="str">
        <f>B312 &amp; "-" &amp; VLOOKUP(B312,[4]SOUSPROGRAMMES!$E$1:$F$44,2,FALSE)</f>
        <v>14- Accès et équité au collège</v>
      </c>
      <c r="AB312" s="88" t="str">
        <f>C312 &amp; "-" &amp; VLOOKUP(C312,[4]RESULTATS!$E$1:$F$176,2,FALSE)</f>
        <v xml:space="preserve">142- Tous les Collèges publics sont dotés en enseignants en nombre suffisant </v>
      </c>
      <c r="AC312" s="89" t="str">
        <f>D312 &amp; "-" &amp; VLOOKUP(D312,[4]STRATEGIES!$E$1:$F$504,2,FALSE)</f>
        <v>1422-Prise en charge progressive des enseignants contractuels communautaire</v>
      </c>
      <c r="AD312" s="76" t="str">
        <f t="shared" si="60"/>
        <v>1422-Prise en charge progressive des enseignants contractuels communautaire</v>
      </c>
    </row>
    <row r="313" spans="1:30" s="90" customFormat="1" ht="45" hidden="1" customHeight="1" x14ac:dyDescent="0.8">
      <c r="A313" s="84">
        <v>1</v>
      </c>
      <c r="B313" s="85">
        <v>14</v>
      </c>
      <c r="C313" s="85">
        <v>142</v>
      </c>
      <c r="D313" s="85">
        <v>1422</v>
      </c>
      <c r="E313" s="84">
        <v>14221</v>
      </c>
      <c r="F313" s="75" t="s">
        <v>428</v>
      </c>
      <c r="G313" s="76" t="s">
        <v>58</v>
      </c>
      <c r="H313" s="86" t="s">
        <v>59</v>
      </c>
      <c r="I313" s="78">
        <v>0</v>
      </c>
      <c r="J313" s="78">
        <f>4*10*8</f>
        <v>320</v>
      </c>
      <c r="K313" s="78"/>
      <c r="L313" s="78"/>
      <c r="M313" s="78">
        <f t="shared" si="67"/>
        <v>320</v>
      </c>
      <c r="N313" s="78">
        <f>IF(OR(H313="",H313="sif",H313="PM"),0,VLOOKUP(H313,[5]CU!$C$4:$H$255,6,FALSE))</f>
        <v>0.8177777777777776</v>
      </c>
      <c r="O313" s="78">
        <f t="shared" si="71"/>
        <v>0</v>
      </c>
      <c r="P313" s="78">
        <f t="shared" si="71"/>
        <v>261.68888888888881</v>
      </c>
      <c r="Q313" s="78">
        <f t="shared" si="71"/>
        <v>0</v>
      </c>
      <c r="R313" s="78">
        <f t="shared" si="71"/>
        <v>0</v>
      </c>
      <c r="S313" s="93">
        <f>SUM(O313:R313)</f>
        <v>261.68888888888881</v>
      </c>
      <c r="T313" s="80" t="s">
        <v>56</v>
      </c>
      <c r="U313" s="87" t="s">
        <v>397</v>
      </c>
      <c r="V313" s="88" t="str">
        <f>IF(OR($H313="",$H313="sif",$H313="PM"),"",VLOOKUP($H313,[5]CU!$C$5:$J$255,8,FALSE))</f>
        <v>3. Dépenses de fonctionnement</v>
      </c>
      <c r="W313" s="87" t="s">
        <v>142</v>
      </c>
      <c r="X313" s="87" t="s">
        <v>429</v>
      </c>
      <c r="Y313" s="88" t="s">
        <v>32</v>
      </c>
      <c r="Z313" s="88" t="str">
        <f>A313 &amp; "-" &amp; VLOOKUP(A313,[4]PROGRAMMES!$E$1:$F$7,2,FALSE)</f>
        <v>1-Accès et équité à l'enseignement général</v>
      </c>
      <c r="AA313" s="88" t="str">
        <f>B313 &amp; "-" &amp; VLOOKUP(B313,[4]SOUSPROGRAMMES!$E$1:$F$44,2,FALSE)</f>
        <v>14- Accès et équité au collège</v>
      </c>
      <c r="AB313" s="88" t="str">
        <f>C313 &amp; "-" &amp; VLOOKUP(C313,[4]RESULTATS!$E$1:$F$176,2,FALSE)</f>
        <v xml:space="preserve">142- Tous les Collèges publics sont dotés en enseignants en nombre suffisant </v>
      </c>
      <c r="AC313" s="89" t="str">
        <f>D313 &amp; "-" &amp; VLOOKUP(D313,[4]STRATEGIES!$E$1:$F$504,2,FALSE)</f>
        <v>1422-Prise en charge progressive des enseignants contractuels communautaire</v>
      </c>
      <c r="AD313" s="76" t="str">
        <f t="shared" si="60"/>
        <v>14221-Identification et évaluation des enseignants contractuels communautaire en service</v>
      </c>
    </row>
    <row r="314" spans="1:30" s="90" customFormat="1" ht="45" hidden="1" customHeight="1" x14ac:dyDescent="0.8">
      <c r="A314" s="84">
        <v>1</v>
      </c>
      <c r="B314" s="85">
        <v>14</v>
      </c>
      <c r="C314" s="85">
        <v>142</v>
      </c>
      <c r="D314" s="85">
        <v>1422</v>
      </c>
      <c r="E314" s="84">
        <v>14222</v>
      </c>
      <c r="F314" s="75" t="s">
        <v>430</v>
      </c>
      <c r="G314" s="76" t="s">
        <v>159</v>
      </c>
      <c r="H314" s="86" t="s">
        <v>55</v>
      </c>
      <c r="I314" s="78">
        <v>0</v>
      </c>
      <c r="J314" s="78">
        <v>1</v>
      </c>
      <c r="K314" s="78">
        <v>1</v>
      </c>
      <c r="L314" s="78">
        <v>1</v>
      </c>
      <c r="M314" s="78">
        <f t="shared" si="67"/>
        <v>3</v>
      </c>
      <c r="N314" s="78">
        <f>IF(OR(H314="",H314="sif",H314="PM"),0,VLOOKUP(H314,[5]CU!$C$4:$H$255,6,FALSE))</f>
        <v>0</v>
      </c>
      <c r="O314" s="78"/>
      <c r="P314" s="78"/>
      <c r="Q314" s="78"/>
      <c r="R314" s="78"/>
      <c r="S314" s="93"/>
      <c r="T314" s="80" t="s">
        <v>56</v>
      </c>
      <c r="U314" s="87" t="s">
        <v>397</v>
      </c>
      <c r="V314" s="88" t="str">
        <f>IF(OR($H314="",$H314="sif",$H314="PM"),"",VLOOKUP($H314,[5]CU!$C$5:$J$255,8,FALSE))</f>
        <v/>
      </c>
      <c r="W314" s="87" t="s">
        <v>142</v>
      </c>
      <c r="X314" s="87" t="s">
        <v>431</v>
      </c>
      <c r="Y314" s="88" t="s">
        <v>32</v>
      </c>
      <c r="Z314" s="88" t="str">
        <f>A314 &amp; "-" &amp; VLOOKUP(A314,[4]PROGRAMMES!$E$1:$F$7,2,FALSE)</f>
        <v>1-Accès et équité à l'enseignement général</v>
      </c>
      <c r="AA314" s="88" t="str">
        <f>B314 &amp; "-" &amp; VLOOKUP(B314,[4]SOUSPROGRAMMES!$E$1:$F$44,2,FALSE)</f>
        <v>14- Accès et équité au collège</v>
      </c>
      <c r="AB314" s="88" t="str">
        <f>C314 &amp; "-" &amp; VLOOKUP(C314,[4]RESULTATS!$E$1:$F$176,2,FALSE)</f>
        <v xml:space="preserve">142- Tous les Collèges publics sont dotés en enseignants en nombre suffisant </v>
      </c>
      <c r="AC314" s="89" t="str">
        <f>D314 &amp; "-" &amp; VLOOKUP(D314,[4]STRATEGIES!$E$1:$F$504,2,FALSE)</f>
        <v>1422-Prise en charge progressive des enseignants contractuels communautaire</v>
      </c>
      <c r="AD314" s="76" t="str">
        <f t="shared" si="60"/>
        <v>14222-Formation des enseignants communautaires en service ayant les qualifications nécessaires à l'ISSEG (Budget ISSEG)</v>
      </c>
    </row>
    <row r="315" spans="1:30" s="90" customFormat="1" ht="45" hidden="1" customHeight="1" x14ac:dyDescent="0.8">
      <c r="A315" s="84">
        <v>1</v>
      </c>
      <c r="B315" s="85">
        <v>14</v>
      </c>
      <c r="C315" s="85">
        <v>142</v>
      </c>
      <c r="D315" s="85">
        <v>1422</v>
      </c>
      <c r="E315" s="84">
        <v>14223</v>
      </c>
      <c r="F315" s="75" t="s">
        <v>432</v>
      </c>
      <c r="G315" s="76" t="s">
        <v>92</v>
      </c>
      <c r="H315" s="86" t="s">
        <v>55</v>
      </c>
      <c r="I315" s="78">
        <v>0</v>
      </c>
      <c r="J315" s="78"/>
      <c r="K315" s="78"/>
      <c r="L315" s="78">
        <v>1</v>
      </c>
      <c r="M315" s="78">
        <f t="shared" si="67"/>
        <v>1</v>
      </c>
      <c r="N315" s="78">
        <f>IF(OR(H315="",H315="sif",H315="PM"),0,VLOOKUP(H315,[5]CU!$C$4:$H$255,6,FALSE))</f>
        <v>0</v>
      </c>
      <c r="O315" s="78"/>
      <c r="P315" s="78"/>
      <c r="Q315" s="78"/>
      <c r="R315" s="78"/>
      <c r="S315" s="93"/>
      <c r="T315" s="80" t="s">
        <v>56</v>
      </c>
      <c r="U315" s="87" t="s">
        <v>397</v>
      </c>
      <c r="V315" s="88" t="str">
        <f>IF(OR($H315="",$H315="sif",$H315="PM"),"",VLOOKUP($H315,[5]CU!$C$5:$J$255,8,FALSE))</f>
        <v/>
      </c>
      <c r="W315" s="87" t="s">
        <v>142</v>
      </c>
      <c r="X315" s="87" t="s">
        <v>144</v>
      </c>
      <c r="Y315" s="88" t="s">
        <v>32</v>
      </c>
      <c r="Z315" s="88" t="str">
        <f>A315 &amp; "-" &amp; VLOOKUP(A315,[4]PROGRAMMES!$E$1:$F$7,2,FALSE)</f>
        <v>1-Accès et équité à l'enseignement général</v>
      </c>
      <c r="AA315" s="88" t="str">
        <f>B315 &amp; "-" &amp; VLOOKUP(B315,[4]SOUSPROGRAMMES!$E$1:$F$44,2,FALSE)</f>
        <v>14- Accès et équité au collège</v>
      </c>
      <c r="AB315" s="88" t="str">
        <f>C315 &amp; "-" &amp; VLOOKUP(C315,[4]RESULTATS!$E$1:$F$176,2,FALSE)</f>
        <v xml:space="preserve">142- Tous les Collèges publics sont dotés en enseignants en nombre suffisant </v>
      </c>
      <c r="AC315" s="89" t="str">
        <f>D315 &amp; "-" &amp; VLOOKUP(D315,[4]STRATEGIES!$E$1:$F$504,2,FALSE)</f>
        <v>1422-Prise en charge progressive des enseignants contractuels communautaire</v>
      </c>
      <c r="AD315" s="76" t="str">
        <f t="shared" si="60"/>
        <v>14223-Prise en charge des élèves-enseignants certifiés après leur reprise de service (pris en compte dans activité 14213)</v>
      </c>
    </row>
    <row r="316" spans="1:30" s="90" customFormat="1" ht="45" customHeight="1" x14ac:dyDescent="0.8">
      <c r="A316" s="84">
        <v>1</v>
      </c>
      <c r="B316" s="85">
        <v>14</v>
      </c>
      <c r="C316" s="85">
        <v>142</v>
      </c>
      <c r="D316" s="85">
        <v>1423</v>
      </c>
      <c r="E316" s="84">
        <v>1423</v>
      </c>
      <c r="F316" s="75" t="s">
        <v>250</v>
      </c>
      <c r="G316" s="86"/>
      <c r="H316" s="86"/>
      <c r="I316" s="78">
        <v>0</v>
      </c>
      <c r="J316" s="78"/>
      <c r="K316" s="78"/>
      <c r="L316" s="78"/>
      <c r="M316" s="78"/>
      <c r="N316" s="78"/>
      <c r="O316" s="78"/>
      <c r="P316" s="78"/>
      <c r="Q316" s="78"/>
      <c r="R316" s="78"/>
      <c r="S316" s="93"/>
      <c r="T316" s="87"/>
      <c r="U316" s="87"/>
      <c r="V316" s="88"/>
      <c r="W316" s="87"/>
      <c r="X316" s="87"/>
      <c r="Y316" s="88" t="s">
        <v>32</v>
      </c>
      <c r="Z316" s="88" t="str">
        <f>A316 &amp; "-" &amp; VLOOKUP(A316,[4]PROGRAMMES!$E$1:$F$7,2,FALSE)</f>
        <v>1-Accès et équité à l'enseignement général</v>
      </c>
      <c r="AA316" s="88" t="str">
        <f>B316 &amp; "-" &amp; VLOOKUP(B316,[4]SOUSPROGRAMMES!$E$1:$F$44,2,FALSE)</f>
        <v>14- Accès et équité au collège</v>
      </c>
      <c r="AB316" s="88" t="str">
        <f>C316 &amp; "-" &amp; VLOOKUP(C316,[4]RESULTATS!$E$1:$F$176,2,FALSE)</f>
        <v xml:space="preserve">142- Tous les Collèges publics sont dotés en enseignants en nombre suffisant </v>
      </c>
      <c r="AC316" s="89" t="str">
        <f>D316 &amp; "-" &amp; VLOOKUP(D316,[4]STRATEGIES!$E$1:$F$504,2,FALSE)</f>
        <v>1423-Optimisation de l’utilisation des enseignants</v>
      </c>
      <c r="AD316" s="76" t="str">
        <f t="shared" si="60"/>
        <v>1423-Optimisation de l’utilisation des enseignants</v>
      </c>
    </row>
    <row r="317" spans="1:30" s="71" customFormat="1" ht="45" hidden="1" customHeight="1" x14ac:dyDescent="0.8">
      <c r="A317" s="91">
        <v>1</v>
      </c>
      <c r="B317" s="75">
        <v>14</v>
      </c>
      <c r="C317" s="75">
        <v>142</v>
      </c>
      <c r="D317" s="75">
        <v>1423</v>
      </c>
      <c r="E317" s="91">
        <v>14231</v>
      </c>
      <c r="F317" s="75" t="s">
        <v>433</v>
      </c>
      <c r="G317" s="76" t="s">
        <v>37</v>
      </c>
      <c r="H317" s="76" t="s">
        <v>66</v>
      </c>
      <c r="I317" s="78">
        <v>0</v>
      </c>
      <c r="J317" s="77">
        <f>10*3*1</f>
        <v>30</v>
      </c>
      <c r="K317" s="77"/>
      <c r="L317" s="77"/>
      <c r="M317" s="77">
        <f t="shared" si="67"/>
        <v>30</v>
      </c>
      <c r="N317" s="77">
        <f>IF(OR(H317="",H317="sif",H317="PM"),0,VLOOKUP(H317,[5]CU!$C$4:$H$255,6,FALSE))</f>
        <v>0.255</v>
      </c>
      <c r="O317" s="77">
        <f t="shared" ref="O317:R320" si="72">$N317*I317</f>
        <v>0</v>
      </c>
      <c r="P317" s="77">
        <f t="shared" si="72"/>
        <v>7.65</v>
      </c>
      <c r="Q317" s="77">
        <f t="shared" si="72"/>
        <v>0</v>
      </c>
      <c r="R317" s="77">
        <f t="shared" si="72"/>
        <v>0</v>
      </c>
      <c r="S317" s="79">
        <f>SUM(O317:R317)</f>
        <v>7.65</v>
      </c>
      <c r="T317" s="92" t="s">
        <v>169</v>
      </c>
      <c r="U317" s="88" t="s">
        <v>397</v>
      </c>
      <c r="V317" s="88" t="str">
        <f>IF(OR($H317="",$H317="sif",$H317="PM"),"",VLOOKUP($H317,[5]CU!$C$5:$J$255,8,FALSE))</f>
        <v>3. Dépenses de fonctionnement</v>
      </c>
      <c r="W317" s="88" t="s">
        <v>398</v>
      </c>
      <c r="X317" s="88" t="s">
        <v>273</v>
      </c>
      <c r="Y317" s="88" t="s">
        <v>32</v>
      </c>
      <c r="Z317" s="88" t="str">
        <f>A317 &amp; "-" &amp; VLOOKUP(A317,[4]PROGRAMMES!$E$1:$F$7,2,FALSE)</f>
        <v>1-Accès et équité à l'enseignement général</v>
      </c>
      <c r="AA317" s="88" t="str">
        <f>B317 &amp; "-" &amp; VLOOKUP(B317,[4]SOUSPROGRAMMES!$E$1:$F$44,2,FALSE)</f>
        <v>14- Accès et équité au collège</v>
      </c>
      <c r="AB317" s="88" t="str">
        <f>C317 &amp; "-" &amp; VLOOKUP(C317,[4]RESULTATS!$E$1:$F$176,2,FALSE)</f>
        <v xml:space="preserve">142- Tous les Collèges publics sont dotés en enseignants en nombre suffisant </v>
      </c>
      <c r="AC317" s="89" t="str">
        <f>D317 &amp; "-" &amp; VLOOKUP(D317,[4]STRATEGIES!$E$1:$F$504,2,FALSE)</f>
        <v>1423-Optimisation de l’utilisation des enseignants</v>
      </c>
      <c r="AD317" s="76" t="str">
        <f t="shared" si="60"/>
        <v>14231-DéFinition des normes et critères de fonctionnement des Collèges (Ratio élèves/GP maximum, minimum, double-vacation.)</v>
      </c>
    </row>
    <row r="318" spans="1:30" s="71" customFormat="1" ht="45" hidden="1" customHeight="1" x14ac:dyDescent="0.8">
      <c r="A318" s="91">
        <v>1</v>
      </c>
      <c r="B318" s="75">
        <v>14</v>
      </c>
      <c r="C318" s="75">
        <v>142</v>
      </c>
      <c r="D318" s="75">
        <v>1423</v>
      </c>
      <c r="E318" s="91">
        <v>14232</v>
      </c>
      <c r="F318" s="75" t="s">
        <v>434</v>
      </c>
      <c r="G318" s="76" t="s">
        <v>37</v>
      </c>
      <c r="H318" s="76" t="s">
        <v>66</v>
      </c>
      <c r="I318" s="78">
        <v>0</v>
      </c>
      <c r="J318" s="77">
        <f>40*2*1</f>
        <v>80</v>
      </c>
      <c r="K318" s="77"/>
      <c r="L318" s="77"/>
      <c r="M318" s="77">
        <f t="shared" si="67"/>
        <v>80</v>
      </c>
      <c r="N318" s="77">
        <f>IF(OR(H318="",H318="sif",H318="PM"),0,VLOOKUP(H318,[5]CU!$C$4:$H$255,6,FALSE))</f>
        <v>0.255</v>
      </c>
      <c r="O318" s="77">
        <f t="shared" si="72"/>
        <v>0</v>
      </c>
      <c r="P318" s="77">
        <f t="shared" si="72"/>
        <v>20.399999999999999</v>
      </c>
      <c r="Q318" s="77">
        <f t="shared" si="72"/>
        <v>0</v>
      </c>
      <c r="R318" s="77">
        <f t="shared" si="72"/>
        <v>0</v>
      </c>
      <c r="S318" s="79">
        <f>SUM(O318:R318)</f>
        <v>20.399999999999999</v>
      </c>
      <c r="T318" s="92" t="s">
        <v>169</v>
      </c>
      <c r="U318" s="88" t="s">
        <v>397</v>
      </c>
      <c r="V318" s="88" t="str">
        <f>IF(OR($H318="",$H318="sif",$H318="PM"),"",VLOOKUP($H318,[5]CU!$C$5:$J$255,8,FALSE))</f>
        <v>3. Dépenses de fonctionnement</v>
      </c>
      <c r="W318" s="88" t="s">
        <v>398</v>
      </c>
      <c r="X318" s="88" t="s">
        <v>273</v>
      </c>
      <c r="Y318" s="88" t="s">
        <v>32</v>
      </c>
      <c r="Z318" s="88" t="str">
        <f>A318 &amp; "-" &amp; VLOOKUP(A318,[4]PROGRAMMES!$E$1:$F$7,2,FALSE)</f>
        <v>1-Accès et équité à l'enseignement général</v>
      </c>
      <c r="AA318" s="88" t="str">
        <f>B318 &amp; "-" &amp; VLOOKUP(B318,[4]SOUSPROGRAMMES!$E$1:$F$44,2,FALSE)</f>
        <v>14- Accès et équité au collège</v>
      </c>
      <c r="AB318" s="88" t="str">
        <f>C318 &amp; "-" &amp; VLOOKUP(C318,[4]RESULTATS!$E$1:$F$176,2,FALSE)</f>
        <v xml:space="preserve">142- Tous les Collèges publics sont dotés en enseignants en nombre suffisant </v>
      </c>
      <c r="AC318" s="89" t="str">
        <f>D318 &amp; "-" &amp; VLOOKUP(D318,[4]STRATEGIES!$E$1:$F$504,2,FALSE)</f>
        <v>1423-Optimisation de l’utilisation des enseignants</v>
      </c>
      <c r="AD318" s="76" t="str">
        <f t="shared" si="60"/>
        <v>14232-Validation des normes et critères de fonctionnement des Collèges (Ratio élèves/GP maximum, minimum, double-vacation.)</v>
      </c>
    </row>
    <row r="319" spans="1:30" s="71" customFormat="1" ht="45" hidden="1" customHeight="1" x14ac:dyDescent="0.8">
      <c r="A319" s="91">
        <v>1</v>
      </c>
      <c r="B319" s="75">
        <v>14</v>
      </c>
      <c r="C319" s="75">
        <v>142</v>
      </c>
      <c r="D319" s="75">
        <v>1423</v>
      </c>
      <c r="E319" s="91">
        <v>14233</v>
      </c>
      <c r="F319" s="75" t="s">
        <v>435</v>
      </c>
      <c r="G319" s="76" t="s">
        <v>436</v>
      </c>
      <c r="H319" s="76" t="s">
        <v>352</v>
      </c>
      <c r="I319" s="78">
        <v>0</v>
      </c>
      <c r="J319" s="77"/>
      <c r="K319" s="77">
        <f>20*3*4</f>
        <v>240</v>
      </c>
      <c r="L319" s="77"/>
      <c r="M319" s="77">
        <f t="shared" si="67"/>
        <v>240</v>
      </c>
      <c r="N319" s="77">
        <f>IF(OR(H319="",H319="sif",H319="PM"),0,VLOOKUP(H319,[5]CU!$C$4:$H$255,6,FALSE))</f>
        <v>0.54600000000000004</v>
      </c>
      <c r="O319" s="77">
        <f t="shared" si="72"/>
        <v>0</v>
      </c>
      <c r="P319" s="77">
        <f t="shared" si="72"/>
        <v>0</v>
      </c>
      <c r="Q319" s="77">
        <f t="shared" si="72"/>
        <v>131.04000000000002</v>
      </c>
      <c r="R319" s="77">
        <f t="shared" si="72"/>
        <v>0</v>
      </c>
      <c r="S319" s="79">
        <f>SUM(O319:R319)</f>
        <v>131.04000000000002</v>
      </c>
      <c r="T319" s="92" t="s">
        <v>169</v>
      </c>
      <c r="U319" s="88" t="s">
        <v>397</v>
      </c>
      <c r="V319" s="88" t="str">
        <f>IF(OR($H319="",$H319="sif",$H319="PM"),"",VLOOKUP($H319,[5]CU!$C$5:$J$255,8,FALSE))</f>
        <v>3. Formation</v>
      </c>
      <c r="W319" s="88" t="s">
        <v>398</v>
      </c>
      <c r="X319" s="88" t="s">
        <v>398</v>
      </c>
      <c r="Y319" s="88" t="s">
        <v>32</v>
      </c>
      <c r="Z319" s="88" t="str">
        <f>A319 &amp; "-" &amp; VLOOKUP(A319,[4]PROGRAMMES!$E$1:$F$7,2,FALSE)</f>
        <v>1-Accès et équité à l'enseignement général</v>
      </c>
      <c r="AA319" s="88" t="str">
        <f>B319 &amp; "-" &amp; VLOOKUP(B319,[4]SOUSPROGRAMMES!$E$1:$F$44,2,FALSE)</f>
        <v>14- Accès et équité au collège</v>
      </c>
      <c r="AB319" s="88" t="str">
        <f>C319 &amp; "-" &amp; VLOOKUP(C319,[4]RESULTATS!$E$1:$F$176,2,FALSE)</f>
        <v xml:space="preserve">142- Tous les Collèges publics sont dotés en enseignants en nombre suffisant </v>
      </c>
      <c r="AC319" s="89" t="str">
        <f>D319 &amp; "-" &amp; VLOOKUP(D319,[4]STRATEGIES!$E$1:$F$504,2,FALSE)</f>
        <v>1423-Optimisation de l’utilisation des enseignants</v>
      </c>
      <c r="AD319" s="76" t="str">
        <f t="shared" si="60"/>
        <v>14233-Formation des encadreurs au niveau IRE, DPE/DCE sur la stratégie d'optimisation de l'utilisation des ressources (salles, enseignants)</v>
      </c>
    </row>
    <row r="320" spans="1:30" s="71" customFormat="1" ht="45" hidden="1" customHeight="1" x14ac:dyDescent="0.8">
      <c r="A320" s="91">
        <v>1</v>
      </c>
      <c r="B320" s="75">
        <v>14</v>
      </c>
      <c r="C320" s="75">
        <v>142</v>
      </c>
      <c r="D320" s="75">
        <v>1423</v>
      </c>
      <c r="E320" s="91">
        <v>14234</v>
      </c>
      <c r="F320" s="75" t="s">
        <v>437</v>
      </c>
      <c r="G320" s="76" t="s">
        <v>92</v>
      </c>
      <c r="H320" s="76" t="s">
        <v>55</v>
      </c>
      <c r="I320" s="78">
        <v>0</v>
      </c>
      <c r="J320" s="77">
        <v>1</v>
      </c>
      <c r="K320" s="77">
        <v>1</v>
      </c>
      <c r="L320" s="77">
        <v>1</v>
      </c>
      <c r="M320" s="77">
        <f t="shared" si="67"/>
        <v>3</v>
      </c>
      <c r="N320" s="77">
        <f>IF(OR(H320="",H320="sif",H320="PM"),0,VLOOKUP(H320,[5]CU!$C$4:$H$255,6,FALSE))</f>
        <v>0</v>
      </c>
      <c r="O320" s="77"/>
      <c r="P320" s="77"/>
      <c r="Q320" s="77">
        <f t="shared" si="72"/>
        <v>0</v>
      </c>
      <c r="R320" s="77"/>
      <c r="S320" s="79"/>
      <c r="T320" s="92" t="s">
        <v>169</v>
      </c>
      <c r="U320" s="88" t="s">
        <v>397</v>
      </c>
      <c r="V320" s="88" t="str">
        <f>IF(OR($H320="",$H320="sif",$H320="PM"),"",VLOOKUP($H320,[5]CU!$C$5:$J$255,8,FALSE))</f>
        <v/>
      </c>
      <c r="W320" s="88" t="s">
        <v>398</v>
      </c>
      <c r="X320" s="88" t="s">
        <v>282</v>
      </c>
      <c r="Y320" s="88" t="s">
        <v>32</v>
      </c>
      <c r="Z320" s="88" t="str">
        <f>A320 &amp; "-" &amp; VLOOKUP(A320,[4]PROGRAMMES!$E$1:$F$7,2,FALSE)</f>
        <v>1-Accès et équité à l'enseignement général</v>
      </c>
      <c r="AA320" s="88" t="str">
        <f>B320 &amp; "-" &amp; VLOOKUP(B320,[4]SOUSPROGRAMMES!$E$1:$F$44,2,FALSE)</f>
        <v>14- Accès et équité au collège</v>
      </c>
      <c r="AB320" s="88" t="str">
        <f>C320 &amp; "-" &amp; VLOOKUP(C320,[4]RESULTATS!$E$1:$F$176,2,FALSE)</f>
        <v xml:space="preserve">142- Tous les Collèges publics sont dotés en enseignants en nombre suffisant </v>
      </c>
      <c r="AC320" s="89" t="str">
        <f>D320 &amp; "-" &amp; VLOOKUP(D320,[4]STRATEGIES!$E$1:$F$504,2,FALSE)</f>
        <v>1423-Optimisation de l’utilisation des enseignants</v>
      </c>
      <c r="AD320" s="76" t="str">
        <f t="shared" si="60"/>
        <v>14234-Supervision de l'utilisation des enseignants et salles de classe (pris en compte dans budget structures déconcentrées)</v>
      </c>
    </row>
    <row r="321" spans="1:30" s="90" customFormat="1" ht="45" customHeight="1" x14ac:dyDescent="0.8">
      <c r="A321" s="84">
        <v>1</v>
      </c>
      <c r="B321" s="85">
        <v>14</v>
      </c>
      <c r="C321" s="85">
        <v>142</v>
      </c>
      <c r="D321" s="85">
        <v>1424</v>
      </c>
      <c r="E321" s="84">
        <v>1424</v>
      </c>
      <c r="F321" s="75" t="s">
        <v>259</v>
      </c>
      <c r="G321" s="86"/>
      <c r="H321" s="86"/>
      <c r="I321" s="78">
        <v>0</v>
      </c>
      <c r="J321" s="78"/>
      <c r="K321" s="78"/>
      <c r="L321" s="78"/>
      <c r="M321" s="78"/>
      <c r="N321" s="78"/>
      <c r="O321" s="78"/>
      <c r="P321" s="78"/>
      <c r="Q321" s="78"/>
      <c r="R321" s="78"/>
      <c r="S321" s="93"/>
      <c r="T321" s="87"/>
      <c r="U321" s="87"/>
      <c r="V321" s="88"/>
      <c r="W321" s="87"/>
      <c r="X321" s="87"/>
      <c r="Y321" s="88" t="s">
        <v>32</v>
      </c>
      <c r="Z321" s="88" t="str">
        <f>A321 &amp; "-" &amp; VLOOKUP(A321,[4]PROGRAMMES!$E$1:$F$7,2,FALSE)</f>
        <v>1-Accès et équité à l'enseignement général</v>
      </c>
      <c r="AA321" s="88" t="str">
        <f>B321 &amp; "-" &amp; VLOOKUP(B321,[4]SOUSPROGRAMMES!$E$1:$F$44,2,FALSE)</f>
        <v>14- Accès et équité au collège</v>
      </c>
      <c r="AB321" s="88" t="str">
        <f>C321 &amp; "-" &amp; VLOOKUP(C321,[4]RESULTATS!$E$1:$F$176,2,FALSE)</f>
        <v xml:space="preserve">142- Tous les Collèges publics sont dotés en enseignants en nombre suffisant </v>
      </c>
      <c r="AC321" s="89" t="str">
        <f>D321 &amp; "-" &amp; VLOOKUP(D321,[4]STRATEGIES!$E$1:$F$504,2,FALSE)</f>
        <v>1424-Renforcement des mesures incitatives pour le maintien des enseignants dans les zones difficiles</v>
      </c>
      <c r="AD321" s="76" t="str">
        <f t="shared" si="60"/>
        <v>1424-Renforcement des mesures incitatives pour le maintien des enseignants dans les zones difficiles</v>
      </c>
    </row>
    <row r="322" spans="1:30" s="71" customFormat="1" ht="45" hidden="1" customHeight="1" x14ac:dyDescent="0.8">
      <c r="A322" s="91">
        <v>1</v>
      </c>
      <c r="B322" s="75">
        <v>14</v>
      </c>
      <c r="C322" s="75">
        <v>142</v>
      </c>
      <c r="D322" s="75">
        <v>1424</v>
      </c>
      <c r="E322" s="91">
        <v>14241</v>
      </c>
      <c r="F322" s="75" t="s">
        <v>438</v>
      </c>
      <c r="G322" s="76" t="s">
        <v>159</v>
      </c>
      <c r="H322" s="76" t="s">
        <v>55</v>
      </c>
      <c r="I322" s="78">
        <v>0</v>
      </c>
      <c r="J322" s="77">
        <v>1</v>
      </c>
      <c r="K322" s="77">
        <v>1</v>
      </c>
      <c r="L322" s="77">
        <v>1</v>
      </c>
      <c r="M322" s="77">
        <f t="shared" si="67"/>
        <v>3</v>
      </c>
      <c r="N322" s="77">
        <f>IF(OR(H322="",H322="sif",H322="PM"),0,VLOOKUP(H322,[5]CU!$C$4:$H$255,6,FALSE))</f>
        <v>0</v>
      </c>
      <c r="O322" s="77"/>
      <c r="P322" s="77"/>
      <c r="Q322" s="77">
        <f t="shared" ref="Q322:Q324" si="73">$N322*K322</f>
        <v>0</v>
      </c>
      <c r="R322" s="77"/>
      <c r="S322" s="79"/>
      <c r="T322" s="92" t="s">
        <v>169</v>
      </c>
      <c r="U322" s="88" t="s">
        <v>397</v>
      </c>
      <c r="V322" s="88" t="str">
        <f>IF(OR($H322="",$H322="sif",$H322="PM"),"",VLOOKUP($H322,[5]CU!$C$5:$J$255,8,FALSE))</f>
        <v/>
      </c>
      <c r="W322" s="88" t="s">
        <v>142</v>
      </c>
      <c r="X322" s="88" t="s">
        <v>142</v>
      </c>
      <c r="Y322" s="88" t="s">
        <v>32</v>
      </c>
      <c r="Z322" s="88" t="str">
        <f>A322 &amp; "-" &amp; VLOOKUP(A322,[4]PROGRAMMES!$E$1:$F$7,2,FALSE)</f>
        <v>1-Accès et équité à l'enseignement général</v>
      </c>
      <c r="AA322" s="88" t="str">
        <f>B322 &amp; "-" &amp; VLOOKUP(B322,[4]SOUSPROGRAMMES!$E$1:$F$44,2,FALSE)</f>
        <v>14- Accès et équité au collège</v>
      </c>
      <c r="AB322" s="88" t="str">
        <f>C322 &amp; "-" &amp; VLOOKUP(C322,[4]RESULTATS!$E$1:$F$176,2,FALSE)</f>
        <v xml:space="preserve">142- Tous les Collèges publics sont dotés en enseignants en nombre suffisant </v>
      </c>
      <c r="AC322" s="89" t="str">
        <f>D322 &amp; "-" &amp; VLOOKUP(D322,[4]STRATEGIES!$E$1:$F$504,2,FALSE)</f>
        <v>1424-Renforcement des mesures incitatives pour le maintien des enseignants dans les zones difficiles</v>
      </c>
      <c r="AD322" s="76" t="str">
        <f t="shared" si="60"/>
        <v>14241-Identification des mesures incitatives pour le maintien des enseignants dans les zones difficiles en concertation avec les syndicats, y compris la prime de zone (voir activité 12341)</v>
      </c>
    </row>
    <row r="323" spans="1:30" s="71" customFormat="1" ht="45" hidden="1" customHeight="1" x14ac:dyDescent="0.8">
      <c r="A323" s="91">
        <v>1</v>
      </c>
      <c r="B323" s="75">
        <v>14</v>
      </c>
      <c r="C323" s="75">
        <v>142</v>
      </c>
      <c r="D323" s="75">
        <v>1424</v>
      </c>
      <c r="E323" s="91">
        <v>14242</v>
      </c>
      <c r="F323" s="75" t="s">
        <v>439</v>
      </c>
      <c r="G323" s="76" t="s">
        <v>159</v>
      </c>
      <c r="H323" s="76" t="s">
        <v>55</v>
      </c>
      <c r="I323" s="78">
        <v>0</v>
      </c>
      <c r="J323" s="77">
        <v>1</v>
      </c>
      <c r="K323" s="77">
        <v>1</v>
      </c>
      <c r="L323" s="77">
        <v>1</v>
      </c>
      <c r="M323" s="77">
        <f t="shared" si="67"/>
        <v>3</v>
      </c>
      <c r="N323" s="77">
        <f>IF(OR(H323="",H323="sif",H323="PM"),0,VLOOKUP(H323,[5]CU!$C$4:$H$255,6,FALSE))</f>
        <v>0</v>
      </c>
      <c r="O323" s="77"/>
      <c r="P323" s="77"/>
      <c r="Q323" s="77">
        <f t="shared" si="73"/>
        <v>0</v>
      </c>
      <c r="R323" s="77"/>
      <c r="S323" s="79"/>
      <c r="T323" s="92" t="s">
        <v>169</v>
      </c>
      <c r="U323" s="88" t="s">
        <v>397</v>
      </c>
      <c r="V323" s="88" t="str">
        <f>IF(OR($H323="",$H323="sif",$H323="PM"),"",VLOOKUP($H323,[5]CU!$C$5:$J$255,8,FALSE))</f>
        <v/>
      </c>
      <c r="W323" s="88" t="s">
        <v>142</v>
      </c>
      <c r="X323" s="88" t="s">
        <v>144</v>
      </c>
      <c r="Y323" s="88" t="s">
        <v>32</v>
      </c>
      <c r="Z323" s="88" t="str">
        <f>A323 &amp; "-" &amp; VLOOKUP(A323,[4]PROGRAMMES!$E$1:$F$7,2,FALSE)</f>
        <v>1-Accès et équité à l'enseignement général</v>
      </c>
      <c r="AA323" s="88" t="str">
        <f>B323 &amp; "-" &amp; VLOOKUP(B323,[4]SOUSPROGRAMMES!$E$1:$F$44,2,FALSE)</f>
        <v>14- Accès et équité au collège</v>
      </c>
      <c r="AB323" s="88" t="str">
        <f>C323 &amp; "-" &amp; VLOOKUP(C323,[4]RESULTATS!$E$1:$F$176,2,FALSE)</f>
        <v xml:space="preserve">142- Tous les Collèges publics sont dotés en enseignants en nombre suffisant </v>
      </c>
      <c r="AC323" s="89" t="str">
        <f>D323 &amp; "-" &amp; VLOOKUP(D323,[4]STRATEGIES!$E$1:$F$504,2,FALSE)</f>
        <v>1424-Renforcement des mesures incitatives pour le maintien des enseignants dans les zones difficiles</v>
      </c>
      <c r="AD323" s="76" t="str">
        <f t="shared" si="60"/>
        <v>14242-Validation et adoption des mesures incitatives (activité 12342 et 12343)</v>
      </c>
    </row>
    <row r="324" spans="1:30" s="71" customFormat="1" ht="45" hidden="1" customHeight="1" x14ac:dyDescent="0.8">
      <c r="A324" s="91">
        <v>1</v>
      </c>
      <c r="B324" s="75">
        <v>14</v>
      </c>
      <c r="C324" s="75">
        <v>142</v>
      </c>
      <c r="D324" s="75">
        <v>1424</v>
      </c>
      <c r="E324" s="91">
        <v>14243</v>
      </c>
      <c r="F324" s="75" t="s">
        <v>440</v>
      </c>
      <c r="G324" s="76" t="s">
        <v>159</v>
      </c>
      <c r="H324" s="76" t="s">
        <v>55</v>
      </c>
      <c r="I324" s="78">
        <v>0</v>
      </c>
      <c r="J324" s="77">
        <v>1</v>
      </c>
      <c r="K324" s="77">
        <v>1</v>
      </c>
      <c r="L324" s="77">
        <v>1</v>
      </c>
      <c r="M324" s="77">
        <f t="shared" si="67"/>
        <v>3</v>
      </c>
      <c r="N324" s="77">
        <f>IF(OR(H324="",H324="sif",H324="PM"),0,VLOOKUP(H324,[5]CU!$C$4:$H$255,6,FALSE))</f>
        <v>0</v>
      </c>
      <c r="O324" s="77"/>
      <c r="P324" s="77"/>
      <c r="Q324" s="77">
        <f t="shared" si="73"/>
        <v>0</v>
      </c>
      <c r="R324" s="77"/>
      <c r="S324" s="79"/>
      <c r="T324" s="92" t="s">
        <v>169</v>
      </c>
      <c r="U324" s="88" t="s">
        <v>397</v>
      </c>
      <c r="V324" s="88" t="str">
        <f>IF(OR($H324="",$H324="sif",$H324="PM"),"",VLOOKUP($H324,[5]CU!$C$5:$J$255,8,FALSE))</f>
        <v/>
      </c>
      <c r="W324" s="88" t="s">
        <v>142</v>
      </c>
      <c r="X324" s="88" t="s">
        <v>96</v>
      </c>
      <c r="Y324" s="88" t="s">
        <v>32</v>
      </c>
      <c r="Z324" s="88" t="str">
        <f>A324 &amp; "-" &amp; VLOOKUP(A324,[4]PROGRAMMES!$E$1:$F$7,2,FALSE)</f>
        <v>1-Accès et équité à l'enseignement général</v>
      </c>
      <c r="AA324" s="88" t="str">
        <f>B324 &amp; "-" &amp; VLOOKUP(B324,[4]SOUSPROGRAMMES!$E$1:$F$44,2,FALSE)</f>
        <v>14- Accès et équité au collège</v>
      </c>
      <c r="AB324" s="88" t="str">
        <f>C324 &amp; "-" &amp; VLOOKUP(C324,[4]RESULTATS!$E$1:$F$176,2,FALSE)</f>
        <v xml:space="preserve">142- Tous les Collèges publics sont dotés en enseignants en nombre suffisant </v>
      </c>
      <c r="AC324" s="89" t="str">
        <f>D324 &amp; "-" &amp; VLOOKUP(D324,[4]STRATEGIES!$E$1:$F$504,2,FALSE)</f>
        <v>1424-Renforcement des mesures incitatives pour le maintien des enseignants dans les zones difficiles</v>
      </c>
      <c r="AD324" s="76" t="str">
        <f t="shared" ref="AD324:AD387" si="74">E324 &amp; "-" &amp; F324</f>
        <v>14243-Identification des enseignants dans zones difficiles devant bénéficier des avantages (voir activité 12345)</v>
      </c>
    </row>
    <row r="325" spans="1:30" s="90" customFormat="1" ht="45" hidden="1" customHeight="1" x14ac:dyDescent="0.8">
      <c r="A325" s="84">
        <v>1</v>
      </c>
      <c r="B325" s="85">
        <v>14</v>
      </c>
      <c r="C325" s="85">
        <v>142</v>
      </c>
      <c r="D325" s="85">
        <v>1424</v>
      </c>
      <c r="E325" s="84">
        <v>14244</v>
      </c>
      <c r="F325" s="75" t="s">
        <v>267</v>
      </c>
      <c r="G325" s="76" t="s">
        <v>159</v>
      </c>
      <c r="H325" s="86" t="s">
        <v>55</v>
      </c>
      <c r="I325" s="78">
        <v>0</v>
      </c>
      <c r="J325" s="78"/>
      <c r="K325" s="78"/>
      <c r="L325" s="78"/>
      <c r="M325" s="78"/>
      <c r="N325" s="78">
        <f>IF(OR(H325="",H325="sif",H325="PM"),0,VLOOKUP(H325,[5]CU!$C$4:$H$255,6,FALSE))</f>
        <v>0</v>
      </c>
      <c r="O325" s="78"/>
      <c r="P325" s="78"/>
      <c r="Q325" s="78"/>
      <c r="R325" s="78"/>
      <c r="S325" s="93"/>
      <c r="T325" s="80" t="s">
        <v>56</v>
      </c>
      <c r="U325" s="87" t="s">
        <v>397</v>
      </c>
      <c r="V325" s="88" t="str">
        <f>IF(OR($H325="",$H325="sif",$H325="PM"),"",VLOOKUP($H325,[5]CU!$C$5:$J$255,8,FALSE))</f>
        <v/>
      </c>
      <c r="W325" s="87" t="s">
        <v>142</v>
      </c>
      <c r="X325" s="87" t="s">
        <v>441</v>
      </c>
      <c r="Y325" s="88" t="s">
        <v>32</v>
      </c>
      <c r="Z325" s="88" t="str">
        <f>A325 &amp; "-" &amp; VLOOKUP(A325,[4]PROGRAMMES!$E$1:$F$7,2,FALSE)</f>
        <v>1-Accès et équité à l'enseignement général</v>
      </c>
      <c r="AA325" s="88" t="str">
        <f>B325 &amp; "-" &amp; VLOOKUP(B325,[4]SOUSPROGRAMMES!$E$1:$F$44,2,FALSE)</f>
        <v>14- Accès et équité au collège</v>
      </c>
      <c r="AB325" s="88" t="str">
        <f>C325 &amp; "-" &amp; VLOOKUP(C325,[4]RESULTATS!$E$1:$F$176,2,FALSE)</f>
        <v xml:space="preserve">142- Tous les Collèges publics sont dotés en enseignants en nombre suffisant </v>
      </c>
      <c r="AC325" s="89" t="str">
        <f>D325 &amp; "-" &amp; VLOOKUP(D325,[4]STRATEGIES!$E$1:$F$504,2,FALSE)</f>
        <v>1424-Renforcement des mesures incitatives pour le maintien des enseignants dans les zones difficiles</v>
      </c>
      <c r="AD325" s="76" t="str">
        <f t="shared" si="74"/>
        <v>14244-Octroi des avantages aux enseignants évoluant dans les zones difficiles (pris en compte dans le salaire moyen des enseignants)</v>
      </c>
    </row>
    <row r="326" spans="1:30" s="90" customFormat="1" ht="45" hidden="1" customHeight="1" x14ac:dyDescent="0.8">
      <c r="A326" s="84">
        <v>1</v>
      </c>
      <c r="B326" s="85">
        <v>14</v>
      </c>
      <c r="C326" s="85">
        <v>142</v>
      </c>
      <c r="D326" s="85">
        <v>1424</v>
      </c>
      <c r="E326" s="84">
        <v>14245</v>
      </c>
      <c r="F326" s="75" t="s">
        <v>442</v>
      </c>
      <c r="G326" s="76" t="s">
        <v>159</v>
      </c>
      <c r="H326" s="86" t="s">
        <v>55</v>
      </c>
      <c r="I326" s="78">
        <v>0</v>
      </c>
      <c r="J326" s="78"/>
      <c r="K326" s="78">
        <v>1</v>
      </c>
      <c r="L326" s="78">
        <v>1</v>
      </c>
      <c r="M326" s="78">
        <f t="shared" ref="M326:M336" si="75">SUM(I326:L326)</f>
        <v>2</v>
      </c>
      <c r="N326" s="78">
        <f>IF(OR(H326="",H326="sif",H326="PM"),0,VLOOKUP(H326,[5]CU!$C$4:$H$255,6,FALSE))</f>
        <v>0</v>
      </c>
      <c r="O326" s="78"/>
      <c r="P326" s="78"/>
      <c r="Q326" s="78"/>
      <c r="R326" s="78"/>
      <c r="S326" s="93"/>
      <c r="T326" s="80" t="s">
        <v>56</v>
      </c>
      <c r="U326" s="87" t="s">
        <v>397</v>
      </c>
      <c r="V326" s="88" t="str">
        <f>IF(OR($H326="",$H326="sif",$H326="PM"),"",VLOOKUP($H326,[5]CU!$C$5:$J$255,8,FALSE))</f>
        <v/>
      </c>
      <c r="W326" s="87" t="s">
        <v>142</v>
      </c>
      <c r="X326" s="87" t="s">
        <v>142</v>
      </c>
      <c r="Y326" s="88" t="s">
        <v>32</v>
      </c>
      <c r="Z326" s="88" t="str">
        <f>A326 &amp; "-" &amp; VLOOKUP(A326,[4]PROGRAMMES!$E$1:$F$7,2,FALSE)</f>
        <v>1-Accès et équité à l'enseignement général</v>
      </c>
      <c r="AA326" s="88" t="str">
        <f>B326 &amp; "-" &amp; VLOOKUP(B326,[4]SOUSPROGRAMMES!$E$1:$F$44,2,FALSE)</f>
        <v>14- Accès et équité au collège</v>
      </c>
      <c r="AB326" s="88" t="str">
        <f>C326 &amp; "-" &amp; VLOOKUP(C326,[4]RESULTATS!$E$1:$F$176,2,FALSE)</f>
        <v xml:space="preserve">142- Tous les Collèges publics sont dotés en enseignants en nombre suffisant </v>
      </c>
      <c r="AC326" s="89" t="str">
        <f>D326 &amp; "-" &amp; VLOOKUP(D326,[4]STRATEGIES!$E$1:$F$504,2,FALSE)</f>
        <v>1424-Renforcement des mesures incitatives pour le maintien des enseignants dans les zones difficiles</v>
      </c>
      <c r="AD326" s="76" t="str">
        <f t="shared" si="74"/>
        <v>14245-Suivi de l'octroi des primes et autres avantages et réactualisation annuelles des listes (activité 12347)</v>
      </c>
    </row>
    <row r="327" spans="1:30" s="90" customFormat="1" ht="45" customHeight="1" x14ac:dyDescent="0.8">
      <c r="A327" s="84">
        <v>1</v>
      </c>
      <c r="B327" s="85">
        <v>14</v>
      </c>
      <c r="C327" s="85">
        <v>143</v>
      </c>
      <c r="D327" s="85">
        <v>143</v>
      </c>
      <c r="E327" s="84">
        <v>143</v>
      </c>
      <c r="F327" s="75" t="s">
        <v>443</v>
      </c>
      <c r="G327" s="86"/>
      <c r="H327" s="86"/>
      <c r="I327" s="78">
        <v>0</v>
      </c>
      <c r="J327" s="78"/>
      <c r="K327" s="78"/>
      <c r="L327" s="78"/>
      <c r="M327" s="78"/>
      <c r="N327" s="78"/>
      <c r="O327" s="78"/>
      <c r="P327" s="78"/>
      <c r="Q327" s="78"/>
      <c r="R327" s="78"/>
      <c r="S327" s="93"/>
      <c r="T327" s="87"/>
      <c r="U327" s="87"/>
      <c r="V327" s="88"/>
      <c r="W327" s="87"/>
      <c r="X327" s="87"/>
      <c r="Y327" s="88" t="s">
        <v>32</v>
      </c>
      <c r="Z327" s="88" t="str">
        <f>A327 &amp; "-" &amp; VLOOKUP(A327,[4]PROGRAMMES!$E$1:$F$7,2,FALSE)</f>
        <v>1-Accès et équité à l'enseignement général</v>
      </c>
      <c r="AA327" s="88" t="str">
        <f>B327 &amp; "-" &amp; VLOOKUP(B327,[4]SOUSPROGRAMMES!$E$1:$F$44,2,FALSE)</f>
        <v>14- Accès et équité au collège</v>
      </c>
      <c r="AB327" s="88" t="str">
        <f>C327 &amp; "-" &amp; VLOOKUP(C327,[4]RESULTATS!$E$1:$F$176,2,FALSE)</f>
        <v>143- Tous les Collèges offrent aux élèves des conditions favorables à leur maintien</v>
      </c>
      <c r="AC327" s="89" t="str">
        <f>D327 &amp; "-" &amp; VLOOKUP(D327,[4]STRATEGIES!$E$1:$F$504,2,FALSE)</f>
        <v>143- Tous les Collèges offrent aux élèves des conditions favorables à leur maintien</v>
      </c>
      <c r="AD327" s="76" t="str">
        <f t="shared" si="74"/>
        <v>143- Tous les Collèges offrent aux élèves des conditions favorables à leur maintien</v>
      </c>
    </row>
    <row r="328" spans="1:30" s="90" customFormat="1" ht="45" customHeight="1" x14ac:dyDescent="0.8">
      <c r="A328" s="84">
        <v>1</v>
      </c>
      <c r="B328" s="85">
        <v>14</v>
      </c>
      <c r="C328" s="85">
        <v>143</v>
      </c>
      <c r="D328" s="85">
        <v>1431</v>
      </c>
      <c r="E328" s="84">
        <v>1431</v>
      </c>
      <c r="F328" s="75" t="s">
        <v>444</v>
      </c>
      <c r="G328" s="86"/>
      <c r="H328" s="86"/>
      <c r="I328" s="78">
        <v>0</v>
      </c>
      <c r="J328" s="78"/>
      <c r="K328" s="78"/>
      <c r="L328" s="78"/>
      <c r="M328" s="78"/>
      <c r="N328" s="78"/>
      <c r="O328" s="78"/>
      <c r="P328" s="78"/>
      <c r="Q328" s="78"/>
      <c r="R328" s="78"/>
      <c r="S328" s="93"/>
      <c r="T328" s="87"/>
      <c r="U328" s="87"/>
      <c r="V328" s="88"/>
      <c r="W328" s="87"/>
      <c r="X328" s="87"/>
      <c r="Y328" s="88" t="s">
        <v>32</v>
      </c>
      <c r="Z328" s="88" t="str">
        <f>A328 &amp; "-" &amp; VLOOKUP(A328,[4]PROGRAMMES!$E$1:$F$7,2,FALSE)</f>
        <v>1-Accès et équité à l'enseignement général</v>
      </c>
      <c r="AA328" s="88" t="str">
        <f>B328 &amp; "-" &amp; VLOOKUP(B328,[4]SOUSPROGRAMMES!$E$1:$F$44,2,FALSE)</f>
        <v>14- Accès et équité au collège</v>
      </c>
      <c r="AB328" s="88" t="str">
        <f>C328 &amp; "-" &amp; VLOOKUP(C328,[4]RESULTATS!$E$1:$F$176,2,FALSE)</f>
        <v>143- Tous les Collèges offrent aux élèves des conditions favorables à leur maintien</v>
      </c>
      <c r="AC328" s="89" t="str">
        <f>D328 &amp; "-" &amp; VLOOKUP(D328,[4]STRATEGIES!$E$1:$F$504,2,FALSE)</f>
        <v>1431-Adaptation du calendrier scolaire des Collèges aux conditions locales et aux dates des examens nationaux</v>
      </c>
      <c r="AD328" s="76" t="str">
        <f t="shared" si="74"/>
        <v>1431-Adaptation du calendrier scolaire des Collèges aux conditions locales et aux dates des examens nationaux</v>
      </c>
    </row>
    <row r="329" spans="1:30" s="90" customFormat="1" ht="60" hidden="1" customHeight="1" x14ac:dyDescent="0.8">
      <c r="A329" s="84">
        <v>1</v>
      </c>
      <c r="B329" s="85">
        <v>14</v>
      </c>
      <c r="C329" s="85">
        <v>143</v>
      </c>
      <c r="D329" s="85">
        <v>1431</v>
      </c>
      <c r="E329" s="84">
        <v>14311</v>
      </c>
      <c r="F329" s="75" t="s">
        <v>445</v>
      </c>
      <c r="G329" s="76" t="s">
        <v>92</v>
      </c>
      <c r="H329" s="86" t="s">
        <v>55</v>
      </c>
      <c r="I329" s="78">
        <v>0</v>
      </c>
      <c r="J329" s="78">
        <v>1</v>
      </c>
      <c r="K329" s="78"/>
      <c r="L329" s="78"/>
      <c r="M329" s="78">
        <f t="shared" si="75"/>
        <v>1</v>
      </c>
      <c r="N329" s="78">
        <f>IF(OR(H329="",H329="sif",H329="PM"),0,VLOOKUP(H329,[5]CU!$C$4:$H$255,6,FALSE))</f>
        <v>0</v>
      </c>
      <c r="O329" s="78"/>
      <c r="P329" s="78"/>
      <c r="Q329" s="78"/>
      <c r="R329" s="78"/>
      <c r="S329" s="93"/>
      <c r="T329" s="80" t="s">
        <v>56</v>
      </c>
      <c r="U329" s="87" t="s">
        <v>397</v>
      </c>
      <c r="V329" s="88" t="str">
        <f>IF(OR($H329="",$H329="sif",$H329="PM"),"",VLOOKUP($H329,[5]CU!$C$5:$J$255,8,FALSE))</f>
        <v/>
      </c>
      <c r="W329" s="87" t="s">
        <v>398</v>
      </c>
      <c r="X329" s="87" t="s">
        <v>282</v>
      </c>
      <c r="Y329" s="88" t="s">
        <v>32</v>
      </c>
      <c r="Z329" s="88" t="str">
        <f>A329 &amp; "-" &amp; VLOOKUP(A329,[4]PROGRAMMES!$E$1:$F$7,2,FALSE)</f>
        <v>1-Accès et équité à l'enseignement général</v>
      </c>
      <c r="AA329" s="88" t="str">
        <f>B329 &amp; "-" &amp; VLOOKUP(B329,[4]SOUSPROGRAMMES!$E$1:$F$44,2,FALSE)</f>
        <v>14- Accès et équité au collège</v>
      </c>
      <c r="AB329" s="88" t="str">
        <f>C329 &amp; "-" &amp; VLOOKUP(C329,[4]RESULTATS!$E$1:$F$176,2,FALSE)</f>
        <v>143- Tous les Collèges offrent aux élèves des conditions favorables à leur maintien</v>
      </c>
      <c r="AC329" s="89" t="str">
        <f>D329 &amp; "-" &amp; VLOOKUP(D329,[4]STRATEGIES!$E$1:$F$504,2,FALSE)</f>
        <v>1431-Adaptation du calendrier scolaire des Collèges aux conditions locales et aux dates des examens nationaux</v>
      </c>
      <c r="AD329" s="76" t="str">
        <f t="shared" si="74"/>
        <v>14311-Concertation sur les critères d'adaptation du calendrier scolaire aux réalités locales et en tenant compte du calendrier des examens nationaux (activité organisée par les structures déconcentrées sur leur budget)</v>
      </c>
    </row>
    <row r="330" spans="1:30" s="90" customFormat="1" ht="45" hidden="1" customHeight="1" x14ac:dyDescent="0.8">
      <c r="A330" s="84">
        <v>1</v>
      </c>
      <c r="B330" s="85">
        <v>14</v>
      </c>
      <c r="C330" s="85">
        <v>143</v>
      </c>
      <c r="D330" s="85">
        <v>1431</v>
      </c>
      <c r="E330" s="84">
        <v>14312</v>
      </c>
      <c r="F330" s="75" t="s">
        <v>446</v>
      </c>
      <c r="G330" s="76" t="s">
        <v>447</v>
      </c>
      <c r="H330" s="86" t="s">
        <v>55</v>
      </c>
      <c r="I330" s="78">
        <v>0</v>
      </c>
      <c r="J330" s="78"/>
      <c r="K330" s="78">
        <v>1</v>
      </c>
      <c r="L330" s="78">
        <v>1</v>
      </c>
      <c r="M330" s="78">
        <f t="shared" si="75"/>
        <v>2</v>
      </c>
      <c r="N330" s="78">
        <f>IF(OR(H330="",H330="sif",H330="PM"),0,VLOOKUP(H330,[5]CU!$C$4:$H$255,6,FALSE))</f>
        <v>0</v>
      </c>
      <c r="O330" s="78"/>
      <c r="P330" s="78"/>
      <c r="Q330" s="78"/>
      <c r="R330" s="78"/>
      <c r="S330" s="93"/>
      <c r="T330" s="80" t="s">
        <v>56</v>
      </c>
      <c r="U330" s="87" t="s">
        <v>397</v>
      </c>
      <c r="V330" s="88" t="str">
        <f>IF(OR($H330="",$H330="sif",$H330="PM"),"",VLOOKUP($H330,[5]CU!$C$5:$J$255,8,FALSE))</f>
        <v/>
      </c>
      <c r="W330" s="87" t="s">
        <v>398</v>
      </c>
      <c r="X330" s="87" t="s">
        <v>179</v>
      </c>
      <c r="Y330" s="88" t="s">
        <v>32</v>
      </c>
      <c r="Z330" s="88" t="str">
        <f>A330 &amp; "-" &amp; VLOOKUP(A330,[4]PROGRAMMES!$E$1:$F$7,2,FALSE)</f>
        <v>1-Accès et équité à l'enseignement général</v>
      </c>
      <c r="AA330" s="88" t="str">
        <f>B330 &amp; "-" &amp; VLOOKUP(B330,[4]SOUSPROGRAMMES!$E$1:$F$44,2,FALSE)</f>
        <v>14- Accès et équité au collège</v>
      </c>
      <c r="AB330" s="88" t="str">
        <f>C330 &amp; "-" &amp; VLOOKUP(C330,[4]RESULTATS!$E$1:$F$176,2,FALSE)</f>
        <v>143- Tous les Collèges offrent aux élèves des conditions favorables à leur maintien</v>
      </c>
      <c r="AC330" s="89" t="str">
        <f>D330 &amp; "-" &amp; VLOOKUP(D330,[4]STRATEGIES!$E$1:$F$504,2,FALSE)</f>
        <v>1431-Adaptation du calendrier scolaire des Collèges aux conditions locales et aux dates des examens nationaux</v>
      </c>
      <c r="AD330" s="76" t="str">
        <f t="shared" si="74"/>
        <v>14312-Aménagement des calendriers scolaires en fonction des réalités de chaque établissement</v>
      </c>
    </row>
    <row r="331" spans="1:30" s="90" customFormat="1" ht="45" customHeight="1" x14ac:dyDescent="0.8">
      <c r="A331" s="84">
        <v>1</v>
      </c>
      <c r="B331" s="85">
        <v>14</v>
      </c>
      <c r="C331" s="85">
        <v>143</v>
      </c>
      <c r="D331" s="85">
        <v>1432</v>
      </c>
      <c r="E331" s="84">
        <v>1432</v>
      </c>
      <c r="F331" s="75" t="s">
        <v>448</v>
      </c>
      <c r="G331" s="86"/>
      <c r="H331" s="86"/>
      <c r="I331" s="78">
        <v>0</v>
      </c>
      <c r="J331" s="78"/>
      <c r="K331" s="78"/>
      <c r="L331" s="78"/>
      <c r="M331" s="78"/>
      <c r="N331" s="78"/>
      <c r="O331" s="78"/>
      <c r="P331" s="78"/>
      <c r="Q331" s="78"/>
      <c r="R331" s="78"/>
      <c r="S331" s="93"/>
      <c r="T331" s="87"/>
      <c r="U331" s="87"/>
      <c r="V331" s="88"/>
      <c r="W331" s="87"/>
      <c r="X331" s="87"/>
      <c r="Y331" s="88" t="s">
        <v>32</v>
      </c>
      <c r="Z331" s="88" t="str">
        <f>A331 &amp; "-" &amp; VLOOKUP(A331,[4]PROGRAMMES!$E$1:$F$7,2,FALSE)</f>
        <v>1-Accès et équité à l'enseignement général</v>
      </c>
      <c r="AA331" s="88" t="str">
        <f>B331 &amp; "-" &amp; VLOOKUP(B331,[4]SOUSPROGRAMMES!$E$1:$F$44,2,FALSE)</f>
        <v>14- Accès et équité au collège</v>
      </c>
      <c r="AB331" s="88" t="str">
        <f>C331 &amp; "-" &amp; VLOOKUP(C331,[4]RESULTATS!$E$1:$F$176,2,FALSE)</f>
        <v>143- Tous les Collèges offrent aux élèves des conditions favorables à leur maintien</v>
      </c>
      <c r="AC331" s="89" t="str">
        <f>D331 &amp; "-" &amp; VLOOKUP(D331,[4]STRATEGIES!$E$1:$F$504,2,FALSE)</f>
        <v>1432-Lutte contre les violences et les harcèlements subis par les filles sur le chemin de l’école et dans les écoles (pris en compte dans 1242)</v>
      </c>
      <c r="AD331" s="76" t="str">
        <f t="shared" si="74"/>
        <v>1432-Lutte contre les violences et les harcèlements subis par les filles sur le chemin de l’école et dans les écoles (pris en compte dans 1242)</v>
      </c>
    </row>
    <row r="332" spans="1:30" s="90" customFormat="1" ht="45" hidden="1" customHeight="1" x14ac:dyDescent="0.8">
      <c r="A332" s="84">
        <v>1</v>
      </c>
      <c r="B332" s="85">
        <v>14</v>
      </c>
      <c r="C332" s="85">
        <v>143</v>
      </c>
      <c r="D332" s="85">
        <v>1432</v>
      </c>
      <c r="E332" s="84">
        <v>14321</v>
      </c>
      <c r="F332" s="75" t="s">
        <v>449</v>
      </c>
      <c r="G332" s="76" t="s">
        <v>159</v>
      </c>
      <c r="H332" s="86" t="s">
        <v>55</v>
      </c>
      <c r="I332" s="78">
        <v>0</v>
      </c>
      <c r="J332" s="78">
        <v>1</v>
      </c>
      <c r="K332" s="78"/>
      <c r="L332" s="78"/>
      <c r="M332" s="78">
        <f t="shared" si="75"/>
        <v>1</v>
      </c>
      <c r="N332" s="78">
        <f>IF(OR(H332="",H332="sif",H332="PM"),0,VLOOKUP(H332,[5]CU!$C$4:$H$255,6,FALSE))</f>
        <v>0</v>
      </c>
      <c r="O332" s="78"/>
      <c r="P332" s="78"/>
      <c r="Q332" s="78"/>
      <c r="R332" s="78"/>
      <c r="S332" s="93"/>
      <c r="T332" s="80" t="s">
        <v>56</v>
      </c>
      <c r="U332" s="87" t="s">
        <v>397</v>
      </c>
      <c r="V332" s="88" t="str">
        <f>IF(OR($H332="",$H332="sif",$H332="PM"),"",VLOOKUP($H332,[5]CU!$C$5:$J$255,8,FALSE))</f>
        <v/>
      </c>
      <c r="W332" s="87" t="s">
        <v>309</v>
      </c>
      <c r="X332" s="87" t="s">
        <v>311</v>
      </c>
      <c r="Y332" s="88" t="s">
        <v>32</v>
      </c>
      <c r="Z332" s="88" t="str">
        <f>A332 &amp; "-" &amp; VLOOKUP(A332,[4]PROGRAMMES!$E$1:$F$7,2,FALSE)</f>
        <v>1-Accès et équité à l'enseignement général</v>
      </c>
      <c r="AA332" s="88" t="str">
        <f>B332 &amp; "-" &amp; VLOOKUP(B332,[4]SOUSPROGRAMMES!$E$1:$F$44,2,FALSE)</f>
        <v>14- Accès et équité au collège</v>
      </c>
      <c r="AB332" s="88" t="str">
        <f>C332 &amp; "-" &amp; VLOOKUP(C332,[4]RESULTATS!$E$1:$F$176,2,FALSE)</f>
        <v>143- Tous les Collèges offrent aux élèves des conditions favorables à leur maintien</v>
      </c>
      <c r="AC332" s="89" t="str">
        <f>D332 &amp; "-" &amp; VLOOKUP(D332,[4]STRATEGIES!$E$1:$F$504,2,FALSE)</f>
        <v>1432-Lutte contre les violences et les harcèlements subis par les filles sur le chemin de l’école et dans les écoles (pris en compte dans 1242)</v>
      </c>
      <c r="AD332" s="76" t="str">
        <f t="shared" si="74"/>
        <v>14321-Actualisation des textes règlementaires sur les violences en milieu scolaire (pris en compte dans act. 12421)</v>
      </c>
    </row>
    <row r="333" spans="1:30" s="71" customFormat="1" ht="45" hidden="1" customHeight="1" x14ac:dyDescent="0.8">
      <c r="A333" s="91">
        <v>1</v>
      </c>
      <c r="B333" s="75">
        <v>14</v>
      </c>
      <c r="C333" s="75">
        <v>143</v>
      </c>
      <c r="D333" s="75">
        <v>1432</v>
      </c>
      <c r="E333" s="91">
        <v>14322</v>
      </c>
      <c r="F333" s="75" t="s">
        <v>450</v>
      </c>
      <c r="G333" s="76" t="s">
        <v>451</v>
      </c>
      <c r="H333" s="76" t="s">
        <v>452</v>
      </c>
      <c r="I333" s="78">
        <v>0</v>
      </c>
      <c r="J333" s="77"/>
      <c r="K333" s="77">
        <f>1000*1</f>
        <v>1000</v>
      </c>
      <c r="L333" s="77"/>
      <c r="M333" s="77">
        <f t="shared" si="75"/>
        <v>1000</v>
      </c>
      <c r="N333" s="77">
        <f>IF(OR(H333="",H333="sif",H333="PM"),0,VLOOKUP(H333,[5]CU!$C$4:$H$255,6,FALSE))</f>
        <v>7.4999999999999997E-3</v>
      </c>
      <c r="O333" s="77">
        <f>$N333*I333</f>
        <v>0</v>
      </c>
      <c r="P333" s="77">
        <f>$N333*J333</f>
        <v>0</v>
      </c>
      <c r="Q333" s="77">
        <f t="shared" ref="Q333:Q335" si="76">$N333*K333</f>
        <v>7.5</v>
      </c>
      <c r="R333" s="77">
        <f>$N333*L333</f>
        <v>0</v>
      </c>
      <c r="S333" s="79">
        <f>SUM(O333:R333)</f>
        <v>7.5</v>
      </c>
      <c r="T333" s="92" t="s">
        <v>169</v>
      </c>
      <c r="U333" s="88" t="s">
        <v>397</v>
      </c>
      <c r="V333" s="88" t="str">
        <f>IF(OR($H333="",$H333="sif",$H333="PM"),"",VLOOKUP($H333,[5]CU!$C$5:$J$255,8,FALSE))</f>
        <v>3. Dépenses de fonctionnement</v>
      </c>
      <c r="W333" s="88" t="s">
        <v>309</v>
      </c>
      <c r="X333" s="88" t="s">
        <v>309</v>
      </c>
      <c r="Y333" s="88" t="s">
        <v>32</v>
      </c>
      <c r="Z333" s="88" t="str">
        <f>A333 &amp; "-" &amp; VLOOKUP(A333,[4]PROGRAMMES!$E$1:$F$7,2,FALSE)</f>
        <v>1-Accès et équité à l'enseignement général</v>
      </c>
      <c r="AA333" s="88" t="str">
        <f>B333 &amp; "-" &amp; VLOOKUP(B333,[4]SOUSPROGRAMMES!$E$1:$F$44,2,FALSE)</f>
        <v>14- Accès et équité au collège</v>
      </c>
      <c r="AB333" s="88" t="str">
        <f>C333 &amp; "-" &amp; VLOOKUP(C333,[4]RESULTATS!$E$1:$F$176,2,FALSE)</f>
        <v>143- Tous les Collèges offrent aux élèves des conditions favorables à leur maintien</v>
      </c>
      <c r="AC333" s="89" t="str">
        <f>D333 &amp; "-" &amp; VLOOKUP(D333,[4]STRATEGIES!$E$1:$F$504,2,FALSE)</f>
        <v>1432-Lutte contre les violences et les harcèlements subis par les filles sur le chemin de l’école et dans les écoles (pris en compte dans 1242)</v>
      </c>
      <c r="AD333" s="76" t="str">
        <f t="shared" si="74"/>
        <v xml:space="preserve">14322-Impression des textes règlementaires sur les violences en milieu scolaire </v>
      </c>
    </row>
    <row r="334" spans="1:30" s="71" customFormat="1" ht="45" hidden="1" customHeight="1" x14ac:dyDescent="0.8">
      <c r="A334" s="91">
        <v>1</v>
      </c>
      <c r="B334" s="75">
        <v>14</v>
      </c>
      <c r="C334" s="75">
        <v>143</v>
      </c>
      <c r="D334" s="75">
        <v>1432</v>
      </c>
      <c r="E334" s="91">
        <v>14323</v>
      </c>
      <c r="F334" s="75" t="s">
        <v>453</v>
      </c>
      <c r="G334" s="76" t="s">
        <v>159</v>
      </c>
      <c r="H334" s="76" t="s">
        <v>55</v>
      </c>
      <c r="I334" s="78">
        <v>0</v>
      </c>
      <c r="J334" s="77">
        <v>1</v>
      </c>
      <c r="K334" s="77"/>
      <c r="L334" s="77"/>
      <c r="M334" s="77">
        <f t="shared" si="75"/>
        <v>1</v>
      </c>
      <c r="N334" s="77">
        <f>IF(OR(H334="",H334="sif",H334="PM"),0,VLOOKUP(H334,[5]CU!$C$4:$H$255,6,FALSE))</f>
        <v>0</v>
      </c>
      <c r="O334" s="77"/>
      <c r="P334" s="77"/>
      <c r="Q334" s="77">
        <f t="shared" si="76"/>
        <v>0</v>
      </c>
      <c r="R334" s="77"/>
      <c r="S334" s="79"/>
      <c r="T334" s="92" t="s">
        <v>169</v>
      </c>
      <c r="U334" s="88" t="s">
        <v>397</v>
      </c>
      <c r="V334" s="88" t="str">
        <f>IF(OR($H334="",$H334="sif",$H334="PM"),"",VLOOKUP($H334,[5]CU!$C$5:$J$255,8,FALSE))</f>
        <v/>
      </c>
      <c r="W334" s="88" t="s">
        <v>309</v>
      </c>
      <c r="X334" s="88" t="s">
        <v>316</v>
      </c>
      <c r="Y334" s="88" t="s">
        <v>32</v>
      </c>
      <c r="Z334" s="88" t="str">
        <f>A334 &amp; "-" &amp; VLOOKUP(A334,[4]PROGRAMMES!$E$1:$F$7,2,FALSE)</f>
        <v>1-Accès et équité à l'enseignement général</v>
      </c>
      <c r="AA334" s="88" t="str">
        <f>B334 &amp; "-" &amp; VLOOKUP(B334,[4]SOUSPROGRAMMES!$E$1:$F$44,2,FALSE)</f>
        <v>14- Accès et équité au collège</v>
      </c>
      <c r="AB334" s="88" t="str">
        <f>C334 &amp; "-" &amp; VLOOKUP(C334,[4]RESULTATS!$E$1:$F$176,2,FALSE)</f>
        <v>143- Tous les Collèges offrent aux élèves des conditions favorables à leur maintien</v>
      </c>
      <c r="AC334" s="89" t="str">
        <f>D334 &amp; "-" &amp; VLOOKUP(D334,[4]STRATEGIES!$E$1:$F$504,2,FALSE)</f>
        <v>1432-Lutte contre les violences et les harcèlements subis par les filles sur le chemin de l’école et dans les écoles (pris en compte dans 1242)</v>
      </c>
      <c r="AD334" s="76" t="str">
        <f t="shared" si="74"/>
        <v>14323-Vulgarisation des textes règlementaires sur les violences en milieu scolaire (compris dans activité 12423)</v>
      </c>
    </row>
    <row r="335" spans="1:30" s="71" customFormat="1" ht="45" hidden="1" customHeight="1" x14ac:dyDescent="0.8">
      <c r="A335" s="91">
        <v>1</v>
      </c>
      <c r="B335" s="75">
        <v>14</v>
      </c>
      <c r="C335" s="75">
        <v>143</v>
      </c>
      <c r="D335" s="75">
        <v>1432</v>
      </c>
      <c r="E335" s="91">
        <v>14324</v>
      </c>
      <c r="F335" s="75" t="s">
        <v>317</v>
      </c>
      <c r="G335" s="76" t="s">
        <v>454</v>
      </c>
      <c r="H335" s="76" t="s">
        <v>76</v>
      </c>
      <c r="I335" s="78">
        <v>0</v>
      </c>
      <c r="J335" s="77">
        <v>1</v>
      </c>
      <c r="K335" s="77">
        <v>3</v>
      </c>
      <c r="L335" s="77">
        <v>2</v>
      </c>
      <c r="M335" s="77">
        <f t="shared" si="75"/>
        <v>6</v>
      </c>
      <c r="N335" s="77">
        <f>IF(OR(H335="",H335="sif",H335="PM"),0,VLOOKUP(H335,[5]CU!$C$4:$H$255,6,FALSE))</f>
        <v>45.936799999999998</v>
      </c>
      <c r="O335" s="77">
        <f>$N335*I335</f>
        <v>0</v>
      </c>
      <c r="P335" s="77">
        <f>$N335*J335</f>
        <v>45.936799999999998</v>
      </c>
      <c r="Q335" s="77">
        <f t="shared" si="76"/>
        <v>137.81039999999999</v>
      </c>
      <c r="R335" s="77">
        <f>$N335*L335</f>
        <v>91.873599999999996</v>
      </c>
      <c r="S335" s="79">
        <f>SUM(O335:R335)</f>
        <v>275.62079999999997</v>
      </c>
      <c r="T335" s="92" t="s">
        <v>169</v>
      </c>
      <c r="U335" s="88" t="s">
        <v>397</v>
      </c>
      <c r="V335" s="88" t="str">
        <f>IF(OR($H335="",$H335="sif",$H335="PM"),"",VLOOKUP($H335,[5]CU!$C$5:$J$255,8,FALSE))</f>
        <v>3. Dépenses de fonctionnement</v>
      </c>
      <c r="W335" s="88" t="s">
        <v>309</v>
      </c>
      <c r="X335" s="88" t="s">
        <v>77</v>
      </c>
      <c r="Y335" s="88" t="s">
        <v>32</v>
      </c>
      <c r="Z335" s="88" t="str">
        <f>A335 &amp; "-" &amp; VLOOKUP(A335,[4]PROGRAMMES!$E$1:$F$7,2,FALSE)</f>
        <v>1-Accès et équité à l'enseignement général</v>
      </c>
      <c r="AA335" s="88" t="str">
        <f>B335 &amp; "-" &amp; VLOOKUP(B335,[4]SOUSPROGRAMMES!$E$1:$F$44,2,FALSE)</f>
        <v>14- Accès et équité au collège</v>
      </c>
      <c r="AB335" s="88" t="str">
        <f>C335 &amp; "-" &amp; VLOOKUP(C335,[4]RESULTATS!$E$1:$F$176,2,FALSE)</f>
        <v>143- Tous les Collèges offrent aux élèves des conditions favorables à leur maintien</v>
      </c>
      <c r="AC335" s="89" t="str">
        <f>D335 &amp; "-" &amp; VLOOKUP(D335,[4]STRATEGIES!$E$1:$F$504,2,FALSE)</f>
        <v>1432-Lutte contre les violences et les harcèlements subis par les filles sur le chemin de l’école et dans les écoles (pris en compte dans 1242)</v>
      </c>
      <c r="AD335" s="76" t="str">
        <f t="shared" si="74"/>
        <v xml:space="preserve">14324-Sensibilisation des élèves, enseignants et parents d'élèves sur les méfaits des différentes formes de violences </v>
      </c>
    </row>
    <row r="336" spans="1:30" s="90" customFormat="1" ht="45" hidden="1" customHeight="1" x14ac:dyDescent="0.8">
      <c r="A336" s="84">
        <v>1</v>
      </c>
      <c r="B336" s="85">
        <v>14</v>
      </c>
      <c r="C336" s="85">
        <v>143</v>
      </c>
      <c r="D336" s="85">
        <v>1432</v>
      </c>
      <c r="E336" s="84">
        <v>14325</v>
      </c>
      <c r="F336" s="75" t="s">
        <v>455</v>
      </c>
      <c r="G336" s="76" t="s">
        <v>159</v>
      </c>
      <c r="H336" s="86" t="s">
        <v>55</v>
      </c>
      <c r="I336" s="78">
        <v>0</v>
      </c>
      <c r="J336" s="78"/>
      <c r="K336" s="78">
        <v>1</v>
      </c>
      <c r="L336" s="78">
        <v>1</v>
      </c>
      <c r="M336" s="78">
        <f t="shared" si="75"/>
        <v>2</v>
      </c>
      <c r="N336" s="78">
        <f>IF(OR(H336="",H336="sif",H336="PM"),0,VLOOKUP(H336,[5]CU!$C$4:$H$255,6,FALSE))</f>
        <v>0</v>
      </c>
      <c r="O336" s="78"/>
      <c r="P336" s="78"/>
      <c r="Q336" s="78"/>
      <c r="R336" s="78"/>
      <c r="S336" s="93"/>
      <c r="T336" s="80" t="s">
        <v>56</v>
      </c>
      <c r="U336" s="87" t="s">
        <v>397</v>
      </c>
      <c r="V336" s="88" t="str">
        <f>IF(OR($H336="",$H336="sif",$H336="PM"),"",VLOOKUP($H336,[5]CU!$C$5:$J$255,8,FALSE))</f>
        <v/>
      </c>
      <c r="W336" s="87" t="s">
        <v>309</v>
      </c>
      <c r="X336" s="87" t="s">
        <v>309</v>
      </c>
      <c r="Y336" s="88" t="s">
        <v>32</v>
      </c>
      <c r="Z336" s="88" t="str">
        <f>A336 &amp; "-" &amp; VLOOKUP(A336,[4]PROGRAMMES!$E$1:$F$7,2,FALSE)</f>
        <v>1-Accès et équité à l'enseignement général</v>
      </c>
      <c r="AA336" s="88" t="str">
        <f>B336 &amp; "-" &amp; VLOOKUP(B336,[4]SOUSPROGRAMMES!$E$1:$F$44,2,FALSE)</f>
        <v>14- Accès et équité au collège</v>
      </c>
      <c r="AB336" s="88" t="str">
        <f>C336 &amp; "-" &amp; VLOOKUP(C336,[4]RESULTATS!$E$1:$F$176,2,FALSE)</f>
        <v>143- Tous les Collèges offrent aux élèves des conditions favorables à leur maintien</v>
      </c>
      <c r="AC336" s="89" t="str">
        <f>D336 &amp; "-" &amp; VLOOKUP(D336,[4]STRATEGIES!$E$1:$F$504,2,FALSE)</f>
        <v>1432-Lutte contre les violences et les harcèlements subis par les filles sur le chemin de l’école et dans les écoles (pris en compte dans 1242)</v>
      </c>
      <c r="AD336" s="76" t="str">
        <f t="shared" si="74"/>
        <v>14325-Mise en place de structures de veille sur les violences en milieu scolaires (12425)</v>
      </c>
    </row>
    <row r="337" spans="1:30" s="90" customFormat="1" ht="45" hidden="1" customHeight="1" x14ac:dyDescent="0.8">
      <c r="A337" s="84">
        <v>1</v>
      </c>
      <c r="B337" s="85">
        <v>14</v>
      </c>
      <c r="C337" s="85">
        <v>143</v>
      </c>
      <c r="D337" s="85">
        <v>1432</v>
      </c>
      <c r="E337" s="84">
        <v>14326</v>
      </c>
      <c r="F337" s="75" t="s">
        <v>319</v>
      </c>
      <c r="G337" s="76" t="s">
        <v>159</v>
      </c>
      <c r="H337" s="86" t="s">
        <v>55</v>
      </c>
      <c r="I337" s="78">
        <v>0</v>
      </c>
      <c r="J337" s="78"/>
      <c r="K337" s="78"/>
      <c r="L337" s="78"/>
      <c r="M337" s="78"/>
      <c r="N337" s="78">
        <f>IF(OR(H337="",H337="sif",H337="PM"),0,VLOOKUP(H337,[5]CU!$C$4:$H$255,6,FALSE))</f>
        <v>0</v>
      </c>
      <c r="O337" s="78"/>
      <c r="P337" s="78"/>
      <c r="Q337" s="78"/>
      <c r="R337" s="78"/>
      <c r="S337" s="93"/>
      <c r="T337" s="80" t="s">
        <v>56</v>
      </c>
      <c r="U337" s="87" t="s">
        <v>397</v>
      </c>
      <c r="V337" s="88" t="str">
        <f>IF(OR($H337="",$H337="sif",$H337="PM"),"",VLOOKUP($H337,[5]CU!$C$5:$J$255,8,FALSE))</f>
        <v/>
      </c>
      <c r="W337" s="87" t="s">
        <v>309</v>
      </c>
      <c r="X337" s="87" t="s">
        <v>282</v>
      </c>
      <c r="Y337" s="88" t="s">
        <v>32</v>
      </c>
      <c r="Z337" s="88" t="str">
        <f>A337 &amp; "-" &amp; VLOOKUP(A337,[4]PROGRAMMES!$E$1:$F$7,2,FALSE)</f>
        <v>1-Accès et équité à l'enseignement général</v>
      </c>
      <c r="AA337" s="88" t="str">
        <f>B337 &amp; "-" &amp; VLOOKUP(B337,[4]SOUSPROGRAMMES!$E$1:$F$44,2,FALSE)</f>
        <v>14- Accès et équité au collège</v>
      </c>
      <c r="AB337" s="88" t="str">
        <f>C337 &amp; "-" &amp; VLOOKUP(C337,[4]RESULTATS!$E$1:$F$176,2,FALSE)</f>
        <v>143- Tous les Collèges offrent aux élèves des conditions favorables à leur maintien</v>
      </c>
      <c r="AC337" s="89" t="str">
        <f>D337 &amp; "-" &amp; VLOOKUP(D337,[4]STRATEGIES!$E$1:$F$504,2,FALSE)</f>
        <v>1432-Lutte contre les violences et les harcèlements subis par les filles sur le chemin de l’école et dans les écoles (pris en compte dans 1242)</v>
      </c>
      <c r="AD337" s="76" t="str">
        <f t="shared" si="74"/>
        <v>14326-Renforcement des conseils de discipline au sein des établissements scolaires en matière de violences</v>
      </c>
    </row>
    <row r="338" spans="1:30" s="90" customFormat="1" ht="45" hidden="1" customHeight="1" x14ac:dyDescent="0.8">
      <c r="A338" s="84">
        <v>1</v>
      </c>
      <c r="B338" s="85">
        <v>14</v>
      </c>
      <c r="C338" s="85">
        <v>143</v>
      </c>
      <c r="D338" s="85">
        <v>1432</v>
      </c>
      <c r="E338" s="84">
        <v>14327</v>
      </c>
      <c r="F338" s="75" t="s">
        <v>456</v>
      </c>
      <c r="G338" s="76" t="s">
        <v>159</v>
      </c>
      <c r="H338" s="86" t="s">
        <v>55</v>
      </c>
      <c r="I338" s="78">
        <v>0</v>
      </c>
      <c r="J338" s="78">
        <v>1</v>
      </c>
      <c r="K338" s="78">
        <v>1</v>
      </c>
      <c r="L338" s="78">
        <v>1</v>
      </c>
      <c r="M338" s="78">
        <f t="shared" ref="M338:M352" si="77">SUM(I338:L338)</f>
        <v>3</v>
      </c>
      <c r="N338" s="78">
        <f>IF(OR(H338="",H338="sif",H338="PM"),0,VLOOKUP(H338,[5]CU!$C$4:$H$255,6,FALSE))</f>
        <v>0</v>
      </c>
      <c r="O338" s="78"/>
      <c r="P338" s="78"/>
      <c r="Q338" s="78"/>
      <c r="R338" s="78"/>
      <c r="S338" s="93"/>
      <c r="T338" s="80" t="s">
        <v>56</v>
      </c>
      <c r="U338" s="87" t="s">
        <v>397</v>
      </c>
      <c r="V338" s="88" t="str">
        <f>IF(OR($H338="",$H338="sif",$H338="PM"),"",VLOOKUP($H338,[5]CU!$C$5:$J$255,8,FALSE))</f>
        <v/>
      </c>
      <c r="W338" s="87" t="s">
        <v>322</v>
      </c>
      <c r="X338" s="87" t="s">
        <v>322</v>
      </c>
      <c r="Y338" s="88" t="s">
        <v>32</v>
      </c>
      <c r="Z338" s="88" t="str">
        <f>A338 &amp; "-" &amp; VLOOKUP(A338,[4]PROGRAMMES!$E$1:$F$7,2,FALSE)</f>
        <v>1-Accès et équité à l'enseignement général</v>
      </c>
      <c r="AA338" s="88" t="str">
        <f>B338 &amp; "-" &amp; VLOOKUP(B338,[4]SOUSPROGRAMMES!$E$1:$F$44,2,FALSE)</f>
        <v>14- Accès et équité au collège</v>
      </c>
      <c r="AB338" s="88" t="str">
        <f>C338 &amp; "-" &amp; VLOOKUP(C338,[4]RESULTATS!$E$1:$F$176,2,FALSE)</f>
        <v>143- Tous les Collèges offrent aux élèves des conditions favorables à leur maintien</v>
      </c>
      <c r="AC338" s="89" t="str">
        <f>D338 &amp; "-" &amp; VLOOKUP(D338,[4]STRATEGIES!$E$1:$F$504,2,FALSE)</f>
        <v>1432-Lutte contre les violences et les harcèlements subis par les filles sur le chemin de l’école et dans les écoles (pris en compte dans 1242)</v>
      </c>
      <c r="AD338" s="76" t="str">
        <f t="shared" si="74"/>
        <v>14327-Appui à la stratégie de tutorat en faveur des élèves vulnérables, notamment les filles</v>
      </c>
    </row>
    <row r="339" spans="1:30" s="71" customFormat="1" ht="45" hidden="1" customHeight="1" x14ac:dyDescent="0.8">
      <c r="A339" s="91">
        <v>1</v>
      </c>
      <c r="B339" s="75">
        <v>14</v>
      </c>
      <c r="C339" s="75">
        <v>143</v>
      </c>
      <c r="D339" s="75">
        <v>1432</v>
      </c>
      <c r="E339" s="91">
        <v>14328</v>
      </c>
      <c r="F339" s="75" t="s">
        <v>323</v>
      </c>
      <c r="G339" s="76" t="s">
        <v>457</v>
      </c>
      <c r="H339" s="76" t="s">
        <v>458</v>
      </c>
      <c r="I339" s="78">
        <v>0</v>
      </c>
      <c r="J339" s="77">
        <v>0</v>
      </c>
      <c r="K339" s="77">
        <f>38*50%*2</f>
        <v>38</v>
      </c>
      <c r="L339" s="77">
        <f>38*50.01%</f>
        <v>19.003799999999998</v>
      </c>
      <c r="M339" s="77">
        <f t="shared" si="77"/>
        <v>57.003799999999998</v>
      </c>
      <c r="N339" s="77">
        <f>IF(OR(H339="",H339="sif",H339="PM"),0,VLOOKUP(H339,[5]CU!$C$4:$H$255,6,FALSE))</f>
        <v>100</v>
      </c>
      <c r="O339" s="77">
        <f t="shared" ref="O339:R341" si="78">$N339*I339</f>
        <v>0</v>
      </c>
      <c r="P339" s="77">
        <f t="shared" si="78"/>
        <v>0</v>
      </c>
      <c r="Q339" s="77">
        <f>$N339*K339</f>
        <v>3800</v>
      </c>
      <c r="R339" s="77">
        <f t="shared" si="78"/>
        <v>1900.3799999999999</v>
      </c>
      <c r="S339" s="79">
        <f>SUM(O339:R339)</f>
        <v>5700.38</v>
      </c>
      <c r="T339" s="92" t="s">
        <v>169</v>
      </c>
      <c r="U339" s="88" t="s">
        <v>397</v>
      </c>
      <c r="V339" s="88" t="str">
        <f>IF(OR($H339="",$H339="sif",$H339="PM"),"",VLOOKUP($H339,[5]CU!$C$5:$J$255,8,FALSE))</f>
        <v>4. Transferts et subventions</v>
      </c>
      <c r="W339" s="88" t="s">
        <v>309</v>
      </c>
      <c r="X339" s="88" t="s">
        <v>322</v>
      </c>
      <c r="Y339" s="88" t="s">
        <v>32</v>
      </c>
      <c r="Z339" s="88" t="str">
        <f>A339 &amp; "-" &amp; VLOOKUP(A339,[4]PROGRAMMES!$E$1:$F$7,2,FALSE)</f>
        <v>1-Accès et équité à l'enseignement général</v>
      </c>
      <c r="AA339" s="88" t="str">
        <f>B339 &amp; "-" &amp; VLOOKUP(B339,[4]SOUSPROGRAMMES!$E$1:$F$44,2,FALSE)</f>
        <v>14- Accès et équité au collège</v>
      </c>
      <c r="AB339" s="88" t="str">
        <f>C339 &amp; "-" &amp; VLOOKUP(C339,[4]RESULTATS!$E$1:$F$176,2,FALSE)</f>
        <v>143- Tous les Collèges offrent aux élèves des conditions favorables à leur maintien</v>
      </c>
      <c r="AC339" s="89" t="str">
        <f>D339 &amp; "-" &amp; VLOOKUP(D339,[4]STRATEGIES!$E$1:$F$504,2,FALSE)</f>
        <v>1432-Lutte contre les violences et les harcèlements subis par les filles sur le chemin de l’école et dans les écoles (pris en compte dans 1242)</v>
      </c>
      <c r="AD339" s="76" t="str">
        <f t="shared" si="74"/>
        <v>14328-Prise en charge psychosociale des filles victimes de violences</v>
      </c>
    </row>
    <row r="340" spans="1:30" s="90" customFormat="1" ht="45" customHeight="1" x14ac:dyDescent="0.8">
      <c r="A340" s="84">
        <v>1</v>
      </c>
      <c r="B340" s="85">
        <v>14</v>
      </c>
      <c r="C340" s="85">
        <v>143</v>
      </c>
      <c r="D340" s="85">
        <v>1432</v>
      </c>
      <c r="E340" s="84">
        <v>14328</v>
      </c>
      <c r="F340" s="75" t="s">
        <v>323</v>
      </c>
      <c r="G340" s="76" t="s">
        <v>457</v>
      </c>
      <c r="H340" s="86" t="s">
        <v>458</v>
      </c>
      <c r="I340" s="78">
        <v>0</v>
      </c>
      <c r="J340" s="78">
        <f>(38)*31.05%</f>
        <v>11.798999999999999</v>
      </c>
      <c r="K340" s="78">
        <f>38*31.05%</f>
        <v>11.798999999999999</v>
      </c>
      <c r="L340" s="78">
        <f>38*31.05%</f>
        <v>11.798999999999999</v>
      </c>
      <c r="M340" s="78">
        <f>SUM(I340:L340)</f>
        <v>35.396999999999998</v>
      </c>
      <c r="N340" s="78">
        <f>IF(OR(H340="",H340="sif",H340="PM"),0,VLOOKUP(H340,[5]CU!$C$4:$H$255,6,FALSE))</f>
        <v>100</v>
      </c>
      <c r="O340" s="78">
        <f t="shared" si="78"/>
        <v>0</v>
      </c>
      <c r="P340" s="78">
        <f t="shared" si="78"/>
        <v>1179.8999999999999</v>
      </c>
      <c r="Q340" s="78">
        <f t="shared" si="78"/>
        <v>1179.8999999999999</v>
      </c>
      <c r="R340" s="78">
        <f t="shared" si="78"/>
        <v>1179.8999999999999</v>
      </c>
      <c r="S340" s="93">
        <f>SUM(O340:R340)</f>
        <v>3539.7</v>
      </c>
      <c r="T340" s="80" t="s">
        <v>118</v>
      </c>
      <c r="U340" s="87" t="s">
        <v>397</v>
      </c>
      <c r="V340" s="88" t="str">
        <f>IF(OR($H340="",$H340="sif",$H340="PM"),"",VLOOKUP($H340,[5]CU!$C$5:$J$255,8,FALSE))</f>
        <v>4. Transferts et subventions</v>
      </c>
      <c r="W340" s="87" t="s">
        <v>309</v>
      </c>
      <c r="X340" s="87" t="s">
        <v>322</v>
      </c>
      <c r="Y340" s="88" t="s">
        <v>32</v>
      </c>
      <c r="Z340" s="88" t="str">
        <f>A340 &amp; "-" &amp; VLOOKUP(A340,[4]PROGRAMMES!$E$1:$F$7,2,FALSE)</f>
        <v>1-Accès et équité à l'enseignement général</v>
      </c>
      <c r="AA340" s="88" t="str">
        <f>B340 &amp; "-" &amp; VLOOKUP(B340,[4]SOUSPROGRAMMES!$E$1:$F$44,2,FALSE)</f>
        <v>14- Accès et équité au collège</v>
      </c>
      <c r="AB340" s="88" t="str">
        <f>C340 &amp; "-" &amp; VLOOKUP(C340,[4]RESULTATS!$E$1:$F$176,2,FALSE)</f>
        <v>143- Tous les Collèges offrent aux élèves des conditions favorables à leur maintien</v>
      </c>
      <c r="AC340" s="89" t="str">
        <f>D340 &amp; "-" &amp; VLOOKUP(D340,[4]STRATEGIES!$E$1:$F$504,2,FALSE)</f>
        <v>1432-Lutte contre les violences et les harcèlements subis par les filles sur le chemin de l’école et dans les écoles (pris en compte dans 1242)</v>
      </c>
      <c r="AD340" s="76" t="str">
        <f t="shared" si="74"/>
        <v>14328-Prise en charge psychosociale des filles victimes de violences</v>
      </c>
    </row>
    <row r="341" spans="1:30" s="90" customFormat="1" ht="45" customHeight="1" x14ac:dyDescent="0.8">
      <c r="A341" s="84">
        <v>1</v>
      </c>
      <c r="B341" s="85">
        <v>14</v>
      </c>
      <c r="C341" s="85">
        <v>143</v>
      </c>
      <c r="D341" s="85">
        <v>1432</v>
      </c>
      <c r="E341" s="84">
        <v>14328</v>
      </c>
      <c r="F341" s="75" t="s">
        <v>323</v>
      </c>
      <c r="G341" s="76" t="s">
        <v>457</v>
      </c>
      <c r="H341" s="86" t="s">
        <v>458</v>
      </c>
      <c r="I341" s="78"/>
      <c r="J341" s="93">
        <f>(38)*18.94%</f>
        <v>7.1972000000000005</v>
      </c>
      <c r="K341" s="93">
        <f>38*18.94%</f>
        <v>7.1972000000000005</v>
      </c>
      <c r="L341" s="93">
        <f>38*18.94%</f>
        <v>7.1972000000000005</v>
      </c>
      <c r="M341" s="93">
        <f t="shared" si="77"/>
        <v>21.5916</v>
      </c>
      <c r="N341" s="93">
        <f>IF(OR(H341="",H341="sif",H341="PM"),0,VLOOKUP(H341,[5]CU!$C$4:$H$255,6,FALSE))</f>
        <v>100</v>
      </c>
      <c r="O341" s="93">
        <f t="shared" si="78"/>
        <v>0</v>
      </c>
      <c r="P341" s="93">
        <f t="shared" si="78"/>
        <v>719.72</v>
      </c>
      <c r="Q341" s="93">
        <f t="shared" si="78"/>
        <v>719.72</v>
      </c>
      <c r="R341" s="93">
        <f t="shared" si="78"/>
        <v>719.72</v>
      </c>
      <c r="S341" s="93">
        <f>SUM(O341:R341)</f>
        <v>2159.16</v>
      </c>
      <c r="T341" s="80" t="s">
        <v>67</v>
      </c>
      <c r="U341" s="87" t="s">
        <v>397</v>
      </c>
      <c r="V341" s="88" t="str">
        <f>IF(OR($H341="",$H341="sif",$H341="PM"),"",VLOOKUP($H341,[5]CU!$C$5:$J$255,8,FALSE))</f>
        <v>4. Transferts et subventions</v>
      </c>
      <c r="W341" s="87" t="s">
        <v>309</v>
      </c>
      <c r="X341" s="87" t="s">
        <v>322</v>
      </c>
      <c r="Y341" s="88" t="s">
        <v>32</v>
      </c>
      <c r="Z341" s="88" t="str">
        <f>A341 &amp; "-" &amp; VLOOKUP(A341,[4]PROGRAMMES!$E$1:$F$7,2,FALSE)</f>
        <v>1-Accès et équité à l'enseignement général</v>
      </c>
      <c r="AA341" s="88" t="str">
        <f>B341 &amp; "-" &amp; VLOOKUP(B341,[4]SOUSPROGRAMMES!$E$1:$F$44,2,FALSE)</f>
        <v>14- Accès et équité au collège</v>
      </c>
      <c r="AB341" s="88" t="str">
        <f>C341 &amp; "-" &amp; VLOOKUP(C341,[4]RESULTATS!$E$1:$F$176,2,FALSE)</f>
        <v>143- Tous les Collèges offrent aux élèves des conditions favorables à leur maintien</v>
      </c>
      <c r="AC341" s="89" t="str">
        <f>D341 &amp; "-" &amp; VLOOKUP(D341,[4]STRATEGIES!$E$1:$F$504,2,FALSE)</f>
        <v>1432-Lutte contre les violences et les harcèlements subis par les filles sur le chemin de l’école et dans les écoles (pris en compte dans 1242)</v>
      </c>
      <c r="AD341" s="76" t="str">
        <f t="shared" si="74"/>
        <v>14328-Prise en charge psychosociale des filles victimes de violences</v>
      </c>
    </row>
    <row r="342" spans="1:30" s="71" customFormat="1" ht="45" hidden="1" customHeight="1" x14ac:dyDescent="0.8">
      <c r="A342" s="91">
        <v>1</v>
      </c>
      <c r="B342" s="75">
        <v>14</v>
      </c>
      <c r="C342" s="75">
        <v>143</v>
      </c>
      <c r="D342" s="75">
        <v>1432</v>
      </c>
      <c r="E342" s="91">
        <v>14329</v>
      </c>
      <c r="F342" s="75" t="s">
        <v>459</v>
      </c>
      <c r="G342" s="76" t="s">
        <v>159</v>
      </c>
      <c r="H342" s="76" t="s">
        <v>55</v>
      </c>
      <c r="I342" s="78">
        <v>0</v>
      </c>
      <c r="J342" s="77">
        <v>1</v>
      </c>
      <c r="K342" s="77">
        <v>1</v>
      </c>
      <c r="L342" s="77">
        <v>1</v>
      </c>
      <c r="M342" s="77">
        <f t="shared" si="77"/>
        <v>3</v>
      </c>
      <c r="N342" s="77">
        <f>IF(OR(H342="",H342="sif",H342="PM"),0,VLOOKUP(H342,[5]CU!$C$4:$H$255,6,FALSE))</f>
        <v>0</v>
      </c>
      <c r="O342" s="77"/>
      <c r="P342" s="77"/>
      <c r="Q342" s="77">
        <f>$N342*K342</f>
        <v>0</v>
      </c>
      <c r="R342" s="77"/>
      <c r="S342" s="79"/>
      <c r="T342" s="92" t="s">
        <v>169</v>
      </c>
      <c r="U342" s="88" t="s">
        <v>397</v>
      </c>
      <c r="V342" s="88" t="str">
        <f>IF(OR($H342="",$H342="sif",$H342="PM"),"",VLOOKUP($H342,[5]CU!$C$5:$J$255,8,FALSE))</f>
        <v/>
      </c>
      <c r="W342" s="88" t="s">
        <v>309</v>
      </c>
      <c r="X342" s="88" t="s">
        <v>322</v>
      </c>
      <c r="Y342" s="88" t="s">
        <v>32</v>
      </c>
      <c r="Z342" s="88" t="str">
        <f>A342 &amp; "-" &amp; VLOOKUP(A342,[4]PROGRAMMES!$E$1:$F$7,2,FALSE)</f>
        <v>1-Accès et équité à l'enseignement général</v>
      </c>
      <c r="AA342" s="88" t="str">
        <f>B342 &amp; "-" &amp; VLOOKUP(B342,[4]SOUSPROGRAMMES!$E$1:$F$44,2,FALSE)</f>
        <v>14- Accès et équité au collège</v>
      </c>
      <c r="AB342" s="88" t="str">
        <f>C342 &amp; "-" &amp; VLOOKUP(C342,[4]RESULTATS!$E$1:$F$176,2,FALSE)</f>
        <v>143- Tous les Collèges offrent aux élèves des conditions favorables à leur maintien</v>
      </c>
      <c r="AC342" s="89" t="str">
        <f>D342 &amp; "-" &amp; VLOOKUP(D342,[4]STRATEGIES!$E$1:$F$504,2,FALSE)</f>
        <v>1432-Lutte contre les violences et les harcèlements subis par les filles sur le chemin de l’école et dans les écoles (pris en compte dans 1242)</v>
      </c>
      <c r="AD342" s="76" t="str">
        <f t="shared" si="74"/>
        <v>14329-Suivi/évaluation des activités sur les violences en milieu scolaire (activité 12429)</v>
      </c>
    </row>
    <row r="343" spans="1:30" s="90" customFormat="1" ht="30" customHeight="1" x14ac:dyDescent="0.8">
      <c r="A343" s="84">
        <v>1</v>
      </c>
      <c r="B343" s="85">
        <v>15</v>
      </c>
      <c r="C343" s="85">
        <v>15</v>
      </c>
      <c r="D343" s="85">
        <v>15</v>
      </c>
      <c r="E343" s="84">
        <v>15</v>
      </c>
      <c r="F343" s="75" t="s">
        <v>460</v>
      </c>
      <c r="G343" s="86"/>
      <c r="H343" s="86"/>
      <c r="I343" s="78">
        <v>0</v>
      </c>
      <c r="J343" s="78"/>
      <c r="K343" s="78"/>
      <c r="L343" s="78"/>
      <c r="M343" s="78"/>
      <c r="N343" s="78"/>
      <c r="O343" s="78"/>
      <c r="P343" s="78"/>
      <c r="Q343" s="78"/>
      <c r="R343" s="78"/>
      <c r="S343" s="93"/>
      <c r="T343" s="87"/>
      <c r="U343" s="87"/>
      <c r="V343" s="88"/>
      <c r="W343" s="87"/>
      <c r="X343" s="87"/>
      <c r="Y343" s="88" t="s">
        <v>32</v>
      </c>
      <c r="Z343" s="88" t="str">
        <f>A343 &amp; "-" &amp; VLOOKUP(A343,[4]PROGRAMMES!$E$1:$F$7,2,FALSE)</f>
        <v>1-Accès et équité à l'enseignement général</v>
      </c>
      <c r="AA343" s="88" t="str">
        <f>B343 &amp; "-" &amp; VLOOKUP(B343,[4]SOUSPROGRAMMES!$E$1:$F$44,2,FALSE)</f>
        <v>15- Promotion de l'éducation inclusive, y compris les FA</v>
      </c>
      <c r="AB343" s="88" t="str">
        <f>C343 &amp; "-" &amp; VLOOKUP(C343,[4]RESULTATS!$E$1:$F$176,2,FALSE)</f>
        <v>15- Promotion de l'éducation inclusive, y compris les FA</v>
      </c>
      <c r="AC343" s="89" t="str">
        <f>D343 &amp; "-" &amp; VLOOKUP(D343,[4]STRATEGIES!$E$1:$F$504,2,FALSE)</f>
        <v>15- Promotion de l'éducation inclusive, y compris les FA</v>
      </c>
      <c r="AD343" s="76" t="str">
        <f t="shared" si="74"/>
        <v>15- Promotion de l'éducation inclusive, y compris les FA</v>
      </c>
    </row>
    <row r="344" spans="1:30" s="90" customFormat="1" ht="60" customHeight="1" x14ac:dyDescent="0.8">
      <c r="A344" s="84">
        <v>1</v>
      </c>
      <c r="B344" s="85">
        <v>15</v>
      </c>
      <c r="C344" s="85">
        <v>151</v>
      </c>
      <c r="D344" s="85">
        <v>151</v>
      </c>
      <c r="E344" s="84">
        <v>151</v>
      </c>
      <c r="F344" s="75" t="s">
        <v>461</v>
      </c>
      <c r="G344" s="86"/>
      <c r="H344" s="86"/>
      <c r="I344" s="78">
        <v>0</v>
      </c>
      <c r="J344" s="78"/>
      <c r="K344" s="78"/>
      <c r="L344" s="78"/>
      <c r="M344" s="78"/>
      <c r="N344" s="78"/>
      <c r="O344" s="78"/>
      <c r="P344" s="78"/>
      <c r="Q344" s="78"/>
      <c r="R344" s="78"/>
      <c r="S344" s="93"/>
      <c r="T344" s="87"/>
      <c r="U344" s="87"/>
      <c r="V344" s="88"/>
      <c r="W344" s="87"/>
      <c r="X344" s="87"/>
      <c r="Y344" s="88" t="s">
        <v>32</v>
      </c>
      <c r="Z344" s="88" t="str">
        <f>A344 &amp; "-" &amp; VLOOKUP(A344,[4]PROGRAMMES!$E$1:$F$7,2,FALSE)</f>
        <v>1-Accès et équité à l'enseignement général</v>
      </c>
      <c r="AA344" s="88" t="str">
        <f>B344 &amp; "-" &amp; VLOOKUP(B344,[4]SOUSPROGRAMMES!$E$1:$F$44,2,FALSE)</f>
        <v>15- Promotion de l'éducation inclusive, y compris les FA</v>
      </c>
      <c r="AB344" s="88" t="str">
        <f>C344 &amp; "-" &amp; VLOOKUP(C344,[4]RESULTATS!$E$1:$F$176,2,FALSE)</f>
        <v>151- L'environnement d’enseignement et d'apprentissage est adapté aux besoins spécifiques  des enfants en situation de handicap</v>
      </c>
      <c r="AC344" s="89" t="str">
        <f>D344 &amp; "-" &amp; VLOOKUP(D344,[4]STRATEGIES!$E$1:$F$504,2,FALSE)</f>
        <v>151-Construction de rampes d'accès pour les écoles/établissements qui n'en disposent pas</v>
      </c>
      <c r="AD344" s="76" t="str">
        <f t="shared" si="74"/>
        <v>151- L'environnement d’enseignement et d'apprentissage est adapté aux besoins spécifiques  des enfants en situation de handicap</v>
      </c>
    </row>
    <row r="345" spans="1:30" s="71" customFormat="1" ht="60" hidden="1" customHeight="1" x14ac:dyDescent="0.8">
      <c r="A345" s="91">
        <v>1</v>
      </c>
      <c r="B345" s="75">
        <v>15</v>
      </c>
      <c r="C345" s="75">
        <v>151</v>
      </c>
      <c r="D345" s="75">
        <v>151</v>
      </c>
      <c r="E345" s="91">
        <v>15111</v>
      </c>
      <c r="F345" s="75" t="s">
        <v>462</v>
      </c>
      <c r="G345" s="76" t="s">
        <v>159</v>
      </c>
      <c r="H345" s="76" t="s">
        <v>55</v>
      </c>
      <c r="I345" s="78">
        <v>0</v>
      </c>
      <c r="J345" s="77">
        <v>1</v>
      </c>
      <c r="K345" s="77">
        <v>1</v>
      </c>
      <c r="L345" s="77"/>
      <c r="M345" s="77">
        <f t="shared" si="77"/>
        <v>2</v>
      </c>
      <c r="N345" s="77">
        <f>IF(OR(H345="",H345="sif",H345="PM"),0,VLOOKUP(H345,[5]CU!$C$4:$H$255,6,FALSE))</f>
        <v>0</v>
      </c>
      <c r="O345" s="77"/>
      <c r="P345" s="77"/>
      <c r="Q345" s="77">
        <f t="shared" ref="Q345:Q346" si="79">$N345*K345</f>
        <v>0</v>
      </c>
      <c r="R345" s="77"/>
      <c r="S345" s="79"/>
      <c r="T345" s="92" t="s">
        <v>169</v>
      </c>
      <c r="U345" s="88" t="s">
        <v>170</v>
      </c>
      <c r="V345" s="88" t="str">
        <f>IF(OR($H345="",$H345="sif",$H345="PM"),"",VLOOKUP($H345,[5]CU!$C$5:$J$255,8,FALSE))</f>
        <v/>
      </c>
      <c r="W345" s="88" t="s">
        <v>192</v>
      </c>
      <c r="X345" s="88" t="s">
        <v>463</v>
      </c>
      <c r="Y345" s="88" t="s">
        <v>32</v>
      </c>
      <c r="Z345" s="88" t="str">
        <f>A345 &amp; "-" &amp; VLOOKUP(A345,[4]PROGRAMMES!$E$1:$F$7,2,FALSE)</f>
        <v>1-Accès et équité à l'enseignement général</v>
      </c>
      <c r="AA345" s="88" t="str">
        <f>B345 &amp; "-" &amp; VLOOKUP(B345,[4]SOUSPROGRAMMES!$E$1:$F$44,2,FALSE)</f>
        <v>15- Promotion de l'éducation inclusive, y compris les FA</v>
      </c>
      <c r="AB345" s="88" t="str">
        <f>C345 &amp; "-" &amp; VLOOKUP(C345,[4]RESULTATS!$E$1:$F$176,2,FALSE)</f>
        <v>151- L'environnement d’enseignement et d'apprentissage est adapté aux besoins spécifiques  des enfants en situation de handicap</v>
      </c>
      <c r="AC345" s="89" t="str">
        <f>D345 &amp; "-" &amp; VLOOKUP(D345,[4]STRATEGIES!$E$1:$F$504,2,FALSE)</f>
        <v>151-Construction de rampes d'accès pour les écoles/établissements qui n'en disposent pas</v>
      </c>
      <c r="AD345" s="76" t="str">
        <f t="shared" si="74"/>
        <v>15111-Identification des établissements devant bénéficier de construction de rampes d'accès (activité 12221)</v>
      </c>
    </row>
    <row r="346" spans="1:30" s="71" customFormat="1" ht="60" hidden="1" customHeight="1" x14ac:dyDescent="0.8">
      <c r="A346" s="91">
        <v>1</v>
      </c>
      <c r="B346" s="75">
        <v>15</v>
      </c>
      <c r="C346" s="75">
        <v>151</v>
      </c>
      <c r="D346" s="75">
        <v>151</v>
      </c>
      <c r="E346" s="91">
        <v>15112</v>
      </c>
      <c r="F346" s="75" t="s">
        <v>464</v>
      </c>
      <c r="G346" s="76" t="s">
        <v>103</v>
      </c>
      <c r="H346" s="76" t="s">
        <v>465</v>
      </c>
      <c r="I346" s="78">
        <v>0</v>
      </c>
      <c r="J346" s="77"/>
      <c r="K346" s="77">
        <f>(((20000/3)+(9000/4))*0.1)*60%*2</f>
        <v>1070.0000000000002</v>
      </c>
      <c r="L346" s="77">
        <f>(((20000/3)+(9000/4))*0.1)*60%</f>
        <v>535.00000000000011</v>
      </c>
      <c r="M346" s="77">
        <f>SUM(I346:L346)</f>
        <v>1605.0000000000005</v>
      </c>
      <c r="N346" s="77">
        <f>IF(OR(H346="",H346="sif",H346="PM"),0,VLOOKUP(H346,[5]CU!$C$4:$H$255,6,FALSE))</f>
        <v>2.76</v>
      </c>
      <c r="O346" s="77">
        <f t="shared" ref="O346:R350" si="80">$N346*I346</f>
        <v>0</v>
      </c>
      <c r="P346" s="77">
        <f t="shared" si="80"/>
        <v>0</v>
      </c>
      <c r="Q346" s="77">
        <f t="shared" si="79"/>
        <v>2953.2000000000003</v>
      </c>
      <c r="R346" s="77">
        <f t="shared" si="80"/>
        <v>1476.6000000000001</v>
      </c>
      <c r="S346" s="79">
        <f>SUM(O346:R346)</f>
        <v>4429.8</v>
      </c>
      <c r="T346" s="92" t="s">
        <v>169</v>
      </c>
      <c r="U346" s="88" t="s">
        <v>170</v>
      </c>
      <c r="V346" s="88" t="str">
        <f>IF(OR($H346="",$H346="sif",$H346="PM"),"",VLOOKUP($H346,[5]CU!$C$5:$J$255,8,FALSE))</f>
        <v>5. Investissement</v>
      </c>
      <c r="W346" s="88" t="s">
        <v>98</v>
      </c>
      <c r="X346" s="88" t="s">
        <v>282</v>
      </c>
      <c r="Y346" s="88" t="s">
        <v>32</v>
      </c>
      <c r="Z346" s="88" t="str">
        <f>A346 &amp; "-" &amp; VLOOKUP(A346,[4]PROGRAMMES!$E$1:$F$7,2,FALSE)</f>
        <v>1-Accès et équité à l'enseignement général</v>
      </c>
      <c r="AA346" s="88" t="str">
        <f>B346 &amp; "-" &amp; VLOOKUP(B346,[4]SOUSPROGRAMMES!$E$1:$F$44,2,FALSE)</f>
        <v>15- Promotion de l'éducation inclusive, y compris les FA</v>
      </c>
      <c r="AB346" s="88" t="str">
        <f>C346 &amp; "-" &amp; VLOOKUP(C346,[4]RESULTATS!$E$1:$F$176,2,FALSE)</f>
        <v>151- L'environnement d’enseignement et d'apprentissage est adapté aux besoins spécifiques  des enfants en situation de handicap</v>
      </c>
      <c r="AC346" s="89" t="str">
        <f>D346 &amp; "-" &amp; VLOOKUP(D346,[4]STRATEGIES!$E$1:$F$504,2,FALSE)</f>
        <v>151-Construction de rampes d'accès pour les écoles/établissements qui n'en disposent pas</v>
      </c>
      <c r="AD346" s="76" t="str">
        <f t="shared" si="74"/>
        <v>15112-Réalisation des travaux de construction des rampes d'accès</v>
      </c>
    </row>
    <row r="347" spans="1:30" s="90" customFormat="1" ht="60" customHeight="1" x14ac:dyDescent="0.8">
      <c r="A347" s="84">
        <v>1</v>
      </c>
      <c r="B347" s="85">
        <v>15</v>
      </c>
      <c r="C347" s="85">
        <v>151</v>
      </c>
      <c r="D347" s="85">
        <v>151</v>
      </c>
      <c r="E347" s="84">
        <v>15112</v>
      </c>
      <c r="F347" s="75" t="s">
        <v>464</v>
      </c>
      <c r="G347" s="76" t="s">
        <v>103</v>
      </c>
      <c r="H347" s="86" t="s">
        <v>465</v>
      </c>
      <c r="I347" s="78">
        <v>0</v>
      </c>
      <c r="J347" s="78">
        <f>(((20000/3)+(9000/4))*0.1)*40%</f>
        <v>356.66666666666674</v>
      </c>
      <c r="K347" s="78">
        <f>(((20000/3)+(9000/4))*0.1)*40%</f>
        <v>356.66666666666674</v>
      </c>
      <c r="L347" s="78">
        <f>(((20000/3)+(9000/4))*0.1)*40%</f>
        <v>356.66666666666674</v>
      </c>
      <c r="M347" s="78">
        <f t="shared" si="77"/>
        <v>1070.0000000000002</v>
      </c>
      <c r="N347" s="78">
        <f>IF(OR(H347="",H347="sif",H347="PM"),0,VLOOKUP(H347,[5]CU!$C$4:$H$255,6,FALSE))</f>
        <v>2.76</v>
      </c>
      <c r="O347" s="78">
        <f t="shared" si="80"/>
        <v>0</v>
      </c>
      <c r="P347" s="78">
        <f t="shared" si="80"/>
        <v>984.40000000000009</v>
      </c>
      <c r="Q347" s="78">
        <f t="shared" si="80"/>
        <v>984.40000000000009</v>
      </c>
      <c r="R347" s="78">
        <f t="shared" si="80"/>
        <v>984.40000000000009</v>
      </c>
      <c r="S347" s="93">
        <f>SUM(O347:R347)</f>
        <v>2953.2000000000003</v>
      </c>
      <c r="T347" s="80" t="s">
        <v>414</v>
      </c>
      <c r="U347" s="87" t="s">
        <v>170</v>
      </c>
      <c r="V347" s="88" t="str">
        <f>IF(OR($H347="",$H347="sif",$H347="PM"),"",VLOOKUP($H347,[5]CU!$C$5:$J$255,8,FALSE))</f>
        <v>5. Investissement</v>
      </c>
      <c r="W347" s="87" t="s">
        <v>98</v>
      </c>
      <c r="X347" s="87" t="s">
        <v>282</v>
      </c>
      <c r="Y347" s="88" t="s">
        <v>32</v>
      </c>
      <c r="Z347" s="88" t="str">
        <f>A347 &amp; "-" &amp; VLOOKUP(A347,[4]PROGRAMMES!$E$1:$F$7,2,FALSE)</f>
        <v>1-Accès et équité à l'enseignement général</v>
      </c>
      <c r="AA347" s="88" t="str">
        <f>B347 &amp; "-" &amp; VLOOKUP(B347,[4]SOUSPROGRAMMES!$E$1:$F$44,2,FALSE)</f>
        <v>15- Promotion de l'éducation inclusive, y compris les FA</v>
      </c>
      <c r="AB347" s="88" t="str">
        <f>C347 &amp; "-" &amp; VLOOKUP(C347,[4]RESULTATS!$E$1:$F$176,2,FALSE)</f>
        <v>151- L'environnement d’enseignement et d'apprentissage est adapté aux besoins spécifiques  des enfants en situation de handicap</v>
      </c>
      <c r="AC347" s="89" t="str">
        <f>D347 &amp; "-" &amp; VLOOKUP(D347,[4]STRATEGIES!$E$1:$F$504,2,FALSE)</f>
        <v>151-Construction de rampes d'accès pour les écoles/établissements qui n'en disposent pas</v>
      </c>
      <c r="AD347" s="76" t="str">
        <f t="shared" si="74"/>
        <v>15112-Réalisation des travaux de construction des rampes d'accès</v>
      </c>
    </row>
    <row r="348" spans="1:30" s="71" customFormat="1" ht="60" hidden="1" customHeight="1" x14ac:dyDescent="0.8">
      <c r="A348" s="91">
        <v>1</v>
      </c>
      <c r="B348" s="75">
        <v>15</v>
      </c>
      <c r="C348" s="75">
        <v>151</v>
      </c>
      <c r="D348" s="75">
        <v>151</v>
      </c>
      <c r="E348" s="91">
        <v>15113</v>
      </c>
      <c r="F348" s="75" t="s">
        <v>466</v>
      </c>
      <c r="G348" s="76" t="s">
        <v>159</v>
      </c>
      <c r="H348" s="76" t="s">
        <v>55</v>
      </c>
      <c r="I348" s="78">
        <v>0</v>
      </c>
      <c r="J348" s="77">
        <v>1</v>
      </c>
      <c r="K348" s="77">
        <v>1</v>
      </c>
      <c r="L348" s="77">
        <v>1</v>
      </c>
      <c r="M348" s="77">
        <f t="shared" si="77"/>
        <v>3</v>
      </c>
      <c r="N348" s="77">
        <f>IF(OR(H348="",H348="sif",H348="PM"),0,VLOOKUP(H348,[5]CU!$C$4:$H$255,6,FALSE))</f>
        <v>0</v>
      </c>
      <c r="O348" s="77"/>
      <c r="P348" s="77"/>
      <c r="Q348" s="77">
        <f t="shared" si="80"/>
        <v>0</v>
      </c>
      <c r="R348" s="77"/>
      <c r="S348" s="79"/>
      <c r="T348" s="92" t="s">
        <v>169</v>
      </c>
      <c r="U348" s="88" t="s">
        <v>170</v>
      </c>
      <c r="V348" s="88" t="str">
        <f>IF(OR($H348="",$H348="sif",$H348="PM"),"",VLOOKUP($H348,[5]CU!$C$5:$J$255,8,FALSE))</f>
        <v/>
      </c>
      <c r="W348" s="88" t="s">
        <v>98</v>
      </c>
      <c r="X348" s="88" t="s">
        <v>282</v>
      </c>
      <c r="Y348" s="88" t="s">
        <v>32</v>
      </c>
      <c r="Z348" s="88" t="str">
        <f>A348 &amp; "-" &amp; VLOOKUP(A348,[4]PROGRAMMES!$E$1:$F$7,2,FALSE)</f>
        <v>1-Accès et équité à l'enseignement général</v>
      </c>
      <c r="AA348" s="88" t="str">
        <f>B348 &amp; "-" &amp; VLOOKUP(B348,[4]SOUSPROGRAMMES!$E$1:$F$44,2,FALSE)</f>
        <v>15- Promotion de l'éducation inclusive, y compris les FA</v>
      </c>
      <c r="AB348" s="88" t="str">
        <f>C348 &amp; "-" &amp; VLOOKUP(C348,[4]RESULTATS!$E$1:$F$176,2,FALSE)</f>
        <v>151- L'environnement d’enseignement et d'apprentissage est adapté aux besoins spécifiques  des enfants en situation de handicap</v>
      </c>
      <c r="AC348" s="89" t="str">
        <f>D348 &amp; "-" &amp; VLOOKUP(D348,[4]STRATEGIES!$E$1:$F$504,2,FALSE)</f>
        <v>151-Construction de rampes d'accès pour les écoles/établissements qui n'en disposent pas</v>
      </c>
      <c r="AD348" s="76" t="str">
        <f t="shared" si="74"/>
        <v>15113-Supervision de la construction des rampes d'accès (pris en compte dans supervision des constructions et de la réhabilitation)</v>
      </c>
    </row>
    <row r="349" spans="1:30" s="71" customFormat="1" ht="60" hidden="1" customHeight="1" x14ac:dyDescent="0.8">
      <c r="A349" s="91">
        <v>1</v>
      </c>
      <c r="B349" s="75">
        <v>15</v>
      </c>
      <c r="C349" s="75">
        <v>151</v>
      </c>
      <c r="D349" s="75">
        <v>151</v>
      </c>
      <c r="E349" s="91">
        <v>15121</v>
      </c>
      <c r="F349" s="75" t="s">
        <v>467</v>
      </c>
      <c r="G349" s="76" t="s">
        <v>88</v>
      </c>
      <c r="H349" s="76" t="s">
        <v>55</v>
      </c>
      <c r="I349" s="78">
        <v>0</v>
      </c>
      <c r="J349" s="77">
        <v>1</v>
      </c>
      <c r="K349" s="77">
        <v>1</v>
      </c>
      <c r="L349" s="77">
        <v>1</v>
      </c>
      <c r="M349" s="77">
        <f t="shared" si="77"/>
        <v>3</v>
      </c>
      <c r="N349" s="77">
        <f>IF(OR(H349="",H349="sif",H349="PM"),0,VLOOKUP(H349,[5]CU!$C$4:$H$255,6,FALSE))</f>
        <v>0</v>
      </c>
      <c r="O349" s="77"/>
      <c r="P349" s="77"/>
      <c r="Q349" s="77">
        <f t="shared" si="80"/>
        <v>0</v>
      </c>
      <c r="R349" s="77"/>
      <c r="S349" s="79"/>
      <c r="T349" s="92" t="s">
        <v>169</v>
      </c>
      <c r="U349" s="88" t="s">
        <v>170</v>
      </c>
      <c r="V349" s="88" t="str">
        <f>IF(OR($H349="",$H349="sif",$H349="PM"),"",VLOOKUP($H349,[5]CU!$C$5:$J$255,8,FALSE))</f>
        <v/>
      </c>
      <c r="W349" s="88" t="s">
        <v>96</v>
      </c>
      <c r="X349" s="88" t="s">
        <v>77</v>
      </c>
      <c r="Y349" s="88" t="s">
        <v>32</v>
      </c>
      <c r="Z349" s="88" t="str">
        <f>A349 &amp; "-" &amp; VLOOKUP(A349,[4]PROGRAMMES!$E$1:$F$7,2,FALSE)</f>
        <v>1-Accès et équité à l'enseignement général</v>
      </c>
      <c r="AA349" s="88" t="str">
        <f>B349 &amp; "-" &amp; VLOOKUP(B349,[4]SOUSPROGRAMMES!$E$1:$F$44,2,FALSE)</f>
        <v>15- Promotion de l'éducation inclusive, y compris les FA</v>
      </c>
      <c r="AB349" s="88" t="str">
        <f>C349 &amp; "-" &amp; VLOOKUP(C349,[4]RESULTATS!$E$1:$F$176,2,FALSE)</f>
        <v>151- L'environnement d’enseignement et d'apprentissage est adapté aux besoins spécifiques  des enfants en situation de handicap</v>
      </c>
      <c r="AC349" s="89" t="str">
        <f>D349 &amp; "-" &amp; VLOOKUP(D349,[4]STRATEGIES!$E$1:$F$504,2,FALSE)</f>
        <v>151-Construction de rampes d'accès pour les écoles/établissements qui n'en disposent pas</v>
      </c>
      <c r="AD349" s="76" t="str">
        <f t="shared" si="74"/>
        <v>15121-Identification des sites devant bénéficier de construction de latrines adaptées aux personnes vivant avec un handicap en fonction de la disponibilité de rampes d'accès</v>
      </c>
    </row>
    <row r="350" spans="1:30" s="71" customFormat="1" ht="60" hidden="1" customHeight="1" x14ac:dyDescent="0.8">
      <c r="A350" s="91">
        <v>1</v>
      </c>
      <c r="B350" s="75">
        <v>15</v>
      </c>
      <c r="C350" s="75">
        <v>151</v>
      </c>
      <c r="D350" s="75">
        <v>151</v>
      </c>
      <c r="E350" s="91">
        <v>15122</v>
      </c>
      <c r="F350" s="75" t="s">
        <v>468</v>
      </c>
      <c r="G350" s="76" t="s">
        <v>88</v>
      </c>
      <c r="H350" s="76" t="s">
        <v>55</v>
      </c>
      <c r="I350" s="78">
        <v>0</v>
      </c>
      <c r="J350" s="77">
        <v>1</v>
      </c>
      <c r="K350" s="77">
        <v>1</v>
      </c>
      <c r="L350" s="77">
        <v>1</v>
      </c>
      <c r="M350" s="77">
        <f t="shared" si="77"/>
        <v>3</v>
      </c>
      <c r="N350" s="77">
        <f>IF(OR(H350="",H350="sif",H350="PM"),0,VLOOKUP(H350,[5]CU!$C$4:$H$255,6,FALSE))</f>
        <v>0</v>
      </c>
      <c r="O350" s="77"/>
      <c r="P350" s="77"/>
      <c r="Q350" s="77">
        <f t="shared" si="80"/>
        <v>0</v>
      </c>
      <c r="R350" s="77"/>
      <c r="S350" s="79"/>
      <c r="T350" s="92" t="s">
        <v>169</v>
      </c>
      <c r="U350" s="88" t="s">
        <v>170</v>
      </c>
      <c r="V350" s="88" t="str">
        <f>IF(OR($H350="",$H350="sif",$H350="PM"),"",VLOOKUP($H350,[5]CU!$C$5:$J$255,8,FALSE))</f>
        <v/>
      </c>
      <c r="W350" s="88" t="s">
        <v>98</v>
      </c>
      <c r="X350" s="88" t="s">
        <v>469</v>
      </c>
      <c r="Y350" s="88" t="s">
        <v>32</v>
      </c>
      <c r="Z350" s="88" t="str">
        <f>A350 &amp; "-" &amp; VLOOKUP(A350,[4]PROGRAMMES!$E$1:$F$7,2,FALSE)</f>
        <v>1-Accès et équité à l'enseignement général</v>
      </c>
      <c r="AA350" s="88" t="str">
        <f>B350 &amp; "-" &amp; VLOOKUP(B350,[4]SOUSPROGRAMMES!$E$1:$F$44,2,FALSE)</f>
        <v>15- Promotion de l'éducation inclusive, y compris les FA</v>
      </c>
      <c r="AB350" s="88" t="str">
        <f>C350 &amp; "-" &amp; VLOOKUP(C350,[4]RESULTATS!$E$1:$F$176,2,FALSE)</f>
        <v>151- L'environnement d’enseignement et d'apprentissage est adapté aux besoins spécifiques  des enfants en situation de handicap</v>
      </c>
      <c r="AC350" s="89" t="str">
        <f>D350 &amp; "-" &amp; VLOOKUP(D350,[4]STRATEGIES!$E$1:$F$504,2,FALSE)</f>
        <v>151-Construction de rampes d'accès pour les écoles/établissements qui n'en disposent pas</v>
      </c>
      <c r="AD350" s="76" t="str">
        <f t="shared" si="74"/>
        <v>15122-Validation des sites devant bénéficier de construction de latrines adaptées aux personnes vivant avec un handicap en fonction de la disponibilité de rampes d'accès</v>
      </c>
    </row>
    <row r="351" spans="1:30" s="90" customFormat="1" ht="60" customHeight="1" x14ac:dyDescent="0.8">
      <c r="A351" s="84">
        <v>1</v>
      </c>
      <c r="B351" s="85">
        <v>15</v>
      </c>
      <c r="C351" s="85">
        <v>151</v>
      </c>
      <c r="D351" s="85">
        <v>151</v>
      </c>
      <c r="E351" s="84">
        <v>15123</v>
      </c>
      <c r="F351" s="75" t="s">
        <v>470</v>
      </c>
      <c r="G351" s="76" t="s">
        <v>471</v>
      </c>
      <c r="H351" s="86" t="s">
        <v>472</v>
      </c>
      <c r="I351" s="78">
        <v>0</v>
      </c>
      <c r="J351" s="78">
        <f>57.9*50%</f>
        <v>28.95</v>
      </c>
      <c r="K351" s="78">
        <f>96.5*50%</f>
        <v>48.25</v>
      </c>
      <c r="L351" s="78">
        <f>38.6*50%</f>
        <v>19.3</v>
      </c>
      <c r="M351" s="78">
        <f>SUM(I351:L351)</f>
        <v>96.5</v>
      </c>
      <c r="N351" s="78">
        <f>IF(OR(H351="",H351="sif",H351="PM"),0,VLOOKUP(H351,[5]CU!$C$4:$H$255,6,FALSE))</f>
        <v>48.949999999999996</v>
      </c>
      <c r="O351" s="78">
        <f t="shared" ref="O351:R354" si="81">$N351*I351</f>
        <v>0</v>
      </c>
      <c r="P351" s="78">
        <f t="shared" si="81"/>
        <v>1417.1024999999997</v>
      </c>
      <c r="Q351" s="78">
        <f t="shared" si="81"/>
        <v>2361.8374999999996</v>
      </c>
      <c r="R351" s="78">
        <f t="shared" si="81"/>
        <v>944.7349999999999</v>
      </c>
      <c r="S351" s="93">
        <f>SUM(O351:R351)</f>
        <v>4723.6749999999993</v>
      </c>
      <c r="T351" s="80" t="s">
        <v>414</v>
      </c>
      <c r="U351" s="87" t="s">
        <v>170</v>
      </c>
      <c r="V351" s="88" t="str">
        <f>IF(OR($H351="",$H351="sif",$H351="PM"),"",VLOOKUP($H351,[5]CU!$C$5:$J$255,8,FALSE))</f>
        <v>5. Investissement</v>
      </c>
      <c r="W351" s="87" t="s">
        <v>98</v>
      </c>
      <c r="X351" s="87" t="s">
        <v>282</v>
      </c>
      <c r="Y351" s="88" t="s">
        <v>32</v>
      </c>
      <c r="Z351" s="88" t="str">
        <f>A351 &amp; "-" &amp; VLOOKUP(A351,[4]PROGRAMMES!$E$1:$F$7,2,FALSE)</f>
        <v>1-Accès et équité à l'enseignement général</v>
      </c>
      <c r="AA351" s="88" t="str">
        <f>B351 &amp; "-" &amp; VLOOKUP(B351,[4]SOUSPROGRAMMES!$E$1:$F$44,2,FALSE)</f>
        <v>15- Promotion de l'éducation inclusive, y compris les FA</v>
      </c>
      <c r="AB351" s="88" t="str">
        <f>C351 &amp; "-" &amp; VLOOKUP(C351,[4]RESULTATS!$E$1:$F$176,2,FALSE)</f>
        <v>151- L'environnement d’enseignement et d'apprentissage est adapté aux besoins spécifiques  des enfants en situation de handicap</v>
      </c>
      <c r="AC351" s="89" t="str">
        <f>D351 &amp; "-" &amp; VLOOKUP(D351,[4]STRATEGIES!$E$1:$F$504,2,FALSE)</f>
        <v>151-Construction de rampes d'accès pour les écoles/établissements qui n'en disposent pas</v>
      </c>
      <c r="AD351" s="76" t="str">
        <f t="shared" si="74"/>
        <v>15123-Réalisation des travaux de construction des latrines adaptées</v>
      </c>
    </row>
    <row r="352" spans="1:30" s="90" customFormat="1" ht="60" customHeight="1" x14ac:dyDescent="0.8">
      <c r="A352" s="84">
        <v>1</v>
      </c>
      <c r="B352" s="85">
        <v>15</v>
      </c>
      <c r="C352" s="85">
        <v>151</v>
      </c>
      <c r="D352" s="85">
        <v>151</v>
      </c>
      <c r="E352" s="84">
        <v>15123</v>
      </c>
      <c r="F352" s="75" t="s">
        <v>470</v>
      </c>
      <c r="G352" s="76" t="s">
        <v>471</v>
      </c>
      <c r="H352" s="86" t="s">
        <v>472</v>
      </c>
      <c r="I352" s="78">
        <v>0</v>
      </c>
      <c r="J352" s="78">
        <f>57.9*50%</f>
        <v>28.95</v>
      </c>
      <c r="K352" s="78">
        <f>96.5*50%</f>
        <v>48.25</v>
      </c>
      <c r="L352" s="78">
        <f>38.6*50%</f>
        <v>19.3</v>
      </c>
      <c r="M352" s="78">
        <f t="shared" si="77"/>
        <v>96.5</v>
      </c>
      <c r="N352" s="78">
        <f>IF(OR(H352="",H352="sif",H352="PM"),0,VLOOKUP(H352,[5]CU!$C$4:$H$255,6,FALSE))</f>
        <v>48.949999999999996</v>
      </c>
      <c r="O352" s="78">
        <f t="shared" si="81"/>
        <v>0</v>
      </c>
      <c r="P352" s="78">
        <f t="shared" si="81"/>
        <v>1417.1024999999997</v>
      </c>
      <c r="Q352" s="78">
        <f t="shared" si="81"/>
        <v>2361.8374999999996</v>
      </c>
      <c r="R352" s="78">
        <f t="shared" si="81"/>
        <v>944.7349999999999</v>
      </c>
      <c r="S352" s="93">
        <f>SUM(O352:R352)</f>
        <v>4723.6749999999993</v>
      </c>
      <c r="T352" s="80" t="s">
        <v>118</v>
      </c>
      <c r="U352" s="87" t="s">
        <v>170</v>
      </c>
      <c r="V352" s="88" t="str">
        <f>IF(OR($H352="",$H352="sif",$H352="PM"),"",VLOOKUP($H352,[5]CU!$C$5:$J$255,8,FALSE))</f>
        <v>5. Investissement</v>
      </c>
      <c r="W352" s="87" t="s">
        <v>98</v>
      </c>
      <c r="X352" s="87" t="s">
        <v>282</v>
      </c>
      <c r="Y352" s="88" t="s">
        <v>32</v>
      </c>
      <c r="Z352" s="88" t="str">
        <f>A352 &amp; "-" &amp; VLOOKUP(A352,[4]PROGRAMMES!$E$1:$F$7,2,FALSE)</f>
        <v>1-Accès et équité à l'enseignement général</v>
      </c>
      <c r="AA352" s="88" t="str">
        <f>B352 &amp; "-" &amp; VLOOKUP(B352,[4]SOUSPROGRAMMES!$E$1:$F$44,2,FALSE)</f>
        <v>15- Promotion de l'éducation inclusive, y compris les FA</v>
      </c>
      <c r="AB352" s="88" t="str">
        <f>C352 &amp; "-" &amp; VLOOKUP(C352,[4]RESULTATS!$E$1:$F$176,2,FALSE)</f>
        <v>151- L'environnement d’enseignement et d'apprentissage est adapté aux besoins spécifiques  des enfants en situation de handicap</v>
      </c>
      <c r="AC352" s="89" t="str">
        <f>D352 &amp; "-" &amp; VLOOKUP(D352,[4]STRATEGIES!$E$1:$F$504,2,FALSE)</f>
        <v>151-Construction de rampes d'accès pour les écoles/établissements qui n'en disposent pas</v>
      </c>
      <c r="AD352" s="76" t="str">
        <f t="shared" si="74"/>
        <v>15123-Réalisation des travaux de construction des latrines adaptées</v>
      </c>
    </row>
    <row r="353" spans="1:30" s="71" customFormat="1" ht="60" hidden="1" customHeight="1" x14ac:dyDescent="0.8">
      <c r="A353" s="91">
        <v>1</v>
      </c>
      <c r="B353" s="75">
        <v>15</v>
      </c>
      <c r="C353" s="75">
        <v>151</v>
      </c>
      <c r="D353" s="75">
        <v>151</v>
      </c>
      <c r="E353" s="91">
        <v>15124</v>
      </c>
      <c r="F353" s="75" t="s">
        <v>473</v>
      </c>
      <c r="G353" s="76" t="s">
        <v>92</v>
      </c>
      <c r="H353" s="76" t="s">
        <v>55</v>
      </c>
      <c r="I353" s="78">
        <v>0</v>
      </c>
      <c r="J353" s="77"/>
      <c r="K353" s="77"/>
      <c r="L353" s="77"/>
      <c r="M353" s="77"/>
      <c r="N353" s="77">
        <f>IF(OR(H353="",H353="sif",H353="PM"),0,VLOOKUP(H353,[5]CU!$C$4:$H$255,6,FALSE))</f>
        <v>0</v>
      </c>
      <c r="O353" s="77"/>
      <c r="P353" s="77"/>
      <c r="Q353" s="77">
        <f t="shared" si="81"/>
        <v>0</v>
      </c>
      <c r="R353" s="77"/>
      <c r="S353" s="79"/>
      <c r="T353" s="92" t="s">
        <v>169</v>
      </c>
      <c r="U353" s="88" t="s">
        <v>170</v>
      </c>
      <c r="V353" s="88" t="str">
        <f>IF(OR($H353="",$H353="sif",$H353="PM"),"",VLOOKUP($H353,[5]CU!$C$5:$J$255,8,FALSE))</f>
        <v/>
      </c>
      <c r="W353" s="88" t="s">
        <v>98</v>
      </c>
      <c r="X353" s="88" t="s">
        <v>98</v>
      </c>
      <c r="Y353" s="88" t="s">
        <v>32</v>
      </c>
      <c r="Z353" s="88" t="str">
        <f>A353 &amp; "-" &amp; VLOOKUP(A353,[4]PROGRAMMES!$E$1:$F$7,2,FALSE)</f>
        <v>1-Accès et équité à l'enseignement général</v>
      </c>
      <c r="AA353" s="88" t="str">
        <f>B353 &amp; "-" &amp; VLOOKUP(B353,[4]SOUSPROGRAMMES!$E$1:$F$44,2,FALSE)</f>
        <v>15- Promotion de l'éducation inclusive, y compris les FA</v>
      </c>
      <c r="AB353" s="88" t="str">
        <f>C353 &amp; "-" &amp; VLOOKUP(C353,[4]RESULTATS!$E$1:$F$176,2,FALSE)</f>
        <v>151- L'environnement d’enseignement et d'apprentissage est adapté aux besoins spécifiques  des enfants en situation de handicap</v>
      </c>
      <c r="AC353" s="89" t="str">
        <f>D353 &amp; "-" &amp; VLOOKUP(D353,[4]STRATEGIES!$E$1:$F$504,2,FALSE)</f>
        <v>151-Construction de rampes d'accès pour les écoles/établissements qui n'en disposent pas</v>
      </c>
      <c r="AD353" s="76" t="str">
        <f t="shared" si="74"/>
        <v>15124-Construction de latrines (pris en compte dans activité 12226 et 14135)</v>
      </c>
    </row>
    <row r="354" spans="1:30" s="71" customFormat="1" ht="60" hidden="1" customHeight="1" x14ac:dyDescent="0.8">
      <c r="A354" s="91">
        <v>1</v>
      </c>
      <c r="B354" s="75">
        <v>15</v>
      </c>
      <c r="C354" s="75">
        <v>151</v>
      </c>
      <c r="D354" s="75">
        <v>151</v>
      </c>
      <c r="E354" s="91">
        <v>15125</v>
      </c>
      <c r="F354" s="75" t="s">
        <v>474</v>
      </c>
      <c r="G354" s="76" t="s">
        <v>159</v>
      </c>
      <c r="H354" s="76" t="s">
        <v>55</v>
      </c>
      <c r="I354" s="78">
        <v>0</v>
      </c>
      <c r="J354" s="77">
        <v>1</v>
      </c>
      <c r="K354" s="77">
        <v>1</v>
      </c>
      <c r="L354" s="77">
        <v>1</v>
      </c>
      <c r="M354" s="77">
        <f t="shared" ref="M354:M362" si="82">SUM(I354:L354)</f>
        <v>3</v>
      </c>
      <c r="N354" s="77">
        <f>IF(OR(H354="",H354="sif",H354="PM"),0,VLOOKUP(H354,[5]CU!$C$4:$H$255,6,FALSE))</f>
        <v>0</v>
      </c>
      <c r="O354" s="77"/>
      <c r="P354" s="77"/>
      <c r="Q354" s="77">
        <f t="shared" si="81"/>
        <v>0</v>
      </c>
      <c r="R354" s="77"/>
      <c r="S354" s="79"/>
      <c r="T354" s="92" t="s">
        <v>169</v>
      </c>
      <c r="U354" s="88" t="s">
        <v>170</v>
      </c>
      <c r="V354" s="88" t="str">
        <f>IF(OR($H354="",$H354="sif",$H354="PM"),"",VLOOKUP($H354,[5]CU!$C$5:$J$255,8,FALSE))</f>
        <v/>
      </c>
      <c r="W354" s="88" t="s">
        <v>98</v>
      </c>
      <c r="X354" s="88" t="s">
        <v>77</v>
      </c>
      <c r="Y354" s="88" t="s">
        <v>32</v>
      </c>
      <c r="Z354" s="88" t="str">
        <f>A354 &amp; "-" &amp; VLOOKUP(A354,[4]PROGRAMMES!$E$1:$F$7,2,FALSE)</f>
        <v>1-Accès et équité à l'enseignement général</v>
      </c>
      <c r="AA354" s="88" t="str">
        <f>B354 &amp; "-" &amp; VLOOKUP(B354,[4]SOUSPROGRAMMES!$E$1:$F$44,2,FALSE)</f>
        <v>15- Promotion de l'éducation inclusive, y compris les FA</v>
      </c>
      <c r="AB354" s="88" t="str">
        <f>C354 &amp; "-" &amp; VLOOKUP(C354,[4]RESULTATS!$E$1:$F$176,2,FALSE)</f>
        <v>151- L'environnement d’enseignement et d'apprentissage est adapté aux besoins spécifiques  des enfants en situation de handicap</v>
      </c>
      <c r="AC354" s="89" t="str">
        <f>D354 &amp; "-" &amp; VLOOKUP(D354,[4]STRATEGIES!$E$1:$F$504,2,FALSE)</f>
        <v>151-Construction de rampes d'accès pour les écoles/établissements qui n'en disposent pas</v>
      </c>
      <c r="AD354" s="76" t="str">
        <f t="shared" si="74"/>
        <v>15125-Supervision de la construction des latrines adaptées (pris en compte dans supervision des constructions et de la réhabilitation)</v>
      </c>
    </row>
    <row r="355" spans="1:30" s="90" customFormat="1" ht="45" customHeight="1" x14ac:dyDescent="0.8">
      <c r="A355" s="84">
        <v>1</v>
      </c>
      <c r="B355" s="85">
        <v>15</v>
      </c>
      <c r="C355" s="85">
        <v>152</v>
      </c>
      <c r="D355" s="85">
        <v>152</v>
      </c>
      <c r="E355" s="84">
        <v>152</v>
      </c>
      <c r="F355" s="75" t="s">
        <v>475</v>
      </c>
      <c r="G355" s="86"/>
      <c r="H355" s="86"/>
      <c r="I355" s="78">
        <v>0</v>
      </c>
      <c r="J355" s="78"/>
      <c r="K355" s="78"/>
      <c r="L355" s="78"/>
      <c r="M355" s="78"/>
      <c r="N355" s="78"/>
      <c r="O355" s="78"/>
      <c r="P355" s="78"/>
      <c r="Q355" s="78"/>
      <c r="R355" s="78"/>
      <c r="S355" s="93"/>
      <c r="T355" s="87"/>
      <c r="U355" s="87"/>
      <c r="V355" s="88"/>
      <c r="W355" s="87"/>
      <c r="X355" s="87"/>
      <c r="Y355" s="88" t="s">
        <v>32</v>
      </c>
      <c r="Z355" s="88" t="str">
        <f>A355 &amp; "-" &amp; VLOOKUP(A355,[4]PROGRAMMES!$E$1:$F$7,2,FALSE)</f>
        <v>1-Accès et équité à l'enseignement général</v>
      </c>
      <c r="AA355" s="88" t="str">
        <f>B355 &amp; "-" &amp; VLOOKUP(B355,[4]SOUSPROGRAMMES!$E$1:$F$44,2,FALSE)</f>
        <v>15- Promotion de l'éducation inclusive, y compris les FA</v>
      </c>
      <c r="AB355" s="88" t="str">
        <f>C355 &amp; "-" &amp; VLOOKUP(C355,[4]RESULTATS!$E$1:$F$176,2,FALSE)</f>
        <v>152- Un protocole d’assistance matérielle, humaine et technique est élaboré et adopté</v>
      </c>
      <c r="AC355" s="89" t="str">
        <f>D355 &amp; "-" &amp; VLOOKUP(D355,[4]STRATEGIES!$E$1:$F$504,2,FALSE)</f>
        <v>152- Un protocole d’assistance matérielle, humaine et technique est élaboré et adopté</v>
      </c>
      <c r="AD355" s="76" t="str">
        <f t="shared" si="74"/>
        <v>152- Un protocole d’assistance matérielle, humaine et technique est élaboré et adopté</v>
      </c>
    </row>
    <row r="356" spans="1:30" s="90" customFormat="1" ht="45" customHeight="1" x14ac:dyDescent="0.8">
      <c r="A356" s="84">
        <v>1</v>
      </c>
      <c r="B356" s="85">
        <v>15</v>
      </c>
      <c r="C356" s="85">
        <v>152</v>
      </c>
      <c r="D356" s="85">
        <v>1521</v>
      </c>
      <c r="E356" s="84">
        <v>1521</v>
      </c>
      <c r="F356" s="75" t="s">
        <v>476</v>
      </c>
      <c r="G356" s="86"/>
      <c r="H356" s="86"/>
      <c r="I356" s="78">
        <v>0</v>
      </c>
      <c r="J356" s="78"/>
      <c r="K356" s="78"/>
      <c r="L356" s="78"/>
      <c r="M356" s="78"/>
      <c r="N356" s="78"/>
      <c r="O356" s="78"/>
      <c r="P356" s="78"/>
      <c r="Q356" s="78"/>
      <c r="R356" s="78"/>
      <c r="S356" s="93"/>
      <c r="T356" s="87"/>
      <c r="U356" s="87"/>
      <c r="V356" s="88"/>
      <c r="W356" s="87"/>
      <c r="X356" s="87"/>
      <c r="Y356" s="88" t="s">
        <v>32</v>
      </c>
      <c r="Z356" s="88" t="str">
        <f>A356 &amp; "-" &amp; VLOOKUP(A356,[4]PROGRAMMES!$E$1:$F$7,2,FALSE)</f>
        <v>1-Accès et équité à l'enseignement général</v>
      </c>
      <c r="AA356" s="88" t="str">
        <f>B356 &amp; "-" &amp; VLOOKUP(B356,[4]SOUSPROGRAMMES!$E$1:$F$44,2,FALSE)</f>
        <v>15- Promotion de l'éducation inclusive, y compris les FA</v>
      </c>
      <c r="AB356" s="88" t="str">
        <f>C356 &amp; "-" &amp; VLOOKUP(C356,[4]RESULTATS!$E$1:$F$176,2,FALSE)</f>
        <v>152- Un protocole d’assistance matérielle, humaine et technique est élaboré et adopté</v>
      </c>
      <c r="AC356" s="89" t="str">
        <f>D356 &amp; "-" &amp; VLOOKUP(D356,[4]STRATEGIES!$E$1:$F$504,2,FALSE)</f>
        <v>1521-Mise en place et actualisation de la cartographie des enfants en situation de handicap (ESH)</v>
      </c>
      <c r="AD356" s="76" t="str">
        <f t="shared" si="74"/>
        <v>1521-Mise en place et actualisation de la cartographie des enfants en situation de handicap (ESH)</v>
      </c>
    </row>
    <row r="357" spans="1:30" s="71" customFormat="1" ht="45" hidden="1" customHeight="1" x14ac:dyDescent="0.8">
      <c r="A357" s="91">
        <v>1</v>
      </c>
      <c r="B357" s="75">
        <v>15</v>
      </c>
      <c r="C357" s="75">
        <v>152</v>
      </c>
      <c r="D357" s="75">
        <v>1521</v>
      </c>
      <c r="E357" s="91">
        <v>15211</v>
      </c>
      <c r="F357" s="75" t="s">
        <v>477</v>
      </c>
      <c r="G357" s="76" t="s">
        <v>37</v>
      </c>
      <c r="H357" s="76" t="s">
        <v>66</v>
      </c>
      <c r="I357" s="78">
        <v>0</v>
      </c>
      <c r="J357" s="77"/>
      <c r="K357" s="77">
        <f>20*3*1</f>
        <v>60</v>
      </c>
      <c r="L357" s="77"/>
      <c r="M357" s="77">
        <f t="shared" si="82"/>
        <v>60</v>
      </c>
      <c r="N357" s="77">
        <f>IF(OR(H357="",H357="sif",H357="PM"),0,VLOOKUP(H357,[5]CU!$C$4:$H$255,6,FALSE))</f>
        <v>0.255</v>
      </c>
      <c r="O357" s="77">
        <f t="shared" ref="O357:R362" si="83">$N357*I357</f>
        <v>0</v>
      </c>
      <c r="P357" s="77">
        <f t="shared" si="83"/>
        <v>0</v>
      </c>
      <c r="Q357" s="77">
        <f t="shared" si="83"/>
        <v>15.3</v>
      </c>
      <c r="R357" s="77">
        <f t="shared" si="83"/>
        <v>0</v>
      </c>
      <c r="S357" s="79">
        <f>SUM(O357:R357)</f>
        <v>15.3</v>
      </c>
      <c r="T357" s="92" t="s">
        <v>169</v>
      </c>
      <c r="U357" s="88" t="s">
        <v>170</v>
      </c>
      <c r="V357" s="88" t="str">
        <f>IF(OR($H357="",$H357="sif",$H357="PM"),"",VLOOKUP($H357,[5]CU!$C$5:$J$255,8,FALSE))</f>
        <v>3. Dépenses de fonctionnement</v>
      </c>
      <c r="W357" s="88" t="s">
        <v>192</v>
      </c>
      <c r="X357" s="88" t="s">
        <v>96</v>
      </c>
      <c r="Y357" s="88" t="s">
        <v>32</v>
      </c>
      <c r="Z357" s="88" t="str">
        <f>A357 &amp; "-" &amp; VLOOKUP(A357,[4]PROGRAMMES!$E$1:$F$7,2,FALSE)</f>
        <v>1-Accès et équité à l'enseignement général</v>
      </c>
      <c r="AA357" s="88" t="str">
        <f>B357 &amp; "-" &amp; VLOOKUP(B357,[4]SOUSPROGRAMMES!$E$1:$F$44,2,FALSE)</f>
        <v>15- Promotion de l'éducation inclusive, y compris les FA</v>
      </c>
      <c r="AB357" s="88" t="str">
        <f>C357 &amp; "-" &amp; VLOOKUP(C357,[4]RESULTATS!$E$1:$F$176,2,FALSE)</f>
        <v>152- Un protocole d’assistance matérielle, humaine et technique est élaboré et adopté</v>
      </c>
      <c r="AC357" s="89" t="str">
        <f>D357 &amp; "-" &amp; VLOOKUP(D357,[4]STRATEGIES!$E$1:$F$504,2,FALSE)</f>
        <v>1521-Mise en place et actualisation de la cartographie des enfants en situation de handicap (ESH)</v>
      </c>
      <c r="AD357" s="76" t="str">
        <f t="shared" si="74"/>
        <v>15211-Elaboration des outils de collecte des données sur les élèves en situation de handicap à intégrer dans le questionnaire de collecte des BSD</v>
      </c>
    </row>
    <row r="358" spans="1:30" s="71" customFormat="1" ht="45" hidden="1" customHeight="1" x14ac:dyDescent="0.8">
      <c r="A358" s="91">
        <v>1</v>
      </c>
      <c r="B358" s="75">
        <v>15</v>
      </c>
      <c r="C358" s="75">
        <v>152</v>
      </c>
      <c r="D358" s="75">
        <v>1521</v>
      </c>
      <c r="E358" s="91">
        <v>15212</v>
      </c>
      <c r="F358" s="75" t="s">
        <v>478</v>
      </c>
      <c r="G358" s="76" t="s">
        <v>37</v>
      </c>
      <c r="H358" s="76" t="s">
        <v>66</v>
      </c>
      <c r="I358" s="78">
        <v>0</v>
      </c>
      <c r="J358" s="77">
        <f>50*1</f>
        <v>50</v>
      </c>
      <c r="K358" s="77"/>
      <c r="L358" s="77"/>
      <c r="M358" s="77">
        <f t="shared" si="82"/>
        <v>50</v>
      </c>
      <c r="N358" s="77">
        <f>IF(OR(H358="",H358="sif",H358="PM"),0,VLOOKUP(H358,[5]CU!$C$4:$H$255,6,FALSE))</f>
        <v>0.255</v>
      </c>
      <c r="O358" s="77">
        <f t="shared" si="83"/>
        <v>0</v>
      </c>
      <c r="P358" s="77">
        <f t="shared" si="83"/>
        <v>12.75</v>
      </c>
      <c r="Q358" s="77">
        <f t="shared" si="83"/>
        <v>0</v>
      </c>
      <c r="R358" s="77">
        <f t="shared" si="83"/>
        <v>0</v>
      </c>
      <c r="S358" s="79">
        <f>SUM(O358:R358)</f>
        <v>12.75</v>
      </c>
      <c r="T358" s="92" t="s">
        <v>169</v>
      </c>
      <c r="U358" s="88" t="s">
        <v>170</v>
      </c>
      <c r="V358" s="88" t="str">
        <f>IF(OR($H358="",$H358="sif",$H358="PM"),"",VLOOKUP($H358,[5]CU!$C$5:$J$255,8,FALSE))</f>
        <v>3. Dépenses de fonctionnement</v>
      </c>
      <c r="W358" s="88" t="s">
        <v>192</v>
      </c>
      <c r="X358" s="88" t="s">
        <v>192</v>
      </c>
      <c r="Y358" s="88" t="s">
        <v>32</v>
      </c>
      <c r="Z358" s="88" t="str">
        <f>A358 &amp; "-" &amp; VLOOKUP(A358,[4]PROGRAMMES!$E$1:$F$7,2,FALSE)</f>
        <v>1-Accès et équité à l'enseignement général</v>
      </c>
      <c r="AA358" s="88" t="str">
        <f>B358 &amp; "-" &amp; VLOOKUP(B358,[4]SOUSPROGRAMMES!$E$1:$F$44,2,FALSE)</f>
        <v>15- Promotion de l'éducation inclusive, y compris les FA</v>
      </c>
      <c r="AB358" s="88" t="str">
        <f>C358 &amp; "-" &amp; VLOOKUP(C358,[4]RESULTATS!$E$1:$F$176,2,FALSE)</f>
        <v>152- Un protocole d’assistance matérielle, humaine et technique est élaboré et adopté</v>
      </c>
      <c r="AC358" s="89" t="str">
        <f>D358 &amp; "-" &amp; VLOOKUP(D358,[4]STRATEGIES!$E$1:$F$504,2,FALSE)</f>
        <v>1521-Mise en place et actualisation de la cartographie des enfants en situation de handicap (ESH)</v>
      </c>
      <c r="AD358" s="76" t="str">
        <f t="shared" si="74"/>
        <v>15212-Validation des outils de collecte des données sur les élèves en situation de handicap à intégrer dans le questionnaire de collecte des BSD</v>
      </c>
    </row>
    <row r="359" spans="1:30" s="71" customFormat="1" ht="45" hidden="1" customHeight="1" x14ac:dyDescent="0.8">
      <c r="A359" s="91">
        <v>1</v>
      </c>
      <c r="B359" s="75">
        <v>15</v>
      </c>
      <c r="C359" s="75">
        <v>152</v>
      </c>
      <c r="D359" s="75">
        <v>1521</v>
      </c>
      <c r="E359" s="91">
        <v>15213</v>
      </c>
      <c r="F359" s="75" t="s">
        <v>479</v>
      </c>
      <c r="G359" s="76" t="s">
        <v>159</v>
      </c>
      <c r="H359" s="76" t="s">
        <v>55</v>
      </c>
      <c r="I359" s="78">
        <v>0</v>
      </c>
      <c r="J359" s="77"/>
      <c r="K359" s="77">
        <v>1</v>
      </c>
      <c r="L359" s="77"/>
      <c r="M359" s="77">
        <f t="shared" si="82"/>
        <v>1</v>
      </c>
      <c r="N359" s="77">
        <f>IF(OR(H359="",H359="sif",H359="PM"),0,VLOOKUP(H359,[5]CU!$C$4:$H$255,6,FALSE))</f>
        <v>0</v>
      </c>
      <c r="O359" s="77"/>
      <c r="P359" s="77"/>
      <c r="Q359" s="77">
        <f t="shared" si="83"/>
        <v>0</v>
      </c>
      <c r="R359" s="77"/>
      <c r="S359" s="79"/>
      <c r="T359" s="92" t="s">
        <v>169</v>
      </c>
      <c r="U359" s="88" t="s">
        <v>170</v>
      </c>
      <c r="V359" s="88" t="str">
        <f>IF(OR($H359="",$H359="sif",$H359="PM"),"",VLOOKUP($H359,[5]CU!$C$5:$J$255,8,FALSE))</f>
        <v/>
      </c>
      <c r="W359" s="88" t="s">
        <v>192</v>
      </c>
      <c r="X359" s="88" t="s">
        <v>96</v>
      </c>
      <c r="Y359" s="88" t="s">
        <v>32</v>
      </c>
      <c r="Z359" s="88" t="str">
        <f>A359 &amp; "-" &amp; VLOOKUP(A359,[4]PROGRAMMES!$E$1:$F$7,2,FALSE)</f>
        <v>1-Accès et équité à l'enseignement général</v>
      </c>
      <c r="AA359" s="88" t="str">
        <f>B359 &amp; "-" &amp; VLOOKUP(B359,[4]SOUSPROGRAMMES!$E$1:$F$44,2,FALSE)</f>
        <v>15- Promotion de l'éducation inclusive, y compris les FA</v>
      </c>
      <c r="AB359" s="88" t="str">
        <f>C359 &amp; "-" &amp; VLOOKUP(C359,[4]RESULTATS!$E$1:$F$176,2,FALSE)</f>
        <v>152- Un protocole d’assistance matérielle, humaine et technique est élaboré et adopté</v>
      </c>
      <c r="AC359" s="89" t="str">
        <f>D359 &amp; "-" &amp; VLOOKUP(D359,[4]STRATEGIES!$E$1:$F$504,2,FALSE)</f>
        <v>1521-Mise en place et actualisation de la cartographie des enfants en situation de handicap (ESH)</v>
      </c>
      <c r="AD359" s="76" t="str">
        <f t="shared" si="74"/>
        <v>15213-Intégration des outils de collecte des données sur les élèves en situation de handicap dans la BDD du BSD</v>
      </c>
    </row>
    <row r="360" spans="1:30" s="71" customFormat="1" ht="45" hidden="1" customHeight="1" x14ac:dyDescent="0.8">
      <c r="A360" s="91">
        <v>1</v>
      </c>
      <c r="B360" s="75">
        <v>15</v>
      </c>
      <c r="C360" s="75">
        <v>152</v>
      </c>
      <c r="D360" s="75">
        <v>1521</v>
      </c>
      <c r="E360" s="91">
        <v>15214</v>
      </c>
      <c r="F360" s="75" t="s">
        <v>480</v>
      </c>
      <c r="G360" s="76" t="s">
        <v>159</v>
      </c>
      <c r="H360" s="76" t="s">
        <v>55</v>
      </c>
      <c r="I360" s="78">
        <v>0</v>
      </c>
      <c r="J360" s="77"/>
      <c r="K360" s="77">
        <v>1</v>
      </c>
      <c r="L360" s="77"/>
      <c r="M360" s="77">
        <f t="shared" si="82"/>
        <v>1</v>
      </c>
      <c r="N360" s="77">
        <f>IF(OR(H360="",H360="sif",H360="PM"),0,VLOOKUP(H360,[5]CU!$C$4:$H$255,6,FALSE))</f>
        <v>0</v>
      </c>
      <c r="O360" s="77"/>
      <c r="P360" s="77"/>
      <c r="Q360" s="77">
        <f t="shared" si="83"/>
        <v>0</v>
      </c>
      <c r="R360" s="77"/>
      <c r="S360" s="79"/>
      <c r="T360" s="92" t="s">
        <v>169</v>
      </c>
      <c r="U360" s="88" t="s">
        <v>170</v>
      </c>
      <c r="V360" s="88" t="str">
        <f>IF(OR($H360="",$H360="sif",$H360="PM"),"",VLOOKUP($H360,[5]CU!$C$5:$J$255,8,FALSE))</f>
        <v/>
      </c>
      <c r="W360" s="88" t="s">
        <v>96</v>
      </c>
      <c r="X360" s="88" t="s">
        <v>192</v>
      </c>
      <c r="Y360" s="88" t="s">
        <v>32</v>
      </c>
      <c r="Z360" s="88" t="str">
        <f>A360 &amp; "-" &amp; VLOOKUP(A360,[4]PROGRAMMES!$E$1:$F$7,2,FALSE)</f>
        <v>1-Accès et équité à l'enseignement général</v>
      </c>
      <c r="AA360" s="88" t="str">
        <f>B360 &amp; "-" &amp; VLOOKUP(B360,[4]SOUSPROGRAMMES!$E$1:$F$44,2,FALSE)</f>
        <v>15- Promotion de l'éducation inclusive, y compris les FA</v>
      </c>
      <c r="AB360" s="88" t="str">
        <f>C360 &amp; "-" &amp; VLOOKUP(C360,[4]RESULTATS!$E$1:$F$176,2,FALSE)</f>
        <v>152- Un protocole d’assistance matérielle, humaine et technique est élaboré et adopté</v>
      </c>
      <c r="AC360" s="89" t="str">
        <f>D360 &amp; "-" &amp; VLOOKUP(D360,[4]STRATEGIES!$E$1:$F$504,2,FALSE)</f>
        <v>1521-Mise en place et actualisation de la cartographie des enfants en situation de handicap (ESH)</v>
      </c>
      <c r="AD360" s="76" t="str">
        <f t="shared" si="74"/>
        <v>15214-Formation des agents de collecte sur les outils (pris en compte dans formation des enquêteurs)</v>
      </c>
    </row>
    <row r="361" spans="1:30" s="71" customFormat="1" ht="45" hidden="1" customHeight="1" x14ac:dyDescent="0.8">
      <c r="A361" s="91">
        <v>1</v>
      </c>
      <c r="B361" s="75">
        <v>15</v>
      </c>
      <c r="C361" s="75">
        <v>152</v>
      </c>
      <c r="D361" s="75">
        <v>1521</v>
      </c>
      <c r="E361" s="91">
        <v>15215</v>
      </c>
      <c r="F361" s="75" t="s">
        <v>481</v>
      </c>
      <c r="G361" s="76" t="s">
        <v>159</v>
      </c>
      <c r="H361" s="76" t="s">
        <v>55</v>
      </c>
      <c r="I361" s="78">
        <v>0</v>
      </c>
      <c r="J361" s="77"/>
      <c r="K361" s="77">
        <v>1</v>
      </c>
      <c r="L361" s="77">
        <v>1</v>
      </c>
      <c r="M361" s="77">
        <f t="shared" si="82"/>
        <v>2</v>
      </c>
      <c r="N361" s="77">
        <f>IF(OR(H361="",H361="sif",H361="PM"),0,VLOOKUP(H361,[5]CU!$C$4:$H$255,6,FALSE))</f>
        <v>0</v>
      </c>
      <c r="O361" s="77"/>
      <c r="P361" s="77"/>
      <c r="Q361" s="77">
        <f t="shared" si="83"/>
        <v>0</v>
      </c>
      <c r="R361" s="77"/>
      <c r="S361" s="79"/>
      <c r="T361" s="92" t="s">
        <v>169</v>
      </c>
      <c r="U361" s="88" t="s">
        <v>170</v>
      </c>
      <c r="V361" s="88" t="str">
        <f>IF(OR($H361="",$H361="sif",$H361="PM"),"",VLOOKUP($H361,[5]CU!$C$5:$J$255,8,FALSE))</f>
        <v/>
      </c>
      <c r="W361" s="88" t="s">
        <v>96</v>
      </c>
      <c r="X361" s="88" t="s">
        <v>96</v>
      </c>
      <c r="Y361" s="88" t="s">
        <v>32</v>
      </c>
      <c r="Z361" s="88" t="str">
        <f>A361 &amp; "-" &amp; VLOOKUP(A361,[4]PROGRAMMES!$E$1:$F$7,2,FALSE)</f>
        <v>1-Accès et équité à l'enseignement général</v>
      </c>
      <c r="AA361" s="88" t="str">
        <f>B361 &amp; "-" &amp; VLOOKUP(B361,[4]SOUSPROGRAMMES!$E$1:$F$44,2,FALSE)</f>
        <v>15- Promotion de l'éducation inclusive, y compris les FA</v>
      </c>
      <c r="AB361" s="88" t="str">
        <f>C361 &amp; "-" &amp; VLOOKUP(C361,[4]RESULTATS!$E$1:$F$176,2,FALSE)</f>
        <v>152- Un protocole d’assistance matérielle, humaine et technique est élaboré et adopté</v>
      </c>
      <c r="AC361" s="89" t="str">
        <f>D361 &amp; "-" &amp; VLOOKUP(D361,[4]STRATEGIES!$E$1:$F$504,2,FALSE)</f>
        <v>1521-Mise en place et actualisation de la cartographie des enfants en situation de handicap (ESH)</v>
      </c>
      <c r="AD361" s="76" t="str">
        <f t="shared" si="74"/>
        <v>15215-Collecte des données sur les ESH (dans le cadre de l'enquête annuelle)</v>
      </c>
    </row>
    <row r="362" spans="1:30" s="71" customFormat="1" ht="45" hidden="1" customHeight="1" x14ac:dyDescent="0.8">
      <c r="A362" s="91">
        <v>1</v>
      </c>
      <c r="B362" s="75">
        <v>15</v>
      </c>
      <c r="C362" s="75">
        <v>152</v>
      </c>
      <c r="D362" s="75">
        <v>1521</v>
      </c>
      <c r="E362" s="91">
        <v>15216</v>
      </c>
      <c r="F362" s="75" t="s">
        <v>482</v>
      </c>
      <c r="G362" s="76" t="s">
        <v>159</v>
      </c>
      <c r="H362" s="76" t="s">
        <v>55</v>
      </c>
      <c r="I362" s="78">
        <v>0</v>
      </c>
      <c r="J362" s="77"/>
      <c r="K362" s="77">
        <v>1</v>
      </c>
      <c r="L362" s="77">
        <v>1</v>
      </c>
      <c r="M362" s="77">
        <f t="shared" si="82"/>
        <v>2</v>
      </c>
      <c r="N362" s="77">
        <f>IF(OR(H362="",H362="sif",H362="PM"),0,VLOOKUP(H362,[5]CU!$C$4:$H$255,6,FALSE))</f>
        <v>0</v>
      </c>
      <c r="O362" s="77"/>
      <c r="P362" s="77"/>
      <c r="Q362" s="77">
        <f t="shared" si="83"/>
        <v>0</v>
      </c>
      <c r="R362" s="77"/>
      <c r="S362" s="79"/>
      <c r="T362" s="92" t="s">
        <v>169</v>
      </c>
      <c r="U362" s="88" t="s">
        <v>170</v>
      </c>
      <c r="V362" s="88" t="str">
        <f>IF(OR($H362="",$H362="sif",$H362="PM"),"",VLOOKUP($H362,[5]CU!$C$5:$J$255,8,FALSE))</f>
        <v/>
      </c>
      <c r="W362" s="88" t="s">
        <v>96</v>
      </c>
      <c r="X362" s="88" t="s">
        <v>96</v>
      </c>
      <c r="Y362" s="88" t="s">
        <v>32</v>
      </c>
      <c r="Z362" s="88" t="str">
        <f>A362 &amp; "-" &amp; VLOOKUP(A362,[4]PROGRAMMES!$E$1:$F$7,2,FALSE)</f>
        <v>1-Accès et équité à l'enseignement général</v>
      </c>
      <c r="AA362" s="88" t="str">
        <f>B362 &amp; "-" &amp; VLOOKUP(B362,[4]SOUSPROGRAMMES!$E$1:$F$44,2,FALSE)</f>
        <v>15- Promotion de l'éducation inclusive, y compris les FA</v>
      </c>
      <c r="AB362" s="88" t="str">
        <f>C362 &amp; "-" &amp; VLOOKUP(C362,[4]RESULTATS!$E$1:$F$176,2,FALSE)</f>
        <v>152- Un protocole d’assistance matérielle, humaine et technique est élaboré et adopté</v>
      </c>
      <c r="AC362" s="89" t="str">
        <f>D362 &amp; "-" &amp; VLOOKUP(D362,[4]STRATEGIES!$E$1:$F$504,2,FALSE)</f>
        <v>1521-Mise en place et actualisation de la cartographie des enfants en situation de handicap (ESH)</v>
      </c>
      <c r="AD362" s="76" t="str">
        <f t="shared" si="74"/>
        <v>15216-Traitement des données sur les ESH (dans le cadre de l'enquête annuelle)</v>
      </c>
    </row>
    <row r="363" spans="1:30" s="90" customFormat="1" ht="45" customHeight="1" x14ac:dyDescent="0.8">
      <c r="A363" s="84">
        <v>1</v>
      </c>
      <c r="B363" s="85">
        <v>15</v>
      </c>
      <c r="C363" s="85">
        <v>152</v>
      </c>
      <c r="D363" s="85">
        <v>1522</v>
      </c>
      <c r="E363" s="84">
        <v>1522</v>
      </c>
      <c r="F363" s="75" t="s">
        <v>483</v>
      </c>
      <c r="G363" s="86"/>
      <c r="H363" s="86"/>
      <c r="I363" s="78">
        <v>0</v>
      </c>
      <c r="J363" s="78"/>
      <c r="K363" s="78"/>
      <c r="L363" s="78"/>
      <c r="M363" s="78"/>
      <c r="N363" s="78"/>
      <c r="O363" s="78"/>
      <c r="P363" s="78"/>
      <c r="Q363" s="78"/>
      <c r="R363" s="78"/>
      <c r="S363" s="93"/>
      <c r="T363" s="87"/>
      <c r="U363" s="87"/>
      <c r="V363" s="88"/>
      <c r="W363" s="87"/>
      <c r="X363" s="87"/>
      <c r="Y363" s="88" t="s">
        <v>32</v>
      </c>
      <c r="Z363" s="88" t="str">
        <f>A363 &amp; "-" &amp; VLOOKUP(A363,[4]PROGRAMMES!$E$1:$F$7,2,FALSE)</f>
        <v>1-Accès et équité à l'enseignement général</v>
      </c>
      <c r="AA363" s="88" t="str">
        <f>B363 &amp; "-" &amp; VLOOKUP(B363,[4]SOUSPROGRAMMES!$E$1:$F$44,2,FALSE)</f>
        <v>15- Promotion de l'éducation inclusive, y compris les FA</v>
      </c>
      <c r="AB363" s="88" t="str">
        <f>C363 &amp; "-" &amp; VLOOKUP(C363,[4]RESULTATS!$E$1:$F$176,2,FALSE)</f>
        <v>152- Un protocole d’assistance matérielle, humaine et technique est élaboré et adopté</v>
      </c>
      <c r="AC363" s="89" t="str">
        <f>D363 &amp; "-" &amp; VLOOKUP(D363,[4]STRATEGIES!$E$1:$F$504,2,FALSE)</f>
        <v>1522-Prise en charge des ESH en matériels adaptés et en assistance sociale</v>
      </c>
      <c r="AD363" s="76" t="str">
        <f t="shared" si="74"/>
        <v>1522-Prise en charge des ESH en matériels adaptés et en assistance sociale</v>
      </c>
    </row>
    <row r="364" spans="1:30" s="90" customFormat="1" ht="45" customHeight="1" x14ac:dyDescent="0.8">
      <c r="A364" s="84">
        <v>1</v>
      </c>
      <c r="B364" s="85">
        <v>15</v>
      </c>
      <c r="C364" s="85">
        <v>152</v>
      </c>
      <c r="D364" s="85">
        <v>1522</v>
      </c>
      <c r="E364" s="84">
        <v>15221</v>
      </c>
      <c r="F364" s="75" t="s">
        <v>484</v>
      </c>
      <c r="G364" s="76" t="s">
        <v>485</v>
      </c>
      <c r="H364" s="86" t="s">
        <v>55</v>
      </c>
      <c r="I364" s="78"/>
      <c r="J364" s="93"/>
      <c r="K364" s="93"/>
      <c r="L364" s="93"/>
      <c r="M364" s="93"/>
      <c r="N364" s="93">
        <f>IF(OR(H364="",H364="sif",H364="PM"),0,VLOOKUP(H364,[5]CU!$C$4:$H$255,6,FALSE))</f>
        <v>0</v>
      </c>
      <c r="O364" s="93"/>
      <c r="P364" s="93"/>
      <c r="Q364" s="93"/>
      <c r="R364" s="93"/>
      <c r="S364" s="93"/>
      <c r="T364" s="80" t="s">
        <v>67</v>
      </c>
      <c r="U364" s="87" t="s">
        <v>170</v>
      </c>
      <c r="V364" s="88" t="str">
        <f>IF(OR($H364="",$H364="sif",$H364="PM"),"",VLOOKUP($H364,[5]CU!$C$5:$J$255,8,FALSE))</f>
        <v/>
      </c>
      <c r="W364" s="87" t="s">
        <v>192</v>
      </c>
      <c r="X364" s="87" t="s">
        <v>192</v>
      </c>
      <c r="Y364" s="88" t="s">
        <v>32</v>
      </c>
      <c r="Z364" s="88" t="str">
        <f>A364 &amp; "-" &amp; VLOOKUP(A364,[4]PROGRAMMES!$E$1:$F$7,2,FALSE)</f>
        <v>1-Accès et équité à l'enseignement général</v>
      </c>
      <c r="AA364" s="88" t="str">
        <f>B364 &amp; "-" &amp; VLOOKUP(B364,[4]SOUSPROGRAMMES!$E$1:$F$44,2,FALSE)</f>
        <v>15- Promotion de l'éducation inclusive, y compris les FA</v>
      </c>
      <c r="AB364" s="88" t="str">
        <f>C364 &amp; "-" &amp; VLOOKUP(C364,[4]RESULTATS!$E$1:$F$176,2,FALSE)</f>
        <v>152- Un protocole d’assistance matérielle, humaine et technique est élaboré et adopté</v>
      </c>
      <c r="AC364" s="89" t="str">
        <f>D364 &amp; "-" &amp; VLOOKUP(D364,[4]STRATEGIES!$E$1:$F$504,2,FALSE)</f>
        <v>1522-Prise en charge des ESH en matériels adaptés et en assistance sociale</v>
      </c>
      <c r="AD364" s="76" t="str">
        <f t="shared" si="74"/>
        <v>15221-Identification des équipements et matériels spécialisés nécessaires par type de handicap</v>
      </c>
    </row>
    <row r="365" spans="1:30" s="90" customFormat="1" ht="45" customHeight="1" x14ac:dyDescent="0.8">
      <c r="A365" s="84">
        <v>1</v>
      </c>
      <c r="B365" s="85">
        <v>15</v>
      </c>
      <c r="C365" s="85">
        <v>152</v>
      </c>
      <c r="D365" s="85">
        <v>1522</v>
      </c>
      <c r="E365" s="84">
        <v>15222</v>
      </c>
      <c r="F365" s="75" t="s">
        <v>486</v>
      </c>
      <c r="G365" s="76" t="s">
        <v>487</v>
      </c>
      <c r="H365" s="86" t="s">
        <v>38</v>
      </c>
      <c r="I365" s="78">
        <v>100</v>
      </c>
      <c r="J365" s="93">
        <f>(100*1)*50%</f>
        <v>50</v>
      </c>
      <c r="K365" s="93"/>
      <c r="L365" s="93">
        <f>(100*1)*50%</f>
        <v>50</v>
      </c>
      <c r="M365" s="93">
        <f>SUM(I365:L365)</f>
        <v>200</v>
      </c>
      <c r="N365" s="93">
        <f>IF(OR(H365="",H365="sif",H365="PM"),0,VLOOKUP(H365,[5]CU!$C$4:$H$255,6,FALSE))</f>
        <v>0.3133333333333333</v>
      </c>
      <c r="O365" s="93">
        <f t="shared" ref="O365:R366" si="84">$N365*I365</f>
        <v>31.333333333333329</v>
      </c>
      <c r="P365" s="93">
        <f t="shared" si="84"/>
        <v>15.666666666666664</v>
      </c>
      <c r="Q365" s="93">
        <f t="shared" si="84"/>
        <v>0</v>
      </c>
      <c r="R365" s="93">
        <f t="shared" si="84"/>
        <v>15.666666666666664</v>
      </c>
      <c r="S365" s="93">
        <f>SUM(O365:R365)</f>
        <v>62.666666666666657</v>
      </c>
      <c r="T365" s="80" t="s">
        <v>67</v>
      </c>
      <c r="U365" s="87" t="s">
        <v>170</v>
      </c>
      <c r="V365" s="88" t="str">
        <f>IF(OR($H365="",$H365="sif",$H365="PM"),"",VLOOKUP($H365,[5]CU!$C$5:$J$255,8,FALSE))</f>
        <v>3. Formation</v>
      </c>
      <c r="W365" s="87" t="s">
        <v>192</v>
      </c>
      <c r="X365" s="87" t="s">
        <v>192</v>
      </c>
      <c r="Y365" s="88" t="s">
        <v>32</v>
      </c>
      <c r="Z365" s="88" t="str">
        <f>A365 &amp; "-" &amp; VLOOKUP(A365,[4]PROGRAMMES!$E$1:$F$7,2,FALSE)</f>
        <v>1-Accès et équité à l'enseignement général</v>
      </c>
      <c r="AA365" s="88" t="str">
        <f>B365 &amp; "-" &amp; VLOOKUP(B365,[4]SOUSPROGRAMMES!$E$1:$F$44,2,FALSE)</f>
        <v>15- Promotion de l'éducation inclusive, y compris les FA</v>
      </c>
      <c r="AB365" s="88" t="str">
        <f>C365 &amp; "-" &amp; VLOOKUP(C365,[4]RESULTATS!$E$1:$F$176,2,FALSE)</f>
        <v>152- Un protocole d’assistance matérielle, humaine et technique est élaboré et adopté</v>
      </c>
      <c r="AC365" s="89" t="str">
        <f>D365 &amp; "-" &amp; VLOOKUP(D365,[4]STRATEGIES!$E$1:$F$504,2,FALSE)</f>
        <v>1522-Prise en charge des ESH en matériels adaptés et en assistance sociale</v>
      </c>
      <c r="AD365" s="76" t="str">
        <f t="shared" si="74"/>
        <v>15222-Plaidoirie pour la mobilisation des équipements et matériels spécialisés (appareillages orthopédiques, prothèses auditives, lunettes, canne, béquilles et fauteuils roulants)</v>
      </c>
    </row>
    <row r="366" spans="1:30" s="90" customFormat="1" ht="45" customHeight="1" x14ac:dyDescent="0.8">
      <c r="A366" s="84">
        <v>1</v>
      </c>
      <c r="B366" s="85">
        <v>15</v>
      </c>
      <c r="C366" s="85">
        <v>152</v>
      </c>
      <c r="D366" s="85">
        <v>1522</v>
      </c>
      <c r="E366" s="84">
        <v>15222</v>
      </c>
      <c r="F366" s="75" t="s">
        <v>486</v>
      </c>
      <c r="G366" s="76" t="s">
        <v>487</v>
      </c>
      <c r="H366" s="86" t="s">
        <v>38</v>
      </c>
      <c r="I366" s="78">
        <v>0</v>
      </c>
      <c r="J366" s="78">
        <f>(100*1)*50%</f>
        <v>50</v>
      </c>
      <c r="K366" s="78"/>
      <c r="L366" s="78">
        <f>(100*1)*50%</f>
        <v>50</v>
      </c>
      <c r="M366" s="78">
        <f>SUM(I366:L366)</f>
        <v>100</v>
      </c>
      <c r="N366" s="78">
        <f>IF(OR(H366="",H366="sif",H366="PM"),0,VLOOKUP(H366,[5]CU!$C$4:$H$255,6,FALSE))</f>
        <v>0.3133333333333333</v>
      </c>
      <c r="O366" s="78">
        <f t="shared" si="84"/>
        <v>0</v>
      </c>
      <c r="P366" s="78">
        <f t="shared" si="84"/>
        <v>15.666666666666664</v>
      </c>
      <c r="Q366" s="78">
        <f t="shared" si="84"/>
        <v>0</v>
      </c>
      <c r="R366" s="78">
        <f t="shared" si="84"/>
        <v>15.666666666666664</v>
      </c>
      <c r="S366" s="93">
        <f>SUM(O366:R366)</f>
        <v>31.333333333333329</v>
      </c>
      <c r="T366" s="80" t="s">
        <v>118</v>
      </c>
      <c r="U366" s="87" t="s">
        <v>170</v>
      </c>
      <c r="V366" s="88" t="str">
        <f>IF(OR($H366="",$H366="sif",$H366="PM"),"",VLOOKUP($H366,[5]CU!$C$5:$J$255,8,FALSE))</f>
        <v>3. Formation</v>
      </c>
      <c r="W366" s="87" t="s">
        <v>192</v>
      </c>
      <c r="X366" s="87" t="s">
        <v>192</v>
      </c>
      <c r="Y366" s="88" t="s">
        <v>32</v>
      </c>
      <c r="Z366" s="88" t="str">
        <f>A366 &amp; "-" &amp; VLOOKUP(A366,[4]PROGRAMMES!$E$1:$F$7,2,FALSE)</f>
        <v>1-Accès et équité à l'enseignement général</v>
      </c>
      <c r="AA366" s="88" t="str">
        <f>B366 &amp; "-" &amp; VLOOKUP(B366,[4]SOUSPROGRAMMES!$E$1:$F$44,2,FALSE)</f>
        <v>15- Promotion de l'éducation inclusive, y compris les FA</v>
      </c>
      <c r="AB366" s="88" t="str">
        <f>C366 &amp; "-" &amp; VLOOKUP(C366,[4]RESULTATS!$E$1:$F$176,2,FALSE)</f>
        <v>152- Un protocole d’assistance matérielle, humaine et technique est élaboré et adopté</v>
      </c>
      <c r="AC366" s="89" t="str">
        <f>D366 &amp; "-" &amp; VLOOKUP(D366,[4]STRATEGIES!$E$1:$F$504,2,FALSE)</f>
        <v>1522-Prise en charge des ESH en matériels adaptés et en assistance sociale</v>
      </c>
      <c r="AD366" s="76" t="str">
        <f t="shared" si="74"/>
        <v>15222-Plaidoirie pour la mobilisation des équipements et matériels spécialisés (appareillages orthopédiques, prothèses auditives, lunettes, canne, béquilles et fauteuils roulants)</v>
      </c>
    </row>
    <row r="367" spans="1:30" s="90" customFormat="1" ht="45" customHeight="1" x14ac:dyDescent="0.8">
      <c r="A367" s="84">
        <v>1</v>
      </c>
      <c r="B367" s="85">
        <v>15</v>
      </c>
      <c r="C367" s="85">
        <v>152</v>
      </c>
      <c r="D367" s="85">
        <v>1522</v>
      </c>
      <c r="E367" s="84">
        <v>15223</v>
      </c>
      <c r="F367" s="75" t="s">
        <v>488</v>
      </c>
      <c r="G367" s="76" t="s">
        <v>92</v>
      </c>
      <c r="H367" s="86" t="s">
        <v>55</v>
      </c>
      <c r="I367" s="78"/>
      <c r="J367" s="93"/>
      <c r="K367" s="93"/>
      <c r="L367" s="93"/>
      <c r="M367" s="93"/>
      <c r="N367" s="93">
        <f>IF(OR(H367="",H367="sif",H367="PM"),0,VLOOKUP(H367,[5]CU!$C$4:$H$255,6,FALSE))</f>
        <v>0</v>
      </c>
      <c r="O367" s="93"/>
      <c r="P367" s="93"/>
      <c r="Q367" s="93"/>
      <c r="R367" s="93"/>
      <c r="S367" s="93"/>
      <c r="T367" s="80" t="s">
        <v>67</v>
      </c>
      <c r="U367" s="87" t="s">
        <v>170</v>
      </c>
      <c r="V367" s="88" t="str">
        <f>IF(OR($H367="",$H367="sif",$H367="PM"),"",VLOOKUP($H367,[5]CU!$C$5:$J$255,8,FALSE))</f>
        <v/>
      </c>
      <c r="W367" s="87" t="s">
        <v>192</v>
      </c>
      <c r="X367" s="87" t="s">
        <v>192</v>
      </c>
      <c r="Y367" s="88" t="s">
        <v>32</v>
      </c>
      <c r="Z367" s="88" t="str">
        <f>A367 &amp; "-" &amp; VLOOKUP(A367,[4]PROGRAMMES!$E$1:$F$7,2,FALSE)</f>
        <v>1-Accès et équité à l'enseignement général</v>
      </c>
      <c r="AA367" s="88" t="str">
        <f>B367 &amp; "-" &amp; VLOOKUP(B367,[4]SOUSPROGRAMMES!$E$1:$F$44,2,FALSE)</f>
        <v>15- Promotion de l'éducation inclusive, y compris les FA</v>
      </c>
      <c r="AB367" s="88" t="str">
        <f>C367 &amp; "-" &amp; VLOOKUP(C367,[4]RESULTATS!$E$1:$F$176,2,FALSE)</f>
        <v>152- Un protocole d’assistance matérielle, humaine et technique est élaboré et adopté</v>
      </c>
      <c r="AC367" s="89" t="str">
        <f>D367 &amp; "-" &amp; VLOOKUP(D367,[4]STRATEGIES!$E$1:$F$504,2,FALSE)</f>
        <v>1522-Prise en charge des ESH en matériels adaptés et en assistance sociale</v>
      </c>
      <c r="AD367" s="76" t="str">
        <f t="shared" si="74"/>
        <v>15223-Acquisition des équipements et matériels spécialisés en faveur des ESH (Divers dons en nature et acquisition de compléments)</v>
      </c>
    </row>
    <row r="368" spans="1:30" s="90" customFormat="1" ht="45" customHeight="1" x14ac:dyDescent="0.8">
      <c r="A368" s="84">
        <v>1</v>
      </c>
      <c r="B368" s="85">
        <v>15</v>
      </c>
      <c r="C368" s="85">
        <v>152</v>
      </c>
      <c r="D368" s="85">
        <v>1522</v>
      </c>
      <c r="E368" s="84">
        <v>15224</v>
      </c>
      <c r="F368" s="75" t="s">
        <v>489</v>
      </c>
      <c r="G368" s="76" t="s">
        <v>490</v>
      </c>
      <c r="H368" s="86" t="s">
        <v>491</v>
      </c>
      <c r="I368" s="78">
        <v>100</v>
      </c>
      <c r="J368" s="93">
        <f t="shared" ref="J368:L369" si="85">1*50%</f>
        <v>0.5</v>
      </c>
      <c r="K368" s="93">
        <f t="shared" si="85"/>
        <v>0.5</v>
      </c>
      <c r="L368" s="93">
        <f t="shared" si="85"/>
        <v>0.5</v>
      </c>
      <c r="M368" s="93">
        <f>SUM(I368:L368)</f>
        <v>101.5</v>
      </c>
      <c r="N368" s="93">
        <f>IF(OR(H368="",H368="sif",H368="PM"),0,VLOOKUP(H368,[5]CU!$C$4:$H$255,6,FALSE))</f>
        <v>548.04149641382298</v>
      </c>
      <c r="O368" s="93">
        <f>$N368*I368</f>
        <v>54804.149641382297</v>
      </c>
      <c r="P368" s="93">
        <f>$N368*J368</f>
        <v>274.02074820691149</v>
      </c>
      <c r="Q368" s="93">
        <f>$N368*K368</f>
        <v>274.02074820691149</v>
      </c>
      <c r="R368" s="93">
        <f>$N368*L368</f>
        <v>274.02074820691149</v>
      </c>
      <c r="S368" s="93">
        <f>SUM(O368:R368)</f>
        <v>55626.211886003024</v>
      </c>
      <c r="T368" s="80" t="s">
        <v>67</v>
      </c>
      <c r="U368" s="87" t="s">
        <v>170</v>
      </c>
      <c r="V368" s="88" t="str">
        <f>IF(OR($H368="",$H368="sif",$H368="PM"),"",VLOOKUP($H368,[5]CU!$C$5:$J$255,8,FALSE))</f>
        <v>4. Transferts et subventions</v>
      </c>
      <c r="W368" s="87" t="s">
        <v>192</v>
      </c>
      <c r="X368" s="87" t="s">
        <v>192</v>
      </c>
      <c r="Y368" s="88" t="s">
        <v>32</v>
      </c>
      <c r="Z368" s="88" t="str">
        <f>A368 &amp; "-" &amp; VLOOKUP(A368,[4]PROGRAMMES!$E$1:$F$7,2,FALSE)</f>
        <v>1-Accès et équité à l'enseignement général</v>
      </c>
      <c r="AA368" s="88" t="str">
        <f>B368 &amp; "-" &amp; VLOOKUP(B368,[4]SOUSPROGRAMMES!$E$1:$F$44,2,FALSE)</f>
        <v>15- Promotion de l'éducation inclusive, y compris les FA</v>
      </c>
      <c r="AB368" s="88" t="str">
        <f>C368 &amp; "-" &amp; VLOOKUP(C368,[4]RESULTATS!$E$1:$F$176,2,FALSE)</f>
        <v>152- Un protocole d’assistance matérielle, humaine et technique est élaboré et adopté</v>
      </c>
      <c r="AC368" s="89" t="str">
        <f>D368 &amp; "-" &amp; VLOOKUP(D368,[4]STRATEGIES!$E$1:$F$504,2,FALSE)</f>
        <v>1522-Prise en charge des ESH en matériels adaptés et en assistance sociale</v>
      </c>
      <c r="AD368" s="76" t="str">
        <f t="shared" si="74"/>
        <v xml:space="preserve">15224-Distribution des équipements et matériels spécialisés en faveur des ESH dans les écoles et établissements scolaires </v>
      </c>
    </row>
    <row r="369" spans="1:30" s="90" customFormat="1" ht="45" customHeight="1" x14ac:dyDescent="0.8">
      <c r="A369" s="84">
        <v>1</v>
      </c>
      <c r="B369" s="85">
        <v>15</v>
      </c>
      <c r="C369" s="85">
        <v>152</v>
      </c>
      <c r="D369" s="85">
        <v>1522</v>
      </c>
      <c r="E369" s="84">
        <v>15224</v>
      </c>
      <c r="F369" s="75" t="s">
        <v>489</v>
      </c>
      <c r="G369" s="76" t="s">
        <v>490</v>
      </c>
      <c r="H369" s="86" t="s">
        <v>491</v>
      </c>
      <c r="I369" s="78">
        <v>0</v>
      </c>
      <c r="J369" s="78">
        <f t="shared" si="85"/>
        <v>0.5</v>
      </c>
      <c r="K369" s="78">
        <f t="shared" si="85"/>
        <v>0.5</v>
      </c>
      <c r="L369" s="78">
        <f t="shared" si="85"/>
        <v>0.5</v>
      </c>
      <c r="M369" s="78">
        <f t="shared" ref="M369:M413" si="86">SUM(I369:L369)</f>
        <v>1.5</v>
      </c>
      <c r="N369" s="78">
        <f>IF(OR(H369="",H369="sif",H369="PM"),0,VLOOKUP(H369,[5]CU!$C$4:$H$255,6,FALSE))</f>
        <v>548.04149641382298</v>
      </c>
      <c r="O369" s="78">
        <f t="shared" ref="O369:R376" si="87">$N369*I369</f>
        <v>0</v>
      </c>
      <c r="P369" s="78">
        <f t="shared" si="87"/>
        <v>274.02074820691149</v>
      </c>
      <c r="Q369" s="78">
        <f t="shared" si="87"/>
        <v>274.02074820691149</v>
      </c>
      <c r="R369" s="78">
        <f t="shared" si="87"/>
        <v>274.02074820691149</v>
      </c>
      <c r="S369" s="93">
        <f>SUM(O369:R369)</f>
        <v>822.06224462073442</v>
      </c>
      <c r="T369" s="80" t="s">
        <v>118</v>
      </c>
      <c r="U369" s="87" t="s">
        <v>170</v>
      </c>
      <c r="V369" s="88" t="str">
        <f>IF(OR($H369="",$H369="sif",$H369="PM"),"",VLOOKUP($H369,[5]CU!$C$5:$J$255,8,FALSE))</f>
        <v>4. Transferts et subventions</v>
      </c>
      <c r="W369" s="87" t="s">
        <v>192</v>
      </c>
      <c r="X369" s="87" t="s">
        <v>192</v>
      </c>
      <c r="Y369" s="88" t="s">
        <v>32</v>
      </c>
      <c r="Z369" s="88" t="str">
        <f>A369 &amp; "-" &amp; VLOOKUP(A369,[4]PROGRAMMES!$E$1:$F$7,2,FALSE)</f>
        <v>1-Accès et équité à l'enseignement général</v>
      </c>
      <c r="AA369" s="88" t="str">
        <f>B369 &amp; "-" &amp; VLOOKUP(B369,[4]SOUSPROGRAMMES!$E$1:$F$44,2,FALSE)</f>
        <v>15- Promotion de l'éducation inclusive, y compris les FA</v>
      </c>
      <c r="AB369" s="88" t="str">
        <f>C369 &amp; "-" &amp; VLOOKUP(C369,[4]RESULTATS!$E$1:$F$176,2,FALSE)</f>
        <v>152- Un protocole d’assistance matérielle, humaine et technique est élaboré et adopté</v>
      </c>
      <c r="AC369" s="89" t="str">
        <f>D369 &amp; "-" &amp; VLOOKUP(D369,[4]STRATEGIES!$E$1:$F$504,2,FALSE)</f>
        <v>1522-Prise en charge des ESH en matériels adaptés et en assistance sociale</v>
      </c>
      <c r="AD369" s="76" t="str">
        <f t="shared" si="74"/>
        <v xml:space="preserve">15224-Distribution des équipements et matériels spécialisés en faveur des ESH dans les écoles et établissements scolaires </v>
      </c>
    </row>
    <row r="370" spans="1:30" s="90" customFormat="1" ht="45" customHeight="1" x14ac:dyDescent="0.8">
      <c r="A370" s="84">
        <v>1</v>
      </c>
      <c r="B370" s="85">
        <v>15</v>
      </c>
      <c r="C370" s="85">
        <v>152</v>
      </c>
      <c r="D370" s="85">
        <v>1522</v>
      </c>
      <c r="E370" s="84">
        <v>15225</v>
      </c>
      <c r="F370" s="75" t="s">
        <v>492</v>
      </c>
      <c r="G370" s="76" t="s">
        <v>75</v>
      </c>
      <c r="H370" s="86" t="s">
        <v>76</v>
      </c>
      <c r="I370" s="78"/>
      <c r="J370" s="93">
        <f>1*50%</f>
        <v>0.5</v>
      </c>
      <c r="K370" s="93"/>
      <c r="L370" s="93">
        <f>1*50%</f>
        <v>0.5</v>
      </c>
      <c r="M370" s="93">
        <f>SUM(I370:L370)</f>
        <v>1</v>
      </c>
      <c r="N370" s="93">
        <f>IF(OR(H370="",H370="sif",H370="PM"),0,VLOOKUP(H370,[5]CU!$C$4:$H$255,6,FALSE))</f>
        <v>45.936799999999998</v>
      </c>
      <c r="O370" s="93">
        <f>$N370*I370</f>
        <v>0</v>
      </c>
      <c r="P370" s="93">
        <f>$N370*J370</f>
        <v>22.968399999999999</v>
      </c>
      <c r="Q370" s="93">
        <f>$N370*K370</f>
        <v>0</v>
      </c>
      <c r="R370" s="93">
        <f>$N370*L370</f>
        <v>22.968399999999999</v>
      </c>
      <c r="S370" s="93">
        <f>SUM(O370:R370)</f>
        <v>45.936799999999998</v>
      </c>
      <c r="T370" s="80" t="s">
        <v>67</v>
      </c>
      <c r="U370" s="87" t="s">
        <v>170</v>
      </c>
      <c r="V370" s="88" t="str">
        <f>IF(OR($H370="",$H370="sif",$H370="PM"),"",VLOOKUP($H370,[5]CU!$C$5:$J$255,8,FALSE))</f>
        <v>3. Dépenses de fonctionnement</v>
      </c>
      <c r="W370" s="87" t="s">
        <v>192</v>
      </c>
      <c r="X370" s="87" t="s">
        <v>192</v>
      </c>
      <c r="Y370" s="88" t="s">
        <v>32</v>
      </c>
      <c r="Z370" s="88" t="str">
        <f>A370 &amp; "-" &amp; VLOOKUP(A370,[4]PROGRAMMES!$E$1:$F$7,2,FALSE)</f>
        <v>1-Accès et équité à l'enseignement général</v>
      </c>
      <c r="AA370" s="88" t="str">
        <f>B370 &amp; "-" &amp; VLOOKUP(B370,[4]SOUSPROGRAMMES!$E$1:$F$44,2,FALSE)</f>
        <v>15- Promotion de l'éducation inclusive, y compris les FA</v>
      </c>
      <c r="AB370" s="88" t="str">
        <f>C370 &amp; "-" &amp; VLOOKUP(C370,[4]RESULTATS!$E$1:$F$176,2,FALSE)</f>
        <v>152- Un protocole d’assistance matérielle, humaine et technique est élaboré et adopté</v>
      </c>
      <c r="AC370" s="89" t="str">
        <f>D370 &amp; "-" &amp; VLOOKUP(D370,[4]STRATEGIES!$E$1:$F$504,2,FALSE)</f>
        <v>1522-Prise en charge des ESH en matériels adaptés et en assistance sociale</v>
      </c>
      <c r="AD370" s="76" t="str">
        <f t="shared" si="74"/>
        <v>15225-Plaidoirie pour la mobilisation des personnes ressources (assistants, interprètes/traducteurs, guides, soutien scolaire)</v>
      </c>
    </row>
    <row r="371" spans="1:30" s="90" customFormat="1" ht="45" customHeight="1" x14ac:dyDescent="0.8">
      <c r="A371" s="84">
        <v>1</v>
      </c>
      <c r="B371" s="85">
        <v>15</v>
      </c>
      <c r="C371" s="85">
        <v>152</v>
      </c>
      <c r="D371" s="85">
        <v>1522</v>
      </c>
      <c r="E371" s="84">
        <v>15225</v>
      </c>
      <c r="F371" s="75" t="s">
        <v>492</v>
      </c>
      <c r="G371" s="76" t="s">
        <v>75</v>
      </c>
      <c r="H371" s="86" t="s">
        <v>76</v>
      </c>
      <c r="I371" s="78">
        <v>0</v>
      </c>
      <c r="J371" s="78">
        <f>1*50%</f>
        <v>0.5</v>
      </c>
      <c r="K371" s="78"/>
      <c r="L371" s="78">
        <f>1*50%</f>
        <v>0.5</v>
      </c>
      <c r="M371" s="78">
        <f t="shared" si="86"/>
        <v>1</v>
      </c>
      <c r="N371" s="78">
        <f>IF(OR(H371="",H371="sif",H371="PM"),0,VLOOKUP(H371,[5]CU!$C$4:$H$255,6,FALSE))</f>
        <v>45.936799999999998</v>
      </c>
      <c r="O371" s="78">
        <f t="shared" si="87"/>
        <v>0</v>
      </c>
      <c r="P371" s="78">
        <f t="shared" si="87"/>
        <v>22.968399999999999</v>
      </c>
      <c r="Q371" s="78">
        <f t="shared" si="87"/>
        <v>0</v>
      </c>
      <c r="R371" s="78">
        <f t="shared" si="87"/>
        <v>22.968399999999999</v>
      </c>
      <c r="S371" s="93">
        <f>SUM(O371:R371)</f>
        <v>45.936799999999998</v>
      </c>
      <c r="T371" s="80" t="s">
        <v>118</v>
      </c>
      <c r="U371" s="87" t="s">
        <v>170</v>
      </c>
      <c r="V371" s="88" t="str">
        <f>IF(OR($H371="",$H371="sif",$H371="PM"),"",VLOOKUP($H371,[5]CU!$C$5:$J$255,8,FALSE))</f>
        <v>3. Dépenses de fonctionnement</v>
      </c>
      <c r="W371" s="87" t="s">
        <v>192</v>
      </c>
      <c r="X371" s="87" t="s">
        <v>192</v>
      </c>
      <c r="Y371" s="88" t="s">
        <v>32</v>
      </c>
      <c r="Z371" s="88" t="str">
        <f>A371 &amp; "-" &amp; VLOOKUP(A371,[4]PROGRAMMES!$E$1:$F$7,2,FALSE)</f>
        <v>1-Accès et équité à l'enseignement général</v>
      </c>
      <c r="AA371" s="88" t="str">
        <f>B371 &amp; "-" &amp; VLOOKUP(B371,[4]SOUSPROGRAMMES!$E$1:$F$44,2,FALSE)</f>
        <v>15- Promotion de l'éducation inclusive, y compris les FA</v>
      </c>
      <c r="AB371" s="88" t="str">
        <f>C371 &amp; "-" &amp; VLOOKUP(C371,[4]RESULTATS!$E$1:$F$176,2,FALSE)</f>
        <v>152- Un protocole d’assistance matérielle, humaine et technique est élaboré et adopté</v>
      </c>
      <c r="AC371" s="89" t="str">
        <f>D371 &amp; "-" &amp; VLOOKUP(D371,[4]STRATEGIES!$E$1:$F$504,2,FALSE)</f>
        <v>1522-Prise en charge des ESH en matériels adaptés et en assistance sociale</v>
      </c>
      <c r="AD371" s="76" t="str">
        <f t="shared" si="74"/>
        <v>15225-Plaidoirie pour la mobilisation des personnes ressources (assistants, interprètes/traducteurs, guides, soutien scolaire)</v>
      </c>
    </row>
    <row r="372" spans="1:30" s="90" customFormat="1" ht="45" customHeight="1" x14ac:dyDescent="0.8">
      <c r="A372" s="84">
        <v>1</v>
      </c>
      <c r="B372" s="85">
        <v>15</v>
      </c>
      <c r="C372" s="85">
        <v>153</v>
      </c>
      <c r="D372" s="85">
        <v>153</v>
      </c>
      <c r="E372" s="84">
        <v>153</v>
      </c>
      <c r="F372" s="75" t="s">
        <v>493</v>
      </c>
      <c r="G372" s="86"/>
      <c r="H372" s="86"/>
      <c r="I372" s="78">
        <v>0</v>
      </c>
      <c r="J372" s="78"/>
      <c r="K372" s="78"/>
      <c r="L372" s="78"/>
      <c r="M372" s="78"/>
      <c r="N372" s="78"/>
      <c r="O372" s="78"/>
      <c r="P372" s="78"/>
      <c r="Q372" s="78"/>
      <c r="R372" s="78"/>
      <c r="S372" s="93"/>
      <c r="T372" s="87"/>
      <c r="U372" s="87"/>
      <c r="V372" s="88"/>
      <c r="W372" s="87"/>
      <c r="X372" s="87"/>
      <c r="Y372" s="88" t="s">
        <v>32</v>
      </c>
      <c r="Z372" s="88" t="str">
        <f>A372 &amp; "-" &amp; VLOOKUP(A372,[4]PROGRAMMES!$E$1:$F$7,2,FALSE)</f>
        <v>1-Accès et équité à l'enseignement général</v>
      </c>
      <c r="AA372" s="88" t="str">
        <f>B372 &amp; "-" &amp; VLOOKUP(B372,[4]SOUSPROGRAMMES!$E$1:$F$44,2,FALSE)</f>
        <v>15- Promotion de l'éducation inclusive, y compris les FA</v>
      </c>
      <c r="AB372" s="88" t="str">
        <f>C372 &amp; "-" &amp; VLOOKUP(C372,[4]RESULTATS!$E$1:$F$176,2,FALSE)</f>
        <v>153- L'éducation inclusive est intégrée dans la prise de décision par les différents acteurs</v>
      </c>
      <c r="AC372" s="89" t="str">
        <f>D372 &amp; "-" &amp; VLOOKUP(D372,[4]STRATEGIES!$E$1:$F$504,2,FALSE)</f>
        <v>153- L'éducation inclusive est intégrée dans la prise de décision par les différents acteurs</v>
      </c>
      <c r="AD372" s="76" t="str">
        <f t="shared" si="74"/>
        <v>153- L'éducation inclusive est intégrée dans la prise de décision par les différents acteurs</v>
      </c>
    </row>
    <row r="373" spans="1:30" s="90" customFormat="1" ht="45" customHeight="1" x14ac:dyDescent="0.8">
      <c r="A373" s="84">
        <v>1</v>
      </c>
      <c r="B373" s="85">
        <v>15</v>
      </c>
      <c r="C373" s="85">
        <v>153</v>
      </c>
      <c r="D373" s="85">
        <v>1531</v>
      </c>
      <c r="E373" s="84">
        <v>1531</v>
      </c>
      <c r="F373" s="75" t="s">
        <v>494</v>
      </c>
      <c r="G373" s="86"/>
      <c r="H373" s="86"/>
      <c r="I373" s="78">
        <v>0</v>
      </c>
      <c r="J373" s="78"/>
      <c r="K373" s="78"/>
      <c r="L373" s="78"/>
      <c r="M373" s="78"/>
      <c r="N373" s="78"/>
      <c r="O373" s="78"/>
      <c r="P373" s="78"/>
      <c r="Q373" s="78"/>
      <c r="R373" s="78"/>
      <c r="S373" s="93"/>
      <c r="T373" s="87"/>
      <c r="U373" s="87"/>
      <c r="V373" s="88"/>
      <c r="W373" s="87"/>
      <c r="X373" s="87"/>
      <c r="Y373" s="88" t="s">
        <v>32</v>
      </c>
      <c r="Z373" s="88" t="str">
        <f>A373 &amp; "-" &amp; VLOOKUP(A373,[4]PROGRAMMES!$E$1:$F$7,2,FALSE)</f>
        <v>1-Accès et équité à l'enseignement général</v>
      </c>
      <c r="AA373" s="88" t="str">
        <f>B373 &amp; "-" &amp; VLOOKUP(B373,[4]SOUSPROGRAMMES!$E$1:$F$44,2,FALSE)</f>
        <v>15- Promotion de l'éducation inclusive, y compris les FA</v>
      </c>
      <c r="AB373" s="88" t="str">
        <f>C373 &amp; "-" &amp; VLOOKUP(C373,[4]RESULTATS!$E$1:$F$176,2,FALSE)</f>
        <v>153- L'éducation inclusive est intégrée dans la prise de décision par les différents acteurs</v>
      </c>
      <c r="AC373" s="89" t="str">
        <f>D373 &amp; "-" &amp; VLOOKUP(D373,[4]STRATEGIES!$E$1:$F$504,2,FALSE)</f>
        <v>1531-Renforcement des capacités en éducation inclusive (pilotage, directeurs, enseignants)</v>
      </c>
      <c r="AD373" s="76" t="str">
        <f t="shared" si="74"/>
        <v>1531-Renforcement des capacités en éducation inclusive (pilotage, directeurs, enseignants)</v>
      </c>
    </row>
    <row r="374" spans="1:30" s="90" customFormat="1" ht="45" customHeight="1" x14ac:dyDescent="0.8">
      <c r="A374" s="84">
        <v>1</v>
      </c>
      <c r="B374" s="85">
        <v>15</v>
      </c>
      <c r="C374" s="85">
        <v>153</v>
      </c>
      <c r="D374" s="85">
        <v>1531</v>
      </c>
      <c r="E374" s="84">
        <v>15311</v>
      </c>
      <c r="F374" s="75" t="s">
        <v>495</v>
      </c>
      <c r="G374" s="76" t="s">
        <v>496</v>
      </c>
      <c r="H374" s="86" t="s">
        <v>497</v>
      </c>
      <c r="I374" s="78"/>
      <c r="J374" s="93"/>
      <c r="K374" s="93"/>
      <c r="L374" s="93"/>
      <c r="M374" s="93">
        <f t="shared" si="86"/>
        <v>0</v>
      </c>
      <c r="N374" s="93">
        <f>IF(OR(H374="",H374="sif",H374="PM"),0,VLOOKUP(H374,[5]CU!$C$4:$H$255,6,FALSE))</f>
        <v>285</v>
      </c>
      <c r="O374" s="93">
        <f t="shared" si="87"/>
        <v>0</v>
      </c>
      <c r="P374" s="93">
        <f t="shared" si="87"/>
        <v>0</v>
      </c>
      <c r="Q374" s="93">
        <f t="shared" si="87"/>
        <v>0</v>
      </c>
      <c r="R374" s="93">
        <f t="shared" si="87"/>
        <v>0</v>
      </c>
      <c r="S374" s="93">
        <f>SUM(O374:R374)</f>
        <v>0</v>
      </c>
      <c r="T374" s="80" t="s">
        <v>67</v>
      </c>
      <c r="U374" s="87" t="s">
        <v>170</v>
      </c>
      <c r="V374" s="88" t="str">
        <f>IF(OR($H374="",$H374="sif",$H374="PM"),"",VLOOKUP($H374,[5]CU!$C$5:$J$255,8,FALSE))</f>
        <v>3. Dépenses de fonctionnement</v>
      </c>
      <c r="W374" s="87" t="s">
        <v>192</v>
      </c>
      <c r="X374" s="87" t="s">
        <v>192</v>
      </c>
      <c r="Y374" s="88" t="s">
        <v>32</v>
      </c>
      <c r="Z374" s="88" t="str">
        <f>A374 &amp; "-" &amp; VLOOKUP(A374,[4]PROGRAMMES!$E$1:$F$7,2,FALSE)</f>
        <v>1-Accès et équité à l'enseignement général</v>
      </c>
      <c r="AA374" s="88" t="str">
        <f>B374 &amp; "-" &amp; VLOOKUP(B374,[4]SOUSPROGRAMMES!$E$1:$F$44,2,FALSE)</f>
        <v>15- Promotion de l'éducation inclusive, y compris les FA</v>
      </c>
      <c r="AB374" s="88" t="str">
        <f>C374 &amp; "-" &amp; VLOOKUP(C374,[4]RESULTATS!$E$1:$F$176,2,FALSE)</f>
        <v>153- L'éducation inclusive est intégrée dans la prise de décision par les différents acteurs</v>
      </c>
      <c r="AC374" s="89" t="str">
        <f>D374 &amp; "-" &amp; VLOOKUP(D374,[4]STRATEGIES!$E$1:$F$504,2,FALSE)</f>
        <v>1531-Renforcement des capacités en éducation inclusive (pilotage, directeurs, enseignants)</v>
      </c>
      <c r="AD374" s="76" t="str">
        <f t="shared" si="74"/>
        <v>15311-Elaboration d'une politique et de normes pour l'éducation inclusive et mise en place de mécanismes de soutien aux écoles</v>
      </c>
    </row>
    <row r="375" spans="1:30" s="71" customFormat="1" ht="45" hidden="1" customHeight="1" x14ac:dyDescent="0.8">
      <c r="A375" s="91">
        <v>1</v>
      </c>
      <c r="B375" s="75">
        <v>15</v>
      </c>
      <c r="C375" s="75">
        <v>153</v>
      </c>
      <c r="D375" s="75">
        <v>1531</v>
      </c>
      <c r="E375" s="91">
        <v>15312</v>
      </c>
      <c r="F375" s="75" t="s">
        <v>498</v>
      </c>
      <c r="G375" s="76" t="s">
        <v>54</v>
      </c>
      <c r="H375" s="76" t="s">
        <v>55</v>
      </c>
      <c r="I375" s="78">
        <v>0</v>
      </c>
      <c r="J375" s="77"/>
      <c r="K375" s="77"/>
      <c r="L375" s="77"/>
      <c r="M375" s="77">
        <f t="shared" si="86"/>
        <v>0</v>
      </c>
      <c r="N375" s="77">
        <f>IF(OR(H375="",H375="sif",H375="PM"),0,VLOOKUP(H375,[5]CU!$C$4:$H$255,6,FALSE))</f>
        <v>0</v>
      </c>
      <c r="O375" s="77"/>
      <c r="P375" s="77"/>
      <c r="Q375" s="77">
        <f t="shared" si="87"/>
        <v>0</v>
      </c>
      <c r="R375" s="77"/>
      <c r="S375" s="79"/>
      <c r="T375" s="92" t="s">
        <v>169</v>
      </c>
      <c r="U375" s="88" t="s">
        <v>170</v>
      </c>
      <c r="V375" s="88" t="str">
        <f>IF(OR($H375="",$H375="sif",$H375="PM"),"",VLOOKUP($H375,[5]CU!$C$5:$J$255,8,FALSE))</f>
        <v/>
      </c>
      <c r="W375" s="88" t="s">
        <v>192</v>
      </c>
      <c r="X375" s="88" t="s">
        <v>192</v>
      </c>
      <c r="Y375" s="88" t="s">
        <v>32</v>
      </c>
      <c r="Z375" s="88" t="str">
        <f>A375 &amp; "-" &amp; VLOOKUP(A375,[4]PROGRAMMES!$E$1:$F$7,2,FALSE)</f>
        <v>1-Accès et équité à l'enseignement général</v>
      </c>
      <c r="AA375" s="88" t="str">
        <f>B375 &amp; "-" &amp; VLOOKUP(B375,[4]SOUSPROGRAMMES!$E$1:$F$44,2,FALSE)</f>
        <v>15- Promotion de l'éducation inclusive, y compris les FA</v>
      </c>
      <c r="AB375" s="88" t="str">
        <f>C375 &amp; "-" &amp; VLOOKUP(C375,[4]RESULTATS!$E$1:$F$176,2,FALSE)</f>
        <v>153- L'éducation inclusive est intégrée dans la prise de décision par les différents acteurs</v>
      </c>
      <c r="AC375" s="89" t="str">
        <f>D375 &amp; "-" &amp; VLOOKUP(D375,[4]STRATEGIES!$E$1:$F$504,2,FALSE)</f>
        <v>1531-Renforcement des capacités en éducation inclusive (pilotage, directeurs, enseignants)</v>
      </c>
      <c r="AD375" s="76" t="str">
        <f t="shared" si="74"/>
        <v>15312-Constitution d'une équipe de cadre nationaux pour la prise en charge des ESH</v>
      </c>
    </row>
    <row r="376" spans="1:30" s="71" customFormat="1" ht="45" hidden="1" customHeight="1" x14ac:dyDescent="0.8">
      <c r="A376" s="91">
        <v>1</v>
      </c>
      <c r="B376" s="75">
        <v>15</v>
      </c>
      <c r="C376" s="75">
        <v>153</v>
      </c>
      <c r="D376" s="75">
        <v>1531</v>
      </c>
      <c r="E376" s="91">
        <v>15313</v>
      </c>
      <c r="F376" s="75" t="s">
        <v>499</v>
      </c>
      <c r="G376" s="76" t="s">
        <v>500</v>
      </c>
      <c r="H376" s="76" t="s">
        <v>501</v>
      </c>
      <c r="I376" s="78">
        <v>0</v>
      </c>
      <c r="J376" s="77">
        <f>5*50.01%</f>
        <v>2.5004999999999997</v>
      </c>
      <c r="K376" s="77"/>
      <c r="L376" s="77"/>
      <c r="M376" s="77">
        <f t="shared" si="86"/>
        <v>2.5004999999999997</v>
      </c>
      <c r="N376" s="77">
        <f>IF(OR(H376="",H376="sif",H376="PM"),0,VLOOKUP(H376,[5]CU!$C$4:$H$255,6,FALSE))</f>
        <v>50.336534</v>
      </c>
      <c r="O376" s="77">
        <f t="shared" ref="O376:R390" si="88">$N376*I376</f>
        <v>0</v>
      </c>
      <c r="P376" s="77">
        <f t="shared" si="88"/>
        <v>125.86650326699998</v>
      </c>
      <c r="Q376" s="77">
        <f t="shared" si="87"/>
        <v>0</v>
      </c>
      <c r="R376" s="77">
        <f t="shared" si="88"/>
        <v>0</v>
      </c>
      <c r="S376" s="79">
        <f>SUM(O376:R376)</f>
        <v>125.86650326699998</v>
      </c>
      <c r="T376" s="92" t="s">
        <v>169</v>
      </c>
      <c r="U376" s="88" t="s">
        <v>170</v>
      </c>
      <c r="V376" s="88" t="str">
        <f>IF(OR($H376="",$H376="sif",$H376="PM"),"",VLOOKUP($H376,[5]CU!$C$5:$J$255,8,FALSE))</f>
        <v>3. Formation</v>
      </c>
      <c r="W376" s="88" t="s">
        <v>192</v>
      </c>
      <c r="X376" s="88" t="s">
        <v>192</v>
      </c>
      <c r="Y376" s="88" t="s">
        <v>32</v>
      </c>
      <c r="Z376" s="88" t="str">
        <f>A376 &amp; "-" &amp; VLOOKUP(A376,[4]PROGRAMMES!$E$1:$F$7,2,FALSE)</f>
        <v>1-Accès et équité à l'enseignement général</v>
      </c>
      <c r="AA376" s="88" t="str">
        <f>B376 &amp; "-" &amp; VLOOKUP(B376,[4]SOUSPROGRAMMES!$E$1:$F$44,2,FALSE)</f>
        <v>15- Promotion de l'éducation inclusive, y compris les FA</v>
      </c>
      <c r="AB376" s="88" t="str">
        <f>C376 &amp; "-" &amp; VLOOKUP(C376,[4]RESULTATS!$E$1:$F$176,2,FALSE)</f>
        <v>153- L'éducation inclusive est intégrée dans la prise de décision par les différents acteurs</v>
      </c>
      <c r="AC376" s="89" t="str">
        <f>D376 &amp; "-" &amp; VLOOKUP(D376,[4]STRATEGIES!$E$1:$F$504,2,FALSE)</f>
        <v>1531-Renforcement des capacités en éducation inclusive (pilotage, directeurs, enseignants)</v>
      </c>
      <c r="AD376" s="76" t="str">
        <f t="shared" si="74"/>
        <v>15313-Renforcement des capacités de l'équipe nationale dans la prise en charge des ESH</v>
      </c>
    </row>
    <row r="377" spans="1:30" s="90" customFormat="1" ht="45" customHeight="1" x14ac:dyDescent="0.8">
      <c r="A377" s="84">
        <v>1</v>
      </c>
      <c r="B377" s="85">
        <v>15</v>
      </c>
      <c r="C377" s="85">
        <v>153</v>
      </c>
      <c r="D377" s="85">
        <v>1531</v>
      </c>
      <c r="E377" s="84">
        <v>15313</v>
      </c>
      <c r="F377" s="75" t="s">
        <v>499</v>
      </c>
      <c r="G377" s="76" t="s">
        <v>500</v>
      </c>
      <c r="H377" s="86" t="s">
        <v>501</v>
      </c>
      <c r="I377" s="78">
        <v>0</v>
      </c>
      <c r="J377" s="78">
        <f>5*44.33%</f>
        <v>2.2164999999999999</v>
      </c>
      <c r="K377" s="78"/>
      <c r="L377" s="78"/>
      <c r="M377" s="78">
        <f>SUM(I377:L377)</f>
        <v>2.2164999999999999</v>
      </c>
      <c r="N377" s="78">
        <f>IF(OR(H377="",H377="sif",H377="PM"),0,VLOOKUP(H377,[5]CU!$C$4:$H$255,6,FALSE))</f>
        <v>50.336534</v>
      </c>
      <c r="O377" s="78">
        <f t="shared" si="88"/>
        <v>0</v>
      </c>
      <c r="P377" s="78">
        <f t="shared" si="88"/>
        <v>111.570927611</v>
      </c>
      <c r="Q377" s="78">
        <f t="shared" si="88"/>
        <v>0</v>
      </c>
      <c r="R377" s="78">
        <f t="shared" si="88"/>
        <v>0</v>
      </c>
      <c r="S377" s="93">
        <f>SUM(O377:R377)</f>
        <v>111.570927611</v>
      </c>
      <c r="T377" s="80" t="s">
        <v>118</v>
      </c>
      <c r="U377" s="87" t="s">
        <v>170</v>
      </c>
      <c r="V377" s="88" t="str">
        <f>IF(OR($H377="",$H377="sif",$H377="PM"),"",VLOOKUP($H377,[5]CU!$C$5:$J$255,8,FALSE))</f>
        <v>3. Formation</v>
      </c>
      <c r="W377" s="87" t="s">
        <v>192</v>
      </c>
      <c r="X377" s="87" t="s">
        <v>192</v>
      </c>
      <c r="Y377" s="88" t="s">
        <v>32</v>
      </c>
      <c r="Z377" s="88" t="str">
        <f>A377 &amp; "-" &amp; VLOOKUP(A377,[4]PROGRAMMES!$E$1:$F$7,2,FALSE)</f>
        <v>1-Accès et équité à l'enseignement général</v>
      </c>
      <c r="AA377" s="88" t="str">
        <f>B377 &amp; "-" &amp; VLOOKUP(B377,[4]SOUSPROGRAMMES!$E$1:$F$44,2,FALSE)</f>
        <v>15- Promotion de l'éducation inclusive, y compris les FA</v>
      </c>
      <c r="AB377" s="88" t="str">
        <f>C377 &amp; "-" &amp; VLOOKUP(C377,[4]RESULTATS!$E$1:$F$176,2,FALSE)</f>
        <v>153- L'éducation inclusive est intégrée dans la prise de décision par les différents acteurs</v>
      </c>
      <c r="AC377" s="89" t="str">
        <f>D377 &amp; "-" &amp; VLOOKUP(D377,[4]STRATEGIES!$E$1:$F$504,2,FALSE)</f>
        <v>1531-Renforcement des capacités en éducation inclusive (pilotage, directeurs, enseignants)</v>
      </c>
      <c r="AD377" s="76" t="str">
        <f t="shared" si="74"/>
        <v>15313-Renforcement des capacités de l'équipe nationale dans la prise en charge des ESH</v>
      </c>
    </row>
    <row r="378" spans="1:30" s="90" customFormat="1" ht="45" customHeight="1" x14ac:dyDescent="0.8">
      <c r="A378" s="84">
        <v>1</v>
      </c>
      <c r="B378" s="85">
        <v>15</v>
      </c>
      <c r="C378" s="85">
        <v>153</v>
      </c>
      <c r="D378" s="85">
        <v>1531</v>
      </c>
      <c r="E378" s="84">
        <v>15313</v>
      </c>
      <c r="F378" s="75" t="s">
        <v>499</v>
      </c>
      <c r="G378" s="76" t="s">
        <v>500</v>
      </c>
      <c r="H378" s="86" t="s">
        <v>501</v>
      </c>
      <c r="I378" s="78"/>
      <c r="J378" s="93">
        <f>5*5.66%</f>
        <v>0.28300000000000003</v>
      </c>
      <c r="K378" s="93"/>
      <c r="L378" s="93"/>
      <c r="M378" s="93">
        <f t="shared" si="86"/>
        <v>0.28300000000000003</v>
      </c>
      <c r="N378" s="93">
        <f>IF(OR(H378="",H378="sif",H378="PM"),0,VLOOKUP(H378,[5]CU!$C$4:$H$255,6,FALSE))</f>
        <v>50.336534</v>
      </c>
      <c r="O378" s="93">
        <f t="shared" si="88"/>
        <v>0</v>
      </c>
      <c r="P378" s="93">
        <f t="shared" si="88"/>
        <v>14.245239122000001</v>
      </c>
      <c r="Q378" s="93">
        <f t="shared" si="88"/>
        <v>0</v>
      </c>
      <c r="R378" s="93">
        <f t="shared" si="88"/>
        <v>0</v>
      </c>
      <c r="S378" s="93">
        <f t="shared" ref="S378:S394" si="89">SUM(O378:R378)</f>
        <v>14.245239122000001</v>
      </c>
      <c r="T378" s="80" t="s">
        <v>67</v>
      </c>
      <c r="U378" s="87" t="s">
        <v>170</v>
      </c>
      <c r="V378" s="88" t="str">
        <f>IF(OR($H378="",$H378="sif",$H378="PM"),"",VLOOKUP($H378,[5]CU!$C$5:$J$255,8,FALSE))</f>
        <v>3. Formation</v>
      </c>
      <c r="W378" s="87" t="s">
        <v>192</v>
      </c>
      <c r="X378" s="87" t="s">
        <v>192</v>
      </c>
      <c r="Y378" s="88" t="s">
        <v>32</v>
      </c>
      <c r="Z378" s="88" t="str">
        <f>A378 &amp; "-" &amp; VLOOKUP(A378,[4]PROGRAMMES!$E$1:$F$7,2,FALSE)</f>
        <v>1-Accès et équité à l'enseignement général</v>
      </c>
      <c r="AA378" s="88" t="str">
        <f>B378 &amp; "-" &amp; VLOOKUP(B378,[4]SOUSPROGRAMMES!$E$1:$F$44,2,FALSE)</f>
        <v>15- Promotion de l'éducation inclusive, y compris les FA</v>
      </c>
      <c r="AB378" s="88" t="str">
        <f>C378 &amp; "-" &amp; VLOOKUP(C378,[4]RESULTATS!$E$1:$F$176,2,FALSE)</f>
        <v>153- L'éducation inclusive est intégrée dans la prise de décision par les différents acteurs</v>
      </c>
      <c r="AC378" s="89" t="str">
        <f>D378 &amp; "-" &amp; VLOOKUP(D378,[4]STRATEGIES!$E$1:$F$504,2,FALSE)</f>
        <v>1531-Renforcement des capacités en éducation inclusive (pilotage, directeurs, enseignants)</v>
      </c>
      <c r="AD378" s="76" t="str">
        <f t="shared" si="74"/>
        <v>15313-Renforcement des capacités de l'équipe nationale dans la prise en charge des ESH</v>
      </c>
    </row>
    <row r="379" spans="1:30" s="71" customFormat="1" ht="45" hidden="1" customHeight="1" x14ac:dyDescent="0.8">
      <c r="A379" s="91">
        <v>1</v>
      </c>
      <c r="B379" s="75">
        <v>15</v>
      </c>
      <c r="C379" s="75">
        <v>153</v>
      </c>
      <c r="D379" s="75">
        <v>1531</v>
      </c>
      <c r="E379" s="91">
        <v>15314</v>
      </c>
      <c r="F379" s="75" t="s">
        <v>502</v>
      </c>
      <c r="G379" s="76" t="s">
        <v>503</v>
      </c>
      <c r="H379" s="76" t="s">
        <v>452</v>
      </c>
      <c r="I379" s="78">
        <v>0</v>
      </c>
      <c r="J379" s="77"/>
      <c r="K379" s="77">
        <v>50</v>
      </c>
      <c r="L379" s="77"/>
      <c r="M379" s="77">
        <f t="shared" si="86"/>
        <v>50</v>
      </c>
      <c r="N379" s="77">
        <f>IF(OR(H379="",H379="sif",H379="PM"),0,VLOOKUP(H379,[5]CU!$C$4:$H$255,6,FALSE))</f>
        <v>7.4999999999999997E-3</v>
      </c>
      <c r="O379" s="77">
        <f t="shared" si="88"/>
        <v>0</v>
      </c>
      <c r="P379" s="77">
        <f t="shared" si="88"/>
        <v>0</v>
      </c>
      <c r="Q379" s="77">
        <f t="shared" si="88"/>
        <v>0.375</v>
      </c>
      <c r="R379" s="77">
        <f t="shared" si="88"/>
        <v>0</v>
      </c>
      <c r="S379" s="79">
        <f t="shared" si="89"/>
        <v>0.375</v>
      </c>
      <c r="T379" s="92" t="s">
        <v>169</v>
      </c>
      <c r="U379" s="88" t="s">
        <v>170</v>
      </c>
      <c r="V379" s="88" t="str">
        <f>IF(OR($H379="",$H379="sif",$H379="PM"),"",VLOOKUP($H379,[5]CU!$C$5:$J$255,8,FALSE))</f>
        <v>3. Dépenses de fonctionnement</v>
      </c>
      <c r="W379" s="88" t="s">
        <v>192</v>
      </c>
      <c r="X379" s="88" t="s">
        <v>192</v>
      </c>
      <c r="Y379" s="88" t="s">
        <v>32</v>
      </c>
      <c r="Z379" s="88" t="str">
        <f>A379 &amp; "-" &amp; VLOOKUP(A379,[4]PROGRAMMES!$E$1:$F$7,2,FALSE)</f>
        <v>1-Accès et équité à l'enseignement général</v>
      </c>
      <c r="AA379" s="88" t="str">
        <f>B379 &amp; "-" &amp; VLOOKUP(B379,[4]SOUSPROGRAMMES!$E$1:$F$44,2,FALSE)</f>
        <v>15- Promotion de l'éducation inclusive, y compris les FA</v>
      </c>
      <c r="AB379" s="88" t="str">
        <f>C379 &amp; "-" &amp; VLOOKUP(C379,[4]RESULTATS!$E$1:$F$176,2,FALSE)</f>
        <v>153- L'éducation inclusive est intégrée dans la prise de décision par les différents acteurs</v>
      </c>
      <c r="AC379" s="89" t="str">
        <f>D379 &amp; "-" &amp; VLOOKUP(D379,[4]STRATEGIES!$E$1:$F$504,2,FALSE)</f>
        <v>1531-Renforcement des capacités en éducation inclusive (pilotage, directeurs, enseignants)</v>
      </c>
      <c r="AD379" s="76" t="str">
        <f t="shared" si="74"/>
        <v>15314-Diffusion des textes de loi sur l'inclusion</v>
      </c>
    </row>
    <row r="380" spans="1:30" s="71" customFormat="1" ht="45" hidden="1" customHeight="1" x14ac:dyDescent="0.8">
      <c r="A380" s="91">
        <v>1</v>
      </c>
      <c r="B380" s="75">
        <v>15</v>
      </c>
      <c r="C380" s="75">
        <v>153</v>
      </c>
      <c r="D380" s="75">
        <v>1531</v>
      </c>
      <c r="E380" s="91">
        <v>15315</v>
      </c>
      <c r="F380" s="75" t="s">
        <v>504</v>
      </c>
      <c r="G380" s="76" t="s">
        <v>436</v>
      </c>
      <c r="H380" s="76" t="s">
        <v>352</v>
      </c>
      <c r="I380" s="78">
        <v>0</v>
      </c>
      <c r="J380" s="77">
        <f>(30*10*4)*5%</f>
        <v>60</v>
      </c>
      <c r="K380" s="77"/>
      <c r="L380" s="77"/>
      <c r="M380" s="77">
        <f t="shared" si="86"/>
        <v>60</v>
      </c>
      <c r="N380" s="77">
        <f>IF(OR(H380="",H380="sif",H380="PM"),0,VLOOKUP(H380,[5]CU!$C$4:$H$255,6,FALSE))</f>
        <v>0.54600000000000004</v>
      </c>
      <c r="O380" s="77">
        <f t="shared" si="88"/>
        <v>0</v>
      </c>
      <c r="P380" s="77">
        <f t="shared" si="88"/>
        <v>32.760000000000005</v>
      </c>
      <c r="Q380" s="77">
        <f t="shared" si="88"/>
        <v>0</v>
      </c>
      <c r="R380" s="77">
        <f t="shared" si="88"/>
        <v>0</v>
      </c>
      <c r="S380" s="79">
        <f t="shared" si="89"/>
        <v>32.760000000000005</v>
      </c>
      <c r="T380" s="92" t="s">
        <v>169</v>
      </c>
      <c r="U380" s="88" t="s">
        <v>170</v>
      </c>
      <c r="V380" s="88" t="str">
        <f>IF(OR($H380="",$H380="sif",$H380="PM"),"",VLOOKUP($H380,[5]CU!$C$5:$J$255,8,FALSE))</f>
        <v>3. Formation</v>
      </c>
      <c r="W380" s="88" t="s">
        <v>192</v>
      </c>
      <c r="X380" s="88" t="s">
        <v>192</v>
      </c>
      <c r="Y380" s="88" t="s">
        <v>32</v>
      </c>
      <c r="Z380" s="88" t="str">
        <f>A380 &amp; "-" &amp; VLOOKUP(A380,[4]PROGRAMMES!$E$1:$F$7,2,FALSE)</f>
        <v>1-Accès et équité à l'enseignement général</v>
      </c>
      <c r="AA380" s="88" t="str">
        <f>B380 &amp; "-" &amp; VLOOKUP(B380,[4]SOUSPROGRAMMES!$E$1:$F$44,2,FALSE)</f>
        <v>15- Promotion de l'éducation inclusive, y compris les FA</v>
      </c>
      <c r="AB380" s="88" t="str">
        <f>C380 &amp; "-" &amp; VLOOKUP(C380,[4]RESULTATS!$E$1:$F$176,2,FALSE)</f>
        <v>153- L'éducation inclusive est intégrée dans la prise de décision par les différents acteurs</v>
      </c>
      <c r="AC380" s="89" t="str">
        <f>D380 &amp; "-" &amp; VLOOKUP(D380,[4]STRATEGIES!$E$1:$F$504,2,FALSE)</f>
        <v>1531-Renforcement des capacités en éducation inclusive (pilotage, directeurs, enseignants)</v>
      </c>
      <c r="AD380" s="76" t="str">
        <f t="shared" si="74"/>
        <v>15315-Formation des encadreurs régionaux et préfectoraux par l'équipe nationale en stratégie de prise en charge des ESH</v>
      </c>
    </row>
    <row r="381" spans="1:30" s="90" customFormat="1" ht="45" customHeight="1" x14ac:dyDescent="0.8">
      <c r="A381" s="84">
        <v>1</v>
      </c>
      <c r="B381" s="85">
        <v>15</v>
      </c>
      <c r="C381" s="85">
        <v>153</v>
      </c>
      <c r="D381" s="85">
        <v>1531</v>
      </c>
      <c r="E381" s="84">
        <v>15315</v>
      </c>
      <c r="F381" s="75" t="s">
        <v>504</v>
      </c>
      <c r="G381" s="76" t="s">
        <v>436</v>
      </c>
      <c r="H381" s="86" t="s">
        <v>352</v>
      </c>
      <c r="I381" s="78">
        <v>0</v>
      </c>
      <c r="J381" s="78">
        <f>(30*10*4)*45.65%</f>
        <v>547.79999999999995</v>
      </c>
      <c r="K381" s="78"/>
      <c r="L381" s="78"/>
      <c r="M381" s="78">
        <f>SUM(I381:L381)</f>
        <v>547.79999999999995</v>
      </c>
      <c r="N381" s="78">
        <f>IF(OR(H381="",H381="sif",H381="PM"),0,VLOOKUP(H381,[5]CU!$C$4:$H$255,6,FALSE))</f>
        <v>0.54600000000000004</v>
      </c>
      <c r="O381" s="78">
        <f>$N381*I381</f>
        <v>0</v>
      </c>
      <c r="P381" s="78">
        <f>$N381*J381</f>
        <v>299.09879999999998</v>
      </c>
      <c r="Q381" s="78">
        <f>$N381*K381</f>
        <v>0</v>
      </c>
      <c r="R381" s="78">
        <f>$N381*L381</f>
        <v>0</v>
      </c>
      <c r="S381" s="93">
        <f>SUM(O381:R381)</f>
        <v>299.09879999999998</v>
      </c>
      <c r="T381" s="80" t="s">
        <v>118</v>
      </c>
      <c r="U381" s="87" t="s">
        <v>170</v>
      </c>
      <c r="V381" s="88" t="str">
        <f>IF(OR($H381="",$H381="sif",$H381="PM"),"",VLOOKUP($H381,[5]CU!$C$5:$J$255,8,FALSE))</f>
        <v>3. Formation</v>
      </c>
      <c r="W381" s="87" t="s">
        <v>192</v>
      </c>
      <c r="X381" s="87" t="s">
        <v>192</v>
      </c>
      <c r="Y381" s="88" t="s">
        <v>32</v>
      </c>
      <c r="Z381" s="88" t="str">
        <f>A381 &amp; "-" &amp; VLOOKUP(A381,[4]PROGRAMMES!$E$1:$F$7,2,FALSE)</f>
        <v>1-Accès et équité à l'enseignement général</v>
      </c>
      <c r="AA381" s="88" t="str">
        <f>B381 &amp; "-" &amp; VLOOKUP(B381,[4]SOUSPROGRAMMES!$E$1:$F$44,2,FALSE)</f>
        <v>15- Promotion de l'éducation inclusive, y compris les FA</v>
      </c>
      <c r="AB381" s="88" t="str">
        <f>C381 &amp; "-" &amp; VLOOKUP(C381,[4]RESULTATS!$E$1:$F$176,2,FALSE)</f>
        <v>153- L'éducation inclusive est intégrée dans la prise de décision par les différents acteurs</v>
      </c>
      <c r="AC381" s="89" t="str">
        <f>D381 &amp; "-" &amp; VLOOKUP(D381,[4]STRATEGIES!$E$1:$F$504,2,FALSE)</f>
        <v>1531-Renforcement des capacités en éducation inclusive (pilotage, directeurs, enseignants)</v>
      </c>
      <c r="AD381" s="76" t="str">
        <f t="shared" si="74"/>
        <v>15315-Formation des encadreurs régionaux et préfectoraux par l'équipe nationale en stratégie de prise en charge des ESH</v>
      </c>
    </row>
    <row r="382" spans="1:30" s="90" customFormat="1" ht="45" customHeight="1" x14ac:dyDescent="0.8">
      <c r="A382" s="84">
        <v>1</v>
      </c>
      <c r="B382" s="85">
        <v>15</v>
      </c>
      <c r="C382" s="85">
        <v>153</v>
      </c>
      <c r="D382" s="85">
        <v>1531</v>
      </c>
      <c r="E382" s="84">
        <v>15315</v>
      </c>
      <c r="F382" s="75" t="s">
        <v>504</v>
      </c>
      <c r="G382" s="76" t="s">
        <v>436</v>
      </c>
      <c r="H382" s="86" t="s">
        <v>352</v>
      </c>
      <c r="I382" s="78">
        <v>23</v>
      </c>
      <c r="J382" s="93">
        <f>(30*10*4)*4.34%</f>
        <v>52.08</v>
      </c>
      <c r="K382" s="93"/>
      <c r="L382" s="93"/>
      <c r="M382" s="93">
        <f t="shared" si="86"/>
        <v>75.08</v>
      </c>
      <c r="N382" s="93">
        <f>IF(OR(H382="",H382="sif",H382="PM"),0,VLOOKUP(H382,[5]CU!$C$4:$H$255,6,FALSE))</f>
        <v>0.54600000000000004</v>
      </c>
      <c r="O382" s="93">
        <f t="shared" si="88"/>
        <v>12.558000000000002</v>
      </c>
      <c r="P382" s="93">
        <f t="shared" si="88"/>
        <v>28.435680000000001</v>
      </c>
      <c r="Q382" s="93">
        <f t="shared" si="88"/>
        <v>0</v>
      </c>
      <c r="R382" s="93">
        <f t="shared" si="88"/>
        <v>0</v>
      </c>
      <c r="S382" s="93">
        <f t="shared" si="89"/>
        <v>40.993680000000005</v>
      </c>
      <c r="T382" s="80" t="s">
        <v>67</v>
      </c>
      <c r="U382" s="87" t="s">
        <v>170</v>
      </c>
      <c r="V382" s="88" t="str">
        <f>IF(OR($H382="",$H382="sif",$H382="PM"),"",VLOOKUP($H382,[5]CU!$C$5:$J$255,8,FALSE))</f>
        <v>3. Formation</v>
      </c>
      <c r="W382" s="87" t="s">
        <v>192</v>
      </c>
      <c r="X382" s="87" t="s">
        <v>192</v>
      </c>
      <c r="Y382" s="88" t="s">
        <v>32</v>
      </c>
      <c r="Z382" s="88" t="str">
        <f>A382 &amp; "-" &amp; VLOOKUP(A382,[4]PROGRAMMES!$E$1:$F$7,2,FALSE)</f>
        <v>1-Accès et équité à l'enseignement général</v>
      </c>
      <c r="AA382" s="88" t="str">
        <f>B382 &amp; "-" &amp; VLOOKUP(B382,[4]SOUSPROGRAMMES!$E$1:$F$44,2,FALSE)</f>
        <v>15- Promotion de l'éducation inclusive, y compris les FA</v>
      </c>
      <c r="AB382" s="88" t="str">
        <f>C382 &amp; "-" &amp; VLOOKUP(C382,[4]RESULTATS!$E$1:$F$176,2,FALSE)</f>
        <v>153- L'éducation inclusive est intégrée dans la prise de décision par les différents acteurs</v>
      </c>
      <c r="AC382" s="89" t="str">
        <f>D382 &amp; "-" &amp; VLOOKUP(D382,[4]STRATEGIES!$E$1:$F$504,2,FALSE)</f>
        <v>1531-Renforcement des capacités en éducation inclusive (pilotage, directeurs, enseignants)</v>
      </c>
      <c r="AD382" s="76" t="str">
        <f t="shared" si="74"/>
        <v>15315-Formation des encadreurs régionaux et préfectoraux par l'équipe nationale en stratégie de prise en charge des ESH</v>
      </c>
    </row>
    <row r="383" spans="1:30" s="71" customFormat="1" ht="45" hidden="1" customHeight="1" x14ac:dyDescent="0.8">
      <c r="A383" s="91">
        <v>1</v>
      </c>
      <c r="B383" s="75">
        <v>15</v>
      </c>
      <c r="C383" s="75">
        <v>153</v>
      </c>
      <c r="D383" s="75">
        <v>1531</v>
      </c>
      <c r="E383" s="91">
        <v>15316</v>
      </c>
      <c r="F383" s="75" t="s">
        <v>505</v>
      </c>
      <c r="G383" s="76" t="s">
        <v>436</v>
      </c>
      <c r="H383" s="76" t="s">
        <v>506</v>
      </c>
      <c r="I383" s="78">
        <v>0</v>
      </c>
      <c r="J383" s="77"/>
      <c r="K383" s="77">
        <f>(500*5)*5%</f>
        <v>125</v>
      </c>
      <c r="L383" s="77">
        <f>(500*5)*20.01%</f>
        <v>500.25000000000006</v>
      </c>
      <c r="M383" s="77">
        <f t="shared" si="86"/>
        <v>625.25</v>
      </c>
      <c r="N383" s="77">
        <f>IF(OR(H383="",H383="sif",H383="PM"),0,VLOOKUP(H383,[5]CU!$C$4:$H$255,6,FALSE))</f>
        <v>0.45</v>
      </c>
      <c r="O383" s="77">
        <f t="shared" si="88"/>
        <v>0</v>
      </c>
      <c r="P383" s="77">
        <f t="shared" si="88"/>
        <v>0</v>
      </c>
      <c r="Q383" s="77">
        <f>$N383*K383</f>
        <v>56.25</v>
      </c>
      <c r="R383" s="77">
        <f t="shared" si="88"/>
        <v>225.11250000000004</v>
      </c>
      <c r="S383" s="79">
        <f t="shared" si="89"/>
        <v>281.36250000000007</v>
      </c>
      <c r="T383" s="92" t="s">
        <v>169</v>
      </c>
      <c r="U383" s="88" t="s">
        <v>170</v>
      </c>
      <c r="V383" s="88" t="str">
        <f>IF(OR($H383="",$H383="sif",$H383="PM"),"",VLOOKUP($H383,[5]CU!$C$5:$J$255,8,FALSE))</f>
        <v>3. Formation</v>
      </c>
      <c r="W383" s="88" t="s">
        <v>192</v>
      </c>
      <c r="X383" s="88" t="s">
        <v>77</v>
      </c>
      <c r="Y383" s="88" t="s">
        <v>32</v>
      </c>
      <c r="Z383" s="88" t="str">
        <f>A383 &amp; "-" &amp; VLOOKUP(A383,[4]PROGRAMMES!$E$1:$F$7,2,FALSE)</f>
        <v>1-Accès et équité à l'enseignement général</v>
      </c>
      <c r="AA383" s="88" t="str">
        <f>B383 &amp; "-" &amp; VLOOKUP(B383,[4]SOUSPROGRAMMES!$E$1:$F$44,2,FALSE)</f>
        <v>15- Promotion de l'éducation inclusive, y compris les FA</v>
      </c>
      <c r="AB383" s="88" t="str">
        <f>C383 &amp; "-" &amp; VLOOKUP(C383,[4]RESULTATS!$E$1:$F$176,2,FALSE)</f>
        <v>153- L'éducation inclusive est intégrée dans la prise de décision par les différents acteurs</v>
      </c>
      <c r="AC383" s="89" t="str">
        <f>D383 &amp; "-" &amp; VLOOKUP(D383,[4]STRATEGIES!$E$1:$F$504,2,FALSE)</f>
        <v>1531-Renforcement des capacités en éducation inclusive (pilotage, directeurs, enseignants)</v>
      </c>
      <c r="AD383" s="76" t="str">
        <f t="shared" si="74"/>
        <v>15316-Formation des directeurs d'école et enseignants en stratégie de prise en charge des ESH par les structures déconcentrées</v>
      </c>
    </row>
    <row r="384" spans="1:30" s="90" customFormat="1" ht="45" customHeight="1" x14ac:dyDescent="0.8">
      <c r="A384" s="84">
        <v>1</v>
      </c>
      <c r="B384" s="85">
        <v>15</v>
      </c>
      <c r="C384" s="85">
        <v>153</v>
      </c>
      <c r="D384" s="85">
        <v>1531</v>
      </c>
      <c r="E384" s="84">
        <v>15316</v>
      </c>
      <c r="F384" s="75" t="s">
        <v>505</v>
      </c>
      <c r="G384" s="76" t="s">
        <v>436</v>
      </c>
      <c r="H384" s="86" t="s">
        <v>506</v>
      </c>
      <c r="I384" s="78">
        <v>0</v>
      </c>
      <c r="J384" s="78">
        <f>(400*5)*63.33%</f>
        <v>1266.5999999999999</v>
      </c>
      <c r="K384" s="78">
        <f>(500*5)*63.33%</f>
        <v>1583.25</v>
      </c>
      <c r="L384" s="78">
        <f>(500*5)*63.33%</f>
        <v>1583.25</v>
      </c>
      <c r="M384" s="78">
        <f>SUM(I384:L384)</f>
        <v>4433.1000000000004</v>
      </c>
      <c r="N384" s="78">
        <f>IF(OR(H384="",H384="sif",H384="PM"),0,VLOOKUP(H384,[5]CU!$C$4:$H$255,6,FALSE))</f>
        <v>0.45</v>
      </c>
      <c r="O384" s="78">
        <f>$N384*I384</f>
        <v>0</v>
      </c>
      <c r="P384" s="78">
        <f>$N384*J384</f>
        <v>569.97</v>
      </c>
      <c r="Q384" s="78">
        <f>$N384*K384</f>
        <v>712.46249999999998</v>
      </c>
      <c r="R384" s="78">
        <f>$N384*L384</f>
        <v>712.46249999999998</v>
      </c>
      <c r="S384" s="93">
        <f>SUM(O384:R384)</f>
        <v>1994.895</v>
      </c>
      <c r="T384" s="80" t="s">
        <v>118</v>
      </c>
      <c r="U384" s="87" t="s">
        <v>170</v>
      </c>
      <c r="V384" s="88" t="str">
        <f>IF(OR($H384="",$H384="sif",$H384="PM"),"",VLOOKUP($H384,[5]CU!$C$5:$J$255,8,FALSE))</f>
        <v>3. Formation</v>
      </c>
      <c r="W384" s="87" t="s">
        <v>192</v>
      </c>
      <c r="X384" s="87" t="s">
        <v>77</v>
      </c>
      <c r="Y384" s="88" t="s">
        <v>32</v>
      </c>
      <c r="Z384" s="88" t="str">
        <f>A384 &amp; "-" &amp; VLOOKUP(A384,[4]PROGRAMMES!$E$1:$F$7,2,FALSE)</f>
        <v>1-Accès et équité à l'enseignement général</v>
      </c>
      <c r="AA384" s="88" t="str">
        <f>B384 &amp; "-" &amp; VLOOKUP(B384,[4]SOUSPROGRAMMES!$E$1:$F$44,2,FALSE)</f>
        <v>15- Promotion de l'éducation inclusive, y compris les FA</v>
      </c>
      <c r="AB384" s="88" t="str">
        <f>C384 &amp; "-" &amp; VLOOKUP(C384,[4]RESULTATS!$E$1:$F$176,2,FALSE)</f>
        <v>153- L'éducation inclusive est intégrée dans la prise de décision par les différents acteurs</v>
      </c>
      <c r="AC384" s="89" t="str">
        <f>D384 &amp; "-" &amp; VLOOKUP(D384,[4]STRATEGIES!$E$1:$F$504,2,FALSE)</f>
        <v>1531-Renforcement des capacités en éducation inclusive (pilotage, directeurs, enseignants)</v>
      </c>
      <c r="AD384" s="76" t="str">
        <f t="shared" si="74"/>
        <v>15316-Formation des directeurs d'école et enseignants en stratégie de prise en charge des ESH par les structures déconcentrées</v>
      </c>
    </row>
    <row r="385" spans="1:30" s="90" customFormat="1" ht="45" customHeight="1" x14ac:dyDescent="0.8">
      <c r="A385" s="84">
        <v>1</v>
      </c>
      <c r="B385" s="85">
        <v>15</v>
      </c>
      <c r="C385" s="85">
        <v>153</v>
      </c>
      <c r="D385" s="85">
        <v>1531</v>
      </c>
      <c r="E385" s="84">
        <v>15316</v>
      </c>
      <c r="F385" s="75" t="s">
        <v>505</v>
      </c>
      <c r="G385" s="76" t="s">
        <v>436</v>
      </c>
      <c r="H385" s="86" t="s">
        <v>506</v>
      </c>
      <c r="I385" s="78">
        <v>453</v>
      </c>
      <c r="J385" s="93">
        <f>(400*5)*16.66%</f>
        <v>333.2</v>
      </c>
      <c r="K385" s="93">
        <f>(500*5)*16.66%</f>
        <v>416.5</v>
      </c>
      <c r="L385" s="93">
        <f>(500*5)*16.66%</f>
        <v>416.5</v>
      </c>
      <c r="M385" s="93">
        <f t="shared" si="86"/>
        <v>1619.2</v>
      </c>
      <c r="N385" s="93">
        <f>IF(OR(H385="",H385="sif",H385="PM"),0,VLOOKUP(H385,[5]CU!$C$4:$H$255,6,FALSE))</f>
        <v>0.45</v>
      </c>
      <c r="O385" s="93">
        <f t="shared" si="88"/>
        <v>203.85</v>
      </c>
      <c r="P385" s="93">
        <f t="shared" si="88"/>
        <v>149.94</v>
      </c>
      <c r="Q385" s="93">
        <f t="shared" si="88"/>
        <v>187.42500000000001</v>
      </c>
      <c r="R385" s="93">
        <f t="shared" si="88"/>
        <v>187.42500000000001</v>
      </c>
      <c r="S385" s="93">
        <f t="shared" si="89"/>
        <v>728.63999999999987</v>
      </c>
      <c r="T385" s="80" t="s">
        <v>67</v>
      </c>
      <c r="U385" s="87" t="s">
        <v>170</v>
      </c>
      <c r="V385" s="88" t="str">
        <f>IF(OR($H385="",$H385="sif",$H385="PM"),"",VLOOKUP($H385,[5]CU!$C$5:$J$255,8,FALSE))</f>
        <v>3. Formation</v>
      </c>
      <c r="W385" s="87" t="s">
        <v>192</v>
      </c>
      <c r="X385" s="87" t="s">
        <v>77</v>
      </c>
      <c r="Y385" s="88" t="s">
        <v>32</v>
      </c>
      <c r="Z385" s="88" t="str">
        <f>A385 &amp; "-" &amp; VLOOKUP(A385,[4]PROGRAMMES!$E$1:$F$7,2,FALSE)</f>
        <v>1-Accès et équité à l'enseignement général</v>
      </c>
      <c r="AA385" s="88" t="str">
        <f>B385 &amp; "-" &amp; VLOOKUP(B385,[4]SOUSPROGRAMMES!$E$1:$F$44,2,FALSE)</f>
        <v>15- Promotion de l'éducation inclusive, y compris les FA</v>
      </c>
      <c r="AB385" s="88" t="str">
        <f>C385 &amp; "-" &amp; VLOOKUP(C385,[4]RESULTATS!$E$1:$F$176,2,FALSE)</f>
        <v>153- L'éducation inclusive est intégrée dans la prise de décision par les différents acteurs</v>
      </c>
      <c r="AC385" s="89" t="str">
        <f>D385 &amp; "-" &amp; VLOOKUP(D385,[4]STRATEGIES!$E$1:$F$504,2,FALSE)</f>
        <v>1531-Renforcement des capacités en éducation inclusive (pilotage, directeurs, enseignants)</v>
      </c>
      <c r="AD385" s="76" t="str">
        <f t="shared" si="74"/>
        <v>15316-Formation des directeurs d'école et enseignants en stratégie de prise en charge des ESH par les structures déconcentrées</v>
      </c>
    </row>
    <row r="386" spans="1:30" s="90" customFormat="1" ht="45" customHeight="1" x14ac:dyDescent="0.8">
      <c r="A386" s="84">
        <v>1</v>
      </c>
      <c r="B386" s="85">
        <v>15</v>
      </c>
      <c r="C386" s="85">
        <v>153</v>
      </c>
      <c r="D386" s="85">
        <v>1532</v>
      </c>
      <c r="E386" s="84">
        <v>1532</v>
      </c>
      <c r="F386" s="75" t="s">
        <v>507</v>
      </c>
      <c r="G386" s="86"/>
      <c r="H386" s="86"/>
      <c r="I386" s="78">
        <v>0</v>
      </c>
      <c r="J386" s="78"/>
      <c r="K386" s="78"/>
      <c r="L386" s="78"/>
      <c r="M386" s="78"/>
      <c r="N386" s="78"/>
      <c r="O386" s="78"/>
      <c r="P386" s="78"/>
      <c r="Q386" s="78"/>
      <c r="R386" s="78"/>
      <c r="S386" s="93"/>
      <c r="T386" s="87"/>
      <c r="U386" s="87"/>
      <c r="V386" s="88"/>
      <c r="W386" s="87"/>
      <c r="X386" s="87"/>
      <c r="Y386" s="88" t="s">
        <v>32</v>
      </c>
      <c r="Z386" s="88" t="str">
        <f>A386 &amp; "-" &amp; VLOOKUP(A386,[4]PROGRAMMES!$E$1:$F$7,2,FALSE)</f>
        <v>1-Accès et équité à l'enseignement général</v>
      </c>
      <c r="AA386" s="88" t="str">
        <f>B386 &amp; "-" &amp; VLOOKUP(B386,[4]SOUSPROGRAMMES!$E$1:$F$44,2,FALSE)</f>
        <v>15- Promotion de l'éducation inclusive, y compris les FA</v>
      </c>
      <c r="AB386" s="88" t="str">
        <f>C386 &amp; "-" &amp; VLOOKUP(C386,[4]RESULTATS!$E$1:$F$176,2,FALSE)</f>
        <v>153- L'éducation inclusive est intégrée dans la prise de décision par les différents acteurs</v>
      </c>
      <c r="AC386" s="89" t="str">
        <f>D386 &amp; "-" &amp; VLOOKUP(D386,[4]STRATEGIES!$E$1:$F$504,2,FALSE)</f>
        <v>1532-Sensibilisation des différents acteurs en éducation sur l'éducation inclusive</v>
      </c>
      <c r="AD386" s="76" t="str">
        <f t="shared" si="74"/>
        <v>1532-Sensibilisation des différents acteurs en éducation sur l'éducation inclusive</v>
      </c>
    </row>
    <row r="387" spans="1:30" s="71" customFormat="1" ht="60" hidden="1" customHeight="1" x14ac:dyDescent="0.8">
      <c r="A387" s="91">
        <v>1</v>
      </c>
      <c r="B387" s="75">
        <v>15</v>
      </c>
      <c r="C387" s="75">
        <v>153</v>
      </c>
      <c r="D387" s="75">
        <v>1532</v>
      </c>
      <c r="E387" s="91">
        <v>15321</v>
      </c>
      <c r="F387" s="75" t="s">
        <v>508</v>
      </c>
      <c r="G387" s="76" t="s">
        <v>37</v>
      </c>
      <c r="H387" s="76" t="s">
        <v>66</v>
      </c>
      <c r="I387" s="78">
        <v>0</v>
      </c>
      <c r="J387" s="77"/>
      <c r="K387" s="77">
        <f>20*5*1</f>
        <v>100</v>
      </c>
      <c r="L387" s="77"/>
      <c r="M387" s="77">
        <f t="shared" si="86"/>
        <v>100</v>
      </c>
      <c r="N387" s="77">
        <f>IF(OR(H387="",H387="sif",H387="PM"),0,VLOOKUP(H387,[5]CU!$C$4:$H$255,6,FALSE))</f>
        <v>0.255</v>
      </c>
      <c r="O387" s="77">
        <f t="shared" si="88"/>
        <v>0</v>
      </c>
      <c r="P387" s="77">
        <f t="shared" si="88"/>
        <v>0</v>
      </c>
      <c r="Q387" s="77">
        <f t="shared" si="88"/>
        <v>25.5</v>
      </c>
      <c r="R387" s="77">
        <f t="shared" si="88"/>
        <v>0</v>
      </c>
      <c r="S387" s="79">
        <f t="shared" si="89"/>
        <v>25.5</v>
      </c>
      <c r="T387" s="92" t="s">
        <v>169</v>
      </c>
      <c r="U387" s="88" t="s">
        <v>170</v>
      </c>
      <c r="V387" s="88" t="str">
        <f>IF(OR($H387="",$H387="sif",$H387="PM"),"",VLOOKUP($H387,[5]CU!$C$5:$J$255,8,FALSE))</f>
        <v>3. Dépenses de fonctionnement</v>
      </c>
      <c r="W387" s="88" t="s">
        <v>192</v>
      </c>
      <c r="X387" s="88" t="s">
        <v>192</v>
      </c>
      <c r="Y387" s="88" t="s">
        <v>32</v>
      </c>
      <c r="Z387" s="88" t="str">
        <f>A387 &amp; "-" &amp; VLOOKUP(A387,[4]PROGRAMMES!$E$1:$F$7,2,FALSE)</f>
        <v>1-Accès et équité à l'enseignement général</v>
      </c>
      <c r="AA387" s="88" t="str">
        <f>B387 &amp; "-" &amp; VLOOKUP(B387,[4]SOUSPROGRAMMES!$E$1:$F$44,2,FALSE)</f>
        <v>15- Promotion de l'éducation inclusive, y compris les FA</v>
      </c>
      <c r="AB387" s="88" t="str">
        <f>C387 &amp; "-" &amp; VLOOKUP(C387,[4]RESULTATS!$E$1:$F$176,2,FALSE)</f>
        <v>153- L'éducation inclusive est intégrée dans la prise de décision par les différents acteurs</v>
      </c>
      <c r="AC387" s="89" t="str">
        <f>D387 &amp; "-" &amp; VLOOKUP(D387,[4]STRATEGIES!$E$1:$F$504,2,FALSE)</f>
        <v>1532-Sensibilisation des différents acteurs en éducation sur l'éducation inclusive</v>
      </c>
      <c r="AD387" s="76" t="str">
        <f t="shared" si="74"/>
        <v>15321-Production des supports de sensibilisation des différents acteurs (décideurs, structures déconcentrées, directeurs, enseignants, communautés, OPH) sur la prise en charge des enfants en situation de handicap</v>
      </c>
    </row>
    <row r="388" spans="1:30" s="71" customFormat="1" ht="45" hidden="1" customHeight="1" x14ac:dyDescent="0.8">
      <c r="A388" s="91">
        <v>1</v>
      </c>
      <c r="B388" s="75">
        <v>15</v>
      </c>
      <c r="C388" s="75">
        <v>153</v>
      </c>
      <c r="D388" s="75">
        <v>1532</v>
      </c>
      <c r="E388" s="91">
        <v>15322</v>
      </c>
      <c r="F388" s="75" t="s">
        <v>509</v>
      </c>
      <c r="G388" s="76" t="s">
        <v>510</v>
      </c>
      <c r="H388" s="76" t="s">
        <v>73</v>
      </c>
      <c r="I388" s="78">
        <v>0</v>
      </c>
      <c r="J388" s="77">
        <f>(1*15*38)*5%</f>
        <v>28.5</v>
      </c>
      <c r="K388" s="77">
        <f>(1*15*38)*20%</f>
        <v>114</v>
      </c>
      <c r="L388" s="77"/>
      <c r="M388" s="77">
        <f t="shared" si="86"/>
        <v>142.5</v>
      </c>
      <c r="N388" s="77">
        <f>IF(OR(H388="",H388="sif",H388="PM"),0,VLOOKUP(H388,[5]CU!$C$4:$H$255,6,FALSE))</f>
        <v>0.4</v>
      </c>
      <c r="O388" s="77">
        <f t="shared" si="88"/>
        <v>0</v>
      </c>
      <c r="P388" s="77">
        <f t="shared" si="88"/>
        <v>11.4</v>
      </c>
      <c r="Q388" s="77">
        <f t="shared" si="88"/>
        <v>45.6</v>
      </c>
      <c r="R388" s="77">
        <f t="shared" si="88"/>
        <v>0</v>
      </c>
      <c r="S388" s="79">
        <f t="shared" si="89"/>
        <v>57</v>
      </c>
      <c r="T388" s="92" t="s">
        <v>169</v>
      </c>
      <c r="U388" s="88" t="s">
        <v>170</v>
      </c>
      <c r="V388" s="88" t="str">
        <f>IF(OR($H388="",$H388="sif",$H388="PM"),"",VLOOKUP($H388,[5]CU!$C$5:$J$255,8,FALSE))</f>
        <v>3. Dépenses de fonctionnement</v>
      </c>
      <c r="W388" s="88" t="s">
        <v>192</v>
      </c>
      <c r="X388" s="88" t="s">
        <v>192</v>
      </c>
      <c r="Y388" s="88" t="s">
        <v>32</v>
      </c>
      <c r="Z388" s="88" t="str">
        <f>A388 &amp; "-" &amp; VLOOKUP(A388,[4]PROGRAMMES!$E$1:$F$7,2,FALSE)</f>
        <v>1-Accès et équité à l'enseignement général</v>
      </c>
      <c r="AA388" s="88" t="str">
        <f>B388 &amp; "-" &amp; VLOOKUP(B388,[4]SOUSPROGRAMMES!$E$1:$F$44,2,FALSE)</f>
        <v>15- Promotion de l'éducation inclusive, y compris les FA</v>
      </c>
      <c r="AB388" s="88" t="str">
        <f>C388 &amp; "-" &amp; VLOOKUP(C388,[4]RESULTATS!$E$1:$F$176,2,FALSE)</f>
        <v>153- L'éducation inclusive est intégrée dans la prise de décision par les différents acteurs</v>
      </c>
      <c r="AC388" s="89" t="str">
        <f>D388 &amp; "-" &amp; VLOOKUP(D388,[4]STRATEGIES!$E$1:$F$504,2,FALSE)</f>
        <v>1532-Sensibilisation des différents acteurs en éducation sur l'éducation inclusive</v>
      </c>
      <c r="AD388" s="76" t="str">
        <f t="shared" ref="AD388:AD451" si="90">E388 &amp; "-" &amp; F388</f>
        <v>15322-Diffusion des outils de sensibilisation des différents acteurs sur la prise en charge des enfants en situation de handicap à travers les médias</v>
      </c>
    </row>
    <row r="389" spans="1:30" s="90" customFormat="1" ht="45" customHeight="1" x14ac:dyDescent="0.8">
      <c r="A389" s="84">
        <v>1</v>
      </c>
      <c r="B389" s="85">
        <v>15</v>
      </c>
      <c r="C389" s="85">
        <v>153</v>
      </c>
      <c r="D389" s="85">
        <v>1532</v>
      </c>
      <c r="E389" s="84">
        <v>15322</v>
      </c>
      <c r="F389" s="75" t="s">
        <v>509</v>
      </c>
      <c r="G389" s="76" t="s">
        <v>510</v>
      </c>
      <c r="H389" s="86" t="s">
        <v>73</v>
      </c>
      <c r="I389" s="78">
        <v>0</v>
      </c>
      <c r="J389" s="78">
        <f>(1*15*38)*46.81%</f>
        <v>266.81700000000001</v>
      </c>
      <c r="K389" s="78">
        <f>(1*15*38)*46.81%</f>
        <v>266.81700000000001</v>
      </c>
      <c r="L389" s="78"/>
      <c r="M389" s="78">
        <f>SUM(I389:L389)</f>
        <v>533.63400000000001</v>
      </c>
      <c r="N389" s="78">
        <f>IF(OR(H389="",H389="sif",H389="PM"),0,VLOOKUP(H389,[5]CU!$C$4:$H$255,6,FALSE))</f>
        <v>0.4</v>
      </c>
      <c r="O389" s="78">
        <f>$N389*I389</f>
        <v>0</v>
      </c>
      <c r="P389" s="78">
        <f>$N389*J389</f>
        <v>106.72680000000001</v>
      </c>
      <c r="Q389" s="78">
        <f>$N389*K389</f>
        <v>106.72680000000001</v>
      </c>
      <c r="R389" s="78">
        <f>$N389*L389</f>
        <v>0</v>
      </c>
      <c r="S389" s="93">
        <f>SUM(O389:R389)</f>
        <v>213.45360000000002</v>
      </c>
      <c r="T389" s="80" t="s">
        <v>118</v>
      </c>
      <c r="U389" s="87" t="s">
        <v>170</v>
      </c>
      <c r="V389" s="88" t="str">
        <f>IF(OR($H389="",$H389="sif",$H389="PM"),"",VLOOKUP($H389,[5]CU!$C$5:$J$255,8,FALSE))</f>
        <v>3. Dépenses de fonctionnement</v>
      </c>
      <c r="W389" s="87" t="s">
        <v>192</v>
      </c>
      <c r="X389" s="87" t="s">
        <v>192</v>
      </c>
      <c r="Y389" s="88" t="s">
        <v>32</v>
      </c>
      <c r="Z389" s="88" t="str">
        <f>A389 &amp; "-" &amp; VLOOKUP(A389,[4]PROGRAMMES!$E$1:$F$7,2,FALSE)</f>
        <v>1-Accès et équité à l'enseignement général</v>
      </c>
      <c r="AA389" s="88" t="str">
        <f>B389 &amp; "-" &amp; VLOOKUP(B389,[4]SOUSPROGRAMMES!$E$1:$F$44,2,FALSE)</f>
        <v>15- Promotion de l'éducation inclusive, y compris les FA</v>
      </c>
      <c r="AB389" s="88" t="str">
        <f>C389 &amp; "-" &amp; VLOOKUP(C389,[4]RESULTATS!$E$1:$F$176,2,FALSE)</f>
        <v>153- L'éducation inclusive est intégrée dans la prise de décision par les différents acteurs</v>
      </c>
      <c r="AC389" s="89" t="str">
        <f>D389 &amp; "-" &amp; VLOOKUP(D389,[4]STRATEGIES!$E$1:$F$504,2,FALSE)</f>
        <v>1532-Sensibilisation des différents acteurs en éducation sur l'éducation inclusive</v>
      </c>
      <c r="AD389" s="76" t="str">
        <f t="shared" si="90"/>
        <v>15322-Diffusion des outils de sensibilisation des différents acteurs sur la prise en charge des enfants en situation de handicap à travers les médias</v>
      </c>
    </row>
    <row r="390" spans="1:30" s="90" customFormat="1" ht="45" customHeight="1" x14ac:dyDescent="0.8">
      <c r="A390" s="84">
        <v>1</v>
      </c>
      <c r="B390" s="85">
        <v>15</v>
      </c>
      <c r="C390" s="85">
        <v>153</v>
      </c>
      <c r="D390" s="85">
        <v>1532</v>
      </c>
      <c r="E390" s="84">
        <v>15322</v>
      </c>
      <c r="F390" s="75" t="s">
        <v>509</v>
      </c>
      <c r="G390" s="76" t="s">
        <v>510</v>
      </c>
      <c r="H390" s="86" t="s">
        <v>73</v>
      </c>
      <c r="I390" s="78"/>
      <c r="J390" s="78">
        <f>(1*15*38)*33.18%</f>
        <v>189.126</v>
      </c>
      <c r="K390" s="78">
        <f>(1*15*38)*33.18%</f>
        <v>189.126</v>
      </c>
      <c r="L390" s="78"/>
      <c r="M390" s="78">
        <f t="shared" si="86"/>
        <v>378.25200000000001</v>
      </c>
      <c r="N390" s="78">
        <f>IF(OR(H390="",H390="sif",H390="PM"),0,VLOOKUP(H390,[5]CU!$C$4:$H$255,6,FALSE))</f>
        <v>0.4</v>
      </c>
      <c r="O390" s="78">
        <f t="shared" si="88"/>
        <v>0</v>
      </c>
      <c r="P390" s="78">
        <f t="shared" si="88"/>
        <v>75.650400000000005</v>
      </c>
      <c r="Q390" s="78">
        <f t="shared" si="88"/>
        <v>75.650400000000005</v>
      </c>
      <c r="R390" s="78">
        <f t="shared" si="88"/>
        <v>0</v>
      </c>
      <c r="S390" s="93">
        <f t="shared" si="89"/>
        <v>151.30080000000001</v>
      </c>
      <c r="T390" s="80" t="s">
        <v>118</v>
      </c>
      <c r="U390" s="87" t="s">
        <v>170</v>
      </c>
      <c r="V390" s="88" t="str">
        <f>IF(OR($H390="",$H390="sif",$H390="PM"),"",VLOOKUP($H390,[5]CU!$C$5:$J$255,8,FALSE))</f>
        <v>3. Dépenses de fonctionnement</v>
      </c>
      <c r="W390" s="87" t="s">
        <v>192</v>
      </c>
      <c r="X390" s="87" t="s">
        <v>192</v>
      </c>
      <c r="Y390" s="88" t="s">
        <v>32</v>
      </c>
      <c r="Z390" s="88" t="str">
        <f>A390 &amp; "-" &amp; VLOOKUP(A390,[4]PROGRAMMES!$E$1:$F$7,2,FALSE)</f>
        <v>1-Accès et équité à l'enseignement général</v>
      </c>
      <c r="AA390" s="88" t="str">
        <f>B390 &amp; "-" &amp; VLOOKUP(B390,[4]SOUSPROGRAMMES!$E$1:$F$44,2,FALSE)</f>
        <v>15- Promotion de l'éducation inclusive, y compris les FA</v>
      </c>
      <c r="AB390" s="88" t="str">
        <f>C390 &amp; "-" &amp; VLOOKUP(C390,[4]RESULTATS!$E$1:$F$176,2,FALSE)</f>
        <v>153- L'éducation inclusive est intégrée dans la prise de décision par les différents acteurs</v>
      </c>
      <c r="AC390" s="89" t="str">
        <f>D390 &amp; "-" &amp; VLOOKUP(D390,[4]STRATEGIES!$E$1:$F$504,2,FALSE)</f>
        <v>1532-Sensibilisation des différents acteurs en éducation sur l'éducation inclusive</v>
      </c>
      <c r="AD390" s="76" t="str">
        <f t="shared" si="90"/>
        <v>15322-Diffusion des outils de sensibilisation des différents acteurs sur la prise en charge des enfants en situation de handicap à travers les médias</v>
      </c>
    </row>
    <row r="391" spans="1:30" s="71" customFormat="1" ht="45" hidden="1" customHeight="1" x14ac:dyDescent="0.8">
      <c r="A391" s="91">
        <v>1</v>
      </c>
      <c r="B391" s="75">
        <v>15</v>
      </c>
      <c r="C391" s="75">
        <v>153</v>
      </c>
      <c r="D391" s="75">
        <v>1532</v>
      </c>
      <c r="E391" s="91">
        <v>15323</v>
      </c>
      <c r="F391" s="75" t="s">
        <v>511</v>
      </c>
      <c r="G391" s="76" t="s">
        <v>75</v>
      </c>
      <c r="H391" s="76" t="s">
        <v>76</v>
      </c>
      <c r="I391" s="78">
        <v>0</v>
      </c>
      <c r="J391" s="77">
        <v>0</v>
      </c>
      <c r="K391" s="77">
        <f>2*1</f>
        <v>2</v>
      </c>
      <c r="L391" s="77">
        <f>2*1</f>
        <v>2</v>
      </c>
      <c r="M391" s="77">
        <f>SUM(I391:L391)</f>
        <v>4</v>
      </c>
      <c r="N391" s="77">
        <f>IF(OR(H391="",H391="sif",H391="PM"),0,VLOOKUP(H391,[5]CU!$C$4:$H$255,6,FALSE))</f>
        <v>45.936799999999998</v>
      </c>
      <c r="O391" s="77">
        <f>$N391*I391</f>
        <v>0</v>
      </c>
      <c r="P391" s="77">
        <f>$N391*J391</f>
        <v>0</v>
      </c>
      <c r="Q391" s="77">
        <f>$N391*K391</f>
        <v>91.873599999999996</v>
      </c>
      <c r="R391" s="77">
        <f>$N391*L391</f>
        <v>91.873599999999996</v>
      </c>
      <c r="S391" s="79">
        <f>SUM(O391:R391)</f>
        <v>183.74719999999999</v>
      </c>
      <c r="T391" s="92" t="s">
        <v>169</v>
      </c>
      <c r="U391" s="88" t="s">
        <v>170</v>
      </c>
      <c r="V391" s="88" t="str">
        <f>IF(OR($H391="",$H391="sif",$H391="PM"),"",VLOOKUP($H391,[5]CU!$C$5:$J$255,8,FALSE))</f>
        <v>3. Dépenses de fonctionnement</v>
      </c>
      <c r="W391" s="88" t="s">
        <v>512</v>
      </c>
      <c r="X391" s="88" t="s">
        <v>513</v>
      </c>
      <c r="Y391" s="88" t="s">
        <v>32</v>
      </c>
      <c r="Z391" s="88" t="str">
        <f>A391 &amp; "-" &amp; VLOOKUP(A391,[4]PROGRAMMES!$E$1:$F$7,2,FALSE)</f>
        <v>1-Accès et équité à l'enseignement général</v>
      </c>
      <c r="AA391" s="88" t="str">
        <f>B391 &amp; "-" &amp; VLOOKUP(B391,[4]SOUSPROGRAMMES!$E$1:$F$44,2,FALSE)</f>
        <v>15- Promotion de l'éducation inclusive, y compris les FA</v>
      </c>
      <c r="AB391" s="88" t="str">
        <f>C391 &amp; "-" &amp; VLOOKUP(C391,[4]RESULTATS!$E$1:$F$176,2,FALSE)</f>
        <v>153- L'éducation inclusive est intégrée dans la prise de décision par les différents acteurs</v>
      </c>
      <c r="AC391" s="89" t="str">
        <f>D391 &amp; "-" &amp; VLOOKUP(D391,[4]STRATEGIES!$E$1:$F$504,2,FALSE)</f>
        <v>1532-Sensibilisation des différents acteurs en éducation sur l'éducation inclusive</v>
      </c>
      <c r="AD391" s="76" t="str">
        <f t="shared" si="90"/>
        <v xml:space="preserve">15323-Sensibilisation des parents d'enfants en situation de handicap pour la scolarisation de leurs enfants </v>
      </c>
    </row>
    <row r="392" spans="1:30" s="90" customFormat="1" ht="45" customHeight="1" x14ac:dyDescent="0.8">
      <c r="A392" s="84">
        <v>1</v>
      </c>
      <c r="B392" s="85">
        <v>15</v>
      </c>
      <c r="C392" s="85">
        <v>153</v>
      </c>
      <c r="D392" s="85">
        <v>1532</v>
      </c>
      <c r="E392" s="84">
        <v>15323</v>
      </c>
      <c r="F392" s="75" t="s">
        <v>511</v>
      </c>
      <c r="G392" s="76" t="s">
        <v>75</v>
      </c>
      <c r="H392" s="86" t="s">
        <v>76</v>
      </c>
      <c r="I392" s="78">
        <v>0</v>
      </c>
      <c r="J392" s="78">
        <f>2*8.57%</f>
        <v>0.1714</v>
      </c>
      <c r="K392" s="78">
        <f>2*8.57%</f>
        <v>0.1714</v>
      </c>
      <c r="L392" s="78">
        <f>2*8.57%</f>
        <v>0.1714</v>
      </c>
      <c r="M392" s="78">
        <f t="shared" si="86"/>
        <v>0.51419999999999999</v>
      </c>
      <c r="N392" s="78">
        <f>IF(OR(H392="",H392="sif",H392="PM"),0,VLOOKUP(H392,[5]CU!$C$4:$H$255,6,FALSE))</f>
        <v>45.936799999999998</v>
      </c>
      <c r="O392" s="78">
        <f t="shared" ref="O392:R394" si="91">$N392*I392</f>
        <v>0</v>
      </c>
      <c r="P392" s="78">
        <f t="shared" si="91"/>
        <v>7.8735675199999999</v>
      </c>
      <c r="Q392" s="78">
        <f t="shared" si="91"/>
        <v>7.8735675199999999</v>
      </c>
      <c r="R392" s="78">
        <f t="shared" si="91"/>
        <v>7.8735675199999999</v>
      </c>
      <c r="S392" s="93">
        <f t="shared" si="89"/>
        <v>23.620702559999998</v>
      </c>
      <c r="T392" s="80" t="s">
        <v>118</v>
      </c>
      <c r="U392" s="87" t="s">
        <v>170</v>
      </c>
      <c r="V392" s="88" t="str">
        <f>IF(OR($H392="",$H392="sif",$H392="PM"),"",VLOOKUP($H392,[5]CU!$C$5:$J$255,8,FALSE))</f>
        <v>3. Dépenses de fonctionnement</v>
      </c>
      <c r="W392" s="87" t="s">
        <v>512</v>
      </c>
      <c r="X392" s="87" t="s">
        <v>513</v>
      </c>
      <c r="Y392" s="88" t="s">
        <v>32</v>
      </c>
      <c r="Z392" s="88" t="str">
        <f>A392 &amp; "-" &amp; VLOOKUP(A392,[4]PROGRAMMES!$E$1:$F$7,2,FALSE)</f>
        <v>1-Accès et équité à l'enseignement général</v>
      </c>
      <c r="AA392" s="88" t="str">
        <f>B392 &amp; "-" &amp; VLOOKUP(B392,[4]SOUSPROGRAMMES!$E$1:$F$44,2,FALSE)</f>
        <v>15- Promotion de l'éducation inclusive, y compris les FA</v>
      </c>
      <c r="AB392" s="88" t="str">
        <f>C392 &amp; "-" &amp; VLOOKUP(C392,[4]RESULTATS!$E$1:$F$176,2,FALSE)</f>
        <v>153- L'éducation inclusive est intégrée dans la prise de décision par les différents acteurs</v>
      </c>
      <c r="AC392" s="89" t="str">
        <f>D392 &amp; "-" &amp; VLOOKUP(D392,[4]STRATEGIES!$E$1:$F$504,2,FALSE)</f>
        <v>1532-Sensibilisation des différents acteurs en éducation sur l'éducation inclusive</v>
      </c>
      <c r="AD392" s="76" t="str">
        <f t="shared" si="90"/>
        <v xml:space="preserve">15323-Sensibilisation des parents d'enfants en situation de handicap pour la scolarisation de leurs enfants </v>
      </c>
    </row>
    <row r="393" spans="1:30" s="90" customFormat="1" ht="45" customHeight="1" x14ac:dyDescent="0.8">
      <c r="A393" s="84">
        <v>1</v>
      </c>
      <c r="B393" s="85">
        <v>15</v>
      </c>
      <c r="C393" s="85">
        <v>153</v>
      </c>
      <c r="D393" s="85">
        <v>1533</v>
      </c>
      <c r="E393" s="84">
        <v>1533</v>
      </c>
      <c r="F393" s="75" t="s">
        <v>514</v>
      </c>
      <c r="G393" s="86"/>
      <c r="H393" s="86"/>
      <c r="I393" s="78">
        <v>0</v>
      </c>
      <c r="J393" s="78"/>
      <c r="K393" s="78"/>
      <c r="L393" s="78"/>
      <c r="M393" s="78"/>
      <c r="N393" s="78"/>
      <c r="O393" s="78"/>
      <c r="P393" s="78"/>
      <c r="Q393" s="78"/>
      <c r="R393" s="78"/>
      <c r="S393" s="93"/>
      <c r="T393" s="87"/>
      <c r="U393" s="87"/>
      <c r="V393" s="88"/>
      <c r="W393" s="87"/>
      <c r="X393" s="87"/>
      <c r="Y393" s="88" t="s">
        <v>32</v>
      </c>
      <c r="Z393" s="88" t="str">
        <f>A393 &amp; "-" &amp; VLOOKUP(A393,[4]PROGRAMMES!$E$1:$F$7,2,FALSE)</f>
        <v>1-Accès et équité à l'enseignement général</v>
      </c>
      <c r="AA393" s="88" t="str">
        <f>B393 &amp; "-" &amp; VLOOKUP(B393,[4]SOUSPROGRAMMES!$E$1:$F$44,2,FALSE)</f>
        <v>15- Promotion de l'éducation inclusive, y compris les FA</v>
      </c>
      <c r="AB393" s="88" t="str">
        <f>C393 &amp; "-" &amp; VLOOKUP(C393,[4]RESULTATS!$E$1:$F$176,2,FALSE)</f>
        <v>153- L'éducation inclusive est intégrée dans la prise de décision par les différents acteurs</v>
      </c>
      <c r="AC393" s="89" t="str">
        <f>D393 &amp; "-" &amp; VLOOKUP(D393,[4]STRATEGIES!$E$1:$F$504,2,FALSE)</f>
        <v>1533-Renforcement de la gratuité de l'école primaire</v>
      </c>
      <c r="AD393" s="76" t="str">
        <f t="shared" si="90"/>
        <v>1533-Renforcement de la gratuité de l'école primaire</v>
      </c>
    </row>
    <row r="394" spans="1:30" s="71" customFormat="1" ht="45" hidden="1" customHeight="1" x14ac:dyDescent="0.8">
      <c r="A394" s="91">
        <v>1</v>
      </c>
      <c r="B394" s="75">
        <v>15</v>
      </c>
      <c r="C394" s="75">
        <v>153</v>
      </c>
      <c r="D394" s="75">
        <v>1533</v>
      </c>
      <c r="E394" s="91">
        <v>15331</v>
      </c>
      <c r="F394" s="75" t="s">
        <v>515</v>
      </c>
      <c r="G394" s="76" t="s">
        <v>496</v>
      </c>
      <c r="H394" s="76" t="s">
        <v>308</v>
      </c>
      <c r="I394" s="78">
        <v>0</v>
      </c>
      <c r="J394" s="77">
        <v>1</v>
      </c>
      <c r="K394" s="77"/>
      <c r="L394" s="77"/>
      <c r="M394" s="77">
        <f t="shared" si="86"/>
        <v>1</v>
      </c>
      <c r="N394" s="77">
        <f>IF(OR(H394="",H394="sif",H394="PM"),0,VLOOKUP(H394,[5]CU!$C$4:$H$255,6,FALSE))</f>
        <v>855</v>
      </c>
      <c r="O394" s="77">
        <f t="shared" si="91"/>
        <v>0</v>
      </c>
      <c r="P394" s="77">
        <f t="shared" si="91"/>
        <v>855</v>
      </c>
      <c r="Q394" s="77">
        <f>$N394*K394</f>
        <v>0</v>
      </c>
      <c r="R394" s="77">
        <f t="shared" si="91"/>
        <v>0</v>
      </c>
      <c r="S394" s="79">
        <f t="shared" si="89"/>
        <v>855</v>
      </c>
      <c r="T394" s="92" t="s">
        <v>169</v>
      </c>
      <c r="U394" s="88" t="s">
        <v>170</v>
      </c>
      <c r="V394" s="88" t="str">
        <f>IF(OR($H394="",$H394="sif",$H394="PM"),"",VLOOKUP($H394,[5]CU!$C$5:$J$255,8,FALSE))</f>
        <v>3. Dépenses de fonctionnement</v>
      </c>
      <c r="W394" s="88" t="s">
        <v>192</v>
      </c>
      <c r="X394" s="88" t="s">
        <v>192</v>
      </c>
      <c r="Y394" s="88" t="s">
        <v>32</v>
      </c>
      <c r="Z394" s="88" t="str">
        <f>A394 &amp; "-" &amp; VLOOKUP(A394,[4]PROGRAMMES!$E$1:$F$7,2,FALSE)</f>
        <v>1-Accès et équité à l'enseignement général</v>
      </c>
      <c r="AA394" s="88" t="str">
        <f>B394 &amp; "-" &amp; VLOOKUP(B394,[4]SOUSPROGRAMMES!$E$1:$F$44,2,FALSE)</f>
        <v>15- Promotion de l'éducation inclusive, y compris les FA</v>
      </c>
      <c r="AB394" s="88" t="str">
        <f>C394 &amp; "-" &amp; VLOOKUP(C394,[4]RESULTATS!$E$1:$F$176,2,FALSE)</f>
        <v>153- L'éducation inclusive est intégrée dans la prise de décision par les différents acteurs</v>
      </c>
      <c r="AC394" s="89" t="str">
        <f>D394 &amp; "-" &amp; VLOOKUP(D394,[4]STRATEGIES!$E$1:$F$504,2,FALSE)</f>
        <v>1533-Renforcement de la gratuité de l'école primaire</v>
      </c>
      <c r="AD394" s="76" t="str">
        <f t="shared" si="90"/>
        <v>15331-Etude d'opportunité et appui à la mobilisation de Financements locaux pour la prise en charge des coûts indirects de la scolarisation des enfants issus des milieux défavorisés</v>
      </c>
    </row>
    <row r="395" spans="1:30" s="90" customFormat="1" ht="45" hidden="1" customHeight="1" x14ac:dyDescent="0.8">
      <c r="A395" s="84">
        <v>1</v>
      </c>
      <c r="B395" s="85">
        <v>15</v>
      </c>
      <c r="C395" s="85">
        <v>153</v>
      </c>
      <c r="D395" s="85">
        <v>1533</v>
      </c>
      <c r="E395" s="84">
        <v>15332</v>
      </c>
      <c r="F395" s="75" t="s">
        <v>516</v>
      </c>
      <c r="G395" s="76" t="s">
        <v>88</v>
      </c>
      <c r="H395" s="86" t="s">
        <v>55</v>
      </c>
      <c r="I395" s="78">
        <v>0</v>
      </c>
      <c r="J395" s="78">
        <v>1</v>
      </c>
      <c r="K395" s="78"/>
      <c r="L395" s="78"/>
      <c r="M395" s="78">
        <f t="shared" si="86"/>
        <v>1</v>
      </c>
      <c r="N395" s="78">
        <f>IF(OR(H395="",H395="sif",H395="PM"),0,VLOOKUP(H395,[5]CU!$C$4:$H$255,6,FALSE))</f>
        <v>0</v>
      </c>
      <c r="O395" s="78"/>
      <c r="P395" s="78"/>
      <c r="Q395" s="78"/>
      <c r="R395" s="78"/>
      <c r="S395" s="93"/>
      <c r="T395" s="80" t="s">
        <v>56</v>
      </c>
      <c r="U395" s="87" t="s">
        <v>170</v>
      </c>
      <c r="V395" s="88" t="str">
        <f>IF(OR($H395="",$H395="sif",$H395="PM"),"",VLOOKUP($H395,[5]CU!$C$5:$J$255,8,FALSE))</f>
        <v/>
      </c>
      <c r="W395" s="87" t="s">
        <v>192</v>
      </c>
      <c r="X395" s="87" t="s">
        <v>192</v>
      </c>
      <c r="Y395" s="88" t="s">
        <v>32</v>
      </c>
      <c r="Z395" s="88" t="str">
        <f>A395 &amp; "-" &amp; VLOOKUP(A395,[4]PROGRAMMES!$E$1:$F$7,2,FALSE)</f>
        <v>1-Accès et équité à l'enseignement général</v>
      </c>
      <c r="AA395" s="88" t="str">
        <f>B395 &amp; "-" &amp; VLOOKUP(B395,[4]SOUSPROGRAMMES!$E$1:$F$44,2,FALSE)</f>
        <v>15- Promotion de l'éducation inclusive, y compris les FA</v>
      </c>
      <c r="AB395" s="88" t="str">
        <f>C395 &amp; "-" &amp; VLOOKUP(C395,[4]RESULTATS!$E$1:$F$176,2,FALSE)</f>
        <v>153- L'éducation inclusive est intégrée dans la prise de décision par les différents acteurs</v>
      </c>
      <c r="AC395" s="89" t="str">
        <f>D395 &amp; "-" &amp; VLOOKUP(D395,[4]STRATEGIES!$E$1:$F$504,2,FALSE)</f>
        <v>1533-Renforcement de la gratuité de l'école primaire</v>
      </c>
      <c r="AD395" s="76" t="str">
        <f t="shared" si="90"/>
        <v>15332-DéFinition concertée des critères de choix des élèves devant bénéficier de fournitures scolaires</v>
      </c>
    </row>
    <row r="396" spans="1:30" s="90" customFormat="1" ht="45" hidden="1" customHeight="1" x14ac:dyDescent="0.8">
      <c r="A396" s="84">
        <v>1</v>
      </c>
      <c r="B396" s="85">
        <v>15</v>
      </c>
      <c r="C396" s="85">
        <v>153</v>
      </c>
      <c r="D396" s="85">
        <v>1533</v>
      </c>
      <c r="E396" s="84">
        <v>15333</v>
      </c>
      <c r="F396" s="75" t="s">
        <v>517</v>
      </c>
      <c r="G396" s="76" t="s">
        <v>88</v>
      </c>
      <c r="H396" s="86" t="s">
        <v>55</v>
      </c>
      <c r="I396" s="78">
        <v>0</v>
      </c>
      <c r="J396" s="78">
        <v>1</v>
      </c>
      <c r="K396" s="78">
        <v>1</v>
      </c>
      <c r="L396" s="78">
        <v>1</v>
      </c>
      <c r="M396" s="78">
        <f t="shared" si="86"/>
        <v>3</v>
      </c>
      <c r="N396" s="78">
        <f>IF(OR(H396="",H396="sif",H396="PM"),0,VLOOKUP(H396,[5]CU!$C$4:$H$255,6,FALSE))</f>
        <v>0</v>
      </c>
      <c r="O396" s="78"/>
      <c r="P396" s="78"/>
      <c r="Q396" s="78"/>
      <c r="R396" s="78"/>
      <c r="S396" s="93"/>
      <c r="T396" s="80" t="s">
        <v>56</v>
      </c>
      <c r="U396" s="87" t="s">
        <v>170</v>
      </c>
      <c r="V396" s="88" t="str">
        <f>IF(OR($H396="",$H396="sif",$H396="PM"),"",VLOOKUP($H396,[5]CU!$C$5:$J$255,8,FALSE))</f>
        <v/>
      </c>
      <c r="W396" s="87" t="s">
        <v>192</v>
      </c>
      <c r="X396" s="87" t="s">
        <v>179</v>
      </c>
      <c r="Y396" s="88" t="s">
        <v>32</v>
      </c>
      <c r="Z396" s="88" t="str">
        <f>A396 &amp; "-" &amp; VLOOKUP(A396,[4]PROGRAMMES!$E$1:$F$7,2,FALSE)</f>
        <v>1-Accès et équité à l'enseignement général</v>
      </c>
      <c r="AA396" s="88" t="str">
        <f>B396 &amp; "-" &amp; VLOOKUP(B396,[4]SOUSPROGRAMMES!$E$1:$F$44,2,FALSE)</f>
        <v>15- Promotion de l'éducation inclusive, y compris les FA</v>
      </c>
      <c r="AB396" s="88" t="str">
        <f>C396 &amp; "-" &amp; VLOOKUP(C396,[4]RESULTATS!$E$1:$F$176,2,FALSE)</f>
        <v>153- L'éducation inclusive est intégrée dans la prise de décision par les différents acteurs</v>
      </c>
      <c r="AC396" s="89" t="str">
        <f>D396 &amp; "-" &amp; VLOOKUP(D396,[4]STRATEGIES!$E$1:$F$504,2,FALSE)</f>
        <v>1533-Renforcement de la gratuité de l'école primaire</v>
      </c>
      <c r="AD396" s="76" t="str">
        <f t="shared" si="90"/>
        <v>15333-Identification des élèves devant bénéficier de fournitures scolaires sur la base des critères retenus</v>
      </c>
    </row>
    <row r="397" spans="1:30" s="90" customFormat="1" ht="45" hidden="1" customHeight="1" x14ac:dyDescent="0.8">
      <c r="A397" s="84">
        <v>1</v>
      </c>
      <c r="B397" s="85">
        <v>15</v>
      </c>
      <c r="C397" s="85">
        <v>153</v>
      </c>
      <c r="D397" s="85">
        <v>1533</v>
      </c>
      <c r="E397" s="84">
        <v>15334</v>
      </c>
      <c r="F397" s="75" t="s">
        <v>518</v>
      </c>
      <c r="G397" s="76" t="s">
        <v>519</v>
      </c>
      <c r="H397" s="86" t="s">
        <v>520</v>
      </c>
      <c r="I397" s="78">
        <v>0</v>
      </c>
      <c r="J397" s="78">
        <f>(1622380*0.1)*50.02%</f>
        <v>81151.4476</v>
      </c>
      <c r="K397" s="78">
        <f>(1680583*0.1)*50.02%</f>
        <v>84062.761660000004</v>
      </c>
      <c r="L397" s="78">
        <f>(17335722*0.1)*50.02%</f>
        <v>867132.8144400001</v>
      </c>
      <c r="M397" s="78">
        <f t="shared" si="86"/>
        <v>1032347.0237000001</v>
      </c>
      <c r="N397" s="78">
        <f>IF(OR(H397="",H397="sif",H397="PM"),0,VLOOKUP(H397,[5]CU!$C$4:$H$255,6,FALSE))</f>
        <v>0.1</v>
      </c>
      <c r="O397" s="78">
        <f t="shared" ref="O397:R403" si="92">$N397*I397</f>
        <v>0</v>
      </c>
      <c r="P397" s="78">
        <f t="shared" si="92"/>
        <v>8115.1447600000001</v>
      </c>
      <c r="Q397" s="78">
        <f t="shared" si="92"/>
        <v>8406.2761660000015</v>
      </c>
      <c r="R397" s="78">
        <f t="shared" si="92"/>
        <v>86713.281444000022</v>
      </c>
      <c r="S397" s="93">
        <f t="shared" ref="S397:S403" si="93">SUM(O397:R397)</f>
        <v>103234.70237000003</v>
      </c>
      <c r="T397" s="80" t="s">
        <v>56</v>
      </c>
      <c r="U397" s="87" t="s">
        <v>170</v>
      </c>
      <c r="V397" s="88" t="str">
        <f>IF(OR($H397="",$H397="sif",$H397="PM"),"",VLOOKUP($H397,[5]CU!$C$5:$J$255,8,FALSE))</f>
        <v>3. Manuels scolaires et matériels pédagogiques</v>
      </c>
      <c r="W397" s="87" t="s">
        <v>192</v>
      </c>
      <c r="X397" s="87" t="s">
        <v>521</v>
      </c>
      <c r="Y397" s="88" t="s">
        <v>32</v>
      </c>
      <c r="Z397" s="88" t="str">
        <f>A397 &amp; "-" &amp; VLOOKUP(A397,[4]PROGRAMMES!$E$1:$F$7,2,FALSE)</f>
        <v>1-Accès et équité à l'enseignement général</v>
      </c>
      <c r="AA397" s="88" t="str">
        <f>B397 &amp; "-" &amp; VLOOKUP(B397,[4]SOUSPROGRAMMES!$E$1:$F$44,2,FALSE)</f>
        <v>15- Promotion de l'éducation inclusive, y compris les FA</v>
      </c>
      <c r="AB397" s="88" t="str">
        <f>C397 &amp; "-" &amp; VLOOKUP(C397,[4]RESULTATS!$E$1:$F$176,2,FALSE)</f>
        <v>153- L'éducation inclusive est intégrée dans la prise de décision par les différents acteurs</v>
      </c>
      <c r="AC397" s="89" t="str">
        <f>D397 &amp; "-" &amp; VLOOKUP(D397,[4]STRATEGIES!$E$1:$F$504,2,FALSE)</f>
        <v>1533-Renforcement de la gratuité de l'école primaire</v>
      </c>
      <c r="AD397" s="76" t="str">
        <f t="shared" si="90"/>
        <v>15334-Acquisition et distribution des fournitures aux enfants défavorisés</v>
      </c>
    </row>
    <row r="398" spans="1:30" s="90" customFormat="1" ht="45" customHeight="1" x14ac:dyDescent="0.8">
      <c r="A398" s="84">
        <v>1</v>
      </c>
      <c r="B398" s="85">
        <v>15</v>
      </c>
      <c r="C398" s="85">
        <v>153</v>
      </c>
      <c r="D398" s="85">
        <v>1533</v>
      </c>
      <c r="E398" s="84">
        <v>15334</v>
      </c>
      <c r="F398" s="75" t="s">
        <v>518</v>
      </c>
      <c r="G398" s="76" t="s">
        <v>519</v>
      </c>
      <c r="H398" s="86" t="s">
        <v>520</v>
      </c>
      <c r="I398" s="78">
        <v>0</v>
      </c>
      <c r="J398" s="78">
        <f>(1622380*0.1)*33.06%</f>
        <v>53635.882799999999</v>
      </c>
      <c r="K398" s="78">
        <f>(1680583*0.1)*33.06%</f>
        <v>55560.073980000008</v>
      </c>
      <c r="L398" s="78">
        <f>(17335722*0.1)*33.06%</f>
        <v>573118.96932000003</v>
      </c>
      <c r="M398" s="78">
        <f>SUM(I398:L398)</f>
        <v>682314.92610000004</v>
      </c>
      <c r="N398" s="78">
        <f>IF(OR(H398="",H398="sif",H398="PM"),0,VLOOKUP(H398,[5]CU!$C$4:$H$255,6,FALSE))</f>
        <v>0.1</v>
      </c>
      <c r="O398" s="78">
        <f t="shared" si="92"/>
        <v>0</v>
      </c>
      <c r="P398" s="78">
        <f t="shared" si="92"/>
        <v>5363.5882799999999</v>
      </c>
      <c r="Q398" s="78">
        <f t="shared" si="92"/>
        <v>5556.0073980000016</v>
      </c>
      <c r="R398" s="78">
        <f t="shared" si="92"/>
        <v>57311.896932000003</v>
      </c>
      <c r="S398" s="93">
        <f t="shared" si="93"/>
        <v>68231.492610000001</v>
      </c>
      <c r="T398" s="80" t="s">
        <v>118</v>
      </c>
      <c r="U398" s="87" t="s">
        <v>170</v>
      </c>
      <c r="V398" s="88" t="str">
        <f>IF(OR($H398="",$H398="sif",$H398="PM"),"",VLOOKUP($H398,[5]CU!$C$5:$J$255,8,FALSE))</f>
        <v>3. Manuels scolaires et matériels pédagogiques</v>
      </c>
      <c r="W398" s="87" t="s">
        <v>192</v>
      </c>
      <c r="X398" s="87" t="s">
        <v>521</v>
      </c>
      <c r="Y398" s="88" t="s">
        <v>32</v>
      </c>
      <c r="Z398" s="88" t="str">
        <f>A398 &amp; "-" &amp; VLOOKUP(A398,[4]PROGRAMMES!$E$1:$F$7,2,FALSE)</f>
        <v>1-Accès et équité à l'enseignement général</v>
      </c>
      <c r="AA398" s="88" t="str">
        <f>B398 &amp; "-" &amp; VLOOKUP(B398,[4]SOUSPROGRAMMES!$E$1:$F$44,2,FALSE)</f>
        <v>15- Promotion de l'éducation inclusive, y compris les FA</v>
      </c>
      <c r="AB398" s="88" t="str">
        <f>C398 &amp; "-" &amp; VLOOKUP(C398,[4]RESULTATS!$E$1:$F$176,2,FALSE)</f>
        <v>153- L'éducation inclusive est intégrée dans la prise de décision par les différents acteurs</v>
      </c>
      <c r="AC398" s="89" t="str">
        <f>D398 &amp; "-" &amp; VLOOKUP(D398,[4]STRATEGIES!$E$1:$F$504,2,FALSE)</f>
        <v>1533-Renforcement de la gratuité de l'école primaire</v>
      </c>
      <c r="AD398" s="76" t="str">
        <f t="shared" si="90"/>
        <v>15334-Acquisition et distribution des fournitures aux enfants défavorisés</v>
      </c>
    </row>
    <row r="399" spans="1:30" s="90" customFormat="1" ht="45" customHeight="1" x14ac:dyDescent="0.8">
      <c r="A399" s="84">
        <v>1</v>
      </c>
      <c r="B399" s="85">
        <v>15</v>
      </c>
      <c r="C399" s="85">
        <v>153</v>
      </c>
      <c r="D399" s="85">
        <v>1533</v>
      </c>
      <c r="E399" s="84">
        <v>15334</v>
      </c>
      <c r="F399" s="75" t="s">
        <v>518</v>
      </c>
      <c r="G399" s="76" t="s">
        <v>519</v>
      </c>
      <c r="H399" s="86" t="s">
        <v>520</v>
      </c>
      <c r="I399" s="78">
        <v>0</v>
      </c>
      <c r="J399" s="78">
        <f>(1622380*0.1)*0.13%</f>
        <v>210.90939999999998</v>
      </c>
      <c r="K399" s="78">
        <f>(1680583*0.1)*0.13%</f>
        <v>218.47579000000002</v>
      </c>
      <c r="L399" s="78">
        <f>(17335722*0.1)*0.13%</f>
        <v>2253.6438600000001</v>
      </c>
      <c r="M399" s="78">
        <f t="shared" si="86"/>
        <v>2683.0290500000001</v>
      </c>
      <c r="N399" s="78">
        <f>IF(OR(H399="",H399="sif",H399="PM"),0,VLOOKUP(H399,[5]CU!$C$4:$H$255,6,FALSE))</f>
        <v>0.1</v>
      </c>
      <c r="O399" s="78">
        <f t="shared" si="92"/>
        <v>0</v>
      </c>
      <c r="P399" s="78">
        <f t="shared" si="92"/>
        <v>21.09094</v>
      </c>
      <c r="Q399" s="78">
        <f t="shared" si="92"/>
        <v>21.847579000000003</v>
      </c>
      <c r="R399" s="78">
        <f t="shared" si="92"/>
        <v>225.36438600000002</v>
      </c>
      <c r="S399" s="93">
        <f t="shared" si="93"/>
        <v>268.30290500000001</v>
      </c>
      <c r="T399" s="80" t="s">
        <v>129</v>
      </c>
      <c r="U399" s="88" t="s">
        <v>170</v>
      </c>
      <c r="V399" s="88" t="str">
        <f>IF(OR($H399="",$H399="sif",$H399="PM"),"",VLOOKUP($H399,[5]CU!$C$5:$J$255,8,FALSE))</f>
        <v>3. Manuels scolaires et matériels pédagogiques</v>
      </c>
      <c r="W399" s="87" t="s">
        <v>192</v>
      </c>
      <c r="X399" s="87" t="s">
        <v>521</v>
      </c>
      <c r="Y399" s="88" t="s">
        <v>32</v>
      </c>
      <c r="Z399" s="88" t="str">
        <f>A399 &amp; "-" &amp; VLOOKUP(A399,[4]PROGRAMMES!$E$1:$F$7,2,FALSE)</f>
        <v>1-Accès et équité à l'enseignement général</v>
      </c>
      <c r="AA399" s="88" t="str">
        <f>B399 &amp; "-" &amp; VLOOKUP(B399,[4]SOUSPROGRAMMES!$E$1:$F$44,2,FALSE)</f>
        <v>15- Promotion de l'éducation inclusive, y compris les FA</v>
      </c>
      <c r="AB399" s="88" t="str">
        <f>C399 &amp; "-" &amp; VLOOKUP(C399,[4]RESULTATS!$E$1:$F$176,2,FALSE)</f>
        <v>153- L'éducation inclusive est intégrée dans la prise de décision par les différents acteurs</v>
      </c>
      <c r="AC399" s="89" t="str">
        <f>D399 &amp; "-" &amp; VLOOKUP(D399,[4]STRATEGIES!$E$1:$F$504,2,FALSE)</f>
        <v>1533-Renforcement de la gratuité de l'école primaire</v>
      </c>
      <c r="AD399" s="76" t="str">
        <f t="shared" si="90"/>
        <v>15334-Acquisition et distribution des fournitures aux enfants défavorisés</v>
      </c>
    </row>
    <row r="400" spans="1:30" s="90" customFormat="1" ht="45" customHeight="1" x14ac:dyDescent="0.8">
      <c r="A400" s="84">
        <v>1</v>
      </c>
      <c r="B400" s="85">
        <v>15</v>
      </c>
      <c r="C400" s="85">
        <v>153</v>
      </c>
      <c r="D400" s="85">
        <v>1533</v>
      </c>
      <c r="E400" s="84">
        <v>15334</v>
      </c>
      <c r="F400" s="75" t="s">
        <v>518</v>
      </c>
      <c r="G400" s="76" t="s">
        <v>519</v>
      </c>
      <c r="H400" s="86" t="s">
        <v>520</v>
      </c>
      <c r="I400" s="78">
        <v>0</v>
      </c>
      <c r="J400" s="78">
        <f>(1622380*0.1)*9.33%</f>
        <v>15136.805399999999</v>
      </c>
      <c r="K400" s="78">
        <f>(1680583*0.1)*9.33%</f>
        <v>15679.839390000001</v>
      </c>
      <c r="L400" s="78">
        <f>(17335722*0.1)*9.33%</f>
        <v>161742.28625999999</v>
      </c>
      <c r="M400" s="78">
        <f>SUM(I400:L400)</f>
        <v>192558.93104999998</v>
      </c>
      <c r="N400" s="78">
        <f>IF(OR(H400="",H400="sif",H400="PM"),0,VLOOKUP(H400,[5]CU!$C$4:$H$255,6,FALSE))</f>
        <v>0.1</v>
      </c>
      <c r="O400" s="78">
        <f t="shared" si="92"/>
        <v>0</v>
      </c>
      <c r="P400" s="78">
        <f t="shared" si="92"/>
        <v>1513.6805400000001</v>
      </c>
      <c r="Q400" s="78">
        <f t="shared" si="92"/>
        <v>1567.9839390000002</v>
      </c>
      <c r="R400" s="78">
        <f t="shared" si="92"/>
        <v>16174.228626</v>
      </c>
      <c r="S400" s="93">
        <f t="shared" si="93"/>
        <v>19255.893104999999</v>
      </c>
      <c r="T400" s="80" t="s">
        <v>221</v>
      </c>
      <c r="U400" s="87" t="s">
        <v>170</v>
      </c>
      <c r="V400" s="88" t="str">
        <f>IF(OR($H400="",$H400="sif",$H400="PM"),"",VLOOKUP($H400,[5]CU!$C$5:$J$255,8,FALSE))</f>
        <v>3. Manuels scolaires et matériels pédagogiques</v>
      </c>
      <c r="W400" s="87" t="s">
        <v>192</v>
      </c>
      <c r="X400" s="87" t="s">
        <v>521</v>
      </c>
      <c r="Y400" s="88" t="s">
        <v>32</v>
      </c>
      <c r="Z400" s="88" t="str">
        <f>A400 &amp; "-" &amp; VLOOKUP(A400,[4]PROGRAMMES!$E$1:$F$7,2,FALSE)</f>
        <v>1-Accès et équité à l'enseignement général</v>
      </c>
      <c r="AA400" s="88" t="str">
        <f>B400 &amp; "-" &amp; VLOOKUP(B400,[4]SOUSPROGRAMMES!$E$1:$F$44,2,FALSE)</f>
        <v>15- Promotion de l'éducation inclusive, y compris les FA</v>
      </c>
      <c r="AB400" s="88" t="str">
        <f>C400 &amp; "-" &amp; VLOOKUP(C400,[4]RESULTATS!$E$1:$F$176,2,FALSE)</f>
        <v>153- L'éducation inclusive est intégrée dans la prise de décision par les différents acteurs</v>
      </c>
      <c r="AC400" s="89" t="str">
        <f>D400 &amp; "-" &amp; VLOOKUP(D400,[4]STRATEGIES!$E$1:$F$504,2,FALSE)</f>
        <v>1533-Renforcement de la gratuité de l'école primaire</v>
      </c>
      <c r="AD400" s="76" t="str">
        <f t="shared" si="90"/>
        <v>15334-Acquisition et distribution des fournitures aux enfants défavorisés</v>
      </c>
    </row>
    <row r="401" spans="1:30" s="90" customFormat="1" ht="45" customHeight="1" x14ac:dyDescent="0.8">
      <c r="A401" s="84">
        <v>1</v>
      </c>
      <c r="B401" s="85">
        <v>15</v>
      </c>
      <c r="C401" s="85">
        <v>153</v>
      </c>
      <c r="D401" s="85">
        <v>1533</v>
      </c>
      <c r="E401" s="84">
        <v>15334</v>
      </c>
      <c r="F401" s="75" t="s">
        <v>518</v>
      </c>
      <c r="G401" s="76" t="s">
        <v>519</v>
      </c>
      <c r="H401" s="86" t="s">
        <v>520</v>
      </c>
      <c r="I401" s="78">
        <f>(1622380*0.1)*7.46%</f>
        <v>12102.9548</v>
      </c>
      <c r="J401" s="93">
        <f>(1622380*0.1)*7.46%</f>
        <v>12102.9548</v>
      </c>
      <c r="K401" s="93">
        <f>(1680583*0.1)*7.46%</f>
        <v>12537.14918</v>
      </c>
      <c r="L401" s="93">
        <f>(17335722*0.1)*7.46%</f>
        <v>129324.48612000002</v>
      </c>
      <c r="M401" s="93">
        <f t="shared" si="86"/>
        <v>166067.54490000001</v>
      </c>
      <c r="N401" s="93">
        <f>IF(OR(H401="",H401="sif",H401="PM"),0,VLOOKUP(H401,[5]CU!$C$4:$H$255,6,FALSE))</f>
        <v>0.1</v>
      </c>
      <c r="O401" s="93">
        <f t="shared" si="92"/>
        <v>1210.29548</v>
      </c>
      <c r="P401" s="93">
        <f t="shared" si="92"/>
        <v>1210.29548</v>
      </c>
      <c r="Q401" s="93">
        <f t="shared" si="92"/>
        <v>1253.7149180000001</v>
      </c>
      <c r="R401" s="93">
        <f t="shared" si="92"/>
        <v>12932.448612000002</v>
      </c>
      <c r="S401" s="93">
        <f t="shared" si="93"/>
        <v>16606.754490000003</v>
      </c>
      <c r="T401" s="80" t="s">
        <v>67</v>
      </c>
      <c r="U401" s="87" t="s">
        <v>170</v>
      </c>
      <c r="V401" s="88" t="str">
        <f>IF(OR($H401="",$H401="sif",$H401="PM"),"",VLOOKUP($H401,[5]CU!$C$5:$J$255,8,FALSE))</f>
        <v>3. Manuels scolaires et matériels pédagogiques</v>
      </c>
      <c r="W401" s="87" t="s">
        <v>192</v>
      </c>
      <c r="X401" s="87" t="s">
        <v>521</v>
      </c>
      <c r="Y401" s="88" t="s">
        <v>32</v>
      </c>
      <c r="Z401" s="88" t="str">
        <f>A401 &amp; "-" &amp; VLOOKUP(A401,[4]PROGRAMMES!$E$1:$F$7,2,FALSE)</f>
        <v>1-Accès et équité à l'enseignement général</v>
      </c>
      <c r="AA401" s="88" t="str">
        <f>B401 &amp; "-" &amp; VLOOKUP(B401,[4]SOUSPROGRAMMES!$E$1:$F$44,2,FALSE)</f>
        <v>15- Promotion de l'éducation inclusive, y compris les FA</v>
      </c>
      <c r="AB401" s="88" t="str">
        <f>C401 &amp; "-" &amp; VLOOKUP(C401,[4]RESULTATS!$E$1:$F$176,2,FALSE)</f>
        <v>153- L'éducation inclusive est intégrée dans la prise de décision par les différents acteurs</v>
      </c>
      <c r="AC401" s="89" t="str">
        <f>D401 &amp; "-" &amp; VLOOKUP(D401,[4]STRATEGIES!$E$1:$F$504,2,FALSE)</f>
        <v>1533-Renforcement de la gratuité de l'école primaire</v>
      </c>
      <c r="AD401" s="76" t="str">
        <f t="shared" si="90"/>
        <v>15334-Acquisition et distribution des fournitures aux enfants défavorisés</v>
      </c>
    </row>
    <row r="402" spans="1:30" s="90" customFormat="1" ht="45" hidden="1" customHeight="1" x14ac:dyDescent="0.8">
      <c r="A402" s="84">
        <v>1</v>
      </c>
      <c r="B402" s="85">
        <v>15</v>
      </c>
      <c r="C402" s="85">
        <v>153</v>
      </c>
      <c r="D402" s="85">
        <v>1533</v>
      </c>
      <c r="E402" s="84">
        <v>15335</v>
      </c>
      <c r="F402" s="75" t="s">
        <v>522</v>
      </c>
      <c r="G402" s="76" t="s">
        <v>58</v>
      </c>
      <c r="H402" s="86" t="s">
        <v>59</v>
      </c>
      <c r="I402" s="78">
        <v>0</v>
      </c>
      <c r="J402" s="78">
        <f t="shared" ref="J402:L403" si="94">(3*33*7)*50%</f>
        <v>346.5</v>
      </c>
      <c r="K402" s="78">
        <f t="shared" si="94"/>
        <v>346.5</v>
      </c>
      <c r="L402" s="78">
        <f t="shared" si="94"/>
        <v>346.5</v>
      </c>
      <c r="M402" s="78">
        <f>SUM(I402:L402)</f>
        <v>1039.5</v>
      </c>
      <c r="N402" s="78">
        <f>IF(OR(H402="",H402="sif",H402="PM"),0,VLOOKUP(H402,[5]CU!$C$4:$H$255,6,FALSE))</f>
        <v>0.8177777777777776</v>
      </c>
      <c r="O402" s="78">
        <f t="shared" si="92"/>
        <v>0</v>
      </c>
      <c r="P402" s="78">
        <f t="shared" si="92"/>
        <v>283.35999999999996</v>
      </c>
      <c r="Q402" s="78">
        <f t="shared" si="92"/>
        <v>283.35999999999996</v>
      </c>
      <c r="R402" s="78">
        <f t="shared" si="92"/>
        <v>283.35999999999996</v>
      </c>
      <c r="S402" s="93">
        <f t="shared" si="93"/>
        <v>850.07999999999993</v>
      </c>
      <c r="T402" s="80" t="s">
        <v>56</v>
      </c>
      <c r="U402" s="87" t="s">
        <v>170</v>
      </c>
      <c r="V402" s="88" t="str">
        <f>IF(OR($H402="",$H402="sif",$H402="PM"),"",VLOOKUP($H402,[5]CU!$C$5:$J$255,8,FALSE))</f>
        <v>3. Dépenses de fonctionnement</v>
      </c>
      <c r="W402" s="87" t="s">
        <v>192</v>
      </c>
      <c r="X402" s="87" t="s">
        <v>523</v>
      </c>
      <c r="Y402" s="88" t="s">
        <v>32</v>
      </c>
      <c r="Z402" s="88" t="str">
        <f>A402 &amp; "-" &amp; VLOOKUP(A402,[4]PROGRAMMES!$E$1:$F$7,2,FALSE)</f>
        <v>1-Accès et équité à l'enseignement général</v>
      </c>
      <c r="AA402" s="88" t="str">
        <f>B402 &amp; "-" &amp; VLOOKUP(B402,[4]SOUSPROGRAMMES!$E$1:$F$44,2,FALSE)</f>
        <v>15- Promotion de l'éducation inclusive, y compris les FA</v>
      </c>
      <c r="AB402" s="88" t="str">
        <f>C402 &amp; "-" &amp; VLOOKUP(C402,[4]RESULTATS!$E$1:$F$176,2,FALSE)</f>
        <v>153- L'éducation inclusive est intégrée dans la prise de décision par les différents acteurs</v>
      </c>
      <c r="AC402" s="89" t="str">
        <f>D402 &amp; "-" &amp; VLOOKUP(D402,[4]STRATEGIES!$E$1:$F$504,2,FALSE)</f>
        <v>1533-Renforcement de la gratuité de l'école primaire</v>
      </c>
      <c r="AD402" s="76" t="str">
        <f t="shared" si="90"/>
        <v>15335-Suivi/évaluation de la distribution des fournitures scolaires (audit échantillon annuel)</v>
      </c>
    </row>
    <row r="403" spans="1:30" s="90" customFormat="1" ht="45" customHeight="1" x14ac:dyDescent="0.8">
      <c r="A403" s="84">
        <v>1</v>
      </c>
      <c r="B403" s="85">
        <v>15</v>
      </c>
      <c r="C403" s="85">
        <v>153</v>
      </c>
      <c r="D403" s="85">
        <v>1533</v>
      </c>
      <c r="E403" s="84">
        <v>15335</v>
      </c>
      <c r="F403" s="75" t="s">
        <v>522</v>
      </c>
      <c r="G403" s="76" t="s">
        <v>58</v>
      </c>
      <c r="H403" s="86" t="s">
        <v>59</v>
      </c>
      <c r="I403" s="78">
        <v>0</v>
      </c>
      <c r="J403" s="78">
        <f t="shared" si="94"/>
        <v>346.5</v>
      </c>
      <c r="K403" s="78">
        <f t="shared" si="94"/>
        <v>346.5</v>
      </c>
      <c r="L403" s="78">
        <f t="shared" si="94"/>
        <v>346.5</v>
      </c>
      <c r="M403" s="78">
        <f t="shared" si="86"/>
        <v>1039.5</v>
      </c>
      <c r="N403" s="78">
        <f>IF(OR(H403="",H403="sif",H403="PM"),0,VLOOKUP(H403,[5]CU!$C$4:$H$255,6,FALSE))</f>
        <v>0.8177777777777776</v>
      </c>
      <c r="O403" s="78">
        <f t="shared" si="92"/>
        <v>0</v>
      </c>
      <c r="P403" s="78">
        <f t="shared" si="92"/>
        <v>283.35999999999996</v>
      </c>
      <c r="Q403" s="78">
        <f t="shared" si="92"/>
        <v>283.35999999999996</v>
      </c>
      <c r="R403" s="78">
        <f t="shared" si="92"/>
        <v>283.35999999999996</v>
      </c>
      <c r="S403" s="93">
        <f t="shared" si="93"/>
        <v>850.07999999999993</v>
      </c>
      <c r="T403" s="80" t="s">
        <v>118</v>
      </c>
      <c r="U403" s="87" t="s">
        <v>170</v>
      </c>
      <c r="V403" s="88" t="str">
        <f>IF(OR($H403="",$H403="sif",$H403="PM"),"",VLOOKUP($H403,[5]CU!$C$5:$J$255,8,FALSE))</f>
        <v>3. Dépenses de fonctionnement</v>
      </c>
      <c r="W403" s="87" t="s">
        <v>192</v>
      </c>
      <c r="X403" s="87" t="s">
        <v>523</v>
      </c>
      <c r="Y403" s="88" t="s">
        <v>32</v>
      </c>
      <c r="Z403" s="88" t="str">
        <f>A403 &amp; "-" &amp; VLOOKUP(A403,[4]PROGRAMMES!$E$1:$F$7,2,FALSE)</f>
        <v>1-Accès et équité à l'enseignement général</v>
      </c>
      <c r="AA403" s="88" t="str">
        <f>B403 &amp; "-" &amp; VLOOKUP(B403,[4]SOUSPROGRAMMES!$E$1:$F$44,2,FALSE)</f>
        <v>15- Promotion de l'éducation inclusive, y compris les FA</v>
      </c>
      <c r="AB403" s="88" t="str">
        <f>C403 &amp; "-" &amp; VLOOKUP(C403,[4]RESULTATS!$E$1:$F$176,2,FALSE)</f>
        <v>153- L'éducation inclusive est intégrée dans la prise de décision par les différents acteurs</v>
      </c>
      <c r="AC403" s="89" t="str">
        <f>D403 &amp; "-" &amp; VLOOKUP(D403,[4]STRATEGIES!$E$1:$F$504,2,FALSE)</f>
        <v>1533-Renforcement de la gratuité de l'école primaire</v>
      </c>
      <c r="AD403" s="76" t="str">
        <f t="shared" si="90"/>
        <v>15335-Suivi/évaluation de la distribution des fournitures scolaires (audit échantillon annuel)</v>
      </c>
    </row>
    <row r="404" spans="1:30" s="90" customFormat="1" ht="15" customHeight="1" x14ac:dyDescent="0.8">
      <c r="A404" s="84">
        <v>1</v>
      </c>
      <c r="B404" s="85">
        <v>16</v>
      </c>
      <c r="C404" s="85">
        <v>16</v>
      </c>
      <c r="D404" s="85">
        <v>16</v>
      </c>
      <c r="E404" s="84">
        <v>16</v>
      </c>
      <c r="F404" s="75" t="s">
        <v>524</v>
      </c>
      <c r="G404" s="86"/>
      <c r="H404" s="86"/>
      <c r="I404" s="78">
        <v>0</v>
      </c>
      <c r="J404" s="78"/>
      <c r="K404" s="78"/>
      <c r="L404" s="78"/>
      <c r="M404" s="78"/>
      <c r="N404" s="78"/>
      <c r="O404" s="78"/>
      <c r="P404" s="78"/>
      <c r="Q404" s="78"/>
      <c r="R404" s="78"/>
      <c r="S404" s="93"/>
      <c r="T404" s="87"/>
      <c r="U404" s="87"/>
      <c r="V404" s="88"/>
      <c r="W404" s="87"/>
      <c r="X404" s="87"/>
      <c r="Y404" s="88" t="s">
        <v>32</v>
      </c>
      <c r="Z404" s="88" t="str">
        <f>A404 &amp; "-" &amp; VLOOKUP(A404,[4]PROGRAMMES!$E$1:$F$7,2,FALSE)</f>
        <v>1-Accès et équité à l'enseignement général</v>
      </c>
      <c r="AA404" s="88" t="str">
        <f>B404 &amp; "-" &amp; VLOOKUP(B404,[4]SOUSPROGRAMMES!$E$1:$F$44,2,FALSE)</f>
        <v>16- Accès et équité au lycée</v>
      </c>
      <c r="AB404" s="88" t="str">
        <f>C404 &amp; "-" &amp; VLOOKUP(C404,[4]RESULTATS!$E$1:$F$176,2,FALSE)</f>
        <v>16- Accès et équité au lycée</v>
      </c>
      <c r="AC404" s="89" t="str">
        <f>D404 &amp; "-" &amp; VLOOKUP(D404,[4]STRATEGIES!$E$1:$F$504,2,FALSE)</f>
        <v>16- Accès et équité au lycée</v>
      </c>
      <c r="AD404" s="76" t="str">
        <f t="shared" si="90"/>
        <v>16- Accès et équité au lycée</v>
      </c>
    </row>
    <row r="405" spans="1:30" s="90" customFormat="1" ht="45" customHeight="1" x14ac:dyDescent="0.8">
      <c r="A405" s="84">
        <v>1</v>
      </c>
      <c r="B405" s="85">
        <v>16</v>
      </c>
      <c r="C405" s="85">
        <v>161</v>
      </c>
      <c r="D405" s="85">
        <v>161</v>
      </c>
      <c r="E405" s="84">
        <v>161</v>
      </c>
      <c r="F405" s="75" t="s">
        <v>525</v>
      </c>
      <c r="G405" s="86"/>
      <c r="H405" s="86"/>
      <c r="I405" s="78">
        <v>0</v>
      </c>
      <c r="J405" s="78"/>
      <c r="K405" s="78"/>
      <c r="L405" s="78"/>
      <c r="M405" s="78"/>
      <c r="N405" s="78"/>
      <c r="O405" s="78"/>
      <c r="P405" s="78"/>
      <c r="Q405" s="78"/>
      <c r="R405" s="78"/>
      <c r="S405" s="93"/>
      <c r="T405" s="87"/>
      <c r="U405" s="87"/>
      <c r="V405" s="88"/>
      <c r="W405" s="87"/>
      <c r="X405" s="87"/>
      <c r="Y405" s="88" t="s">
        <v>32</v>
      </c>
      <c r="Z405" s="88" t="str">
        <f>A405 &amp; "-" &amp; VLOOKUP(A405,[4]PROGRAMMES!$E$1:$F$7,2,FALSE)</f>
        <v>1-Accès et équité à l'enseignement général</v>
      </c>
      <c r="AA405" s="88" t="str">
        <f>B405 &amp; "-" &amp; VLOOKUP(B405,[4]SOUSPROGRAMMES!$E$1:$F$44,2,FALSE)</f>
        <v>16- Accès et équité au lycée</v>
      </c>
      <c r="AB405" s="88" t="str">
        <f>C405 &amp; "-" &amp; VLOOKUP(C405,[4]RESULTATS!$E$1:$F$176,2,FALSE)</f>
        <v>161- L’accès au lycée est maitrisé en tenant compte de l’équité et de la diversification des filières</v>
      </c>
      <c r="AC405" s="89" t="str">
        <f>D405 &amp; "-" &amp; VLOOKUP(D405,[4]STRATEGIES!$E$1:$F$504,2,FALSE)</f>
        <v>161- L’accès au lycée est maitrisé en tenant compte de l’équité et de la diversification des filières</v>
      </c>
      <c r="AD405" s="76" t="str">
        <f t="shared" si="90"/>
        <v>161- L’accès au lycée est maitrisé en tenant compte de l’équité et de la diversification des filières</v>
      </c>
    </row>
    <row r="406" spans="1:30" s="90" customFormat="1" ht="45" customHeight="1" x14ac:dyDescent="0.8">
      <c r="A406" s="84">
        <v>1</v>
      </c>
      <c r="B406" s="85">
        <v>16</v>
      </c>
      <c r="C406" s="85">
        <v>161</v>
      </c>
      <c r="D406" s="85">
        <v>1611</v>
      </c>
      <c r="E406" s="84">
        <v>1611</v>
      </c>
      <c r="F406" s="75" t="s">
        <v>526</v>
      </c>
      <c r="G406" s="86"/>
      <c r="H406" s="86"/>
      <c r="I406" s="78">
        <v>0</v>
      </c>
      <c r="J406" s="78"/>
      <c r="K406" s="78"/>
      <c r="L406" s="78"/>
      <c r="M406" s="78"/>
      <c r="N406" s="78"/>
      <c r="O406" s="78"/>
      <c r="P406" s="78"/>
      <c r="Q406" s="78"/>
      <c r="R406" s="78"/>
      <c r="S406" s="93"/>
      <c r="T406" s="87"/>
      <c r="U406" s="87"/>
      <c r="V406" s="88"/>
      <c r="W406" s="87"/>
      <c r="X406" s="87"/>
      <c r="Y406" s="88" t="s">
        <v>32</v>
      </c>
      <c r="Z406" s="88" t="str">
        <f>A406 &amp; "-" &amp; VLOOKUP(A406,[4]PROGRAMMES!$E$1:$F$7,2,FALSE)</f>
        <v>1-Accès et équité à l'enseignement général</v>
      </c>
      <c r="AA406" s="88" t="str">
        <f>B406 &amp; "-" &amp; VLOOKUP(B406,[4]SOUSPROGRAMMES!$E$1:$F$44,2,FALSE)</f>
        <v>16- Accès et équité au lycée</v>
      </c>
      <c r="AB406" s="88" t="str">
        <f>C406 &amp; "-" &amp; VLOOKUP(C406,[4]RESULTATS!$E$1:$F$176,2,FALSE)</f>
        <v>161- L’accès au lycée est maitrisé en tenant compte de l’équité et de la diversification des filières</v>
      </c>
      <c r="AC406" s="89" t="str">
        <f>D406 &amp; "-" &amp; VLOOKUP(D406,[4]STRATEGIES!$E$1:$F$504,2,FALSE)</f>
        <v>1611-Diversification des filières au lycée</v>
      </c>
      <c r="AD406" s="76" t="str">
        <f t="shared" si="90"/>
        <v>1611-Diversification des filières au lycée</v>
      </c>
    </row>
    <row r="407" spans="1:30" s="90" customFormat="1" ht="45" hidden="1" customHeight="1" x14ac:dyDescent="0.8">
      <c r="A407" s="84">
        <v>1</v>
      </c>
      <c r="B407" s="85">
        <v>16</v>
      </c>
      <c r="C407" s="85">
        <v>161</v>
      </c>
      <c r="D407" s="85">
        <v>1611</v>
      </c>
      <c r="E407" s="84">
        <v>16111</v>
      </c>
      <c r="F407" s="75" t="s">
        <v>527</v>
      </c>
      <c r="G407" s="76" t="s">
        <v>471</v>
      </c>
      <c r="H407" s="86" t="s">
        <v>528</v>
      </c>
      <c r="I407" s="78">
        <v>0</v>
      </c>
      <c r="J407" s="78"/>
      <c r="K407" s="78">
        <f>0.5</f>
        <v>0.5</v>
      </c>
      <c r="L407" s="78">
        <v>0.5</v>
      </c>
      <c r="M407" s="78">
        <f t="shared" si="86"/>
        <v>1</v>
      </c>
      <c r="N407" s="78">
        <f>IF(OR(H407="",H407="sif",H407="PM"),0,VLOOKUP(H407,[5]CU!$C$4:$H$255,6,FALSE))</f>
        <v>16000</v>
      </c>
      <c r="O407" s="78">
        <f>$N407*I407</f>
        <v>0</v>
      </c>
      <c r="P407" s="78">
        <f>$N407*J407</f>
        <v>0</v>
      </c>
      <c r="Q407" s="78">
        <f>$N407*K407</f>
        <v>8000</v>
      </c>
      <c r="R407" s="78">
        <f>$N407*L407</f>
        <v>8000</v>
      </c>
      <c r="S407" s="93">
        <f>SUM(O407:R407)</f>
        <v>16000</v>
      </c>
      <c r="T407" s="80" t="s">
        <v>56</v>
      </c>
      <c r="U407" s="87" t="s">
        <v>529</v>
      </c>
      <c r="V407" s="88" t="str">
        <f>IF(OR($H407="",$H407="sif",$H407="PM"),"",VLOOKUP($H407,[5]CU!$C$5:$J$255,8,FALSE))</f>
        <v>5. Investissement</v>
      </c>
      <c r="W407" s="87" t="s">
        <v>398</v>
      </c>
      <c r="X407" s="87" t="s">
        <v>98</v>
      </c>
      <c r="Y407" s="88" t="s">
        <v>32</v>
      </c>
      <c r="Z407" s="88" t="str">
        <f>A407 &amp; "-" &amp; VLOOKUP(A407,[4]PROGRAMMES!$E$1:$F$7,2,FALSE)</f>
        <v>1-Accès et équité à l'enseignement général</v>
      </c>
      <c r="AA407" s="88" t="str">
        <f>B407 &amp; "-" &amp; VLOOKUP(B407,[4]SOUSPROGRAMMES!$E$1:$F$44,2,FALSE)</f>
        <v>16- Accès et équité au lycée</v>
      </c>
      <c r="AB407" s="88" t="str">
        <f>C407 &amp; "-" &amp; VLOOKUP(C407,[4]RESULTATS!$E$1:$F$176,2,FALSE)</f>
        <v>161- L’accès au lycée est maitrisé en tenant compte de l’équité et de la diversification des filières</v>
      </c>
      <c r="AC407" s="89" t="str">
        <f>D407 &amp; "-" &amp; VLOOKUP(D407,[4]STRATEGIES!$E$1:$F$504,2,FALSE)</f>
        <v>1611-Diversification des filières au lycée</v>
      </c>
      <c r="AD407" s="76" t="str">
        <f t="shared" si="90"/>
        <v>16111-Construction et équipement de lycées techniques</v>
      </c>
    </row>
    <row r="408" spans="1:30" s="90" customFormat="1" ht="45" customHeight="1" x14ac:dyDescent="0.8">
      <c r="A408" s="84">
        <v>1</v>
      </c>
      <c r="B408" s="85">
        <v>16</v>
      </c>
      <c r="C408" s="85">
        <v>161</v>
      </c>
      <c r="D408" s="85">
        <v>1612</v>
      </c>
      <c r="E408" s="84">
        <v>1612</v>
      </c>
      <c r="F408" s="75" t="s">
        <v>530</v>
      </c>
      <c r="G408" s="86"/>
      <c r="H408" s="86"/>
      <c r="I408" s="78">
        <v>0</v>
      </c>
      <c r="J408" s="78"/>
      <c r="K408" s="78"/>
      <c r="L408" s="78"/>
      <c r="M408" s="78"/>
      <c r="N408" s="78"/>
      <c r="O408" s="78"/>
      <c r="P408" s="78"/>
      <c r="Q408" s="78"/>
      <c r="R408" s="78"/>
      <c r="S408" s="93"/>
      <c r="T408" s="87"/>
      <c r="U408" s="87"/>
      <c r="V408" s="88"/>
      <c r="W408" s="87"/>
      <c r="X408" s="87"/>
      <c r="Y408" s="88" t="s">
        <v>32</v>
      </c>
      <c r="Z408" s="88" t="str">
        <f>A408 &amp; "-" &amp; VLOOKUP(A408,[4]PROGRAMMES!$E$1:$F$7,2,FALSE)</f>
        <v>1-Accès et équité à l'enseignement général</v>
      </c>
      <c r="AA408" s="88" t="str">
        <f>B408 &amp; "-" &amp; VLOOKUP(B408,[4]SOUSPROGRAMMES!$E$1:$F$44,2,FALSE)</f>
        <v>16- Accès et équité au lycée</v>
      </c>
      <c r="AB408" s="88" t="str">
        <f>C408 &amp; "-" &amp; VLOOKUP(C408,[4]RESULTATS!$E$1:$F$176,2,FALSE)</f>
        <v>161- L’accès au lycée est maitrisé en tenant compte de l’équité et de la diversification des filières</v>
      </c>
      <c r="AC408" s="89" t="str">
        <f>D408 &amp; "-" &amp; VLOOKUP(D408,[4]STRATEGIES!$E$1:$F$504,2,FALSE)</f>
        <v>1612-Optimisation de l’utilisation des salles de classe au lycée, y compris les FA</v>
      </c>
      <c r="AD408" s="76" t="str">
        <f t="shared" si="90"/>
        <v>1612-Optimisation de l’utilisation des salles de classe au lycée, y compris les FA</v>
      </c>
    </row>
    <row r="409" spans="1:30" s="90" customFormat="1" ht="45" hidden="1" customHeight="1" x14ac:dyDescent="0.8">
      <c r="A409" s="84">
        <v>1</v>
      </c>
      <c r="B409" s="85">
        <v>16</v>
      </c>
      <c r="C409" s="85">
        <v>161</v>
      </c>
      <c r="D409" s="85">
        <v>1612</v>
      </c>
      <c r="E409" s="84">
        <v>16121</v>
      </c>
      <c r="F409" s="75" t="s">
        <v>531</v>
      </c>
      <c r="G409" s="76" t="s">
        <v>88</v>
      </c>
      <c r="H409" s="86" t="s">
        <v>55</v>
      </c>
      <c r="I409" s="78">
        <v>0</v>
      </c>
      <c r="J409" s="78">
        <v>1</v>
      </c>
      <c r="K409" s="78"/>
      <c r="L409" s="78"/>
      <c r="M409" s="78">
        <f t="shared" si="86"/>
        <v>1</v>
      </c>
      <c r="N409" s="78">
        <f>IF(OR(H409="",H409="sif",H409="PM"),0,VLOOKUP(H409,[5]CU!$C$4:$H$255,6,FALSE))</f>
        <v>0</v>
      </c>
      <c r="O409" s="78"/>
      <c r="P409" s="78"/>
      <c r="Q409" s="78"/>
      <c r="R409" s="78"/>
      <c r="S409" s="93"/>
      <c r="T409" s="80" t="s">
        <v>56</v>
      </c>
      <c r="U409" s="87" t="s">
        <v>529</v>
      </c>
      <c r="V409" s="88" t="str">
        <f>IF(OR($H409="",$H409="sif",$H409="PM"),"",VLOOKUP($H409,[5]CU!$C$5:$J$255,8,FALSE))</f>
        <v/>
      </c>
      <c r="W409" s="87" t="s">
        <v>398</v>
      </c>
      <c r="X409" s="87" t="s">
        <v>398</v>
      </c>
      <c r="Y409" s="88" t="s">
        <v>32</v>
      </c>
      <c r="Z409" s="88" t="str">
        <f>A409 &amp; "-" &amp; VLOOKUP(A409,[4]PROGRAMMES!$E$1:$F$7,2,FALSE)</f>
        <v>1-Accès et équité à l'enseignement général</v>
      </c>
      <c r="AA409" s="88" t="str">
        <f>B409 &amp; "-" &amp; VLOOKUP(B409,[4]SOUSPROGRAMMES!$E$1:$F$44,2,FALSE)</f>
        <v>16- Accès et équité au lycée</v>
      </c>
      <c r="AB409" s="88" t="str">
        <f>C409 &amp; "-" &amp; VLOOKUP(C409,[4]RESULTATS!$E$1:$F$176,2,FALSE)</f>
        <v>161- L’accès au lycée est maitrisé en tenant compte de l’équité et de la diversification des filières</v>
      </c>
      <c r="AC409" s="89" t="str">
        <f>D409 &amp; "-" &amp; VLOOKUP(D409,[4]STRATEGIES!$E$1:$F$504,2,FALSE)</f>
        <v>1612-Optimisation de l’utilisation des salles de classe au lycée, y compris les FA</v>
      </c>
      <c r="AD409" s="76" t="str">
        <f t="shared" si="90"/>
        <v>16121-Identification d'une stratégie d'optimisation de l'utilisation des salles de classes et des enseignants dans les établissements</v>
      </c>
    </row>
    <row r="410" spans="1:30" s="90" customFormat="1" ht="45" hidden="1" customHeight="1" x14ac:dyDescent="0.8">
      <c r="A410" s="84">
        <v>1</v>
      </c>
      <c r="B410" s="85">
        <v>16</v>
      </c>
      <c r="C410" s="85">
        <v>161</v>
      </c>
      <c r="D410" s="85">
        <v>1612</v>
      </c>
      <c r="E410" s="84">
        <v>16122</v>
      </c>
      <c r="F410" s="75" t="s">
        <v>532</v>
      </c>
      <c r="G410" s="76" t="s">
        <v>54</v>
      </c>
      <c r="H410" s="86" t="s">
        <v>55</v>
      </c>
      <c r="I410" s="78">
        <v>0</v>
      </c>
      <c r="J410" s="78">
        <v>1</v>
      </c>
      <c r="K410" s="78"/>
      <c r="L410" s="78"/>
      <c r="M410" s="78">
        <f t="shared" si="86"/>
        <v>1</v>
      </c>
      <c r="N410" s="78">
        <f>IF(OR(H410="",H410="sif",H410="PM"),0,VLOOKUP(H410,[5]CU!$C$4:$H$255,6,FALSE))</f>
        <v>0</v>
      </c>
      <c r="O410" s="78"/>
      <c r="P410" s="78"/>
      <c r="Q410" s="78"/>
      <c r="R410" s="78"/>
      <c r="S410" s="93"/>
      <c r="T410" s="80" t="s">
        <v>56</v>
      </c>
      <c r="U410" s="87" t="s">
        <v>529</v>
      </c>
      <c r="V410" s="88" t="str">
        <f>IF(OR($H410="",$H410="sif",$H410="PM"),"",VLOOKUP($H410,[5]CU!$C$5:$J$255,8,FALSE))</f>
        <v/>
      </c>
      <c r="W410" s="87" t="s">
        <v>398</v>
      </c>
      <c r="X410" s="87" t="s">
        <v>398</v>
      </c>
      <c r="Y410" s="88" t="s">
        <v>32</v>
      </c>
      <c r="Z410" s="88" t="str">
        <f>A410 &amp; "-" &amp; VLOOKUP(A410,[4]PROGRAMMES!$E$1:$F$7,2,FALSE)</f>
        <v>1-Accès et équité à l'enseignement général</v>
      </c>
      <c r="AA410" s="88" t="str">
        <f>B410 &amp; "-" &amp; VLOOKUP(B410,[4]SOUSPROGRAMMES!$E$1:$F$44,2,FALSE)</f>
        <v>16- Accès et équité au lycée</v>
      </c>
      <c r="AB410" s="88" t="str">
        <f>C410 &amp; "-" &amp; VLOOKUP(C410,[4]RESULTATS!$E$1:$F$176,2,FALSE)</f>
        <v>161- L’accès au lycée est maitrisé en tenant compte de l’équité et de la diversification des filières</v>
      </c>
      <c r="AC410" s="89" t="str">
        <f>D410 &amp; "-" &amp; VLOOKUP(D410,[4]STRATEGIES!$E$1:$F$504,2,FALSE)</f>
        <v>1612-Optimisation de l’utilisation des salles de classe au lycée, y compris les FA</v>
      </c>
      <c r="AD410" s="76" t="str">
        <f t="shared" si="90"/>
        <v>16122-Mise en place de la stratégie d'optimisation de l'utilisation des salles de classes et des enseignants dans les établissements</v>
      </c>
    </row>
    <row r="411" spans="1:30" s="90" customFormat="1" ht="45" hidden="1" customHeight="1" x14ac:dyDescent="0.8">
      <c r="A411" s="84">
        <v>1</v>
      </c>
      <c r="B411" s="85">
        <v>16</v>
      </c>
      <c r="C411" s="85">
        <v>161</v>
      </c>
      <c r="D411" s="85">
        <v>1612</v>
      </c>
      <c r="E411" s="84">
        <v>16123</v>
      </c>
      <c r="F411" s="75" t="s">
        <v>533</v>
      </c>
      <c r="G411" s="76" t="s">
        <v>534</v>
      </c>
      <c r="H411" s="86" t="s">
        <v>55</v>
      </c>
      <c r="I411" s="78">
        <v>0</v>
      </c>
      <c r="J411" s="78">
        <v>1</v>
      </c>
      <c r="K411" s="78">
        <v>1</v>
      </c>
      <c r="L411" s="78">
        <v>1</v>
      </c>
      <c r="M411" s="78">
        <f t="shared" si="86"/>
        <v>3</v>
      </c>
      <c r="N411" s="78">
        <f>IF(OR(H411="",H411="sif",H411="PM"),0,VLOOKUP(H411,[5]CU!$C$4:$H$255,6,FALSE))</f>
        <v>0</v>
      </c>
      <c r="O411" s="78"/>
      <c r="P411" s="78"/>
      <c r="Q411" s="78"/>
      <c r="R411" s="78"/>
      <c r="S411" s="93"/>
      <c r="T411" s="80" t="s">
        <v>56</v>
      </c>
      <c r="U411" s="87" t="s">
        <v>529</v>
      </c>
      <c r="V411" s="88" t="str">
        <f>IF(OR($H411="",$H411="sif",$H411="PM"),"",VLOOKUP($H411,[5]CU!$C$5:$J$255,8,FALSE))</f>
        <v/>
      </c>
      <c r="W411" s="87" t="s">
        <v>398</v>
      </c>
      <c r="X411" s="87" t="s">
        <v>282</v>
      </c>
      <c r="Y411" s="88" t="s">
        <v>32</v>
      </c>
      <c r="Z411" s="88" t="str">
        <f>A411 &amp; "-" &amp; VLOOKUP(A411,[4]PROGRAMMES!$E$1:$F$7,2,FALSE)</f>
        <v>1-Accès et équité à l'enseignement général</v>
      </c>
      <c r="AA411" s="88" t="str">
        <f>B411 &amp; "-" &amp; VLOOKUP(B411,[4]SOUSPROGRAMMES!$E$1:$F$44,2,FALSE)</f>
        <v>16- Accès et équité au lycée</v>
      </c>
      <c r="AB411" s="88" t="str">
        <f>C411 &amp; "-" &amp; VLOOKUP(C411,[4]RESULTATS!$E$1:$F$176,2,FALSE)</f>
        <v>161- L’accès au lycée est maitrisé en tenant compte de l’équité et de la diversification des filières</v>
      </c>
      <c r="AC411" s="89" t="str">
        <f>D411 &amp; "-" &amp; VLOOKUP(D411,[4]STRATEGIES!$E$1:$F$504,2,FALSE)</f>
        <v>1612-Optimisation de l’utilisation des salles de classe au lycée, y compris les FA</v>
      </c>
      <c r="AD411" s="76" t="str">
        <f t="shared" si="90"/>
        <v>16123-Suivi/évaluation du fonctionnement des établissements en lien avec la nouvelle organisation</v>
      </c>
    </row>
    <row r="412" spans="1:30" s="90" customFormat="1" ht="45" customHeight="1" x14ac:dyDescent="0.8">
      <c r="A412" s="84">
        <v>1</v>
      </c>
      <c r="B412" s="85">
        <v>16</v>
      </c>
      <c r="C412" s="85">
        <v>161</v>
      </c>
      <c r="D412" s="85">
        <v>1613</v>
      </c>
      <c r="E412" s="84">
        <v>1613</v>
      </c>
      <c r="F412" s="75" t="s">
        <v>535</v>
      </c>
      <c r="G412" s="86"/>
      <c r="H412" s="86"/>
      <c r="I412" s="78">
        <v>0</v>
      </c>
      <c r="J412" s="78"/>
      <c r="K412" s="78"/>
      <c r="L412" s="78"/>
      <c r="M412" s="78"/>
      <c r="N412" s="78"/>
      <c r="O412" s="78"/>
      <c r="P412" s="78"/>
      <c r="Q412" s="78"/>
      <c r="R412" s="78"/>
      <c r="S412" s="93"/>
      <c r="T412" s="87"/>
      <c r="U412" s="87"/>
      <c r="V412" s="88"/>
      <c r="W412" s="87"/>
      <c r="X412" s="87"/>
      <c r="Y412" s="88" t="s">
        <v>32</v>
      </c>
      <c r="Z412" s="88" t="str">
        <f>A412 &amp; "-" &amp; VLOOKUP(A412,[4]PROGRAMMES!$E$1:$F$7,2,FALSE)</f>
        <v>1-Accès et équité à l'enseignement général</v>
      </c>
      <c r="AA412" s="88" t="str">
        <f>B412 &amp; "-" &amp; VLOOKUP(B412,[4]SOUSPROGRAMMES!$E$1:$F$44,2,FALSE)</f>
        <v>16- Accès et équité au lycée</v>
      </c>
      <c r="AB412" s="88" t="str">
        <f>C412 &amp; "-" &amp; VLOOKUP(C412,[4]RESULTATS!$E$1:$F$176,2,FALSE)</f>
        <v>161- L’accès au lycée est maitrisé en tenant compte de l’équité et de la diversification des filières</v>
      </c>
      <c r="AC412" s="89" t="str">
        <f>D412 &amp; "-" &amp; VLOOKUP(D412,[4]STRATEGIES!$E$1:$F$504,2,FALSE)</f>
        <v>1613-Construction de salles de classe avec rampe d’accès au lycée en tenant compte de la prévention des catastrophes naturelles, y compris les FA</v>
      </c>
      <c r="AD412" s="76" t="str">
        <f t="shared" si="90"/>
        <v>1613-Construction de salles de classe avec rampe d’accès au lycée en tenant compte de la prévention des catastrophes naturelles, y compris les FA</v>
      </c>
    </row>
    <row r="413" spans="1:30" s="90" customFormat="1" ht="45" hidden="1" customHeight="1" x14ac:dyDescent="0.8">
      <c r="A413" s="84">
        <v>1</v>
      </c>
      <c r="B413" s="85">
        <v>16</v>
      </c>
      <c r="C413" s="85">
        <v>161</v>
      </c>
      <c r="D413" s="85">
        <v>1613</v>
      </c>
      <c r="E413" s="84">
        <v>16131</v>
      </c>
      <c r="F413" s="75" t="s">
        <v>536</v>
      </c>
      <c r="G413" s="76" t="s">
        <v>159</v>
      </c>
      <c r="H413" s="86" t="s">
        <v>55</v>
      </c>
      <c r="I413" s="78">
        <v>0</v>
      </c>
      <c r="J413" s="78">
        <v>1</v>
      </c>
      <c r="K413" s="78">
        <v>1</v>
      </c>
      <c r="L413" s="78">
        <v>1</v>
      </c>
      <c r="M413" s="78">
        <f t="shared" si="86"/>
        <v>3</v>
      </c>
      <c r="N413" s="78">
        <f>IF(OR(H413="",H413="sif",H413="PM"),0,VLOOKUP(H413,[5]CU!$C$4:$H$255,6,FALSE))</f>
        <v>0</v>
      </c>
      <c r="O413" s="78"/>
      <c r="P413" s="78"/>
      <c r="Q413" s="78"/>
      <c r="R413" s="78"/>
      <c r="S413" s="93"/>
      <c r="T413" s="80" t="s">
        <v>56</v>
      </c>
      <c r="U413" s="87" t="s">
        <v>529</v>
      </c>
      <c r="V413" s="88" t="str">
        <f>IF(OR($H413="",$H413="sif",$H413="PM"),"",VLOOKUP($H413,[5]CU!$C$5:$J$255,8,FALSE))</f>
        <v/>
      </c>
      <c r="W413" s="87" t="s">
        <v>96</v>
      </c>
      <c r="X413" s="87" t="s">
        <v>282</v>
      </c>
      <c r="Y413" s="88" t="s">
        <v>32</v>
      </c>
      <c r="Z413" s="88" t="str">
        <f>A413 &amp; "-" &amp; VLOOKUP(A413,[4]PROGRAMMES!$E$1:$F$7,2,FALSE)</f>
        <v>1-Accès et équité à l'enseignement général</v>
      </c>
      <c r="AA413" s="88" t="str">
        <f>B413 &amp; "-" &amp; VLOOKUP(B413,[4]SOUSPROGRAMMES!$E$1:$F$44,2,FALSE)</f>
        <v>16- Accès et équité au lycée</v>
      </c>
      <c r="AB413" s="88" t="str">
        <f>C413 &amp; "-" &amp; VLOOKUP(C413,[4]RESULTATS!$E$1:$F$176,2,FALSE)</f>
        <v>161- L’accès au lycée est maitrisé en tenant compte de l’équité et de la diversification des filières</v>
      </c>
      <c r="AC413" s="89" t="str">
        <f>D413 &amp; "-" &amp; VLOOKUP(D413,[4]STRATEGIES!$E$1:$F$504,2,FALSE)</f>
        <v>1613-Construction de salles de classe avec rampe d’accès au lycée en tenant compte de la prévention des catastrophes naturelles, y compris les FA</v>
      </c>
      <c r="AD413" s="76" t="str">
        <f t="shared" si="90"/>
        <v>16131-Identification des établissements et des localités devant bénéficier de construction de salles de classe au Lycée (pris en compte dans activité 12222)</v>
      </c>
    </row>
    <row r="414" spans="1:30" s="90" customFormat="1" ht="45" hidden="1" customHeight="1" x14ac:dyDescent="0.8">
      <c r="A414" s="84">
        <v>1</v>
      </c>
      <c r="B414" s="85">
        <v>16</v>
      </c>
      <c r="C414" s="85">
        <v>161</v>
      </c>
      <c r="D414" s="85">
        <v>1613</v>
      </c>
      <c r="E414" s="84">
        <v>16132</v>
      </c>
      <c r="F414" s="75" t="s">
        <v>537</v>
      </c>
      <c r="G414" s="76" t="s">
        <v>159</v>
      </c>
      <c r="H414" s="86" t="s">
        <v>55</v>
      </c>
      <c r="I414" s="78">
        <v>0</v>
      </c>
      <c r="J414" s="78"/>
      <c r="K414" s="78"/>
      <c r="L414" s="78"/>
      <c r="M414" s="78"/>
      <c r="N414" s="78">
        <f>IF(OR(H414="",H414="sif",H414="PM"),0,VLOOKUP(H414,[5]CU!$C$4:$H$255,6,FALSE))</f>
        <v>0</v>
      </c>
      <c r="O414" s="78"/>
      <c r="P414" s="78"/>
      <c r="Q414" s="78"/>
      <c r="R414" s="78"/>
      <c r="S414" s="93"/>
      <c r="T414" s="80" t="s">
        <v>56</v>
      </c>
      <c r="U414" s="87" t="s">
        <v>529</v>
      </c>
      <c r="V414" s="88" t="str">
        <f>IF(OR($H414="",$H414="sif",$H414="PM"),"",VLOOKUP($H414,[5]CU!$C$5:$J$255,8,FALSE))</f>
        <v/>
      </c>
      <c r="W414" s="87" t="s">
        <v>98</v>
      </c>
      <c r="X414" s="87" t="s">
        <v>538</v>
      </c>
      <c r="Y414" s="88" t="s">
        <v>32</v>
      </c>
      <c r="Z414" s="88" t="str">
        <f>A414 &amp; "-" &amp; VLOOKUP(A414,[4]PROGRAMMES!$E$1:$F$7,2,FALSE)</f>
        <v>1-Accès et équité à l'enseignement général</v>
      </c>
      <c r="AA414" s="88" t="str">
        <f>B414 &amp; "-" &amp; VLOOKUP(B414,[4]SOUSPROGRAMMES!$E$1:$F$44,2,FALSE)</f>
        <v>16- Accès et équité au lycée</v>
      </c>
      <c r="AB414" s="88" t="str">
        <f>C414 &amp; "-" &amp; VLOOKUP(C414,[4]RESULTATS!$E$1:$F$176,2,FALSE)</f>
        <v>161- L’accès au lycée est maitrisé en tenant compte de l’équité et de la diversification des filières</v>
      </c>
      <c r="AC414" s="89" t="str">
        <f>D414 &amp; "-" &amp; VLOOKUP(D414,[4]STRATEGIES!$E$1:$F$504,2,FALSE)</f>
        <v>1613-Construction de salles de classe avec rampe d’accès au lycée en tenant compte de la prévention des catastrophes naturelles, y compris les FA</v>
      </c>
      <c r="AD414" s="76" t="str">
        <f t="shared" si="90"/>
        <v>16132-Validation des sites devant bénéficier de construction de salles de classe (Pris en compte dans activité 12222)</v>
      </c>
    </row>
    <row r="415" spans="1:30" s="90" customFormat="1" ht="45" hidden="1" customHeight="1" x14ac:dyDescent="0.8">
      <c r="A415" s="84">
        <v>1</v>
      </c>
      <c r="B415" s="85">
        <v>16</v>
      </c>
      <c r="C415" s="85">
        <v>161</v>
      </c>
      <c r="D415" s="85">
        <v>1613</v>
      </c>
      <c r="E415" s="84">
        <v>16133</v>
      </c>
      <c r="F415" s="75" t="s">
        <v>410</v>
      </c>
      <c r="G415" s="76" t="s">
        <v>103</v>
      </c>
      <c r="H415" s="86" t="s">
        <v>539</v>
      </c>
      <c r="I415" s="78">
        <v>0</v>
      </c>
      <c r="J415" s="78">
        <f>(525*0.3)*50%</f>
        <v>78.75</v>
      </c>
      <c r="K415" s="78">
        <f>(525*0.5)*50%</f>
        <v>131.25</v>
      </c>
      <c r="L415" s="78">
        <f>(525*0.2)*50%</f>
        <v>52.5</v>
      </c>
      <c r="M415" s="78">
        <f>SUM(I415:L415)</f>
        <v>262.5</v>
      </c>
      <c r="N415" s="78">
        <f>IF(OR(H415="",H415="sif",H415="PM"),0,VLOOKUP(H415,[5]CU!$C$4:$H$255,6,FALSE))</f>
        <v>500</v>
      </c>
      <c r="O415" s="78">
        <f>$N415*I415</f>
        <v>0</v>
      </c>
      <c r="P415" s="78">
        <f>$N415*J415</f>
        <v>39375</v>
      </c>
      <c r="Q415" s="78">
        <f>$N415*K415</f>
        <v>65625</v>
      </c>
      <c r="R415" s="78">
        <f>$N415*L415</f>
        <v>26250</v>
      </c>
      <c r="S415" s="93">
        <f t="shared" ref="S415:S420" si="95">SUM(O415:R415)</f>
        <v>131250</v>
      </c>
      <c r="T415" s="80" t="s">
        <v>56</v>
      </c>
      <c r="U415" s="87" t="s">
        <v>529</v>
      </c>
      <c r="V415" s="88" t="str">
        <f>IF(OR($H415="",$H415="sif",$H415="PM"),"",VLOOKUP($H415,[5]CU!$C$5:$J$255,8,FALSE))</f>
        <v>5. Investissement</v>
      </c>
      <c r="W415" s="87" t="s">
        <v>98</v>
      </c>
      <c r="X415" s="87" t="s">
        <v>98</v>
      </c>
      <c r="Y415" s="88" t="s">
        <v>32</v>
      </c>
      <c r="Z415" s="88" t="str">
        <f>A415 &amp; "-" &amp; VLOOKUP(A415,[4]PROGRAMMES!$E$1:$F$7,2,FALSE)</f>
        <v>1-Accès et équité à l'enseignement général</v>
      </c>
      <c r="AA415" s="88" t="str">
        <f>B415 &amp; "-" &amp; VLOOKUP(B415,[4]SOUSPROGRAMMES!$E$1:$F$44,2,FALSE)</f>
        <v>16- Accès et équité au lycée</v>
      </c>
      <c r="AB415" s="88" t="str">
        <f>C415 &amp; "-" &amp; VLOOKUP(C415,[4]RESULTATS!$E$1:$F$176,2,FALSE)</f>
        <v>161- L’accès au lycée est maitrisé en tenant compte de l’équité et de la diversification des filières</v>
      </c>
      <c r="AC415" s="89" t="str">
        <f>D415 &amp; "-" &amp; VLOOKUP(D415,[4]STRATEGIES!$E$1:$F$504,2,FALSE)</f>
        <v>1613-Construction de salles de classe avec rampe d’accès au lycée en tenant compte de la prévention des catastrophes naturelles, y compris les FA</v>
      </c>
      <c r="AD415" s="76" t="str">
        <f t="shared" si="90"/>
        <v>16133-Réalisation des travaux de construction des salles de classe</v>
      </c>
    </row>
    <row r="416" spans="1:30" s="90" customFormat="1" ht="45" customHeight="1" x14ac:dyDescent="0.8">
      <c r="A416" s="84">
        <v>1</v>
      </c>
      <c r="B416" s="85">
        <v>16</v>
      </c>
      <c r="C416" s="85">
        <v>161</v>
      </c>
      <c r="D416" s="85">
        <v>1613</v>
      </c>
      <c r="E416" s="84">
        <v>16133</v>
      </c>
      <c r="F416" s="75" t="s">
        <v>410</v>
      </c>
      <c r="G416" s="76" t="s">
        <v>103</v>
      </c>
      <c r="H416" s="86" t="s">
        <v>539</v>
      </c>
      <c r="I416" s="78">
        <v>0</v>
      </c>
      <c r="J416" s="78">
        <f>(525*0.3)*50%</f>
        <v>78.75</v>
      </c>
      <c r="K416" s="78">
        <f>(525*0.5)*50%</f>
        <v>131.25</v>
      </c>
      <c r="L416" s="78">
        <f>(525*0.2)*50%</f>
        <v>52.5</v>
      </c>
      <c r="M416" s="78">
        <f t="shared" ref="M416:M426" si="96">SUM(I416:L416)</f>
        <v>262.5</v>
      </c>
      <c r="N416" s="78">
        <f>IF(OR(H416="",H416="sif",H416="PM"),0,VLOOKUP(H416,[5]CU!$C$4:$H$255,6,FALSE))</f>
        <v>500</v>
      </c>
      <c r="O416" s="78">
        <f t="shared" ref="O416:R420" si="97">$N416*I416</f>
        <v>0</v>
      </c>
      <c r="P416" s="78">
        <f t="shared" si="97"/>
        <v>39375</v>
      </c>
      <c r="Q416" s="78">
        <f t="shared" si="97"/>
        <v>65625</v>
      </c>
      <c r="R416" s="78">
        <f t="shared" si="97"/>
        <v>26250</v>
      </c>
      <c r="S416" s="93">
        <f t="shared" si="95"/>
        <v>131250</v>
      </c>
      <c r="T416" s="80" t="s">
        <v>118</v>
      </c>
      <c r="U416" s="87" t="s">
        <v>529</v>
      </c>
      <c r="V416" s="88" t="str">
        <f>IF(OR($H416="",$H416="sif",$H416="PM"),"",VLOOKUP($H416,[5]CU!$C$5:$J$255,8,FALSE))</f>
        <v>5. Investissement</v>
      </c>
      <c r="W416" s="87" t="s">
        <v>98</v>
      </c>
      <c r="X416" s="87" t="s">
        <v>98</v>
      </c>
      <c r="Y416" s="88" t="s">
        <v>32</v>
      </c>
      <c r="Z416" s="88" t="str">
        <f>A416 &amp; "-" &amp; VLOOKUP(A416,[4]PROGRAMMES!$E$1:$F$7,2,FALSE)</f>
        <v>1-Accès et équité à l'enseignement général</v>
      </c>
      <c r="AA416" s="88" t="str">
        <f>B416 &amp; "-" &amp; VLOOKUP(B416,[4]SOUSPROGRAMMES!$E$1:$F$44,2,FALSE)</f>
        <v>16- Accès et équité au lycée</v>
      </c>
      <c r="AB416" s="88" t="str">
        <f>C416 &amp; "-" &amp; VLOOKUP(C416,[4]RESULTATS!$E$1:$F$176,2,FALSE)</f>
        <v>161- L’accès au lycée est maitrisé en tenant compte de l’équité et de la diversification des filières</v>
      </c>
      <c r="AC416" s="89" t="str">
        <f>D416 &amp; "-" &amp; VLOOKUP(D416,[4]STRATEGIES!$E$1:$F$504,2,FALSE)</f>
        <v>1613-Construction de salles de classe avec rampe d’accès au lycée en tenant compte de la prévention des catastrophes naturelles, y compris les FA</v>
      </c>
      <c r="AD416" s="76" t="str">
        <f t="shared" si="90"/>
        <v>16133-Réalisation des travaux de construction des salles de classe</v>
      </c>
    </row>
    <row r="417" spans="1:30" s="90" customFormat="1" ht="45" hidden="1" customHeight="1" x14ac:dyDescent="0.8">
      <c r="A417" s="84">
        <v>1</v>
      </c>
      <c r="B417" s="85">
        <v>16</v>
      </c>
      <c r="C417" s="85">
        <v>161</v>
      </c>
      <c r="D417" s="85">
        <v>1613</v>
      </c>
      <c r="E417" s="84">
        <v>16134</v>
      </c>
      <c r="F417" s="75" t="s">
        <v>415</v>
      </c>
      <c r="G417" s="76" t="s">
        <v>416</v>
      </c>
      <c r="H417" s="86" t="s">
        <v>540</v>
      </c>
      <c r="I417" s="78">
        <v>0</v>
      </c>
      <c r="J417" s="78">
        <f>(J415)*50%</f>
        <v>39.375</v>
      </c>
      <c r="K417" s="78">
        <f>(K415)*50%</f>
        <v>65.625</v>
      </c>
      <c r="L417" s="78">
        <f>(L415)*50%</f>
        <v>26.25</v>
      </c>
      <c r="M417" s="78">
        <f>SUM(I417:L417)</f>
        <v>131.25</v>
      </c>
      <c r="N417" s="78">
        <f>IF(OR(H417="",H417="sif",H417="PM"),0,VLOOKUP(H417,[5]CU!$C$4:$H$255,6,FALSE))</f>
        <v>45.833333333333336</v>
      </c>
      <c r="O417" s="78">
        <f>$N417*I417</f>
        <v>0</v>
      </c>
      <c r="P417" s="78">
        <f>$N417*J417</f>
        <v>1804.6875</v>
      </c>
      <c r="Q417" s="78">
        <f>$N417*K417</f>
        <v>3007.8125</v>
      </c>
      <c r="R417" s="78">
        <f>$N417*L417</f>
        <v>1203.125</v>
      </c>
      <c r="S417" s="93">
        <f t="shared" si="95"/>
        <v>6015.625</v>
      </c>
      <c r="T417" s="80" t="s">
        <v>56</v>
      </c>
      <c r="U417" s="87" t="s">
        <v>529</v>
      </c>
      <c r="V417" s="88" t="str">
        <f>IF(OR($H417="",$H417="sif",$H417="PM"),"",VLOOKUP($H417,[5]CU!$C$5:$J$255,8,FALSE))</f>
        <v>5. Investissement</v>
      </c>
      <c r="W417" s="87" t="s">
        <v>98</v>
      </c>
      <c r="X417" s="87" t="s">
        <v>98</v>
      </c>
      <c r="Y417" s="88" t="s">
        <v>32</v>
      </c>
      <c r="Z417" s="88" t="str">
        <f>A417 &amp; "-" &amp; VLOOKUP(A417,[4]PROGRAMMES!$E$1:$F$7,2,FALSE)</f>
        <v>1-Accès et équité à l'enseignement général</v>
      </c>
      <c r="AA417" s="88" t="str">
        <f>B417 &amp; "-" &amp; VLOOKUP(B417,[4]SOUSPROGRAMMES!$E$1:$F$44,2,FALSE)</f>
        <v>16- Accès et équité au lycée</v>
      </c>
      <c r="AB417" s="88" t="str">
        <f>C417 &amp; "-" &amp; VLOOKUP(C417,[4]RESULTATS!$E$1:$F$176,2,FALSE)</f>
        <v>161- L’accès au lycée est maitrisé en tenant compte de l’équité et de la diversification des filières</v>
      </c>
      <c r="AC417" s="89" t="str">
        <f>D417 &amp; "-" &amp; VLOOKUP(D417,[4]STRATEGIES!$E$1:$F$504,2,FALSE)</f>
        <v>1613-Construction de salles de classe avec rampe d’accès au lycée en tenant compte de la prévention des catastrophes naturelles, y compris les FA</v>
      </c>
      <c r="AD417" s="76" t="str">
        <f t="shared" si="90"/>
        <v>16134-Equipement des salles de classe en mobiliers scolaires</v>
      </c>
    </row>
    <row r="418" spans="1:30" s="90" customFormat="1" ht="45" customHeight="1" x14ac:dyDescent="0.8">
      <c r="A418" s="84">
        <v>1</v>
      </c>
      <c r="B418" s="85">
        <v>16</v>
      </c>
      <c r="C418" s="85">
        <v>161</v>
      </c>
      <c r="D418" s="85">
        <v>1613</v>
      </c>
      <c r="E418" s="84">
        <v>16134</v>
      </c>
      <c r="F418" s="75" t="s">
        <v>415</v>
      </c>
      <c r="G418" s="76" t="s">
        <v>416</v>
      </c>
      <c r="H418" s="86" t="s">
        <v>540</v>
      </c>
      <c r="I418" s="78">
        <v>0</v>
      </c>
      <c r="J418" s="78">
        <f>(J415)*50%</f>
        <v>39.375</v>
      </c>
      <c r="K418" s="78">
        <f>(K415)*50%</f>
        <v>65.625</v>
      </c>
      <c r="L418" s="78">
        <f>(L415)*50%</f>
        <v>26.25</v>
      </c>
      <c r="M418" s="78">
        <f t="shared" si="96"/>
        <v>131.25</v>
      </c>
      <c r="N418" s="78">
        <f>IF(OR(H418="",H418="sif",H418="PM"),0,VLOOKUP(H418,[5]CU!$C$4:$H$255,6,FALSE))</f>
        <v>45.833333333333336</v>
      </c>
      <c r="O418" s="78">
        <f t="shared" si="97"/>
        <v>0</v>
      </c>
      <c r="P418" s="78">
        <f t="shared" si="97"/>
        <v>1804.6875</v>
      </c>
      <c r="Q418" s="78">
        <f t="shared" si="97"/>
        <v>3007.8125</v>
      </c>
      <c r="R418" s="78">
        <f t="shared" si="97"/>
        <v>1203.125</v>
      </c>
      <c r="S418" s="93">
        <f t="shared" si="95"/>
        <v>6015.625</v>
      </c>
      <c r="T418" s="80" t="s">
        <v>118</v>
      </c>
      <c r="U418" s="87" t="s">
        <v>529</v>
      </c>
      <c r="V418" s="88" t="str">
        <f>IF(OR($H418="",$H418="sif",$H418="PM"),"",VLOOKUP($H418,[5]CU!$C$5:$J$255,8,FALSE))</f>
        <v>5. Investissement</v>
      </c>
      <c r="W418" s="87" t="s">
        <v>98</v>
      </c>
      <c r="X418" s="87" t="s">
        <v>98</v>
      </c>
      <c r="Y418" s="88" t="s">
        <v>32</v>
      </c>
      <c r="Z418" s="88" t="str">
        <f>A418 &amp; "-" &amp; VLOOKUP(A418,[4]PROGRAMMES!$E$1:$F$7,2,FALSE)</f>
        <v>1-Accès et équité à l'enseignement général</v>
      </c>
      <c r="AA418" s="88" t="str">
        <f>B418 &amp; "-" &amp; VLOOKUP(B418,[4]SOUSPROGRAMMES!$E$1:$F$44,2,FALSE)</f>
        <v>16- Accès et équité au lycée</v>
      </c>
      <c r="AB418" s="88" t="str">
        <f>C418 &amp; "-" &amp; VLOOKUP(C418,[4]RESULTATS!$E$1:$F$176,2,FALSE)</f>
        <v>161- L’accès au lycée est maitrisé en tenant compte de l’équité et de la diversification des filières</v>
      </c>
      <c r="AC418" s="89" t="str">
        <f>D418 &amp; "-" &amp; VLOOKUP(D418,[4]STRATEGIES!$E$1:$F$504,2,FALSE)</f>
        <v>1613-Construction de salles de classe avec rampe d’accès au lycée en tenant compte de la prévention des catastrophes naturelles, y compris les FA</v>
      </c>
      <c r="AD418" s="76" t="str">
        <f t="shared" si="90"/>
        <v>16134-Equipement des salles de classe en mobiliers scolaires</v>
      </c>
    </row>
    <row r="419" spans="1:30" s="90" customFormat="1" ht="45" hidden="1" customHeight="1" x14ac:dyDescent="0.8">
      <c r="A419" s="84">
        <v>1</v>
      </c>
      <c r="B419" s="85">
        <v>16</v>
      </c>
      <c r="C419" s="85">
        <v>161</v>
      </c>
      <c r="D419" s="85">
        <v>1613</v>
      </c>
      <c r="E419" s="84">
        <v>16135</v>
      </c>
      <c r="F419" s="75" t="s">
        <v>541</v>
      </c>
      <c r="G419" s="76" t="s">
        <v>366</v>
      </c>
      <c r="H419" s="86" t="s">
        <v>110</v>
      </c>
      <c r="I419" s="78">
        <v>0</v>
      </c>
      <c r="J419" s="78">
        <f>(J415)*50%</f>
        <v>39.375</v>
      </c>
      <c r="K419" s="78">
        <f>(K415)*50%</f>
        <v>65.625</v>
      </c>
      <c r="L419" s="78">
        <f>(L415)*50%</f>
        <v>26.25</v>
      </c>
      <c r="M419" s="78">
        <f>SUM(I419:L419)</f>
        <v>131.25</v>
      </c>
      <c r="N419" s="78">
        <f>IF(OR(H419="",H419="sif",H419="PM"),0,VLOOKUP(H419,[5]CU!$C$4:$H$255,6,FALSE))</f>
        <v>7.1760000000000002</v>
      </c>
      <c r="O419" s="78">
        <f>$N419*I419</f>
        <v>0</v>
      </c>
      <c r="P419" s="78">
        <f>$N419*J419</f>
        <v>282.55500000000001</v>
      </c>
      <c r="Q419" s="78">
        <f>$N419*K419</f>
        <v>470.92500000000001</v>
      </c>
      <c r="R419" s="78">
        <f>$N419*L419</f>
        <v>188.37</v>
      </c>
      <c r="S419" s="93">
        <f t="shared" si="95"/>
        <v>941.85</v>
      </c>
      <c r="T419" s="80" t="s">
        <v>56</v>
      </c>
      <c r="U419" s="87" t="s">
        <v>529</v>
      </c>
      <c r="V419" s="88" t="str">
        <f>IF(OR($H419="",$H419="sif",$H419="PM"),"",VLOOKUP($H419,[5]CU!$C$5:$J$255,8,FALSE))</f>
        <v>3. Dépenses de fonctionnement</v>
      </c>
      <c r="W419" s="87" t="s">
        <v>98</v>
      </c>
      <c r="X419" s="87" t="s">
        <v>98</v>
      </c>
      <c r="Y419" s="88" t="s">
        <v>32</v>
      </c>
      <c r="Z419" s="88" t="str">
        <f>A419 &amp; "-" &amp; VLOOKUP(A419,[4]PROGRAMMES!$E$1:$F$7,2,FALSE)</f>
        <v>1-Accès et équité à l'enseignement général</v>
      </c>
      <c r="AA419" s="88" t="str">
        <f>B419 &amp; "-" &amp; VLOOKUP(B419,[4]SOUSPROGRAMMES!$E$1:$F$44,2,FALSE)</f>
        <v>16- Accès et équité au lycée</v>
      </c>
      <c r="AB419" s="88" t="str">
        <f>C419 &amp; "-" &amp; VLOOKUP(C419,[4]RESULTATS!$E$1:$F$176,2,FALSE)</f>
        <v>161- L’accès au lycée est maitrisé en tenant compte de l’équité et de la diversification des filières</v>
      </c>
      <c r="AC419" s="89" t="str">
        <f>D419 &amp; "-" &amp; VLOOKUP(D419,[4]STRATEGIES!$E$1:$F$504,2,FALSE)</f>
        <v>1613-Construction de salles de classe avec rampe d’accès au lycée en tenant compte de la prévention des catastrophes naturelles, y compris les FA</v>
      </c>
      <c r="AD419" s="76" t="str">
        <f t="shared" si="90"/>
        <v xml:space="preserve">16135-Supervision de la construction des salles de classe </v>
      </c>
    </row>
    <row r="420" spans="1:30" s="90" customFormat="1" ht="45" customHeight="1" x14ac:dyDescent="0.8">
      <c r="A420" s="84">
        <v>1</v>
      </c>
      <c r="B420" s="85">
        <v>16</v>
      </c>
      <c r="C420" s="85">
        <v>161</v>
      </c>
      <c r="D420" s="85">
        <v>1613</v>
      </c>
      <c r="E420" s="84">
        <v>16135</v>
      </c>
      <c r="F420" s="75" t="s">
        <v>541</v>
      </c>
      <c r="G420" s="76" t="s">
        <v>366</v>
      </c>
      <c r="H420" s="86" t="s">
        <v>110</v>
      </c>
      <c r="I420" s="78">
        <v>0</v>
      </c>
      <c r="J420" s="78">
        <f>(J415)*50%</f>
        <v>39.375</v>
      </c>
      <c r="K420" s="78">
        <f>(K415)*50%</f>
        <v>65.625</v>
      </c>
      <c r="L420" s="78">
        <f>(L415)*50%</f>
        <v>26.25</v>
      </c>
      <c r="M420" s="78">
        <f t="shared" si="96"/>
        <v>131.25</v>
      </c>
      <c r="N420" s="78">
        <f>IF(OR(H420="",H420="sif",H420="PM"),0,VLOOKUP(H420,[5]CU!$C$4:$H$255,6,FALSE))</f>
        <v>7.1760000000000002</v>
      </c>
      <c r="O420" s="78">
        <f t="shared" si="97"/>
        <v>0</v>
      </c>
      <c r="P420" s="78">
        <f t="shared" si="97"/>
        <v>282.55500000000001</v>
      </c>
      <c r="Q420" s="78">
        <f t="shared" si="97"/>
        <v>470.92500000000001</v>
      </c>
      <c r="R420" s="78">
        <f t="shared" si="97"/>
        <v>188.37</v>
      </c>
      <c r="S420" s="93">
        <f t="shared" si="95"/>
        <v>941.85</v>
      </c>
      <c r="T420" s="80" t="s">
        <v>118</v>
      </c>
      <c r="U420" s="87" t="s">
        <v>529</v>
      </c>
      <c r="V420" s="88" t="str">
        <f>IF(OR($H420="",$H420="sif",$H420="PM"),"",VLOOKUP($H420,[5]CU!$C$5:$J$255,8,FALSE))</f>
        <v>3. Dépenses de fonctionnement</v>
      </c>
      <c r="W420" s="87" t="s">
        <v>98</v>
      </c>
      <c r="X420" s="87" t="s">
        <v>98</v>
      </c>
      <c r="Y420" s="88" t="s">
        <v>32</v>
      </c>
      <c r="Z420" s="88" t="str">
        <f>A420 &amp; "-" &amp; VLOOKUP(A420,[4]PROGRAMMES!$E$1:$F$7,2,FALSE)</f>
        <v>1-Accès et équité à l'enseignement général</v>
      </c>
      <c r="AA420" s="88" t="str">
        <f>B420 &amp; "-" &amp; VLOOKUP(B420,[4]SOUSPROGRAMMES!$E$1:$F$44,2,FALSE)</f>
        <v>16- Accès et équité au lycée</v>
      </c>
      <c r="AB420" s="88" t="str">
        <f>C420 &amp; "-" &amp; VLOOKUP(C420,[4]RESULTATS!$E$1:$F$176,2,FALSE)</f>
        <v>161- L’accès au lycée est maitrisé en tenant compte de l’équité et de la diversification des filières</v>
      </c>
      <c r="AC420" s="89" t="str">
        <f>D420 &amp; "-" &amp; VLOOKUP(D420,[4]STRATEGIES!$E$1:$F$504,2,FALSE)</f>
        <v>1613-Construction de salles de classe avec rampe d’accès au lycée en tenant compte de la prévention des catastrophes naturelles, y compris les FA</v>
      </c>
      <c r="AD420" s="76" t="str">
        <f t="shared" si="90"/>
        <v xml:space="preserve">16135-Supervision de la construction des salles de classe </v>
      </c>
    </row>
    <row r="421" spans="1:30" s="90" customFormat="1" ht="45" customHeight="1" x14ac:dyDescent="0.8">
      <c r="A421" s="84">
        <v>1</v>
      </c>
      <c r="B421" s="85">
        <v>16</v>
      </c>
      <c r="C421" s="85">
        <v>161</v>
      </c>
      <c r="D421" s="85">
        <v>1614</v>
      </c>
      <c r="E421" s="84">
        <v>1614</v>
      </c>
      <c r="F421" s="75" t="s">
        <v>542</v>
      </c>
      <c r="G421" s="86"/>
      <c r="H421" s="86"/>
      <c r="I421" s="78">
        <v>0</v>
      </c>
      <c r="J421" s="78"/>
      <c r="K421" s="78"/>
      <c r="L421" s="78"/>
      <c r="M421" s="78"/>
      <c r="N421" s="78"/>
      <c r="O421" s="78"/>
      <c r="P421" s="78"/>
      <c r="Q421" s="78"/>
      <c r="R421" s="78"/>
      <c r="S421" s="93"/>
      <c r="T421" s="87"/>
      <c r="U421" s="87"/>
      <c r="V421" s="88"/>
      <c r="W421" s="87"/>
      <c r="X421" s="87"/>
      <c r="Y421" s="88" t="s">
        <v>32</v>
      </c>
      <c r="Z421" s="88" t="str">
        <f>A421 &amp; "-" &amp; VLOOKUP(A421,[4]PROGRAMMES!$E$1:$F$7,2,FALSE)</f>
        <v>1-Accès et équité à l'enseignement général</v>
      </c>
      <c r="AA421" s="88" t="str">
        <f>B421 &amp; "-" &amp; VLOOKUP(B421,[4]SOUSPROGRAMMES!$E$1:$F$44,2,FALSE)</f>
        <v>16- Accès et équité au lycée</v>
      </c>
      <c r="AB421" s="88" t="str">
        <f>C421 &amp; "-" &amp; VLOOKUP(C421,[4]RESULTATS!$E$1:$F$176,2,FALSE)</f>
        <v>161- L’accès au lycée est maitrisé en tenant compte de l’équité et de la diversification des filières</v>
      </c>
      <c r="AC421" s="89" t="str">
        <f>D421 &amp; "-" &amp; VLOOKUP(D421,[4]STRATEGIES!$E$1:$F$504,2,FALSE)</f>
        <v>1614-Réhabilitation/rénovation de salles de classe au Lycée en tenant compte de la prévention des catastrophes naturelles, y compris les FA</v>
      </c>
      <c r="AD421" s="76" t="str">
        <f t="shared" si="90"/>
        <v>1614-Réhabilitation/rénovation de salles de classe au Lycée en tenant compte de la prévention des catastrophes naturelles, y compris les FA</v>
      </c>
    </row>
    <row r="422" spans="1:30" s="90" customFormat="1" ht="45" hidden="1" customHeight="1" x14ac:dyDescent="0.8">
      <c r="A422" s="84">
        <v>1</v>
      </c>
      <c r="B422" s="85">
        <v>16</v>
      </c>
      <c r="C422" s="85">
        <v>161</v>
      </c>
      <c r="D422" s="85">
        <v>1614</v>
      </c>
      <c r="E422" s="84">
        <v>16141</v>
      </c>
      <c r="F422" s="75" t="s">
        <v>543</v>
      </c>
      <c r="G422" s="76" t="s">
        <v>159</v>
      </c>
      <c r="H422" s="86" t="s">
        <v>55</v>
      </c>
      <c r="I422" s="78">
        <v>0</v>
      </c>
      <c r="J422" s="78">
        <v>1</v>
      </c>
      <c r="K422" s="78">
        <v>1</v>
      </c>
      <c r="L422" s="78">
        <v>1</v>
      </c>
      <c r="M422" s="78">
        <f t="shared" si="96"/>
        <v>3</v>
      </c>
      <c r="N422" s="78">
        <f>IF(OR(H422="",H422="sif",H422="PM"),0,VLOOKUP(H422,[5]CU!$C$4:$H$255,6,FALSE))</f>
        <v>0</v>
      </c>
      <c r="O422" s="78"/>
      <c r="P422" s="78"/>
      <c r="Q422" s="78"/>
      <c r="R422" s="78"/>
      <c r="S422" s="93"/>
      <c r="T422" s="80" t="s">
        <v>56</v>
      </c>
      <c r="U422" s="87" t="s">
        <v>529</v>
      </c>
      <c r="V422" s="88" t="str">
        <f>IF(OR($H422="",$H422="sif",$H422="PM"),"",VLOOKUP($H422,[5]CU!$C$5:$J$255,8,FALSE))</f>
        <v/>
      </c>
      <c r="W422" s="87" t="s">
        <v>96</v>
      </c>
      <c r="X422" s="87" t="s">
        <v>421</v>
      </c>
      <c r="Y422" s="88" t="s">
        <v>32</v>
      </c>
      <c r="Z422" s="88" t="str">
        <f>A422 &amp; "-" &amp; VLOOKUP(A422,[4]PROGRAMMES!$E$1:$F$7,2,FALSE)</f>
        <v>1-Accès et équité à l'enseignement général</v>
      </c>
      <c r="AA422" s="88" t="str">
        <f>B422 &amp; "-" &amp; VLOOKUP(B422,[4]SOUSPROGRAMMES!$E$1:$F$44,2,FALSE)</f>
        <v>16- Accès et équité au lycée</v>
      </c>
      <c r="AB422" s="88" t="str">
        <f>C422 &amp; "-" &amp; VLOOKUP(C422,[4]RESULTATS!$E$1:$F$176,2,FALSE)</f>
        <v>161- L’accès au lycée est maitrisé en tenant compte de l’équité et de la diversification des filières</v>
      </c>
      <c r="AC422" s="89" t="str">
        <f>D422 &amp; "-" &amp; VLOOKUP(D422,[4]STRATEGIES!$E$1:$F$504,2,FALSE)</f>
        <v>1614-Réhabilitation/rénovation de salles de classe au Lycée en tenant compte de la prévention des catastrophes naturelles, y compris les FA</v>
      </c>
      <c r="AD422" s="76" t="str">
        <f t="shared" si="90"/>
        <v>16141-Identification des établissements et des localités devant bénéficier de réhabilitation ou de rénovation de salles de classe (activité 12222)</v>
      </c>
    </row>
    <row r="423" spans="1:30" s="90" customFormat="1" ht="45" hidden="1" customHeight="1" x14ac:dyDescent="0.8">
      <c r="A423" s="84">
        <v>1</v>
      </c>
      <c r="B423" s="85">
        <v>16</v>
      </c>
      <c r="C423" s="85">
        <v>161</v>
      </c>
      <c r="D423" s="85">
        <v>1614</v>
      </c>
      <c r="E423" s="84">
        <v>16142</v>
      </c>
      <c r="F423" s="75" t="s">
        <v>544</v>
      </c>
      <c r="G423" s="76" t="s">
        <v>159</v>
      </c>
      <c r="H423" s="86" t="s">
        <v>55</v>
      </c>
      <c r="I423" s="78">
        <v>0</v>
      </c>
      <c r="J423" s="78">
        <v>1</v>
      </c>
      <c r="K423" s="78">
        <v>1</v>
      </c>
      <c r="L423" s="78">
        <v>1</v>
      </c>
      <c r="M423" s="78">
        <f t="shared" si="96"/>
        <v>3</v>
      </c>
      <c r="N423" s="78">
        <f>IF(OR(H423="",H423="sif",H423="PM"),0,VLOOKUP(H423,[5]CU!$C$4:$H$255,6,FALSE))</f>
        <v>0</v>
      </c>
      <c r="O423" s="78"/>
      <c r="P423" s="78"/>
      <c r="Q423" s="78"/>
      <c r="R423" s="78"/>
      <c r="S423" s="93"/>
      <c r="T423" s="80" t="s">
        <v>56</v>
      </c>
      <c r="U423" s="87" t="s">
        <v>529</v>
      </c>
      <c r="V423" s="88" t="str">
        <f>IF(OR($H423="",$H423="sif",$H423="PM"),"",VLOOKUP($H423,[5]CU!$C$5:$J$255,8,FALSE))</f>
        <v/>
      </c>
      <c r="W423" s="87" t="s">
        <v>98</v>
      </c>
      <c r="X423" s="87" t="s">
        <v>469</v>
      </c>
      <c r="Y423" s="88" t="s">
        <v>32</v>
      </c>
      <c r="Z423" s="88" t="str">
        <f>A423 &amp; "-" &amp; VLOOKUP(A423,[4]PROGRAMMES!$E$1:$F$7,2,FALSE)</f>
        <v>1-Accès et équité à l'enseignement général</v>
      </c>
      <c r="AA423" s="88" t="str">
        <f>B423 &amp; "-" &amp; VLOOKUP(B423,[4]SOUSPROGRAMMES!$E$1:$F$44,2,FALSE)</f>
        <v>16- Accès et équité au lycée</v>
      </c>
      <c r="AB423" s="88" t="str">
        <f>C423 &amp; "-" &amp; VLOOKUP(C423,[4]RESULTATS!$E$1:$F$176,2,FALSE)</f>
        <v>161- L’accès au lycée est maitrisé en tenant compte de l’équité et de la diversification des filières</v>
      </c>
      <c r="AC423" s="89" t="str">
        <f>D423 &amp; "-" &amp; VLOOKUP(D423,[4]STRATEGIES!$E$1:$F$504,2,FALSE)</f>
        <v>1614-Réhabilitation/rénovation de salles de classe au Lycée en tenant compte de la prévention des catastrophes naturelles, y compris les FA</v>
      </c>
      <c r="AD423" s="76" t="str">
        <f t="shared" si="90"/>
        <v>16142-Validation des sites devant bénéficier de réhabilitation/rénovation (activité 12222)</v>
      </c>
    </row>
    <row r="424" spans="1:30" s="90" customFormat="1" ht="45" hidden="1" customHeight="1" x14ac:dyDescent="0.8">
      <c r="A424" s="84">
        <v>1</v>
      </c>
      <c r="B424" s="85">
        <v>16</v>
      </c>
      <c r="C424" s="85">
        <v>161</v>
      </c>
      <c r="D424" s="85">
        <v>1614</v>
      </c>
      <c r="E424" s="84">
        <v>16143</v>
      </c>
      <c r="F424" s="75" t="s">
        <v>408</v>
      </c>
      <c r="G424" s="76" t="s">
        <v>374</v>
      </c>
      <c r="H424" s="86" t="s">
        <v>545</v>
      </c>
      <c r="I424" s="78">
        <v>0</v>
      </c>
      <c r="J424" s="78">
        <f>30*0.3</f>
        <v>9</v>
      </c>
      <c r="K424" s="78">
        <f>30*0.5</f>
        <v>15</v>
      </c>
      <c r="L424" s="78">
        <f>30*0.2</f>
        <v>6</v>
      </c>
      <c r="M424" s="78">
        <f t="shared" si="96"/>
        <v>30</v>
      </c>
      <c r="N424" s="78">
        <f>IF(OR(H424="",H424="sif",H424="PM"),0,VLOOKUP(H424,[5]CU!$C$4:$H$255,6,FALSE))</f>
        <v>83.35</v>
      </c>
      <c r="O424" s="78">
        <f t="shared" ref="O424:R426" si="98">$N424*I424</f>
        <v>0</v>
      </c>
      <c r="P424" s="78">
        <f t="shared" si="98"/>
        <v>750.15</v>
      </c>
      <c r="Q424" s="78">
        <f t="shared" si="98"/>
        <v>1250.25</v>
      </c>
      <c r="R424" s="78">
        <f t="shared" si="98"/>
        <v>500.09999999999997</v>
      </c>
      <c r="S424" s="93">
        <f>SUM(O424:R424)</f>
        <v>2500.5</v>
      </c>
      <c r="T424" s="80" t="s">
        <v>56</v>
      </c>
      <c r="U424" s="87" t="s">
        <v>529</v>
      </c>
      <c r="V424" s="88" t="str">
        <f>IF(OR($H424="",$H424="sif",$H424="PM"),"",VLOOKUP($H424,[5]CU!$C$5:$J$255,8,FALSE))</f>
        <v>5. Investissement</v>
      </c>
      <c r="W424" s="87" t="s">
        <v>98</v>
      </c>
      <c r="X424" s="87" t="s">
        <v>546</v>
      </c>
      <c r="Y424" s="88" t="s">
        <v>32</v>
      </c>
      <c r="Z424" s="88" t="str">
        <f>A424 &amp; "-" &amp; VLOOKUP(A424,[4]PROGRAMMES!$E$1:$F$7,2,FALSE)</f>
        <v>1-Accès et équité à l'enseignement général</v>
      </c>
      <c r="AA424" s="88" t="str">
        <f>B424 &amp; "-" &amp; VLOOKUP(B424,[4]SOUSPROGRAMMES!$E$1:$F$44,2,FALSE)</f>
        <v>16- Accès et équité au lycée</v>
      </c>
      <c r="AB424" s="88" t="str">
        <f>C424 &amp; "-" &amp; VLOOKUP(C424,[4]RESULTATS!$E$1:$F$176,2,FALSE)</f>
        <v>161- L’accès au lycée est maitrisé en tenant compte de l’équité et de la diversification des filières</v>
      </c>
      <c r="AC424" s="89" t="str">
        <f>D424 &amp; "-" &amp; VLOOKUP(D424,[4]STRATEGIES!$E$1:$F$504,2,FALSE)</f>
        <v>1614-Réhabilitation/rénovation de salles de classe au Lycée en tenant compte de la prévention des catastrophes naturelles, y compris les FA</v>
      </c>
      <c r="AD424" s="76" t="str">
        <f t="shared" si="90"/>
        <v>16143-Réalisation des travaux de réhabilitation ou de rénovation des salles de classe</v>
      </c>
    </row>
    <row r="425" spans="1:30" s="90" customFormat="1" ht="45" hidden="1" customHeight="1" x14ac:dyDescent="0.8">
      <c r="A425" s="84">
        <v>1</v>
      </c>
      <c r="B425" s="85">
        <v>16</v>
      </c>
      <c r="C425" s="85">
        <v>161</v>
      </c>
      <c r="D425" s="85">
        <v>1614</v>
      </c>
      <c r="E425" s="84">
        <v>16144</v>
      </c>
      <c r="F425" s="75" t="s">
        <v>415</v>
      </c>
      <c r="G425" s="76" t="s">
        <v>416</v>
      </c>
      <c r="H425" s="86" t="s">
        <v>540</v>
      </c>
      <c r="I425" s="78">
        <v>0</v>
      </c>
      <c r="J425" s="78">
        <f>J424</f>
        <v>9</v>
      </c>
      <c r="K425" s="78">
        <f>K424</f>
        <v>15</v>
      </c>
      <c r="L425" s="78">
        <f>L424</f>
        <v>6</v>
      </c>
      <c r="M425" s="78">
        <f t="shared" si="96"/>
        <v>30</v>
      </c>
      <c r="N425" s="78">
        <f>IF(OR(H425="",H425="sif",H425="PM"),0,VLOOKUP(H425,[5]CU!$C$4:$H$255,6,FALSE))</f>
        <v>45.833333333333336</v>
      </c>
      <c r="O425" s="78">
        <f t="shared" si="98"/>
        <v>0</v>
      </c>
      <c r="P425" s="78">
        <f t="shared" si="98"/>
        <v>412.5</v>
      </c>
      <c r="Q425" s="78">
        <f t="shared" si="98"/>
        <v>687.5</v>
      </c>
      <c r="R425" s="78">
        <f t="shared" si="98"/>
        <v>275</v>
      </c>
      <c r="S425" s="93">
        <f>SUM(O425:R425)</f>
        <v>1375</v>
      </c>
      <c r="T425" s="80" t="s">
        <v>56</v>
      </c>
      <c r="U425" s="87" t="s">
        <v>529</v>
      </c>
      <c r="V425" s="88" t="str">
        <f>IF(OR($H425="",$H425="sif",$H425="PM"),"",VLOOKUP($H425,[5]CU!$C$5:$J$255,8,FALSE))</f>
        <v>5. Investissement</v>
      </c>
      <c r="W425" s="87" t="s">
        <v>98</v>
      </c>
      <c r="X425" s="87" t="s">
        <v>546</v>
      </c>
      <c r="Y425" s="88" t="s">
        <v>32</v>
      </c>
      <c r="Z425" s="88" t="str">
        <f>A425 &amp; "-" &amp; VLOOKUP(A425,[4]PROGRAMMES!$E$1:$F$7,2,FALSE)</f>
        <v>1-Accès et équité à l'enseignement général</v>
      </c>
      <c r="AA425" s="88" t="str">
        <f>B425 &amp; "-" &amp; VLOOKUP(B425,[4]SOUSPROGRAMMES!$E$1:$F$44,2,FALSE)</f>
        <v>16- Accès et équité au lycée</v>
      </c>
      <c r="AB425" s="88" t="str">
        <f>C425 &amp; "-" &amp; VLOOKUP(C425,[4]RESULTATS!$E$1:$F$176,2,FALSE)</f>
        <v>161- L’accès au lycée est maitrisé en tenant compte de l’équité et de la diversification des filières</v>
      </c>
      <c r="AC425" s="89" t="str">
        <f>D425 &amp; "-" &amp; VLOOKUP(D425,[4]STRATEGIES!$E$1:$F$504,2,FALSE)</f>
        <v>1614-Réhabilitation/rénovation de salles de classe au Lycée en tenant compte de la prévention des catastrophes naturelles, y compris les FA</v>
      </c>
      <c r="AD425" s="76" t="str">
        <f t="shared" si="90"/>
        <v>16144-Equipement des salles de classe en mobiliers scolaires</v>
      </c>
    </row>
    <row r="426" spans="1:30" s="90" customFormat="1" ht="45" hidden="1" customHeight="1" x14ac:dyDescent="0.8">
      <c r="A426" s="84">
        <v>1</v>
      </c>
      <c r="B426" s="85">
        <v>16</v>
      </c>
      <c r="C426" s="85">
        <v>161</v>
      </c>
      <c r="D426" s="85">
        <v>1614</v>
      </c>
      <c r="E426" s="84">
        <v>16145</v>
      </c>
      <c r="F426" s="75" t="s">
        <v>547</v>
      </c>
      <c r="G426" s="76" t="s">
        <v>366</v>
      </c>
      <c r="H426" s="86" t="s">
        <v>138</v>
      </c>
      <c r="I426" s="78">
        <v>0</v>
      </c>
      <c r="J426" s="78">
        <f>J424</f>
        <v>9</v>
      </c>
      <c r="K426" s="78">
        <f>K424</f>
        <v>15</v>
      </c>
      <c r="L426" s="78">
        <f>L424</f>
        <v>6</v>
      </c>
      <c r="M426" s="78">
        <f t="shared" si="96"/>
        <v>30</v>
      </c>
      <c r="N426" s="78">
        <f>IF(OR(H426="",H426="sif",H426="PM"),0,VLOOKUP(H426,[5]CU!$C$4:$H$255,6,FALSE))</f>
        <v>1.7549999999999999</v>
      </c>
      <c r="O426" s="78">
        <f t="shared" si="98"/>
        <v>0</v>
      </c>
      <c r="P426" s="78">
        <f t="shared" si="98"/>
        <v>15.794999999999998</v>
      </c>
      <c r="Q426" s="78">
        <f t="shared" si="98"/>
        <v>26.324999999999999</v>
      </c>
      <c r="R426" s="78">
        <f t="shared" si="98"/>
        <v>10.53</v>
      </c>
      <c r="S426" s="93">
        <f>SUM(O426:R426)</f>
        <v>52.65</v>
      </c>
      <c r="T426" s="80" t="s">
        <v>56</v>
      </c>
      <c r="U426" s="87" t="s">
        <v>529</v>
      </c>
      <c r="V426" s="88" t="str">
        <f>IF(OR($H426="",$H426="sif",$H426="PM"),"",VLOOKUP($H426,[5]CU!$C$5:$J$255,8,FALSE))</f>
        <v>5. Investissement</v>
      </c>
      <c r="W426" s="87" t="s">
        <v>98</v>
      </c>
      <c r="X426" s="87" t="s">
        <v>548</v>
      </c>
      <c r="Y426" s="88" t="s">
        <v>32</v>
      </c>
      <c r="Z426" s="88" t="str">
        <f>A426 &amp; "-" &amp; VLOOKUP(A426,[4]PROGRAMMES!$E$1:$F$7,2,FALSE)</f>
        <v>1-Accès et équité à l'enseignement général</v>
      </c>
      <c r="AA426" s="88" t="str">
        <f>B426 &amp; "-" &amp; VLOOKUP(B426,[4]SOUSPROGRAMMES!$E$1:$F$44,2,FALSE)</f>
        <v>16- Accès et équité au lycée</v>
      </c>
      <c r="AB426" s="88" t="str">
        <f>C426 &amp; "-" &amp; VLOOKUP(C426,[4]RESULTATS!$E$1:$F$176,2,FALSE)</f>
        <v>161- L’accès au lycée est maitrisé en tenant compte de l’équité et de la diversification des filières</v>
      </c>
      <c r="AC426" s="89" t="str">
        <f>D426 &amp; "-" &amp; VLOOKUP(D426,[4]STRATEGIES!$E$1:$F$504,2,FALSE)</f>
        <v>1614-Réhabilitation/rénovation de salles de classe au Lycée en tenant compte de la prévention des catastrophes naturelles, y compris les FA</v>
      </c>
      <c r="AD426" s="76" t="str">
        <f t="shared" si="90"/>
        <v xml:space="preserve">16145-Supervision de la réhabilitation et de l'équipement des salles de classe </v>
      </c>
    </row>
    <row r="427" spans="1:30" s="90" customFormat="1" ht="45" customHeight="1" x14ac:dyDescent="0.8">
      <c r="A427" s="84">
        <v>1</v>
      </c>
      <c r="B427" s="85">
        <v>16</v>
      </c>
      <c r="C427" s="85">
        <v>162</v>
      </c>
      <c r="D427" s="85">
        <v>162</v>
      </c>
      <c r="E427" s="84">
        <v>162</v>
      </c>
      <c r="F427" s="75" t="s">
        <v>549</v>
      </c>
      <c r="G427" s="86"/>
      <c r="H427" s="86"/>
      <c r="I427" s="78">
        <v>0</v>
      </c>
      <c r="J427" s="78"/>
      <c r="K427" s="78"/>
      <c r="L427" s="78"/>
      <c r="M427" s="78"/>
      <c r="N427" s="78"/>
      <c r="O427" s="78"/>
      <c r="P427" s="78"/>
      <c r="Q427" s="78"/>
      <c r="R427" s="78"/>
      <c r="S427" s="93"/>
      <c r="T427" s="87"/>
      <c r="U427" s="87"/>
      <c r="V427" s="88"/>
      <c r="W427" s="87"/>
      <c r="X427" s="87"/>
      <c r="Y427" s="88" t="s">
        <v>32</v>
      </c>
      <c r="Z427" s="88" t="str">
        <f>A427 &amp; "-" &amp; VLOOKUP(A427,[4]PROGRAMMES!$E$1:$F$7,2,FALSE)</f>
        <v>1-Accès et équité à l'enseignement général</v>
      </c>
      <c r="AA427" s="88" t="str">
        <f>B427 &amp; "-" &amp; VLOOKUP(B427,[4]SOUSPROGRAMMES!$E$1:$F$44,2,FALSE)</f>
        <v>16- Accès et équité au lycée</v>
      </c>
      <c r="AB427" s="88" t="str">
        <f>C427 &amp; "-" &amp; VLOOKUP(C427,[4]RESULTATS!$E$1:$F$176,2,FALSE)</f>
        <v>162- Tous les lycées publics sont dotés en enseignants en nombre suffisant, y compris les FA</v>
      </c>
      <c r="AC427" s="89" t="str">
        <f>D427 &amp; "-" &amp; VLOOKUP(D427,[4]STRATEGIES!$E$1:$F$504,2,FALSE)</f>
        <v>162- Tous les lycées publics sont dotés en enseignants en nombre suffisant, y compris les FA</v>
      </c>
      <c r="AD427" s="76" t="str">
        <f t="shared" si="90"/>
        <v>162- Tous les lycées publics sont dotés en enseignants en nombre suffisant, y compris les FA</v>
      </c>
    </row>
    <row r="428" spans="1:30" s="90" customFormat="1" ht="45" customHeight="1" x14ac:dyDescent="0.8">
      <c r="A428" s="84">
        <v>1</v>
      </c>
      <c r="B428" s="85">
        <v>16</v>
      </c>
      <c r="C428" s="85">
        <v>162</v>
      </c>
      <c r="D428" s="85">
        <v>1621</v>
      </c>
      <c r="E428" s="84">
        <v>1621</v>
      </c>
      <c r="F428" s="75" t="s">
        <v>550</v>
      </c>
      <c r="G428" s="86"/>
      <c r="H428" s="86"/>
      <c r="I428" s="78">
        <v>0</v>
      </c>
      <c r="J428" s="78"/>
      <c r="K428" s="78"/>
      <c r="L428" s="78"/>
      <c r="M428" s="78"/>
      <c r="N428" s="78"/>
      <c r="O428" s="78"/>
      <c r="P428" s="78"/>
      <c r="Q428" s="78"/>
      <c r="R428" s="78"/>
      <c r="S428" s="93"/>
      <c r="T428" s="87"/>
      <c r="U428" s="87"/>
      <c r="V428" s="88"/>
      <c r="W428" s="87"/>
      <c r="X428" s="87"/>
      <c r="Y428" s="88" t="s">
        <v>32</v>
      </c>
      <c r="Z428" s="88" t="str">
        <f>A428 &amp; "-" &amp; VLOOKUP(A428,[4]PROGRAMMES!$E$1:$F$7,2,FALSE)</f>
        <v>1-Accès et équité à l'enseignement général</v>
      </c>
      <c r="AA428" s="88" t="str">
        <f>B428 &amp; "-" &amp; VLOOKUP(B428,[4]SOUSPROGRAMMES!$E$1:$F$44,2,FALSE)</f>
        <v>16- Accès et équité au lycée</v>
      </c>
      <c r="AB428" s="88" t="str">
        <f>C428 &amp; "-" &amp; VLOOKUP(C428,[4]RESULTATS!$E$1:$F$176,2,FALSE)</f>
        <v>162- Tous les lycées publics sont dotés en enseignants en nombre suffisant, y compris les FA</v>
      </c>
      <c r="AC428" s="89" t="str">
        <f>D428 &amp; "-" &amp; VLOOKUP(D428,[4]STRATEGIES!$E$1:$F$504,2,FALSE)</f>
        <v>1621-Recrutement d’enseignants de lycée en nombre suffisant, y compris les FA</v>
      </c>
      <c r="AD428" s="76" t="str">
        <f t="shared" si="90"/>
        <v>1621-Recrutement d’enseignants de lycée en nombre suffisant, y compris les FA</v>
      </c>
    </row>
    <row r="429" spans="1:30" s="90" customFormat="1" ht="45" hidden="1" customHeight="1" x14ac:dyDescent="0.8">
      <c r="A429" s="84">
        <v>1</v>
      </c>
      <c r="B429" s="85">
        <v>16</v>
      </c>
      <c r="C429" s="85">
        <v>162</v>
      </c>
      <c r="D429" s="85">
        <v>1621</v>
      </c>
      <c r="E429" s="84">
        <v>16211</v>
      </c>
      <c r="F429" s="75" t="s">
        <v>141</v>
      </c>
      <c r="G429" s="76" t="s">
        <v>88</v>
      </c>
      <c r="H429" s="86" t="s">
        <v>55</v>
      </c>
      <c r="I429" s="78">
        <v>0</v>
      </c>
      <c r="J429" s="78"/>
      <c r="K429" s="78"/>
      <c r="L429" s="78"/>
      <c r="M429" s="78"/>
      <c r="N429" s="78">
        <f>IF(OR(H429="",H429="sif",H429="PM"),0,VLOOKUP(H429,[5]CU!$C$4:$H$255,6,FALSE))</f>
        <v>0</v>
      </c>
      <c r="O429" s="78"/>
      <c r="P429" s="78"/>
      <c r="Q429" s="78"/>
      <c r="R429" s="78"/>
      <c r="S429" s="93"/>
      <c r="T429" s="80" t="s">
        <v>56</v>
      </c>
      <c r="U429" s="87" t="s">
        <v>529</v>
      </c>
      <c r="V429" s="88" t="str">
        <f>IF(OR($H429="",$H429="sif",$H429="PM"),"",VLOOKUP($H429,[5]CU!$C$5:$J$255,8,FALSE))</f>
        <v/>
      </c>
      <c r="W429" s="87" t="s">
        <v>142</v>
      </c>
      <c r="X429" s="87" t="s">
        <v>421</v>
      </c>
      <c r="Y429" s="88" t="s">
        <v>32</v>
      </c>
      <c r="Z429" s="88" t="str">
        <f>A429 &amp; "-" &amp; VLOOKUP(A429,[4]PROGRAMMES!$E$1:$F$7,2,FALSE)</f>
        <v>1-Accès et équité à l'enseignement général</v>
      </c>
      <c r="AA429" s="88" t="str">
        <f>B429 &amp; "-" &amp; VLOOKUP(B429,[4]SOUSPROGRAMMES!$E$1:$F$44,2,FALSE)</f>
        <v>16- Accès et équité au lycée</v>
      </c>
      <c r="AB429" s="88" t="str">
        <f>C429 &amp; "-" &amp; VLOOKUP(C429,[4]RESULTATS!$E$1:$F$176,2,FALSE)</f>
        <v>162- Tous les lycées publics sont dotés en enseignants en nombre suffisant, y compris les FA</v>
      </c>
      <c r="AC429" s="89" t="str">
        <f>D429 &amp; "-" &amp; VLOOKUP(D429,[4]STRATEGIES!$E$1:$F$504,2,FALSE)</f>
        <v>1621-Recrutement d’enseignants de lycée en nombre suffisant, y compris les FA</v>
      </c>
      <c r="AD429" s="76" t="str">
        <f t="shared" si="90"/>
        <v>16211-Identification des besoins en tenant compte des capacités d'accueil</v>
      </c>
    </row>
    <row r="430" spans="1:30" s="90" customFormat="1" ht="45" hidden="1" customHeight="1" x14ac:dyDescent="0.8">
      <c r="A430" s="84">
        <v>1</v>
      </c>
      <c r="B430" s="85">
        <v>16</v>
      </c>
      <c r="C430" s="85">
        <v>162</v>
      </c>
      <c r="D430" s="85">
        <v>1621</v>
      </c>
      <c r="E430" s="84">
        <v>16212</v>
      </c>
      <c r="F430" s="75" t="s">
        <v>551</v>
      </c>
      <c r="G430" s="76" t="s">
        <v>92</v>
      </c>
      <c r="H430" s="86" t="s">
        <v>55</v>
      </c>
      <c r="I430" s="78">
        <v>0</v>
      </c>
      <c r="J430" s="78">
        <v>1</v>
      </c>
      <c r="K430" s="78">
        <v>1</v>
      </c>
      <c r="L430" s="78">
        <v>1</v>
      </c>
      <c r="M430" s="78">
        <f t="shared" ref="M430:M442" si="99">SUM(I430:L430)</f>
        <v>3</v>
      </c>
      <c r="N430" s="78">
        <f>IF(OR(H430="",H430="sif",H430="PM"),0,VLOOKUP(H430,[5]CU!$C$4:$H$255,6,FALSE))</f>
        <v>0</v>
      </c>
      <c r="O430" s="78"/>
      <c r="P430" s="78"/>
      <c r="Q430" s="78"/>
      <c r="R430" s="78"/>
      <c r="S430" s="93"/>
      <c r="T430" s="80" t="s">
        <v>56</v>
      </c>
      <c r="U430" s="87" t="s">
        <v>529</v>
      </c>
      <c r="V430" s="88" t="str">
        <f>IF(OR($H430="",$H430="sif",$H430="PM"),"",VLOOKUP($H430,[5]CU!$C$5:$J$255,8,FALSE))</f>
        <v/>
      </c>
      <c r="W430" s="87" t="s">
        <v>142</v>
      </c>
      <c r="X430" s="87" t="s">
        <v>552</v>
      </c>
      <c r="Y430" s="88" t="s">
        <v>32</v>
      </c>
      <c r="Z430" s="88" t="str">
        <f>A430 &amp; "-" &amp; VLOOKUP(A430,[4]PROGRAMMES!$E$1:$F$7,2,FALSE)</f>
        <v>1-Accès et équité à l'enseignement général</v>
      </c>
      <c r="AA430" s="88" t="str">
        <f>B430 &amp; "-" &amp; VLOOKUP(B430,[4]SOUSPROGRAMMES!$E$1:$F$44,2,FALSE)</f>
        <v>16- Accès et équité au lycée</v>
      </c>
      <c r="AB430" s="88" t="str">
        <f>C430 &amp; "-" &amp; VLOOKUP(C430,[4]RESULTATS!$E$1:$F$176,2,FALSE)</f>
        <v>162- Tous les lycées publics sont dotés en enseignants en nombre suffisant, y compris les FA</v>
      </c>
      <c r="AC430" s="89" t="str">
        <f>D430 &amp; "-" &amp; VLOOKUP(D430,[4]STRATEGIES!$E$1:$F$504,2,FALSE)</f>
        <v>1621-Recrutement d’enseignants de lycée en nombre suffisant, y compris les FA</v>
      </c>
      <c r="AD430" s="76" t="str">
        <f t="shared" si="90"/>
        <v xml:space="preserve">16212-Organisation de concours de recrutement des enseignants </v>
      </c>
    </row>
    <row r="431" spans="1:30" s="90" customFormat="1" ht="75" hidden="1" customHeight="1" x14ac:dyDescent="0.8">
      <c r="A431" s="84">
        <v>1</v>
      </c>
      <c r="B431" s="85">
        <v>16</v>
      </c>
      <c r="C431" s="85">
        <v>162</v>
      </c>
      <c r="D431" s="85">
        <v>1621</v>
      </c>
      <c r="E431" s="84">
        <v>16213</v>
      </c>
      <c r="F431" s="75" t="s">
        <v>145</v>
      </c>
      <c r="G431" s="76" t="s">
        <v>553</v>
      </c>
      <c r="H431" s="86" t="s">
        <v>554</v>
      </c>
      <c r="I431" s="78">
        <v>0</v>
      </c>
      <c r="J431" s="78">
        <v>392</v>
      </c>
      <c r="K431" s="78">
        <v>427</v>
      </c>
      <c r="L431" s="78">
        <v>463</v>
      </c>
      <c r="M431" s="78">
        <f t="shared" si="99"/>
        <v>1282</v>
      </c>
      <c r="N431" s="78">
        <f>IF(OR(H431="",H431="sif",H431="PM"),0,VLOOKUP(H431,[5]CU!$C$4:$H$255,6,FALSE))</f>
        <v>35.366873292398708</v>
      </c>
      <c r="O431" s="78">
        <f t="shared" ref="O431:R432" si="100">$N431*I431</f>
        <v>0</v>
      </c>
      <c r="P431" s="78">
        <f t="shared" si="100"/>
        <v>13863.814330620293</v>
      </c>
      <c r="Q431" s="78">
        <f t="shared" si="100"/>
        <v>15101.654895854248</v>
      </c>
      <c r="R431" s="78">
        <f t="shared" si="100"/>
        <v>16374.862334380601</v>
      </c>
      <c r="S431" s="93">
        <f>SUM(O431:R431)</f>
        <v>45340.331560855142</v>
      </c>
      <c r="T431" s="80" t="s">
        <v>56</v>
      </c>
      <c r="U431" s="87" t="s">
        <v>529</v>
      </c>
      <c r="V431" s="88" t="str">
        <f>IF(OR($H431="",$H431="sif",$H431="PM"),"",VLOOKUP($H431,[5]CU!$C$5:$J$255,8,FALSE))</f>
        <v>2. Personnel</v>
      </c>
      <c r="W431" s="87" t="s">
        <v>142</v>
      </c>
      <c r="X431" s="87" t="s">
        <v>239</v>
      </c>
      <c r="Y431" s="88" t="s">
        <v>32</v>
      </c>
      <c r="Z431" s="88" t="str">
        <f>A431 &amp; "-" &amp; VLOOKUP(A431,[4]PROGRAMMES!$E$1:$F$7,2,FALSE)</f>
        <v>1-Accès et équité à l'enseignement général</v>
      </c>
      <c r="AA431" s="88" t="str">
        <f>B431 &amp; "-" &amp; VLOOKUP(B431,[4]SOUSPROGRAMMES!$E$1:$F$44,2,FALSE)</f>
        <v>16- Accès et équité au lycée</v>
      </c>
      <c r="AB431" s="88" t="str">
        <f>C431 &amp; "-" &amp; VLOOKUP(C431,[4]RESULTATS!$E$1:$F$176,2,FALSE)</f>
        <v>162- Tous les lycées publics sont dotés en enseignants en nombre suffisant, y compris les FA</v>
      </c>
      <c r="AC431" s="89" t="str">
        <f>D431 &amp; "-" &amp; VLOOKUP(D431,[4]STRATEGIES!$E$1:$F$504,2,FALSE)</f>
        <v>1621-Recrutement d’enseignants de lycée en nombre suffisant, y compris les FA</v>
      </c>
      <c r="AD431" s="76" t="str">
        <f t="shared" si="90"/>
        <v>16213-Prise en charge des candidats retenus après leur prise de service</v>
      </c>
    </row>
    <row r="432" spans="1:30" s="90" customFormat="1" ht="45" hidden="1" customHeight="1" x14ac:dyDescent="0.8">
      <c r="A432" s="84">
        <v>1</v>
      </c>
      <c r="B432" s="85">
        <v>16</v>
      </c>
      <c r="C432" s="85">
        <v>162</v>
      </c>
      <c r="D432" s="85">
        <v>1621</v>
      </c>
      <c r="E432" s="84">
        <v>16214</v>
      </c>
      <c r="F432" s="75" t="s">
        <v>555</v>
      </c>
      <c r="G432" s="76" t="s">
        <v>556</v>
      </c>
      <c r="H432" s="86" t="s">
        <v>557</v>
      </c>
      <c r="I432" s="78">
        <v>0</v>
      </c>
      <c r="J432" s="78">
        <v>0.90732456960101504</v>
      </c>
      <c r="K432" s="78">
        <v>1.0302361279168499</v>
      </c>
      <c r="L432" s="78">
        <v>1.16928919941153</v>
      </c>
      <c r="M432" s="78">
        <f t="shared" si="99"/>
        <v>3.1068498969293952</v>
      </c>
      <c r="N432" s="78">
        <f>IF(OR(H432="",H432="sif",H432="PM"),0,VLOOKUP(H432,[5]CU!$C$4:$H$255,6,FALSE))</f>
        <v>105961.45768181</v>
      </c>
      <c r="O432" s="78">
        <f t="shared" si="100"/>
        <v>0</v>
      </c>
      <c r="P432" s="78">
        <f t="shared" si="100"/>
        <v>96141.433985444426</v>
      </c>
      <c r="Q432" s="78">
        <f t="shared" si="100"/>
        <v>109165.32187053309</v>
      </c>
      <c r="R432" s="78">
        <f t="shared" si="100"/>
        <v>123899.58802124234</v>
      </c>
      <c r="S432" s="93">
        <f>SUM(O432:R432)</f>
        <v>329206.34387721989</v>
      </c>
      <c r="T432" s="80" t="s">
        <v>56</v>
      </c>
      <c r="U432" s="87" t="s">
        <v>529</v>
      </c>
      <c r="V432" s="88" t="str">
        <f>IF(OR($H432="",$H432="sif",$H432="PM"),"",VLOOKUP($H432,[5]CU!$C$5:$J$255,8,FALSE))</f>
        <v>2. Personnel</v>
      </c>
      <c r="W432" s="87" t="s">
        <v>142</v>
      </c>
      <c r="X432" s="87" t="s">
        <v>239</v>
      </c>
      <c r="Y432" s="88" t="s">
        <v>32</v>
      </c>
      <c r="Z432" s="88" t="str">
        <f>A432 &amp; "-" &amp; VLOOKUP(A432,[4]PROGRAMMES!$E$1:$F$7,2,FALSE)</f>
        <v>1-Accès et équité à l'enseignement général</v>
      </c>
      <c r="AA432" s="88" t="str">
        <f>B432 &amp; "-" &amp; VLOOKUP(B432,[4]SOUSPROGRAMMES!$E$1:$F$44,2,FALSE)</f>
        <v>16- Accès et équité au lycée</v>
      </c>
      <c r="AB432" s="88" t="str">
        <f>C432 &amp; "-" &amp; VLOOKUP(C432,[4]RESULTATS!$E$1:$F$176,2,FALSE)</f>
        <v>162- Tous les lycées publics sont dotés en enseignants en nombre suffisant, y compris les FA</v>
      </c>
      <c r="AC432" s="89" t="str">
        <f>D432 &amp; "-" &amp; VLOOKUP(D432,[4]STRATEGIES!$E$1:$F$504,2,FALSE)</f>
        <v>1621-Recrutement d’enseignants de lycée en nombre suffisant, y compris les FA</v>
      </c>
      <c r="AD432" s="76" t="str">
        <f t="shared" si="90"/>
        <v>16214-Prise en charge du personnel dans les établissements du secondaire second cycle</v>
      </c>
    </row>
    <row r="433" spans="1:30" s="90" customFormat="1" ht="45" hidden="1" customHeight="1" x14ac:dyDescent="0.8">
      <c r="A433" s="84">
        <v>1</v>
      </c>
      <c r="B433" s="85">
        <v>16</v>
      </c>
      <c r="C433" s="85">
        <v>162</v>
      </c>
      <c r="D433" s="85">
        <v>1621</v>
      </c>
      <c r="E433" s="84">
        <v>16215</v>
      </c>
      <c r="F433" s="75" t="s">
        <v>558</v>
      </c>
      <c r="G433" s="76" t="s">
        <v>92</v>
      </c>
      <c r="H433" s="86" t="s">
        <v>55</v>
      </c>
      <c r="I433" s="78">
        <v>0</v>
      </c>
      <c r="J433" s="78">
        <v>1</v>
      </c>
      <c r="K433" s="78">
        <v>1</v>
      </c>
      <c r="L433" s="78">
        <v>1</v>
      </c>
      <c r="M433" s="78">
        <f t="shared" si="99"/>
        <v>3</v>
      </c>
      <c r="N433" s="78">
        <f>IF(OR(H433="",H433="sif",H433="PM"),0,VLOOKUP(H433,[5]CU!$C$4:$H$255,6,FALSE))</f>
        <v>0</v>
      </c>
      <c r="O433" s="78"/>
      <c r="P433" s="78"/>
      <c r="Q433" s="78"/>
      <c r="R433" s="78"/>
      <c r="S433" s="93"/>
      <c r="T433" s="80" t="s">
        <v>56</v>
      </c>
      <c r="U433" s="87" t="s">
        <v>529</v>
      </c>
      <c r="V433" s="88" t="str">
        <f>IF(OR($H433="",$H433="sif",$H433="PM"),"",VLOOKUP($H433,[5]CU!$C$5:$J$255,8,FALSE))</f>
        <v/>
      </c>
      <c r="W433" s="87" t="s">
        <v>398</v>
      </c>
      <c r="X433" s="87" t="s">
        <v>273</v>
      </c>
      <c r="Y433" s="88" t="s">
        <v>32</v>
      </c>
      <c r="Z433" s="88" t="str">
        <f>A433 &amp; "-" &amp; VLOOKUP(A433,[4]PROGRAMMES!$E$1:$F$7,2,FALSE)</f>
        <v>1-Accès et équité à l'enseignement général</v>
      </c>
      <c r="AA433" s="88" t="str">
        <f>B433 &amp; "-" &amp; VLOOKUP(B433,[4]SOUSPROGRAMMES!$E$1:$F$44,2,FALSE)</f>
        <v>16- Accès et équité au lycée</v>
      </c>
      <c r="AB433" s="88" t="str">
        <f>C433 &amp; "-" &amp; VLOOKUP(C433,[4]RESULTATS!$E$1:$F$176,2,FALSE)</f>
        <v>162- Tous les lycées publics sont dotés en enseignants en nombre suffisant, y compris les FA</v>
      </c>
      <c r="AC433" s="89" t="str">
        <f>D433 &amp; "-" &amp; VLOOKUP(D433,[4]STRATEGIES!$E$1:$F$504,2,FALSE)</f>
        <v>1621-Recrutement d’enseignants de lycée en nombre suffisant, y compris les FA</v>
      </c>
      <c r="AD433" s="76" t="str">
        <f t="shared" si="90"/>
        <v>16215-Suivi de l'allocation des enseignants (pris en compte activité 12314)</v>
      </c>
    </row>
    <row r="434" spans="1:30" s="90" customFormat="1" ht="45" customHeight="1" x14ac:dyDescent="0.8">
      <c r="A434" s="84">
        <v>1</v>
      </c>
      <c r="B434" s="85">
        <v>16</v>
      </c>
      <c r="C434" s="85">
        <v>162</v>
      </c>
      <c r="D434" s="85">
        <v>1622</v>
      </c>
      <c r="E434" s="84">
        <v>1622</v>
      </c>
      <c r="F434" s="75" t="s">
        <v>559</v>
      </c>
      <c r="G434" s="86"/>
      <c r="H434" s="86"/>
      <c r="I434" s="78">
        <v>0</v>
      </c>
      <c r="J434" s="78"/>
      <c r="K434" s="78"/>
      <c r="L434" s="78"/>
      <c r="M434" s="78"/>
      <c r="N434" s="78"/>
      <c r="O434" s="78"/>
      <c r="P434" s="78"/>
      <c r="Q434" s="78"/>
      <c r="R434" s="78"/>
      <c r="S434" s="93"/>
      <c r="T434" s="87"/>
      <c r="U434" s="87"/>
      <c r="V434" s="88"/>
      <c r="W434" s="87"/>
      <c r="X434" s="87"/>
      <c r="Y434" s="88" t="s">
        <v>32</v>
      </c>
      <c r="Z434" s="88" t="str">
        <f>A434 &amp; "-" &amp; VLOOKUP(A434,[4]PROGRAMMES!$E$1:$F$7,2,FALSE)</f>
        <v>1-Accès et équité à l'enseignement général</v>
      </c>
      <c r="AA434" s="88" t="str">
        <f>B434 &amp; "-" &amp; VLOOKUP(B434,[4]SOUSPROGRAMMES!$E$1:$F$44,2,FALSE)</f>
        <v>16- Accès et équité au lycée</v>
      </c>
      <c r="AB434" s="88" t="str">
        <f>C434 &amp; "-" &amp; VLOOKUP(C434,[4]RESULTATS!$E$1:$F$176,2,FALSE)</f>
        <v>162- Tous les lycées publics sont dotés en enseignants en nombre suffisant, y compris les FA</v>
      </c>
      <c r="AC434" s="89" t="str">
        <f>D434 &amp; "-" &amp; VLOOKUP(D434,[4]STRATEGIES!$E$1:$F$504,2,FALSE)</f>
        <v>1622-Prise en charge progressive des enseignants contractuels au lycée, y compris les FA</v>
      </c>
      <c r="AD434" s="76" t="str">
        <f t="shared" si="90"/>
        <v>1622-Prise en charge progressive des enseignants contractuels au lycée, y compris les FA</v>
      </c>
    </row>
    <row r="435" spans="1:30" s="90" customFormat="1" ht="45" hidden="1" customHeight="1" x14ac:dyDescent="0.8">
      <c r="A435" s="84">
        <v>1</v>
      </c>
      <c r="B435" s="85">
        <v>16</v>
      </c>
      <c r="C435" s="85">
        <v>162</v>
      </c>
      <c r="D435" s="85">
        <v>1622</v>
      </c>
      <c r="E435" s="84">
        <v>16221</v>
      </c>
      <c r="F435" s="75" t="s">
        <v>560</v>
      </c>
      <c r="G435" s="76" t="s">
        <v>58</v>
      </c>
      <c r="H435" s="86" t="s">
        <v>59</v>
      </c>
      <c r="I435" s="78">
        <v>0</v>
      </c>
      <c r="J435" s="78">
        <f>4*10*8</f>
        <v>320</v>
      </c>
      <c r="K435" s="78"/>
      <c r="L435" s="78"/>
      <c r="M435" s="78">
        <f t="shared" si="99"/>
        <v>320</v>
      </c>
      <c r="N435" s="78">
        <f>IF(OR(H435="",H435="sif",H435="PM"),0,VLOOKUP(H435,[5]CU!$C$4:$H$255,6,FALSE))</f>
        <v>0.8177777777777776</v>
      </c>
      <c r="O435" s="78">
        <f>$N435*I435</f>
        <v>0</v>
      </c>
      <c r="P435" s="78">
        <f>$N435*J435</f>
        <v>261.68888888888881</v>
      </c>
      <c r="Q435" s="78">
        <f>$N435*K435</f>
        <v>0</v>
      </c>
      <c r="R435" s="78">
        <f>$N435*L435</f>
        <v>0</v>
      </c>
      <c r="S435" s="93">
        <f>SUM(O435:R435)</f>
        <v>261.68888888888881</v>
      </c>
      <c r="T435" s="80" t="s">
        <v>56</v>
      </c>
      <c r="U435" s="87" t="s">
        <v>529</v>
      </c>
      <c r="V435" s="88" t="str">
        <f>IF(OR($H435="",$H435="sif",$H435="PM"),"",VLOOKUP($H435,[5]CU!$C$5:$J$255,8,FALSE))</f>
        <v>3. Dépenses de fonctionnement</v>
      </c>
      <c r="W435" s="87" t="s">
        <v>142</v>
      </c>
      <c r="X435" s="87" t="s">
        <v>429</v>
      </c>
      <c r="Y435" s="88" t="s">
        <v>32</v>
      </c>
      <c r="Z435" s="88" t="str">
        <f>A435 &amp; "-" &amp; VLOOKUP(A435,[4]PROGRAMMES!$E$1:$F$7,2,FALSE)</f>
        <v>1-Accès et équité à l'enseignement général</v>
      </c>
      <c r="AA435" s="88" t="str">
        <f>B435 &amp; "-" &amp; VLOOKUP(B435,[4]SOUSPROGRAMMES!$E$1:$F$44,2,FALSE)</f>
        <v>16- Accès et équité au lycée</v>
      </c>
      <c r="AB435" s="88" t="str">
        <f>C435 &amp; "-" &amp; VLOOKUP(C435,[4]RESULTATS!$E$1:$F$176,2,FALSE)</f>
        <v>162- Tous les lycées publics sont dotés en enseignants en nombre suffisant, y compris les FA</v>
      </c>
      <c r="AC435" s="89" t="str">
        <f>D435 &amp; "-" &amp; VLOOKUP(D435,[4]STRATEGIES!$E$1:$F$504,2,FALSE)</f>
        <v>1622-Prise en charge progressive des enseignants contractuels au lycée, y compris les FA</v>
      </c>
      <c r="AD435" s="76" t="str">
        <f t="shared" si="90"/>
        <v>16221-Identification et évaluation des enseignants contractuels en service</v>
      </c>
    </row>
    <row r="436" spans="1:30" s="90" customFormat="1" ht="45" hidden="1" customHeight="1" x14ac:dyDescent="0.8">
      <c r="A436" s="84">
        <v>1</v>
      </c>
      <c r="B436" s="85">
        <v>16</v>
      </c>
      <c r="C436" s="85">
        <v>162</v>
      </c>
      <c r="D436" s="85">
        <v>1622</v>
      </c>
      <c r="E436" s="84">
        <v>16222</v>
      </c>
      <c r="F436" s="75" t="s">
        <v>430</v>
      </c>
      <c r="G436" s="76" t="s">
        <v>159</v>
      </c>
      <c r="H436" s="86" t="s">
        <v>55</v>
      </c>
      <c r="I436" s="78">
        <v>0</v>
      </c>
      <c r="J436" s="78">
        <v>1</v>
      </c>
      <c r="K436" s="78">
        <v>1</v>
      </c>
      <c r="L436" s="78">
        <v>1</v>
      </c>
      <c r="M436" s="78">
        <f t="shared" si="99"/>
        <v>3</v>
      </c>
      <c r="N436" s="78">
        <f>IF(OR(H436="",H436="sif",H436="PM"),0,VLOOKUP(H436,[5]CU!$C$4:$H$255,6,FALSE))</f>
        <v>0</v>
      </c>
      <c r="O436" s="78"/>
      <c r="P436" s="78"/>
      <c r="Q436" s="78"/>
      <c r="R436" s="78"/>
      <c r="S436" s="93"/>
      <c r="T436" s="80" t="s">
        <v>56</v>
      </c>
      <c r="U436" s="87" t="s">
        <v>529</v>
      </c>
      <c r="V436" s="88" t="str">
        <f>IF(OR($H436="",$H436="sif",$H436="PM"),"",VLOOKUP($H436,[5]CU!$C$5:$J$255,8,FALSE))</f>
        <v/>
      </c>
      <c r="W436" s="87" t="s">
        <v>142</v>
      </c>
      <c r="X436" s="87" t="s">
        <v>431</v>
      </c>
      <c r="Y436" s="88" t="s">
        <v>32</v>
      </c>
      <c r="Z436" s="88" t="str">
        <f>A436 &amp; "-" &amp; VLOOKUP(A436,[4]PROGRAMMES!$E$1:$F$7,2,FALSE)</f>
        <v>1-Accès et équité à l'enseignement général</v>
      </c>
      <c r="AA436" s="88" t="str">
        <f>B436 &amp; "-" &amp; VLOOKUP(B436,[4]SOUSPROGRAMMES!$E$1:$F$44,2,FALSE)</f>
        <v>16- Accès et équité au lycée</v>
      </c>
      <c r="AB436" s="88" t="str">
        <f>C436 &amp; "-" &amp; VLOOKUP(C436,[4]RESULTATS!$E$1:$F$176,2,FALSE)</f>
        <v>162- Tous les lycées publics sont dotés en enseignants en nombre suffisant, y compris les FA</v>
      </c>
      <c r="AC436" s="89" t="str">
        <f>D436 &amp; "-" &amp; VLOOKUP(D436,[4]STRATEGIES!$E$1:$F$504,2,FALSE)</f>
        <v>1622-Prise en charge progressive des enseignants contractuels au lycée, y compris les FA</v>
      </c>
      <c r="AD436" s="76" t="str">
        <f t="shared" si="90"/>
        <v>16222-Formation des enseignants communautaires en service ayant les qualifications nécessaires à l'ISSEG (Budget ISSEG)</v>
      </c>
    </row>
    <row r="437" spans="1:30" s="90" customFormat="1" ht="45" hidden="1" customHeight="1" x14ac:dyDescent="0.8">
      <c r="A437" s="84">
        <v>1</v>
      </c>
      <c r="B437" s="85">
        <v>16</v>
      </c>
      <c r="C437" s="85">
        <v>162</v>
      </c>
      <c r="D437" s="85">
        <v>1622</v>
      </c>
      <c r="E437" s="84">
        <v>16223</v>
      </c>
      <c r="F437" s="75" t="s">
        <v>561</v>
      </c>
      <c r="G437" s="76" t="s">
        <v>92</v>
      </c>
      <c r="H437" s="86" t="s">
        <v>55</v>
      </c>
      <c r="I437" s="78">
        <v>0</v>
      </c>
      <c r="J437" s="78"/>
      <c r="K437" s="78"/>
      <c r="L437" s="78">
        <v>1</v>
      </c>
      <c r="M437" s="78">
        <f t="shared" si="99"/>
        <v>1</v>
      </c>
      <c r="N437" s="78">
        <f>IF(OR(H437="",H437="sif",H437="PM"),0,VLOOKUP(H437,[5]CU!$C$4:$H$255,6,FALSE))</f>
        <v>0</v>
      </c>
      <c r="O437" s="78"/>
      <c r="P437" s="78"/>
      <c r="Q437" s="78"/>
      <c r="R437" s="78"/>
      <c r="S437" s="93"/>
      <c r="T437" s="80" t="s">
        <v>56</v>
      </c>
      <c r="U437" s="87" t="s">
        <v>529</v>
      </c>
      <c r="V437" s="88" t="str">
        <f>IF(OR($H437="",$H437="sif",$H437="PM"),"",VLOOKUP($H437,[5]CU!$C$5:$J$255,8,FALSE))</f>
        <v/>
      </c>
      <c r="W437" s="87" t="s">
        <v>142</v>
      </c>
      <c r="X437" s="87" t="s">
        <v>144</v>
      </c>
      <c r="Y437" s="88" t="s">
        <v>32</v>
      </c>
      <c r="Z437" s="88" t="str">
        <f>A437 &amp; "-" &amp; VLOOKUP(A437,[4]PROGRAMMES!$E$1:$F$7,2,FALSE)</f>
        <v>1-Accès et équité à l'enseignement général</v>
      </c>
      <c r="AA437" s="88" t="str">
        <f>B437 &amp; "-" &amp; VLOOKUP(B437,[4]SOUSPROGRAMMES!$E$1:$F$44,2,FALSE)</f>
        <v>16- Accès et équité au lycée</v>
      </c>
      <c r="AB437" s="88" t="str">
        <f>C437 &amp; "-" &amp; VLOOKUP(C437,[4]RESULTATS!$E$1:$F$176,2,FALSE)</f>
        <v>162- Tous les lycées publics sont dotés en enseignants en nombre suffisant, y compris les FA</v>
      </c>
      <c r="AC437" s="89" t="str">
        <f>D437 &amp; "-" &amp; VLOOKUP(D437,[4]STRATEGIES!$E$1:$F$504,2,FALSE)</f>
        <v>1622-Prise en charge progressive des enseignants contractuels au lycée, y compris les FA</v>
      </c>
      <c r="AD437" s="76" t="str">
        <f t="shared" si="90"/>
        <v>16223-Prise en charge des élèves-enseignants certifiés après leur reprise de service (pris en compte dans activité 16213)</v>
      </c>
    </row>
    <row r="438" spans="1:30" s="90" customFormat="1" ht="45" customHeight="1" x14ac:dyDescent="0.8">
      <c r="A438" s="84">
        <v>1</v>
      </c>
      <c r="B438" s="85">
        <v>16</v>
      </c>
      <c r="C438" s="85">
        <v>162</v>
      </c>
      <c r="D438" s="85">
        <v>1623</v>
      </c>
      <c r="E438" s="84">
        <v>1623</v>
      </c>
      <c r="F438" s="75" t="s">
        <v>562</v>
      </c>
      <c r="G438" s="86"/>
      <c r="H438" s="86"/>
      <c r="I438" s="78">
        <v>0</v>
      </c>
      <c r="J438" s="78"/>
      <c r="K438" s="78"/>
      <c r="L438" s="78"/>
      <c r="M438" s="78"/>
      <c r="N438" s="78"/>
      <c r="O438" s="78"/>
      <c r="P438" s="78"/>
      <c r="Q438" s="78"/>
      <c r="R438" s="78"/>
      <c r="S438" s="93"/>
      <c r="T438" s="87"/>
      <c r="U438" s="87"/>
      <c r="V438" s="88"/>
      <c r="W438" s="87"/>
      <c r="X438" s="87"/>
      <c r="Y438" s="88" t="s">
        <v>32</v>
      </c>
      <c r="Z438" s="88" t="str">
        <f>A438 &amp; "-" &amp; VLOOKUP(A438,[4]PROGRAMMES!$E$1:$F$7,2,FALSE)</f>
        <v>1-Accès et équité à l'enseignement général</v>
      </c>
      <c r="AA438" s="88" t="str">
        <f>B438 &amp; "-" &amp; VLOOKUP(B438,[4]SOUSPROGRAMMES!$E$1:$F$44,2,FALSE)</f>
        <v>16- Accès et équité au lycée</v>
      </c>
      <c r="AB438" s="88" t="str">
        <f>C438 &amp; "-" &amp; VLOOKUP(C438,[4]RESULTATS!$E$1:$F$176,2,FALSE)</f>
        <v>162- Tous les lycées publics sont dotés en enseignants en nombre suffisant, y compris les FA</v>
      </c>
      <c r="AC438" s="89" t="str">
        <f>D438 &amp; "-" &amp; VLOOKUP(D438,[4]STRATEGIES!$E$1:$F$504,2,FALSE)</f>
        <v>1623-Optimisation de l’utilisation des enseignants au lycée, y compris les FA</v>
      </c>
      <c r="AD438" s="76" t="str">
        <f t="shared" si="90"/>
        <v>1623-Optimisation de l’utilisation des enseignants au lycée, y compris les FA</v>
      </c>
    </row>
    <row r="439" spans="1:30" s="90" customFormat="1" ht="45" hidden="1" customHeight="1" x14ac:dyDescent="0.8">
      <c r="A439" s="84">
        <v>1</v>
      </c>
      <c r="B439" s="85">
        <v>16</v>
      </c>
      <c r="C439" s="85">
        <v>162</v>
      </c>
      <c r="D439" s="85">
        <v>1623</v>
      </c>
      <c r="E439" s="84">
        <v>16231</v>
      </c>
      <c r="F439" s="75" t="s">
        <v>563</v>
      </c>
      <c r="G439" s="76" t="s">
        <v>37</v>
      </c>
      <c r="H439" s="86" t="s">
        <v>66</v>
      </c>
      <c r="I439" s="78">
        <v>0</v>
      </c>
      <c r="J439" s="78">
        <f>20*3*1</f>
        <v>60</v>
      </c>
      <c r="K439" s="78"/>
      <c r="L439" s="78"/>
      <c r="M439" s="78">
        <f t="shared" si="99"/>
        <v>60</v>
      </c>
      <c r="N439" s="78">
        <f>IF(OR(H439="",H439="sif",H439="PM"),0,VLOOKUP(H439,[5]CU!$C$4:$H$255,6,FALSE))</f>
        <v>0.255</v>
      </c>
      <c r="O439" s="78">
        <f t="shared" ref="O439:R441" si="101">$N439*I439</f>
        <v>0</v>
      </c>
      <c r="P439" s="78">
        <f t="shared" si="101"/>
        <v>15.3</v>
      </c>
      <c r="Q439" s="78">
        <f t="shared" si="101"/>
        <v>0</v>
      </c>
      <c r="R439" s="78">
        <f t="shared" si="101"/>
        <v>0</v>
      </c>
      <c r="S439" s="93">
        <f>SUM(O439:R439)</f>
        <v>15.3</v>
      </c>
      <c r="T439" s="80" t="s">
        <v>56</v>
      </c>
      <c r="U439" s="87" t="s">
        <v>529</v>
      </c>
      <c r="V439" s="88" t="str">
        <f>IF(OR($H439="",$H439="sif",$H439="PM"),"",VLOOKUP($H439,[5]CU!$C$5:$J$255,8,FALSE))</f>
        <v>3. Dépenses de fonctionnement</v>
      </c>
      <c r="W439" s="87" t="s">
        <v>398</v>
      </c>
      <c r="X439" s="87" t="s">
        <v>273</v>
      </c>
      <c r="Y439" s="88" t="s">
        <v>32</v>
      </c>
      <c r="Z439" s="88" t="str">
        <f>A439 &amp; "-" &amp; VLOOKUP(A439,[4]PROGRAMMES!$E$1:$F$7,2,FALSE)</f>
        <v>1-Accès et équité à l'enseignement général</v>
      </c>
      <c r="AA439" s="88" t="str">
        <f>B439 &amp; "-" &amp; VLOOKUP(B439,[4]SOUSPROGRAMMES!$E$1:$F$44,2,FALSE)</f>
        <v>16- Accès et équité au lycée</v>
      </c>
      <c r="AB439" s="88" t="str">
        <f>C439 &amp; "-" &amp; VLOOKUP(C439,[4]RESULTATS!$E$1:$F$176,2,FALSE)</f>
        <v>162- Tous les lycées publics sont dotés en enseignants en nombre suffisant, y compris les FA</v>
      </c>
      <c r="AC439" s="89" t="str">
        <f>D439 &amp; "-" &amp; VLOOKUP(D439,[4]STRATEGIES!$E$1:$F$504,2,FALSE)</f>
        <v>1623-Optimisation de l’utilisation des enseignants au lycée, y compris les FA</v>
      </c>
      <c r="AD439" s="76" t="str">
        <f t="shared" si="90"/>
        <v>16231-DéFinition des normes et critères de fonctionnement des lycées (Ratio élèves/GP maximum, minimum, double-vacation.)</v>
      </c>
    </row>
    <row r="440" spans="1:30" s="90" customFormat="1" ht="45" hidden="1" customHeight="1" x14ac:dyDescent="0.8">
      <c r="A440" s="84">
        <v>1</v>
      </c>
      <c r="B440" s="85">
        <v>16</v>
      </c>
      <c r="C440" s="85">
        <v>162</v>
      </c>
      <c r="D440" s="85">
        <v>1623</v>
      </c>
      <c r="E440" s="84">
        <v>16232</v>
      </c>
      <c r="F440" s="75" t="s">
        <v>564</v>
      </c>
      <c r="G440" s="76" t="s">
        <v>37</v>
      </c>
      <c r="H440" s="86" t="s">
        <v>66</v>
      </c>
      <c r="I440" s="78">
        <v>0</v>
      </c>
      <c r="J440" s="78">
        <f>40*2*1</f>
        <v>80</v>
      </c>
      <c r="K440" s="78"/>
      <c r="L440" s="78"/>
      <c r="M440" s="78">
        <f t="shared" si="99"/>
        <v>80</v>
      </c>
      <c r="N440" s="78">
        <f>IF(OR(H440="",H440="sif",H440="PM"),0,VLOOKUP(H440,[5]CU!$C$4:$H$255,6,FALSE))</f>
        <v>0.255</v>
      </c>
      <c r="O440" s="78">
        <f t="shared" si="101"/>
        <v>0</v>
      </c>
      <c r="P440" s="78">
        <f t="shared" si="101"/>
        <v>20.399999999999999</v>
      </c>
      <c r="Q440" s="78">
        <f t="shared" si="101"/>
        <v>0</v>
      </c>
      <c r="R440" s="78">
        <f t="shared" si="101"/>
        <v>0</v>
      </c>
      <c r="S440" s="93">
        <f>SUM(O440:R440)</f>
        <v>20.399999999999999</v>
      </c>
      <c r="T440" s="80" t="s">
        <v>56</v>
      </c>
      <c r="U440" s="87" t="s">
        <v>529</v>
      </c>
      <c r="V440" s="88" t="str">
        <f>IF(OR($H440="",$H440="sif",$H440="PM"),"",VLOOKUP($H440,[5]CU!$C$5:$J$255,8,FALSE))</f>
        <v>3. Dépenses de fonctionnement</v>
      </c>
      <c r="W440" s="87" t="s">
        <v>398</v>
      </c>
      <c r="X440" s="87" t="s">
        <v>273</v>
      </c>
      <c r="Y440" s="88" t="s">
        <v>32</v>
      </c>
      <c r="Z440" s="88" t="str">
        <f>A440 &amp; "-" &amp; VLOOKUP(A440,[4]PROGRAMMES!$E$1:$F$7,2,FALSE)</f>
        <v>1-Accès et équité à l'enseignement général</v>
      </c>
      <c r="AA440" s="88" t="str">
        <f>B440 &amp; "-" &amp; VLOOKUP(B440,[4]SOUSPROGRAMMES!$E$1:$F$44,2,FALSE)</f>
        <v>16- Accès et équité au lycée</v>
      </c>
      <c r="AB440" s="88" t="str">
        <f>C440 &amp; "-" &amp; VLOOKUP(C440,[4]RESULTATS!$E$1:$F$176,2,FALSE)</f>
        <v>162- Tous les lycées publics sont dotés en enseignants en nombre suffisant, y compris les FA</v>
      </c>
      <c r="AC440" s="89" t="str">
        <f>D440 &amp; "-" &amp; VLOOKUP(D440,[4]STRATEGIES!$E$1:$F$504,2,FALSE)</f>
        <v>1623-Optimisation de l’utilisation des enseignants au lycée, y compris les FA</v>
      </c>
      <c r="AD440" s="76" t="str">
        <f t="shared" si="90"/>
        <v>16232-Validation des normes et critères de fonctionnement des Lycées (Ratio élèves/GP maximum, minimum, double-vacation.)</v>
      </c>
    </row>
    <row r="441" spans="1:30" s="90" customFormat="1" ht="45" hidden="1" customHeight="1" x14ac:dyDescent="0.8">
      <c r="A441" s="84">
        <v>1</v>
      </c>
      <c r="B441" s="85">
        <v>16</v>
      </c>
      <c r="C441" s="85">
        <v>162</v>
      </c>
      <c r="D441" s="85">
        <v>1623</v>
      </c>
      <c r="E441" s="84">
        <v>16233</v>
      </c>
      <c r="F441" s="75" t="s">
        <v>435</v>
      </c>
      <c r="G441" s="76" t="s">
        <v>37</v>
      </c>
      <c r="H441" s="86" t="s">
        <v>352</v>
      </c>
      <c r="I441" s="78">
        <v>0</v>
      </c>
      <c r="J441" s="78"/>
      <c r="K441" s="78">
        <f>30*3*4</f>
        <v>360</v>
      </c>
      <c r="L441" s="78"/>
      <c r="M441" s="78">
        <f t="shared" si="99"/>
        <v>360</v>
      </c>
      <c r="N441" s="78">
        <f>IF(OR(H441="",H441="sif",H441="PM"),0,VLOOKUP(H441,[5]CU!$C$4:$H$255,6,FALSE))</f>
        <v>0.54600000000000004</v>
      </c>
      <c r="O441" s="78">
        <f t="shared" si="101"/>
        <v>0</v>
      </c>
      <c r="P441" s="78">
        <f t="shared" si="101"/>
        <v>0</v>
      </c>
      <c r="Q441" s="78">
        <f t="shared" si="101"/>
        <v>196.56</v>
      </c>
      <c r="R441" s="78">
        <f t="shared" si="101"/>
        <v>0</v>
      </c>
      <c r="S441" s="93">
        <f>SUM(O441:R441)</f>
        <v>196.56</v>
      </c>
      <c r="T441" s="80" t="s">
        <v>56</v>
      </c>
      <c r="U441" s="87" t="s">
        <v>529</v>
      </c>
      <c r="V441" s="88" t="str">
        <f>IF(OR($H441="",$H441="sif",$H441="PM"),"",VLOOKUP($H441,[5]CU!$C$5:$J$255,8,FALSE))</f>
        <v>3. Formation</v>
      </c>
      <c r="W441" s="87" t="s">
        <v>398</v>
      </c>
      <c r="X441" s="87" t="s">
        <v>398</v>
      </c>
      <c r="Y441" s="88" t="s">
        <v>32</v>
      </c>
      <c r="Z441" s="88" t="str">
        <f>A441 &amp; "-" &amp; VLOOKUP(A441,[4]PROGRAMMES!$E$1:$F$7,2,FALSE)</f>
        <v>1-Accès et équité à l'enseignement général</v>
      </c>
      <c r="AA441" s="88" t="str">
        <f>B441 &amp; "-" &amp; VLOOKUP(B441,[4]SOUSPROGRAMMES!$E$1:$F$44,2,FALSE)</f>
        <v>16- Accès et équité au lycée</v>
      </c>
      <c r="AB441" s="88" t="str">
        <f>C441 &amp; "-" &amp; VLOOKUP(C441,[4]RESULTATS!$E$1:$F$176,2,FALSE)</f>
        <v>162- Tous les lycées publics sont dotés en enseignants en nombre suffisant, y compris les FA</v>
      </c>
      <c r="AC441" s="89" t="str">
        <f>D441 &amp; "-" &amp; VLOOKUP(D441,[4]STRATEGIES!$E$1:$F$504,2,FALSE)</f>
        <v>1623-Optimisation de l’utilisation des enseignants au lycée, y compris les FA</v>
      </c>
      <c r="AD441" s="76" t="str">
        <f t="shared" si="90"/>
        <v>16233-Formation des encadreurs au niveau IRE, DPE/DCE sur la stratégie d'optimisation de l'utilisation des ressources (salles, enseignants)</v>
      </c>
    </row>
    <row r="442" spans="1:30" s="90" customFormat="1" ht="45" hidden="1" customHeight="1" x14ac:dyDescent="0.8">
      <c r="A442" s="84">
        <v>1</v>
      </c>
      <c r="B442" s="85">
        <v>16</v>
      </c>
      <c r="C442" s="85">
        <v>162</v>
      </c>
      <c r="D442" s="85">
        <v>1623</v>
      </c>
      <c r="E442" s="84">
        <v>16234</v>
      </c>
      <c r="F442" s="75" t="s">
        <v>437</v>
      </c>
      <c r="G442" s="76" t="s">
        <v>92</v>
      </c>
      <c r="H442" s="86" t="s">
        <v>55</v>
      </c>
      <c r="I442" s="78">
        <v>0</v>
      </c>
      <c r="J442" s="78">
        <v>1</v>
      </c>
      <c r="K442" s="78">
        <v>1</v>
      </c>
      <c r="L442" s="78">
        <v>1</v>
      </c>
      <c r="M442" s="78">
        <f t="shared" si="99"/>
        <v>3</v>
      </c>
      <c r="N442" s="78">
        <f>IF(OR(H442="",H442="sif",H442="PM"),0,VLOOKUP(H442,[5]CU!$C$4:$H$255,6,FALSE))</f>
        <v>0</v>
      </c>
      <c r="O442" s="78"/>
      <c r="P442" s="78"/>
      <c r="Q442" s="78"/>
      <c r="R442" s="78"/>
      <c r="S442" s="93"/>
      <c r="T442" s="80" t="s">
        <v>56</v>
      </c>
      <c r="U442" s="87" t="s">
        <v>529</v>
      </c>
      <c r="V442" s="88" t="str">
        <f>IF(OR($H442="",$H442="sif",$H442="PM"),"",VLOOKUP($H442,[5]CU!$C$5:$J$255,8,FALSE))</f>
        <v/>
      </c>
      <c r="W442" s="87" t="s">
        <v>398</v>
      </c>
      <c r="X442" s="87" t="s">
        <v>282</v>
      </c>
      <c r="Y442" s="88" t="s">
        <v>32</v>
      </c>
      <c r="Z442" s="88" t="str">
        <f>A442 &amp; "-" &amp; VLOOKUP(A442,[4]PROGRAMMES!$E$1:$F$7,2,FALSE)</f>
        <v>1-Accès et équité à l'enseignement général</v>
      </c>
      <c r="AA442" s="88" t="str">
        <f>B442 &amp; "-" &amp; VLOOKUP(B442,[4]SOUSPROGRAMMES!$E$1:$F$44,2,FALSE)</f>
        <v>16- Accès et équité au lycée</v>
      </c>
      <c r="AB442" s="88" t="str">
        <f>C442 &amp; "-" &amp; VLOOKUP(C442,[4]RESULTATS!$E$1:$F$176,2,FALSE)</f>
        <v>162- Tous les lycées publics sont dotés en enseignants en nombre suffisant, y compris les FA</v>
      </c>
      <c r="AC442" s="89" t="str">
        <f>D442 &amp; "-" &amp; VLOOKUP(D442,[4]STRATEGIES!$E$1:$F$504,2,FALSE)</f>
        <v>1623-Optimisation de l’utilisation des enseignants au lycée, y compris les FA</v>
      </c>
      <c r="AD442" s="76" t="str">
        <f t="shared" si="90"/>
        <v>16234-Supervision de l'utilisation des enseignants et salles de classe (pris en compte dans budget structures déconcentrées)</v>
      </c>
    </row>
    <row r="443" spans="1:30" s="90" customFormat="1" ht="15" customHeight="1" x14ac:dyDescent="0.8">
      <c r="A443" s="84">
        <v>1</v>
      </c>
      <c r="B443" s="85">
        <v>17</v>
      </c>
      <c r="C443" s="85">
        <v>17</v>
      </c>
      <c r="D443" s="85">
        <v>17</v>
      </c>
      <c r="E443" s="84">
        <v>17</v>
      </c>
      <c r="F443" s="75" t="s">
        <v>565</v>
      </c>
      <c r="G443" s="86"/>
      <c r="H443" s="86"/>
      <c r="I443" s="78">
        <v>0</v>
      </c>
      <c r="J443" s="78"/>
      <c r="K443" s="78"/>
      <c r="L443" s="78"/>
      <c r="M443" s="78"/>
      <c r="N443" s="78"/>
      <c r="O443" s="78"/>
      <c r="P443" s="78"/>
      <c r="Q443" s="78"/>
      <c r="R443" s="78"/>
      <c r="S443" s="93"/>
      <c r="T443" s="87"/>
      <c r="U443" s="87"/>
      <c r="V443" s="88"/>
      <c r="W443" s="87"/>
      <c r="X443" s="87"/>
      <c r="Y443" s="88" t="s">
        <v>32</v>
      </c>
      <c r="Z443" s="88" t="str">
        <f>A443 &amp; "-" &amp; VLOOKUP(A443,[4]PROGRAMMES!$E$1:$F$7,2,FALSE)</f>
        <v>1-Accès et équité à l'enseignement général</v>
      </c>
      <c r="AA443" s="88" t="str">
        <f>B443 &amp; "-" &amp; VLOOKUP(B443,[4]SOUSPROGRAMMES!$E$1:$F$44,2,FALSE)</f>
        <v xml:space="preserve">17- Santé et hygiène scolaires </v>
      </c>
      <c r="AB443" s="88" t="str">
        <f>C443 &amp; "-" &amp; VLOOKUP(C443,[4]RESULTATS!$E$1:$F$176,2,FALSE)</f>
        <v xml:space="preserve">17- Santé et hygiène scolaires </v>
      </c>
      <c r="AC443" s="89" t="str">
        <f>D443 &amp; "-" &amp; VLOOKUP(D443,[4]STRATEGIES!$E$1:$F$504,2,FALSE)</f>
        <v xml:space="preserve">17- Santé et hygiène scolaires </v>
      </c>
      <c r="AD443" s="76" t="str">
        <f t="shared" si="90"/>
        <v xml:space="preserve">17- Santé et hygiène scolaires </v>
      </c>
    </row>
    <row r="444" spans="1:30" s="90" customFormat="1" ht="45" customHeight="1" x14ac:dyDescent="0.8">
      <c r="A444" s="84">
        <v>1</v>
      </c>
      <c r="B444" s="85">
        <v>17</v>
      </c>
      <c r="C444" s="85">
        <v>171</v>
      </c>
      <c r="D444" s="85">
        <v>171</v>
      </c>
      <c r="E444" s="84">
        <v>171</v>
      </c>
      <c r="F444" s="75" t="s">
        <v>566</v>
      </c>
      <c r="G444" s="86"/>
      <c r="H444" s="86"/>
      <c r="I444" s="78">
        <v>0</v>
      </c>
      <c r="J444" s="78"/>
      <c r="K444" s="78"/>
      <c r="L444" s="78"/>
      <c r="M444" s="78"/>
      <c r="N444" s="78"/>
      <c r="O444" s="78"/>
      <c r="P444" s="78"/>
      <c r="Q444" s="78"/>
      <c r="R444" s="78"/>
      <c r="S444" s="93"/>
      <c r="T444" s="87"/>
      <c r="U444" s="87"/>
      <c r="V444" s="88"/>
      <c r="W444" s="87"/>
      <c r="X444" s="87"/>
      <c r="Y444" s="88" t="s">
        <v>32</v>
      </c>
      <c r="Z444" s="88" t="str">
        <f>A444 &amp; "-" &amp; VLOOKUP(A444,[4]PROGRAMMES!$E$1:$F$7,2,FALSE)</f>
        <v>1-Accès et équité à l'enseignement général</v>
      </c>
      <c r="AA444" s="88" t="str">
        <f>B444 &amp; "-" &amp; VLOOKUP(B444,[4]SOUSPROGRAMMES!$E$1:$F$44,2,FALSE)</f>
        <v xml:space="preserve">17- Santé et hygiène scolaires </v>
      </c>
      <c r="AB444" s="88" t="str">
        <f>C444 &amp; "-" &amp; VLOOKUP(C444,[4]RESULTATS!$E$1:$F$176,2,FALSE)</f>
        <v>171- Les conditions d'hygiène sont améliorées au sein des écoles et établissements</v>
      </c>
      <c r="AC444" s="89" t="str">
        <f>D444 &amp; "-" &amp; VLOOKUP(D444,[4]STRATEGIES!$E$1:$F$504,2,FALSE)</f>
        <v>171- Les conditions d'hygiène sont améliorées au sein des écoles et établissements</v>
      </c>
      <c r="AD444" s="76" t="str">
        <f t="shared" si="90"/>
        <v>171- Les conditions d'hygiène sont améliorées au sein des écoles et établissements</v>
      </c>
    </row>
    <row r="445" spans="1:30" s="90" customFormat="1" ht="45" customHeight="1" x14ac:dyDescent="0.8">
      <c r="A445" s="84">
        <v>1</v>
      </c>
      <c r="B445" s="85">
        <v>17</v>
      </c>
      <c r="C445" s="85">
        <v>171</v>
      </c>
      <c r="D445" s="85">
        <v>1711</v>
      </c>
      <c r="E445" s="84">
        <v>1711</v>
      </c>
      <c r="F445" s="75" t="s">
        <v>567</v>
      </c>
      <c r="G445" s="86"/>
      <c r="H445" s="86"/>
      <c r="I445" s="78">
        <v>0</v>
      </c>
      <c r="J445" s="78"/>
      <c r="K445" s="78"/>
      <c r="L445" s="78"/>
      <c r="M445" s="78"/>
      <c r="N445" s="78"/>
      <c r="O445" s="78"/>
      <c r="P445" s="78"/>
      <c r="Q445" s="78"/>
      <c r="R445" s="78"/>
      <c r="S445" s="93"/>
      <c r="T445" s="87"/>
      <c r="U445" s="87"/>
      <c r="V445" s="88"/>
      <c r="W445" s="87"/>
      <c r="X445" s="87"/>
      <c r="Y445" s="88" t="s">
        <v>32</v>
      </c>
      <c r="Z445" s="88" t="str">
        <f>A445 &amp; "-" &amp; VLOOKUP(A445,[4]PROGRAMMES!$E$1:$F$7,2,FALSE)</f>
        <v>1-Accès et équité à l'enseignement général</v>
      </c>
      <c r="AA445" s="88" t="str">
        <f>B445 &amp; "-" &amp; VLOOKUP(B445,[4]SOUSPROGRAMMES!$E$1:$F$44,2,FALSE)</f>
        <v xml:space="preserve">17- Santé et hygiène scolaires </v>
      </c>
      <c r="AB445" s="88" t="str">
        <f>C445 &amp; "-" &amp; VLOOKUP(C445,[4]RESULTATS!$E$1:$F$176,2,FALSE)</f>
        <v>171- Les conditions d'hygiène sont améliorées au sein des écoles et établissements</v>
      </c>
      <c r="AC445" s="89" t="str">
        <f>D445 &amp; "-" &amp; VLOOKUP(D445,[4]STRATEGIES!$E$1:$F$504,2,FALSE)</f>
        <v>1711-Construction/rénovation des latrines séparées</v>
      </c>
      <c r="AD445" s="76" t="str">
        <f t="shared" si="90"/>
        <v>1711-Construction/rénovation des latrines séparées</v>
      </c>
    </row>
    <row r="446" spans="1:30" s="71" customFormat="1" ht="45" hidden="1" customHeight="1" x14ac:dyDescent="0.8">
      <c r="A446" s="91">
        <v>1</v>
      </c>
      <c r="B446" s="75">
        <v>17</v>
      </c>
      <c r="C446" s="75">
        <v>171</v>
      </c>
      <c r="D446" s="75">
        <v>1711</v>
      </c>
      <c r="E446" s="91">
        <v>17111</v>
      </c>
      <c r="F446" s="75" t="s">
        <v>568</v>
      </c>
      <c r="G446" s="76" t="s">
        <v>159</v>
      </c>
      <c r="H446" s="76" t="s">
        <v>55</v>
      </c>
      <c r="I446" s="78">
        <v>0</v>
      </c>
      <c r="J446" s="77"/>
      <c r="K446" s="77"/>
      <c r="L446" s="77"/>
      <c r="M446" s="77"/>
      <c r="N446" s="77">
        <f>IF(OR(H446="",H446="sif",H446="PM"),0,VLOOKUP(H446,[5]CU!$C$4:$H$255,6,FALSE))</f>
        <v>0</v>
      </c>
      <c r="O446" s="77"/>
      <c r="P446" s="77"/>
      <c r="Q446" s="77">
        <f t="shared" ref="Q446:Q447" si="102">$N446*K446</f>
        <v>0</v>
      </c>
      <c r="R446" s="77"/>
      <c r="S446" s="79"/>
      <c r="T446" s="92" t="s">
        <v>169</v>
      </c>
      <c r="U446" s="88" t="s">
        <v>170</v>
      </c>
      <c r="V446" s="88" t="str">
        <f>IF(OR($H446="",$H446="sif",$H446="PM"),"",VLOOKUP($H446,[5]CU!$C$5:$J$255,8,FALSE))</f>
        <v/>
      </c>
      <c r="W446" s="88" t="s">
        <v>96</v>
      </c>
      <c r="X446" s="88" t="s">
        <v>179</v>
      </c>
      <c r="Y446" s="88" t="s">
        <v>32</v>
      </c>
      <c r="Z446" s="88" t="str">
        <f>A446 &amp; "-" &amp; VLOOKUP(A446,[4]PROGRAMMES!$E$1:$F$7,2,FALSE)</f>
        <v>1-Accès et équité à l'enseignement général</v>
      </c>
      <c r="AA446" s="88" t="str">
        <f>B446 &amp; "-" &amp; VLOOKUP(B446,[4]SOUSPROGRAMMES!$E$1:$F$44,2,FALSE)</f>
        <v xml:space="preserve">17- Santé et hygiène scolaires </v>
      </c>
      <c r="AB446" s="88" t="str">
        <f>C446 &amp; "-" &amp; VLOOKUP(C446,[4]RESULTATS!$E$1:$F$176,2,FALSE)</f>
        <v>171- Les conditions d'hygiène sont améliorées au sein des écoles et établissements</v>
      </c>
      <c r="AC446" s="89" t="str">
        <f>D446 &amp; "-" &amp; VLOOKUP(D446,[4]STRATEGIES!$E$1:$F$504,2,FALSE)</f>
        <v>1711-Construction/rénovation des latrines séparées</v>
      </c>
      <c r="AD446" s="76" t="str">
        <f t="shared" si="90"/>
        <v>17111-Identification des centres, écoles et établissements devant bénéficier de construction ou de rénovation de latrines</v>
      </c>
    </row>
    <row r="447" spans="1:30" s="71" customFormat="1" ht="45" hidden="1" customHeight="1" x14ac:dyDescent="0.8">
      <c r="A447" s="91">
        <v>1</v>
      </c>
      <c r="B447" s="75">
        <v>17</v>
      </c>
      <c r="C447" s="75">
        <v>171</v>
      </c>
      <c r="D447" s="75">
        <v>1711</v>
      </c>
      <c r="E447" s="91">
        <v>17112</v>
      </c>
      <c r="F447" s="75" t="s">
        <v>569</v>
      </c>
      <c r="G447" s="76" t="s">
        <v>159</v>
      </c>
      <c r="H447" s="76" t="s">
        <v>55</v>
      </c>
      <c r="I447" s="78">
        <v>0</v>
      </c>
      <c r="J447" s="77"/>
      <c r="K447" s="77"/>
      <c r="L447" s="77"/>
      <c r="M447" s="77"/>
      <c r="N447" s="77">
        <f>IF(OR(H447="",H447="sif",H447="PM"),0,VLOOKUP(H447,[5]CU!$C$4:$H$255,6,FALSE))</f>
        <v>0</v>
      </c>
      <c r="O447" s="77"/>
      <c r="P447" s="77"/>
      <c r="Q447" s="77">
        <f t="shared" si="102"/>
        <v>0</v>
      </c>
      <c r="R447" s="77"/>
      <c r="S447" s="79"/>
      <c r="T447" s="92" t="s">
        <v>169</v>
      </c>
      <c r="U447" s="88" t="s">
        <v>170</v>
      </c>
      <c r="V447" s="88" t="str">
        <f>IF(OR($H447="",$H447="sif",$H447="PM"),"",VLOOKUP($H447,[5]CU!$C$5:$J$255,8,FALSE))</f>
        <v/>
      </c>
      <c r="W447" s="88" t="s">
        <v>98</v>
      </c>
      <c r="X447" s="88" t="s">
        <v>469</v>
      </c>
      <c r="Y447" s="88" t="s">
        <v>32</v>
      </c>
      <c r="Z447" s="88" t="str">
        <f>A447 &amp; "-" &amp; VLOOKUP(A447,[4]PROGRAMMES!$E$1:$F$7,2,FALSE)</f>
        <v>1-Accès et équité à l'enseignement général</v>
      </c>
      <c r="AA447" s="88" t="str">
        <f>B447 &amp; "-" &amp; VLOOKUP(B447,[4]SOUSPROGRAMMES!$E$1:$F$44,2,FALSE)</f>
        <v xml:space="preserve">17- Santé et hygiène scolaires </v>
      </c>
      <c r="AB447" s="88" t="str">
        <f>C447 &amp; "-" &amp; VLOOKUP(C447,[4]RESULTATS!$E$1:$F$176,2,FALSE)</f>
        <v>171- Les conditions d'hygiène sont améliorées au sein des écoles et établissements</v>
      </c>
      <c r="AC447" s="89" t="str">
        <f>D447 &amp; "-" &amp; VLOOKUP(D447,[4]STRATEGIES!$E$1:$F$504,2,FALSE)</f>
        <v>1711-Construction/rénovation des latrines séparées</v>
      </c>
      <c r="AD447" s="76" t="str">
        <f t="shared" si="90"/>
        <v>17112-Confirmation des sites de construction ou de rénovation de latrines (activité 12222)</v>
      </c>
    </row>
    <row r="448" spans="1:30" s="90" customFormat="1" ht="45" hidden="1" customHeight="1" x14ac:dyDescent="0.8">
      <c r="A448" s="84">
        <v>1</v>
      </c>
      <c r="B448" s="85">
        <v>17</v>
      </c>
      <c r="C448" s="85">
        <v>171</v>
      </c>
      <c r="D448" s="85">
        <v>1711</v>
      </c>
      <c r="E448" s="84">
        <v>17113</v>
      </c>
      <c r="F448" s="75" t="s">
        <v>570</v>
      </c>
      <c r="G448" s="76" t="s">
        <v>374</v>
      </c>
      <c r="H448" s="86" t="s">
        <v>571</v>
      </c>
      <c r="I448" s="78">
        <v>0</v>
      </c>
      <c r="J448" s="78">
        <f>(193*3*0.3)*80.01%</f>
        <v>138.97737000000001</v>
      </c>
      <c r="K448" s="78">
        <f>(193*3*0.5)*80.01%</f>
        <v>231.62895</v>
      </c>
      <c r="L448" s="78">
        <f>(193*3*0.2)*80.01%</f>
        <v>92.65158000000001</v>
      </c>
      <c r="M448" s="78">
        <f>SUM(I448:L448)</f>
        <v>463.25790000000001</v>
      </c>
      <c r="N448" s="78">
        <f>IF(OR(H448="",H448="sif",H448="PM"),0,VLOOKUP(H448,[5]CU!$C$4:$H$255,6,FALSE))</f>
        <v>15.444000000000001</v>
      </c>
      <c r="O448" s="78">
        <f>$N448*I448</f>
        <v>0</v>
      </c>
      <c r="P448" s="78">
        <f>$N448*J448</f>
        <v>2146.3665022800001</v>
      </c>
      <c r="Q448" s="78">
        <f>$N448*K448</f>
        <v>3577.2775038000004</v>
      </c>
      <c r="R448" s="78">
        <f>$N448*L448</f>
        <v>1430.9110015200001</v>
      </c>
      <c r="S448" s="93">
        <f>SUM(O448:R448)</f>
        <v>7154.5550076000009</v>
      </c>
      <c r="T448" s="80" t="s">
        <v>56</v>
      </c>
      <c r="U448" s="87" t="s">
        <v>170</v>
      </c>
      <c r="V448" s="88" t="str">
        <f>IF(OR($H448="",$H448="sif",$H448="PM"),"",VLOOKUP($H448,[5]CU!$C$5:$J$255,8,FALSE))</f>
        <v>5. Investissement</v>
      </c>
      <c r="W448" s="87" t="s">
        <v>98</v>
      </c>
      <c r="X448" s="87" t="s">
        <v>98</v>
      </c>
      <c r="Y448" s="88" t="s">
        <v>32</v>
      </c>
      <c r="Z448" s="88" t="str">
        <f>A448 &amp; "-" &amp; VLOOKUP(A448,[4]PROGRAMMES!$E$1:$F$7,2,FALSE)</f>
        <v>1-Accès et équité à l'enseignement général</v>
      </c>
      <c r="AA448" s="88" t="str">
        <f>B448 &amp; "-" &amp; VLOOKUP(B448,[4]SOUSPROGRAMMES!$E$1:$F$44,2,FALSE)</f>
        <v xml:space="preserve">17- Santé et hygiène scolaires </v>
      </c>
      <c r="AB448" s="88" t="str">
        <f>C448 &amp; "-" &amp; VLOOKUP(C448,[4]RESULTATS!$E$1:$F$176,2,FALSE)</f>
        <v>171- Les conditions d'hygiène sont améliorées au sein des écoles et établissements</v>
      </c>
      <c r="AC448" s="89" t="str">
        <f>D448 &amp; "-" &amp; VLOOKUP(D448,[4]STRATEGIES!$E$1:$F$504,2,FALSE)</f>
        <v>1711-Construction/rénovation des latrines séparées</v>
      </c>
      <c r="AD448" s="76" t="str">
        <f t="shared" si="90"/>
        <v>17113-Rénovation/réhabilitation de latrines, y compris dans les FA (réhabilitation de 30% des latrines ayant besoin d'être réhabilités existantes courant ProDEG)</v>
      </c>
    </row>
    <row r="449" spans="1:30" s="90" customFormat="1" ht="45" customHeight="1" x14ac:dyDescent="0.8">
      <c r="A449" s="84">
        <v>1</v>
      </c>
      <c r="B449" s="85">
        <v>17</v>
      </c>
      <c r="C449" s="85">
        <v>171</v>
      </c>
      <c r="D449" s="85">
        <v>1711</v>
      </c>
      <c r="E449" s="84">
        <v>17113</v>
      </c>
      <c r="F449" s="75" t="s">
        <v>570</v>
      </c>
      <c r="G449" s="76" t="s">
        <v>374</v>
      </c>
      <c r="H449" s="86" t="s">
        <v>571</v>
      </c>
      <c r="I449" s="78">
        <v>0</v>
      </c>
      <c r="J449" s="78">
        <f>(193*3*0.3)*19.99%</f>
        <v>34.722629999999995</v>
      </c>
      <c r="K449" s="78">
        <f>(193*3*0.5)*19.99%</f>
        <v>57.871049999999997</v>
      </c>
      <c r="L449" s="78">
        <f>(193*3*0.2)*19.99%</f>
        <v>23.148420000000002</v>
      </c>
      <c r="M449" s="78">
        <f t="shared" ref="M449:M455" si="103">SUM(I449:L449)</f>
        <v>115.74209999999999</v>
      </c>
      <c r="N449" s="78">
        <f>IF(OR(H449="",H449="sif",H449="PM"),0,VLOOKUP(H449,[5]CU!$C$4:$H$255,6,FALSE))</f>
        <v>15.444000000000001</v>
      </c>
      <c r="O449" s="78">
        <f t="shared" ref="O449:R455" si="104">$N449*I449</f>
        <v>0</v>
      </c>
      <c r="P449" s="78">
        <f t="shared" si="104"/>
        <v>536.25629771999991</v>
      </c>
      <c r="Q449" s="78">
        <f t="shared" si="104"/>
        <v>893.76049620000003</v>
      </c>
      <c r="R449" s="78">
        <f t="shared" si="104"/>
        <v>357.50419848000007</v>
      </c>
      <c r="S449" s="93">
        <f t="shared" ref="S449:S455" si="105">SUM(O449:R449)</f>
        <v>1787.5209924000001</v>
      </c>
      <c r="T449" s="80" t="s">
        <v>118</v>
      </c>
      <c r="U449" s="87" t="s">
        <v>170</v>
      </c>
      <c r="V449" s="88" t="str">
        <f>IF(OR($H449="",$H449="sif",$H449="PM"),"",VLOOKUP($H449,[5]CU!$C$5:$J$255,8,FALSE))</f>
        <v>5. Investissement</v>
      </c>
      <c r="W449" s="87" t="s">
        <v>98</v>
      </c>
      <c r="X449" s="87" t="s">
        <v>98</v>
      </c>
      <c r="Y449" s="88" t="s">
        <v>32</v>
      </c>
      <c r="Z449" s="88" t="str">
        <f>A449 &amp; "-" &amp; VLOOKUP(A449,[4]PROGRAMMES!$E$1:$F$7,2,FALSE)</f>
        <v>1-Accès et équité à l'enseignement général</v>
      </c>
      <c r="AA449" s="88" t="str">
        <f>B449 &amp; "-" &amp; VLOOKUP(B449,[4]SOUSPROGRAMMES!$E$1:$F$44,2,FALSE)</f>
        <v xml:space="preserve">17- Santé et hygiène scolaires </v>
      </c>
      <c r="AB449" s="88" t="str">
        <f>C449 &amp; "-" &amp; VLOOKUP(C449,[4]RESULTATS!$E$1:$F$176,2,FALSE)</f>
        <v>171- Les conditions d'hygiène sont améliorées au sein des écoles et établissements</v>
      </c>
      <c r="AC449" s="89" t="str">
        <f>D449 &amp; "-" &amp; VLOOKUP(D449,[4]STRATEGIES!$E$1:$F$504,2,FALSE)</f>
        <v>1711-Construction/rénovation des latrines séparées</v>
      </c>
      <c r="AD449" s="76" t="str">
        <f t="shared" si="90"/>
        <v>17113-Rénovation/réhabilitation de latrines, y compris dans les FA (réhabilitation de 30% des latrines ayant besoin d'être réhabilités existantes courant ProDEG)</v>
      </c>
    </row>
    <row r="450" spans="1:30" s="90" customFormat="1" ht="45" hidden="1" customHeight="1" x14ac:dyDescent="0.8">
      <c r="A450" s="84">
        <v>1</v>
      </c>
      <c r="B450" s="85">
        <v>17</v>
      </c>
      <c r="C450" s="85">
        <v>171</v>
      </c>
      <c r="D450" s="85">
        <v>1711</v>
      </c>
      <c r="E450" s="84">
        <v>17114</v>
      </c>
      <c r="F450" s="75" t="s">
        <v>572</v>
      </c>
      <c r="G450" s="76" t="s">
        <v>103</v>
      </c>
      <c r="H450" s="86" t="s">
        <v>573</v>
      </c>
      <c r="I450" s="78">
        <v>0</v>
      </c>
      <c r="J450" s="78"/>
      <c r="K450" s="78"/>
      <c r="L450" s="78"/>
      <c r="M450" s="78">
        <f t="shared" si="103"/>
        <v>0</v>
      </c>
      <c r="N450" s="78">
        <f>IF(OR(H450="",H450="sif",H450="PM"),0,VLOOKUP(H450,[5]CU!$C$4:$H$255,6,FALSE))</f>
        <v>65.8</v>
      </c>
      <c r="O450" s="78">
        <f t="shared" si="104"/>
        <v>0</v>
      </c>
      <c r="P450" s="78">
        <f t="shared" si="104"/>
        <v>0</v>
      </c>
      <c r="Q450" s="78">
        <f t="shared" si="104"/>
        <v>0</v>
      </c>
      <c r="R450" s="78">
        <f t="shared" si="104"/>
        <v>0</v>
      </c>
      <c r="S450" s="93">
        <f t="shared" si="105"/>
        <v>0</v>
      </c>
      <c r="T450" s="80" t="s">
        <v>178</v>
      </c>
      <c r="U450" s="87" t="s">
        <v>170</v>
      </c>
      <c r="V450" s="88" t="str">
        <f>IF(OR($H450="",$H450="sif",$H450="PM"),"",VLOOKUP($H450,[5]CU!$C$5:$J$255,8,FALSE))</f>
        <v>5. Investissement</v>
      </c>
      <c r="W450" s="87" t="s">
        <v>98</v>
      </c>
      <c r="X450" s="87" t="s">
        <v>98</v>
      </c>
      <c r="Y450" s="88" t="s">
        <v>32</v>
      </c>
      <c r="Z450" s="88" t="str">
        <f>A450 &amp; "-" &amp; VLOOKUP(A450,[4]PROGRAMMES!$E$1:$F$7,2,FALSE)</f>
        <v>1-Accès et équité à l'enseignement général</v>
      </c>
      <c r="AA450" s="88" t="str">
        <f>B450 &amp; "-" &amp; VLOOKUP(B450,[4]SOUSPROGRAMMES!$E$1:$F$44,2,FALSE)</f>
        <v xml:space="preserve">17- Santé et hygiène scolaires </v>
      </c>
      <c r="AB450" s="88" t="str">
        <f>C450 &amp; "-" &amp; VLOOKUP(C450,[4]RESULTATS!$E$1:$F$176,2,FALSE)</f>
        <v>171- Les conditions d'hygiène sont améliorées au sein des écoles et établissements</v>
      </c>
      <c r="AC450" s="89" t="str">
        <f>D450 &amp; "-" &amp; VLOOKUP(D450,[4]STRATEGIES!$E$1:$F$504,2,FALSE)</f>
        <v>1711-Construction/rénovation des latrines séparées</v>
      </c>
      <c r="AD450" s="76" t="str">
        <f t="shared" si="90"/>
        <v>17114-Construction de latrines séparées (filles/garçons) en faveur des écoles, centres et établissement scolaires, y compris les FA ne disposant pas de latrines (dotation de 30% sur la période)</v>
      </c>
    </row>
    <row r="451" spans="1:30" s="90" customFormat="1" ht="45" hidden="1" customHeight="1" x14ac:dyDescent="0.8">
      <c r="A451" s="84">
        <v>1</v>
      </c>
      <c r="B451" s="85">
        <v>17</v>
      </c>
      <c r="C451" s="85">
        <v>171</v>
      </c>
      <c r="D451" s="85">
        <v>1711</v>
      </c>
      <c r="E451" s="84">
        <v>17114</v>
      </c>
      <c r="F451" s="75" t="s">
        <v>572</v>
      </c>
      <c r="G451" s="76" t="s">
        <v>103</v>
      </c>
      <c r="H451" s="86" t="s">
        <v>573</v>
      </c>
      <c r="I451" s="78">
        <v>0</v>
      </c>
      <c r="J451" s="61">
        <f>233*0.6+32+75-J450-J452</f>
        <v>146.79999999999998</v>
      </c>
      <c r="K451" s="61">
        <f>233*0.6+32+75-K450-K452</f>
        <v>176.79999999999998</v>
      </c>
      <c r="L451" s="61">
        <f>233*0.6+32+75-L450-L452</f>
        <v>176.79999999999998</v>
      </c>
      <c r="M451" s="78">
        <f t="shared" si="103"/>
        <v>500.4</v>
      </c>
      <c r="N451" s="78">
        <f>IF(OR(H451="",H451="sif",H451="PM"),0,VLOOKUP(H451,[5]CU!$C$4:$H$255,6,FALSE))</f>
        <v>65.8</v>
      </c>
      <c r="O451" s="78">
        <f t="shared" si="104"/>
        <v>0</v>
      </c>
      <c r="P451" s="78">
        <f t="shared" si="104"/>
        <v>9659.4399999999987</v>
      </c>
      <c r="Q451" s="78">
        <f t="shared" si="104"/>
        <v>11633.439999999999</v>
      </c>
      <c r="R451" s="78">
        <f t="shared" si="104"/>
        <v>11633.439999999999</v>
      </c>
      <c r="S451" s="93">
        <f t="shared" si="105"/>
        <v>32926.319999999992</v>
      </c>
      <c r="T451" s="80" t="s">
        <v>56</v>
      </c>
      <c r="U451" s="87" t="s">
        <v>170</v>
      </c>
      <c r="V451" s="88" t="str">
        <f>IF(OR($H451="",$H451="sif",$H451="PM"),"",VLOOKUP($H451,[5]CU!$C$5:$J$255,8,FALSE))</f>
        <v>5. Investissement</v>
      </c>
      <c r="W451" s="87" t="s">
        <v>98</v>
      </c>
      <c r="X451" s="87" t="s">
        <v>98</v>
      </c>
      <c r="Y451" s="88" t="s">
        <v>32</v>
      </c>
      <c r="Z451" s="88" t="str">
        <f>A451 &amp; "-" &amp; VLOOKUP(A451,[4]PROGRAMMES!$E$1:$F$7,2,FALSE)</f>
        <v>1-Accès et équité à l'enseignement général</v>
      </c>
      <c r="AA451" s="88" t="str">
        <f>B451 &amp; "-" &amp; VLOOKUP(B451,[4]SOUSPROGRAMMES!$E$1:$F$44,2,FALSE)</f>
        <v xml:space="preserve">17- Santé et hygiène scolaires </v>
      </c>
      <c r="AB451" s="88" t="str">
        <f>C451 &amp; "-" &amp; VLOOKUP(C451,[4]RESULTATS!$E$1:$F$176,2,FALSE)</f>
        <v>171- Les conditions d'hygiène sont améliorées au sein des écoles et établissements</v>
      </c>
      <c r="AC451" s="89" t="str">
        <f>D451 &amp; "-" &amp; VLOOKUP(D451,[4]STRATEGIES!$E$1:$F$504,2,FALSE)</f>
        <v>1711-Construction/rénovation des latrines séparées</v>
      </c>
      <c r="AD451" s="76" t="str">
        <f t="shared" si="90"/>
        <v>17114-Construction de latrines séparées (filles/garçons) en faveur des écoles, centres et établissement scolaires, y compris les FA ne disposant pas de latrines (dotation de 30% sur la période)</v>
      </c>
    </row>
    <row r="452" spans="1:30" s="90" customFormat="1" ht="45" customHeight="1" x14ac:dyDescent="0.8">
      <c r="A452" s="84">
        <v>1</v>
      </c>
      <c r="B452" s="85">
        <v>17</v>
      </c>
      <c r="C452" s="85">
        <v>171</v>
      </c>
      <c r="D452" s="85">
        <v>1711</v>
      </c>
      <c r="E452" s="84">
        <v>17114</v>
      </c>
      <c r="F452" s="75" t="s">
        <v>572</v>
      </c>
      <c r="G452" s="76" t="s">
        <v>103</v>
      </c>
      <c r="H452" s="86" t="s">
        <v>573</v>
      </c>
      <c r="I452" s="78">
        <v>0</v>
      </c>
      <c r="J452" s="78">
        <v>100</v>
      </c>
      <c r="K452" s="78">
        <v>70</v>
      </c>
      <c r="L452" s="78">
        <v>70</v>
      </c>
      <c r="M452" s="78">
        <f t="shared" si="103"/>
        <v>240</v>
      </c>
      <c r="N452" s="78">
        <f>IF(OR(H452="",H452="sif",H452="PM"),0,VLOOKUP(H452,[5]CU!$C$4:$H$255,6,FALSE))</f>
        <v>65.8</v>
      </c>
      <c r="O452" s="78">
        <f t="shared" si="104"/>
        <v>0</v>
      </c>
      <c r="P452" s="78">
        <f t="shared" si="104"/>
        <v>6580</v>
      </c>
      <c r="Q452" s="78">
        <f t="shared" si="104"/>
        <v>4606</v>
      </c>
      <c r="R452" s="78">
        <f t="shared" si="104"/>
        <v>4606</v>
      </c>
      <c r="S452" s="93">
        <f t="shared" si="105"/>
        <v>15792</v>
      </c>
      <c r="T452" s="80" t="s">
        <v>118</v>
      </c>
      <c r="U452" s="87" t="s">
        <v>170</v>
      </c>
      <c r="V452" s="88" t="str">
        <f>IF(OR($H452="",$H452="sif",$H452="PM"),"",VLOOKUP($H452,[5]CU!$C$5:$J$255,8,FALSE))</f>
        <v>5. Investissement</v>
      </c>
      <c r="W452" s="87" t="s">
        <v>98</v>
      </c>
      <c r="X452" s="87" t="s">
        <v>98</v>
      </c>
      <c r="Y452" s="88" t="s">
        <v>32</v>
      </c>
      <c r="Z452" s="88" t="str">
        <f>A452 &amp; "-" &amp; VLOOKUP(A452,[4]PROGRAMMES!$E$1:$F$7,2,FALSE)</f>
        <v>1-Accès et équité à l'enseignement général</v>
      </c>
      <c r="AA452" s="88" t="str">
        <f>B452 &amp; "-" &amp; VLOOKUP(B452,[4]SOUSPROGRAMMES!$E$1:$F$44,2,FALSE)</f>
        <v xml:space="preserve">17- Santé et hygiène scolaires </v>
      </c>
      <c r="AB452" s="88" t="str">
        <f>C452 &amp; "-" &amp; VLOOKUP(C452,[4]RESULTATS!$E$1:$F$176,2,FALSE)</f>
        <v>171- Les conditions d'hygiène sont améliorées au sein des écoles et établissements</v>
      </c>
      <c r="AC452" s="89" t="str">
        <f>D452 &amp; "-" &amp; VLOOKUP(D452,[4]STRATEGIES!$E$1:$F$504,2,FALSE)</f>
        <v>1711-Construction/rénovation des latrines séparées</v>
      </c>
      <c r="AD452" s="76" t="str">
        <f t="shared" ref="AD452:AD515" si="106">E452 &amp; "-" &amp; F452</f>
        <v>17114-Construction de latrines séparées (filles/garçons) en faveur des écoles, centres et établissement scolaires, y compris les FA ne disposant pas de latrines (dotation de 30% sur la période)</v>
      </c>
    </row>
    <row r="453" spans="1:30" s="90" customFormat="1" ht="45" hidden="1" customHeight="1" x14ac:dyDescent="0.8">
      <c r="A453" s="84">
        <v>1</v>
      </c>
      <c r="B453" s="85">
        <v>17</v>
      </c>
      <c r="C453" s="85">
        <v>171</v>
      </c>
      <c r="D453" s="85">
        <v>1711</v>
      </c>
      <c r="E453" s="84">
        <v>17115</v>
      </c>
      <c r="F453" s="75" t="s">
        <v>574</v>
      </c>
      <c r="G453" s="76" t="s">
        <v>103</v>
      </c>
      <c r="H453" s="86" t="s">
        <v>573</v>
      </c>
      <c r="I453" s="78">
        <v>0</v>
      </c>
      <c r="J453" s="78"/>
      <c r="K453" s="78"/>
      <c r="L453" s="78"/>
      <c r="M453" s="78">
        <f t="shared" si="103"/>
        <v>0</v>
      </c>
      <c r="N453" s="78">
        <f>IF(OR(H453="",H453="sif",H453="PM"),0,VLOOKUP(H453,[5]CU!$C$4:$H$255,6,FALSE))</f>
        <v>65.8</v>
      </c>
      <c r="O453" s="78">
        <f t="shared" si="104"/>
        <v>0</v>
      </c>
      <c r="P453" s="78">
        <f t="shared" si="104"/>
        <v>0</v>
      </c>
      <c r="Q453" s="78">
        <f t="shared" si="104"/>
        <v>0</v>
      </c>
      <c r="R453" s="78">
        <f t="shared" si="104"/>
        <v>0</v>
      </c>
      <c r="S453" s="93">
        <f t="shared" si="105"/>
        <v>0</v>
      </c>
      <c r="T453" s="80" t="s">
        <v>178</v>
      </c>
      <c r="U453" s="87" t="s">
        <v>170</v>
      </c>
      <c r="V453" s="88" t="str">
        <f>IF(OR($H453="",$H453="sif",$H453="PM"),"",VLOOKUP($H453,[5]CU!$C$5:$J$255,8,FALSE))</f>
        <v>5. Investissement</v>
      </c>
      <c r="W453" s="87" t="s">
        <v>98</v>
      </c>
      <c r="X453" s="87" t="s">
        <v>98</v>
      </c>
      <c r="Y453" s="88" t="s">
        <v>32</v>
      </c>
      <c r="Z453" s="88" t="str">
        <f>A453 &amp; "-" &amp; VLOOKUP(A453,[4]PROGRAMMES!$E$1:$F$7,2,FALSE)</f>
        <v>1-Accès et équité à l'enseignement général</v>
      </c>
      <c r="AA453" s="88" t="str">
        <f>B453 &amp; "-" &amp; VLOOKUP(B453,[4]SOUSPROGRAMMES!$E$1:$F$44,2,FALSE)</f>
        <v xml:space="preserve">17- Santé et hygiène scolaires </v>
      </c>
      <c r="AB453" s="88" t="str">
        <f>C453 &amp; "-" &amp; VLOOKUP(C453,[4]RESULTATS!$E$1:$F$176,2,FALSE)</f>
        <v>171- Les conditions d'hygiène sont améliorées au sein des écoles et établissements</v>
      </c>
      <c r="AC453" s="89" t="str">
        <f>D453 &amp; "-" &amp; VLOOKUP(D453,[4]STRATEGIES!$E$1:$F$504,2,FALSE)</f>
        <v>1711-Construction/rénovation des latrines séparées</v>
      </c>
      <c r="AD453" s="76" t="str">
        <f t="shared" si="106"/>
        <v>17115-Construction de bloc de latrines séparées (filles/garçons) en faveur des écoles, établissement scolaires, construits (100% des nouvelles écoles disposent de latrines)</v>
      </c>
    </row>
    <row r="454" spans="1:30" s="71" customFormat="1" ht="45" hidden="1" customHeight="1" x14ac:dyDescent="0.8">
      <c r="A454" s="91">
        <v>1</v>
      </c>
      <c r="B454" s="75">
        <v>17</v>
      </c>
      <c r="C454" s="75">
        <v>171</v>
      </c>
      <c r="D454" s="75">
        <v>1711</v>
      </c>
      <c r="E454" s="91">
        <v>17115</v>
      </c>
      <c r="F454" s="75" t="s">
        <v>574</v>
      </c>
      <c r="G454" s="76" t="s">
        <v>103</v>
      </c>
      <c r="H454" s="76" t="s">
        <v>573</v>
      </c>
      <c r="I454" s="78">
        <v>0</v>
      </c>
      <c r="J454" s="77">
        <v>40</v>
      </c>
      <c r="K454" s="77">
        <v>50</v>
      </c>
      <c r="L454" s="77">
        <v>35</v>
      </c>
      <c r="M454" s="77">
        <f t="shared" si="103"/>
        <v>125</v>
      </c>
      <c r="N454" s="77">
        <f>IF(OR(H454="",H454="sif",H454="PM"),0,VLOOKUP(H454,[5]CU!$C$4:$H$255,6,FALSE))</f>
        <v>65.8</v>
      </c>
      <c r="O454" s="77">
        <f t="shared" si="104"/>
        <v>0</v>
      </c>
      <c r="P454" s="77">
        <f t="shared" si="104"/>
        <v>2632</v>
      </c>
      <c r="Q454" s="77">
        <f>$N454*K454</f>
        <v>3290</v>
      </c>
      <c r="R454" s="77">
        <f t="shared" si="104"/>
        <v>2303</v>
      </c>
      <c r="S454" s="79">
        <f t="shared" si="105"/>
        <v>8225</v>
      </c>
      <c r="T454" s="92" t="s">
        <v>169</v>
      </c>
      <c r="U454" s="88" t="s">
        <v>170</v>
      </c>
      <c r="V454" s="88" t="str">
        <f>IF(OR($H454="",$H454="sif",$H454="PM"),"",VLOOKUP($H454,[5]CU!$C$5:$J$255,8,FALSE))</f>
        <v>5. Investissement</v>
      </c>
      <c r="W454" s="88" t="s">
        <v>98</v>
      </c>
      <c r="X454" s="88" t="s">
        <v>98</v>
      </c>
      <c r="Y454" s="88" t="s">
        <v>32</v>
      </c>
      <c r="Z454" s="88" t="str">
        <f>A454 &amp; "-" &amp; VLOOKUP(A454,[4]PROGRAMMES!$E$1:$F$7,2,FALSE)</f>
        <v>1-Accès et équité à l'enseignement général</v>
      </c>
      <c r="AA454" s="88" t="str">
        <f>B454 &amp; "-" &amp; VLOOKUP(B454,[4]SOUSPROGRAMMES!$E$1:$F$44,2,FALSE)</f>
        <v xml:space="preserve">17- Santé et hygiène scolaires </v>
      </c>
      <c r="AB454" s="88" t="str">
        <f>C454 &amp; "-" &amp; VLOOKUP(C454,[4]RESULTATS!$E$1:$F$176,2,FALSE)</f>
        <v>171- Les conditions d'hygiène sont améliorées au sein des écoles et établissements</v>
      </c>
      <c r="AC454" s="89" t="str">
        <f>D454 &amp; "-" &amp; VLOOKUP(D454,[4]STRATEGIES!$E$1:$F$504,2,FALSE)</f>
        <v>1711-Construction/rénovation des latrines séparées</v>
      </c>
      <c r="AD454" s="76" t="str">
        <f t="shared" si="106"/>
        <v>17115-Construction de bloc de latrines séparées (filles/garçons) en faveur des écoles, établissement scolaires, construits (100% des nouvelles écoles disposent de latrines)</v>
      </c>
    </row>
    <row r="455" spans="1:30" s="90" customFormat="1" ht="45" hidden="1" customHeight="1" x14ac:dyDescent="0.8">
      <c r="A455" s="84">
        <v>1</v>
      </c>
      <c r="B455" s="85">
        <v>17</v>
      </c>
      <c r="C455" s="85">
        <v>171</v>
      </c>
      <c r="D455" s="85">
        <v>1711</v>
      </c>
      <c r="E455" s="84">
        <v>17115</v>
      </c>
      <c r="F455" s="75" t="s">
        <v>574</v>
      </c>
      <c r="G455" s="76" t="s">
        <v>103</v>
      </c>
      <c r="H455" s="86" t="s">
        <v>573</v>
      </c>
      <c r="I455" s="78">
        <v>0</v>
      </c>
      <c r="J455" s="78">
        <f>(1691-93-36)*0.3-J454</f>
        <v>428.59999999999997</v>
      </c>
      <c r="K455" s="78">
        <f>(1691-93-36)*0.5-K454</f>
        <v>731</v>
      </c>
      <c r="L455" s="78">
        <f>(1691-93-36)*0.2-L454</f>
        <v>277.40000000000003</v>
      </c>
      <c r="M455" s="78">
        <f t="shared" si="103"/>
        <v>1437</v>
      </c>
      <c r="N455" s="78">
        <f>IF(OR(H455="",H455="sif",H455="PM"),0,VLOOKUP(H455,[5]CU!$C$4:$H$255,6,FALSE))</f>
        <v>65.8</v>
      </c>
      <c r="O455" s="78">
        <f t="shared" si="104"/>
        <v>0</v>
      </c>
      <c r="P455" s="78">
        <f t="shared" si="104"/>
        <v>28201.879999999997</v>
      </c>
      <c r="Q455" s="78">
        <f t="shared" si="104"/>
        <v>48099.799999999996</v>
      </c>
      <c r="R455" s="78">
        <f t="shared" si="104"/>
        <v>18252.920000000002</v>
      </c>
      <c r="S455" s="93">
        <f t="shared" si="105"/>
        <v>94554.599999999991</v>
      </c>
      <c r="T455" s="80" t="s">
        <v>56</v>
      </c>
      <c r="U455" s="87" t="s">
        <v>170</v>
      </c>
      <c r="V455" s="88" t="str">
        <f>IF(OR($H455="",$H455="sif",$H455="PM"),"",VLOOKUP($H455,[5]CU!$C$5:$J$255,8,FALSE))</f>
        <v>5. Investissement</v>
      </c>
      <c r="W455" s="87" t="s">
        <v>98</v>
      </c>
      <c r="X455" s="87" t="s">
        <v>98</v>
      </c>
      <c r="Y455" s="88" t="s">
        <v>32</v>
      </c>
      <c r="Z455" s="88" t="str">
        <f>A455 &amp; "-" &amp; VLOOKUP(A455,[4]PROGRAMMES!$E$1:$F$7,2,FALSE)</f>
        <v>1-Accès et équité à l'enseignement général</v>
      </c>
      <c r="AA455" s="88" t="str">
        <f>B455 &amp; "-" &amp; VLOOKUP(B455,[4]SOUSPROGRAMMES!$E$1:$F$44,2,FALSE)</f>
        <v xml:space="preserve">17- Santé et hygiène scolaires </v>
      </c>
      <c r="AB455" s="88" t="str">
        <f>C455 &amp; "-" &amp; VLOOKUP(C455,[4]RESULTATS!$E$1:$F$176,2,FALSE)</f>
        <v>171- Les conditions d'hygiène sont améliorées au sein des écoles et établissements</v>
      </c>
      <c r="AC455" s="89" t="str">
        <f>D455 &amp; "-" &amp; VLOOKUP(D455,[4]STRATEGIES!$E$1:$F$504,2,FALSE)</f>
        <v>1711-Construction/rénovation des latrines séparées</v>
      </c>
      <c r="AD455" s="76" t="str">
        <f t="shared" si="106"/>
        <v>17115-Construction de bloc de latrines séparées (filles/garçons) en faveur des écoles, établissement scolaires, construits (100% des nouvelles écoles disposent de latrines)</v>
      </c>
    </row>
    <row r="456" spans="1:30" s="71" customFormat="1" ht="45" hidden="1" customHeight="1" x14ac:dyDescent="0.8">
      <c r="A456" s="91">
        <v>1</v>
      </c>
      <c r="B456" s="75">
        <v>17</v>
      </c>
      <c r="C456" s="75">
        <v>171</v>
      </c>
      <c r="D456" s="75">
        <v>1711</v>
      </c>
      <c r="E456" s="91">
        <v>17116</v>
      </c>
      <c r="F456" s="75" t="s">
        <v>473</v>
      </c>
      <c r="G456" s="76" t="s">
        <v>92</v>
      </c>
      <c r="H456" s="76" t="s">
        <v>55</v>
      </c>
      <c r="I456" s="78">
        <v>0</v>
      </c>
      <c r="J456" s="77"/>
      <c r="K456" s="77"/>
      <c r="L456" s="77"/>
      <c r="M456" s="77"/>
      <c r="N456" s="77">
        <f>IF(OR(H456="",H456="sif",H456="PM"),0,VLOOKUP(H456,[5]CU!$C$4:$H$255,6,FALSE))</f>
        <v>0</v>
      </c>
      <c r="O456" s="77"/>
      <c r="P456" s="77"/>
      <c r="Q456" s="77">
        <f>$N456*K456</f>
        <v>0</v>
      </c>
      <c r="R456" s="77"/>
      <c r="S456" s="79"/>
      <c r="T456" s="92" t="s">
        <v>169</v>
      </c>
      <c r="U456" s="88" t="s">
        <v>170</v>
      </c>
      <c r="V456" s="88" t="str">
        <f>IF(OR($H456="",$H456="sif",$H456="PM"),"",VLOOKUP($H456,[5]CU!$C$5:$J$255,8,FALSE))</f>
        <v/>
      </c>
      <c r="W456" s="88" t="s">
        <v>98</v>
      </c>
      <c r="X456" s="88" t="s">
        <v>98</v>
      </c>
      <c r="Y456" s="88" t="s">
        <v>32</v>
      </c>
      <c r="Z456" s="88" t="str">
        <f>A456 &amp; "-" &amp; VLOOKUP(A456,[4]PROGRAMMES!$E$1:$F$7,2,FALSE)</f>
        <v>1-Accès et équité à l'enseignement général</v>
      </c>
      <c r="AA456" s="88" t="str">
        <f>B456 &amp; "-" &amp; VLOOKUP(B456,[4]SOUSPROGRAMMES!$E$1:$F$44,2,FALSE)</f>
        <v xml:space="preserve">17- Santé et hygiène scolaires </v>
      </c>
      <c r="AB456" s="88" t="str">
        <f>C456 &amp; "-" &amp; VLOOKUP(C456,[4]RESULTATS!$E$1:$F$176,2,FALSE)</f>
        <v>171- Les conditions d'hygiène sont améliorées au sein des écoles et établissements</v>
      </c>
      <c r="AC456" s="89" t="str">
        <f>D456 &amp; "-" &amp; VLOOKUP(D456,[4]STRATEGIES!$E$1:$F$504,2,FALSE)</f>
        <v>1711-Construction/rénovation des latrines séparées</v>
      </c>
      <c r="AD456" s="76" t="str">
        <f t="shared" si="106"/>
        <v>17116-Construction de latrines (pris en compte dans activité 12226 et 14135)</v>
      </c>
    </row>
    <row r="457" spans="1:30" s="90" customFormat="1" ht="45" hidden="1" customHeight="1" x14ac:dyDescent="0.8">
      <c r="A457" s="84">
        <v>1</v>
      </c>
      <c r="B457" s="85">
        <v>17</v>
      </c>
      <c r="C457" s="85">
        <v>171</v>
      </c>
      <c r="D457" s="85">
        <v>1711</v>
      </c>
      <c r="E457" s="84">
        <v>17117</v>
      </c>
      <c r="F457" s="75" t="s">
        <v>575</v>
      </c>
      <c r="G457" s="76" t="s">
        <v>366</v>
      </c>
      <c r="H457" s="86" t="s">
        <v>576</v>
      </c>
      <c r="I457" s="78">
        <v>0</v>
      </c>
      <c r="J457" s="78">
        <f>J456</f>
        <v>0</v>
      </c>
      <c r="K457" s="78">
        <f>K456</f>
        <v>0</v>
      </c>
      <c r="L457" s="78">
        <f>L456</f>
        <v>0</v>
      </c>
      <c r="M457" s="78">
        <f>SUM(I457:L457)</f>
        <v>0</v>
      </c>
      <c r="N457" s="78">
        <f>IF(OR(H457="",H457="sif",H457="PM"),0,VLOOKUP(H457,[5]CU!$C$4:$H$255,6,FALSE))</f>
        <v>3.4216000000000002</v>
      </c>
      <c r="O457" s="78">
        <f>$N457*I457</f>
        <v>0</v>
      </c>
      <c r="P457" s="78">
        <f>$N457*J457</f>
        <v>0</v>
      </c>
      <c r="Q457" s="78">
        <f>$N457*K457</f>
        <v>0</v>
      </c>
      <c r="R457" s="78">
        <f>$N457*L457</f>
        <v>0</v>
      </c>
      <c r="S457" s="93">
        <f>SUM(O457:R457)</f>
        <v>0</v>
      </c>
      <c r="T457" s="80" t="s">
        <v>178</v>
      </c>
      <c r="U457" s="87" t="s">
        <v>170</v>
      </c>
      <c r="V457" s="88" t="str">
        <f>IF(OR($H457="",$H457="sif",$H457="PM"),"",VLOOKUP($H457,[5]CU!$C$5:$J$255,8,FALSE))</f>
        <v>3. Dépenses de fonctionnement</v>
      </c>
      <c r="W457" s="87" t="s">
        <v>98</v>
      </c>
      <c r="X457" s="87" t="s">
        <v>98</v>
      </c>
      <c r="Y457" s="88" t="s">
        <v>32</v>
      </c>
      <c r="Z457" s="88" t="str">
        <f>A457 &amp; "-" &amp; VLOOKUP(A457,[4]PROGRAMMES!$E$1:$F$7,2,FALSE)</f>
        <v>1-Accès et équité à l'enseignement général</v>
      </c>
      <c r="AA457" s="88" t="str">
        <f>B457 &amp; "-" &amp; VLOOKUP(B457,[4]SOUSPROGRAMMES!$E$1:$F$44,2,FALSE)</f>
        <v xml:space="preserve">17- Santé et hygiène scolaires </v>
      </c>
      <c r="AB457" s="88" t="str">
        <f>C457 &amp; "-" &amp; VLOOKUP(C457,[4]RESULTATS!$E$1:$F$176,2,FALSE)</f>
        <v>171- Les conditions d'hygiène sont améliorées au sein des écoles et établissements</v>
      </c>
      <c r="AC457" s="89" t="str">
        <f>D457 &amp; "-" &amp; VLOOKUP(D457,[4]STRATEGIES!$E$1:$F$504,2,FALSE)</f>
        <v>1711-Construction/rénovation des latrines séparées</v>
      </c>
      <c r="AD457" s="76" t="str">
        <f t="shared" si="106"/>
        <v>17117-Supervision de la construction/rénovation des latrines et de points d'eau</v>
      </c>
    </row>
    <row r="458" spans="1:30" s="71" customFormat="1" ht="45" hidden="1" customHeight="1" x14ac:dyDescent="0.8">
      <c r="A458" s="91">
        <v>1</v>
      </c>
      <c r="B458" s="75">
        <v>17</v>
      </c>
      <c r="C458" s="75">
        <v>171</v>
      </c>
      <c r="D458" s="75">
        <v>1711</v>
      </c>
      <c r="E458" s="91">
        <v>17118</v>
      </c>
      <c r="F458" s="75" t="s">
        <v>577</v>
      </c>
      <c r="G458" s="76" t="s">
        <v>159</v>
      </c>
      <c r="H458" s="76" t="s">
        <v>55</v>
      </c>
      <c r="I458" s="78">
        <v>0</v>
      </c>
      <c r="J458" s="77">
        <v>1</v>
      </c>
      <c r="K458" s="77">
        <v>1</v>
      </c>
      <c r="L458" s="77">
        <v>1</v>
      </c>
      <c r="M458" s="77">
        <f>SUM(I458:L458)</f>
        <v>3</v>
      </c>
      <c r="N458" s="77">
        <f>IF(OR(H458="",H458="sif",H458="PM"),0,VLOOKUP(H458,[5]CU!$C$4:$H$255,6,FALSE))</f>
        <v>0</v>
      </c>
      <c r="O458" s="77"/>
      <c r="P458" s="77"/>
      <c r="Q458" s="77">
        <f>$N458*K458</f>
        <v>0</v>
      </c>
      <c r="R458" s="77"/>
      <c r="S458" s="79"/>
      <c r="T458" s="92" t="s">
        <v>169</v>
      </c>
      <c r="U458" s="88" t="s">
        <v>170</v>
      </c>
      <c r="V458" s="88" t="str">
        <f>IF(OR($H458="",$H458="sif",$H458="PM"),"",VLOOKUP($H458,[5]CU!$C$5:$J$255,8,FALSE))</f>
        <v/>
      </c>
      <c r="W458" s="88" t="s">
        <v>96</v>
      </c>
      <c r="X458" s="88" t="s">
        <v>578</v>
      </c>
      <c r="Y458" s="88" t="s">
        <v>32</v>
      </c>
      <c r="Z458" s="88" t="str">
        <f>A458 &amp; "-" &amp; VLOOKUP(A458,[4]PROGRAMMES!$E$1:$F$7,2,FALSE)</f>
        <v>1-Accès et équité à l'enseignement général</v>
      </c>
      <c r="AA458" s="88" t="str">
        <f>B458 &amp; "-" &amp; VLOOKUP(B458,[4]SOUSPROGRAMMES!$E$1:$F$44,2,FALSE)</f>
        <v xml:space="preserve">17- Santé et hygiène scolaires </v>
      </c>
      <c r="AB458" s="88" t="str">
        <f>C458 &amp; "-" &amp; VLOOKUP(C458,[4]RESULTATS!$E$1:$F$176,2,FALSE)</f>
        <v>171- Les conditions d'hygiène sont améliorées au sein des écoles et établissements</v>
      </c>
      <c r="AC458" s="89" t="str">
        <f>D458 &amp; "-" &amp; VLOOKUP(D458,[4]STRATEGIES!$E$1:$F$504,2,FALSE)</f>
        <v>1711-Construction/rénovation des latrines séparées</v>
      </c>
      <c r="AD458" s="76" t="str">
        <f t="shared" si="106"/>
        <v>17118-Suivi/évaluation de la construction/rénovation des latrines (voir 12226)</v>
      </c>
    </row>
    <row r="459" spans="1:30" s="90" customFormat="1" ht="45" customHeight="1" x14ac:dyDescent="0.8">
      <c r="A459" s="84">
        <v>1</v>
      </c>
      <c r="B459" s="85">
        <v>17</v>
      </c>
      <c r="C459" s="85">
        <v>171</v>
      </c>
      <c r="D459" s="85">
        <v>1712</v>
      </c>
      <c r="E459" s="84">
        <v>1712</v>
      </c>
      <c r="F459" s="75" t="s">
        <v>579</v>
      </c>
      <c r="G459" s="86"/>
      <c r="H459" s="86"/>
      <c r="I459" s="78">
        <v>0</v>
      </c>
      <c r="J459" s="78"/>
      <c r="K459" s="78"/>
      <c r="L459" s="78"/>
      <c r="M459" s="78"/>
      <c r="N459" s="78"/>
      <c r="O459" s="78"/>
      <c r="P459" s="78"/>
      <c r="Q459" s="78"/>
      <c r="R459" s="78"/>
      <c r="S459" s="93"/>
      <c r="T459" s="87"/>
      <c r="U459" s="87"/>
      <c r="V459" s="88"/>
      <c r="W459" s="87"/>
      <c r="X459" s="87"/>
      <c r="Y459" s="88" t="s">
        <v>32</v>
      </c>
      <c r="Z459" s="88" t="str">
        <f>A459 &amp; "-" &amp; VLOOKUP(A459,[4]PROGRAMMES!$E$1:$F$7,2,FALSE)</f>
        <v>1-Accès et équité à l'enseignement général</v>
      </c>
      <c r="AA459" s="88" t="str">
        <f>B459 &amp; "-" &amp; VLOOKUP(B459,[4]SOUSPROGRAMMES!$E$1:$F$44,2,FALSE)</f>
        <v xml:space="preserve">17- Santé et hygiène scolaires </v>
      </c>
      <c r="AB459" s="88" t="str">
        <f>C459 &amp; "-" &amp; VLOOKUP(C459,[4]RESULTATS!$E$1:$F$176,2,FALSE)</f>
        <v>171- Les conditions d'hygiène sont améliorées au sein des écoles et établissements</v>
      </c>
      <c r="AC459" s="89" t="str">
        <f>D459 &amp; "-" &amp; VLOOKUP(D459,[4]STRATEGIES!$E$1:$F$504,2,FALSE)</f>
        <v>1712-Aménagement/rénovation des point d'eau</v>
      </c>
      <c r="AD459" s="76" t="str">
        <f t="shared" si="106"/>
        <v>1712-Aménagement/rénovation des point d'eau</v>
      </c>
    </row>
    <row r="460" spans="1:30" s="71" customFormat="1" ht="45" hidden="1" customHeight="1" x14ac:dyDescent="0.8">
      <c r="A460" s="91">
        <v>1</v>
      </c>
      <c r="B460" s="75">
        <v>17</v>
      </c>
      <c r="C460" s="75">
        <v>171</v>
      </c>
      <c r="D460" s="75">
        <v>1712</v>
      </c>
      <c r="E460" s="91">
        <v>17121</v>
      </c>
      <c r="F460" s="75" t="s">
        <v>580</v>
      </c>
      <c r="G460" s="76" t="s">
        <v>159</v>
      </c>
      <c r="H460" s="76"/>
      <c r="I460" s="78">
        <v>0</v>
      </c>
      <c r="J460" s="77"/>
      <c r="K460" s="77"/>
      <c r="L460" s="77"/>
      <c r="M460" s="77"/>
      <c r="N460" s="77">
        <f>IF(OR(H460="",H460="sif",H460="PM"),0,VLOOKUP(H460,[5]CU!$C$4:$H$255,6,FALSE))</f>
        <v>0</v>
      </c>
      <c r="O460" s="77"/>
      <c r="P460" s="77"/>
      <c r="Q460" s="77">
        <f t="shared" ref="Q460:Q461" si="107">$N460*K460</f>
        <v>0</v>
      </c>
      <c r="R460" s="77"/>
      <c r="S460" s="79"/>
      <c r="T460" s="92" t="s">
        <v>169</v>
      </c>
      <c r="U460" s="88" t="s">
        <v>170</v>
      </c>
      <c r="V460" s="88" t="str">
        <f>IF(OR($H460="",$H460="sif",$H460="PM"),"",VLOOKUP($H460,[5]CU!$C$5:$J$255,8,FALSE))</f>
        <v/>
      </c>
      <c r="W460" s="88" t="s">
        <v>96</v>
      </c>
      <c r="X460" s="88" t="s">
        <v>179</v>
      </c>
      <c r="Y460" s="88" t="s">
        <v>32</v>
      </c>
      <c r="Z460" s="88" t="str">
        <f>A460 &amp; "-" &amp; VLOOKUP(A460,[4]PROGRAMMES!$E$1:$F$7,2,FALSE)</f>
        <v>1-Accès et équité à l'enseignement général</v>
      </c>
      <c r="AA460" s="88" t="str">
        <f>B460 &amp; "-" &amp; VLOOKUP(B460,[4]SOUSPROGRAMMES!$E$1:$F$44,2,FALSE)</f>
        <v xml:space="preserve">17- Santé et hygiène scolaires </v>
      </c>
      <c r="AB460" s="88" t="str">
        <f>C460 &amp; "-" &amp; VLOOKUP(C460,[4]RESULTATS!$E$1:$F$176,2,FALSE)</f>
        <v>171- Les conditions d'hygiène sont améliorées au sein des écoles et établissements</v>
      </c>
      <c r="AC460" s="89" t="str">
        <f>D460 &amp; "-" &amp; VLOOKUP(D460,[4]STRATEGIES!$E$1:$F$504,2,FALSE)</f>
        <v>1712-Aménagement/rénovation des point d'eau</v>
      </c>
      <c r="AD460" s="76" t="str">
        <f t="shared" si="106"/>
        <v>17121-Identification des centres, écoles et établissements devant bénéficier d'aménagement ou de réhabilitation de points d'eau</v>
      </c>
    </row>
    <row r="461" spans="1:30" s="71" customFormat="1" ht="45" hidden="1" customHeight="1" x14ac:dyDescent="0.8">
      <c r="A461" s="91">
        <v>1</v>
      </c>
      <c r="B461" s="75">
        <v>17</v>
      </c>
      <c r="C461" s="75">
        <v>171</v>
      </c>
      <c r="D461" s="75">
        <v>1712</v>
      </c>
      <c r="E461" s="91">
        <v>17122</v>
      </c>
      <c r="F461" s="75" t="s">
        <v>581</v>
      </c>
      <c r="G461" s="76" t="s">
        <v>159</v>
      </c>
      <c r="H461" s="76"/>
      <c r="I461" s="78">
        <v>0</v>
      </c>
      <c r="J461" s="77"/>
      <c r="K461" s="77"/>
      <c r="L461" s="77"/>
      <c r="M461" s="77"/>
      <c r="N461" s="77">
        <f>IF(OR(H461="",H461="sif",H461="PM"),0,VLOOKUP(H461,[5]CU!$C$4:$H$255,6,FALSE))</f>
        <v>0</v>
      </c>
      <c r="O461" s="77"/>
      <c r="P461" s="77"/>
      <c r="Q461" s="77">
        <f t="shared" si="107"/>
        <v>0</v>
      </c>
      <c r="R461" s="77"/>
      <c r="S461" s="79"/>
      <c r="T461" s="92" t="s">
        <v>169</v>
      </c>
      <c r="U461" s="88" t="s">
        <v>170</v>
      </c>
      <c r="V461" s="88" t="str">
        <f>IF(OR($H461="",$H461="sif",$H461="PM"),"",VLOOKUP($H461,[5]CU!$C$5:$J$255,8,FALSE))</f>
        <v/>
      </c>
      <c r="W461" s="88" t="s">
        <v>98</v>
      </c>
      <c r="X461" s="88" t="s">
        <v>469</v>
      </c>
      <c r="Y461" s="88" t="s">
        <v>32</v>
      </c>
      <c r="Z461" s="88" t="str">
        <f>A461 &amp; "-" &amp; VLOOKUP(A461,[4]PROGRAMMES!$E$1:$F$7,2,FALSE)</f>
        <v>1-Accès et équité à l'enseignement général</v>
      </c>
      <c r="AA461" s="88" t="str">
        <f>B461 &amp; "-" &amp; VLOOKUP(B461,[4]SOUSPROGRAMMES!$E$1:$F$44,2,FALSE)</f>
        <v xml:space="preserve">17- Santé et hygiène scolaires </v>
      </c>
      <c r="AB461" s="88" t="str">
        <f>C461 &amp; "-" &amp; VLOOKUP(C461,[4]RESULTATS!$E$1:$F$176,2,FALSE)</f>
        <v>171- Les conditions d'hygiène sont améliorées au sein des écoles et établissements</v>
      </c>
      <c r="AC461" s="89" t="str">
        <f>D461 &amp; "-" &amp; VLOOKUP(D461,[4]STRATEGIES!$E$1:$F$504,2,FALSE)</f>
        <v>1712-Aménagement/rénovation des point d'eau</v>
      </c>
      <c r="AD461" s="76" t="str">
        <f t="shared" si="106"/>
        <v>17122-Confirmation des sites d'aménagement des points d'eau</v>
      </c>
    </row>
    <row r="462" spans="1:30" s="90" customFormat="1" ht="45" hidden="1" customHeight="1" x14ac:dyDescent="0.8">
      <c r="A462" s="84">
        <v>1</v>
      </c>
      <c r="B462" s="85">
        <v>17</v>
      </c>
      <c r="C462" s="85">
        <v>171</v>
      </c>
      <c r="D462" s="85">
        <v>1712</v>
      </c>
      <c r="E462" s="84">
        <v>17123</v>
      </c>
      <c r="F462" s="75" t="s">
        <v>582</v>
      </c>
      <c r="G462" s="76" t="s">
        <v>583</v>
      </c>
      <c r="H462" s="86" t="s">
        <v>584</v>
      </c>
      <c r="I462" s="78">
        <v>0</v>
      </c>
      <c r="J462" s="78">
        <f>((81*3)*0.3)*80.01%</f>
        <v>58.327289999999998</v>
      </c>
      <c r="K462" s="78">
        <f>((81*3)*0.5)*80.01%</f>
        <v>97.212150000000008</v>
      </c>
      <c r="L462" s="78">
        <f>((81*3)*0.2)*80.01%</f>
        <v>38.884860000000003</v>
      </c>
      <c r="M462" s="78">
        <f>SUM(I462:L462)</f>
        <v>194.42430000000002</v>
      </c>
      <c r="N462" s="78">
        <f>IF(OR(H462="",H462="sif",H462="PM"),0,VLOOKUP(H462,[5]CU!$C$4:$H$255,6,FALSE))</f>
        <v>19.5</v>
      </c>
      <c r="O462" s="78">
        <f t="shared" ref="O462:R471" si="108">$N462*I462</f>
        <v>0</v>
      </c>
      <c r="P462" s="78">
        <f t="shared" si="108"/>
        <v>1137.382155</v>
      </c>
      <c r="Q462" s="78">
        <f t="shared" si="108"/>
        <v>1895.6369250000002</v>
      </c>
      <c r="R462" s="78">
        <f t="shared" si="108"/>
        <v>758.25477000000001</v>
      </c>
      <c r="S462" s="93">
        <f>SUM(O462:R462)</f>
        <v>3791.27385</v>
      </c>
      <c r="T462" s="80" t="s">
        <v>56</v>
      </c>
      <c r="U462" s="87" t="s">
        <v>170</v>
      </c>
      <c r="V462" s="88" t="str">
        <f>IF(OR($H462="",$H462="sif",$H462="PM"),"",VLOOKUP($H462,[5]CU!$C$5:$J$255,8,FALSE))</f>
        <v>5. Investissement</v>
      </c>
      <c r="W462" s="87" t="s">
        <v>98</v>
      </c>
      <c r="X462" s="87" t="s">
        <v>98</v>
      </c>
      <c r="Y462" s="88" t="s">
        <v>32</v>
      </c>
      <c r="Z462" s="88" t="str">
        <f>A462 &amp; "-" &amp; VLOOKUP(A462,[4]PROGRAMMES!$E$1:$F$7,2,FALSE)</f>
        <v>1-Accès et équité à l'enseignement général</v>
      </c>
      <c r="AA462" s="88" t="str">
        <f>B462 &amp; "-" &amp; VLOOKUP(B462,[4]SOUSPROGRAMMES!$E$1:$F$44,2,FALSE)</f>
        <v xml:space="preserve">17- Santé et hygiène scolaires </v>
      </c>
      <c r="AB462" s="88" t="str">
        <f>C462 &amp; "-" &amp; VLOOKUP(C462,[4]RESULTATS!$E$1:$F$176,2,FALSE)</f>
        <v>171- Les conditions d'hygiène sont améliorées au sein des écoles et établissements</v>
      </c>
      <c r="AC462" s="89" t="str">
        <f>D462 &amp; "-" &amp; VLOOKUP(D462,[4]STRATEGIES!$E$1:$F$504,2,FALSE)</f>
        <v>1712-Aménagement/rénovation des point d'eau</v>
      </c>
      <c r="AD462" s="76" t="str">
        <f t="shared" si="106"/>
        <v>17123-Rénovation/réhabilitation de points d'eau, y compris dans les FA</v>
      </c>
    </row>
    <row r="463" spans="1:30" s="90" customFormat="1" ht="45" customHeight="1" x14ac:dyDescent="0.8">
      <c r="A463" s="84">
        <v>1</v>
      </c>
      <c r="B463" s="85">
        <v>17</v>
      </c>
      <c r="C463" s="85">
        <v>171</v>
      </c>
      <c r="D463" s="85">
        <v>1712</v>
      </c>
      <c r="E463" s="84">
        <v>17123</v>
      </c>
      <c r="F463" s="75" t="s">
        <v>582</v>
      </c>
      <c r="G463" s="76" t="s">
        <v>583</v>
      </c>
      <c r="H463" s="86" t="s">
        <v>584</v>
      </c>
      <c r="I463" s="78">
        <v>0</v>
      </c>
      <c r="J463" s="78">
        <f>((81*3)*0.3)*19.99%</f>
        <v>14.572709999999997</v>
      </c>
      <c r="K463" s="78">
        <f>((81*3)*0.5)*19.99%</f>
        <v>24.287849999999999</v>
      </c>
      <c r="L463" s="78">
        <f>((81*3)*0.2)*19.99%</f>
        <v>9.7151399999999999</v>
      </c>
      <c r="M463" s="78">
        <f t="shared" ref="M463:M471" si="109">SUM(I463:L463)</f>
        <v>48.575699999999991</v>
      </c>
      <c r="N463" s="78">
        <f>IF(OR(H463="",H463="sif",H463="PM"),0,VLOOKUP(H463,[5]CU!$C$4:$H$255,6,FALSE))</f>
        <v>19.5</v>
      </c>
      <c r="O463" s="78">
        <f t="shared" si="108"/>
        <v>0</v>
      </c>
      <c r="P463" s="78">
        <f t="shared" si="108"/>
        <v>284.16784499999994</v>
      </c>
      <c r="Q463" s="78">
        <f t="shared" si="108"/>
        <v>473.61307499999998</v>
      </c>
      <c r="R463" s="78">
        <f t="shared" si="108"/>
        <v>189.44523000000001</v>
      </c>
      <c r="S463" s="93">
        <f t="shared" ref="S463:S469" si="110">SUM(O463:R463)</f>
        <v>947.22614999999996</v>
      </c>
      <c r="T463" s="80" t="s">
        <v>118</v>
      </c>
      <c r="U463" s="87" t="s">
        <v>170</v>
      </c>
      <c r="V463" s="88" t="str">
        <f>IF(OR($H463="",$H463="sif",$H463="PM"),"",VLOOKUP($H463,[5]CU!$C$5:$J$255,8,FALSE))</f>
        <v>5. Investissement</v>
      </c>
      <c r="W463" s="87" t="s">
        <v>98</v>
      </c>
      <c r="X463" s="87" t="s">
        <v>98</v>
      </c>
      <c r="Y463" s="88" t="s">
        <v>32</v>
      </c>
      <c r="Z463" s="88" t="str">
        <f>A463 &amp; "-" &amp; VLOOKUP(A463,[4]PROGRAMMES!$E$1:$F$7,2,FALSE)</f>
        <v>1-Accès et équité à l'enseignement général</v>
      </c>
      <c r="AA463" s="88" t="str">
        <f>B463 &amp; "-" &amp; VLOOKUP(B463,[4]SOUSPROGRAMMES!$E$1:$F$44,2,FALSE)</f>
        <v xml:space="preserve">17- Santé et hygiène scolaires </v>
      </c>
      <c r="AB463" s="88" t="str">
        <f>C463 &amp; "-" &amp; VLOOKUP(C463,[4]RESULTATS!$E$1:$F$176,2,FALSE)</f>
        <v>171- Les conditions d'hygiène sont améliorées au sein des écoles et établissements</v>
      </c>
      <c r="AC463" s="89" t="str">
        <f>D463 &amp; "-" &amp; VLOOKUP(D463,[4]STRATEGIES!$E$1:$F$504,2,FALSE)</f>
        <v>1712-Aménagement/rénovation des point d'eau</v>
      </c>
      <c r="AD463" s="76" t="str">
        <f t="shared" si="106"/>
        <v>17123-Rénovation/réhabilitation de points d'eau, y compris dans les FA</v>
      </c>
    </row>
    <row r="464" spans="1:30" s="90" customFormat="1" ht="45" hidden="1" customHeight="1" x14ac:dyDescent="0.8">
      <c r="A464" s="84">
        <v>1</v>
      </c>
      <c r="B464" s="85">
        <v>17</v>
      </c>
      <c r="C464" s="85">
        <v>171</v>
      </c>
      <c r="D464" s="85">
        <v>1712</v>
      </c>
      <c r="E464" s="84">
        <v>17124</v>
      </c>
      <c r="F464" s="75" t="s">
        <v>585</v>
      </c>
      <c r="G464" s="76" t="s">
        <v>583</v>
      </c>
      <c r="H464" s="86" t="s">
        <v>586</v>
      </c>
      <c r="I464" s="78">
        <v>0</v>
      </c>
      <c r="J464" s="78"/>
      <c r="K464" s="78"/>
      <c r="L464" s="78"/>
      <c r="M464" s="78">
        <f t="shared" si="109"/>
        <v>0</v>
      </c>
      <c r="N464" s="78">
        <f>IF(OR(H464="",H464="sif",H464="PM"),0,VLOOKUP(H464,[5]CU!$C$4:$H$255,6,FALSE))</f>
        <v>60</v>
      </c>
      <c r="O464" s="78">
        <f t="shared" si="108"/>
        <v>0</v>
      </c>
      <c r="P464" s="78">
        <f t="shared" si="108"/>
        <v>0</v>
      </c>
      <c r="Q464" s="78">
        <f t="shared" si="108"/>
        <v>0</v>
      </c>
      <c r="R464" s="78">
        <f t="shared" si="108"/>
        <v>0</v>
      </c>
      <c r="S464" s="93">
        <f t="shared" si="110"/>
        <v>0</v>
      </c>
      <c r="T464" s="80" t="s">
        <v>178</v>
      </c>
      <c r="U464" s="87" t="s">
        <v>170</v>
      </c>
      <c r="V464" s="88" t="str">
        <f>IF(OR($H464="",$H464="sif",$H464="PM"),"",VLOOKUP($H464,[5]CU!$C$5:$J$255,8,FALSE))</f>
        <v>5. Investissement</v>
      </c>
      <c r="W464" s="87" t="s">
        <v>98</v>
      </c>
      <c r="X464" s="87" t="s">
        <v>98</v>
      </c>
      <c r="Y464" s="88" t="s">
        <v>32</v>
      </c>
      <c r="Z464" s="88" t="str">
        <f>A464 &amp; "-" &amp; VLOOKUP(A464,[4]PROGRAMMES!$E$1:$F$7,2,FALSE)</f>
        <v>1-Accès et équité à l'enseignement général</v>
      </c>
      <c r="AA464" s="88" t="str">
        <f>B464 &amp; "-" &amp; VLOOKUP(B464,[4]SOUSPROGRAMMES!$E$1:$F$44,2,FALSE)</f>
        <v xml:space="preserve">17- Santé et hygiène scolaires </v>
      </c>
      <c r="AB464" s="88" t="str">
        <f>C464 &amp; "-" &amp; VLOOKUP(C464,[4]RESULTATS!$E$1:$F$176,2,FALSE)</f>
        <v>171- Les conditions d'hygiène sont améliorées au sein des écoles et établissements</v>
      </c>
      <c r="AC464" s="89" t="str">
        <f>D464 &amp; "-" &amp; VLOOKUP(D464,[4]STRATEGIES!$E$1:$F$504,2,FALSE)</f>
        <v>1712-Aménagement/rénovation des point d'eau</v>
      </c>
      <c r="AD464" s="76" t="str">
        <f t="shared" si="106"/>
        <v>17124-Aménagement de points d’eau en faveur des écoles, centres et établissement scolaires nouveaux</v>
      </c>
    </row>
    <row r="465" spans="1:30" s="71" customFormat="1" ht="45" hidden="1" customHeight="1" x14ac:dyDescent="0.8">
      <c r="A465" s="91">
        <v>1</v>
      </c>
      <c r="B465" s="75">
        <v>17</v>
      </c>
      <c r="C465" s="75">
        <v>171</v>
      </c>
      <c r="D465" s="75">
        <v>1712</v>
      </c>
      <c r="E465" s="91">
        <v>17124</v>
      </c>
      <c r="F465" s="75" t="s">
        <v>585</v>
      </c>
      <c r="G465" s="76" t="s">
        <v>583</v>
      </c>
      <c r="H465" s="76" t="s">
        <v>586</v>
      </c>
      <c r="I465" s="78">
        <v>0</v>
      </c>
      <c r="J465" s="77"/>
      <c r="K465" s="77">
        <v>105</v>
      </c>
      <c r="L465" s="77">
        <v>55</v>
      </c>
      <c r="M465" s="77">
        <f>SUM(I465:L465)</f>
        <v>160</v>
      </c>
      <c r="N465" s="77">
        <f>IF(OR(H465="",H465="sif",H465="PM"),0,VLOOKUP(H465,[5]CU!$C$4:$H$255,6,FALSE))</f>
        <v>60</v>
      </c>
      <c r="O465" s="77">
        <f t="shared" si="108"/>
        <v>0</v>
      </c>
      <c r="P465" s="77">
        <f t="shared" si="108"/>
        <v>0</v>
      </c>
      <c r="Q465" s="77">
        <f>$N465*K465</f>
        <v>6300</v>
      </c>
      <c r="R465" s="77">
        <f t="shared" si="108"/>
        <v>3300</v>
      </c>
      <c r="S465" s="79">
        <f t="shared" si="110"/>
        <v>9600</v>
      </c>
      <c r="T465" s="92" t="s">
        <v>169</v>
      </c>
      <c r="U465" s="88" t="s">
        <v>170</v>
      </c>
      <c r="V465" s="88" t="str">
        <f>IF(OR($H465="",$H465="sif",$H465="PM"),"",VLOOKUP($H465,[5]CU!$C$5:$J$255,8,FALSE))</f>
        <v>5. Investissement</v>
      </c>
      <c r="W465" s="88" t="s">
        <v>98</v>
      </c>
      <c r="X465" s="88" t="s">
        <v>98</v>
      </c>
      <c r="Y465" s="88" t="s">
        <v>32</v>
      </c>
      <c r="Z465" s="88" t="str">
        <f>A465 &amp; "-" &amp; VLOOKUP(A465,[4]PROGRAMMES!$E$1:$F$7,2,FALSE)</f>
        <v>1-Accès et équité à l'enseignement général</v>
      </c>
      <c r="AA465" s="88" t="str">
        <f>B465 &amp; "-" &amp; VLOOKUP(B465,[4]SOUSPROGRAMMES!$E$1:$F$44,2,FALSE)</f>
        <v xml:space="preserve">17- Santé et hygiène scolaires </v>
      </c>
      <c r="AB465" s="88" t="str">
        <f>C465 &amp; "-" &amp; VLOOKUP(C465,[4]RESULTATS!$E$1:$F$176,2,FALSE)</f>
        <v>171- Les conditions d'hygiène sont améliorées au sein des écoles et établissements</v>
      </c>
      <c r="AC465" s="89" t="str">
        <f>D465 &amp; "-" &amp; VLOOKUP(D465,[4]STRATEGIES!$E$1:$F$504,2,FALSE)</f>
        <v>1712-Aménagement/rénovation des point d'eau</v>
      </c>
      <c r="AD465" s="76" t="str">
        <f t="shared" si="106"/>
        <v>17124-Aménagement de points d’eau en faveur des écoles, centres et établissement scolaires nouveaux</v>
      </c>
    </row>
    <row r="466" spans="1:30" s="90" customFormat="1" ht="45" customHeight="1" x14ac:dyDescent="0.8">
      <c r="A466" s="84">
        <v>1</v>
      </c>
      <c r="B466" s="85">
        <v>17</v>
      </c>
      <c r="C466" s="85">
        <v>171</v>
      </c>
      <c r="D466" s="85">
        <v>1712</v>
      </c>
      <c r="E466" s="84">
        <v>17124</v>
      </c>
      <c r="F466" s="75" t="s">
        <v>585</v>
      </c>
      <c r="G466" s="76" t="s">
        <v>583</v>
      </c>
      <c r="H466" s="86" t="s">
        <v>586</v>
      </c>
      <c r="I466" s="78">
        <v>0</v>
      </c>
      <c r="J466" s="78">
        <f>1332.58333333333*0.3-J465</f>
        <v>399.77499999999901</v>
      </c>
      <c r="K466" s="78">
        <f>1332.58333333333*0.5-K465</f>
        <v>561.29166666666504</v>
      </c>
      <c r="L466" s="78">
        <f>1332.58333333333*0.2-L465</f>
        <v>211.51666666666603</v>
      </c>
      <c r="M466" s="78">
        <f t="shared" si="109"/>
        <v>1172.5833333333301</v>
      </c>
      <c r="N466" s="78">
        <f>IF(OR(H466="",H466="sif",H466="PM"),0,VLOOKUP(H466,[5]CU!$C$4:$H$255,6,FALSE))</f>
        <v>60</v>
      </c>
      <c r="O466" s="78">
        <f t="shared" si="108"/>
        <v>0</v>
      </c>
      <c r="P466" s="78">
        <f t="shared" si="108"/>
        <v>23986.499999999942</v>
      </c>
      <c r="Q466" s="78">
        <f t="shared" si="108"/>
        <v>33677.499999999905</v>
      </c>
      <c r="R466" s="78">
        <f t="shared" si="108"/>
        <v>12690.999999999962</v>
      </c>
      <c r="S466" s="93">
        <f t="shared" si="110"/>
        <v>70354.999999999811</v>
      </c>
      <c r="T466" s="80" t="s">
        <v>118</v>
      </c>
      <c r="U466" s="87" t="s">
        <v>170</v>
      </c>
      <c r="V466" s="88" t="str">
        <f>IF(OR($H466="",$H466="sif",$H466="PM"),"",VLOOKUP($H466,[5]CU!$C$5:$J$255,8,FALSE))</f>
        <v>5. Investissement</v>
      </c>
      <c r="W466" s="87" t="s">
        <v>98</v>
      </c>
      <c r="X466" s="87" t="s">
        <v>98</v>
      </c>
      <c r="Y466" s="88" t="s">
        <v>32</v>
      </c>
      <c r="Z466" s="88" t="str">
        <f>A466 &amp; "-" &amp; VLOOKUP(A466,[4]PROGRAMMES!$E$1:$F$7,2,FALSE)</f>
        <v>1-Accès et équité à l'enseignement général</v>
      </c>
      <c r="AA466" s="88" t="str">
        <f>B466 &amp; "-" &amp; VLOOKUP(B466,[4]SOUSPROGRAMMES!$E$1:$F$44,2,FALSE)</f>
        <v xml:space="preserve">17- Santé et hygiène scolaires </v>
      </c>
      <c r="AB466" s="88" t="str">
        <f>C466 &amp; "-" &amp; VLOOKUP(C466,[4]RESULTATS!$E$1:$F$176,2,FALSE)</f>
        <v>171- Les conditions d'hygiène sont améliorées au sein des écoles et établissements</v>
      </c>
      <c r="AC466" s="89" t="str">
        <f>D466 &amp; "-" &amp; VLOOKUP(D466,[4]STRATEGIES!$E$1:$F$504,2,FALSE)</f>
        <v>1712-Aménagement/rénovation des point d'eau</v>
      </c>
      <c r="AD466" s="76" t="str">
        <f t="shared" si="106"/>
        <v>17124-Aménagement de points d’eau en faveur des écoles, centres et établissement scolaires nouveaux</v>
      </c>
    </row>
    <row r="467" spans="1:30" s="90" customFormat="1" ht="45" hidden="1" customHeight="1" x14ac:dyDescent="0.8">
      <c r="A467" s="84">
        <v>1</v>
      </c>
      <c r="B467" s="85">
        <v>17</v>
      </c>
      <c r="C467" s="85">
        <v>171</v>
      </c>
      <c r="D467" s="85">
        <v>1712</v>
      </c>
      <c r="E467" s="84">
        <v>17125</v>
      </c>
      <c r="F467" s="75" t="s">
        <v>587</v>
      </c>
      <c r="G467" s="76" t="s">
        <v>583</v>
      </c>
      <c r="H467" s="86" t="s">
        <v>586</v>
      </c>
      <c r="I467" s="78">
        <v>0</v>
      </c>
      <c r="J467" s="78"/>
      <c r="K467" s="78"/>
      <c r="L467" s="78"/>
      <c r="M467" s="78">
        <f t="shared" si="109"/>
        <v>0</v>
      </c>
      <c r="N467" s="78">
        <f>IF(OR(H467="",H467="sif",H467="PM"),0,VLOOKUP(H467,[5]CU!$C$4:$H$255,6,FALSE))</f>
        <v>60</v>
      </c>
      <c r="O467" s="78">
        <f t="shared" si="108"/>
        <v>0</v>
      </c>
      <c r="P467" s="78">
        <f t="shared" si="108"/>
        <v>0</v>
      </c>
      <c r="Q467" s="78">
        <f t="shared" si="108"/>
        <v>0</v>
      </c>
      <c r="R467" s="78">
        <f t="shared" si="108"/>
        <v>0</v>
      </c>
      <c r="S467" s="93">
        <f t="shared" si="110"/>
        <v>0</v>
      </c>
      <c r="T467" s="80" t="s">
        <v>178</v>
      </c>
      <c r="U467" s="87" t="s">
        <v>170</v>
      </c>
      <c r="V467" s="88" t="str">
        <f>IF(OR($H467="",$H467="sif",$H467="PM"),"",VLOOKUP($H467,[5]CU!$C$5:$J$255,8,FALSE))</f>
        <v>5. Investissement</v>
      </c>
      <c r="W467" s="87" t="s">
        <v>98</v>
      </c>
      <c r="X467" s="87" t="s">
        <v>98</v>
      </c>
      <c r="Y467" s="88" t="s">
        <v>32</v>
      </c>
      <c r="Z467" s="88" t="str">
        <f>A467 &amp; "-" &amp; VLOOKUP(A467,[4]PROGRAMMES!$E$1:$F$7,2,FALSE)</f>
        <v>1-Accès et équité à l'enseignement général</v>
      </c>
      <c r="AA467" s="88" t="str">
        <f>B467 &amp; "-" &amp; VLOOKUP(B467,[4]SOUSPROGRAMMES!$E$1:$F$44,2,FALSE)</f>
        <v xml:space="preserve">17- Santé et hygiène scolaires </v>
      </c>
      <c r="AB467" s="88" t="str">
        <f>C467 &amp; "-" &amp; VLOOKUP(C467,[4]RESULTATS!$E$1:$F$176,2,FALSE)</f>
        <v>171- Les conditions d'hygiène sont améliorées au sein des écoles et établissements</v>
      </c>
      <c r="AC467" s="89" t="str">
        <f>D467 &amp; "-" &amp; VLOOKUP(D467,[4]STRATEGIES!$E$1:$F$504,2,FALSE)</f>
        <v>1712-Aménagement/rénovation des point d'eau</v>
      </c>
      <c r="AD467" s="76" t="str">
        <f t="shared" si="106"/>
        <v>17125-Aménagement de points d’eau en faveur des écoles, centres et établissement scolaires existants, y compris les FA</v>
      </c>
    </row>
    <row r="468" spans="1:30" s="71" customFormat="1" ht="45" hidden="1" customHeight="1" x14ac:dyDescent="0.8">
      <c r="A468" s="91">
        <v>1</v>
      </c>
      <c r="B468" s="75">
        <v>17</v>
      </c>
      <c r="C468" s="75">
        <v>171</v>
      </c>
      <c r="D468" s="75">
        <v>1712</v>
      </c>
      <c r="E468" s="91">
        <v>17125</v>
      </c>
      <c r="F468" s="75" t="s">
        <v>587</v>
      </c>
      <c r="G468" s="76" t="s">
        <v>583</v>
      </c>
      <c r="H468" s="76" t="s">
        <v>586</v>
      </c>
      <c r="I468" s="78">
        <v>0</v>
      </c>
      <c r="J468" s="77"/>
      <c r="K468" s="77">
        <v>260</v>
      </c>
      <c r="L468" s="77">
        <v>130</v>
      </c>
      <c r="M468" s="77">
        <f>SUM(I468:L468)</f>
        <v>390</v>
      </c>
      <c r="N468" s="77">
        <f>IF(OR(H468="",H468="sif",H468="PM"),0,VLOOKUP(H468,[5]CU!$C$4:$H$255,6,FALSE))</f>
        <v>60</v>
      </c>
      <c r="O468" s="77">
        <f t="shared" si="108"/>
        <v>0</v>
      </c>
      <c r="P468" s="77">
        <f t="shared" si="108"/>
        <v>0</v>
      </c>
      <c r="Q468" s="77">
        <f>$N468*K468</f>
        <v>15600</v>
      </c>
      <c r="R468" s="77">
        <f t="shared" si="108"/>
        <v>7800</v>
      </c>
      <c r="S468" s="79">
        <f t="shared" si="110"/>
        <v>23400</v>
      </c>
      <c r="T468" s="92" t="s">
        <v>169</v>
      </c>
      <c r="U468" s="88" t="s">
        <v>170</v>
      </c>
      <c r="V468" s="88" t="str">
        <f>IF(OR($H468="",$H468="sif",$H468="PM"),"",VLOOKUP($H468,[5]CU!$C$5:$J$255,8,FALSE))</f>
        <v>5. Investissement</v>
      </c>
      <c r="W468" s="88" t="s">
        <v>98</v>
      </c>
      <c r="X468" s="88" t="s">
        <v>98</v>
      </c>
      <c r="Y468" s="88" t="s">
        <v>32</v>
      </c>
      <c r="Z468" s="88" t="str">
        <f>A468 &amp; "-" &amp; VLOOKUP(A468,[4]PROGRAMMES!$E$1:$F$7,2,FALSE)</f>
        <v>1-Accès et équité à l'enseignement général</v>
      </c>
      <c r="AA468" s="88" t="str">
        <f>B468 &amp; "-" &amp; VLOOKUP(B468,[4]SOUSPROGRAMMES!$E$1:$F$44,2,FALSE)</f>
        <v xml:space="preserve">17- Santé et hygiène scolaires </v>
      </c>
      <c r="AB468" s="88" t="str">
        <f>C468 &amp; "-" &amp; VLOOKUP(C468,[4]RESULTATS!$E$1:$F$176,2,FALSE)</f>
        <v>171- Les conditions d'hygiène sont améliorées au sein des écoles et établissements</v>
      </c>
      <c r="AC468" s="89" t="str">
        <f>D468 &amp; "-" &amp; VLOOKUP(D468,[4]STRATEGIES!$E$1:$F$504,2,FALSE)</f>
        <v>1712-Aménagement/rénovation des point d'eau</v>
      </c>
      <c r="AD468" s="76" t="str">
        <f t="shared" si="106"/>
        <v>17125-Aménagement de points d’eau en faveur des écoles, centres et établissement scolaires existants, y compris les FA</v>
      </c>
    </row>
    <row r="469" spans="1:30" s="90" customFormat="1" ht="45" customHeight="1" x14ac:dyDescent="0.8">
      <c r="A469" s="84">
        <v>1</v>
      </c>
      <c r="B469" s="85">
        <v>17</v>
      </c>
      <c r="C469" s="85">
        <v>171</v>
      </c>
      <c r="D469" s="85">
        <v>1712</v>
      </c>
      <c r="E469" s="84">
        <v>17125</v>
      </c>
      <c r="F469" s="75" t="s">
        <v>587</v>
      </c>
      <c r="G469" s="76" t="s">
        <v>583</v>
      </c>
      <c r="H469" s="86" t="s">
        <v>586</v>
      </c>
      <c r="I469" s="78">
        <v>0</v>
      </c>
      <c r="J469" s="78">
        <f>5872/15-J468</f>
        <v>391.46666666666664</v>
      </c>
      <c r="K469" s="78">
        <f>5872/15-K468</f>
        <v>131.46666666666664</v>
      </c>
      <c r="L469" s="78">
        <f>5872/15-L468</f>
        <v>261.46666666666664</v>
      </c>
      <c r="M469" s="78">
        <f t="shared" si="109"/>
        <v>784.39999999999986</v>
      </c>
      <c r="N469" s="78">
        <f>IF(OR(H469="",H469="sif",H469="PM"),0,VLOOKUP(H469,[5]CU!$C$4:$H$255,6,FALSE))</f>
        <v>60</v>
      </c>
      <c r="O469" s="78">
        <f t="shared" si="108"/>
        <v>0</v>
      </c>
      <c r="P469" s="78">
        <f t="shared" si="108"/>
        <v>23488</v>
      </c>
      <c r="Q469" s="78">
        <f t="shared" si="108"/>
        <v>7887.9999999999982</v>
      </c>
      <c r="R469" s="78">
        <f t="shared" si="108"/>
        <v>15687.999999999998</v>
      </c>
      <c r="S469" s="93">
        <f t="shared" si="110"/>
        <v>47064</v>
      </c>
      <c r="T469" s="80" t="s">
        <v>118</v>
      </c>
      <c r="U469" s="87" t="s">
        <v>170</v>
      </c>
      <c r="V469" s="88" t="str">
        <f>IF(OR($H469="",$H469="sif",$H469="PM"),"",VLOOKUP($H469,[5]CU!$C$5:$J$255,8,FALSE))</f>
        <v>5. Investissement</v>
      </c>
      <c r="W469" s="87" t="s">
        <v>98</v>
      </c>
      <c r="X469" s="87" t="s">
        <v>98</v>
      </c>
      <c r="Y469" s="88" t="s">
        <v>32</v>
      </c>
      <c r="Z469" s="88" t="str">
        <f>A469 &amp; "-" &amp; VLOOKUP(A469,[4]PROGRAMMES!$E$1:$F$7,2,FALSE)</f>
        <v>1-Accès et équité à l'enseignement général</v>
      </c>
      <c r="AA469" s="88" t="str">
        <f>B469 &amp; "-" &amp; VLOOKUP(B469,[4]SOUSPROGRAMMES!$E$1:$F$44,2,FALSE)</f>
        <v xml:space="preserve">17- Santé et hygiène scolaires </v>
      </c>
      <c r="AB469" s="88" t="str">
        <f>C469 &amp; "-" &amp; VLOOKUP(C469,[4]RESULTATS!$E$1:$F$176,2,FALSE)</f>
        <v>171- Les conditions d'hygiène sont améliorées au sein des écoles et établissements</v>
      </c>
      <c r="AC469" s="89" t="str">
        <f>D469 &amp; "-" &amp; VLOOKUP(D469,[4]STRATEGIES!$E$1:$F$504,2,FALSE)</f>
        <v>1712-Aménagement/rénovation des point d'eau</v>
      </c>
      <c r="AD469" s="76" t="str">
        <f t="shared" si="106"/>
        <v>17125-Aménagement de points d’eau en faveur des écoles, centres et établissement scolaires existants, y compris les FA</v>
      </c>
    </row>
    <row r="470" spans="1:30" s="71" customFormat="1" ht="45" hidden="1" customHeight="1" x14ac:dyDescent="0.8">
      <c r="A470" s="91">
        <v>1</v>
      </c>
      <c r="B470" s="75">
        <v>17</v>
      </c>
      <c r="C470" s="75">
        <v>171</v>
      </c>
      <c r="D470" s="75">
        <v>1712</v>
      </c>
      <c r="E470" s="91">
        <v>17126</v>
      </c>
      <c r="F470" s="75" t="s">
        <v>588</v>
      </c>
      <c r="G470" s="76" t="s">
        <v>92</v>
      </c>
      <c r="H470" s="76" t="s">
        <v>55</v>
      </c>
      <c r="I470" s="78">
        <v>0</v>
      </c>
      <c r="J470" s="77">
        <v>1</v>
      </c>
      <c r="K470" s="77">
        <v>1</v>
      </c>
      <c r="L470" s="77">
        <v>1</v>
      </c>
      <c r="M470" s="77">
        <f t="shared" si="109"/>
        <v>3</v>
      </c>
      <c r="N470" s="77">
        <f>IF(OR(H470="",H470="sif",H470="PM"),0,VLOOKUP(H470,[5]CU!$C$4:$H$255,6,FALSE))</f>
        <v>0</v>
      </c>
      <c r="O470" s="77"/>
      <c r="P470" s="77"/>
      <c r="Q470" s="77">
        <f t="shared" si="108"/>
        <v>0</v>
      </c>
      <c r="R470" s="77"/>
      <c r="S470" s="79"/>
      <c r="T470" s="92" t="s">
        <v>169</v>
      </c>
      <c r="U470" s="88" t="s">
        <v>170</v>
      </c>
      <c r="V470" s="88" t="str">
        <f>IF(OR($H470="",$H470="sif",$H470="PM"),"",VLOOKUP($H470,[5]CU!$C$5:$J$255,8,FALSE))</f>
        <v/>
      </c>
      <c r="W470" s="88" t="s">
        <v>98</v>
      </c>
      <c r="X470" s="88" t="s">
        <v>98</v>
      </c>
      <c r="Y470" s="88" t="s">
        <v>32</v>
      </c>
      <c r="Z470" s="88" t="str">
        <f>A470 &amp; "-" &amp; VLOOKUP(A470,[4]PROGRAMMES!$E$1:$F$7,2,FALSE)</f>
        <v>1-Accès et équité à l'enseignement général</v>
      </c>
      <c r="AA470" s="88" t="str">
        <f>B470 &amp; "-" &amp; VLOOKUP(B470,[4]SOUSPROGRAMMES!$E$1:$F$44,2,FALSE)</f>
        <v xml:space="preserve">17- Santé et hygiène scolaires </v>
      </c>
      <c r="AB470" s="88" t="str">
        <f>C470 &amp; "-" &amp; VLOOKUP(C470,[4]RESULTATS!$E$1:$F$176,2,FALSE)</f>
        <v>171- Les conditions d'hygiène sont améliorées au sein des écoles et établissements</v>
      </c>
      <c r="AC470" s="89" t="str">
        <f>D470 &amp; "-" &amp; VLOOKUP(D470,[4]STRATEGIES!$E$1:$F$504,2,FALSE)</f>
        <v>1712-Aménagement/rénovation des point d'eau</v>
      </c>
      <c r="AD470" s="76" t="str">
        <f t="shared" si="106"/>
        <v>17126-Supervision de l'aménagement/rénovation des points d'eau (pris en compte dans supervision construction latrines)</v>
      </c>
    </row>
    <row r="471" spans="1:30" s="71" customFormat="1" ht="45" hidden="1" customHeight="1" x14ac:dyDescent="0.8">
      <c r="A471" s="91">
        <v>1</v>
      </c>
      <c r="B471" s="75">
        <v>17</v>
      </c>
      <c r="C471" s="75">
        <v>171</v>
      </c>
      <c r="D471" s="75">
        <v>1712</v>
      </c>
      <c r="E471" s="91">
        <v>17127</v>
      </c>
      <c r="F471" s="75" t="s">
        <v>589</v>
      </c>
      <c r="G471" s="76" t="s">
        <v>92</v>
      </c>
      <c r="H471" s="76" t="s">
        <v>55</v>
      </c>
      <c r="I471" s="78">
        <v>0</v>
      </c>
      <c r="J471" s="77">
        <v>1</v>
      </c>
      <c r="K471" s="77">
        <v>1</v>
      </c>
      <c r="L471" s="77">
        <v>1</v>
      </c>
      <c r="M471" s="77">
        <f t="shared" si="109"/>
        <v>3</v>
      </c>
      <c r="N471" s="77">
        <f>IF(OR(H471="",H471="sif",H471="PM"),0,VLOOKUP(H471,[5]CU!$C$4:$H$255,6,FALSE))</f>
        <v>0</v>
      </c>
      <c r="O471" s="77"/>
      <c r="P471" s="77"/>
      <c r="Q471" s="77">
        <f t="shared" si="108"/>
        <v>0</v>
      </c>
      <c r="R471" s="77"/>
      <c r="S471" s="79"/>
      <c r="T471" s="92" t="s">
        <v>169</v>
      </c>
      <c r="U471" s="88" t="s">
        <v>170</v>
      </c>
      <c r="V471" s="88" t="str">
        <f>IF(OR($H471="",$H471="sif",$H471="PM"),"",VLOOKUP($H471,[5]CU!$C$5:$J$255,8,FALSE))</f>
        <v/>
      </c>
      <c r="W471" s="88" t="s">
        <v>96</v>
      </c>
      <c r="X471" s="88" t="s">
        <v>578</v>
      </c>
      <c r="Y471" s="88" t="s">
        <v>32</v>
      </c>
      <c r="Z471" s="88" t="str">
        <f>A471 &amp; "-" &amp; VLOOKUP(A471,[4]PROGRAMMES!$E$1:$F$7,2,FALSE)</f>
        <v>1-Accès et équité à l'enseignement général</v>
      </c>
      <c r="AA471" s="88" t="str">
        <f>B471 &amp; "-" &amp; VLOOKUP(B471,[4]SOUSPROGRAMMES!$E$1:$F$44,2,FALSE)</f>
        <v xml:space="preserve">17- Santé et hygiène scolaires </v>
      </c>
      <c r="AB471" s="88" t="str">
        <f>C471 &amp; "-" &amp; VLOOKUP(C471,[4]RESULTATS!$E$1:$F$176,2,FALSE)</f>
        <v>171- Les conditions d'hygiène sont améliorées au sein des écoles et établissements</v>
      </c>
      <c r="AC471" s="89" t="str">
        <f>D471 &amp; "-" &amp; VLOOKUP(D471,[4]STRATEGIES!$E$1:$F$504,2,FALSE)</f>
        <v>1712-Aménagement/rénovation des point d'eau</v>
      </c>
      <c r="AD471" s="76" t="str">
        <f t="shared" si="106"/>
        <v>17127-Suivi/évaluation de l'aménagement/rénovation des points d'eau (suivi travaux construction</v>
      </c>
    </row>
    <row r="472" spans="1:30" s="90" customFormat="1" ht="45" customHeight="1" x14ac:dyDescent="0.8">
      <c r="A472" s="84">
        <v>1</v>
      </c>
      <c r="B472" s="85">
        <v>17</v>
      </c>
      <c r="C472" s="85">
        <v>171</v>
      </c>
      <c r="D472" s="85">
        <v>1713</v>
      </c>
      <c r="E472" s="84">
        <v>1713</v>
      </c>
      <c r="F472" s="75" t="s">
        <v>590</v>
      </c>
      <c r="G472" s="86"/>
      <c r="H472" s="86"/>
      <c r="I472" s="78">
        <v>0</v>
      </c>
      <c r="J472" s="78"/>
      <c r="K472" s="78"/>
      <c r="L472" s="78"/>
      <c r="M472" s="78"/>
      <c r="N472" s="78"/>
      <c r="O472" s="78"/>
      <c r="P472" s="78"/>
      <c r="Q472" s="78"/>
      <c r="R472" s="78"/>
      <c r="S472" s="93"/>
      <c r="T472" s="87"/>
      <c r="U472" s="87"/>
      <c r="V472" s="88"/>
      <c r="W472" s="87"/>
      <c r="X472" s="87"/>
      <c r="Y472" s="88" t="s">
        <v>32</v>
      </c>
      <c r="Z472" s="88" t="str">
        <f>A472 &amp; "-" &amp; VLOOKUP(A472,[4]PROGRAMMES!$E$1:$F$7,2,FALSE)</f>
        <v>1-Accès et équité à l'enseignement général</v>
      </c>
      <c r="AA472" s="88" t="str">
        <f>B472 &amp; "-" &amp; VLOOKUP(B472,[4]SOUSPROGRAMMES!$E$1:$F$44,2,FALSE)</f>
        <v xml:space="preserve">17- Santé et hygiène scolaires </v>
      </c>
      <c r="AB472" s="88" t="str">
        <f>C472 &amp; "-" &amp; VLOOKUP(C472,[4]RESULTATS!$E$1:$F$176,2,FALSE)</f>
        <v>171- Les conditions d'hygiène sont améliorées au sein des écoles et établissements</v>
      </c>
      <c r="AC472" s="89" t="str">
        <f>D472 &amp; "-" &amp; VLOOKUP(D472,[4]STRATEGIES!$E$1:$F$504,2,FALSE)</f>
        <v>1713-Mise en place de kits de lavage des mains dans les écoles et établissements</v>
      </c>
      <c r="AD472" s="76" t="str">
        <f t="shared" si="106"/>
        <v>1713-Mise en place de kits de lavage des mains dans les écoles et établissements</v>
      </c>
    </row>
    <row r="473" spans="1:30" s="90" customFormat="1" ht="45" customHeight="1" x14ac:dyDescent="0.8">
      <c r="A473" s="84">
        <v>1</v>
      </c>
      <c r="B473" s="85">
        <v>17</v>
      </c>
      <c r="C473" s="85">
        <v>171</v>
      </c>
      <c r="D473" s="85">
        <v>1713</v>
      </c>
      <c r="E473" s="84">
        <v>17131</v>
      </c>
      <c r="F473" s="75" t="s">
        <v>591</v>
      </c>
      <c r="G473" s="76" t="s">
        <v>88</v>
      </c>
      <c r="H473" s="86" t="s">
        <v>55</v>
      </c>
      <c r="I473" s="78">
        <v>0</v>
      </c>
      <c r="J473" s="78"/>
      <c r="K473" s="78"/>
      <c r="L473" s="78"/>
      <c r="M473" s="78"/>
      <c r="N473" s="78">
        <f>IF(OR(H473="",H473="sif",H473="PM"),0,VLOOKUP(H473,[5]CU!$C$4:$H$255,6,FALSE))</f>
        <v>0</v>
      </c>
      <c r="O473" s="78"/>
      <c r="P473" s="78"/>
      <c r="Q473" s="78"/>
      <c r="R473" s="78"/>
      <c r="S473" s="93"/>
      <c r="T473" s="80" t="s">
        <v>221</v>
      </c>
      <c r="U473" s="87" t="s">
        <v>170</v>
      </c>
      <c r="V473" s="88" t="str">
        <f>IF(OR($H473="",$H473="sif",$H473="PM"),"",VLOOKUP($H473,[5]CU!$C$5:$J$255,8,FALSE))</f>
        <v/>
      </c>
      <c r="W473" s="87" t="s">
        <v>96</v>
      </c>
      <c r="X473" s="87" t="s">
        <v>179</v>
      </c>
      <c r="Y473" s="88" t="s">
        <v>32</v>
      </c>
      <c r="Z473" s="88" t="str">
        <f>A473 &amp; "-" &amp; VLOOKUP(A473,[4]PROGRAMMES!$E$1:$F$7,2,FALSE)</f>
        <v>1-Accès et équité à l'enseignement général</v>
      </c>
      <c r="AA473" s="88" t="str">
        <f>B473 &amp; "-" &amp; VLOOKUP(B473,[4]SOUSPROGRAMMES!$E$1:$F$44,2,FALSE)</f>
        <v xml:space="preserve">17- Santé et hygiène scolaires </v>
      </c>
      <c r="AB473" s="88" t="str">
        <f>C473 &amp; "-" &amp; VLOOKUP(C473,[4]RESULTATS!$E$1:$F$176,2,FALSE)</f>
        <v>171- Les conditions d'hygiène sont améliorées au sein des écoles et établissements</v>
      </c>
      <c r="AC473" s="89" t="str">
        <f>D473 &amp; "-" &amp; VLOOKUP(D473,[4]STRATEGIES!$E$1:$F$504,2,FALSE)</f>
        <v>1713-Mise en place de kits de lavage des mains dans les écoles et établissements</v>
      </c>
      <c r="AD473" s="76" t="str">
        <f t="shared" si="106"/>
        <v>17131-Identification des écoles et établissements devant bénéficier de kits de lavage des mains et estimation des besoins en savon et eau de javel</v>
      </c>
    </row>
    <row r="474" spans="1:30" s="90" customFormat="1" ht="45" customHeight="1" x14ac:dyDescent="0.8">
      <c r="A474" s="84">
        <v>1</v>
      </c>
      <c r="B474" s="85">
        <v>17</v>
      </c>
      <c r="C474" s="85">
        <v>171</v>
      </c>
      <c r="D474" s="85">
        <v>1713</v>
      </c>
      <c r="E474" s="84">
        <v>17132</v>
      </c>
      <c r="F474" s="75" t="s">
        <v>592</v>
      </c>
      <c r="G474" s="76" t="s">
        <v>593</v>
      </c>
      <c r="H474" s="86" t="s">
        <v>594</v>
      </c>
      <c r="I474" s="78">
        <v>0</v>
      </c>
      <c r="J474" s="78">
        <f>((((7614*0.1)+(653*0.1)+(226)+(340*0.5))*2))*50%</f>
        <v>1222.7</v>
      </c>
      <c r="K474" s="78">
        <f>((1333/2)*2)*50%</f>
        <v>666.5</v>
      </c>
      <c r="L474" s="78">
        <f>((1333/2)*2)*50%</f>
        <v>666.5</v>
      </c>
      <c r="M474" s="78">
        <f>SUM(I474:L474)</f>
        <v>2555.6999999999998</v>
      </c>
      <c r="N474" s="78">
        <f>IF(OR(H474="",H474="sif",H474="PM"),0,VLOOKUP(H474,[5]CU!$C$4:$H$255,6,FALSE))</f>
        <v>1.5</v>
      </c>
      <c r="O474" s="78">
        <f t="shared" ref="O474:R475" si="111">$N474*I474</f>
        <v>0</v>
      </c>
      <c r="P474" s="78">
        <f t="shared" si="111"/>
        <v>1834.0500000000002</v>
      </c>
      <c r="Q474" s="78">
        <f t="shared" si="111"/>
        <v>999.75</v>
      </c>
      <c r="R474" s="78">
        <f t="shared" si="111"/>
        <v>999.75</v>
      </c>
      <c r="S474" s="93">
        <f>SUM(O474:R474)</f>
        <v>3833.55</v>
      </c>
      <c r="T474" s="80" t="s">
        <v>221</v>
      </c>
      <c r="U474" s="87" t="s">
        <v>170</v>
      </c>
      <c r="V474" s="88" t="str">
        <f>IF(OR($H474="",$H474="sif",$H474="PM"),"",VLOOKUP($H474,[5]CU!$C$5:$J$255,8,FALSE))</f>
        <v>4. Transferts et subventions</v>
      </c>
      <c r="W474" s="87" t="s">
        <v>595</v>
      </c>
      <c r="X474" s="87" t="s">
        <v>595</v>
      </c>
      <c r="Y474" s="88" t="s">
        <v>32</v>
      </c>
      <c r="Z474" s="88" t="str">
        <f>A474 &amp; "-" &amp; VLOOKUP(A474,[4]PROGRAMMES!$E$1:$F$7,2,FALSE)</f>
        <v>1-Accès et équité à l'enseignement général</v>
      </c>
      <c r="AA474" s="88" t="str">
        <f>B474 &amp; "-" &amp; VLOOKUP(B474,[4]SOUSPROGRAMMES!$E$1:$F$44,2,FALSE)</f>
        <v xml:space="preserve">17- Santé et hygiène scolaires </v>
      </c>
      <c r="AB474" s="88" t="str">
        <f>C474 &amp; "-" &amp; VLOOKUP(C474,[4]RESULTATS!$E$1:$F$176,2,FALSE)</f>
        <v>171- Les conditions d'hygiène sont améliorées au sein des écoles et établissements</v>
      </c>
      <c r="AC474" s="89" t="str">
        <f>D474 &amp; "-" &amp; VLOOKUP(D474,[4]STRATEGIES!$E$1:$F$504,2,FALSE)</f>
        <v>1713-Mise en place de kits de lavage des mains dans les écoles et établissements</v>
      </c>
      <c r="AD474" s="76" t="str">
        <f t="shared" si="106"/>
        <v>17132-Acquisition et distribution de kits de lavage des mains</v>
      </c>
    </row>
    <row r="475" spans="1:30" s="90" customFormat="1" ht="45" customHeight="1" x14ac:dyDescent="0.8">
      <c r="A475" s="84">
        <v>1</v>
      </c>
      <c r="B475" s="85">
        <v>17</v>
      </c>
      <c r="C475" s="85">
        <v>171</v>
      </c>
      <c r="D475" s="85">
        <v>1713</v>
      </c>
      <c r="E475" s="84">
        <v>17132</v>
      </c>
      <c r="F475" s="75" t="s">
        <v>592</v>
      </c>
      <c r="G475" s="76" t="s">
        <v>593</v>
      </c>
      <c r="H475" s="86" t="s">
        <v>594</v>
      </c>
      <c r="I475" s="78">
        <v>0</v>
      </c>
      <c r="J475" s="78">
        <f>((((7614*0.1)+(653*0.1)+(226)+(340*0.5))*2))*50%</f>
        <v>1222.7</v>
      </c>
      <c r="K475" s="78">
        <f>((1333/2)*2)*50%</f>
        <v>666.5</v>
      </c>
      <c r="L475" s="78">
        <f>((1333/2)*2)*50%</f>
        <v>666.5</v>
      </c>
      <c r="M475" s="78">
        <f>SUM(I475:L475)</f>
        <v>2555.6999999999998</v>
      </c>
      <c r="N475" s="78">
        <f>IF(OR(H475="",H475="sif",H475="PM"),0,VLOOKUP(H475,[5]CU!$C$4:$H$255,6,FALSE))</f>
        <v>1.5</v>
      </c>
      <c r="O475" s="78">
        <f t="shared" si="111"/>
        <v>0</v>
      </c>
      <c r="P475" s="78">
        <f t="shared" si="111"/>
        <v>1834.0500000000002</v>
      </c>
      <c r="Q475" s="78">
        <f t="shared" si="111"/>
        <v>999.75</v>
      </c>
      <c r="R475" s="78">
        <f t="shared" si="111"/>
        <v>999.75</v>
      </c>
      <c r="S475" s="93">
        <f>SUM(O475:R475)</f>
        <v>3833.55</v>
      </c>
      <c r="T475" s="80" t="s">
        <v>118</v>
      </c>
      <c r="U475" s="87" t="s">
        <v>170</v>
      </c>
      <c r="V475" s="88" t="str">
        <f>IF(OR($H475="",$H475="sif",$H475="PM"),"",VLOOKUP($H475,[5]CU!$C$5:$J$255,8,FALSE))</f>
        <v>4. Transferts et subventions</v>
      </c>
      <c r="W475" s="87" t="s">
        <v>595</v>
      </c>
      <c r="X475" s="87" t="s">
        <v>595</v>
      </c>
      <c r="Y475" s="88" t="s">
        <v>32</v>
      </c>
      <c r="Z475" s="88" t="str">
        <f>A475 &amp; "-" &amp; VLOOKUP(A475,[4]PROGRAMMES!$E$1:$F$7,2,FALSE)</f>
        <v>1-Accès et équité à l'enseignement général</v>
      </c>
      <c r="AA475" s="88" t="str">
        <f>B475 &amp; "-" &amp; VLOOKUP(B475,[4]SOUSPROGRAMMES!$E$1:$F$44,2,FALSE)</f>
        <v xml:space="preserve">17- Santé et hygiène scolaires </v>
      </c>
      <c r="AB475" s="88" t="str">
        <f>C475 &amp; "-" &amp; VLOOKUP(C475,[4]RESULTATS!$E$1:$F$176,2,FALSE)</f>
        <v>171- Les conditions d'hygiène sont améliorées au sein des écoles et établissements</v>
      </c>
      <c r="AC475" s="89" t="str">
        <f>D475 &amp; "-" &amp; VLOOKUP(D475,[4]STRATEGIES!$E$1:$F$504,2,FALSE)</f>
        <v>1713-Mise en place de kits de lavage des mains dans les écoles et établissements</v>
      </c>
      <c r="AD475" s="76" t="str">
        <f t="shared" si="106"/>
        <v>17132-Acquisition et distribution de kits de lavage des mains</v>
      </c>
    </row>
    <row r="476" spans="1:30" s="90" customFormat="1" ht="45" customHeight="1" x14ac:dyDescent="0.8">
      <c r="A476" s="84">
        <v>1</v>
      </c>
      <c r="B476" s="85">
        <v>17</v>
      </c>
      <c r="C476" s="85">
        <v>171</v>
      </c>
      <c r="D476" s="85">
        <v>1713</v>
      </c>
      <c r="E476" s="84">
        <v>17133</v>
      </c>
      <c r="F476" s="75" t="s">
        <v>596</v>
      </c>
      <c r="G476" s="76" t="s">
        <v>159</v>
      </c>
      <c r="H476" s="86"/>
      <c r="I476" s="78">
        <v>0</v>
      </c>
      <c r="J476" s="78"/>
      <c r="K476" s="78"/>
      <c r="L476" s="78"/>
      <c r="M476" s="78"/>
      <c r="N476" s="78">
        <f>IF(OR(H476="",H476="sif",H476="PM"),0,VLOOKUP(H476,[5]CU!$C$4:$H$255,6,FALSE))</f>
        <v>0</v>
      </c>
      <c r="O476" s="78"/>
      <c r="P476" s="78"/>
      <c r="Q476" s="78"/>
      <c r="R476" s="78"/>
      <c r="S476" s="93"/>
      <c r="T476" s="80" t="s">
        <v>221</v>
      </c>
      <c r="U476" s="87" t="s">
        <v>170</v>
      </c>
      <c r="V476" s="88" t="str">
        <f>IF(OR($H476="",$H476="sif",$H476="PM"),"",VLOOKUP($H476,[5]CU!$C$5:$J$255,8,FALSE))</f>
        <v/>
      </c>
      <c r="W476" s="87" t="s">
        <v>595</v>
      </c>
      <c r="X476" s="87" t="s">
        <v>595</v>
      </c>
      <c r="Y476" s="88" t="s">
        <v>32</v>
      </c>
      <c r="Z476" s="88" t="str">
        <f>A476 &amp; "-" &amp; VLOOKUP(A476,[4]PROGRAMMES!$E$1:$F$7,2,FALSE)</f>
        <v>1-Accès et équité à l'enseignement général</v>
      </c>
      <c r="AA476" s="88" t="str">
        <f>B476 &amp; "-" &amp; VLOOKUP(B476,[4]SOUSPROGRAMMES!$E$1:$F$44,2,FALSE)</f>
        <v xml:space="preserve">17- Santé et hygiène scolaires </v>
      </c>
      <c r="AB476" s="88" t="str">
        <f>C476 &amp; "-" &amp; VLOOKUP(C476,[4]RESULTATS!$E$1:$F$176,2,FALSE)</f>
        <v>171- Les conditions d'hygiène sont améliorées au sein des écoles et établissements</v>
      </c>
      <c r="AC476" s="89" t="str">
        <f>D476 &amp; "-" &amp; VLOOKUP(D476,[4]STRATEGIES!$E$1:$F$504,2,FALSE)</f>
        <v>1713-Mise en place de kits de lavage des mains dans les écoles et établissements</v>
      </c>
      <c r="AD476" s="76" t="str">
        <f t="shared" si="106"/>
        <v>17133-Acquisition et distribution de savon et eau de javel aux écoles (pris en compte dans subvention aux écoles)</v>
      </c>
    </row>
    <row r="477" spans="1:30" s="90" customFormat="1" ht="45" customHeight="1" x14ac:dyDescent="0.8">
      <c r="A477" s="84">
        <v>1</v>
      </c>
      <c r="B477" s="85">
        <v>17</v>
      </c>
      <c r="C477" s="85">
        <v>171</v>
      </c>
      <c r="D477" s="85">
        <v>1713</v>
      </c>
      <c r="E477" s="84">
        <v>17134</v>
      </c>
      <c r="F477" s="75" t="s">
        <v>597</v>
      </c>
      <c r="G477" s="76" t="s">
        <v>159</v>
      </c>
      <c r="H477" s="86" t="s">
        <v>55</v>
      </c>
      <c r="I477" s="78">
        <v>0</v>
      </c>
      <c r="J477" s="78"/>
      <c r="K477" s="78"/>
      <c r="L477" s="78"/>
      <c r="M477" s="78"/>
      <c r="N477" s="78">
        <f>IF(OR(H477="",H477="sif",H477="PM"),0,VLOOKUP(H477,[5]CU!$C$4:$H$255,6,FALSE))</f>
        <v>0</v>
      </c>
      <c r="O477" s="78"/>
      <c r="P477" s="78"/>
      <c r="Q477" s="78"/>
      <c r="R477" s="78"/>
      <c r="S477" s="93"/>
      <c r="T477" s="80" t="s">
        <v>221</v>
      </c>
      <c r="U477" s="87" t="s">
        <v>170</v>
      </c>
      <c r="V477" s="88" t="str">
        <f>IF(OR($H477="",$H477="sif",$H477="PM"),"",VLOOKUP($H477,[5]CU!$C$5:$J$255,8,FALSE))</f>
        <v/>
      </c>
      <c r="W477" s="87" t="s">
        <v>77</v>
      </c>
      <c r="X477" s="87" t="s">
        <v>598</v>
      </c>
      <c r="Y477" s="88" t="s">
        <v>32</v>
      </c>
      <c r="Z477" s="88" t="str">
        <f>A477 &amp; "-" &amp; VLOOKUP(A477,[4]PROGRAMMES!$E$1:$F$7,2,FALSE)</f>
        <v>1-Accès et équité à l'enseignement général</v>
      </c>
      <c r="AA477" s="88" t="str">
        <f>B477 &amp; "-" &amp; VLOOKUP(B477,[4]SOUSPROGRAMMES!$E$1:$F$44,2,FALSE)</f>
        <v xml:space="preserve">17- Santé et hygiène scolaires </v>
      </c>
      <c r="AB477" s="88" t="str">
        <f>C477 &amp; "-" &amp; VLOOKUP(C477,[4]RESULTATS!$E$1:$F$176,2,FALSE)</f>
        <v>171- Les conditions d'hygiène sont améliorées au sein des écoles et établissements</v>
      </c>
      <c r="AC477" s="89" t="str">
        <f>D477 &amp; "-" &amp; VLOOKUP(D477,[4]STRATEGIES!$E$1:$F$504,2,FALSE)</f>
        <v>1713-Mise en place de kits de lavage des mains dans les écoles et établissements</v>
      </c>
      <c r="AD477" s="76" t="str">
        <f t="shared" si="106"/>
        <v>17134-Sensibilisation des APEAE sur la fourniture régulière de savon et eau de javel aux écoles</v>
      </c>
    </row>
    <row r="478" spans="1:30" s="90" customFormat="1" ht="45" customHeight="1" x14ac:dyDescent="0.8">
      <c r="A478" s="84">
        <v>1</v>
      </c>
      <c r="B478" s="85">
        <v>17</v>
      </c>
      <c r="C478" s="85">
        <v>171</v>
      </c>
      <c r="D478" s="85">
        <v>1713</v>
      </c>
      <c r="E478" s="84">
        <v>17135</v>
      </c>
      <c r="F478" s="75" t="s">
        <v>599</v>
      </c>
      <c r="G478" s="76" t="s">
        <v>92</v>
      </c>
      <c r="H478" s="86" t="s">
        <v>55</v>
      </c>
      <c r="I478" s="78">
        <v>0</v>
      </c>
      <c r="J478" s="78"/>
      <c r="K478" s="78"/>
      <c r="L478" s="78"/>
      <c r="M478" s="78"/>
      <c r="N478" s="78">
        <f>IF(OR(H478="",H478="sif",H478="PM"),0,VLOOKUP(H478,[5]CU!$C$4:$H$255,6,FALSE))</f>
        <v>0</v>
      </c>
      <c r="O478" s="78"/>
      <c r="P478" s="78"/>
      <c r="Q478" s="78"/>
      <c r="R478" s="78"/>
      <c r="S478" s="93"/>
      <c r="T478" s="80" t="s">
        <v>221</v>
      </c>
      <c r="U478" s="87" t="s">
        <v>170</v>
      </c>
      <c r="V478" s="88" t="str">
        <f>IF(OR($H478="",$H478="sif",$H478="PM"),"",VLOOKUP($H478,[5]CU!$C$5:$J$255,8,FALSE))</f>
        <v/>
      </c>
      <c r="W478" s="87" t="s">
        <v>96</v>
      </c>
      <c r="X478" s="87" t="s">
        <v>77</v>
      </c>
      <c r="Y478" s="88" t="s">
        <v>32</v>
      </c>
      <c r="Z478" s="88" t="str">
        <f>A478 &amp; "-" &amp; VLOOKUP(A478,[4]PROGRAMMES!$E$1:$F$7,2,FALSE)</f>
        <v>1-Accès et équité à l'enseignement général</v>
      </c>
      <c r="AA478" s="88" t="str">
        <f>B478 &amp; "-" &amp; VLOOKUP(B478,[4]SOUSPROGRAMMES!$E$1:$F$44,2,FALSE)</f>
        <v xml:space="preserve">17- Santé et hygiène scolaires </v>
      </c>
      <c r="AB478" s="88" t="str">
        <f>C478 &amp; "-" &amp; VLOOKUP(C478,[4]RESULTATS!$E$1:$F$176,2,FALSE)</f>
        <v>171- Les conditions d'hygiène sont améliorées au sein des écoles et établissements</v>
      </c>
      <c r="AC478" s="89" t="str">
        <f>D478 &amp; "-" &amp; VLOOKUP(D478,[4]STRATEGIES!$E$1:$F$504,2,FALSE)</f>
        <v>1713-Mise en place de kits de lavage des mains dans les écoles et établissements</v>
      </c>
      <c r="AD478" s="76" t="str">
        <f t="shared" si="106"/>
        <v>17135-Suivi/évaluation de l'utilisation des kits de lavage des mains dans les établissements</v>
      </c>
    </row>
    <row r="479" spans="1:30" s="90" customFormat="1" ht="45" customHeight="1" x14ac:dyDescent="0.8">
      <c r="A479" s="84">
        <v>1</v>
      </c>
      <c r="B479" s="85">
        <v>17</v>
      </c>
      <c r="C479" s="85">
        <v>172</v>
      </c>
      <c r="D479" s="85">
        <v>172</v>
      </c>
      <c r="E479" s="84">
        <v>172</v>
      </c>
      <c r="F479" s="75" t="s">
        <v>600</v>
      </c>
      <c r="G479" s="86"/>
      <c r="H479" s="86"/>
      <c r="I479" s="78">
        <v>0</v>
      </c>
      <c r="J479" s="78"/>
      <c r="K479" s="78"/>
      <c r="L479" s="78"/>
      <c r="M479" s="78"/>
      <c r="N479" s="78"/>
      <c r="O479" s="78"/>
      <c r="P479" s="78"/>
      <c r="Q479" s="78"/>
      <c r="R479" s="78"/>
      <c r="S479" s="93"/>
      <c r="T479" s="87"/>
      <c r="U479" s="87"/>
      <c r="V479" s="88"/>
      <c r="W479" s="87"/>
      <c r="X479" s="87"/>
      <c r="Y479" s="88" t="s">
        <v>32</v>
      </c>
      <c r="Z479" s="88" t="str">
        <f>A479 &amp; "-" &amp; VLOOKUP(A479,[4]PROGRAMMES!$E$1:$F$7,2,FALSE)</f>
        <v>1-Accès et équité à l'enseignement général</v>
      </c>
      <c r="AA479" s="88" t="str">
        <f>B479 &amp; "-" &amp; VLOOKUP(B479,[4]SOUSPROGRAMMES!$E$1:$F$44,2,FALSE)</f>
        <v xml:space="preserve">17- Santé et hygiène scolaires </v>
      </c>
      <c r="AB479" s="88" t="str">
        <f>C479 &amp; "-" &amp; VLOOKUP(C479,[4]RESULTATS!$E$1:$F$176,2,FALSE)</f>
        <v>172- La santé scolaire est améliorée au sein des écoles et établissements scolaires, y compris les FA</v>
      </c>
      <c r="AC479" s="89" t="str">
        <f>D479 &amp; "-" &amp; VLOOKUP(D479,[4]STRATEGIES!$E$1:$F$504,2,FALSE)</f>
        <v>172- La santé scolaire est améliorée au sein des écoles et établissements scolaires, y compris les FA</v>
      </c>
      <c r="AD479" s="76" t="str">
        <f t="shared" si="106"/>
        <v>172- La santé scolaire est améliorée au sein des écoles et établissements scolaires, y compris les FA</v>
      </c>
    </row>
    <row r="480" spans="1:30" s="90" customFormat="1" ht="45" customHeight="1" x14ac:dyDescent="0.8">
      <c r="A480" s="84">
        <v>1</v>
      </c>
      <c r="B480" s="85">
        <v>17</v>
      </c>
      <c r="C480" s="85">
        <v>172</v>
      </c>
      <c r="D480" s="85">
        <v>1721</v>
      </c>
      <c r="E480" s="84">
        <v>1721</v>
      </c>
      <c r="F480" s="75" t="s">
        <v>601</v>
      </c>
      <c r="G480" s="86"/>
      <c r="H480" s="86"/>
      <c r="I480" s="78">
        <v>0</v>
      </c>
      <c r="J480" s="78"/>
      <c r="K480" s="78"/>
      <c r="L480" s="78"/>
      <c r="M480" s="78"/>
      <c r="N480" s="78"/>
      <c r="O480" s="78"/>
      <c r="P480" s="78"/>
      <c r="Q480" s="78"/>
      <c r="R480" s="78"/>
      <c r="S480" s="93"/>
      <c r="T480" s="87"/>
      <c r="U480" s="87"/>
      <c r="V480" s="88"/>
      <c r="W480" s="87"/>
      <c r="X480" s="87"/>
      <c r="Y480" s="88" t="s">
        <v>32</v>
      </c>
      <c r="Z480" s="88" t="str">
        <f>A480 &amp; "-" &amp; VLOOKUP(A480,[4]PROGRAMMES!$E$1:$F$7,2,FALSE)</f>
        <v>1-Accès et équité à l'enseignement général</v>
      </c>
      <c r="AA480" s="88" t="str">
        <f>B480 &amp; "-" &amp; VLOOKUP(B480,[4]SOUSPROGRAMMES!$E$1:$F$44,2,FALSE)</f>
        <v xml:space="preserve">17- Santé et hygiène scolaires </v>
      </c>
      <c r="AB480" s="88" t="str">
        <f>C480 &amp; "-" &amp; VLOOKUP(C480,[4]RESULTATS!$E$1:$F$176,2,FALSE)</f>
        <v>172- La santé scolaire est améliorée au sein des écoles et établissements scolaires, y compris les FA</v>
      </c>
      <c r="AC480" s="89" t="str">
        <f>D480 &amp; "-" &amp; VLOOKUP(D480,[4]STRATEGIES!$E$1:$F$504,2,FALSE)</f>
        <v>1721-Mise à disposition des écoles et établissements d'infirmerie et de boîte à pharmacie</v>
      </c>
      <c r="AD480" s="76" t="str">
        <f t="shared" si="106"/>
        <v>1721-Mise à disposition des écoles et établissements d'infirmerie et de boîte à pharmacie</v>
      </c>
    </row>
    <row r="481" spans="1:30" s="90" customFormat="1" ht="45" hidden="1" customHeight="1" x14ac:dyDescent="0.8">
      <c r="A481" s="84">
        <v>1</v>
      </c>
      <c r="B481" s="85">
        <v>17</v>
      </c>
      <c r="C481" s="85">
        <v>172</v>
      </c>
      <c r="D481" s="85">
        <v>1721</v>
      </c>
      <c r="E481" s="84">
        <v>17211</v>
      </c>
      <c r="F481" s="75" t="s">
        <v>602</v>
      </c>
      <c r="G481" s="76" t="s">
        <v>88</v>
      </c>
      <c r="H481" s="86" t="s">
        <v>55</v>
      </c>
      <c r="I481" s="78">
        <v>0</v>
      </c>
      <c r="J481" s="78"/>
      <c r="K481" s="78"/>
      <c r="L481" s="78"/>
      <c r="M481" s="78"/>
      <c r="N481" s="78">
        <f>IF(OR(H481="",H481="sif",H481="PM"),0,VLOOKUP(H481,[5]CU!$C$4:$H$255,6,FALSE))</f>
        <v>0</v>
      </c>
      <c r="O481" s="78"/>
      <c r="P481" s="78"/>
      <c r="Q481" s="78"/>
      <c r="R481" s="78"/>
      <c r="S481" s="93"/>
      <c r="T481" s="80" t="s">
        <v>56</v>
      </c>
      <c r="U481" s="87" t="s">
        <v>170</v>
      </c>
      <c r="V481" s="88" t="str">
        <f>IF(OR($H481="",$H481="sif",$H481="PM"),"",VLOOKUP($H481,[5]CU!$C$5:$J$255,8,FALSE))</f>
        <v/>
      </c>
      <c r="W481" s="87" t="s">
        <v>595</v>
      </c>
      <c r="X481" s="87" t="s">
        <v>96</v>
      </c>
      <c r="Y481" s="88" t="s">
        <v>32</v>
      </c>
      <c r="Z481" s="88" t="str">
        <f>A481 &amp; "-" &amp; VLOOKUP(A481,[4]PROGRAMMES!$E$1:$F$7,2,FALSE)</f>
        <v>1-Accès et équité à l'enseignement général</v>
      </c>
      <c r="AA481" s="88" t="str">
        <f>B481 &amp; "-" &amp; VLOOKUP(B481,[4]SOUSPROGRAMMES!$E$1:$F$44,2,FALSE)</f>
        <v xml:space="preserve">17- Santé et hygiène scolaires </v>
      </c>
      <c r="AB481" s="88" t="str">
        <f>C481 &amp; "-" &amp; VLOOKUP(C481,[4]RESULTATS!$E$1:$F$176,2,FALSE)</f>
        <v>172- La santé scolaire est améliorée au sein des écoles et établissements scolaires, y compris les FA</v>
      </c>
      <c r="AC481" s="89" t="str">
        <f>D481 &amp; "-" &amp; VLOOKUP(D481,[4]STRATEGIES!$E$1:$F$504,2,FALSE)</f>
        <v>1721-Mise à disposition des écoles et établissements d'infirmerie et de boîte à pharmacie</v>
      </c>
      <c r="AD481" s="76" t="str">
        <f t="shared" si="106"/>
        <v>17211-Classification des écoles et établissements selon la taille et identification des infirmeries scolaires existantes</v>
      </c>
    </row>
    <row r="482" spans="1:30" s="90" customFormat="1" ht="45" hidden="1" customHeight="1" x14ac:dyDescent="0.8">
      <c r="A482" s="84">
        <v>1</v>
      </c>
      <c r="B482" s="85">
        <v>17</v>
      </c>
      <c r="C482" s="85">
        <v>172</v>
      </c>
      <c r="D482" s="85">
        <v>1721</v>
      </c>
      <c r="E482" s="84">
        <v>17212</v>
      </c>
      <c r="F482" s="75" t="s">
        <v>603</v>
      </c>
      <c r="G482" s="76" t="s">
        <v>604</v>
      </c>
      <c r="H482" s="86" t="s">
        <v>605</v>
      </c>
      <c r="I482" s="78">
        <v>0</v>
      </c>
      <c r="J482" s="78">
        <f>33*0.3</f>
        <v>9.9</v>
      </c>
      <c r="K482" s="78">
        <f>33*0.5</f>
        <v>16.5</v>
      </c>
      <c r="L482" s="78">
        <f>33*0.2</f>
        <v>6.6000000000000005</v>
      </c>
      <c r="M482" s="78">
        <f t="shared" ref="M482:M498" si="112">SUM(I482:L482)</f>
        <v>33</v>
      </c>
      <c r="N482" s="78">
        <f>IF(OR(H482="",H482="sif",H482="PM"),0,VLOOKUP(H482,[5]CU!$C$4:$H$255,6,FALSE))</f>
        <v>33.75</v>
      </c>
      <c r="O482" s="78">
        <f t="shared" ref="O482:R484" si="113">$N482*I482</f>
        <v>0</v>
      </c>
      <c r="P482" s="78">
        <f t="shared" si="113"/>
        <v>334.125</v>
      </c>
      <c r="Q482" s="78">
        <f t="shared" si="113"/>
        <v>556.875</v>
      </c>
      <c r="R482" s="78">
        <f t="shared" si="113"/>
        <v>222.75000000000003</v>
      </c>
      <c r="S482" s="93">
        <f>SUM(O482:R482)</f>
        <v>1113.75</v>
      </c>
      <c r="T482" s="80" t="s">
        <v>56</v>
      </c>
      <c r="U482" s="87" t="s">
        <v>170</v>
      </c>
      <c r="V482" s="88" t="str">
        <f>IF(OR($H482="",$H482="sif",$H482="PM"),"",VLOOKUP($H482,[5]CU!$C$5:$J$255,8,FALSE))</f>
        <v>5. Investissement</v>
      </c>
      <c r="W482" s="87" t="s">
        <v>98</v>
      </c>
      <c r="X482" s="87" t="s">
        <v>606</v>
      </c>
      <c r="Y482" s="88" t="s">
        <v>32</v>
      </c>
      <c r="Z482" s="88" t="str">
        <f>A482 &amp; "-" &amp; VLOOKUP(A482,[4]PROGRAMMES!$E$1:$F$7,2,FALSE)</f>
        <v>1-Accès et équité à l'enseignement général</v>
      </c>
      <c r="AA482" s="88" t="str">
        <f>B482 &amp; "-" &amp; VLOOKUP(B482,[4]SOUSPROGRAMMES!$E$1:$F$44,2,FALSE)</f>
        <v xml:space="preserve">17- Santé et hygiène scolaires </v>
      </c>
      <c r="AB482" s="88" t="str">
        <f>C482 &amp; "-" &amp; VLOOKUP(C482,[4]RESULTATS!$E$1:$F$176,2,FALSE)</f>
        <v>172- La santé scolaire est améliorée au sein des écoles et établissements scolaires, y compris les FA</v>
      </c>
      <c r="AC482" s="89" t="str">
        <f>D482 &amp; "-" &amp; VLOOKUP(D482,[4]STRATEGIES!$E$1:$F$504,2,FALSE)</f>
        <v>1721-Mise à disposition des écoles et établissements d'infirmerie et de boîte à pharmacie</v>
      </c>
      <c r="AD482" s="76" t="str">
        <f t="shared" si="106"/>
        <v>17212-Rénovation des infirmeries scolaires</v>
      </c>
    </row>
    <row r="483" spans="1:30" s="90" customFormat="1" ht="45" hidden="1" customHeight="1" x14ac:dyDescent="0.8">
      <c r="A483" s="84">
        <v>1</v>
      </c>
      <c r="B483" s="85">
        <v>17</v>
      </c>
      <c r="C483" s="85">
        <v>172</v>
      </c>
      <c r="D483" s="85">
        <v>1721</v>
      </c>
      <c r="E483" s="84">
        <v>17213</v>
      </c>
      <c r="F483" s="75" t="s">
        <v>607</v>
      </c>
      <c r="G483" s="76" t="s">
        <v>106</v>
      </c>
      <c r="H483" s="86" t="s">
        <v>608</v>
      </c>
      <c r="I483" s="78">
        <v>0</v>
      </c>
      <c r="J483" s="78">
        <f>J482+10</f>
        <v>19.899999999999999</v>
      </c>
      <c r="K483" s="78">
        <f>K482+10</f>
        <v>26.5</v>
      </c>
      <c r="L483" s="78">
        <f>L482+10</f>
        <v>16.600000000000001</v>
      </c>
      <c r="M483" s="78">
        <f t="shared" si="112"/>
        <v>63</v>
      </c>
      <c r="N483" s="78">
        <f>IF(OR(H483="",H483="sif",H483="PM"),0,VLOOKUP(H483,[5]CU!$C$4:$H$255,6,FALSE))</f>
        <v>39.549999999999997</v>
      </c>
      <c r="O483" s="78">
        <f t="shared" si="113"/>
        <v>0</v>
      </c>
      <c r="P483" s="78">
        <f t="shared" si="113"/>
        <v>787.04499999999985</v>
      </c>
      <c r="Q483" s="78">
        <f t="shared" si="113"/>
        <v>1048.0749999999998</v>
      </c>
      <c r="R483" s="78">
        <f t="shared" si="113"/>
        <v>656.53</v>
      </c>
      <c r="S483" s="93">
        <f>SUM(O483:R483)</f>
        <v>2491.6499999999996</v>
      </c>
      <c r="T483" s="80" t="s">
        <v>56</v>
      </c>
      <c r="U483" s="87" t="s">
        <v>170</v>
      </c>
      <c r="V483" s="88" t="str">
        <f>IF(OR($H483="",$H483="sif",$H483="PM"),"",VLOOKUP($H483,[5]CU!$C$5:$J$255,8,FALSE))</f>
        <v>5. Investissement</v>
      </c>
      <c r="W483" s="87" t="s">
        <v>595</v>
      </c>
      <c r="X483" s="87" t="s">
        <v>609</v>
      </c>
      <c r="Y483" s="88" t="s">
        <v>32</v>
      </c>
      <c r="Z483" s="88" t="str">
        <f>A483 &amp; "-" &amp; VLOOKUP(A483,[4]PROGRAMMES!$E$1:$F$7,2,FALSE)</f>
        <v>1-Accès et équité à l'enseignement général</v>
      </c>
      <c r="AA483" s="88" t="str">
        <f>B483 &amp; "-" &amp; VLOOKUP(B483,[4]SOUSPROGRAMMES!$E$1:$F$44,2,FALSE)</f>
        <v xml:space="preserve">17- Santé et hygiène scolaires </v>
      </c>
      <c r="AB483" s="88" t="str">
        <f>C483 &amp; "-" &amp; VLOOKUP(C483,[4]RESULTATS!$E$1:$F$176,2,FALSE)</f>
        <v>172- La santé scolaire est améliorée au sein des écoles et établissements scolaires, y compris les FA</v>
      </c>
      <c r="AC483" s="89" t="str">
        <f>D483 &amp; "-" &amp; VLOOKUP(D483,[4]STRATEGIES!$E$1:$F$504,2,FALSE)</f>
        <v>1721-Mise à disposition des écoles et établissements d'infirmerie et de boîte à pharmacie</v>
      </c>
      <c r="AD483" s="76" t="str">
        <f t="shared" si="106"/>
        <v>17213-Equipement des infirmeries scolaires</v>
      </c>
    </row>
    <row r="484" spans="1:30" s="90" customFormat="1" ht="45" hidden="1" customHeight="1" x14ac:dyDescent="0.8">
      <c r="A484" s="84">
        <v>1</v>
      </c>
      <c r="B484" s="85">
        <v>17</v>
      </c>
      <c r="C484" s="85">
        <v>172</v>
      </c>
      <c r="D484" s="85">
        <v>1721</v>
      </c>
      <c r="E484" s="84">
        <v>17214</v>
      </c>
      <c r="F484" s="75" t="s">
        <v>610</v>
      </c>
      <c r="G484" s="76" t="s">
        <v>519</v>
      </c>
      <c r="H484" s="86" t="s">
        <v>611</v>
      </c>
      <c r="I484" s="78">
        <v>0</v>
      </c>
      <c r="J484" s="78">
        <f>J483+10</f>
        <v>29.9</v>
      </c>
      <c r="K484" s="78">
        <f>J484+K483+10</f>
        <v>66.400000000000006</v>
      </c>
      <c r="L484" s="78">
        <f>L483+K484+10</f>
        <v>93</v>
      </c>
      <c r="M484" s="78">
        <f t="shared" si="112"/>
        <v>189.3</v>
      </c>
      <c r="N484" s="78">
        <f>IF(OR(H484="",H484="sif",H484="PM"),0,VLOOKUP(H484,[5]CU!$C$4:$H$255,6,FALSE))</f>
        <v>41.19</v>
      </c>
      <c r="O484" s="78">
        <f t="shared" si="113"/>
        <v>0</v>
      </c>
      <c r="P484" s="78">
        <f t="shared" si="113"/>
        <v>1231.5809999999999</v>
      </c>
      <c r="Q484" s="78">
        <f t="shared" si="113"/>
        <v>2735.0160000000001</v>
      </c>
      <c r="R484" s="78">
        <f t="shared" si="113"/>
        <v>3830.6699999999996</v>
      </c>
      <c r="S484" s="93">
        <f>SUM(O484:R484)</f>
        <v>7797.2669999999998</v>
      </c>
      <c r="T484" s="80" t="s">
        <v>56</v>
      </c>
      <c r="U484" s="87" t="s">
        <v>170</v>
      </c>
      <c r="V484" s="88" t="str">
        <f>IF(OR($H484="",$H484="sif",$H484="PM"),"",VLOOKUP($H484,[5]CU!$C$5:$J$255,8,FALSE))</f>
        <v>4. Transferts et subventions</v>
      </c>
      <c r="W484" s="87" t="s">
        <v>595</v>
      </c>
      <c r="X484" s="87" t="s">
        <v>609</v>
      </c>
      <c r="Y484" s="88" t="s">
        <v>32</v>
      </c>
      <c r="Z484" s="88" t="str">
        <f>A484 &amp; "-" &amp; VLOOKUP(A484,[4]PROGRAMMES!$E$1:$F$7,2,FALSE)</f>
        <v>1-Accès et équité à l'enseignement général</v>
      </c>
      <c r="AA484" s="88" t="str">
        <f>B484 &amp; "-" &amp; VLOOKUP(B484,[4]SOUSPROGRAMMES!$E$1:$F$44,2,FALSE)</f>
        <v xml:space="preserve">17- Santé et hygiène scolaires </v>
      </c>
      <c r="AB484" s="88" t="str">
        <f>C484 &amp; "-" &amp; VLOOKUP(C484,[4]RESULTATS!$E$1:$F$176,2,FALSE)</f>
        <v>172- La santé scolaire est améliorée au sein des écoles et établissements scolaires, y compris les FA</v>
      </c>
      <c r="AC484" s="89" t="str">
        <f>D484 &amp; "-" &amp; VLOOKUP(D484,[4]STRATEGIES!$E$1:$F$504,2,FALSE)</f>
        <v>1721-Mise à disposition des écoles et établissements d'infirmerie et de boîte à pharmacie</v>
      </c>
      <c r="AD484" s="76" t="str">
        <f t="shared" si="106"/>
        <v>17214-Approvisionnement des infirmeries en médicaments et consommables</v>
      </c>
    </row>
    <row r="485" spans="1:30" s="90" customFormat="1" ht="45" hidden="1" customHeight="1" x14ac:dyDescent="0.8">
      <c r="A485" s="84">
        <v>1</v>
      </c>
      <c r="B485" s="85">
        <v>17</v>
      </c>
      <c r="C485" s="85">
        <v>172</v>
      </c>
      <c r="D485" s="85">
        <v>1721</v>
      </c>
      <c r="E485" s="84">
        <v>17215</v>
      </c>
      <c r="F485" s="75" t="s">
        <v>612</v>
      </c>
      <c r="G485" s="76" t="s">
        <v>613</v>
      </c>
      <c r="H485" s="86" t="s">
        <v>55</v>
      </c>
      <c r="I485" s="78">
        <v>0</v>
      </c>
      <c r="J485" s="78">
        <v>10</v>
      </c>
      <c r="K485" s="78">
        <v>17</v>
      </c>
      <c r="L485" s="78">
        <v>7</v>
      </c>
      <c r="M485" s="78">
        <f t="shared" si="112"/>
        <v>34</v>
      </c>
      <c r="N485" s="78">
        <f>IF(OR(H485="",H485="sif",H485="PM"),0,VLOOKUP(H485,[5]CU!$C$4:$H$255,6,FALSE))</f>
        <v>0</v>
      </c>
      <c r="O485" s="78"/>
      <c r="P485" s="78"/>
      <c r="Q485" s="78"/>
      <c r="R485" s="78"/>
      <c r="S485" s="93"/>
      <c r="T485" s="80" t="s">
        <v>56</v>
      </c>
      <c r="U485" s="87" t="s">
        <v>170</v>
      </c>
      <c r="V485" s="88" t="str">
        <f>IF(OR($H485="",$H485="sif",$H485="PM"),"",VLOOKUP($H485,[5]CU!$C$5:$J$255,8,FALSE))</f>
        <v/>
      </c>
      <c r="W485" s="87" t="s">
        <v>595</v>
      </c>
      <c r="X485" s="87" t="s">
        <v>609</v>
      </c>
      <c r="Y485" s="88" t="s">
        <v>32</v>
      </c>
      <c r="Z485" s="88" t="str">
        <f>A485 &amp; "-" &amp; VLOOKUP(A485,[4]PROGRAMMES!$E$1:$F$7,2,FALSE)</f>
        <v>1-Accès et équité à l'enseignement général</v>
      </c>
      <c r="AA485" s="88" t="str">
        <f>B485 &amp; "-" &amp; VLOOKUP(B485,[4]SOUSPROGRAMMES!$E$1:$F$44,2,FALSE)</f>
        <v xml:space="preserve">17- Santé et hygiène scolaires </v>
      </c>
      <c r="AB485" s="88" t="str">
        <f>C485 &amp; "-" &amp; VLOOKUP(C485,[4]RESULTATS!$E$1:$F$176,2,FALSE)</f>
        <v>172- La santé scolaire est améliorée au sein des écoles et établissements scolaires, y compris les FA</v>
      </c>
      <c r="AC485" s="89" t="str">
        <f>D485 &amp; "-" &amp; VLOOKUP(D485,[4]STRATEGIES!$E$1:$F$504,2,FALSE)</f>
        <v>1721-Mise à disposition des écoles et établissements d'infirmerie et de boîte à pharmacie</v>
      </c>
      <c r="AD485" s="76" t="str">
        <f t="shared" si="106"/>
        <v>17215-Affectation de personnels soignants aux infirmeries scolaires rénovées (par le Ministère de la santé)</v>
      </c>
    </row>
    <row r="486" spans="1:30" s="90" customFormat="1" ht="45" hidden="1" customHeight="1" x14ac:dyDescent="0.8">
      <c r="A486" s="84">
        <v>1</v>
      </c>
      <c r="B486" s="85">
        <v>17</v>
      </c>
      <c r="C486" s="85">
        <v>172</v>
      </c>
      <c r="D486" s="85">
        <v>1721</v>
      </c>
      <c r="E486" s="84">
        <v>17216</v>
      </c>
      <c r="F486" s="75" t="s">
        <v>614</v>
      </c>
      <c r="G486" s="76" t="s">
        <v>519</v>
      </c>
      <c r="H486" s="86" t="s">
        <v>615</v>
      </c>
      <c r="I486" s="78">
        <v>0</v>
      </c>
      <c r="J486" s="78">
        <f>(8294-J484)</f>
        <v>8264.1</v>
      </c>
      <c r="K486" s="78">
        <f>(8294-K484)</f>
        <v>8227.6</v>
      </c>
      <c r="L486" s="78">
        <f>(8294-L484)</f>
        <v>8201</v>
      </c>
      <c r="M486" s="78">
        <f t="shared" si="112"/>
        <v>24692.7</v>
      </c>
      <c r="N486" s="78">
        <f>IF(OR(H486="",H486="sif",H486="PM"),0,VLOOKUP(H486,[5]CU!$C$4:$H$255,6,FALSE))</f>
        <v>0.25</v>
      </c>
      <c r="O486" s="78">
        <f t="shared" ref="O486:R498" si="114">$N486*I486</f>
        <v>0</v>
      </c>
      <c r="P486" s="78">
        <f t="shared" si="114"/>
        <v>2066.0250000000001</v>
      </c>
      <c r="Q486" s="78">
        <f t="shared" si="114"/>
        <v>2056.9</v>
      </c>
      <c r="R486" s="78">
        <f t="shared" si="114"/>
        <v>2050.25</v>
      </c>
      <c r="S486" s="93">
        <f t="shared" ref="S486:S498" si="115">SUM(O486:R486)</f>
        <v>6173.1750000000002</v>
      </c>
      <c r="T486" s="80" t="s">
        <v>56</v>
      </c>
      <c r="U486" s="87" t="s">
        <v>170</v>
      </c>
      <c r="V486" s="88" t="str">
        <f>IF(OR($H486="",$H486="sif",$H486="PM"),"",VLOOKUP($H486,[5]CU!$C$5:$J$255,8,FALSE))</f>
        <v>4. Transferts et subventions</v>
      </c>
      <c r="W486" s="87" t="s">
        <v>595</v>
      </c>
      <c r="X486" s="87" t="s">
        <v>609</v>
      </c>
      <c r="Y486" s="88" t="s">
        <v>32</v>
      </c>
      <c r="Z486" s="88" t="str">
        <f>A486 &amp; "-" &amp; VLOOKUP(A486,[4]PROGRAMMES!$E$1:$F$7,2,FALSE)</f>
        <v>1-Accès et équité à l'enseignement général</v>
      </c>
      <c r="AA486" s="88" t="str">
        <f>B486 &amp; "-" &amp; VLOOKUP(B486,[4]SOUSPROGRAMMES!$E$1:$F$44,2,FALSE)</f>
        <v xml:space="preserve">17- Santé et hygiène scolaires </v>
      </c>
      <c r="AB486" s="88" t="str">
        <f>C486 &amp; "-" &amp; VLOOKUP(C486,[4]RESULTATS!$E$1:$F$176,2,FALSE)</f>
        <v>172- La santé scolaire est améliorée au sein des écoles et établissements scolaires, y compris les FA</v>
      </c>
      <c r="AC486" s="89" t="str">
        <f>D486 &amp; "-" &amp; VLOOKUP(D486,[4]STRATEGIES!$E$1:$F$504,2,FALSE)</f>
        <v>1721-Mise à disposition des écoles et établissements d'infirmerie et de boîte à pharmacie</v>
      </c>
      <c r="AD486" s="76" t="str">
        <f t="shared" si="106"/>
        <v>17216-Acquisition et distribution de boîtes à pharmacie aux écoles (pris en compte dans subventions écoles)</v>
      </c>
    </row>
    <row r="487" spans="1:30" s="90" customFormat="1" ht="45" hidden="1" customHeight="1" x14ac:dyDescent="0.8">
      <c r="A487" s="84">
        <v>1</v>
      </c>
      <c r="B487" s="85">
        <v>17</v>
      </c>
      <c r="C487" s="85">
        <v>172</v>
      </c>
      <c r="D487" s="85">
        <v>1721</v>
      </c>
      <c r="E487" s="84">
        <v>17217</v>
      </c>
      <c r="F487" s="75" t="s">
        <v>616</v>
      </c>
      <c r="G487" s="76" t="s">
        <v>51</v>
      </c>
      <c r="H487" s="86" t="s">
        <v>301</v>
      </c>
      <c r="I487" s="78">
        <v>0</v>
      </c>
      <c r="J487" s="78">
        <f>2000</f>
        <v>2000</v>
      </c>
      <c r="K487" s="78">
        <f>8228</f>
        <v>8228</v>
      </c>
      <c r="L487" s="78">
        <v>8201</v>
      </c>
      <c r="M487" s="78">
        <f t="shared" si="112"/>
        <v>18429</v>
      </c>
      <c r="N487" s="78">
        <f>IF(OR(H487="",H487="sif",H487="PM"),0,VLOOKUP(H487,[5]CU!$C$4:$H$255,6,FALSE))</f>
        <v>0.67666666666666664</v>
      </c>
      <c r="O487" s="78">
        <f t="shared" si="114"/>
        <v>0</v>
      </c>
      <c r="P487" s="78">
        <f t="shared" si="114"/>
        <v>1353.3333333333333</v>
      </c>
      <c r="Q487" s="78">
        <f t="shared" si="114"/>
        <v>5567.6133333333328</v>
      </c>
      <c r="R487" s="78">
        <f t="shared" si="114"/>
        <v>5549.3433333333332</v>
      </c>
      <c r="S487" s="93">
        <f t="shared" si="115"/>
        <v>12470.289999999999</v>
      </c>
      <c r="T487" s="80" t="s">
        <v>56</v>
      </c>
      <c r="U487" s="87" t="s">
        <v>170</v>
      </c>
      <c r="V487" s="88" t="str">
        <f>IF(OR($H487="",$H487="sif",$H487="PM"),"",VLOOKUP($H487,[5]CU!$C$5:$J$255,8,FALSE))</f>
        <v>3. Formation</v>
      </c>
      <c r="W487" s="87" t="s">
        <v>595</v>
      </c>
      <c r="X487" s="87" t="s">
        <v>595</v>
      </c>
      <c r="Y487" s="88" t="s">
        <v>32</v>
      </c>
      <c r="Z487" s="88" t="str">
        <f>A487 &amp; "-" &amp; VLOOKUP(A487,[4]PROGRAMMES!$E$1:$F$7,2,FALSE)</f>
        <v>1-Accès et équité à l'enseignement général</v>
      </c>
      <c r="AA487" s="88" t="str">
        <f>B487 &amp; "-" &amp; VLOOKUP(B487,[4]SOUSPROGRAMMES!$E$1:$F$44,2,FALSE)</f>
        <v xml:space="preserve">17- Santé et hygiène scolaires </v>
      </c>
      <c r="AB487" s="88" t="str">
        <f>C487 &amp; "-" &amp; VLOOKUP(C487,[4]RESULTATS!$E$1:$F$176,2,FALSE)</f>
        <v>172- La santé scolaire est améliorée au sein des écoles et établissements scolaires, y compris les FA</v>
      </c>
      <c r="AC487" s="89" t="str">
        <f>D487 &amp; "-" &amp; VLOOKUP(D487,[4]STRATEGIES!$E$1:$F$504,2,FALSE)</f>
        <v>1721-Mise à disposition des écoles et établissements d'infirmerie et de boîte à pharmacie</v>
      </c>
      <c r="AD487" s="76" t="str">
        <f t="shared" si="106"/>
        <v>17217-Formation des enseignants des écoles et établissements à faible effectif aux soins de secours</v>
      </c>
    </row>
    <row r="488" spans="1:30" s="71" customFormat="1" ht="45" hidden="1" customHeight="1" x14ac:dyDescent="0.8">
      <c r="A488" s="91">
        <v>1</v>
      </c>
      <c r="B488" s="75">
        <v>17</v>
      </c>
      <c r="C488" s="75">
        <v>172</v>
      </c>
      <c r="D488" s="75">
        <v>1721</v>
      </c>
      <c r="E488" s="91">
        <v>17218</v>
      </c>
      <c r="F488" s="75" t="s">
        <v>617</v>
      </c>
      <c r="G488" s="76" t="s">
        <v>177</v>
      </c>
      <c r="H488" s="76" t="s">
        <v>59</v>
      </c>
      <c r="I488" s="78">
        <v>0</v>
      </c>
      <c r="J488" s="77"/>
      <c r="K488" s="77">
        <f>8*5*10*2</f>
        <v>800</v>
      </c>
      <c r="L488" s="77">
        <f>8*5*10</f>
        <v>400</v>
      </c>
      <c r="M488" s="77">
        <f t="shared" si="112"/>
        <v>1200</v>
      </c>
      <c r="N488" s="77">
        <f>IF(OR(H488="",H488="sif",H488="PM"),0,VLOOKUP(H488,[5]CU!$C$4:$H$255,6,FALSE))</f>
        <v>0.8177777777777776</v>
      </c>
      <c r="O488" s="77">
        <f t="shared" si="114"/>
        <v>0</v>
      </c>
      <c r="P488" s="77">
        <f t="shared" si="114"/>
        <v>0</v>
      </c>
      <c r="Q488" s="77">
        <f>$N488*K488</f>
        <v>654.22222222222206</v>
      </c>
      <c r="R488" s="77">
        <f t="shared" si="114"/>
        <v>327.11111111111103</v>
      </c>
      <c r="S488" s="79">
        <f t="shared" si="115"/>
        <v>981.33333333333303</v>
      </c>
      <c r="T488" s="92" t="s">
        <v>169</v>
      </c>
      <c r="U488" s="88" t="s">
        <v>170</v>
      </c>
      <c r="V488" s="88" t="str">
        <f>IF(OR($H488="",$H488="sif",$H488="PM"),"",VLOOKUP($H488,[5]CU!$C$5:$J$255,8,FALSE))</f>
        <v>3. Dépenses de fonctionnement</v>
      </c>
      <c r="W488" s="88" t="s">
        <v>595</v>
      </c>
      <c r="X488" s="88" t="s">
        <v>578</v>
      </c>
      <c r="Y488" s="88" t="s">
        <v>32</v>
      </c>
      <c r="Z488" s="88" t="str">
        <f>A488 &amp; "-" &amp; VLOOKUP(A488,[4]PROGRAMMES!$E$1:$F$7,2,FALSE)</f>
        <v>1-Accès et équité à l'enseignement général</v>
      </c>
      <c r="AA488" s="88" t="str">
        <f>B488 &amp; "-" &amp; VLOOKUP(B488,[4]SOUSPROGRAMMES!$E$1:$F$44,2,FALSE)</f>
        <v xml:space="preserve">17- Santé et hygiène scolaires </v>
      </c>
      <c r="AB488" s="88" t="str">
        <f>C488 &amp; "-" &amp; VLOOKUP(C488,[4]RESULTATS!$E$1:$F$176,2,FALSE)</f>
        <v>172- La santé scolaire est améliorée au sein des écoles et établissements scolaires, y compris les FA</v>
      </c>
      <c r="AC488" s="89" t="str">
        <f>D488 &amp; "-" &amp; VLOOKUP(D488,[4]STRATEGIES!$E$1:$F$504,2,FALSE)</f>
        <v>1721-Mise à disposition des écoles et établissements d'infirmerie et de boîte à pharmacie</v>
      </c>
      <c r="AD488" s="76" t="str">
        <f t="shared" si="106"/>
        <v>17218-Suivi/évaluation du fonctionnement des infirmeries et boîtes à pharmacie scolaires</v>
      </c>
    </row>
    <row r="489" spans="1:30" s="90" customFormat="1" ht="45" customHeight="1" x14ac:dyDescent="0.8">
      <c r="A489" s="84">
        <v>1</v>
      </c>
      <c r="B489" s="85">
        <v>17</v>
      </c>
      <c r="C489" s="85">
        <v>172</v>
      </c>
      <c r="D489" s="85">
        <v>1722</v>
      </c>
      <c r="E489" s="84">
        <v>1722</v>
      </c>
      <c r="F489" s="75" t="s">
        <v>618</v>
      </c>
      <c r="G489" s="86"/>
      <c r="H489" s="86"/>
      <c r="I489" s="78">
        <v>0</v>
      </c>
      <c r="J489" s="78"/>
      <c r="K489" s="78"/>
      <c r="L489" s="78"/>
      <c r="M489" s="78"/>
      <c r="N489" s="78"/>
      <c r="O489" s="78"/>
      <c r="P489" s="78"/>
      <c r="Q489" s="78"/>
      <c r="R489" s="78"/>
      <c r="S489" s="93"/>
      <c r="T489" s="87"/>
      <c r="U489" s="87"/>
      <c r="V489" s="88"/>
      <c r="W489" s="87"/>
      <c r="X489" s="87"/>
      <c r="Y489" s="88" t="s">
        <v>32</v>
      </c>
      <c r="Z489" s="88" t="str">
        <f>A489 &amp; "-" &amp; VLOOKUP(A489,[4]PROGRAMMES!$E$1:$F$7,2,FALSE)</f>
        <v>1-Accès et équité à l'enseignement général</v>
      </c>
      <c r="AA489" s="88" t="str">
        <f>B489 &amp; "-" &amp; VLOOKUP(B489,[4]SOUSPROGRAMMES!$E$1:$F$44,2,FALSE)</f>
        <v xml:space="preserve">17- Santé et hygiène scolaires </v>
      </c>
      <c r="AB489" s="88" t="str">
        <f>C489 &amp; "-" &amp; VLOOKUP(C489,[4]RESULTATS!$E$1:$F$176,2,FALSE)</f>
        <v>172- La santé scolaire est améliorée au sein des écoles et établissements scolaires, y compris les FA</v>
      </c>
      <c r="AC489" s="89" t="str">
        <f>D489 &amp; "-" &amp; VLOOKUP(D489,[4]STRATEGIES!$E$1:$F$504,2,FALSE)</f>
        <v>1722-Prévention et lutte contre les maladies en milieu scolaire</v>
      </c>
      <c r="AD489" s="76" t="str">
        <f t="shared" si="106"/>
        <v>1722-Prévention et lutte contre les maladies en milieu scolaire</v>
      </c>
    </row>
    <row r="490" spans="1:30" s="90" customFormat="1" ht="45" hidden="1" customHeight="1" x14ac:dyDescent="0.8">
      <c r="A490" s="84">
        <v>1</v>
      </c>
      <c r="B490" s="85">
        <v>17</v>
      </c>
      <c r="C490" s="85">
        <v>172</v>
      </c>
      <c r="D490" s="85">
        <v>1722</v>
      </c>
      <c r="E490" s="84">
        <v>17221</v>
      </c>
      <c r="F490" s="75" t="s">
        <v>619</v>
      </c>
      <c r="G490" s="76" t="s">
        <v>620</v>
      </c>
      <c r="H490" s="86" t="s">
        <v>73</v>
      </c>
      <c r="I490" s="78">
        <v>0</v>
      </c>
      <c r="J490" s="78">
        <f>(1*38*2*15)*40%</f>
        <v>456</v>
      </c>
      <c r="K490" s="78">
        <f>(1*38*2*15)*40%</f>
        <v>456</v>
      </c>
      <c r="L490" s="78">
        <f>(1*38*2*15)*40%</f>
        <v>456</v>
      </c>
      <c r="M490" s="78">
        <f>SUM(I490:L490)</f>
        <v>1368</v>
      </c>
      <c r="N490" s="78">
        <f>IF(OR(H490="",H490="sif",H490="PM"),0,VLOOKUP(H490,[5]CU!$C$4:$H$255,6,FALSE))</f>
        <v>0.4</v>
      </c>
      <c r="O490" s="78">
        <f>$N490*I490</f>
        <v>0</v>
      </c>
      <c r="P490" s="78">
        <f>$N490*J490</f>
        <v>182.4</v>
      </c>
      <c r="Q490" s="78">
        <f>$N490*K490</f>
        <v>182.4</v>
      </c>
      <c r="R490" s="78">
        <f>$N490*L490</f>
        <v>182.4</v>
      </c>
      <c r="S490" s="93">
        <f>SUM(O490:R490)</f>
        <v>547.20000000000005</v>
      </c>
      <c r="T490" s="80" t="s">
        <v>56</v>
      </c>
      <c r="U490" s="87" t="s">
        <v>170</v>
      </c>
      <c r="V490" s="88" t="str">
        <f>IF(OR($H490="",$H490="sif",$H490="PM"),"",VLOOKUP($H490,[5]CU!$C$5:$J$255,8,FALSE))</f>
        <v>3. Dépenses de fonctionnement</v>
      </c>
      <c r="W490" s="87" t="s">
        <v>595</v>
      </c>
      <c r="X490" s="87" t="s">
        <v>595</v>
      </c>
      <c r="Y490" s="88" t="s">
        <v>32</v>
      </c>
      <c r="Z490" s="88" t="str">
        <f>A490 &amp; "-" &amp; VLOOKUP(A490,[4]PROGRAMMES!$E$1:$F$7,2,FALSE)</f>
        <v>1-Accès et équité à l'enseignement général</v>
      </c>
      <c r="AA490" s="88" t="str">
        <f>B490 &amp; "-" &amp; VLOOKUP(B490,[4]SOUSPROGRAMMES!$E$1:$F$44,2,FALSE)</f>
        <v xml:space="preserve">17- Santé et hygiène scolaires </v>
      </c>
      <c r="AB490" s="88" t="str">
        <f>C490 &amp; "-" &amp; VLOOKUP(C490,[4]RESULTATS!$E$1:$F$176,2,FALSE)</f>
        <v>172- La santé scolaire est améliorée au sein des écoles et établissements scolaires, y compris les FA</v>
      </c>
      <c r="AC490" s="89" t="str">
        <f>D490 &amp; "-" &amp; VLOOKUP(D490,[4]STRATEGIES!$E$1:$F$504,2,FALSE)</f>
        <v>1722-Prévention et lutte contre les maladies en milieu scolaire</v>
      </c>
      <c r="AD490" s="76" t="str">
        <f t="shared" si="106"/>
        <v>17221-Sensibilisation et information des enseignants, élèves et parents d'élèves sur l'organisation des visites médicales, des campagnes de déparasitage</v>
      </c>
    </row>
    <row r="491" spans="1:30" s="90" customFormat="1" ht="45" customHeight="1" x14ac:dyDescent="0.8">
      <c r="A491" s="84">
        <v>1</v>
      </c>
      <c r="B491" s="85">
        <v>17</v>
      </c>
      <c r="C491" s="85">
        <v>172</v>
      </c>
      <c r="D491" s="85">
        <v>1722</v>
      </c>
      <c r="E491" s="84">
        <v>17221</v>
      </c>
      <c r="F491" s="75" t="s">
        <v>619</v>
      </c>
      <c r="G491" s="76" t="s">
        <v>620</v>
      </c>
      <c r="H491" s="86" t="s">
        <v>73</v>
      </c>
      <c r="I491" s="78">
        <v>0</v>
      </c>
      <c r="J491" s="78">
        <f>(1*38*2*15)*60%</f>
        <v>684</v>
      </c>
      <c r="K491" s="78">
        <f>(1*38*2*15)*60%</f>
        <v>684</v>
      </c>
      <c r="L491" s="78">
        <f>(1*38*2*15)*60%</f>
        <v>684</v>
      </c>
      <c r="M491" s="78">
        <f t="shared" si="112"/>
        <v>2052</v>
      </c>
      <c r="N491" s="78">
        <f>IF(OR(H491="",H491="sif",H491="PM"),0,VLOOKUP(H491,[5]CU!$C$4:$H$255,6,FALSE))</f>
        <v>0.4</v>
      </c>
      <c r="O491" s="78">
        <f t="shared" si="114"/>
        <v>0</v>
      </c>
      <c r="P491" s="78">
        <f t="shared" si="114"/>
        <v>273.60000000000002</v>
      </c>
      <c r="Q491" s="78">
        <f t="shared" si="114"/>
        <v>273.60000000000002</v>
      </c>
      <c r="R491" s="78">
        <f t="shared" si="114"/>
        <v>273.60000000000002</v>
      </c>
      <c r="S491" s="93">
        <f t="shared" si="115"/>
        <v>820.80000000000007</v>
      </c>
      <c r="T491" s="80" t="s">
        <v>118</v>
      </c>
      <c r="U491" s="87" t="s">
        <v>170</v>
      </c>
      <c r="V491" s="88" t="str">
        <f>IF(OR($H491="",$H491="sif",$H491="PM"),"",VLOOKUP($H491,[5]CU!$C$5:$J$255,8,FALSE))</f>
        <v>3. Dépenses de fonctionnement</v>
      </c>
      <c r="W491" s="87" t="s">
        <v>595</v>
      </c>
      <c r="X491" s="87" t="s">
        <v>595</v>
      </c>
      <c r="Y491" s="88" t="s">
        <v>32</v>
      </c>
      <c r="Z491" s="88" t="str">
        <f>A491 &amp; "-" &amp; VLOOKUP(A491,[4]PROGRAMMES!$E$1:$F$7,2,FALSE)</f>
        <v>1-Accès et équité à l'enseignement général</v>
      </c>
      <c r="AA491" s="88" t="str">
        <f>B491 &amp; "-" &amp; VLOOKUP(B491,[4]SOUSPROGRAMMES!$E$1:$F$44,2,FALSE)</f>
        <v xml:space="preserve">17- Santé et hygiène scolaires </v>
      </c>
      <c r="AB491" s="88" t="str">
        <f>C491 &amp; "-" &amp; VLOOKUP(C491,[4]RESULTATS!$E$1:$F$176,2,FALSE)</f>
        <v>172- La santé scolaire est améliorée au sein des écoles et établissements scolaires, y compris les FA</v>
      </c>
      <c r="AC491" s="89" t="str">
        <f>D491 &amp; "-" &amp; VLOOKUP(D491,[4]STRATEGIES!$E$1:$F$504,2,FALSE)</f>
        <v>1722-Prévention et lutte contre les maladies en milieu scolaire</v>
      </c>
      <c r="AD491" s="76" t="str">
        <f t="shared" si="106"/>
        <v>17221-Sensibilisation et information des enseignants, élèves et parents d'élèves sur l'organisation des visites médicales, des campagnes de déparasitage</v>
      </c>
    </row>
    <row r="492" spans="1:30" s="90" customFormat="1" ht="60" hidden="1" customHeight="1" x14ac:dyDescent="0.8">
      <c r="A492" s="84">
        <v>1</v>
      </c>
      <c r="B492" s="85">
        <v>17</v>
      </c>
      <c r="C492" s="85">
        <v>172</v>
      </c>
      <c r="D492" s="85">
        <v>1722</v>
      </c>
      <c r="E492" s="84">
        <v>17222</v>
      </c>
      <c r="F492" s="75" t="s">
        <v>621</v>
      </c>
      <c r="G492" s="76" t="s">
        <v>622</v>
      </c>
      <c r="H492" s="86" t="s">
        <v>623</v>
      </c>
      <c r="I492" s="78">
        <v>0</v>
      </c>
      <c r="J492" s="78">
        <v>46428.571428571398</v>
      </c>
      <c r="K492" s="78">
        <f>J492*1.05</f>
        <v>48749.999999999971</v>
      </c>
      <c r="L492" s="78">
        <f>K492*1.05</f>
        <v>51187.499999999971</v>
      </c>
      <c r="M492" s="78">
        <f t="shared" si="112"/>
        <v>146366.07142857133</v>
      </c>
      <c r="N492" s="78">
        <f>IF(OR(H492="",H492="sif",H492="PM"),0,VLOOKUP(H492,[5]CU!$C$4:$H$255,6,FALSE))</f>
        <v>0.05</v>
      </c>
      <c r="O492" s="78">
        <f t="shared" si="114"/>
        <v>0</v>
      </c>
      <c r="P492" s="78">
        <f t="shared" si="114"/>
        <v>2321.4285714285702</v>
      </c>
      <c r="Q492" s="78">
        <f t="shared" si="114"/>
        <v>2437.4999999999986</v>
      </c>
      <c r="R492" s="78">
        <f t="shared" si="114"/>
        <v>2559.3749999999986</v>
      </c>
      <c r="S492" s="93">
        <f t="shared" si="115"/>
        <v>7318.303571428567</v>
      </c>
      <c r="T492" s="80" t="s">
        <v>56</v>
      </c>
      <c r="U492" s="87" t="s">
        <v>170</v>
      </c>
      <c r="V492" s="88" t="str">
        <f>IF(OR($H492="",$H492="sif",$H492="PM"),"",VLOOKUP($H492,[5]CU!$C$5:$J$255,8,FALSE))</f>
        <v>3. Dépenses de fonctionnement</v>
      </c>
      <c r="W492" s="87" t="s">
        <v>595</v>
      </c>
      <c r="X492" s="87" t="s">
        <v>624</v>
      </c>
      <c r="Y492" s="88" t="s">
        <v>32</v>
      </c>
      <c r="Z492" s="88" t="str">
        <f>A492 &amp; "-" &amp; VLOOKUP(A492,[4]PROGRAMMES!$E$1:$F$7,2,FALSE)</f>
        <v>1-Accès et équité à l'enseignement général</v>
      </c>
      <c r="AA492" s="88" t="str">
        <f>B492 &amp; "-" &amp; VLOOKUP(B492,[4]SOUSPROGRAMMES!$E$1:$F$44,2,FALSE)</f>
        <v xml:space="preserve">17- Santé et hygiène scolaires </v>
      </c>
      <c r="AB492" s="88" t="str">
        <f>C492 &amp; "-" &amp; VLOOKUP(C492,[4]RESULTATS!$E$1:$F$176,2,FALSE)</f>
        <v>172- La santé scolaire est améliorée au sein des écoles et établissements scolaires, y compris les FA</v>
      </c>
      <c r="AC492" s="89" t="str">
        <f>D492 &amp; "-" &amp; VLOOKUP(D492,[4]STRATEGIES!$E$1:$F$504,2,FALSE)</f>
        <v>1722-Prévention et lutte contre les maladies en milieu scolaire</v>
      </c>
      <c r="AD492" s="76" t="str">
        <f t="shared" si="106"/>
        <v>17222-Organisation de visites médicales annuelles en faveur des élèves (dans les écoles pour le primaire et dans les structures sanitaires pour le secondaire, un agent effectue en moyenne 28 enfants par jour)</v>
      </c>
    </row>
    <row r="493" spans="1:30" s="90" customFormat="1" ht="45" hidden="1" customHeight="1" x14ac:dyDescent="0.8">
      <c r="A493" s="84">
        <v>1</v>
      </c>
      <c r="B493" s="85">
        <v>17</v>
      </c>
      <c r="C493" s="85">
        <v>172</v>
      </c>
      <c r="D493" s="85">
        <v>1722</v>
      </c>
      <c r="E493" s="84">
        <v>17223</v>
      </c>
      <c r="F493" s="75" t="s">
        <v>625</v>
      </c>
      <c r="G493" s="76" t="s">
        <v>626</v>
      </c>
      <c r="H493" s="86" t="s">
        <v>627</v>
      </c>
      <c r="I493" s="78">
        <v>0</v>
      </c>
      <c r="J493" s="78">
        <f>(1622314+11612+47231)*50.01%</f>
        <v>840746.61569999997</v>
      </c>
      <c r="K493" s="78">
        <f>(1680583+24875+51525)*50.01%</f>
        <v>878667.19829999993</v>
      </c>
      <c r="L493" s="78">
        <f>(1733572+38138+55818)*50.01%</f>
        <v>913946.75280000002</v>
      </c>
      <c r="M493" s="78">
        <f t="shared" si="112"/>
        <v>2633360.5667999997</v>
      </c>
      <c r="N493" s="78">
        <f>IF(OR(H493="",H493="sif",H493="PM"),0,VLOOKUP(H493,[5]CU!$C$4:$H$255,6,FALSE))</f>
        <v>0.05</v>
      </c>
      <c r="O493" s="78">
        <f t="shared" si="114"/>
        <v>0</v>
      </c>
      <c r="P493" s="78">
        <f t="shared" si="114"/>
        <v>42037.330784999998</v>
      </c>
      <c r="Q493" s="78">
        <f t="shared" si="114"/>
        <v>43933.359915000001</v>
      </c>
      <c r="R493" s="78">
        <f t="shared" si="114"/>
        <v>45697.337640000005</v>
      </c>
      <c r="S493" s="93">
        <f t="shared" si="115"/>
        <v>131668.02834000002</v>
      </c>
      <c r="T493" s="80" t="s">
        <v>56</v>
      </c>
      <c r="U493" s="87" t="s">
        <v>170</v>
      </c>
      <c r="V493" s="88" t="str">
        <f>IF(OR($H493="",$H493="sif",$H493="PM"),"",VLOOKUP($H493,[5]CU!$C$5:$J$255,8,FALSE))</f>
        <v>4. Transferts et subventions</v>
      </c>
      <c r="W493" s="87" t="s">
        <v>595</v>
      </c>
      <c r="X493" s="87" t="s">
        <v>609</v>
      </c>
      <c r="Y493" s="88" t="s">
        <v>32</v>
      </c>
      <c r="Z493" s="88" t="str">
        <f>A493 &amp; "-" &amp; VLOOKUP(A493,[4]PROGRAMMES!$E$1:$F$7,2,FALSE)</f>
        <v>1-Accès et équité à l'enseignement général</v>
      </c>
      <c r="AA493" s="88" t="str">
        <f>B493 &amp; "-" &amp; VLOOKUP(B493,[4]SOUSPROGRAMMES!$E$1:$F$44,2,FALSE)</f>
        <v xml:space="preserve">17- Santé et hygiène scolaires </v>
      </c>
      <c r="AB493" s="88" t="str">
        <f>C493 &amp; "-" &amp; VLOOKUP(C493,[4]RESULTATS!$E$1:$F$176,2,FALSE)</f>
        <v>172- La santé scolaire est améliorée au sein des écoles et établissements scolaires, y compris les FA</v>
      </c>
      <c r="AC493" s="89" t="str">
        <f>D493 &amp; "-" &amp; VLOOKUP(D493,[4]STRATEGIES!$E$1:$F$504,2,FALSE)</f>
        <v>1722-Prévention et lutte contre les maladies en milieu scolaire</v>
      </c>
      <c r="AD493" s="76" t="str">
        <f t="shared" si="106"/>
        <v>17223-Acquisition de déparasitant en faveur des élèves</v>
      </c>
    </row>
    <row r="494" spans="1:30" s="90" customFormat="1" ht="45" customHeight="1" x14ac:dyDescent="0.8">
      <c r="A494" s="84">
        <v>1</v>
      </c>
      <c r="B494" s="85">
        <v>17</v>
      </c>
      <c r="C494" s="85">
        <v>172</v>
      </c>
      <c r="D494" s="85">
        <v>1722</v>
      </c>
      <c r="E494" s="84">
        <v>17223</v>
      </c>
      <c r="F494" s="75" t="s">
        <v>625</v>
      </c>
      <c r="G494" s="76" t="s">
        <v>626</v>
      </c>
      <c r="H494" s="86" t="s">
        <v>627</v>
      </c>
      <c r="I494" s="78">
        <v>0</v>
      </c>
      <c r="J494" s="78">
        <f>(1622314+11612+47231)*17.99%</f>
        <v>302440.14429999999</v>
      </c>
      <c r="K494" s="78">
        <f>(1680583+24875+51525)*17.99%</f>
        <v>316081.24169999996</v>
      </c>
      <c r="L494" s="78">
        <f>(1733572+38138+55818)*17.99%</f>
        <v>328772.28719999996</v>
      </c>
      <c r="M494" s="78">
        <f>SUM(I494:L494)</f>
        <v>947293.67319999984</v>
      </c>
      <c r="N494" s="78">
        <f>IF(OR(H494="",H494="sif",H494="PM"),0,VLOOKUP(H494,[5]CU!$C$4:$H$255,6,FALSE))</f>
        <v>0.05</v>
      </c>
      <c r="O494" s="78">
        <f>$N494*I494</f>
        <v>0</v>
      </c>
      <c r="P494" s="78">
        <f>$N494*J494</f>
        <v>15122.007215</v>
      </c>
      <c r="Q494" s="78">
        <f>$N494*K494</f>
        <v>15804.062084999998</v>
      </c>
      <c r="R494" s="78">
        <f>$N494*L494</f>
        <v>16438.61436</v>
      </c>
      <c r="S494" s="93">
        <f>SUM(O494:R494)</f>
        <v>47364.683659999995</v>
      </c>
      <c r="T494" s="80" t="s">
        <v>118</v>
      </c>
      <c r="U494" s="87" t="s">
        <v>170</v>
      </c>
      <c r="V494" s="88" t="str">
        <f>IF(OR($H494="",$H494="sif",$H494="PM"),"",VLOOKUP($H494,[5]CU!$C$5:$J$255,8,FALSE))</f>
        <v>4. Transferts et subventions</v>
      </c>
      <c r="W494" s="87" t="s">
        <v>595</v>
      </c>
      <c r="X494" s="87" t="s">
        <v>609</v>
      </c>
      <c r="Y494" s="88" t="s">
        <v>32</v>
      </c>
      <c r="Z494" s="88" t="str">
        <f>A494 &amp; "-" &amp; VLOOKUP(A494,[4]PROGRAMMES!$E$1:$F$7,2,FALSE)</f>
        <v>1-Accès et équité à l'enseignement général</v>
      </c>
      <c r="AA494" s="88" t="str">
        <f>B494 &amp; "-" &amp; VLOOKUP(B494,[4]SOUSPROGRAMMES!$E$1:$F$44,2,FALSE)</f>
        <v xml:space="preserve">17- Santé et hygiène scolaires </v>
      </c>
      <c r="AB494" s="88" t="str">
        <f>C494 &amp; "-" &amp; VLOOKUP(C494,[4]RESULTATS!$E$1:$F$176,2,FALSE)</f>
        <v>172- La santé scolaire est améliorée au sein des écoles et établissements scolaires, y compris les FA</v>
      </c>
      <c r="AC494" s="89" t="str">
        <f>D494 &amp; "-" &amp; VLOOKUP(D494,[4]STRATEGIES!$E$1:$F$504,2,FALSE)</f>
        <v>1722-Prévention et lutte contre les maladies en milieu scolaire</v>
      </c>
      <c r="AD494" s="76" t="str">
        <f t="shared" si="106"/>
        <v>17223-Acquisition de déparasitant en faveur des élèves</v>
      </c>
    </row>
    <row r="495" spans="1:30" s="90" customFormat="1" ht="45" customHeight="1" x14ac:dyDescent="0.8">
      <c r="A495" s="84">
        <v>1</v>
      </c>
      <c r="B495" s="85">
        <v>17</v>
      </c>
      <c r="C495" s="85">
        <v>172</v>
      </c>
      <c r="D495" s="85">
        <v>1722</v>
      </c>
      <c r="E495" s="84">
        <v>17223</v>
      </c>
      <c r="F495" s="75" t="s">
        <v>625</v>
      </c>
      <c r="G495" s="76" t="s">
        <v>626</v>
      </c>
      <c r="H495" s="86" t="s">
        <v>627</v>
      </c>
      <c r="I495" s="78">
        <f>(1622314+11612+47231)*32%</f>
        <v>537970.24</v>
      </c>
      <c r="J495" s="93">
        <f>(1622314+11612+47231)*32%</f>
        <v>537970.24</v>
      </c>
      <c r="K495" s="93">
        <f>(1680583+24875+51525)*32%</f>
        <v>562234.56000000006</v>
      </c>
      <c r="L495" s="93">
        <f>(1733572+38138+55818)*32%</f>
        <v>584808.95999999996</v>
      </c>
      <c r="M495" s="93">
        <f t="shared" si="112"/>
        <v>2222984</v>
      </c>
      <c r="N495" s="93">
        <f>IF(OR(H495="",H495="sif",H495="PM"),0,VLOOKUP(H495,[5]CU!$C$4:$H$255,6,FALSE))</f>
        <v>0.05</v>
      </c>
      <c r="O495" s="93">
        <f t="shared" si="114"/>
        <v>26898.512000000002</v>
      </c>
      <c r="P495" s="93">
        <f t="shared" si="114"/>
        <v>26898.512000000002</v>
      </c>
      <c r="Q495" s="93">
        <f t="shared" si="114"/>
        <v>28111.728000000003</v>
      </c>
      <c r="R495" s="93">
        <f t="shared" si="114"/>
        <v>29240.448</v>
      </c>
      <c r="S495" s="93">
        <f t="shared" si="115"/>
        <v>111149.20000000001</v>
      </c>
      <c r="T495" s="80" t="s">
        <v>67</v>
      </c>
      <c r="U495" s="87" t="s">
        <v>170</v>
      </c>
      <c r="V495" s="88" t="str">
        <f>IF(OR($H495="",$H495="sif",$H495="PM"),"",VLOOKUP($H495,[5]CU!$C$5:$J$255,8,FALSE))</f>
        <v>4. Transferts et subventions</v>
      </c>
      <c r="W495" s="87" t="s">
        <v>595</v>
      </c>
      <c r="X495" s="87" t="s">
        <v>609</v>
      </c>
      <c r="Y495" s="88" t="s">
        <v>32</v>
      </c>
      <c r="Z495" s="88" t="str">
        <f>A495 &amp; "-" &amp; VLOOKUP(A495,[4]PROGRAMMES!$E$1:$F$7,2,FALSE)</f>
        <v>1-Accès et équité à l'enseignement général</v>
      </c>
      <c r="AA495" s="88" t="str">
        <f>B495 &amp; "-" &amp; VLOOKUP(B495,[4]SOUSPROGRAMMES!$E$1:$F$44,2,FALSE)</f>
        <v xml:space="preserve">17- Santé et hygiène scolaires </v>
      </c>
      <c r="AB495" s="88" t="str">
        <f>C495 &amp; "-" &amp; VLOOKUP(C495,[4]RESULTATS!$E$1:$F$176,2,FALSE)</f>
        <v>172- La santé scolaire est améliorée au sein des écoles et établissements scolaires, y compris les FA</v>
      </c>
      <c r="AC495" s="89" t="str">
        <f>D495 &amp; "-" &amp; VLOOKUP(D495,[4]STRATEGIES!$E$1:$F$504,2,FALSE)</f>
        <v>1722-Prévention et lutte contre les maladies en milieu scolaire</v>
      </c>
      <c r="AD495" s="76" t="str">
        <f t="shared" si="106"/>
        <v>17223-Acquisition de déparasitant en faveur des élèves</v>
      </c>
    </row>
    <row r="496" spans="1:30" s="90" customFormat="1" ht="45" hidden="1" customHeight="1" x14ac:dyDescent="0.8">
      <c r="A496" s="84">
        <v>1</v>
      </c>
      <c r="B496" s="85">
        <v>17</v>
      </c>
      <c r="C496" s="85">
        <v>172</v>
      </c>
      <c r="D496" s="85">
        <v>1722</v>
      </c>
      <c r="E496" s="84">
        <v>17224</v>
      </c>
      <c r="F496" s="75" t="s">
        <v>628</v>
      </c>
      <c r="G496" s="76" t="s">
        <v>626</v>
      </c>
      <c r="H496" s="86" t="s">
        <v>629</v>
      </c>
      <c r="I496" s="78">
        <v>0</v>
      </c>
      <c r="J496" s="78">
        <f>(J29+J34+J35+J100+J228)*96.03%</f>
        <v>338.97053519999997</v>
      </c>
      <c r="K496" s="78">
        <f>(K29+K34+K35+K100+K228)*96.03%</f>
        <v>217.02780000000001</v>
      </c>
      <c r="L496" s="78">
        <f>(L29+L34+L35+L100+L228)*96.03%</f>
        <v>215.10720000000001</v>
      </c>
      <c r="M496" s="78">
        <f t="shared" si="112"/>
        <v>771.10553519999996</v>
      </c>
      <c r="N496" s="78">
        <f>IF(OR(H496="",H496="sif",H496="PM"),0,VLOOKUP(H496,[5]CU!$C$4:$H$255,6,FALSE))</f>
        <v>0.05</v>
      </c>
      <c r="O496" s="78">
        <f t="shared" si="114"/>
        <v>0</v>
      </c>
      <c r="P496" s="78">
        <f t="shared" si="114"/>
        <v>16.94852676</v>
      </c>
      <c r="Q496" s="78">
        <f>$N496*K496</f>
        <v>10.851390000000002</v>
      </c>
      <c r="R496" s="78">
        <f t="shared" si="114"/>
        <v>10.755360000000001</v>
      </c>
      <c r="S496" s="93">
        <f t="shared" si="115"/>
        <v>38.555276760000005</v>
      </c>
      <c r="T496" s="80" t="s">
        <v>56</v>
      </c>
      <c r="U496" s="87" t="s">
        <v>170</v>
      </c>
      <c r="V496" s="88" t="str">
        <f>IF(OR($H496="",$H496="sif",$H496="PM"),"",VLOOKUP($H496,[5]CU!$C$5:$J$255,8,FALSE))</f>
        <v>4. Transferts et subventions</v>
      </c>
      <c r="W496" s="87" t="s">
        <v>595</v>
      </c>
      <c r="X496" s="87" t="s">
        <v>609</v>
      </c>
      <c r="Y496" s="88" t="s">
        <v>32</v>
      </c>
      <c r="Z496" s="88" t="str">
        <f>A496 &amp; "-" &amp; VLOOKUP(A496,[4]PROGRAMMES!$E$1:$F$7,2,FALSE)</f>
        <v>1-Accès et équité à l'enseignement général</v>
      </c>
      <c r="AA496" s="88" t="str">
        <f>B496 &amp; "-" &amp; VLOOKUP(B496,[4]SOUSPROGRAMMES!$E$1:$F$44,2,FALSE)</f>
        <v xml:space="preserve">17- Santé et hygiène scolaires </v>
      </c>
      <c r="AB496" s="88" t="str">
        <f>C496 &amp; "-" &amp; VLOOKUP(C496,[4]RESULTATS!$E$1:$F$176,2,FALSE)</f>
        <v>172- La santé scolaire est améliorée au sein des écoles et établissements scolaires, y compris les FA</v>
      </c>
      <c r="AC496" s="89" t="str">
        <f>D496 &amp; "-" &amp; VLOOKUP(D496,[4]STRATEGIES!$E$1:$F$504,2,FALSE)</f>
        <v>1722-Prévention et lutte contre les maladies en milieu scolaire</v>
      </c>
      <c r="AD496" s="76" t="str">
        <f t="shared" si="106"/>
        <v>17224- Acquisition de micronutriments en faveur des élèves du préscolaire et du primaire (des cantines)</v>
      </c>
    </row>
    <row r="497" spans="1:30" s="90" customFormat="1" ht="45" customHeight="1" x14ac:dyDescent="0.8">
      <c r="A497" s="84">
        <v>1</v>
      </c>
      <c r="B497" s="85">
        <v>17</v>
      </c>
      <c r="C497" s="85">
        <v>172</v>
      </c>
      <c r="D497" s="85">
        <v>1722</v>
      </c>
      <c r="E497" s="84">
        <v>17224</v>
      </c>
      <c r="F497" s="75" t="s">
        <v>628</v>
      </c>
      <c r="G497" s="76" t="s">
        <v>626</v>
      </c>
      <c r="H497" s="86" t="s">
        <v>629</v>
      </c>
      <c r="I497" s="78">
        <v>0</v>
      </c>
      <c r="J497" s="78">
        <f>(J29+J34+J35+J100+J228)*0.02%</f>
        <v>7.0596800000000001E-2</v>
      </c>
      <c r="K497" s="78">
        <f>(K29+K34+K35+K100+K228)*0.02%</f>
        <v>4.5200000000000004E-2</v>
      </c>
      <c r="L497" s="78">
        <f>(L29+L34+L35+L100+L228)*0.02%</f>
        <v>4.48E-2</v>
      </c>
      <c r="M497" s="78">
        <f>SUM(I497:L497)</f>
        <v>0.16059680000000001</v>
      </c>
      <c r="N497" s="78">
        <f>IF(OR(H497="",H497="sif",H497="PM"),0,VLOOKUP(H497,[5]CU!$C$4:$H$255,6,FALSE))</f>
        <v>0.05</v>
      </c>
      <c r="O497" s="78">
        <f>$N497*I497</f>
        <v>0</v>
      </c>
      <c r="P497" s="78">
        <f>$N497*J497</f>
        <v>3.5298400000000002E-3</v>
      </c>
      <c r="Q497" s="78">
        <f>$N497*K497</f>
        <v>2.2600000000000003E-3</v>
      </c>
      <c r="R497" s="78">
        <f>$N497*L497</f>
        <v>2.2400000000000002E-3</v>
      </c>
      <c r="S497" s="93">
        <f>SUM(O497:R497)</f>
        <v>8.0298400000000016E-3</v>
      </c>
      <c r="T497" s="80" t="s">
        <v>118</v>
      </c>
      <c r="U497" s="87" t="s">
        <v>170</v>
      </c>
      <c r="V497" s="88" t="str">
        <f>IF(OR($H497="",$H497="sif",$H497="PM"),"",VLOOKUP($H497,[5]CU!$C$5:$J$255,8,FALSE))</f>
        <v>4. Transferts et subventions</v>
      </c>
      <c r="W497" s="87" t="s">
        <v>595</v>
      </c>
      <c r="X497" s="87" t="s">
        <v>609</v>
      </c>
      <c r="Y497" s="88" t="s">
        <v>32</v>
      </c>
      <c r="Z497" s="88" t="str">
        <f>A497 &amp; "-" &amp; VLOOKUP(A497,[4]PROGRAMMES!$E$1:$F$7,2,FALSE)</f>
        <v>1-Accès et équité à l'enseignement général</v>
      </c>
      <c r="AA497" s="88" t="str">
        <f>B497 &amp; "-" &amp; VLOOKUP(B497,[4]SOUSPROGRAMMES!$E$1:$F$44,2,FALSE)</f>
        <v xml:space="preserve">17- Santé et hygiène scolaires </v>
      </c>
      <c r="AB497" s="88" t="str">
        <f>C497 &amp; "-" &amp; VLOOKUP(C497,[4]RESULTATS!$E$1:$F$176,2,FALSE)</f>
        <v>172- La santé scolaire est améliorée au sein des écoles et établissements scolaires, y compris les FA</v>
      </c>
      <c r="AC497" s="89" t="str">
        <f>D497 &amp; "-" &amp; VLOOKUP(D497,[4]STRATEGIES!$E$1:$F$504,2,FALSE)</f>
        <v>1722-Prévention et lutte contre les maladies en milieu scolaire</v>
      </c>
      <c r="AD497" s="76" t="str">
        <f t="shared" si="106"/>
        <v>17224- Acquisition de micronutriments en faveur des élèves du préscolaire et du primaire (des cantines)</v>
      </c>
    </row>
    <row r="498" spans="1:30" s="90" customFormat="1" ht="45" customHeight="1" x14ac:dyDescent="0.8">
      <c r="A498" s="84">
        <v>1</v>
      </c>
      <c r="B498" s="85">
        <v>17</v>
      </c>
      <c r="C498" s="85">
        <v>172</v>
      </c>
      <c r="D498" s="85">
        <v>1722</v>
      </c>
      <c r="E498" s="84">
        <v>17224</v>
      </c>
      <c r="F498" s="75" t="s">
        <v>628</v>
      </c>
      <c r="G498" s="76" t="s">
        <v>626</v>
      </c>
      <c r="H498" s="86" t="s">
        <v>629</v>
      </c>
      <c r="I498" s="78">
        <v>0</v>
      </c>
      <c r="J498" s="78">
        <f>(J30+J35+J36+J101+J229)*3.95%</f>
        <v>1688.4033030337444</v>
      </c>
      <c r="K498" s="78">
        <f>(K30+K35+K36+K101+K229)*3.95%</f>
        <v>1939.3439498958537</v>
      </c>
      <c r="L498" s="78">
        <f>(L30+L35+L36+L101+L229)*3.95%</f>
        <v>2198.1442102704682</v>
      </c>
      <c r="M498" s="78">
        <f t="shared" si="112"/>
        <v>5825.8914632000669</v>
      </c>
      <c r="N498" s="78">
        <f>IF(OR(H498="",H498="sif",H498="PM"),0,VLOOKUP(H498,[5]CU!$C$4:$H$255,6,FALSE))</f>
        <v>0.05</v>
      </c>
      <c r="O498" s="78">
        <f t="shared" si="114"/>
        <v>0</v>
      </c>
      <c r="P498" s="78">
        <f t="shared" si="114"/>
        <v>84.420165151687229</v>
      </c>
      <c r="Q498" s="78">
        <f>$N498*K498</f>
        <v>96.967197494792686</v>
      </c>
      <c r="R498" s="78">
        <f t="shared" si="114"/>
        <v>109.90721051352341</v>
      </c>
      <c r="S498" s="93">
        <f t="shared" si="115"/>
        <v>291.29457316000332</v>
      </c>
      <c r="T498" s="80" t="s">
        <v>187</v>
      </c>
      <c r="U498" s="87" t="s">
        <v>170</v>
      </c>
      <c r="V498" s="88" t="str">
        <f>IF(OR($H498="",$H498="sif",$H498="PM"),"",VLOOKUP($H498,[5]CU!$C$5:$J$255,8,FALSE))</f>
        <v>4. Transferts et subventions</v>
      </c>
      <c r="W498" s="87" t="s">
        <v>595</v>
      </c>
      <c r="X498" s="87" t="s">
        <v>609</v>
      </c>
      <c r="Y498" s="88" t="s">
        <v>32</v>
      </c>
      <c r="Z498" s="88" t="str">
        <f>A498 &amp; "-" &amp; VLOOKUP(A498,[4]PROGRAMMES!$E$1:$F$7,2,FALSE)</f>
        <v>1-Accès et équité à l'enseignement général</v>
      </c>
      <c r="AA498" s="88" t="str">
        <f>B498 &amp; "-" &amp; VLOOKUP(B498,[4]SOUSPROGRAMMES!$E$1:$F$44,2,FALSE)</f>
        <v xml:space="preserve">17- Santé et hygiène scolaires </v>
      </c>
      <c r="AB498" s="88" t="str">
        <f>C498 &amp; "-" &amp; VLOOKUP(C498,[4]RESULTATS!$E$1:$F$176,2,FALSE)</f>
        <v>172- La santé scolaire est améliorée au sein des écoles et établissements scolaires, y compris les FA</v>
      </c>
      <c r="AC498" s="89" t="str">
        <f>D498 &amp; "-" &amp; VLOOKUP(D498,[4]STRATEGIES!$E$1:$F$504,2,FALSE)</f>
        <v>1722-Prévention et lutte contre les maladies en milieu scolaire</v>
      </c>
      <c r="AD498" s="76" t="str">
        <f t="shared" si="106"/>
        <v>17224- Acquisition de micronutriments en faveur des élèves du préscolaire et du primaire (des cantines)</v>
      </c>
    </row>
    <row r="499" spans="1:30" s="90" customFormat="1" ht="45" hidden="1" customHeight="1" x14ac:dyDescent="0.8">
      <c r="A499" s="84">
        <v>1</v>
      </c>
      <c r="B499" s="85">
        <v>17</v>
      </c>
      <c r="C499" s="85">
        <v>172</v>
      </c>
      <c r="D499" s="85">
        <v>1722</v>
      </c>
      <c r="E499" s="84">
        <v>17225</v>
      </c>
      <c r="F499" s="75" t="s">
        <v>630</v>
      </c>
      <c r="G499" s="76" t="s">
        <v>92</v>
      </c>
      <c r="H499" s="86" t="s">
        <v>55</v>
      </c>
      <c r="I499" s="78">
        <v>0</v>
      </c>
      <c r="J499" s="78"/>
      <c r="K499" s="78"/>
      <c r="L499" s="78"/>
      <c r="M499" s="78"/>
      <c r="N499" s="78">
        <f>IF(OR(H499="",H499="sif",H499="PM"),0,VLOOKUP(H499,[5]CU!$C$4:$H$255,6,FALSE))</f>
        <v>0</v>
      </c>
      <c r="O499" s="78"/>
      <c r="P499" s="78"/>
      <c r="Q499" s="78"/>
      <c r="R499" s="78"/>
      <c r="S499" s="93"/>
      <c r="T499" s="80" t="s">
        <v>56</v>
      </c>
      <c r="U499" s="87" t="s">
        <v>170</v>
      </c>
      <c r="V499" s="88" t="str">
        <f>IF(OR($H499="",$H499="sif",$H499="PM"),"",VLOOKUP($H499,[5]CU!$C$5:$J$255,8,FALSE))</f>
        <v/>
      </c>
      <c r="W499" s="87" t="s">
        <v>595</v>
      </c>
      <c r="X499" s="87" t="s">
        <v>624</v>
      </c>
      <c r="Y499" s="88" t="s">
        <v>32</v>
      </c>
      <c r="Z499" s="88" t="str">
        <f>A499 &amp; "-" &amp; VLOOKUP(A499,[4]PROGRAMMES!$E$1:$F$7,2,FALSE)</f>
        <v>1-Accès et équité à l'enseignement général</v>
      </c>
      <c r="AA499" s="88" t="str">
        <f>B499 &amp; "-" &amp; VLOOKUP(B499,[4]SOUSPROGRAMMES!$E$1:$F$44,2,FALSE)</f>
        <v xml:space="preserve">17- Santé et hygiène scolaires </v>
      </c>
      <c r="AB499" s="88" t="str">
        <f>C499 &amp; "-" &amp; VLOOKUP(C499,[4]RESULTATS!$E$1:$F$176,2,FALSE)</f>
        <v>172- La santé scolaire est améliorée au sein des écoles et établissements scolaires, y compris les FA</v>
      </c>
      <c r="AC499" s="89" t="str">
        <f>D499 &amp; "-" &amp; VLOOKUP(D499,[4]STRATEGIES!$E$1:$F$504,2,FALSE)</f>
        <v>1722-Prévention et lutte contre les maladies en milieu scolaire</v>
      </c>
      <c r="AD499" s="76" t="str">
        <f t="shared" si="106"/>
        <v>17225-Organisation de campagnes de déparasitages en faveur des élèves (pris en compte dans visite médicale)</v>
      </c>
    </row>
    <row r="500" spans="1:30" s="90" customFormat="1" ht="45" hidden="1" customHeight="1" x14ac:dyDescent="0.8">
      <c r="A500" s="84">
        <v>1</v>
      </c>
      <c r="B500" s="85">
        <v>17</v>
      </c>
      <c r="C500" s="85">
        <v>172</v>
      </c>
      <c r="D500" s="85">
        <v>1722</v>
      </c>
      <c r="E500" s="84">
        <v>17226</v>
      </c>
      <c r="F500" s="75" t="s">
        <v>631</v>
      </c>
      <c r="G500" s="76" t="s">
        <v>159</v>
      </c>
      <c r="H500" s="86" t="s">
        <v>55</v>
      </c>
      <c r="I500" s="78">
        <v>0</v>
      </c>
      <c r="J500" s="78"/>
      <c r="K500" s="78"/>
      <c r="L500" s="78"/>
      <c r="M500" s="78"/>
      <c r="N500" s="78">
        <f>IF(OR(H500="",H500="sif",H500="PM"),0,VLOOKUP(H500,[5]CU!$C$4:$H$255,6,FALSE))</f>
        <v>0</v>
      </c>
      <c r="O500" s="78"/>
      <c r="P500" s="78"/>
      <c r="Q500" s="78"/>
      <c r="R500" s="78"/>
      <c r="S500" s="93"/>
      <c r="T500" s="80" t="s">
        <v>56</v>
      </c>
      <c r="U500" s="87" t="s">
        <v>170</v>
      </c>
      <c r="V500" s="88" t="str">
        <f>IF(OR($H500="",$H500="sif",$H500="PM"),"",VLOOKUP($H500,[5]CU!$C$5:$J$255,8,FALSE))</f>
        <v/>
      </c>
      <c r="W500" s="87" t="s">
        <v>595</v>
      </c>
      <c r="X500" s="87" t="s">
        <v>624</v>
      </c>
      <c r="Y500" s="88" t="s">
        <v>32</v>
      </c>
      <c r="Z500" s="88" t="str">
        <f>A500 &amp; "-" &amp; VLOOKUP(A500,[4]PROGRAMMES!$E$1:$F$7,2,FALSE)</f>
        <v>1-Accès et équité à l'enseignement général</v>
      </c>
      <c r="AA500" s="88" t="str">
        <f>B500 &amp; "-" &amp; VLOOKUP(B500,[4]SOUSPROGRAMMES!$E$1:$F$44,2,FALSE)</f>
        <v xml:space="preserve">17- Santé et hygiène scolaires </v>
      </c>
      <c r="AB500" s="88" t="str">
        <f>C500 &amp; "-" &amp; VLOOKUP(C500,[4]RESULTATS!$E$1:$F$176,2,FALSE)</f>
        <v>172- La santé scolaire est améliorée au sein des écoles et établissements scolaires, y compris les FA</v>
      </c>
      <c r="AC500" s="89" t="str">
        <f>D500 &amp; "-" &amp; VLOOKUP(D500,[4]STRATEGIES!$E$1:$F$504,2,FALSE)</f>
        <v>1722-Prévention et lutte contre les maladies en milieu scolaire</v>
      </c>
      <c r="AD500" s="76" t="str">
        <f t="shared" si="106"/>
        <v>17226- Organisation de campagnes d'administration de micronutriments en faveur des élèves du préscolaire et du primaire (pris en compte dans visite médicale)</v>
      </c>
    </row>
    <row r="501" spans="1:30" s="90" customFormat="1" ht="45" hidden="1" customHeight="1" x14ac:dyDescent="0.8">
      <c r="A501" s="84">
        <v>1</v>
      </c>
      <c r="B501" s="85">
        <v>17</v>
      </c>
      <c r="C501" s="85">
        <v>172</v>
      </c>
      <c r="D501" s="85">
        <v>1722</v>
      </c>
      <c r="E501" s="84">
        <v>17227</v>
      </c>
      <c r="F501" s="75" t="s">
        <v>632</v>
      </c>
      <c r="G501" s="76" t="s">
        <v>37</v>
      </c>
      <c r="H501" s="86" t="s">
        <v>38</v>
      </c>
      <c r="I501" s="78">
        <v>0</v>
      </c>
      <c r="J501" s="78">
        <f t="shared" ref="J501:L502" si="116">(8*30*5)*50%</f>
        <v>600</v>
      </c>
      <c r="K501" s="78">
        <f t="shared" si="116"/>
        <v>600</v>
      </c>
      <c r="L501" s="78">
        <f t="shared" si="116"/>
        <v>600</v>
      </c>
      <c r="M501" s="78">
        <f>SUM(I501:L501)</f>
        <v>1800</v>
      </c>
      <c r="N501" s="78">
        <f>IF(OR(H501="",H501="sif",H501="PM"),0,VLOOKUP(H501,[5]CU!$C$4:$H$255,6,FALSE))</f>
        <v>0.3133333333333333</v>
      </c>
      <c r="O501" s="78">
        <f>$N501*I501</f>
        <v>0</v>
      </c>
      <c r="P501" s="78">
        <f>$N501*J501</f>
        <v>187.99999999999997</v>
      </c>
      <c r="Q501" s="78">
        <f>$N501*K501</f>
        <v>187.99999999999997</v>
      </c>
      <c r="R501" s="78">
        <f>$N501*L501</f>
        <v>187.99999999999997</v>
      </c>
      <c r="S501" s="93">
        <f>SUM(O501:R501)</f>
        <v>563.99999999999989</v>
      </c>
      <c r="T501" s="80" t="s">
        <v>56</v>
      </c>
      <c r="U501" s="87" t="s">
        <v>170</v>
      </c>
      <c r="V501" s="88" t="str">
        <f>IF(OR($H501="",$H501="sif",$H501="PM"),"",VLOOKUP($H501,[5]CU!$C$5:$J$255,8,FALSE))</f>
        <v>3. Formation</v>
      </c>
      <c r="W501" s="87" t="s">
        <v>595</v>
      </c>
      <c r="X501" s="87" t="s">
        <v>595</v>
      </c>
      <c r="Y501" s="88" t="s">
        <v>32</v>
      </c>
      <c r="Z501" s="88" t="str">
        <f>A501 &amp; "-" &amp; VLOOKUP(A501,[4]PROGRAMMES!$E$1:$F$7,2,FALSE)</f>
        <v>1-Accès et équité à l'enseignement général</v>
      </c>
      <c r="AA501" s="88" t="str">
        <f>B501 &amp; "-" &amp; VLOOKUP(B501,[4]SOUSPROGRAMMES!$E$1:$F$44,2,FALSE)</f>
        <v xml:space="preserve">17- Santé et hygiène scolaires </v>
      </c>
      <c r="AB501" s="88" t="str">
        <f>C501 &amp; "-" &amp; VLOOKUP(C501,[4]RESULTATS!$E$1:$F$176,2,FALSE)</f>
        <v>172- La santé scolaire est améliorée au sein des écoles et établissements scolaires, y compris les FA</v>
      </c>
      <c r="AC501" s="89" t="str">
        <f>D501 &amp; "-" &amp; VLOOKUP(D501,[4]STRATEGIES!$E$1:$F$504,2,FALSE)</f>
        <v>1722-Prévention et lutte contre les maladies en milieu scolaire</v>
      </c>
      <c r="AD501" s="76" t="str">
        <f t="shared" si="106"/>
        <v>17227-Formation des encadreurs régionaux et préfectoraux/communaux sur les IST/VIH-Sida en milieu scolaire et sur la prévention des grossesses</v>
      </c>
    </row>
    <row r="502" spans="1:30" s="90" customFormat="1" ht="45" customHeight="1" x14ac:dyDescent="0.8">
      <c r="A502" s="84">
        <v>1</v>
      </c>
      <c r="B502" s="85">
        <v>17</v>
      </c>
      <c r="C502" s="85">
        <v>172</v>
      </c>
      <c r="D502" s="85">
        <v>1722</v>
      </c>
      <c r="E502" s="84">
        <v>17227</v>
      </c>
      <c r="F502" s="75" t="s">
        <v>632</v>
      </c>
      <c r="G502" s="76" t="s">
        <v>37</v>
      </c>
      <c r="H502" s="86" t="s">
        <v>38</v>
      </c>
      <c r="I502" s="78">
        <v>0</v>
      </c>
      <c r="J502" s="78">
        <f t="shared" si="116"/>
        <v>600</v>
      </c>
      <c r="K502" s="78">
        <f t="shared" si="116"/>
        <v>600</v>
      </c>
      <c r="L502" s="78">
        <f t="shared" si="116"/>
        <v>600</v>
      </c>
      <c r="M502" s="78">
        <f t="shared" ref="M502:M539" si="117">SUM(I502:L502)</f>
        <v>1800</v>
      </c>
      <c r="N502" s="78">
        <f>IF(OR(H502="",H502="sif",H502="PM"),0,VLOOKUP(H502,[5]CU!$C$4:$H$255,6,FALSE))</f>
        <v>0.3133333333333333</v>
      </c>
      <c r="O502" s="78">
        <f t="shared" ref="O502:R505" si="118">$N502*I502</f>
        <v>0</v>
      </c>
      <c r="P502" s="78">
        <f t="shared" si="118"/>
        <v>187.99999999999997</v>
      </c>
      <c r="Q502" s="78">
        <f t="shared" si="118"/>
        <v>187.99999999999997</v>
      </c>
      <c r="R502" s="78">
        <f t="shared" si="118"/>
        <v>187.99999999999997</v>
      </c>
      <c r="S502" s="93">
        <f>SUM(O502:R502)</f>
        <v>563.99999999999989</v>
      </c>
      <c r="T502" s="80" t="s">
        <v>118</v>
      </c>
      <c r="U502" s="87" t="s">
        <v>170</v>
      </c>
      <c r="V502" s="88" t="str">
        <f>IF(OR($H502="",$H502="sif",$H502="PM"),"",VLOOKUP($H502,[5]CU!$C$5:$J$255,8,FALSE))</f>
        <v>3. Formation</v>
      </c>
      <c r="W502" s="87" t="s">
        <v>595</v>
      </c>
      <c r="X502" s="87" t="s">
        <v>595</v>
      </c>
      <c r="Y502" s="88" t="s">
        <v>32</v>
      </c>
      <c r="Z502" s="88" t="str">
        <f>A502 &amp; "-" &amp; VLOOKUP(A502,[4]PROGRAMMES!$E$1:$F$7,2,FALSE)</f>
        <v>1-Accès et équité à l'enseignement général</v>
      </c>
      <c r="AA502" s="88" t="str">
        <f>B502 &amp; "-" &amp; VLOOKUP(B502,[4]SOUSPROGRAMMES!$E$1:$F$44,2,FALSE)</f>
        <v xml:space="preserve">17- Santé et hygiène scolaires </v>
      </c>
      <c r="AB502" s="88" t="str">
        <f>C502 &amp; "-" &amp; VLOOKUP(C502,[4]RESULTATS!$E$1:$F$176,2,FALSE)</f>
        <v>172- La santé scolaire est améliorée au sein des écoles et établissements scolaires, y compris les FA</v>
      </c>
      <c r="AC502" s="89" t="str">
        <f>D502 &amp; "-" &amp; VLOOKUP(D502,[4]STRATEGIES!$E$1:$F$504,2,FALSE)</f>
        <v>1722-Prévention et lutte contre les maladies en milieu scolaire</v>
      </c>
      <c r="AD502" s="76" t="str">
        <f t="shared" si="106"/>
        <v>17227-Formation des encadreurs régionaux et préfectoraux/communaux sur les IST/VIH-Sida en milieu scolaire et sur la prévention des grossesses</v>
      </c>
    </row>
    <row r="503" spans="1:30" s="71" customFormat="1" ht="45" hidden="1" customHeight="1" x14ac:dyDescent="0.8">
      <c r="A503" s="91">
        <v>1</v>
      </c>
      <c r="B503" s="75">
        <v>17</v>
      </c>
      <c r="C503" s="75">
        <v>172</v>
      </c>
      <c r="D503" s="75">
        <v>1722</v>
      </c>
      <c r="E503" s="91">
        <v>17228</v>
      </c>
      <c r="F503" s="75" t="s">
        <v>633</v>
      </c>
      <c r="G503" s="76" t="s">
        <v>75</v>
      </c>
      <c r="H503" s="76" t="s">
        <v>76</v>
      </c>
      <c r="I503" s="78">
        <v>0</v>
      </c>
      <c r="J503" s="77">
        <v>1</v>
      </c>
      <c r="K503" s="77">
        <v>1</v>
      </c>
      <c r="L503" s="77">
        <v>1</v>
      </c>
      <c r="M503" s="77">
        <f t="shared" si="117"/>
        <v>3</v>
      </c>
      <c r="N503" s="77">
        <f>IF(OR(H503="",H503="sif",H503="PM"),0,VLOOKUP(H503,[5]CU!$C$4:$H$255,6,FALSE))</f>
        <v>45.936799999999998</v>
      </c>
      <c r="O503" s="77">
        <f t="shared" si="118"/>
        <v>0</v>
      </c>
      <c r="P503" s="77">
        <f t="shared" si="118"/>
        <v>45.936799999999998</v>
      </c>
      <c r="Q503" s="77">
        <f t="shared" si="118"/>
        <v>45.936799999999998</v>
      </c>
      <c r="R503" s="77">
        <f t="shared" si="118"/>
        <v>45.936799999999998</v>
      </c>
      <c r="S503" s="79">
        <f>SUM(O503:R503)</f>
        <v>137.81039999999999</v>
      </c>
      <c r="T503" s="92" t="s">
        <v>169</v>
      </c>
      <c r="U503" s="88" t="s">
        <v>170</v>
      </c>
      <c r="V503" s="88" t="str">
        <f>IF(OR($H503="",$H503="sif",$H503="PM"),"",VLOOKUP($H503,[5]CU!$C$5:$J$255,8,FALSE))</f>
        <v>3. Dépenses de fonctionnement</v>
      </c>
      <c r="W503" s="88" t="s">
        <v>595</v>
      </c>
      <c r="X503" s="88" t="s">
        <v>77</v>
      </c>
      <c r="Y503" s="88" t="s">
        <v>32</v>
      </c>
      <c r="Z503" s="88" t="str">
        <f>A503 &amp; "-" &amp; VLOOKUP(A503,[4]PROGRAMMES!$E$1:$F$7,2,FALSE)</f>
        <v>1-Accès et équité à l'enseignement général</v>
      </c>
      <c r="AA503" s="88" t="str">
        <f>B503 &amp; "-" &amp; VLOOKUP(B503,[4]SOUSPROGRAMMES!$E$1:$F$44,2,FALSE)</f>
        <v xml:space="preserve">17- Santé et hygiène scolaires </v>
      </c>
      <c r="AB503" s="88" t="str">
        <f>C503 &amp; "-" &amp; VLOOKUP(C503,[4]RESULTATS!$E$1:$F$176,2,FALSE)</f>
        <v>172- La santé scolaire est améliorée au sein des écoles et établissements scolaires, y compris les FA</v>
      </c>
      <c r="AC503" s="89" t="str">
        <f>D503 &amp; "-" &amp; VLOOKUP(D503,[4]STRATEGIES!$E$1:$F$504,2,FALSE)</f>
        <v>1722-Prévention et lutte contre les maladies en milieu scolaire</v>
      </c>
      <c r="AD503" s="76" t="str">
        <f t="shared" si="106"/>
        <v xml:space="preserve">17228-Sensibilisation des élèves sur les IST/VIH-Sida en milieu scolaire </v>
      </c>
    </row>
    <row r="504" spans="1:30" s="71" customFormat="1" ht="45" hidden="1" customHeight="1" x14ac:dyDescent="0.8">
      <c r="A504" s="91">
        <v>1</v>
      </c>
      <c r="B504" s="75">
        <v>17</v>
      </c>
      <c r="C504" s="75">
        <v>172</v>
      </c>
      <c r="D504" s="75">
        <v>1722</v>
      </c>
      <c r="E504" s="91">
        <v>17229</v>
      </c>
      <c r="F504" s="75" t="s">
        <v>634</v>
      </c>
      <c r="G504" s="76" t="s">
        <v>58</v>
      </c>
      <c r="H504" s="76" t="s">
        <v>59</v>
      </c>
      <c r="I504" s="78">
        <v>0</v>
      </c>
      <c r="J504" s="77"/>
      <c r="K504" s="77">
        <f>(4*5*38)*50%*2</f>
        <v>760</v>
      </c>
      <c r="L504" s="77">
        <f t="shared" ref="J504:L505" si="119">(4*5*38)*50%</f>
        <v>380</v>
      </c>
      <c r="M504" s="77">
        <f>SUM(I504:L504)</f>
        <v>1140</v>
      </c>
      <c r="N504" s="77">
        <f>IF(OR(H504="",H504="sif",H504="PM"),0,VLOOKUP(H504,[5]CU!$C$4:$H$255,6,FALSE))</f>
        <v>0.8177777777777776</v>
      </c>
      <c r="O504" s="77">
        <f>$N504*I504</f>
        <v>0</v>
      </c>
      <c r="P504" s="77">
        <f>$N504*J504</f>
        <v>0</v>
      </c>
      <c r="Q504" s="77">
        <f t="shared" si="118"/>
        <v>621.51111111111095</v>
      </c>
      <c r="R504" s="77">
        <f>$N504*L504</f>
        <v>310.75555555555547</v>
      </c>
      <c r="S504" s="79">
        <f>SUM(O504:R504)</f>
        <v>932.26666666666642</v>
      </c>
      <c r="T504" s="92" t="s">
        <v>169</v>
      </c>
      <c r="U504" s="88" t="s">
        <v>170</v>
      </c>
      <c r="V504" s="88" t="str">
        <f>IF(OR($H504="",$H504="sif",$H504="PM"),"",VLOOKUP($H504,[5]CU!$C$5:$J$255,8,FALSE))</f>
        <v>3. Dépenses de fonctionnement</v>
      </c>
      <c r="W504" s="88" t="s">
        <v>595</v>
      </c>
      <c r="X504" s="88" t="s">
        <v>77</v>
      </c>
      <c r="Y504" s="88" t="s">
        <v>32</v>
      </c>
      <c r="Z504" s="88" t="str">
        <f>A504 &amp; "-" &amp; VLOOKUP(A504,[4]PROGRAMMES!$E$1:$F$7,2,FALSE)</f>
        <v>1-Accès et équité à l'enseignement général</v>
      </c>
      <c r="AA504" s="88" t="str">
        <f>B504 &amp; "-" &amp; VLOOKUP(B504,[4]SOUSPROGRAMMES!$E$1:$F$44,2,FALSE)</f>
        <v xml:space="preserve">17- Santé et hygiène scolaires </v>
      </c>
      <c r="AB504" s="88" t="str">
        <f>C504 &amp; "-" &amp; VLOOKUP(C504,[4]RESULTATS!$E$1:$F$176,2,FALSE)</f>
        <v>172- La santé scolaire est améliorée au sein des écoles et établissements scolaires, y compris les FA</v>
      </c>
      <c r="AC504" s="89" t="str">
        <f>D504 &amp; "-" &amp; VLOOKUP(D504,[4]STRATEGIES!$E$1:$F$504,2,FALSE)</f>
        <v>1722-Prévention et lutte contre les maladies en milieu scolaire</v>
      </c>
      <c r="AD504" s="76" t="str">
        <f t="shared" si="106"/>
        <v>17229-Sensibilisation des filles sur la prévention des grossesses précoces et non désirées</v>
      </c>
    </row>
    <row r="505" spans="1:30" s="90" customFormat="1" ht="45" customHeight="1" x14ac:dyDescent="0.8">
      <c r="A505" s="84">
        <v>1</v>
      </c>
      <c r="B505" s="85">
        <v>17</v>
      </c>
      <c r="C505" s="85">
        <v>172</v>
      </c>
      <c r="D505" s="85">
        <v>1722</v>
      </c>
      <c r="E505" s="84">
        <v>17229</v>
      </c>
      <c r="F505" s="75" t="s">
        <v>634</v>
      </c>
      <c r="G505" s="76" t="s">
        <v>58</v>
      </c>
      <c r="H505" s="86" t="s">
        <v>59</v>
      </c>
      <c r="I505" s="78">
        <v>0</v>
      </c>
      <c r="J505" s="78">
        <f t="shared" si="119"/>
        <v>380</v>
      </c>
      <c r="K505" s="78">
        <f t="shared" si="119"/>
        <v>380</v>
      </c>
      <c r="L505" s="78">
        <f t="shared" si="119"/>
        <v>380</v>
      </c>
      <c r="M505" s="78">
        <f t="shared" si="117"/>
        <v>1140</v>
      </c>
      <c r="N505" s="78">
        <f>IF(OR(H505="",H505="sif",H505="PM"),0,VLOOKUP(H505,[5]CU!$C$4:$H$255,6,FALSE))</f>
        <v>0.8177777777777776</v>
      </c>
      <c r="O505" s="78">
        <f t="shared" si="118"/>
        <v>0</v>
      </c>
      <c r="P505" s="78">
        <f t="shared" si="118"/>
        <v>310.75555555555547</v>
      </c>
      <c r="Q505" s="78">
        <f t="shared" si="118"/>
        <v>310.75555555555547</v>
      </c>
      <c r="R505" s="78">
        <f t="shared" si="118"/>
        <v>310.75555555555547</v>
      </c>
      <c r="S505" s="93">
        <f>SUM(O505:R505)</f>
        <v>932.26666666666642</v>
      </c>
      <c r="T505" s="80" t="s">
        <v>118</v>
      </c>
      <c r="U505" s="87" t="s">
        <v>170</v>
      </c>
      <c r="V505" s="88" t="str">
        <f>IF(OR($H505="",$H505="sif",$H505="PM"),"",VLOOKUP($H505,[5]CU!$C$5:$J$255,8,FALSE))</f>
        <v>3. Dépenses de fonctionnement</v>
      </c>
      <c r="W505" s="87" t="s">
        <v>595</v>
      </c>
      <c r="X505" s="87" t="s">
        <v>77</v>
      </c>
      <c r="Y505" s="88" t="s">
        <v>32</v>
      </c>
      <c r="Z505" s="88" t="str">
        <f>A505 &amp; "-" &amp; VLOOKUP(A505,[4]PROGRAMMES!$E$1:$F$7,2,FALSE)</f>
        <v>1-Accès et équité à l'enseignement général</v>
      </c>
      <c r="AA505" s="88" t="str">
        <f>B505 &amp; "-" &amp; VLOOKUP(B505,[4]SOUSPROGRAMMES!$E$1:$F$44,2,FALSE)</f>
        <v xml:space="preserve">17- Santé et hygiène scolaires </v>
      </c>
      <c r="AB505" s="88" t="str">
        <f>C505 &amp; "-" &amp; VLOOKUP(C505,[4]RESULTATS!$E$1:$F$176,2,FALSE)</f>
        <v>172- La santé scolaire est améliorée au sein des écoles et établissements scolaires, y compris les FA</v>
      </c>
      <c r="AC505" s="89" t="str">
        <f>D505 &amp; "-" &amp; VLOOKUP(D505,[4]STRATEGIES!$E$1:$F$504,2,FALSE)</f>
        <v>1722-Prévention et lutte contre les maladies en milieu scolaire</v>
      </c>
      <c r="AD505" s="76" t="str">
        <f t="shared" si="106"/>
        <v>17229-Sensibilisation des filles sur la prévention des grossesses précoces et non désirées</v>
      </c>
    </row>
    <row r="506" spans="1:30" s="90" customFormat="1" ht="45" customHeight="1" x14ac:dyDescent="0.8">
      <c r="A506" s="84">
        <v>1</v>
      </c>
      <c r="B506" s="85">
        <v>17</v>
      </c>
      <c r="C506" s="85">
        <v>172</v>
      </c>
      <c r="D506" s="85">
        <v>1723</v>
      </c>
      <c r="E506" s="84">
        <v>1723</v>
      </c>
      <c r="F506" s="75" t="s">
        <v>635</v>
      </c>
      <c r="G506" s="86"/>
      <c r="H506" s="86"/>
      <c r="I506" s="78">
        <v>0</v>
      </c>
      <c r="J506" s="78"/>
      <c r="K506" s="78"/>
      <c r="L506" s="78"/>
      <c r="M506" s="78"/>
      <c r="N506" s="78"/>
      <c r="O506" s="78"/>
      <c r="P506" s="78"/>
      <c r="Q506" s="78"/>
      <c r="R506" s="78"/>
      <c r="S506" s="93"/>
      <c r="T506" s="87"/>
      <c r="U506" s="87"/>
      <c r="V506" s="88"/>
      <c r="W506" s="87"/>
      <c r="X506" s="87"/>
      <c r="Y506" s="88" t="s">
        <v>32</v>
      </c>
      <c r="Z506" s="88" t="str">
        <f>A506 &amp; "-" &amp; VLOOKUP(A506,[4]PROGRAMMES!$E$1:$F$7,2,FALSE)</f>
        <v>1-Accès et équité à l'enseignement général</v>
      </c>
      <c r="AA506" s="88" t="str">
        <f>B506 &amp; "-" &amp; VLOOKUP(B506,[4]SOUSPROGRAMMES!$E$1:$F$44,2,FALSE)</f>
        <v xml:space="preserve">17- Santé et hygiène scolaires </v>
      </c>
      <c r="AB506" s="88" t="str">
        <f>C506 &amp; "-" &amp; VLOOKUP(C506,[4]RESULTATS!$E$1:$F$176,2,FALSE)</f>
        <v>172- La santé scolaire est améliorée au sein des écoles et établissements scolaires, y compris les FA</v>
      </c>
      <c r="AC506" s="89" t="str">
        <f>D506 &amp; "-" &amp; VLOOKUP(D506,[4]STRATEGIES!$E$1:$F$504,2,FALSE)</f>
        <v>1723-Octroi de kits d’hygiène aux filles issues des milieux défavorisés</v>
      </c>
      <c r="AD506" s="76" t="str">
        <f t="shared" si="106"/>
        <v>1723-Octroi de kits d’hygiène aux filles issues des milieux défavorisés</v>
      </c>
    </row>
    <row r="507" spans="1:30" s="22" customFormat="1" ht="45" hidden="1" customHeight="1" x14ac:dyDescent="0.8">
      <c r="A507" s="14">
        <v>1</v>
      </c>
      <c r="B507" s="15">
        <v>17</v>
      </c>
      <c r="C507" s="15">
        <v>172</v>
      </c>
      <c r="D507" s="15">
        <v>1723</v>
      </c>
      <c r="E507" s="14">
        <v>17231</v>
      </c>
      <c r="F507" s="16" t="s">
        <v>636</v>
      </c>
      <c r="G507" s="21" t="s">
        <v>88</v>
      </c>
      <c r="H507" s="17" t="s">
        <v>55</v>
      </c>
      <c r="I507" s="56">
        <v>0</v>
      </c>
      <c r="J507" s="56">
        <v>1</v>
      </c>
      <c r="K507" s="56">
        <v>1</v>
      </c>
      <c r="L507" s="56">
        <v>1</v>
      </c>
      <c r="M507" s="56">
        <f t="shared" si="117"/>
        <v>3</v>
      </c>
      <c r="N507" s="56">
        <f>IF(OR(H507="",H507="sif",H507="PM"),0,VLOOKUP(H507,[5]CU!$C$4:$H$255,6,FALSE))</f>
        <v>0</v>
      </c>
      <c r="O507" s="56"/>
      <c r="P507" s="56"/>
      <c r="Q507" s="56"/>
      <c r="R507" s="56"/>
      <c r="S507" s="53"/>
      <c r="T507" s="23" t="s">
        <v>56</v>
      </c>
      <c r="U507" s="18" t="s">
        <v>170</v>
      </c>
      <c r="V507" s="19" t="str">
        <f>IF(OR($H507="",$H507="sif",$H507="PM"),"",VLOOKUP($H507,[5]CU!$C$5:$J$255,8,FALSE))</f>
        <v/>
      </c>
      <c r="W507" s="18" t="s">
        <v>595</v>
      </c>
      <c r="X507" s="18" t="s">
        <v>595</v>
      </c>
      <c r="Y507" s="19" t="s">
        <v>32</v>
      </c>
      <c r="Z507" s="19" t="str">
        <f>A507 &amp; "-" &amp; VLOOKUP(A507,[4]PROGRAMMES!$E$1:$F$7,2,FALSE)</f>
        <v>1-Accès et équité à l'enseignement général</v>
      </c>
      <c r="AA507" s="19" t="str">
        <f>B507 &amp; "-" &amp; VLOOKUP(B507,[4]SOUSPROGRAMMES!$E$1:$F$44,2,FALSE)</f>
        <v xml:space="preserve">17- Santé et hygiène scolaires </v>
      </c>
      <c r="AB507" s="19" t="str">
        <f>C507 &amp; "-" &amp; VLOOKUP(C507,[4]RESULTATS!$E$1:$F$176,2,FALSE)</f>
        <v>172- La santé scolaire est améliorée au sein des écoles et établissements scolaires, y compris les FA</v>
      </c>
      <c r="AC507" s="20" t="str">
        <f>D507 &amp; "-" &amp; VLOOKUP(D507,[4]STRATEGIES!$E$1:$F$504,2,FALSE)</f>
        <v>1723-Octroi de kits d’hygiène aux filles issues des milieux défavorisés</v>
      </c>
      <c r="AD507" s="21" t="str">
        <f t="shared" si="106"/>
        <v>17231-Ciblage des filles matures en zone rurale</v>
      </c>
    </row>
    <row r="508" spans="1:30" s="22" customFormat="1" ht="45" customHeight="1" x14ac:dyDescent="0.8">
      <c r="A508" s="14">
        <v>1</v>
      </c>
      <c r="B508" s="15">
        <v>17</v>
      </c>
      <c r="C508" s="15">
        <v>172</v>
      </c>
      <c r="D508" s="15">
        <v>1723</v>
      </c>
      <c r="E508" s="14">
        <v>17232</v>
      </c>
      <c r="F508" s="16" t="s">
        <v>637</v>
      </c>
      <c r="G508" s="21" t="s">
        <v>638</v>
      </c>
      <c r="H508" s="17" t="s">
        <v>639</v>
      </c>
      <c r="I508" s="56"/>
      <c r="J508" s="53">
        <f>100000*50%</f>
        <v>50000</v>
      </c>
      <c r="K508" s="53">
        <f>120000*50%</f>
        <v>60000</v>
      </c>
      <c r="L508" s="53">
        <f>(120000)*50%</f>
        <v>60000</v>
      </c>
      <c r="M508" s="53">
        <f>SUM(I508:L508)</f>
        <v>170000</v>
      </c>
      <c r="N508" s="53">
        <f>IF(OR(H508="",H508="sif",H508="PM"),0,VLOOKUP(H508,[5]CU!$C$4:$H$255,6,FALSE))</f>
        <v>0.1</v>
      </c>
      <c r="O508" s="53">
        <f t="shared" ref="O508:R509" si="120">$N508*I508</f>
        <v>0</v>
      </c>
      <c r="P508" s="53">
        <f t="shared" si="120"/>
        <v>5000</v>
      </c>
      <c r="Q508" s="53">
        <f t="shared" si="120"/>
        <v>6000</v>
      </c>
      <c r="R508" s="53">
        <f t="shared" si="120"/>
        <v>6000</v>
      </c>
      <c r="S508" s="53">
        <f>SUM(O508:R508)</f>
        <v>17000</v>
      </c>
      <c r="T508" s="23" t="s">
        <v>67</v>
      </c>
      <c r="U508" s="18" t="s">
        <v>170</v>
      </c>
      <c r="V508" s="19" t="str">
        <f>IF(OR($H508="",$H508="sif",$H508="PM"),"",VLOOKUP($H508,[5]CU!$C$5:$J$255,8,FALSE))</f>
        <v>4. Transferts et subventions</v>
      </c>
      <c r="W508" s="18" t="s">
        <v>595</v>
      </c>
      <c r="X508" s="18" t="s">
        <v>595</v>
      </c>
      <c r="Y508" s="19" t="s">
        <v>32</v>
      </c>
      <c r="Z508" s="19" t="str">
        <f>A508 &amp; "-" &amp; VLOOKUP(A508,[4]PROGRAMMES!$E$1:$F$7,2,FALSE)</f>
        <v>1-Accès et équité à l'enseignement général</v>
      </c>
      <c r="AA508" s="19" t="str">
        <f>B508 &amp; "-" &amp; VLOOKUP(B508,[4]SOUSPROGRAMMES!$E$1:$F$44,2,FALSE)</f>
        <v xml:space="preserve">17- Santé et hygiène scolaires </v>
      </c>
      <c r="AB508" s="19" t="str">
        <f>C508 &amp; "-" &amp; VLOOKUP(C508,[4]RESULTATS!$E$1:$F$176,2,FALSE)</f>
        <v>172- La santé scolaire est améliorée au sein des écoles et établissements scolaires, y compris les FA</v>
      </c>
      <c r="AC508" s="20" t="str">
        <f>D508 &amp; "-" &amp; VLOOKUP(D508,[4]STRATEGIES!$E$1:$F$504,2,FALSE)</f>
        <v>1723-Octroi de kits d’hygiène aux filles issues des milieux défavorisés</v>
      </c>
      <c r="AD508" s="21" t="str">
        <f t="shared" si="106"/>
        <v>17232-Acquisition et distribution régulière de kits d'hygiène aux filles</v>
      </c>
    </row>
    <row r="509" spans="1:30" s="22" customFormat="1" ht="45" customHeight="1" x14ac:dyDescent="0.8">
      <c r="A509" s="14">
        <v>1</v>
      </c>
      <c r="B509" s="15">
        <v>17</v>
      </c>
      <c r="C509" s="15">
        <v>172</v>
      </c>
      <c r="D509" s="15">
        <v>1723</v>
      </c>
      <c r="E509" s="14">
        <v>17232</v>
      </c>
      <c r="F509" s="16" t="s">
        <v>637</v>
      </c>
      <c r="G509" s="21" t="s">
        <v>638</v>
      </c>
      <c r="H509" s="17" t="s">
        <v>639</v>
      </c>
      <c r="I509" s="56"/>
      <c r="J509" s="56">
        <f>100000*50%</f>
        <v>50000</v>
      </c>
      <c r="K509" s="56">
        <f>120000*50%</f>
        <v>60000</v>
      </c>
      <c r="L509" s="56">
        <f>(120000)*50%</f>
        <v>60000</v>
      </c>
      <c r="M509" s="56">
        <f t="shared" si="117"/>
        <v>170000</v>
      </c>
      <c r="N509" s="56">
        <f>IF(OR(H509="",H509="sif",H509="PM"),0,VLOOKUP(H509,[5]CU!$C$4:$H$255,6,FALSE))</f>
        <v>0.1</v>
      </c>
      <c r="O509" s="56">
        <f t="shared" si="120"/>
        <v>0</v>
      </c>
      <c r="P509" s="56">
        <f t="shared" si="120"/>
        <v>5000</v>
      </c>
      <c r="Q509" s="56">
        <f t="shared" si="120"/>
        <v>6000</v>
      </c>
      <c r="R509" s="56">
        <f t="shared" si="120"/>
        <v>6000</v>
      </c>
      <c r="S509" s="53">
        <f>SUM(O509:R509)</f>
        <v>17000</v>
      </c>
      <c r="T509" s="23" t="s">
        <v>118</v>
      </c>
      <c r="U509" s="18" t="s">
        <v>170</v>
      </c>
      <c r="V509" s="19" t="str">
        <f>IF(OR($H509="",$H509="sif",$H509="PM"),"",VLOOKUP($H509,[5]CU!$C$5:$J$255,8,FALSE))</f>
        <v>4. Transferts et subventions</v>
      </c>
      <c r="W509" s="18" t="s">
        <v>595</v>
      </c>
      <c r="X509" s="18" t="s">
        <v>595</v>
      </c>
      <c r="Y509" s="19" t="s">
        <v>32</v>
      </c>
      <c r="Z509" s="19" t="str">
        <f>A509 &amp; "-" &amp; VLOOKUP(A509,[4]PROGRAMMES!$E$1:$F$7,2,FALSE)</f>
        <v>1-Accès et équité à l'enseignement général</v>
      </c>
      <c r="AA509" s="19" t="str">
        <f>B509 &amp; "-" &amp; VLOOKUP(B509,[4]SOUSPROGRAMMES!$E$1:$F$44,2,FALSE)</f>
        <v xml:space="preserve">17- Santé et hygiène scolaires </v>
      </c>
      <c r="AB509" s="19" t="str">
        <f>C509 &amp; "-" &amp; VLOOKUP(C509,[4]RESULTATS!$E$1:$F$176,2,FALSE)</f>
        <v>172- La santé scolaire est améliorée au sein des écoles et établissements scolaires, y compris les FA</v>
      </c>
      <c r="AC509" s="20" t="str">
        <f>D509 &amp; "-" &amp; VLOOKUP(D509,[4]STRATEGIES!$E$1:$F$504,2,FALSE)</f>
        <v>1723-Octroi de kits d’hygiène aux filles issues des milieux défavorisés</v>
      </c>
      <c r="AD509" s="21" t="str">
        <f t="shared" si="106"/>
        <v>17232-Acquisition et distribution régulière de kits d'hygiène aux filles</v>
      </c>
    </row>
    <row r="510" spans="1:30" s="22" customFormat="1" ht="45" customHeight="1" x14ac:dyDescent="0.8">
      <c r="A510" s="14">
        <v>1</v>
      </c>
      <c r="B510" s="15">
        <v>17</v>
      </c>
      <c r="C510" s="15">
        <v>172</v>
      </c>
      <c r="D510" s="15">
        <v>1723</v>
      </c>
      <c r="E510" s="14">
        <v>17233</v>
      </c>
      <c r="F510" s="16" t="s">
        <v>640</v>
      </c>
      <c r="G510" s="21" t="s">
        <v>92</v>
      </c>
      <c r="H510" s="17" t="s">
        <v>55</v>
      </c>
      <c r="I510" s="56"/>
      <c r="J510" s="53">
        <v>1</v>
      </c>
      <c r="K510" s="53">
        <v>1</v>
      </c>
      <c r="L510" s="53">
        <v>1</v>
      </c>
      <c r="M510" s="53">
        <f t="shared" si="117"/>
        <v>3</v>
      </c>
      <c r="N510" s="53">
        <f>IF(OR(H510="",H510="sif",H510="PM"),0,VLOOKUP(H510,[5]CU!$C$4:$H$255,6,FALSE))</f>
        <v>0</v>
      </c>
      <c r="O510" s="53"/>
      <c r="P510" s="53"/>
      <c r="Q510" s="53"/>
      <c r="R510" s="53"/>
      <c r="S510" s="53"/>
      <c r="T510" s="23" t="s">
        <v>67</v>
      </c>
      <c r="U510" s="18" t="s">
        <v>170</v>
      </c>
      <c r="V510" s="19" t="str">
        <f>IF(OR($H510="",$H510="sif",$H510="PM"),"",VLOOKUP($H510,[5]CU!$C$5:$J$255,8,FALSE))</f>
        <v/>
      </c>
      <c r="W510" s="18" t="s">
        <v>595</v>
      </c>
      <c r="X510" s="18" t="s">
        <v>578</v>
      </c>
      <c r="Y510" s="19" t="s">
        <v>32</v>
      </c>
      <c r="Z510" s="19" t="str">
        <f>A510 &amp; "-" &amp; VLOOKUP(A510,[4]PROGRAMMES!$E$1:$F$7,2,FALSE)</f>
        <v>1-Accès et équité à l'enseignement général</v>
      </c>
      <c r="AA510" s="19" t="str">
        <f>B510 &amp; "-" &amp; VLOOKUP(B510,[4]SOUSPROGRAMMES!$E$1:$F$44,2,FALSE)</f>
        <v xml:space="preserve">17- Santé et hygiène scolaires </v>
      </c>
      <c r="AB510" s="19" t="str">
        <f>C510 &amp; "-" &amp; VLOOKUP(C510,[4]RESULTATS!$E$1:$F$176,2,FALSE)</f>
        <v>172- La santé scolaire est améliorée au sein des écoles et établissements scolaires, y compris les FA</v>
      </c>
      <c r="AC510" s="20" t="str">
        <f>D510 &amp; "-" &amp; VLOOKUP(D510,[4]STRATEGIES!$E$1:$F$504,2,FALSE)</f>
        <v>1723-Octroi de kits d’hygiène aux filles issues des milieux défavorisés</v>
      </c>
      <c r="AD510" s="21" t="str">
        <f t="shared" si="106"/>
        <v>17233-Suivi/évaluation de la distribution des kits d'hygiène</v>
      </c>
    </row>
    <row r="511" spans="1:30" s="22" customFormat="1" ht="30" customHeight="1" x14ac:dyDescent="0.8">
      <c r="A511" s="14">
        <v>2</v>
      </c>
      <c r="B511" s="15">
        <v>2</v>
      </c>
      <c r="C511" s="15">
        <v>2</v>
      </c>
      <c r="D511" s="15">
        <v>2</v>
      </c>
      <c r="E511" s="14">
        <v>2</v>
      </c>
      <c r="F511" s="16" t="s">
        <v>641</v>
      </c>
      <c r="G511" s="17"/>
      <c r="H511" s="17"/>
      <c r="I511" s="56">
        <v>0</v>
      </c>
      <c r="J511" s="56"/>
      <c r="K511" s="56"/>
      <c r="L511" s="56"/>
      <c r="M511" s="56"/>
      <c r="N511" s="56"/>
      <c r="O511" s="56"/>
      <c r="P511" s="56"/>
      <c r="Q511" s="56"/>
      <c r="R511" s="56"/>
      <c r="S511" s="53"/>
      <c r="T511" s="18"/>
      <c r="U511" s="18"/>
      <c r="V511" s="19"/>
      <c r="W511" s="18"/>
      <c r="X511" s="18"/>
      <c r="Y511" s="19" t="s">
        <v>32</v>
      </c>
      <c r="Z511" s="19" t="str">
        <f>A511 &amp; "-" &amp; VLOOKUP(A511,[4]PROGRAMMES!$E$1:$F$7,2,FALSE)</f>
        <v>2-Qualité des enseignements et des apprentissages</v>
      </c>
      <c r="AA511" s="19" t="str">
        <f>B511 &amp; "-" &amp; VLOOKUP(B511,[4]SOUSPROGRAMMES!$E$1:$F$44,2,FALSE)</f>
        <v>2-Qualité des enseignements et des apprentissages</v>
      </c>
      <c r="AB511" s="19" t="str">
        <f>C511 &amp; "-" &amp; VLOOKUP(C511,[4]RESULTATS!$E$1:$F$176,2,FALSE)</f>
        <v>2-Qualité des enseignements et des apprentissages</v>
      </c>
      <c r="AC511" s="20" t="str">
        <f>D511 &amp; "-" &amp; VLOOKUP(D511,[4]STRATEGIES!$E$1:$F$504,2,FALSE)</f>
        <v>2-Qualité des enseignements et des apprentissages</v>
      </c>
      <c r="AD511" s="21" t="str">
        <f t="shared" si="106"/>
        <v>2-Qualité des enseignements et des apprentissages</v>
      </c>
    </row>
    <row r="512" spans="1:30" s="22" customFormat="1" ht="90" customHeight="1" x14ac:dyDescent="0.8">
      <c r="A512" s="14">
        <v>2</v>
      </c>
      <c r="B512" s="15">
        <v>21</v>
      </c>
      <c r="C512" s="15">
        <v>21</v>
      </c>
      <c r="D512" s="15">
        <v>21</v>
      </c>
      <c r="E512" s="14">
        <v>21</v>
      </c>
      <c r="F512" s="16" t="s">
        <v>642</v>
      </c>
      <c r="G512" s="17"/>
      <c r="H512" s="17"/>
      <c r="I512" s="56">
        <v>0</v>
      </c>
      <c r="J512" s="56"/>
      <c r="K512" s="56"/>
      <c r="L512" s="56"/>
      <c r="M512" s="56"/>
      <c r="N512" s="56"/>
      <c r="O512" s="56"/>
      <c r="P512" s="56"/>
      <c r="Q512" s="56"/>
      <c r="R512" s="56"/>
      <c r="S512" s="53"/>
      <c r="T512" s="18"/>
      <c r="U512" s="18"/>
      <c r="V512" s="19"/>
      <c r="W512" s="18"/>
      <c r="X512" s="18"/>
      <c r="Y512" s="19" t="s">
        <v>32</v>
      </c>
      <c r="Z512" s="19" t="str">
        <f>A512 &amp; "-" &amp; VLOOKUP(A512,[4]PROGRAMMES!$E$1:$F$7,2,FALSE)</f>
        <v>2-Qualité des enseignements et des apprentissages</v>
      </c>
      <c r="AA512" s="19" t="str">
        <f>B512 &amp; "-" &amp; VLOOKUP(B512,[4]SOUSPROGRAMMES!$E$1:$F$44,2,FALSE)</f>
        <v>21- Révision/ adaptation des curricula/programmes (place des sciences ; franco-arabe, intégration de l’éducation à la citoyenneté, l'éducation complète à la sexualité, éducation environnementale…)</v>
      </c>
      <c r="AB512" s="19" t="str">
        <f>C512 &amp; "-" &amp; VLOOKUP(C512,[4]RESULTATS!$E$1:$F$176,2,FALSE)</f>
        <v>21- Révision/ adaptation des curricula/programmes (place des sciences ; franco-arabe, intégration de l’éducation à la citoyenneté, l'éducation complète à la sexualité, éducation environnementale…)</v>
      </c>
      <c r="AC512" s="20" t="str">
        <f>D512 &amp; "-" &amp; VLOOKUP(D512,[4]STRATEGIES!$E$1:$F$504,2,FALSE)</f>
        <v>21- Révision/ adaptation des curricula/programmes (place des sciences ; franco-arabe, intégration de l’éducation à la citoyenneté, l'éducation complète à la sexualité, éducation environnementale…)</v>
      </c>
      <c r="AD512" s="21" t="str">
        <f t="shared" si="106"/>
        <v>21- Révision/ adaptation des curricula/programmes (place des sciences ; franco-arabe, intégration de l’éducation à la citoyenneté, l'éducation complète à la sexualité, éducation environnementale…)</v>
      </c>
    </row>
    <row r="513" spans="1:30" s="22" customFormat="1" ht="90" customHeight="1" x14ac:dyDescent="0.8">
      <c r="A513" s="14">
        <v>2</v>
      </c>
      <c r="B513" s="15">
        <v>21</v>
      </c>
      <c r="C513" s="15">
        <v>211</v>
      </c>
      <c r="D513" s="15">
        <v>211</v>
      </c>
      <c r="E513" s="14">
        <v>211</v>
      </c>
      <c r="F513" s="16" t="s">
        <v>643</v>
      </c>
      <c r="G513" s="17"/>
      <c r="H513" s="17"/>
      <c r="I513" s="56">
        <v>0</v>
      </c>
      <c r="J513" s="56"/>
      <c r="K513" s="56"/>
      <c r="L513" s="56"/>
      <c r="M513" s="56"/>
      <c r="N513" s="56"/>
      <c r="O513" s="56"/>
      <c r="P513" s="56"/>
      <c r="Q513" s="56"/>
      <c r="R513" s="56"/>
      <c r="S513" s="53"/>
      <c r="T513" s="18"/>
      <c r="U513" s="18"/>
      <c r="V513" s="19"/>
      <c r="W513" s="18"/>
      <c r="X513" s="18"/>
      <c r="Y513" s="19" t="s">
        <v>32</v>
      </c>
      <c r="Z513" s="19" t="str">
        <f>A513 &amp; "-" &amp; VLOOKUP(A513,[4]PROGRAMMES!$E$1:$F$7,2,FALSE)</f>
        <v>2-Qualité des enseignements et des apprentissages</v>
      </c>
      <c r="AA513" s="19" t="str">
        <f>B513 &amp; "-" &amp; VLOOKUP(B513,[4]SOUSPROGRAMMES!$E$1:$F$44,2,FALSE)</f>
        <v>21- Révision/ adaptation des curricula/programmes (place des sciences ; franco-arabe, intégration de l’éducation à la citoyenneté, l'éducation complète à la sexualité, éducation environnementale…)</v>
      </c>
      <c r="AB513" s="19" t="str">
        <f>C513 &amp; "-" &amp; VLOOKUP(C513,[4]RESULTATS!$E$1:$F$176,2,FALSE)</f>
        <v>211- les contenus des programmes (du préscolaire, du primaire, 1er et second cycle du secondaire) sont progressivement révisés, adaptés et diversifiés</v>
      </c>
      <c r="AC513" s="20" t="str">
        <f>D513 &amp; "-" &amp; VLOOKUP(D513,[4]STRATEGIES!$E$1:$F$504,2,FALSE)</f>
        <v>211- les contenus des programmes (du préscolaire, du primaire, 1er et second cycle du secondaire) sont progressivement révisés, adaptés et diversifiés</v>
      </c>
      <c r="AD513" s="21" t="str">
        <f t="shared" si="106"/>
        <v>211- les contenus des programmes (du préscolaire, du primaire, 1er et second cycle du secondaire) sont progressivement révisés, adaptés et diversifiés</v>
      </c>
    </row>
    <row r="514" spans="1:30" s="22" customFormat="1" ht="90" customHeight="1" x14ac:dyDescent="0.8">
      <c r="A514" s="14">
        <v>2</v>
      </c>
      <c r="B514" s="15">
        <v>21</v>
      </c>
      <c r="C514" s="15">
        <v>211</v>
      </c>
      <c r="D514" s="15">
        <v>2111</v>
      </c>
      <c r="E514" s="14">
        <v>2111</v>
      </c>
      <c r="F514" s="16" t="s">
        <v>644</v>
      </c>
      <c r="G514" s="17"/>
      <c r="H514" s="17"/>
      <c r="I514" s="56">
        <v>0</v>
      </c>
      <c r="J514" s="56"/>
      <c r="K514" s="56"/>
      <c r="L514" s="56"/>
      <c r="M514" s="56"/>
      <c r="N514" s="56"/>
      <c r="O514" s="56"/>
      <c r="P514" s="56"/>
      <c r="Q514" s="56"/>
      <c r="R514" s="56"/>
      <c r="S514" s="53"/>
      <c r="T514" s="18"/>
      <c r="U514" s="18"/>
      <c r="V514" s="19"/>
      <c r="W514" s="18"/>
      <c r="X514" s="18"/>
      <c r="Y514" s="19" t="s">
        <v>32</v>
      </c>
      <c r="Z514" s="19" t="str">
        <f>A514 &amp; "-" &amp; VLOOKUP(A514,[4]PROGRAMMES!$E$1:$F$7,2,FALSE)</f>
        <v>2-Qualité des enseignements et des apprentissages</v>
      </c>
      <c r="AA514" s="19" t="str">
        <f>B514 &amp; "-" &amp; VLOOKUP(B514,[4]SOUSPROGRAMMES!$E$1:$F$44,2,FALSE)</f>
        <v>21- Révision/ adaptation des curricula/programmes (place des sciences ; franco-arabe, intégration de l’éducation à la citoyenneté, l'éducation complète à la sexualité, éducation environnementale…)</v>
      </c>
      <c r="AB514" s="19" t="str">
        <f>C514 &amp; "-" &amp; VLOOKUP(C514,[4]RESULTATS!$E$1:$F$176,2,FALSE)</f>
        <v>211- les contenus des programmes (du préscolaire, du primaire, 1er et second cycle du secondaire) sont progressivement révisés, adaptés et diversifiés</v>
      </c>
      <c r="AC514" s="20" t="str">
        <f>D514 &amp; "-" &amp; VLOOKUP(D514,[4]STRATEGIES!$E$1:$F$504,2,FALSE)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4" s="21" t="str">
        <f t="shared" si="106"/>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row>
    <row r="515" spans="1:30" s="22" customFormat="1" ht="90" hidden="1" customHeight="1" x14ac:dyDescent="0.8">
      <c r="A515" s="14">
        <v>2</v>
      </c>
      <c r="B515" s="15">
        <v>21</v>
      </c>
      <c r="C515" s="15">
        <v>211</v>
      </c>
      <c r="D515" s="15">
        <v>2111</v>
      </c>
      <c r="E515" s="14">
        <v>21111</v>
      </c>
      <c r="F515" s="16" t="s">
        <v>645</v>
      </c>
      <c r="G515" s="21" t="s">
        <v>167</v>
      </c>
      <c r="H515" s="17" t="s">
        <v>646</v>
      </c>
      <c r="I515" s="56">
        <v>0</v>
      </c>
      <c r="J515" s="56"/>
      <c r="K515" s="56"/>
      <c r="L515" s="56"/>
      <c r="M515" s="56">
        <f t="shared" si="117"/>
        <v>0</v>
      </c>
      <c r="N515" s="56">
        <f>IF(OR(H515="",H515="sif",H515="PM"),0,VLOOKUP(H515,[5]CU!$C$4:$H$255,6,FALSE))</f>
        <v>10.404797</v>
      </c>
      <c r="O515" s="56">
        <f t="shared" ref="O515:R516" si="121">$N515*I515</f>
        <v>0</v>
      </c>
      <c r="P515" s="56">
        <f t="shared" si="121"/>
        <v>0</v>
      </c>
      <c r="Q515" s="56">
        <f t="shared" si="121"/>
        <v>0</v>
      </c>
      <c r="R515" s="56">
        <f t="shared" si="121"/>
        <v>0</v>
      </c>
      <c r="S515" s="53">
        <f>SUM(O515:R515)</f>
        <v>0</v>
      </c>
      <c r="T515" s="23" t="s">
        <v>178</v>
      </c>
      <c r="U515" s="18" t="s">
        <v>647</v>
      </c>
      <c r="V515" s="19" t="str">
        <f>IF(OR($H515="",$H515="sif",$H515="PM"),"",VLOOKUP($H515,[5]CU!$C$5:$J$255,8,FALSE))</f>
        <v>3. Dépenses de fonctionnement</v>
      </c>
      <c r="W515" s="18" t="s">
        <v>255</v>
      </c>
      <c r="X515" s="18" t="s">
        <v>347</v>
      </c>
      <c r="Y515" s="19" t="s">
        <v>32</v>
      </c>
      <c r="Z515" s="19" t="str">
        <f>A515 &amp; "-" &amp; VLOOKUP(A515,[4]PROGRAMMES!$E$1:$F$7,2,FALSE)</f>
        <v>2-Qualité des enseignements et des apprentissages</v>
      </c>
      <c r="AA515" s="19" t="str">
        <f>B515 &amp; "-" &amp; VLOOKUP(B515,[4]SOUSPROGRAMMES!$E$1:$F$44,2,FALSE)</f>
        <v>21- Révision/ adaptation des curricula/programmes (place des sciences ; franco-arabe, intégration de l’éducation à la citoyenneté, l'éducation complète à la sexualité, éducation environnementale…)</v>
      </c>
      <c r="AB515" s="19" t="str">
        <f>C515 &amp; "-" &amp; VLOOKUP(C515,[4]RESULTATS!$E$1:$F$176,2,FALSE)</f>
        <v>211- les contenus des programmes (du préscolaire, du primaire, 1er et second cycle du secondaire) sont progressivement révisés, adaptés et diversifiés</v>
      </c>
      <c r="AC515" s="20" t="str">
        <f>D515 &amp; "-" &amp; VLOOKUP(D515,[4]STRATEGIES!$E$1:$F$504,2,FALSE)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5" s="21" t="str">
        <f t="shared" si="106"/>
        <v>21111-Etudes pour l'élargissement de l'éducation de base (curriculas, examens,  architecture des collèges de petite taille, évolution du profils des enseignants) et diversification des filières au secondaire</v>
      </c>
    </row>
    <row r="516" spans="1:30" s="22" customFormat="1" ht="90" hidden="1" customHeight="1" x14ac:dyDescent="0.8">
      <c r="A516" s="14">
        <v>2</v>
      </c>
      <c r="B516" s="15">
        <v>21</v>
      </c>
      <c r="C516" s="15">
        <v>211</v>
      </c>
      <c r="D516" s="15">
        <v>2111</v>
      </c>
      <c r="E516" s="14">
        <v>21112</v>
      </c>
      <c r="F516" s="16" t="s">
        <v>648</v>
      </c>
      <c r="G516" s="21" t="s">
        <v>649</v>
      </c>
      <c r="H516" s="17" t="s">
        <v>295</v>
      </c>
      <c r="I516" s="56">
        <v>0</v>
      </c>
      <c r="J516" s="56"/>
      <c r="K516" s="56"/>
      <c r="L516" s="56"/>
      <c r="M516" s="56">
        <f t="shared" si="117"/>
        <v>0</v>
      </c>
      <c r="N516" s="56">
        <f>IF(OR(H516="",H516="sif",H516="PM"),0,VLOOKUP(H516,[5]CU!$C$4:$H$255,6,FALSE))</f>
        <v>40.32</v>
      </c>
      <c r="O516" s="56">
        <f t="shared" si="121"/>
        <v>0</v>
      </c>
      <c r="P516" s="56">
        <f t="shared" si="121"/>
        <v>0</v>
      </c>
      <c r="Q516" s="56">
        <f t="shared" si="121"/>
        <v>0</v>
      </c>
      <c r="R516" s="56">
        <f t="shared" si="121"/>
        <v>0</v>
      </c>
      <c r="S516" s="53">
        <f>SUM(O516:R516)</f>
        <v>0</v>
      </c>
      <c r="T516" s="23" t="s">
        <v>178</v>
      </c>
      <c r="U516" s="18" t="s">
        <v>647</v>
      </c>
      <c r="V516" s="19" t="str">
        <f>IF(OR($H516="",$H516="sif",$H516="PM"),"",VLOOKUP($H516,[5]CU!$C$5:$J$255,8,FALSE))</f>
        <v>3. Formation</v>
      </c>
      <c r="W516" s="18" t="s">
        <v>255</v>
      </c>
      <c r="X516" s="18" t="s">
        <v>347</v>
      </c>
      <c r="Y516" s="19" t="s">
        <v>32</v>
      </c>
      <c r="Z516" s="19" t="str">
        <f>A516 &amp; "-" &amp; VLOOKUP(A516,[4]PROGRAMMES!$E$1:$F$7,2,FALSE)</f>
        <v>2-Qualité des enseignements et des apprentissages</v>
      </c>
      <c r="AA516" s="19" t="str">
        <f>B516 &amp; "-" &amp; VLOOKUP(B516,[4]SOUSPROGRAMMES!$E$1:$F$44,2,FALSE)</f>
        <v>21- Révision/ adaptation des curricula/programmes (place des sciences ; franco-arabe, intégration de l’éducation à la citoyenneté, l'éducation complète à la sexualité, éducation environnementale…)</v>
      </c>
      <c r="AB516" s="19" t="str">
        <f>C516 &amp; "-" &amp; VLOOKUP(C516,[4]RESULTATS!$E$1:$F$176,2,FALSE)</f>
        <v>211- les contenus des programmes (du préscolaire, du primaire, 1er et second cycle du secondaire) sont progressivement révisés, adaptés et diversifiés</v>
      </c>
      <c r="AC516" s="20" t="str">
        <f>D516 &amp; "-" &amp; VLOOKUP(D516,[4]STRATEGIES!$E$1:$F$504,2,FALSE)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6" s="21" t="str">
        <f t="shared" ref="AD516:AD579" si="122">E516 &amp; "-" &amp; F516</f>
        <v>21112-Organisation d'un voyage d'étude sur l'élargissement de l'éducation de base (pays d'Afrique)</v>
      </c>
    </row>
    <row r="517" spans="1:30" s="22" customFormat="1" ht="90" hidden="1" customHeight="1" x14ac:dyDescent="0.8">
      <c r="A517" s="14">
        <v>2</v>
      </c>
      <c r="B517" s="15">
        <v>21</v>
      </c>
      <c r="C517" s="15">
        <v>211</v>
      </c>
      <c r="D517" s="15">
        <v>2111</v>
      </c>
      <c r="E517" s="14">
        <v>21113</v>
      </c>
      <c r="F517" s="16" t="s">
        <v>650</v>
      </c>
      <c r="G517" s="21" t="s">
        <v>651</v>
      </c>
      <c r="H517" s="17" t="s">
        <v>55</v>
      </c>
      <c r="I517" s="56">
        <v>0</v>
      </c>
      <c r="J517" s="56">
        <v>1</v>
      </c>
      <c r="K517" s="56"/>
      <c r="L517" s="56"/>
      <c r="M517" s="56">
        <f t="shared" si="117"/>
        <v>1</v>
      </c>
      <c r="N517" s="56">
        <f>IF(OR(H517="",H517="sif",H517="PM"),0,VLOOKUP(H517,[5]CU!$C$4:$H$255,6,FALSE))</f>
        <v>0</v>
      </c>
      <c r="O517" s="56"/>
      <c r="P517" s="56"/>
      <c r="Q517" s="56"/>
      <c r="R517" s="56"/>
      <c r="S517" s="53"/>
      <c r="T517" s="23" t="s">
        <v>56</v>
      </c>
      <c r="U517" s="18" t="s">
        <v>647</v>
      </c>
      <c r="V517" s="19" t="str">
        <f>IF(OR($H517="",$H517="sif",$H517="PM"),"",VLOOKUP($H517,[5]CU!$C$5:$J$255,8,FALSE))</f>
        <v/>
      </c>
      <c r="W517" s="18" t="s">
        <v>255</v>
      </c>
      <c r="X517" s="18" t="s">
        <v>347</v>
      </c>
      <c r="Y517" s="19" t="s">
        <v>32</v>
      </c>
      <c r="Z517" s="19" t="str">
        <f>A517 &amp; "-" &amp; VLOOKUP(A517,[4]PROGRAMMES!$E$1:$F$7,2,FALSE)</f>
        <v>2-Qualité des enseignements et des apprentissages</v>
      </c>
      <c r="AA517" s="19" t="str">
        <f>B517 &amp; "-" &amp; VLOOKUP(B517,[4]SOUSPROGRAMMES!$E$1:$F$44,2,FALSE)</f>
        <v>21- Révision/ adaptation des curricula/programmes (place des sciences ; franco-arabe, intégration de l’éducation à la citoyenneté, l'éducation complète à la sexualité, éducation environnementale…)</v>
      </c>
      <c r="AB517" s="19" t="str">
        <f>C517 &amp; "-" &amp; VLOOKUP(C517,[4]RESULTATS!$E$1:$F$176,2,FALSE)</f>
        <v>211- les contenus des programmes (du préscolaire, du primaire, 1er et second cycle du secondaire) sont progressivement révisés, adaptés et diversifiés</v>
      </c>
      <c r="AC517" s="20" t="str">
        <f>D517 &amp; "-" &amp; VLOOKUP(D517,[4]STRATEGIES!$E$1:$F$504,2,FALSE)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7" s="21" t="str">
        <f t="shared" si="122"/>
        <v>21113-Mise en place de l'équipe chargée du pilotage de la révision des programmes (préscolaire, primaire, collège et lycée et de la formation initiale des enseignants)</v>
      </c>
    </row>
    <row r="518" spans="1:30" s="22" customFormat="1" ht="90" hidden="1" customHeight="1" x14ac:dyDescent="0.8">
      <c r="A518" s="14">
        <v>2</v>
      </c>
      <c r="B518" s="15">
        <v>21</v>
      </c>
      <c r="C518" s="15">
        <v>211</v>
      </c>
      <c r="D518" s="15">
        <v>2111</v>
      </c>
      <c r="E518" s="14">
        <v>21114</v>
      </c>
      <c r="F518" s="16" t="s">
        <v>652</v>
      </c>
      <c r="G518" s="21" t="s">
        <v>88</v>
      </c>
      <c r="H518" s="17" t="s">
        <v>55</v>
      </c>
      <c r="I518" s="56">
        <v>0</v>
      </c>
      <c r="J518" s="56">
        <v>1</v>
      </c>
      <c r="K518" s="56"/>
      <c r="L518" s="56"/>
      <c r="M518" s="56">
        <f t="shared" si="117"/>
        <v>1</v>
      </c>
      <c r="N518" s="56">
        <f>IF(OR(H518="",H518="sif",H518="PM"),0,VLOOKUP(H518,[5]CU!$C$4:$H$255,6,FALSE))</f>
        <v>0</v>
      </c>
      <c r="O518" s="56"/>
      <c r="P518" s="56"/>
      <c r="Q518" s="56"/>
      <c r="R518" s="56"/>
      <c r="S518" s="53"/>
      <c r="T518" s="23" t="s">
        <v>56</v>
      </c>
      <c r="U518" s="18" t="s">
        <v>647</v>
      </c>
      <c r="V518" s="19" t="str">
        <f>IF(OR($H518="",$H518="sif",$H518="PM"),"",VLOOKUP($H518,[5]CU!$C$5:$J$255,8,FALSE))</f>
        <v/>
      </c>
      <c r="W518" s="18" t="s">
        <v>653</v>
      </c>
      <c r="X518" s="18" t="s">
        <v>347</v>
      </c>
      <c r="Y518" s="19" t="s">
        <v>32</v>
      </c>
      <c r="Z518" s="19" t="str">
        <f>A518 &amp; "-" &amp; VLOOKUP(A518,[4]PROGRAMMES!$E$1:$F$7,2,FALSE)</f>
        <v>2-Qualité des enseignements et des apprentissages</v>
      </c>
      <c r="AA518" s="19" t="str">
        <f>B518 &amp; "-" &amp; VLOOKUP(B518,[4]SOUSPROGRAMMES!$E$1:$F$44,2,FALSE)</f>
        <v>21- Révision/ adaptation des curricula/programmes (place des sciences ; franco-arabe, intégration de l’éducation à la citoyenneté, l'éducation complète à la sexualité, éducation environnementale…)</v>
      </c>
      <c r="AB518" s="19" t="str">
        <f>C518 &amp; "-" &amp; VLOOKUP(C518,[4]RESULTATS!$E$1:$F$176,2,FALSE)</f>
        <v>211- les contenus des programmes (du préscolaire, du primaire, 1er et second cycle du secondaire) sont progressivement révisés, adaptés et diversifiés</v>
      </c>
      <c r="AC518" s="20" t="str">
        <f>D518 &amp; "-" &amp; VLOOKUP(D518,[4]STRATEGIES!$E$1:$F$504,2,FALSE)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8" s="21" t="str">
        <f t="shared" si="122"/>
        <v>21114-Elaboration des TdR et recrutement d'une assistance technique pour la déFinition des profils de sortie de différents niveaux et l'élaboration d'un cahier de charges et d'un plan d'actions pour la révision des curricula</v>
      </c>
    </row>
    <row r="519" spans="1:30" s="22" customFormat="1" ht="90" customHeight="1" x14ac:dyDescent="0.8">
      <c r="A519" s="14">
        <v>2</v>
      </c>
      <c r="B519" s="15">
        <v>21</v>
      </c>
      <c r="C519" s="15">
        <v>211</v>
      </c>
      <c r="D519" s="15">
        <v>2111</v>
      </c>
      <c r="E519" s="14">
        <v>21115</v>
      </c>
      <c r="F519" s="16" t="s">
        <v>654</v>
      </c>
      <c r="G519" s="21" t="s">
        <v>167</v>
      </c>
      <c r="H519" s="17" t="s">
        <v>646</v>
      </c>
      <c r="I519" s="56">
        <v>0</v>
      </c>
      <c r="J519" s="56">
        <f>2*15*2</f>
        <v>60</v>
      </c>
      <c r="K519" s="56">
        <f>2*15</f>
        <v>30</v>
      </c>
      <c r="L519" s="56"/>
      <c r="M519" s="56">
        <f t="shared" si="117"/>
        <v>90</v>
      </c>
      <c r="N519" s="56">
        <f>IF(OR(H519="",H519="sif",H519="PM"),0,VLOOKUP(H519,[5]CU!$C$4:$H$255,6,FALSE))</f>
        <v>10.404797</v>
      </c>
      <c r="O519" s="56">
        <f t="shared" ref="O519:R521" si="123">$N519*I519</f>
        <v>0</v>
      </c>
      <c r="P519" s="56">
        <f t="shared" si="123"/>
        <v>624.28782000000001</v>
      </c>
      <c r="Q519" s="56">
        <f t="shared" si="123"/>
        <v>312.14391000000001</v>
      </c>
      <c r="R519" s="56">
        <f t="shared" si="123"/>
        <v>0</v>
      </c>
      <c r="S519" s="53">
        <f>SUM(O519:R519)</f>
        <v>936.43173000000002</v>
      </c>
      <c r="T519" s="23" t="s">
        <v>39</v>
      </c>
      <c r="U519" s="19" t="s">
        <v>647</v>
      </c>
      <c r="V519" s="19" t="str">
        <f>IF(OR($H519="",$H519="sif",$H519="PM"),"",VLOOKUP($H519,[5]CU!$C$5:$J$255,8,FALSE))</f>
        <v>3. Dépenses de fonctionnement</v>
      </c>
      <c r="W519" s="19" t="s">
        <v>655</v>
      </c>
      <c r="X519" s="19" t="s">
        <v>347</v>
      </c>
      <c r="Y519" s="19" t="s">
        <v>32</v>
      </c>
      <c r="Z519" s="19" t="str">
        <f>A519 &amp; "-" &amp; VLOOKUP(A519,[4]PROGRAMMES!$E$1:$F$7,2,FALSE)</f>
        <v>2-Qualité des enseignements et des apprentissages</v>
      </c>
      <c r="AA519" s="19" t="str">
        <f>B519 &amp; "-" &amp; VLOOKUP(B519,[4]SOUSPROGRAMMES!$E$1:$F$44,2,FALSE)</f>
        <v>21- Révision/ adaptation des curricula/programmes (place des sciences ; franco-arabe, intégration de l’éducation à la citoyenneté, l'éducation complète à la sexualité, éducation environnementale…)</v>
      </c>
      <c r="AB519" s="19" t="str">
        <f>C519 &amp; "-" &amp; VLOOKUP(C519,[4]RESULTATS!$E$1:$F$176,2,FALSE)</f>
        <v>211- les contenus des programmes (du préscolaire, du primaire, 1er et second cycle du secondaire) sont progressivement révisés, adaptés et diversifiés</v>
      </c>
      <c r="AC519" s="20" t="str">
        <f>D519 &amp; "-" &amp; VLOOKUP(D519,[4]STRATEGIES!$E$1:$F$504,2,FALSE)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9" s="21" t="str">
        <f t="shared" si="122"/>
        <v>21115-Elaboration des profils de sortie, du cahier des charges et du plan d'actions (Directions : préscolaire, Enseignement fondamental, Enseignement secondaire)</v>
      </c>
    </row>
    <row r="520" spans="1:30" s="22" customFormat="1" ht="90" customHeight="1" x14ac:dyDescent="0.8">
      <c r="A520" s="14">
        <v>2</v>
      </c>
      <c r="B520" s="15">
        <v>21</v>
      </c>
      <c r="C520" s="15">
        <v>211</v>
      </c>
      <c r="D520" s="15">
        <v>2111</v>
      </c>
      <c r="E520" s="14">
        <v>21116</v>
      </c>
      <c r="F520" s="16" t="s">
        <v>656</v>
      </c>
      <c r="G520" s="21" t="s">
        <v>37</v>
      </c>
      <c r="H520" s="17" t="s">
        <v>38</v>
      </c>
      <c r="I520" s="56">
        <v>0</v>
      </c>
      <c r="J520" s="56"/>
      <c r="K520" s="56">
        <f>25*5*2</f>
        <v>250</v>
      </c>
      <c r="L520" s="56"/>
      <c r="M520" s="56">
        <f t="shared" si="117"/>
        <v>250</v>
      </c>
      <c r="N520" s="56">
        <f>IF(OR(H520="",H520="sif",H520="PM"),0,VLOOKUP(H520,[5]CU!$C$4:$H$255,6,FALSE))</f>
        <v>0.3133333333333333</v>
      </c>
      <c r="O520" s="56">
        <f t="shared" si="123"/>
        <v>0</v>
      </c>
      <c r="P520" s="56">
        <f t="shared" si="123"/>
        <v>0</v>
      </c>
      <c r="Q520" s="56">
        <f t="shared" si="123"/>
        <v>78.333333333333329</v>
      </c>
      <c r="R520" s="56">
        <f t="shared" si="123"/>
        <v>0</v>
      </c>
      <c r="S520" s="53">
        <f>SUM(O520:R520)</f>
        <v>78.333333333333329</v>
      </c>
      <c r="T520" s="23" t="s">
        <v>39</v>
      </c>
      <c r="U520" s="19" t="s">
        <v>647</v>
      </c>
      <c r="V520" s="19" t="str">
        <f>IF(OR($H520="",$H520="sif",$H520="PM"),"",VLOOKUP($H520,[5]CU!$C$5:$J$255,8,FALSE))</f>
        <v>3. Formation</v>
      </c>
      <c r="W520" s="19" t="s">
        <v>655</v>
      </c>
      <c r="X520" s="19" t="s">
        <v>347</v>
      </c>
      <c r="Y520" s="19" t="s">
        <v>32</v>
      </c>
      <c r="Z520" s="19" t="str">
        <f>A520 &amp; "-" &amp; VLOOKUP(A520,[4]PROGRAMMES!$E$1:$F$7,2,FALSE)</f>
        <v>2-Qualité des enseignements et des apprentissages</v>
      </c>
      <c r="AA520" s="19" t="str">
        <f>B520 &amp; "-" &amp; VLOOKUP(B520,[4]SOUSPROGRAMMES!$E$1:$F$44,2,FALSE)</f>
        <v>21- Révision/ adaptation des curricula/programmes (place des sciences ; franco-arabe, intégration de l’éducation à la citoyenneté, l'éducation complète à la sexualité, éducation environnementale…)</v>
      </c>
      <c r="AB520" s="19" t="str">
        <f>C520 &amp; "-" &amp; VLOOKUP(C520,[4]RESULTATS!$E$1:$F$176,2,FALSE)</f>
        <v>211- les contenus des programmes (du préscolaire, du primaire, 1er et second cycle du secondaire) sont progressivement révisés, adaptés et diversifiés</v>
      </c>
      <c r="AC520" s="20" t="str">
        <f>D520 &amp; "-" &amp; VLOOKUP(D520,[4]STRATEGIES!$E$1:$F$504,2,FALSE)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20" s="21" t="str">
        <f t="shared" si="122"/>
        <v>21116-Concertation et partage</v>
      </c>
    </row>
    <row r="521" spans="1:30" s="22" customFormat="1" ht="90" customHeight="1" x14ac:dyDescent="0.8">
      <c r="A521" s="14">
        <v>2</v>
      </c>
      <c r="B521" s="15">
        <v>21</v>
      </c>
      <c r="C521" s="15">
        <v>211</v>
      </c>
      <c r="D521" s="15">
        <v>2111</v>
      </c>
      <c r="E521" s="14">
        <v>21117</v>
      </c>
      <c r="F521" s="16" t="s">
        <v>657</v>
      </c>
      <c r="G521" s="21" t="s">
        <v>37</v>
      </c>
      <c r="H521" s="17" t="s">
        <v>38</v>
      </c>
      <c r="I521" s="56">
        <v>0</v>
      </c>
      <c r="J521" s="56"/>
      <c r="K521" s="56">
        <f>25*3</f>
        <v>75</v>
      </c>
      <c r="L521" s="56"/>
      <c r="M521" s="56">
        <f t="shared" si="117"/>
        <v>75</v>
      </c>
      <c r="N521" s="56">
        <f>IF(OR(H521="",H521="sif",H521="PM"),0,VLOOKUP(H521,[5]CU!$C$4:$H$255,6,FALSE))</f>
        <v>0.3133333333333333</v>
      </c>
      <c r="O521" s="56">
        <f t="shared" si="123"/>
        <v>0</v>
      </c>
      <c r="P521" s="56">
        <f t="shared" si="123"/>
        <v>0</v>
      </c>
      <c r="Q521" s="56">
        <f t="shared" si="123"/>
        <v>23.499999999999996</v>
      </c>
      <c r="R521" s="56">
        <f t="shared" si="123"/>
        <v>0</v>
      </c>
      <c r="S521" s="53">
        <f>SUM(O521:R521)</f>
        <v>23.499999999999996</v>
      </c>
      <c r="T521" s="23" t="s">
        <v>39</v>
      </c>
      <c r="U521" s="19" t="s">
        <v>647</v>
      </c>
      <c r="V521" s="19" t="str">
        <f>IF(OR($H521="",$H521="sif",$H521="PM"),"",VLOOKUP($H521,[5]CU!$C$5:$J$255,8,FALSE))</f>
        <v>3. Formation</v>
      </c>
      <c r="W521" s="19" t="s">
        <v>655</v>
      </c>
      <c r="X521" s="19" t="s">
        <v>347</v>
      </c>
      <c r="Y521" s="19" t="s">
        <v>32</v>
      </c>
      <c r="Z521" s="19" t="str">
        <f>A521 &amp; "-" &amp; VLOOKUP(A521,[4]PROGRAMMES!$E$1:$F$7,2,FALSE)</f>
        <v>2-Qualité des enseignements et des apprentissages</v>
      </c>
      <c r="AA521" s="19" t="str">
        <f>B521 &amp; "-" &amp; VLOOKUP(B521,[4]SOUSPROGRAMMES!$E$1:$F$44,2,FALSE)</f>
        <v>21- Révision/ adaptation des curricula/programmes (place des sciences ; franco-arabe, intégration de l’éducation à la citoyenneté, l'éducation complète à la sexualité, éducation environnementale…)</v>
      </c>
      <c r="AB521" s="19" t="str">
        <f>C521 &amp; "-" &amp; VLOOKUP(C521,[4]RESULTATS!$E$1:$F$176,2,FALSE)</f>
        <v>211- les contenus des programmes (du préscolaire, du primaire, 1er et second cycle du secondaire) sont progressivement révisés, adaptés et diversifiés</v>
      </c>
      <c r="AC521" s="20" t="str">
        <f>D521 &amp; "-" &amp; VLOOKUP(D521,[4]STRATEGIES!$E$1:$F$504,2,FALSE)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21" s="21" t="str">
        <f t="shared" si="122"/>
        <v>21117-Validation des profils</v>
      </c>
    </row>
    <row r="522" spans="1:30" s="22" customFormat="1" ht="90" customHeight="1" x14ac:dyDescent="0.8">
      <c r="A522" s="14">
        <v>2</v>
      </c>
      <c r="B522" s="15">
        <v>21</v>
      </c>
      <c r="C522" s="15">
        <v>211</v>
      </c>
      <c r="D522" s="15">
        <v>2112</v>
      </c>
      <c r="E522" s="14">
        <v>2112</v>
      </c>
      <c r="F522" s="16" t="s">
        <v>658</v>
      </c>
      <c r="G522" s="17"/>
      <c r="H522" s="17"/>
      <c r="I522" s="56">
        <v>0</v>
      </c>
      <c r="J522" s="56"/>
      <c r="K522" s="56"/>
      <c r="L522" s="56"/>
      <c r="M522" s="56"/>
      <c r="N522" s="56"/>
      <c r="O522" s="56"/>
      <c r="P522" s="56"/>
      <c r="Q522" s="56"/>
      <c r="R522" s="56"/>
      <c r="S522" s="53"/>
      <c r="T522" s="18"/>
      <c r="U522" s="18"/>
      <c r="V522" s="19"/>
      <c r="W522" s="18"/>
      <c r="X522" s="18"/>
      <c r="Y522" s="19" t="s">
        <v>32</v>
      </c>
      <c r="Z522" s="19" t="str">
        <f>A522 &amp; "-" &amp; VLOOKUP(A522,[4]PROGRAMMES!$E$1:$F$7,2,FALSE)</f>
        <v>2-Qualité des enseignements et des apprentissages</v>
      </c>
      <c r="AA522" s="19" t="str">
        <f>B522 &amp; "-" &amp; VLOOKUP(B522,[4]SOUSPROGRAMMES!$E$1:$F$44,2,FALSE)</f>
        <v>21- Révision/ adaptation des curricula/programmes (place des sciences ; franco-arabe, intégration de l’éducation à la citoyenneté, l'éducation complète à la sexualité, éducation environnementale…)</v>
      </c>
      <c r="AB522" s="19" t="str">
        <f>C522 &amp; "-" &amp; VLOOKUP(C522,[4]RESULTATS!$E$1:$F$176,2,FALSE)</f>
        <v>211- les contenus des programmes (du préscolaire, du primaire, 1er et second cycle du secondaire) sont progressivement révisés, adaptés et diversifiés</v>
      </c>
      <c r="AC522" s="20" t="str">
        <f>D522 &amp; "-" &amp; VLOOKUP(D522,[4]STRATEGIES!$E$1:$F$504,2,FALSE)</f>
        <v>2112-Conception/élaboration et expérimentation de nouveaux curricula/programmes</v>
      </c>
      <c r="AD522" s="21" t="str">
        <f t="shared" si="122"/>
        <v>2112-Conception/élaboration et expérimentation de nouveaux curricula/programmes</v>
      </c>
    </row>
    <row r="523" spans="1:30" s="22" customFormat="1" ht="90" hidden="1" customHeight="1" x14ac:dyDescent="0.8">
      <c r="A523" s="14">
        <v>2</v>
      </c>
      <c r="B523" s="15">
        <v>21</v>
      </c>
      <c r="C523" s="15">
        <v>211</v>
      </c>
      <c r="D523" s="15">
        <v>2112</v>
      </c>
      <c r="E523" s="14">
        <v>21121</v>
      </c>
      <c r="F523" s="16" t="s">
        <v>659</v>
      </c>
      <c r="G523" s="21" t="s">
        <v>660</v>
      </c>
      <c r="H523" s="17" t="s">
        <v>55</v>
      </c>
      <c r="I523" s="56">
        <v>0</v>
      </c>
      <c r="J523" s="56"/>
      <c r="K523" s="56">
        <v>1</v>
      </c>
      <c r="L523" s="56"/>
      <c r="M523" s="56">
        <f t="shared" si="117"/>
        <v>1</v>
      </c>
      <c r="N523" s="56">
        <f>IF(OR(H523="",H523="sif",H523="PM"),0,VLOOKUP(H523,[5]CU!$C$4:$H$255,6,FALSE))</f>
        <v>0</v>
      </c>
      <c r="O523" s="56"/>
      <c r="P523" s="56"/>
      <c r="Q523" s="56"/>
      <c r="R523" s="56"/>
      <c r="S523" s="53"/>
      <c r="T523" s="23" t="s">
        <v>56</v>
      </c>
      <c r="U523" s="18" t="s">
        <v>647</v>
      </c>
      <c r="V523" s="19" t="str">
        <f>IF(OR($H523="",$H523="sif",$H523="PM"),"",VLOOKUP($H523,[5]CU!$C$5:$J$255,8,FALSE))</f>
        <v/>
      </c>
      <c r="W523" s="18" t="s">
        <v>255</v>
      </c>
      <c r="X523" s="18" t="s">
        <v>655</v>
      </c>
      <c r="Y523" s="19" t="s">
        <v>32</v>
      </c>
      <c r="Z523" s="19" t="str">
        <f>A523 &amp; "-" &amp; VLOOKUP(A523,[4]PROGRAMMES!$E$1:$F$7,2,FALSE)</f>
        <v>2-Qualité des enseignements et des apprentissages</v>
      </c>
      <c r="AA523" s="19" t="str">
        <f>B523 &amp; "-" &amp; VLOOKUP(B523,[4]SOUSPROGRAMMES!$E$1:$F$44,2,FALSE)</f>
        <v>21- Révision/ adaptation des curricula/programmes (place des sciences ; franco-arabe, intégration de l’éducation à la citoyenneté, l'éducation complète à la sexualité, éducation environnementale…)</v>
      </c>
      <c r="AB523" s="19" t="str">
        <f>C523 &amp; "-" &amp; VLOOKUP(C523,[4]RESULTATS!$E$1:$F$176,2,FALSE)</f>
        <v>211- les contenus des programmes (du préscolaire, du primaire, 1er et second cycle du secondaire) sont progressivement révisés, adaptés et diversifiés</v>
      </c>
      <c r="AC523" s="20" t="str">
        <f>D523 &amp; "-" &amp; VLOOKUP(D523,[4]STRATEGIES!$E$1:$F$504,2,FALSE)</f>
        <v>2112-Conception/élaboration et expérimentation de nouveaux curricula/programmes</v>
      </c>
      <c r="AD523" s="21" t="str">
        <f t="shared" si="122"/>
        <v>21121-Mise en place des équipes techniques de rédaction des curricula</v>
      </c>
    </row>
    <row r="524" spans="1:30" s="22" customFormat="1" ht="90" customHeight="1" x14ac:dyDescent="0.8">
      <c r="A524" s="14">
        <v>2</v>
      </c>
      <c r="B524" s="15">
        <v>21</v>
      </c>
      <c r="C524" s="15">
        <v>211</v>
      </c>
      <c r="D524" s="15">
        <v>2112</v>
      </c>
      <c r="E524" s="14">
        <v>21122</v>
      </c>
      <c r="F524" s="16" t="s">
        <v>661</v>
      </c>
      <c r="G524" s="21" t="s">
        <v>167</v>
      </c>
      <c r="H524" s="17" t="s">
        <v>662</v>
      </c>
      <c r="I524" s="56">
        <v>0</v>
      </c>
      <c r="J524" s="56"/>
      <c r="K524" s="56">
        <f>4*1.5</f>
        <v>6</v>
      </c>
      <c r="L524" s="56">
        <f>4*1.5</f>
        <v>6</v>
      </c>
      <c r="M524" s="56">
        <f t="shared" si="117"/>
        <v>12</v>
      </c>
      <c r="N524" s="56">
        <f>IF(OR(H524="",H524="sif",H524="PM"),0,VLOOKUP(H524,[5]CU!$C$4:$H$255,6,FALSE))</f>
        <v>219.54797350000001</v>
      </c>
      <c r="O524" s="56">
        <f t="shared" ref="O524:R532" si="124">$N524*I524</f>
        <v>0</v>
      </c>
      <c r="P524" s="56">
        <f t="shared" si="124"/>
        <v>0</v>
      </c>
      <c r="Q524" s="56">
        <f t="shared" si="124"/>
        <v>1317.2878410000001</v>
      </c>
      <c r="R524" s="56">
        <f t="shared" si="124"/>
        <v>1317.2878410000001</v>
      </c>
      <c r="S524" s="53">
        <f t="shared" ref="S524:S532" si="125">SUM(O524:R524)</f>
        <v>2634.5756820000001</v>
      </c>
      <c r="T524" s="23" t="s">
        <v>39</v>
      </c>
      <c r="U524" s="18" t="s">
        <v>647</v>
      </c>
      <c r="V524" s="19" t="str">
        <f>IF(OR($H524="",$H524="sif",$H524="PM"),"",VLOOKUP($H524,[5]CU!$C$5:$J$255,8,FALSE))</f>
        <v>3. Dépenses de fonctionnement</v>
      </c>
      <c r="W524" s="18" t="s">
        <v>663</v>
      </c>
      <c r="X524" s="18" t="s">
        <v>655</v>
      </c>
      <c r="Y524" s="19" t="s">
        <v>32</v>
      </c>
      <c r="Z524" s="19" t="str">
        <f>A524 &amp; "-" &amp; VLOOKUP(A524,[4]PROGRAMMES!$E$1:$F$7,2,FALSE)</f>
        <v>2-Qualité des enseignements et des apprentissages</v>
      </c>
      <c r="AA524" s="19" t="str">
        <f>B524 &amp; "-" &amp; VLOOKUP(B524,[4]SOUSPROGRAMMES!$E$1:$F$44,2,FALSE)</f>
        <v>21- Révision/ adaptation des curricula/programmes (place des sciences ; franco-arabe, intégration de l’éducation à la citoyenneté, l'éducation complète à la sexualité, éducation environnementale…)</v>
      </c>
      <c r="AB524" s="19" t="str">
        <f>C524 &amp; "-" &amp; VLOOKUP(C524,[4]RESULTATS!$E$1:$F$176,2,FALSE)</f>
        <v>211- les contenus des programmes (du préscolaire, du primaire, 1er et second cycle du secondaire) sont progressivement révisés, adaptés et diversifiés</v>
      </c>
      <c r="AC524" s="20" t="str">
        <f>D524 &amp; "-" &amp; VLOOKUP(D524,[4]STRATEGIES!$E$1:$F$504,2,FALSE)</f>
        <v>2112-Conception/élaboration et expérimentation de nouveaux curricula/programmes</v>
      </c>
      <c r="AD524" s="21" t="str">
        <f t="shared" si="122"/>
        <v>21122-Mobilisation d'une assistance technique pour l'accompagnement de la révision des curricula</v>
      </c>
    </row>
    <row r="525" spans="1:30" s="22" customFormat="1" ht="90" customHeight="1" x14ac:dyDescent="0.8">
      <c r="A525" s="14">
        <v>2</v>
      </c>
      <c r="B525" s="15">
        <v>21</v>
      </c>
      <c r="C525" s="15">
        <v>211</v>
      </c>
      <c r="D525" s="15">
        <v>2112</v>
      </c>
      <c r="E525" s="14">
        <v>21123</v>
      </c>
      <c r="F525" s="16" t="s">
        <v>664</v>
      </c>
      <c r="G525" s="21" t="s">
        <v>37</v>
      </c>
      <c r="H525" s="17" t="s">
        <v>66</v>
      </c>
      <c r="I525" s="56">
        <v>0</v>
      </c>
      <c r="J525" s="56"/>
      <c r="K525" s="56">
        <f>10*5*5</f>
        <v>250</v>
      </c>
      <c r="L525" s="56"/>
      <c r="M525" s="56">
        <f t="shared" si="117"/>
        <v>250</v>
      </c>
      <c r="N525" s="56">
        <f>IF(OR(H525="",H525="sif",H525="PM"),0,VLOOKUP(H525,[5]CU!$C$4:$H$255,6,FALSE))</f>
        <v>0.255</v>
      </c>
      <c r="O525" s="56">
        <f t="shared" si="124"/>
        <v>0</v>
      </c>
      <c r="P525" s="56">
        <f t="shared" si="124"/>
        <v>0</v>
      </c>
      <c r="Q525" s="56">
        <f t="shared" si="124"/>
        <v>63.75</v>
      </c>
      <c r="R525" s="56">
        <f t="shared" si="124"/>
        <v>0</v>
      </c>
      <c r="S525" s="53">
        <f t="shared" si="125"/>
        <v>63.75</v>
      </c>
      <c r="T525" s="23" t="s">
        <v>39</v>
      </c>
      <c r="U525" s="19" t="s">
        <v>647</v>
      </c>
      <c r="V525" s="19" t="str">
        <f>IF(OR($H525="",$H525="sif",$H525="PM"),"",VLOOKUP($H525,[5]CU!$C$5:$J$255,8,FALSE))</f>
        <v>3. Dépenses de fonctionnement</v>
      </c>
      <c r="W525" s="19" t="s">
        <v>665</v>
      </c>
      <c r="X525" s="19" t="s">
        <v>347</v>
      </c>
      <c r="Y525" s="19" t="s">
        <v>32</v>
      </c>
      <c r="Z525" s="19" t="str">
        <f>A525 &amp; "-" &amp; VLOOKUP(A525,[4]PROGRAMMES!$E$1:$F$7,2,FALSE)</f>
        <v>2-Qualité des enseignements et des apprentissages</v>
      </c>
      <c r="AA525" s="19" t="str">
        <f>B525 &amp; "-" &amp; VLOOKUP(B525,[4]SOUSPROGRAMMES!$E$1:$F$44,2,FALSE)</f>
        <v>21- Révision/ adaptation des curricula/programmes (place des sciences ; franco-arabe, intégration de l’éducation à la citoyenneté, l'éducation complète à la sexualité, éducation environnementale…)</v>
      </c>
      <c r="AB525" s="19" t="str">
        <f>C525 &amp; "-" &amp; VLOOKUP(C525,[4]RESULTATS!$E$1:$F$176,2,FALSE)</f>
        <v>211- les contenus des programmes (du préscolaire, du primaire, 1er et second cycle du secondaire) sont progressivement révisés, adaptés et diversifiés</v>
      </c>
      <c r="AC525" s="20" t="str">
        <f>D525 &amp; "-" &amp; VLOOKUP(D525,[4]STRATEGIES!$E$1:$F$504,2,FALSE)</f>
        <v>2112-Conception/élaboration et expérimentation de nouveaux curricula/programmes</v>
      </c>
      <c r="AD525" s="21" t="str">
        <f t="shared" si="122"/>
        <v>21123-Révision du curriculum du préscolaire</v>
      </c>
    </row>
    <row r="526" spans="1:30" s="22" customFormat="1" ht="90" customHeight="1" x14ac:dyDescent="0.8">
      <c r="A526" s="14">
        <v>2</v>
      </c>
      <c r="B526" s="15">
        <v>21</v>
      </c>
      <c r="C526" s="15">
        <v>211</v>
      </c>
      <c r="D526" s="15">
        <v>2112</v>
      </c>
      <c r="E526" s="14">
        <v>21124</v>
      </c>
      <c r="F526" s="16" t="s">
        <v>666</v>
      </c>
      <c r="G526" s="21" t="s">
        <v>37</v>
      </c>
      <c r="H526" s="17" t="s">
        <v>66</v>
      </c>
      <c r="I526" s="56">
        <v>0</v>
      </c>
      <c r="J526" s="56"/>
      <c r="K526" s="56">
        <f>(10*6*6)*10</f>
        <v>3600</v>
      </c>
      <c r="L526" s="56"/>
      <c r="M526" s="56">
        <f t="shared" si="117"/>
        <v>3600</v>
      </c>
      <c r="N526" s="56">
        <f>IF(OR(H526="",H526="sif",H526="PM"),0,VLOOKUP(H526,[5]CU!$C$4:$H$255,6,FALSE))</f>
        <v>0.255</v>
      </c>
      <c r="O526" s="56">
        <f t="shared" si="124"/>
        <v>0</v>
      </c>
      <c r="P526" s="56">
        <f t="shared" si="124"/>
        <v>0</v>
      </c>
      <c r="Q526" s="56">
        <f t="shared" si="124"/>
        <v>918</v>
      </c>
      <c r="R526" s="56">
        <f t="shared" si="124"/>
        <v>0</v>
      </c>
      <c r="S526" s="53">
        <f t="shared" si="125"/>
        <v>918</v>
      </c>
      <c r="T526" s="23" t="s">
        <v>39</v>
      </c>
      <c r="U526" s="18" t="s">
        <v>647</v>
      </c>
      <c r="V526" s="19" t="str">
        <f>IF(OR($H526="",$H526="sif",$H526="PM"),"",VLOOKUP($H526,[5]CU!$C$5:$J$255,8,FALSE))</f>
        <v>3. Dépenses de fonctionnement</v>
      </c>
      <c r="W526" s="18" t="s">
        <v>192</v>
      </c>
      <c r="X526" s="18" t="s">
        <v>347</v>
      </c>
      <c r="Y526" s="19" t="s">
        <v>32</v>
      </c>
      <c r="Z526" s="19" t="str">
        <f>A526 &amp; "-" &amp; VLOOKUP(A526,[4]PROGRAMMES!$E$1:$F$7,2,FALSE)</f>
        <v>2-Qualité des enseignements et des apprentissages</v>
      </c>
      <c r="AA526" s="19" t="str">
        <f>B526 &amp; "-" &amp; VLOOKUP(B526,[4]SOUSPROGRAMMES!$E$1:$F$44,2,FALSE)</f>
        <v>21- Révision/ adaptation des curricula/programmes (place des sciences ; franco-arabe, intégration de l’éducation à la citoyenneté, l'éducation complète à la sexualité, éducation environnementale…)</v>
      </c>
      <c r="AB526" s="19" t="str">
        <f>C526 &amp; "-" &amp; VLOOKUP(C526,[4]RESULTATS!$E$1:$F$176,2,FALSE)</f>
        <v>211- les contenus des programmes (du préscolaire, du primaire, 1er et second cycle du secondaire) sont progressivement révisés, adaptés et diversifiés</v>
      </c>
      <c r="AC526" s="20" t="str">
        <f>D526 &amp; "-" &amp; VLOOKUP(D526,[4]STRATEGIES!$E$1:$F$504,2,FALSE)</f>
        <v>2112-Conception/élaboration et expérimentation de nouveaux curricula/programmes</v>
      </c>
      <c r="AD526" s="21" t="str">
        <f t="shared" si="122"/>
        <v>21124-Révision du curriculum du collège</v>
      </c>
    </row>
    <row r="527" spans="1:30" s="22" customFormat="1" ht="90" customHeight="1" x14ac:dyDescent="0.8">
      <c r="A527" s="14">
        <v>2</v>
      </c>
      <c r="B527" s="15">
        <v>21</v>
      </c>
      <c r="C527" s="15">
        <v>211</v>
      </c>
      <c r="D527" s="15">
        <v>2112</v>
      </c>
      <c r="E527" s="14">
        <v>21125</v>
      </c>
      <c r="F527" s="16" t="s">
        <v>667</v>
      </c>
      <c r="G527" s="21" t="s">
        <v>37</v>
      </c>
      <c r="H527" s="17" t="s">
        <v>66</v>
      </c>
      <c r="I527" s="56">
        <v>0</v>
      </c>
      <c r="J527" s="56"/>
      <c r="K527" s="56">
        <f>K526/3</f>
        <v>1200</v>
      </c>
      <c r="L527" s="56">
        <f>K526/2-K527</f>
        <v>600</v>
      </c>
      <c r="M527" s="56">
        <f t="shared" si="117"/>
        <v>1800</v>
      </c>
      <c r="N527" s="56">
        <f>IF(OR(H527="",H527="sif",H527="PM"),0,VLOOKUP(H527,[5]CU!$C$4:$H$255,6,FALSE))</f>
        <v>0.255</v>
      </c>
      <c r="O527" s="56">
        <f t="shared" si="124"/>
        <v>0</v>
      </c>
      <c r="P527" s="56">
        <f t="shared" si="124"/>
        <v>0</v>
      </c>
      <c r="Q527" s="56">
        <f t="shared" si="124"/>
        <v>306</v>
      </c>
      <c r="R527" s="56">
        <f t="shared" si="124"/>
        <v>153</v>
      </c>
      <c r="S527" s="53">
        <f t="shared" si="125"/>
        <v>459</v>
      </c>
      <c r="T527" s="23" t="s">
        <v>39</v>
      </c>
      <c r="U527" s="18" t="s">
        <v>647</v>
      </c>
      <c r="V527" s="19" t="str">
        <f>IF(OR($H527="",$H527="sif",$H527="PM"),"",VLOOKUP($H527,[5]CU!$C$5:$J$255,8,FALSE))</f>
        <v>3. Dépenses de fonctionnement</v>
      </c>
      <c r="W527" s="18" t="s">
        <v>398</v>
      </c>
      <c r="X527" s="18" t="s">
        <v>347</v>
      </c>
      <c r="Y527" s="19" t="s">
        <v>32</v>
      </c>
      <c r="Z527" s="19" t="str">
        <f>A527 &amp; "-" &amp; VLOOKUP(A527,[4]PROGRAMMES!$E$1:$F$7,2,FALSE)</f>
        <v>2-Qualité des enseignements et des apprentissages</v>
      </c>
      <c r="AA527" s="19" t="str">
        <f>B527 &amp; "-" &amp; VLOOKUP(B527,[4]SOUSPROGRAMMES!$E$1:$F$44,2,FALSE)</f>
        <v>21- Révision/ adaptation des curricula/programmes (place des sciences ; franco-arabe, intégration de l’éducation à la citoyenneté, l'éducation complète à la sexualité, éducation environnementale…)</v>
      </c>
      <c r="AB527" s="19" t="str">
        <f>C527 &amp; "-" &amp; VLOOKUP(C527,[4]RESULTATS!$E$1:$F$176,2,FALSE)</f>
        <v>211- les contenus des programmes (du préscolaire, du primaire, 1er et second cycle du secondaire) sont progressivement révisés, adaptés et diversifiés</v>
      </c>
      <c r="AC527" s="20" t="str">
        <f>D527 &amp; "-" &amp; VLOOKUP(D527,[4]STRATEGIES!$E$1:$F$504,2,FALSE)</f>
        <v>2112-Conception/élaboration et expérimentation de nouveaux curricula/programmes</v>
      </c>
      <c r="AD527" s="21" t="str">
        <f t="shared" si="122"/>
        <v>21125-Révision du curriculum du lycée en rapport avec les nouvelles filières (11éme année)</v>
      </c>
    </row>
    <row r="528" spans="1:30" s="22" customFormat="1" ht="90" customHeight="1" x14ac:dyDescent="0.8">
      <c r="A528" s="14">
        <v>2</v>
      </c>
      <c r="B528" s="15">
        <v>21</v>
      </c>
      <c r="C528" s="15">
        <v>211</v>
      </c>
      <c r="D528" s="15">
        <v>2112</v>
      </c>
      <c r="E528" s="14">
        <v>21126</v>
      </c>
      <c r="F528" s="16" t="s">
        <v>668</v>
      </c>
      <c r="G528" s="21" t="s">
        <v>669</v>
      </c>
      <c r="H528" s="17" t="s">
        <v>66</v>
      </c>
      <c r="I528" s="56">
        <v>0</v>
      </c>
      <c r="J528" s="56"/>
      <c r="K528" s="56">
        <f>10*5*3</f>
        <v>150</v>
      </c>
      <c r="L528" s="56"/>
      <c r="M528" s="56">
        <f t="shared" si="117"/>
        <v>150</v>
      </c>
      <c r="N528" s="56">
        <f>IF(OR(H528="",H528="sif",H528="PM"),0,VLOOKUP(H528,[5]CU!$C$4:$H$255,6,FALSE))</f>
        <v>0.255</v>
      </c>
      <c r="O528" s="56">
        <f t="shared" si="124"/>
        <v>0</v>
      </c>
      <c r="P528" s="56">
        <f t="shared" si="124"/>
        <v>0</v>
      </c>
      <c r="Q528" s="56">
        <f t="shared" si="124"/>
        <v>38.25</v>
      </c>
      <c r="R528" s="56">
        <f t="shared" si="124"/>
        <v>0</v>
      </c>
      <c r="S528" s="53">
        <f t="shared" si="125"/>
        <v>38.25</v>
      </c>
      <c r="T528" s="23" t="s">
        <v>39</v>
      </c>
      <c r="U528" s="19" t="s">
        <v>647</v>
      </c>
      <c r="V528" s="19" t="str">
        <f>IF(OR($H528="",$H528="sif",$H528="PM"),"",VLOOKUP($H528,[5]CU!$C$5:$J$255,8,FALSE))</f>
        <v>3. Dépenses de fonctionnement</v>
      </c>
      <c r="W528" s="19" t="s">
        <v>665</v>
      </c>
      <c r="X528" s="19" t="s">
        <v>248</v>
      </c>
      <c r="Y528" s="19" t="s">
        <v>32</v>
      </c>
      <c r="Z528" s="19" t="str">
        <f>A528 &amp; "-" &amp; VLOOKUP(A528,[4]PROGRAMMES!$E$1:$F$7,2,FALSE)</f>
        <v>2-Qualité des enseignements et des apprentissages</v>
      </c>
      <c r="AA528" s="19" t="str">
        <f>B528 &amp; "-" &amp; VLOOKUP(B528,[4]SOUSPROGRAMMES!$E$1:$F$44,2,FALSE)</f>
        <v>21- Révision/ adaptation des curricula/programmes (place des sciences ; franco-arabe, intégration de l’éducation à la citoyenneté, l'éducation complète à la sexualité, éducation environnementale…)</v>
      </c>
      <c r="AB528" s="19" t="str">
        <f>C528 &amp; "-" &amp; VLOOKUP(C528,[4]RESULTATS!$E$1:$F$176,2,FALSE)</f>
        <v>211- les contenus des programmes (du préscolaire, du primaire, 1er et second cycle du secondaire) sont progressivement révisés, adaptés et diversifiés</v>
      </c>
      <c r="AC528" s="20" t="str">
        <f>D528 &amp; "-" &amp; VLOOKUP(D528,[4]STRATEGIES!$E$1:$F$504,2,FALSE)</f>
        <v>2112-Conception/élaboration et expérimentation de nouveaux curricula/programmes</v>
      </c>
      <c r="AD528" s="21" t="str">
        <f t="shared" si="122"/>
        <v>21126-Révision du curriculum de la formation initiale des enseignants du préscolaire avec l'INRAP</v>
      </c>
    </row>
    <row r="529" spans="1:30" s="22" customFormat="1" ht="90" customHeight="1" x14ac:dyDescent="0.8">
      <c r="A529" s="14">
        <v>2</v>
      </c>
      <c r="B529" s="15">
        <v>21</v>
      </c>
      <c r="C529" s="15">
        <v>211</v>
      </c>
      <c r="D529" s="15">
        <v>2112</v>
      </c>
      <c r="E529" s="14">
        <v>21127</v>
      </c>
      <c r="F529" s="16" t="s">
        <v>670</v>
      </c>
      <c r="G529" s="21" t="s">
        <v>669</v>
      </c>
      <c r="H529" s="17" t="s">
        <v>66</v>
      </c>
      <c r="I529" s="56">
        <v>0</v>
      </c>
      <c r="J529" s="56"/>
      <c r="K529" s="56"/>
      <c r="L529" s="56">
        <f>10*5*5</f>
        <v>250</v>
      </c>
      <c r="M529" s="56">
        <f t="shared" si="117"/>
        <v>250</v>
      </c>
      <c r="N529" s="56">
        <f>IF(OR(H529="",H529="sif",H529="PM"),0,VLOOKUP(H529,[5]CU!$C$4:$H$255,6,FALSE))</f>
        <v>0.255</v>
      </c>
      <c r="O529" s="56">
        <f t="shared" si="124"/>
        <v>0</v>
      </c>
      <c r="P529" s="56">
        <f t="shared" si="124"/>
        <v>0</v>
      </c>
      <c r="Q529" s="56">
        <f t="shared" si="124"/>
        <v>0</v>
      </c>
      <c r="R529" s="56">
        <f t="shared" si="124"/>
        <v>63.75</v>
      </c>
      <c r="S529" s="53">
        <f t="shared" si="125"/>
        <v>63.75</v>
      </c>
      <c r="T529" s="23" t="s">
        <v>39</v>
      </c>
      <c r="U529" s="19" t="s">
        <v>647</v>
      </c>
      <c r="V529" s="19" t="str">
        <f>IF(OR($H529="",$H529="sif",$H529="PM"),"",VLOOKUP($H529,[5]CU!$C$5:$J$255,8,FALSE))</f>
        <v>3. Dépenses de fonctionnement</v>
      </c>
      <c r="W529" s="19" t="s">
        <v>192</v>
      </c>
      <c r="X529" s="19" t="s">
        <v>431</v>
      </c>
      <c r="Y529" s="19" t="s">
        <v>32</v>
      </c>
      <c r="Z529" s="19" t="str">
        <f>A529 &amp; "-" &amp; VLOOKUP(A529,[4]PROGRAMMES!$E$1:$F$7,2,FALSE)</f>
        <v>2-Qualité des enseignements et des apprentissages</v>
      </c>
      <c r="AA529" s="19" t="str">
        <f>B529 &amp; "-" &amp; VLOOKUP(B529,[4]SOUSPROGRAMMES!$E$1:$F$44,2,FALSE)</f>
        <v>21- Révision/ adaptation des curricula/programmes (place des sciences ; franco-arabe, intégration de l’éducation à la citoyenneté, l'éducation complète à la sexualité, éducation environnementale…)</v>
      </c>
      <c r="AB529" s="19" t="str">
        <f>C529 &amp; "-" &amp; VLOOKUP(C529,[4]RESULTATS!$E$1:$F$176,2,FALSE)</f>
        <v>211- les contenus des programmes (du préscolaire, du primaire, 1er et second cycle du secondaire) sont progressivement révisés, adaptés et diversifiés</v>
      </c>
      <c r="AC529" s="20" t="str">
        <f>D529 &amp; "-" &amp; VLOOKUP(D529,[4]STRATEGIES!$E$1:$F$504,2,FALSE)</f>
        <v>2112-Conception/élaboration et expérimentation de nouveaux curricula/programmes</v>
      </c>
      <c r="AD529" s="21" t="str">
        <f t="shared" si="122"/>
        <v>21127-Révision du curriculum de la formation initiale des formateurs des ENIs en tenant compte des nouveaux programmes du préscolaire et du primaire avec l'ENI et l'INRAP</v>
      </c>
    </row>
    <row r="530" spans="1:30" s="22" customFormat="1" ht="90" customHeight="1" x14ac:dyDescent="0.8">
      <c r="A530" s="14">
        <v>2</v>
      </c>
      <c r="B530" s="15">
        <v>21</v>
      </c>
      <c r="C530" s="15">
        <v>211</v>
      </c>
      <c r="D530" s="15">
        <v>2112</v>
      </c>
      <c r="E530" s="14">
        <v>21128</v>
      </c>
      <c r="F530" s="16" t="s">
        <v>671</v>
      </c>
      <c r="G530" s="21" t="s">
        <v>669</v>
      </c>
      <c r="H530" s="17" t="s">
        <v>66</v>
      </c>
      <c r="I530" s="56">
        <v>0</v>
      </c>
      <c r="J530" s="56"/>
      <c r="K530" s="56">
        <f>10*5*3</f>
        <v>150</v>
      </c>
      <c r="L530" s="56">
        <f>10*5*3</f>
        <v>150</v>
      </c>
      <c r="M530" s="56">
        <f t="shared" si="117"/>
        <v>300</v>
      </c>
      <c r="N530" s="56">
        <f>IF(OR(H530="",H530="sif",H530="PM"),0,VLOOKUP(H530,[5]CU!$C$4:$H$255,6,FALSE))</f>
        <v>0.255</v>
      </c>
      <c r="O530" s="56">
        <f t="shared" si="124"/>
        <v>0</v>
      </c>
      <c r="P530" s="56">
        <f t="shared" si="124"/>
        <v>0</v>
      </c>
      <c r="Q530" s="56">
        <f t="shared" si="124"/>
        <v>38.25</v>
      </c>
      <c r="R530" s="56">
        <f t="shared" si="124"/>
        <v>38.25</v>
      </c>
      <c r="S530" s="53">
        <f t="shared" si="125"/>
        <v>76.5</v>
      </c>
      <c r="T530" s="23" t="s">
        <v>39</v>
      </c>
      <c r="U530" s="18" t="s">
        <v>647</v>
      </c>
      <c r="V530" s="19" t="str">
        <f>IF(OR($H530="",$H530="sif",$H530="PM"),"",VLOOKUP($H530,[5]CU!$C$5:$J$255,8,FALSE))</f>
        <v>3. Dépenses de fonctionnement</v>
      </c>
      <c r="W530" s="18" t="s">
        <v>398</v>
      </c>
      <c r="X530" s="18" t="s">
        <v>431</v>
      </c>
      <c r="Y530" s="19" t="s">
        <v>32</v>
      </c>
      <c r="Z530" s="19" t="str">
        <f>A530 &amp; "-" &amp; VLOOKUP(A530,[4]PROGRAMMES!$E$1:$F$7,2,FALSE)</f>
        <v>2-Qualité des enseignements et des apprentissages</v>
      </c>
      <c r="AA530" s="19" t="str">
        <f>B530 &amp; "-" &amp; VLOOKUP(B530,[4]SOUSPROGRAMMES!$E$1:$F$44,2,FALSE)</f>
        <v>21- Révision/ adaptation des curricula/programmes (place des sciences ; franco-arabe, intégration de l’éducation à la citoyenneté, l'éducation complète à la sexualité, éducation environnementale…)</v>
      </c>
      <c r="AB530" s="19" t="str">
        <f>C530 &amp; "-" &amp; VLOOKUP(C530,[4]RESULTATS!$E$1:$F$176,2,FALSE)</f>
        <v>211- les contenus des programmes (du préscolaire, du primaire, 1er et second cycle du secondaire) sont progressivement révisés, adaptés et diversifiés</v>
      </c>
      <c r="AC530" s="20" t="str">
        <f>D530 &amp; "-" &amp; VLOOKUP(D530,[4]STRATEGIES!$E$1:$F$504,2,FALSE)</f>
        <v>2112-Conception/élaboration et expérimentation de nouveaux curricula/programmes</v>
      </c>
      <c r="AD530" s="21" t="str">
        <f t="shared" si="122"/>
        <v>21128-Révision du curriculum de la formation initiale des enseignants en tenant compte des nouvelles filières au secondaire avec la DNESGT</v>
      </c>
    </row>
    <row r="531" spans="1:30" s="22" customFormat="1" ht="90" customHeight="1" x14ac:dyDescent="0.8">
      <c r="A531" s="14">
        <v>2</v>
      </c>
      <c r="B531" s="15">
        <v>21</v>
      </c>
      <c r="C531" s="15">
        <v>211</v>
      </c>
      <c r="D531" s="15">
        <v>2112</v>
      </c>
      <c r="E531" s="14">
        <v>21129</v>
      </c>
      <c r="F531" s="16" t="s">
        <v>672</v>
      </c>
      <c r="G531" s="21" t="s">
        <v>51</v>
      </c>
      <c r="H531" s="17" t="s">
        <v>52</v>
      </c>
      <c r="I531" s="56">
        <v>0</v>
      </c>
      <c r="J531" s="56"/>
      <c r="K531" s="56">
        <f>30*10</f>
        <v>300</v>
      </c>
      <c r="L531" s="56"/>
      <c r="M531" s="56">
        <f t="shared" si="117"/>
        <v>300</v>
      </c>
      <c r="N531" s="56">
        <f>IF(OR(H531="",H531="sif",H531="PM"),0,VLOOKUP(H531,[5]CU!$C$4:$H$255,6,FALSE))</f>
        <v>1.5</v>
      </c>
      <c r="O531" s="56">
        <f t="shared" si="124"/>
        <v>0</v>
      </c>
      <c r="P531" s="56">
        <f t="shared" si="124"/>
        <v>0</v>
      </c>
      <c r="Q531" s="56">
        <f t="shared" si="124"/>
        <v>450</v>
      </c>
      <c r="R531" s="56">
        <f t="shared" si="124"/>
        <v>0</v>
      </c>
      <c r="S531" s="53">
        <f t="shared" si="125"/>
        <v>450</v>
      </c>
      <c r="T531" s="23" t="s">
        <v>39</v>
      </c>
      <c r="U531" s="19" t="s">
        <v>647</v>
      </c>
      <c r="V531" s="19" t="str">
        <f>IF(OR($H531="",$H531="sif",$H531="PM"),"",VLOOKUP($H531,[5]CU!$C$5:$J$255,8,FALSE))</f>
        <v>3. Formation</v>
      </c>
      <c r="W531" s="19" t="s">
        <v>665</v>
      </c>
      <c r="X531" s="19" t="s">
        <v>248</v>
      </c>
      <c r="Y531" s="19" t="s">
        <v>32</v>
      </c>
      <c r="Z531" s="19" t="str">
        <f>A531 &amp; "-" &amp; VLOOKUP(A531,[4]PROGRAMMES!$E$1:$F$7,2,FALSE)</f>
        <v>2-Qualité des enseignements et des apprentissages</v>
      </c>
      <c r="AA531" s="19" t="str">
        <f>B531 &amp; "-" &amp; VLOOKUP(B531,[4]SOUSPROGRAMMES!$E$1:$F$44,2,FALSE)</f>
        <v>21- Révision/ adaptation des curricula/programmes (place des sciences ; franco-arabe, intégration de l’éducation à la citoyenneté, l'éducation complète à la sexualité, éducation environnementale…)</v>
      </c>
      <c r="AB531" s="19" t="str">
        <f>C531 &amp; "-" &amp; VLOOKUP(C531,[4]RESULTATS!$E$1:$F$176,2,FALSE)</f>
        <v>211- les contenus des programmes (du préscolaire, du primaire, 1er et second cycle du secondaire) sont progressivement révisés, adaptés et diversifiés</v>
      </c>
      <c r="AC531" s="20" t="str">
        <f>D531 &amp; "-" &amp; VLOOKUP(D531,[4]STRATEGIES!$E$1:$F$504,2,FALSE)</f>
        <v>2112-Conception/élaboration et expérimentation de nouveaux curricula/programmes</v>
      </c>
      <c r="AD531" s="21" t="str">
        <f t="shared" si="122"/>
        <v>21129-Formation des enseignants chargés de l'expérimentation au préscolaire avec la DNPSCE</v>
      </c>
    </row>
    <row r="532" spans="1:30" s="22" customFormat="1" ht="90" customHeight="1" x14ac:dyDescent="0.8">
      <c r="A532" s="14">
        <v>2</v>
      </c>
      <c r="B532" s="15">
        <v>21</v>
      </c>
      <c r="C532" s="15">
        <v>211</v>
      </c>
      <c r="D532" s="15">
        <v>2112</v>
      </c>
      <c r="E532" s="14">
        <v>211210</v>
      </c>
      <c r="F532" s="16" t="s">
        <v>673</v>
      </c>
      <c r="G532" s="21" t="s">
        <v>51</v>
      </c>
      <c r="H532" s="17" t="s">
        <v>301</v>
      </c>
      <c r="I532" s="56">
        <v>0</v>
      </c>
      <c r="J532" s="56"/>
      <c r="K532" s="56"/>
      <c r="L532" s="56">
        <f>10*8*10</f>
        <v>800</v>
      </c>
      <c r="M532" s="56">
        <f t="shared" si="117"/>
        <v>800</v>
      </c>
      <c r="N532" s="56">
        <f>IF(OR(H532="",H532="sif",H532="PM"),0,VLOOKUP(H532,[5]CU!$C$4:$H$255,6,FALSE))</f>
        <v>0.67666666666666664</v>
      </c>
      <c r="O532" s="56">
        <f t="shared" si="124"/>
        <v>0</v>
      </c>
      <c r="P532" s="56">
        <f t="shared" si="124"/>
        <v>0</v>
      </c>
      <c r="Q532" s="56">
        <f t="shared" si="124"/>
        <v>0</v>
      </c>
      <c r="R532" s="56">
        <f t="shared" si="124"/>
        <v>541.33333333333326</v>
      </c>
      <c r="S532" s="53">
        <f t="shared" si="125"/>
        <v>541.33333333333326</v>
      </c>
      <c r="T532" s="23" t="s">
        <v>39</v>
      </c>
      <c r="U532" s="18" t="s">
        <v>647</v>
      </c>
      <c r="V532" s="19" t="str">
        <f>IF(OR($H532="",$H532="sif",$H532="PM"),"",VLOOKUP($H532,[5]CU!$C$5:$J$255,8,FALSE))</f>
        <v>3. Formation</v>
      </c>
      <c r="W532" s="18" t="s">
        <v>192</v>
      </c>
      <c r="X532" s="18" t="s">
        <v>431</v>
      </c>
      <c r="Y532" s="19" t="s">
        <v>32</v>
      </c>
      <c r="Z532" s="19" t="str">
        <f>A532 &amp; "-" &amp; VLOOKUP(A532,[4]PROGRAMMES!$E$1:$F$7,2,FALSE)</f>
        <v>2-Qualité des enseignements et des apprentissages</v>
      </c>
      <c r="AA532" s="19" t="str">
        <f>B532 &amp; "-" &amp; VLOOKUP(B532,[4]SOUSPROGRAMMES!$E$1:$F$44,2,FALSE)</f>
        <v>21- Révision/ adaptation des curricula/programmes (place des sciences ; franco-arabe, intégration de l’éducation à la citoyenneté, l'éducation complète à la sexualité, éducation environnementale…)</v>
      </c>
      <c r="AB532" s="19" t="str">
        <f>C532 &amp; "-" &amp; VLOOKUP(C532,[4]RESULTATS!$E$1:$F$176,2,FALSE)</f>
        <v>211- les contenus des programmes (du préscolaire, du primaire, 1er et second cycle du secondaire) sont progressivement révisés, adaptés et diversifiés</v>
      </c>
      <c r="AC532" s="20" t="str">
        <f>D532 &amp; "-" &amp; VLOOKUP(D532,[4]STRATEGIES!$E$1:$F$504,2,FALSE)</f>
        <v>2112-Conception/élaboration et expérimentation de nouveaux curricula/programmes</v>
      </c>
      <c r="AD532" s="21" t="str">
        <f t="shared" si="122"/>
        <v>211210- formation des enseignants chargés de l'expérimentation au collège avec la DNEF et DNESGT</v>
      </c>
    </row>
    <row r="533" spans="1:30" s="22" customFormat="1" ht="90" hidden="1" customHeight="1" x14ac:dyDescent="0.8">
      <c r="A533" s="14">
        <v>2</v>
      </c>
      <c r="B533" s="15">
        <v>21</v>
      </c>
      <c r="C533" s="15">
        <v>211</v>
      </c>
      <c r="D533" s="15">
        <v>2112</v>
      </c>
      <c r="E533" s="14">
        <v>211211</v>
      </c>
      <c r="F533" s="16" t="s">
        <v>674</v>
      </c>
      <c r="G533" s="21" t="s">
        <v>651</v>
      </c>
      <c r="H533" s="17" t="s">
        <v>55</v>
      </c>
      <c r="I533" s="56">
        <v>0</v>
      </c>
      <c r="J533" s="56"/>
      <c r="K533" s="56">
        <v>1</v>
      </c>
      <c r="L533" s="56">
        <v>1</v>
      </c>
      <c r="M533" s="56">
        <f t="shared" si="117"/>
        <v>2</v>
      </c>
      <c r="N533" s="56">
        <f>IF(OR(H533="",H533="sif",H533="PM"),0,VLOOKUP(H533,[5]CU!$C$4:$H$255,6,FALSE))</f>
        <v>0</v>
      </c>
      <c r="O533" s="56"/>
      <c r="P533" s="56"/>
      <c r="Q533" s="56"/>
      <c r="R533" s="56"/>
      <c r="S533" s="53"/>
      <c r="T533" s="23" t="s">
        <v>56</v>
      </c>
      <c r="U533" s="18" t="s">
        <v>647</v>
      </c>
      <c r="V533" s="19" t="str">
        <f>IF(OR($H533="",$H533="sif",$H533="PM"),"",VLOOKUP($H533,[5]CU!$C$5:$J$255,8,FALSE))</f>
        <v/>
      </c>
      <c r="W533" s="18" t="s">
        <v>255</v>
      </c>
      <c r="X533" s="18" t="s">
        <v>655</v>
      </c>
      <c r="Y533" s="19" t="s">
        <v>32</v>
      </c>
      <c r="Z533" s="19" t="str">
        <f>A533 &amp; "-" &amp; VLOOKUP(A533,[4]PROGRAMMES!$E$1:$F$7,2,FALSE)</f>
        <v>2-Qualité des enseignements et des apprentissages</v>
      </c>
      <c r="AA533" s="19" t="str">
        <f>B533 &amp; "-" &amp; VLOOKUP(B533,[4]SOUSPROGRAMMES!$E$1:$F$44,2,FALSE)</f>
        <v>21- Révision/ adaptation des curricula/programmes (place des sciences ; franco-arabe, intégration de l’éducation à la citoyenneté, l'éducation complète à la sexualité, éducation environnementale…)</v>
      </c>
      <c r="AB533" s="19" t="str">
        <f>C533 &amp; "-" &amp; VLOOKUP(C533,[4]RESULTATS!$E$1:$F$176,2,FALSE)</f>
        <v>211- les contenus des programmes (du préscolaire, du primaire, 1er et second cycle du secondaire) sont progressivement révisés, adaptés et diversifiés</v>
      </c>
      <c r="AC533" s="20" t="str">
        <f>D533 &amp; "-" &amp; VLOOKUP(D533,[4]STRATEGIES!$E$1:$F$504,2,FALSE)</f>
        <v>2112-Conception/élaboration et expérimentation de nouveaux curricula/programmes</v>
      </c>
      <c r="AD533" s="21" t="str">
        <f t="shared" si="122"/>
        <v>211211-Choix des écoles pour l'expérimentation au préscolaire, collège et lycée (DNPSCE, DNEF, DNESGT, IRE, DPE/DCE)</v>
      </c>
    </row>
    <row r="534" spans="1:30" s="22" customFormat="1" ht="90" hidden="1" customHeight="1" x14ac:dyDescent="0.8">
      <c r="A534" s="14">
        <v>2</v>
      </c>
      <c r="B534" s="15">
        <v>21</v>
      </c>
      <c r="C534" s="15">
        <v>211</v>
      </c>
      <c r="D534" s="15">
        <v>2112</v>
      </c>
      <c r="E534" s="14">
        <v>211212</v>
      </c>
      <c r="F534" s="16" t="s">
        <v>675</v>
      </c>
      <c r="G534" s="21" t="s">
        <v>51</v>
      </c>
      <c r="H534" s="17" t="s">
        <v>301</v>
      </c>
      <c r="I534" s="56">
        <v>0</v>
      </c>
      <c r="J534" s="56"/>
      <c r="K534" s="56"/>
      <c r="L534" s="56">
        <f>10*8*10</f>
        <v>800</v>
      </c>
      <c r="M534" s="56">
        <f t="shared" si="117"/>
        <v>800</v>
      </c>
      <c r="N534" s="56">
        <f>IF(OR(H534="",H534="sif",H534="PM"),0,VLOOKUP(H534,[5]CU!$C$4:$H$255,6,FALSE))</f>
        <v>0.67666666666666664</v>
      </c>
      <c r="O534" s="56">
        <f t="shared" ref="O534:R539" si="126">$N534*I534</f>
        <v>0</v>
      </c>
      <c r="P534" s="56">
        <f t="shared" si="126"/>
        <v>0</v>
      </c>
      <c r="Q534" s="56">
        <f t="shared" si="126"/>
        <v>0</v>
      </c>
      <c r="R534" s="56">
        <f t="shared" si="126"/>
        <v>541.33333333333326</v>
      </c>
      <c r="S534" s="53">
        <f t="shared" ref="S534:S539" si="127">SUM(O534:R534)</f>
        <v>541.33333333333326</v>
      </c>
      <c r="T534" s="23" t="s">
        <v>56</v>
      </c>
      <c r="U534" s="18" t="s">
        <v>647</v>
      </c>
      <c r="V534" s="19" t="str">
        <f>IF(OR($H534="",$H534="sif",$H534="PM"),"",VLOOKUP($H534,[5]CU!$C$5:$J$255,8,FALSE))</f>
        <v>3. Formation</v>
      </c>
      <c r="W534" s="18" t="s">
        <v>398</v>
      </c>
      <c r="X534" s="18" t="s">
        <v>431</v>
      </c>
      <c r="Y534" s="19" t="s">
        <v>32</v>
      </c>
      <c r="Z534" s="19" t="str">
        <f>A534 &amp; "-" &amp; VLOOKUP(A534,[4]PROGRAMMES!$E$1:$F$7,2,FALSE)</f>
        <v>2-Qualité des enseignements et des apprentissages</v>
      </c>
      <c r="AA534" s="19" t="str">
        <f>B534 &amp; "-" &amp; VLOOKUP(B534,[4]SOUSPROGRAMMES!$E$1:$F$44,2,FALSE)</f>
        <v>21- Révision/ adaptation des curricula/programmes (place des sciences ; franco-arabe, intégration de l’éducation à la citoyenneté, l'éducation complète à la sexualité, éducation environnementale…)</v>
      </c>
      <c r="AB534" s="19" t="str">
        <f>C534 &amp; "-" &amp; VLOOKUP(C534,[4]RESULTATS!$E$1:$F$176,2,FALSE)</f>
        <v>211- les contenus des programmes (du préscolaire, du primaire, 1er et second cycle du secondaire) sont progressivement révisés, adaptés et diversifiés</v>
      </c>
      <c r="AC534" s="20" t="str">
        <f>D534 &amp; "-" &amp; VLOOKUP(D534,[4]STRATEGIES!$E$1:$F$504,2,FALSE)</f>
        <v>2112-Conception/élaboration et expérimentation de nouveaux curricula/programmes</v>
      </c>
      <c r="AD534" s="21" t="str">
        <f t="shared" si="122"/>
        <v>211212-formation des enseignants chargés de l'expérimentation au lycée avec la DNESGT</v>
      </c>
    </row>
    <row r="535" spans="1:30" s="22" customFormat="1" ht="90" customHeight="1" x14ac:dyDescent="0.8">
      <c r="A535" s="14">
        <v>2</v>
      </c>
      <c r="B535" s="15">
        <v>21</v>
      </c>
      <c r="C535" s="15">
        <v>211</v>
      </c>
      <c r="D535" s="15">
        <v>2112</v>
      </c>
      <c r="E535" s="14">
        <v>211213</v>
      </c>
      <c r="F535" s="16" t="s">
        <v>676</v>
      </c>
      <c r="G535" s="21" t="s">
        <v>51</v>
      </c>
      <c r="H535" s="17" t="s">
        <v>301</v>
      </c>
      <c r="I535" s="56">
        <v>0</v>
      </c>
      <c r="J535" s="56"/>
      <c r="K535" s="56"/>
      <c r="L535" s="56">
        <f>10*3*10</f>
        <v>300</v>
      </c>
      <c r="M535" s="56">
        <f t="shared" si="117"/>
        <v>300</v>
      </c>
      <c r="N535" s="56">
        <f>IF(OR(H535="",H535="sif",H535="PM"),0,VLOOKUP(H535,[5]CU!$C$4:$H$255,6,FALSE))</f>
        <v>0.67666666666666664</v>
      </c>
      <c r="O535" s="56">
        <f t="shared" si="126"/>
        <v>0</v>
      </c>
      <c r="P535" s="56">
        <f t="shared" si="126"/>
        <v>0</v>
      </c>
      <c r="Q535" s="56">
        <f t="shared" si="126"/>
        <v>0</v>
      </c>
      <c r="R535" s="56">
        <f t="shared" si="126"/>
        <v>203</v>
      </c>
      <c r="S535" s="53">
        <f t="shared" si="127"/>
        <v>203</v>
      </c>
      <c r="T535" s="23" t="s">
        <v>39</v>
      </c>
      <c r="U535" s="18" t="s">
        <v>647</v>
      </c>
      <c r="V535" s="19" t="str">
        <f>IF(OR($H535="",$H535="sif",$H535="PM"),"",VLOOKUP($H535,[5]CU!$C$5:$J$255,8,FALSE))</f>
        <v>3. Formation</v>
      </c>
      <c r="W535" s="18" t="s">
        <v>655</v>
      </c>
      <c r="X535" s="18" t="s">
        <v>248</v>
      </c>
      <c r="Y535" s="18" t="s">
        <v>677</v>
      </c>
      <c r="Z535" s="19" t="str">
        <f>A535 &amp; "-" &amp; VLOOKUP(A535,[4]PROGRAMMES!$E$1:$F$7,2,FALSE)</f>
        <v>2-Qualité des enseignements et des apprentissages</v>
      </c>
      <c r="AA535" s="19" t="str">
        <f>B535 &amp; "-" &amp; VLOOKUP(B535,[4]SOUSPROGRAMMES!$E$1:$F$44,2,FALSE)</f>
        <v>21- Révision/ adaptation des curricula/programmes (place des sciences ; franco-arabe, intégration de l’éducation à la citoyenneté, l'éducation complète à la sexualité, éducation environnementale…)</v>
      </c>
      <c r="AB535" s="19" t="str">
        <f>C535 &amp; "-" &amp; VLOOKUP(C535,[4]RESULTATS!$E$1:$F$176,2,FALSE)</f>
        <v>211- les contenus des programmes (du préscolaire, du primaire, 1er et second cycle du secondaire) sont progressivement révisés, adaptés et diversifiés</v>
      </c>
      <c r="AC535" s="20" t="str">
        <f>D535 &amp; "-" &amp; VLOOKUP(D535,[4]STRATEGIES!$E$1:$F$504,2,FALSE)</f>
        <v>2112-Conception/élaboration et expérimentation de nouveaux curricula/programmes</v>
      </c>
      <c r="AD535" s="21" t="str">
        <f t="shared" si="122"/>
        <v>211213-formation des enseignants chargés de l'expérimentation pour les ENI avec DNEF</v>
      </c>
    </row>
    <row r="536" spans="1:30" s="22" customFormat="1" ht="90" customHeight="1" x14ac:dyDescent="0.8">
      <c r="A536" s="14">
        <v>2</v>
      </c>
      <c r="B536" s="15">
        <v>21</v>
      </c>
      <c r="C536" s="15">
        <v>211</v>
      </c>
      <c r="D536" s="15">
        <v>2112</v>
      </c>
      <c r="E536" s="14">
        <v>211214</v>
      </c>
      <c r="F536" s="16" t="s">
        <v>678</v>
      </c>
      <c r="G536" s="21" t="s">
        <v>51</v>
      </c>
      <c r="H536" s="17" t="s">
        <v>301</v>
      </c>
      <c r="I536" s="56">
        <v>0</v>
      </c>
      <c r="J536" s="56"/>
      <c r="K536" s="56"/>
      <c r="L536" s="56">
        <f>10*3*10</f>
        <v>300</v>
      </c>
      <c r="M536" s="56">
        <f t="shared" si="117"/>
        <v>300</v>
      </c>
      <c r="N536" s="56">
        <f>IF(OR(H536="",H536="sif",H536="PM"),0,VLOOKUP(H536,[5]CU!$C$4:$H$255,6,FALSE))</f>
        <v>0.67666666666666664</v>
      </c>
      <c r="O536" s="56">
        <f t="shared" si="126"/>
        <v>0</v>
      </c>
      <c r="P536" s="56">
        <f t="shared" si="126"/>
        <v>0</v>
      </c>
      <c r="Q536" s="56">
        <f t="shared" si="126"/>
        <v>0</v>
      </c>
      <c r="R536" s="56">
        <f t="shared" si="126"/>
        <v>203</v>
      </c>
      <c r="S536" s="53">
        <f t="shared" si="127"/>
        <v>203</v>
      </c>
      <c r="T536" s="23" t="s">
        <v>39</v>
      </c>
      <c r="U536" s="18" t="s">
        <v>647</v>
      </c>
      <c r="V536" s="19" t="str">
        <f>IF(OR($H536="",$H536="sif",$H536="PM"),"",VLOOKUP($H536,[5]CU!$C$5:$J$255,8,FALSE))</f>
        <v>3. Formation</v>
      </c>
      <c r="W536" s="18" t="s">
        <v>655</v>
      </c>
      <c r="X536" s="18" t="s">
        <v>431</v>
      </c>
      <c r="Y536" s="18" t="s">
        <v>679</v>
      </c>
      <c r="Z536" s="19" t="str">
        <f>A536 &amp; "-" &amp; VLOOKUP(A536,[4]PROGRAMMES!$E$1:$F$7,2,FALSE)</f>
        <v>2-Qualité des enseignements et des apprentissages</v>
      </c>
      <c r="AA536" s="19" t="str">
        <f>B536 &amp; "-" &amp; VLOOKUP(B536,[4]SOUSPROGRAMMES!$E$1:$F$44,2,FALSE)</f>
        <v>21- Révision/ adaptation des curricula/programmes (place des sciences ; franco-arabe, intégration de l’éducation à la citoyenneté, l'éducation complète à la sexualité, éducation environnementale…)</v>
      </c>
      <c r="AB536" s="19" t="str">
        <f>C536 &amp; "-" &amp; VLOOKUP(C536,[4]RESULTATS!$E$1:$F$176,2,FALSE)</f>
        <v>211- les contenus des programmes (du préscolaire, du primaire, 1er et second cycle du secondaire) sont progressivement révisés, adaptés et diversifiés</v>
      </c>
      <c r="AC536" s="20" t="str">
        <f>D536 &amp; "-" &amp; VLOOKUP(D536,[4]STRATEGIES!$E$1:$F$504,2,FALSE)</f>
        <v>2112-Conception/élaboration et expérimentation de nouveaux curricula/programmes</v>
      </c>
      <c r="AD536" s="21" t="str">
        <f t="shared" si="122"/>
        <v>211214-Formation des enseignants chargés de l'expérimentation à l'ISSEG avec la DNESGT</v>
      </c>
    </row>
    <row r="537" spans="1:30" s="22" customFormat="1" ht="90" customHeight="1" x14ac:dyDescent="0.8">
      <c r="A537" s="14">
        <v>2</v>
      </c>
      <c r="B537" s="15">
        <v>21</v>
      </c>
      <c r="C537" s="15">
        <v>211</v>
      </c>
      <c r="D537" s="15">
        <v>2112</v>
      </c>
      <c r="E537" s="14">
        <v>211215</v>
      </c>
      <c r="F537" s="16" t="s">
        <v>680</v>
      </c>
      <c r="G537" s="21" t="s">
        <v>58</v>
      </c>
      <c r="H537" s="17" t="s">
        <v>59</v>
      </c>
      <c r="I537" s="56">
        <v>0</v>
      </c>
      <c r="J537" s="56"/>
      <c r="K537" s="56"/>
      <c r="L537" s="56">
        <f>15*20</f>
        <v>300</v>
      </c>
      <c r="M537" s="56">
        <f t="shared" si="117"/>
        <v>300</v>
      </c>
      <c r="N537" s="56">
        <f>IF(OR(H537="",H537="sif",H537="PM"),0,VLOOKUP(H537,[5]CU!$C$4:$H$255,6,FALSE))</f>
        <v>0.8177777777777776</v>
      </c>
      <c r="O537" s="56">
        <f t="shared" si="126"/>
        <v>0</v>
      </c>
      <c r="P537" s="56">
        <f t="shared" si="126"/>
        <v>0</v>
      </c>
      <c r="Q537" s="56">
        <f t="shared" si="126"/>
        <v>0</v>
      </c>
      <c r="R537" s="56">
        <f t="shared" si="126"/>
        <v>245.33333333333329</v>
      </c>
      <c r="S537" s="53">
        <f t="shared" si="127"/>
        <v>245.33333333333329</v>
      </c>
      <c r="T537" s="23" t="s">
        <v>39</v>
      </c>
      <c r="U537" s="18" t="s">
        <v>647</v>
      </c>
      <c r="V537" s="19" t="str">
        <f>IF(OR($H537="",$H537="sif",$H537="PM"),"",VLOOKUP($H537,[5]CU!$C$5:$J$255,8,FALSE))</f>
        <v>3. Dépenses de fonctionnement</v>
      </c>
      <c r="W537" s="18" t="s">
        <v>655</v>
      </c>
      <c r="X537" s="18" t="s">
        <v>347</v>
      </c>
      <c r="Y537" s="19" t="s">
        <v>32</v>
      </c>
      <c r="Z537" s="19" t="str">
        <f>A537 &amp; "-" &amp; VLOOKUP(A537,[4]PROGRAMMES!$E$1:$F$7,2,FALSE)</f>
        <v>2-Qualité des enseignements et des apprentissages</v>
      </c>
      <c r="AA537" s="19" t="str">
        <f>B537 &amp; "-" &amp; VLOOKUP(B537,[4]SOUSPROGRAMMES!$E$1:$F$44,2,FALSE)</f>
        <v>21- Révision/ adaptation des curricula/programmes (place des sciences ; franco-arabe, intégration de l’éducation à la citoyenneté, l'éducation complète à la sexualité, éducation environnementale…)</v>
      </c>
      <c r="AB537" s="19" t="str">
        <f>C537 &amp; "-" &amp; VLOOKUP(C537,[4]RESULTATS!$E$1:$F$176,2,FALSE)</f>
        <v>211- les contenus des programmes (du préscolaire, du primaire, 1er et second cycle du secondaire) sont progressivement révisés, adaptés et diversifiés</v>
      </c>
      <c r="AC537" s="20" t="str">
        <f>D537 &amp; "-" &amp; VLOOKUP(D537,[4]STRATEGIES!$E$1:$F$504,2,FALSE)</f>
        <v>2112-Conception/élaboration et expérimentation de nouveaux curricula/programmes</v>
      </c>
      <c r="AD537" s="21" t="str">
        <f t="shared" si="122"/>
        <v>211215-Suivi de l'expérimentation avec DNEPSCE, DNEF et DNESGT</v>
      </c>
    </row>
    <row r="538" spans="1:30" s="22" customFormat="1" ht="90" customHeight="1" x14ac:dyDescent="0.8">
      <c r="A538" s="14">
        <v>2</v>
      </c>
      <c r="B538" s="15">
        <v>21</v>
      </c>
      <c r="C538" s="15">
        <v>211</v>
      </c>
      <c r="D538" s="15">
        <v>2112</v>
      </c>
      <c r="E538" s="14">
        <v>211216</v>
      </c>
      <c r="F538" s="16" t="s">
        <v>681</v>
      </c>
      <c r="G538" s="21" t="s">
        <v>37</v>
      </c>
      <c r="H538" s="17" t="s">
        <v>66</v>
      </c>
      <c r="I538" s="56">
        <v>0</v>
      </c>
      <c r="J538" s="56"/>
      <c r="K538" s="56"/>
      <c r="L538" s="56">
        <f>10*7</f>
        <v>70</v>
      </c>
      <c r="M538" s="56">
        <f t="shared" si="117"/>
        <v>70</v>
      </c>
      <c r="N538" s="56">
        <f>IF(OR(H538="",H538="sif",H538="PM"),0,VLOOKUP(H538,[5]CU!$C$4:$H$255,6,FALSE))</f>
        <v>0.255</v>
      </c>
      <c r="O538" s="56">
        <f t="shared" si="126"/>
        <v>0</v>
      </c>
      <c r="P538" s="56">
        <f t="shared" si="126"/>
        <v>0</v>
      </c>
      <c r="Q538" s="56">
        <f t="shared" si="126"/>
        <v>0</v>
      </c>
      <c r="R538" s="56">
        <f t="shared" si="126"/>
        <v>17.850000000000001</v>
      </c>
      <c r="S538" s="53">
        <f t="shared" si="127"/>
        <v>17.850000000000001</v>
      </c>
      <c r="T538" s="23" t="s">
        <v>39</v>
      </c>
      <c r="U538" s="19" t="s">
        <v>647</v>
      </c>
      <c r="V538" s="19" t="str">
        <f>IF(OR($H538="",$H538="sif",$H538="PM"),"",VLOOKUP($H538,[5]CU!$C$5:$J$255,8,FALSE))</f>
        <v>3. Dépenses de fonctionnement</v>
      </c>
      <c r="W538" s="19" t="s">
        <v>665</v>
      </c>
      <c r="X538" s="19" t="s">
        <v>347</v>
      </c>
      <c r="Y538" s="19" t="s">
        <v>32</v>
      </c>
      <c r="Z538" s="19" t="str">
        <f>A538 &amp; "-" &amp; VLOOKUP(A538,[4]PROGRAMMES!$E$1:$F$7,2,FALSE)</f>
        <v>2-Qualité des enseignements et des apprentissages</v>
      </c>
      <c r="AA538" s="19" t="str">
        <f>B538 &amp; "-" &amp; VLOOKUP(B538,[4]SOUSPROGRAMMES!$E$1:$F$44,2,FALSE)</f>
        <v>21- Révision/ adaptation des curricula/programmes (place des sciences ; franco-arabe, intégration de l’éducation à la citoyenneté, l'éducation complète à la sexualité, éducation environnementale…)</v>
      </c>
      <c r="AB538" s="19" t="str">
        <f>C538 &amp; "-" &amp; VLOOKUP(C538,[4]RESULTATS!$E$1:$F$176,2,FALSE)</f>
        <v>211- les contenus des programmes (du préscolaire, du primaire, 1er et second cycle du secondaire) sont progressivement révisés, adaptés et diversifiés</v>
      </c>
      <c r="AC538" s="20" t="str">
        <f>D538 &amp; "-" &amp; VLOOKUP(D538,[4]STRATEGIES!$E$1:$F$504,2,FALSE)</f>
        <v>2112-Conception/élaboration et expérimentation de nouveaux curricula/programmes</v>
      </c>
      <c r="AD538" s="21" t="str">
        <f t="shared" si="122"/>
        <v>211216-Réajustement des curricula expérimenté du préscolaire avec la DNEPSCE</v>
      </c>
    </row>
    <row r="539" spans="1:30" s="22" customFormat="1" ht="90" hidden="1" customHeight="1" x14ac:dyDescent="0.8">
      <c r="A539" s="14">
        <v>2</v>
      </c>
      <c r="B539" s="15">
        <v>21</v>
      </c>
      <c r="C539" s="15">
        <v>211</v>
      </c>
      <c r="D539" s="15">
        <v>2112</v>
      </c>
      <c r="E539" s="14">
        <v>211217</v>
      </c>
      <c r="F539" s="16" t="s">
        <v>682</v>
      </c>
      <c r="G539" s="21" t="s">
        <v>58</v>
      </c>
      <c r="H539" s="17" t="s">
        <v>59</v>
      </c>
      <c r="I539" s="56">
        <v>0</v>
      </c>
      <c r="J539" s="56"/>
      <c r="K539" s="56"/>
      <c r="L539" s="56">
        <f>15*20</f>
        <v>300</v>
      </c>
      <c r="M539" s="56">
        <f t="shared" si="117"/>
        <v>300</v>
      </c>
      <c r="N539" s="56">
        <f>IF(OR(H539="",H539="sif",H539="PM"),0,VLOOKUP(H539,[5]CU!$C$4:$H$255,6,FALSE))</f>
        <v>0.8177777777777776</v>
      </c>
      <c r="O539" s="56">
        <f t="shared" si="126"/>
        <v>0</v>
      </c>
      <c r="P539" s="56">
        <f t="shared" si="126"/>
        <v>0</v>
      </c>
      <c r="Q539" s="56">
        <f t="shared" si="126"/>
        <v>0</v>
      </c>
      <c r="R539" s="56">
        <f t="shared" si="126"/>
        <v>245.33333333333329</v>
      </c>
      <c r="S539" s="53">
        <f t="shared" si="127"/>
        <v>245.33333333333329</v>
      </c>
      <c r="T539" s="23" t="s">
        <v>56</v>
      </c>
      <c r="U539" s="18" t="s">
        <v>647</v>
      </c>
      <c r="V539" s="19" t="str">
        <f>IF(OR($H539="",$H539="sif",$H539="PM"),"",VLOOKUP($H539,[5]CU!$C$5:$J$255,8,FALSE))</f>
        <v>3. Dépenses de fonctionnement</v>
      </c>
      <c r="W539" s="18" t="s">
        <v>398</v>
      </c>
      <c r="X539" s="18" t="s">
        <v>347</v>
      </c>
      <c r="Y539" s="19" t="s">
        <v>32</v>
      </c>
      <c r="Z539" s="19" t="str">
        <f>A539 &amp; "-" &amp; VLOOKUP(A539,[4]PROGRAMMES!$E$1:$F$7,2,FALSE)</f>
        <v>2-Qualité des enseignements et des apprentissages</v>
      </c>
      <c r="AA539" s="19" t="str">
        <f>B539 &amp; "-" &amp; VLOOKUP(B539,[4]SOUSPROGRAMMES!$E$1:$F$44,2,FALSE)</f>
        <v>21- Révision/ adaptation des curricula/programmes (place des sciences ; franco-arabe, intégration de l’éducation à la citoyenneté, l'éducation complète à la sexualité, éducation environnementale…)</v>
      </c>
      <c r="AB539" s="19" t="str">
        <f>C539 &amp; "-" &amp; VLOOKUP(C539,[4]RESULTATS!$E$1:$F$176,2,FALSE)</f>
        <v>211- les contenus des programmes (du préscolaire, du primaire, 1er et second cycle du secondaire) sont progressivement révisés, adaptés et diversifiés</v>
      </c>
      <c r="AC539" s="20" t="str">
        <f>D539 &amp; "-" &amp; VLOOKUP(D539,[4]STRATEGIES!$E$1:$F$504,2,FALSE)</f>
        <v>2112-Conception/élaboration et expérimentation de nouveaux curricula/programmes</v>
      </c>
      <c r="AD539" s="21" t="str">
        <f t="shared" si="122"/>
        <v>211217-Suivi de l'expérimentation en 11ième Année avec la DNESGT</v>
      </c>
    </row>
    <row r="540" spans="1:30" s="22" customFormat="1" ht="90" customHeight="1" x14ac:dyDescent="0.8">
      <c r="A540" s="14">
        <v>2</v>
      </c>
      <c r="B540" s="15">
        <v>21</v>
      </c>
      <c r="C540" s="15">
        <v>211</v>
      </c>
      <c r="D540" s="15">
        <v>2113</v>
      </c>
      <c r="E540" s="14">
        <v>2113</v>
      </c>
      <c r="F540" s="16" t="s">
        <v>683</v>
      </c>
      <c r="G540" s="17"/>
      <c r="H540" s="17"/>
      <c r="I540" s="56">
        <v>0</v>
      </c>
      <c r="J540" s="56"/>
      <c r="K540" s="56"/>
      <c r="L540" s="56"/>
      <c r="M540" s="56"/>
      <c r="N540" s="56"/>
      <c r="O540" s="56"/>
      <c r="P540" s="56"/>
      <c r="Q540" s="56"/>
      <c r="R540" s="56"/>
      <c r="S540" s="53"/>
      <c r="T540" s="18"/>
      <c r="U540" s="18"/>
      <c r="V540" s="19"/>
      <c r="W540" s="18"/>
      <c r="X540" s="18"/>
      <c r="Y540" s="19" t="s">
        <v>32</v>
      </c>
      <c r="Z540" s="19" t="str">
        <f>A540 &amp; "-" &amp; VLOOKUP(A540,[4]PROGRAMMES!$E$1:$F$7,2,FALSE)</f>
        <v>2-Qualité des enseignements et des apprentissages</v>
      </c>
      <c r="AA540" s="19" t="str">
        <f>B540 &amp; "-" &amp; VLOOKUP(B540,[4]SOUSPROGRAMMES!$E$1:$F$44,2,FALSE)</f>
        <v>21- Révision/ adaptation des curricula/programmes (place des sciences ; franco-arabe, intégration de l’éducation à la citoyenneté, l'éducation complète à la sexualité, éducation environnementale…)</v>
      </c>
      <c r="AB540" s="19" t="str">
        <f>C540 &amp; "-" &amp; VLOOKUP(C540,[4]RESULTATS!$E$1:$F$176,2,FALSE)</f>
        <v>211- les contenus des programmes (du préscolaire, du primaire, 1er et second cycle du secondaire) sont progressivement révisés, adaptés et diversifiés</v>
      </c>
      <c r="AC540" s="20" t="str">
        <f>D540 &amp; "-" &amp; VLOOKUP(D540,[4]STRATEGIES!$E$1:$F$504,2,FALSE)</f>
        <v>2113-Formation des enseignants aux nouveaux curricula à tous les niveaux</v>
      </c>
      <c r="AD540" s="21" t="str">
        <f t="shared" si="122"/>
        <v>2113-Formation des enseignants aux nouveaux curricula à tous les niveaux</v>
      </c>
    </row>
    <row r="541" spans="1:30" s="22" customFormat="1" ht="90" customHeight="1" x14ac:dyDescent="0.8">
      <c r="A541" s="14">
        <v>2</v>
      </c>
      <c r="B541" s="15">
        <v>21</v>
      </c>
      <c r="C541" s="15">
        <v>211</v>
      </c>
      <c r="D541" s="15">
        <v>2113</v>
      </c>
      <c r="E541" s="14"/>
      <c r="F541" s="16" t="s">
        <v>684</v>
      </c>
      <c r="G541" s="21"/>
      <c r="H541" s="17"/>
      <c r="I541" s="56">
        <v>0</v>
      </c>
      <c r="J541" s="56"/>
      <c r="K541" s="56"/>
      <c r="L541" s="56"/>
      <c r="M541" s="56"/>
      <c r="N541" s="56"/>
      <c r="O541" s="56"/>
      <c r="P541" s="56"/>
      <c r="Q541" s="56"/>
      <c r="R541" s="56"/>
      <c r="S541" s="53"/>
      <c r="T541" s="23" t="s">
        <v>39</v>
      </c>
      <c r="U541" s="18" t="s">
        <v>647</v>
      </c>
      <c r="V541" s="19" t="str">
        <f>IF(OR($H541="",$H541="sif",$H541="PM"),"",VLOOKUP($H541,[5]CU!$C$5:$J$255,8,FALSE))</f>
        <v/>
      </c>
      <c r="W541" s="18"/>
      <c r="X541" s="18"/>
      <c r="Y541" s="19" t="s">
        <v>32</v>
      </c>
      <c r="Z541" s="19" t="str">
        <f>A541 &amp; "-" &amp; VLOOKUP(A541,[4]PROGRAMMES!$E$1:$F$7,2,FALSE)</f>
        <v>2-Qualité des enseignements et des apprentissages</v>
      </c>
      <c r="AA541" s="19" t="str">
        <f>B541 &amp; "-" &amp; VLOOKUP(B541,[4]SOUSPROGRAMMES!$E$1:$F$44,2,FALSE)</f>
        <v>21- Révision/ adaptation des curricula/programmes (place des sciences ; franco-arabe, intégration de l’éducation à la citoyenneté, l'éducation complète à la sexualité, éducation environnementale…)</v>
      </c>
      <c r="AB541" s="19" t="str">
        <f>C541 &amp; "-" &amp; VLOOKUP(C541,[4]RESULTATS!$E$1:$F$176,2,FALSE)</f>
        <v>211- les contenus des programmes (du préscolaire, du primaire, 1er et second cycle du secondaire) sont progressivement révisés, adaptés et diversifiés</v>
      </c>
      <c r="AC541" s="20" t="str">
        <f>D541 &amp; "-" &amp; VLOOKUP(D541,[4]STRATEGIES!$E$1:$F$504,2,FALSE)</f>
        <v>2113-Formation des enseignants aux nouveaux curricula à tous les niveaux</v>
      </c>
      <c r="AD541" s="21" t="str">
        <f t="shared" si="122"/>
        <v>-PM à intégrer dans la seconde phase de mise en œuvre du PRODEG</v>
      </c>
    </row>
    <row r="542" spans="1:30" s="22" customFormat="1" ht="90" customHeight="1" x14ac:dyDescent="0.8">
      <c r="A542" s="14">
        <v>2</v>
      </c>
      <c r="B542" s="15">
        <v>21</v>
      </c>
      <c r="C542" s="15">
        <v>211</v>
      </c>
      <c r="D542" s="15">
        <v>2114</v>
      </c>
      <c r="E542" s="14">
        <v>2114</v>
      </c>
      <c r="F542" s="16" t="s">
        <v>685</v>
      </c>
      <c r="G542" s="17"/>
      <c r="H542" s="17"/>
      <c r="I542" s="56">
        <v>0</v>
      </c>
      <c r="J542" s="56"/>
      <c r="K542" s="56"/>
      <c r="L542" s="56"/>
      <c r="M542" s="56"/>
      <c r="N542" s="56"/>
      <c r="O542" s="56"/>
      <c r="P542" s="56"/>
      <c r="Q542" s="56"/>
      <c r="R542" s="56"/>
      <c r="S542" s="53"/>
      <c r="T542" s="18"/>
      <c r="U542" s="18"/>
      <c r="V542" s="19"/>
      <c r="W542" s="18"/>
      <c r="X542" s="18"/>
      <c r="Y542" s="19" t="s">
        <v>32</v>
      </c>
      <c r="Z542" s="19" t="str">
        <f>A542 &amp; "-" &amp; VLOOKUP(A542,[4]PROGRAMMES!$E$1:$F$7,2,FALSE)</f>
        <v>2-Qualité des enseignements et des apprentissages</v>
      </c>
      <c r="AA542" s="19" t="str">
        <f>B542 &amp; "-" &amp; VLOOKUP(B542,[4]SOUSPROGRAMMES!$E$1:$F$44,2,FALSE)</f>
        <v>21- Révision/ adaptation des curricula/programmes (place des sciences ; franco-arabe, intégration de l’éducation à la citoyenneté, l'éducation complète à la sexualité, éducation environnementale…)</v>
      </c>
      <c r="AB542" s="19" t="str">
        <f>C542 &amp; "-" &amp; VLOOKUP(C542,[4]RESULTATS!$E$1:$F$176,2,FALSE)</f>
        <v>211- les contenus des programmes (du préscolaire, du primaire, 1er et second cycle du secondaire) sont progressivement révisés, adaptés et diversifiés</v>
      </c>
      <c r="AC542" s="20" t="str">
        <f>D542 &amp; "-" &amp; VLOOKUP(D542,[4]STRATEGIES!$E$1:$F$504,2,FALSE)</f>
        <v>2114-Adaptation des manuels/matériels pédagogiques et ludiques aux nouveaux curricula à tous les niveaux et pour tous les enfants</v>
      </c>
      <c r="AD542" s="21" t="str">
        <f t="shared" si="122"/>
        <v>2114-Adaptation des manuels/matériels pédagogiques et ludiques aux nouveaux curricula à tous les niveaux et pour tous les enfants</v>
      </c>
    </row>
    <row r="543" spans="1:30" s="22" customFormat="1" ht="90" customHeight="1" x14ac:dyDescent="0.8">
      <c r="A543" s="14">
        <v>2</v>
      </c>
      <c r="B543" s="15">
        <v>21</v>
      </c>
      <c r="C543" s="15">
        <v>211</v>
      </c>
      <c r="D543" s="15">
        <v>2114</v>
      </c>
      <c r="E543" s="14">
        <v>21141</v>
      </c>
      <c r="F543" s="16" t="s">
        <v>686</v>
      </c>
      <c r="G543" s="21" t="s">
        <v>37</v>
      </c>
      <c r="H543" s="17" t="s">
        <v>66</v>
      </c>
      <c r="I543" s="56">
        <v>0</v>
      </c>
      <c r="J543" s="56"/>
      <c r="K543" s="56">
        <f>25*7</f>
        <v>175</v>
      </c>
      <c r="L543" s="56"/>
      <c r="M543" s="56">
        <f t="shared" ref="M543:M556" si="128">SUM(I543:L543)</f>
        <v>175</v>
      </c>
      <c r="N543" s="56">
        <f>IF(OR(H543="",H543="sif",H543="PM"),0,VLOOKUP(H543,[5]CU!$C$4:$H$255,6,FALSE))</f>
        <v>0.255</v>
      </c>
      <c r="O543" s="56">
        <f t="shared" ref="O543:R550" si="129">$N543*I543</f>
        <v>0</v>
      </c>
      <c r="P543" s="56">
        <f t="shared" si="129"/>
        <v>0</v>
      </c>
      <c r="Q543" s="56">
        <f t="shared" si="129"/>
        <v>44.625</v>
      </c>
      <c r="R543" s="56">
        <f t="shared" si="129"/>
        <v>0</v>
      </c>
      <c r="S543" s="53">
        <f>SUM(O543:R543)</f>
        <v>44.625</v>
      </c>
      <c r="T543" s="23" t="s">
        <v>39</v>
      </c>
      <c r="U543" s="19" t="s">
        <v>647</v>
      </c>
      <c r="V543" s="19" t="str">
        <f>IF(OR($H543="",$H543="sif",$H543="PM"),"",VLOOKUP($H543,[5]CU!$C$5:$J$255,8,FALSE))</f>
        <v>3. Dépenses de fonctionnement</v>
      </c>
      <c r="W543" s="19" t="s">
        <v>665</v>
      </c>
      <c r="X543" s="19" t="s">
        <v>347</v>
      </c>
      <c r="Y543" s="19" t="s">
        <v>32</v>
      </c>
      <c r="Z543" s="19" t="str">
        <f>A543 &amp; "-" &amp; VLOOKUP(A543,[4]PROGRAMMES!$E$1:$F$7,2,FALSE)</f>
        <v>2-Qualité des enseignements et des apprentissages</v>
      </c>
      <c r="AA543" s="19" t="str">
        <f>B543 &amp; "-" &amp; VLOOKUP(B543,[4]SOUSPROGRAMMES!$E$1:$F$44,2,FALSE)</f>
        <v>21- Révision/ adaptation des curricula/programmes (place des sciences ; franco-arabe, intégration de l’éducation à la citoyenneté, l'éducation complète à la sexualité, éducation environnementale…)</v>
      </c>
      <c r="AB543" s="19" t="str">
        <f>C543 &amp; "-" &amp; VLOOKUP(C543,[4]RESULTATS!$E$1:$F$176,2,FALSE)</f>
        <v>211- les contenus des programmes (du préscolaire, du primaire, 1er et second cycle du secondaire) sont progressivement révisés, adaptés et diversifiés</v>
      </c>
      <c r="AC543" s="20" t="str">
        <f>D543 &amp; "-" &amp; VLOOKUP(D543,[4]STRATEGIES!$E$1:$F$504,2,FALSE)</f>
        <v>2114-Adaptation des manuels/matériels pédagogiques et ludiques aux nouveaux curricula à tous les niveaux et pour tous les enfants</v>
      </c>
      <c r="AD543" s="21" t="str">
        <f t="shared" si="122"/>
        <v>21141-Adaptation des matériels pédagogiques du préscolaire</v>
      </c>
    </row>
    <row r="544" spans="1:30" s="22" customFormat="1" ht="90" customHeight="1" x14ac:dyDescent="0.8">
      <c r="A544" s="14">
        <v>2</v>
      </c>
      <c r="B544" s="15">
        <v>21</v>
      </c>
      <c r="C544" s="15">
        <v>211</v>
      </c>
      <c r="D544" s="15">
        <v>2114</v>
      </c>
      <c r="E544" s="14">
        <v>21142</v>
      </c>
      <c r="F544" s="16" t="s">
        <v>687</v>
      </c>
      <c r="G544" s="21" t="s">
        <v>37</v>
      </c>
      <c r="H544" s="17" t="s">
        <v>301</v>
      </c>
      <c r="I544" s="56">
        <v>0</v>
      </c>
      <c r="J544" s="56"/>
      <c r="K544" s="56"/>
      <c r="L544" s="56">
        <f>80*10</f>
        <v>800</v>
      </c>
      <c r="M544" s="56">
        <f t="shared" si="128"/>
        <v>800</v>
      </c>
      <c r="N544" s="56">
        <f>IF(OR(H544="",H544="sif",H544="PM"),0,VLOOKUP(H544,[5]CU!$C$4:$H$255,6,FALSE))</f>
        <v>0.67666666666666664</v>
      </c>
      <c r="O544" s="56">
        <f t="shared" si="129"/>
        <v>0</v>
      </c>
      <c r="P544" s="56">
        <f t="shared" si="129"/>
        <v>0</v>
      </c>
      <c r="Q544" s="56">
        <f t="shared" si="129"/>
        <v>0</v>
      </c>
      <c r="R544" s="56">
        <f t="shared" si="129"/>
        <v>541.33333333333326</v>
      </c>
      <c r="S544" s="53">
        <f>SUM(O544:R544)</f>
        <v>541.33333333333326</v>
      </c>
      <c r="T544" s="23" t="s">
        <v>39</v>
      </c>
      <c r="U544" s="19" t="s">
        <v>647</v>
      </c>
      <c r="V544" s="19" t="str">
        <f>IF(OR($H544="",$H544="sif",$H544="PM"),"",VLOOKUP($H544,[5]CU!$C$5:$J$255,8,FALSE))</f>
        <v>3. Formation</v>
      </c>
      <c r="W544" s="19" t="s">
        <v>347</v>
      </c>
      <c r="X544" s="19" t="s">
        <v>688</v>
      </c>
      <c r="Y544" s="19" t="s">
        <v>32</v>
      </c>
      <c r="Z544" s="19" t="str">
        <f>A544 &amp; "-" &amp; VLOOKUP(A544,[4]PROGRAMMES!$E$1:$F$7,2,FALSE)</f>
        <v>2-Qualité des enseignements et des apprentissages</v>
      </c>
      <c r="AA544" s="19" t="str">
        <f>B544 &amp; "-" &amp; VLOOKUP(B544,[4]SOUSPROGRAMMES!$E$1:$F$44,2,FALSE)</f>
        <v>21- Révision/ adaptation des curricula/programmes (place des sciences ; franco-arabe, intégration de l’éducation à la citoyenneté, l'éducation complète à la sexualité, éducation environnementale…)</v>
      </c>
      <c r="AB544" s="19" t="str">
        <f>C544 &amp; "-" &amp; VLOOKUP(C544,[4]RESULTATS!$E$1:$F$176,2,FALSE)</f>
        <v>211- les contenus des programmes (du préscolaire, du primaire, 1er et second cycle du secondaire) sont progressivement révisés, adaptés et diversifiés</v>
      </c>
      <c r="AC544" s="20" t="str">
        <f>D544 &amp; "-" &amp; VLOOKUP(D544,[4]STRATEGIES!$E$1:$F$504,2,FALSE)</f>
        <v>2114-Adaptation des manuels/matériels pédagogiques et ludiques aux nouveaux curricula à tous les niveaux et pour tous les enfants</v>
      </c>
      <c r="AD544" s="21" t="str">
        <f t="shared" si="122"/>
        <v>21142-Appui aux enseignants à l'utilisation du matériel pédagogique du préscolaire</v>
      </c>
    </row>
    <row r="545" spans="1:30" s="22" customFormat="1" ht="90" customHeight="1" x14ac:dyDescent="0.8">
      <c r="A545" s="14">
        <v>2</v>
      </c>
      <c r="B545" s="15">
        <v>21</v>
      </c>
      <c r="C545" s="15">
        <v>211</v>
      </c>
      <c r="D545" s="15">
        <v>2115</v>
      </c>
      <c r="E545" s="14">
        <v>2115</v>
      </c>
      <c r="F545" s="16" t="s">
        <v>689</v>
      </c>
      <c r="G545" s="17"/>
      <c r="H545" s="17"/>
      <c r="I545" s="56">
        <v>0</v>
      </c>
      <c r="J545" s="56"/>
      <c r="K545" s="56"/>
      <c r="L545" s="56"/>
      <c r="M545" s="56"/>
      <c r="N545" s="56"/>
      <c r="O545" s="56"/>
      <c r="P545" s="56"/>
      <c r="Q545" s="56"/>
      <c r="R545" s="56"/>
      <c r="S545" s="53"/>
      <c r="T545" s="18"/>
      <c r="U545" s="18"/>
      <c r="V545" s="19"/>
      <c r="W545" s="18"/>
      <c r="X545" s="18"/>
      <c r="Y545" s="19" t="s">
        <v>32</v>
      </c>
      <c r="Z545" s="19" t="str">
        <f>A545 &amp; "-" &amp; VLOOKUP(A545,[4]PROGRAMMES!$E$1:$F$7,2,FALSE)</f>
        <v>2-Qualité des enseignements et des apprentissages</v>
      </c>
      <c r="AA545" s="19" t="str">
        <f>B545 &amp; "-" &amp; VLOOKUP(B545,[4]SOUSPROGRAMMES!$E$1:$F$44,2,FALSE)</f>
        <v>21- Révision/ adaptation des curricula/programmes (place des sciences ; franco-arabe, intégration de l’éducation à la citoyenneté, l'éducation complète à la sexualité, éducation environnementale…)</v>
      </c>
      <c r="AB545" s="19" t="str">
        <f>C545 &amp; "-" &amp; VLOOKUP(C545,[4]RESULTATS!$E$1:$F$176,2,FALSE)</f>
        <v>211- les contenus des programmes (du préscolaire, du primaire, 1er et second cycle du secondaire) sont progressivement révisés, adaptés et diversifiés</v>
      </c>
      <c r="AC545" s="20" t="str">
        <f>D545 &amp; "-" &amp; VLOOKUP(D545,[4]STRATEGIES!$E$1:$F$504,2,FALSE)</f>
        <v>2115-Introduction des approches innovantes dans le cursus scolaire</v>
      </c>
      <c r="AD545" s="21" t="str">
        <f t="shared" si="122"/>
        <v>2115-Introduction des approches innovantes dans le cursus scolaire</v>
      </c>
    </row>
    <row r="546" spans="1:30" s="22" customFormat="1" ht="90" hidden="1" customHeight="1" x14ac:dyDescent="0.8">
      <c r="A546" s="14">
        <v>2</v>
      </c>
      <c r="B546" s="15">
        <v>21</v>
      </c>
      <c r="C546" s="15">
        <v>211</v>
      </c>
      <c r="D546" s="15">
        <v>2115</v>
      </c>
      <c r="E546" s="14">
        <v>21151</v>
      </c>
      <c r="F546" s="16" t="s">
        <v>690</v>
      </c>
      <c r="G546" s="21" t="s">
        <v>37</v>
      </c>
      <c r="H546" s="17" t="s">
        <v>66</v>
      </c>
      <c r="I546" s="56">
        <v>0</v>
      </c>
      <c r="J546" s="56"/>
      <c r="K546" s="56"/>
      <c r="L546" s="56"/>
      <c r="M546" s="56">
        <f t="shared" si="128"/>
        <v>0</v>
      </c>
      <c r="N546" s="56">
        <f>IF(OR(H546="",H546="sif",H546="PM"),0,VLOOKUP(H546,[5]CU!$C$4:$H$255,6,FALSE))</f>
        <v>0.255</v>
      </c>
      <c r="O546" s="56">
        <f t="shared" si="129"/>
        <v>0</v>
      </c>
      <c r="P546" s="56">
        <f t="shared" si="129"/>
        <v>0</v>
      </c>
      <c r="Q546" s="56">
        <f t="shared" si="129"/>
        <v>0</v>
      </c>
      <c r="R546" s="56">
        <f t="shared" si="129"/>
        <v>0</v>
      </c>
      <c r="S546" s="53">
        <f>SUM(O546:R546)</f>
        <v>0</v>
      </c>
      <c r="T546" s="23" t="s">
        <v>178</v>
      </c>
      <c r="U546" s="18" t="s">
        <v>647</v>
      </c>
      <c r="V546" s="19" t="str">
        <f>IF(OR($H546="",$H546="sif",$H546="PM"),"",VLOOKUP($H546,[5]CU!$C$5:$J$255,8,FALSE))</f>
        <v>3. Dépenses de fonctionnement</v>
      </c>
      <c r="W546" s="18" t="s">
        <v>347</v>
      </c>
      <c r="X546" s="18" t="s">
        <v>347</v>
      </c>
      <c r="Y546" s="19" t="s">
        <v>32</v>
      </c>
      <c r="Z546" s="19" t="str">
        <f>A546 &amp; "-" &amp; VLOOKUP(A546,[4]PROGRAMMES!$E$1:$F$7,2,FALSE)</f>
        <v>2-Qualité des enseignements et des apprentissages</v>
      </c>
      <c r="AA546" s="19" t="str">
        <f>B546 &amp; "-" &amp; VLOOKUP(B546,[4]SOUSPROGRAMMES!$E$1:$F$44,2,FALSE)</f>
        <v>21- Révision/ adaptation des curricula/programmes (place des sciences ; franco-arabe, intégration de l’éducation à la citoyenneté, l'éducation complète à la sexualité, éducation environnementale…)</v>
      </c>
      <c r="AB546" s="19" t="str">
        <f>C546 &amp; "-" &amp; VLOOKUP(C546,[4]RESULTATS!$E$1:$F$176,2,FALSE)</f>
        <v>211- les contenus des programmes (du préscolaire, du primaire, 1er et second cycle du secondaire) sont progressivement révisés, adaptés et diversifiés</v>
      </c>
      <c r="AC546" s="20" t="str">
        <f>D546 &amp; "-" &amp; VLOOKUP(D546,[4]STRATEGIES!$E$1:$F$504,2,FALSE)</f>
        <v>2115-Introduction des approches innovantes dans le cursus scolaire</v>
      </c>
      <c r="AD546" s="21" t="str">
        <f t="shared" si="122"/>
        <v xml:space="preserve">21151-Révision des supports pédagogiques EGRA (guides et affiches) </v>
      </c>
    </row>
    <row r="547" spans="1:30" s="22" customFormat="1" ht="90" hidden="1" customHeight="1" x14ac:dyDescent="0.8">
      <c r="A547" s="14">
        <v>2</v>
      </c>
      <c r="B547" s="15">
        <v>21</v>
      </c>
      <c r="C547" s="15">
        <v>211</v>
      </c>
      <c r="D547" s="15">
        <v>2115</v>
      </c>
      <c r="E547" s="14">
        <v>21152</v>
      </c>
      <c r="F547" s="16" t="s">
        <v>691</v>
      </c>
      <c r="G547" s="21" t="s">
        <v>692</v>
      </c>
      <c r="H547" s="17" t="s">
        <v>693</v>
      </c>
      <c r="I547" s="56">
        <v>0</v>
      </c>
      <c r="J547" s="56"/>
      <c r="K547" s="56"/>
      <c r="L547" s="56"/>
      <c r="M547" s="56">
        <f t="shared" si="128"/>
        <v>0</v>
      </c>
      <c r="N547" s="56">
        <f>IF(OR(H547="",H547="sif",H547="PM"),0,VLOOKUP(H547,[5]CU!$C$4:$H$255,6,FALSE))</f>
        <v>891</v>
      </c>
      <c r="O547" s="56">
        <f t="shared" si="129"/>
        <v>0</v>
      </c>
      <c r="P547" s="56">
        <f t="shared" si="129"/>
        <v>0</v>
      </c>
      <c r="Q547" s="56">
        <f t="shared" si="129"/>
        <v>0</v>
      </c>
      <c r="R547" s="56">
        <f t="shared" si="129"/>
        <v>0</v>
      </c>
      <c r="S547" s="53">
        <f>SUM(O547:R547)</f>
        <v>0</v>
      </c>
      <c r="T547" s="23" t="s">
        <v>178</v>
      </c>
      <c r="U547" s="18" t="s">
        <v>647</v>
      </c>
      <c r="V547" s="19" t="str">
        <f>IF(OR($H547="",$H547="sif",$H547="PM"),"",VLOOKUP($H547,[5]CU!$C$5:$J$255,8,FALSE))</f>
        <v>3. Manuels scolaires et matériels pédagogiques</v>
      </c>
      <c r="W547" s="18" t="s">
        <v>347</v>
      </c>
      <c r="X547" s="18" t="s">
        <v>347</v>
      </c>
      <c r="Y547" s="19" t="s">
        <v>32</v>
      </c>
      <c r="Z547" s="19" t="str">
        <f>A547 &amp; "-" &amp; VLOOKUP(A547,[4]PROGRAMMES!$E$1:$F$7,2,FALSE)</f>
        <v>2-Qualité des enseignements et des apprentissages</v>
      </c>
      <c r="AA547" s="19" t="str">
        <f>B547 &amp; "-" &amp; VLOOKUP(B547,[4]SOUSPROGRAMMES!$E$1:$F$44,2,FALSE)</f>
        <v>21- Révision/ adaptation des curricula/programmes (place des sciences ; franco-arabe, intégration de l’éducation à la citoyenneté, l'éducation complète à la sexualité, éducation environnementale…)</v>
      </c>
      <c r="AB547" s="19" t="str">
        <f>C547 &amp; "-" &amp; VLOOKUP(C547,[4]RESULTATS!$E$1:$F$176,2,FALSE)</f>
        <v>211- les contenus des programmes (du préscolaire, du primaire, 1er et second cycle du secondaire) sont progressivement révisés, adaptés et diversifiés</v>
      </c>
      <c r="AC547" s="20" t="str">
        <f>D547 &amp; "-" &amp; VLOOKUP(D547,[4]STRATEGIES!$E$1:$F$504,2,FALSE)</f>
        <v>2115-Introduction des approches innovantes dans le cursus scolaire</v>
      </c>
      <c r="AD547" s="21" t="str">
        <f t="shared" si="122"/>
        <v>21152-réprographie et distribution du matériel pédagogique EGRA au enseignants et aux élèves</v>
      </c>
    </row>
    <row r="548" spans="1:30" s="22" customFormat="1" ht="90" customHeight="1" x14ac:dyDescent="0.8">
      <c r="A548" s="14">
        <v>2</v>
      </c>
      <c r="B548" s="15">
        <v>21</v>
      </c>
      <c r="C548" s="15">
        <v>211</v>
      </c>
      <c r="D548" s="15">
        <v>2115</v>
      </c>
      <c r="E548" s="14">
        <v>21153</v>
      </c>
      <c r="F548" s="16" t="s">
        <v>694</v>
      </c>
      <c r="G548" s="21" t="s">
        <v>436</v>
      </c>
      <c r="H548" s="17" t="s">
        <v>52</v>
      </c>
      <c r="I548" s="56">
        <v>0</v>
      </c>
      <c r="J548" s="56">
        <f>(600)*14.03%</f>
        <v>84.179999999999993</v>
      </c>
      <c r="K548" s="56">
        <f>900*14.03%</f>
        <v>126.26999999999998</v>
      </c>
      <c r="L548" s="56">
        <f>1200*14.03%</f>
        <v>168.35999999999999</v>
      </c>
      <c r="M548" s="56">
        <f t="shared" si="128"/>
        <v>378.80999999999995</v>
      </c>
      <c r="N548" s="56">
        <f>IF(OR(H548="",H548="sif",H548="PM"),0,VLOOKUP(H548,[5]CU!$C$4:$H$255,6,FALSE))</f>
        <v>1.5</v>
      </c>
      <c r="O548" s="56">
        <f t="shared" si="129"/>
        <v>0</v>
      </c>
      <c r="P548" s="56">
        <f t="shared" si="129"/>
        <v>126.26999999999998</v>
      </c>
      <c r="Q548" s="56">
        <f t="shared" si="129"/>
        <v>189.40499999999997</v>
      </c>
      <c r="R548" s="56">
        <f t="shared" si="129"/>
        <v>252.53999999999996</v>
      </c>
      <c r="S548" s="53">
        <f>SUM(O548:R548)</f>
        <v>568.21499999999992</v>
      </c>
      <c r="T548" s="23" t="s">
        <v>39</v>
      </c>
      <c r="U548" s="19" t="s">
        <v>647</v>
      </c>
      <c r="V548" s="19" t="str">
        <f>IF(OR($H548="",$H548="sif",$H548="PM"),"",VLOOKUP($H548,[5]CU!$C$5:$J$255,8,FALSE))</f>
        <v>3. Formation</v>
      </c>
      <c r="W548" s="19" t="s">
        <v>347</v>
      </c>
      <c r="X548" s="19" t="s">
        <v>347</v>
      </c>
      <c r="Y548" s="19" t="s">
        <v>32</v>
      </c>
      <c r="Z548" s="19" t="str">
        <f>A548 &amp; "-" &amp; VLOOKUP(A548,[4]PROGRAMMES!$E$1:$F$7,2,FALSE)</f>
        <v>2-Qualité des enseignements et des apprentissages</v>
      </c>
      <c r="AA548" s="19" t="str">
        <f>B548 &amp; "-" &amp; VLOOKUP(B548,[4]SOUSPROGRAMMES!$E$1:$F$44,2,FALSE)</f>
        <v>21- Révision/ adaptation des curricula/programmes (place des sciences ; franco-arabe, intégration de l’éducation à la citoyenneté, l'éducation complète à la sexualité, éducation environnementale…)</v>
      </c>
      <c r="AB548" s="19" t="str">
        <f>C548 &amp; "-" &amp; VLOOKUP(C548,[4]RESULTATS!$E$1:$F$176,2,FALSE)</f>
        <v>211- les contenus des programmes (du préscolaire, du primaire, 1er et second cycle du secondaire) sont progressivement révisés, adaptés et diversifiés</v>
      </c>
      <c r="AC548" s="20" t="str">
        <f>D548 &amp; "-" &amp; VLOOKUP(D548,[4]STRATEGIES!$E$1:$F$504,2,FALSE)</f>
        <v>2115-Introduction des approches innovantes dans le cursus scolaire</v>
      </c>
      <c r="AD548" s="21" t="str">
        <f t="shared" si="122"/>
        <v>21153-Formation des enseignants, encadreurs, représentants APEAE sur les techniques d'enseignement et d'apprentissage de la lecture au primaire</v>
      </c>
    </row>
    <row r="549" spans="1:30" s="22" customFormat="1" ht="90" customHeight="1" x14ac:dyDescent="0.8">
      <c r="A549" s="14">
        <v>2</v>
      </c>
      <c r="B549" s="15">
        <v>21</v>
      </c>
      <c r="C549" s="15">
        <v>211</v>
      </c>
      <c r="D549" s="15">
        <v>2115</v>
      </c>
      <c r="E549" s="14">
        <v>21153</v>
      </c>
      <c r="F549" s="16" t="s">
        <v>694</v>
      </c>
      <c r="G549" s="21" t="s">
        <v>436</v>
      </c>
      <c r="H549" s="17" t="s">
        <v>52</v>
      </c>
      <c r="I549" s="56">
        <v>0</v>
      </c>
      <c r="J549" s="56">
        <f>(600)*12.73%</f>
        <v>76.38</v>
      </c>
      <c r="K549" s="56">
        <f>900*12.73%</f>
        <v>114.57</v>
      </c>
      <c r="L549" s="56">
        <f>1200*12.73%</f>
        <v>152.76</v>
      </c>
      <c r="M549" s="56">
        <f>SUM(I549:L549)</f>
        <v>343.71</v>
      </c>
      <c r="N549" s="56">
        <f>IF(OR(H549="",H549="sif",H549="PM"),0,VLOOKUP(H549,[5]CU!$C$4:$H$255,6,FALSE))</f>
        <v>1.5</v>
      </c>
      <c r="O549" s="56">
        <f>$N549*I549</f>
        <v>0</v>
      </c>
      <c r="P549" s="56">
        <f>$N549*J549</f>
        <v>114.57</v>
      </c>
      <c r="Q549" s="56">
        <f>$N549*K549</f>
        <v>171.85499999999999</v>
      </c>
      <c r="R549" s="56">
        <f>$N549*L549</f>
        <v>229.14</v>
      </c>
      <c r="S549" s="53">
        <f>SUM(O549:R549)</f>
        <v>515.56499999999994</v>
      </c>
      <c r="T549" s="23" t="s">
        <v>221</v>
      </c>
      <c r="U549" s="19" t="s">
        <v>647</v>
      </c>
      <c r="V549" s="19" t="str">
        <f>IF(OR($H549="",$H549="sif",$H549="PM"),"",VLOOKUP($H549,[5]CU!$C$5:$J$255,8,FALSE))</f>
        <v>3. Formation</v>
      </c>
      <c r="W549" s="19" t="s">
        <v>347</v>
      </c>
      <c r="X549" s="19" t="s">
        <v>347</v>
      </c>
      <c r="Y549" s="19" t="s">
        <v>32</v>
      </c>
      <c r="Z549" s="19" t="str">
        <f>A549 &amp; "-" &amp; VLOOKUP(A549,[4]PROGRAMMES!$E$1:$F$7,2,FALSE)</f>
        <v>2-Qualité des enseignements et des apprentissages</v>
      </c>
      <c r="AA549" s="19" t="str">
        <f>B549 &amp; "-" &amp; VLOOKUP(B549,[4]SOUSPROGRAMMES!$E$1:$F$44,2,FALSE)</f>
        <v>21- Révision/ adaptation des curricula/programmes (place des sciences ; franco-arabe, intégration de l’éducation à la citoyenneté, l'éducation complète à la sexualité, éducation environnementale…)</v>
      </c>
      <c r="AB549" s="19" t="str">
        <f>C549 &amp; "-" &amp; VLOOKUP(C549,[4]RESULTATS!$E$1:$F$176,2,FALSE)</f>
        <v>211- les contenus des programmes (du préscolaire, du primaire, 1er et second cycle du secondaire) sont progressivement révisés, adaptés et diversifiés</v>
      </c>
      <c r="AC549" s="20" t="str">
        <f>D549 &amp; "-" &amp; VLOOKUP(D549,[4]STRATEGIES!$E$1:$F$504,2,FALSE)</f>
        <v>2115-Introduction des approches innovantes dans le cursus scolaire</v>
      </c>
      <c r="AD549" s="21" t="str">
        <f t="shared" si="122"/>
        <v>21153-Formation des enseignants, encadreurs, représentants APEAE sur les techniques d'enseignement et d'apprentissage de la lecture au primaire</v>
      </c>
    </row>
    <row r="550" spans="1:30" s="22" customFormat="1" ht="90" customHeight="1" x14ac:dyDescent="0.8">
      <c r="A550" s="14">
        <v>2</v>
      </c>
      <c r="B550" s="15">
        <v>21</v>
      </c>
      <c r="C550" s="15">
        <v>211</v>
      </c>
      <c r="D550" s="15">
        <v>2115</v>
      </c>
      <c r="E550" s="14">
        <v>21153</v>
      </c>
      <c r="F550" s="16" t="s">
        <v>694</v>
      </c>
      <c r="G550" s="21" t="s">
        <v>436</v>
      </c>
      <c r="H550" s="17" t="s">
        <v>52</v>
      </c>
      <c r="I550" s="56">
        <v>0</v>
      </c>
      <c r="J550" s="56">
        <f>(600)*73.24%</f>
        <v>439.43999999999994</v>
      </c>
      <c r="K550" s="56">
        <f>900*73.24%</f>
        <v>659.16</v>
      </c>
      <c r="L550" s="56">
        <f>1200*73.24%</f>
        <v>878.87999999999988</v>
      </c>
      <c r="M550" s="56">
        <f t="shared" si="128"/>
        <v>1977.4799999999998</v>
      </c>
      <c r="N550" s="56">
        <f>IF(OR(H550="",H550="sif",H550="PM"),0,VLOOKUP(H550,[5]CU!$C$4:$H$255,6,FALSE))</f>
        <v>1.5</v>
      </c>
      <c r="O550" s="56">
        <f t="shared" si="129"/>
        <v>0</v>
      </c>
      <c r="P550" s="56">
        <f t="shared" si="129"/>
        <v>659.15999999999985</v>
      </c>
      <c r="Q550" s="56">
        <f t="shared" si="129"/>
        <v>988.74</v>
      </c>
      <c r="R550" s="56">
        <f t="shared" si="129"/>
        <v>1318.3199999999997</v>
      </c>
      <c r="S550" s="53">
        <f>SUM(O550:R550)</f>
        <v>2966.2199999999993</v>
      </c>
      <c r="T550" s="23" t="s">
        <v>39</v>
      </c>
      <c r="U550" s="19" t="s">
        <v>647</v>
      </c>
      <c r="V550" s="19" t="str">
        <f>IF(OR($H550="",$H550="sif",$H550="PM"),"",VLOOKUP($H550,[5]CU!$C$5:$J$255,8,FALSE))</f>
        <v>3. Formation</v>
      </c>
      <c r="W550" s="19" t="s">
        <v>347</v>
      </c>
      <c r="X550" s="19" t="s">
        <v>347</v>
      </c>
      <c r="Y550" s="19" t="s">
        <v>32</v>
      </c>
      <c r="Z550" s="19" t="str">
        <f>A550 &amp; "-" &amp; VLOOKUP(A550,[4]PROGRAMMES!$E$1:$F$7,2,FALSE)</f>
        <v>2-Qualité des enseignements et des apprentissages</v>
      </c>
      <c r="AA550" s="19" t="str">
        <f>B550 &amp; "-" &amp; VLOOKUP(B550,[4]SOUSPROGRAMMES!$E$1:$F$44,2,FALSE)</f>
        <v>21- Révision/ adaptation des curricula/programmes (place des sciences ; franco-arabe, intégration de l’éducation à la citoyenneté, l'éducation complète à la sexualité, éducation environnementale…)</v>
      </c>
      <c r="AB550" s="19" t="str">
        <f>C550 &amp; "-" &amp; VLOOKUP(C550,[4]RESULTATS!$E$1:$F$176,2,FALSE)</f>
        <v>211- les contenus des programmes (du préscolaire, du primaire, 1er et second cycle du secondaire) sont progressivement révisés, adaptés et diversifiés</v>
      </c>
      <c r="AC550" s="20" t="str">
        <f>D550 &amp; "-" &amp; VLOOKUP(D550,[4]STRATEGIES!$E$1:$F$504,2,FALSE)</f>
        <v>2115-Introduction des approches innovantes dans le cursus scolaire</v>
      </c>
      <c r="AD550" s="21" t="str">
        <f t="shared" si="122"/>
        <v>21153-Formation des enseignants, encadreurs, représentants APEAE sur les techniques d'enseignement et d'apprentissage de la lecture au primaire</v>
      </c>
    </row>
    <row r="551" spans="1:30" s="22" customFormat="1" ht="15" customHeight="1" x14ac:dyDescent="0.8">
      <c r="A551" s="14">
        <v>2</v>
      </c>
      <c r="B551" s="15">
        <v>22</v>
      </c>
      <c r="C551" s="15">
        <v>22</v>
      </c>
      <c r="D551" s="15">
        <v>22</v>
      </c>
      <c r="E551" s="14">
        <v>22</v>
      </c>
      <c r="F551" s="16" t="s">
        <v>695</v>
      </c>
      <c r="G551" s="17"/>
      <c r="H551" s="17"/>
      <c r="I551" s="56">
        <v>0</v>
      </c>
      <c r="J551" s="56"/>
      <c r="K551" s="56"/>
      <c r="L551" s="56"/>
      <c r="M551" s="56"/>
      <c r="N551" s="56"/>
      <c r="O551" s="56"/>
      <c r="P551" s="56"/>
      <c r="Q551" s="56"/>
      <c r="R551" s="56"/>
      <c r="S551" s="53"/>
      <c r="T551" s="18"/>
      <c r="U551" s="18"/>
      <c r="V551" s="19"/>
      <c r="W551" s="18"/>
      <c r="X551" s="18"/>
      <c r="Y551" s="19" t="s">
        <v>32</v>
      </c>
      <c r="Z551" s="19" t="str">
        <f>A551 &amp; "-" &amp; VLOOKUP(A551,[4]PROGRAMMES!$E$1:$F$7,2,FALSE)</f>
        <v>2-Qualité des enseignements et des apprentissages</v>
      </c>
      <c r="AA551" s="19" t="str">
        <f>B551 &amp; "-" &amp; VLOOKUP(B551,[4]SOUSPROGRAMMES!$E$1:$F$44,2,FALSE)</f>
        <v>22- Diversification des filière au lycée</v>
      </c>
      <c r="AB551" s="19" t="str">
        <f>C551 &amp; "-" &amp; VLOOKUP(C551,[4]RESULTATS!$E$1:$F$176,2,FALSE)</f>
        <v>22- Diversification des filière au lycée</v>
      </c>
      <c r="AC551" s="20" t="str">
        <f>D551 &amp; "-" &amp; VLOOKUP(D551,[4]STRATEGIES!$E$1:$F$504,2,FALSE)</f>
        <v>22- Diversification des filière au lycée</v>
      </c>
      <c r="AD551" s="21" t="str">
        <f t="shared" si="122"/>
        <v>22- Diversification des filière au lycée</v>
      </c>
    </row>
    <row r="552" spans="1:30" s="22" customFormat="1" ht="30" customHeight="1" x14ac:dyDescent="0.8">
      <c r="A552" s="14">
        <v>2</v>
      </c>
      <c r="B552" s="15">
        <v>22</v>
      </c>
      <c r="C552" s="15">
        <v>221</v>
      </c>
      <c r="D552" s="15">
        <v>221</v>
      </c>
      <c r="E552" s="14">
        <v>221</v>
      </c>
      <c r="F552" s="16" t="s">
        <v>696</v>
      </c>
      <c r="G552" s="17"/>
      <c r="H552" s="17"/>
      <c r="I552" s="56">
        <v>0</v>
      </c>
      <c r="J552" s="56"/>
      <c r="K552" s="56"/>
      <c r="L552" s="56"/>
      <c r="M552" s="56"/>
      <c r="N552" s="56"/>
      <c r="O552" s="56"/>
      <c r="P552" s="56"/>
      <c r="Q552" s="56"/>
      <c r="R552" s="56"/>
      <c r="S552" s="53"/>
      <c r="T552" s="18"/>
      <c r="U552" s="18"/>
      <c r="V552" s="19"/>
      <c r="W552" s="18"/>
      <c r="X552" s="18"/>
      <c r="Y552" s="19" t="s">
        <v>32</v>
      </c>
      <c r="Z552" s="19" t="str">
        <f>A552 &amp; "-" &amp; VLOOKUP(A552,[4]PROGRAMMES!$E$1:$F$7,2,FALSE)</f>
        <v>2-Qualité des enseignements et des apprentissages</v>
      </c>
      <c r="AA552" s="19" t="str">
        <f>B552 &amp; "-" &amp; VLOOKUP(B552,[4]SOUSPROGRAMMES!$E$1:$F$44,2,FALSE)</f>
        <v>22- Diversification des filière au lycée</v>
      </c>
      <c r="AB552" s="19" t="str">
        <f>C552 &amp; "-" &amp; VLOOKUP(C552,[4]RESULTATS!$E$1:$F$176,2,FALSE)</f>
        <v>221- Les nouvelles filières de formation au lycée sont introduites</v>
      </c>
      <c r="AC552" s="20" t="str">
        <f>D552 &amp; "-" &amp; VLOOKUP(D552,[4]STRATEGIES!$E$1:$F$504,2,FALSE)</f>
        <v>221- Les nouvelles filières de formation au lycée sont introduites</v>
      </c>
      <c r="AD552" s="21" t="str">
        <f t="shared" si="122"/>
        <v>221- Les nouvelles filières de formation au lycée sont introduites</v>
      </c>
    </row>
    <row r="553" spans="1:30" s="22" customFormat="1" ht="30" customHeight="1" x14ac:dyDescent="0.8">
      <c r="A553" s="14">
        <v>2</v>
      </c>
      <c r="B553" s="15">
        <v>22</v>
      </c>
      <c r="C553" s="15">
        <v>221</v>
      </c>
      <c r="D553" s="15">
        <v>2211</v>
      </c>
      <c r="E553" s="14">
        <v>2211</v>
      </c>
      <c r="F553" s="16" t="s">
        <v>697</v>
      </c>
      <c r="G553" s="17"/>
      <c r="H553" s="17"/>
      <c r="I553" s="56">
        <v>0</v>
      </c>
      <c r="J553" s="56"/>
      <c r="K553" s="56"/>
      <c r="L553" s="56"/>
      <c r="M553" s="56"/>
      <c r="N553" s="56"/>
      <c r="O553" s="56"/>
      <c r="P553" s="56"/>
      <c r="Q553" s="56"/>
      <c r="R553" s="56"/>
      <c r="S553" s="53"/>
      <c r="T553" s="18"/>
      <c r="U553" s="18"/>
      <c r="V553" s="19"/>
      <c r="W553" s="18"/>
      <c r="X553" s="18"/>
      <c r="Y553" s="19" t="s">
        <v>32</v>
      </c>
      <c r="Z553" s="19" t="str">
        <f>A553 &amp; "-" &amp; VLOOKUP(A553,[4]PROGRAMMES!$E$1:$F$7,2,FALSE)</f>
        <v>2-Qualité des enseignements et des apprentissages</v>
      </c>
      <c r="AA553" s="19" t="str">
        <f>B553 &amp; "-" &amp; VLOOKUP(B553,[4]SOUSPROGRAMMES!$E$1:$F$44,2,FALSE)</f>
        <v>22- Diversification des filière au lycée</v>
      </c>
      <c r="AB553" s="19" t="str">
        <f>C553 &amp; "-" &amp; VLOOKUP(C553,[4]RESULTATS!$E$1:$F$176,2,FALSE)</f>
        <v>221- Les nouvelles filières de formation au lycée sont introduites</v>
      </c>
      <c r="AC553" s="20" t="str">
        <f>D553 &amp; "-" &amp; VLOOKUP(D553,[4]STRATEGIES!$E$1:$F$504,2,FALSE)</f>
        <v>2211-Choix et expériementation des filières d’enseignement au lycée</v>
      </c>
      <c r="AD553" s="21" t="str">
        <f t="shared" si="122"/>
        <v>2211-Choix et expériementation des filières d’enseignement au lycée</v>
      </c>
    </row>
    <row r="554" spans="1:30" s="22" customFormat="1" ht="30" hidden="1" customHeight="1" x14ac:dyDescent="0.8">
      <c r="A554" s="14">
        <v>2</v>
      </c>
      <c r="B554" s="15">
        <v>22</v>
      </c>
      <c r="C554" s="15">
        <v>221</v>
      </c>
      <c r="D554" s="15">
        <v>2211</v>
      </c>
      <c r="E554" s="14">
        <v>22111</v>
      </c>
      <c r="F554" s="16" t="s">
        <v>698</v>
      </c>
      <c r="G554" s="21" t="s">
        <v>660</v>
      </c>
      <c r="H554" s="17" t="s">
        <v>55</v>
      </c>
      <c r="I554" s="56">
        <v>0</v>
      </c>
      <c r="J554" s="56">
        <v>1</v>
      </c>
      <c r="K554" s="56"/>
      <c r="L554" s="56"/>
      <c r="M554" s="56">
        <f t="shared" si="128"/>
        <v>1</v>
      </c>
      <c r="N554" s="56">
        <f>IF(OR(H554="",H554="sif",H554="PM"),0,VLOOKUP(H554,[5]CU!$C$4:$H$255,6,FALSE))</f>
        <v>0</v>
      </c>
      <c r="O554" s="56"/>
      <c r="P554" s="56"/>
      <c r="Q554" s="56"/>
      <c r="R554" s="56"/>
      <c r="S554" s="53"/>
      <c r="T554" s="23" t="s">
        <v>56</v>
      </c>
      <c r="U554" s="18" t="s">
        <v>529</v>
      </c>
      <c r="V554" s="19" t="str">
        <f>IF(OR($H554="",$H554="sif",$H554="PM"),"",VLOOKUP($H554,[5]CU!$C$5:$J$255,8,FALSE))</f>
        <v/>
      </c>
      <c r="W554" s="18" t="s">
        <v>255</v>
      </c>
      <c r="X554" s="18" t="s">
        <v>398</v>
      </c>
      <c r="Y554" s="19" t="s">
        <v>32</v>
      </c>
      <c r="Z554" s="19" t="str">
        <f>A554 &amp; "-" &amp; VLOOKUP(A554,[4]PROGRAMMES!$E$1:$F$7,2,FALSE)</f>
        <v>2-Qualité des enseignements et des apprentissages</v>
      </c>
      <c r="AA554" s="19" t="str">
        <f>B554 &amp; "-" &amp; VLOOKUP(B554,[4]SOUSPROGRAMMES!$E$1:$F$44,2,FALSE)</f>
        <v>22- Diversification des filière au lycée</v>
      </c>
      <c r="AB554" s="19" t="str">
        <f>C554 &amp; "-" &amp; VLOOKUP(C554,[4]RESULTATS!$E$1:$F$176,2,FALSE)</f>
        <v>221- Les nouvelles filières de formation au lycée sont introduites</v>
      </c>
      <c r="AC554" s="20" t="str">
        <f>D554 &amp; "-" &amp; VLOOKUP(D554,[4]STRATEGIES!$E$1:$F$504,2,FALSE)</f>
        <v>2211-Choix et expériementation des filières d’enseignement au lycée</v>
      </c>
      <c r="AD554" s="21" t="str">
        <f t="shared" si="122"/>
        <v>22111-Identification et mise place d'une équipe technique chargée de l'implantation des filières</v>
      </c>
    </row>
    <row r="555" spans="1:30" s="22" customFormat="1" ht="30" hidden="1" customHeight="1" x14ac:dyDescent="0.8">
      <c r="A555" s="14">
        <v>2</v>
      </c>
      <c r="B555" s="15">
        <v>22</v>
      </c>
      <c r="C555" s="15">
        <v>221</v>
      </c>
      <c r="D555" s="15">
        <v>2211</v>
      </c>
      <c r="E555" s="14">
        <v>22112</v>
      </c>
      <c r="F555" s="16" t="s">
        <v>699</v>
      </c>
      <c r="G555" s="21" t="s">
        <v>92</v>
      </c>
      <c r="H555" s="17" t="s">
        <v>55</v>
      </c>
      <c r="I555" s="56">
        <v>0</v>
      </c>
      <c r="J555" s="56">
        <v>1</v>
      </c>
      <c r="K555" s="56"/>
      <c r="L555" s="56"/>
      <c r="M555" s="56">
        <f t="shared" si="128"/>
        <v>1</v>
      </c>
      <c r="N555" s="56">
        <f>IF(OR(H555="",H555="sif",H555="PM"),0,VLOOKUP(H555,[5]CU!$C$4:$H$255,6,FALSE))</f>
        <v>0</v>
      </c>
      <c r="O555" s="56"/>
      <c r="P555" s="56"/>
      <c r="Q555" s="56"/>
      <c r="R555" s="56"/>
      <c r="S555" s="53"/>
      <c r="T555" s="23" t="s">
        <v>56</v>
      </c>
      <c r="U555" s="18" t="s">
        <v>529</v>
      </c>
      <c r="V555" s="19" t="str">
        <f>IF(OR($H555="",$H555="sif",$H555="PM"),"",VLOOKUP($H555,[5]CU!$C$5:$J$255,8,FALSE))</f>
        <v/>
      </c>
      <c r="W555" s="18" t="s">
        <v>398</v>
      </c>
      <c r="X555" s="18" t="s">
        <v>347</v>
      </c>
      <c r="Y555" s="19" t="s">
        <v>32</v>
      </c>
      <c r="Z555" s="19" t="str">
        <f>A555 &amp; "-" &amp; VLOOKUP(A555,[4]PROGRAMMES!$E$1:$F$7,2,FALSE)</f>
        <v>2-Qualité des enseignements et des apprentissages</v>
      </c>
      <c r="AA555" s="19" t="str">
        <f>B555 &amp; "-" &amp; VLOOKUP(B555,[4]SOUSPROGRAMMES!$E$1:$F$44,2,FALSE)</f>
        <v>22- Diversification des filière au lycée</v>
      </c>
      <c r="AB555" s="19" t="str">
        <f>C555 &amp; "-" &amp; VLOOKUP(C555,[4]RESULTATS!$E$1:$F$176,2,FALSE)</f>
        <v>221- Les nouvelles filières de formation au lycée sont introduites</v>
      </c>
      <c r="AC555" s="20" t="str">
        <f>D555 &amp; "-" &amp; VLOOKUP(D555,[4]STRATEGIES!$E$1:$F$504,2,FALSE)</f>
        <v>2211-Choix et expériementation des filières d’enseignement au lycée</v>
      </c>
      <c r="AD555" s="21" t="str">
        <f t="shared" si="122"/>
        <v xml:space="preserve">22112-Elaboration des profils de sortie et du cahier de charges avec DNESGT et l'IGE (pris en charge dans activité 21113) </v>
      </c>
    </row>
    <row r="556" spans="1:30" s="22" customFormat="1" ht="45" hidden="1" customHeight="1" x14ac:dyDescent="0.8">
      <c r="A556" s="14">
        <v>2</v>
      </c>
      <c r="B556" s="15">
        <v>22</v>
      </c>
      <c r="C556" s="15">
        <v>221</v>
      </c>
      <c r="D556" s="15">
        <v>2211</v>
      </c>
      <c r="E556" s="14">
        <v>22113</v>
      </c>
      <c r="F556" s="16" t="s">
        <v>700</v>
      </c>
      <c r="G556" s="21" t="s">
        <v>88</v>
      </c>
      <c r="H556" s="17" t="s">
        <v>55</v>
      </c>
      <c r="I556" s="56">
        <v>0</v>
      </c>
      <c r="J556" s="56"/>
      <c r="K556" s="56">
        <v>1</v>
      </c>
      <c r="L556" s="56">
        <v>1</v>
      </c>
      <c r="M556" s="56">
        <f t="shared" si="128"/>
        <v>2</v>
      </c>
      <c r="N556" s="56">
        <f>IF(OR(H556="",H556="sif",H556="PM"),0,VLOOKUP(H556,[5]CU!$C$4:$H$255,6,FALSE))</f>
        <v>0</v>
      </c>
      <c r="O556" s="56"/>
      <c r="P556" s="56"/>
      <c r="Q556" s="56"/>
      <c r="R556" s="56"/>
      <c r="S556" s="53"/>
      <c r="T556" s="23" t="s">
        <v>56</v>
      </c>
      <c r="U556" s="18" t="s">
        <v>529</v>
      </c>
      <c r="V556" s="19" t="str">
        <f>IF(OR($H556="",$H556="sif",$H556="PM"),"",VLOOKUP($H556,[5]CU!$C$5:$J$255,8,FALSE))</f>
        <v/>
      </c>
      <c r="W556" s="18" t="s">
        <v>398</v>
      </c>
      <c r="X556" s="18" t="s">
        <v>347</v>
      </c>
      <c r="Y556" s="19" t="s">
        <v>32</v>
      </c>
      <c r="Z556" s="19" t="str">
        <f>A556 &amp; "-" &amp; VLOOKUP(A556,[4]PROGRAMMES!$E$1:$F$7,2,FALSE)</f>
        <v>2-Qualité des enseignements et des apprentissages</v>
      </c>
      <c r="AA556" s="19" t="str">
        <f>B556 &amp; "-" &amp; VLOOKUP(B556,[4]SOUSPROGRAMMES!$E$1:$F$44,2,FALSE)</f>
        <v>22- Diversification des filière au lycée</v>
      </c>
      <c r="AB556" s="19" t="str">
        <f>C556 &amp; "-" &amp; VLOOKUP(C556,[4]RESULTATS!$E$1:$F$176,2,FALSE)</f>
        <v>221- Les nouvelles filières de formation au lycée sont introduites</v>
      </c>
      <c r="AC556" s="20" t="str">
        <f>D556 &amp; "-" &amp; VLOOKUP(D556,[4]STRATEGIES!$E$1:$F$504,2,FALSE)</f>
        <v>2211-Choix et expériementation des filières d’enseignement au lycée</v>
      </c>
      <c r="AD556" s="21" t="str">
        <f t="shared" si="122"/>
        <v xml:space="preserve">22113-Spécification des matériels/équipements nécessaires pour les lycées expérimentaux avec la DNESGT (pris en compte dans activité 21125) </v>
      </c>
    </row>
    <row r="557" spans="1:30" s="22" customFormat="1" ht="30" customHeight="1" x14ac:dyDescent="0.8">
      <c r="A557" s="14">
        <v>2</v>
      </c>
      <c r="B557" s="15">
        <v>22</v>
      </c>
      <c r="C557" s="15">
        <v>221</v>
      </c>
      <c r="D557" s="15">
        <v>2212</v>
      </c>
      <c r="E557" s="14">
        <v>2212</v>
      </c>
      <c r="F557" s="16" t="s">
        <v>701</v>
      </c>
      <c r="G557" s="17"/>
      <c r="H557" s="17"/>
      <c r="I557" s="56">
        <v>0</v>
      </c>
      <c r="J557" s="56"/>
      <c r="K557" s="56"/>
      <c r="L557" s="56"/>
      <c r="M557" s="56"/>
      <c r="N557" s="56"/>
      <c r="O557" s="56"/>
      <c r="P557" s="56"/>
      <c r="Q557" s="56"/>
      <c r="R557" s="56"/>
      <c r="S557" s="53"/>
      <c r="T557" s="18"/>
      <c r="U557" s="18"/>
      <c r="V557" s="19"/>
      <c r="W557" s="18"/>
      <c r="X557" s="18"/>
      <c r="Y557" s="19" t="s">
        <v>32</v>
      </c>
      <c r="Z557" s="19" t="str">
        <f>A557 &amp; "-" &amp; VLOOKUP(A557,[4]PROGRAMMES!$E$1:$F$7,2,FALSE)</f>
        <v>2-Qualité des enseignements et des apprentissages</v>
      </c>
      <c r="AA557" s="19" t="str">
        <f>B557 &amp; "-" &amp; VLOOKUP(B557,[4]SOUSPROGRAMMES!$E$1:$F$44,2,FALSE)</f>
        <v>22- Diversification des filière au lycée</v>
      </c>
      <c r="AB557" s="19" t="str">
        <f>C557 &amp; "-" &amp; VLOOKUP(C557,[4]RESULTATS!$E$1:$F$176,2,FALSE)</f>
        <v>221- Les nouvelles filières de formation au lycée sont introduites</v>
      </c>
      <c r="AC557" s="20" t="str">
        <f>D557 &amp; "-" &amp; VLOOKUP(D557,[4]STRATEGIES!$E$1:$F$504,2,FALSE)</f>
        <v>2212-expérimentaion des filières choisies</v>
      </c>
      <c r="AD557" s="21" t="str">
        <f t="shared" si="122"/>
        <v>2212-expérimentaion des filières choisies</v>
      </c>
    </row>
    <row r="558" spans="1:30" s="22" customFormat="1" ht="30" hidden="1" customHeight="1" x14ac:dyDescent="0.8">
      <c r="A558" s="14">
        <v>2</v>
      </c>
      <c r="B558" s="15">
        <v>22</v>
      </c>
      <c r="C558" s="15">
        <v>221</v>
      </c>
      <c r="D558" s="15">
        <v>2212</v>
      </c>
      <c r="E558" s="14"/>
      <c r="F558" s="16" t="s">
        <v>684</v>
      </c>
      <c r="G558" s="21"/>
      <c r="H558" s="17"/>
      <c r="I558" s="56">
        <v>0</v>
      </c>
      <c r="J558" s="56"/>
      <c r="K558" s="56"/>
      <c r="L558" s="56"/>
      <c r="M558" s="56"/>
      <c r="N558" s="56" t="str">
        <f>IF(OR(H558="",H558="sif",H558="PM"),"",VLOOKUP(H558,[5]CU!$C$4:$H$255,6,FALSE))</f>
        <v/>
      </c>
      <c r="O558" s="56"/>
      <c r="P558" s="56"/>
      <c r="Q558" s="56"/>
      <c r="R558" s="56"/>
      <c r="S558" s="53"/>
      <c r="T558" s="23" t="s">
        <v>56</v>
      </c>
      <c r="U558" s="18" t="s">
        <v>529</v>
      </c>
      <c r="V558" s="19" t="str">
        <f>IF(OR($H558="",$H558="sif",$H558="PM"),"",VLOOKUP($H558,[5]CU!$C$5:$J$255,8,FALSE))</f>
        <v/>
      </c>
      <c r="W558" s="18"/>
      <c r="X558" s="18"/>
      <c r="Y558" s="19" t="s">
        <v>32</v>
      </c>
      <c r="Z558" s="19" t="str">
        <f>A558 &amp; "-" &amp; VLOOKUP(A558,[4]PROGRAMMES!$E$1:$F$7,2,FALSE)</f>
        <v>2-Qualité des enseignements et des apprentissages</v>
      </c>
      <c r="AA558" s="19" t="str">
        <f>B558 &amp; "-" &amp; VLOOKUP(B558,[4]SOUSPROGRAMMES!$E$1:$F$44,2,FALSE)</f>
        <v>22- Diversification des filière au lycée</v>
      </c>
      <c r="AB558" s="19" t="str">
        <f>C558 &amp; "-" &amp; VLOOKUP(C558,[4]RESULTATS!$E$1:$F$176,2,FALSE)</f>
        <v>221- Les nouvelles filières de formation au lycée sont introduites</v>
      </c>
      <c r="AC558" s="20" t="str">
        <f>D558 &amp; "-" &amp; VLOOKUP(D558,[4]STRATEGIES!$E$1:$F$504,2,FALSE)</f>
        <v>2212-expérimentaion des filières choisies</v>
      </c>
      <c r="AD558" s="21" t="str">
        <f t="shared" si="122"/>
        <v>-PM à intégrer dans la seconde phase de mise en œuvre du PRODEG</v>
      </c>
    </row>
    <row r="559" spans="1:30" s="22" customFormat="1" ht="30" customHeight="1" x14ac:dyDescent="0.8">
      <c r="A559" s="14">
        <v>2</v>
      </c>
      <c r="B559" s="15">
        <v>22</v>
      </c>
      <c r="C559" s="15">
        <v>221</v>
      </c>
      <c r="D559" s="15">
        <v>2213</v>
      </c>
      <c r="E559" s="14">
        <v>2213</v>
      </c>
      <c r="F559" s="16" t="s">
        <v>702</v>
      </c>
      <c r="G559" s="17"/>
      <c r="H559" s="17"/>
      <c r="I559" s="56">
        <v>0</v>
      </c>
      <c r="J559" s="56"/>
      <c r="K559" s="56"/>
      <c r="L559" s="56"/>
      <c r="M559" s="56"/>
      <c r="N559" s="56"/>
      <c r="O559" s="56"/>
      <c r="P559" s="56"/>
      <c r="Q559" s="56"/>
      <c r="R559" s="56"/>
      <c r="S559" s="53"/>
      <c r="T559" s="18"/>
      <c r="U559" s="18"/>
      <c r="V559" s="19"/>
      <c r="W559" s="18"/>
      <c r="X559" s="18"/>
      <c r="Y559" s="19" t="s">
        <v>32</v>
      </c>
      <c r="Z559" s="19" t="str">
        <f>A559 &amp; "-" &amp; VLOOKUP(A559,[4]PROGRAMMES!$E$1:$F$7,2,FALSE)</f>
        <v>2-Qualité des enseignements et des apprentissages</v>
      </c>
      <c r="AA559" s="19" t="str">
        <f>B559 &amp; "-" &amp; VLOOKUP(B559,[4]SOUSPROGRAMMES!$E$1:$F$44,2,FALSE)</f>
        <v>22- Diversification des filière au lycée</v>
      </c>
      <c r="AB559" s="19" t="str">
        <f>C559 &amp; "-" &amp; VLOOKUP(C559,[4]RESULTATS!$E$1:$F$176,2,FALSE)</f>
        <v>221- Les nouvelles filières de formation au lycée sont introduites</v>
      </c>
      <c r="AC559" s="20" t="str">
        <f>D559 &amp; "-" &amp; VLOOKUP(D559,[4]STRATEGIES!$E$1:$F$504,2,FALSE)</f>
        <v>2213-Elaboration et validation d'un plan d'action opérationnel pour l'implantation progressive des filiéres</v>
      </c>
      <c r="AD559" s="21" t="str">
        <f t="shared" si="122"/>
        <v>2213-Elaboration et validation d'un plan d'action opérationnel pour l'implantation progressive des filiéres</v>
      </c>
    </row>
    <row r="560" spans="1:30" s="22" customFormat="1" ht="30" hidden="1" customHeight="1" x14ac:dyDescent="0.8">
      <c r="A560" s="14">
        <v>2</v>
      </c>
      <c r="B560" s="15">
        <v>22</v>
      </c>
      <c r="C560" s="15">
        <v>221</v>
      </c>
      <c r="D560" s="15">
        <v>2213</v>
      </c>
      <c r="E560" s="14"/>
      <c r="F560" s="16" t="s">
        <v>684</v>
      </c>
      <c r="G560" s="21"/>
      <c r="H560" s="17"/>
      <c r="I560" s="56">
        <v>0</v>
      </c>
      <c r="J560" s="56"/>
      <c r="K560" s="56"/>
      <c r="L560" s="56"/>
      <c r="M560" s="56"/>
      <c r="N560" s="56" t="str">
        <f>IF(OR(H560="",H560="sif",H560="PM"),"",VLOOKUP(H560,[5]CU!$C$4:$H$255,6,FALSE))</f>
        <v/>
      </c>
      <c r="O560" s="56"/>
      <c r="P560" s="56"/>
      <c r="Q560" s="56"/>
      <c r="R560" s="56"/>
      <c r="S560" s="53"/>
      <c r="T560" s="23" t="s">
        <v>56</v>
      </c>
      <c r="U560" s="18" t="s">
        <v>529</v>
      </c>
      <c r="V560" s="19" t="str">
        <f>IF(OR($H560="",$H560="sif",$H560="PM"),"",VLOOKUP($H560,[5]CU!$C$5:$J$255,8,FALSE))</f>
        <v/>
      </c>
      <c r="W560" s="18"/>
      <c r="X560" s="18"/>
      <c r="Y560" s="19" t="s">
        <v>32</v>
      </c>
      <c r="Z560" s="19" t="str">
        <f>A560 &amp; "-" &amp; VLOOKUP(A560,[4]PROGRAMMES!$E$1:$F$7,2,FALSE)</f>
        <v>2-Qualité des enseignements et des apprentissages</v>
      </c>
      <c r="AA560" s="19" t="str">
        <f>B560 &amp; "-" &amp; VLOOKUP(B560,[4]SOUSPROGRAMMES!$E$1:$F$44,2,FALSE)</f>
        <v>22- Diversification des filière au lycée</v>
      </c>
      <c r="AB560" s="19" t="str">
        <f>C560 &amp; "-" &amp; VLOOKUP(C560,[4]RESULTATS!$E$1:$F$176,2,FALSE)</f>
        <v>221- Les nouvelles filières de formation au lycée sont introduites</v>
      </c>
      <c r="AC560" s="20" t="str">
        <f>D560 &amp; "-" &amp; VLOOKUP(D560,[4]STRATEGIES!$E$1:$F$504,2,FALSE)</f>
        <v>2213-Elaboration et validation d'un plan d'action opérationnel pour l'implantation progressive des filiéres</v>
      </c>
      <c r="AD560" s="21" t="str">
        <f t="shared" si="122"/>
        <v>-PM à intégrer dans la seconde phase de mise en œuvre du PRODEG</v>
      </c>
    </row>
    <row r="561" spans="1:30" s="22" customFormat="1" ht="45" customHeight="1" x14ac:dyDescent="0.8">
      <c r="A561" s="14">
        <v>2</v>
      </c>
      <c r="B561" s="15">
        <v>23</v>
      </c>
      <c r="C561" s="15">
        <v>23</v>
      </c>
      <c r="D561" s="15">
        <v>23</v>
      </c>
      <c r="E561" s="14">
        <v>23</v>
      </c>
      <c r="F561" s="16" t="s">
        <v>703</v>
      </c>
      <c r="G561" s="17"/>
      <c r="H561" s="17"/>
      <c r="I561" s="56">
        <v>0</v>
      </c>
      <c r="J561" s="56"/>
      <c r="K561" s="56"/>
      <c r="L561" s="56"/>
      <c r="M561" s="56"/>
      <c r="N561" s="56"/>
      <c r="O561" s="56"/>
      <c r="P561" s="56"/>
      <c r="Q561" s="56"/>
      <c r="R561" s="56"/>
      <c r="S561" s="53"/>
      <c r="T561" s="18"/>
      <c r="U561" s="18"/>
      <c r="V561" s="19"/>
      <c r="W561" s="18"/>
      <c r="X561" s="18"/>
      <c r="Y561" s="19" t="s">
        <v>32</v>
      </c>
      <c r="Z561" s="19" t="str">
        <f>A561 &amp; "-" &amp; VLOOKUP(A561,[4]PROGRAMMES!$E$1:$F$7,2,FALSE)</f>
        <v>2-Qualité des enseignements et des apprentissages</v>
      </c>
      <c r="AA561" s="19" t="str">
        <f>B561 &amp; "-" &amp; VLOOKUP(B561,[4]SOUSPROGRAMMES!$E$1:$F$44,2,FALSE)</f>
        <v xml:space="preserve">23- Formation initiale et continue des enseignants/éducateurs y compris dans les méthodes pédagogiques innovatntes  </v>
      </c>
      <c r="AB561" s="19" t="str">
        <f>C561 &amp; "-" &amp; VLOOKUP(C561,[4]RESULTATS!$E$1:$F$176,2,FALSE)</f>
        <v xml:space="preserve">23- Formation initiale et continue des enseignants/éducateurs y compris dans les méthodes pédagogiques innovatntes  </v>
      </c>
      <c r="AC561" s="20" t="str">
        <f>D561 &amp; "-" &amp; VLOOKUP(D561,[4]STRATEGIES!$E$1:$F$504,2,FALSE)</f>
        <v xml:space="preserve">23- Formation initiale et continue des enseignants/éducateurs y compris dans les méthodes pédagogiques innovatntes  </v>
      </c>
      <c r="AD561" s="21" t="str">
        <f t="shared" si="122"/>
        <v xml:space="preserve">23- Formation initiale et continue des enseignants/éducateurs y compris dans les méthodes pédagogiques innovatntes  </v>
      </c>
    </row>
    <row r="562" spans="1:30" s="22" customFormat="1" ht="90" customHeight="1" x14ac:dyDescent="0.8">
      <c r="A562" s="14">
        <v>2</v>
      </c>
      <c r="B562" s="15">
        <v>23</v>
      </c>
      <c r="C562" s="15">
        <v>231</v>
      </c>
      <c r="D562" s="15">
        <v>231</v>
      </c>
      <c r="E562" s="14">
        <v>231</v>
      </c>
      <c r="F562" s="16" t="s">
        <v>704</v>
      </c>
      <c r="G562" s="17"/>
      <c r="H562" s="17"/>
      <c r="I562" s="56">
        <v>0</v>
      </c>
      <c r="J562" s="56"/>
      <c r="K562" s="56"/>
      <c r="L562" s="56"/>
      <c r="M562" s="56"/>
      <c r="N562" s="56"/>
      <c r="O562" s="56"/>
      <c r="P562" s="56"/>
      <c r="Q562" s="56"/>
      <c r="R562" s="56"/>
      <c r="S562" s="53"/>
      <c r="T562" s="18"/>
      <c r="U562" s="18"/>
      <c r="V562" s="19"/>
      <c r="W562" s="18"/>
      <c r="X562" s="18"/>
      <c r="Y562" s="19" t="s">
        <v>32</v>
      </c>
      <c r="Z562" s="19" t="str">
        <f>A562 &amp; "-" &amp; VLOOKUP(A562,[4]PROGRAMMES!$E$1:$F$7,2,FALSE)</f>
        <v>2-Qualité des enseignements et des apprentissages</v>
      </c>
      <c r="AA562" s="19" t="str">
        <f>B562 &amp; "-" &amp; VLOOKUP(B562,[4]SOUSPROGRAMMES!$E$1:$F$44,2,FALSE)</f>
        <v xml:space="preserve">23- Formation initiale et continue des enseignants/éducateurs y compris dans les méthodes pédagogiques innovatntes  </v>
      </c>
      <c r="AB562" s="19" t="str">
        <f>C562 &amp; "-" &amp; VLOOKUP(C562,[4]RESULTATS!$E$1:$F$176,2,FALSE)</f>
        <v>231- Une formation initiale de qualité (polyvalence, méthodes pédagogiques innovantes, éducation inclusive et gestion des classes multigrades) des formateurs et cohérente avec les curricula, est mise en place</v>
      </c>
      <c r="AC562" s="20" t="str">
        <f>D562 &amp; "-" &amp; VLOOKUP(D562,[4]STRATEGIES!$E$1:$F$504,2,FALSE)</f>
        <v>231- Une formation initiale de qualité (polyvalence, méthodes pédagogiques innovantes, éducation inclusive et gestion des classes multigrades) des formateurs et cohérente avec les curricula, est mise en place</v>
      </c>
      <c r="AD562" s="21" t="str">
        <f t="shared" si="122"/>
        <v>231- Une formation initiale de qualité (polyvalence, méthodes pédagogiques innovantes, éducation inclusive et gestion des classes multigrades) des formateurs et cohérente avec les curricula, est mise en place</v>
      </c>
    </row>
    <row r="563" spans="1:30" s="22" customFormat="1" ht="90" customHeight="1" x14ac:dyDescent="0.8">
      <c r="A563" s="14">
        <v>2</v>
      </c>
      <c r="B563" s="15">
        <v>23</v>
      </c>
      <c r="C563" s="15">
        <v>231</v>
      </c>
      <c r="D563" s="15">
        <v>2311</v>
      </c>
      <c r="E563" s="14">
        <v>2311</v>
      </c>
      <c r="F563" s="16" t="s">
        <v>705</v>
      </c>
      <c r="G563" s="17"/>
      <c r="H563" s="17"/>
      <c r="I563" s="56">
        <v>0</v>
      </c>
      <c r="J563" s="56"/>
      <c r="K563" s="56"/>
      <c r="L563" s="56"/>
      <c r="M563" s="56"/>
      <c r="N563" s="56"/>
      <c r="O563" s="56"/>
      <c r="P563" s="56"/>
      <c r="Q563" s="56"/>
      <c r="R563" s="56"/>
      <c r="S563" s="53"/>
      <c r="T563" s="18"/>
      <c r="U563" s="18"/>
      <c r="V563" s="19"/>
      <c r="W563" s="18"/>
      <c r="X563" s="18"/>
      <c r="Y563" s="19" t="s">
        <v>32</v>
      </c>
      <c r="Z563" s="19" t="str">
        <f>A563 &amp; "-" &amp; VLOOKUP(A563,[4]PROGRAMMES!$E$1:$F$7,2,FALSE)</f>
        <v>2-Qualité des enseignements et des apprentissages</v>
      </c>
      <c r="AA563" s="19" t="str">
        <f>B563 &amp; "-" &amp; VLOOKUP(B563,[4]SOUSPROGRAMMES!$E$1:$F$44,2,FALSE)</f>
        <v xml:space="preserve">23- Formation initiale et continue des enseignants/éducateurs y compris dans les méthodes pédagogiques innovatntes  </v>
      </c>
      <c r="AB563" s="19" t="str">
        <f>C563 &amp; "-" &amp; VLOOKUP(C563,[4]RESULTATS!$E$1:$F$176,2,FALSE)</f>
        <v>231- Une formation initiale de qualité (polyvalence, méthodes pédagogiques innovantes, éducation inclusive et gestion des classes multigrades) des formateurs et cohérente avec les curricula, est mise en place</v>
      </c>
      <c r="AC563" s="20" t="str">
        <f>D563 &amp; "-" &amp; VLOOKUP(D563,[4]STRATEGIES!$E$1:$F$504,2,FALSE)</f>
        <v>2311-La mise en place des standards de qualité sur la formation initiale (ENI)</v>
      </c>
      <c r="AD563" s="21" t="str">
        <f t="shared" si="122"/>
        <v>2311-La mise en place des standards de qualité sur la formation initiale (ENI)</v>
      </c>
    </row>
    <row r="564" spans="1:30" s="22" customFormat="1" ht="90" hidden="1" customHeight="1" x14ac:dyDescent="0.8">
      <c r="A564" s="14">
        <v>2</v>
      </c>
      <c r="B564" s="15">
        <v>23</v>
      </c>
      <c r="C564" s="15">
        <v>231</v>
      </c>
      <c r="D564" s="15">
        <v>2311</v>
      </c>
      <c r="E564" s="14">
        <v>23111</v>
      </c>
      <c r="F564" s="16" t="s">
        <v>706</v>
      </c>
      <c r="G564" s="21" t="s">
        <v>651</v>
      </c>
      <c r="H564" s="17" t="s">
        <v>55</v>
      </c>
      <c r="I564" s="56">
        <v>0</v>
      </c>
      <c r="J564" s="56">
        <v>1</v>
      </c>
      <c r="K564" s="56"/>
      <c r="L564" s="56"/>
      <c r="M564" s="56">
        <f t="shared" ref="M564:M639" si="130">SUM(I564:L564)</f>
        <v>1</v>
      </c>
      <c r="N564" s="56">
        <f>IF(OR(H564="",H564="sif",H564="PM"),0,VLOOKUP(H564,[5]CU!$C$4:$H$255,6,FALSE))</f>
        <v>0</v>
      </c>
      <c r="O564" s="56"/>
      <c r="P564" s="56"/>
      <c r="Q564" s="56"/>
      <c r="R564" s="56"/>
      <c r="S564" s="53"/>
      <c r="T564" s="23" t="s">
        <v>56</v>
      </c>
      <c r="U564" s="18" t="s">
        <v>707</v>
      </c>
      <c r="V564" s="19" t="str">
        <f>IF(OR($H564="",$H564="sif",$H564="PM"),"",VLOOKUP($H564,[5]CU!$C$5:$J$255,8,FALSE))</f>
        <v/>
      </c>
      <c r="W564" s="18" t="s">
        <v>255</v>
      </c>
      <c r="X564" s="18" t="s">
        <v>708</v>
      </c>
      <c r="Y564" s="19" t="s">
        <v>32</v>
      </c>
      <c r="Z564" s="19" t="str">
        <f>A564 &amp; "-" &amp; VLOOKUP(A564,[4]PROGRAMMES!$E$1:$F$7,2,FALSE)</f>
        <v>2-Qualité des enseignements et des apprentissages</v>
      </c>
      <c r="AA564" s="19" t="str">
        <f>B564 &amp; "-" &amp; VLOOKUP(B564,[4]SOUSPROGRAMMES!$E$1:$F$44,2,FALSE)</f>
        <v xml:space="preserve">23- Formation initiale et continue des enseignants/éducateurs y compris dans les méthodes pédagogiques innovatntes  </v>
      </c>
      <c r="AB564" s="19" t="str">
        <f>C564 &amp; "-" &amp; VLOOKUP(C564,[4]RESULTATS!$E$1:$F$176,2,FALSE)</f>
        <v>231- Une formation initiale de qualité (polyvalence, méthodes pédagogiques innovantes, éducation inclusive et gestion des classes multigrades) des formateurs et cohérente avec les curricula, est mise en place</v>
      </c>
      <c r="AC564" s="20" t="str">
        <f>D564 &amp; "-" &amp; VLOOKUP(D564,[4]STRATEGIES!$E$1:$F$504,2,FALSE)</f>
        <v>2311-La mise en place des standards de qualité sur la formation initiale (ENI)</v>
      </c>
      <c r="AD564" s="21" t="str">
        <f t="shared" si="122"/>
        <v xml:space="preserve">23111-Mise en place d'une équipe technique nationale chargée de déFinir les standards de qualité sur la formation initiale </v>
      </c>
    </row>
    <row r="565" spans="1:30" s="22" customFormat="1" ht="90" customHeight="1" x14ac:dyDescent="0.8">
      <c r="A565" s="14">
        <v>2</v>
      </c>
      <c r="B565" s="15">
        <v>23</v>
      </c>
      <c r="C565" s="15">
        <v>231</v>
      </c>
      <c r="D565" s="15">
        <v>2311</v>
      </c>
      <c r="E565" s="14">
        <v>23112</v>
      </c>
      <c r="F565" s="16" t="s">
        <v>709</v>
      </c>
      <c r="G565" s="21" t="s">
        <v>100</v>
      </c>
      <c r="H565" s="17" t="s">
        <v>646</v>
      </c>
      <c r="I565" s="56">
        <v>0</v>
      </c>
      <c r="J565" s="56"/>
      <c r="K565" s="56">
        <f>2*12*2</f>
        <v>48</v>
      </c>
      <c r="L565" s="56"/>
      <c r="M565" s="56">
        <f t="shared" si="130"/>
        <v>48</v>
      </c>
      <c r="N565" s="56">
        <f>IF(OR(H565="",H565="sif",H565="PM"),0,VLOOKUP(H565,[5]CU!$C$4:$H$255,6,FALSE))</f>
        <v>10.404797</v>
      </c>
      <c r="O565" s="56">
        <f t="shared" ref="O565:R578" si="131">$N565*I565</f>
        <v>0</v>
      </c>
      <c r="P565" s="56">
        <f t="shared" si="131"/>
        <v>0</v>
      </c>
      <c r="Q565" s="56">
        <f t="shared" si="131"/>
        <v>499.43025599999999</v>
      </c>
      <c r="R565" s="56">
        <f t="shared" si="131"/>
        <v>0</v>
      </c>
      <c r="S565" s="53">
        <f t="shared" ref="S565:S578" si="132">SUM(O565:R565)</f>
        <v>499.43025599999999</v>
      </c>
      <c r="T565" s="23" t="s">
        <v>39</v>
      </c>
      <c r="U565" s="19" t="s">
        <v>707</v>
      </c>
      <c r="V565" s="19" t="str">
        <f>IF(OR($H565="",$H565="sif",$H565="PM"),"",VLOOKUP($H565,[5]CU!$C$5:$J$255,8,FALSE))</f>
        <v>3. Dépenses de fonctionnement</v>
      </c>
      <c r="W565" s="19" t="s">
        <v>663</v>
      </c>
      <c r="X565" s="19" t="s">
        <v>708</v>
      </c>
      <c r="Y565" s="19" t="s">
        <v>32</v>
      </c>
      <c r="Z565" s="19" t="str">
        <f>A565 &amp; "-" &amp; VLOOKUP(A565,[4]PROGRAMMES!$E$1:$F$7,2,FALSE)</f>
        <v>2-Qualité des enseignements et des apprentissages</v>
      </c>
      <c r="AA565" s="19" t="str">
        <f>B565 &amp; "-" &amp; VLOOKUP(B565,[4]SOUSPROGRAMMES!$E$1:$F$44,2,FALSE)</f>
        <v xml:space="preserve">23- Formation initiale et continue des enseignants/éducateurs y compris dans les méthodes pédagogiques innovatntes  </v>
      </c>
      <c r="AB565" s="19" t="str">
        <f>C565 &amp; "-" &amp; VLOOKUP(C565,[4]RESULTATS!$E$1:$F$176,2,FALSE)</f>
        <v>231- Une formation initiale de qualité (polyvalence, méthodes pédagogiques innovantes, éducation inclusive et gestion des classes multigrades) des formateurs et cohérente avec les curricula, est mise en place</v>
      </c>
      <c r="AC565" s="20" t="str">
        <f>D565 &amp; "-" &amp; VLOOKUP(D565,[4]STRATEGIES!$E$1:$F$504,2,FALSE)</f>
        <v>2311-La mise en place des standards de qualité sur la formation initiale (ENI)</v>
      </c>
      <c r="AD565" s="21" t="str">
        <f t="shared" si="122"/>
        <v xml:space="preserve">23112-Recrutement d'une expertise internationale d'appui à l'équipe </v>
      </c>
    </row>
    <row r="566" spans="1:30" s="22" customFormat="1" ht="90" customHeight="1" x14ac:dyDescent="0.8">
      <c r="A566" s="14">
        <v>2</v>
      </c>
      <c r="B566" s="15">
        <v>23</v>
      </c>
      <c r="C566" s="15">
        <v>231</v>
      </c>
      <c r="D566" s="15">
        <v>2311</v>
      </c>
      <c r="E566" s="14">
        <v>23113</v>
      </c>
      <c r="F566" s="16" t="s">
        <v>710</v>
      </c>
      <c r="G566" s="21" t="s">
        <v>37</v>
      </c>
      <c r="H566" s="17" t="s">
        <v>66</v>
      </c>
      <c r="I566" s="56">
        <v>0</v>
      </c>
      <c r="J566" s="56"/>
      <c r="K566" s="56">
        <f>15*5</f>
        <v>75</v>
      </c>
      <c r="L566" s="56"/>
      <c r="M566" s="56">
        <f t="shared" si="130"/>
        <v>75</v>
      </c>
      <c r="N566" s="56">
        <f>IF(OR(H566="",H566="sif",H566="PM"),0,VLOOKUP(H566,[5]CU!$C$4:$H$255,6,FALSE))</f>
        <v>0.255</v>
      </c>
      <c r="O566" s="56">
        <f t="shared" si="131"/>
        <v>0</v>
      </c>
      <c r="P566" s="56">
        <f t="shared" si="131"/>
        <v>0</v>
      </c>
      <c r="Q566" s="56">
        <f t="shared" si="131"/>
        <v>19.125</v>
      </c>
      <c r="R566" s="56">
        <f t="shared" si="131"/>
        <v>0</v>
      </c>
      <c r="S566" s="53">
        <f t="shared" si="132"/>
        <v>19.125</v>
      </c>
      <c r="T566" s="23" t="s">
        <v>39</v>
      </c>
      <c r="U566" s="19" t="s">
        <v>707</v>
      </c>
      <c r="V566" s="19" t="str">
        <f>IF(OR($H566="",$H566="sif",$H566="PM"),"",VLOOKUP($H566,[5]CU!$C$5:$J$255,8,FALSE))</f>
        <v>3. Dépenses de fonctionnement</v>
      </c>
      <c r="W566" s="19" t="s">
        <v>708</v>
      </c>
      <c r="X566" s="19" t="s">
        <v>711</v>
      </c>
      <c r="Y566" s="19" t="s">
        <v>32</v>
      </c>
      <c r="Z566" s="19" t="str">
        <f>A566 &amp; "-" &amp; VLOOKUP(A566,[4]PROGRAMMES!$E$1:$F$7,2,FALSE)</f>
        <v>2-Qualité des enseignements et des apprentissages</v>
      </c>
      <c r="AA566" s="19" t="str">
        <f>B566 &amp; "-" &amp; VLOOKUP(B566,[4]SOUSPROGRAMMES!$E$1:$F$44,2,FALSE)</f>
        <v xml:space="preserve">23- Formation initiale et continue des enseignants/éducateurs y compris dans les méthodes pédagogiques innovatntes  </v>
      </c>
      <c r="AB566" s="19" t="str">
        <f>C566 &amp; "-" &amp; VLOOKUP(C566,[4]RESULTATS!$E$1:$F$176,2,FALSE)</f>
        <v>231- Une formation initiale de qualité (polyvalence, méthodes pédagogiques innovantes, éducation inclusive et gestion des classes multigrades) des formateurs et cohérente avec les curricula, est mise en place</v>
      </c>
      <c r="AC566" s="20" t="str">
        <f>D566 &amp; "-" &amp; VLOOKUP(D566,[4]STRATEGIES!$E$1:$F$504,2,FALSE)</f>
        <v>2311-La mise en place des standards de qualité sur la formation initiale (ENI)</v>
      </c>
      <c r="AD566" s="21" t="str">
        <f t="shared" si="122"/>
        <v>23113-DéFinition des standards de qualité sur la formation initiale avec les ENI et l'ISSEG</v>
      </c>
    </row>
    <row r="567" spans="1:30" s="22" customFormat="1" ht="90" customHeight="1" x14ac:dyDescent="0.8">
      <c r="A567" s="14">
        <v>2</v>
      </c>
      <c r="B567" s="15">
        <v>23</v>
      </c>
      <c r="C567" s="15">
        <v>231</v>
      </c>
      <c r="D567" s="15">
        <v>2311</v>
      </c>
      <c r="E567" s="14">
        <v>23114</v>
      </c>
      <c r="F567" s="16" t="s">
        <v>712</v>
      </c>
      <c r="G567" s="21" t="s">
        <v>37</v>
      </c>
      <c r="H567" s="17" t="s">
        <v>38</v>
      </c>
      <c r="I567" s="56">
        <v>0</v>
      </c>
      <c r="J567" s="56"/>
      <c r="K567" s="56">
        <f>25*2</f>
        <v>50</v>
      </c>
      <c r="L567" s="56"/>
      <c r="M567" s="56">
        <f t="shared" si="130"/>
        <v>50</v>
      </c>
      <c r="N567" s="56">
        <f>IF(OR(H567="",H567="sif",H567="PM"),0,VLOOKUP(H567,[5]CU!$C$4:$H$255,6,FALSE))</f>
        <v>0.3133333333333333</v>
      </c>
      <c r="O567" s="56">
        <f t="shared" si="131"/>
        <v>0</v>
      </c>
      <c r="P567" s="56">
        <f t="shared" si="131"/>
        <v>0</v>
      </c>
      <c r="Q567" s="56">
        <f t="shared" si="131"/>
        <v>15.666666666666664</v>
      </c>
      <c r="R567" s="56">
        <f t="shared" si="131"/>
        <v>0</v>
      </c>
      <c r="S567" s="53">
        <f t="shared" si="132"/>
        <v>15.666666666666664</v>
      </c>
      <c r="T567" s="23" t="s">
        <v>39</v>
      </c>
      <c r="U567" s="19" t="s">
        <v>707</v>
      </c>
      <c r="V567" s="19" t="str">
        <f>IF(OR($H567="",$H567="sif",$H567="PM"),"",VLOOKUP($H567,[5]CU!$C$5:$J$255,8,FALSE))</f>
        <v>3. Formation</v>
      </c>
      <c r="W567" s="19" t="s">
        <v>708</v>
      </c>
      <c r="X567" s="19" t="s">
        <v>273</v>
      </c>
      <c r="Y567" s="19" t="s">
        <v>32</v>
      </c>
      <c r="Z567" s="19" t="str">
        <f>A567 &amp; "-" &amp; VLOOKUP(A567,[4]PROGRAMMES!$E$1:$F$7,2,FALSE)</f>
        <v>2-Qualité des enseignements et des apprentissages</v>
      </c>
      <c r="AA567" s="19" t="str">
        <f>B567 &amp; "-" &amp; VLOOKUP(B567,[4]SOUSPROGRAMMES!$E$1:$F$44,2,FALSE)</f>
        <v xml:space="preserve">23- Formation initiale et continue des enseignants/éducateurs y compris dans les méthodes pédagogiques innovatntes  </v>
      </c>
      <c r="AB567" s="19" t="str">
        <f>C567 &amp; "-" &amp; VLOOKUP(C567,[4]RESULTATS!$E$1:$F$176,2,FALSE)</f>
        <v>231- Une formation initiale de qualité (polyvalence, méthodes pédagogiques innovantes, éducation inclusive et gestion des classes multigrades) des formateurs et cohérente avec les curricula, est mise en place</v>
      </c>
      <c r="AC567" s="20" t="str">
        <f>D567 &amp; "-" &amp; VLOOKUP(D567,[4]STRATEGIES!$E$1:$F$504,2,FALSE)</f>
        <v>2311-La mise en place des standards de qualité sur la formation initiale (ENI)</v>
      </c>
      <c r="AD567" s="21" t="str">
        <f t="shared" si="122"/>
        <v>23114-Partage et validation des standards de qualité sur la formation initiale avec les ENI et l'ISSEG</v>
      </c>
    </row>
    <row r="568" spans="1:30" s="22" customFormat="1" ht="90" customHeight="1" x14ac:dyDescent="0.8">
      <c r="A568" s="14">
        <v>2</v>
      </c>
      <c r="B568" s="15">
        <v>23</v>
      </c>
      <c r="C568" s="15">
        <v>231</v>
      </c>
      <c r="D568" s="15">
        <v>2311</v>
      </c>
      <c r="E568" s="14">
        <v>23116</v>
      </c>
      <c r="F568" s="16" t="s">
        <v>713</v>
      </c>
      <c r="G568" s="21" t="s">
        <v>58</v>
      </c>
      <c r="H568" s="17" t="s">
        <v>38</v>
      </c>
      <c r="I568" s="56">
        <v>0</v>
      </c>
      <c r="J568" s="56"/>
      <c r="K568" s="56"/>
      <c r="L568" s="56">
        <f>2*3*9</f>
        <v>54</v>
      </c>
      <c r="M568" s="56">
        <f t="shared" si="130"/>
        <v>54</v>
      </c>
      <c r="N568" s="56">
        <f>IF(OR(H568="",H568="sif",H568="PM"),0,VLOOKUP(H568,[5]CU!$C$4:$H$255,6,FALSE))</f>
        <v>0.3133333333333333</v>
      </c>
      <c r="O568" s="56">
        <f t="shared" si="131"/>
        <v>0</v>
      </c>
      <c r="P568" s="56">
        <f t="shared" si="131"/>
        <v>0</v>
      </c>
      <c r="Q568" s="56">
        <f t="shared" si="131"/>
        <v>0</v>
      </c>
      <c r="R568" s="56">
        <f t="shared" si="131"/>
        <v>16.919999999999998</v>
      </c>
      <c r="S568" s="53">
        <f t="shared" si="132"/>
        <v>16.919999999999998</v>
      </c>
      <c r="T568" s="23" t="s">
        <v>39</v>
      </c>
      <c r="U568" s="19" t="s">
        <v>707</v>
      </c>
      <c r="V568" s="19" t="str">
        <f>IF(OR($H568="",$H568="sif",$H568="PM"),"",VLOOKUP($H568,[5]CU!$C$5:$J$255,8,FALSE))</f>
        <v>3. Formation</v>
      </c>
      <c r="W568" s="19" t="s">
        <v>708</v>
      </c>
      <c r="X568" s="19" t="s">
        <v>273</v>
      </c>
      <c r="Y568" s="19" t="s">
        <v>32</v>
      </c>
      <c r="Z568" s="19" t="str">
        <f>A568 &amp; "-" &amp; VLOOKUP(A568,[4]PROGRAMMES!$E$1:$F$7,2,FALSE)</f>
        <v>2-Qualité des enseignements et des apprentissages</v>
      </c>
      <c r="AA568" s="19" t="str">
        <f>B568 &amp; "-" &amp; VLOOKUP(B568,[4]SOUSPROGRAMMES!$E$1:$F$44,2,FALSE)</f>
        <v xml:space="preserve">23- Formation initiale et continue des enseignants/éducateurs y compris dans les méthodes pédagogiques innovatntes  </v>
      </c>
      <c r="AB568" s="19" t="str">
        <f>C568 &amp; "-" &amp; VLOOKUP(C568,[4]RESULTATS!$E$1:$F$176,2,FALSE)</f>
        <v>231- Une formation initiale de qualité (polyvalence, méthodes pédagogiques innovantes, éducation inclusive et gestion des classes multigrades) des formateurs et cohérente avec les curricula, est mise en place</v>
      </c>
      <c r="AC568" s="20" t="str">
        <f>D568 &amp; "-" &amp; VLOOKUP(D568,[4]STRATEGIES!$E$1:$F$504,2,FALSE)</f>
        <v>2311-La mise en place des standards de qualité sur la formation initiale (ENI)</v>
      </c>
      <c r="AD568" s="21" t="str">
        <f t="shared" si="122"/>
        <v>23116-Suivi de l'application des standards de qualité sur la formation initiale</v>
      </c>
    </row>
    <row r="569" spans="1:30" s="22" customFormat="1" ht="90" hidden="1" customHeight="1" x14ac:dyDescent="0.8">
      <c r="A569" s="14">
        <v>2</v>
      </c>
      <c r="B569" s="15">
        <v>23</v>
      </c>
      <c r="C569" s="15">
        <v>231</v>
      </c>
      <c r="D569" s="15">
        <v>2311</v>
      </c>
      <c r="E569" s="14">
        <v>23117</v>
      </c>
      <c r="F569" s="16" t="s">
        <v>714</v>
      </c>
      <c r="G569" s="21" t="s">
        <v>715</v>
      </c>
      <c r="H569" s="17" t="s">
        <v>716</v>
      </c>
      <c r="I569" s="56">
        <v>0</v>
      </c>
      <c r="J569" s="56">
        <v>0.94137365202581103</v>
      </c>
      <c r="K569" s="56">
        <v>1.0918583057434701</v>
      </c>
      <c r="L569" s="56">
        <v>1.2054357578161301</v>
      </c>
      <c r="M569" s="56">
        <f t="shared" si="130"/>
        <v>3.2386677155854109</v>
      </c>
      <c r="N569" s="56">
        <f>IF(OR(H569="",H569="sif",H569="PM"),0,VLOOKUP(H569,[5]CU!$C$4:$H$255,6,FALSE))</f>
        <v>9719.1358885830705</v>
      </c>
      <c r="O569" s="56">
        <f t="shared" si="131"/>
        <v>0</v>
      </c>
      <c r="P569" s="56">
        <f t="shared" si="131"/>
        <v>9149.3384459705703</v>
      </c>
      <c r="Q569" s="56">
        <f t="shared" si="131"/>
        <v>10611.919244598866</v>
      </c>
      <c r="R569" s="56">
        <f t="shared" si="131"/>
        <v>11715.79393517208</v>
      </c>
      <c r="S569" s="53">
        <f t="shared" si="132"/>
        <v>31477.051625741515</v>
      </c>
      <c r="T569" s="23" t="s">
        <v>56</v>
      </c>
      <c r="U569" s="18" t="s">
        <v>707</v>
      </c>
      <c r="V569" s="19" t="str">
        <f>IF(OR($H569="",$H569="sif",$H569="PM"),"",VLOOKUP($H569,[5]CU!$C$5:$J$255,8,FALSE))</f>
        <v>2. Personnel</v>
      </c>
      <c r="W569" s="18" t="s">
        <v>708</v>
      </c>
      <c r="X569" s="18" t="s">
        <v>273</v>
      </c>
      <c r="Y569" s="19" t="s">
        <v>32</v>
      </c>
      <c r="Z569" s="19" t="str">
        <f>A569 &amp; "-" &amp; VLOOKUP(A569,[4]PROGRAMMES!$E$1:$F$7,2,FALSE)</f>
        <v>2-Qualité des enseignements et des apprentissages</v>
      </c>
      <c r="AA569" s="19" t="str">
        <f>B569 &amp; "-" &amp; VLOOKUP(B569,[4]SOUSPROGRAMMES!$E$1:$F$44,2,FALSE)</f>
        <v xml:space="preserve">23- Formation initiale et continue des enseignants/éducateurs y compris dans les méthodes pédagogiques innovatntes  </v>
      </c>
      <c r="AB569" s="19" t="str">
        <f>C569 &amp; "-" &amp; VLOOKUP(C569,[4]RESULTATS!$E$1:$F$176,2,FALSE)</f>
        <v>231- Une formation initiale de qualité (polyvalence, méthodes pédagogiques innovantes, éducation inclusive et gestion des classes multigrades) des formateurs et cohérente avec les curricula, est mise en place</v>
      </c>
      <c r="AC569" s="20" t="str">
        <f>D569 &amp; "-" &amp; VLOOKUP(D569,[4]STRATEGIES!$E$1:$F$504,2,FALSE)</f>
        <v>2311-La mise en place des standards de qualité sur la formation initiale (ENI)</v>
      </c>
      <c r="AD569" s="21" t="str">
        <f t="shared" si="122"/>
        <v>23117-Disponibilité de personnel qualifié dans les ENI</v>
      </c>
    </row>
    <row r="570" spans="1:30" ht="90" hidden="1" customHeight="1" x14ac:dyDescent="0.8">
      <c r="A570" s="25">
        <v>2</v>
      </c>
      <c r="B570" s="16">
        <v>23</v>
      </c>
      <c r="C570" s="16">
        <v>231</v>
      </c>
      <c r="D570" s="16">
        <v>2311</v>
      </c>
      <c r="E570" s="25">
        <v>23118</v>
      </c>
      <c r="F570" s="16" t="s">
        <v>717</v>
      </c>
      <c r="G570" s="21" t="s">
        <v>718</v>
      </c>
      <c r="H570" s="21" t="s">
        <v>719</v>
      </c>
      <c r="I570" s="56">
        <v>0</v>
      </c>
      <c r="J570" s="57">
        <v>2</v>
      </c>
      <c r="K570" s="57">
        <v>3</v>
      </c>
      <c r="L570" s="57">
        <v>4</v>
      </c>
      <c r="M570" s="57">
        <f t="shared" si="130"/>
        <v>9</v>
      </c>
      <c r="N570" s="57">
        <f>IF(OR(H570="",H570="sif",H570="PM"),0,VLOOKUP(H570,[5]CU!$C$4:$H$255,6,FALSE))</f>
        <v>2253.8783451118597</v>
      </c>
      <c r="O570" s="57">
        <f t="shared" si="131"/>
        <v>0</v>
      </c>
      <c r="P570" s="57">
        <f t="shared" si="131"/>
        <v>4507.7566902237195</v>
      </c>
      <c r="Q570" s="57">
        <f t="shared" si="131"/>
        <v>6761.6350353355792</v>
      </c>
      <c r="R570" s="57">
        <f t="shared" si="131"/>
        <v>9015.513380447439</v>
      </c>
      <c r="S570" s="60">
        <f t="shared" si="132"/>
        <v>20284.905106006736</v>
      </c>
      <c r="T570" s="26" t="s">
        <v>169</v>
      </c>
      <c r="U570" s="19" t="s">
        <v>707</v>
      </c>
      <c r="V570" s="19" t="str">
        <f>IF(OR($H570="",$H570="sif",$H570="PM"),"",VLOOKUP($H570,[5]CU!$C$5:$J$255,8,FALSE))</f>
        <v>3. Dépenses de fonctionnement</v>
      </c>
      <c r="W570" s="19" t="s">
        <v>708</v>
      </c>
      <c r="X570" s="19" t="s">
        <v>273</v>
      </c>
      <c r="Y570" s="19" t="s">
        <v>32</v>
      </c>
      <c r="Z570" s="19" t="str">
        <f>A570 &amp; "-" &amp; VLOOKUP(A570,[4]PROGRAMMES!$E$1:$F$7,2,FALSE)</f>
        <v>2-Qualité des enseignements et des apprentissages</v>
      </c>
      <c r="AA570" s="19" t="str">
        <f>B570 &amp; "-" &amp; VLOOKUP(B570,[4]SOUSPROGRAMMES!$E$1:$F$44,2,FALSE)</f>
        <v xml:space="preserve">23- Formation initiale et continue des enseignants/éducateurs y compris dans les méthodes pédagogiques innovatntes  </v>
      </c>
      <c r="AB570" s="19" t="str">
        <f>C570 &amp; "-" &amp; VLOOKUP(C570,[4]RESULTATS!$E$1:$F$176,2,FALSE)</f>
        <v>231- Une formation initiale de qualité (polyvalence, méthodes pédagogiques innovantes, éducation inclusive et gestion des classes multigrades) des formateurs et cohérente avec les curricula, est mise en place</v>
      </c>
      <c r="AC570" s="20" t="str">
        <f>D570 &amp; "-" &amp; VLOOKUP(D570,[4]STRATEGIES!$E$1:$F$504,2,FALSE)</f>
        <v>2311-La mise en place des standards de qualité sur la formation initiale (ENI)</v>
      </c>
      <c r="AD570" s="21" t="str">
        <f t="shared" si="122"/>
        <v>23118-dotation des ENI en ressources suffisantes pour le fonctionnement</v>
      </c>
    </row>
    <row r="571" spans="1:30" s="22" customFormat="1" ht="90" customHeight="1" x14ac:dyDescent="0.8">
      <c r="A571" s="14">
        <v>2</v>
      </c>
      <c r="B571" s="15">
        <v>23</v>
      </c>
      <c r="C571" s="15">
        <v>231</v>
      </c>
      <c r="D571" s="15">
        <v>2312</v>
      </c>
      <c r="E571" s="14">
        <v>2312</v>
      </c>
      <c r="F571" s="16" t="s">
        <v>720</v>
      </c>
      <c r="G571" s="17"/>
      <c r="H571" s="17"/>
      <c r="I571" s="56">
        <v>0</v>
      </c>
      <c r="J571" s="56"/>
      <c r="K571" s="56"/>
      <c r="L571" s="56"/>
      <c r="M571" s="56"/>
      <c r="N571" s="56"/>
      <c r="O571" s="56"/>
      <c r="P571" s="56"/>
      <c r="Q571" s="56"/>
      <c r="R571" s="56"/>
      <c r="S571" s="53"/>
      <c r="T571" s="18"/>
      <c r="U571" s="18"/>
      <c r="V571" s="19"/>
      <c r="W571" s="18"/>
      <c r="X571" s="18"/>
      <c r="Y571" s="19" t="s">
        <v>32</v>
      </c>
      <c r="Z571" s="19" t="str">
        <f>A571 &amp; "-" &amp; VLOOKUP(A571,[4]PROGRAMMES!$E$1:$F$7,2,FALSE)</f>
        <v>2-Qualité des enseignements et des apprentissages</v>
      </c>
      <c r="AA571" s="19" t="str">
        <f>B571 &amp; "-" &amp; VLOOKUP(B571,[4]SOUSPROGRAMMES!$E$1:$F$44,2,FALSE)</f>
        <v xml:space="preserve">23- Formation initiale et continue des enseignants/éducateurs y compris dans les méthodes pédagogiques innovatntes  </v>
      </c>
      <c r="AB571" s="19" t="str">
        <f>C571 &amp; "-" &amp; VLOOKUP(C571,[4]RESULTATS!$E$1:$F$176,2,FALSE)</f>
        <v>231- Une formation initiale de qualité (polyvalence, méthodes pédagogiques innovantes, éducation inclusive et gestion des classes multigrades) des formateurs et cohérente avec les curricula, est mise en place</v>
      </c>
      <c r="AC571" s="20" t="str">
        <f>D571 &amp; "-" &amp; VLOOKUP(D571,[4]STRATEGIES!$E$1:$F$504,2,FALSE)</f>
        <v>2312-Extension de la formation des éducateurs du préscolaire dans les ENI</v>
      </c>
      <c r="AD571" s="21" t="str">
        <f t="shared" si="122"/>
        <v>2312-Extension de la formation des éducateurs du préscolaire dans les ENI</v>
      </c>
    </row>
    <row r="572" spans="1:30" s="22" customFormat="1" ht="90" customHeight="1" x14ac:dyDescent="0.8">
      <c r="A572" s="14">
        <v>2</v>
      </c>
      <c r="B572" s="15">
        <v>23</v>
      </c>
      <c r="C572" s="15">
        <v>231</v>
      </c>
      <c r="D572" s="15">
        <v>2312</v>
      </c>
      <c r="E572" s="14">
        <v>23121</v>
      </c>
      <c r="F572" s="16" t="s">
        <v>721</v>
      </c>
      <c r="G572" s="21" t="s">
        <v>722</v>
      </c>
      <c r="H572" s="17" t="s">
        <v>723</v>
      </c>
      <c r="I572" s="56"/>
      <c r="J572" s="53">
        <f>1*75%</f>
        <v>0.75</v>
      </c>
      <c r="K572" s="53">
        <f>1*75%</f>
        <v>0.75</v>
      </c>
      <c r="L572" s="53">
        <f>1*75%</f>
        <v>0.75</v>
      </c>
      <c r="M572" s="53">
        <f>SUM(I572:L572)</f>
        <v>2.25</v>
      </c>
      <c r="N572" s="53">
        <f>IF(OR(H572="",H572="sif",H572="PM"),0,VLOOKUP(H572,[5]CU!$C$4:$H$255,6,FALSE))</f>
        <v>570</v>
      </c>
      <c r="O572" s="53">
        <f>$N572*I572</f>
        <v>0</v>
      </c>
      <c r="P572" s="53">
        <f>$N572*J572</f>
        <v>427.5</v>
      </c>
      <c r="Q572" s="53">
        <f>$N572*K572</f>
        <v>427.5</v>
      </c>
      <c r="R572" s="53">
        <f>$N572*L572</f>
        <v>427.5</v>
      </c>
      <c r="S572" s="53">
        <f>SUM(O572:R572)</f>
        <v>1282.5</v>
      </c>
      <c r="T572" s="23" t="s">
        <v>67</v>
      </c>
      <c r="U572" s="19" t="s">
        <v>707</v>
      </c>
      <c r="V572" s="19" t="str">
        <f>IF(OR($H572="",$H572="sif",$H572="PM"),"",VLOOKUP($H572,[5]CU!$C$5:$J$255,8,FALSE))</f>
        <v>3. Dépenses de fonctionnement</v>
      </c>
      <c r="W572" s="19" t="s">
        <v>41</v>
      </c>
      <c r="X572" s="19" t="s">
        <v>248</v>
      </c>
      <c r="Y572" s="19" t="s">
        <v>32</v>
      </c>
      <c r="Z572" s="19" t="str">
        <f>A572 &amp; "-" &amp; VLOOKUP(A572,[4]PROGRAMMES!$E$1:$F$7,2,FALSE)</f>
        <v>2-Qualité des enseignements et des apprentissages</v>
      </c>
      <c r="AA572" s="19" t="str">
        <f>B572 &amp; "-" &amp; VLOOKUP(B572,[4]SOUSPROGRAMMES!$E$1:$F$44,2,FALSE)</f>
        <v xml:space="preserve">23- Formation initiale et continue des enseignants/éducateurs y compris dans les méthodes pédagogiques innovatntes  </v>
      </c>
      <c r="AB572" s="19" t="str">
        <f>C572 &amp; "-" &amp; VLOOKUP(C572,[4]RESULTATS!$E$1:$F$176,2,FALSE)</f>
        <v>231- Une formation initiale de qualité (polyvalence, méthodes pédagogiques innovantes, éducation inclusive et gestion des classes multigrades) des formateurs et cohérente avec les curricula, est mise en place</v>
      </c>
      <c r="AC572" s="20" t="str">
        <f>D572 &amp; "-" &amp; VLOOKUP(D572,[4]STRATEGIES!$E$1:$F$504,2,FALSE)</f>
        <v>2312-Extension de la formation des éducateurs du préscolaire dans les ENI</v>
      </c>
      <c r="AD572" s="21" t="str">
        <f t="shared" si="122"/>
        <v>23121-Appui à la généralisation de la formation initiale des éducateurs du préscolaire dans les ENI</v>
      </c>
    </row>
    <row r="573" spans="1:30" s="22" customFormat="1" ht="90" customHeight="1" x14ac:dyDescent="0.8">
      <c r="A573" s="14">
        <v>2</v>
      </c>
      <c r="B573" s="15">
        <v>23</v>
      </c>
      <c r="C573" s="15">
        <v>231</v>
      </c>
      <c r="D573" s="15">
        <v>2312</v>
      </c>
      <c r="E573" s="14">
        <v>23121</v>
      </c>
      <c r="F573" s="16" t="s">
        <v>721</v>
      </c>
      <c r="G573" s="21" t="s">
        <v>722</v>
      </c>
      <c r="H573" s="17" t="s">
        <v>723</v>
      </c>
      <c r="I573" s="56">
        <v>0</v>
      </c>
      <c r="J573" s="56">
        <f>1*25%</f>
        <v>0.25</v>
      </c>
      <c r="K573" s="56">
        <f>1*25%</f>
        <v>0.25</v>
      </c>
      <c r="L573" s="56">
        <f>1*25%</f>
        <v>0.25</v>
      </c>
      <c r="M573" s="56">
        <f t="shared" si="130"/>
        <v>0.75</v>
      </c>
      <c r="N573" s="56">
        <f>IF(OR(H573="",H573="sif",H573="PM"),0,VLOOKUP(H573,[5]CU!$C$4:$H$255,6,FALSE))</f>
        <v>570</v>
      </c>
      <c r="O573" s="56">
        <f t="shared" si="131"/>
        <v>0</v>
      </c>
      <c r="P573" s="56">
        <f t="shared" si="131"/>
        <v>142.5</v>
      </c>
      <c r="Q573" s="56">
        <f t="shared" si="131"/>
        <v>142.5</v>
      </c>
      <c r="R573" s="56">
        <f t="shared" si="131"/>
        <v>142.5</v>
      </c>
      <c r="S573" s="53">
        <f t="shared" si="132"/>
        <v>427.5</v>
      </c>
      <c r="T573" s="23" t="s">
        <v>39</v>
      </c>
      <c r="U573" s="19" t="s">
        <v>707</v>
      </c>
      <c r="V573" s="19" t="str">
        <f>IF(OR($H573="",$H573="sif",$H573="PM"),"",VLOOKUP($H573,[5]CU!$C$5:$J$255,8,FALSE))</f>
        <v>3. Dépenses de fonctionnement</v>
      </c>
      <c r="W573" s="19" t="s">
        <v>41</v>
      </c>
      <c r="X573" s="19" t="s">
        <v>248</v>
      </c>
      <c r="Y573" s="19" t="s">
        <v>32</v>
      </c>
      <c r="Z573" s="19" t="str">
        <f>A573 &amp; "-" &amp; VLOOKUP(A573,[4]PROGRAMMES!$E$1:$F$7,2,FALSE)</f>
        <v>2-Qualité des enseignements et des apprentissages</v>
      </c>
      <c r="AA573" s="19" t="str">
        <f>B573 &amp; "-" &amp; VLOOKUP(B573,[4]SOUSPROGRAMMES!$E$1:$F$44,2,FALSE)</f>
        <v xml:space="preserve">23- Formation initiale et continue des enseignants/éducateurs y compris dans les méthodes pédagogiques innovatntes  </v>
      </c>
      <c r="AB573" s="19" t="str">
        <f>C573 &amp; "-" &amp; VLOOKUP(C573,[4]RESULTATS!$E$1:$F$176,2,FALSE)</f>
        <v>231- Une formation initiale de qualité (polyvalence, méthodes pédagogiques innovantes, éducation inclusive et gestion des classes multigrades) des formateurs et cohérente avec les curricula, est mise en place</v>
      </c>
      <c r="AC573" s="20" t="str">
        <f>D573 &amp; "-" &amp; VLOOKUP(D573,[4]STRATEGIES!$E$1:$F$504,2,FALSE)</f>
        <v>2312-Extension de la formation des éducateurs du préscolaire dans les ENI</v>
      </c>
      <c r="AD573" s="21" t="str">
        <f t="shared" si="122"/>
        <v>23121-Appui à la généralisation de la formation initiale des éducateurs du préscolaire dans les ENI</v>
      </c>
    </row>
    <row r="574" spans="1:30" s="22" customFormat="1" ht="90" customHeight="1" x14ac:dyDescent="0.8">
      <c r="A574" s="14">
        <v>2</v>
      </c>
      <c r="B574" s="15">
        <v>23</v>
      </c>
      <c r="C574" s="15">
        <v>231</v>
      </c>
      <c r="D574" s="15">
        <v>2313</v>
      </c>
      <c r="E574" s="14">
        <v>2313</v>
      </c>
      <c r="F574" s="16" t="s">
        <v>724</v>
      </c>
      <c r="G574" s="17"/>
      <c r="H574" s="17"/>
      <c r="I574" s="56">
        <v>0</v>
      </c>
      <c r="J574" s="56"/>
      <c r="K574" s="56"/>
      <c r="L574" s="56"/>
      <c r="M574" s="56"/>
      <c r="N574" s="56"/>
      <c r="O574" s="56"/>
      <c r="P574" s="56"/>
      <c r="Q574" s="56"/>
      <c r="R574" s="56"/>
      <c r="S574" s="53"/>
      <c r="T574" s="18"/>
      <c r="U574" s="18"/>
      <c r="V574" s="19"/>
      <c r="W574" s="18"/>
      <c r="X574" s="18"/>
      <c r="Y574" s="19" t="s">
        <v>32</v>
      </c>
      <c r="Z574" s="19" t="str">
        <f>A574 &amp; "-" &amp; VLOOKUP(A574,[4]PROGRAMMES!$E$1:$F$7,2,FALSE)</f>
        <v>2-Qualité des enseignements et des apprentissages</v>
      </c>
      <c r="AA574" s="19" t="str">
        <f>B574 &amp; "-" &amp; VLOOKUP(B574,[4]SOUSPROGRAMMES!$E$1:$F$44,2,FALSE)</f>
        <v xml:space="preserve">23- Formation initiale et continue des enseignants/éducateurs y compris dans les méthodes pédagogiques innovatntes  </v>
      </c>
      <c r="AB574" s="19" t="str">
        <f>C574 &amp; "-" &amp; VLOOKUP(C574,[4]RESULTATS!$E$1:$F$176,2,FALSE)</f>
        <v>231- Une formation initiale de qualité (polyvalence, méthodes pédagogiques innovantes, éducation inclusive et gestion des classes multigrades) des formateurs et cohérente avec les curricula, est mise en place</v>
      </c>
      <c r="AC574" s="20" t="str">
        <f>D574 &amp; "-" &amp; VLOOKUP(D574,[4]STRATEGIES!$E$1:$F$504,2,FALSE)</f>
        <v>2313-Renforcer la formation des enseignants dans la gestion des classes uniques</v>
      </c>
      <c r="AD574" s="21" t="str">
        <f t="shared" si="122"/>
        <v>2313-Renforcer la formation des enseignants dans la gestion des classes uniques</v>
      </c>
    </row>
    <row r="575" spans="1:30" s="22" customFormat="1" ht="90" hidden="1" customHeight="1" x14ac:dyDescent="0.8">
      <c r="A575" s="14">
        <v>2</v>
      </c>
      <c r="B575" s="15">
        <v>23</v>
      </c>
      <c r="C575" s="15">
        <v>231</v>
      </c>
      <c r="D575" s="15">
        <v>2313</v>
      </c>
      <c r="E575" s="14">
        <v>23131</v>
      </c>
      <c r="F575" s="16" t="s">
        <v>725</v>
      </c>
      <c r="G575" s="21" t="s">
        <v>298</v>
      </c>
      <c r="H575" s="17" t="s">
        <v>66</v>
      </c>
      <c r="I575" s="56">
        <v>0</v>
      </c>
      <c r="J575" s="56"/>
      <c r="K575" s="56"/>
      <c r="L575" s="56"/>
      <c r="M575" s="56">
        <f t="shared" si="130"/>
        <v>0</v>
      </c>
      <c r="N575" s="56">
        <f>IF(OR(H575="",H575="sif",H575="PM"),0,VLOOKUP(H575,[5]CU!$C$4:$H$255,6,FALSE))</f>
        <v>0.255</v>
      </c>
      <c r="O575" s="56">
        <f t="shared" si="131"/>
        <v>0</v>
      </c>
      <c r="P575" s="56">
        <f t="shared" si="131"/>
        <v>0</v>
      </c>
      <c r="Q575" s="56">
        <f t="shared" si="131"/>
        <v>0</v>
      </c>
      <c r="R575" s="56">
        <f t="shared" si="131"/>
        <v>0</v>
      </c>
      <c r="S575" s="53">
        <f t="shared" si="132"/>
        <v>0</v>
      </c>
      <c r="T575" s="23" t="s">
        <v>178</v>
      </c>
      <c r="U575" s="18" t="s">
        <v>707</v>
      </c>
      <c r="V575" s="19" t="str">
        <f>IF(OR($H575="",$H575="sif",$H575="PM"),"",VLOOKUP($H575,[5]CU!$C$5:$J$255,8,FALSE))</f>
        <v>3. Dépenses de fonctionnement</v>
      </c>
      <c r="W575" s="18" t="s">
        <v>192</v>
      </c>
      <c r="X575" s="18" t="s">
        <v>192</v>
      </c>
      <c r="Y575" s="19" t="s">
        <v>32</v>
      </c>
      <c r="Z575" s="19" t="str">
        <f>A575 &amp; "-" &amp; VLOOKUP(A575,[4]PROGRAMMES!$E$1:$F$7,2,FALSE)</f>
        <v>2-Qualité des enseignements et des apprentissages</v>
      </c>
      <c r="AA575" s="19" t="str">
        <f>B575 &amp; "-" &amp; VLOOKUP(B575,[4]SOUSPROGRAMMES!$E$1:$F$44,2,FALSE)</f>
        <v xml:space="preserve">23- Formation initiale et continue des enseignants/éducateurs y compris dans les méthodes pédagogiques innovatntes  </v>
      </c>
      <c r="AB575" s="19" t="str">
        <f>C575 &amp; "-" &amp; VLOOKUP(C575,[4]RESULTATS!$E$1:$F$176,2,FALSE)</f>
        <v>231- Une formation initiale de qualité (polyvalence, méthodes pédagogiques innovantes, éducation inclusive et gestion des classes multigrades) des formateurs et cohérente avec les curricula, est mise en place</v>
      </c>
      <c r="AC575" s="20" t="str">
        <f>D575 &amp; "-" &amp; VLOOKUP(D575,[4]STRATEGIES!$E$1:$F$504,2,FALSE)</f>
        <v>2313-Renforcer la formation des enseignants dans la gestion des classes uniques</v>
      </c>
      <c r="AD575" s="21" t="str">
        <f t="shared" si="122"/>
        <v>23131-Elaboration d'un référentiel de compétences pour la gestion des classes uniques</v>
      </c>
    </row>
    <row r="576" spans="1:30" s="22" customFormat="1" ht="90" hidden="1" customHeight="1" x14ac:dyDescent="0.8">
      <c r="A576" s="14">
        <v>2</v>
      </c>
      <c r="B576" s="15">
        <v>23</v>
      </c>
      <c r="C576" s="15">
        <v>231</v>
      </c>
      <c r="D576" s="15">
        <v>2313</v>
      </c>
      <c r="E576" s="14">
        <v>23132</v>
      </c>
      <c r="F576" s="16" t="s">
        <v>726</v>
      </c>
      <c r="G576" s="21" t="s">
        <v>298</v>
      </c>
      <c r="H576" s="17" t="s">
        <v>66</v>
      </c>
      <c r="I576" s="56">
        <v>0</v>
      </c>
      <c r="J576" s="56"/>
      <c r="K576" s="56"/>
      <c r="L576" s="56"/>
      <c r="M576" s="56">
        <f t="shared" si="130"/>
        <v>0</v>
      </c>
      <c r="N576" s="56">
        <f>IF(OR(H576="",H576="sif",H576="PM"),0,VLOOKUP(H576,[5]CU!$C$4:$H$255,6,FALSE))</f>
        <v>0.255</v>
      </c>
      <c r="O576" s="56">
        <f t="shared" si="131"/>
        <v>0</v>
      </c>
      <c r="P576" s="56">
        <f t="shared" si="131"/>
        <v>0</v>
      </c>
      <c r="Q576" s="56">
        <f t="shared" si="131"/>
        <v>0</v>
      </c>
      <c r="R576" s="56">
        <f t="shared" si="131"/>
        <v>0</v>
      </c>
      <c r="S576" s="53">
        <f t="shared" si="132"/>
        <v>0</v>
      </c>
      <c r="T576" s="23" t="s">
        <v>178</v>
      </c>
      <c r="U576" s="18" t="s">
        <v>707</v>
      </c>
      <c r="V576" s="19" t="str">
        <f>IF(OR($H576="",$H576="sif",$H576="PM"),"",VLOOKUP($H576,[5]CU!$C$5:$J$255,8,FALSE))</f>
        <v>3. Dépenses de fonctionnement</v>
      </c>
      <c r="W576" s="18" t="s">
        <v>192</v>
      </c>
      <c r="X576" s="18" t="s">
        <v>192</v>
      </c>
      <c r="Y576" s="19" t="s">
        <v>32</v>
      </c>
      <c r="Z576" s="19" t="str">
        <f>A576 &amp; "-" &amp; VLOOKUP(A576,[4]PROGRAMMES!$E$1:$F$7,2,FALSE)</f>
        <v>2-Qualité des enseignements et des apprentissages</v>
      </c>
      <c r="AA576" s="19" t="str">
        <f>B576 &amp; "-" &amp; VLOOKUP(B576,[4]SOUSPROGRAMMES!$E$1:$F$44,2,FALSE)</f>
        <v xml:space="preserve">23- Formation initiale et continue des enseignants/éducateurs y compris dans les méthodes pédagogiques innovatntes  </v>
      </c>
      <c r="AB576" s="19" t="str">
        <f>C576 &amp; "-" &amp; VLOOKUP(C576,[4]RESULTATS!$E$1:$F$176,2,FALSE)</f>
        <v>231- Une formation initiale de qualité (polyvalence, méthodes pédagogiques innovantes, éducation inclusive et gestion des classes multigrades) des formateurs et cohérente avec les curricula, est mise en place</v>
      </c>
      <c r="AC576" s="20" t="str">
        <f>D576 &amp; "-" &amp; VLOOKUP(D576,[4]STRATEGIES!$E$1:$F$504,2,FALSE)</f>
        <v>2313-Renforcer la formation des enseignants dans la gestion des classes uniques</v>
      </c>
      <c r="AD576" s="21" t="str">
        <f t="shared" si="122"/>
        <v>23132-Elaboration d'un guide de gestion des classes uniques</v>
      </c>
    </row>
    <row r="577" spans="1:30" s="22" customFormat="1" ht="90" hidden="1" customHeight="1" x14ac:dyDescent="0.8">
      <c r="A577" s="14">
        <v>2</v>
      </c>
      <c r="B577" s="15">
        <v>23</v>
      </c>
      <c r="C577" s="15">
        <v>231</v>
      </c>
      <c r="D577" s="15">
        <v>2313</v>
      </c>
      <c r="E577" s="14">
        <v>23133</v>
      </c>
      <c r="F577" s="16" t="s">
        <v>727</v>
      </c>
      <c r="G577" s="21" t="s">
        <v>298</v>
      </c>
      <c r="H577" s="17" t="s">
        <v>66</v>
      </c>
      <c r="I577" s="56">
        <v>0</v>
      </c>
      <c r="J577" s="56"/>
      <c r="K577" s="56"/>
      <c r="L577" s="56"/>
      <c r="M577" s="56">
        <f t="shared" si="130"/>
        <v>0</v>
      </c>
      <c r="N577" s="56">
        <f>IF(OR(H577="",H577="sif",H577="PM"),0,VLOOKUP(H577,[5]CU!$C$4:$H$255,6,FALSE))</f>
        <v>0.255</v>
      </c>
      <c r="O577" s="56">
        <f t="shared" si="131"/>
        <v>0</v>
      </c>
      <c r="P577" s="56">
        <f t="shared" si="131"/>
        <v>0</v>
      </c>
      <c r="Q577" s="56">
        <f t="shared" si="131"/>
        <v>0</v>
      </c>
      <c r="R577" s="56">
        <f t="shared" si="131"/>
        <v>0</v>
      </c>
      <c r="S577" s="53">
        <f t="shared" si="132"/>
        <v>0</v>
      </c>
      <c r="T577" s="23" t="s">
        <v>178</v>
      </c>
      <c r="U577" s="18" t="s">
        <v>707</v>
      </c>
      <c r="V577" s="19" t="str">
        <f>IF(OR($H577="",$H577="sif",$H577="PM"),"",VLOOKUP($H577,[5]CU!$C$5:$J$255,8,FALSE))</f>
        <v>3. Dépenses de fonctionnement</v>
      </c>
      <c r="W577" s="18" t="s">
        <v>192</v>
      </c>
      <c r="X577" s="18" t="s">
        <v>248</v>
      </c>
      <c r="Y577" s="19" t="s">
        <v>32</v>
      </c>
      <c r="Z577" s="19" t="str">
        <f>A577 &amp; "-" &amp; VLOOKUP(A577,[4]PROGRAMMES!$E$1:$F$7,2,FALSE)</f>
        <v>2-Qualité des enseignements et des apprentissages</v>
      </c>
      <c r="AA577" s="19" t="str">
        <f>B577 &amp; "-" &amp; VLOOKUP(B577,[4]SOUSPROGRAMMES!$E$1:$F$44,2,FALSE)</f>
        <v xml:space="preserve">23- Formation initiale et continue des enseignants/éducateurs y compris dans les méthodes pédagogiques innovatntes  </v>
      </c>
      <c r="AB577" s="19" t="str">
        <f>C577 &amp; "-" &amp; VLOOKUP(C577,[4]RESULTATS!$E$1:$F$176,2,FALSE)</f>
        <v>231- Une formation initiale de qualité (polyvalence, méthodes pédagogiques innovantes, éducation inclusive et gestion des classes multigrades) des formateurs et cohérente avec les curricula, est mise en place</v>
      </c>
      <c r="AC577" s="20" t="str">
        <f>D577 &amp; "-" &amp; VLOOKUP(D577,[4]STRATEGIES!$E$1:$F$504,2,FALSE)</f>
        <v>2313-Renforcer la formation des enseignants dans la gestion des classes uniques</v>
      </c>
      <c r="AD577" s="21" t="str">
        <f t="shared" si="122"/>
        <v>23133-Prise en compte du reférentiel dans les programmes des ENI</v>
      </c>
    </row>
    <row r="578" spans="1:30" s="22" customFormat="1" ht="90" hidden="1" customHeight="1" x14ac:dyDescent="0.8">
      <c r="A578" s="14">
        <v>2</v>
      </c>
      <c r="B578" s="15">
        <v>23</v>
      </c>
      <c r="C578" s="15">
        <v>231</v>
      </c>
      <c r="D578" s="15">
        <v>2313</v>
      </c>
      <c r="E578" s="14">
        <v>23134</v>
      </c>
      <c r="F578" s="16" t="s">
        <v>728</v>
      </c>
      <c r="G578" s="21" t="s">
        <v>496</v>
      </c>
      <c r="H578" s="17" t="s">
        <v>729</v>
      </c>
      <c r="I578" s="56">
        <v>0</v>
      </c>
      <c r="J578" s="56"/>
      <c r="K578" s="56"/>
      <c r="L578" s="56"/>
      <c r="M578" s="56">
        <f t="shared" si="130"/>
        <v>0</v>
      </c>
      <c r="N578" s="56">
        <f>IF(OR(H578="",H578="sif",H578="PM"),0,VLOOKUP(H578,[5]CU!$C$4:$H$255,6,FALSE))</f>
        <v>52.8</v>
      </c>
      <c r="O578" s="56">
        <f t="shared" si="131"/>
        <v>0</v>
      </c>
      <c r="P578" s="56">
        <f t="shared" si="131"/>
        <v>0</v>
      </c>
      <c r="Q578" s="56">
        <f t="shared" si="131"/>
        <v>0</v>
      </c>
      <c r="R578" s="56">
        <f t="shared" si="131"/>
        <v>0</v>
      </c>
      <c r="S578" s="53">
        <f t="shared" si="132"/>
        <v>0</v>
      </c>
      <c r="T578" s="23" t="s">
        <v>178</v>
      </c>
      <c r="U578" s="18" t="s">
        <v>707</v>
      </c>
      <c r="V578" s="19" t="str">
        <f>IF(OR($H578="",$H578="sif",$H578="PM"),"",VLOOKUP($H578,[5]CU!$C$5:$J$255,8,FALSE))</f>
        <v>3. Manuels scolaires et matériels pédagogiques</v>
      </c>
      <c r="W578" s="18" t="s">
        <v>192</v>
      </c>
      <c r="X578" s="18" t="s">
        <v>192</v>
      </c>
      <c r="Y578" s="19" t="s">
        <v>32</v>
      </c>
      <c r="Z578" s="19" t="str">
        <f>A578 &amp; "-" &amp; VLOOKUP(A578,[4]PROGRAMMES!$E$1:$F$7,2,FALSE)</f>
        <v>2-Qualité des enseignements et des apprentissages</v>
      </c>
      <c r="AA578" s="19" t="str">
        <f>B578 &amp; "-" &amp; VLOOKUP(B578,[4]SOUSPROGRAMMES!$E$1:$F$44,2,FALSE)</f>
        <v xml:space="preserve">23- Formation initiale et continue des enseignants/éducateurs y compris dans les méthodes pédagogiques innovatntes  </v>
      </c>
      <c r="AB578" s="19" t="str">
        <f>C578 &amp; "-" &amp; VLOOKUP(C578,[4]RESULTATS!$E$1:$F$176,2,FALSE)</f>
        <v>231- Une formation initiale de qualité (polyvalence, méthodes pédagogiques innovantes, éducation inclusive et gestion des classes multigrades) des formateurs et cohérente avec les curricula, est mise en place</v>
      </c>
      <c r="AC578" s="20" t="str">
        <f>D578 &amp; "-" &amp; VLOOKUP(D578,[4]STRATEGIES!$E$1:$F$504,2,FALSE)</f>
        <v>2313-Renforcer la formation des enseignants dans la gestion des classes uniques</v>
      </c>
      <c r="AD578" s="21" t="str">
        <f t="shared" si="122"/>
        <v>23134-Acquisition de matériel et équipement pédagogique pour le fonctionnement des écoles primaire à classe unique</v>
      </c>
    </row>
    <row r="579" spans="1:30" s="22" customFormat="1" ht="45" customHeight="1" x14ac:dyDescent="0.8">
      <c r="A579" s="14">
        <v>2</v>
      </c>
      <c r="B579" s="15">
        <v>23</v>
      </c>
      <c r="C579" s="15">
        <v>232</v>
      </c>
      <c r="D579" s="15">
        <v>232</v>
      </c>
      <c r="E579" s="14">
        <v>232</v>
      </c>
      <c r="F579" s="16" t="s">
        <v>730</v>
      </c>
      <c r="G579" s="17"/>
      <c r="H579" s="17"/>
      <c r="I579" s="56">
        <v>0</v>
      </c>
      <c r="J579" s="56"/>
      <c r="K579" s="56"/>
      <c r="L579" s="56"/>
      <c r="M579" s="56"/>
      <c r="N579" s="56"/>
      <c r="O579" s="56"/>
      <c r="P579" s="56"/>
      <c r="Q579" s="56"/>
      <c r="R579" s="56"/>
      <c r="S579" s="53"/>
      <c r="T579" s="18"/>
      <c r="U579" s="18"/>
      <c r="V579" s="19"/>
      <c r="W579" s="18"/>
      <c r="X579" s="18"/>
      <c r="Y579" s="19" t="s">
        <v>32</v>
      </c>
      <c r="Z579" s="19" t="str">
        <f>A579 &amp; "-" &amp; VLOOKUP(A579,[4]PROGRAMMES!$E$1:$F$7,2,FALSE)</f>
        <v>2-Qualité des enseignements et des apprentissages</v>
      </c>
      <c r="AA579" s="19" t="str">
        <f>B579 &amp; "-" &amp; VLOOKUP(B579,[4]SOUSPROGRAMMES!$E$1:$F$44,2,FALSE)</f>
        <v xml:space="preserve">23- Formation initiale et continue des enseignants/éducateurs y compris dans les méthodes pédagogiques innovatntes  </v>
      </c>
      <c r="AB579" s="19" t="str">
        <f>C579 &amp; "-" &amp; VLOOKUP(C579,[4]RESULTATS!$E$1:$F$176,2,FALSE)</f>
        <v xml:space="preserve">232- Les cercles de qualité sont créés et sont opérationnels </v>
      </c>
      <c r="AC579" s="20" t="str">
        <f>D579 &amp; "-" &amp; VLOOKUP(D579,[4]STRATEGIES!$E$1:$F$504,2,FALSE)</f>
        <v xml:space="preserve">232- Les cercles de qualité sont créés et sont opérationnels </v>
      </c>
      <c r="AD579" s="21" t="str">
        <f t="shared" si="122"/>
        <v xml:space="preserve">232- Les cercles de qualité sont créés et sont opérationnels </v>
      </c>
    </row>
    <row r="580" spans="1:30" s="22" customFormat="1" ht="45" customHeight="1" x14ac:dyDescent="0.8">
      <c r="A580" s="14">
        <v>2</v>
      </c>
      <c r="B580" s="15">
        <v>23</v>
      </c>
      <c r="C580" s="15">
        <v>232</v>
      </c>
      <c r="D580" s="15">
        <v>2321</v>
      </c>
      <c r="E580" s="14">
        <v>2321</v>
      </c>
      <c r="F580" s="16" t="s">
        <v>731</v>
      </c>
      <c r="G580" s="17"/>
      <c r="H580" s="17"/>
      <c r="I580" s="56">
        <v>0</v>
      </c>
      <c r="J580" s="56"/>
      <c r="K580" s="56"/>
      <c r="L580" s="56"/>
      <c r="M580" s="56"/>
      <c r="N580" s="56"/>
      <c r="O580" s="56"/>
      <c r="P580" s="56"/>
      <c r="Q580" s="56"/>
      <c r="R580" s="56"/>
      <c r="S580" s="53"/>
      <c r="T580" s="18"/>
      <c r="U580" s="18"/>
      <c r="V580" s="19"/>
      <c r="W580" s="18"/>
      <c r="X580" s="18"/>
      <c r="Y580" s="19" t="s">
        <v>32</v>
      </c>
      <c r="Z580" s="19" t="str">
        <f>A580 &amp; "-" &amp; VLOOKUP(A580,[4]PROGRAMMES!$E$1:$F$7,2,FALSE)</f>
        <v>2-Qualité des enseignements et des apprentissages</v>
      </c>
      <c r="AA580" s="19" t="str">
        <f>B580 &amp; "-" &amp; VLOOKUP(B580,[4]SOUSPROGRAMMES!$E$1:$F$44,2,FALSE)</f>
        <v xml:space="preserve">23- Formation initiale et continue des enseignants/éducateurs y compris dans les méthodes pédagogiques innovatntes  </v>
      </c>
      <c r="AB580" s="19" t="str">
        <f>C580 &amp; "-" &amp; VLOOKUP(C580,[4]RESULTATS!$E$1:$F$176,2,FALSE)</f>
        <v xml:space="preserve">232- Les cercles de qualité sont créés et sont opérationnels </v>
      </c>
      <c r="AC580" s="20" t="str">
        <f>D580 &amp; "-" &amp; VLOOKUP(D580,[4]STRATEGIES!$E$1:$F$504,2,FALSE)</f>
        <v>2321-Institutionnalisation des cercles de qualité aux différents niveaux (DSEE,DPE/DCE/IRE)</v>
      </c>
      <c r="AD580" s="21" t="str">
        <f t="shared" ref="AD580:AD643" si="133">E580 &amp; "-" &amp; F580</f>
        <v>2321-Institutionnalisation des cercles de qualité aux différents niveaux (DSEE,DPE/DCE/IRE)</v>
      </c>
    </row>
    <row r="581" spans="1:30" s="22" customFormat="1" ht="45" hidden="1" customHeight="1" x14ac:dyDescent="0.8">
      <c r="A581" s="14">
        <v>2</v>
      </c>
      <c r="B581" s="15">
        <v>23</v>
      </c>
      <c r="C581" s="15">
        <v>232</v>
      </c>
      <c r="D581" s="15">
        <v>2321</v>
      </c>
      <c r="E581" s="14">
        <v>23211</v>
      </c>
      <c r="F581" s="16" t="s">
        <v>732</v>
      </c>
      <c r="G581" s="21" t="s">
        <v>651</v>
      </c>
      <c r="H581" s="17" t="s">
        <v>55</v>
      </c>
      <c r="I581" s="56">
        <v>0</v>
      </c>
      <c r="J581" s="56">
        <v>1</v>
      </c>
      <c r="K581" s="56"/>
      <c r="L581" s="56"/>
      <c r="M581" s="56">
        <f t="shared" si="130"/>
        <v>1</v>
      </c>
      <c r="N581" s="56">
        <f>IF(OR(H581="",H581="sif",H581="PM"),0,VLOOKUP(H581,[5]CU!$C$4:$H$255,6,FALSE))</f>
        <v>0</v>
      </c>
      <c r="O581" s="56"/>
      <c r="P581" s="56"/>
      <c r="Q581" s="56"/>
      <c r="R581" s="56"/>
      <c r="S581" s="53"/>
      <c r="T581" s="23" t="s">
        <v>56</v>
      </c>
      <c r="U581" s="18" t="s">
        <v>707</v>
      </c>
      <c r="V581" s="19" t="str">
        <f>IF(OR($H581="",$H581="sif",$H581="PM"),"",VLOOKUP($H581,[5]CU!$C$5:$J$255,8,FALSE))</f>
        <v/>
      </c>
      <c r="W581" s="18" t="s">
        <v>255</v>
      </c>
      <c r="X581" s="18" t="s">
        <v>273</v>
      </c>
      <c r="Y581" s="19" t="s">
        <v>32</v>
      </c>
      <c r="Z581" s="19" t="str">
        <f>A581 &amp; "-" &amp; VLOOKUP(A581,[4]PROGRAMMES!$E$1:$F$7,2,FALSE)</f>
        <v>2-Qualité des enseignements et des apprentissages</v>
      </c>
      <c r="AA581" s="19" t="str">
        <f>B581 &amp; "-" &amp; VLOOKUP(B581,[4]SOUSPROGRAMMES!$E$1:$F$44,2,FALSE)</f>
        <v xml:space="preserve">23- Formation initiale et continue des enseignants/éducateurs y compris dans les méthodes pédagogiques innovatntes  </v>
      </c>
      <c r="AB581" s="19" t="str">
        <f>C581 &amp; "-" &amp; VLOOKUP(C581,[4]RESULTATS!$E$1:$F$176,2,FALSE)</f>
        <v xml:space="preserve">232- Les cercles de qualité sont créés et sont opérationnels </v>
      </c>
      <c r="AC581" s="20" t="str">
        <f>D581 &amp; "-" &amp; VLOOKUP(D581,[4]STRATEGIES!$E$1:$F$504,2,FALSE)</f>
        <v>2321-Institutionnalisation des cercles de qualité aux différents niveaux (DSEE,DPE/DCE/IRE)</v>
      </c>
      <c r="AD581" s="21" t="str">
        <f t="shared" si="133"/>
        <v>23211-Textes instituant les cercles de qualité avec le préscolaire, l'enseignement fondamental et le secondaire</v>
      </c>
    </row>
    <row r="582" spans="1:30" s="22" customFormat="1" ht="45" customHeight="1" x14ac:dyDescent="0.8">
      <c r="A582" s="14">
        <v>2</v>
      </c>
      <c r="B582" s="15">
        <v>23</v>
      </c>
      <c r="C582" s="15">
        <v>232</v>
      </c>
      <c r="D582" s="15">
        <v>2321</v>
      </c>
      <c r="E582" s="14">
        <v>23212</v>
      </c>
      <c r="F582" s="16" t="s">
        <v>733</v>
      </c>
      <c r="G582" s="21" t="s">
        <v>51</v>
      </c>
      <c r="H582" s="17" t="s">
        <v>301</v>
      </c>
      <c r="I582" s="56">
        <v>0</v>
      </c>
      <c r="J582" s="56"/>
      <c r="K582" s="56">
        <f>25*10</f>
        <v>250</v>
      </c>
      <c r="L582" s="56"/>
      <c r="M582" s="56">
        <f t="shared" si="130"/>
        <v>250</v>
      </c>
      <c r="N582" s="56">
        <f>IF(OR(H582="",H582="sif",H582="PM"),0,VLOOKUP(H582,[5]CU!$C$4:$H$255,6,FALSE))</f>
        <v>0.67666666666666664</v>
      </c>
      <c r="O582" s="56">
        <f t="shared" ref="O582:R584" si="134">$N582*I582</f>
        <v>0</v>
      </c>
      <c r="P582" s="56">
        <f t="shared" si="134"/>
        <v>0</v>
      </c>
      <c r="Q582" s="56">
        <f t="shared" si="134"/>
        <v>169.16666666666666</v>
      </c>
      <c r="R582" s="56">
        <f t="shared" si="134"/>
        <v>0</v>
      </c>
      <c r="S582" s="53">
        <f>SUM(O582:R582)</f>
        <v>169.16666666666666</v>
      </c>
      <c r="T582" s="23" t="s">
        <v>39</v>
      </c>
      <c r="U582" s="19" t="s">
        <v>707</v>
      </c>
      <c r="V582" s="19" t="str">
        <f>IF(OR($H582="",$H582="sif",$H582="PM"),"",VLOOKUP($H582,[5]CU!$C$5:$J$255,8,FALSE))</f>
        <v>3. Formation</v>
      </c>
      <c r="W582" s="19" t="s">
        <v>708</v>
      </c>
      <c r="X582" s="19" t="s">
        <v>734</v>
      </c>
      <c r="Y582" s="19" t="s">
        <v>32</v>
      </c>
      <c r="Z582" s="19" t="str">
        <f>A582 &amp; "-" &amp; VLOOKUP(A582,[4]PROGRAMMES!$E$1:$F$7,2,FALSE)</f>
        <v>2-Qualité des enseignements et des apprentissages</v>
      </c>
      <c r="AA582" s="19" t="str">
        <f>B582 &amp; "-" &amp; VLOOKUP(B582,[4]SOUSPROGRAMMES!$E$1:$F$44,2,FALSE)</f>
        <v xml:space="preserve">23- Formation initiale et continue des enseignants/éducateurs y compris dans les méthodes pédagogiques innovatntes  </v>
      </c>
      <c r="AB582" s="19" t="str">
        <f>C582 &amp; "-" &amp; VLOOKUP(C582,[4]RESULTATS!$E$1:$F$176,2,FALSE)</f>
        <v xml:space="preserve">232- Les cercles de qualité sont créés et sont opérationnels </v>
      </c>
      <c r="AC582" s="20" t="str">
        <f>D582 &amp; "-" &amp; VLOOKUP(D582,[4]STRATEGIES!$E$1:$F$504,2,FALSE)</f>
        <v>2321-Institutionnalisation des cercles de qualité aux différents niveaux (DSEE,DPE/DCE/IRE)</v>
      </c>
      <c r="AD582" s="21" t="str">
        <f t="shared" si="133"/>
        <v>23212-Formation d'un noyau pour la formation des cercles de qualité à la démarche qualité</v>
      </c>
    </row>
    <row r="583" spans="1:30" s="22" customFormat="1" ht="45" customHeight="1" x14ac:dyDescent="0.8">
      <c r="A583" s="14">
        <v>2</v>
      </c>
      <c r="B583" s="15">
        <v>23</v>
      </c>
      <c r="C583" s="15">
        <v>232</v>
      </c>
      <c r="D583" s="15">
        <v>2321</v>
      </c>
      <c r="E583" s="14">
        <v>23213</v>
      </c>
      <c r="F583" s="16" t="s">
        <v>735</v>
      </c>
      <c r="G583" s="21" t="s">
        <v>736</v>
      </c>
      <c r="H583" s="17" t="s">
        <v>38</v>
      </c>
      <c r="I583" s="56">
        <v>0</v>
      </c>
      <c r="J583" s="56"/>
      <c r="K583" s="56"/>
      <c r="L583" s="56">
        <f>(4+2+10)*3*8</f>
        <v>384</v>
      </c>
      <c r="M583" s="56">
        <f t="shared" si="130"/>
        <v>384</v>
      </c>
      <c r="N583" s="56">
        <f>IF(OR(H583="",H583="sif",H583="PM"),0,VLOOKUP(H583,[5]CU!$C$4:$H$255,6,FALSE))</f>
        <v>0.3133333333333333</v>
      </c>
      <c r="O583" s="56">
        <f t="shared" si="134"/>
        <v>0</v>
      </c>
      <c r="P583" s="56">
        <f t="shared" si="134"/>
        <v>0</v>
      </c>
      <c r="Q583" s="56">
        <f t="shared" si="134"/>
        <v>0</v>
      </c>
      <c r="R583" s="56">
        <f t="shared" si="134"/>
        <v>120.32</v>
      </c>
      <c r="S583" s="53">
        <f>SUM(O583:R583)</f>
        <v>120.32</v>
      </c>
      <c r="T583" s="23" t="s">
        <v>39</v>
      </c>
      <c r="U583" s="19" t="s">
        <v>707</v>
      </c>
      <c r="V583" s="19" t="str">
        <f>IF(OR($H583="",$H583="sif",$H583="PM"),"",VLOOKUP($H583,[5]CU!$C$5:$J$255,8,FALSE))</f>
        <v>3. Formation</v>
      </c>
      <c r="W583" s="19" t="s">
        <v>708</v>
      </c>
      <c r="X583" s="19" t="s">
        <v>737</v>
      </c>
      <c r="Y583" s="19" t="s">
        <v>32</v>
      </c>
      <c r="Z583" s="19" t="str">
        <f>A583 &amp; "-" &amp; VLOOKUP(A583,[4]PROGRAMMES!$E$1:$F$7,2,FALSE)</f>
        <v>2-Qualité des enseignements et des apprentissages</v>
      </c>
      <c r="AA583" s="19" t="str">
        <f>B583 &amp; "-" &amp; VLOOKUP(B583,[4]SOUSPROGRAMMES!$E$1:$F$44,2,FALSE)</f>
        <v xml:space="preserve">23- Formation initiale et continue des enseignants/éducateurs y compris dans les méthodes pédagogiques innovatntes  </v>
      </c>
      <c r="AB583" s="19" t="str">
        <f>C583 &amp; "-" &amp; VLOOKUP(C583,[4]RESULTATS!$E$1:$F$176,2,FALSE)</f>
        <v xml:space="preserve">232- Les cercles de qualité sont créés et sont opérationnels </v>
      </c>
      <c r="AC583" s="20" t="str">
        <f>D583 &amp; "-" &amp; VLOOKUP(D583,[4]STRATEGIES!$E$1:$F$504,2,FALSE)</f>
        <v>2321-Institutionnalisation des cercles de qualité aux différents niveaux (DSEE,DPE/DCE/IRE)</v>
      </c>
      <c r="AD583" s="21" t="str">
        <f t="shared" si="133"/>
        <v>23213-Rencontre périodique des cercles de qualité</v>
      </c>
    </row>
    <row r="584" spans="1:30" s="22" customFormat="1" ht="45" customHeight="1" x14ac:dyDescent="0.8">
      <c r="A584" s="14">
        <v>2</v>
      </c>
      <c r="B584" s="15">
        <v>23</v>
      </c>
      <c r="C584" s="15">
        <v>232</v>
      </c>
      <c r="D584" s="15">
        <v>2321</v>
      </c>
      <c r="E584" s="14">
        <v>23214</v>
      </c>
      <c r="F584" s="16" t="s">
        <v>738</v>
      </c>
      <c r="G584" s="21" t="s">
        <v>739</v>
      </c>
      <c r="H584" s="17" t="s">
        <v>38</v>
      </c>
      <c r="I584" s="56">
        <v>0</v>
      </c>
      <c r="J584" s="56"/>
      <c r="K584" s="56"/>
      <c r="L584" s="56">
        <f>20*1*8</f>
        <v>160</v>
      </c>
      <c r="M584" s="56">
        <f t="shared" si="130"/>
        <v>160</v>
      </c>
      <c r="N584" s="56">
        <f>IF(OR(H584="",H584="sif",H584="PM"),0,VLOOKUP(H584,[5]CU!$C$4:$H$255,6,FALSE))</f>
        <v>0.3133333333333333</v>
      </c>
      <c r="O584" s="56">
        <f t="shared" si="134"/>
        <v>0</v>
      </c>
      <c r="P584" s="56">
        <f t="shared" si="134"/>
        <v>0</v>
      </c>
      <c r="Q584" s="56">
        <f t="shared" si="134"/>
        <v>0</v>
      </c>
      <c r="R584" s="56">
        <f t="shared" si="134"/>
        <v>50.133333333333326</v>
      </c>
      <c r="S584" s="53">
        <f>SUM(O584:R584)</f>
        <v>50.133333333333326</v>
      </c>
      <c r="T584" s="23" t="s">
        <v>39</v>
      </c>
      <c r="U584" s="19" t="s">
        <v>707</v>
      </c>
      <c r="V584" s="19" t="str">
        <f>IF(OR($H584="",$H584="sif",$H584="PM"),"",VLOOKUP($H584,[5]CU!$C$5:$J$255,8,FALSE))</f>
        <v>3. Formation</v>
      </c>
      <c r="W584" s="19" t="s">
        <v>708</v>
      </c>
      <c r="X584" s="19" t="s">
        <v>273</v>
      </c>
      <c r="Y584" s="19" t="s">
        <v>32</v>
      </c>
      <c r="Z584" s="19" t="str">
        <f>A584 &amp; "-" &amp; VLOOKUP(A584,[4]PROGRAMMES!$E$1:$F$7,2,FALSE)</f>
        <v>2-Qualité des enseignements et des apprentissages</v>
      </c>
      <c r="AA584" s="19" t="str">
        <f>B584 &amp; "-" &amp; VLOOKUP(B584,[4]SOUSPROGRAMMES!$E$1:$F$44,2,FALSE)</f>
        <v xml:space="preserve">23- Formation initiale et continue des enseignants/éducateurs y compris dans les méthodes pédagogiques innovatntes  </v>
      </c>
      <c r="AB584" s="19" t="str">
        <f>C584 &amp; "-" &amp; VLOOKUP(C584,[4]RESULTATS!$E$1:$F$176,2,FALSE)</f>
        <v xml:space="preserve">232- Les cercles de qualité sont créés et sont opérationnels </v>
      </c>
      <c r="AC584" s="20" t="str">
        <f>D584 &amp; "-" &amp; VLOOKUP(D584,[4]STRATEGIES!$E$1:$F$504,2,FALSE)</f>
        <v>2321-Institutionnalisation des cercles de qualité aux différents niveaux (DSEE,DPE/DCE/IRE)</v>
      </c>
      <c r="AD584" s="21" t="str">
        <f t="shared" si="133"/>
        <v>23214-Capitalisation des pratiques innovantes avec le préscolaire, l'enseignement fondamental et le secondaire</v>
      </c>
    </row>
    <row r="585" spans="1:30" s="22" customFormat="1" ht="75" customHeight="1" x14ac:dyDescent="0.8">
      <c r="A585" s="14">
        <v>2</v>
      </c>
      <c r="B585" s="15">
        <v>23</v>
      </c>
      <c r="C585" s="15">
        <v>233</v>
      </c>
      <c r="D585" s="15">
        <v>233</v>
      </c>
      <c r="E585" s="14">
        <v>233</v>
      </c>
      <c r="F585" s="16" t="s">
        <v>740</v>
      </c>
      <c r="G585" s="17"/>
      <c r="H585" s="17"/>
      <c r="I585" s="56">
        <v>0</v>
      </c>
      <c r="J585" s="56"/>
      <c r="K585" s="56"/>
      <c r="L585" s="56"/>
      <c r="M585" s="56"/>
      <c r="N585" s="56"/>
      <c r="O585" s="56"/>
      <c r="P585" s="56"/>
      <c r="Q585" s="56"/>
      <c r="R585" s="56"/>
      <c r="S585" s="53"/>
      <c r="T585" s="18"/>
      <c r="U585" s="18"/>
      <c r="V585" s="19"/>
      <c r="W585" s="18"/>
      <c r="X585" s="18"/>
      <c r="Y585" s="19" t="s">
        <v>32</v>
      </c>
      <c r="Z585" s="19" t="str">
        <f>A585 &amp; "-" &amp; VLOOKUP(A585,[4]PROGRAMMES!$E$1:$F$7,2,FALSE)</f>
        <v>2-Qualité des enseignements et des apprentissages</v>
      </c>
      <c r="AA585" s="19" t="str">
        <f>B585 &amp; "-" &amp; VLOOKUP(B585,[4]SOUSPROGRAMMES!$E$1:$F$44,2,FALSE)</f>
        <v xml:space="preserve">23- Formation initiale et continue des enseignants/éducateurs y compris dans les méthodes pédagogiques innovatntes  </v>
      </c>
      <c r="AB585" s="19" t="str">
        <f>C585 &amp; "-" &amp; VLOOKUP(C585,[4]RESULTATS!$E$1:$F$176,2,FALSE)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5" s="20" t="str">
        <f>D585 &amp; "-" &amp; VLOOKUP(D585,[4]STRATEGIES!$E$1:$F$504,2,FALSE)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D585" s="21" t="str">
        <f t="shared" si="133"/>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row>
    <row r="586" spans="1:30" s="22" customFormat="1" ht="45" customHeight="1" x14ac:dyDescent="0.8">
      <c r="A586" s="14">
        <v>2</v>
      </c>
      <c r="B586" s="15">
        <v>23</v>
      </c>
      <c r="C586" s="15">
        <v>233</v>
      </c>
      <c r="D586" s="15">
        <v>2331</v>
      </c>
      <c r="E586" s="14">
        <v>2331</v>
      </c>
      <c r="F586" s="16" t="s">
        <v>741</v>
      </c>
      <c r="G586" s="17"/>
      <c r="H586" s="17"/>
      <c r="I586" s="56">
        <v>0</v>
      </c>
      <c r="J586" s="56"/>
      <c r="K586" s="56"/>
      <c r="L586" s="56"/>
      <c r="M586" s="56"/>
      <c r="N586" s="56"/>
      <c r="O586" s="56"/>
      <c r="P586" s="56"/>
      <c r="Q586" s="56"/>
      <c r="R586" s="56"/>
      <c r="S586" s="53"/>
      <c r="T586" s="18"/>
      <c r="U586" s="18"/>
      <c r="V586" s="19"/>
      <c r="W586" s="18"/>
      <c r="X586" s="18"/>
      <c r="Y586" s="19" t="s">
        <v>32</v>
      </c>
      <c r="Z586" s="19" t="str">
        <f>A586 &amp; "-" &amp; VLOOKUP(A586,[4]PROGRAMMES!$E$1:$F$7,2,FALSE)</f>
        <v>2-Qualité des enseignements et des apprentissages</v>
      </c>
      <c r="AA586" s="19" t="str">
        <f>B586 &amp; "-" &amp; VLOOKUP(B586,[4]SOUSPROGRAMMES!$E$1:$F$44,2,FALSE)</f>
        <v xml:space="preserve">23- Formation initiale et continue des enseignants/éducateurs y compris dans les méthodes pédagogiques innovatntes  </v>
      </c>
      <c r="AB586" s="19" t="str">
        <f>C586 &amp; "-" &amp; VLOOKUP(C586,[4]RESULTATS!$E$1:$F$176,2,FALSE)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6" s="20" t="str">
        <f>D586 &amp; "-" &amp; VLOOKUP(D586,[4]STRATEGIES!$E$1:$F$504,2,FALSE)</f>
        <v>2331-Mise en place des standards de qualité pour la formation continue</v>
      </c>
      <c r="AD586" s="21" t="str">
        <f t="shared" si="133"/>
        <v>2331-Mise en place des standards de qualité pour la formation continue</v>
      </c>
    </row>
    <row r="587" spans="1:30" s="22" customFormat="1" ht="45" hidden="1" customHeight="1" x14ac:dyDescent="0.8">
      <c r="A587" s="14">
        <v>2</v>
      </c>
      <c r="B587" s="15">
        <v>23</v>
      </c>
      <c r="C587" s="15">
        <v>233</v>
      </c>
      <c r="D587" s="15">
        <v>2331</v>
      </c>
      <c r="E587" s="14">
        <v>23311</v>
      </c>
      <c r="F587" s="16" t="s">
        <v>742</v>
      </c>
      <c r="G587" s="21" t="s">
        <v>660</v>
      </c>
      <c r="H587" s="17" t="s">
        <v>55</v>
      </c>
      <c r="I587" s="56">
        <v>0</v>
      </c>
      <c r="J587" s="56">
        <v>1</v>
      </c>
      <c r="K587" s="56"/>
      <c r="L587" s="56"/>
      <c r="M587" s="56">
        <f t="shared" si="130"/>
        <v>1</v>
      </c>
      <c r="N587" s="56">
        <f>IF(OR(H587="",H587="sif",H587="PM"),0,VLOOKUP(H587,[5]CU!$C$4:$H$255,6,FALSE))</f>
        <v>0</v>
      </c>
      <c r="O587" s="56"/>
      <c r="P587" s="56"/>
      <c r="Q587" s="56"/>
      <c r="R587" s="56"/>
      <c r="S587" s="53"/>
      <c r="T587" s="23" t="s">
        <v>56</v>
      </c>
      <c r="U587" s="18" t="s">
        <v>707</v>
      </c>
      <c r="V587" s="19" t="str">
        <f>IF(OR($H587="",$H587="sif",$H587="PM"),"",VLOOKUP($H587,[5]CU!$C$5:$J$255,8,FALSE))</f>
        <v/>
      </c>
      <c r="W587" s="18" t="s">
        <v>255</v>
      </c>
      <c r="X587" s="18" t="s">
        <v>708</v>
      </c>
      <c r="Y587" s="19" t="s">
        <v>32</v>
      </c>
      <c r="Z587" s="19" t="str">
        <f>A587 &amp; "-" &amp; VLOOKUP(A587,[4]PROGRAMMES!$E$1:$F$7,2,FALSE)</f>
        <v>2-Qualité des enseignements et des apprentissages</v>
      </c>
      <c r="AA587" s="19" t="str">
        <f>B587 &amp; "-" &amp; VLOOKUP(B587,[4]SOUSPROGRAMMES!$E$1:$F$44,2,FALSE)</f>
        <v xml:space="preserve">23- Formation initiale et continue des enseignants/éducateurs y compris dans les méthodes pédagogiques innovatntes  </v>
      </c>
      <c r="AB587" s="19" t="str">
        <f>C587 &amp; "-" &amp; VLOOKUP(C587,[4]RESULTATS!$E$1:$F$176,2,FALSE)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7" s="20" t="str">
        <f>D587 &amp; "-" &amp; VLOOKUP(D587,[4]STRATEGIES!$E$1:$F$504,2,FALSE)</f>
        <v>2331-Mise en place des standards de qualité pour la formation continue</v>
      </c>
      <c r="AD587" s="21" t="str">
        <f t="shared" si="133"/>
        <v>23311-Mise en place d'une équipe technique nationale chargée de déFinir les standards de qualité sur la formation continue (DNPSCE, DNEF, DNESGT, IGE)</v>
      </c>
    </row>
    <row r="588" spans="1:30" s="22" customFormat="1" ht="45" customHeight="1" x14ac:dyDescent="0.8">
      <c r="A588" s="14">
        <v>2</v>
      </c>
      <c r="B588" s="15">
        <v>23</v>
      </c>
      <c r="C588" s="15">
        <v>233</v>
      </c>
      <c r="D588" s="15">
        <v>2331</v>
      </c>
      <c r="E588" s="14">
        <v>23312</v>
      </c>
      <c r="F588" s="16" t="s">
        <v>743</v>
      </c>
      <c r="G588" s="21" t="s">
        <v>167</v>
      </c>
      <c r="H588" s="17" t="s">
        <v>646</v>
      </c>
      <c r="I588" s="56">
        <v>0</v>
      </c>
      <c r="J588" s="56">
        <f>2*15*2</f>
        <v>60</v>
      </c>
      <c r="K588" s="56">
        <v>10</v>
      </c>
      <c r="L588" s="56"/>
      <c r="M588" s="56">
        <f t="shared" si="130"/>
        <v>70</v>
      </c>
      <c r="N588" s="56">
        <f>IF(OR(H588="",H588="sif",H588="PM"),0,VLOOKUP(H588,[5]CU!$C$4:$H$255,6,FALSE))</f>
        <v>10.404797</v>
      </c>
      <c r="O588" s="56">
        <f t="shared" ref="O588:R590" si="135">$N588*I588</f>
        <v>0</v>
      </c>
      <c r="P588" s="56">
        <f t="shared" si="135"/>
        <v>624.28782000000001</v>
      </c>
      <c r="Q588" s="56">
        <f t="shared" si="135"/>
        <v>104.04797000000001</v>
      </c>
      <c r="R588" s="56">
        <f t="shared" si="135"/>
        <v>0</v>
      </c>
      <c r="S588" s="53">
        <f>SUM(O588:R588)</f>
        <v>728.33578999999997</v>
      </c>
      <c r="T588" s="23" t="s">
        <v>39</v>
      </c>
      <c r="U588" s="19" t="s">
        <v>707</v>
      </c>
      <c r="V588" s="19" t="str">
        <f>IF(OR($H588="",$H588="sif",$H588="PM"),"",VLOOKUP($H588,[5]CU!$C$5:$J$255,8,FALSE))</f>
        <v>3. Dépenses de fonctionnement</v>
      </c>
      <c r="W588" s="19" t="s">
        <v>708</v>
      </c>
      <c r="X588" s="19" t="s">
        <v>663</v>
      </c>
      <c r="Y588" s="19" t="s">
        <v>32</v>
      </c>
      <c r="Z588" s="19" t="str">
        <f>A588 &amp; "-" &amp; VLOOKUP(A588,[4]PROGRAMMES!$E$1:$F$7,2,FALSE)</f>
        <v>2-Qualité des enseignements et des apprentissages</v>
      </c>
      <c r="AA588" s="19" t="str">
        <f>B588 &amp; "-" &amp; VLOOKUP(B588,[4]SOUSPROGRAMMES!$E$1:$F$44,2,FALSE)</f>
        <v xml:space="preserve">23- Formation initiale et continue des enseignants/éducateurs y compris dans les méthodes pédagogiques innovatntes  </v>
      </c>
      <c r="AB588" s="19" t="str">
        <f>C588 &amp; "-" &amp; VLOOKUP(C588,[4]RESULTATS!$E$1:$F$176,2,FALSE)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8" s="20" t="str">
        <f>D588 &amp; "-" &amp; VLOOKUP(D588,[4]STRATEGIES!$E$1:$F$504,2,FALSE)</f>
        <v>2331-Mise en place des standards de qualité pour la formation continue</v>
      </c>
      <c r="AD588" s="21" t="str">
        <f t="shared" si="133"/>
        <v xml:space="preserve">23312-Recrutement d'une expertise internationale d'appui à l’équipe (DNPSCE, DNEF, DNESGT, IGE) </v>
      </c>
    </row>
    <row r="589" spans="1:30" s="22" customFormat="1" ht="45" customHeight="1" x14ac:dyDescent="0.8">
      <c r="A589" s="14">
        <v>2</v>
      </c>
      <c r="B589" s="15">
        <v>23</v>
      </c>
      <c r="C589" s="15">
        <v>233</v>
      </c>
      <c r="D589" s="15">
        <v>2331</v>
      </c>
      <c r="E589" s="14">
        <v>23313</v>
      </c>
      <c r="F589" s="16" t="s">
        <v>744</v>
      </c>
      <c r="G589" s="21" t="s">
        <v>298</v>
      </c>
      <c r="H589" s="17" t="s">
        <v>66</v>
      </c>
      <c r="I589" s="56">
        <v>0</v>
      </c>
      <c r="J589" s="56">
        <f>10*5</f>
        <v>50</v>
      </c>
      <c r="K589" s="56"/>
      <c r="L589" s="56"/>
      <c r="M589" s="56">
        <f t="shared" si="130"/>
        <v>50</v>
      </c>
      <c r="N589" s="56">
        <f>IF(OR(H589="",H589="sif",H589="PM"),0,VLOOKUP(H589,[5]CU!$C$4:$H$255,6,FALSE))</f>
        <v>0.255</v>
      </c>
      <c r="O589" s="56">
        <f t="shared" si="135"/>
        <v>0</v>
      </c>
      <c r="P589" s="56">
        <f t="shared" si="135"/>
        <v>12.75</v>
      </c>
      <c r="Q589" s="56">
        <f t="shared" si="135"/>
        <v>0</v>
      </c>
      <c r="R589" s="56">
        <f t="shared" si="135"/>
        <v>0</v>
      </c>
      <c r="S589" s="53">
        <f>SUM(O589:R589)</f>
        <v>12.75</v>
      </c>
      <c r="T589" s="23" t="s">
        <v>39</v>
      </c>
      <c r="U589" s="19" t="s">
        <v>707</v>
      </c>
      <c r="V589" s="19" t="str">
        <f>IF(OR($H589="",$H589="sif",$H589="PM"),"",VLOOKUP($H589,[5]CU!$C$5:$J$255,8,FALSE))</f>
        <v>3. Dépenses de fonctionnement</v>
      </c>
      <c r="W589" s="19" t="s">
        <v>708</v>
      </c>
      <c r="X589" s="19" t="s">
        <v>745</v>
      </c>
      <c r="Y589" s="19" t="s">
        <v>32</v>
      </c>
      <c r="Z589" s="19" t="str">
        <f>A589 &amp; "-" &amp; VLOOKUP(A589,[4]PROGRAMMES!$E$1:$F$7,2,FALSE)</f>
        <v>2-Qualité des enseignements et des apprentissages</v>
      </c>
      <c r="AA589" s="19" t="str">
        <f>B589 &amp; "-" &amp; VLOOKUP(B589,[4]SOUSPROGRAMMES!$E$1:$F$44,2,FALSE)</f>
        <v xml:space="preserve">23- Formation initiale et continue des enseignants/éducateurs y compris dans les méthodes pédagogiques innovatntes  </v>
      </c>
      <c r="AB589" s="19" t="str">
        <f>C589 &amp; "-" &amp; VLOOKUP(C589,[4]RESULTATS!$E$1:$F$176,2,FALSE)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9" s="20" t="str">
        <f>D589 &amp; "-" &amp; VLOOKUP(D589,[4]STRATEGIES!$E$1:$F$504,2,FALSE)</f>
        <v>2331-Mise en place des standards de qualité pour la formation continue</v>
      </c>
      <c r="AD589" s="21" t="str">
        <f t="shared" si="133"/>
        <v>23313-DéFinition des standards de qualité sur la formation continue (DNPSCE, DNEF, DNESGT, IGE)</v>
      </c>
    </row>
    <row r="590" spans="1:30" s="22" customFormat="1" ht="45" customHeight="1" x14ac:dyDescent="0.8">
      <c r="A590" s="14">
        <v>2</v>
      </c>
      <c r="B590" s="15">
        <v>23</v>
      </c>
      <c r="C590" s="15">
        <v>233</v>
      </c>
      <c r="D590" s="15">
        <v>2331</v>
      </c>
      <c r="E590" s="14">
        <v>23314</v>
      </c>
      <c r="F590" s="16" t="s">
        <v>746</v>
      </c>
      <c r="G590" s="21" t="s">
        <v>298</v>
      </c>
      <c r="H590" s="17" t="s">
        <v>38</v>
      </c>
      <c r="I590" s="56">
        <v>0</v>
      </c>
      <c r="J590" s="56">
        <f>25*2</f>
        <v>50</v>
      </c>
      <c r="K590" s="56"/>
      <c r="L590" s="56"/>
      <c r="M590" s="56">
        <f t="shared" si="130"/>
        <v>50</v>
      </c>
      <c r="N590" s="56">
        <f>IF(OR(H590="",H590="sif",H590="PM"),0,VLOOKUP(H590,[5]CU!$C$4:$H$255,6,FALSE))</f>
        <v>0.3133333333333333</v>
      </c>
      <c r="O590" s="56">
        <f t="shared" si="135"/>
        <v>0</v>
      </c>
      <c r="P590" s="56">
        <f t="shared" si="135"/>
        <v>15.666666666666664</v>
      </c>
      <c r="Q590" s="56">
        <f t="shared" si="135"/>
        <v>0</v>
      </c>
      <c r="R590" s="56">
        <f t="shared" si="135"/>
        <v>0</v>
      </c>
      <c r="S590" s="53">
        <f>SUM(O590:R590)</f>
        <v>15.666666666666664</v>
      </c>
      <c r="T590" s="23" t="s">
        <v>39</v>
      </c>
      <c r="U590" s="19" t="s">
        <v>707</v>
      </c>
      <c r="V590" s="19" t="str">
        <f>IF(OR($H590="",$H590="sif",$H590="PM"),"",VLOOKUP($H590,[5]CU!$C$5:$J$255,8,FALSE))</f>
        <v>3. Formation</v>
      </c>
      <c r="W590" s="19" t="s">
        <v>708</v>
      </c>
      <c r="X590" s="19" t="s">
        <v>273</v>
      </c>
      <c r="Y590" s="19" t="s">
        <v>32</v>
      </c>
      <c r="Z590" s="19" t="str">
        <f>A590 &amp; "-" &amp; VLOOKUP(A590,[4]PROGRAMMES!$E$1:$F$7,2,FALSE)</f>
        <v>2-Qualité des enseignements et des apprentissages</v>
      </c>
      <c r="AA590" s="19" t="str">
        <f>B590 &amp; "-" &amp; VLOOKUP(B590,[4]SOUSPROGRAMMES!$E$1:$F$44,2,FALSE)</f>
        <v xml:space="preserve">23- Formation initiale et continue des enseignants/éducateurs y compris dans les méthodes pédagogiques innovatntes  </v>
      </c>
      <c r="AB590" s="19" t="str">
        <f>C590 &amp; "-" &amp; VLOOKUP(C590,[4]RESULTATS!$E$1:$F$176,2,FALSE)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0" s="20" t="str">
        <f>D590 &amp; "-" &amp; VLOOKUP(D590,[4]STRATEGIES!$E$1:$F$504,2,FALSE)</f>
        <v>2331-Mise en place des standards de qualité pour la formation continue</v>
      </c>
      <c r="AD590" s="21" t="str">
        <f t="shared" si="133"/>
        <v>23314-Partage et validation des standards de qualité sur la formation continue (DNPSCE, DNEF, DNESGT, IGE)</v>
      </c>
    </row>
    <row r="591" spans="1:30" s="22" customFormat="1" ht="45" customHeight="1" x14ac:dyDescent="0.8">
      <c r="A591" s="14">
        <v>2</v>
      </c>
      <c r="B591" s="15">
        <v>23</v>
      </c>
      <c r="C591" s="15">
        <v>233</v>
      </c>
      <c r="D591" s="15">
        <v>2332</v>
      </c>
      <c r="E591" s="14">
        <v>2332</v>
      </c>
      <c r="F591" s="16" t="s">
        <v>747</v>
      </c>
      <c r="G591" s="17"/>
      <c r="H591" s="17"/>
      <c r="I591" s="56">
        <v>0</v>
      </c>
      <c r="J591" s="56"/>
      <c r="K591" s="56"/>
      <c r="L591" s="56"/>
      <c r="M591" s="56"/>
      <c r="N591" s="56"/>
      <c r="O591" s="56"/>
      <c r="P591" s="56"/>
      <c r="Q591" s="56"/>
      <c r="R591" s="56"/>
      <c r="S591" s="53"/>
      <c r="T591" s="18"/>
      <c r="U591" s="18"/>
      <c r="V591" s="19"/>
      <c r="W591" s="18"/>
      <c r="X591" s="18"/>
      <c r="Y591" s="19" t="s">
        <v>32</v>
      </c>
      <c r="Z591" s="19" t="str">
        <f>A591 &amp; "-" &amp; VLOOKUP(A591,[4]PROGRAMMES!$E$1:$F$7,2,FALSE)</f>
        <v>2-Qualité des enseignements et des apprentissages</v>
      </c>
      <c r="AA591" s="19" t="str">
        <f>B591 &amp; "-" &amp; VLOOKUP(B591,[4]SOUSPROGRAMMES!$E$1:$F$44,2,FALSE)</f>
        <v xml:space="preserve">23- Formation initiale et continue des enseignants/éducateurs y compris dans les méthodes pédagogiques innovatntes  </v>
      </c>
      <c r="AB591" s="19" t="str">
        <f>C591 &amp; "-" &amp; VLOOKUP(C591,[4]RESULTATS!$E$1:$F$176,2,FALSE)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1" s="20" t="str">
        <f>D591 &amp; "-" &amp; VLOOKUP(D591,[4]STRATEGIES!$E$1:$F$504,2,FALSE)</f>
        <v>2332-Mise en place d'une Ingénierie de la formation continue</v>
      </c>
      <c r="AD591" s="21" t="str">
        <f t="shared" si="133"/>
        <v>2332-Mise en place d'une Ingénierie de la formation continue</v>
      </c>
    </row>
    <row r="592" spans="1:30" s="22" customFormat="1" ht="45" customHeight="1" x14ac:dyDescent="0.8">
      <c r="A592" s="14">
        <v>2</v>
      </c>
      <c r="B592" s="15">
        <v>23</v>
      </c>
      <c r="C592" s="15">
        <v>233</v>
      </c>
      <c r="D592" s="15">
        <v>2332</v>
      </c>
      <c r="E592" s="14">
        <v>23321</v>
      </c>
      <c r="F592" s="16" t="s">
        <v>748</v>
      </c>
      <c r="G592" s="21" t="s">
        <v>92</v>
      </c>
      <c r="H592" s="17" t="s">
        <v>55</v>
      </c>
      <c r="I592" s="56">
        <v>0</v>
      </c>
      <c r="J592" s="56">
        <v>1</v>
      </c>
      <c r="K592" s="56"/>
      <c r="L592" s="56"/>
      <c r="M592" s="56">
        <f t="shared" si="130"/>
        <v>1</v>
      </c>
      <c r="N592" s="56">
        <f>IF(OR(H592="",H592="sif",H592="PM"),0,VLOOKUP(H592,[5]CU!$C$4:$H$255,6,FALSE))</f>
        <v>0</v>
      </c>
      <c r="O592" s="56"/>
      <c r="P592" s="56"/>
      <c r="Q592" s="56"/>
      <c r="R592" s="56"/>
      <c r="S592" s="53"/>
      <c r="T592" s="23" t="s">
        <v>39</v>
      </c>
      <c r="U592" s="18" t="s">
        <v>707</v>
      </c>
      <c r="V592" s="19" t="str">
        <f>IF(OR($H592="",$H592="sif",$H592="PM"),"",VLOOKUP($H592,[5]CU!$C$5:$J$255,8,FALSE))</f>
        <v/>
      </c>
      <c r="W592" s="18" t="s">
        <v>708</v>
      </c>
      <c r="X592" s="18" t="s">
        <v>663</v>
      </c>
      <c r="Y592" s="19" t="s">
        <v>32</v>
      </c>
      <c r="Z592" s="19" t="str">
        <f>A592 &amp; "-" &amp; VLOOKUP(A592,[4]PROGRAMMES!$E$1:$F$7,2,FALSE)</f>
        <v>2-Qualité des enseignements et des apprentissages</v>
      </c>
      <c r="AA592" s="19" t="str">
        <f>B592 &amp; "-" &amp; VLOOKUP(B592,[4]SOUSPROGRAMMES!$E$1:$F$44,2,FALSE)</f>
        <v xml:space="preserve">23- Formation initiale et continue des enseignants/éducateurs y compris dans les méthodes pédagogiques innovatntes  </v>
      </c>
      <c r="AB592" s="19" t="str">
        <f>C592 &amp; "-" &amp; VLOOKUP(C592,[4]RESULTATS!$E$1:$F$176,2,FALSE)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2" s="20" t="str">
        <f>D592 &amp; "-" &amp; VLOOKUP(D592,[4]STRATEGIES!$E$1:$F$504,2,FALSE)</f>
        <v>2332-Mise en place d'une Ingénierie de la formation continue</v>
      </c>
      <c r="AD592" s="21" t="str">
        <f t="shared" si="133"/>
        <v>23321-Recrutement d'une expertise internationale (Compris dans l'activité 23212)</v>
      </c>
    </row>
    <row r="593" spans="1:30" s="22" customFormat="1" ht="45" hidden="1" customHeight="1" x14ac:dyDescent="0.8">
      <c r="A593" s="14">
        <v>2</v>
      </c>
      <c r="B593" s="15">
        <v>23</v>
      </c>
      <c r="C593" s="15">
        <v>233</v>
      </c>
      <c r="D593" s="15">
        <v>2332</v>
      </c>
      <c r="E593" s="14">
        <v>23322</v>
      </c>
      <c r="F593" s="16" t="s">
        <v>749</v>
      </c>
      <c r="G593" s="21" t="s">
        <v>92</v>
      </c>
      <c r="H593" s="17" t="s">
        <v>55</v>
      </c>
      <c r="I593" s="56">
        <v>0</v>
      </c>
      <c r="J593" s="56">
        <v>1</v>
      </c>
      <c r="K593" s="56"/>
      <c r="L593" s="56"/>
      <c r="M593" s="56">
        <f t="shared" si="130"/>
        <v>1</v>
      </c>
      <c r="N593" s="56">
        <f>IF(OR(H593="",H593="sif",H593="PM"),0,VLOOKUP(H593,[5]CU!$C$4:$H$255,6,FALSE))</f>
        <v>0</v>
      </c>
      <c r="O593" s="56"/>
      <c r="P593" s="56"/>
      <c r="Q593" s="56"/>
      <c r="R593" s="56"/>
      <c r="S593" s="53"/>
      <c r="T593" s="23" t="s">
        <v>56</v>
      </c>
      <c r="U593" s="18" t="s">
        <v>707</v>
      </c>
      <c r="V593" s="19" t="str">
        <f>IF(OR($H593="",$H593="sif",$H593="PM"),"",VLOOKUP($H593,[5]CU!$C$5:$J$255,8,FALSE))</f>
        <v/>
      </c>
      <c r="W593" s="18" t="s">
        <v>708</v>
      </c>
      <c r="X593" s="18" t="s">
        <v>750</v>
      </c>
      <c r="Y593" s="19" t="s">
        <v>32</v>
      </c>
      <c r="Z593" s="19" t="str">
        <f>A593 &amp; "-" &amp; VLOOKUP(A593,[4]PROGRAMMES!$E$1:$F$7,2,FALSE)</f>
        <v>2-Qualité des enseignements et des apprentissages</v>
      </c>
      <c r="AA593" s="19" t="str">
        <f>B593 &amp; "-" &amp; VLOOKUP(B593,[4]SOUSPROGRAMMES!$E$1:$F$44,2,FALSE)</f>
        <v xml:space="preserve">23- Formation initiale et continue des enseignants/éducateurs y compris dans les méthodes pédagogiques innovatntes  </v>
      </c>
      <c r="AB593" s="19" t="str">
        <f>C593 &amp; "-" &amp; VLOOKUP(C593,[4]RESULTATS!$E$1:$F$176,2,FALSE)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3" s="20" t="str">
        <f>D593 &amp; "-" &amp; VLOOKUP(D593,[4]STRATEGIES!$E$1:$F$504,2,FALSE)</f>
        <v>2332-Mise en place d'une Ingénierie de la formation continue</v>
      </c>
      <c r="AD593" s="21" t="str">
        <f t="shared" si="133"/>
        <v>23322-Identification d'un dispositif d'ingénierie de la formation en adéquation avec la stratégie de formation continue des enseignants (Voir activité 23141)</v>
      </c>
    </row>
    <row r="594" spans="1:30" s="22" customFormat="1" ht="45" customHeight="1" x14ac:dyDescent="0.8">
      <c r="A594" s="14">
        <v>2</v>
      </c>
      <c r="B594" s="15">
        <v>23</v>
      </c>
      <c r="C594" s="15">
        <v>233</v>
      </c>
      <c r="D594" s="15">
        <v>2332</v>
      </c>
      <c r="E594" s="14">
        <v>23323</v>
      </c>
      <c r="F594" s="16" t="s">
        <v>751</v>
      </c>
      <c r="G594" s="21" t="s">
        <v>37</v>
      </c>
      <c r="H594" s="17" t="s">
        <v>66</v>
      </c>
      <c r="I594" s="56">
        <v>0</v>
      </c>
      <c r="J594" s="56">
        <f>20*5</f>
        <v>100</v>
      </c>
      <c r="K594" s="56"/>
      <c r="L594" s="56"/>
      <c r="M594" s="56">
        <f t="shared" si="130"/>
        <v>100</v>
      </c>
      <c r="N594" s="56">
        <f>IF(OR(H594="",H594="sif",H594="PM"),0,VLOOKUP(H594,[5]CU!$C$4:$H$255,6,FALSE))</f>
        <v>0.255</v>
      </c>
      <c r="O594" s="56">
        <f t="shared" ref="O594:R595" si="136">$N594*I594</f>
        <v>0</v>
      </c>
      <c r="P594" s="56">
        <f t="shared" si="136"/>
        <v>25.5</v>
      </c>
      <c r="Q594" s="56">
        <f t="shared" si="136"/>
        <v>0</v>
      </c>
      <c r="R594" s="56">
        <f t="shared" si="136"/>
        <v>0</v>
      </c>
      <c r="S594" s="53">
        <f>SUM(O594:R594)</f>
        <v>25.5</v>
      </c>
      <c r="T594" s="23" t="s">
        <v>39</v>
      </c>
      <c r="U594" s="18" t="s">
        <v>707</v>
      </c>
      <c r="V594" s="19" t="str">
        <f>IF(OR($H594="",$H594="sif",$H594="PM"),"",VLOOKUP($H594,[5]CU!$C$5:$J$255,8,FALSE))</f>
        <v>3. Dépenses de fonctionnement</v>
      </c>
      <c r="W594" s="18" t="s">
        <v>708</v>
      </c>
      <c r="X594" s="18" t="s">
        <v>750</v>
      </c>
      <c r="Y594" s="19" t="s">
        <v>32</v>
      </c>
      <c r="Z594" s="19" t="str">
        <f>A594 &amp; "-" &amp; VLOOKUP(A594,[4]PROGRAMMES!$E$1:$F$7,2,FALSE)</f>
        <v>2-Qualité des enseignements et des apprentissages</v>
      </c>
      <c r="AA594" s="19" t="str">
        <f>B594 &amp; "-" &amp; VLOOKUP(B594,[4]SOUSPROGRAMMES!$E$1:$F$44,2,FALSE)</f>
        <v xml:space="preserve">23- Formation initiale et continue des enseignants/éducateurs y compris dans les méthodes pédagogiques innovatntes  </v>
      </c>
      <c r="AB594" s="19" t="str">
        <f>C594 &amp; "-" &amp; VLOOKUP(C594,[4]RESULTATS!$E$1:$F$176,2,FALSE)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4" s="20" t="str">
        <f>D594 &amp; "-" &amp; VLOOKUP(D594,[4]STRATEGIES!$E$1:$F$504,2,FALSE)</f>
        <v>2332-Mise en place d'une Ingénierie de la formation continue</v>
      </c>
      <c r="AD594" s="21" t="str">
        <f t="shared" si="133"/>
        <v>23323-Développement des outils pour l'opérationnalisation du dispositif</v>
      </c>
    </row>
    <row r="595" spans="1:30" s="22" customFormat="1" ht="45" customHeight="1" x14ac:dyDescent="0.8">
      <c r="A595" s="14">
        <v>2</v>
      </c>
      <c r="B595" s="15">
        <v>23</v>
      </c>
      <c r="C595" s="15">
        <v>233</v>
      </c>
      <c r="D595" s="15">
        <v>2332</v>
      </c>
      <c r="E595" s="14">
        <v>23324</v>
      </c>
      <c r="F595" s="16" t="s">
        <v>752</v>
      </c>
      <c r="G595" s="21" t="s">
        <v>37</v>
      </c>
      <c r="H595" s="17" t="s">
        <v>38</v>
      </c>
      <c r="I595" s="56">
        <v>0</v>
      </c>
      <c r="J595" s="56">
        <f>8+12*2</f>
        <v>32</v>
      </c>
      <c r="K595" s="56"/>
      <c r="L595" s="56"/>
      <c r="M595" s="56">
        <f t="shared" si="130"/>
        <v>32</v>
      </c>
      <c r="N595" s="56">
        <f>IF(OR(H595="",H595="sif",H595="PM"),0,VLOOKUP(H595,[5]CU!$C$4:$H$255,6,FALSE))</f>
        <v>0.3133333333333333</v>
      </c>
      <c r="O595" s="56">
        <f t="shared" si="136"/>
        <v>0</v>
      </c>
      <c r="P595" s="56">
        <f t="shared" si="136"/>
        <v>10.026666666666666</v>
      </c>
      <c r="Q595" s="56">
        <f t="shared" si="136"/>
        <v>0</v>
      </c>
      <c r="R595" s="56">
        <f t="shared" si="136"/>
        <v>0</v>
      </c>
      <c r="S595" s="53">
        <f>SUM(O595:R595)</f>
        <v>10.026666666666666</v>
      </c>
      <c r="T595" s="23" t="s">
        <v>39</v>
      </c>
      <c r="U595" s="18" t="s">
        <v>707</v>
      </c>
      <c r="V595" s="19" t="str">
        <f>IF(OR($H595="",$H595="sif",$H595="PM"),"",VLOOKUP($H595,[5]CU!$C$5:$J$255,8,FALSE))</f>
        <v>3. Formation</v>
      </c>
      <c r="W595" s="18" t="s">
        <v>708</v>
      </c>
      <c r="X595" s="18" t="s">
        <v>745</v>
      </c>
      <c r="Y595" s="19" t="s">
        <v>32</v>
      </c>
      <c r="Z595" s="19" t="str">
        <f>A595 &amp; "-" &amp; VLOOKUP(A595,[4]PROGRAMMES!$E$1:$F$7,2,FALSE)</f>
        <v>2-Qualité des enseignements et des apprentissages</v>
      </c>
      <c r="AA595" s="19" t="str">
        <f>B595 &amp; "-" &amp; VLOOKUP(B595,[4]SOUSPROGRAMMES!$E$1:$F$44,2,FALSE)</f>
        <v xml:space="preserve">23- Formation initiale et continue des enseignants/éducateurs y compris dans les méthodes pédagogiques innovatntes  </v>
      </c>
      <c r="AB595" s="19" t="str">
        <f>C595 &amp; "-" &amp; VLOOKUP(C595,[4]RESULTATS!$E$1:$F$176,2,FALSE)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5" s="20" t="str">
        <f>D595 &amp; "-" &amp; VLOOKUP(D595,[4]STRATEGIES!$E$1:$F$504,2,FALSE)</f>
        <v>2332-Mise en place d'une Ingénierie de la formation continue</v>
      </c>
      <c r="AD595" s="21" t="str">
        <f t="shared" si="133"/>
        <v>23324-validation et diffusion des outils</v>
      </c>
    </row>
    <row r="596" spans="1:30" s="22" customFormat="1" ht="45" hidden="1" customHeight="1" x14ac:dyDescent="0.8">
      <c r="A596" s="14">
        <v>2</v>
      </c>
      <c r="B596" s="15">
        <v>23</v>
      </c>
      <c r="C596" s="15">
        <v>233</v>
      </c>
      <c r="D596" s="15">
        <v>2332</v>
      </c>
      <c r="E596" s="14">
        <v>23325</v>
      </c>
      <c r="F596" s="16" t="s">
        <v>753</v>
      </c>
      <c r="G596" s="21" t="s">
        <v>754</v>
      </c>
      <c r="H596" s="17" t="s">
        <v>55</v>
      </c>
      <c r="I596" s="56">
        <v>0</v>
      </c>
      <c r="J596" s="56"/>
      <c r="K596" s="56">
        <v>1</v>
      </c>
      <c r="L596" s="56"/>
      <c r="M596" s="56">
        <f t="shared" si="130"/>
        <v>1</v>
      </c>
      <c r="N596" s="56">
        <f>IF(OR(H596="",H596="sif",H596="PM"),0,VLOOKUP(H596,[5]CU!$C$4:$H$255,6,FALSE))</f>
        <v>0</v>
      </c>
      <c r="O596" s="56"/>
      <c r="P596" s="56"/>
      <c r="Q596" s="56"/>
      <c r="R596" s="56"/>
      <c r="S596" s="53"/>
      <c r="T596" s="23" t="s">
        <v>56</v>
      </c>
      <c r="U596" s="18" t="s">
        <v>707</v>
      </c>
      <c r="V596" s="19" t="str">
        <f>IF(OR($H596="",$H596="sif",$H596="PM"),"",VLOOKUP($H596,[5]CU!$C$5:$J$255,8,FALSE))</f>
        <v/>
      </c>
      <c r="W596" s="18" t="s">
        <v>708</v>
      </c>
      <c r="X596" s="18" t="s">
        <v>745</v>
      </c>
      <c r="Y596" s="19" t="s">
        <v>32</v>
      </c>
      <c r="Z596" s="19" t="str">
        <f>A596 &amp; "-" &amp; VLOOKUP(A596,[4]PROGRAMMES!$E$1:$F$7,2,FALSE)</f>
        <v>2-Qualité des enseignements et des apprentissages</v>
      </c>
      <c r="AA596" s="19" t="str">
        <f>B596 &amp; "-" &amp; VLOOKUP(B596,[4]SOUSPROGRAMMES!$E$1:$F$44,2,FALSE)</f>
        <v xml:space="preserve">23- Formation initiale et continue des enseignants/éducateurs y compris dans les méthodes pédagogiques innovatntes  </v>
      </c>
      <c r="AB596" s="19" t="str">
        <f>C596 &amp; "-" &amp; VLOOKUP(C596,[4]RESULTATS!$E$1:$F$176,2,FALSE)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6" s="20" t="str">
        <f>D596 &amp; "-" &amp; VLOOKUP(D596,[4]STRATEGIES!$E$1:$F$504,2,FALSE)</f>
        <v>2332-Mise en place d'une Ingénierie de la formation continue</v>
      </c>
      <c r="AD596" s="21" t="str">
        <f t="shared" si="133"/>
        <v>23325-Identification des besoins de formation aux différents niveaux</v>
      </c>
    </row>
    <row r="597" spans="1:30" s="22" customFormat="1" ht="45" customHeight="1" x14ac:dyDescent="0.8">
      <c r="A597" s="14">
        <v>2</v>
      </c>
      <c r="B597" s="15">
        <v>23</v>
      </c>
      <c r="C597" s="15">
        <v>233</v>
      </c>
      <c r="D597" s="15">
        <v>2332</v>
      </c>
      <c r="E597" s="14">
        <v>23326</v>
      </c>
      <c r="F597" s="16" t="s">
        <v>755</v>
      </c>
      <c r="G597" s="21" t="s">
        <v>37</v>
      </c>
      <c r="H597" s="17" t="s">
        <v>66</v>
      </c>
      <c r="I597" s="56">
        <v>0</v>
      </c>
      <c r="J597" s="56"/>
      <c r="K597" s="56">
        <f>10*10</f>
        <v>100</v>
      </c>
      <c r="L597" s="56"/>
      <c r="M597" s="56">
        <f t="shared" si="130"/>
        <v>100</v>
      </c>
      <c r="N597" s="56">
        <f>IF(OR(H597="",H597="sif",H597="PM"),0,VLOOKUP(H597,[5]CU!$C$4:$H$255,6,FALSE))</f>
        <v>0.255</v>
      </c>
      <c r="O597" s="56">
        <f t="shared" ref="O597:R620" si="137">$N597*I597</f>
        <v>0</v>
      </c>
      <c r="P597" s="56">
        <f t="shared" si="137"/>
        <v>0</v>
      </c>
      <c r="Q597" s="56">
        <f t="shared" si="137"/>
        <v>25.5</v>
      </c>
      <c r="R597" s="56">
        <f t="shared" si="137"/>
        <v>0</v>
      </c>
      <c r="S597" s="53">
        <f t="shared" ref="S597:S620" si="138">SUM(O597:R597)</f>
        <v>25.5</v>
      </c>
      <c r="T597" s="23" t="s">
        <v>39</v>
      </c>
      <c r="U597" s="18" t="s">
        <v>707</v>
      </c>
      <c r="V597" s="19" t="str">
        <f>IF(OR($H597="",$H597="sif",$H597="PM"),"",VLOOKUP($H597,[5]CU!$C$5:$J$255,8,FALSE))</f>
        <v>3. Dépenses de fonctionnement</v>
      </c>
      <c r="W597" s="18" t="s">
        <v>708</v>
      </c>
      <c r="X597" s="18" t="s">
        <v>745</v>
      </c>
      <c r="Y597" s="19" t="s">
        <v>32</v>
      </c>
      <c r="Z597" s="19" t="str">
        <f>A597 &amp; "-" &amp; VLOOKUP(A597,[4]PROGRAMMES!$E$1:$F$7,2,FALSE)</f>
        <v>2-Qualité des enseignements et des apprentissages</v>
      </c>
      <c r="AA597" s="19" t="str">
        <f>B597 &amp; "-" &amp; VLOOKUP(B597,[4]SOUSPROGRAMMES!$E$1:$F$44,2,FALSE)</f>
        <v xml:space="preserve">23- Formation initiale et continue des enseignants/éducateurs y compris dans les méthodes pédagogiques innovatntes  </v>
      </c>
      <c r="AB597" s="19" t="str">
        <f>C597 &amp; "-" &amp; VLOOKUP(C597,[4]RESULTATS!$E$1:$F$176,2,FALSE)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7" s="20" t="str">
        <f>D597 &amp; "-" &amp; VLOOKUP(D597,[4]STRATEGIES!$E$1:$F$504,2,FALSE)</f>
        <v>2332-Mise en place d'une Ingénierie de la formation continue</v>
      </c>
      <c r="AD597" s="21" t="str">
        <f t="shared" si="133"/>
        <v>23326-Elaboration d'un plan de formation continue sur 3 ans (à actualiser annuellement)</v>
      </c>
    </row>
    <row r="598" spans="1:30" s="22" customFormat="1" ht="45" customHeight="1" x14ac:dyDescent="0.8">
      <c r="A598" s="14">
        <v>2</v>
      </c>
      <c r="B598" s="15">
        <v>23</v>
      </c>
      <c r="C598" s="15">
        <v>233</v>
      </c>
      <c r="D598" s="15">
        <v>2332</v>
      </c>
      <c r="E598" s="14">
        <v>23327</v>
      </c>
      <c r="F598" s="16" t="s">
        <v>756</v>
      </c>
      <c r="G598" s="21" t="s">
        <v>757</v>
      </c>
      <c r="H598" s="17" t="s">
        <v>52</v>
      </c>
      <c r="I598" s="56">
        <v>0</v>
      </c>
      <c r="J598" s="56">
        <f>1254*32.96%</f>
        <v>413.3184</v>
      </c>
      <c r="K598" s="56">
        <f>642*32.96%</f>
        <v>211.60320000000002</v>
      </c>
      <c r="L598" s="56">
        <f>659*32.96%</f>
        <v>217.2064</v>
      </c>
      <c r="M598" s="56">
        <f>SUM(I598:L598)</f>
        <v>842.12800000000004</v>
      </c>
      <c r="N598" s="56">
        <f>IF(OR(H598="",H598="sif",H598="PM"),0,VLOOKUP(H598,[5]CU!$C$4:$H$255,6,FALSE))</f>
        <v>1.5</v>
      </c>
      <c r="O598" s="56">
        <f>$N598*I598</f>
        <v>0</v>
      </c>
      <c r="P598" s="56">
        <f>$N598*J598</f>
        <v>619.97759999999994</v>
      </c>
      <c r="Q598" s="56">
        <f>$N598*K598</f>
        <v>317.40480000000002</v>
      </c>
      <c r="R598" s="56">
        <f>$N598*L598</f>
        <v>325.80959999999999</v>
      </c>
      <c r="S598" s="53">
        <f>SUM(O598:R598)</f>
        <v>1263.192</v>
      </c>
      <c r="T598" s="23" t="s">
        <v>39</v>
      </c>
      <c r="U598" s="19" t="s">
        <v>707</v>
      </c>
      <c r="V598" s="19" t="str">
        <f>IF(OR($H598="",$H598="sif",$H598="PM"),"",VLOOKUP($H598,[5]CU!$C$5:$J$255,8,FALSE))</f>
        <v>3. Formation</v>
      </c>
      <c r="W598" s="19" t="s">
        <v>708</v>
      </c>
      <c r="X598" s="19" t="s">
        <v>745</v>
      </c>
      <c r="Y598" s="19" t="s">
        <v>32</v>
      </c>
      <c r="Z598" s="19" t="str">
        <f>A598 &amp; "-" &amp; VLOOKUP(A598,[4]PROGRAMMES!$E$1:$F$7,2,FALSE)</f>
        <v>2-Qualité des enseignements et des apprentissages</v>
      </c>
      <c r="AA598" s="19" t="str">
        <f>B598 &amp; "-" &amp; VLOOKUP(B598,[4]SOUSPROGRAMMES!$E$1:$F$44,2,FALSE)</f>
        <v xml:space="preserve">23- Formation initiale et continue des enseignants/éducateurs y compris dans les méthodes pédagogiques innovatntes  </v>
      </c>
      <c r="AB598" s="19" t="str">
        <f>C598 &amp; "-" &amp; VLOOKUP(C598,[4]RESULTATS!$E$1:$F$176,2,FALSE)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8" s="20" t="str">
        <f>D598 &amp; "-" &amp; VLOOKUP(D598,[4]STRATEGIES!$E$1:$F$504,2,FALSE)</f>
        <v>2332-Mise en place d'une Ingénierie de la formation continue</v>
      </c>
      <c r="AD598" s="21" t="str">
        <f t="shared" si="133"/>
        <v>23327-Organisation des sessions de formation continue à l'intention des éducateurs du préscolaire Y compris du communautaire</v>
      </c>
    </row>
    <row r="599" spans="1:30" s="22" customFormat="1" ht="45" customHeight="1" x14ac:dyDescent="0.8">
      <c r="A599" s="14">
        <v>2</v>
      </c>
      <c r="B599" s="15">
        <v>23</v>
      </c>
      <c r="C599" s="15">
        <v>233</v>
      </c>
      <c r="D599" s="15">
        <v>2332</v>
      </c>
      <c r="E599" s="14">
        <v>23327</v>
      </c>
      <c r="F599" s="16" t="s">
        <v>756</v>
      </c>
      <c r="G599" s="21" t="s">
        <v>757</v>
      </c>
      <c r="H599" s="17" t="s">
        <v>52</v>
      </c>
      <c r="I599" s="56">
        <v>0</v>
      </c>
      <c r="J599" s="56">
        <f>1254*31.96%</f>
        <v>400.77839999999998</v>
      </c>
      <c r="K599" s="56">
        <f>642*31.96%</f>
        <v>205.1832</v>
      </c>
      <c r="L599" s="56">
        <f>659*31.96%</f>
        <v>210.6164</v>
      </c>
      <c r="M599" s="56">
        <f t="shared" si="130"/>
        <v>816.57799999999997</v>
      </c>
      <c r="N599" s="56">
        <f>IF(OR(H599="",H599="sif",H599="PM"),0,VLOOKUP(H599,[5]CU!$C$4:$H$255,6,FALSE))</f>
        <v>1.5</v>
      </c>
      <c r="O599" s="56">
        <f t="shared" si="137"/>
        <v>0</v>
      </c>
      <c r="P599" s="56">
        <f t="shared" si="137"/>
        <v>601.16759999999999</v>
      </c>
      <c r="Q599" s="56">
        <f t="shared" si="137"/>
        <v>307.77480000000003</v>
      </c>
      <c r="R599" s="56">
        <f t="shared" si="137"/>
        <v>315.9246</v>
      </c>
      <c r="S599" s="53">
        <f t="shared" si="138"/>
        <v>1224.867</v>
      </c>
      <c r="T599" s="23" t="s">
        <v>118</v>
      </c>
      <c r="U599" s="19" t="s">
        <v>707</v>
      </c>
      <c r="V599" s="19" t="str">
        <f>IF(OR($H599="",$H599="sif",$H599="PM"),"",VLOOKUP($H599,[5]CU!$C$5:$J$255,8,FALSE))</f>
        <v>3. Formation</v>
      </c>
      <c r="W599" s="19" t="s">
        <v>708</v>
      </c>
      <c r="X599" s="19" t="s">
        <v>745</v>
      </c>
      <c r="Y599" s="19" t="s">
        <v>32</v>
      </c>
      <c r="Z599" s="19" t="str">
        <f>A599 &amp; "-" &amp; VLOOKUP(A599,[4]PROGRAMMES!$E$1:$F$7,2,FALSE)</f>
        <v>2-Qualité des enseignements et des apprentissages</v>
      </c>
      <c r="AA599" s="19" t="str">
        <f>B599 &amp; "-" &amp; VLOOKUP(B599,[4]SOUSPROGRAMMES!$E$1:$F$44,2,FALSE)</f>
        <v xml:space="preserve">23- Formation initiale et continue des enseignants/éducateurs y compris dans les méthodes pédagogiques innovatntes  </v>
      </c>
      <c r="AB599" s="19" t="str">
        <f>C599 &amp; "-" &amp; VLOOKUP(C599,[4]RESULTATS!$E$1:$F$176,2,FALSE)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9" s="20" t="str">
        <f>D599 &amp; "-" &amp; VLOOKUP(D599,[4]STRATEGIES!$E$1:$F$504,2,FALSE)</f>
        <v>2332-Mise en place d'une Ingénierie de la formation continue</v>
      </c>
      <c r="AD599" s="21" t="str">
        <f t="shared" si="133"/>
        <v>23327-Organisation des sessions de formation continue à l'intention des éducateurs du préscolaire Y compris du communautaire</v>
      </c>
    </row>
    <row r="600" spans="1:30" s="22" customFormat="1" ht="45" customHeight="1" x14ac:dyDescent="0.8">
      <c r="A600" s="14">
        <v>2</v>
      </c>
      <c r="B600" s="15">
        <v>23</v>
      </c>
      <c r="C600" s="15">
        <v>233</v>
      </c>
      <c r="D600" s="15">
        <v>2332</v>
      </c>
      <c r="E600" s="14">
        <v>23327</v>
      </c>
      <c r="F600" s="16" t="s">
        <v>756</v>
      </c>
      <c r="G600" s="21" t="s">
        <v>757</v>
      </c>
      <c r="H600" s="17" t="s">
        <v>52</v>
      </c>
      <c r="I600" s="56">
        <v>0</v>
      </c>
      <c r="J600" s="56">
        <f>1254*4.12%</f>
        <v>51.6648</v>
      </c>
      <c r="K600" s="56">
        <f>642*4.12%</f>
        <v>26.450400000000002</v>
      </c>
      <c r="L600" s="56">
        <f>659*4.12%</f>
        <v>27.1508</v>
      </c>
      <c r="M600" s="56">
        <f>SUM(I600:L600)</f>
        <v>105.26600000000001</v>
      </c>
      <c r="N600" s="56">
        <f>IF(OR(H600="",H600="sif",H600="PM"),0,VLOOKUP(H600,[5]CU!$C$4:$H$255,6,FALSE))</f>
        <v>1.5</v>
      </c>
      <c r="O600" s="56">
        <f>$N600*I600</f>
        <v>0</v>
      </c>
      <c r="P600" s="56">
        <f>$N600*J600</f>
        <v>77.497199999999992</v>
      </c>
      <c r="Q600" s="56">
        <f>$N600*K600</f>
        <v>39.675600000000003</v>
      </c>
      <c r="R600" s="56">
        <f>$N600*L600</f>
        <v>40.726199999999999</v>
      </c>
      <c r="S600" s="53">
        <f>SUM(O600:R600)</f>
        <v>157.899</v>
      </c>
      <c r="T600" s="23" t="s">
        <v>129</v>
      </c>
      <c r="U600" s="19" t="s">
        <v>40</v>
      </c>
      <c r="V600" s="19" t="str">
        <f>IF(OR($H600="",$H600="sif",$H600="PM"),"",VLOOKUP($H600,[5]CU!$C$5:$J$255,8,FALSE))</f>
        <v>3. Formation</v>
      </c>
      <c r="W600" s="19" t="s">
        <v>708</v>
      </c>
      <c r="X600" s="19" t="s">
        <v>745</v>
      </c>
      <c r="Y600" s="19" t="s">
        <v>32</v>
      </c>
      <c r="Z600" s="19" t="str">
        <f>A600 &amp; "-" &amp; VLOOKUP(A600,[4]PROGRAMMES!$E$1:$F$7,2,FALSE)</f>
        <v>2-Qualité des enseignements et des apprentissages</v>
      </c>
      <c r="AA600" s="19" t="str">
        <f>B600 &amp; "-" &amp; VLOOKUP(B600,[4]SOUSPROGRAMMES!$E$1:$F$44,2,FALSE)</f>
        <v xml:space="preserve">23- Formation initiale et continue des enseignants/éducateurs y compris dans les méthodes pédagogiques innovatntes  </v>
      </c>
      <c r="AB600" s="57" t="str">
        <f>C600 &amp; "-" &amp; VLOOKUP(C600,[4]RESULTATS!$E$1:$F$176,2,FALSE)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0" s="20" t="str">
        <f>D600 &amp; "-" &amp; VLOOKUP(D600,[4]STRATEGIES!$E$1:$F$504,2,FALSE)</f>
        <v>2332-Mise en place d'une Ingénierie de la formation continue</v>
      </c>
      <c r="AD600" s="21" t="str">
        <f t="shared" si="133"/>
        <v>23327-Organisation des sessions de formation continue à l'intention des éducateurs du préscolaire Y compris du communautaire</v>
      </c>
    </row>
    <row r="601" spans="1:30" s="22" customFormat="1" ht="45" customHeight="1" x14ac:dyDescent="0.8">
      <c r="A601" s="14">
        <v>2</v>
      </c>
      <c r="B601" s="15">
        <v>23</v>
      </c>
      <c r="C601" s="15">
        <v>233</v>
      </c>
      <c r="D601" s="15">
        <v>2332</v>
      </c>
      <c r="E601" s="14">
        <v>23327</v>
      </c>
      <c r="F601" s="16" t="s">
        <v>756</v>
      </c>
      <c r="G601" s="21" t="s">
        <v>757</v>
      </c>
      <c r="H601" s="17" t="s">
        <v>52</v>
      </c>
      <c r="I601" s="56">
        <v>0</v>
      </c>
      <c r="J601" s="56">
        <f>1254*30.96%</f>
        <v>388.23839999999996</v>
      </c>
      <c r="K601" s="56">
        <f>642*30.96%</f>
        <v>198.76319999999998</v>
      </c>
      <c r="L601" s="56">
        <f>659*30.96%</f>
        <v>204.0264</v>
      </c>
      <c r="M601" s="56">
        <f t="shared" si="130"/>
        <v>791.02799999999991</v>
      </c>
      <c r="N601" s="56">
        <f>IF(OR(H601="",H601="sif",H601="PM"),0,VLOOKUP(H601,[5]CU!$C$4:$H$255,6,FALSE))</f>
        <v>1.5</v>
      </c>
      <c r="O601" s="56">
        <f t="shared" si="137"/>
        <v>0</v>
      </c>
      <c r="P601" s="56">
        <f t="shared" si="137"/>
        <v>582.35759999999993</v>
      </c>
      <c r="Q601" s="56">
        <f t="shared" si="137"/>
        <v>298.14479999999998</v>
      </c>
      <c r="R601" s="56">
        <f t="shared" si="137"/>
        <v>306.03960000000001</v>
      </c>
      <c r="S601" s="53">
        <f t="shared" si="138"/>
        <v>1186.5419999999999</v>
      </c>
      <c r="T601" s="23" t="s">
        <v>39</v>
      </c>
      <c r="U601" s="19" t="s">
        <v>707</v>
      </c>
      <c r="V601" s="19" t="str">
        <f>IF(OR($H601="",$H601="sif",$H601="PM"),"",VLOOKUP($H601,[5]CU!$C$5:$J$255,8,FALSE))</f>
        <v>3. Formation</v>
      </c>
      <c r="W601" s="19" t="s">
        <v>708</v>
      </c>
      <c r="X601" s="19" t="s">
        <v>745</v>
      </c>
      <c r="Y601" s="19" t="s">
        <v>32</v>
      </c>
      <c r="Z601" s="19" t="str">
        <f>A601 &amp; "-" &amp; VLOOKUP(A601,[4]PROGRAMMES!$E$1:$F$7,2,FALSE)</f>
        <v>2-Qualité des enseignements et des apprentissages</v>
      </c>
      <c r="AA601" s="19" t="str">
        <f>B601 &amp; "-" &amp; VLOOKUP(B601,[4]SOUSPROGRAMMES!$E$1:$F$44,2,FALSE)</f>
        <v xml:space="preserve">23- Formation initiale et continue des enseignants/éducateurs y compris dans les méthodes pédagogiques innovatntes  </v>
      </c>
      <c r="AB601" s="19" t="str">
        <f>C601 &amp; "-" &amp; VLOOKUP(C601,[4]RESULTATS!$E$1:$F$176,2,FALSE)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1" s="20" t="str">
        <f>D601 &amp; "-" &amp; VLOOKUP(D601,[4]STRATEGIES!$E$1:$F$504,2,FALSE)</f>
        <v>2332-Mise en place d'une Ingénierie de la formation continue</v>
      </c>
      <c r="AD601" s="21" t="str">
        <f t="shared" si="133"/>
        <v>23327-Organisation des sessions de formation continue à l'intention des éducateurs du préscolaire Y compris du communautaire</v>
      </c>
    </row>
    <row r="602" spans="1:30" ht="45" hidden="1" customHeight="1" x14ac:dyDescent="0.8">
      <c r="A602" s="25">
        <v>2</v>
      </c>
      <c r="B602" s="16">
        <v>23</v>
      </c>
      <c r="C602" s="16">
        <v>233</v>
      </c>
      <c r="D602" s="16">
        <v>2332</v>
      </c>
      <c r="E602" s="25">
        <v>23328</v>
      </c>
      <c r="F602" s="16" t="s">
        <v>758</v>
      </c>
      <c r="G602" s="21" t="s">
        <v>757</v>
      </c>
      <c r="H602" s="21" t="s">
        <v>52</v>
      </c>
      <c r="I602" s="56">
        <v>0</v>
      </c>
      <c r="J602" s="57">
        <f>11415*10%</f>
        <v>1141.5</v>
      </c>
      <c r="K602" s="57">
        <f>11980*5%</f>
        <v>599</v>
      </c>
      <c r="L602" s="57">
        <f>12520*50%</f>
        <v>6260</v>
      </c>
      <c r="M602" s="57">
        <f>SUM(I602:L602)</f>
        <v>8000.5</v>
      </c>
      <c r="N602" s="57">
        <f>IF(OR(H602="",H602="sif",H602="PM"),0,VLOOKUP(H602,[5]CU!$C$4:$H$255,6,FALSE))</f>
        <v>1.5</v>
      </c>
      <c r="O602" s="57">
        <f>$N602*I602</f>
        <v>0</v>
      </c>
      <c r="P602" s="57">
        <f>$N602*J602</f>
        <v>1712.25</v>
      </c>
      <c r="Q602" s="57">
        <f>$N602*K602</f>
        <v>898.5</v>
      </c>
      <c r="R602" s="57">
        <f>$N602*L602</f>
        <v>9390</v>
      </c>
      <c r="S602" s="60">
        <f>SUM(O602:R602)</f>
        <v>12000.75</v>
      </c>
      <c r="T602" s="26" t="s">
        <v>169</v>
      </c>
      <c r="U602" s="19" t="s">
        <v>707</v>
      </c>
      <c r="V602" s="19" t="str">
        <f>IF(OR($H602="",$H602="sif",$H602="PM"),"",VLOOKUP($H602,[5]CU!$C$5:$J$255,8,FALSE))</f>
        <v>3. Formation</v>
      </c>
      <c r="W602" s="19" t="s">
        <v>708</v>
      </c>
      <c r="X602" s="19" t="s">
        <v>745</v>
      </c>
      <c r="Y602" s="19" t="s">
        <v>32</v>
      </c>
      <c r="Z602" s="19" t="str">
        <f>A602 &amp; "-" &amp; VLOOKUP(A602,[4]PROGRAMMES!$E$1:$F$7,2,FALSE)</f>
        <v>2-Qualité des enseignements et des apprentissages</v>
      </c>
      <c r="AA602" s="19" t="str">
        <f>B602 &amp; "-" &amp; VLOOKUP(B602,[4]SOUSPROGRAMMES!$E$1:$F$44,2,FALSE)</f>
        <v xml:space="preserve">23- Formation initiale et continue des enseignants/éducateurs y compris dans les méthodes pédagogiques innovatntes  </v>
      </c>
      <c r="AB602" s="19" t="str">
        <f>C602 &amp; "-" &amp; VLOOKUP(C602,[4]RESULTATS!$E$1:$F$176,2,FALSE)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2" s="20" t="str">
        <f>D602 &amp; "-" &amp; VLOOKUP(D602,[4]STRATEGIES!$E$1:$F$504,2,FALSE)</f>
        <v>2332-Mise en place d'une Ingénierie de la formation continue</v>
      </c>
      <c r="AD602" s="21" t="str">
        <f t="shared" si="133"/>
        <v>23328-Organisation des sessions de formation continue à l'intention des enseignants du primaire</v>
      </c>
    </row>
    <row r="603" spans="1:30" s="22" customFormat="1" ht="45" customHeight="1" x14ac:dyDescent="0.8">
      <c r="A603" s="14">
        <v>2</v>
      </c>
      <c r="B603" s="15">
        <v>23</v>
      </c>
      <c r="C603" s="15">
        <v>233</v>
      </c>
      <c r="D603" s="15">
        <v>2332</v>
      </c>
      <c r="E603" s="14">
        <v>23328</v>
      </c>
      <c r="F603" s="16" t="s">
        <v>758</v>
      </c>
      <c r="G603" s="21" t="s">
        <v>757</v>
      </c>
      <c r="H603" s="17" t="s">
        <v>52</v>
      </c>
      <c r="I603" s="56">
        <v>0</v>
      </c>
      <c r="J603" s="56">
        <f>11415*53.07%</f>
        <v>6057.9404999999997</v>
      </c>
      <c r="K603" s="56">
        <f>11980*53.07%</f>
        <v>6357.7859999999991</v>
      </c>
      <c r="L603" s="56">
        <f>12520*53.07%</f>
        <v>6644.3639999999996</v>
      </c>
      <c r="M603" s="56">
        <f t="shared" si="130"/>
        <v>19060.090499999998</v>
      </c>
      <c r="N603" s="56">
        <f>IF(OR(H603="",H603="sif",H603="PM"),0,VLOOKUP(H603,[5]CU!$C$4:$H$255,6,FALSE))</f>
        <v>1.5</v>
      </c>
      <c r="O603" s="56">
        <f t="shared" si="137"/>
        <v>0</v>
      </c>
      <c r="P603" s="56">
        <f t="shared" si="137"/>
        <v>9086.9107499999991</v>
      </c>
      <c r="Q603" s="56">
        <f t="shared" si="137"/>
        <v>9536.6789999999983</v>
      </c>
      <c r="R603" s="56">
        <f t="shared" si="137"/>
        <v>9966.5459999999985</v>
      </c>
      <c r="S603" s="53">
        <f t="shared" si="138"/>
        <v>28590.135749999998</v>
      </c>
      <c r="T603" s="23" t="s">
        <v>118</v>
      </c>
      <c r="U603" s="19" t="s">
        <v>707</v>
      </c>
      <c r="V603" s="19" t="str">
        <f>IF(OR($H603="",$H603="sif",$H603="PM"),"",VLOOKUP($H603,[5]CU!$C$5:$J$255,8,FALSE))</f>
        <v>3. Formation</v>
      </c>
      <c r="W603" s="19" t="s">
        <v>708</v>
      </c>
      <c r="X603" s="19" t="s">
        <v>745</v>
      </c>
      <c r="Y603" s="19" t="s">
        <v>32</v>
      </c>
      <c r="Z603" s="19" t="str">
        <f>A603 &amp; "-" &amp; VLOOKUP(A603,[4]PROGRAMMES!$E$1:$F$7,2,FALSE)</f>
        <v>2-Qualité des enseignements et des apprentissages</v>
      </c>
      <c r="AA603" s="19" t="str">
        <f>B603 &amp; "-" &amp; VLOOKUP(B603,[4]SOUSPROGRAMMES!$E$1:$F$44,2,FALSE)</f>
        <v xml:space="preserve">23- Formation initiale et continue des enseignants/éducateurs y compris dans les méthodes pédagogiques innovatntes  </v>
      </c>
      <c r="AB603" s="19" t="str">
        <f>C603 &amp; "-" &amp; VLOOKUP(C603,[4]RESULTATS!$E$1:$F$176,2,FALSE)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3" s="20" t="str">
        <f>D603 &amp; "-" &amp; VLOOKUP(D603,[4]STRATEGIES!$E$1:$F$504,2,FALSE)</f>
        <v>2332-Mise en place d'une Ingénierie de la formation continue</v>
      </c>
      <c r="AD603" s="21" t="str">
        <f t="shared" si="133"/>
        <v>23328-Organisation des sessions de formation continue à l'intention des enseignants du primaire</v>
      </c>
    </row>
    <row r="604" spans="1:30" s="22" customFormat="1" ht="45" customHeight="1" x14ac:dyDescent="0.8">
      <c r="A604" s="14">
        <v>2</v>
      </c>
      <c r="B604" s="15">
        <v>23</v>
      </c>
      <c r="C604" s="15">
        <v>233</v>
      </c>
      <c r="D604" s="15">
        <v>2332</v>
      </c>
      <c r="E604" s="14">
        <v>23328</v>
      </c>
      <c r="F604" s="16" t="s">
        <v>758</v>
      </c>
      <c r="G604" s="21" t="s">
        <v>757</v>
      </c>
      <c r="H604" s="17" t="s">
        <v>52</v>
      </c>
      <c r="I604" s="56">
        <v>0</v>
      </c>
      <c r="J604" s="56">
        <f>11415*26.53%</f>
        <v>3028.3995000000004</v>
      </c>
      <c r="K604" s="56">
        <f>11980*26.53%</f>
        <v>3178.2940000000003</v>
      </c>
      <c r="L604" s="56">
        <f>12520*26.53%</f>
        <v>3321.5560000000005</v>
      </c>
      <c r="M604" s="56">
        <f>SUM(I604:L604)</f>
        <v>9528.2495000000017</v>
      </c>
      <c r="N604" s="56">
        <f>IF(OR(H604="",H604="sif",H604="PM"),0,VLOOKUP(H604,[5]CU!$C$4:$H$255,6,FALSE))</f>
        <v>1.5</v>
      </c>
      <c r="O604" s="56">
        <f>$N604*I604</f>
        <v>0</v>
      </c>
      <c r="P604" s="56">
        <f>$N604*J604</f>
        <v>4542.5992500000011</v>
      </c>
      <c r="Q604" s="56">
        <f>$N604*K604</f>
        <v>4767.4410000000007</v>
      </c>
      <c r="R604" s="56">
        <f>$N604*L604</f>
        <v>4982.3340000000007</v>
      </c>
      <c r="S604" s="53">
        <f>SUM(O604:R604)</f>
        <v>14292.374250000003</v>
      </c>
      <c r="T604" s="23" t="s">
        <v>39</v>
      </c>
      <c r="U604" s="19" t="s">
        <v>707</v>
      </c>
      <c r="V604" s="19" t="str">
        <f>IF(OR($H604="",$H604="sif",$H604="PM"),"",VLOOKUP($H604,[5]CU!$C$5:$J$255,8,FALSE))</f>
        <v>3. Formation</v>
      </c>
      <c r="W604" s="19" t="s">
        <v>708</v>
      </c>
      <c r="X604" s="19" t="s">
        <v>745</v>
      </c>
      <c r="Y604" s="19" t="s">
        <v>32</v>
      </c>
      <c r="Z604" s="19" t="str">
        <f>A604 &amp; "-" &amp; VLOOKUP(A604,[4]PROGRAMMES!$E$1:$F$7,2,FALSE)</f>
        <v>2-Qualité des enseignements et des apprentissages</v>
      </c>
      <c r="AA604" s="19" t="str">
        <f>B604 &amp; "-" &amp; VLOOKUP(B604,[4]SOUSPROGRAMMES!$E$1:$F$44,2,FALSE)</f>
        <v xml:space="preserve">23- Formation initiale et continue des enseignants/éducateurs y compris dans les méthodes pédagogiques innovatntes  </v>
      </c>
      <c r="AB604" s="19" t="str">
        <f>C604 &amp; "-" &amp; VLOOKUP(C604,[4]RESULTATS!$E$1:$F$176,2,FALSE)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4" s="20" t="str">
        <f>D604 &amp; "-" &amp; VLOOKUP(D604,[4]STRATEGIES!$E$1:$F$504,2,FALSE)</f>
        <v>2332-Mise en place d'une Ingénierie de la formation continue</v>
      </c>
      <c r="AD604" s="21" t="str">
        <f t="shared" si="133"/>
        <v>23328-Organisation des sessions de formation continue à l'intention des enseignants du primaire</v>
      </c>
    </row>
    <row r="605" spans="1:30" s="22" customFormat="1" ht="45" customHeight="1" x14ac:dyDescent="0.8">
      <c r="A605" s="14">
        <v>2</v>
      </c>
      <c r="B605" s="15">
        <v>23</v>
      </c>
      <c r="C605" s="15">
        <v>233</v>
      </c>
      <c r="D605" s="15">
        <v>2332</v>
      </c>
      <c r="E605" s="14">
        <v>23328</v>
      </c>
      <c r="F605" s="16" t="s">
        <v>758</v>
      </c>
      <c r="G605" s="21" t="s">
        <v>757</v>
      </c>
      <c r="H605" s="17" t="s">
        <v>52</v>
      </c>
      <c r="I605" s="56"/>
      <c r="J605" s="53">
        <f>11415*4.02%</f>
        <v>458.88299999999992</v>
      </c>
      <c r="K605" s="53">
        <f>11980*4.02%</f>
        <v>481.59599999999989</v>
      </c>
      <c r="L605" s="53">
        <f>12520*4.02%</f>
        <v>503.30399999999992</v>
      </c>
      <c r="M605" s="53">
        <f t="shared" si="130"/>
        <v>1443.7829999999997</v>
      </c>
      <c r="N605" s="53">
        <f>IF(OR(H605="",H605="sif",H605="PM"),0,VLOOKUP(H605,[5]CU!$C$4:$H$255,6,FALSE))</f>
        <v>1.5</v>
      </c>
      <c r="O605" s="53">
        <f t="shared" si="137"/>
        <v>0</v>
      </c>
      <c r="P605" s="53">
        <f t="shared" si="137"/>
        <v>688.32449999999994</v>
      </c>
      <c r="Q605" s="53">
        <f t="shared" si="137"/>
        <v>722.39399999999978</v>
      </c>
      <c r="R605" s="53">
        <f t="shared" si="137"/>
        <v>754.9559999999999</v>
      </c>
      <c r="S605" s="53">
        <f t="shared" si="138"/>
        <v>2165.6744999999996</v>
      </c>
      <c r="T605" s="23" t="s">
        <v>67</v>
      </c>
      <c r="U605" s="19" t="s">
        <v>707</v>
      </c>
      <c r="V605" s="19" t="str">
        <f>IF(OR($H605="",$H605="sif",$H605="PM"),"",VLOOKUP($H605,[5]CU!$C$5:$J$255,8,FALSE))</f>
        <v>3. Formation</v>
      </c>
      <c r="W605" s="19" t="s">
        <v>708</v>
      </c>
      <c r="X605" s="19" t="s">
        <v>745</v>
      </c>
      <c r="Y605" s="19" t="s">
        <v>32</v>
      </c>
      <c r="Z605" s="19" t="str">
        <f>A605 &amp; "-" &amp; VLOOKUP(A605,[4]PROGRAMMES!$E$1:$F$7,2,FALSE)</f>
        <v>2-Qualité des enseignements et des apprentissages</v>
      </c>
      <c r="AA605" s="19" t="str">
        <f>B605 &amp; "-" &amp; VLOOKUP(B605,[4]SOUSPROGRAMMES!$E$1:$F$44,2,FALSE)</f>
        <v xml:space="preserve">23- Formation initiale et continue des enseignants/éducateurs y compris dans les méthodes pédagogiques innovatntes  </v>
      </c>
      <c r="AB605" s="19" t="str">
        <f>C605 &amp; "-" &amp; VLOOKUP(C605,[4]RESULTATS!$E$1:$F$176,2,FALSE)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5" s="20" t="str">
        <f>D605 &amp; "-" &amp; VLOOKUP(D605,[4]STRATEGIES!$E$1:$F$504,2,FALSE)</f>
        <v>2332-Mise en place d'une Ingénierie de la formation continue</v>
      </c>
      <c r="AD605" s="21" t="str">
        <f t="shared" si="133"/>
        <v>23328-Organisation des sessions de formation continue à l'intention des enseignants du primaire</v>
      </c>
    </row>
    <row r="606" spans="1:30" ht="45" hidden="1" customHeight="1" x14ac:dyDescent="0.8">
      <c r="A606" s="25">
        <v>2</v>
      </c>
      <c r="B606" s="16">
        <v>23</v>
      </c>
      <c r="C606" s="16">
        <v>233</v>
      </c>
      <c r="D606" s="16">
        <v>2332</v>
      </c>
      <c r="E606" s="25">
        <v>23329</v>
      </c>
      <c r="F606" s="16" t="s">
        <v>759</v>
      </c>
      <c r="G606" s="21" t="s">
        <v>757</v>
      </c>
      <c r="H606" s="21" t="s">
        <v>52</v>
      </c>
      <c r="I606" s="56">
        <v>0</v>
      </c>
      <c r="J606" s="57">
        <f>5000*10%</f>
        <v>500</v>
      </c>
      <c r="K606" s="57">
        <f>5000*10%</f>
        <v>500</v>
      </c>
      <c r="L606" s="57">
        <f>5000*70%</f>
        <v>3500</v>
      </c>
      <c r="M606" s="57">
        <f>SUM(I606:L606)</f>
        <v>4500</v>
      </c>
      <c r="N606" s="57">
        <f>IF(OR(H606="",H606="sif",H606="PM"),0,VLOOKUP(H606,[5]CU!$C$4:$H$255,6,FALSE))</f>
        <v>1.5</v>
      </c>
      <c r="O606" s="57">
        <f>$N606*I606</f>
        <v>0</v>
      </c>
      <c r="P606" s="57">
        <f>$N606*J606</f>
        <v>750</v>
      </c>
      <c r="Q606" s="57">
        <f>$N606*K606</f>
        <v>750</v>
      </c>
      <c r="R606" s="57">
        <f>$N606*L606</f>
        <v>5250</v>
      </c>
      <c r="S606" s="60">
        <f>SUM(O606:R606)</f>
        <v>6750</v>
      </c>
      <c r="T606" s="26" t="s">
        <v>169</v>
      </c>
      <c r="U606" s="19" t="s">
        <v>707</v>
      </c>
      <c r="V606" s="19" t="str">
        <f>IF(OR($H606="",$H606="sif",$H606="PM"),"",VLOOKUP($H606,[5]CU!$C$5:$J$255,8,FALSE))</f>
        <v>3. Formation</v>
      </c>
      <c r="W606" s="19" t="s">
        <v>708</v>
      </c>
      <c r="X606" s="19" t="s">
        <v>745</v>
      </c>
      <c r="Y606" s="19" t="s">
        <v>32</v>
      </c>
      <c r="Z606" s="19" t="str">
        <f>A606 &amp; "-" &amp; VLOOKUP(A606,[4]PROGRAMMES!$E$1:$F$7,2,FALSE)</f>
        <v>2-Qualité des enseignements et des apprentissages</v>
      </c>
      <c r="AA606" s="19" t="str">
        <f>B606 &amp; "-" &amp; VLOOKUP(B606,[4]SOUSPROGRAMMES!$E$1:$F$44,2,FALSE)</f>
        <v xml:space="preserve">23- Formation initiale et continue des enseignants/éducateurs y compris dans les méthodes pédagogiques innovatntes  </v>
      </c>
      <c r="AB606" s="19" t="str">
        <f>C606 &amp; "-" &amp; VLOOKUP(C606,[4]RESULTATS!$E$1:$F$176,2,FALSE)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6" s="20" t="str">
        <f>D606 &amp; "-" &amp; VLOOKUP(D606,[4]STRATEGIES!$E$1:$F$504,2,FALSE)</f>
        <v>2332-Mise en place d'une Ingénierie de la formation continue</v>
      </c>
      <c r="AD606" s="21" t="str">
        <f t="shared" si="133"/>
        <v>23329-Organisation des sessions de formation continue à l'intention des enseignants du collège</v>
      </c>
    </row>
    <row r="607" spans="1:30" s="22" customFormat="1" ht="45" customHeight="1" x14ac:dyDescent="0.8">
      <c r="A607" s="14">
        <v>2</v>
      </c>
      <c r="B607" s="15">
        <v>23</v>
      </c>
      <c r="C607" s="15">
        <v>233</v>
      </c>
      <c r="D607" s="15">
        <v>2332</v>
      </c>
      <c r="E607" s="14">
        <v>23329</v>
      </c>
      <c r="F607" s="16" t="s">
        <v>759</v>
      </c>
      <c r="G607" s="21" t="s">
        <v>757</v>
      </c>
      <c r="H607" s="17" t="s">
        <v>52</v>
      </c>
      <c r="I607" s="56">
        <v>0</v>
      </c>
      <c r="J607" s="56">
        <f>3603.33947575342*79.99%</f>
        <v>2882.3112466551606</v>
      </c>
      <c r="K607" s="56">
        <f>4036.53440900732*79.99%</f>
        <v>3228.8238737649549</v>
      </c>
      <c r="L607" s="56">
        <f>4382.37261996234*79.99%</f>
        <v>3505.4598587078754</v>
      </c>
      <c r="M607" s="56">
        <f t="shared" si="130"/>
        <v>9616.5949791279909</v>
      </c>
      <c r="N607" s="56">
        <f>IF(OR(H607="",H607="sif",H607="PM"),0,VLOOKUP(H607,[5]CU!$C$4:$H$255,6,FALSE))</f>
        <v>1.5</v>
      </c>
      <c r="O607" s="56">
        <f t="shared" si="137"/>
        <v>0</v>
      </c>
      <c r="P607" s="56">
        <f t="shared" si="137"/>
        <v>4323.4668699827407</v>
      </c>
      <c r="Q607" s="56">
        <f t="shared" si="137"/>
        <v>4843.2358106474321</v>
      </c>
      <c r="R607" s="56">
        <f t="shared" si="137"/>
        <v>5258.1897880618126</v>
      </c>
      <c r="S607" s="53">
        <f t="shared" si="138"/>
        <v>14424.892468691985</v>
      </c>
      <c r="T607" s="23" t="s">
        <v>118</v>
      </c>
      <c r="U607" s="18" t="s">
        <v>707</v>
      </c>
      <c r="V607" s="19" t="str">
        <f>IF(OR($H607="",$H607="sif",$H607="PM"),"",VLOOKUP($H607,[5]CU!$C$5:$J$255,8,FALSE))</f>
        <v>3. Formation</v>
      </c>
      <c r="W607" s="18" t="s">
        <v>708</v>
      </c>
      <c r="X607" s="18" t="s">
        <v>745</v>
      </c>
      <c r="Y607" s="19" t="s">
        <v>32</v>
      </c>
      <c r="Z607" s="19" t="str">
        <f>A607 &amp; "-" &amp; VLOOKUP(A607,[4]PROGRAMMES!$E$1:$F$7,2,FALSE)</f>
        <v>2-Qualité des enseignements et des apprentissages</v>
      </c>
      <c r="AA607" s="19" t="str">
        <f>B607 &amp; "-" &amp; VLOOKUP(B607,[4]SOUSPROGRAMMES!$E$1:$F$44,2,FALSE)</f>
        <v xml:space="preserve">23- Formation initiale et continue des enseignants/éducateurs y compris dans les méthodes pédagogiques innovatntes  </v>
      </c>
      <c r="AB607" s="19" t="str">
        <f>C607 &amp; "-" &amp; VLOOKUP(C607,[4]RESULTATS!$E$1:$F$176,2,FALSE)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7" s="20" t="str">
        <f>D607 &amp; "-" &amp; VLOOKUP(D607,[4]STRATEGIES!$E$1:$F$504,2,FALSE)</f>
        <v>2332-Mise en place d'une Ingénierie de la formation continue</v>
      </c>
      <c r="AD607" s="21" t="str">
        <f t="shared" si="133"/>
        <v>23329-Organisation des sessions de formation continue à l'intention des enseignants du collège</v>
      </c>
    </row>
    <row r="608" spans="1:30" ht="45" hidden="1" customHeight="1" x14ac:dyDescent="0.8">
      <c r="A608" s="25">
        <v>2</v>
      </c>
      <c r="B608" s="16">
        <v>23</v>
      </c>
      <c r="C608" s="16">
        <v>233</v>
      </c>
      <c r="D608" s="16">
        <v>2332</v>
      </c>
      <c r="E608" s="25">
        <v>233210</v>
      </c>
      <c r="F608" s="16" t="s">
        <v>760</v>
      </c>
      <c r="G608" s="21" t="s">
        <v>757</v>
      </c>
      <c r="H608" s="21" t="s">
        <v>52</v>
      </c>
      <c r="I608" s="56">
        <v>0</v>
      </c>
      <c r="J608" s="57">
        <f>1160*5%</f>
        <v>58</v>
      </c>
      <c r="K608" s="57">
        <f>1160*5%</f>
        <v>58</v>
      </c>
      <c r="L608" s="57">
        <f>1431*90%</f>
        <v>1287.9000000000001</v>
      </c>
      <c r="M608" s="57">
        <f>SUM(I608:L608)</f>
        <v>1403.9</v>
      </c>
      <c r="N608" s="57">
        <f>IF(OR(H608="",H608="sif",H608="PM"),0,VLOOKUP(H608,[5]CU!$C$4:$H$255,6,FALSE))</f>
        <v>1.5</v>
      </c>
      <c r="O608" s="57">
        <f>$N608*I608</f>
        <v>0</v>
      </c>
      <c r="P608" s="57">
        <f>$N608*J608</f>
        <v>87</v>
      </c>
      <c r="Q608" s="57">
        <f>$N608*K608</f>
        <v>87</v>
      </c>
      <c r="R608" s="57">
        <f>$N608*L608</f>
        <v>1931.8500000000001</v>
      </c>
      <c r="S608" s="60">
        <f>SUM(O608:R608)</f>
        <v>2105.8500000000004</v>
      </c>
      <c r="T608" s="26" t="s">
        <v>169</v>
      </c>
      <c r="U608" s="19" t="s">
        <v>707</v>
      </c>
      <c r="V608" s="19" t="str">
        <f>IF(OR($H608="",$H608="sif",$H608="PM"),"",VLOOKUP($H608,[5]CU!$C$5:$J$255,8,FALSE))</f>
        <v>3. Formation</v>
      </c>
      <c r="W608" s="19" t="s">
        <v>708</v>
      </c>
      <c r="X608" s="19" t="s">
        <v>745</v>
      </c>
      <c r="Y608" s="19" t="s">
        <v>32</v>
      </c>
      <c r="Z608" s="19" t="str">
        <f>A608 &amp; "-" &amp; VLOOKUP(A608,[4]PROGRAMMES!$E$1:$F$7,2,FALSE)</f>
        <v>2-Qualité des enseignements et des apprentissages</v>
      </c>
      <c r="AA608" s="19" t="str">
        <f>B608 &amp; "-" &amp; VLOOKUP(B608,[4]SOUSPROGRAMMES!$E$1:$F$44,2,FALSE)</f>
        <v xml:space="preserve">23- Formation initiale et continue des enseignants/éducateurs y compris dans les méthodes pédagogiques innovatntes  </v>
      </c>
      <c r="AB608" s="19" t="str">
        <f>C608 &amp; "-" &amp; VLOOKUP(C608,[4]RESULTATS!$E$1:$F$176,2,FALSE)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8" s="20" t="str">
        <f>D608 &amp; "-" &amp; VLOOKUP(D608,[4]STRATEGIES!$E$1:$F$504,2,FALSE)</f>
        <v>2332-Mise en place d'une Ingénierie de la formation continue</v>
      </c>
      <c r="AD608" s="21" t="str">
        <f t="shared" si="133"/>
        <v>233210-Organisation des sessions de formation continue à l'intention des enseignants du lycée</v>
      </c>
    </row>
    <row r="609" spans="1:30" s="22" customFormat="1" ht="45" customHeight="1" x14ac:dyDescent="0.8">
      <c r="A609" s="14">
        <v>2</v>
      </c>
      <c r="B609" s="15">
        <v>23</v>
      </c>
      <c r="C609" s="15">
        <v>233</v>
      </c>
      <c r="D609" s="15">
        <v>2332</v>
      </c>
      <c r="E609" s="14">
        <v>233210</v>
      </c>
      <c r="F609" s="16" t="s">
        <v>760</v>
      </c>
      <c r="G609" s="21" t="s">
        <v>757</v>
      </c>
      <c r="H609" s="17" t="s">
        <v>52</v>
      </c>
      <c r="I609" s="56">
        <v>0</v>
      </c>
      <c r="J609" s="56">
        <f>1160*80%</f>
        <v>928</v>
      </c>
      <c r="K609" s="56">
        <f>1316*80%</f>
        <v>1052.8</v>
      </c>
      <c r="L609" s="56">
        <f>1431*80%</f>
        <v>1144.8</v>
      </c>
      <c r="M609" s="56">
        <f t="shared" si="130"/>
        <v>3125.6</v>
      </c>
      <c r="N609" s="56">
        <f>IF(OR(H609="",H609="sif",H609="PM"),0,VLOOKUP(H609,[5]CU!$C$4:$H$255,6,FALSE))</f>
        <v>1.5</v>
      </c>
      <c r="O609" s="56">
        <f t="shared" si="137"/>
        <v>0</v>
      </c>
      <c r="P609" s="56">
        <f t="shared" si="137"/>
        <v>1392</v>
      </c>
      <c r="Q609" s="56">
        <f t="shared" si="137"/>
        <v>1579.1999999999998</v>
      </c>
      <c r="R609" s="56">
        <f t="shared" si="137"/>
        <v>1717.1999999999998</v>
      </c>
      <c r="S609" s="53">
        <f t="shared" si="138"/>
        <v>4688.3999999999996</v>
      </c>
      <c r="T609" s="23" t="s">
        <v>118</v>
      </c>
      <c r="U609" s="18" t="s">
        <v>707</v>
      </c>
      <c r="V609" s="19" t="str">
        <f>IF(OR($H609="",$H609="sif",$H609="PM"),"",VLOOKUP($H609,[5]CU!$C$5:$J$255,8,FALSE))</f>
        <v>3. Formation</v>
      </c>
      <c r="W609" s="18" t="s">
        <v>708</v>
      </c>
      <c r="X609" s="18" t="s">
        <v>745</v>
      </c>
      <c r="Y609" s="19" t="s">
        <v>32</v>
      </c>
      <c r="Z609" s="19" t="str">
        <f>A609 &amp; "-" &amp; VLOOKUP(A609,[4]PROGRAMMES!$E$1:$F$7,2,FALSE)</f>
        <v>2-Qualité des enseignements et des apprentissages</v>
      </c>
      <c r="AA609" s="19" t="str">
        <f>B609 &amp; "-" &amp; VLOOKUP(B609,[4]SOUSPROGRAMMES!$E$1:$F$44,2,FALSE)</f>
        <v xml:space="preserve">23- Formation initiale et continue des enseignants/éducateurs y compris dans les méthodes pédagogiques innovatntes  </v>
      </c>
      <c r="AB609" s="19" t="str">
        <f>C609 &amp; "-" &amp; VLOOKUP(C609,[4]RESULTATS!$E$1:$F$176,2,FALSE)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9" s="20" t="str">
        <f>D609 &amp; "-" &amp; VLOOKUP(D609,[4]STRATEGIES!$E$1:$F$504,2,FALSE)</f>
        <v>2332-Mise en place d'une Ingénierie de la formation continue</v>
      </c>
      <c r="AD609" s="21" t="str">
        <f t="shared" si="133"/>
        <v>233210-Organisation des sessions de formation continue à l'intention des enseignants du lycée</v>
      </c>
    </row>
    <row r="610" spans="1:30" ht="45" hidden="1" customHeight="1" x14ac:dyDescent="0.8">
      <c r="A610" s="25">
        <v>2</v>
      </c>
      <c r="B610" s="16">
        <v>23</v>
      </c>
      <c r="C610" s="16">
        <v>233</v>
      </c>
      <c r="D610" s="16">
        <v>2332</v>
      </c>
      <c r="E610" s="25">
        <v>233211</v>
      </c>
      <c r="F610" s="16" t="s">
        <v>761</v>
      </c>
      <c r="G610" s="21" t="s">
        <v>757</v>
      </c>
      <c r="H610" s="21" t="s">
        <v>52</v>
      </c>
      <c r="I610" s="56">
        <v>0</v>
      </c>
      <c r="J610" s="57">
        <f>50*1</f>
        <v>50</v>
      </c>
      <c r="K610" s="57">
        <v>100</v>
      </c>
      <c r="L610" s="57">
        <v>600</v>
      </c>
      <c r="M610" s="57">
        <f t="shared" si="130"/>
        <v>750</v>
      </c>
      <c r="N610" s="57">
        <f>IF(OR(H610="",H610="sif",H610="PM"),0,VLOOKUP(H610,[5]CU!$C$4:$H$255,6,FALSE))</f>
        <v>1.5</v>
      </c>
      <c r="O610" s="57">
        <f t="shared" si="137"/>
        <v>0</v>
      </c>
      <c r="P610" s="57">
        <f t="shared" si="137"/>
        <v>75</v>
      </c>
      <c r="Q610" s="57">
        <f t="shared" si="137"/>
        <v>150</v>
      </c>
      <c r="R610" s="57">
        <f t="shared" si="137"/>
        <v>900</v>
      </c>
      <c r="S610" s="60">
        <f t="shared" si="138"/>
        <v>1125</v>
      </c>
      <c r="T610" s="26" t="s">
        <v>169</v>
      </c>
      <c r="U610" s="19" t="s">
        <v>707</v>
      </c>
      <c r="V610" s="19" t="str">
        <f>IF(OR($H610="",$H610="sif",$H610="PM"),"",VLOOKUP($H610,[5]CU!$C$5:$J$255,8,FALSE))</f>
        <v>3. Formation</v>
      </c>
      <c r="W610" s="19" t="s">
        <v>331</v>
      </c>
      <c r="X610" s="19" t="s">
        <v>331</v>
      </c>
      <c r="Y610" s="19" t="s">
        <v>32</v>
      </c>
      <c r="Z610" s="19" t="str">
        <f>A610 &amp; "-" &amp; VLOOKUP(A610,[4]PROGRAMMES!$E$1:$F$7,2,FALSE)</f>
        <v>2-Qualité des enseignements et des apprentissages</v>
      </c>
      <c r="AA610" s="19" t="str">
        <f>B610 &amp; "-" &amp; VLOOKUP(B610,[4]SOUSPROGRAMMES!$E$1:$F$44,2,FALSE)</f>
        <v xml:space="preserve">23- Formation initiale et continue des enseignants/éducateurs y compris dans les méthodes pédagogiques innovatntes  </v>
      </c>
      <c r="AB610" s="19" t="str">
        <f>C610 &amp; "-" &amp; VLOOKUP(C610,[4]RESULTATS!$E$1:$F$176,2,FALSE)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0" s="20" t="str">
        <f>D610 &amp; "-" &amp; VLOOKUP(D610,[4]STRATEGIES!$E$1:$F$504,2,FALSE)</f>
        <v>2332-Mise en place d'une Ingénierie de la formation continue</v>
      </c>
      <c r="AD610" s="21" t="str">
        <f t="shared" si="133"/>
        <v>233211-Organisation de sessions de formation à l'intention des formateurs des centres NAFA</v>
      </c>
    </row>
    <row r="611" spans="1:30" s="22" customFormat="1" ht="45" customHeight="1" x14ac:dyDescent="0.8">
      <c r="A611" s="14">
        <v>2</v>
      </c>
      <c r="B611" s="15">
        <v>23</v>
      </c>
      <c r="C611" s="15">
        <v>233</v>
      </c>
      <c r="D611" s="15">
        <v>2332</v>
      </c>
      <c r="E611" s="14">
        <v>233212</v>
      </c>
      <c r="F611" s="16" t="s">
        <v>762</v>
      </c>
      <c r="G611" s="21" t="s">
        <v>763</v>
      </c>
      <c r="H611" s="17" t="s">
        <v>59</v>
      </c>
      <c r="I611" s="56">
        <v>0</v>
      </c>
      <c r="J611" s="56">
        <f>(8*10*8)*20.01%</f>
        <v>128.06400000000002</v>
      </c>
      <c r="K611" s="56">
        <f>(8*10*8)*20.01%</f>
        <v>128.06400000000002</v>
      </c>
      <c r="L611" s="56">
        <f>(8*10*8)*20.01%</f>
        <v>128.06400000000002</v>
      </c>
      <c r="M611" s="56">
        <f>SUM(I611:L611)</f>
        <v>384.19200000000006</v>
      </c>
      <c r="N611" s="56">
        <f>IF(OR(H611="",H611="sif",H611="PM"),0,VLOOKUP(H611,[5]CU!$C$4:$H$255,6,FALSE))</f>
        <v>0.8177777777777776</v>
      </c>
      <c r="O611" s="56">
        <f>$N611*I611</f>
        <v>0</v>
      </c>
      <c r="P611" s="56">
        <f>$N611*J611</f>
        <v>104.72789333333333</v>
      </c>
      <c r="Q611" s="56">
        <f>$N611*K611</f>
        <v>104.72789333333333</v>
      </c>
      <c r="R611" s="56">
        <f>$N611*L611</f>
        <v>104.72789333333333</v>
      </c>
      <c r="S611" s="53">
        <f>SUM(O611:R611)</f>
        <v>314.18367999999998</v>
      </c>
      <c r="T611" s="23" t="s">
        <v>39</v>
      </c>
      <c r="U611" s="19" t="s">
        <v>707</v>
      </c>
      <c r="V611" s="19" t="str">
        <f>IF(OR($H611="",$H611="sif",$H611="PM"),"",VLOOKUP($H611,[5]CU!$C$5:$J$255,8,FALSE))</f>
        <v>3. Dépenses de fonctionnement</v>
      </c>
      <c r="W611" s="19" t="s">
        <v>708</v>
      </c>
      <c r="X611" s="19" t="s">
        <v>764</v>
      </c>
      <c r="Y611" s="19" t="s">
        <v>32</v>
      </c>
      <c r="Z611" s="19" t="str">
        <f>A611 &amp; "-" &amp; VLOOKUP(A611,[4]PROGRAMMES!$E$1:$F$7,2,FALSE)</f>
        <v>2-Qualité des enseignements et des apprentissages</v>
      </c>
      <c r="AA611" s="19" t="str">
        <f>B611 &amp; "-" &amp; VLOOKUP(B611,[4]SOUSPROGRAMMES!$E$1:$F$44,2,FALSE)</f>
        <v xml:space="preserve">23- Formation initiale et continue des enseignants/éducateurs y compris dans les méthodes pédagogiques innovatntes  </v>
      </c>
      <c r="AB611" s="19" t="str">
        <f>C611 &amp; "-" &amp; VLOOKUP(C611,[4]RESULTATS!$E$1:$F$176,2,FALSE)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1" s="20" t="str">
        <f>D611 &amp; "-" &amp; VLOOKUP(D611,[4]STRATEGIES!$E$1:$F$504,2,FALSE)</f>
        <v>2332-Mise en place d'une Ingénierie de la formation continue</v>
      </c>
      <c r="AD611" s="21" t="str">
        <f t="shared" si="133"/>
        <v>233212-Supervision pédagogique des enseignants formés</v>
      </c>
    </row>
    <row r="612" spans="1:30" s="22" customFormat="1" ht="45" customHeight="1" x14ac:dyDescent="0.8">
      <c r="A612" s="14">
        <v>2</v>
      </c>
      <c r="B612" s="15">
        <v>23</v>
      </c>
      <c r="C612" s="15">
        <v>233</v>
      </c>
      <c r="D612" s="15">
        <v>2332</v>
      </c>
      <c r="E612" s="14">
        <v>233212</v>
      </c>
      <c r="F612" s="16" t="s">
        <v>762</v>
      </c>
      <c r="G612" s="21" t="s">
        <v>763</v>
      </c>
      <c r="H612" s="17" t="s">
        <v>59</v>
      </c>
      <c r="I612" s="56">
        <v>0</v>
      </c>
      <c r="J612" s="56">
        <f>(8*10*8)*50.91%</f>
        <v>325.82400000000001</v>
      </c>
      <c r="K612" s="56">
        <f>(8*10*8)*50.91%</f>
        <v>325.82400000000001</v>
      </c>
      <c r="L612" s="56">
        <f>(8*10*8)*50.91%</f>
        <v>325.82400000000001</v>
      </c>
      <c r="M612" s="56">
        <f t="shared" si="130"/>
        <v>977.47199999999998</v>
      </c>
      <c r="N612" s="56">
        <f>IF(OR(H612="",H612="sif",H612="PM"),0,VLOOKUP(H612,[5]CU!$C$4:$H$255,6,FALSE))</f>
        <v>0.8177777777777776</v>
      </c>
      <c r="O612" s="56">
        <f t="shared" si="137"/>
        <v>0</v>
      </c>
      <c r="P612" s="56">
        <f t="shared" si="137"/>
        <v>266.45162666666664</v>
      </c>
      <c r="Q612" s="56">
        <f t="shared" si="137"/>
        <v>266.45162666666664</v>
      </c>
      <c r="R612" s="56">
        <f t="shared" si="137"/>
        <v>266.45162666666664</v>
      </c>
      <c r="S612" s="53">
        <f t="shared" si="138"/>
        <v>799.35487999999987</v>
      </c>
      <c r="T612" s="23" t="s">
        <v>118</v>
      </c>
      <c r="U612" s="19" t="s">
        <v>707</v>
      </c>
      <c r="V612" s="19" t="str">
        <f>IF(OR($H612="",$H612="sif",$H612="PM"),"",VLOOKUP($H612,[5]CU!$C$5:$J$255,8,FALSE))</f>
        <v>3. Dépenses de fonctionnement</v>
      </c>
      <c r="W612" s="19" t="s">
        <v>708</v>
      </c>
      <c r="X612" s="19" t="s">
        <v>764</v>
      </c>
      <c r="Y612" s="19" t="s">
        <v>32</v>
      </c>
      <c r="Z612" s="19" t="str">
        <f>A612 &amp; "-" &amp; VLOOKUP(A612,[4]PROGRAMMES!$E$1:$F$7,2,FALSE)</f>
        <v>2-Qualité des enseignements et des apprentissages</v>
      </c>
      <c r="AA612" s="19" t="str">
        <f>B612 &amp; "-" &amp; VLOOKUP(B612,[4]SOUSPROGRAMMES!$E$1:$F$44,2,FALSE)</f>
        <v xml:space="preserve">23- Formation initiale et continue des enseignants/éducateurs y compris dans les méthodes pédagogiques innovatntes  </v>
      </c>
      <c r="AB612" s="19" t="str">
        <f>C612 &amp; "-" &amp; VLOOKUP(C612,[4]RESULTATS!$E$1:$F$176,2,FALSE)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2" s="20" t="str">
        <f>D612 &amp; "-" &amp; VLOOKUP(D612,[4]STRATEGIES!$E$1:$F$504,2,FALSE)</f>
        <v>2332-Mise en place d'une Ingénierie de la formation continue</v>
      </c>
      <c r="AD612" s="21" t="str">
        <f t="shared" si="133"/>
        <v>233212-Supervision pédagogique des enseignants formés</v>
      </c>
    </row>
    <row r="613" spans="1:30" s="22" customFormat="1" ht="45" customHeight="1" x14ac:dyDescent="0.8">
      <c r="A613" s="14">
        <v>2</v>
      </c>
      <c r="B613" s="15">
        <v>23</v>
      </c>
      <c r="C613" s="15">
        <v>233</v>
      </c>
      <c r="D613" s="15">
        <v>2332</v>
      </c>
      <c r="E613" s="14">
        <v>233212</v>
      </c>
      <c r="F613" s="16" t="s">
        <v>762</v>
      </c>
      <c r="G613" s="21" t="s">
        <v>763</v>
      </c>
      <c r="H613" s="17" t="s">
        <v>59</v>
      </c>
      <c r="I613" s="56">
        <v>0</v>
      </c>
      <c r="J613" s="56">
        <f>(8*10*8)*4.46%</f>
        <v>28.544</v>
      </c>
      <c r="K613" s="56">
        <f>(8*10*8)*4.46%</f>
        <v>28.544</v>
      </c>
      <c r="L613" s="56">
        <f>(8*10*8)*4.46%</f>
        <v>28.544</v>
      </c>
      <c r="M613" s="56">
        <f>SUM(I613:L613)</f>
        <v>85.632000000000005</v>
      </c>
      <c r="N613" s="56">
        <f>IF(OR(H613="",H613="sif",H613="PM"),0,VLOOKUP(H613,[5]CU!$C$4:$H$255,6,FALSE))</f>
        <v>0.8177777777777776</v>
      </c>
      <c r="O613" s="56">
        <f>$N613*I613</f>
        <v>0</v>
      </c>
      <c r="P613" s="56">
        <f>$N613*J613</f>
        <v>23.342648888888885</v>
      </c>
      <c r="Q613" s="56">
        <f>$N613*K613</f>
        <v>23.342648888888885</v>
      </c>
      <c r="R613" s="56">
        <f>$N613*L613</f>
        <v>23.342648888888885</v>
      </c>
      <c r="S613" s="53">
        <f>SUM(O613:R613)</f>
        <v>70.027946666666651</v>
      </c>
      <c r="T613" s="23" t="s">
        <v>39</v>
      </c>
      <c r="U613" s="19" t="s">
        <v>707</v>
      </c>
      <c r="V613" s="19" t="str">
        <f>IF(OR($H613="",$H613="sif",$H613="PM"),"",VLOOKUP($H613,[5]CU!$C$5:$J$255,8,FALSE))</f>
        <v>3. Dépenses de fonctionnement</v>
      </c>
      <c r="W613" s="19" t="s">
        <v>708</v>
      </c>
      <c r="X613" s="19" t="s">
        <v>764</v>
      </c>
      <c r="Y613" s="19" t="s">
        <v>32</v>
      </c>
      <c r="Z613" s="19" t="str">
        <f>A613 &amp; "-" &amp; VLOOKUP(A613,[4]PROGRAMMES!$E$1:$F$7,2,FALSE)</f>
        <v>2-Qualité des enseignements et des apprentissages</v>
      </c>
      <c r="AA613" s="19" t="str">
        <f>B613 &amp; "-" &amp; VLOOKUP(B613,[4]SOUSPROGRAMMES!$E$1:$F$44,2,FALSE)</f>
        <v xml:space="preserve">23- Formation initiale et continue des enseignants/éducateurs y compris dans les méthodes pédagogiques innovatntes  </v>
      </c>
      <c r="AB613" s="19" t="str">
        <f>C613 &amp; "-" &amp; VLOOKUP(C613,[4]RESULTATS!$E$1:$F$176,2,FALSE)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3" s="20" t="str">
        <f>D613 &amp; "-" &amp; VLOOKUP(D613,[4]STRATEGIES!$E$1:$F$504,2,FALSE)</f>
        <v>2332-Mise en place d'une Ingénierie de la formation continue</v>
      </c>
      <c r="AD613" s="21" t="str">
        <f t="shared" si="133"/>
        <v>233212-Supervision pédagogique des enseignants formés</v>
      </c>
    </row>
    <row r="614" spans="1:30" s="22" customFormat="1" ht="45" hidden="1" customHeight="1" x14ac:dyDescent="0.8">
      <c r="A614" s="14">
        <v>2</v>
      </c>
      <c r="B614" s="15">
        <v>23</v>
      </c>
      <c r="C614" s="15">
        <v>233</v>
      </c>
      <c r="D614" s="15">
        <v>2332</v>
      </c>
      <c r="E614" s="14">
        <v>233212</v>
      </c>
      <c r="F614" s="16" t="s">
        <v>762</v>
      </c>
      <c r="G614" s="21" t="s">
        <v>763</v>
      </c>
      <c r="H614" s="17" t="s">
        <v>59</v>
      </c>
      <c r="I614" s="56">
        <v>0</v>
      </c>
      <c r="J614" s="56"/>
      <c r="K614" s="56"/>
      <c r="L614" s="56"/>
      <c r="M614" s="56">
        <f t="shared" si="130"/>
        <v>0</v>
      </c>
      <c r="N614" s="56">
        <f>IF(OR(H614="",H614="sif",H614="PM"),0,VLOOKUP(H614,[5]CU!$C$4:$H$255,6,FALSE))</f>
        <v>0.8177777777777776</v>
      </c>
      <c r="O614" s="56">
        <f t="shared" si="137"/>
        <v>0</v>
      </c>
      <c r="P614" s="56">
        <f t="shared" si="137"/>
        <v>0</v>
      </c>
      <c r="Q614" s="56">
        <f t="shared" si="137"/>
        <v>0</v>
      </c>
      <c r="R614" s="56">
        <f t="shared" si="137"/>
        <v>0</v>
      </c>
      <c r="S614" s="53">
        <f t="shared" si="138"/>
        <v>0</v>
      </c>
      <c r="T614" s="23" t="s">
        <v>178</v>
      </c>
      <c r="U614" s="19" t="s">
        <v>707</v>
      </c>
      <c r="V614" s="19" t="str">
        <f>IF(OR($H614="",$H614="sif",$H614="PM"),"",VLOOKUP($H614,[5]CU!$C$5:$J$255,8,FALSE))</f>
        <v>3. Dépenses de fonctionnement</v>
      </c>
      <c r="W614" s="19" t="s">
        <v>708</v>
      </c>
      <c r="X614" s="19" t="s">
        <v>764</v>
      </c>
      <c r="Y614" s="19" t="s">
        <v>32</v>
      </c>
      <c r="Z614" s="19" t="str">
        <f>A614 &amp; "-" &amp; VLOOKUP(A614,[4]PROGRAMMES!$E$1:$F$7,2,FALSE)</f>
        <v>2-Qualité des enseignements et des apprentissages</v>
      </c>
      <c r="AA614" s="19" t="str">
        <f>B614 &amp; "-" &amp; VLOOKUP(B614,[4]SOUSPROGRAMMES!$E$1:$F$44,2,FALSE)</f>
        <v xml:space="preserve">23- Formation initiale et continue des enseignants/éducateurs y compris dans les méthodes pédagogiques innovatntes  </v>
      </c>
      <c r="AB614" s="19" t="str">
        <f>C614 &amp; "-" &amp; VLOOKUP(C614,[4]RESULTATS!$E$1:$F$176,2,FALSE)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4" s="20" t="str">
        <f>D614 &amp; "-" &amp; VLOOKUP(D614,[4]STRATEGIES!$E$1:$F$504,2,FALSE)</f>
        <v>2332-Mise en place d'une Ingénierie de la formation continue</v>
      </c>
      <c r="AD614" s="21" t="str">
        <f t="shared" si="133"/>
        <v>233212-Supervision pédagogique des enseignants formés</v>
      </c>
    </row>
    <row r="615" spans="1:30" s="22" customFormat="1" ht="45" customHeight="1" x14ac:dyDescent="0.8">
      <c r="A615" s="14">
        <v>2</v>
      </c>
      <c r="B615" s="15">
        <v>23</v>
      </c>
      <c r="C615" s="15">
        <v>233</v>
      </c>
      <c r="D615" s="15">
        <v>2332</v>
      </c>
      <c r="E615" s="14">
        <v>233213</v>
      </c>
      <c r="F615" s="16" t="s">
        <v>765</v>
      </c>
      <c r="G615" s="21" t="s">
        <v>58</v>
      </c>
      <c r="H615" s="17" t="s">
        <v>59</v>
      </c>
      <c r="I615" s="56">
        <v>0</v>
      </c>
      <c r="J615" s="56"/>
      <c r="K615" s="56">
        <f>4*6*8</f>
        <v>192</v>
      </c>
      <c r="L615" s="56">
        <f>4*10*8</f>
        <v>320</v>
      </c>
      <c r="M615" s="56">
        <f t="shared" si="130"/>
        <v>512</v>
      </c>
      <c r="N615" s="56">
        <f>IF(OR(H615="",H615="sif",H615="PM"),0,VLOOKUP(H615,[5]CU!$C$4:$H$255,6,FALSE))</f>
        <v>0.8177777777777776</v>
      </c>
      <c r="O615" s="56">
        <f t="shared" si="137"/>
        <v>0</v>
      </c>
      <c r="P615" s="56">
        <f t="shared" si="137"/>
        <v>0</v>
      </c>
      <c r="Q615" s="56">
        <f t="shared" si="137"/>
        <v>157.01333333333329</v>
      </c>
      <c r="R615" s="56">
        <f t="shared" si="137"/>
        <v>261.68888888888881</v>
      </c>
      <c r="S615" s="53">
        <f t="shared" si="138"/>
        <v>418.70222222222208</v>
      </c>
      <c r="T615" s="23" t="s">
        <v>39</v>
      </c>
      <c r="U615" s="19" t="s">
        <v>707</v>
      </c>
      <c r="V615" s="19" t="str">
        <f>IF(OR($H615="",$H615="sif",$H615="PM"),"",VLOOKUP($H615,[5]CU!$C$5:$J$255,8,FALSE))</f>
        <v>3. Dépenses de fonctionnement</v>
      </c>
      <c r="W615" s="19" t="s">
        <v>708</v>
      </c>
      <c r="X615" s="19" t="s">
        <v>764</v>
      </c>
      <c r="Y615" s="19" t="s">
        <v>32</v>
      </c>
      <c r="Z615" s="19" t="str">
        <f>A615 &amp; "-" &amp; VLOOKUP(A615,[4]PROGRAMMES!$E$1:$F$7,2,FALSE)</f>
        <v>2-Qualité des enseignements et des apprentissages</v>
      </c>
      <c r="AA615" s="19" t="str">
        <f>B615 &amp; "-" &amp; VLOOKUP(B615,[4]SOUSPROGRAMMES!$E$1:$F$44,2,FALSE)</f>
        <v xml:space="preserve">23- Formation initiale et continue des enseignants/éducateurs y compris dans les méthodes pédagogiques innovatntes  </v>
      </c>
      <c r="AB615" s="19" t="str">
        <f>C615 &amp; "-" &amp; VLOOKUP(C615,[4]RESULTATS!$E$1:$F$176,2,FALSE)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5" s="20" t="str">
        <f>D615 &amp; "-" &amp; VLOOKUP(D615,[4]STRATEGIES!$E$1:$F$504,2,FALSE)</f>
        <v>2332-Mise en place d'une Ingénierie de la formation continue</v>
      </c>
      <c r="AD615" s="21" t="str">
        <f t="shared" si="133"/>
        <v xml:space="preserve">233213-Collecte des informations sur le suivi des actions de formation continue </v>
      </c>
    </row>
    <row r="616" spans="1:30" s="22" customFormat="1" ht="45" customHeight="1" x14ac:dyDescent="0.8">
      <c r="A616" s="14">
        <v>2</v>
      </c>
      <c r="B616" s="15">
        <v>23</v>
      </c>
      <c r="C616" s="15">
        <v>233</v>
      </c>
      <c r="D616" s="15">
        <v>2332</v>
      </c>
      <c r="E616" s="14">
        <v>233214</v>
      </c>
      <c r="F616" s="16" t="s">
        <v>766</v>
      </c>
      <c r="G616" s="21" t="s">
        <v>37</v>
      </c>
      <c r="H616" s="17" t="s">
        <v>66</v>
      </c>
      <c r="I616" s="56">
        <v>0</v>
      </c>
      <c r="J616" s="56"/>
      <c r="K616" s="56"/>
      <c r="L616" s="56">
        <f>21*5</f>
        <v>105</v>
      </c>
      <c r="M616" s="56">
        <f t="shared" si="130"/>
        <v>105</v>
      </c>
      <c r="N616" s="56">
        <f>IF(OR(H616="",H616="sif",H616="PM"),0,VLOOKUP(H616,[5]CU!$C$4:$H$255,6,FALSE))</f>
        <v>0.255</v>
      </c>
      <c r="O616" s="56">
        <f t="shared" si="137"/>
        <v>0</v>
      </c>
      <c r="P616" s="56">
        <f t="shared" si="137"/>
        <v>0</v>
      </c>
      <c r="Q616" s="56">
        <f t="shared" si="137"/>
        <v>0</v>
      </c>
      <c r="R616" s="56">
        <f t="shared" si="137"/>
        <v>26.775000000000002</v>
      </c>
      <c r="S616" s="53">
        <f t="shared" si="138"/>
        <v>26.775000000000002</v>
      </c>
      <c r="T616" s="23" t="s">
        <v>39</v>
      </c>
      <c r="U616" s="19" t="s">
        <v>707</v>
      </c>
      <c r="V616" s="19" t="str">
        <f>IF(OR($H616="",$H616="sif",$H616="PM"),"",VLOOKUP($H616,[5]CU!$C$5:$J$255,8,FALSE))</f>
        <v>3. Dépenses de fonctionnement</v>
      </c>
      <c r="W616" s="19" t="s">
        <v>708</v>
      </c>
      <c r="X616" s="19" t="s">
        <v>764</v>
      </c>
      <c r="Y616" s="19" t="s">
        <v>32</v>
      </c>
      <c r="Z616" s="19" t="str">
        <f>A616 &amp; "-" &amp; VLOOKUP(A616,[4]PROGRAMMES!$E$1:$F$7,2,FALSE)</f>
        <v>2-Qualité des enseignements et des apprentissages</v>
      </c>
      <c r="AA616" s="19" t="str">
        <f>B616 &amp; "-" &amp; VLOOKUP(B616,[4]SOUSPROGRAMMES!$E$1:$F$44,2,FALSE)</f>
        <v xml:space="preserve">23- Formation initiale et continue des enseignants/éducateurs y compris dans les méthodes pédagogiques innovatntes  </v>
      </c>
      <c r="AB616" s="19" t="str">
        <f>C616 &amp; "-" &amp; VLOOKUP(C616,[4]RESULTATS!$E$1:$F$176,2,FALSE)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6" s="20" t="str">
        <f>D616 &amp; "-" &amp; VLOOKUP(D616,[4]STRATEGIES!$E$1:$F$504,2,FALSE)</f>
        <v>2332-Mise en place d'une Ingénierie de la formation continue</v>
      </c>
      <c r="AD616" s="21" t="str">
        <f t="shared" si="133"/>
        <v>233214-Traitement et analyse des informations sur le dispositif de formation continue</v>
      </c>
    </row>
    <row r="617" spans="1:30" s="22" customFormat="1" ht="45" customHeight="1" x14ac:dyDescent="0.8">
      <c r="A617" s="14">
        <v>2</v>
      </c>
      <c r="B617" s="15">
        <v>23</v>
      </c>
      <c r="C617" s="15">
        <v>233</v>
      </c>
      <c r="D617" s="15">
        <v>2332</v>
      </c>
      <c r="E617" s="14">
        <v>233215</v>
      </c>
      <c r="F617" s="16" t="s">
        <v>767</v>
      </c>
      <c r="G617" s="21" t="s">
        <v>37</v>
      </c>
      <c r="H617" s="17" t="s">
        <v>66</v>
      </c>
      <c r="I617" s="56">
        <v>0</v>
      </c>
      <c r="J617" s="56"/>
      <c r="K617" s="56"/>
      <c r="L617" s="56">
        <f>8*5</f>
        <v>40</v>
      </c>
      <c r="M617" s="56">
        <f t="shared" si="130"/>
        <v>40</v>
      </c>
      <c r="N617" s="56">
        <f>IF(OR(H617="",H617="sif",H617="PM"),0,VLOOKUP(H617,[5]CU!$C$4:$H$255,6,FALSE))</f>
        <v>0.255</v>
      </c>
      <c r="O617" s="56">
        <f t="shared" si="137"/>
        <v>0</v>
      </c>
      <c r="P617" s="56">
        <f t="shared" si="137"/>
        <v>0</v>
      </c>
      <c r="Q617" s="56">
        <f t="shared" si="137"/>
        <v>0</v>
      </c>
      <c r="R617" s="56">
        <f t="shared" si="137"/>
        <v>10.199999999999999</v>
      </c>
      <c r="S617" s="53">
        <f t="shared" si="138"/>
        <v>10.199999999999999</v>
      </c>
      <c r="T617" s="23" t="s">
        <v>39</v>
      </c>
      <c r="U617" s="19" t="s">
        <v>707</v>
      </c>
      <c r="V617" s="19" t="str">
        <f>IF(OR($H617="",$H617="sif",$H617="PM"),"",VLOOKUP($H617,[5]CU!$C$5:$J$255,8,FALSE))</f>
        <v>3. Dépenses de fonctionnement</v>
      </c>
      <c r="W617" s="19" t="s">
        <v>708</v>
      </c>
      <c r="X617" s="19" t="s">
        <v>764</v>
      </c>
      <c r="Y617" s="19" t="s">
        <v>32</v>
      </c>
      <c r="Z617" s="19" t="str">
        <f>A617 &amp; "-" &amp; VLOOKUP(A617,[4]PROGRAMMES!$E$1:$F$7,2,FALSE)</f>
        <v>2-Qualité des enseignements et des apprentissages</v>
      </c>
      <c r="AA617" s="19" t="str">
        <f>B617 &amp; "-" &amp; VLOOKUP(B617,[4]SOUSPROGRAMMES!$E$1:$F$44,2,FALSE)</f>
        <v xml:space="preserve">23- Formation initiale et continue des enseignants/éducateurs y compris dans les méthodes pédagogiques innovatntes  </v>
      </c>
      <c r="AB617" s="19" t="str">
        <f>C617 &amp; "-" &amp; VLOOKUP(C617,[4]RESULTATS!$E$1:$F$176,2,FALSE)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7" s="20" t="str">
        <f>D617 &amp; "-" &amp; VLOOKUP(D617,[4]STRATEGIES!$E$1:$F$504,2,FALSE)</f>
        <v>2332-Mise en place d'une Ingénierie de la formation continue</v>
      </c>
      <c r="AD617" s="21" t="str">
        <f t="shared" si="133"/>
        <v>233215-Rédaction et validation du rapport d'évaluation</v>
      </c>
    </row>
    <row r="618" spans="1:30" s="22" customFormat="1" ht="45" customHeight="1" x14ac:dyDescent="0.8">
      <c r="A618" s="14">
        <v>2</v>
      </c>
      <c r="B618" s="15">
        <v>23</v>
      </c>
      <c r="C618" s="15">
        <v>233</v>
      </c>
      <c r="D618" s="15">
        <v>2333</v>
      </c>
      <c r="E618" s="14">
        <v>2333</v>
      </c>
      <c r="F618" s="16" t="s">
        <v>768</v>
      </c>
      <c r="G618" s="17"/>
      <c r="H618" s="17"/>
      <c r="I618" s="56">
        <v>0</v>
      </c>
      <c r="J618" s="56"/>
      <c r="K618" s="56"/>
      <c r="L618" s="56"/>
      <c r="M618" s="56"/>
      <c r="N618" s="56"/>
      <c r="O618" s="56"/>
      <c r="P618" s="56"/>
      <c r="Q618" s="56"/>
      <c r="R618" s="56"/>
      <c r="S618" s="53"/>
      <c r="T618" s="18"/>
      <c r="U618" s="18"/>
      <c r="V618" s="19"/>
      <c r="W618" s="18"/>
      <c r="X618" s="18"/>
      <c r="Y618" s="19" t="s">
        <v>32</v>
      </c>
      <c r="Z618" s="19" t="str">
        <f>A618 &amp; "-" &amp; VLOOKUP(A618,[4]PROGRAMMES!$E$1:$F$7,2,FALSE)</f>
        <v>2-Qualité des enseignements et des apprentissages</v>
      </c>
      <c r="AA618" s="19" t="str">
        <f>B618 &amp; "-" &amp; VLOOKUP(B618,[4]SOUSPROGRAMMES!$E$1:$F$44,2,FALSE)</f>
        <v xml:space="preserve">23- Formation initiale et continue des enseignants/éducateurs y compris dans les méthodes pédagogiques innovatntes  </v>
      </c>
      <c r="AB618" s="19" t="str">
        <f>C618 &amp; "-" &amp; VLOOKUP(C618,[4]RESULTATS!$E$1:$F$176,2,FALSE)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8" s="20" t="str">
        <f>D618 &amp; "-" &amp; VLOOKUP(D618,[4]STRATEGIES!$E$1:$F$504,2,FALSE)</f>
        <v>2333-Redynamisation des centres de formation continue</v>
      </c>
      <c r="AD618" s="21" t="str">
        <f t="shared" si="133"/>
        <v>2333-Redynamisation des centres de formation continue</v>
      </c>
    </row>
    <row r="619" spans="1:30" s="22" customFormat="1" ht="45" customHeight="1" x14ac:dyDescent="0.8">
      <c r="A619" s="14">
        <v>2</v>
      </c>
      <c r="B619" s="15">
        <v>23</v>
      </c>
      <c r="C619" s="15">
        <v>233</v>
      </c>
      <c r="D619" s="15">
        <v>2333</v>
      </c>
      <c r="E619" s="14">
        <v>23331</v>
      </c>
      <c r="F619" s="16" t="s">
        <v>769</v>
      </c>
      <c r="G619" s="21" t="s">
        <v>167</v>
      </c>
      <c r="H619" s="17" t="s">
        <v>646</v>
      </c>
      <c r="I619" s="56">
        <v>0</v>
      </c>
      <c r="J619" s="56"/>
      <c r="K619" s="56">
        <f>2*15*2</f>
        <v>60</v>
      </c>
      <c r="L619" s="56">
        <f>2*15*1</f>
        <v>30</v>
      </c>
      <c r="M619" s="56">
        <f t="shared" si="130"/>
        <v>90</v>
      </c>
      <c r="N619" s="56">
        <f>IF(OR(H619="",H619="sif",H619="PM"),0,VLOOKUP(H619,[5]CU!$C$4:$H$255,6,FALSE))</f>
        <v>10.404797</v>
      </c>
      <c r="O619" s="56">
        <f t="shared" si="137"/>
        <v>0</v>
      </c>
      <c r="P619" s="56">
        <f t="shared" si="137"/>
        <v>0</v>
      </c>
      <c r="Q619" s="56">
        <f t="shared" si="137"/>
        <v>624.28782000000001</v>
      </c>
      <c r="R619" s="56">
        <f t="shared" si="137"/>
        <v>312.14391000000001</v>
      </c>
      <c r="S619" s="53">
        <f t="shared" si="138"/>
        <v>936.43173000000002</v>
      </c>
      <c r="T619" s="23" t="s">
        <v>39</v>
      </c>
      <c r="U619" s="19" t="s">
        <v>707</v>
      </c>
      <c r="V619" s="19" t="str">
        <f>IF(OR($H619="",$H619="sif",$H619="PM"),"",VLOOKUP($H619,[5]CU!$C$5:$J$255,8,FALSE))</f>
        <v>3. Dépenses de fonctionnement</v>
      </c>
      <c r="W619" s="19" t="s">
        <v>708</v>
      </c>
      <c r="X619" s="19" t="s">
        <v>745</v>
      </c>
      <c r="Y619" s="19" t="s">
        <v>32</v>
      </c>
      <c r="Z619" s="19" t="str">
        <f>A619 &amp; "-" &amp; VLOOKUP(A619,[4]PROGRAMMES!$E$1:$F$7,2,FALSE)</f>
        <v>2-Qualité des enseignements et des apprentissages</v>
      </c>
      <c r="AA619" s="19" t="str">
        <f>B619 &amp; "-" &amp; VLOOKUP(B619,[4]SOUSPROGRAMMES!$E$1:$F$44,2,FALSE)</f>
        <v xml:space="preserve">23- Formation initiale et continue des enseignants/éducateurs y compris dans les méthodes pédagogiques innovatntes  </v>
      </c>
      <c r="AB619" s="19" t="str">
        <f>C619 &amp; "-" &amp; VLOOKUP(C619,[4]RESULTATS!$E$1:$F$176,2,FALSE)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9" s="20" t="str">
        <f>D619 &amp; "-" &amp; VLOOKUP(D619,[4]STRATEGIES!$E$1:$F$504,2,FALSE)</f>
        <v>2333-Redynamisation des centres de formation continue</v>
      </c>
      <c r="AD619" s="21" t="str">
        <f t="shared" si="133"/>
        <v>23331-Etude de faisabilité pour la redynamisation des centres régionaux de formation continue</v>
      </c>
    </row>
    <row r="620" spans="1:30" s="22" customFormat="1" ht="45" customHeight="1" x14ac:dyDescent="0.8">
      <c r="A620" s="14">
        <v>2</v>
      </c>
      <c r="B620" s="15">
        <v>23</v>
      </c>
      <c r="C620" s="15">
        <v>233</v>
      </c>
      <c r="D620" s="15">
        <v>2333</v>
      </c>
      <c r="E620" s="14">
        <v>23332</v>
      </c>
      <c r="F620" s="16" t="s">
        <v>770</v>
      </c>
      <c r="G620" s="21" t="s">
        <v>167</v>
      </c>
      <c r="H620" s="17" t="s">
        <v>646</v>
      </c>
      <c r="I620" s="56">
        <v>0</v>
      </c>
      <c r="J620" s="56"/>
      <c r="K620" s="56">
        <f>30*2</f>
        <v>60</v>
      </c>
      <c r="L620" s="56"/>
      <c r="M620" s="56">
        <f t="shared" si="130"/>
        <v>60</v>
      </c>
      <c r="N620" s="56">
        <f>IF(OR(H620="",H620="sif",H620="PM"),0,VLOOKUP(H620,[5]CU!$C$4:$H$255,6,FALSE))</f>
        <v>10.404797</v>
      </c>
      <c r="O620" s="56">
        <f t="shared" si="137"/>
        <v>0</v>
      </c>
      <c r="P620" s="56">
        <f t="shared" si="137"/>
        <v>0</v>
      </c>
      <c r="Q620" s="56">
        <f t="shared" si="137"/>
        <v>624.28782000000001</v>
      </c>
      <c r="R620" s="56">
        <f t="shared" si="137"/>
        <v>0</v>
      </c>
      <c r="S620" s="53">
        <f t="shared" si="138"/>
        <v>624.28782000000001</v>
      </c>
      <c r="T620" s="23" t="s">
        <v>39</v>
      </c>
      <c r="U620" s="19" t="s">
        <v>707</v>
      </c>
      <c r="V620" s="19" t="str">
        <f>IF(OR($H620="",$H620="sif",$H620="PM"),"",VLOOKUP($H620,[5]CU!$C$5:$J$255,8,FALSE))</f>
        <v>3. Dépenses de fonctionnement</v>
      </c>
      <c r="W620" s="19" t="s">
        <v>708</v>
      </c>
      <c r="X620" s="19" t="s">
        <v>745</v>
      </c>
      <c r="Y620" s="19" t="s">
        <v>32</v>
      </c>
      <c r="Z620" s="19" t="str">
        <f>A620 &amp; "-" &amp; VLOOKUP(A620,[4]PROGRAMMES!$E$1:$F$7,2,FALSE)</f>
        <v>2-Qualité des enseignements et des apprentissages</v>
      </c>
      <c r="AA620" s="19" t="str">
        <f>B620 &amp; "-" &amp; VLOOKUP(B620,[4]SOUSPROGRAMMES!$E$1:$F$44,2,FALSE)</f>
        <v xml:space="preserve">23- Formation initiale et continue des enseignants/éducateurs y compris dans les méthodes pédagogiques innovatntes  </v>
      </c>
      <c r="AB620" s="19" t="str">
        <f>C620 &amp; "-" &amp; VLOOKUP(C620,[4]RESULTATS!$E$1:$F$176,2,FALSE)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0" s="20" t="str">
        <f>D620 &amp; "-" &amp; VLOOKUP(D620,[4]STRATEGIES!$E$1:$F$504,2,FALSE)</f>
        <v>2333-Redynamisation des centres de formation continue</v>
      </c>
      <c r="AD620" s="21" t="str">
        <f t="shared" si="133"/>
        <v>23332-Restitution et validation des résultats de l'étude</v>
      </c>
    </row>
    <row r="621" spans="1:30" s="22" customFormat="1" ht="45" hidden="1" customHeight="1" x14ac:dyDescent="0.8">
      <c r="A621" s="14">
        <v>2</v>
      </c>
      <c r="B621" s="15">
        <v>23</v>
      </c>
      <c r="C621" s="15">
        <v>233</v>
      </c>
      <c r="D621" s="15">
        <v>2333</v>
      </c>
      <c r="E621" s="14">
        <v>23333</v>
      </c>
      <c r="F621" s="16" t="s">
        <v>771</v>
      </c>
      <c r="G621" s="21" t="s">
        <v>92</v>
      </c>
      <c r="H621" s="17" t="s">
        <v>55</v>
      </c>
      <c r="I621" s="56">
        <v>0</v>
      </c>
      <c r="J621" s="56"/>
      <c r="K621" s="56"/>
      <c r="L621" s="56">
        <v>1</v>
      </c>
      <c r="M621" s="56">
        <f t="shared" si="130"/>
        <v>1</v>
      </c>
      <c r="N621" s="56">
        <f>IF(OR(H621="",H621="sif",H621="PM"),0,VLOOKUP(H621,[5]CU!$C$4:$H$255,6,FALSE))</f>
        <v>0</v>
      </c>
      <c r="O621" s="56"/>
      <c r="P621" s="56"/>
      <c r="Q621" s="56"/>
      <c r="R621" s="56"/>
      <c r="S621" s="53"/>
      <c r="T621" s="23" t="s">
        <v>56</v>
      </c>
      <c r="U621" s="18" t="s">
        <v>707</v>
      </c>
      <c r="V621" s="19" t="str">
        <f>IF(OR($H621="",$H621="sif",$H621="PM"),"",VLOOKUP($H621,[5]CU!$C$5:$J$255,8,FALSE))</f>
        <v/>
      </c>
      <c r="W621" s="18" t="s">
        <v>708</v>
      </c>
      <c r="X621" s="18" t="s">
        <v>745</v>
      </c>
      <c r="Y621" s="19" t="s">
        <v>32</v>
      </c>
      <c r="Z621" s="19" t="str">
        <f>A621 &amp; "-" &amp; VLOOKUP(A621,[4]PROGRAMMES!$E$1:$F$7,2,FALSE)</f>
        <v>2-Qualité des enseignements et des apprentissages</v>
      </c>
      <c r="AA621" s="19" t="str">
        <f>B621 &amp; "-" &amp; VLOOKUP(B621,[4]SOUSPROGRAMMES!$E$1:$F$44,2,FALSE)</f>
        <v xml:space="preserve">23- Formation initiale et continue des enseignants/éducateurs y compris dans les méthodes pédagogiques innovatntes  </v>
      </c>
      <c r="AB621" s="19" t="str">
        <f>C621 &amp; "-" &amp; VLOOKUP(C621,[4]RESULTATS!$E$1:$F$176,2,FALSE)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1" s="20" t="str">
        <f>D621 &amp; "-" &amp; VLOOKUP(D621,[4]STRATEGIES!$E$1:$F$504,2,FALSE)</f>
        <v>2333-Redynamisation des centres de formation continue</v>
      </c>
      <c r="AD621" s="21" t="str">
        <f t="shared" si="133"/>
        <v>23333-Elaboration d'un plan d'actions pour la redynamisation des centres régionaux</v>
      </c>
    </row>
    <row r="622" spans="1:30" s="22" customFormat="1" ht="45" customHeight="1" x14ac:dyDescent="0.8">
      <c r="A622" s="14">
        <v>2</v>
      </c>
      <c r="B622" s="15">
        <v>23</v>
      </c>
      <c r="C622" s="15">
        <v>233</v>
      </c>
      <c r="D622" s="15">
        <v>2333</v>
      </c>
      <c r="E622" s="14">
        <v>23334</v>
      </c>
      <c r="F622" s="16" t="s">
        <v>772</v>
      </c>
      <c r="G622" s="21" t="s">
        <v>298</v>
      </c>
      <c r="H622" s="17" t="s">
        <v>38</v>
      </c>
      <c r="I622" s="56">
        <v>0</v>
      </c>
      <c r="J622" s="56"/>
      <c r="K622" s="56"/>
      <c r="L622" s="56">
        <f>25*2</f>
        <v>50</v>
      </c>
      <c r="M622" s="56">
        <f t="shared" si="130"/>
        <v>50</v>
      </c>
      <c r="N622" s="56">
        <f>IF(OR(H622="",H622="sif",H622="PM"),0,VLOOKUP(H622,[5]CU!$C$4:$H$255,6,FALSE))</f>
        <v>0.3133333333333333</v>
      </c>
      <c r="O622" s="56">
        <f>$N622*I622</f>
        <v>0</v>
      </c>
      <c r="P622" s="56">
        <f>$N622*J622</f>
        <v>0</v>
      </c>
      <c r="Q622" s="56">
        <f>$N622*K622</f>
        <v>0</v>
      </c>
      <c r="R622" s="56">
        <f>$N622*L622</f>
        <v>15.666666666666664</v>
      </c>
      <c r="S622" s="53">
        <f>SUM(O622:R622)</f>
        <v>15.666666666666664</v>
      </c>
      <c r="T622" s="23" t="s">
        <v>39</v>
      </c>
      <c r="U622" s="19" t="s">
        <v>707</v>
      </c>
      <c r="V622" s="19" t="str">
        <f>IF(OR($H622="",$H622="sif",$H622="PM"),"",VLOOKUP($H622,[5]CU!$C$5:$J$255,8,FALSE))</f>
        <v>3. Formation</v>
      </c>
      <c r="W622" s="19" t="s">
        <v>708</v>
      </c>
      <c r="X622" s="19" t="s">
        <v>745</v>
      </c>
      <c r="Y622" s="19" t="s">
        <v>32</v>
      </c>
      <c r="Z622" s="19" t="str">
        <f>A622 &amp; "-" &amp; VLOOKUP(A622,[4]PROGRAMMES!$E$1:$F$7,2,FALSE)</f>
        <v>2-Qualité des enseignements et des apprentissages</v>
      </c>
      <c r="AA622" s="19" t="str">
        <f>B622 &amp; "-" &amp; VLOOKUP(B622,[4]SOUSPROGRAMMES!$E$1:$F$44,2,FALSE)</f>
        <v xml:space="preserve">23- Formation initiale et continue des enseignants/éducateurs y compris dans les méthodes pédagogiques innovatntes  </v>
      </c>
      <c r="AB622" s="19" t="str">
        <f>C622 &amp; "-" &amp; VLOOKUP(C622,[4]RESULTATS!$E$1:$F$176,2,FALSE)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2" s="20" t="str">
        <f>D622 &amp; "-" &amp; VLOOKUP(D622,[4]STRATEGIES!$E$1:$F$504,2,FALSE)</f>
        <v>2333-Redynamisation des centres de formation continue</v>
      </c>
      <c r="AD622" s="21" t="str">
        <f t="shared" si="133"/>
        <v>23334-Validation du plan d'actions pour la redynamisation des centres régionaux</v>
      </c>
    </row>
    <row r="623" spans="1:30" s="22" customFormat="1" ht="45" customHeight="1" x14ac:dyDescent="0.8">
      <c r="A623" s="14">
        <v>2</v>
      </c>
      <c r="B623" s="15">
        <v>23</v>
      </c>
      <c r="C623" s="15">
        <v>233</v>
      </c>
      <c r="D623" s="15">
        <v>2334</v>
      </c>
      <c r="E623" s="14">
        <v>2334</v>
      </c>
      <c r="F623" s="16" t="s">
        <v>773</v>
      </c>
      <c r="G623" s="17"/>
      <c r="H623" s="17"/>
      <c r="I623" s="56">
        <v>0</v>
      </c>
      <c r="J623" s="56"/>
      <c r="K623" s="56"/>
      <c r="L623" s="56"/>
      <c r="M623" s="56"/>
      <c r="N623" s="56"/>
      <c r="O623" s="56"/>
      <c r="P623" s="56"/>
      <c r="Q623" s="56"/>
      <c r="R623" s="56"/>
      <c r="S623" s="53"/>
      <c r="T623" s="18"/>
      <c r="U623" s="18"/>
      <c r="V623" s="19"/>
      <c r="W623" s="18"/>
      <c r="X623" s="18"/>
      <c r="Y623" s="19" t="s">
        <v>32</v>
      </c>
      <c r="Z623" s="19" t="str">
        <f>A623 &amp; "-" &amp; VLOOKUP(A623,[4]PROGRAMMES!$E$1:$F$7,2,FALSE)</f>
        <v>2-Qualité des enseignements et des apprentissages</v>
      </c>
      <c r="AA623" s="19" t="str">
        <f>B623 &amp; "-" &amp; VLOOKUP(B623,[4]SOUSPROGRAMMES!$E$1:$F$44,2,FALSE)</f>
        <v xml:space="preserve">23- Formation initiale et continue des enseignants/éducateurs y compris dans les méthodes pédagogiques innovatntes  </v>
      </c>
      <c r="AB623" s="19" t="str">
        <f>C623 &amp; "-" &amp; VLOOKUP(C623,[4]RESULTATS!$E$1:$F$176,2,FALSE)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3" s="20" t="str">
        <f>D623 &amp; "-" &amp; VLOOKUP(D623,[4]STRATEGIES!$E$1:$F$504,2,FALSE)</f>
        <v>2334-Relance des journées d’animation pédagogiques</v>
      </c>
      <c r="AD623" s="21" t="str">
        <f t="shared" si="133"/>
        <v>2334-Relance des journées d’animation pédagogiques</v>
      </c>
    </row>
    <row r="624" spans="1:30" s="22" customFormat="1" ht="45" hidden="1" customHeight="1" x14ac:dyDescent="0.8">
      <c r="A624" s="14">
        <v>2</v>
      </c>
      <c r="B624" s="15">
        <v>23</v>
      </c>
      <c r="C624" s="15">
        <v>233</v>
      </c>
      <c r="D624" s="15">
        <v>2334</v>
      </c>
      <c r="E624" s="14">
        <v>23341</v>
      </c>
      <c r="F624" s="16" t="s">
        <v>774</v>
      </c>
      <c r="G624" s="21" t="s">
        <v>651</v>
      </c>
      <c r="H624" s="17" t="s">
        <v>55</v>
      </c>
      <c r="I624" s="56">
        <v>0</v>
      </c>
      <c r="J624" s="56">
        <v>1</v>
      </c>
      <c r="K624" s="56"/>
      <c r="L624" s="56"/>
      <c r="M624" s="56">
        <f t="shared" si="130"/>
        <v>1</v>
      </c>
      <c r="N624" s="56">
        <f>IF(OR(H624="",H624="sif",H624="PM"),0,VLOOKUP(H624,[5]CU!$C$4:$H$255,6,FALSE))</f>
        <v>0</v>
      </c>
      <c r="O624" s="56"/>
      <c r="P624" s="56"/>
      <c r="Q624" s="56"/>
      <c r="R624" s="56"/>
      <c r="S624" s="53"/>
      <c r="T624" s="23" t="s">
        <v>56</v>
      </c>
      <c r="U624" s="18" t="s">
        <v>707</v>
      </c>
      <c r="V624" s="19" t="str">
        <f>IF(OR($H624="",$H624="sif",$H624="PM"),"",VLOOKUP($H624,[5]CU!$C$5:$J$255,8,FALSE))</f>
        <v/>
      </c>
      <c r="W624" s="18" t="s">
        <v>255</v>
      </c>
      <c r="X624" s="18" t="s">
        <v>745</v>
      </c>
      <c r="Y624" s="19" t="s">
        <v>32</v>
      </c>
      <c r="Z624" s="19" t="str">
        <f>A624 &amp; "-" &amp; VLOOKUP(A624,[4]PROGRAMMES!$E$1:$F$7,2,FALSE)</f>
        <v>2-Qualité des enseignements et des apprentissages</v>
      </c>
      <c r="AA624" s="19" t="str">
        <f>B624 &amp; "-" &amp; VLOOKUP(B624,[4]SOUSPROGRAMMES!$E$1:$F$44,2,FALSE)</f>
        <v xml:space="preserve">23- Formation initiale et continue des enseignants/éducateurs y compris dans les méthodes pédagogiques innovatntes  </v>
      </c>
      <c r="AB624" s="19" t="str">
        <f>C624 &amp; "-" &amp; VLOOKUP(C624,[4]RESULTATS!$E$1:$F$176,2,FALSE)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4" s="20" t="str">
        <f>D624 &amp; "-" &amp; VLOOKUP(D624,[4]STRATEGIES!$E$1:$F$504,2,FALSE)</f>
        <v>2334-Relance des journées d’animation pédagogiques</v>
      </c>
      <c r="AD624" s="21" t="str">
        <f t="shared" si="133"/>
        <v>23341-Institutionnalisation des journées d'animation pédagogique</v>
      </c>
    </row>
    <row r="625" spans="1:30" s="22" customFormat="1" ht="45" customHeight="1" x14ac:dyDescent="0.8">
      <c r="A625" s="14">
        <v>2</v>
      </c>
      <c r="B625" s="15">
        <v>23</v>
      </c>
      <c r="C625" s="15">
        <v>233</v>
      </c>
      <c r="D625" s="15">
        <v>2334</v>
      </c>
      <c r="E625" s="14">
        <v>23342</v>
      </c>
      <c r="F625" s="16" t="s">
        <v>775</v>
      </c>
      <c r="G625" s="21" t="s">
        <v>37</v>
      </c>
      <c r="H625" s="17" t="s">
        <v>66</v>
      </c>
      <c r="I625" s="56">
        <v>0</v>
      </c>
      <c r="J625" s="56">
        <f>10*5</f>
        <v>50</v>
      </c>
      <c r="K625" s="56"/>
      <c r="L625" s="56"/>
      <c r="M625" s="56">
        <f t="shared" si="130"/>
        <v>50</v>
      </c>
      <c r="N625" s="56">
        <f>IF(OR(H625="",H625="sif",H625="PM"),0,VLOOKUP(H625,[5]CU!$C$4:$H$255,6,FALSE))</f>
        <v>0.255</v>
      </c>
      <c r="O625" s="56">
        <f>$N625*I625</f>
        <v>0</v>
      </c>
      <c r="P625" s="56">
        <f>$N625*J625</f>
        <v>12.75</v>
      </c>
      <c r="Q625" s="56">
        <f>$N625*K625</f>
        <v>0</v>
      </c>
      <c r="R625" s="56">
        <f>$N625*L625</f>
        <v>0</v>
      </c>
      <c r="S625" s="53">
        <f>SUM(O625:R625)</f>
        <v>12.75</v>
      </c>
      <c r="T625" s="23" t="s">
        <v>39</v>
      </c>
      <c r="U625" s="18" t="s">
        <v>707</v>
      </c>
      <c r="V625" s="19" t="str">
        <f>IF(OR($H625="",$H625="sif",$H625="PM"),"",VLOOKUP($H625,[5]CU!$C$5:$J$255,8,FALSE))</f>
        <v>3. Dépenses de fonctionnement</v>
      </c>
      <c r="W625" s="18" t="s">
        <v>708</v>
      </c>
      <c r="X625" s="18" t="s">
        <v>776</v>
      </c>
      <c r="Y625" s="19" t="s">
        <v>32</v>
      </c>
      <c r="Z625" s="19" t="str">
        <f>A625 &amp; "-" &amp; VLOOKUP(A625,[4]PROGRAMMES!$E$1:$F$7,2,FALSE)</f>
        <v>2-Qualité des enseignements et des apprentissages</v>
      </c>
      <c r="AA625" s="19" t="str">
        <f>B625 &amp; "-" &amp; VLOOKUP(B625,[4]SOUSPROGRAMMES!$E$1:$F$44,2,FALSE)</f>
        <v xml:space="preserve">23- Formation initiale et continue des enseignants/éducateurs y compris dans les méthodes pédagogiques innovatntes  </v>
      </c>
      <c r="AB625" s="19" t="str">
        <f>C625 &amp; "-" &amp; VLOOKUP(C625,[4]RESULTATS!$E$1:$F$176,2,FALSE)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5" s="20" t="str">
        <f>D625 &amp; "-" &amp; VLOOKUP(D625,[4]STRATEGIES!$E$1:$F$504,2,FALSE)</f>
        <v>2334-Relance des journées d’animation pédagogiques</v>
      </c>
      <c r="AD625" s="21" t="str">
        <f t="shared" si="133"/>
        <v>23342-Identification du contenu des journées d'animation pédagogique</v>
      </c>
    </row>
    <row r="626" spans="1:30" s="22" customFormat="1" ht="45" hidden="1" customHeight="1" x14ac:dyDescent="0.8">
      <c r="A626" s="14">
        <v>2</v>
      </c>
      <c r="B626" s="15">
        <v>23</v>
      </c>
      <c r="C626" s="15">
        <v>233</v>
      </c>
      <c r="D626" s="15">
        <v>2334</v>
      </c>
      <c r="E626" s="14">
        <v>23343</v>
      </c>
      <c r="F626" s="16" t="s">
        <v>777</v>
      </c>
      <c r="G626" s="21" t="s">
        <v>778</v>
      </c>
      <c r="H626" s="17" t="s">
        <v>55</v>
      </c>
      <c r="I626" s="56">
        <v>0</v>
      </c>
      <c r="J626" s="56"/>
      <c r="K626" s="56">
        <f>33+5</f>
        <v>38</v>
      </c>
      <c r="L626" s="56">
        <f>33+5</f>
        <v>38</v>
      </c>
      <c r="M626" s="56">
        <f t="shared" si="130"/>
        <v>76</v>
      </c>
      <c r="N626" s="56">
        <f>IF(OR(H626="",H626="sif",H626="PM"),0,VLOOKUP(H626,[5]CU!$C$4:$H$255,6,FALSE))</f>
        <v>0</v>
      </c>
      <c r="O626" s="56"/>
      <c r="P626" s="56"/>
      <c r="Q626" s="56"/>
      <c r="R626" s="56"/>
      <c r="S626" s="53"/>
      <c r="T626" s="23" t="s">
        <v>56</v>
      </c>
      <c r="U626" s="18" t="s">
        <v>707</v>
      </c>
      <c r="V626" s="19" t="str">
        <f>IF(OR($H626="",$H626="sif",$H626="PM"),"",VLOOKUP($H626,[5]CU!$C$5:$J$255,8,FALSE))</f>
        <v/>
      </c>
      <c r="W626" s="18" t="s">
        <v>708</v>
      </c>
      <c r="X626" s="18" t="s">
        <v>776</v>
      </c>
      <c r="Y626" s="19" t="s">
        <v>32</v>
      </c>
      <c r="Z626" s="19" t="str">
        <f>A626 &amp; "-" &amp; VLOOKUP(A626,[4]PROGRAMMES!$E$1:$F$7,2,FALSE)</f>
        <v>2-Qualité des enseignements et des apprentissages</v>
      </c>
      <c r="AA626" s="19" t="str">
        <f>B626 &amp; "-" &amp; VLOOKUP(B626,[4]SOUSPROGRAMMES!$E$1:$F$44,2,FALSE)</f>
        <v xml:space="preserve">23- Formation initiale et continue des enseignants/éducateurs y compris dans les méthodes pédagogiques innovatntes  </v>
      </c>
      <c r="AB626" s="19" t="str">
        <f>C626 &amp; "-" &amp; VLOOKUP(C626,[4]RESULTATS!$E$1:$F$176,2,FALSE)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6" s="20" t="str">
        <f>D626 &amp; "-" &amp; VLOOKUP(D626,[4]STRATEGIES!$E$1:$F$504,2,FALSE)</f>
        <v>2334-Relance des journées d’animation pédagogiques</v>
      </c>
      <c r="AD626" s="21" t="str">
        <f t="shared" si="133"/>
        <v>23343-Organisation des journées d'animation pédagogique dans chaque DPE/DCE (voir subvention)</v>
      </c>
    </row>
    <row r="627" spans="1:30" s="22" customFormat="1" ht="45" customHeight="1" x14ac:dyDescent="0.8">
      <c r="A627" s="14">
        <v>2</v>
      </c>
      <c r="B627" s="15">
        <v>23</v>
      </c>
      <c r="C627" s="15">
        <v>233</v>
      </c>
      <c r="D627" s="15">
        <v>2334</v>
      </c>
      <c r="E627" s="14">
        <v>23344</v>
      </c>
      <c r="F627" s="16" t="s">
        <v>779</v>
      </c>
      <c r="G627" s="21" t="s">
        <v>58</v>
      </c>
      <c r="H627" s="17" t="s">
        <v>59</v>
      </c>
      <c r="I627" s="56">
        <v>0</v>
      </c>
      <c r="J627" s="56"/>
      <c r="K627" s="56">
        <f>4*6*8</f>
        <v>192</v>
      </c>
      <c r="L627" s="56">
        <f>4*6*8</f>
        <v>192</v>
      </c>
      <c r="M627" s="56">
        <f t="shared" si="130"/>
        <v>384</v>
      </c>
      <c r="N627" s="56">
        <f>IF(OR(H627="",H627="sif",H627="PM"),0,VLOOKUP(H627,[5]CU!$C$4:$H$255,6,FALSE))</f>
        <v>0.8177777777777776</v>
      </c>
      <c r="O627" s="56">
        <f t="shared" ref="O627:R635" si="139">$N627*I627</f>
        <v>0</v>
      </c>
      <c r="P627" s="56">
        <f t="shared" si="139"/>
        <v>0</v>
      </c>
      <c r="Q627" s="56">
        <f t="shared" si="139"/>
        <v>157.01333333333329</v>
      </c>
      <c r="R627" s="56">
        <f t="shared" si="139"/>
        <v>157.01333333333329</v>
      </c>
      <c r="S627" s="53">
        <f t="shared" ref="S627:S635" si="140">SUM(O627:R627)</f>
        <v>314.02666666666659</v>
      </c>
      <c r="T627" s="23" t="s">
        <v>39</v>
      </c>
      <c r="U627" s="18" t="s">
        <v>707</v>
      </c>
      <c r="V627" s="19" t="str">
        <f>IF(OR($H627="",$H627="sif",$H627="PM"),"",VLOOKUP($H627,[5]CU!$C$5:$J$255,8,FALSE))</f>
        <v>3. Dépenses de fonctionnement</v>
      </c>
      <c r="W627" s="18" t="s">
        <v>708</v>
      </c>
      <c r="X627" s="18" t="s">
        <v>398</v>
      </c>
      <c r="Y627" s="19" t="s">
        <v>32</v>
      </c>
      <c r="Z627" s="19" t="str">
        <f>A627 &amp; "-" &amp; VLOOKUP(A627,[4]PROGRAMMES!$E$1:$F$7,2,FALSE)</f>
        <v>2-Qualité des enseignements et des apprentissages</v>
      </c>
      <c r="AA627" s="19" t="str">
        <f>B627 &amp; "-" &amp; VLOOKUP(B627,[4]SOUSPROGRAMMES!$E$1:$F$44,2,FALSE)</f>
        <v xml:space="preserve">23- Formation initiale et continue des enseignants/éducateurs y compris dans les méthodes pédagogiques innovatntes  </v>
      </c>
      <c r="AB627" s="19" t="str">
        <f>C627 &amp; "-" &amp; VLOOKUP(C627,[4]RESULTATS!$E$1:$F$176,2,FALSE)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7" s="20" t="str">
        <f>D627 &amp; "-" &amp; VLOOKUP(D627,[4]STRATEGIES!$E$1:$F$504,2,FALSE)</f>
        <v>2334-Relance des journées d’animation pédagogiques</v>
      </c>
      <c r="AD627" s="21" t="str">
        <f t="shared" si="133"/>
        <v>23344-Suivi des journées d'animation pédagogique</v>
      </c>
    </row>
    <row r="628" spans="1:30" s="22" customFormat="1" ht="45" customHeight="1" x14ac:dyDescent="0.8">
      <c r="A628" s="14">
        <v>2</v>
      </c>
      <c r="B628" s="15">
        <v>23</v>
      </c>
      <c r="C628" s="15">
        <v>233</v>
      </c>
      <c r="D628" s="15">
        <v>2335</v>
      </c>
      <c r="E628" s="14">
        <v>2335</v>
      </c>
      <c r="F628" s="16" t="s">
        <v>780</v>
      </c>
      <c r="G628" s="17"/>
      <c r="H628" s="17"/>
      <c r="I628" s="56">
        <v>0</v>
      </c>
      <c r="J628" s="56"/>
      <c r="K628" s="56"/>
      <c r="L628" s="56"/>
      <c r="M628" s="56"/>
      <c r="N628" s="56"/>
      <c r="O628" s="56"/>
      <c r="P628" s="56"/>
      <c r="Q628" s="56"/>
      <c r="R628" s="56"/>
      <c r="S628" s="53"/>
      <c r="T628" s="18"/>
      <c r="U628" s="18"/>
      <c r="V628" s="19"/>
      <c r="W628" s="18"/>
      <c r="X628" s="18"/>
      <c r="Y628" s="19" t="s">
        <v>32</v>
      </c>
      <c r="Z628" s="19" t="str">
        <f>A628 &amp; "-" &amp; VLOOKUP(A628,[4]PROGRAMMES!$E$1:$F$7,2,FALSE)</f>
        <v>2-Qualité des enseignements et des apprentissages</v>
      </c>
      <c r="AA628" s="19" t="str">
        <f>B628 &amp; "-" &amp; VLOOKUP(B628,[4]SOUSPROGRAMMES!$E$1:$F$44,2,FALSE)</f>
        <v xml:space="preserve">23- Formation initiale et continue des enseignants/éducateurs y compris dans les méthodes pédagogiques innovatntes  </v>
      </c>
      <c r="AB628" s="19" t="str">
        <f>C628 &amp; "-" &amp; VLOOKUP(C628,[4]RESULTATS!$E$1:$F$176,2,FALSE)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8" s="20" t="str">
        <f>D628 &amp; "-" &amp; VLOOKUP(D628,[4]STRATEGIES!$E$1:$F$504,2,FALSE)</f>
        <v>2335-Suivi pédagogique par le directeur d’école et les Chef d’Unité Pédagogique</v>
      </c>
      <c r="AD628" s="21" t="str">
        <f t="shared" si="133"/>
        <v>2335-Suivi pédagogique par le directeur d’école et les Chef d’Unité Pédagogique</v>
      </c>
    </row>
    <row r="629" spans="1:30" s="22" customFormat="1" ht="45" customHeight="1" x14ac:dyDescent="0.8">
      <c r="A629" s="14">
        <v>2</v>
      </c>
      <c r="B629" s="15">
        <v>23</v>
      </c>
      <c r="C629" s="15">
        <v>233</v>
      </c>
      <c r="D629" s="15">
        <v>2335</v>
      </c>
      <c r="E629" s="14">
        <v>23351</v>
      </c>
      <c r="F629" s="16" t="s">
        <v>781</v>
      </c>
      <c r="G629" s="21" t="s">
        <v>37</v>
      </c>
      <c r="H629" s="17" t="s">
        <v>66</v>
      </c>
      <c r="I629" s="56">
        <v>0</v>
      </c>
      <c r="J629" s="56">
        <f>(10+10)*5</f>
        <v>100</v>
      </c>
      <c r="K629" s="56"/>
      <c r="L629" s="56"/>
      <c r="M629" s="56">
        <f t="shared" si="130"/>
        <v>100</v>
      </c>
      <c r="N629" s="56">
        <f>IF(OR(H629="",H629="sif",H629="PM"),0,VLOOKUP(H629,[5]CU!$C$4:$H$255,6,FALSE))</f>
        <v>0.255</v>
      </c>
      <c r="O629" s="56">
        <f t="shared" si="139"/>
        <v>0</v>
      </c>
      <c r="P629" s="56">
        <f t="shared" si="139"/>
        <v>25.5</v>
      </c>
      <c r="Q629" s="56">
        <f t="shared" si="139"/>
        <v>0</v>
      </c>
      <c r="R629" s="56">
        <f t="shared" si="139"/>
        <v>0</v>
      </c>
      <c r="S629" s="53">
        <f t="shared" si="140"/>
        <v>25.5</v>
      </c>
      <c r="T629" s="23" t="s">
        <v>39</v>
      </c>
      <c r="U629" s="19" t="s">
        <v>707</v>
      </c>
      <c r="V629" s="19" t="str">
        <f>IF(OR($H629="",$H629="sif",$H629="PM"),"",VLOOKUP($H629,[5]CU!$C$5:$J$255,8,FALSE))</f>
        <v>3. Dépenses de fonctionnement</v>
      </c>
      <c r="W629" s="19" t="s">
        <v>708</v>
      </c>
      <c r="X629" s="19" t="s">
        <v>782</v>
      </c>
      <c r="Y629" s="19" t="s">
        <v>32</v>
      </c>
      <c r="Z629" s="19" t="str">
        <f>A629 &amp; "-" &amp; VLOOKUP(A629,[4]PROGRAMMES!$E$1:$F$7,2,FALSE)</f>
        <v>2-Qualité des enseignements et des apprentissages</v>
      </c>
      <c r="AA629" s="19" t="str">
        <f>B629 &amp; "-" &amp; VLOOKUP(B629,[4]SOUSPROGRAMMES!$E$1:$F$44,2,FALSE)</f>
        <v xml:space="preserve">23- Formation initiale et continue des enseignants/éducateurs y compris dans les méthodes pédagogiques innovatntes  </v>
      </c>
      <c r="AB629" s="19" t="str">
        <f>C629 &amp; "-" &amp; VLOOKUP(C629,[4]RESULTATS!$E$1:$F$176,2,FALSE)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9" s="20" t="str">
        <f>D629 &amp; "-" &amp; VLOOKUP(D629,[4]STRATEGIES!$E$1:$F$504,2,FALSE)</f>
        <v>2335-Suivi pédagogique par le directeur d’école et les Chef d’Unité Pédagogique</v>
      </c>
      <c r="AD629" s="21" t="str">
        <f t="shared" si="133"/>
        <v>23351-Elaboration et validation des outils standardisés de suivi pédagogique</v>
      </c>
    </row>
    <row r="630" spans="1:30" s="22" customFormat="1" ht="45" customHeight="1" x14ac:dyDescent="0.8">
      <c r="A630" s="14">
        <v>2</v>
      </c>
      <c r="B630" s="15">
        <v>23</v>
      </c>
      <c r="C630" s="15">
        <v>233</v>
      </c>
      <c r="D630" s="15">
        <v>2335</v>
      </c>
      <c r="E630" s="14">
        <v>23352</v>
      </c>
      <c r="F630" s="16" t="s">
        <v>783</v>
      </c>
      <c r="G630" s="21" t="s">
        <v>37</v>
      </c>
      <c r="H630" s="17" t="s">
        <v>66</v>
      </c>
      <c r="I630" s="56">
        <v>0</v>
      </c>
      <c r="J630" s="56">
        <f>10*5</f>
        <v>50</v>
      </c>
      <c r="K630" s="56"/>
      <c r="L630" s="56"/>
      <c r="M630" s="56">
        <f t="shared" si="130"/>
        <v>50</v>
      </c>
      <c r="N630" s="56">
        <f>IF(OR(H630="",H630="sif",H630="PM"),0,VLOOKUP(H630,[5]CU!$C$4:$H$255,6,FALSE))</f>
        <v>0.255</v>
      </c>
      <c r="O630" s="56">
        <f t="shared" si="139"/>
        <v>0</v>
      </c>
      <c r="P630" s="56">
        <f t="shared" si="139"/>
        <v>12.75</v>
      </c>
      <c r="Q630" s="56">
        <f t="shared" si="139"/>
        <v>0</v>
      </c>
      <c r="R630" s="56">
        <f t="shared" si="139"/>
        <v>0</v>
      </c>
      <c r="S630" s="53">
        <f t="shared" si="140"/>
        <v>12.75</v>
      </c>
      <c r="T630" s="23" t="s">
        <v>39</v>
      </c>
      <c r="U630" s="19" t="s">
        <v>707</v>
      </c>
      <c r="V630" s="19" t="str">
        <f>IF(OR($H630="",$H630="sif",$H630="PM"),"",VLOOKUP($H630,[5]CU!$C$5:$J$255,8,FALSE))</f>
        <v>3. Dépenses de fonctionnement</v>
      </c>
      <c r="W630" s="19" t="s">
        <v>708</v>
      </c>
      <c r="X630" s="19" t="s">
        <v>782</v>
      </c>
      <c r="Y630" s="19" t="s">
        <v>32</v>
      </c>
      <c r="Z630" s="19" t="str">
        <f>A630 &amp; "-" &amp; VLOOKUP(A630,[4]PROGRAMMES!$E$1:$F$7,2,FALSE)</f>
        <v>2-Qualité des enseignements et des apprentissages</v>
      </c>
      <c r="AA630" s="19" t="str">
        <f>B630 &amp; "-" &amp; VLOOKUP(B630,[4]SOUSPROGRAMMES!$E$1:$F$44,2,FALSE)</f>
        <v xml:space="preserve">23- Formation initiale et continue des enseignants/éducateurs y compris dans les méthodes pédagogiques innovatntes  </v>
      </c>
      <c r="AB630" s="19" t="str">
        <f>C630 &amp; "-" &amp; VLOOKUP(C630,[4]RESULTATS!$E$1:$F$176,2,FALSE)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0" s="20" t="str">
        <f>D630 &amp; "-" &amp; VLOOKUP(D630,[4]STRATEGIES!$E$1:$F$504,2,FALSE)</f>
        <v>2335-Suivi pédagogique par le directeur d’école et les Chef d’Unité Pédagogique</v>
      </c>
      <c r="AD630" s="21" t="str">
        <f t="shared" si="133"/>
        <v>23352-Elaboration d'un manuel de suivi pédagogique</v>
      </c>
    </row>
    <row r="631" spans="1:30" s="22" customFormat="1" ht="45" customHeight="1" x14ac:dyDescent="0.8">
      <c r="A631" s="14">
        <v>2</v>
      </c>
      <c r="B631" s="15">
        <v>23</v>
      </c>
      <c r="C631" s="15">
        <v>233</v>
      </c>
      <c r="D631" s="15">
        <v>2335</v>
      </c>
      <c r="E631" s="14">
        <v>23353</v>
      </c>
      <c r="F631" s="16" t="s">
        <v>784</v>
      </c>
      <c r="G631" s="21" t="s">
        <v>298</v>
      </c>
      <c r="H631" s="17" t="s">
        <v>38</v>
      </c>
      <c r="I631" s="56">
        <v>0</v>
      </c>
      <c r="J631" s="56">
        <f>25*2</f>
        <v>50</v>
      </c>
      <c r="K631" s="56"/>
      <c r="L631" s="56"/>
      <c r="M631" s="56">
        <f t="shared" si="130"/>
        <v>50</v>
      </c>
      <c r="N631" s="56">
        <f>IF(OR(H631="",H631="sif",H631="PM"),0,VLOOKUP(H631,[5]CU!$C$4:$H$255,6,FALSE))</f>
        <v>0.3133333333333333</v>
      </c>
      <c r="O631" s="56">
        <f t="shared" si="139"/>
        <v>0</v>
      </c>
      <c r="P631" s="56">
        <f t="shared" si="139"/>
        <v>15.666666666666664</v>
      </c>
      <c r="Q631" s="56">
        <f t="shared" si="139"/>
        <v>0</v>
      </c>
      <c r="R631" s="56">
        <f t="shared" si="139"/>
        <v>0</v>
      </c>
      <c r="S631" s="53">
        <f t="shared" si="140"/>
        <v>15.666666666666664</v>
      </c>
      <c r="T631" s="23" t="s">
        <v>39</v>
      </c>
      <c r="U631" s="19" t="s">
        <v>707</v>
      </c>
      <c r="V631" s="19" t="str">
        <f>IF(OR($H631="",$H631="sif",$H631="PM"),"",VLOOKUP($H631,[5]CU!$C$5:$J$255,8,FALSE))</f>
        <v>3. Formation</v>
      </c>
      <c r="W631" s="19" t="s">
        <v>708</v>
      </c>
      <c r="X631" s="19" t="s">
        <v>782</v>
      </c>
      <c r="Y631" s="19" t="s">
        <v>32</v>
      </c>
      <c r="Z631" s="19" t="str">
        <f>A631 &amp; "-" &amp; VLOOKUP(A631,[4]PROGRAMMES!$E$1:$F$7,2,FALSE)</f>
        <v>2-Qualité des enseignements et des apprentissages</v>
      </c>
      <c r="AA631" s="19" t="str">
        <f>B631 &amp; "-" &amp; VLOOKUP(B631,[4]SOUSPROGRAMMES!$E$1:$F$44,2,FALSE)</f>
        <v xml:space="preserve">23- Formation initiale et continue des enseignants/éducateurs y compris dans les méthodes pédagogiques innovatntes  </v>
      </c>
      <c r="AB631" s="19" t="str">
        <f>C631 &amp; "-" &amp; VLOOKUP(C631,[4]RESULTATS!$E$1:$F$176,2,FALSE)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1" s="20" t="str">
        <f>D631 &amp; "-" &amp; VLOOKUP(D631,[4]STRATEGIES!$E$1:$F$504,2,FALSE)</f>
        <v>2335-Suivi pédagogique par le directeur d’école et les Chef d’Unité Pédagogique</v>
      </c>
      <c r="AD631" s="21" t="str">
        <f t="shared" si="133"/>
        <v>23353-Validation des outils et du manuel</v>
      </c>
    </row>
    <row r="632" spans="1:30" s="22" customFormat="1" ht="45" customHeight="1" x14ac:dyDescent="0.8">
      <c r="A632" s="14">
        <v>2</v>
      </c>
      <c r="B632" s="15">
        <v>23</v>
      </c>
      <c r="C632" s="15">
        <v>233</v>
      </c>
      <c r="D632" s="15">
        <v>2335</v>
      </c>
      <c r="E632" s="14">
        <v>23354</v>
      </c>
      <c r="F632" s="16" t="s">
        <v>785</v>
      </c>
      <c r="G632" s="21" t="s">
        <v>44</v>
      </c>
      <c r="H632" s="17" t="s">
        <v>786</v>
      </c>
      <c r="I632" s="56">
        <v>0</v>
      </c>
      <c r="J632" s="56"/>
      <c r="K632" s="56">
        <f>((1800*5)+11000+46)*1.1</f>
        <v>22050.600000000002</v>
      </c>
      <c r="L632" s="56"/>
      <c r="M632" s="56">
        <f t="shared" si="130"/>
        <v>22050.600000000002</v>
      </c>
      <c r="N632" s="56">
        <f>IF(OR(H632="",H632="sif",H632="PM"),0,VLOOKUP(H632,[5]CU!$C$4:$H$255,6,FALSE))</f>
        <v>7.4999999999999997E-3</v>
      </c>
      <c r="O632" s="56">
        <f t="shared" si="139"/>
        <v>0</v>
      </c>
      <c r="P632" s="56">
        <f t="shared" si="139"/>
        <v>0</v>
      </c>
      <c r="Q632" s="56">
        <f t="shared" si="139"/>
        <v>165.37950000000001</v>
      </c>
      <c r="R632" s="56">
        <f t="shared" si="139"/>
        <v>0</v>
      </c>
      <c r="S632" s="53">
        <f t="shared" si="140"/>
        <v>165.37950000000001</v>
      </c>
      <c r="T632" s="23" t="s">
        <v>39</v>
      </c>
      <c r="U632" s="19" t="s">
        <v>707</v>
      </c>
      <c r="V632" s="19" t="str">
        <f>IF(OR($H632="",$H632="sif",$H632="PM"),"",VLOOKUP($H632,[5]CU!$C$5:$J$255,8,FALSE))</f>
        <v>3. Dépenses de fonctionnement</v>
      </c>
      <c r="W632" s="19" t="s">
        <v>708</v>
      </c>
      <c r="X632" s="19" t="s">
        <v>782</v>
      </c>
      <c r="Y632" s="19" t="s">
        <v>32</v>
      </c>
      <c r="Z632" s="19" t="str">
        <f>A632 &amp; "-" &amp; VLOOKUP(A632,[4]PROGRAMMES!$E$1:$F$7,2,FALSE)</f>
        <v>2-Qualité des enseignements et des apprentissages</v>
      </c>
      <c r="AA632" s="19" t="str">
        <f>B632 &amp; "-" &amp; VLOOKUP(B632,[4]SOUSPROGRAMMES!$E$1:$F$44,2,FALSE)</f>
        <v xml:space="preserve">23- Formation initiale et continue des enseignants/éducateurs y compris dans les méthodes pédagogiques innovatntes  </v>
      </c>
      <c r="AB632" s="19" t="str">
        <f>C632 &amp; "-" &amp; VLOOKUP(C632,[4]RESULTATS!$E$1:$F$176,2,FALSE)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2" s="20" t="str">
        <f>D632 &amp; "-" &amp; VLOOKUP(D632,[4]STRATEGIES!$E$1:$F$504,2,FALSE)</f>
        <v>2335-Suivi pédagogique par le directeur d’école et les Chef d’Unité Pédagogique</v>
      </c>
      <c r="AD632" s="21" t="str">
        <f t="shared" si="133"/>
        <v xml:space="preserve">23354-Diffusion des outils et du manuel aux directeurs d'école et aux chefs de groupe pédagogique </v>
      </c>
    </row>
    <row r="633" spans="1:30" s="22" customFormat="1" ht="45" customHeight="1" x14ac:dyDescent="0.8">
      <c r="A633" s="14">
        <v>2</v>
      </c>
      <c r="B633" s="15">
        <v>23</v>
      </c>
      <c r="C633" s="15">
        <v>233</v>
      </c>
      <c r="D633" s="15">
        <v>2336</v>
      </c>
      <c r="E633" s="14">
        <v>2336</v>
      </c>
      <c r="F633" s="16" t="s">
        <v>787</v>
      </c>
      <c r="G633" s="17"/>
      <c r="H633" s="17"/>
      <c r="I633" s="56">
        <v>0</v>
      </c>
      <c r="J633" s="56"/>
      <c r="K633" s="56"/>
      <c r="L633" s="56"/>
      <c r="M633" s="56"/>
      <c r="N633" s="56"/>
      <c r="O633" s="56"/>
      <c r="P633" s="56"/>
      <c r="Q633" s="56"/>
      <c r="R633" s="56"/>
      <c r="S633" s="53"/>
      <c r="T633" s="18"/>
      <c r="U633" s="18"/>
      <c r="V633" s="19"/>
      <c r="W633" s="18"/>
      <c r="X633" s="18"/>
      <c r="Y633" s="19" t="s">
        <v>32</v>
      </c>
      <c r="Z633" s="19" t="str">
        <f>A633 &amp; "-" &amp; VLOOKUP(A633,[4]PROGRAMMES!$E$1:$F$7,2,FALSE)</f>
        <v>2-Qualité des enseignements et des apprentissages</v>
      </c>
      <c r="AA633" s="19" t="str">
        <f>B633 &amp; "-" &amp; VLOOKUP(B633,[4]SOUSPROGRAMMES!$E$1:$F$44,2,FALSE)</f>
        <v xml:space="preserve">23- Formation initiale et continue des enseignants/éducateurs y compris dans les méthodes pédagogiques innovatntes  </v>
      </c>
      <c r="AB633" s="19" t="str">
        <f>C633 &amp; "-" &amp; VLOOKUP(C633,[4]RESULTATS!$E$1:$F$176,2,FALSE)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3" s="20" t="str">
        <f>D633 &amp; "-" &amp; VLOOKUP(D633,[4]STRATEGIES!$E$1:$F$504,2,FALSE)</f>
        <v>2336-Evaluation régulière des compétences des enseignants et éducateurs sortant des établissements de formation initiale</v>
      </c>
      <c r="AD633" s="21" t="str">
        <f t="shared" si="133"/>
        <v>2336-Evaluation régulière des compétences des enseignants et éducateurs sortant des établissements de formation initiale</v>
      </c>
    </row>
    <row r="634" spans="1:30" s="22" customFormat="1" ht="45" customHeight="1" x14ac:dyDescent="0.8">
      <c r="A634" s="14">
        <v>2</v>
      </c>
      <c r="B634" s="15">
        <v>23</v>
      </c>
      <c r="C634" s="15">
        <v>233</v>
      </c>
      <c r="D634" s="15">
        <v>2336</v>
      </c>
      <c r="E634" s="14">
        <v>23361</v>
      </c>
      <c r="F634" s="16" t="s">
        <v>788</v>
      </c>
      <c r="G634" s="21" t="s">
        <v>37</v>
      </c>
      <c r="H634" s="17" t="s">
        <v>66</v>
      </c>
      <c r="I634" s="56">
        <v>0</v>
      </c>
      <c r="J634" s="56"/>
      <c r="K634" s="56">
        <f>15*10</f>
        <v>150</v>
      </c>
      <c r="L634" s="56"/>
      <c r="M634" s="56">
        <f t="shared" si="130"/>
        <v>150</v>
      </c>
      <c r="N634" s="56">
        <f>IF(OR(H634="",H634="sif",H634="PM"),0,VLOOKUP(H634,[5]CU!$C$4:$H$255,6,FALSE))</f>
        <v>0.255</v>
      </c>
      <c r="O634" s="56">
        <f t="shared" si="139"/>
        <v>0</v>
      </c>
      <c r="P634" s="56">
        <f t="shared" si="139"/>
        <v>0</v>
      </c>
      <c r="Q634" s="56">
        <f t="shared" si="139"/>
        <v>38.25</v>
      </c>
      <c r="R634" s="56">
        <f t="shared" si="139"/>
        <v>0</v>
      </c>
      <c r="S634" s="53">
        <f t="shared" si="140"/>
        <v>38.25</v>
      </c>
      <c r="T634" s="23" t="s">
        <v>39</v>
      </c>
      <c r="U634" s="19" t="s">
        <v>707</v>
      </c>
      <c r="V634" s="19" t="str">
        <f>IF(OR($H634="",$H634="sif",$H634="PM"),"",VLOOKUP($H634,[5]CU!$C$5:$J$255,8,FALSE))</f>
        <v>3. Dépenses de fonctionnement</v>
      </c>
      <c r="W634" s="19" t="s">
        <v>708</v>
      </c>
      <c r="X634" s="19" t="s">
        <v>142</v>
      </c>
      <c r="Y634" s="19" t="s">
        <v>32</v>
      </c>
      <c r="Z634" s="19" t="str">
        <f>A634 &amp; "-" &amp; VLOOKUP(A634,[4]PROGRAMMES!$E$1:$F$7,2,FALSE)</f>
        <v>2-Qualité des enseignements et des apprentissages</v>
      </c>
      <c r="AA634" s="19" t="str">
        <f>B634 &amp; "-" &amp; VLOOKUP(B634,[4]SOUSPROGRAMMES!$E$1:$F$44,2,FALSE)</f>
        <v xml:space="preserve">23- Formation initiale et continue des enseignants/éducateurs y compris dans les méthodes pédagogiques innovatntes  </v>
      </c>
      <c r="AB634" s="19" t="str">
        <f>C634 &amp; "-" &amp; VLOOKUP(C634,[4]RESULTATS!$E$1:$F$176,2,FALSE)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4" s="20" t="str">
        <f>D634 &amp; "-" &amp; VLOOKUP(D634,[4]STRATEGIES!$E$1:$F$504,2,FALSE)</f>
        <v>2336-Evaluation régulière des compétences des enseignants et éducateurs sortant des établissements de formation initiale</v>
      </c>
      <c r="AD634" s="21" t="str">
        <f t="shared" si="133"/>
        <v>23361-Mise en place d'un dispositif de suivi-évaluation des cohortes sortant des institutions de formations initiales avec DNPSCE, DNEF, DNESGT, DFC DRH</v>
      </c>
    </row>
    <row r="635" spans="1:30" s="22" customFormat="1" ht="45" customHeight="1" x14ac:dyDescent="0.8">
      <c r="A635" s="14">
        <v>2</v>
      </c>
      <c r="B635" s="15">
        <v>23</v>
      </c>
      <c r="C635" s="15">
        <v>233</v>
      </c>
      <c r="D635" s="15">
        <v>2336</v>
      </c>
      <c r="E635" s="14">
        <v>23362</v>
      </c>
      <c r="F635" s="16" t="s">
        <v>789</v>
      </c>
      <c r="G635" s="21" t="s">
        <v>100</v>
      </c>
      <c r="H635" s="17" t="s">
        <v>101</v>
      </c>
      <c r="I635" s="56">
        <v>0</v>
      </c>
      <c r="J635" s="56"/>
      <c r="K635" s="56">
        <f>1*30*2</f>
        <v>60</v>
      </c>
      <c r="L635" s="56">
        <v>10</v>
      </c>
      <c r="M635" s="56">
        <f t="shared" si="130"/>
        <v>70</v>
      </c>
      <c r="N635" s="56">
        <f>IF(OR(H635="",H635="sif",H635="PM"),0,VLOOKUP(H635,[5]CU!$C$4:$H$255,6,FALSE))</f>
        <v>2.651545</v>
      </c>
      <c r="O635" s="56">
        <f t="shared" si="139"/>
        <v>0</v>
      </c>
      <c r="P635" s="56">
        <f t="shared" si="139"/>
        <v>0</v>
      </c>
      <c r="Q635" s="56">
        <f t="shared" si="139"/>
        <v>159.09270000000001</v>
      </c>
      <c r="R635" s="56">
        <f t="shared" si="139"/>
        <v>26.515450000000001</v>
      </c>
      <c r="S635" s="53">
        <f t="shared" si="140"/>
        <v>185.60815000000002</v>
      </c>
      <c r="T635" s="23" t="s">
        <v>39</v>
      </c>
      <c r="U635" s="19" t="s">
        <v>707</v>
      </c>
      <c r="V635" s="19" t="str">
        <f>IF(OR($H635="",$H635="sif",$H635="PM"),"",VLOOKUP($H635,[5]CU!$C$5:$J$255,8,FALSE))</f>
        <v>3. Dépenses de fonctionnement</v>
      </c>
      <c r="W635" s="19" t="s">
        <v>708</v>
      </c>
      <c r="X635" s="19" t="s">
        <v>142</v>
      </c>
      <c r="Y635" s="19" t="s">
        <v>32</v>
      </c>
      <c r="Z635" s="19" t="str">
        <f>A635 &amp; "-" &amp; VLOOKUP(A635,[4]PROGRAMMES!$E$1:$F$7,2,FALSE)</f>
        <v>2-Qualité des enseignements et des apprentissages</v>
      </c>
      <c r="AA635" s="19" t="str">
        <f>B635 &amp; "-" &amp; VLOOKUP(B635,[4]SOUSPROGRAMMES!$E$1:$F$44,2,FALSE)</f>
        <v xml:space="preserve">23- Formation initiale et continue des enseignants/éducateurs y compris dans les méthodes pédagogiques innovatntes  </v>
      </c>
      <c r="AB635" s="19" t="str">
        <f>C635 &amp; "-" &amp; VLOOKUP(C635,[4]RESULTATS!$E$1:$F$176,2,FALSE)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5" s="20" t="str">
        <f>D635 &amp; "-" &amp; VLOOKUP(D635,[4]STRATEGIES!$E$1:$F$504,2,FALSE)</f>
        <v>2336-Evaluation régulière des compétences des enseignants et éducateurs sortant des établissements de formation initiale</v>
      </c>
      <c r="AD635" s="21" t="str">
        <f t="shared" si="133"/>
        <v>23362-Conception d'une base de données de suivi des cohortes des sortants des ENI (avec DNPSCE, DNEF, DRH)</v>
      </c>
    </row>
    <row r="636" spans="1:30" s="22" customFormat="1" ht="45" hidden="1" customHeight="1" x14ac:dyDescent="0.8">
      <c r="A636" s="14">
        <v>2</v>
      </c>
      <c r="B636" s="15">
        <v>23</v>
      </c>
      <c r="C636" s="15">
        <v>233</v>
      </c>
      <c r="D636" s="15">
        <v>2336</v>
      </c>
      <c r="E636" s="14">
        <v>23363</v>
      </c>
      <c r="F636" s="16" t="s">
        <v>790</v>
      </c>
      <c r="G636" s="21" t="s">
        <v>92</v>
      </c>
      <c r="H636" s="17" t="s">
        <v>55</v>
      </c>
      <c r="I636" s="56">
        <v>0</v>
      </c>
      <c r="J636" s="56"/>
      <c r="K636" s="56"/>
      <c r="L636" s="56">
        <v>1</v>
      </c>
      <c r="M636" s="56">
        <f t="shared" si="130"/>
        <v>1</v>
      </c>
      <c r="N636" s="56">
        <f>IF(OR(H636="",H636="sif",H636="PM"),0,VLOOKUP(H636,[5]CU!$C$4:$H$255,6,FALSE))</f>
        <v>0</v>
      </c>
      <c r="O636" s="56"/>
      <c r="P636" s="56"/>
      <c r="Q636" s="56"/>
      <c r="R636" s="56"/>
      <c r="S636" s="53"/>
      <c r="T636" s="23" t="s">
        <v>56</v>
      </c>
      <c r="U636" s="18" t="s">
        <v>707</v>
      </c>
      <c r="V636" s="19" t="str">
        <f>IF(OR($H636="",$H636="sif",$H636="PM"),"",VLOOKUP($H636,[5]CU!$C$5:$J$255,8,FALSE))</f>
        <v/>
      </c>
      <c r="W636" s="18" t="s">
        <v>708</v>
      </c>
      <c r="X636" s="18" t="s">
        <v>142</v>
      </c>
      <c r="Y636" s="19" t="s">
        <v>32</v>
      </c>
      <c r="Z636" s="19" t="str">
        <f>A636 &amp; "-" &amp; VLOOKUP(A636,[4]PROGRAMMES!$E$1:$F$7,2,FALSE)</f>
        <v>2-Qualité des enseignements et des apprentissages</v>
      </c>
      <c r="AA636" s="19" t="str">
        <f>B636 &amp; "-" &amp; VLOOKUP(B636,[4]SOUSPROGRAMMES!$E$1:$F$44,2,FALSE)</f>
        <v xml:space="preserve">23- Formation initiale et continue des enseignants/éducateurs y compris dans les méthodes pédagogiques innovatntes  </v>
      </c>
      <c r="AB636" s="19" t="str">
        <f>C636 &amp; "-" &amp; VLOOKUP(C636,[4]RESULTATS!$E$1:$F$176,2,FALSE)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6" s="20" t="str">
        <f>D636 &amp; "-" &amp; VLOOKUP(D636,[4]STRATEGIES!$E$1:$F$504,2,FALSE)</f>
        <v>2336-Evaluation régulière des compétences des enseignants et éducateurs sortant des établissements de formation initiale</v>
      </c>
      <c r="AD636" s="21" t="str">
        <f t="shared" si="133"/>
        <v>23363-Rédaction du manuel d'utilisation de la base de données (pris en compte dans activité 23132) (avec DNPSCE, DNEF, DNESGT, DRH)</v>
      </c>
    </row>
    <row r="637" spans="1:30" s="22" customFormat="1" ht="45" hidden="1" customHeight="1" x14ac:dyDescent="0.8">
      <c r="A637" s="14">
        <v>2</v>
      </c>
      <c r="B637" s="15">
        <v>23</v>
      </c>
      <c r="C637" s="15">
        <v>233</v>
      </c>
      <c r="D637" s="15">
        <v>2336</v>
      </c>
      <c r="E637" s="14">
        <v>23364</v>
      </c>
      <c r="F637" s="16" t="s">
        <v>791</v>
      </c>
      <c r="G637" s="21" t="s">
        <v>92</v>
      </c>
      <c r="H637" s="17" t="s">
        <v>55</v>
      </c>
      <c r="I637" s="56">
        <v>0</v>
      </c>
      <c r="J637" s="56"/>
      <c r="K637" s="56"/>
      <c r="L637" s="56">
        <v>1</v>
      </c>
      <c r="M637" s="56">
        <f t="shared" si="130"/>
        <v>1</v>
      </c>
      <c r="N637" s="56">
        <f>IF(OR(H637="",H637="sif",H637="PM"),0,VLOOKUP(H637,[5]CU!$C$4:$H$255,6,FALSE))</f>
        <v>0</v>
      </c>
      <c r="O637" s="56"/>
      <c r="P637" s="56"/>
      <c r="Q637" s="56"/>
      <c r="R637" s="56"/>
      <c r="S637" s="53"/>
      <c r="T637" s="23" t="s">
        <v>56</v>
      </c>
      <c r="U637" s="18" t="s">
        <v>707</v>
      </c>
      <c r="V637" s="19" t="str">
        <f>IF(OR($H637="",$H637="sif",$H637="PM"),"",VLOOKUP($H637,[5]CU!$C$5:$J$255,8,FALSE))</f>
        <v/>
      </c>
      <c r="W637" s="18" t="s">
        <v>708</v>
      </c>
      <c r="X637" s="18" t="s">
        <v>142</v>
      </c>
      <c r="Y637" s="19" t="s">
        <v>32</v>
      </c>
      <c r="Z637" s="19" t="str">
        <f>A637 &amp; "-" &amp; VLOOKUP(A637,[4]PROGRAMMES!$E$1:$F$7,2,FALSE)</f>
        <v>2-Qualité des enseignements et des apprentissages</v>
      </c>
      <c r="AA637" s="19" t="str">
        <f>B637 &amp; "-" &amp; VLOOKUP(B637,[4]SOUSPROGRAMMES!$E$1:$F$44,2,FALSE)</f>
        <v xml:space="preserve">23- Formation initiale et continue des enseignants/éducateurs y compris dans les méthodes pédagogiques innovatntes  </v>
      </c>
      <c r="AB637" s="19" t="str">
        <f>C637 &amp; "-" &amp; VLOOKUP(C637,[4]RESULTATS!$E$1:$F$176,2,FALSE)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7" s="20" t="str">
        <f>D637 &amp; "-" &amp; VLOOKUP(D637,[4]STRATEGIES!$E$1:$F$504,2,FALSE)</f>
        <v>2336-Evaluation régulière des compétences des enseignants et éducateurs sortant des établissements de formation initiale</v>
      </c>
      <c r="AD637" s="21" t="str">
        <f t="shared" si="133"/>
        <v>23364-Conception des outils de collecte de données des cohortes (pris en compte dans activité 23132) (avec DNPSCE, DNEF, DNESGT, DRH)</v>
      </c>
    </row>
    <row r="638" spans="1:30" s="22" customFormat="1" ht="45" customHeight="1" x14ac:dyDescent="0.8">
      <c r="A638" s="14">
        <v>2</v>
      </c>
      <c r="B638" s="15">
        <v>23</v>
      </c>
      <c r="C638" s="15">
        <v>233</v>
      </c>
      <c r="D638" s="15">
        <v>2336</v>
      </c>
      <c r="E638" s="14">
        <v>23365</v>
      </c>
      <c r="F638" s="16" t="s">
        <v>792</v>
      </c>
      <c r="G638" s="21" t="s">
        <v>298</v>
      </c>
      <c r="H638" s="17" t="s">
        <v>38</v>
      </c>
      <c r="I638" s="56">
        <v>0</v>
      </c>
      <c r="J638" s="56"/>
      <c r="K638" s="56"/>
      <c r="L638" s="56">
        <f>25*2</f>
        <v>50</v>
      </c>
      <c r="M638" s="56">
        <f t="shared" si="130"/>
        <v>50</v>
      </c>
      <c r="N638" s="56">
        <f>IF(OR(H638="",H638="sif",H638="PM"),0,VLOOKUP(H638,[5]CU!$C$4:$H$255,6,FALSE))</f>
        <v>0.3133333333333333</v>
      </c>
      <c r="O638" s="56">
        <f t="shared" ref="O638:R642" si="141">$N638*I638</f>
        <v>0</v>
      </c>
      <c r="P638" s="56">
        <f t="shared" si="141"/>
        <v>0</v>
      </c>
      <c r="Q638" s="56">
        <f t="shared" si="141"/>
        <v>0</v>
      </c>
      <c r="R638" s="56">
        <f t="shared" si="141"/>
        <v>15.666666666666664</v>
      </c>
      <c r="S638" s="53">
        <f>SUM(O638:R638)</f>
        <v>15.666666666666664</v>
      </c>
      <c r="T638" s="23" t="s">
        <v>39</v>
      </c>
      <c r="U638" s="19" t="s">
        <v>707</v>
      </c>
      <c r="V638" s="19" t="str">
        <f>IF(OR($H638="",$H638="sif",$H638="PM"),"",VLOOKUP($H638,[5]CU!$C$5:$J$255,8,FALSE))</f>
        <v>3. Formation</v>
      </c>
      <c r="W638" s="19" t="s">
        <v>708</v>
      </c>
      <c r="X638" s="19" t="s">
        <v>273</v>
      </c>
      <c r="Y638" s="19" t="s">
        <v>32</v>
      </c>
      <c r="Z638" s="19" t="str">
        <f>A638 &amp; "-" &amp; VLOOKUP(A638,[4]PROGRAMMES!$E$1:$F$7,2,FALSE)</f>
        <v>2-Qualité des enseignements et des apprentissages</v>
      </c>
      <c r="AA638" s="19" t="str">
        <f>B638 &amp; "-" &amp; VLOOKUP(B638,[4]SOUSPROGRAMMES!$E$1:$F$44,2,FALSE)</f>
        <v xml:space="preserve">23- Formation initiale et continue des enseignants/éducateurs y compris dans les méthodes pédagogiques innovatntes  </v>
      </c>
      <c r="AB638" s="19" t="str">
        <f>C638 &amp; "-" &amp; VLOOKUP(C638,[4]RESULTATS!$E$1:$F$176,2,FALSE)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8" s="20" t="str">
        <f>D638 &amp; "-" &amp; VLOOKUP(D638,[4]STRATEGIES!$E$1:$F$504,2,FALSE)</f>
        <v>2336-Evaluation régulière des compétences des enseignants et éducateurs sortant des établissements de formation initiale</v>
      </c>
      <c r="AD638" s="21" t="str">
        <f t="shared" si="133"/>
        <v>23365-Validation des outils de collecte et du manuel d'utilisation de la base de données</v>
      </c>
    </row>
    <row r="639" spans="1:30" s="22" customFormat="1" ht="45" customHeight="1" x14ac:dyDescent="0.8">
      <c r="A639" s="14">
        <v>2</v>
      </c>
      <c r="B639" s="15">
        <v>23</v>
      </c>
      <c r="C639" s="15">
        <v>233</v>
      </c>
      <c r="D639" s="15">
        <v>2336</v>
      </c>
      <c r="E639" s="14">
        <v>23366</v>
      </c>
      <c r="F639" s="16" t="s">
        <v>793</v>
      </c>
      <c r="G639" s="21" t="s">
        <v>37</v>
      </c>
      <c r="H639" s="17" t="s">
        <v>352</v>
      </c>
      <c r="I639" s="56">
        <v>0</v>
      </c>
      <c r="J639" s="56"/>
      <c r="K639" s="56"/>
      <c r="L639" s="56">
        <f>(1*8+5+3)*5</f>
        <v>80</v>
      </c>
      <c r="M639" s="56">
        <f t="shared" si="130"/>
        <v>80</v>
      </c>
      <c r="N639" s="56">
        <f>IF(OR(H639="",H639="sif",H639="PM"),0,VLOOKUP(H639,[5]CU!$C$4:$H$255,6,FALSE))</f>
        <v>0.54600000000000004</v>
      </c>
      <c r="O639" s="56">
        <f t="shared" si="141"/>
        <v>0</v>
      </c>
      <c r="P639" s="56">
        <f t="shared" si="141"/>
        <v>0</v>
      </c>
      <c r="Q639" s="56">
        <f t="shared" si="141"/>
        <v>0</v>
      </c>
      <c r="R639" s="56">
        <f t="shared" si="141"/>
        <v>43.680000000000007</v>
      </c>
      <c r="S639" s="53">
        <f>SUM(O639:R639)</f>
        <v>43.680000000000007</v>
      </c>
      <c r="T639" s="23" t="s">
        <v>39</v>
      </c>
      <c r="U639" s="19" t="s">
        <v>707</v>
      </c>
      <c r="V639" s="19" t="str">
        <f>IF(OR($H639="",$H639="sif",$H639="PM"),"",VLOOKUP($H639,[5]CU!$C$5:$J$255,8,FALSE))</f>
        <v>3. Formation</v>
      </c>
      <c r="W639" s="19" t="s">
        <v>708</v>
      </c>
      <c r="X639" s="19" t="s">
        <v>142</v>
      </c>
      <c r="Y639" s="19" t="s">
        <v>32</v>
      </c>
      <c r="Z639" s="19" t="str">
        <f>A639 &amp; "-" &amp; VLOOKUP(A639,[4]PROGRAMMES!$E$1:$F$7,2,FALSE)</f>
        <v>2-Qualité des enseignements et des apprentissages</v>
      </c>
      <c r="AA639" s="19" t="str">
        <f>B639 &amp; "-" &amp; VLOOKUP(B639,[4]SOUSPROGRAMMES!$E$1:$F$44,2,FALSE)</f>
        <v xml:space="preserve">23- Formation initiale et continue des enseignants/éducateurs y compris dans les méthodes pédagogiques innovatntes  </v>
      </c>
      <c r="AB639" s="19" t="str">
        <f>C639 &amp; "-" &amp; VLOOKUP(C639,[4]RESULTATS!$E$1:$F$176,2,FALSE)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9" s="20" t="str">
        <f>D639 &amp; "-" &amp; VLOOKUP(D639,[4]STRATEGIES!$E$1:$F$504,2,FALSE)</f>
        <v>2336-Evaluation régulière des compétences des enseignants et éducateurs sortant des établissements de formation initiale</v>
      </c>
      <c r="AD639" s="21" t="str">
        <f t="shared" si="133"/>
        <v>23366-Formation des encadreurs et mise à disposition des outils pour la collecte de données</v>
      </c>
    </row>
    <row r="640" spans="1:30" s="22" customFormat="1" ht="45" customHeight="1" x14ac:dyDescent="0.8">
      <c r="A640" s="14">
        <v>2</v>
      </c>
      <c r="B640" s="15">
        <v>23</v>
      </c>
      <c r="C640" s="15">
        <v>233</v>
      </c>
      <c r="D640" s="15">
        <v>2336</v>
      </c>
      <c r="E640" s="14">
        <v>23367</v>
      </c>
      <c r="F640" s="16" t="s">
        <v>794</v>
      </c>
      <c r="G640" s="21" t="s">
        <v>37</v>
      </c>
      <c r="H640" s="17" t="s">
        <v>66</v>
      </c>
      <c r="I640" s="56">
        <v>0</v>
      </c>
      <c r="J640" s="56"/>
      <c r="K640" s="56"/>
      <c r="L640" s="56">
        <f>10*10</f>
        <v>100</v>
      </c>
      <c r="M640" s="56">
        <f>SUM(I640:L640)</f>
        <v>100</v>
      </c>
      <c r="N640" s="56">
        <f>IF(OR(H640="",H640="sif",H640="PM"),0,VLOOKUP(H640,[5]CU!$C$4:$H$255,6,FALSE))</f>
        <v>0.255</v>
      </c>
      <c r="O640" s="56">
        <f t="shared" si="141"/>
        <v>0</v>
      </c>
      <c r="P640" s="56">
        <f t="shared" si="141"/>
        <v>0</v>
      </c>
      <c r="Q640" s="56">
        <f t="shared" si="141"/>
        <v>0</v>
      </c>
      <c r="R640" s="56">
        <f t="shared" si="141"/>
        <v>25.5</v>
      </c>
      <c r="S640" s="53">
        <f>SUM(O640:R640)</f>
        <v>25.5</v>
      </c>
      <c r="T640" s="23" t="s">
        <v>39</v>
      </c>
      <c r="U640" s="19" t="s">
        <v>707</v>
      </c>
      <c r="V640" s="19" t="str">
        <f>IF(OR($H640="",$H640="sif",$H640="PM"),"",VLOOKUP($H640,[5]CU!$C$5:$J$255,8,FALSE))</f>
        <v>3. Dépenses de fonctionnement</v>
      </c>
      <c r="W640" s="19" t="s">
        <v>708</v>
      </c>
      <c r="X640" s="19" t="s">
        <v>795</v>
      </c>
      <c r="Y640" s="19" t="s">
        <v>32</v>
      </c>
      <c r="Z640" s="19" t="str">
        <f>A640 &amp; "-" &amp; VLOOKUP(A640,[4]PROGRAMMES!$E$1:$F$7,2,FALSE)</f>
        <v>2-Qualité des enseignements et des apprentissages</v>
      </c>
      <c r="AA640" s="19" t="str">
        <f>B640 &amp; "-" &amp; VLOOKUP(B640,[4]SOUSPROGRAMMES!$E$1:$F$44,2,FALSE)</f>
        <v xml:space="preserve">23- Formation initiale et continue des enseignants/éducateurs y compris dans les méthodes pédagogiques innovatntes  </v>
      </c>
      <c r="AB640" s="19" t="str">
        <f>C640 &amp; "-" &amp; VLOOKUP(C640,[4]RESULTATS!$E$1:$F$176,2,FALSE)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0" s="20" t="str">
        <f>D640 &amp; "-" &amp; VLOOKUP(D640,[4]STRATEGIES!$E$1:$F$504,2,FALSE)</f>
        <v>2336-Evaluation régulière des compétences des enseignants et éducateurs sortant des établissements de formation initiale</v>
      </c>
      <c r="AD640" s="21" t="str">
        <f t="shared" si="133"/>
        <v>23367-Traitement et analyse des données collectées (codification saisie et toilettage des fichiers)</v>
      </c>
    </row>
    <row r="641" spans="1:30" s="22" customFormat="1" ht="45" customHeight="1" x14ac:dyDescent="0.8">
      <c r="A641" s="14">
        <v>2</v>
      </c>
      <c r="B641" s="15">
        <v>23</v>
      </c>
      <c r="C641" s="15">
        <v>233</v>
      </c>
      <c r="D641" s="15">
        <v>2336</v>
      </c>
      <c r="E641" s="14">
        <v>23368</v>
      </c>
      <c r="F641" s="16" t="s">
        <v>796</v>
      </c>
      <c r="G641" s="21" t="s">
        <v>37</v>
      </c>
      <c r="H641" s="17" t="s">
        <v>66</v>
      </c>
      <c r="I641" s="56">
        <v>0</v>
      </c>
      <c r="J641" s="56"/>
      <c r="K641" s="56"/>
      <c r="L641" s="56">
        <f>8*5</f>
        <v>40</v>
      </c>
      <c r="M641" s="56">
        <f>SUM(I641:L641)</f>
        <v>40</v>
      </c>
      <c r="N641" s="56">
        <f>IF(OR(H641="",H641="sif",H641="PM"),0,VLOOKUP(H641,[5]CU!$C$4:$H$255,6,FALSE))</f>
        <v>0.255</v>
      </c>
      <c r="O641" s="56">
        <f t="shared" si="141"/>
        <v>0</v>
      </c>
      <c r="P641" s="56">
        <f t="shared" si="141"/>
        <v>0</v>
      </c>
      <c r="Q641" s="56">
        <f t="shared" si="141"/>
        <v>0</v>
      </c>
      <c r="R641" s="56">
        <f t="shared" si="141"/>
        <v>10.199999999999999</v>
      </c>
      <c r="S641" s="53">
        <f>SUM(O641:R641)</f>
        <v>10.199999999999999</v>
      </c>
      <c r="T641" s="23" t="s">
        <v>39</v>
      </c>
      <c r="U641" s="19" t="s">
        <v>707</v>
      </c>
      <c r="V641" s="19" t="str">
        <f>IF(OR($H641="",$H641="sif",$H641="PM"),"",VLOOKUP($H641,[5]CU!$C$5:$J$255,8,FALSE))</f>
        <v>3. Dépenses de fonctionnement</v>
      </c>
      <c r="W641" s="19" t="s">
        <v>708</v>
      </c>
      <c r="X641" s="19" t="s">
        <v>795</v>
      </c>
      <c r="Y641" s="19" t="s">
        <v>32</v>
      </c>
      <c r="Z641" s="19" t="str">
        <f>A641 &amp; "-" &amp; VLOOKUP(A641,[4]PROGRAMMES!$E$1:$F$7,2,FALSE)</f>
        <v>2-Qualité des enseignements et des apprentissages</v>
      </c>
      <c r="AA641" s="19" t="str">
        <f>B641 &amp; "-" &amp; VLOOKUP(B641,[4]SOUSPROGRAMMES!$E$1:$F$44,2,FALSE)</f>
        <v xml:space="preserve">23- Formation initiale et continue des enseignants/éducateurs y compris dans les méthodes pédagogiques innovatntes  </v>
      </c>
      <c r="AB641" s="19" t="str">
        <f>C641 &amp; "-" &amp; VLOOKUP(C641,[4]RESULTATS!$E$1:$F$176,2,FALSE)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1" s="20" t="str">
        <f>D641 &amp; "-" &amp; VLOOKUP(D641,[4]STRATEGIES!$E$1:$F$504,2,FALSE)</f>
        <v>2336-Evaluation régulière des compétences des enseignants et éducateurs sortant des établissements de formation initiale</v>
      </c>
      <c r="AD641" s="21" t="str">
        <f t="shared" si="133"/>
        <v>23368-Rédaction du rapport d'analyse</v>
      </c>
    </row>
    <row r="642" spans="1:30" s="22" customFormat="1" ht="45" customHeight="1" x14ac:dyDescent="0.8">
      <c r="A642" s="14">
        <v>2</v>
      </c>
      <c r="B642" s="15">
        <v>23</v>
      </c>
      <c r="C642" s="15">
        <v>233</v>
      </c>
      <c r="D642" s="15">
        <v>2336</v>
      </c>
      <c r="E642" s="14">
        <v>23369</v>
      </c>
      <c r="F642" s="16" t="s">
        <v>797</v>
      </c>
      <c r="G642" s="21" t="s">
        <v>37</v>
      </c>
      <c r="H642" s="17" t="s">
        <v>38</v>
      </c>
      <c r="I642" s="56">
        <v>0</v>
      </c>
      <c r="J642" s="56"/>
      <c r="K642" s="56"/>
      <c r="L642" s="56">
        <f>25*2</f>
        <v>50</v>
      </c>
      <c r="M642" s="56">
        <f>SUM(I642:L642)</f>
        <v>50</v>
      </c>
      <c r="N642" s="56">
        <f>IF(OR(H642="",H642="sif",H642="PM"),0,VLOOKUP(H642,[5]CU!$C$4:$H$255,6,FALSE))</f>
        <v>0.3133333333333333</v>
      </c>
      <c r="O642" s="56">
        <f t="shared" si="141"/>
        <v>0</v>
      </c>
      <c r="P642" s="56">
        <f t="shared" si="141"/>
        <v>0</v>
      </c>
      <c r="Q642" s="56">
        <f t="shared" si="141"/>
        <v>0</v>
      </c>
      <c r="R642" s="56">
        <f t="shared" si="141"/>
        <v>15.666666666666664</v>
      </c>
      <c r="S642" s="53">
        <f>SUM(O642:R642)</f>
        <v>15.666666666666664</v>
      </c>
      <c r="T642" s="23" t="s">
        <v>39</v>
      </c>
      <c r="U642" s="19" t="s">
        <v>707</v>
      </c>
      <c r="V642" s="19" t="str">
        <f>IF(OR($H642="",$H642="sif",$H642="PM"),"",VLOOKUP($H642,[5]CU!$C$5:$J$255,8,FALSE))</f>
        <v>3. Formation</v>
      </c>
      <c r="W642" s="19" t="s">
        <v>708</v>
      </c>
      <c r="X642" s="19" t="s">
        <v>795</v>
      </c>
      <c r="Y642" s="19" t="s">
        <v>32</v>
      </c>
      <c r="Z642" s="19" t="str">
        <f>A642 &amp; "-" &amp; VLOOKUP(A642,[4]PROGRAMMES!$E$1:$F$7,2,FALSE)</f>
        <v>2-Qualité des enseignements et des apprentissages</v>
      </c>
      <c r="AA642" s="19" t="str">
        <f>B642 &amp; "-" &amp; VLOOKUP(B642,[4]SOUSPROGRAMMES!$E$1:$F$44,2,FALSE)</f>
        <v xml:space="preserve">23- Formation initiale et continue des enseignants/éducateurs y compris dans les méthodes pédagogiques innovatntes  </v>
      </c>
      <c r="AB642" s="19" t="str">
        <f>C642 &amp; "-" &amp; VLOOKUP(C642,[4]RESULTATS!$E$1:$F$176,2,FALSE)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2" s="20" t="str">
        <f>D642 &amp; "-" &amp; VLOOKUP(D642,[4]STRATEGIES!$E$1:$F$504,2,FALSE)</f>
        <v>2336-Evaluation régulière des compétences des enseignants et éducateurs sortant des établissements de formation initiale</v>
      </c>
      <c r="AD642" s="21" t="str">
        <f t="shared" si="133"/>
        <v>23369-Partage du résultat (rapport) avec les institutions de formation initiale</v>
      </c>
    </row>
    <row r="643" spans="1:30" s="22" customFormat="1" ht="45" customHeight="1" x14ac:dyDescent="0.8">
      <c r="A643" s="14">
        <v>2</v>
      </c>
      <c r="B643" s="15">
        <v>23</v>
      </c>
      <c r="C643" s="15">
        <v>233</v>
      </c>
      <c r="D643" s="15">
        <v>2337</v>
      </c>
      <c r="E643" s="14">
        <v>2337</v>
      </c>
      <c r="F643" s="16" t="s">
        <v>798</v>
      </c>
      <c r="G643" s="17"/>
      <c r="H643" s="17"/>
      <c r="I643" s="56">
        <v>0</v>
      </c>
      <c r="J643" s="56"/>
      <c r="K643" s="56"/>
      <c r="L643" s="56"/>
      <c r="M643" s="56"/>
      <c r="N643" s="56"/>
      <c r="O643" s="56"/>
      <c r="P643" s="56"/>
      <c r="Q643" s="56"/>
      <c r="R643" s="56"/>
      <c r="S643" s="53"/>
      <c r="T643" s="18"/>
      <c r="U643" s="18"/>
      <c r="V643" s="19"/>
      <c r="W643" s="18"/>
      <c r="X643" s="18"/>
      <c r="Y643" s="19" t="s">
        <v>32</v>
      </c>
      <c r="Z643" s="19" t="str">
        <f>A643 &amp; "-" &amp; VLOOKUP(A643,[4]PROGRAMMES!$E$1:$F$7,2,FALSE)</f>
        <v>2-Qualité des enseignements et des apprentissages</v>
      </c>
      <c r="AA643" s="19" t="str">
        <f>B643 &amp; "-" &amp; VLOOKUP(B643,[4]SOUSPROGRAMMES!$E$1:$F$44,2,FALSE)</f>
        <v xml:space="preserve">23- Formation initiale et continue des enseignants/éducateurs y compris dans les méthodes pédagogiques innovatntes  </v>
      </c>
      <c r="AB643" s="19" t="str">
        <f>C643 &amp; "-" &amp; VLOOKUP(C643,[4]RESULTATS!$E$1:$F$176,2,FALSE)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3" s="20" t="str">
        <f>D643 &amp; "-" &amp; VLOOKUP(D643,[4]STRATEGIES!$E$1:$F$504,2,FALSE)</f>
        <v>2337-Intégration des méthodes pédagogiques innovantes dans la formation initiale</v>
      </c>
      <c r="AD643" s="21" t="str">
        <f t="shared" si="133"/>
        <v>2337-Intégration des méthodes pédagogiques innovantes dans la formation initiale</v>
      </c>
    </row>
    <row r="644" spans="1:30" s="22" customFormat="1" ht="60" customHeight="1" x14ac:dyDescent="0.8">
      <c r="A644" s="14">
        <v>2</v>
      </c>
      <c r="B644" s="15">
        <v>23</v>
      </c>
      <c r="C644" s="15">
        <v>233</v>
      </c>
      <c r="D644" s="15">
        <v>2337</v>
      </c>
      <c r="E644" s="14">
        <v>23371</v>
      </c>
      <c r="F644" s="16" t="s">
        <v>799</v>
      </c>
      <c r="G644" s="21" t="s">
        <v>800</v>
      </c>
      <c r="H644" s="17"/>
      <c r="I644" s="56">
        <v>0</v>
      </c>
      <c r="J644" s="56"/>
      <c r="K644" s="56"/>
      <c r="L644" s="56"/>
      <c r="M644" s="56"/>
      <c r="N644" s="56">
        <f>IF(OR(H644="",H644="sif",H644="PM"),0,VLOOKUP(H644,[5]CU!$C$4:$H$255,6,FALSE))</f>
        <v>0</v>
      </c>
      <c r="O644" s="56"/>
      <c r="P644" s="56"/>
      <c r="Q644" s="56"/>
      <c r="R644" s="56"/>
      <c r="S644" s="53"/>
      <c r="T644" s="23" t="s">
        <v>39</v>
      </c>
      <c r="U644" s="18" t="s">
        <v>707</v>
      </c>
      <c r="V644" s="19" t="str">
        <f>IF(OR($H644="",$H644="sif",$H644="PM"),"",VLOOKUP($H644,[5]CU!$C$5:$J$255,8,FALSE))</f>
        <v/>
      </c>
      <c r="W644" s="18" t="s">
        <v>347</v>
      </c>
      <c r="X644" s="18" t="s">
        <v>801</v>
      </c>
      <c r="Y644" s="19" t="s">
        <v>32</v>
      </c>
      <c r="Z644" s="19" t="str">
        <f>A644 &amp; "-" &amp; VLOOKUP(A644,[4]PROGRAMMES!$E$1:$F$7,2,FALSE)</f>
        <v>2-Qualité des enseignements et des apprentissages</v>
      </c>
      <c r="AA644" s="19" t="str">
        <f>B644 &amp; "-" &amp; VLOOKUP(B644,[4]SOUSPROGRAMMES!$E$1:$F$44,2,FALSE)</f>
        <v xml:space="preserve">23- Formation initiale et continue des enseignants/éducateurs y compris dans les méthodes pédagogiques innovatntes  </v>
      </c>
      <c r="AB644" s="19" t="str">
        <f>C644 &amp; "-" &amp; VLOOKUP(C644,[4]RESULTATS!$E$1:$F$176,2,FALSE)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4" s="20" t="str">
        <f>D644 &amp; "-" &amp; VLOOKUP(D644,[4]STRATEGIES!$E$1:$F$504,2,FALSE)</f>
        <v>2337-Intégration des méthodes pédagogiques innovantes dans la formation initiale</v>
      </c>
      <c r="AD644" s="21" t="str">
        <f t="shared" ref="AD644:AD707" si="142">E644 &amp; "-" &amp; F644</f>
        <v>23371-Intégration des innovations porteuses (e.g. approche EGRA, EGMA, Pédagogie Active, APC, approche FIERE pour tous etc.) dans les programmes de formation initiale dans les ENI (Pris en compte dans les activités 23214)</v>
      </c>
    </row>
    <row r="645" spans="1:30" s="22" customFormat="1" ht="30" customHeight="1" x14ac:dyDescent="0.8">
      <c r="A645" s="14">
        <v>2</v>
      </c>
      <c r="B645" s="15">
        <v>24</v>
      </c>
      <c r="C645" s="15">
        <v>24</v>
      </c>
      <c r="D645" s="15">
        <v>24</v>
      </c>
      <c r="E645" s="14">
        <v>24</v>
      </c>
      <c r="F645" s="16" t="s">
        <v>802</v>
      </c>
      <c r="G645" s="17"/>
      <c r="H645" s="17"/>
      <c r="I645" s="56">
        <v>0</v>
      </c>
      <c r="J645" s="56"/>
      <c r="K645" s="56"/>
      <c r="L645" s="56"/>
      <c r="M645" s="56"/>
      <c r="N645" s="56"/>
      <c r="O645" s="56"/>
      <c r="P645" s="56"/>
      <c r="Q645" s="56"/>
      <c r="R645" s="56"/>
      <c r="S645" s="53"/>
      <c r="T645" s="18"/>
      <c r="U645" s="18"/>
      <c r="V645" s="19"/>
      <c r="W645" s="18"/>
      <c r="X645" s="18"/>
      <c r="Y645" s="19" t="s">
        <v>32</v>
      </c>
      <c r="Z645" s="19" t="str">
        <f>A645 &amp; "-" &amp; VLOOKUP(A645,[4]PROGRAMMES!$E$1:$F$7,2,FALSE)</f>
        <v>2-Qualité des enseignements et des apprentissages</v>
      </c>
      <c r="AA645" s="19" t="str">
        <f>B645 &amp; "-" &amp; VLOOKUP(B645,[4]SOUSPROGRAMMES!$E$1:$F$44,2,FALSE)</f>
        <v>24- Encadrement des enseignants : appui et contrôle</v>
      </c>
      <c r="AB645" s="19" t="str">
        <f>C645 &amp; "-" &amp; VLOOKUP(C645,[4]RESULTATS!$E$1:$F$176,2,FALSE)</f>
        <v>24- Encadrement des enseignants : appui et contrôle</v>
      </c>
      <c r="AC645" s="20" t="str">
        <f>D645 &amp; "-" &amp; VLOOKUP(D645,[4]STRATEGIES!$E$1:$F$504,2,FALSE)</f>
        <v>24- Encadrement des enseignants : appui et contrôle</v>
      </c>
      <c r="AD645" s="21" t="str">
        <f t="shared" si="142"/>
        <v>24- Encadrement des enseignants : appui et contrôle</v>
      </c>
    </row>
    <row r="646" spans="1:30" s="22" customFormat="1" ht="45" customHeight="1" x14ac:dyDescent="0.8">
      <c r="A646" s="14">
        <v>2</v>
      </c>
      <c r="B646" s="15">
        <v>24</v>
      </c>
      <c r="C646" s="15">
        <v>241</v>
      </c>
      <c r="D646" s="15">
        <v>241</v>
      </c>
      <c r="E646" s="14">
        <v>241</v>
      </c>
      <c r="F646" s="16" t="s">
        <v>803</v>
      </c>
      <c r="G646" s="17"/>
      <c r="H646" s="17"/>
      <c r="I646" s="56">
        <v>0</v>
      </c>
      <c r="J646" s="56"/>
      <c r="K646" s="56"/>
      <c r="L646" s="56"/>
      <c r="M646" s="56"/>
      <c r="N646" s="56"/>
      <c r="O646" s="56"/>
      <c r="P646" s="56"/>
      <c r="Q646" s="56"/>
      <c r="R646" s="56"/>
      <c r="S646" s="53"/>
      <c r="T646" s="18"/>
      <c r="U646" s="18"/>
      <c r="V646" s="19"/>
      <c r="W646" s="18"/>
      <c r="X646" s="18"/>
      <c r="Y646" s="19" t="s">
        <v>32</v>
      </c>
      <c r="Z646" s="19" t="str">
        <f>A646 &amp; "-" &amp; VLOOKUP(A646,[4]PROGRAMMES!$E$1:$F$7,2,FALSE)</f>
        <v>2-Qualité des enseignements et des apprentissages</v>
      </c>
      <c r="AA646" s="19" t="str">
        <f>B646 &amp; "-" &amp; VLOOKUP(B646,[4]SOUSPROGRAMMES!$E$1:$F$44,2,FALSE)</f>
        <v>24- Encadrement des enseignants : appui et contrôle</v>
      </c>
      <c r="AB646" s="19" t="str">
        <f>C646 &amp; "-" &amp; VLOOKUP(C646,[4]RESULTATS!$E$1:$F$176,2,FALSE)</f>
        <v>241- Un dispositif efficace d’encadrement est défini (organisation, rôles des différents acteurs)</v>
      </c>
      <c r="AC646" s="20" t="str">
        <f>D646 &amp; "-" &amp; VLOOKUP(D646,[4]STRATEGIES!$E$1:$F$504,2,FALSE)</f>
        <v>241- Un dispositif efficace d’encadrement est défini (organisation, rôles des différents acteurs)</v>
      </c>
      <c r="AD646" s="21" t="str">
        <f t="shared" si="142"/>
        <v>241- Un dispositif efficace d’encadrement est déFini (organisation, rôles des différents acteurs)</v>
      </c>
    </row>
    <row r="647" spans="1:30" s="22" customFormat="1" ht="45" customHeight="1" x14ac:dyDescent="0.8">
      <c r="A647" s="14">
        <v>2</v>
      </c>
      <c r="B647" s="15">
        <v>24</v>
      </c>
      <c r="C647" s="15">
        <v>241</v>
      </c>
      <c r="D647" s="15">
        <v>2411</v>
      </c>
      <c r="E647" s="14">
        <v>2411</v>
      </c>
      <c r="F647" s="16" t="s">
        <v>804</v>
      </c>
      <c r="G647" s="17"/>
      <c r="H647" s="17"/>
      <c r="I647" s="56">
        <v>0</v>
      </c>
      <c r="J647" s="56"/>
      <c r="K647" s="56"/>
      <c r="L647" s="56"/>
      <c r="M647" s="56"/>
      <c r="N647" s="56"/>
      <c r="O647" s="56"/>
      <c r="P647" s="56"/>
      <c r="Q647" s="56"/>
      <c r="R647" s="56"/>
      <c r="S647" s="53"/>
      <c r="T647" s="18"/>
      <c r="U647" s="18"/>
      <c r="V647" s="19"/>
      <c r="W647" s="18"/>
      <c r="X647" s="18"/>
      <c r="Y647" s="19" t="s">
        <v>32</v>
      </c>
      <c r="Z647" s="19" t="str">
        <f>A647 &amp; "-" &amp; VLOOKUP(A647,[4]PROGRAMMES!$E$1:$F$7,2,FALSE)</f>
        <v>2-Qualité des enseignements et des apprentissages</v>
      </c>
      <c r="AA647" s="19" t="str">
        <f>B647 &amp; "-" &amp; VLOOKUP(B647,[4]SOUSPROGRAMMES!$E$1:$F$44,2,FALSE)</f>
        <v>24- Encadrement des enseignants : appui et contrôle</v>
      </c>
      <c r="AB647" s="19" t="str">
        <f>C647 &amp; "-" &amp; VLOOKUP(C647,[4]RESULTATS!$E$1:$F$176,2,FALSE)</f>
        <v>241- Un dispositif efficace d’encadrement est défini (organisation, rôles des différents acteurs)</v>
      </c>
      <c r="AC647" s="20" t="str">
        <f>D647 &amp; "-" &amp; VLOOKUP(D647,[4]STRATEGIES!$E$1:$F$504,2,FALSE)</f>
        <v>2411-Etat des lieux de l’encadrement (Forces et faiblesses)</v>
      </c>
      <c r="AD647" s="21" t="str">
        <f t="shared" si="142"/>
        <v>2411-Etat des lieux de l’encadrement (Forces et faiblesses)</v>
      </c>
    </row>
    <row r="648" spans="1:30" s="22" customFormat="1" ht="45" customHeight="1" x14ac:dyDescent="0.8">
      <c r="A648" s="14">
        <v>2</v>
      </c>
      <c r="B648" s="15">
        <v>24</v>
      </c>
      <c r="C648" s="15">
        <v>241</v>
      </c>
      <c r="D648" s="15">
        <v>2411</v>
      </c>
      <c r="E648" s="14">
        <v>24111</v>
      </c>
      <c r="F648" s="16" t="s">
        <v>805</v>
      </c>
      <c r="G648" s="21" t="s">
        <v>37</v>
      </c>
      <c r="H648" s="17" t="s">
        <v>66</v>
      </c>
      <c r="I648" s="56">
        <v>0</v>
      </c>
      <c r="J648" s="56">
        <f>15*5</f>
        <v>75</v>
      </c>
      <c r="K648" s="56"/>
      <c r="L648" s="56"/>
      <c r="M648" s="56">
        <f t="shared" ref="M648:M719" si="143">SUM(I648:L648)</f>
        <v>75</v>
      </c>
      <c r="N648" s="56">
        <f>IF(OR(H648="",H648="sif",H648="PM"),0,VLOOKUP(H648,[5]CU!$C$4:$H$255,6,FALSE))</f>
        <v>0.255</v>
      </c>
      <c r="O648" s="56">
        <f t="shared" ref="O648:R703" si="144">IFERROR($N648*I648,0)</f>
        <v>0</v>
      </c>
      <c r="P648" s="56">
        <f t="shared" si="144"/>
        <v>19.125</v>
      </c>
      <c r="Q648" s="56">
        <f t="shared" si="144"/>
        <v>0</v>
      </c>
      <c r="R648" s="56">
        <f t="shared" si="144"/>
        <v>0</v>
      </c>
      <c r="S648" s="53">
        <f t="shared" ref="S648:S661" si="145">SUM(O648:R648)</f>
        <v>19.125</v>
      </c>
      <c r="T648" s="23" t="s">
        <v>39</v>
      </c>
      <c r="U648" s="19" t="s">
        <v>647</v>
      </c>
      <c r="V648" s="19" t="str">
        <f>IF(OR($H648="",$H648="sif",$H648="PM"),"",VLOOKUP($H648,[5]CU!$C$5:$J$255,8,FALSE))</f>
        <v>3. Dépenses de fonctionnement</v>
      </c>
      <c r="W648" s="19" t="s">
        <v>708</v>
      </c>
      <c r="X648" s="19" t="s">
        <v>806</v>
      </c>
      <c r="Y648" s="19" t="s">
        <v>32</v>
      </c>
      <c r="Z648" s="19" t="str">
        <f>A648 &amp; "-" &amp; VLOOKUP(A648,[4]PROGRAMMES!$E$1:$F$7,2,FALSE)</f>
        <v>2-Qualité des enseignements et des apprentissages</v>
      </c>
      <c r="AA648" s="19" t="str">
        <f>B648 &amp; "-" &amp; VLOOKUP(B648,[4]SOUSPROGRAMMES!$E$1:$F$44,2,FALSE)</f>
        <v>24- Encadrement des enseignants : appui et contrôle</v>
      </c>
      <c r="AB648" s="19" t="str">
        <f>C648 &amp; "-" &amp; VLOOKUP(C648,[4]RESULTATS!$E$1:$F$176,2,FALSE)</f>
        <v>241- Un dispositif efficace d’encadrement est défini (organisation, rôles des différents acteurs)</v>
      </c>
      <c r="AC648" s="20" t="str">
        <f>D648 &amp; "-" &amp; VLOOKUP(D648,[4]STRATEGIES!$E$1:$F$504,2,FALSE)</f>
        <v>2411-Etat des lieux de l’encadrement (Forces et faiblesses)</v>
      </c>
      <c r="AD648" s="21" t="str">
        <f t="shared" si="142"/>
        <v>24111-Préparation des outils du diagnostic</v>
      </c>
    </row>
    <row r="649" spans="1:30" s="22" customFormat="1" ht="45" customHeight="1" x14ac:dyDescent="0.8">
      <c r="A649" s="14">
        <v>2</v>
      </c>
      <c r="B649" s="15">
        <v>24</v>
      </c>
      <c r="C649" s="15">
        <v>241</v>
      </c>
      <c r="D649" s="15">
        <v>2411</v>
      </c>
      <c r="E649" s="14">
        <v>24112</v>
      </c>
      <c r="F649" s="16" t="s">
        <v>807</v>
      </c>
      <c r="G649" s="21" t="s">
        <v>58</v>
      </c>
      <c r="H649" s="17" t="s">
        <v>59</v>
      </c>
      <c r="I649" s="56">
        <v>0</v>
      </c>
      <c r="J649" s="56">
        <f>8*5</f>
        <v>40</v>
      </c>
      <c r="K649" s="56"/>
      <c r="L649" s="56"/>
      <c r="M649" s="56">
        <f t="shared" si="143"/>
        <v>40</v>
      </c>
      <c r="N649" s="56">
        <f>IF(OR(H649="",H649="sif",H649="PM"),0,VLOOKUP(H649,[5]CU!$C$4:$H$255,6,FALSE))</f>
        <v>0.8177777777777776</v>
      </c>
      <c r="O649" s="56">
        <f t="shared" si="144"/>
        <v>0</v>
      </c>
      <c r="P649" s="56">
        <f t="shared" si="144"/>
        <v>32.711111111111101</v>
      </c>
      <c r="Q649" s="56">
        <f t="shared" si="144"/>
        <v>0</v>
      </c>
      <c r="R649" s="56">
        <f t="shared" si="144"/>
        <v>0</v>
      </c>
      <c r="S649" s="53">
        <f t="shared" si="145"/>
        <v>32.711111111111101</v>
      </c>
      <c r="T649" s="23" t="s">
        <v>39</v>
      </c>
      <c r="U649" s="19" t="s">
        <v>647</v>
      </c>
      <c r="V649" s="19" t="str">
        <f>IF(OR($H649="",$H649="sif",$H649="PM"),"",VLOOKUP($H649,[5]CU!$C$5:$J$255,8,FALSE))</f>
        <v>3. Dépenses de fonctionnement</v>
      </c>
      <c r="W649" s="19" t="s">
        <v>708</v>
      </c>
      <c r="X649" s="19" t="s">
        <v>806</v>
      </c>
      <c r="Y649" s="19" t="s">
        <v>32</v>
      </c>
      <c r="Z649" s="19" t="str">
        <f>A649 &amp; "-" &amp; VLOOKUP(A649,[4]PROGRAMMES!$E$1:$F$7,2,FALSE)</f>
        <v>2-Qualité des enseignements et des apprentissages</v>
      </c>
      <c r="AA649" s="19" t="str">
        <f>B649 &amp; "-" &amp; VLOOKUP(B649,[4]SOUSPROGRAMMES!$E$1:$F$44,2,FALSE)</f>
        <v>24- Encadrement des enseignants : appui et contrôle</v>
      </c>
      <c r="AB649" s="19" t="str">
        <f>C649 &amp; "-" &amp; VLOOKUP(C649,[4]RESULTATS!$E$1:$F$176,2,FALSE)</f>
        <v>241- Un dispositif efficace d’encadrement est défini (organisation, rôles des différents acteurs)</v>
      </c>
      <c r="AC649" s="20" t="str">
        <f>D649 &amp; "-" &amp; VLOOKUP(D649,[4]STRATEGIES!$E$1:$F$504,2,FALSE)</f>
        <v>2411-Etat des lieux de l’encadrement (Forces et faiblesses)</v>
      </c>
      <c r="AD649" s="21" t="str">
        <f t="shared" si="142"/>
        <v>24112-Recueil des informations qualitatives et quantitatives sur la pertinence de l'encadrement actuel</v>
      </c>
    </row>
    <row r="650" spans="1:30" s="22" customFormat="1" ht="45" customHeight="1" x14ac:dyDescent="0.8">
      <c r="A650" s="14">
        <v>2</v>
      </c>
      <c r="B650" s="15">
        <v>24</v>
      </c>
      <c r="C650" s="15">
        <v>241</v>
      </c>
      <c r="D650" s="15">
        <v>2411</v>
      </c>
      <c r="E650" s="14">
        <v>24113</v>
      </c>
      <c r="F650" s="16" t="s">
        <v>808</v>
      </c>
      <c r="G650" s="21" t="s">
        <v>37</v>
      </c>
      <c r="H650" s="17" t="s">
        <v>66</v>
      </c>
      <c r="I650" s="56">
        <v>0</v>
      </c>
      <c r="J650" s="56">
        <f>15*3</f>
        <v>45</v>
      </c>
      <c r="K650" s="56"/>
      <c r="L650" s="56"/>
      <c r="M650" s="56">
        <f t="shared" si="143"/>
        <v>45</v>
      </c>
      <c r="N650" s="56">
        <f>IF(OR(H650="",H650="sif",H650="PM"),0,VLOOKUP(H650,[5]CU!$C$4:$H$255,6,FALSE))</f>
        <v>0.255</v>
      </c>
      <c r="O650" s="56">
        <f t="shared" si="144"/>
        <v>0</v>
      </c>
      <c r="P650" s="56">
        <f t="shared" si="144"/>
        <v>11.475</v>
      </c>
      <c r="Q650" s="56">
        <f t="shared" si="144"/>
        <v>0</v>
      </c>
      <c r="R650" s="56">
        <f t="shared" si="144"/>
        <v>0</v>
      </c>
      <c r="S650" s="53">
        <f t="shared" si="145"/>
        <v>11.475</v>
      </c>
      <c r="T650" s="23" t="s">
        <v>39</v>
      </c>
      <c r="U650" s="19" t="s">
        <v>647</v>
      </c>
      <c r="V650" s="19" t="str">
        <f>IF(OR($H650="",$H650="sif",$H650="PM"),"",VLOOKUP($H650,[5]CU!$C$5:$J$255,8,FALSE))</f>
        <v>3. Dépenses de fonctionnement</v>
      </c>
      <c r="W650" s="19" t="s">
        <v>708</v>
      </c>
      <c r="X650" s="19" t="s">
        <v>806</v>
      </c>
      <c r="Y650" s="19" t="s">
        <v>32</v>
      </c>
      <c r="Z650" s="19" t="str">
        <f>A650 &amp; "-" &amp; VLOOKUP(A650,[4]PROGRAMMES!$E$1:$F$7,2,FALSE)</f>
        <v>2-Qualité des enseignements et des apprentissages</v>
      </c>
      <c r="AA650" s="19" t="str">
        <f>B650 &amp; "-" &amp; VLOOKUP(B650,[4]SOUSPROGRAMMES!$E$1:$F$44,2,FALSE)</f>
        <v>24- Encadrement des enseignants : appui et contrôle</v>
      </c>
      <c r="AB650" s="19" t="str">
        <f>C650 &amp; "-" &amp; VLOOKUP(C650,[4]RESULTATS!$E$1:$F$176,2,FALSE)</f>
        <v>241- Un dispositif efficace d’encadrement est défini (organisation, rôles des différents acteurs)</v>
      </c>
      <c r="AC650" s="20" t="str">
        <f>D650 &amp; "-" &amp; VLOOKUP(D650,[4]STRATEGIES!$E$1:$F$504,2,FALSE)</f>
        <v>2411-Etat des lieux de l’encadrement (Forces et faiblesses)</v>
      </c>
      <c r="AD650" s="21" t="str">
        <f t="shared" si="142"/>
        <v>24113-Traitement et analyse des informations collectées</v>
      </c>
    </row>
    <row r="651" spans="1:30" s="22" customFormat="1" ht="45" customHeight="1" x14ac:dyDescent="0.8">
      <c r="A651" s="14">
        <v>2</v>
      </c>
      <c r="B651" s="15">
        <v>24</v>
      </c>
      <c r="C651" s="15">
        <v>241</v>
      </c>
      <c r="D651" s="15">
        <v>2411</v>
      </c>
      <c r="E651" s="14">
        <v>24114</v>
      </c>
      <c r="F651" s="16" t="s">
        <v>809</v>
      </c>
      <c r="G651" s="21" t="s">
        <v>37</v>
      </c>
      <c r="H651" s="17" t="s">
        <v>38</v>
      </c>
      <c r="I651" s="56">
        <v>0</v>
      </c>
      <c r="J651" s="56">
        <f>25*3</f>
        <v>75</v>
      </c>
      <c r="K651" s="56"/>
      <c r="L651" s="56"/>
      <c r="M651" s="56">
        <f t="shared" si="143"/>
        <v>75</v>
      </c>
      <c r="N651" s="56">
        <f>IF(OR(H651="",H651="sif",H651="PM"),0,VLOOKUP(H651,[5]CU!$C$4:$H$255,6,FALSE))</f>
        <v>0.3133333333333333</v>
      </c>
      <c r="O651" s="56">
        <f t="shared" si="144"/>
        <v>0</v>
      </c>
      <c r="P651" s="56">
        <f t="shared" si="144"/>
        <v>23.499999999999996</v>
      </c>
      <c r="Q651" s="56">
        <f t="shared" si="144"/>
        <v>0</v>
      </c>
      <c r="R651" s="56">
        <f t="shared" si="144"/>
        <v>0</v>
      </c>
      <c r="S651" s="53">
        <f t="shared" si="145"/>
        <v>23.499999999999996</v>
      </c>
      <c r="T651" s="23" t="s">
        <v>39</v>
      </c>
      <c r="U651" s="19" t="s">
        <v>647</v>
      </c>
      <c r="V651" s="19" t="str">
        <f>IF(OR($H651="",$H651="sif",$H651="PM"),"",VLOOKUP($H651,[5]CU!$C$5:$J$255,8,FALSE))</f>
        <v>3. Formation</v>
      </c>
      <c r="W651" s="19" t="s">
        <v>708</v>
      </c>
      <c r="X651" s="19" t="s">
        <v>806</v>
      </c>
      <c r="Y651" s="19" t="s">
        <v>32</v>
      </c>
      <c r="Z651" s="19" t="str">
        <f>A651 &amp; "-" &amp; VLOOKUP(A651,[4]PROGRAMMES!$E$1:$F$7,2,FALSE)</f>
        <v>2-Qualité des enseignements et des apprentissages</v>
      </c>
      <c r="AA651" s="19" t="str">
        <f>B651 &amp; "-" &amp; VLOOKUP(B651,[4]SOUSPROGRAMMES!$E$1:$F$44,2,FALSE)</f>
        <v>24- Encadrement des enseignants : appui et contrôle</v>
      </c>
      <c r="AB651" s="19" t="str">
        <f>C651 &amp; "-" &amp; VLOOKUP(C651,[4]RESULTATS!$E$1:$F$176,2,FALSE)</f>
        <v>241- Un dispositif efficace d’encadrement est défini (organisation, rôles des différents acteurs)</v>
      </c>
      <c r="AC651" s="20" t="str">
        <f>D651 &amp; "-" &amp; VLOOKUP(D651,[4]STRATEGIES!$E$1:$F$504,2,FALSE)</f>
        <v>2411-Etat des lieux de l’encadrement (Forces et faiblesses)</v>
      </c>
      <c r="AD651" s="21" t="str">
        <f t="shared" si="142"/>
        <v>24114-Partage et validation des résultats issus du diagnostic</v>
      </c>
    </row>
    <row r="652" spans="1:30" s="22" customFormat="1" ht="45" customHeight="1" x14ac:dyDescent="0.8">
      <c r="A652" s="14">
        <v>2</v>
      </c>
      <c r="B652" s="15">
        <v>24</v>
      </c>
      <c r="C652" s="15">
        <v>241</v>
      </c>
      <c r="D652" s="15">
        <v>2412</v>
      </c>
      <c r="E652" s="14">
        <v>2412</v>
      </c>
      <c r="F652" s="16" t="s">
        <v>810</v>
      </c>
      <c r="G652" s="17"/>
      <c r="H652" s="17"/>
      <c r="I652" s="56">
        <v>0</v>
      </c>
      <c r="J652" s="56"/>
      <c r="K652" s="56"/>
      <c r="L652" s="56"/>
      <c r="M652" s="56"/>
      <c r="N652" s="56"/>
      <c r="O652" s="56"/>
      <c r="P652" s="56"/>
      <c r="Q652" s="56"/>
      <c r="R652" s="56"/>
      <c r="S652" s="53"/>
      <c r="T652" s="18"/>
      <c r="U652" s="18"/>
      <c r="V652" s="19"/>
      <c r="W652" s="18"/>
      <c r="X652" s="18"/>
      <c r="Y652" s="19" t="s">
        <v>32</v>
      </c>
      <c r="Z652" s="19" t="str">
        <f>A652 &amp; "-" &amp; VLOOKUP(A652,[4]PROGRAMMES!$E$1:$F$7,2,FALSE)</f>
        <v>2-Qualité des enseignements et des apprentissages</v>
      </c>
      <c r="AA652" s="19" t="str">
        <f>B652 &amp; "-" &amp; VLOOKUP(B652,[4]SOUSPROGRAMMES!$E$1:$F$44,2,FALSE)</f>
        <v>24- Encadrement des enseignants : appui et contrôle</v>
      </c>
      <c r="AB652" s="19" t="str">
        <f>C652 &amp; "-" &amp; VLOOKUP(C652,[4]RESULTATS!$E$1:$F$176,2,FALSE)</f>
        <v>241- Un dispositif efficace d’encadrement est défini (organisation, rôles des différents acteurs)</v>
      </c>
      <c r="AC652" s="20" t="str">
        <f>D652 &amp; "-" &amp; VLOOKUP(D652,[4]STRATEGIES!$E$1:$F$504,2,FALSE)</f>
        <v>2412-Conception, élaboration et validation de nouveaux textes relatifs aux rôles et responsabilités des acteurs dans l'encadrement</v>
      </c>
      <c r="AD652" s="21" t="str">
        <f t="shared" si="142"/>
        <v>2412-Conception, élaboration et validation de nouveaux textes relatifs aux rôles et responsabilités des acteurs dans l'encadrement</v>
      </c>
    </row>
    <row r="653" spans="1:30" s="22" customFormat="1" ht="45" customHeight="1" x14ac:dyDescent="0.8">
      <c r="A653" s="14">
        <v>2</v>
      </c>
      <c r="B653" s="15">
        <v>24</v>
      </c>
      <c r="C653" s="15">
        <v>241</v>
      </c>
      <c r="D653" s="15">
        <v>2412</v>
      </c>
      <c r="E653" s="14">
        <v>24121</v>
      </c>
      <c r="F653" s="16" t="s">
        <v>811</v>
      </c>
      <c r="G653" s="21" t="s">
        <v>37</v>
      </c>
      <c r="H653" s="17" t="s">
        <v>38</v>
      </c>
      <c r="I653" s="56">
        <v>0</v>
      </c>
      <c r="J653" s="56"/>
      <c r="K653" s="56">
        <f>10*2</f>
        <v>20</v>
      </c>
      <c r="L653" s="56"/>
      <c r="M653" s="56">
        <f t="shared" si="143"/>
        <v>20</v>
      </c>
      <c r="N653" s="56">
        <f>IF(OR(H653="",H653="sif",H653="PM"),0,VLOOKUP(H653,[5]CU!$C$4:$H$255,6,FALSE))</f>
        <v>0.3133333333333333</v>
      </c>
      <c r="O653" s="56">
        <f t="shared" si="144"/>
        <v>0</v>
      </c>
      <c r="P653" s="56">
        <f t="shared" si="144"/>
        <v>0</v>
      </c>
      <c r="Q653" s="56">
        <f t="shared" si="144"/>
        <v>6.2666666666666657</v>
      </c>
      <c r="R653" s="56">
        <f t="shared" si="144"/>
        <v>0</v>
      </c>
      <c r="S653" s="53">
        <f t="shared" si="145"/>
        <v>6.2666666666666657</v>
      </c>
      <c r="T653" s="23" t="s">
        <v>39</v>
      </c>
      <c r="U653" s="19" t="s">
        <v>647</v>
      </c>
      <c r="V653" s="19" t="str">
        <f>IF(OR($H653="",$H653="sif",$H653="PM"),"",VLOOKUP($H653,[5]CU!$C$5:$J$255,8,FALSE))</f>
        <v>3. Formation</v>
      </c>
      <c r="W653" s="19" t="s">
        <v>708</v>
      </c>
      <c r="X653" s="19" t="s">
        <v>273</v>
      </c>
      <c r="Y653" s="19" t="s">
        <v>32</v>
      </c>
      <c r="Z653" s="19" t="str">
        <f>A653 &amp; "-" &amp; VLOOKUP(A653,[4]PROGRAMMES!$E$1:$F$7,2,FALSE)</f>
        <v>2-Qualité des enseignements et des apprentissages</v>
      </c>
      <c r="AA653" s="19" t="str">
        <f>B653 &amp; "-" &amp; VLOOKUP(B653,[4]SOUSPROGRAMMES!$E$1:$F$44,2,FALSE)</f>
        <v>24- Encadrement des enseignants : appui et contrôle</v>
      </c>
      <c r="AB653" s="19" t="str">
        <f>C653 &amp; "-" &amp; VLOOKUP(C653,[4]RESULTATS!$E$1:$F$176,2,FALSE)</f>
        <v>241- Un dispositif efficace d’encadrement est défini (organisation, rôles des différents acteurs)</v>
      </c>
      <c r="AC653" s="20" t="str">
        <f>D653 &amp; "-" &amp; VLOOKUP(D653,[4]STRATEGIES!$E$1:$F$504,2,FALSE)</f>
        <v>2412-Conception, élaboration et validation de nouveaux textes relatifs aux rôles et responsabilités des acteurs dans l'encadrement</v>
      </c>
      <c r="AD653" s="21" t="str">
        <f t="shared" si="142"/>
        <v>24121-Elaboration et mise en œuvre d'une feuille de route pour l'encadrement des enseignants</v>
      </c>
    </row>
    <row r="654" spans="1:30" s="22" customFormat="1" ht="45" customHeight="1" x14ac:dyDescent="0.8">
      <c r="A654" s="14">
        <v>2</v>
      </c>
      <c r="B654" s="15">
        <v>24</v>
      </c>
      <c r="C654" s="15">
        <v>241</v>
      </c>
      <c r="D654" s="15">
        <v>2412</v>
      </c>
      <c r="E654" s="14">
        <v>24122</v>
      </c>
      <c r="F654" s="16" t="s">
        <v>812</v>
      </c>
      <c r="G654" s="21" t="s">
        <v>37</v>
      </c>
      <c r="H654" s="17" t="s">
        <v>38</v>
      </c>
      <c r="I654" s="56">
        <v>0</v>
      </c>
      <c r="J654" s="56"/>
      <c r="K654" s="56">
        <f>(10*7)+(30*1)</f>
        <v>100</v>
      </c>
      <c r="L654" s="56"/>
      <c r="M654" s="56">
        <f t="shared" si="143"/>
        <v>100</v>
      </c>
      <c r="N654" s="56">
        <f>IF(OR(H654="",H654="sif",H654="PM"),0,VLOOKUP(H654,[5]CU!$C$4:$H$255,6,FALSE))</f>
        <v>0.3133333333333333</v>
      </c>
      <c r="O654" s="56">
        <f t="shared" si="144"/>
        <v>0</v>
      </c>
      <c r="P654" s="56">
        <f t="shared" si="144"/>
        <v>0</v>
      </c>
      <c r="Q654" s="56">
        <f t="shared" si="144"/>
        <v>31.333333333333329</v>
      </c>
      <c r="R654" s="56">
        <f t="shared" si="144"/>
        <v>0</v>
      </c>
      <c r="S654" s="53">
        <f t="shared" si="145"/>
        <v>31.333333333333329</v>
      </c>
      <c r="T654" s="23" t="s">
        <v>39</v>
      </c>
      <c r="U654" s="19" t="s">
        <v>647</v>
      </c>
      <c r="V654" s="19" t="str">
        <f>IF(OR($H654="",$H654="sif",$H654="PM"),"",VLOOKUP($H654,[5]CU!$C$5:$J$255,8,FALSE))</f>
        <v>3. Formation</v>
      </c>
      <c r="W654" s="19" t="s">
        <v>708</v>
      </c>
      <c r="X654" s="19" t="s">
        <v>273</v>
      </c>
      <c r="Y654" s="19" t="s">
        <v>32</v>
      </c>
      <c r="Z654" s="19" t="str">
        <f>A654 &amp; "-" &amp; VLOOKUP(A654,[4]PROGRAMMES!$E$1:$F$7,2,FALSE)</f>
        <v>2-Qualité des enseignements et des apprentissages</v>
      </c>
      <c r="AA654" s="19" t="str">
        <f>B654 &amp; "-" &amp; VLOOKUP(B654,[4]SOUSPROGRAMMES!$E$1:$F$44,2,FALSE)</f>
        <v>24- Encadrement des enseignants : appui et contrôle</v>
      </c>
      <c r="AB654" s="19" t="str">
        <f>C654 &amp; "-" &amp; VLOOKUP(C654,[4]RESULTATS!$E$1:$F$176,2,FALSE)</f>
        <v>241- Un dispositif efficace d’encadrement est défini (organisation, rôles des différents acteurs)</v>
      </c>
      <c r="AC654" s="20" t="str">
        <f>D654 &amp; "-" &amp; VLOOKUP(D654,[4]STRATEGIES!$E$1:$F$504,2,FALSE)</f>
        <v>2412-Conception, élaboration et validation de nouveaux textes relatifs aux rôles et responsabilités des acteurs dans l'encadrement</v>
      </c>
      <c r="AD654" s="21" t="str">
        <f t="shared" si="142"/>
        <v>24122-Conception, élaboration et validation de nouveaux textes et manuel de procédures relatifs aux rôles et responsabilités des acteurs dans l'encadrement</v>
      </c>
    </row>
    <row r="655" spans="1:30" s="22" customFormat="1" ht="45" customHeight="1" x14ac:dyDescent="0.8">
      <c r="A655" s="14">
        <v>2</v>
      </c>
      <c r="B655" s="15">
        <v>24</v>
      </c>
      <c r="C655" s="15">
        <v>241</v>
      </c>
      <c r="D655" s="15">
        <v>2413</v>
      </c>
      <c r="E655" s="14">
        <v>2413</v>
      </c>
      <c r="F655" s="16" t="s">
        <v>813</v>
      </c>
      <c r="G655" s="17"/>
      <c r="H655" s="17"/>
      <c r="I655" s="56">
        <v>0</v>
      </c>
      <c r="J655" s="56"/>
      <c r="K655" s="56"/>
      <c r="L655" s="56"/>
      <c r="M655" s="56"/>
      <c r="N655" s="56"/>
      <c r="O655" s="56"/>
      <c r="P655" s="56"/>
      <c r="Q655" s="56"/>
      <c r="R655" s="56"/>
      <c r="S655" s="53"/>
      <c r="T655" s="18"/>
      <c r="U655" s="18"/>
      <c r="V655" s="19"/>
      <c r="W655" s="18"/>
      <c r="X655" s="18"/>
      <c r="Y655" s="19" t="s">
        <v>32</v>
      </c>
      <c r="Z655" s="19" t="str">
        <f>A655 &amp; "-" &amp; VLOOKUP(A655,[4]PROGRAMMES!$E$1:$F$7,2,FALSE)</f>
        <v>2-Qualité des enseignements et des apprentissages</v>
      </c>
      <c r="AA655" s="19" t="str">
        <f>B655 &amp; "-" &amp; VLOOKUP(B655,[4]SOUSPROGRAMMES!$E$1:$F$44,2,FALSE)</f>
        <v>24- Encadrement des enseignants : appui et contrôle</v>
      </c>
      <c r="AB655" s="19" t="str">
        <f>C655 &amp; "-" &amp; VLOOKUP(C655,[4]RESULTATS!$E$1:$F$176,2,FALSE)</f>
        <v>241- Un dispositif efficace d’encadrement est défini (organisation, rôles des différents acteurs)</v>
      </c>
      <c r="AC655" s="20" t="str">
        <f>D655 &amp; "-" &amp; VLOOKUP(D655,[4]STRATEGIES!$E$1:$F$504,2,FALSE)</f>
        <v>2413-Dissémination du manuel de procédures d’encadrement et expérimentation</v>
      </c>
      <c r="AD655" s="21" t="str">
        <f t="shared" si="142"/>
        <v>2413-Dissémination du manuel de procédures d’encadrement et expérimentation</v>
      </c>
    </row>
    <row r="656" spans="1:30" s="22" customFormat="1" ht="45" customHeight="1" x14ac:dyDescent="0.8">
      <c r="A656" s="14">
        <v>2</v>
      </c>
      <c r="B656" s="15">
        <v>24</v>
      </c>
      <c r="C656" s="15">
        <v>241</v>
      </c>
      <c r="D656" s="15">
        <v>2413</v>
      </c>
      <c r="E656" s="14">
        <v>24131</v>
      </c>
      <c r="F656" s="16" t="s">
        <v>814</v>
      </c>
      <c r="G656" s="21" t="s">
        <v>815</v>
      </c>
      <c r="H656" s="17" t="s">
        <v>816</v>
      </c>
      <c r="I656" s="56">
        <v>0</v>
      </c>
      <c r="J656" s="56"/>
      <c r="K656" s="56">
        <f>427+(46*4)*1.2</f>
        <v>647.79999999999995</v>
      </c>
      <c r="L656" s="56"/>
      <c r="M656" s="56">
        <f t="shared" si="143"/>
        <v>647.79999999999995</v>
      </c>
      <c r="N656" s="56">
        <f>IF(OR(H656="",H656="sif",H656="PM"),0,VLOOKUP(H656,[5]CU!$C$4:$H$255,6,FALSE))</f>
        <v>7.4999999999999997E-3</v>
      </c>
      <c r="O656" s="56">
        <f t="shared" si="144"/>
        <v>0</v>
      </c>
      <c r="P656" s="56">
        <f t="shared" si="144"/>
        <v>0</v>
      </c>
      <c r="Q656" s="56">
        <f t="shared" si="144"/>
        <v>4.8584999999999994</v>
      </c>
      <c r="R656" s="56">
        <f t="shared" si="144"/>
        <v>0</v>
      </c>
      <c r="S656" s="53">
        <f t="shared" si="145"/>
        <v>4.8584999999999994</v>
      </c>
      <c r="T656" s="23" t="s">
        <v>39</v>
      </c>
      <c r="U656" s="19" t="s">
        <v>647</v>
      </c>
      <c r="V656" s="19" t="str">
        <f>IF(OR($H656="",$H656="sif",$H656="PM"),"",VLOOKUP($H656,[5]CU!$C$5:$J$255,8,FALSE))</f>
        <v>3. Dépenses de fonctionnement</v>
      </c>
      <c r="W656" s="19" t="s">
        <v>708</v>
      </c>
      <c r="X656" s="19" t="s">
        <v>817</v>
      </c>
      <c r="Y656" s="19" t="s">
        <v>32</v>
      </c>
      <c r="Z656" s="19" t="str">
        <f>A656 &amp; "-" &amp; VLOOKUP(A656,[4]PROGRAMMES!$E$1:$F$7,2,FALSE)</f>
        <v>2-Qualité des enseignements et des apprentissages</v>
      </c>
      <c r="AA656" s="19" t="str">
        <f>B656 &amp; "-" &amp; VLOOKUP(B656,[4]SOUSPROGRAMMES!$E$1:$F$44,2,FALSE)</f>
        <v>24- Encadrement des enseignants : appui et contrôle</v>
      </c>
      <c r="AB656" s="19" t="str">
        <f>C656 &amp; "-" &amp; VLOOKUP(C656,[4]RESULTATS!$E$1:$F$176,2,FALSE)</f>
        <v>241- Un dispositif efficace d’encadrement est défini (organisation, rôles des différents acteurs)</v>
      </c>
      <c r="AC656" s="20" t="str">
        <f>D656 &amp; "-" &amp; VLOOKUP(D656,[4]STRATEGIES!$E$1:$F$504,2,FALSE)</f>
        <v>2413-Dissémination du manuel de procédures d’encadrement et expérimentation</v>
      </c>
      <c r="AD656" s="21" t="str">
        <f t="shared" si="142"/>
        <v>24131-Dissémination du manuel de procédures d’encadrement</v>
      </c>
    </row>
    <row r="657" spans="1:30" s="22" customFormat="1" ht="45" customHeight="1" x14ac:dyDescent="0.8">
      <c r="A657" s="14">
        <v>2</v>
      </c>
      <c r="B657" s="15">
        <v>24</v>
      </c>
      <c r="C657" s="15">
        <v>241</v>
      </c>
      <c r="D657" s="15">
        <v>2413</v>
      </c>
      <c r="E657" s="14">
        <v>24132</v>
      </c>
      <c r="F657" s="16" t="s">
        <v>818</v>
      </c>
      <c r="G657" s="21" t="s">
        <v>58</v>
      </c>
      <c r="H657" s="17" t="s">
        <v>59</v>
      </c>
      <c r="I657" s="56">
        <v>0</v>
      </c>
      <c r="J657" s="56"/>
      <c r="K657" s="56"/>
      <c r="L657" s="56">
        <f>8*6*6</f>
        <v>288</v>
      </c>
      <c r="M657" s="56">
        <f t="shared" si="143"/>
        <v>288</v>
      </c>
      <c r="N657" s="56">
        <f>IF(OR(H657="",H657="sif",H657="PM"),0,VLOOKUP(H657,[5]CU!$C$4:$H$255,6,FALSE))</f>
        <v>0.8177777777777776</v>
      </c>
      <c r="O657" s="56">
        <f t="shared" si="144"/>
        <v>0</v>
      </c>
      <c r="P657" s="56">
        <f t="shared" si="144"/>
        <v>0</v>
      </c>
      <c r="Q657" s="56">
        <f t="shared" si="144"/>
        <v>0</v>
      </c>
      <c r="R657" s="56">
        <f t="shared" si="144"/>
        <v>235.51999999999995</v>
      </c>
      <c r="S657" s="53">
        <f t="shared" si="145"/>
        <v>235.51999999999995</v>
      </c>
      <c r="T657" s="23" t="s">
        <v>39</v>
      </c>
      <c r="U657" s="19" t="s">
        <v>647</v>
      </c>
      <c r="V657" s="19" t="str">
        <f>IF(OR($H657="",$H657="sif",$H657="PM"),"",VLOOKUP($H657,[5]CU!$C$5:$J$255,8,FALSE))</f>
        <v>3. Dépenses de fonctionnement</v>
      </c>
      <c r="W657" s="19" t="s">
        <v>708</v>
      </c>
      <c r="X657" s="19" t="s">
        <v>273</v>
      </c>
      <c r="Y657" s="19" t="s">
        <v>32</v>
      </c>
      <c r="Z657" s="19" t="str">
        <f>A657 &amp; "-" &amp; VLOOKUP(A657,[4]PROGRAMMES!$E$1:$F$7,2,FALSE)</f>
        <v>2-Qualité des enseignements et des apprentissages</v>
      </c>
      <c r="AA657" s="19" t="str">
        <f>B657 &amp; "-" &amp; VLOOKUP(B657,[4]SOUSPROGRAMMES!$E$1:$F$44,2,FALSE)</f>
        <v>24- Encadrement des enseignants : appui et contrôle</v>
      </c>
      <c r="AB657" s="19" t="str">
        <f>C657 &amp; "-" &amp; VLOOKUP(C657,[4]RESULTATS!$E$1:$F$176,2,FALSE)</f>
        <v>241- Un dispositif efficace d’encadrement est défini (organisation, rôles des différents acteurs)</v>
      </c>
      <c r="AC657" s="20" t="str">
        <f>D657 &amp; "-" &amp; VLOOKUP(D657,[4]STRATEGIES!$E$1:$F$504,2,FALSE)</f>
        <v>2413-Dissémination du manuel de procédures d’encadrement et expérimentation</v>
      </c>
      <c r="AD657" s="21" t="str">
        <f t="shared" si="142"/>
        <v>24132-Suivi du respect du manuel de procédures de l'encadrement</v>
      </c>
    </row>
    <row r="658" spans="1:30" s="22" customFormat="1" ht="45" customHeight="1" x14ac:dyDescent="0.8">
      <c r="A658" s="14">
        <v>2</v>
      </c>
      <c r="B658" s="15">
        <v>24</v>
      </c>
      <c r="C658" s="15">
        <v>242</v>
      </c>
      <c r="D658" s="15">
        <v>242</v>
      </c>
      <c r="E658" s="14">
        <v>242</v>
      </c>
      <c r="F658" s="16" t="s">
        <v>819</v>
      </c>
      <c r="G658" s="17"/>
      <c r="H658" s="17"/>
      <c r="I658" s="56">
        <v>0</v>
      </c>
      <c r="J658" s="56"/>
      <c r="K658" s="56"/>
      <c r="L658" s="56"/>
      <c r="M658" s="56"/>
      <c r="N658" s="56"/>
      <c r="O658" s="56"/>
      <c r="P658" s="56"/>
      <c r="Q658" s="56"/>
      <c r="R658" s="56"/>
      <c r="S658" s="53"/>
      <c r="T658" s="18"/>
      <c r="U658" s="18"/>
      <c r="V658" s="19"/>
      <c r="W658" s="18"/>
      <c r="X658" s="18"/>
      <c r="Y658" s="19" t="s">
        <v>32</v>
      </c>
      <c r="Z658" s="19" t="str">
        <f>A658 &amp; "-" &amp; VLOOKUP(A658,[4]PROGRAMMES!$E$1:$F$7,2,FALSE)</f>
        <v>2-Qualité des enseignements et des apprentissages</v>
      </c>
      <c r="AA658" s="19" t="str">
        <f>B658 &amp; "-" &amp; VLOOKUP(B658,[4]SOUSPROGRAMMES!$E$1:$F$44,2,FALSE)</f>
        <v>24- Encadrement des enseignants : appui et contrôle</v>
      </c>
      <c r="AB658" s="19" t="str">
        <f>C658 &amp; "-" &amp; VLOOKUP(C658,[4]RESULTATS!$E$1:$F$176,2,FALSE)</f>
        <v>242- L’encadrement dispose des ressources humaines en nombre nécessaire et en profil pertinent</v>
      </c>
      <c r="AC658" s="20" t="str">
        <f>D658 &amp; "-" &amp; VLOOKUP(D658,[4]STRATEGIES!$E$1:$F$504,2,FALSE)</f>
        <v>242- L’encadrement dispose des ressources humaines en nombre nécessaire et en profil pertinent</v>
      </c>
      <c r="AD658" s="21" t="str">
        <f t="shared" si="142"/>
        <v>242- L’encadrement dispose des ressources humaines en nombre nécessaire et en profil pertinent</v>
      </c>
    </row>
    <row r="659" spans="1:30" s="22" customFormat="1" ht="45" customHeight="1" x14ac:dyDescent="0.8">
      <c r="A659" s="14">
        <v>2</v>
      </c>
      <c r="B659" s="15">
        <v>24</v>
      </c>
      <c r="C659" s="15">
        <v>242</v>
      </c>
      <c r="D659" s="15">
        <v>2421</v>
      </c>
      <c r="E659" s="14">
        <v>2421</v>
      </c>
      <c r="F659" s="16" t="s">
        <v>820</v>
      </c>
      <c r="G659" s="17"/>
      <c r="H659" s="17"/>
      <c r="I659" s="56">
        <v>0</v>
      </c>
      <c r="J659" s="56"/>
      <c r="K659" s="56"/>
      <c r="L659" s="56"/>
      <c r="M659" s="56"/>
      <c r="N659" s="56"/>
      <c r="O659" s="56"/>
      <c r="P659" s="56"/>
      <c r="Q659" s="56"/>
      <c r="R659" s="56"/>
      <c r="S659" s="53"/>
      <c r="T659" s="18"/>
      <c r="U659" s="18"/>
      <c r="V659" s="19"/>
      <c r="W659" s="18"/>
      <c r="X659" s="18"/>
      <c r="Y659" s="19" t="s">
        <v>32</v>
      </c>
      <c r="Z659" s="19" t="str">
        <f>A659 &amp; "-" &amp; VLOOKUP(A659,[4]PROGRAMMES!$E$1:$F$7,2,FALSE)</f>
        <v>2-Qualité des enseignements et des apprentissages</v>
      </c>
      <c r="AA659" s="19" t="str">
        <f>B659 &amp; "-" &amp; VLOOKUP(B659,[4]SOUSPROGRAMMES!$E$1:$F$44,2,FALSE)</f>
        <v>24- Encadrement des enseignants : appui et contrôle</v>
      </c>
      <c r="AB659" s="19" t="str">
        <f>C659 &amp; "-" &amp; VLOOKUP(C659,[4]RESULTATS!$E$1:$F$176,2,FALSE)</f>
        <v>242- L’encadrement dispose des ressources humaines en nombre nécessaire et en profil pertinent</v>
      </c>
      <c r="AC659" s="20" t="str">
        <f>D659 &amp; "-" &amp; VLOOKUP(D659,[4]STRATEGIES!$E$1:$F$504,2,FALSE)</f>
        <v>2421-Définition d’un cadre organique (Poste, profil, nombre…)</v>
      </c>
      <c r="AD659" s="21" t="str">
        <f t="shared" si="142"/>
        <v>2421-DéFinition d’un cadre organique (Poste, profil, nombre…)</v>
      </c>
    </row>
    <row r="660" spans="1:30" s="22" customFormat="1" ht="45" customHeight="1" x14ac:dyDescent="0.8">
      <c r="A660" s="14">
        <v>2</v>
      </c>
      <c r="B660" s="15">
        <v>24</v>
      </c>
      <c r="C660" s="15">
        <v>242</v>
      </c>
      <c r="D660" s="15">
        <v>2421</v>
      </c>
      <c r="E660" s="14">
        <v>24211</v>
      </c>
      <c r="F660" s="16" t="s">
        <v>821</v>
      </c>
      <c r="G660" s="21" t="s">
        <v>100</v>
      </c>
      <c r="H660" s="17" t="s">
        <v>646</v>
      </c>
      <c r="I660" s="56">
        <v>0</v>
      </c>
      <c r="J660" s="56">
        <f>2*45</f>
        <v>90</v>
      </c>
      <c r="K660" s="56"/>
      <c r="L660" s="56"/>
      <c r="M660" s="56">
        <f t="shared" si="143"/>
        <v>90</v>
      </c>
      <c r="N660" s="56">
        <f>IF(OR(H660="",H660="sif",H660="PM"),0,VLOOKUP(H660,[5]CU!$C$4:$H$255,6,FALSE))</f>
        <v>10.404797</v>
      </c>
      <c r="O660" s="56">
        <f t="shared" si="144"/>
        <v>0</v>
      </c>
      <c r="P660" s="56">
        <f t="shared" si="144"/>
        <v>936.43173000000002</v>
      </c>
      <c r="Q660" s="56">
        <f t="shared" si="144"/>
        <v>0</v>
      </c>
      <c r="R660" s="56">
        <f t="shared" si="144"/>
        <v>0</v>
      </c>
      <c r="S660" s="53">
        <f t="shared" si="145"/>
        <v>936.43173000000002</v>
      </c>
      <c r="T660" s="23" t="s">
        <v>39</v>
      </c>
      <c r="U660" s="19" t="s">
        <v>647</v>
      </c>
      <c r="V660" s="19" t="str">
        <f>IF(OR($H660="",$H660="sif",$H660="PM"),"",VLOOKUP($H660,[5]CU!$C$5:$J$255,8,FALSE))</f>
        <v>3. Dépenses de fonctionnement</v>
      </c>
      <c r="W660" s="19" t="s">
        <v>708</v>
      </c>
      <c r="X660" s="19" t="s">
        <v>822</v>
      </c>
      <c r="Y660" s="19" t="s">
        <v>32</v>
      </c>
      <c r="Z660" s="19" t="str">
        <f>A660 &amp; "-" &amp; VLOOKUP(A660,[4]PROGRAMMES!$E$1:$F$7,2,FALSE)</f>
        <v>2-Qualité des enseignements et des apprentissages</v>
      </c>
      <c r="AA660" s="19" t="str">
        <f>B660 &amp; "-" &amp; VLOOKUP(B660,[4]SOUSPROGRAMMES!$E$1:$F$44,2,FALSE)</f>
        <v>24- Encadrement des enseignants : appui et contrôle</v>
      </c>
      <c r="AB660" s="19" t="str">
        <f>C660 &amp; "-" &amp; VLOOKUP(C660,[4]RESULTATS!$E$1:$F$176,2,FALSE)</f>
        <v>242- L’encadrement dispose des ressources humaines en nombre nécessaire et en profil pertinent</v>
      </c>
      <c r="AC660" s="20" t="str">
        <f>D660 &amp; "-" &amp; VLOOKUP(D660,[4]STRATEGIES!$E$1:$F$504,2,FALSE)</f>
        <v>2421-Définition d’un cadre organique (Poste, profil, nombre…)</v>
      </c>
      <c r="AD660" s="21" t="str">
        <f t="shared" si="142"/>
        <v xml:space="preserve">24211-Audit organisationnel des services chargés de l'encadrement </v>
      </c>
    </row>
    <row r="661" spans="1:30" s="22" customFormat="1" ht="45" customHeight="1" x14ac:dyDescent="0.8">
      <c r="A661" s="14">
        <v>2</v>
      </c>
      <c r="B661" s="15">
        <v>24</v>
      </c>
      <c r="C661" s="15">
        <v>242</v>
      </c>
      <c r="D661" s="15">
        <v>2421</v>
      </c>
      <c r="E661" s="14">
        <v>24212</v>
      </c>
      <c r="F661" s="16" t="s">
        <v>823</v>
      </c>
      <c r="G661" s="21" t="s">
        <v>298</v>
      </c>
      <c r="H661" s="17" t="s">
        <v>38</v>
      </c>
      <c r="I661" s="56">
        <v>0</v>
      </c>
      <c r="J661" s="56">
        <f>30*1</f>
        <v>30</v>
      </c>
      <c r="K661" s="56"/>
      <c r="L661" s="56"/>
      <c r="M661" s="56">
        <f t="shared" si="143"/>
        <v>30</v>
      </c>
      <c r="N661" s="56">
        <f>IF(OR(H661="",H661="sif",H661="PM"),0,VLOOKUP(H661,[5]CU!$C$4:$H$255,6,FALSE))</f>
        <v>0.3133333333333333</v>
      </c>
      <c r="O661" s="56">
        <f t="shared" si="144"/>
        <v>0</v>
      </c>
      <c r="P661" s="56">
        <f t="shared" si="144"/>
        <v>9.3999999999999986</v>
      </c>
      <c r="Q661" s="56">
        <f t="shared" si="144"/>
        <v>0</v>
      </c>
      <c r="R661" s="56">
        <f t="shared" si="144"/>
        <v>0</v>
      </c>
      <c r="S661" s="53">
        <f t="shared" si="145"/>
        <v>9.3999999999999986</v>
      </c>
      <c r="T661" s="23" t="s">
        <v>39</v>
      </c>
      <c r="U661" s="19" t="s">
        <v>647</v>
      </c>
      <c r="V661" s="19" t="str">
        <f>IF(OR($H661="",$H661="sif",$H661="PM"),"",VLOOKUP($H661,[5]CU!$C$5:$J$255,8,FALSE))</f>
        <v>3. Formation</v>
      </c>
      <c r="W661" s="19" t="s">
        <v>273</v>
      </c>
      <c r="X661" s="19" t="s">
        <v>708</v>
      </c>
      <c r="Y661" s="19" t="s">
        <v>32</v>
      </c>
      <c r="Z661" s="19" t="str">
        <f>A661 &amp; "-" &amp; VLOOKUP(A661,[4]PROGRAMMES!$E$1:$F$7,2,FALSE)</f>
        <v>2-Qualité des enseignements et des apprentissages</v>
      </c>
      <c r="AA661" s="19" t="str">
        <f>B661 &amp; "-" &amp; VLOOKUP(B661,[4]SOUSPROGRAMMES!$E$1:$F$44,2,FALSE)</f>
        <v>24- Encadrement des enseignants : appui et contrôle</v>
      </c>
      <c r="AB661" s="19" t="str">
        <f>C661 &amp; "-" &amp; VLOOKUP(C661,[4]RESULTATS!$E$1:$F$176,2,FALSE)</f>
        <v>242- L’encadrement dispose des ressources humaines en nombre nécessaire et en profil pertinent</v>
      </c>
      <c r="AC661" s="20" t="str">
        <f>D661 &amp; "-" &amp; VLOOKUP(D661,[4]STRATEGIES!$E$1:$F$504,2,FALSE)</f>
        <v>2421-Définition d’un cadre organique (Poste, profil, nombre…)</v>
      </c>
      <c r="AD661" s="21" t="str">
        <f t="shared" si="142"/>
        <v>24212-Validation des résultats de l'audit organisationnel</v>
      </c>
    </row>
    <row r="662" spans="1:30" s="22" customFormat="1" ht="45" hidden="1" customHeight="1" x14ac:dyDescent="0.8">
      <c r="A662" s="14">
        <v>2</v>
      </c>
      <c r="B662" s="15">
        <v>24</v>
      </c>
      <c r="C662" s="15">
        <v>242</v>
      </c>
      <c r="D662" s="15">
        <v>2421</v>
      </c>
      <c r="E662" s="14">
        <v>24213</v>
      </c>
      <c r="F662" s="16" t="s">
        <v>824</v>
      </c>
      <c r="G662" s="21" t="s">
        <v>92</v>
      </c>
      <c r="H662" s="17" t="s">
        <v>55</v>
      </c>
      <c r="I662" s="56">
        <v>0</v>
      </c>
      <c r="J662" s="56">
        <v>1</v>
      </c>
      <c r="K662" s="56"/>
      <c r="L662" s="56"/>
      <c r="M662" s="56">
        <f t="shared" si="143"/>
        <v>1</v>
      </c>
      <c r="N662" s="56">
        <f>IF(OR(H662="",H662="sif",H662="PM"),0,VLOOKUP(H662,[5]CU!$C$4:$H$255,6,FALSE))</f>
        <v>0</v>
      </c>
      <c r="O662" s="56">
        <f t="shared" si="144"/>
        <v>0</v>
      </c>
      <c r="P662" s="56">
        <f t="shared" si="144"/>
        <v>0</v>
      </c>
      <c r="Q662" s="56">
        <f t="shared" si="144"/>
        <v>0</v>
      </c>
      <c r="R662" s="56">
        <f t="shared" si="144"/>
        <v>0</v>
      </c>
      <c r="S662" s="53"/>
      <c r="T662" s="23" t="s">
        <v>56</v>
      </c>
      <c r="U662" s="18" t="s">
        <v>647</v>
      </c>
      <c r="V662" s="19" t="str">
        <f>IF(OR($H662="",$H662="sif",$H662="PM"),"",VLOOKUP($H662,[5]CU!$C$5:$J$255,8,FALSE))</f>
        <v/>
      </c>
      <c r="W662" s="18" t="s">
        <v>708</v>
      </c>
      <c r="X662" s="18" t="s">
        <v>142</v>
      </c>
      <c r="Y662" s="19" t="s">
        <v>32</v>
      </c>
      <c r="Z662" s="19" t="str">
        <f>A662 &amp; "-" &amp; VLOOKUP(A662,[4]PROGRAMMES!$E$1:$F$7,2,FALSE)</f>
        <v>2-Qualité des enseignements et des apprentissages</v>
      </c>
      <c r="AA662" s="19" t="str">
        <f>B662 &amp; "-" &amp; VLOOKUP(B662,[4]SOUSPROGRAMMES!$E$1:$F$44,2,FALSE)</f>
        <v>24- Encadrement des enseignants : appui et contrôle</v>
      </c>
      <c r="AB662" s="19" t="str">
        <f>C662 &amp; "-" &amp; VLOOKUP(C662,[4]RESULTATS!$E$1:$F$176,2,FALSE)</f>
        <v>242- L’encadrement dispose des ressources humaines en nombre nécessaire et en profil pertinent</v>
      </c>
      <c r="AC662" s="20" t="str">
        <f>D662 &amp; "-" &amp; VLOOKUP(D662,[4]STRATEGIES!$E$1:$F$504,2,FALSE)</f>
        <v>2421-Définition d’un cadre organique (Poste, profil, nombre…)</v>
      </c>
      <c r="AD662" s="21" t="str">
        <f t="shared" si="142"/>
        <v>24213-DéFinition des redéploiements nécessaires, des recrutements du personnel et des mécanismes d'affectation aux postes (pris en compte dans activité 24211)</v>
      </c>
    </row>
    <row r="663" spans="1:30" s="22" customFormat="1" ht="45" hidden="1" customHeight="1" x14ac:dyDescent="0.8">
      <c r="A663" s="14">
        <v>2</v>
      </c>
      <c r="B663" s="15">
        <v>24</v>
      </c>
      <c r="C663" s="15">
        <v>242</v>
      </c>
      <c r="D663" s="15">
        <v>2421</v>
      </c>
      <c r="E663" s="14">
        <v>24214</v>
      </c>
      <c r="F663" s="16" t="s">
        <v>825</v>
      </c>
      <c r="G663" s="21" t="s">
        <v>826</v>
      </c>
      <c r="H663" s="17" t="s">
        <v>55</v>
      </c>
      <c r="I663" s="56">
        <v>0</v>
      </c>
      <c r="J663" s="56"/>
      <c r="K663" s="56">
        <v>1</v>
      </c>
      <c r="L663" s="56"/>
      <c r="M663" s="56">
        <f t="shared" si="143"/>
        <v>1</v>
      </c>
      <c r="N663" s="56">
        <f>IF(OR(H663="",H663="sif",H663="PM"),0,VLOOKUP(H663,[5]CU!$C$4:$H$255,6,FALSE))</f>
        <v>0</v>
      </c>
      <c r="O663" s="56">
        <f t="shared" si="144"/>
        <v>0</v>
      </c>
      <c r="P663" s="56">
        <f t="shared" si="144"/>
        <v>0</v>
      </c>
      <c r="Q663" s="56">
        <f t="shared" si="144"/>
        <v>0</v>
      </c>
      <c r="R663" s="56">
        <f t="shared" si="144"/>
        <v>0</v>
      </c>
      <c r="S663" s="53"/>
      <c r="T663" s="23" t="s">
        <v>56</v>
      </c>
      <c r="U663" s="18" t="s">
        <v>647</v>
      </c>
      <c r="V663" s="19" t="str">
        <f>IF(OR($H663="",$H663="sif",$H663="PM"),"",VLOOKUP($H663,[5]CU!$C$5:$J$255,8,FALSE))</f>
        <v/>
      </c>
      <c r="W663" s="18" t="s">
        <v>708</v>
      </c>
      <c r="X663" s="18" t="s">
        <v>142</v>
      </c>
      <c r="Y663" s="19" t="s">
        <v>32</v>
      </c>
      <c r="Z663" s="19" t="str">
        <f>A663 &amp; "-" &amp; VLOOKUP(A663,[4]PROGRAMMES!$E$1:$F$7,2,FALSE)</f>
        <v>2-Qualité des enseignements et des apprentissages</v>
      </c>
      <c r="AA663" s="19" t="str">
        <f>B663 &amp; "-" &amp; VLOOKUP(B663,[4]SOUSPROGRAMMES!$E$1:$F$44,2,FALSE)</f>
        <v>24- Encadrement des enseignants : appui et contrôle</v>
      </c>
      <c r="AB663" s="19" t="str">
        <f>C663 &amp; "-" &amp; VLOOKUP(C663,[4]RESULTATS!$E$1:$F$176,2,FALSE)</f>
        <v>242- L’encadrement dispose des ressources humaines en nombre nécessaire et en profil pertinent</v>
      </c>
      <c r="AC663" s="20" t="str">
        <f>D663 &amp; "-" &amp; VLOOKUP(D663,[4]STRATEGIES!$E$1:$F$504,2,FALSE)</f>
        <v>2421-Définition d’un cadre organique (Poste, profil, nombre…)</v>
      </c>
      <c r="AD663" s="21" t="str">
        <f t="shared" si="142"/>
        <v xml:space="preserve">24214-Adoption des textes organisant les services d'encadrement et l'affectation aux postes  </v>
      </c>
    </row>
    <row r="664" spans="1:30" s="22" customFormat="1" ht="45" hidden="1" customHeight="1" x14ac:dyDescent="0.8">
      <c r="A664" s="14">
        <v>2</v>
      </c>
      <c r="B664" s="15">
        <v>24</v>
      </c>
      <c r="C664" s="15">
        <v>242</v>
      </c>
      <c r="D664" s="15">
        <v>2421</v>
      </c>
      <c r="E664" s="14">
        <v>24215</v>
      </c>
      <c r="F664" s="16" t="s">
        <v>827</v>
      </c>
      <c r="G664" s="21" t="s">
        <v>436</v>
      </c>
      <c r="H664" s="17" t="s">
        <v>501</v>
      </c>
      <c r="I664" s="56">
        <v>0</v>
      </c>
      <c r="J664" s="56"/>
      <c r="K664" s="56"/>
      <c r="L664" s="56"/>
      <c r="M664" s="56">
        <f t="shared" si="143"/>
        <v>0</v>
      </c>
      <c r="N664" s="56">
        <f>IF(OR(H664="",H664="sif",H664="PM"),0,VLOOKUP(H664,[5]CU!$C$4:$H$255,6,FALSE))</f>
        <v>50.336534</v>
      </c>
      <c r="O664" s="56">
        <f t="shared" si="144"/>
        <v>0</v>
      </c>
      <c r="P664" s="56">
        <f t="shared" si="144"/>
        <v>0</v>
      </c>
      <c r="Q664" s="56">
        <f t="shared" si="144"/>
        <v>0</v>
      </c>
      <c r="R664" s="56">
        <f t="shared" si="144"/>
        <v>0</v>
      </c>
      <c r="S664" s="53">
        <f>SUM(O664:R664)</f>
        <v>0</v>
      </c>
      <c r="T664" s="23" t="s">
        <v>178</v>
      </c>
      <c r="U664" s="18" t="s">
        <v>647</v>
      </c>
      <c r="V664" s="19" t="str">
        <f>IF(OR($H664="",$H664="sif",$H664="PM"),"",VLOOKUP($H664,[5]CU!$C$5:$J$255,8,FALSE))</f>
        <v>3. Formation</v>
      </c>
      <c r="W664" s="18" t="s">
        <v>708</v>
      </c>
      <c r="X664" s="18" t="s">
        <v>142</v>
      </c>
      <c r="Y664" s="19" t="s">
        <v>32</v>
      </c>
      <c r="Z664" s="19" t="str">
        <f>A664 &amp; "-" &amp; VLOOKUP(A664,[4]PROGRAMMES!$E$1:$F$7,2,FALSE)</f>
        <v>2-Qualité des enseignements et des apprentissages</v>
      </c>
      <c r="AA664" s="19" t="str">
        <f>B664 &amp; "-" &amp; VLOOKUP(B664,[4]SOUSPROGRAMMES!$E$1:$F$44,2,FALSE)</f>
        <v>24- Encadrement des enseignants : appui et contrôle</v>
      </c>
      <c r="AB664" s="19" t="str">
        <f>C664 &amp; "-" &amp; VLOOKUP(C664,[4]RESULTATS!$E$1:$F$176,2,FALSE)</f>
        <v>242- L’encadrement dispose des ressources humaines en nombre nécessaire et en profil pertinent</v>
      </c>
      <c r="AC664" s="20" t="str">
        <f>D664 &amp; "-" &amp; VLOOKUP(D664,[4]STRATEGIES!$E$1:$F$504,2,FALSE)</f>
        <v>2421-Définition d’un cadre organique (Poste, profil, nombre…)</v>
      </c>
      <c r="AD664" s="21" t="str">
        <f t="shared" si="142"/>
        <v>24215-Renforcement des capacités des inspecteurs</v>
      </c>
    </row>
    <row r="665" spans="1:30" s="22" customFormat="1" ht="45" hidden="1" customHeight="1" x14ac:dyDescent="0.8">
      <c r="A665" s="14">
        <v>2</v>
      </c>
      <c r="B665" s="15">
        <v>24</v>
      </c>
      <c r="C665" s="15">
        <v>242</v>
      </c>
      <c r="D665" s="15">
        <v>2421</v>
      </c>
      <c r="E665" s="14">
        <v>24216</v>
      </c>
      <c r="F665" s="16" t="s">
        <v>828</v>
      </c>
      <c r="G665" s="21" t="s">
        <v>436</v>
      </c>
      <c r="H665" s="17" t="s">
        <v>352</v>
      </c>
      <c r="I665" s="56">
        <v>0</v>
      </c>
      <c r="J665" s="56"/>
      <c r="K665" s="56"/>
      <c r="L665" s="56"/>
      <c r="M665" s="56">
        <f>SUM(I665:L665)</f>
        <v>0</v>
      </c>
      <c r="N665" s="56">
        <f>IF(OR(H665="",H665="sif",H665="PM"),0,VLOOKUP(H665,[5]CU!$C$4:$H$255,6,FALSE))</f>
        <v>0.54600000000000004</v>
      </c>
      <c r="O665" s="56">
        <f>IFERROR($N665*I665,0)</f>
        <v>0</v>
      </c>
      <c r="P665" s="56">
        <f>IFERROR($N665*J665,0)</f>
        <v>0</v>
      </c>
      <c r="Q665" s="56">
        <f>IFERROR($N665*K665,0)</f>
        <v>0</v>
      </c>
      <c r="R665" s="56">
        <f>IFERROR($N665*L665,0)</f>
        <v>0</v>
      </c>
      <c r="S665" s="53">
        <f>SUM(O665:R665)</f>
        <v>0</v>
      </c>
      <c r="T665" s="23" t="s">
        <v>178</v>
      </c>
      <c r="U665" s="18" t="s">
        <v>647</v>
      </c>
      <c r="V665" s="19" t="str">
        <f>IF(OR($H665="",$H665="sif",$H665="PM"),"",VLOOKUP($H665,[5]CU!$C$5:$J$255,8,FALSE))</f>
        <v>3. Formation</v>
      </c>
      <c r="W665" s="18" t="s">
        <v>708</v>
      </c>
      <c r="X665" s="18" t="s">
        <v>142</v>
      </c>
      <c r="Y665" s="19" t="s">
        <v>32</v>
      </c>
      <c r="Z665" s="19" t="str">
        <f>A665 &amp; "-" &amp; VLOOKUP(A665,[4]PROGRAMMES!$E$1:$F$7,2,FALSE)</f>
        <v>2-Qualité des enseignements et des apprentissages</v>
      </c>
      <c r="AA665" s="19" t="str">
        <f>B665 &amp; "-" &amp; VLOOKUP(B665,[4]SOUSPROGRAMMES!$E$1:$F$44,2,FALSE)</f>
        <v>24- Encadrement des enseignants : appui et contrôle</v>
      </c>
      <c r="AB665" s="19" t="str">
        <f>C665 &amp; "-" &amp; VLOOKUP(C665,[4]RESULTATS!$E$1:$F$176,2,FALSE)</f>
        <v>242- L’encadrement dispose des ressources humaines en nombre nécessaire et en profil pertinent</v>
      </c>
      <c r="AC665" s="20" t="str">
        <f>D665 &amp; "-" &amp; VLOOKUP(D665,[4]STRATEGIES!$E$1:$F$504,2,FALSE)</f>
        <v>2421-Définition d’un cadre organique (Poste, profil, nombre…)</v>
      </c>
      <c r="AD665" s="21" t="str">
        <f t="shared" si="142"/>
        <v>24216-Renforcement des capacités des inspecteurs (démultiplication de la formation)</v>
      </c>
    </row>
    <row r="666" spans="1:30" s="22" customFormat="1" ht="45" customHeight="1" x14ac:dyDescent="0.8">
      <c r="A666" s="14">
        <v>2</v>
      </c>
      <c r="B666" s="15">
        <v>24</v>
      </c>
      <c r="C666" s="15">
        <v>242</v>
      </c>
      <c r="D666" s="15">
        <v>2421</v>
      </c>
      <c r="E666" s="14">
        <v>24216</v>
      </c>
      <c r="F666" s="16" t="s">
        <v>828</v>
      </c>
      <c r="G666" s="21" t="s">
        <v>436</v>
      </c>
      <c r="H666" s="17" t="s">
        <v>352</v>
      </c>
      <c r="I666" s="56">
        <v>0</v>
      </c>
      <c r="J666" s="56"/>
      <c r="K666" s="56"/>
      <c r="L666" s="56"/>
      <c r="M666" s="56">
        <f t="shared" si="143"/>
        <v>0</v>
      </c>
      <c r="N666" s="56">
        <f>IF(OR(H666="",H666="sif",H666="PM"),0,VLOOKUP(H666,[5]CU!$C$4:$H$255,6,FALSE))</f>
        <v>0.54600000000000004</v>
      </c>
      <c r="O666" s="56">
        <f t="shared" si="144"/>
        <v>0</v>
      </c>
      <c r="P666" s="56">
        <f t="shared" si="144"/>
        <v>0</v>
      </c>
      <c r="Q666" s="56">
        <f t="shared" si="144"/>
        <v>0</v>
      </c>
      <c r="R666" s="56">
        <f t="shared" si="144"/>
        <v>0</v>
      </c>
      <c r="S666" s="53">
        <f>SUM(O666:R666)</f>
        <v>0</v>
      </c>
      <c r="T666" s="23" t="s">
        <v>118</v>
      </c>
      <c r="U666" s="18" t="s">
        <v>647</v>
      </c>
      <c r="V666" s="19" t="str">
        <f>IF(OR($H666="",$H666="sif",$H666="PM"),"",VLOOKUP($H666,[5]CU!$C$5:$J$255,8,FALSE))</f>
        <v>3. Formation</v>
      </c>
      <c r="W666" s="18" t="s">
        <v>708</v>
      </c>
      <c r="X666" s="18" t="s">
        <v>142</v>
      </c>
      <c r="Y666" s="19" t="s">
        <v>32</v>
      </c>
      <c r="Z666" s="19" t="str">
        <f>A666 &amp; "-" &amp; VLOOKUP(A666,[4]PROGRAMMES!$E$1:$F$7,2,FALSE)</f>
        <v>2-Qualité des enseignements et des apprentissages</v>
      </c>
      <c r="AA666" s="19" t="str">
        <f>B666 &amp; "-" &amp; VLOOKUP(B666,[4]SOUSPROGRAMMES!$E$1:$F$44,2,FALSE)</f>
        <v>24- Encadrement des enseignants : appui et contrôle</v>
      </c>
      <c r="AB666" s="19" t="str">
        <f>C666 &amp; "-" &amp; VLOOKUP(C666,[4]RESULTATS!$E$1:$F$176,2,FALSE)</f>
        <v>242- L’encadrement dispose des ressources humaines en nombre nécessaire et en profil pertinent</v>
      </c>
      <c r="AC666" s="20" t="str">
        <f>D666 &amp; "-" &amp; VLOOKUP(D666,[4]STRATEGIES!$E$1:$F$504,2,FALSE)</f>
        <v>2421-Définition d’un cadre organique (Poste, profil, nombre…)</v>
      </c>
      <c r="AD666" s="21" t="str">
        <f t="shared" si="142"/>
        <v>24216-Renforcement des capacités des inspecteurs (démultiplication de la formation)</v>
      </c>
    </row>
    <row r="667" spans="1:30" s="22" customFormat="1" ht="45" customHeight="1" x14ac:dyDescent="0.8">
      <c r="A667" s="14">
        <v>2</v>
      </c>
      <c r="B667" s="15">
        <v>24</v>
      </c>
      <c r="C667" s="15">
        <v>242</v>
      </c>
      <c r="D667" s="15">
        <v>2422</v>
      </c>
      <c r="E667" s="14">
        <v>2422</v>
      </c>
      <c r="F667" s="16" t="s">
        <v>829</v>
      </c>
      <c r="G667" s="17"/>
      <c r="H667" s="17"/>
      <c r="I667" s="56">
        <v>0</v>
      </c>
      <c r="J667" s="56"/>
      <c r="K667" s="56"/>
      <c r="L667" s="56"/>
      <c r="M667" s="56"/>
      <c r="N667" s="56"/>
      <c r="O667" s="56"/>
      <c r="P667" s="56"/>
      <c r="Q667" s="56"/>
      <c r="R667" s="56"/>
      <c r="S667" s="53"/>
      <c r="T667" s="18"/>
      <c r="U667" s="18"/>
      <c r="V667" s="19"/>
      <c r="W667" s="18"/>
      <c r="X667" s="18"/>
      <c r="Y667" s="19" t="s">
        <v>32</v>
      </c>
      <c r="Z667" s="19" t="str">
        <f>A667 &amp; "-" &amp; VLOOKUP(A667,[4]PROGRAMMES!$E$1:$F$7,2,FALSE)</f>
        <v>2-Qualité des enseignements et des apprentissages</v>
      </c>
      <c r="AA667" s="19" t="str">
        <f>B667 &amp; "-" &amp; VLOOKUP(B667,[4]SOUSPROGRAMMES!$E$1:$F$44,2,FALSE)</f>
        <v>24- Encadrement des enseignants : appui et contrôle</v>
      </c>
      <c r="AB667" s="19" t="str">
        <f>C667 &amp; "-" &amp; VLOOKUP(C667,[4]RESULTATS!$E$1:$F$176,2,FALSE)</f>
        <v>242- L’encadrement dispose des ressources humaines en nombre nécessaire et en profil pertinent</v>
      </c>
      <c r="AC667" s="20" t="str">
        <f>D667 &amp; "-" &amp; VLOOKUP(D667,[4]STRATEGIES!$E$1:$F$504,2,FALSE)</f>
        <v>2422-Mise en place du cadre organique défini</v>
      </c>
      <c r="AD667" s="21" t="str">
        <f t="shared" si="142"/>
        <v>2422-Mise en place du cadre organique déFini</v>
      </c>
    </row>
    <row r="668" spans="1:30" ht="45" hidden="1" customHeight="1" x14ac:dyDescent="0.8">
      <c r="A668" s="25">
        <v>2</v>
      </c>
      <c r="B668" s="16">
        <v>24</v>
      </c>
      <c r="C668" s="16">
        <v>242</v>
      </c>
      <c r="D668" s="16">
        <v>2422</v>
      </c>
      <c r="E668" s="25">
        <v>24221</v>
      </c>
      <c r="F668" s="16" t="s">
        <v>830</v>
      </c>
      <c r="G668" s="21" t="s">
        <v>37</v>
      </c>
      <c r="H668" s="21" t="s">
        <v>66</v>
      </c>
      <c r="I668" s="56">
        <v>0</v>
      </c>
      <c r="J668" s="57"/>
      <c r="K668" s="57">
        <f>20*4</f>
        <v>80</v>
      </c>
      <c r="L668" s="57"/>
      <c r="M668" s="57">
        <f t="shared" si="143"/>
        <v>80</v>
      </c>
      <c r="N668" s="57">
        <f>IF(OR(H668="",H668="sif",H668="PM"),0,VLOOKUP(H668,[5]CU!$C$4:$H$255,6,FALSE))</f>
        <v>0.255</v>
      </c>
      <c r="O668" s="57">
        <f t="shared" si="144"/>
        <v>0</v>
      </c>
      <c r="P668" s="57">
        <f t="shared" si="144"/>
        <v>0</v>
      </c>
      <c r="Q668" s="57">
        <f t="shared" si="144"/>
        <v>20.399999999999999</v>
      </c>
      <c r="R668" s="57">
        <f t="shared" si="144"/>
        <v>0</v>
      </c>
      <c r="S668" s="60">
        <f>SUM(O668:R668)</f>
        <v>20.399999999999999</v>
      </c>
      <c r="T668" s="26" t="s">
        <v>169</v>
      </c>
      <c r="U668" s="19" t="s">
        <v>647</v>
      </c>
      <c r="V668" s="19" t="str">
        <f>IF(OR($H668="",$H668="sif",$H668="PM"),"",VLOOKUP($H668,[5]CU!$C$5:$J$255,8,FALSE))</f>
        <v>3. Dépenses de fonctionnement</v>
      </c>
      <c r="W668" s="19" t="s">
        <v>708</v>
      </c>
      <c r="X668" s="19" t="s">
        <v>273</v>
      </c>
      <c r="Y668" s="19" t="s">
        <v>32</v>
      </c>
      <c r="Z668" s="19" t="str">
        <f>A668 &amp; "-" &amp; VLOOKUP(A668,[4]PROGRAMMES!$E$1:$F$7,2,FALSE)</f>
        <v>2-Qualité des enseignements et des apprentissages</v>
      </c>
      <c r="AA668" s="19" t="str">
        <f>B668 &amp; "-" &amp; VLOOKUP(B668,[4]SOUSPROGRAMMES!$E$1:$F$44,2,FALSE)</f>
        <v>24- Encadrement des enseignants : appui et contrôle</v>
      </c>
      <c r="AB668" s="19" t="str">
        <f>C668 &amp; "-" &amp; VLOOKUP(C668,[4]RESULTATS!$E$1:$F$176,2,FALSE)</f>
        <v>242- L’encadrement dispose des ressources humaines en nombre nécessaire et en profil pertinent</v>
      </c>
      <c r="AC668" s="20" t="str">
        <f>D668 &amp; "-" &amp; VLOOKUP(D668,[4]STRATEGIES!$E$1:$F$504,2,FALSE)</f>
        <v>2422-Mise en place du cadre organique défini</v>
      </c>
      <c r="AD668" s="21" t="str">
        <f t="shared" si="142"/>
        <v>24221-Conception, élaboration et validation de nouveaux textes et un dispositif relatif aux rôles et responsabilités des acteurs dans l'encadrement</v>
      </c>
    </row>
    <row r="669" spans="1:30" ht="45" hidden="1" customHeight="1" x14ac:dyDescent="0.8">
      <c r="A669" s="25">
        <v>2</v>
      </c>
      <c r="B669" s="16">
        <v>24</v>
      </c>
      <c r="C669" s="16">
        <v>242</v>
      </c>
      <c r="D669" s="16">
        <v>2422</v>
      </c>
      <c r="E669" s="25">
        <v>24222</v>
      </c>
      <c r="F669" s="16" t="s">
        <v>831</v>
      </c>
      <c r="G669" s="21" t="s">
        <v>37</v>
      </c>
      <c r="H669" s="21" t="s">
        <v>38</v>
      </c>
      <c r="I669" s="56">
        <v>0</v>
      </c>
      <c r="J669" s="57"/>
      <c r="K669" s="57">
        <f>10*5*8</f>
        <v>400</v>
      </c>
      <c r="L669" s="57"/>
      <c r="M669" s="57">
        <f t="shared" si="143"/>
        <v>400</v>
      </c>
      <c r="N669" s="57">
        <f>IF(OR(H669="",H669="sif",H669="PM"),0,VLOOKUP(H669,[5]CU!$C$4:$H$255,6,FALSE))</f>
        <v>0.3133333333333333</v>
      </c>
      <c r="O669" s="57">
        <f t="shared" si="144"/>
        <v>0</v>
      </c>
      <c r="P669" s="57">
        <f t="shared" si="144"/>
        <v>0</v>
      </c>
      <c r="Q669" s="57">
        <f t="shared" si="144"/>
        <v>125.33333333333331</v>
      </c>
      <c r="R669" s="57">
        <f t="shared" si="144"/>
        <v>0</v>
      </c>
      <c r="S669" s="60">
        <f>SUM(O669:R669)</f>
        <v>125.33333333333331</v>
      </c>
      <c r="T669" s="26" t="s">
        <v>169</v>
      </c>
      <c r="U669" s="19" t="s">
        <v>647</v>
      </c>
      <c r="V669" s="19" t="str">
        <f>IF(OR($H669="",$H669="sif",$H669="PM"),"",VLOOKUP($H669,[5]CU!$C$5:$J$255,8,FALSE))</f>
        <v>3. Formation</v>
      </c>
      <c r="W669" s="19" t="s">
        <v>708</v>
      </c>
      <c r="X669" s="19" t="s">
        <v>273</v>
      </c>
      <c r="Y669" s="19" t="s">
        <v>32</v>
      </c>
      <c r="Z669" s="19" t="str">
        <f>A669 &amp; "-" &amp; VLOOKUP(A669,[4]PROGRAMMES!$E$1:$F$7,2,FALSE)</f>
        <v>2-Qualité des enseignements et des apprentissages</v>
      </c>
      <c r="AA669" s="19" t="str">
        <f>B669 &amp; "-" &amp; VLOOKUP(B669,[4]SOUSPROGRAMMES!$E$1:$F$44,2,FALSE)</f>
        <v>24- Encadrement des enseignants : appui et contrôle</v>
      </c>
      <c r="AB669" s="19" t="str">
        <f>C669 &amp; "-" &amp; VLOOKUP(C669,[4]RESULTATS!$E$1:$F$176,2,FALSE)</f>
        <v>242- L’encadrement dispose des ressources humaines en nombre nécessaire et en profil pertinent</v>
      </c>
      <c r="AC669" s="20" t="str">
        <f>D669 &amp; "-" &amp; VLOOKUP(D669,[4]STRATEGIES!$E$1:$F$504,2,FALSE)</f>
        <v>2422-Mise en place du cadre organique défini</v>
      </c>
      <c r="AD669" s="21" t="str">
        <f t="shared" si="142"/>
        <v>24222-Elaboration et dissémination d’un manuel de procédures d’encadrement</v>
      </c>
    </row>
    <row r="670" spans="1:30" s="22" customFormat="1" ht="45" hidden="1" customHeight="1" x14ac:dyDescent="0.8">
      <c r="A670" s="14">
        <v>2</v>
      </c>
      <c r="B670" s="15">
        <v>24</v>
      </c>
      <c r="C670" s="15">
        <v>242</v>
      </c>
      <c r="D670" s="15">
        <v>2422</v>
      </c>
      <c r="E670" s="14">
        <v>24223</v>
      </c>
      <c r="F670" s="16" t="s">
        <v>832</v>
      </c>
      <c r="G670" s="21" t="s">
        <v>754</v>
      </c>
      <c r="H670" s="17" t="s">
        <v>55</v>
      </c>
      <c r="I670" s="56">
        <v>0</v>
      </c>
      <c r="J670" s="56"/>
      <c r="K670" s="56">
        <v>1</v>
      </c>
      <c r="L670" s="56"/>
      <c r="M670" s="56">
        <f t="shared" si="143"/>
        <v>1</v>
      </c>
      <c r="N670" s="56">
        <f>IF(OR(H670="",H670="sif",H670="PM"),0,VLOOKUP(H670,[5]CU!$C$4:$H$255,6,FALSE))</f>
        <v>0</v>
      </c>
      <c r="O670" s="56">
        <f t="shared" si="144"/>
        <v>0</v>
      </c>
      <c r="P670" s="56">
        <f t="shared" si="144"/>
        <v>0</v>
      </c>
      <c r="Q670" s="56">
        <f t="shared" si="144"/>
        <v>0</v>
      </c>
      <c r="R670" s="56">
        <f t="shared" si="144"/>
        <v>0</v>
      </c>
      <c r="S670" s="53"/>
      <c r="T670" s="23" t="s">
        <v>56</v>
      </c>
      <c r="U670" s="18" t="s">
        <v>647</v>
      </c>
      <c r="V670" s="19" t="str">
        <f>IF(OR($H670="",$H670="sif",$H670="PM"),"",VLOOKUP($H670,[5]CU!$C$5:$J$255,8,FALSE))</f>
        <v/>
      </c>
      <c r="W670" s="18" t="s">
        <v>708</v>
      </c>
      <c r="X670" s="18" t="s">
        <v>142</v>
      </c>
      <c r="Y670" s="19" t="s">
        <v>32</v>
      </c>
      <c r="Z670" s="19" t="str">
        <f>A670 &amp; "-" &amp; VLOOKUP(A670,[4]PROGRAMMES!$E$1:$F$7,2,FALSE)</f>
        <v>2-Qualité des enseignements et des apprentissages</v>
      </c>
      <c r="AA670" s="19" t="str">
        <f>B670 &amp; "-" &amp; VLOOKUP(B670,[4]SOUSPROGRAMMES!$E$1:$F$44,2,FALSE)</f>
        <v>24- Encadrement des enseignants : appui et contrôle</v>
      </c>
      <c r="AB670" s="19" t="str">
        <f>C670 &amp; "-" &amp; VLOOKUP(C670,[4]RESULTATS!$E$1:$F$176,2,FALSE)</f>
        <v>242- L’encadrement dispose des ressources humaines en nombre nécessaire et en profil pertinent</v>
      </c>
      <c r="AC670" s="20" t="str">
        <f>D670 &amp; "-" &amp; VLOOKUP(D670,[4]STRATEGIES!$E$1:$F$504,2,FALSE)</f>
        <v>2422-Mise en place du cadre organique défini</v>
      </c>
      <c r="AD670" s="21" t="str">
        <f t="shared" si="142"/>
        <v>24223-Redéploiement des profils nécessaires pour la mise en place des cadres organiques</v>
      </c>
    </row>
    <row r="671" spans="1:30" s="22" customFormat="1" ht="45" customHeight="1" x14ac:dyDescent="0.8">
      <c r="A671" s="14">
        <v>2</v>
      </c>
      <c r="B671" s="15">
        <v>24</v>
      </c>
      <c r="C671" s="15">
        <v>242</v>
      </c>
      <c r="D671" s="15">
        <v>2423</v>
      </c>
      <c r="E671" s="14">
        <v>2423</v>
      </c>
      <c r="F671" s="16" t="s">
        <v>833</v>
      </c>
      <c r="G671" s="17"/>
      <c r="H671" s="17"/>
      <c r="I671" s="56">
        <v>0</v>
      </c>
      <c r="J671" s="56"/>
      <c r="K671" s="56"/>
      <c r="L671" s="56"/>
      <c r="M671" s="56"/>
      <c r="N671" s="56"/>
      <c r="O671" s="56"/>
      <c r="P671" s="56"/>
      <c r="Q671" s="56"/>
      <c r="R671" s="56"/>
      <c r="S671" s="53"/>
      <c r="T671" s="18"/>
      <c r="U671" s="18"/>
      <c r="V671" s="19"/>
      <c r="W671" s="18"/>
      <c r="X671" s="18"/>
      <c r="Y671" s="19" t="s">
        <v>32</v>
      </c>
      <c r="Z671" s="19" t="str">
        <f>A671 &amp; "-" &amp; VLOOKUP(A671,[4]PROGRAMMES!$E$1:$F$7,2,FALSE)</f>
        <v>2-Qualité des enseignements et des apprentissages</v>
      </c>
      <c r="AA671" s="19" t="str">
        <f>B671 &amp; "-" &amp; VLOOKUP(B671,[4]SOUSPROGRAMMES!$E$1:$F$44,2,FALSE)</f>
        <v>24- Encadrement des enseignants : appui et contrôle</v>
      </c>
      <c r="AB671" s="19" t="str">
        <f>C671 &amp; "-" &amp; VLOOKUP(C671,[4]RESULTATS!$E$1:$F$176,2,FALSE)</f>
        <v>242- L’encadrement dispose des ressources humaines en nombre nécessaire et en profil pertinent</v>
      </c>
      <c r="AC671" s="20" t="str">
        <f>D671 &amp; "-" &amp; VLOOKUP(D671,[4]STRATEGIES!$E$1:$F$504,2,FALSE)</f>
        <v>2423-Suivi régulier du respect du cadre organique</v>
      </c>
      <c r="AD671" s="21" t="str">
        <f t="shared" si="142"/>
        <v>2423-Suivi régulier du respect du cadre organique</v>
      </c>
    </row>
    <row r="672" spans="1:30" ht="45" hidden="1" customHeight="1" x14ac:dyDescent="0.8">
      <c r="A672" s="25">
        <v>2</v>
      </c>
      <c r="B672" s="16">
        <v>24</v>
      </c>
      <c r="C672" s="16">
        <v>242</v>
      </c>
      <c r="D672" s="16">
        <v>2423</v>
      </c>
      <c r="E672" s="25">
        <v>24231</v>
      </c>
      <c r="F672" s="16" t="s">
        <v>834</v>
      </c>
      <c r="G672" s="21" t="s">
        <v>177</v>
      </c>
      <c r="H672" s="21" t="s">
        <v>59</v>
      </c>
      <c r="I672" s="56">
        <v>0</v>
      </c>
      <c r="J672" s="57"/>
      <c r="K672" s="57"/>
      <c r="L672" s="57">
        <f>4*7*8*2</f>
        <v>448</v>
      </c>
      <c r="M672" s="57">
        <f t="shared" si="143"/>
        <v>448</v>
      </c>
      <c r="N672" s="57">
        <f>IF(OR(H672="",H672="sif",H672="PM"),0,VLOOKUP(H672,[5]CU!$C$4:$H$255,6,FALSE))</f>
        <v>0.8177777777777776</v>
      </c>
      <c r="O672" s="57">
        <f t="shared" si="144"/>
        <v>0</v>
      </c>
      <c r="P672" s="57">
        <f t="shared" si="144"/>
        <v>0</v>
      </c>
      <c r="Q672" s="57">
        <f t="shared" si="144"/>
        <v>0</v>
      </c>
      <c r="R672" s="57">
        <f t="shared" si="144"/>
        <v>366.36444444444436</v>
      </c>
      <c r="S672" s="60">
        <f>SUM(O672:R672)</f>
        <v>366.36444444444436</v>
      </c>
      <c r="T672" s="26" t="s">
        <v>169</v>
      </c>
      <c r="U672" s="19" t="s">
        <v>647</v>
      </c>
      <c r="V672" s="19" t="str">
        <f>IF(OR($H672="",$H672="sif",$H672="PM"),"",VLOOKUP($H672,[5]CU!$C$5:$J$255,8,FALSE))</f>
        <v>3. Dépenses de fonctionnement</v>
      </c>
      <c r="W672" s="19" t="s">
        <v>708</v>
      </c>
      <c r="X672" s="19" t="s">
        <v>142</v>
      </c>
      <c r="Y672" s="19" t="s">
        <v>32</v>
      </c>
      <c r="Z672" s="19" t="str">
        <f>A672 &amp; "-" &amp; VLOOKUP(A672,[4]PROGRAMMES!$E$1:$F$7,2,FALSE)</f>
        <v>2-Qualité des enseignements et des apprentissages</v>
      </c>
      <c r="AA672" s="19" t="str">
        <f>B672 &amp; "-" &amp; VLOOKUP(B672,[4]SOUSPROGRAMMES!$E$1:$F$44,2,FALSE)</f>
        <v>24- Encadrement des enseignants : appui et contrôle</v>
      </c>
      <c r="AB672" s="19" t="str">
        <f>C672 &amp; "-" &amp; VLOOKUP(C672,[4]RESULTATS!$E$1:$F$176,2,FALSE)</f>
        <v>242- L’encadrement dispose des ressources humaines en nombre nécessaire et en profil pertinent</v>
      </c>
      <c r="AC672" s="20" t="str">
        <f>D672 &amp; "-" &amp; VLOOKUP(D672,[4]STRATEGIES!$E$1:$F$504,2,FALSE)</f>
        <v>2423-Suivi régulier du respect du cadre organique</v>
      </c>
      <c r="AD672" s="21" t="str">
        <f t="shared" si="142"/>
        <v>24231-Suivi du respect de la mise en œuvre des cadres organiques</v>
      </c>
    </row>
    <row r="673" spans="1:30" ht="45" hidden="1" customHeight="1" x14ac:dyDescent="0.8">
      <c r="A673" s="25">
        <v>2</v>
      </c>
      <c r="B673" s="16">
        <v>24</v>
      </c>
      <c r="C673" s="16">
        <v>242</v>
      </c>
      <c r="D673" s="16">
        <v>2423</v>
      </c>
      <c r="E673" s="25">
        <v>24232</v>
      </c>
      <c r="F673" s="16" t="s">
        <v>835</v>
      </c>
      <c r="G673" s="21" t="s">
        <v>836</v>
      </c>
      <c r="H673" s="21" t="s">
        <v>55</v>
      </c>
      <c r="I673" s="56">
        <v>0</v>
      </c>
      <c r="J673" s="57"/>
      <c r="K673" s="57"/>
      <c r="L673" s="57">
        <v>1</v>
      </c>
      <c r="M673" s="57">
        <f t="shared" si="143"/>
        <v>1</v>
      </c>
      <c r="N673" s="57">
        <f>IF(OR(H673="",H673="sif",H673="PM"),0,VLOOKUP(H673,[5]CU!$C$4:$H$255,6,FALSE))</f>
        <v>0</v>
      </c>
      <c r="O673" s="57">
        <f t="shared" si="144"/>
        <v>0</v>
      </c>
      <c r="P673" s="57">
        <f t="shared" si="144"/>
        <v>0</v>
      </c>
      <c r="Q673" s="57">
        <f t="shared" si="144"/>
        <v>0</v>
      </c>
      <c r="R673" s="57">
        <f t="shared" si="144"/>
        <v>0</v>
      </c>
      <c r="S673" s="60"/>
      <c r="T673" s="26" t="s">
        <v>169</v>
      </c>
      <c r="U673" s="19" t="s">
        <v>647</v>
      </c>
      <c r="V673" s="19" t="str">
        <f>IF(OR($H673="",$H673="sif",$H673="PM"),"",VLOOKUP($H673,[5]CU!$C$5:$J$255,8,FALSE))</f>
        <v/>
      </c>
      <c r="W673" s="19" t="s">
        <v>708</v>
      </c>
      <c r="X673" s="19" t="s">
        <v>273</v>
      </c>
      <c r="Y673" s="19" t="s">
        <v>32</v>
      </c>
      <c r="Z673" s="19" t="str">
        <f>A673 &amp; "-" &amp; VLOOKUP(A673,[4]PROGRAMMES!$E$1:$F$7,2,FALSE)</f>
        <v>2-Qualité des enseignements et des apprentissages</v>
      </c>
      <c r="AA673" s="19" t="str">
        <f>B673 &amp; "-" &amp; VLOOKUP(B673,[4]SOUSPROGRAMMES!$E$1:$F$44,2,FALSE)</f>
        <v>24- Encadrement des enseignants : appui et contrôle</v>
      </c>
      <c r="AB673" s="19" t="str">
        <f>C673 &amp; "-" &amp; VLOOKUP(C673,[4]RESULTATS!$E$1:$F$176,2,FALSE)</f>
        <v>242- L’encadrement dispose des ressources humaines en nombre nécessaire et en profil pertinent</v>
      </c>
      <c r="AC673" s="20" t="str">
        <f>D673 &amp; "-" &amp; VLOOKUP(D673,[4]STRATEGIES!$E$1:$F$504,2,FALSE)</f>
        <v>2423-Suivi régulier du respect du cadre organique</v>
      </c>
      <c r="AD673" s="21" t="str">
        <f t="shared" si="142"/>
        <v>24232-identification et mise en œuvre des correctifs nécessaires</v>
      </c>
    </row>
    <row r="674" spans="1:30" s="22" customFormat="1" ht="60" customHeight="1" x14ac:dyDescent="0.8">
      <c r="A674" s="14">
        <v>2</v>
      </c>
      <c r="B674" s="15">
        <v>24</v>
      </c>
      <c r="C674" s="15">
        <v>243</v>
      </c>
      <c r="D674" s="15">
        <v>243</v>
      </c>
      <c r="E674" s="14">
        <v>243</v>
      </c>
      <c r="F674" s="16" t="s">
        <v>837</v>
      </c>
      <c r="G674" s="17"/>
      <c r="H674" s="17"/>
      <c r="I674" s="56">
        <v>0</v>
      </c>
      <c r="J674" s="56"/>
      <c r="K674" s="56"/>
      <c r="L674" s="56"/>
      <c r="M674" s="56"/>
      <c r="N674" s="56"/>
      <c r="O674" s="56"/>
      <c r="P674" s="56"/>
      <c r="Q674" s="56"/>
      <c r="R674" s="56"/>
      <c r="S674" s="53"/>
      <c r="T674" s="18"/>
      <c r="U674" s="18"/>
      <c r="V674" s="19"/>
      <c r="W674" s="18"/>
      <c r="X674" s="18"/>
      <c r="Y674" s="19" t="s">
        <v>32</v>
      </c>
      <c r="Z674" s="19" t="str">
        <f>A674 &amp; "-" &amp; VLOOKUP(A674,[4]PROGRAMMES!$E$1:$F$7,2,FALSE)</f>
        <v>2-Qualité des enseignements et des apprentissages</v>
      </c>
      <c r="AA674" s="19" t="str">
        <f>B674 &amp; "-" &amp; VLOOKUP(B674,[4]SOUSPROGRAMMES!$E$1:$F$44,2,FALSE)</f>
        <v>24- Encadrement des enseignants : appui et contrôle</v>
      </c>
      <c r="AB674" s="19" t="str">
        <f>C674 &amp; "-" &amp; VLOOKUP(C674,[4]RESULTATS!$E$1:$F$176,2,FALSE)</f>
        <v xml:space="preserve">243- Les acteurs de l’encadrement disposent des ressources matérielles nécessaires pour mener à bien leurs fonctions  </v>
      </c>
      <c r="AC674" s="20" t="str">
        <f>D674 &amp; "-" &amp; VLOOKUP(D674,[4]STRATEGIES!$E$1:$F$504,2,FALSE)</f>
        <v xml:space="preserve">243- Les acteurs de l’encadrement disposent des ressources matérielles nécessaires pour mener à bien leurs fonctions  </v>
      </c>
      <c r="AD674" s="21" t="str">
        <f t="shared" si="142"/>
        <v xml:space="preserve">243- Les acteurs de l’encadrement disposent des ressources matérielles nécessaires pour mener à bien leurs fonctions  </v>
      </c>
    </row>
    <row r="675" spans="1:30" s="22" customFormat="1" ht="60" customHeight="1" x14ac:dyDescent="0.8">
      <c r="A675" s="14">
        <v>2</v>
      </c>
      <c r="B675" s="15">
        <v>24</v>
      </c>
      <c r="C675" s="15">
        <v>243</v>
      </c>
      <c r="D675" s="15">
        <v>2431</v>
      </c>
      <c r="E675" s="14">
        <v>2431</v>
      </c>
      <c r="F675" s="16" t="s">
        <v>838</v>
      </c>
      <c r="G675" s="17"/>
      <c r="H675" s="17"/>
      <c r="I675" s="56">
        <v>0</v>
      </c>
      <c r="J675" s="56"/>
      <c r="K675" s="56"/>
      <c r="L675" s="56"/>
      <c r="M675" s="56"/>
      <c r="N675" s="56"/>
      <c r="O675" s="56"/>
      <c r="P675" s="56"/>
      <c r="Q675" s="56"/>
      <c r="R675" s="56"/>
      <c r="S675" s="53"/>
      <c r="T675" s="18"/>
      <c r="U675" s="18"/>
      <c r="V675" s="19"/>
      <c r="W675" s="18"/>
      <c r="X675" s="18"/>
      <c r="Y675" s="19" t="s">
        <v>32</v>
      </c>
      <c r="Z675" s="19" t="str">
        <f>A675 &amp; "-" &amp; VLOOKUP(A675,[4]PROGRAMMES!$E$1:$F$7,2,FALSE)</f>
        <v>2-Qualité des enseignements et des apprentissages</v>
      </c>
      <c r="AA675" s="19" t="str">
        <f>B675 &amp; "-" &amp; VLOOKUP(B675,[4]SOUSPROGRAMMES!$E$1:$F$44,2,FALSE)</f>
        <v>24- Encadrement des enseignants : appui et contrôle</v>
      </c>
      <c r="AB675" s="19" t="str">
        <f>C675 &amp; "-" &amp; VLOOKUP(C675,[4]RESULTATS!$E$1:$F$176,2,FALSE)</f>
        <v xml:space="preserve">243- Les acteurs de l’encadrement disposent des ressources matérielles nécessaires pour mener à bien leurs fonctions  </v>
      </c>
      <c r="AC675" s="20" t="str">
        <f>D675 &amp; "-" &amp; VLOOKUP(D675,[4]STRATEGIES!$E$1:$F$504,2,FALSE)</f>
        <v>2431-Identification et mise à disposition des ressources matérielles nécessaires pour chaque corps d’encadreurs</v>
      </c>
      <c r="AD675" s="21" t="str">
        <f t="shared" si="142"/>
        <v>2431-Identification et mise à disposition des ressources matérielles nécessaires pour chaque corps d’encadreurs</v>
      </c>
    </row>
    <row r="676" spans="1:30" ht="60" hidden="1" customHeight="1" x14ac:dyDescent="0.8">
      <c r="A676" s="25">
        <v>2</v>
      </c>
      <c r="B676" s="16">
        <v>24</v>
      </c>
      <c r="C676" s="16">
        <v>243</v>
      </c>
      <c r="D676" s="16">
        <v>2431</v>
      </c>
      <c r="E676" s="25">
        <v>24311</v>
      </c>
      <c r="F676" s="16" t="s">
        <v>839</v>
      </c>
      <c r="G676" s="21" t="s">
        <v>836</v>
      </c>
      <c r="H676" s="21" t="s">
        <v>55</v>
      </c>
      <c r="I676" s="56">
        <v>0</v>
      </c>
      <c r="J676" s="57"/>
      <c r="K676" s="57"/>
      <c r="L676" s="57">
        <v>1</v>
      </c>
      <c r="M676" s="57">
        <f t="shared" si="143"/>
        <v>1</v>
      </c>
      <c r="N676" s="57">
        <f>IF(OR(H676="",H676="sif",H676="PM"),0,VLOOKUP(H676,[5]CU!$C$4:$H$255,6,FALSE))</f>
        <v>0</v>
      </c>
      <c r="O676" s="57">
        <f t="shared" si="144"/>
        <v>0</v>
      </c>
      <c r="P676" s="57">
        <f t="shared" si="144"/>
        <v>0</v>
      </c>
      <c r="Q676" s="57">
        <f t="shared" si="144"/>
        <v>0</v>
      </c>
      <c r="R676" s="57">
        <f t="shared" si="144"/>
        <v>0</v>
      </c>
      <c r="S676" s="60"/>
      <c r="T676" s="26" t="s">
        <v>169</v>
      </c>
      <c r="U676" s="19" t="s">
        <v>647</v>
      </c>
      <c r="V676" s="19" t="str">
        <f>IF(OR($H676="",$H676="sif",$H676="PM"),"",VLOOKUP($H676,[5]CU!$C$5:$J$255,8,FALSE))</f>
        <v/>
      </c>
      <c r="W676" s="19" t="s">
        <v>708</v>
      </c>
      <c r="X676" s="19" t="s">
        <v>840</v>
      </c>
      <c r="Y676" s="19" t="s">
        <v>32</v>
      </c>
      <c r="Z676" s="19" t="str">
        <f>A676 &amp; "-" &amp; VLOOKUP(A676,[4]PROGRAMMES!$E$1:$F$7,2,FALSE)</f>
        <v>2-Qualité des enseignements et des apprentissages</v>
      </c>
      <c r="AA676" s="19" t="str">
        <f>B676 &amp; "-" &amp; VLOOKUP(B676,[4]SOUSPROGRAMMES!$E$1:$F$44,2,FALSE)</f>
        <v>24- Encadrement des enseignants : appui et contrôle</v>
      </c>
      <c r="AB676" s="19" t="str">
        <f>C676 &amp; "-" &amp; VLOOKUP(C676,[4]RESULTATS!$E$1:$F$176,2,FALSE)</f>
        <v xml:space="preserve">243- Les acteurs de l’encadrement disposent des ressources matérielles nécessaires pour mener à bien leurs fonctions  </v>
      </c>
      <c r="AC676" s="20" t="str">
        <f>D676 &amp; "-" &amp; VLOOKUP(D676,[4]STRATEGIES!$E$1:$F$504,2,FALSE)</f>
        <v>2431-Identification et mise à disposition des ressources matérielles nécessaires pour chaque corps d’encadreurs</v>
      </c>
      <c r="AD676" s="21" t="str">
        <f t="shared" si="142"/>
        <v>24311-Détermination des besoins en ressources matériels liées au poste d'encadrement (pris en compte dans l'audit)</v>
      </c>
    </row>
    <row r="677" spans="1:30" ht="60" hidden="1" customHeight="1" x14ac:dyDescent="0.8">
      <c r="A677" s="25">
        <v>2</v>
      </c>
      <c r="B677" s="16">
        <v>24</v>
      </c>
      <c r="C677" s="16">
        <v>243</v>
      </c>
      <c r="D677" s="16">
        <v>2431</v>
      </c>
      <c r="E677" s="25">
        <v>24312</v>
      </c>
      <c r="F677" s="16" t="s">
        <v>841</v>
      </c>
      <c r="G677" s="21" t="s">
        <v>836</v>
      </c>
      <c r="H677" s="21" t="s">
        <v>55</v>
      </c>
      <c r="I677" s="56">
        <v>0</v>
      </c>
      <c r="J677" s="57"/>
      <c r="K677" s="57">
        <v>1</v>
      </c>
      <c r="L677" s="57"/>
      <c r="M677" s="57">
        <f t="shared" si="143"/>
        <v>1</v>
      </c>
      <c r="N677" s="57">
        <f>IF(OR(H677="",H677="sif",H677="PM"),0,VLOOKUP(H677,[5]CU!$C$4:$H$255,6,FALSE))</f>
        <v>0</v>
      </c>
      <c r="O677" s="57">
        <f t="shared" si="144"/>
        <v>0</v>
      </c>
      <c r="P677" s="57">
        <f t="shared" si="144"/>
        <v>0</v>
      </c>
      <c r="Q677" s="57">
        <f t="shared" si="144"/>
        <v>0</v>
      </c>
      <c r="R677" s="57">
        <f t="shared" si="144"/>
        <v>0</v>
      </c>
      <c r="S677" s="60"/>
      <c r="T677" s="26" t="s">
        <v>169</v>
      </c>
      <c r="U677" s="19" t="s">
        <v>647</v>
      </c>
      <c r="V677" s="19" t="str">
        <f>IF(OR($H677="",$H677="sif",$H677="PM"),"",VLOOKUP($H677,[5]CU!$C$5:$J$255,8,FALSE))</f>
        <v/>
      </c>
      <c r="W677" s="19" t="s">
        <v>708</v>
      </c>
      <c r="X677" s="19" t="s">
        <v>273</v>
      </c>
      <c r="Y677" s="19" t="s">
        <v>32</v>
      </c>
      <c r="Z677" s="19" t="str">
        <f>A677 &amp; "-" &amp; VLOOKUP(A677,[4]PROGRAMMES!$E$1:$F$7,2,FALSE)</f>
        <v>2-Qualité des enseignements et des apprentissages</v>
      </c>
      <c r="AA677" s="19" t="str">
        <f>B677 &amp; "-" &amp; VLOOKUP(B677,[4]SOUSPROGRAMMES!$E$1:$F$44,2,FALSE)</f>
        <v>24- Encadrement des enseignants : appui et contrôle</v>
      </c>
      <c r="AB677" s="19" t="str">
        <f>C677 &amp; "-" &amp; VLOOKUP(C677,[4]RESULTATS!$E$1:$F$176,2,FALSE)</f>
        <v xml:space="preserve">243- Les acteurs de l’encadrement disposent des ressources matérielles nécessaires pour mener à bien leurs fonctions  </v>
      </c>
      <c r="AC677" s="20" t="str">
        <f>D677 &amp; "-" &amp; VLOOKUP(D677,[4]STRATEGIES!$E$1:$F$504,2,FALSE)</f>
        <v>2431-Identification et mise à disposition des ressources matérielles nécessaires pour chaque corps d’encadreurs</v>
      </c>
      <c r="AD677" s="21" t="str">
        <f t="shared" si="142"/>
        <v>24312-Analyse des besoins en ressources matérielles existantes</v>
      </c>
    </row>
    <row r="678" spans="1:30" s="22" customFormat="1" ht="60" customHeight="1" x14ac:dyDescent="0.8">
      <c r="A678" s="14">
        <v>2</v>
      </c>
      <c r="B678" s="15">
        <v>24</v>
      </c>
      <c r="C678" s="15">
        <v>243</v>
      </c>
      <c r="D678" s="15">
        <v>2431</v>
      </c>
      <c r="E678" s="14">
        <v>24313</v>
      </c>
      <c r="F678" s="16" t="s">
        <v>842</v>
      </c>
      <c r="G678" s="21" t="s">
        <v>843</v>
      </c>
      <c r="H678" s="17" t="s">
        <v>844</v>
      </c>
      <c r="I678" s="56">
        <v>189</v>
      </c>
      <c r="J678" s="53"/>
      <c r="K678" s="53"/>
      <c r="L678" s="53">
        <f>1*50%</f>
        <v>0.5</v>
      </c>
      <c r="M678" s="53">
        <f>SUM(I678:L678)</f>
        <v>189.5</v>
      </c>
      <c r="N678" s="53">
        <f>IF(OR(H678="",H678="sif",H678="PM"),0,VLOOKUP(H678,[5]CU!$C$4:$H$255,6,FALSE))</f>
        <v>950</v>
      </c>
      <c r="O678" s="53">
        <f>IFERROR($N678*I678,0)</f>
        <v>179550</v>
      </c>
      <c r="P678" s="53">
        <f>IFERROR($N678*J678,0)</f>
        <v>0</v>
      </c>
      <c r="Q678" s="53">
        <f>IFERROR($N678*K678,0)</f>
        <v>0</v>
      </c>
      <c r="R678" s="53">
        <f>IFERROR($N678*L678,0)</f>
        <v>475</v>
      </c>
      <c r="S678" s="53">
        <f>SUM(O678:R678)</f>
        <v>180025</v>
      </c>
      <c r="T678" s="23" t="s">
        <v>67</v>
      </c>
      <c r="U678" s="18" t="s">
        <v>647</v>
      </c>
      <c r="V678" s="19" t="str">
        <f>IF(OR($H678="",$H678="sif",$H678="PM"),"",VLOOKUP($H678,[5]CU!$C$5:$J$255,8,FALSE))</f>
        <v>5. Investissement</v>
      </c>
      <c r="W678" s="18" t="s">
        <v>663</v>
      </c>
      <c r="X678" s="18" t="s">
        <v>273</v>
      </c>
      <c r="Y678" s="19" t="s">
        <v>32</v>
      </c>
      <c r="Z678" s="19" t="str">
        <f>A678 &amp; "-" &amp; VLOOKUP(A678,[4]PROGRAMMES!$E$1:$F$7,2,FALSE)</f>
        <v>2-Qualité des enseignements et des apprentissages</v>
      </c>
      <c r="AA678" s="19" t="str">
        <f>B678 &amp; "-" &amp; VLOOKUP(B678,[4]SOUSPROGRAMMES!$E$1:$F$44,2,FALSE)</f>
        <v>24- Encadrement des enseignants : appui et contrôle</v>
      </c>
      <c r="AB678" s="19" t="str">
        <f>C678 &amp; "-" &amp; VLOOKUP(C678,[4]RESULTATS!$E$1:$F$176,2,FALSE)</f>
        <v xml:space="preserve">243- Les acteurs de l’encadrement disposent des ressources matérielles nécessaires pour mener à bien leurs fonctions  </v>
      </c>
      <c r="AC678" s="20" t="str">
        <f>D678 &amp; "-" &amp; VLOOKUP(D678,[4]STRATEGIES!$E$1:$F$504,2,FALSE)</f>
        <v>2431-Identification et mise à disposition des ressources matérielles nécessaires pour chaque corps d’encadreurs</v>
      </c>
      <c r="AD678" s="21" t="str">
        <f t="shared" si="142"/>
        <v>24313-Mise à disposition des ressources matérielles ( en partie dans gouvernance)</v>
      </c>
    </row>
    <row r="679" spans="1:30" s="22" customFormat="1" ht="60" customHeight="1" x14ac:dyDescent="0.8">
      <c r="A679" s="14">
        <v>2</v>
      </c>
      <c r="B679" s="15">
        <v>24</v>
      </c>
      <c r="C679" s="15">
        <v>243</v>
      </c>
      <c r="D679" s="15">
        <v>2431</v>
      </c>
      <c r="E679" s="14">
        <v>24313</v>
      </c>
      <c r="F679" s="16" t="s">
        <v>842</v>
      </c>
      <c r="G679" s="21" t="s">
        <v>843</v>
      </c>
      <c r="H679" s="17" t="s">
        <v>844</v>
      </c>
      <c r="I679" s="56">
        <v>0</v>
      </c>
      <c r="J679" s="56"/>
      <c r="K679" s="56"/>
      <c r="L679" s="56">
        <f>1*50%</f>
        <v>0.5</v>
      </c>
      <c r="M679" s="56">
        <f t="shared" si="143"/>
        <v>0.5</v>
      </c>
      <c r="N679" s="56">
        <f>IF(OR(H679="",H679="sif",H679="PM"),0,VLOOKUP(H679,[5]CU!$C$4:$H$255,6,FALSE))</f>
        <v>950</v>
      </c>
      <c r="O679" s="56">
        <f t="shared" si="144"/>
        <v>0</v>
      </c>
      <c r="P679" s="56">
        <f t="shared" si="144"/>
        <v>0</v>
      </c>
      <c r="Q679" s="56">
        <f t="shared" si="144"/>
        <v>0</v>
      </c>
      <c r="R679" s="56">
        <f t="shared" si="144"/>
        <v>475</v>
      </c>
      <c r="S679" s="53">
        <f t="shared" ref="S679:S699" si="146">SUM(O679:R679)</f>
        <v>475</v>
      </c>
      <c r="T679" s="23" t="s">
        <v>118</v>
      </c>
      <c r="U679" s="18" t="s">
        <v>647</v>
      </c>
      <c r="V679" s="19" t="str">
        <f>IF(OR($H679="",$H679="sif",$H679="PM"),"",VLOOKUP($H679,[5]CU!$C$5:$J$255,8,FALSE))</f>
        <v>5. Investissement</v>
      </c>
      <c r="W679" s="18" t="s">
        <v>663</v>
      </c>
      <c r="X679" s="18" t="s">
        <v>273</v>
      </c>
      <c r="Y679" s="19" t="s">
        <v>32</v>
      </c>
      <c r="Z679" s="19" t="str">
        <f>A679 &amp; "-" &amp; VLOOKUP(A679,[4]PROGRAMMES!$E$1:$F$7,2,FALSE)</f>
        <v>2-Qualité des enseignements et des apprentissages</v>
      </c>
      <c r="AA679" s="19" t="str">
        <f>B679 &amp; "-" &amp; VLOOKUP(B679,[4]SOUSPROGRAMMES!$E$1:$F$44,2,FALSE)</f>
        <v>24- Encadrement des enseignants : appui et contrôle</v>
      </c>
      <c r="AB679" s="19" t="str">
        <f>C679 &amp; "-" &amp; VLOOKUP(C679,[4]RESULTATS!$E$1:$F$176,2,FALSE)</f>
        <v xml:space="preserve">243- Les acteurs de l’encadrement disposent des ressources matérielles nécessaires pour mener à bien leurs fonctions  </v>
      </c>
      <c r="AC679" s="20" t="str">
        <f>D679 &amp; "-" &amp; VLOOKUP(D679,[4]STRATEGIES!$E$1:$F$504,2,FALSE)</f>
        <v>2431-Identification et mise à disposition des ressources matérielles nécessaires pour chaque corps d’encadreurs</v>
      </c>
      <c r="AD679" s="21" t="str">
        <f t="shared" si="142"/>
        <v>24313-Mise à disposition des ressources matérielles ( en partie dans gouvernance)</v>
      </c>
    </row>
    <row r="680" spans="1:30" s="22" customFormat="1" ht="60" customHeight="1" x14ac:dyDescent="0.8">
      <c r="A680" s="14">
        <v>2</v>
      </c>
      <c r="B680" s="15">
        <v>24</v>
      </c>
      <c r="C680" s="15">
        <v>243</v>
      </c>
      <c r="D680" s="15">
        <v>2432</v>
      </c>
      <c r="E680" s="14">
        <v>2432</v>
      </c>
      <c r="F680" s="16" t="s">
        <v>845</v>
      </c>
      <c r="G680" s="17"/>
      <c r="H680" s="17"/>
      <c r="I680" s="56">
        <v>0</v>
      </c>
      <c r="J680" s="56"/>
      <c r="K680" s="56"/>
      <c r="L680" s="56"/>
      <c r="M680" s="56"/>
      <c r="N680" s="56"/>
      <c r="O680" s="56"/>
      <c r="P680" s="56"/>
      <c r="Q680" s="56"/>
      <c r="R680" s="56"/>
      <c r="S680" s="53"/>
      <c r="T680" s="18"/>
      <c r="U680" s="18"/>
      <c r="V680" s="19"/>
      <c r="W680" s="18"/>
      <c r="X680" s="18"/>
      <c r="Y680" s="19" t="s">
        <v>32</v>
      </c>
      <c r="Z680" s="19" t="str">
        <f>A680 &amp; "-" &amp; VLOOKUP(A680,[4]PROGRAMMES!$E$1:$F$7,2,FALSE)</f>
        <v>2-Qualité des enseignements et des apprentissages</v>
      </c>
      <c r="AA680" s="19" t="str">
        <f>B680 &amp; "-" &amp; VLOOKUP(B680,[4]SOUSPROGRAMMES!$E$1:$F$44,2,FALSE)</f>
        <v>24- Encadrement des enseignants : appui et contrôle</v>
      </c>
      <c r="AB680" s="19" t="str">
        <f>C680 &amp; "-" &amp; VLOOKUP(C680,[4]RESULTATS!$E$1:$F$176,2,FALSE)</f>
        <v xml:space="preserve">243- Les acteurs de l’encadrement disposent des ressources matérielles nécessaires pour mener à bien leurs fonctions  </v>
      </c>
      <c r="AC680" s="20" t="str">
        <f>D680 &amp; "-" &amp; VLOOKUP(D680,[4]STRATEGIES!$E$1:$F$504,2,FALSE)</f>
        <v>2432-Renforcement de la gestion des écoles</v>
      </c>
      <c r="AD680" s="21" t="str">
        <f t="shared" si="142"/>
        <v>2432-Renforcement de la gestion des écoles</v>
      </c>
    </row>
    <row r="681" spans="1:30" s="22" customFormat="1" ht="60" hidden="1" customHeight="1" x14ac:dyDescent="0.8">
      <c r="A681" s="14">
        <v>2</v>
      </c>
      <c r="B681" s="15">
        <v>24</v>
      </c>
      <c r="C681" s="15">
        <v>243</v>
      </c>
      <c r="D681" s="15">
        <v>2432</v>
      </c>
      <c r="E681" s="14">
        <v>24321</v>
      </c>
      <c r="F681" s="16" t="s">
        <v>846</v>
      </c>
      <c r="G681" s="21" t="s">
        <v>100</v>
      </c>
      <c r="H681" s="17" t="s">
        <v>646</v>
      </c>
      <c r="I681" s="56">
        <v>0</v>
      </c>
      <c r="J681" s="56"/>
      <c r="K681" s="56"/>
      <c r="L681" s="56"/>
      <c r="M681" s="56">
        <f t="shared" si="143"/>
        <v>0</v>
      </c>
      <c r="N681" s="56">
        <f>IF(OR(H681="",H681="sif",H681="PM"),0,VLOOKUP(H681,[5]CU!$C$4:$H$255,6,FALSE))</f>
        <v>10.404797</v>
      </c>
      <c r="O681" s="56">
        <f t="shared" si="144"/>
        <v>0</v>
      </c>
      <c r="P681" s="56">
        <f t="shared" si="144"/>
        <v>0</v>
      </c>
      <c r="Q681" s="56">
        <f t="shared" si="144"/>
        <v>0</v>
      </c>
      <c r="R681" s="56">
        <f t="shared" si="144"/>
        <v>0</v>
      </c>
      <c r="S681" s="53">
        <f t="shared" si="146"/>
        <v>0</v>
      </c>
      <c r="T681" s="23" t="s">
        <v>178</v>
      </c>
      <c r="U681" s="18" t="s">
        <v>647</v>
      </c>
      <c r="V681" s="19" t="str">
        <f>IF(OR($H681="",$H681="sif",$H681="PM"),"",VLOOKUP($H681,[5]CU!$C$5:$J$255,8,FALSE))</f>
        <v>3. Dépenses de fonctionnement</v>
      </c>
      <c r="W681" s="18" t="s">
        <v>273</v>
      </c>
      <c r="X681" s="18" t="s">
        <v>273</v>
      </c>
      <c r="Y681" s="19" t="s">
        <v>32</v>
      </c>
      <c r="Z681" s="19" t="str">
        <f>A681 &amp; "-" &amp; VLOOKUP(A681,[4]PROGRAMMES!$E$1:$F$7,2,FALSE)</f>
        <v>2-Qualité des enseignements et des apprentissages</v>
      </c>
      <c r="AA681" s="19" t="str">
        <f>B681 &amp; "-" &amp; VLOOKUP(B681,[4]SOUSPROGRAMMES!$E$1:$F$44,2,FALSE)</f>
        <v>24- Encadrement des enseignants : appui et contrôle</v>
      </c>
      <c r="AB681" s="19" t="str">
        <f>C681 &amp; "-" &amp; VLOOKUP(C681,[4]RESULTATS!$E$1:$F$176,2,FALSE)</f>
        <v xml:space="preserve">243- Les acteurs de l’encadrement disposent des ressources matérielles nécessaires pour mener à bien leurs fonctions  </v>
      </c>
      <c r="AC681" s="20" t="str">
        <f>D681 &amp; "-" &amp; VLOOKUP(D681,[4]STRATEGIES!$E$1:$F$504,2,FALSE)</f>
        <v>2432-Renforcement de la gestion des écoles</v>
      </c>
      <c r="AD681" s="21" t="str">
        <f t="shared" si="142"/>
        <v>24321-Appui technique à la genéralisation de l'approche gestion à la base</v>
      </c>
    </row>
    <row r="682" spans="1:30" s="22" customFormat="1" ht="60" hidden="1" customHeight="1" x14ac:dyDescent="0.8">
      <c r="A682" s="14">
        <v>2</v>
      </c>
      <c r="B682" s="15">
        <v>24</v>
      </c>
      <c r="C682" s="15">
        <v>243</v>
      </c>
      <c r="D682" s="15">
        <v>2432</v>
      </c>
      <c r="E682" s="14">
        <v>24322</v>
      </c>
      <c r="F682" s="16" t="s">
        <v>847</v>
      </c>
      <c r="G682" s="21" t="s">
        <v>436</v>
      </c>
      <c r="H682" s="17" t="s">
        <v>352</v>
      </c>
      <c r="I682" s="56">
        <v>0</v>
      </c>
      <c r="J682" s="56"/>
      <c r="K682" s="56"/>
      <c r="L682" s="56"/>
      <c r="M682" s="56">
        <f t="shared" si="143"/>
        <v>0</v>
      </c>
      <c r="N682" s="56">
        <f>IF(OR(H682="",H682="sif",H682="PM"),0,VLOOKUP(H682,[5]CU!$C$4:$H$255,6,FALSE))</f>
        <v>0.54600000000000004</v>
      </c>
      <c r="O682" s="56">
        <f t="shared" si="144"/>
        <v>0</v>
      </c>
      <c r="P682" s="56">
        <f t="shared" si="144"/>
        <v>0</v>
      </c>
      <c r="Q682" s="56">
        <f t="shared" si="144"/>
        <v>0</v>
      </c>
      <c r="R682" s="56">
        <f t="shared" si="144"/>
        <v>0</v>
      </c>
      <c r="S682" s="53">
        <f t="shared" si="146"/>
        <v>0</v>
      </c>
      <c r="T682" s="23" t="s">
        <v>178</v>
      </c>
      <c r="U682" s="18" t="s">
        <v>647</v>
      </c>
      <c r="V682" s="19" t="str">
        <f>IF(OR($H682="",$H682="sif",$H682="PM"),"",VLOOKUP($H682,[5]CU!$C$5:$J$255,8,FALSE))</f>
        <v>3. Formation</v>
      </c>
      <c r="W682" s="18" t="s">
        <v>273</v>
      </c>
      <c r="X682" s="18" t="s">
        <v>77</v>
      </c>
      <c r="Y682" s="19" t="s">
        <v>32</v>
      </c>
      <c r="Z682" s="19" t="str">
        <f>A682 &amp; "-" &amp; VLOOKUP(A682,[4]PROGRAMMES!$E$1:$F$7,2,FALSE)</f>
        <v>2-Qualité des enseignements et des apprentissages</v>
      </c>
      <c r="AA682" s="19" t="str">
        <f>B682 &amp; "-" &amp; VLOOKUP(B682,[4]SOUSPROGRAMMES!$E$1:$F$44,2,FALSE)</f>
        <v>24- Encadrement des enseignants : appui et contrôle</v>
      </c>
      <c r="AB682" s="19" t="str">
        <f>C682 &amp; "-" &amp; VLOOKUP(C682,[4]RESULTATS!$E$1:$F$176,2,FALSE)</f>
        <v xml:space="preserve">243- Les acteurs de l’encadrement disposent des ressources matérielles nécessaires pour mener à bien leurs fonctions  </v>
      </c>
      <c r="AC682" s="20" t="str">
        <f>D682 &amp; "-" &amp; VLOOKUP(D682,[4]STRATEGIES!$E$1:$F$504,2,FALSE)</f>
        <v>2432-Renforcement de la gestion des écoles</v>
      </c>
      <c r="AD682" s="21" t="str">
        <f t="shared" si="142"/>
        <v>24322-Renforcement des capacités des acteurs et des partenaires sur le terrain à la genéralisation de l'approche gestion à la base</v>
      </c>
    </row>
    <row r="683" spans="1:30" s="22" customFormat="1" ht="60" hidden="1" customHeight="1" x14ac:dyDescent="0.8">
      <c r="A683" s="14">
        <v>2</v>
      </c>
      <c r="B683" s="15">
        <v>24</v>
      </c>
      <c r="C683" s="15">
        <v>243</v>
      </c>
      <c r="D683" s="15">
        <v>2432</v>
      </c>
      <c r="E683" s="14">
        <v>24323</v>
      </c>
      <c r="F683" s="16" t="s">
        <v>848</v>
      </c>
      <c r="G683" s="21" t="s">
        <v>763</v>
      </c>
      <c r="H683" s="17" t="s">
        <v>59</v>
      </c>
      <c r="I683" s="56">
        <v>0</v>
      </c>
      <c r="J683" s="56"/>
      <c r="K683" s="56"/>
      <c r="L683" s="56"/>
      <c r="M683" s="56">
        <f>SUM(I683:L683)</f>
        <v>0</v>
      </c>
      <c r="N683" s="56">
        <f>IF(OR(H683="",H683="sif",H683="PM"),0,VLOOKUP(H683,[5]CU!$C$4:$H$255,6,FALSE))</f>
        <v>0.8177777777777776</v>
      </c>
      <c r="O683" s="56">
        <f>IFERROR($N683*I683,0)</f>
        <v>0</v>
      </c>
      <c r="P683" s="56">
        <f>IFERROR($N683*J683,0)</f>
        <v>0</v>
      </c>
      <c r="Q683" s="56">
        <f>IFERROR($N683*K683,0)</f>
        <v>0</v>
      </c>
      <c r="R683" s="56">
        <f>IFERROR($N683*L683,0)</f>
        <v>0</v>
      </c>
      <c r="S683" s="53">
        <f>SUM(O683:R683)</f>
        <v>0</v>
      </c>
      <c r="T683" s="23" t="s">
        <v>178</v>
      </c>
      <c r="U683" s="18" t="s">
        <v>647</v>
      </c>
      <c r="V683" s="19" t="str">
        <f>IF(OR($H683="",$H683="sif",$H683="PM"),"",VLOOKUP($H683,[5]CU!$C$5:$J$255,8,FALSE))</f>
        <v>3. Dépenses de fonctionnement</v>
      </c>
      <c r="W683" s="18" t="s">
        <v>273</v>
      </c>
      <c r="X683" s="18" t="s">
        <v>77</v>
      </c>
      <c r="Y683" s="19" t="s">
        <v>32</v>
      </c>
      <c r="Z683" s="19" t="str">
        <f>A683 &amp; "-" &amp; VLOOKUP(A683,[4]PROGRAMMES!$E$1:$F$7,2,FALSE)</f>
        <v>2-Qualité des enseignements et des apprentissages</v>
      </c>
      <c r="AA683" s="19" t="str">
        <f>B683 &amp; "-" &amp; VLOOKUP(B683,[4]SOUSPROGRAMMES!$E$1:$F$44,2,FALSE)</f>
        <v>24- Encadrement des enseignants : appui et contrôle</v>
      </c>
      <c r="AB683" s="19" t="str">
        <f>C683 &amp; "-" &amp; VLOOKUP(C683,[4]RESULTATS!$E$1:$F$176,2,FALSE)</f>
        <v xml:space="preserve">243- Les acteurs de l’encadrement disposent des ressources matérielles nécessaires pour mener à bien leurs fonctions  </v>
      </c>
      <c r="AC683" s="20" t="str">
        <f>D683 &amp; "-" &amp; VLOOKUP(D683,[4]STRATEGIES!$E$1:$F$504,2,FALSE)</f>
        <v>2432-Renforcement de la gestion des écoles</v>
      </c>
      <c r="AD683" s="21" t="str">
        <f t="shared" si="142"/>
        <v xml:space="preserve">24323-Suivi de l'opérationnalisation du dispositif de l'approche gestion à la base </v>
      </c>
    </row>
    <row r="684" spans="1:30" ht="60" hidden="1" customHeight="1" x14ac:dyDescent="0.8">
      <c r="A684" s="25">
        <v>2</v>
      </c>
      <c r="B684" s="16">
        <v>24</v>
      </c>
      <c r="C684" s="16">
        <v>243</v>
      </c>
      <c r="D684" s="16">
        <v>2432</v>
      </c>
      <c r="E684" s="25">
        <v>24323</v>
      </c>
      <c r="F684" s="16" t="s">
        <v>848</v>
      </c>
      <c r="G684" s="21" t="s">
        <v>763</v>
      </c>
      <c r="H684" s="21" t="s">
        <v>59</v>
      </c>
      <c r="I684" s="56">
        <v>0</v>
      </c>
      <c r="J684" s="57">
        <v>40</v>
      </c>
      <c r="K684" s="57">
        <v>100</v>
      </c>
      <c r="L684" s="57">
        <v>200</v>
      </c>
      <c r="M684" s="57">
        <f t="shared" si="143"/>
        <v>340</v>
      </c>
      <c r="N684" s="57">
        <f>IF(OR(H684="",H684="sif",H684="PM"),0,VLOOKUP(H684,[5]CU!$C$4:$H$255,6,FALSE))</f>
        <v>0.8177777777777776</v>
      </c>
      <c r="O684" s="57">
        <f t="shared" si="144"/>
        <v>0</v>
      </c>
      <c r="P684" s="57">
        <f t="shared" si="144"/>
        <v>32.711111111111101</v>
      </c>
      <c r="Q684" s="57">
        <f t="shared" si="144"/>
        <v>81.777777777777757</v>
      </c>
      <c r="R684" s="57">
        <f t="shared" si="144"/>
        <v>163.55555555555551</v>
      </c>
      <c r="S684" s="60">
        <f t="shared" si="146"/>
        <v>278.04444444444437</v>
      </c>
      <c r="T684" s="26" t="s">
        <v>169</v>
      </c>
      <c r="U684" s="19" t="s">
        <v>647</v>
      </c>
      <c r="V684" s="19" t="str">
        <f>IF(OR($H684="",$H684="sif",$H684="PM"),"",VLOOKUP($H684,[5]CU!$C$5:$J$255,8,FALSE))</f>
        <v>3. Dépenses de fonctionnement</v>
      </c>
      <c r="W684" s="19" t="s">
        <v>273</v>
      </c>
      <c r="X684" s="19" t="s">
        <v>77</v>
      </c>
      <c r="Y684" s="19" t="s">
        <v>32</v>
      </c>
      <c r="Z684" s="19" t="str">
        <f>A684 &amp; "-" &amp; VLOOKUP(A684,[4]PROGRAMMES!$E$1:$F$7,2,FALSE)</f>
        <v>2-Qualité des enseignements et des apprentissages</v>
      </c>
      <c r="AA684" s="19" t="str">
        <f>B684 &amp; "-" &amp; VLOOKUP(B684,[4]SOUSPROGRAMMES!$E$1:$F$44,2,FALSE)</f>
        <v>24- Encadrement des enseignants : appui et contrôle</v>
      </c>
      <c r="AB684" s="19" t="str">
        <f>C684 &amp; "-" &amp; VLOOKUP(C684,[4]RESULTATS!$E$1:$F$176,2,FALSE)</f>
        <v xml:space="preserve">243- Les acteurs de l’encadrement disposent des ressources matérielles nécessaires pour mener à bien leurs fonctions  </v>
      </c>
      <c r="AC684" s="20" t="str">
        <f>D684 &amp; "-" &amp; VLOOKUP(D684,[4]STRATEGIES!$E$1:$F$504,2,FALSE)</f>
        <v>2432-Renforcement de la gestion des écoles</v>
      </c>
      <c r="AD684" s="21" t="str">
        <f t="shared" si="142"/>
        <v xml:space="preserve">24323-Suivi de l'opérationnalisation du dispositif de l'approche gestion à la base </v>
      </c>
    </row>
    <row r="685" spans="1:30" s="22" customFormat="1" ht="45.75" hidden="1" x14ac:dyDescent="0.8">
      <c r="A685" s="14">
        <v>2</v>
      </c>
      <c r="B685" s="15">
        <v>24</v>
      </c>
      <c r="C685" s="15">
        <v>243</v>
      </c>
      <c r="D685" s="15">
        <v>2432</v>
      </c>
      <c r="E685" s="14">
        <v>24324</v>
      </c>
      <c r="F685" s="16" t="s">
        <v>849</v>
      </c>
      <c r="G685" s="21" t="s">
        <v>436</v>
      </c>
      <c r="H685" s="17" t="s">
        <v>352</v>
      </c>
      <c r="I685" s="56">
        <v>0</v>
      </c>
      <c r="J685" s="56"/>
      <c r="K685" s="56"/>
      <c r="L685" s="56"/>
      <c r="M685" s="56">
        <f>SUM(I685:L685)</f>
        <v>0</v>
      </c>
      <c r="N685" s="56">
        <f>IF(OR(H685="",H685="sif",H685="PM"),0,VLOOKUP(H685,[5]CU!$C$4:$H$255,6,FALSE))</f>
        <v>0.54600000000000004</v>
      </c>
      <c r="O685" s="56">
        <f>IFERROR($N685*I685,0)</f>
        <v>0</v>
      </c>
      <c r="P685" s="56">
        <f>IFERROR($N685*J685,0)</f>
        <v>0</v>
      </c>
      <c r="Q685" s="56">
        <f>IFERROR($N685*K685,0)</f>
        <v>0</v>
      </c>
      <c r="R685" s="56">
        <f>IFERROR($N685*L685,0)</f>
        <v>0</v>
      </c>
      <c r="S685" s="53">
        <f>SUM(O685:R685)</f>
        <v>0</v>
      </c>
      <c r="T685" s="23" t="s">
        <v>178</v>
      </c>
      <c r="U685" s="18" t="s">
        <v>647</v>
      </c>
      <c r="V685" s="19" t="str">
        <f>IF(OR($H685="",$H685="sif",$H685="PM"),"",VLOOKUP($H685,[5]CU!$C$5:$J$255,8,FALSE))</f>
        <v>3. Formation</v>
      </c>
      <c r="W685" s="18" t="s">
        <v>192</v>
      </c>
      <c r="X685" s="18" t="s">
        <v>192</v>
      </c>
      <c r="Y685" s="19" t="s">
        <v>32</v>
      </c>
      <c r="Z685" s="19" t="str">
        <f>A685 &amp; "-" &amp; VLOOKUP(A685,[4]PROGRAMMES!$E$1:$F$7,2,FALSE)</f>
        <v>2-Qualité des enseignements et des apprentissages</v>
      </c>
      <c r="AA685" s="19" t="str">
        <f>B685 &amp; "-" &amp; VLOOKUP(B685,[4]SOUSPROGRAMMES!$E$1:$F$44,2,FALSE)</f>
        <v>24- Encadrement des enseignants : appui et contrôle</v>
      </c>
      <c r="AB685" s="19" t="str">
        <f>C685 &amp; "-" &amp; VLOOKUP(C685,[4]RESULTATS!$E$1:$F$176,2,FALSE)</f>
        <v xml:space="preserve">243- Les acteurs de l’encadrement disposent des ressources matérielles nécessaires pour mener à bien leurs fonctions  </v>
      </c>
      <c r="AC685" s="20" t="str">
        <f>D685 &amp; "-" &amp; VLOOKUP(D685,[4]STRATEGIES!$E$1:$F$504,2,FALSE)</f>
        <v>2432-Renforcement de la gestion des écoles</v>
      </c>
      <c r="AD685" s="21" t="str">
        <f t="shared" si="142"/>
        <v xml:space="preserve">24324-Renforcement des capacités des structures déconcentrées sur les procédures de mise en œuvre des PAE </v>
      </c>
    </row>
    <row r="686" spans="1:30" ht="60" hidden="1" customHeight="1" x14ac:dyDescent="0.8">
      <c r="A686" s="25">
        <v>2</v>
      </c>
      <c r="B686" s="16">
        <v>24</v>
      </c>
      <c r="C686" s="16">
        <v>243</v>
      </c>
      <c r="D686" s="16">
        <v>2432</v>
      </c>
      <c r="E686" s="25">
        <v>24324</v>
      </c>
      <c r="F686" s="16" t="s">
        <v>849</v>
      </c>
      <c r="G686" s="21" t="s">
        <v>436</v>
      </c>
      <c r="H686" s="21" t="s">
        <v>352</v>
      </c>
      <c r="I686" s="56">
        <v>0</v>
      </c>
      <c r="J686" s="57"/>
      <c r="K686" s="57"/>
      <c r="L686" s="57">
        <v>500</v>
      </c>
      <c r="M686" s="57">
        <f t="shared" si="143"/>
        <v>500</v>
      </c>
      <c r="N686" s="57">
        <f>IF(OR(H686="",H686="sif",H686="PM"),0,VLOOKUP(H686,[5]CU!$C$4:$H$255,6,FALSE))</f>
        <v>0.54600000000000004</v>
      </c>
      <c r="O686" s="57">
        <f t="shared" si="144"/>
        <v>0</v>
      </c>
      <c r="P686" s="57">
        <f t="shared" si="144"/>
        <v>0</v>
      </c>
      <c r="Q686" s="57">
        <f t="shared" si="144"/>
        <v>0</v>
      </c>
      <c r="R686" s="57">
        <f t="shared" si="144"/>
        <v>273</v>
      </c>
      <c r="S686" s="60">
        <f t="shared" si="146"/>
        <v>273</v>
      </c>
      <c r="T686" s="26" t="s">
        <v>169</v>
      </c>
      <c r="U686" s="19" t="s">
        <v>647</v>
      </c>
      <c r="V686" s="19" t="str">
        <f>IF(OR($H686="",$H686="sif",$H686="PM"),"",VLOOKUP($H686,[5]CU!$C$5:$J$255,8,FALSE))</f>
        <v>3. Formation</v>
      </c>
      <c r="W686" s="19" t="s">
        <v>192</v>
      </c>
      <c r="X686" s="19" t="s">
        <v>192</v>
      </c>
      <c r="Y686" s="19" t="s">
        <v>32</v>
      </c>
      <c r="Z686" s="19" t="str">
        <f>A686 &amp; "-" &amp; VLOOKUP(A686,[4]PROGRAMMES!$E$1:$F$7,2,FALSE)</f>
        <v>2-Qualité des enseignements et des apprentissages</v>
      </c>
      <c r="AA686" s="19" t="str">
        <f>B686 &amp; "-" &amp; VLOOKUP(B686,[4]SOUSPROGRAMMES!$E$1:$F$44,2,FALSE)</f>
        <v>24- Encadrement des enseignants : appui et contrôle</v>
      </c>
      <c r="AB686" s="19" t="str">
        <f>C686 &amp; "-" &amp; VLOOKUP(C686,[4]RESULTATS!$E$1:$F$176,2,FALSE)</f>
        <v xml:space="preserve">243- Les acteurs de l’encadrement disposent des ressources matérielles nécessaires pour mener à bien leurs fonctions  </v>
      </c>
      <c r="AC686" s="20" t="str">
        <f>D686 &amp; "-" &amp; VLOOKUP(D686,[4]STRATEGIES!$E$1:$F$504,2,FALSE)</f>
        <v>2432-Renforcement de la gestion des écoles</v>
      </c>
      <c r="AD686" s="21" t="str">
        <f t="shared" si="142"/>
        <v xml:space="preserve">24324-Renforcement des capacités des structures déconcentrées sur les procédures de mise en œuvre des PAE </v>
      </c>
    </row>
    <row r="687" spans="1:30" s="22" customFormat="1" ht="60" customHeight="1" x14ac:dyDescent="0.8">
      <c r="A687" s="14">
        <v>2</v>
      </c>
      <c r="B687" s="15">
        <v>24</v>
      </c>
      <c r="C687" s="15">
        <v>243</v>
      </c>
      <c r="D687" s="15">
        <v>2432</v>
      </c>
      <c r="E687" s="14">
        <v>24325</v>
      </c>
      <c r="F687" s="16" t="s">
        <v>850</v>
      </c>
      <c r="G687" s="21" t="s">
        <v>496</v>
      </c>
      <c r="H687" s="17" t="s">
        <v>851</v>
      </c>
      <c r="I687" s="56">
        <v>912</v>
      </c>
      <c r="J687" s="53">
        <f>1*25%</f>
        <v>0.25</v>
      </c>
      <c r="K687" s="53">
        <f>1*25%</f>
        <v>0.25</v>
      </c>
      <c r="L687" s="53">
        <f>1*25%</f>
        <v>0.25</v>
      </c>
      <c r="M687" s="53">
        <f>SUM(I687:L687)</f>
        <v>912.75</v>
      </c>
      <c r="N687" s="53">
        <f>IF(OR(H687="",H687="sif",H687="PM"),0,VLOOKUP(H687,[5]CU!$C$4:$H$255,6,FALSE))</f>
        <v>950</v>
      </c>
      <c r="O687" s="53">
        <f>IFERROR($N687*I687,0)</f>
        <v>866400</v>
      </c>
      <c r="P687" s="53">
        <f>IFERROR($N687*J687,0)</f>
        <v>237.5</v>
      </c>
      <c r="Q687" s="53">
        <f>IFERROR($N687*K687,0)</f>
        <v>237.5</v>
      </c>
      <c r="R687" s="53">
        <f>IFERROR($N687*L687,0)</f>
        <v>237.5</v>
      </c>
      <c r="S687" s="53">
        <f>SUM(O687:R687)</f>
        <v>867112.5</v>
      </c>
      <c r="T687" s="23" t="s">
        <v>67</v>
      </c>
      <c r="U687" s="18" t="s">
        <v>647</v>
      </c>
      <c r="V687" s="19" t="str">
        <f>IF(OR($H687="",$H687="sif",$H687="PM"),"",VLOOKUP($H687,[5]CU!$C$5:$J$255,8,FALSE))</f>
        <v>4. Transferts et subventions</v>
      </c>
      <c r="W687" s="18" t="s">
        <v>192</v>
      </c>
      <c r="X687" s="18" t="s">
        <v>77</v>
      </c>
      <c r="Y687" s="19" t="s">
        <v>32</v>
      </c>
      <c r="Z687" s="19" t="str">
        <f>A687 &amp; "-" &amp; VLOOKUP(A687,[4]PROGRAMMES!$E$1:$F$7,2,FALSE)</f>
        <v>2-Qualité des enseignements et des apprentissages</v>
      </c>
      <c r="AA687" s="19" t="str">
        <f>B687 &amp; "-" &amp; VLOOKUP(B687,[4]SOUSPROGRAMMES!$E$1:$F$44,2,FALSE)</f>
        <v>24- Encadrement des enseignants : appui et contrôle</v>
      </c>
      <c r="AB687" s="19" t="str">
        <f>C687 &amp; "-" &amp; VLOOKUP(C687,[4]RESULTATS!$E$1:$F$176,2,FALSE)</f>
        <v xml:space="preserve">243- Les acteurs de l’encadrement disposent des ressources matérielles nécessaires pour mener à bien leurs fonctions  </v>
      </c>
      <c r="AC687" s="20" t="str">
        <f>D687 &amp; "-" &amp; VLOOKUP(D687,[4]STRATEGIES!$E$1:$F$504,2,FALSE)</f>
        <v>2432-Renforcement de la gestion des écoles</v>
      </c>
      <c r="AD687" s="21" t="str">
        <f t="shared" si="142"/>
        <v>24325-Renforcement des associations des parents d'élèves et leur implication dans la gestion des écoles</v>
      </c>
    </row>
    <row r="688" spans="1:30" s="22" customFormat="1" ht="60" customHeight="1" x14ac:dyDescent="0.8">
      <c r="A688" s="14">
        <v>2</v>
      </c>
      <c r="B688" s="15">
        <v>24</v>
      </c>
      <c r="C688" s="15">
        <v>243</v>
      </c>
      <c r="D688" s="15">
        <v>2432</v>
      </c>
      <c r="E688" s="14">
        <v>24325</v>
      </c>
      <c r="F688" s="16" t="s">
        <v>850</v>
      </c>
      <c r="G688" s="21" t="s">
        <v>496</v>
      </c>
      <c r="H688" s="17" t="s">
        <v>851</v>
      </c>
      <c r="I688" s="56">
        <v>0</v>
      </c>
      <c r="J688" s="56">
        <f>1*75%</f>
        <v>0.75</v>
      </c>
      <c r="K688" s="56">
        <f>1*75%</f>
        <v>0.75</v>
      </c>
      <c r="L688" s="56">
        <f>1*75%</f>
        <v>0.75</v>
      </c>
      <c r="M688" s="56">
        <f t="shared" si="143"/>
        <v>2.25</v>
      </c>
      <c r="N688" s="56">
        <f>IF(OR(H688="",H688="sif",H688="PM"),0,VLOOKUP(H688,[5]CU!$C$4:$H$255,6,FALSE))</f>
        <v>950</v>
      </c>
      <c r="O688" s="56">
        <f t="shared" si="144"/>
        <v>0</v>
      </c>
      <c r="P688" s="56">
        <f t="shared" si="144"/>
        <v>712.5</v>
      </c>
      <c r="Q688" s="56">
        <f t="shared" si="144"/>
        <v>712.5</v>
      </c>
      <c r="R688" s="56">
        <f t="shared" si="144"/>
        <v>712.5</v>
      </c>
      <c r="S688" s="53">
        <f t="shared" si="146"/>
        <v>2137.5</v>
      </c>
      <c r="T688" s="23" t="s">
        <v>118</v>
      </c>
      <c r="U688" s="18" t="s">
        <v>647</v>
      </c>
      <c r="V688" s="19" t="str">
        <f>IF(OR($H688="",$H688="sif",$H688="PM"),"",VLOOKUP($H688,[5]CU!$C$5:$J$255,8,FALSE))</f>
        <v>4. Transferts et subventions</v>
      </c>
      <c r="W688" s="18" t="s">
        <v>192</v>
      </c>
      <c r="X688" s="18" t="s">
        <v>77</v>
      </c>
      <c r="Y688" s="19" t="s">
        <v>32</v>
      </c>
      <c r="Z688" s="19" t="str">
        <f>A688 &amp; "-" &amp; VLOOKUP(A688,[4]PROGRAMMES!$E$1:$F$7,2,FALSE)</f>
        <v>2-Qualité des enseignements et des apprentissages</v>
      </c>
      <c r="AA688" s="19" t="str">
        <f>B688 &amp; "-" &amp; VLOOKUP(B688,[4]SOUSPROGRAMMES!$E$1:$F$44,2,FALSE)</f>
        <v>24- Encadrement des enseignants : appui et contrôle</v>
      </c>
      <c r="AB688" s="19" t="str">
        <f>C688 &amp; "-" &amp; VLOOKUP(C688,[4]RESULTATS!$E$1:$F$176,2,FALSE)</f>
        <v xml:space="preserve">243- Les acteurs de l’encadrement disposent des ressources matérielles nécessaires pour mener à bien leurs fonctions  </v>
      </c>
      <c r="AC688" s="20" t="str">
        <f>D688 &amp; "-" &amp; VLOOKUP(D688,[4]STRATEGIES!$E$1:$F$504,2,FALSE)</f>
        <v>2432-Renforcement de la gestion des écoles</v>
      </c>
      <c r="AD688" s="21" t="str">
        <f t="shared" si="142"/>
        <v>24325-Renforcement des associations des parents d'élèves et leur implication dans la gestion des écoles</v>
      </c>
    </row>
    <row r="689" spans="1:30" s="22" customFormat="1" ht="60" hidden="1" customHeight="1" x14ac:dyDescent="0.8">
      <c r="A689" s="14">
        <v>2</v>
      </c>
      <c r="B689" s="15">
        <v>24</v>
      </c>
      <c r="C689" s="15">
        <v>243</v>
      </c>
      <c r="D689" s="15">
        <v>2432</v>
      </c>
      <c r="E689" s="14">
        <v>24326</v>
      </c>
      <c r="F689" s="16" t="s">
        <v>852</v>
      </c>
      <c r="G689" s="21" t="s">
        <v>853</v>
      </c>
      <c r="H689" s="17" t="s">
        <v>854</v>
      </c>
      <c r="I689" s="56">
        <v>0</v>
      </c>
      <c r="J689" s="56"/>
      <c r="K689" s="56"/>
      <c r="L689" s="56"/>
      <c r="M689" s="56">
        <f>SUM(I689:L689)</f>
        <v>0</v>
      </c>
      <c r="N689" s="56">
        <f>IF(OR(H689="",H689="sif",H689="PM"),0,VLOOKUP(H689,[5]CU!$C$4:$H$255,6,FALSE))</f>
        <v>2.2348566207357279</v>
      </c>
      <c r="O689" s="56">
        <f t="shared" si="144"/>
        <v>0</v>
      </c>
      <c r="P689" s="56">
        <f t="shared" si="144"/>
        <v>0</v>
      </c>
      <c r="Q689" s="56">
        <f t="shared" si="144"/>
        <v>0</v>
      </c>
      <c r="R689" s="56">
        <f t="shared" si="144"/>
        <v>0</v>
      </c>
      <c r="S689" s="53">
        <f>SUM(O689:R689)</f>
        <v>0</v>
      </c>
      <c r="T689" s="35" t="s">
        <v>178</v>
      </c>
      <c r="U689" s="19" t="s">
        <v>647</v>
      </c>
      <c r="V689" s="19" t="str">
        <f>IF(OR($H689="",$H689="sif",$H689="PM"),"",VLOOKUP($H689,[5]CU!$C$5:$J$255,8,FALSE))</f>
        <v>3. Dépenses de fonctionnement</v>
      </c>
      <c r="W689" s="19" t="s">
        <v>192</v>
      </c>
      <c r="X689" s="19" t="s">
        <v>77</v>
      </c>
      <c r="Y689" s="19" t="s">
        <v>32</v>
      </c>
      <c r="Z689" s="19" t="str">
        <f>A689 &amp; "-" &amp; VLOOKUP(A689,[4]PROGRAMMES!$E$1:$F$7,2,FALSE)</f>
        <v>2-Qualité des enseignements et des apprentissages</v>
      </c>
      <c r="AA689" s="19" t="str">
        <f>B689 &amp; "-" &amp; VLOOKUP(B689,[4]SOUSPROGRAMMES!$E$1:$F$44,2,FALSE)</f>
        <v>24- Encadrement des enseignants : appui et contrôle</v>
      </c>
      <c r="AB689" s="19" t="str">
        <f>C689 &amp; "-" &amp; VLOOKUP(C689,[4]RESULTATS!$E$1:$F$176,2,FALSE)</f>
        <v xml:space="preserve">243- Les acteurs de l’encadrement disposent des ressources matérielles nécessaires pour mener à bien leurs fonctions  </v>
      </c>
      <c r="AC689" s="20" t="str">
        <f>D689 &amp; "-" &amp; VLOOKUP(D689,[4]STRATEGIES!$E$1:$F$504,2,FALSE)</f>
        <v>2432-Renforcement de la gestion des écoles</v>
      </c>
      <c r="AD689" s="21" t="str">
        <f t="shared" si="142"/>
        <v>24326-Renforcement du développement et de la mise en œuvre des projets de développement des écoles primaires</v>
      </c>
    </row>
    <row r="690" spans="1:30" s="22" customFormat="1" ht="60" hidden="1" customHeight="1" x14ac:dyDescent="0.8">
      <c r="A690" s="14">
        <v>2</v>
      </c>
      <c r="B690" s="15">
        <v>24</v>
      </c>
      <c r="C690" s="15">
        <v>243</v>
      </c>
      <c r="D690" s="15">
        <v>2432</v>
      </c>
      <c r="E690" s="14">
        <v>24327</v>
      </c>
      <c r="F690" s="16" t="s">
        <v>855</v>
      </c>
      <c r="G690" s="21" t="s">
        <v>763</v>
      </c>
      <c r="H690" s="17" t="s">
        <v>59</v>
      </c>
      <c r="I690" s="56">
        <v>0</v>
      </c>
      <c r="J690" s="56"/>
      <c r="K690" s="56"/>
      <c r="L690" s="56"/>
      <c r="M690" s="56">
        <f>SUM(I690:L690)</f>
        <v>0</v>
      </c>
      <c r="N690" s="56">
        <f>IF(OR(H690="",H690="sif",H690="PM"),0,VLOOKUP(H690,[5]CU!$C$4:$H$255,6,FALSE))</f>
        <v>0.8177777777777776</v>
      </c>
      <c r="O690" s="56">
        <f t="shared" si="144"/>
        <v>0</v>
      </c>
      <c r="P690" s="56">
        <f t="shared" si="144"/>
        <v>0</v>
      </c>
      <c r="Q690" s="56">
        <f t="shared" si="144"/>
        <v>0</v>
      </c>
      <c r="R690" s="56">
        <f t="shared" si="144"/>
        <v>0</v>
      </c>
      <c r="S690" s="53">
        <f>SUM(O690:R690)</f>
        <v>0</v>
      </c>
      <c r="T690" s="35" t="s">
        <v>178</v>
      </c>
      <c r="U690" s="18" t="s">
        <v>647</v>
      </c>
      <c r="V690" s="19" t="str">
        <f>IF(OR($H690="",$H690="sif",$H690="PM"),"",VLOOKUP($H690,[5]CU!$C$5:$J$255,8,FALSE))</f>
        <v>3. Dépenses de fonctionnement</v>
      </c>
      <c r="W690" s="18" t="s">
        <v>192</v>
      </c>
      <c r="X690" s="18" t="s">
        <v>192</v>
      </c>
      <c r="Y690" s="19" t="s">
        <v>32</v>
      </c>
      <c r="Z690" s="19" t="str">
        <f>A690 &amp; "-" &amp; VLOOKUP(A690,[4]PROGRAMMES!$E$1:$F$7,2,FALSE)</f>
        <v>2-Qualité des enseignements et des apprentissages</v>
      </c>
      <c r="AA690" s="19" t="str">
        <f>B690 &amp; "-" &amp; VLOOKUP(B690,[4]SOUSPROGRAMMES!$E$1:$F$44,2,FALSE)</f>
        <v>24- Encadrement des enseignants : appui et contrôle</v>
      </c>
      <c r="AB690" s="19" t="str">
        <f>C690 &amp; "-" &amp; VLOOKUP(C690,[4]RESULTATS!$E$1:$F$176,2,FALSE)</f>
        <v xml:space="preserve">243- Les acteurs de l’encadrement disposent des ressources matérielles nécessaires pour mener à bien leurs fonctions  </v>
      </c>
      <c r="AC690" s="20" t="str">
        <f>D690 &amp; "-" &amp; VLOOKUP(D690,[4]STRATEGIES!$E$1:$F$504,2,FALSE)</f>
        <v>2432-Renforcement de la gestion des écoles</v>
      </c>
      <c r="AD690" s="21" t="str">
        <f t="shared" si="142"/>
        <v xml:space="preserve">24327-Suivi de la mise en eouvre des PAE </v>
      </c>
    </row>
    <row r="691" spans="1:30" s="22" customFormat="1" ht="60" customHeight="1" x14ac:dyDescent="0.8">
      <c r="A691" s="14">
        <v>2</v>
      </c>
      <c r="B691" s="15">
        <v>24</v>
      </c>
      <c r="C691" s="15">
        <v>243</v>
      </c>
      <c r="D691" s="15">
        <v>2432</v>
      </c>
      <c r="E691" s="14">
        <v>24326</v>
      </c>
      <c r="F691" s="16" t="s">
        <v>852</v>
      </c>
      <c r="G691" s="21" t="s">
        <v>853</v>
      </c>
      <c r="H691" s="17" t="s">
        <v>854</v>
      </c>
      <c r="I691" s="56">
        <v>0</v>
      </c>
      <c r="J691" s="56">
        <f>8375.4*50.01%</f>
        <v>4188.5375399999994</v>
      </c>
      <c r="K691" s="56">
        <f>8794.17*50.01%</f>
        <v>4397.9644170000001</v>
      </c>
      <c r="L691" s="56">
        <f>9233.8785*50.01%</f>
        <v>4617.8626378500003</v>
      </c>
      <c r="M691" s="56">
        <f>SUM(I691:L691)</f>
        <v>13204.364594850002</v>
      </c>
      <c r="N691" s="56">
        <f>IF(OR(H691="",H691="sif",H691="PM"),0,VLOOKUP(H691,[5]CU!$C$4:$H$255,6,FALSE))</f>
        <v>2.2348566207357279</v>
      </c>
      <c r="O691" s="56">
        <f>IFERROR($N691*I691,0)</f>
        <v>0</v>
      </c>
      <c r="P691" s="56">
        <f>IFERROR($N691*J691,0)</f>
        <v>9360.7808524691372</v>
      </c>
      <c r="Q691" s="56">
        <f>IFERROR($N691*K691,0)</f>
        <v>9828.8198950925962</v>
      </c>
      <c r="R691" s="56">
        <f>IFERROR($N691*L691,0)</f>
        <v>10320.260889847226</v>
      </c>
      <c r="S691" s="53">
        <f>SUM(O691:R691)</f>
        <v>29509.861637408962</v>
      </c>
      <c r="T691" s="35" t="s">
        <v>39</v>
      </c>
      <c r="U691" s="19" t="s">
        <v>647</v>
      </c>
      <c r="V691" s="19" t="str">
        <f>IF(OR($H691="",$H691="sif",$H691="PM"),"",VLOOKUP($H691,[5]CU!$C$5:$J$255,8,FALSE))</f>
        <v>3. Dépenses de fonctionnement</v>
      </c>
      <c r="W691" s="19" t="s">
        <v>192</v>
      </c>
      <c r="X691" s="19" t="s">
        <v>77</v>
      </c>
      <c r="Y691" s="19" t="s">
        <v>32</v>
      </c>
      <c r="Z691" s="19" t="str">
        <f>A691 &amp; "-" &amp; VLOOKUP(A691,[4]PROGRAMMES!$E$1:$F$7,2,FALSE)</f>
        <v>2-Qualité des enseignements et des apprentissages</v>
      </c>
      <c r="AA691" s="19" t="str">
        <f>B691 &amp; "-" &amp; VLOOKUP(B691,[4]SOUSPROGRAMMES!$E$1:$F$44,2,FALSE)</f>
        <v>24- Encadrement des enseignants : appui et contrôle</v>
      </c>
      <c r="AB691" s="19" t="str">
        <f>C691 &amp; "-" &amp; VLOOKUP(C691,[4]RESULTATS!$E$1:$F$176,2,FALSE)</f>
        <v xml:space="preserve">243- Les acteurs de l’encadrement disposent des ressources matérielles nécessaires pour mener à bien leurs fonctions  </v>
      </c>
      <c r="AC691" s="20" t="str">
        <f>D691 &amp; "-" &amp; VLOOKUP(D691,[4]STRATEGIES!$E$1:$F$504,2,FALSE)</f>
        <v>2432-Renforcement de la gestion des écoles</v>
      </c>
      <c r="AD691" s="21" t="str">
        <f t="shared" si="142"/>
        <v>24326-Renforcement du développement et de la mise en œuvre des projets de développement des écoles primaires</v>
      </c>
    </row>
    <row r="692" spans="1:30" s="22" customFormat="1" ht="60" customHeight="1" x14ac:dyDescent="0.8">
      <c r="A692" s="14">
        <v>2</v>
      </c>
      <c r="B692" s="15">
        <v>24</v>
      </c>
      <c r="C692" s="15">
        <v>243</v>
      </c>
      <c r="D692" s="15">
        <v>2432</v>
      </c>
      <c r="E692" s="14">
        <v>24326</v>
      </c>
      <c r="F692" s="16" t="s">
        <v>852</v>
      </c>
      <c r="G692" s="21" t="s">
        <v>853</v>
      </c>
      <c r="H692" s="17" t="s">
        <v>854</v>
      </c>
      <c r="I692" s="56">
        <v>0</v>
      </c>
      <c r="J692" s="56">
        <f>8375.4*20.45%</f>
        <v>1712.7692999999999</v>
      </c>
      <c r="K692" s="56">
        <f>8794.17*20.45%</f>
        <v>1798.4077649999999</v>
      </c>
      <c r="L692" s="56">
        <f>9233.8785*20.45%</f>
        <v>1888.32815325</v>
      </c>
      <c r="M692" s="56">
        <f>SUM(I692:L692)</f>
        <v>5399.5052182500003</v>
      </c>
      <c r="N692" s="56">
        <f>IF(OR(H692="",H692="sif",H692="PM"),0,VLOOKUP(H692,[5]CU!$C$4:$H$255,6,FALSE))</f>
        <v>2.2348566207357279</v>
      </c>
      <c r="O692" s="56">
        <f t="shared" si="144"/>
        <v>0</v>
      </c>
      <c r="P692" s="56">
        <f t="shared" si="144"/>
        <v>3827.793809897898</v>
      </c>
      <c r="Q692" s="56">
        <f t="shared" si="144"/>
        <v>4019.1835003927927</v>
      </c>
      <c r="R692" s="56">
        <f t="shared" si="144"/>
        <v>4220.1426754124332</v>
      </c>
      <c r="S692" s="53">
        <f>SUM(O692:R692)</f>
        <v>12067.119985703124</v>
      </c>
      <c r="T692" s="35" t="s">
        <v>118</v>
      </c>
      <c r="U692" s="19" t="s">
        <v>647</v>
      </c>
      <c r="V692" s="19" t="str">
        <f>IF(OR($H692="",$H692="sif",$H692="PM"),"",VLOOKUP($H692,[5]CU!$C$5:$J$255,8,FALSE))</f>
        <v>3. Dépenses de fonctionnement</v>
      </c>
      <c r="W692" s="19" t="s">
        <v>192</v>
      </c>
      <c r="X692" s="19" t="s">
        <v>77</v>
      </c>
      <c r="Y692" s="19" t="s">
        <v>32</v>
      </c>
      <c r="Z692" s="19" t="str">
        <f>A692 &amp; "-" &amp; VLOOKUP(A692,[4]PROGRAMMES!$E$1:$F$7,2,FALSE)</f>
        <v>2-Qualité des enseignements et des apprentissages</v>
      </c>
      <c r="AA692" s="19" t="str">
        <f>B692 &amp; "-" &amp; VLOOKUP(B692,[4]SOUSPROGRAMMES!$E$1:$F$44,2,FALSE)</f>
        <v>24- Encadrement des enseignants : appui et contrôle</v>
      </c>
      <c r="AB692" s="19" t="str">
        <f>C692 &amp; "-" &amp; VLOOKUP(C692,[4]RESULTATS!$E$1:$F$176,2,FALSE)</f>
        <v xml:space="preserve">243- Les acteurs de l’encadrement disposent des ressources matérielles nécessaires pour mener à bien leurs fonctions  </v>
      </c>
      <c r="AC692" s="20" t="str">
        <f>D692 &amp; "-" &amp; VLOOKUP(D692,[4]STRATEGIES!$E$1:$F$504,2,FALSE)</f>
        <v>2432-Renforcement de la gestion des écoles</v>
      </c>
      <c r="AD692" s="21" t="str">
        <f t="shared" si="142"/>
        <v>24326-Renforcement du développement et de la mise en œuvre des projets de développement des écoles primaires</v>
      </c>
    </row>
    <row r="693" spans="1:30" s="22" customFormat="1" ht="60" customHeight="1" x14ac:dyDescent="0.8">
      <c r="A693" s="14">
        <v>2</v>
      </c>
      <c r="B693" s="15">
        <v>24</v>
      </c>
      <c r="C693" s="15">
        <v>243</v>
      </c>
      <c r="D693" s="15">
        <v>2432</v>
      </c>
      <c r="E693" s="14">
        <v>24326</v>
      </c>
      <c r="F693" s="16" t="s">
        <v>852</v>
      </c>
      <c r="G693" s="21" t="s">
        <v>853</v>
      </c>
      <c r="H693" s="17" t="s">
        <v>854</v>
      </c>
      <c r="I693" s="56">
        <v>0</v>
      </c>
      <c r="J693" s="56">
        <f>8375.4*25%</f>
        <v>2093.85</v>
      </c>
      <c r="K693" s="56">
        <f>8794.17*25%</f>
        <v>2198.5425</v>
      </c>
      <c r="L693" s="56">
        <f>9233.8785*25%</f>
        <v>2308.4696250000002</v>
      </c>
      <c r="M693" s="56">
        <f>SUM(I693:L693)</f>
        <v>6600.8621249999997</v>
      </c>
      <c r="N693" s="56">
        <f>IF(OR(H693="",H693="sif",H693="PM"),0,VLOOKUP(H693,[5]CU!$C$4:$H$255,6,FALSE))</f>
        <v>2.2348566207357279</v>
      </c>
      <c r="O693" s="56">
        <f>IFERROR($N693*I693,0)</f>
        <v>0</v>
      </c>
      <c r="P693" s="56">
        <f>IFERROR($N693*J693,0)</f>
        <v>4679.4545353275034</v>
      </c>
      <c r="Q693" s="56">
        <f>IFERROR($N693*K693,0)</f>
        <v>4913.4272620938791</v>
      </c>
      <c r="R693" s="56">
        <f>IFERROR($N693*L693,0)</f>
        <v>5159.0986251985732</v>
      </c>
      <c r="S693" s="53">
        <f>SUM(O693:R693)</f>
        <v>14751.980422619956</v>
      </c>
      <c r="T693" s="35" t="s">
        <v>39</v>
      </c>
      <c r="U693" s="19" t="s">
        <v>647</v>
      </c>
      <c r="V693" s="19" t="str">
        <f>IF(OR($H693="",$H693="sif",$H693="PM"),"",VLOOKUP($H693,[5]CU!$C$5:$J$255,8,FALSE))</f>
        <v>3. Dépenses de fonctionnement</v>
      </c>
      <c r="W693" s="19" t="s">
        <v>192</v>
      </c>
      <c r="X693" s="19" t="s">
        <v>77</v>
      </c>
      <c r="Y693" s="19" t="s">
        <v>32</v>
      </c>
      <c r="Z693" s="19" t="str">
        <f>A693 &amp; "-" &amp; VLOOKUP(A693,[4]PROGRAMMES!$E$1:$F$7,2,FALSE)</f>
        <v>2-Qualité des enseignements et des apprentissages</v>
      </c>
      <c r="AA693" s="19" t="str">
        <f>B693 &amp; "-" &amp; VLOOKUP(B693,[4]SOUSPROGRAMMES!$E$1:$F$44,2,FALSE)</f>
        <v>24- Encadrement des enseignants : appui et contrôle</v>
      </c>
      <c r="AB693" s="19" t="str">
        <f>C693 &amp; "-" &amp; VLOOKUP(C693,[4]RESULTATS!$E$1:$F$176,2,FALSE)</f>
        <v xml:space="preserve">243- Les acteurs de l’encadrement disposent des ressources matérielles nécessaires pour mener à bien leurs fonctions  </v>
      </c>
      <c r="AC693" s="20" t="str">
        <f>D693 &amp; "-" &amp; VLOOKUP(D693,[4]STRATEGIES!$E$1:$F$504,2,FALSE)</f>
        <v>2432-Renforcement de la gestion des écoles</v>
      </c>
      <c r="AD693" s="21" t="str">
        <f t="shared" si="142"/>
        <v>24326-Renforcement du développement et de la mise en œuvre des projets de développement des écoles primaires</v>
      </c>
    </row>
    <row r="694" spans="1:30" s="22" customFormat="1" ht="60" hidden="1" customHeight="1" x14ac:dyDescent="0.8">
      <c r="A694" s="14">
        <v>2</v>
      </c>
      <c r="B694" s="15">
        <v>24</v>
      </c>
      <c r="C694" s="15">
        <v>243</v>
      </c>
      <c r="D694" s="15">
        <v>2432</v>
      </c>
      <c r="E694" s="14">
        <v>24326</v>
      </c>
      <c r="F694" s="16" t="s">
        <v>852</v>
      </c>
      <c r="G694" s="21" t="s">
        <v>853</v>
      </c>
      <c r="H694" s="17" t="s">
        <v>854</v>
      </c>
      <c r="I694" s="56">
        <v>0</v>
      </c>
      <c r="J694" s="56">
        <v>0</v>
      </c>
      <c r="K694" s="56">
        <v>0</v>
      </c>
      <c r="L694" s="56">
        <v>0</v>
      </c>
      <c r="M694" s="56">
        <f t="shared" si="143"/>
        <v>0</v>
      </c>
      <c r="N694" s="56">
        <f>IF(OR(H694="",H694="sif",H694="PM"),0,VLOOKUP(H694,[5]CU!$C$4:$H$255,6,FALSE))</f>
        <v>2.2348566207357279</v>
      </c>
      <c r="O694" s="56">
        <f t="shared" si="144"/>
        <v>0</v>
      </c>
      <c r="P694" s="56">
        <f t="shared" si="144"/>
        <v>0</v>
      </c>
      <c r="Q694" s="56">
        <f t="shared" si="144"/>
        <v>0</v>
      </c>
      <c r="R694" s="56">
        <f t="shared" si="144"/>
        <v>0</v>
      </c>
      <c r="S694" s="53">
        <f t="shared" si="146"/>
        <v>0</v>
      </c>
      <c r="T694" s="35" t="s">
        <v>178</v>
      </c>
      <c r="U694" s="19" t="s">
        <v>647</v>
      </c>
      <c r="V694" s="19" t="str">
        <f>IF(OR($H694="",$H694="sif",$H694="PM"),"",VLOOKUP($H694,[5]CU!$C$5:$J$255,8,FALSE))</f>
        <v>3. Dépenses de fonctionnement</v>
      </c>
      <c r="W694" s="19" t="s">
        <v>192</v>
      </c>
      <c r="X694" s="19" t="s">
        <v>77</v>
      </c>
      <c r="Y694" s="19" t="s">
        <v>32</v>
      </c>
      <c r="Z694" s="19" t="str">
        <f>A694 &amp; "-" &amp; VLOOKUP(A694,[4]PROGRAMMES!$E$1:$F$7,2,FALSE)</f>
        <v>2-Qualité des enseignements et des apprentissages</v>
      </c>
      <c r="AA694" s="19" t="str">
        <f>B694 &amp; "-" &amp; VLOOKUP(B694,[4]SOUSPROGRAMMES!$E$1:$F$44,2,FALSE)</f>
        <v>24- Encadrement des enseignants : appui et contrôle</v>
      </c>
      <c r="AB694" s="19" t="str">
        <f>C694 &amp; "-" &amp; VLOOKUP(C694,[4]RESULTATS!$E$1:$F$176,2,FALSE)</f>
        <v xml:space="preserve">243- Les acteurs de l’encadrement disposent des ressources matérielles nécessaires pour mener à bien leurs fonctions  </v>
      </c>
      <c r="AC694" s="20" t="str">
        <f>D694 &amp; "-" &amp; VLOOKUP(D694,[4]STRATEGIES!$E$1:$F$504,2,FALSE)</f>
        <v>2432-Renforcement de la gestion des écoles</v>
      </c>
      <c r="AD694" s="21" t="str">
        <f t="shared" si="142"/>
        <v>24326-Renforcement du développement et de la mise en œuvre des projets de développement des écoles primaires</v>
      </c>
    </row>
    <row r="695" spans="1:30" s="22" customFormat="1" ht="60" customHeight="1" x14ac:dyDescent="0.8">
      <c r="A695" s="14">
        <v>2</v>
      </c>
      <c r="B695" s="15">
        <v>24</v>
      </c>
      <c r="C695" s="15">
        <v>243</v>
      </c>
      <c r="D695" s="15">
        <v>2432</v>
      </c>
      <c r="E695" s="14">
        <v>24327</v>
      </c>
      <c r="F695" s="16" t="s">
        <v>855</v>
      </c>
      <c r="G695" s="21" t="s">
        <v>763</v>
      </c>
      <c r="H695" s="17" t="s">
        <v>59</v>
      </c>
      <c r="I695" s="56">
        <v>0</v>
      </c>
      <c r="J695" s="56">
        <f>200*30.01%</f>
        <v>60.02000000000001</v>
      </c>
      <c r="K695" s="56">
        <f>220*30.01%</f>
        <v>66.022000000000006</v>
      </c>
      <c r="L695" s="56">
        <f>230*30.01%</f>
        <v>69.02300000000001</v>
      </c>
      <c r="M695" s="56">
        <f t="shared" si="143"/>
        <v>195.06500000000003</v>
      </c>
      <c r="N695" s="56">
        <f>IF(OR(H695="",H695="sif",H695="PM"),0,VLOOKUP(H695,[5]CU!$C$4:$H$255,6,FALSE))</f>
        <v>0.8177777777777776</v>
      </c>
      <c r="O695" s="56">
        <f t="shared" si="144"/>
        <v>0</v>
      </c>
      <c r="P695" s="56">
        <f t="shared" si="144"/>
        <v>49.083022222222219</v>
      </c>
      <c r="Q695" s="56">
        <f t="shared" si="144"/>
        <v>53.991324444444437</v>
      </c>
      <c r="R695" s="56">
        <f t="shared" si="144"/>
        <v>56.445475555555554</v>
      </c>
      <c r="S695" s="53">
        <f t="shared" si="146"/>
        <v>159.51982222222222</v>
      </c>
      <c r="T695" s="35" t="s">
        <v>39</v>
      </c>
      <c r="U695" s="18" t="s">
        <v>647</v>
      </c>
      <c r="V695" s="19" t="str">
        <f>IF(OR($H695="",$H695="sif",$H695="PM"),"",VLOOKUP($H695,[5]CU!$C$5:$J$255,8,FALSE))</f>
        <v>3. Dépenses de fonctionnement</v>
      </c>
      <c r="W695" s="18" t="s">
        <v>192</v>
      </c>
      <c r="X695" s="18" t="s">
        <v>192</v>
      </c>
      <c r="Y695" s="19" t="s">
        <v>32</v>
      </c>
      <c r="Z695" s="19" t="str">
        <f>A695 &amp; "-" &amp; VLOOKUP(A695,[4]PROGRAMMES!$E$1:$F$7,2,FALSE)</f>
        <v>2-Qualité des enseignements et des apprentissages</v>
      </c>
      <c r="AA695" s="19" t="str">
        <f>B695 &amp; "-" &amp; VLOOKUP(B695,[4]SOUSPROGRAMMES!$E$1:$F$44,2,FALSE)</f>
        <v>24- Encadrement des enseignants : appui et contrôle</v>
      </c>
      <c r="AB695" s="19" t="str">
        <f>C695 &amp; "-" &amp; VLOOKUP(C695,[4]RESULTATS!$E$1:$F$176,2,FALSE)</f>
        <v xml:space="preserve">243- Les acteurs de l’encadrement disposent des ressources matérielles nécessaires pour mener à bien leurs fonctions  </v>
      </c>
      <c r="AC695" s="20" t="str">
        <f>D695 &amp; "-" &amp; VLOOKUP(D695,[4]STRATEGIES!$E$1:$F$504,2,FALSE)</f>
        <v>2432-Renforcement de la gestion des écoles</v>
      </c>
      <c r="AD695" s="21" t="str">
        <f t="shared" si="142"/>
        <v xml:space="preserve">24327-Suivi de la mise en eouvre des PAE </v>
      </c>
    </row>
    <row r="696" spans="1:30" s="22" customFormat="1" ht="60" customHeight="1" x14ac:dyDescent="0.8">
      <c r="A696" s="14">
        <v>2</v>
      </c>
      <c r="B696" s="15">
        <v>24</v>
      </c>
      <c r="C696" s="15">
        <v>243</v>
      </c>
      <c r="D696" s="15">
        <v>2432</v>
      </c>
      <c r="E696" s="14">
        <v>24327</v>
      </c>
      <c r="F696" s="16" t="s">
        <v>855</v>
      </c>
      <c r="G696" s="21" t="s">
        <v>763</v>
      </c>
      <c r="H696" s="17" t="s">
        <v>59</v>
      </c>
      <c r="I696" s="56">
        <v>0</v>
      </c>
      <c r="J696" s="56">
        <f>200*44.6%</f>
        <v>89.2</v>
      </c>
      <c r="K696" s="56">
        <f>220*44.6%</f>
        <v>98.12</v>
      </c>
      <c r="L696" s="56">
        <f>230*44.6%</f>
        <v>102.58</v>
      </c>
      <c r="M696" s="56">
        <f>SUM(I696:L696)</f>
        <v>289.89999999999998</v>
      </c>
      <c r="N696" s="56">
        <f>IF(OR(H696="",H696="sif",H696="PM"),0,VLOOKUP(H696,[5]CU!$C$4:$H$255,6,FALSE))</f>
        <v>0.8177777777777776</v>
      </c>
      <c r="O696" s="56">
        <f>IFERROR($N696*I696,0)</f>
        <v>0</v>
      </c>
      <c r="P696" s="56">
        <f>IFERROR($N696*J696,0)</f>
        <v>72.945777777777764</v>
      </c>
      <c r="Q696" s="56">
        <f>IFERROR($N696*K696,0)</f>
        <v>80.240355555555539</v>
      </c>
      <c r="R696" s="56">
        <f>IFERROR($N696*L696,0)</f>
        <v>83.887644444444419</v>
      </c>
      <c r="S696" s="53">
        <f>SUM(O696:R696)</f>
        <v>237.07377777777774</v>
      </c>
      <c r="T696" s="35" t="s">
        <v>118</v>
      </c>
      <c r="U696" s="18" t="s">
        <v>647</v>
      </c>
      <c r="V696" s="19" t="str">
        <f>IF(OR($H696="",$H696="sif",$H696="PM"),"",VLOOKUP($H696,[5]CU!$C$5:$J$255,8,FALSE))</f>
        <v>3. Dépenses de fonctionnement</v>
      </c>
      <c r="W696" s="18" t="s">
        <v>192</v>
      </c>
      <c r="X696" s="18" t="s">
        <v>192</v>
      </c>
      <c r="Y696" s="19" t="s">
        <v>32</v>
      </c>
      <c r="Z696" s="19" t="str">
        <f>A696 &amp; "-" &amp; VLOOKUP(A696,[4]PROGRAMMES!$E$1:$F$7,2,FALSE)</f>
        <v>2-Qualité des enseignements et des apprentissages</v>
      </c>
      <c r="AA696" s="19" t="str">
        <f>B696 &amp; "-" &amp; VLOOKUP(B696,[4]SOUSPROGRAMMES!$E$1:$F$44,2,FALSE)</f>
        <v>24- Encadrement des enseignants : appui et contrôle</v>
      </c>
      <c r="AB696" s="19" t="str">
        <f>C696 &amp; "-" &amp; VLOOKUP(C696,[4]RESULTATS!$E$1:$F$176,2,FALSE)</f>
        <v xml:space="preserve">243- Les acteurs de l’encadrement disposent des ressources matérielles nécessaires pour mener à bien leurs fonctions  </v>
      </c>
      <c r="AC696" s="20" t="str">
        <f>D696 &amp; "-" &amp; VLOOKUP(D696,[4]STRATEGIES!$E$1:$F$504,2,FALSE)</f>
        <v>2432-Renforcement de la gestion des écoles</v>
      </c>
      <c r="AD696" s="21" t="str">
        <f t="shared" si="142"/>
        <v xml:space="preserve">24327-Suivi de la mise en eouvre des PAE </v>
      </c>
    </row>
    <row r="697" spans="1:30" s="22" customFormat="1" ht="60" hidden="1" customHeight="1" x14ac:dyDescent="0.8">
      <c r="A697" s="14">
        <v>2</v>
      </c>
      <c r="B697" s="15">
        <v>24</v>
      </c>
      <c r="C697" s="15">
        <v>243</v>
      </c>
      <c r="D697" s="15">
        <v>2432</v>
      </c>
      <c r="E697" s="14">
        <v>24327</v>
      </c>
      <c r="F697" s="16" t="s">
        <v>855</v>
      </c>
      <c r="G697" s="21" t="s">
        <v>763</v>
      </c>
      <c r="H697" s="17" t="s">
        <v>59</v>
      </c>
      <c r="I697" s="56">
        <v>0</v>
      </c>
      <c r="J697" s="56">
        <v>0</v>
      </c>
      <c r="K697" s="56">
        <v>0</v>
      </c>
      <c r="L697" s="56">
        <v>0</v>
      </c>
      <c r="M697" s="56">
        <f t="shared" si="143"/>
        <v>0</v>
      </c>
      <c r="N697" s="56">
        <f>IF(OR(H697="",H697="sif",H697="PM"),0,VLOOKUP(H697,[5]CU!$C$4:$H$255,6,FALSE))</f>
        <v>0.8177777777777776</v>
      </c>
      <c r="O697" s="56">
        <f t="shared" si="144"/>
        <v>0</v>
      </c>
      <c r="P697" s="56">
        <f t="shared" si="144"/>
        <v>0</v>
      </c>
      <c r="Q697" s="56">
        <f t="shared" si="144"/>
        <v>0</v>
      </c>
      <c r="R697" s="56">
        <f t="shared" si="144"/>
        <v>0</v>
      </c>
      <c r="S697" s="53">
        <f t="shared" si="146"/>
        <v>0</v>
      </c>
      <c r="T697" s="35" t="s">
        <v>178</v>
      </c>
      <c r="U697" s="18" t="s">
        <v>647</v>
      </c>
      <c r="V697" s="19" t="str">
        <f>IF(OR($H697="",$H697="sif",$H697="PM"),"",VLOOKUP($H697,[5]CU!$C$5:$J$255,8,FALSE))</f>
        <v>3. Dépenses de fonctionnement</v>
      </c>
      <c r="W697" s="18" t="s">
        <v>192</v>
      </c>
      <c r="X697" s="18" t="s">
        <v>192</v>
      </c>
      <c r="Y697" s="19" t="s">
        <v>32</v>
      </c>
      <c r="Z697" s="19" t="str">
        <f>A697 &amp; "-" &amp; VLOOKUP(A697,[4]PROGRAMMES!$E$1:$F$7,2,FALSE)</f>
        <v>2-Qualité des enseignements et des apprentissages</v>
      </c>
      <c r="AA697" s="19" t="str">
        <f>B697 &amp; "-" &amp; VLOOKUP(B697,[4]SOUSPROGRAMMES!$E$1:$F$44,2,FALSE)</f>
        <v>24- Encadrement des enseignants : appui et contrôle</v>
      </c>
      <c r="AB697" s="19" t="str">
        <f>C697 &amp; "-" &amp; VLOOKUP(C697,[4]RESULTATS!$E$1:$F$176,2,FALSE)</f>
        <v xml:space="preserve">243- Les acteurs de l’encadrement disposent des ressources matérielles nécessaires pour mener à bien leurs fonctions  </v>
      </c>
      <c r="AC697" s="20" t="str">
        <f>D697 &amp; "-" &amp; VLOOKUP(D697,[4]STRATEGIES!$E$1:$F$504,2,FALSE)</f>
        <v>2432-Renforcement de la gestion des écoles</v>
      </c>
      <c r="AD697" s="21" t="str">
        <f t="shared" si="142"/>
        <v xml:space="preserve">24327-Suivi de la mise en eouvre des PAE </v>
      </c>
    </row>
    <row r="698" spans="1:30" s="22" customFormat="1" ht="60" customHeight="1" x14ac:dyDescent="0.8">
      <c r="A698" s="14">
        <v>2</v>
      </c>
      <c r="B698" s="15">
        <v>24</v>
      </c>
      <c r="C698" s="15">
        <v>243</v>
      </c>
      <c r="D698" s="15">
        <v>2432</v>
      </c>
      <c r="E698" s="14">
        <v>24328</v>
      </c>
      <c r="F698" s="16" t="s">
        <v>856</v>
      </c>
      <c r="G698" s="21" t="s">
        <v>853</v>
      </c>
      <c r="H698" s="17" t="s">
        <v>857</v>
      </c>
      <c r="I698" s="56">
        <v>0</v>
      </c>
      <c r="J698" s="56">
        <v>0.90634441087613304</v>
      </c>
      <c r="K698" s="56">
        <v>0.99697885196374603</v>
      </c>
      <c r="L698" s="56">
        <v>1.09667673716012</v>
      </c>
      <c r="M698" s="56">
        <f t="shared" si="143"/>
        <v>2.9999999999999991</v>
      </c>
      <c r="N698" s="56">
        <f>IF(OR(H698="",H698="sif",H698="PM"),0,VLOOKUP(H698,[5]CU!$C$4:$H$255,6,FALSE))</f>
        <v>4092.96781691769</v>
      </c>
      <c r="O698" s="56">
        <f t="shared" si="144"/>
        <v>0</v>
      </c>
      <c r="P698" s="56">
        <f t="shared" si="144"/>
        <v>3709.6385047592362</v>
      </c>
      <c r="Q698" s="56">
        <f t="shared" si="144"/>
        <v>4080.6023552351585</v>
      </c>
      <c r="R698" s="56">
        <f t="shared" si="144"/>
        <v>4488.6625907586722</v>
      </c>
      <c r="S698" s="53">
        <f t="shared" si="146"/>
        <v>12278.903450753067</v>
      </c>
      <c r="T698" s="35" t="s">
        <v>39</v>
      </c>
      <c r="U698" s="18" t="s">
        <v>647</v>
      </c>
      <c r="V698" s="19" t="str">
        <f>IF(OR($H698="",$H698="sif",$H698="PM"),"",VLOOKUP($H698,[5]CU!$C$5:$J$255,8,FALSE))</f>
        <v>3. Dépenses de fonctionnement</v>
      </c>
      <c r="W698" s="18" t="s">
        <v>398</v>
      </c>
      <c r="X698" s="18" t="s">
        <v>398</v>
      </c>
      <c r="Y698" s="19" t="s">
        <v>32</v>
      </c>
      <c r="Z698" s="19" t="str">
        <f>A698 &amp; "-" &amp; VLOOKUP(A698,[4]PROGRAMMES!$E$1:$F$7,2,FALSE)</f>
        <v>2-Qualité des enseignements et des apprentissages</v>
      </c>
      <c r="AA698" s="19" t="str">
        <f>B698 &amp; "-" &amp; VLOOKUP(B698,[4]SOUSPROGRAMMES!$E$1:$F$44,2,FALSE)</f>
        <v>24- Encadrement des enseignants : appui et contrôle</v>
      </c>
      <c r="AB698" s="19" t="str">
        <f>C698 &amp; "-" &amp; VLOOKUP(C698,[4]RESULTATS!$E$1:$F$176,2,FALSE)</f>
        <v xml:space="preserve">243- Les acteurs de l’encadrement disposent des ressources matérielles nécessaires pour mener à bien leurs fonctions  </v>
      </c>
      <c r="AC698" s="20" t="str">
        <f>D698 &amp; "-" &amp; VLOOKUP(D698,[4]STRATEGIES!$E$1:$F$504,2,FALSE)</f>
        <v>2432-Renforcement de la gestion des écoles</v>
      </c>
      <c r="AD698" s="21" t="str">
        <f t="shared" si="142"/>
        <v>24328-Mise en place progressive de subvention de fonctionnement pour les collèges</v>
      </c>
    </row>
    <row r="699" spans="1:30" s="22" customFormat="1" ht="60" hidden="1" customHeight="1" x14ac:dyDescent="0.8">
      <c r="A699" s="14">
        <v>2</v>
      </c>
      <c r="B699" s="15">
        <v>24</v>
      </c>
      <c r="C699" s="15">
        <v>243</v>
      </c>
      <c r="D699" s="15">
        <v>2432</v>
      </c>
      <c r="E699" s="14">
        <v>24329</v>
      </c>
      <c r="F699" s="16" t="s">
        <v>858</v>
      </c>
      <c r="G699" s="21" t="s">
        <v>853</v>
      </c>
      <c r="H699" s="17" t="s">
        <v>859</v>
      </c>
      <c r="I699" s="56">
        <v>0</v>
      </c>
      <c r="J699" s="56">
        <v>0.82417582417582502</v>
      </c>
      <c r="K699" s="56">
        <v>0.98901098901099005</v>
      </c>
      <c r="L699" s="56">
        <v>1.1868131868131899</v>
      </c>
      <c r="M699" s="56">
        <f t="shared" si="143"/>
        <v>3.0000000000000053</v>
      </c>
      <c r="N699" s="56">
        <f>IF(OR(H699="",H699="sif",H699="PM"),0,VLOOKUP(H699,[5]CU!$C$4:$H$255,6,FALSE))</f>
        <v>1900.63291916205</v>
      </c>
      <c r="O699" s="56">
        <f t="shared" si="144"/>
        <v>0</v>
      </c>
      <c r="P699" s="56">
        <f t="shared" si="144"/>
        <v>1566.4557026060868</v>
      </c>
      <c r="Q699" s="56">
        <f t="shared" si="144"/>
        <v>1879.7468431273041</v>
      </c>
      <c r="R699" s="56">
        <f t="shared" si="144"/>
        <v>2255.6962117527687</v>
      </c>
      <c r="S699" s="53">
        <f t="shared" si="146"/>
        <v>5701.8987574861603</v>
      </c>
      <c r="T699" s="35" t="s">
        <v>56</v>
      </c>
      <c r="U699" s="18" t="s">
        <v>647</v>
      </c>
      <c r="V699" s="19" t="str">
        <f>IF(OR($H699="",$H699="sif",$H699="PM"),"",VLOOKUP($H699,[5]CU!$C$5:$J$255,8,FALSE))</f>
        <v>3. Dépenses de fonctionnement</v>
      </c>
      <c r="W699" s="18" t="s">
        <v>398</v>
      </c>
      <c r="X699" s="18" t="s">
        <v>398</v>
      </c>
      <c r="Y699" s="19" t="s">
        <v>32</v>
      </c>
      <c r="Z699" s="19" t="str">
        <f>A699 &amp; "-" &amp; VLOOKUP(A699,[4]PROGRAMMES!$E$1:$F$7,2,FALSE)</f>
        <v>2-Qualité des enseignements et des apprentissages</v>
      </c>
      <c r="AA699" s="19" t="str">
        <f>B699 &amp; "-" &amp; VLOOKUP(B699,[4]SOUSPROGRAMMES!$E$1:$F$44,2,FALSE)</f>
        <v>24- Encadrement des enseignants : appui et contrôle</v>
      </c>
      <c r="AB699" s="19" t="str">
        <f>C699 &amp; "-" &amp; VLOOKUP(C699,[4]RESULTATS!$E$1:$F$176,2,FALSE)</f>
        <v xml:space="preserve">243- Les acteurs de l’encadrement disposent des ressources matérielles nécessaires pour mener à bien leurs fonctions  </v>
      </c>
      <c r="AC699" s="20" t="str">
        <f>D699 &amp; "-" &amp; VLOOKUP(D699,[4]STRATEGIES!$E$1:$F$504,2,FALSE)</f>
        <v>2432-Renforcement de la gestion des écoles</v>
      </c>
      <c r="AD699" s="21" t="str">
        <f t="shared" si="142"/>
        <v>24329-Mise en place progressive de subvention de fonctionnement pour les Lycées</v>
      </c>
    </row>
    <row r="700" spans="1:30" s="22" customFormat="1" ht="30" customHeight="1" x14ac:dyDescent="0.8">
      <c r="A700" s="14">
        <v>2</v>
      </c>
      <c r="B700" s="15">
        <v>25</v>
      </c>
      <c r="C700" s="15">
        <v>25</v>
      </c>
      <c r="D700" s="15">
        <v>25</v>
      </c>
      <c r="E700" s="14">
        <v>25</v>
      </c>
      <c r="F700" s="16" t="s">
        <v>860</v>
      </c>
      <c r="G700" s="17"/>
      <c r="H700" s="17"/>
      <c r="I700" s="56">
        <v>0</v>
      </c>
      <c r="J700" s="56"/>
      <c r="K700" s="56"/>
      <c r="L700" s="56"/>
      <c r="M700" s="56"/>
      <c r="N700" s="56"/>
      <c r="O700" s="56"/>
      <c r="P700" s="56"/>
      <c r="Q700" s="56"/>
      <c r="R700" s="56"/>
      <c r="S700" s="53"/>
      <c r="T700" s="33"/>
      <c r="U700" s="18"/>
      <c r="V700" s="19"/>
      <c r="W700" s="18"/>
      <c r="X700" s="18"/>
      <c r="Y700" s="19" t="s">
        <v>32</v>
      </c>
      <c r="Z700" s="19" t="str">
        <f>A700 &amp; "-" &amp; VLOOKUP(A700,[4]PROGRAMMES!$E$1:$F$7,2,FALSE)</f>
        <v>2-Qualité des enseignements et des apprentissages</v>
      </c>
      <c r="AA700" s="19" t="str">
        <f>B700 &amp; "-" &amp; VLOOKUP(B700,[4]SOUSPROGRAMMES!$E$1:$F$44,2,FALSE)</f>
        <v xml:space="preserve">25- Conditions d’apprentissage améliorées </v>
      </c>
      <c r="AB700" s="19" t="str">
        <f>C700 &amp; "-" &amp; VLOOKUP(C700,[4]RESULTATS!$E$1:$F$176,2,FALSE)</f>
        <v xml:space="preserve">25- Conditions d’apprentissage améliorées </v>
      </c>
      <c r="AC700" s="20" t="str">
        <f>D700 &amp; "-" &amp; VLOOKUP(D700,[4]STRATEGIES!$E$1:$F$504,2,FALSE)</f>
        <v xml:space="preserve">25- Conditions d’apprentissage améliorées </v>
      </c>
      <c r="AD700" s="21" t="str">
        <f t="shared" si="142"/>
        <v xml:space="preserve">25- Conditions d’apprentissage améliorées </v>
      </c>
    </row>
    <row r="701" spans="1:30" s="22" customFormat="1" ht="30" customHeight="1" x14ac:dyDescent="0.8">
      <c r="A701" s="14">
        <v>2</v>
      </c>
      <c r="B701" s="15">
        <v>25</v>
      </c>
      <c r="C701" s="15">
        <v>251</v>
      </c>
      <c r="D701" s="15">
        <v>251</v>
      </c>
      <c r="E701" s="14">
        <v>251</v>
      </c>
      <c r="F701" s="16" t="s">
        <v>861</v>
      </c>
      <c r="G701" s="17"/>
      <c r="H701" s="17"/>
      <c r="I701" s="56">
        <v>0</v>
      </c>
      <c r="J701" s="56"/>
      <c r="K701" s="56"/>
      <c r="L701" s="56"/>
      <c r="M701" s="56"/>
      <c r="N701" s="56"/>
      <c r="O701" s="56"/>
      <c r="P701" s="56"/>
      <c r="Q701" s="56"/>
      <c r="R701" s="56"/>
      <c r="S701" s="53"/>
      <c r="T701" s="33"/>
      <c r="U701" s="18"/>
      <c r="V701" s="19"/>
      <c r="W701" s="18"/>
      <c r="X701" s="18"/>
      <c r="Y701" s="19" t="s">
        <v>32</v>
      </c>
      <c r="Z701" s="19" t="str">
        <f>A701 &amp; "-" &amp; VLOOKUP(A701,[4]PROGRAMMES!$E$1:$F$7,2,FALSE)</f>
        <v>2-Qualité des enseignements et des apprentissages</v>
      </c>
      <c r="AA701" s="19" t="str">
        <f>B701 &amp; "-" &amp; VLOOKUP(B701,[4]SOUSPROGRAMMES!$E$1:$F$44,2,FALSE)</f>
        <v xml:space="preserve">25- Conditions d’apprentissage améliorées </v>
      </c>
      <c r="AB701" s="19" t="str">
        <f>C701 &amp; "-" &amp; VLOOKUP(C701,[4]RESULTATS!$E$1:$F$176,2,FALSE)</f>
        <v>251- Les manuels et guides adaptés aux nouveaux curricula sont développés</v>
      </c>
      <c r="AC701" s="20" t="str">
        <f>D701 &amp; "-" &amp; VLOOKUP(D701,[4]STRATEGIES!$E$1:$F$504,2,FALSE)</f>
        <v>251- Les manuels et guides adaptés aux nouveaux curricula sont développés</v>
      </c>
      <c r="AD701" s="21" t="str">
        <f t="shared" si="142"/>
        <v>251- Les manuels et guides adaptés aux nouveaux curricula sont développés</v>
      </c>
    </row>
    <row r="702" spans="1:30" s="22" customFormat="1" ht="30" customHeight="1" x14ac:dyDescent="0.8">
      <c r="A702" s="14">
        <v>2</v>
      </c>
      <c r="B702" s="15">
        <v>25</v>
      </c>
      <c r="C702" s="15">
        <v>251</v>
      </c>
      <c r="D702" s="15">
        <v>2511</v>
      </c>
      <c r="E702" s="14">
        <v>2511</v>
      </c>
      <c r="F702" s="16" t="s">
        <v>862</v>
      </c>
      <c r="G702" s="17"/>
      <c r="H702" s="17"/>
      <c r="I702" s="56">
        <v>0</v>
      </c>
      <c r="J702" s="56"/>
      <c r="K702" s="56"/>
      <c r="L702" s="56"/>
      <c r="M702" s="56"/>
      <c r="N702" s="56"/>
      <c r="O702" s="56"/>
      <c r="P702" s="56"/>
      <c r="Q702" s="56"/>
      <c r="R702" s="56"/>
      <c r="S702" s="53"/>
      <c r="T702" s="33"/>
      <c r="U702" s="18"/>
      <c r="V702" s="19"/>
      <c r="W702" s="18"/>
      <c r="X702" s="18"/>
      <c r="Y702" s="19" t="s">
        <v>32</v>
      </c>
      <c r="Z702" s="19" t="str">
        <f>A702 &amp; "-" &amp; VLOOKUP(A702,[4]PROGRAMMES!$E$1:$F$7,2,FALSE)</f>
        <v>2-Qualité des enseignements et des apprentissages</v>
      </c>
      <c r="AA702" s="19" t="str">
        <f>B702 &amp; "-" &amp; VLOOKUP(B702,[4]SOUSPROGRAMMES!$E$1:$F$44,2,FALSE)</f>
        <v xml:space="preserve">25- Conditions d’apprentissage améliorées </v>
      </c>
      <c r="AB702" s="19" t="str">
        <f>C702 &amp; "-" &amp; VLOOKUP(C702,[4]RESULTATS!$E$1:$F$176,2,FALSE)</f>
        <v>251- Les manuels et guides adaptés aux nouveaux curricula sont développés</v>
      </c>
      <c r="AC702" s="20" t="str">
        <f>D702 &amp; "-" &amp; VLOOKUP(D702,[4]STRATEGIES!$E$1:$F$504,2,FALSE)</f>
        <v>2511-Formation des groupes disciplinaires et rédaction des manuels et guides</v>
      </c>
      <c r="AD702" s="21" t="str">
        <f t="shared" si="142"/>
        <v>2511-Formation des groupes disciplinaires et rédaction des manuels et guides</v>
      </c>
    </row>
    <row r="703" spans="1:30" s="22" customFormat="1" ht="30" hidden="1" customHeight="1" x14ac:dyDescent="0.8">
      <c r="A703" s="14">
        <v>2</v>
      </c>
      <c r="B703" s="15">
        <v>25</v>
      </c>
      <c r="C703" s="15">
        <v>251</v>
      </c>
      <c r="D703" s="15">
        <v>2511</v>
      </c>
      <c r="E703" s="14">
        <v>25112</v>
      </c>
      <c r="F703" s="16" t="s">
        <v>863</v>
      </c>
      <c r="G703" s="21" t="s">
        <v>660</v>
      </c>
      <c r="H703" s="17" t="s">
        <v>55</v>
      </c>
      <c r="I703" s="56">
        <v>0</v>
      </c>
      <c r="J703" s="56">
        <v>1</v>
      </c>
      <c r="K703" s="56"/>
      <c r="L703" s="56"/>
      <c r="M703" s="56">
        <f t="shared" si="143"/>
        <v>1</v>
      </c>
      <c r="N703" s="56">
        <f>IF(OR(H703="",H703="sif",H703="PM"),0,VLOOKUP(H703,[5]CU!$C$4:$H$255,6,FALSE))</f>
        <v>0</v>
      </c>
      <c r="O703" s="56">
        <f t="shared" si="144"/>
        <v>0</v>
      </c>
      <c r="P703" s="56">
        <f t="shared" si="144"/>
        <v>0</v>
      </c>
      <c r="Q703" s="56">
        <f t="shared" si="144"/>
        <v>0</v>
      </c>
      <c r="R703" s="56">
        <f t="shared" si="144"/>
        <v>0</v>
      </c>
      <c r="S703" s="53"/>
      <c r="T703" s="35" t="s">
        <v>56</v>
      </c>
      <c r="U703" s="18" t="s">
        <v>647</v>
      </c>
      <c r="V703" s="19" t="str">
        <f>IF(OR($H703="",$H703="sif",$H703="PM"),"",VLOOKUP($H703,[5]CU!$C$5:$J$255,8,FALSE))</f>
        <v/>
      </c>
      <c r="W703" s="18" t="s">
        <v>255</v>
      </c>
      <c r="X703" s="18" t="s">
        <v>708</v>
      </c>
      <c r="Y703" s="19" t="s">
        <v>32</v>
      </c>
      <c r="Z703" s="19" t="str">
        <f>A703 &amp; "-" &amp; VLOOKUP(A703,[4]PROGRAMMES!$E$1:$F$7,2,FALSE)</f>
        <v>2-Qualité des enseignements et des apprentissages</v>
      </c>
      <c r="AA703" s="19" t="str">
        <f>B703 &amp; "-" &amp; VLOOKUP(B703,[4]SOUSPROGRAMMES!$E$1:$F$44,2,FALSE)</f>
        <v xml:space="preserve">25- Conditions d’apprentissage améliorées </v>
      </c>
      <c r="AB703" s="19" t="str">
        <f>C703 &amp; "-" &amp; VLOOKUP(C703,[4]RESULTATS!$E$1:$F$176,2,FALSE)</f>
        <v>251- Les manuels et guides adaptés aux nouveaux curricula sont développés</v>
      </c>
      <c r="AC703" s="20" t="str">
        <f>D703 &amp; "-" &amp; VLOOKUP(D703,[4]STRATEGIES!$E$1:$F$504,2,FALSE)</f>
        <v>2511-Formation des groupes disciplinaires et rédaction des manuels et guides</v>
      </c>
      <c r="AD703" s="21" t="str">
        <f t="shared" si="142"/>
        <v>25112-Révision des textes relatifs à l'élaboration de matériels scolaires (pris en compte dans l'activité 21121)</v>
      </c>
    </row>
    <row r="704" spans="1:30" s="22" customFormat="1" ht="30" hidden="1" customHeight="1" x14ac:dyDescent="0.8">
      <c r="A704" s="14">
        <v>2</v>
      </c>
      <c r="B704" s="15">
        <v>25</v>
      </c>
      <c r="C704" s="15">
        <v>251</v>
      </c>
      <c r="D704" s="15">
        <v>2511</v>
      </c>
      <c r="E704" s="14">
        <v>25113</v>
      </c>
      <c r="F704" s="16" t="s">
        <v>864</v>
      </c>
      <c r="G704" s="21" t="s">
        <v>865</v>
      </c>
      <c r="H704" s="17" t="s">
        <v>55</v>
      </c>
      <c r="I704" s="56">
        <v>0</v>
      </c>
      <c r="J704" s="56">
        <v>1</v>
      </c>
      <c r="K704" s="56"/>
      <c r="L704" s="56"/>
      <c r="M704" s="56">
        <f t="shared" si="143"/>
        <v>1</v>
      </c>
      <c r="N704" s="56">
        <f>IF(OR(H704="",H704="sif",H704="PM"),0,VLOOKUP(H704,[5]CU!$C$4:$H$255,6,FALSE))</f>
        <v>0</v>
      </c>
      <c r="O704" s="56">
        <f t="shared" ref="O704:R755" si="147">IFERROR($N704*I704,0)</f>
        <v>0</v>
      </c>
      <c r="P704" s="56">
        <f t="shared" si="147"/>
        <v>0</v>
      </c>
      <c r="Q704" s="56">
        <f t="shared" si="147"/>
        <v>0</v>
      </c>
      <c r="R704" s="56">
        <f t="shared" si="147"/>
        <v>0</v>
      </c>
      <c r="S704" s="53"/>
      <c r="T704" s="35" t="s">
        <v>56</v>
      </c>
      <c r="U704" s="18" t="s">
        <v>647</v>
      </c>
      <c r="V704" s="19" t="str">
        <f>IF(OR($H704="",$H704="sif",$H704="PM"),"",VLOOKUP($H704,[5]CU!$C$5:$J$255,8,FALSE))</f>
        <v/>
      </c>
      <c r="W704" s="18" t="s">
        <v>708</v>
      </c>
      <c r="X704" s="18" t="s">
        <v>347</v>
      </c>
      <c r="Y704" s="19" t="s">
        <v>32</v>
      </c>
      <c r="Z704" s="19" t="str">
        <f>A704 &amp; "-" &amp; VLOOKUP(A704,[4]PROGRAMMES!$E$1:$F$7,2,FALSE)</f>
        <v>2-Qualité des enseignements et des apprentissages</v>
      </c>
      <c r="AA704" s="19" t="str">
        <f>B704 &amp; "-" &amp; VLOOKUP(B704,[4]SOUSPROGRAMMES!$E$1:$F$44,2,FALSE)</f>
        <v xml:space="preserve">25- Conditions d’apprentissage améliorées </v>
      </c>
      <c r="AB704" s="19" t="str">
        <f>C704 &amp; "-" &amp; VLOOKUP(C704,[4]RESULTATS!$E$1:$F$176,2,FALSE)</f>
        <v>251- Les manuels et guides adaptés aux nouveaux curricula sont développés</v>
      </c>
      <c r="AC704" s="20" t="str">
        <f>D704 &amp; "-" &amp; VLOOKUP(D704,[4]STRATEGIES!$E$1:$F$504,2,FALSE)</f>
        <v>2511-Formation des groupes disciplinaires et rédaction des manuels et guides</v>
      </c>
      <c r="AD704" s="21" t="str">
        <f t="shared" si="142"/>
        <v>25113-Mise en place des équipes multidisciplinaire de rédaction (inspecteurs, enseignants, formateurs.)</v>
      </c>
    </row>
    <row r="705" spans="1:30" s="22" customFormat="1" ht="30" customHeight="1" x14ac:dyDescent="0.8">
      <c r="A705" s="14">
        <v>2</v>
      </c>
      <c r="B705" s="15">
        <v>25</v>
      </c>
      <c r="C705" s="15">
        <v>251</v>
      </c>
      <c r="D705" s="15">
        <v>2511</v>
      </c>
      <c r="E705" s="14">
        <v>25114</v>
      </c>
      <c r="F705" s="16" t="s">
        <v>866</v>
      </c>
      <c r="G705" s="21" t="s">
        <v>298</v>
      </c>
      <c r="H705" s="17" t="s">
        <v>301</v>
      </c>
      <c r="I705" s="56">
        <v>0</v>
      </c>
      <c r="J705" s="56"/>
      <c r="K705" s="56">
        <f>10*5</f>
        <v>50</v>
      </c>
      <c r="L705" s="56">
        <f>10*10*5</f>
        <v>500</v>
      </c>
      <c r="M705" s="56">
        <f t="shared" si="143"/>
        <v>550</v>
      </c>
      <c r="N705" s="56">
        <f>IF(OR(H705="",H705="sif",H705="PM"),0,VLOOKUP(H705,[5]CU!$C$4:$H$255,6,FALSE))</f>
        <v>0.67666666666666664</v>
      </c>
      <c r="O705" s="56">
        <f t="shared" si="147"/>
        <v>0</v>
      </c>
      <c r="P705" s="56">
        <f t="shared" si="147"/>
        <v>0</v>
      </c>
      <c r="Q705" s="56">
        <f t="shared" si="147"/>
        <v>33.833333333333329</v>
      </c>
      <c r="R705" s="56">
        <f t="shared" si="147"/>
        <v>338.33333333333331</v>
      </c>
      <c r="S705" s="53">
        <f>SUM(O705:R705)</f>
        <v>372.16666666666663</v>
      </c>
      <c r="T705" s="35" t="s">
        <v>39</v>
      </c>
      <c r="U705" s="18" t="s">
        <v>647</v>
      </c>
      <c r="V705" s="19" t="str">
        <f>IF(OR($H705="",$H705="sif",$H705="PM"),"",VLOOKUP($H705,[5]CU!$C$5:$J$255,8,FALSE))</f>
        <v>3. Formation</v>
      </c>
      <c r="W705" s="18" t="s">
        <v>708</v>
      </c>
      <c r="X705" s="18" t="s">
        <v>347</v>
      </c>
      <c r="Y705" s="19" t="s">
        <v>32</v>
      </c>
      <c r="Z705" s="19" t="str">
        <f>A705 &amp; "-" &amp; VLOOKUP(A705,[4]PROGRAMMES!$E$1:$F$7,2,FALSE)</f>
        <v>2-Qualité des enseignements et des apprentissages</v>
      </c>
      <c r="AA705" s="19" t="str">
        <f>B705 &amp; "-" &amp; VLOOKUP(B705,[4]SOUSPROGRAMMES!$E$1:$F$44,2,FALSE)</f>
        <v xml:space="preserve">25- Conditions d’apprentissage améliorées </v>
      </c>
      <c r="AB705" s="19" t="str">
        <f>C705 &amp; "-" &amp; VLOOKUP(C705,[4]RESULTATS!$E$1:$F$176,2,FALSE)</f>
        <v>251- Les manuels et guides adaptés aux nouveaux curricula sont développés</v>
      </c>
      <c r="AC705" s="20" t="str">
        <f>D705 &amp; "-" &amp; VLOOKUP(D705,[4]STRATEGIES!$E$1:$F$504,2,FALSE)</f>
        <v>2511-Formation des groupes disciplinaires et rédaction des manuels et guides</v>
      </c>
      <c r="AD705" s="21" t="str">
        <f t="shared" si="142"/>
        <v>25114-Renforcement des capacités des équipes à l'élaboration des manuels scolaires et guides</v>
      </c>
    </row>
    <row r="706" spans="1:30" s="22" customFormat="1" ht="30" customHeight="1" x14ac:dyDescent="0.8">
      <c r="A706" s="14">
        <v>2</v>
      </c>
      <c r="B706" s="15">
        <v>25</v>
      </c>
      <c r="C706" s="15">
        <v>251</v>
      </c>
      <c r="D706" s="15">
        <v>2511</v>
      </c>
      <c r="E706" s="14">
        <v>25115</v>
      </c>
      <c r="F706" s="16" t="s">
        <v>867</v>
      </c>
      <c r="G706" s="21" t="s">
        <v>298</v>
      </c>
      <c r="H706" s="17" t="s">
        <v>66</v>
      </c>
      <c r="I706" s="56">
        <v>0</v>
      </c>
      <c r="J706" s="56"/>
      <c r="K706" s="56">
        <f>10*5*2</f>
        <v>100</v>
      </c>
      <c r="L706" s="56">
        <f>(10*10*5)*4</f>
        <v>2000</v>
      </c>
      <c r="M706" s="56">
        <f t="shared" si="143"/>
        <v>2100</v>
      </c>
      <c r="N706" s="56">
        <f>IF(OR(H706="",H706="sif",H706="PM"),0,VLOOKUP(H706,[5]CU!$C$4:$H$255,6,FALSE))</f>
        <v>0.255</v>
      </c>
      <c r="O706" s="56">
        <f t="shared" si="147"/>
        <v>0</v>
      </c>
      <c r="P706" s="56">
        <f t="shared" si="147"/>
        <v>0</v>
      </c>
      <c r="Q706" s="56">
        <f t="shared" si="147"/>
        <v>25.5</v>
      </c>
      <c r="R706" s="56">
        <f t="shared" si="147"/>
        <v>510</v>
      </c>
      <c r="S706" s="53">
        <f>SUM(O706:R706)</f>
        <v>535.5</v>
      </c>
      <c r="T706" s="35" t="s">
        <v>39</v>
      </c>
      <c r="U706" s="18" t="s">
        <v>647</v>
      </c>
      <c r="V706" s="19" t="str">
        <f>IF(OR($H706="",$H706="sif",$H706="PM"),"",VLOOKUP($H706,[5]CU!$C$5:$J$255,8,FALSE))</f>
        <v>3. Dépenses de fonctionnement</v>
      </c>
      <c r="W706" s="18" t="s">
        <v>708</v>
      </c>
      <c r="X706" s="18" t="s">
        <v>868</v>
      </c>
      <c r="Y706" s="19" t="s">
        <v>32</v>
      </c>
      <c r="Z706" s="19" t="str">
        <f>A706 &amp; "-" &amp; VLOOKUP(A706,[4]PROGRAMMES!$E$1:$F$7,2,FALSE)</f>
        <v>2-Qualité des enseignements et des apprentissages</v>
      </c>
      <c r="AA706" s="19" t="str">
        <f>B706 &amp; "-" &amp; VLOOKUP(B706,[4]SOUSPROGRAMMES!$E$1:$F$44,2,FALSE)</f>
        <v xml:space="preserve">25- Conditions d’apprentissage améliorées </v>
      </c>
      <c r="AB706" s="19" t="str">
        <f>C706 &amp; "-" &amp; VLOOKUP(C706,[4]RESULTATS!$E$1:$F$176,2,FALSE)</f>
        <v>251- Les manuels et guides adaptés aux nouveaux curricula sont développés</v>
      </c>
      <c r="AC706" s="20" t="str">
        <f>D706 &amp; "-" &amp; VLOOKUP(D706,[4]STRATEGIES!$E$1:$F$504,2,FALSE)</f>
        <v>2511-Formation des groupes disciplinaires et rédaction des manuels et guides</v>
      </c>
      <c r="AD706" s="21" t="str">
        <f t="shared" si="142"/>
        <v>25115-Rédaction des manuels scolaires et guides</v>
      </c>
    </row>
    <row r="707" spans="1:30" s="22" customFormat="1" ht="30" hidden="1" customHeight="1" x14ac:dyDescent="0.8">
      <c r="A707" s="14">
        <v>2</v>
      </c>
      <c r="B707" s="15">
        <v>25</v>
      </c>
      <c r="C707" s="15">
        <v>251</v>
      </c>
      <c r="D707" s="15">
        <v>2512</v>
      </c>
      <c r="E707" s="14">
        <v>2512</v>
      </c>
      <c r="F707" s="16" t="s">
        <v>869</v>
      </c>
      <c r="G707" s="17" t="s">
        <v>2675</v>
      </c>
      <c r="H707" s="17" t="s">
        <v>66</v>
      </c>
      <c r="I707" s="56">
        <v>0</v>
      </c>
      <c r="J707" s="56"/>
      <c r="K707" s="56"/>
      <c r="L707" s="56"/>
      <c r="M707" s="56"/>
      <c r="N707" s="56"/>
      <c r="O707" s="56"/>
      <c r="P707" s="56"/>
      <c r="Q707" s="56"/>
      <c r="R707" s="56"/>
      <c r="S707" s="53"/>
      <c r="T707" s="33" t="s">
        <v>56</v>
      </c>
      <c r="U707" s="18" t="s">
        <v>647</v>
      </c>
      <c r="V707" s="19" t="str">
        <f>IF(OR($H707="",$H707="sif",$H707="PM"),"",VLOOKUP($H707,[5]CU!$C$5:$J$255,8,FALSE))</f>
        <v>3. Dépenses de fonctionnement</v>
      </c>
      <c r="W707" s="18" t="s">
        <v>255</v>
      </c>
      <c r="X707" s="18"/>
      <c r="Y707" s="19" t="s">
        <v>32</v>
      </c>
      <c r="Z707" s="19" t="str">
        <f>A707 &amp; "-" &amp; VLOOKUP(A707,[4]PROGRAMMES!$E$1:$F$7,2,FALSE)</f>
        <v>2-Qualité des enseignements et des apprentissages</v>
      </c>
      <c r="AA707" s="19" t="str">
        <f>B707 &amp; "-" &amp; VLOOKUP(B707,[4]SOUSPROGRAMMES!$E$1:$F$44,2,FALSE)</f>
        <v xml:space="preserve">25- Conditions d’apprentissage améliorées </v>
      </c>
      <c r="AB707" s="19" t="str">
        <f>C707 &amp; "-" &amp; VLOOKUP(C707,[4]RESULTATS!$E$1:$F$176,2,FALSE)</f>
        <v>251- Les manuels et guides adaptés aux nouveaux curricula sont développés</v>
      </c>
      <c r="AC707" s="20" t="str">
        <f>D707 &amp; "-" &amp; VLOOKUP(D707,[4]STRATEGIES!$E$1:$F$504,2,FALSE)</f>
        <v>2512-Validation des contenus et impression des manuels</v>
      </c>
      <c r="AD707" s="21" t="str">
        <f t="shared" si="142"/>
        <v>2512-Validation des contenus et impression des manuels</v>
      </c>
    </row>
    <row r="708" spans="1:30" s="22" customFormat="1" ht="30" hidden="1" customHeight="1" x14ac:dyDescent="0.8">
      <c r="A708" s="14">
        <v>2</v>
      </c>
      <c r="B708" s="15">
        <v>25</v>
      </c>
      <c r="C708" s="15">
        <v>251</v>
      </c>
      <c r="D708" s="15">
        <v>2512</v>
      </c>
      <c r="E708" s="14">
        <v>25121</v>
      </c>
      <c r="F708" s="16" t="s">
        <v>870</v>
      </c>
      <c r="G708" s="21" t="s">
        <v>660</v>
      </c>
      <c r="H708" s="17" t="s">
        <v>55</v>
      </c>
      <c r="I708" s="56">
        <v>0</v>
      </c>
      <c r="J708" s="56"/>
      <c r="K708" s="56">
        <v>1</v>
      </c>
      <c r="L708" s="56">
        <v>1</v>
      </c>
      <c r="M708" s="56">
        <f t="shared" si="143"/>
        <v>2</v>
      </c>
      <c r="N708" s="56">
        <f>IF(OR(H708="",H708="sif",H708="PM"),0,VLOOKUP(H708,[5]CU!$C$4:$H$255,6,FALSE))</f>
        <v>0</v>
      </c>
      <c r="O708" s="56">
        <f t="shared" si="147"/>
        <v>0</v>
      </c>
      <c r="P708" s="56">
        <f t="shared" si="147"/>
        <v>0</v>
      </c>
      <c r="Q708" s="56">
        <f t="shared" si="147"/>
        <v>0</v>
      </c>
      <c r="R708" s="56">
        <f t="shared" si="147"/>
        <v>0</v>
      </c>
      <c r="S708" s="53"/>
      <c r="T708" s="35" t="s">
        <v>56</v>
      </c>
      <c r="U708" s="18" t="s">
        <v>647</v>
      </c>
      <c r="V708" s="19" t="str">
        <f>IF(OR($H708="",$H708="sif",$H708="PM"),"",VLOOKUP($H708,[5]CU!$C$5:$J$255,8,FALSE))</f>
        <v/>
      </c>
      <c r="W708" s="18" t="s">
        <v>255</v>
      </c>
      <c r="X708" s="18" t="s">
        <v>273</v>
      </c>
      <c r="Y708" s="19" t="s">
        <v>32</v>
      </c>
      <c r="Z708" s="19" t="str">
        <f>A708 &amp; "-" &amp; VLOOKUP(A708,[4]PROGRAMMES!$E$1:$F$7,2,FALSE)</f>
        <v>2-Qualité des enseignements et des apprentissages</v>
      </c>
      <c r="AA708" s="19" t="str">
        <f>B708 &amp; "-" &amp; VLOOKUP(B708,[4]SOUSPROGRAMMES!$E$1:$F$44,2,FALSE)</f>
        <v xml:space="preserve">25- Conditions d’apprentissage améliorées </v>
      </c>
      <c r="AB708" s="19" t="str">
        <f>C708 &amp; "-" &amp; VLOOKUP(C708,[4]RESULTATS!$E$1:$F$176,2,FALSE)</f>
        <v>251- Les manuels et guides adaptés aux nouveaux curricula sont développés</v>
      </c>
      <c r="AC708" s="20" t="str">
        <f>D708 &amp; "-" &amp; VLOOKUP(D708,[4]STRATEGIES!$E$1:$F$504,2,FALSE)</f>
        <v>2512-Validation des contenus et impression des manuels</v>
      </c>
      <c r="AD708" s="21" t="str">
        <f t="shared" ref="AD708:AD771" si="148">E708 &amp; "-" &amp; F708</f>
        <v>25121-Mise en place d'un comité scientifique chargé de la lecture et de l'évaluation du contenu</v>
      </c>
    </row>
    <row r="709" spans="1:30" s="22" customFormat="1" ht="30" customHeight="1" x14ac:dyDescent="0.8">
      <c r="A709" s="14">
        <v>2</v>
      </c>
      <c r="B709" s="15">
        <v>25</v>
      </c>
      <c r="C709" s="15">
        <v>251</v>
      </c>
      <c r="D709" s="15">
        <v>2512</v>
      </c>
      <c r="E709" s="14">
        <v>25122</v>
      </c>
      <c r="F709" s="16" t="s">
        <v>871</v>
      </c>
      <c r="G709" s="21" t="s">
        <v>298</v>
      </c>
      <c r="H709" s="17" t="s">
        <v>38</v>
      </c>
      <c r="I709" s="56">
        <v>0</v>
      </c>
      <c r="J709" s="56"/>
      <c r="K709" s="56">
        <f>30*3</f>
        <v>90</v>
      </c>
      <c r="L709" s="56">
        <f>20*10*3</f>
        <v>600</v>
      </c>
      <c r="M709" s="56">
        <f t="shared" si="143"/>
        <v>690</v>
      </c>
      <c r="N709" s="56">
        <f>IF(OR(H709="",H709="sif",H709="PM"),0,VLOOKUP(H709,[5]CU!$C$4:$H$255,6,FALSE))</f>
        <v>0.3133333333333333</v>
      </c>
      <c r="O709" s="56">
        <f t="shared" si="147"/>
        <v>0</v>
      </c>
      <c r="P709" s="56">
        <f t="shared" si="147"/>
        <v>0</v>
      </c>
      <c r="Q709" s="56">
        <f t="shared" si="147"/>
        <v>28.199999999999996</v>
      </c>
      <c r="R709" s="56">
        <f t="shared" si="147"/>
        <v>187.99999999999997</v>
      </c>
      <c r="S709" s="53">
        <f t="shared" ref="S709:S718" si="149">SUM(O709:R709)</f>
        <v>216.19999999999996</v>
      </c>
      <c r="T709" s="35" t="s">
        <v>39</v>
      </c>
      <c r="U709" s="18" t="s">
        <v>647</v>
      </c>
      <c r="V709" s="19" t="str">
        <f>IF(OR($H709="",$H709="sif",$H709="PM"),"",VLOOKUP($H709,[5]CU!$C$5:$J$255,8,FALSE))</f>
        <v>3. Formation</v>
      </c>
      <c r="W709" s="18" t="s">
        <v>708</v>
      </c>
      <c r="X709" s="18" t="s">
        <v>872</v>
      </c>
      <c r="Y709" s="19" t="s">
        <v>32</v>
      </c>
      <c r="Z709" s="19" t="str">
        <f>A709 &amp; "-" &amp; VLOOKUP(A709,[4]PROGRAMMES!$E$1:$F$7,2,FALSE)</f>
        <v>2-Qualité des enseignements et des apprentissages</v>
      </c>
      <c r="AA709" s="19" t="str">
        <f>B709 &amp; "-" &amp; VLOOKUP(B709,[4]SOUSPROGRAMMES!$E$1:$F$44,2,FALSE)</f>
        <v xml:space="preserve">25- Conditions d’apprentissage améliorées </v>
      </c>
      <c r="AB709" s="19" t="str">
        <f>C709 &amp; "-" &amp; VLOOKUP(C709,[4]RESULTATS!$E$1:$F$176,2,FALSE)</f>
        <v>251- Les manuels et guides adaptés aux nouveaux curricula sont développés</v>
      </c>
      <c r="AC709" s="20" t="str">
        <f>D709 &amp; "-" &amp; VLOOKUP(D709,[4]STRATEGIES!$E$1:$F$504,2,FALSE)</f>
        <v>2512-Validation des contenus et impression des manuels</v>
      </c>
      <c r="AD709" s="21" t="str">
        <f t="shared" si="148"/>
        <v>25122-Partage et validation du contenu des manuels scolaires et guides élaborés</v>
      </c>
    </row>
    <row r="710" spans="1:30" s="22" customFormat="1" ht="30" customHeight="1" x14ac:dyDescent="0.8">
      <c r="A710" s="14">
        <v>2</v>
      </c>
      <c r="B710" s="15">
        <v>25</v>
      </c>
      <c r="C710" s="15">
        <v>251</v>
      </c>
      <c r="D710" s="15">
        <v>2512</v>
      </c>
      <c r="E710" s="14">
        <v>25123</v>
      </c>
      <c r="F710" s="16" t="s">
        <v>873</v>
      </c>
      <c r="G710" s="21" t="s">
        <v>874</v>
      </c>
      <c r="H710" s="17" t="s">
        <v>816</v>
      </c>
      <c r="I710" s="56">
        <v>0</v>
      </c>
      <c r="J710" s="56"/>
      <c r="K710" s="56">
        <f>(60*43)*3+(60*3)</f>
        <v>7920</v>
      </c>
      <c r="L710" s="56"/>
      <c r="M710" s="56">
        <f t="shared" si="143"/>
        <v>7920</v>
      </c>
      <c r="N710" s="56">
        <f>IF(OR(H710="",H710="sif",H710="PM"),0,VLOOKUP(H710,[5]CU!$C$4:$H$255,6,FALSE))</f>
        <v>7.4999999999999997E-3</v>
      </c>
      <c r="O710" s="56">
        <f t="shared" si="147"/>
        <v>0</v>
      </c>
      <c r="P710" s="56">
        <f t="shared" si="147"/>
        <v>0</v>
      </c>
      <c r="Q710" s="56">
        <f t="shared" si="147"/>
        <v>59.4</v>
      </c>
      <c r="R710" s="56">
        <f t="shared" si="147"/>
        <v>0</v>
      </c>
      <c r="S710" s="53">
        <f t="shared" si="149"/>
        <v>59.4</v>
      </c>
      <c r="T710" s="35" t="s">
        <v>39</v>
      </c>
      <c r="U710" s="18" t="s">
        <v>647</v>
      </c>
      <c r="V710" s="19" t="str">
        <f>IF(OR($H710="",$H710="sif",$H710="PM"),"",VLOOKUP($H710,[5]CU!$C$5:$J$255,8,FALSE))</f>
        <v>3. Dépenses de fonctionnement</v>
      </c>
      <c r="W710" s="18" t="s">
        <v>663</v>
      </c>
      <c r="X710" s="18" t="s">
        <v>665</v>
      </c>
      <c r="Y710" s="19" t="s">
        <v>32</v>
      </c>
      <c r="Z710" s="19" t="str">
        <f>A710 &amp; "-" &amp; VLOOKUP(A710,[4]PROGRAMMES!$E$1:$F$7,2,FALSE)</f>
        <v>2-Qualité des enseignements et des apprentissages</v>
      </c>
      <c r="AA710" s="19" t="str">
        <f>B710 &amp; "-" &amp; VLOOKUP(B710,[4]SOUSPROGRAMMES!$E$1:$F$44,2,FALSE)</f>
        <v xml:space="preserve">25- Conditions d’apprentissage améliorées </v>
      </c>
      <c r="AB710" s="19" t="str">
        <f>C710 &amp; "-" &amp; VLOOKUP(C710,[4]RESULTATS!$E$1:$F$176,2,FALSE)</f>
        <v>251- Les manuels et guides adaptés aux nouveaux curricula sont développés</v>
      </c>
      <c r="AC710" s="20" t="str">
        <f>D710 &amp; "-" &amp; VLOOKUP(D710,[4]STRATEGIES!$E$1:$F$504,2,FALSE)</f>
        <v>2512-Validation des contenus et impression des manuels</v>
      </c>
      <c r="AD710" s="21" t="str">
        <f t="shared" si="148"/>
        <v>25123-Impression des manuels scolaires et guides pour l'expérimentation des manuels et guides du préscolaire</v>
      </c>
    </row>
    <row r="711" spans="1:30" ht="45" hidden="1" customHeight="1" x14ac:dyDescent="0.8">
      <c r="A711" s="25">
        <v>2</v>
      </c>
      <c r="B711" s="16">
        <v>25</v>
      </c>
      <c r="C711" s="16">
        <v>251</v>
      </c>
      <c r="D711" s="16">
        <v>2512</v>
      </c>
      <c r="E711" s="25">
        <v>25124</v>
      </c>
      <c r="F711" s="16" t="s">
        <v>875</v>
      </c>
      <c r="G711" s="21" t="s">
        <v>874</v>
      </c>
      <c r="H711" s="21" t="s">
        <v>816</v>
      </c>
      <c r="I711" s="56">
        <v>0</v>
      </c>
      <c r="J711" s="57"/>
      <c r="K711" s="57"/>
      <c r="L711" s="57">
        <f>(136050*0.15*10)+((136050*0.15)/77)*100</f>
        <v>230578.24675324676</v>
      </c>
      <c r="M711" s="57">
        <f t="shared" si="143"/>
        <v>230578.24675324676</v>
      </c>
      <c r="N711" s="57">
        <f>IF(OR(H711="",H711="sif",H711="PM"),0,VLOOKUP(H711,[5]CU!$C$4:$H$255,6,FALSE))</f>
        <v>7.4999999999999997E-3</v>
      </c>
      <c r="O711" s="57">
        <f t="shared" si="147"/>
        <v>0</v>
      </c>
      <c r="P711" s="57">
        <f t="shared" si="147"/>
        <v>0</v>
      </c>
      <c r="Q711" s="57">
        <f t="shared" si="147"/>
        <v>0</v>
      </c>
      <c r="R711" s="57">
        <f t="shared" si="147"/>
        <v>1729.3368506493507</v>
      </c>
      <c r="S711" s="60">
        <f t="shared" si="149"/>
        <v>1729.3368506493507</v>
      </c>
      <c r="T711" s="38" t="s">
        <v>169</v>
      </c>
      <c r="U711" s="19" t="s">
        <v>647</v>
      </c>
      <c r="V711" s="19" t="str">
        <f>IF(OR($H711="",$H711="sif",$H711="PM"),"",VLOOKUP($H711,[5]CU!$C$5:$J$255,8,FALSE))</f>
        <v>3. Dépenses de fonctionnement</v>
      </c>
      <c r="W711" s="19" t="s">
        <v>663</v>
      </c>
      <c r="X711" s="19" t="s">
        <v>398</v>
      </c>
      <c r="Y711" s="19" t="s">
        <v>32</v>
      </c>
      <c r="Z711" s="19" t="str">
        <f>A711 &amp; "-" &amp; VLOOKUP(A711,[4]PROGRAMMES!$E$1:$F$7,2,FALSE)</f>
        <v>2-Qualité des enseignements et des apprentissages</v>
      </c>
      <c r="AA711" s="19" t="str">
        <f>B711 &amp; "-" &amp; VLOOKUP(B711,[4]SOUSPROGRAMMES!$E$1:$F$44,2,FALSE)</f>
        <v xml:space="preserve">25- Conditions d’apprentissage améliorées </v>
      </c>
      <c r="AB711" s="19" t="str">
        <f>C711 &amp; "-" &amp; VLOOKUP(C711,[4]RESULTATS!$E$1:$F$176,2,FALSE)</f>
        <v>251- Les manuels et guides adaptés aux nouveaux curricula sont développés</v>
      </c>
      <c r="AC711" s="20" t="str">
        <f>D711 &amp; "-" &amp; VLOOKUP(D711,[4]STRATEGIES!$E$1:$F$504,2,FALSE)</f>
        <v>2512-Validation des contenus et impression des manuels</v>
      </c>
      <c r="AD711" s="21" t="str">
        <f t="shared" si="148"/>
        <v>25124-Impression des manuels scolaires et guides pour l'expérimentation des manuels et guides en 7éme année</v>
      </c>
    </row>
    <row r="712" spans="1:30" s="22" customFormat="1" ht="45" customHeight="1" x14ac:dyDescent="0.8">
      <c r="A712" s="14">
        <v>2</v>
      </c>
      <c r="B712" s="15">
        <v>25</v>
      </c>
      <c r="C712" s="15">
        <v>251</v>
      </c>
      <c r="D712" s="15">
        <v>2512</v>
      </c>
      <c r="E712" s="14">
        <v>25125</v>
      </c>
      <c r="F712" s="16" t="s">
        <v>876</v>
      </c>
      <c r="G712" s="21" t="s">
        <v>877</v>
      </c>
      <c r="H712" s="17" t="s">
        <v>878</v>
      </c>
      <c r="I712" s="56">
        <v>0</v>
      </c>
      <c r="J712" s="56"/>
      <c r="K712" s="56"/>
      <c r="L712" s="56">
        <f>(30000*3)+(30000/43*3)</f>
        <v>92093.023255813954</v>
      </c>
      <c r="M712" s="56">
        <f t="shared" si="143"/>
        <v>92093.023255813954</v>
      </c>
      <c r="N712" s="56">
        <f>IF(OR(H712="",H712="sif",H712="PM"),0,VLOOKUP(H712,[5]CU!$C$4:$H$255,6,FALSE))</f>
        <v>0.12690560000000001</v>
      </c>
      <c r="O712" s="56">
        <f t="shared" si="147"/>
        <v>0</v>
      </c>
      <c r="P712" s="56">
        <f t="shared" si="147"/>
        <v>0</v>
      </c>
      <c r="Q712" s="56">
        <f t="shared" si="147"/>
        <v>0</v>
      </c>
      <c r="R712" s="56">
        <f t="shared" si="147"/>
        <v>11687.120372093024</v>
      </c>
      <c r="S712" s="53">
        <f t="shared" si="149"/>
        <v>11687.120372093024</v>
      </c>
      <c r="T712" s="35" t="s">
        <v>39</v>
      </c>
      <c r="U712" s="19" t="s">
        <v>647</v>
      </c>
      <c r="V712" s="19" t="str">
        <f>IF(OR($H712="",$H712="sif",$H712="PM"),"",VLOOKUP($H712,[5]CU!$C$5:$J$255,8,FALSE))</f>
        <v>3. Manuels scolaires et matériels pédagogiques</v>
      </c>
      <c r="W712" s="19" t="s">
        <v>663</v>
      </c>
      <c r="X712" s="19" t="s">
        <v>665</v>
      </c>
      <c r="Y712" s="19" t="s">
        <v>32</v>
      </c>
      <c r="Z712" s="19" t="str">
        <f>A712 &amp; "-" &amp; VLOOKUP(A712,[4]PROGRAMMES!$E$1:$F$7,2,FALSE)</f>
        <v>2-Qualité des enseignements et des apprentissages</v>
      </c>
      <c r="AA712" s="19" t="str">
        <f>B712 &amp; "-" &amp; VLOOKUP(B712,[4]SOUSPROGRAMMES!$E$1:$F$44,2,FALSE)</f>
        <v xml:space="preserve">25- Conditions d’apprentissage améliorées </v>
      </c>
      <c r="AB712" s="19" t="str">
        <f>C712 &amp; "-" &amp; VLOOKUP(C712,[4]RESULTATS!$E$1:$F$176,2,FALSE)</f>
        <v>251- Les manuels et guides adaptés aux nouveaux curricula sont développés</v>
      </c>
      <c r="AC712" s="20" t="str">
        <f>D712 &amp; "-" &amp; VLOOKUP(D712,[4]STRATEGIES!$E$1:$F$504,2,FALSE)</f>
        <v>2512-Validation des contenus et impression des manuels</v>
      </c>
      <c r="AD712" s="21" t="str">
        <f t="shared" si="148"/>
        <v>25125-Reproduction et distribution des manuels scolaires et des guides dans les établissements du préscolaire</v>
      </c>
    </row>
    <row r="713" spans="1:30" s="22" customFormat="1" ht="45" customHeight="1" x14ac:dyDescent="0.8">
      <c r="A713" s="14">
        <v>2</v>
      </c>
      <c r="B713" s="15">
        <v>25</v>
      </c>
      <c r="C713" s="15">
        <v>252</v>
      </c>
      <c r="D713" s="15">
        <v>252</v>
      </c>
      <c r="E713" s="14">
        <v>252</v>
      </c>
      <c r="F713" s="16" t="s">
        <v>879</v>
      </c>
      <c r="G713" s="17" t="s">
        <v>436</v>
      </c>
      <c r="H713" s="17"/>
      <c r="I713" s="56">
        <v>0</v>
      </c>
      <c r="J713" s="56"/>
      <c r="K713" s="56"/>
      <c r="L713" s="56"/>
      <c r="M713" s="56"/>
      <c r="N713" s="56"/>
      <c r="O713" s="56"/>
      <c r="P713" s="56"/>
      <c r="Q713" s="56"/>
      <c r="R713" s="56"/>
      <c r="S713" s="53"/>
      <c r="T713" s="33"/>
      <c r="U713" s="18"/>
      <c r="V713" s="19"/>
      <c r="W713" s="18"/>
      <c r="X713" s="18"/>
      <c r="Y713" s="19" t="s">
        <v>32</v>
      </c>
      <c r="Z713" s="19" t="str">
        <f>A713 &amp; "-" &amp; VLOOKUP(A713,[4]PROGRAMMES!$E$1:$F$7,2,FALSE)</f>
        <v>2-Qualité des enseignements et des apprentissages</v>
      </c>
      <c r="AA713" s="19" t="str">
        <f>B713 &amp; "-" &amp; VLOOKUP(B713,[4]SOUSPROGRAMMES!$E$1:$F$44,2,FALSE)</f>
        <v xml:space="preserve">25- Conditions d’apprentissage améliorées </v>
      </c>
      <c r="AB713" s="19" t="str">
        <f>C713 &amp; "-" &amp; VLOOKUP(C713,[4]RESULTATS!$E$1:$F$176,2,FALSE)</f>
        <v>252- Les  enseignants sont formés à l'utilisation des manuels et guides de l'enseignant</v>
      </c>
      <c r="AC713" s="20" t="str">
        <f>D713 &amp; "-" &amp; VLOOKUP(D713,[4]STRATEGIES!$E$1:$F$504,2,FALSE)</f>
        <v>252- Les  enseignants sont formés à l'utilisation des manuels et guides de l'enseignant</v>
      </c>
      <c r="AD713" s="21" t="str">
        <f t="shared" si="148"/>
        <v>252- Les  enseignants sont formés à l'utilisation des manuels et guides de l'enseignant</v>
      </c>
    </row>
    <row r="714" spans="1:30" s="22" customFormat="1" ht="45" customHeight="1" x14ac:dyDescent="0.8">
      <c r="A714" s="14">
        <v>2</v>
      </c>
      <c r="B714" s="15">
        <v>25</v>
      </c>
      <c r="C714" s="15">
        <v>252</v>
      </c>
      <c r="D714" s="15">
        <v>2521</v>
      </c>
      <c r="E714" s="14">
        <v>2521</v>
      </c>
      <c r="F714" s="16" t="s">
        <v>880</v>
      </c>
      <c r="G714" s="17"/>
      <c r="H714" s="17"/>
      <c r="I714" s="56">
        <v>0</v>
      </c>
      <c r="J714" s="56"/>
      <c r="K714" s="56"/>
      <c r="L714" s="56"/>
      <c r="M714" s="56"/>
      <c r="N714" s="56"/>
      <c r="O714" s="56"/>
      <c r="P714" s="56"/>
      <c r="Q714" s="56"/>
      <c r="R714" s="56"/>
      <c r="S714" s="53"/>
      <c r="T714" s="33"/>
      <c r="U714" s="18"/>
      <c r="V714" s="19"/>
      <c r="W714" s="18"/>
      <c r="X714" s="18"/>
      <c r="Y714" s="19" t="s">
        <v>32</v>
      </c>
      <c r="Z714" s="19" t="str">
        <f>A714 &amp; "-" &amp; VLOOKUP(A714,[4]PROGRAMMES!$E$1:$F$7,2,FALSE)</f>
        <v>2-Qualité des enseignements et des apprentissages</v>
      </c>
      <c r="AA714" s="19" t="str">
        <f>B714 &amp; "-" &amp; VLOOKUP(B714,[4]SOUSPROGRAMMES!$E$1:$F$44,2,FALSE)</f>
        <v xml:space="preserve">25- Conditions d’apprentissage améliorées </v>
      </c>
      <c r="AB714" s="19" t="str">
        <f>C714 &amp; "-" &amp; VLOOKUP(C714,[4]RESULTATS!$E$1:$F$176,2,FALSE)</f>
        <v>252- Les  enseignants sont formés à l'utilisation des manuels et guides de l'enseignant</v>
      </c>
      <c r="AC714" s="20" t="str">
        <f>D714 &amp; "-" &amp; VLOOKUP(D714,[4]STRATEGIES!$E$1:$F$504,2,FALSE)</f>
        <v>2521-Sensibilisation et Formation des enseignants et éducateurs à l'utilisation des guides et manuels d'enseignants</v>
      </c>
      <c r="AD714" s="21" t="str">
        <f t="shared" si="148"/>
        <v>2521-Sensibilisation et Formation des enseignants et éducateurs à l'utilisation des guides et manuels d'enseignants</v>
      </c>
    </row>
    <row r="715" spans="1:30" s="22" customFormat="1" ht="45" customHeight="1" x14ac:dyDescent="0.8">
      <c r="A715" s="14">
        <v>2</v>
      </c>
      <c r="B715" s="15">
        <v>25</v>
      </c>
      <c r="C715" s="15">
        <v>252</v>
      </c>
      <c r="D715" s="15">
        <v>2521</v>
      </c>
      <c r="E715" s="14">
        <v>25211</v>
      </c>
      <c r="F715" s="16" t="s">
        <v>881</v>
      </c>
      <c r="G715" s="21" t="s">
        <v>37</v>
      </c>
      <c r="H715" s="17" t="s">
        <v>52</v>
      </c>
      <c r="I715" s="56">
        <v>0</v>
      </c>
      <c r="J715" s="56"/>
      <c r="K715" s="56"/>
      <c r="L715" s="56">
        <f>500</f>
        <v>500</v>
      </c>
      <c r="M715" s="56">
        <f t="shared" si="143"/>
        <v>500</v>
      </c>
      <c r="N715" s="56">
        <f>IF(OR(H715="",H715="sif",H715="PM"),0,VLOOKUP(H715,[5]CU!$C$4:$H$255,6,FALSE))</f>
        <v>1.5</v>
      </c>
      <c r="O715" s="56">
        <f t="shared" si="147"/>
        <v>0</v>
      </c>
      <c r="P715" s="56">
        <f t="shared" si="147"/>
        <v>0</v>
      </c>
      <c r="Q715" s="56">
        <f t="shared" si="147"/>
        <v>0</v>
      </c>
      <c r="R715" s="56">
        <f t="shared" si="147"/>
        <v>750</v>
      </c>
      <c r="S715" s="53">
        <f t="shared" si="149"/>
        <v>750</v>
      </c>
      <c r="T715" s="35" t="s">
        <v>39</v>
      </c>
      <c r="U715" s="18" t="s">
        <v>647</v>
      </c>
      <c r="V715" s="19" t="str">
        <f>IF(OR($H715="",$H715="sif",$H715="PM"),"",VLOOKUP($H715,[5]CU!$C$5:$J$255,8,FALSE))</f>
        <v>3. Formation</v>
      </c>
      <c r="W715" s="18" t="s">
        <v>665</v>
      </c>
      <c r="X715" s="18" t="s">
        <v>347</v>
      </c>
      <c r="Y715" s="19" t="s">
        <v>32</v>
      </c>
      <c r="Z715" s="19" t="str">
        <f>A715 &amp; "-" &amp; VLOOKUP(A715,[4]PROGRAMMES!$E$1:$F$7,2,FALSE)</f>
        <v>2-Qualité des enseignements et des apprentissages</v>
      </c>
      <c r="AA715" s="19" t="str">
        <f>B715 &amp; "-" &amp; VLOOKUP(B715,[4]SOUSPROGRAMMES!$E$1:$F$44,2,FALSE)</f>
        <v xml:space="preserve">25- Conditions d’apprentissage améliorées </v>
      </c>
      <c r="AB715" s="19" t="str">
        <f>C715 &amp; "-" &amp; VLOOKUP(C715,[4]RESULTATS!$E$1:$F$176,2,FALSE)</f>
        <v>252- Les  enseignants sont formés à l'utilisation des manuels et guides de l'enseignant</v>
      </c>
      <c r="AC715" s="20" t="str">
        <f>D715 &amp; "-" &amp; VLOOKUP(D715,[4]STRATEGIES!$E$1:$F$504,2,FALSE)</f>
        <v>2521-Sensibilisation et Formation des enseignants et éducateurs à l'utilisation des guides et manuels d'enseignants</v>
      </c>
      <c r="AD715" s="21" t="str">
        <f t="shared" si="148"/>
        <v>25211-Formation des enseignants et éducateurs à l'utilisation des manuels et guides d'enseignants au préscolaire</v>
      </c>
    </row>
    <row r="716" spans="1:30" s="22" customFormat="1" ht="45" hidden="1" customHeight="1" x14ac:dyDescent="0.8">
      <c r="A716" s="14">
        <v>2</v>
      </c>
      <c r="B716" s="15">
        <v>25</v>
      </c>
      <c r="C716" s="15">
        <v>252</v>
      </c>
      <c r="D716" s="15">
        <v>2521</v>
      </c>
      <c r="E716" s="14">
        <v>25212</v>
      </c>
      <c r="F716" s="16" t="s">
        <v>882</v>
      </c>
      <c r="G716" s="21" t="s">
        <v>37</v>
      </c>
      <c r="H716" s="17" t="s">
        <v>52</v>
      </c>
      <c r="I716" s="56">
        <v>0</v>
      </c>
      <c r="J716" s="56"/>
      <c r="K716" s="56"/>
      <c r="L716" s="56"/>
      <c r="M716" s="56">
        <f>SUM(I716:L716)</f>
        <v>0</v>
      </c>
      <c r="N716" s="56">
        <f>IF(OR(H716="",H716="sif",H716="PM"),0,VLOOKUP(H716,[5]CU!$C$4:$H$255,6,FALSE))</f>
        <v>1.5</v>
      </c>
      <c r="O716" s="56">
        <f>IFERROR($N716*I716,0)</f>
        <v>0</v>
      </c>
      <c r="P716" s="56">
        <f>IFERROR($N716*J716,0)</f>
        <v>0</v>
      </c>
      <c r="Q716" s="56">
        <f>IFERROR($N716*K716,0)</f>
        <v>0</v>
      </c>
      <c r="R716" s="56">
        <f>IFERROR($N716*L716,0)</f>
        <v>0</v>
      </c>
      <c r="S716" s="53">
        <f>SUM(O716:R716)</f>
        <v>0</v>
      </c>
      <c r="T716" s="35" t="s">
        <v>178</v>
      </c>
      <c r="U716" s="19" t="s">
        <v>647</v>
      </c>
      <c r="V716" s="19" t="str">
        <f>IF(OR($H716="",$H716="sif",$H716="PM"),"",VLOOKUP($H716,[5]CU!$C$5:$J$255,8,FALSE))</f>
        <v>3. Formation</v>
      </c>
      <c r="W716" s="19" t="s">
        <v>665</v>
      </c>
      <c r="X716" s="19" t="s">
        <v>347</v>
      </c>
      <c r="Y716" s="19" t="s">
        <v>32</v>
      </c>
      <c r="Z716" s="19" t="str">
        <f>A716 &amp; "-" &amp; VLOOKUP(A716,[4]PROGRAMMES!$E$1:$F$7,2,FALSE)</f>
        <v>2-Qualité des enseignements et des apprentissages</v>
      </c>
      <c r="AA716" s="19" t="str">
        <f>B716 &amp; "-" &amp; VLOOKUP(B716,[4]SOUSPROGRAMMES!$E$1:$F$44,2,FALSE)</f>
        <v xml:space="preserve">25- Conditions d’apprentissage améliorées </v>
      </c>
      <c r="AB716" s="19" t="str">
        <f>C716 &amp; "-" &amp; VLOOKUP(C716,[4]RESULTATS!$E$1:$F$176,2,FALSE)</f>
        <v>252- Les  enseignants sont formés à l'utilisation des manuels et guides de l'enseignant</v>
      </c>
      <c r="AC716" s="20" t="str">
        <f>D716 &amp; "-" &amp; VLOOKUP(D716,[4]STRATEGIES!$E$1:$F$504,2,FALSE)</f>
        <v>2521-Sensibilisation et Formation des enseignants et éducateurs à l'utilisation des guides et manuels d'enseignants</v>
      </c>
      <c r="AD716" s="21" t="str">
        <f t="shared" si="148"/>
        <v xml:space="preserve">25212-Formation des enseignants et éducateurs à l'utilisation des manuels et guides </v>
      </c>
    </row>
    <row r="717" spans="1:30" s="22" customFormat="1" ht="45" customHeight="1" x14ac:dyDescent="0.8">
      <c r="A717" s="14">
        <v>2</v>
      </c>
      <c r="B717" s="15">
        <v>25</v>
      </c>
      <c r="C717" s="15">
        <v>252</v>
      </c>
      <c r="D717" s="15">
        <v>2521</v>
      </c>
      <c r="E717" s="14">
        <v>25212</v>
      </c>
      <c r="F717" s="16" t="s">
        <v>882</v>
      </c>
      <c r="G717" s="21" t="s">
        <v>37</v>
      </c>
      <c r="H717" s="17" t="s">
        <v>52</v>
      </c>
      <c r="I717" s="56">
        <v>0</v>
      </c>
      <c r="J717" s="56">
        <v>230</v>
      </c>
      <c r="K717" s="56">
        <v>500</v>
      </c>
      <c r="L717" s="56">
        <v>400</v>
      </c>
      <c r="M717" s="56">
        <f t="shared" si="143"/>
        <v>1130</v>
      </c>
      <c r="N717" s="56">
        <f>IF(OR(H717="",H717="sif",H717="PM"),0,VLOOKUP(H717,[5]CU!$C$4:$H$255,6,FALSE))</f>
        <v>1.5</v>
      </c>
      <c r="O717" s="56">
        <f t="shared" si="147"/>
        <v>0</v>
      </c>
      <c r="P717" s="56">
        <f t="shared" si="147"/>
        <v>345</v>
      </c>
      <c r="Q717" s="56">
        <f t="shared" si="147"/>
        <v>750</v>
      </c>
      <c r="R717" s="56">
        <f t="shared" si="147"/>
        <v>600</v>
      </c>
      <c r="S717" s="53">
        <f t="shared" si="149"/>
        <v>1695</v>
      </c>
      <c r="T717" s="35" t="s">
        <v>39</v>
      </c>
      <c r="U717" s="19" t="s">
        <v>647</v>
      </c>
      <c r="V717" s="19" t="str">
        <f>IF(OR($H717="",$H717="sif",$H717="PM"),"",VLOOKUP($H717,[5]CU!$C$5:$J$255,8,FALSE))</f>
        <v>3. Formation</v>
      </c>
      <c r="W717" s="19" t="s">
        <v>665</v>
      </c>
      <c r="X717" s="19" t="s">
        <v>347</v>
      </c>
      <c r="Y717" s="19" t="s">
        <v>32</v>
      </c>
      <c r="Z717" s="19" t="str">
        <f>A717 &amp; "-" &amp; VLOOKUP(A717,[4]PROGRAMMES!$E$1:$F$7,2,FALSE)</f>
        <v>2-Qualité des enseignements et des apprentissages</v>
      </c>
      <c r="AA717" s="19" t="str">
        <f>B717 &amp; "-" &amp; VLOOKUP(B717,[4]SOUSPROGRAMMES!$E$1:$F$44,2,FALSE)</f>
        <v xml:space="preserve">25- Conditions d’apprentissage améliorées </v>
      </c>
      <c r="AB717" s="19" t="str">
        <f>C717 &amp; "-" &amp; VLOOKUP(C717,[4]RESULTATS!$E$1:$F$176,2,FALSE)</f>
        <v>252- Les  enseignants sont formés à l'utilisation des manuels et guides de l'enseignant</v>
      </c>
      <c r="AC717" s="20" t="str">
        <f>D717 &amp; "-" &amp; VLOOKUP(D717,[4]STRATEGIES!$E$1:$F$504,2,FALSE)</f>
        <v>2521-Sensibilisation et Formation des enseignants et éducateurs à l'utilisation des guides et manuels d'enseignants</v>
      </c>
      <c r="AD717" s="21" t="str">
        <f t="shared" si="148"/>
        <v xml:space="preserve">25212-Formation des enseignants et éducateurs à l'utilisation des manuels et guides </v>
      </c>
    </row>
    <row r="718" spans="1:30" s="22" customFormat="1" ht="45" customHeight="1" x14ac:dyDescent="0.8">
      <c r="A718" s="14">
        <v>2</v>
      </c>
      <c r="B718" s="15">
        <v>25</v>
      </c>
      <c r="C718" s="15">
        <v>252</v>
      </c>
      <c r="D718" s="15">
        <v>2521</v>
      </c>
      <c r="E718" s="14">
        <v>25213</v>
      </c>
      <c r="F718" s="16" t="s">
        <v>883</v>
      </c>
      <c r="G718" s="21" t="s">
        <v>37</v>
      </c>
      <c r="H718" s="17" t="s">
        <v>66</v>
      </c>
      <c r="I718" s="56">
        <v>0</v>
      </c>
      <c r="J718" s="56"/>
      <c r="K718" s="56"/>
      <c r="L718" s="56">
        <f>10*5</f>
        <v>50</v>
      </c>
      <c r="M718" s="56">
        <f t="shared" si="143"/>
        <v>50</v>
      </c>
      <c r="N718" s="56">
        <f>IF(OR(H718="",H718="sif",H718="PM"),0,VLOOKUP(H718,[5]CU!$C$4:$H$255,6,FALSE))</f>
        <v>0.255</v>
      </c>
      <c r="O718" s="56">
        <f t="shared" si="147"/>
        <v>0</v>
      </c>
      <c r="P718" s="56">
        <f t="shared" si="147"/>
        <v>0</v>
      </c>
      <c r="Q718" s="56">
        <f t="shared" si="147"/>
        <v>0</v>
      </c>
      <c r="R718" s="56">
        <f t="shared" si="147"/>
        <v>12.75</v>
      </c>
      <c r="S718" s="53">
        <f t="shared" si="149"/>
        <v>12.75</v>
      </c>
      <c r="T718" s="35" t="s">
        <v>39</v>
      </c>
      <c r="U718" s="19" t="s">
        <v>647</v>
      </c>
      <c r="V718" s="19" t="str">
        <f>IF(OR($H718="",$H718="sif",$H718="PM"),"",VLOOKUP($H718,[5]CU!$C$5:$J$255,8,FALSE))</f>
        <v>3. Dépenses de fonctionnement</v>
      </c>
      <c r="W718" s="19" t="s">
        <v>708</v>
      </c>
      <c r="X718" s="19" t="s">
        <v>347</v>
      </c>
      <c r="Y718" s="19" t="s">
        <v>32</v>
      </c>
      <c r="Z718" s="19" t="str">
        <f>A718 &amp; "-" &amp; VLOOKUP(A718,[4]PROGRAMMES!$E$1:$F$7,2,FALSE)</f>
        <v>2-Qualité des enseignements et des apprentissages</v>
      </c>
      <c r="AA718" s="19" t="str">
        <f>B718 &amp; "-" &amp; VLOOKUP(B718,[4]SOUSPROGRAMMES!$E$1:$F$44,2,FALSE)</f>
        <v xml:space="preserve">25- Conditions d’apprentissage améliorées </v>
      </c>
      <c r="AB718" s="19" t="str">
        <f>C718 &amp; "-" &amp; VLOOKUP(C718,[4]RESULTATS!$E$1:$F$176,2,FALSE)</f>
        <v>252- Les  enseignants sont formés à l'utilisation des manuels et guides de l'enseignant</v>
      </c>
      <c r="AC718" s="20" t="str">
        <f>D718 &amp; "-" &amp; VLOOKUP(D718,[4]STRATEGIES!$E$1:$F$504,2,FALSE)</f>
        <v>2521-Sensibilisation et Formation des enseignants et éducateurs à l'utilisation des guides et manuels d'enseignants</v>
      </c>
      <c r="AD718" s="21" t="str">
        <f t="shared" si="148"/>
        <v>25213-Production des outils de suivi de l'utilisation des manuels et guides</v>
      </c>
    </row>
    <row r="719" spans="1:30" s="22" customFormat="1" ht="45" customHeight="1" x14ac:dyDescent="0.8">
      <c r="A719" s="14">
        <v>2</v>
      </c>
      <c r="B719" s="15">
        <v>25</v>
      </c>
      <c r="C719" s="15">
        <v>252</v>
      </c>
      <c r="D719" s="15">
        <v>2521</v>
      </c>
      <c r="E719" s="14">
        <v>25214</v>
      </c>
      <c r="F719" s="16" t="s">
        <v>884</v>
      </c>
      <c r="G719" s="21" t="s">
        <v>651</v>
      </c>
      <c r="H719" s="17" t="s">
        <v>55</v>
      </c>
      <c r="I719" s="56">
        <v>0</v>
      </c>
      <c r="J719" s="56"/>
      <c r="K719" s="56"/>
      <c r="L719" s="56">
        <v>1</v>
      </c>
      <c r="M719" s="56">
        <f t="shared" si="143"/>
        <v>1</v>
      </c>
      <c r="N719" s="56">
        <f>IF(OR(H719="",H719="sif",H719="PM"),0,VLOOKUP(H719,[5]CU!$C$4:$H$255,6,FALSE))</f>
        <v>0</v>
      </c>
      <c r="O719" s="56">
        <f t="shared" si="147"/>
        <v>0</v>
      </c>
      <c r="P719" s="56">
        <f t="shared" si="147"/>
        <v>0</v>
      </c>
      <c r="Q719" s="56">
        <f t="shared" si="147"/>
        <v>0</v>
      </c>
      <c r="R719" s="56">
        <f t="shared" si="147"/>
        <v>0</v>
      </c>
      <c r="S719" s="53"/>
      <c r="T719" s="35" t="s">
        <v>39</v>
      </c>
      <c r="U719" s="18" t="s">
        <v>647</v>
      </c>
      <c r="V719" s="19" t="str">
        <f>IF(OR($H719="",$H719="sif",$H719="PM"),"",VLOOKUP($H719,[5]CU!$C$5:$J$255,8,FALSE))</f>
        <v/>
      </c>
      <c r="W719" s="18" t="s">
        <v>708</v>
      </c>
      <c r="X719" s="18" t="s">
        <v>347</v>
      </c>
      <c r="Y719" s="19" t="s">
        <v>32</v>
      </c>
      <c r="Z719" s="19" t="str">
        <f>A719 &amp; "-" &amp; VLOOKUP(A719,[4]PROGRAMMES!$E$1:$F$7,2,FALSE)</f>
        <v>2-Qualité des enseignements et des apprentissages</v>
      </c>
      <c r="AA719" s="19" t="str">
        <f>B719 &amp; "-" &amp; VLOOKUP(B719,[4]SOUSPROGRAMMES!$E$1:$F$44,2,FALSE)</f>
        <v xml:space="preserve">25- Conditions d’apprentissage améliorées </v>
      </c>
      <c r="AB719" s="19" t="str">
        <f>C719 &amp; "-" &amp; VLOOKUP(C719,[4]RESULTATS!$E$1:$F$176,2,FALSE)</f>
        <v>252- Les  enseignants sont formés à l'utilisation des manuels et guides de l'enseignant</v>
      </c>
      <c r="AC719" s="20" t="str">
        <f>D719 &amp; "-" &amp; VLOOKUP(D719,[4]STRATEGIES!$E$1:$F$504,2,FALSE)</f>
        <v>2521-Sensibilisation et Formation des enseignants et éducateurs à l'utilisation des guides et manuels d'enseignants</v>
      </c>
      <c r="AD719" s="21" t="str">
        <f t="shared" si="148"/>
        <v>25214-Collecte de données sur l'utilisation des manuels et guides</v>
      </c>
    </row>
    <row r="720" spans="1:30" s="22" customFormat="1" ht="45" customHeight="1" x14ac:dyDescent="0.8">
      <c r="A720" s="14">
        <v>2</v>
      </c>
      <c r="B720" s="15">
        <v>25</v>
      </c>
      <c r="C720" s="15">
        <v>252</v>
      </c>
      <c r="D720" s="15">
        <v>2521</v>
      </c>
      <c r="E720" s="14">
        <v>25215</v>
      </c>
      <c r="F720" s="16" t="s">
        <v>885</v>
      </c>
      <c r="G720" s="21" t="s">
        <v>886</v>
      </c>
      <c r="H720" s="17" t="s">
        <v>55</v>
      </c>
      <c r="I720" s="56">
        <v>0</v>
      </c>
      <c r="J720" s="56"/>
      <c r="K720" s="56"/>
      <c r="L720" s="56">
        <v>1</v>
      </c>
      <c r="M720" s="56">
        <f t="shared" ref="M720:M795" si="150">SUM(I720:L720)</f>
        <v>1</v>
      </c>
      <c r="N720" s="56">
        <f>IF(OR(H720="",H720="sif",H720="PM"),0,VLOOKUP(H720,[5]CU!$C$4:$H$255,6,FALSE))</f>
        <v>0</v>
      </c>
      <c r="O720" s="56">
        <f t="shared" si="147"/>
        <v>0</v>
      </c>
      <c r="P720" s="56">
        <f t="shared" si="147"/>
        <v>0</v>
      </c>
      <c r="Q720" s="56">
        <f t="shared" si="147"/>
        <v>0</v>
      </c>
      <c r="R720" s="56">
        <f t="shared" si="147"/>
        <v>0</v>
      </c>
      <c r="S720" s="53"/>
      <c r="T720" s="35" t="s">
        <v>39</v>
      </c>
      <c r="U720" s="18" t="s">
        <v>647</v>
      </c>
      <c r="V720" s="19" t="str">
        <f>IF(OR($H720="",$H720="sif",$H720="PM"),"",VLOOKUP($H720,[5]CU!$C$5:$J$255,8,FALSE))</f>
        <v/>
      </c>
      <c r="W720" s="18" t="s">
        <v>708</v>
      </c>
      <c r="X720" s="18" t="s">
        <v>887</v>
      </c>
      <c r="Y720" s="19" t="s">
        <v>32</v>
      </c>
      <c r="Z720" s="19" t="str">
        <f>A720 &amp; "-" &amp; VLOOKUP(A720,[4]PROGRAMMES!$E$1:$F$7,2,FALSE)</f>
        <v>2-Qualité des enseignements et des apprentissages</v>
      </c>
      <c r="AA720" s="19" t="str">
        <f>B720 &amp; "-" &amp; VLOOKUP(B720,[4]SOUSPROGRAMMES!$E$1:$F$44,2,FALSE)</f>
        <v xml:space="preserve">25- Conditions d’apprentissage améliorées </v>
      </c>
      <c r="AB720" s="19" t="str">
        <f>C720 &amp; "-" &amp; VLOOKUP(C720,[4]RESULTATS!$E$1:$F$176,2,FALSE)</f>
        <v>252- Les  enseignants sont formés à l'utilisation des manuels et guides de l'enseignant</v>
      </c>
      <c r="AC720" s="20" t="str">
        <f>D720 &amp; "-" &amp; VLOOKUP(D720,[4]STRATEGIES!$E$1:$F$504,2,FALSE)</f>
        <v>2521-Sensibilisation et Formation des enseignants et éducateurs à l'utilisation des guides et manuels d'enseignants</v>
      </c>
      <c r="AD720" s="21" t="str">
        <f t="shared" si="148"/>
        <v>25215-Suivi des enseignants à l'utilisation des manuels et guides par les services déconcentrés</v>
      </c>
    </row>
    <row r="721" spans="1:30" s="22" customFormat="1" ht="75" customHeight="1" x14ac:dyDescent="0.8">
      <c r="A721" s="14">
        <v>2</v>
      </c>
      <c r="B721" s="15">
        <v>25</v>
      </c>
      <c r="C721" s="15">
        <v>252</v>
      </c>
      <c r="D721" s="15">
        <v>2521</v>
      </c>
      <c r="E721" s="14">
        <v>25216</v>
      </c>
      <c r="F721" s="16" t="s">
        <v>888</v>
      </c>
      <c r="G721" s="21" t="s">
        <v>37</v>
      </c>
      <c r="H721" s="17" t="s">
        <v>66</v>
      </c>
      <c r="I721" s="56">
        <v>0</v>
      </c>
      <c r="J721" s="56"/>
      <c r="K721" s="56"/>
      <c r="L721" s="56">
        <f>10*5</f>
        <v>50</v>
      </c>
      <c r="M721" s="56">
        <f t="shared" si="150"/>
        <v>50</v>
      </c>
      <c r="N721" s="56">
        <f>IF(OR(H721="",H721="sif",H721="PM"),0,VLOOKUP(H721,[5]CU!$C$4:$H$255,6,FALSE))</f>
        <v>0.255</v>
      </c>
      <c r="O721" s="56">
        <f t="shared" si="147"/>
        <v>0</v>
      </c>
      <c r="P721" s="56">
        <f t="shared" si="147"/>
        <v>0</v>
      </c>
      <c r="Q721" s="56">
        <f t="shared" si="147"/>
        <v>0</v>
      </c>
      <c r="R721" s="56">
        <f t="shared" si="147"/>
        <v>12.75</v>
      </c>
      <c r="S721" s="53">
        <f>SUM(O721:R721)</f>
        <v>12.75</v>
      </c>
      <c r="T721" s="35" t="s">
        <v>39</v>
      </c>
      <c r="U721" s="19" t="s">
        <v>647</v>
      </c>
      <c r="V721" s="19" t="str">
        <f>IF(OR($H721="",$H721="sif",$H721="PM"),"",VLOOKUP($H721,[5]CU!$C$5:$J$255,8,FALSE))</f>
        <v>3. Dépenses de fonctionnement</v>
      </c>
      <c r="W721" s="19" t="s">
        <v>273</v>
      </c>
      <c r="X721" s="19" t="s">
        <v>889</v>
      </c>
      <c r="Y721" s="19" t="s">
        <v>32</v>
      </c>
      <c r="Z721" s="19" t="str">
        <f>A721 &amp; "-" &amp; VLOOKUP(A721,[4]PROGRAMMES!$E$1:$F$7,2,FALSE)</f>
        <v>2-Qualité des enseignements et des apprentissages</v>
      </c>
      <c r="AA721" s="19" t="str">
        <f>B721 &amp; "-" &amp; VLOOKUP(B721,[4]SOUSPROGRAMMES!$E$1:$F$44,2,FALSE)</f>
        <v xml:space="preserve">25- Conditions d’apprentissage améliorées </v>
      </c>
      <c r="AB721" s="19" t="str">
        <f>C721 &amp; "-" &amp; VLOOKUP(C721,[4]RESULTATS!$E$1:$F$176,2,FALSE)</f>
        <v>252- Les  enseignants sont formés à l'utilisation des manuels et guides de l'enseignant</v>
      </c>
      <c r="AC721" s="20" t="str">
        <f>D721 &amp; "-" &amp; VLOOKUP(D721,[4]STRATEGIES!$E$1:$F$504,2,FALSE)</f>
        <v>2521-Sensibilisation et Formation des enseignants et éducateurs à l'utilisation des guides et manuels d'enseignants</v>
      </c>
      <c r="AD721" s="21" t="str">
        <f t="shared" si="148"/>
        <v>25216-Rédaction du rapport</v>
      </c>
    </row>
    <row r="722" spans="1:30" s="22" customFormat="1" ht="60" customHeight="1" x14ac:dyDescent="0.8">
      <c r="A722" s="14">
        <v>2</v>
      </c>
      <c r="B722" s="15">
        <v>25</v>
      </c>
      <c r="C722" s="15">
        <v>253</v>
      </c>
      <c r="D722" s="15">
        <v>253</v>
      </c>
      <c r="E722" s="14">
        <v>253</v>
      </c>
      <c r="F722" s="16" t="s">
        <v>890</v>
      </c>
      <c r="G722" s="17"/>
      <c r="H722" s="17"/>
      <c r="I722" s="56">
        <v>0</v>
      </c>
      <c r="J722" s="56"/>
      <c r="K722" s="56"/>
      <c r="L722" s="56"/>
      <c r="M722" s="56"/>
      <c r="N722" s="56"/>
      <c r="O722" s="56"/>
      <c r="P722" s="56"/>
      <c r="Q722" s="56"/>
      <c r="R722" s="56"/>
      <c r="S722" s="53"/>
      <c r="T722" s="33"/>
      <c r="U722" s="18"/>
      <c r="V722" s="19"/>
      <c r="W722" s="18"/>
      <c r="X722" s="18"/>
      <c r="Y722" s="19" t="s">
        <v>32</v>
      </c>
      <c r="Z722" s="19" t="str">
        <f>A722 &amp; "-" &amp; VLOOKUP(A722,[4]PROGRAMMES!$E$1:$F$7,2,FALSE)</f>
        <v>2-Qualité des enseignements et des apprentissages</v>
      </c>
      <c r="AA722" s="19" t="str">
        <f>B722 &amp; "-" &amp; VLOOKUP(B722,[4]SOUSPROGRAMMES!$E$1:$F$44,2,FALSE)</f>
        <v xml:space="preserve">25- Conditions d’apprentissage améliorées </v>
      </c>
      <c r="AB722" s="19" t="str">
        <f>C722 &amp; "-" &amp; VLOOKUP(C722,[4]RESULTATS!$E$1:$F$176,2,FALSE)</f>
        <v>253- Les élèves du primaire et du secondaire disposent des manuels des matières fondamentales en quantité suffisante.</v>
      </c>
      <c r="AC722" s="20" t="str">
        <f>D722 &amp; "-" &amp; VLOOKUP(D722,[4]STRATEGIES!$E$1:$F$504,2,FALSE)</f>
        <v>253- Les élèves du primaire et du secondaire disposent des manuels des matières fondamentales en quantité suffisante.</v>
      </c>
      <c r="AD722" s="21" t="str">
        <f t="shared" si="148"/>
        <v>253- Les élèves du primaire et du secondaire disposent des manuels des matières fondamentales en quantité suffisante.</v>
      </c>
    </row>
    <row r="723" spans="1:30" s="22" customFormat="1" ht="60" customHeight="1" x14ac:dyDescent="0.8">
      <c r="A723" s="14">
        <v>2</v>
      </c>
      <c r="B723" s="15">
        <v>25</v>
      </c>
      <c r="C723" s="15">
        <v>253</v>
      </c>
      <c r="D723" s="15">
        <v>2531</v>
      </c>
      <c r="E723" s="14">
        <v>2531</v>
      </c>
      <c r="F723" s="16" t="s">
        <v>891</v>
      </c>
      <c r="G723" s="17"/>
      <c r="H723" s="17"/>
      <c r="I723" s="56">
        <v>0</v>
      </c>
      <c r="J723" s="56"/>
      <c r="K723" s="56"/>
      <c r="L723" s="56"/>
      <c r="M723" s="56"/>
      <c r="N723" s="56"/>
      <c r="O723" s="56"/>
      <c r="P723" s="56"/>
      <c r="Q723" s="56"/>
      <c r="R723" s="56"/>
      <c r="S723" s="53"/>
      <c r="T723" s="33"/>
      <c r="U723" s="18"/>
      <c r="V723" s="19"/>
      <c r="W723" s="18"/>
      <c r="X723" s="18"/>
      <c r="Y723" s="19" t="s">
        <v>32</v>
      </c>
      <c r="Z723" s="19" t="str">
        <f>A723 &amp; "-" &amp; VLOOKUP(A723,[4]PROGRAMMES!$E$1:$F$7,2,FALSE)</f>
        <v>2-Qualité des enseignements et des apprentissages</v>
      </c>
      <c r="AA723" s="19" t="str">
        <f>B723 &amp; "-" &amp; VLOOKUP(B723,[4]SOUSPROGRAMMES!$E$1:$F$44,2,FALSE)</f>
        <v xml:space="preserve">25- Conditions d’apprentissage améliorées </v>
      </c>
      <c r="AB723" s="19" t="str">
        <f>C723 &amp; "-" &amp; VLOOKUP(C723,[4]RESULTATS!$E$1:$F$176,2,FALSE)</f>
        <v>253- Les élèves du primaire et du secondaire disposent des manuels des matières fondamentales en quantité suffisante.</v>
      </c>
      <c r="AC723" s="20" t="str">
        <f>D723 &amp; "-" &amp; VLOOKUP(D723,[4]STRATEGIES!$E$1:$F$504,2,FALSE)</f>
        <v>2531-Distribution des manuels et guides</v>
      </c>
      <c r="AD723" s="21" t="str">
        <f t="shared" si="148"/>
        <v>2531-Distribution des manuels et guides</v>
      </c>
    </row>
    <row r="724" spans="1:30" s="22" customFormat="1" ht="60" hidden="1" customHeight="1" x14ac:dyDescent="0.8">
      <c r="A724" s="14">
        <v>2</v>
      </c>
      <c r="B724" s="15">
        <v>25</v>
      </c>
      <c r="C724" s="15">
        <v>253</v>
      </c>
      <c r="D724" s="15">
        <v>2531</v>
      </c>
      <c r="E724" s="14">
        <v>25311</v>
      </c>
      <c r="F724" s="16" t="s">
        <v>892</v>
      </c>
      <c r="G724" s="21" t="s">
        <v>893</v>
      </c>
      <c r="H724" s="17" t="s">
        <v>894</v>
      </c>
      <c r="I724" s="56">
        <v>0</v>
      </c>
      <c r="J724" s="56"/>
      <c r="K724" s="56"/>
      <c r="L724" s="56"/>
      <c r="M724" s="56">
        <f>SUM(I724:L724)</f>
        <v>0</v>
      </c>
      <c r="N724" s="56">
        <f>IF(OR(H724="",H724="sif",H724="PM"),0,VLOOKUP(H724,[5]CU!$C$4:$H$255,6,FALSE))</f>
        <v>2.2272E-2</v>
      </c>
      <c r="O724" s="56">
        <f t="shared" ref="O724:R727" si="151">IFERROR($N724*I724,0)</f>
        <v>0</v>
      </c>
      <c r="P724" s="56">
        <f t="shared" si="151"/>
        <v>0</v>
      </c>
      <c r="Q724" s="56">
        <f t="shared" si="151"/>
        <v>0</v>
      </c>
      <c r="R724" s="56">
        <f t="shared" si="151"/>
        <v>0</v>
      </c>
      <c r="S724" s="53">
        <f t="shared" ref="S724:S739" si="152">SUM(O724:R724)</f>
        <v>0</v>
      </c>
      <c r="T724" s="35" t="s">
        <v>178</v>
      </c>
      <c r="U724" s="19" t="s">
        <v>647</v>
      </c>
      <c r="V724" s="19" t="str">
        <f>IF(OR($H724="",$H724="sif",$H724="PM"),"",VLOOKUP($H724,[5]CU!$C$5:$J$255,8,FALSE))</f>
        <v>3. Manuels scolaires et matériels pédagogiques</v>
      </c>
      <c r="W724" s="19" t="s">
        <v>192</v>
      </c>
      <c r="X724" s="19" t="s">
        <v>347</v>
      </c>
      <c r="Y724" s="19" t="s">
        <v>32</v>
      </c>
      <c r="Z724" s="19" t="str">
        <f>A724 &amp; "-" &amp; VLOOKUP(A724,[4]PROGRAMMES!$E$1:$F$7,2,FALSE)</f>
        <v>2-Qualité des enseignements et des apprentissages</v>
      </c>
      <c r="AA724" s="19" t="str">
        <f>B724 &amp; "-" &amp; VLOOKUP(B724,[4]SOUSPROGRAMMES!$E$1:$F$44,2,FALSE)</f>
        <v xml:space="preserve">25- Conditions d’apprentissage améliorées </v>
      </c>
      <c r="AB724" s="19" t="str">
        <f>C724 &amp; "-" &amp; VLOOKUP(C724,[4]RESULTATS!$E$1:$F$176,2,FALSE)</f>
        <v>253- Les élèves du primaire et du secondaire disposent des manuels des matières fondamentales en quantité suffisante.</v>
      </c>
      <c r="AC724" s="20" t="str">
        <f>D724 &amp; "-" &amp; VLOOKUP(D724,[4]STRATEGIES!$E$1:$F$504,2,FALSE)</f>
        <v>2531-Distribution des manuels et guides</v>
      </c>
      <c r="AD724" s="21" t="str">
        <f t="shared" si="148"/>
        <v>25311-acquisition de manuels pour le primaire</v>
      </c>
    </row>
    <row r="725" spans="1:30" s="22" customFormat="1" ht="60" hidden="1" customHeight="1" x14ac:dyDescent="0.8">
      <c r="A725" s="14">
        <v>2</v>
      </c>
      <c r="B725" s="15">
        <v>25</v>
      </c>
      <c r="C725" s="15">
        <v>253</v>
      </c>
      <c r="D725" s="15">
        <v>2531</v>
      </c>
      <c r="E725" s="14">
        <v>25312</v>
      </c>
      <c r="F725" s="16" t="s">
        <v>895</v>
      </c>
      <c r="G725" s="21" t="s">
        <v>893</v>
      </c>
      <c r="H725" s="17" t="s">
        <v>896</v>
      </c>
      <c r="I725" s="56">
        <v>0</v>
      </c>
      <c r="J725" s="56"/>
      <c r="K725" s="56"/>
      <c r="L725" s="56"/>
      <c r="M725" s="56">
        <f>SUM(I725:L725)</f>
        <v>0</v>
      </c>
      <c r="N725" s="56">
        <f>IF(OR(H725="",H725="sif",H725="PM"),0,VLOOKUP(H725,[5]CU!$C$4:$H$255,6,FALSE))</f>
        <v>2.1999999999999999E-2</v>
      </c>
      <c r="O725" s="56">
        <f t="shared" si="151"/>
        <v>0</v>
      </c>
      <c r="P725" s="56">
        <f t="shared" si="151"/>
        <v>0</v>
      </c>
      <c r="Q725" s="56">
        <f t="shared" si="151"/>
        <v>0</v>
      </c>
      <c r="R725" s="56">
        <f t="shared" si="151"/>
        <v>0</v>
      </c>
      <c r="S725" s="53">
        <f t="shared" si="152"/>
        <v>0</v>
      </c>
      <c r="T725" s="35" t="s">
        <v>178</v>
      </c>
      <c r="U725" s="19" t="s">
        <v>647</v>
      </c>
      <c r="V725" s="19" t="str">
        <f>IF(OR($H725="",$H725="sif",$H725="PM"),"",VLOOKUP($H725,[5]CU!$C$5:$J$255,8,FALSE))</f>
        <v>3. Manuels scolaires et matériels pédagogiques</v>
      </c>
      <c r="W725" s="19" t="s">
        <v>192</v>
      </c>
      <c r="X725" s="19" t="s">
        <v>347</v>
      </c>
      <c r="Y725" s="19" t="s">
        <v>32</v>
      </c>
      <c r="Z725" s="19" t="str">
        <f>A725 &amp; "-" &amp; VLOOKUP(A725,[4]PROGRAMMES!$E$1:$F$7,2,FALSE)</f>
        <v>2-Qualité des enseignements et des apprentissages</v>
      </c>
      <c r="AA725" s="19" t="str">
        <f>B725 &amp; "-" &amp; VLOOKUP(B725,[4]SOUSPROGRAMMES!$E$1:$F$44,2,FALSE)</f>
        <v xml:space="preserve">25- Conditions d’apprentissage améliorées </v>
      </c>
      <c r="AB725" s="19" t="str">
        <f>C725 &amp; "-" &amp; VLOOKUP(C725,[4]RESULTATS!$E$1:$F$176,2,FALSE)</f>
        <v>253- Les élèves du primaire et du secondaire disposent des manuels des matières fondamentales en quantité suffisante.</v>
      </c>
      <c r="AC725" s="20" t="str">
        <f>D725 &amp; "-" &amp; VLOOKUP(D725,[4]STRATEGIES!$E$1:$F$504,2,FALSE)</f>
        <v>2531-Distribution des manuels et guides</v>
      </c>
      <c r="AD725" s="21" t="str">
        <f t="shared" si="148"/>
        <v>25312-acquisition de guides pour le primaire</v>
      </c>
    </row>
    <row r="726" spans="1:30" s="22" customFormat="1" ht="60" customHeight="1" x14ac:dyDescent="0.8">
      <c r="A726" s="14">
        <v>2</v>
      </c>
      <c r="B726" s="15">
        <v>25</v>
      </c>
      <c r="C726" s="15">
        <v>253</v>
      </c>
      <c r="D726" s="15">
        <v>2531</v>
      </c>
      <c r="E726" s="14">
        <v>25311</v>
      </c>
      <c r="F726" s="16" t="s">
        <v>892</v>
      </c>
      <c r="G726" s="21" t="s">
        <v>893</v>
      </c>
      <c r="H726" s="17" t="s">
        <v>894</v>
      </c>
      <c r="I726" s="56">
        <v>0</v>
      </c>
      <c r="J726" s="56">
        <f>3840719*15%</f>
        <v>576107.85</v>
      </c>
      <c r="K726" s="56">
        <f>3932758*15%</f>
        <v>589913.69999999995</v>
      </c>
      <c r="L726" s="56">
        <f>3996834*15%</f>
        <v>599525.1</v>
      </c>
      <c r="M726" s="56">
        <f>SUM(I726:L726)</f>
        <v>1765546.65</v>
      </c>
      <c r="N726" s="56">
        <f>IF(OR(H726="",H726="sif",H726="PM"),0,VLOOKUP(H726,[5]CU!$C$4:$H$255,6,FALSE))</f>
        <v>2.2272E-2</v>
      </c>
      <c r="O726" s="56">
        <f t="shared" si="151"/>
        <v>0</v>
      </c>
      <c r="P726" s="56">
        <f t="shared" si="151"/>
        <v>12831.074035199999</v>
      </c>
      <c r="Q726" s="56">
        <f t="shared" si="151"/>
        <v>13138.557926399999</v>
      </c>
      <c r="R726" s="56">
        <f t="shared" si="151"/>
        <v>13352.623027199999</v>
      </c>
      <c r="S726" s="53">
        <f t="shared" si="152"/>
        <v>39322.254988799992</v>
      </c>
      <c r="T726" s="35" t="s">
        <v>39</v>
      </c>
      <c r="U726" s="19" t="s">
        <v>647</v>
      </c>
      <c r="V726" s="19" t="str">
        <f>IF(OR($H726="",$H726="sif",$H726="PM"),"",VLOOKUP($H726,[5]CU!$C$5:$J$255,8,FALSE))</f>
        <v>3. Manuels scolaires et matériels pédagogiques</v>
      </c>
      <c r="W726" s="19" t="s">
        <v>192</v>
      </c>
      <c r="X726" s="19" t="s">
        <v>347</v>
      </c>
      <c r="Y726" s="19" t="s">
        <v>32</v>
      </c>
      <c r="Z726" s="19" t="str">
        <f>A726 &amp; "-" &amp; VLOOKUP(A726,[4]PROGRAMMES!$E$1:$F$7,2,FALSE)</f>
        <v>2-Qualité des enseignements et des apprentissages</v>
      </c>
      <c r="AA726" s="19" t="str">
        <f>B726 &amp; "-" &amp; VLOOKUP(B726,[4]SOUSPROGRAMMES!$E$1:$F$44,2,FALSE)</f>
        <v xml:space="preserve">25- Conditions d’apprentissage améliorées </v>
      </c>
      <c r="AB726" s="19" t="str">
        <f>C726 &amp; "-" &amp; VLOOKUP(C726,[4]RESULTATS!$E$1:$F$176,2,FALSE)</f>
        <v>253- Les élèves du primaire et du secondaire disposent des manuels des matières fondamentales en quantité suffisante.</v>
      </c>
      <c r="AC726" s="20" t="str">
        <f>D726 &amp; "-" &amp; VLOOKUP(D726,[4]STRATEGIES!$E$1:$F$504,2,FALSE)</f>
        <v>2531-Distribution des manuels et guides</v>
      </c>
      <c r="AD726" s="21" t="str">
        <f t="shared" si="148"/>
        <v>25311-acquisition de manuels pour le primaire</v>
      </c>
    </row>
    <row r="727" spans="1:30" ht="60" hidden="1" customHeight="1" x14ac:dyDescent="0.8">
      <c r="A727" s="25">
        <v>2</v>
      </c>
      <c r="B727" s="16">
        <v>25</v>
      </c>
      <c r="C727" s="16">
        <v>253</v>
      </c>
      <c r="D727" s="16">
        <v>2531</v>
      </c>
      <c r="E727" s="25">
        <v>25311</v>
      </c>
      <c r="F727" s="16" t="s">
        <v>892</v>
      </c>
      <c r="G727" s="21" t="s">
        <v>893</v>
      </c>
      <c r="H727" s="21" t="s">
        <v>894</v>
      </c>
      <c r="I727" s="56">
        <v>0</v>
      </c>
      <c r="J727" s="57">
        <f>4000000*15%</f>
        <v>600000</v>
      </c>
      <c r="K727" s="57">
        <f>4000000*30%</f>
        <v>1200000</v>
      </c>
      <c r="L727" s="57">
        <f>3996834*50%</f>
        <v>1998417</v>
      </c>
      <c r="M727" s="57">
        <f>SUM(I727:L727)</f>
        <v>3798417</v>
      </c>
      <c r="N727" s="57">
        <f>IF(OR(H727="",H727="sif",H727="PM"),0,VLOOKUP(H727,[5]CU!$C$4:$H$255,6,FALSE))</f>
        <v>2.2272E-2</v>
      </c>
      <c r="O727" s="57">
        <f t="shared" si="151"/>
        <v>0</v>
      </c>
      <c r="P727" s="57">
        <f t="shared" si="151"/>
        <v>13363.2</v>
      </c>
      <c r="Q727" s="57">
        <f t="shared" si="151"/>
        <v>26726.400000000001</v>
      </c>
      <c r="R727" s="57">
        <f t="shared" si="151"/>
        <v>44508.743424</v>
      </c>
      <c r="S727" s="60">
        <f t="shared" si="152"/>
        <v>84598.343424000006</v>
      </c>
      <c r="T727" s="38" t="s">
        <v>169</v>
      </c>
      <c r="U727" s="19" t="s">
        <v>647</v>
      </c>
      <c r="V727" s="19" t="str">
        <f>IF(OR($H727="",$H727="sif",$H727="PM"),"",VLOOKUP($H727,[5]CU!$C$5:$J$255,8,FALSE))</f>
        <v>3. Manuels scolaires et matériels pédagogiques</v>
      </c>
      <c r="W727" s="19" t="s">
        <v>192</v>
      </c>
      <c r="X727" s="19" t="s">
        <v>347</v>
      </c>
      <c r="Y727" s="19" t="s">
        <v>32</v>
      </c>
      <c r="Z727" s="19" t="str">
        <f>A727 &amp; "-" &amp; VLOOKUP(A727,[4]PROGRAMMES!$E$1:$F$7,2,FALSE)</f>
        <v>2-Qualité des enseignements et des apprentissages</v>
      </c>
      <c r="AA727" s="19" t="str">
        <f>B727 &amp; "-" &amp; VLOOKUP(B727,[4]SOUSPROGRAMMES!$E$1:$F$44,2,FALSE)</f>
        <v xml:space="preserve">25- Conditions d’apprentissage améliorées </v>
      </c>
      <c r="AB727" s="19" t="str">
        <f>C727 &amp; "-" &amp; VLOOKUP(C727,[4]RESULTATS!$E$1:$F$176,2,FALSE)</f>
        <v>253- Les élèves du primaire et du secondaire disposent des manuels des matières fondamentales en quantité suffisante.</v>
      </c>
      <c r="AC727" s="20" t="str">
        <f>D727 &amp; "-" &amp; VLOOKUP(D727,[4]STRATEGIES!$E$1:$F$504,2,FALSE)</f>
        <v>2531-Distribution des manuels et guides</v>
      </c>
      <c r="AD727" s="21" t="str">
        <f t="shared" si="148"/>
        <v>25311-acquisition de manuels pour le primaire</v>
      </c>
    </row>
    <row r="728" spans="1:30" s="22" customFormat="1" ht="60" hidden="1" customHeight="1" x14ac:dyDescent="0.8">
      <c r="A728" s="14">
        <v>2</v>
      </c>
      <c r="B728" s="15">
        <v>25</v>
      </c>
      <c r="C728" s="15">
        <v>253</v>
      </c>
      <c r="D728" s="15">
        <v>2531</v>
      </c>
      <c r="E728" s="14">
        <v>25311</v>
      </c>
      <c r="F728" s="16" t="s">
        <v>892</v>
      </c>
      <c r="G728" s="21" t="s">
        <v>893</v>
      </c>
      <c r="H728" s="17" t="s">
        <v>894</v>
      </c>
      <c r="I728" s="56">
        <v>0</v>
      </c>
      <c r="J728" s="56">
        <f>3840719*50%</f>
        <v>1920359.5</v>
      </c>
      <c r="K728" s="56">
        <f>3932758*50%</f>
        <v>1966379</v>
      </c>
      <c r="L728" s="56">
        <f>3996834*50%</f>
        <v>1998417</v>
      </c>
      <c r="M728" s="56">
        <f t="shared" si="150"/>
        <v>5885155.5</v>
      </c>
      <c r="N728" s="56">
        <f>IF(OR(H728="",H728="sif",H728="PM"),0,VLOOKUP(H728,[5]CU!$C$4:$H$255,6,FALSE))</f>
        <v>2.2272E-2</v>
      </c>
      <c r="O728" s="56">
        <f t="shared" si="147"/>
        <v>0</v>
      </c>
      <c r="P728" s="56">
        <f t="shared" si="147"/>
        <v>42770.246784000003</v>
      </c>
      <c r="Q728" s="56">
        <f t="shared" si="147"/>
        <v>43795.193088</v>
      </c>
      <c r="R728" s="56">
        <f t="shared" si="147"/>
        <v>44508.743424</v>
      </c>
      <c r="S728" s="53">
        <f t="shared" si="152"/>
        <v>131074.183296</v>
      </c>
      <c r="T728" s="35" t="s">
        <v>56</v>
      </c>
      <c r="U728" s="19" t="s">
        <v>647</v>
      </c>
      <c r="V728" s="19" t="str">
        <f>IF(OR($H728="",$H728="sif",$H728="PM"),"",VLOOKUP($H728,[5]CU!$C$5:$J$255,8,FALSE))</f>
        <v>3. Manuels scolaires et matériels pédagogiques</v>
      </c>
      <c r="W728" s="19" t="s">
        <v>192</v>
      </c>
      <c r="X728" s="19" t="s">
        <v>347</v>
      </c>
      <c r="Y728" s="19" t="s">
        <v>32</v>
      </c>
      <c r="Z728" s="19" t="str">
        <f>A728 &amp; "-" &amp; VLOOKUP(A728,[4]PROGRAMMES!$E$1:$F$7,2,FALSE)</f>
        <v>2-Qualité des enseignements et des apprentissages</v>
      </c>
      <c r="AA728" s="19" t="str">
        <f>B728 &amp; "-" &amp; VLOOKUP(B728,[4]SOUSPROGRAMMES!$E$1:$F$44,2,FALSE)</f>
        <v xml:space="preserve">25- Conditions d’apprentissage améliorées </v>
      </c>
      <c r="AB728" s="19" t="str">
        <f>C728 &amp; "-" &amp; VLOOKUP(C728,[4]RESULTATS!$E$1:$F$176,2,FALSE)</f>
        <v>253- Les élèves du primaire et du secondaire disposent des manuels des matières fondamentales en quantité suffisante.</v>
      </c>
      <c r="AC728" s="20" t="str">
        <f>D728 &amp; "-" &amp; VLOOKUP(D728,[4]STRATEGIES!$E$1:$F$504,2,FALSE)</f>
        <v>2531-Distribution des manuels et guides</v>
      </c>
      <c r="AD728" s="21" t="str">
        <f t="shared" si="148"/>
        <v>25311-acquisition de manuels pour le primaire</v>
      </c>
    </row>
    <row r="729" spans="1:30" s="22" customFormat="1" ht="60" customHeight="1" x14ac:dyDescent="0.8">
      <c r="A729" s="14">
        <v>2</v>
      </c>
      <c r="B729" s="15">
        <v>25</v>
      </c>
      <c r="C729" s="15">
        <v>253</v>
      </c>
      <c r="D729" s="15">
        <v>2531</v>
      </c>
      <c r="E729" s="14">
        <v>25312</v>
      </c>
      <c r="F729" s="16" t="s">
        <v>895</v>
      </c>
      <c r="G729" s="21" t="s">
        <v>893</v>
      </c>
      <c r="H729" s="17" t="s">
        <v>896</v>
      </c>
      <c r="I729" s="56">
        <v>0</v>
      </c>
      <c r="J729" s="56">
        <f>107253*30.02%</f>
        <v>32197.350600000002</v>
      </c>
      <c r="K729" s="56">
        <f>110134*30.02%</f>
        <v>33062.226800000004</v>
      </c>
      <c r="L729" s="56">
        <f>11957*30.02%</f>
        <v>3589.4914000000003</v>
      </c>
      <c r="M729" s="56">
        <f>SUM(I729:L729)</f>
        <v>68849.068800000008</v>
      </c>
      <c r="N729" s="56">
        <f>IF(OR(H729="",H729="sif",H729="PM"),0,VLOOKUP(H729,[5]CU!$C$4:$H$255,6,FALSE))</f>
        <v>2.1999999999999999E-2</v>
      </c>
      <c r="O729" s="56">
        <f>IFERROR($N729*I729,0)</f>
        <v>0</v>
      </c>
      <c r="P729" s="56">
        <f>IFERROR($N729*J729,0)</f>
        <v>708.34171319999996</v>
      </c>
      <c r="Q729" s="56">
        <f>IFERROR($N729*K729,0)</f>
        <v>727.36898960000008</v>
      </c>
      <c r="R729" s="56">
        <f>IFERROR($N729*L729,0)</f>
        <v>78.9688108</v>
      </c>
      <c r="S729" s="53">
        <f t="shared" si="152"/>
        <v>1514.6795136000001</v>
      </c>
      <c r="T729" s="35" t="s">
        <v>39</v>
      </c>
      <c r="U729" s="19" t="s">
        <v>647</v>
      </c>
      <c r="V729" s="19" t="str">
        <f>IF(OR($H729="",$H729="sif",$H729="PM"),"",VLOOKUP($H729,[5]CU!$C$5:$J$255,8,FALSE))</f>
        <v>3. Manuels scolaires et matériels pédagogiques</v>
      </c>
      <c r="W729" s="19" t="s">
        <v>192</v>
      </c>
      <c r="X729" s="19" t="s">
        <v>347</v>
      </c>
      <c r="Y729" s="19" t="s">
        <v>32</v>
      </c>
      <c r="Z729" s="19" t="str">
        <f>A729 &amp; "-" &amp; VLOOKUP(A729,[4]PROGRAMMES!$E$1:$F$7,2,FALSE)</f>
        <v>2-Qualité des enseignements et des apprentissages</v>
      </c>
      <c r="AA729" s="19" t="str">
        <f>B729 &amp; "-" &amp; VLOOKUP(B729,[4]SOUSPROGRAMMES!$E$1:$F$44,2,FALSE)</f>
        <v xml:space="preserve">25- Conditions d’apprentissage améliorées </v>
      </c>
      <c r="AB729" s="19" t="str">
        <f>C729 &amp; "-" &amp; VLOOKUP(C729,[4]RESULTATS!$E$1:$F$176,2,FALSE)</f>
        <v>253- Les élèves du primaire et du secondaire disposent des manuels des matières fondamentales en quantité suffisante.</v>
      </c>
      <c r="AC729" s="20" t="str">
        <f>D729 &amp; "-" &amp; VLOOKUP(D729,[4]STRATEGIES!$E$1:$F$504,2,FALSE)</f>
        <v>2531-Distribution des manuels et guides</v>
      </c>
      <c r="AD729" s="21" t="str">
        <f t="shared" si="148"/>
        <v>25312-acquisition de guides pour le primaire</v>
      </c>
    </row>
    <row r="730" spans="1:30" s="22" customFormat="1" ht="60" customHeight="1" x14ac:dyDescent="0.8">
      <c r="A730" s="14">
        <v>2</v>
      </c>
      <c r="B730" s="15">
        <v>25</v>
      </c>
      <c r="C730" s="15">
        <v>253</v>
      </c>
      <c r="D730" s="15">
        <v>2531</v>
      </c>
      <c r="E730" s="14">
        <v>25312</v>
      </c>
      <c r="F730" s="16" t="s">
        <v>895</v>
      </c>
      <c r="G730" s="21" t="s">
        <v>893</v>
      </c>
      <c r="H730" s="17" t="s">
        <v>896</v>
      </c>
      <c r="I730" s="56">
        <v>0</v>
      </c>
      <c r="J730" s="56">
        <f>107253*18.22%</f>
        <v>19541.496599999999</v>
      </c>
      <c r="K730" s="56">
        <f>110134*18.22%</f>
        <v>20066.414799999999</v>
      </c>
      <c r="L730" s="56">
        <f>11957*18.22%</f>
        <v>2178.5654</v>
      </c>
      <c r="M730" s="56">
        <f t="shared" si="150"/>
        <v>41786.476799999997</v>
      </c>
      <c r="N730" s="56">
        <f>IF(OR(H730="",H730="sif",H730="PM"),0,VLOOKUP(H730,[5]CU!$C$4:$H$255,6,FALSE))</f>
        <v>2.1999999999999999E-2</v>
      </c>
      <c r="O730" s="56">
        <f t="shared" si="147"/>
        <v>0</v>
      </c>
      <c r="P730" s="56">
        <f t="shared" si="147"/>
        <v>429.91292519999996</v>
      </c>
      <c r="Q730" s="56">
        <f t="shared" si="147"/>
        <v>441.46112559999995</v>
      </c>
      <c r="R730" s="56">
        <f t="shared" si="147"/>
        <v>47.928438799999995</v>
      </c>
      <c r="S730" s="53">
        <f t="shared" si="152"/>
        <v>919.30248959999983</v>
      </c>
      <c r="T730" s="35" t="s">
        <v>118</v>
      </c>
      <c r="U730" s="19" t="s">
        <v>647</v>
      </c>
      <c r="V730" s="19" t="str">
        <f>IF(OR($H730="",$H730="sif",$H730="PM"),"",VLOOKUP($H730,[5]CU!$C$5:$J$255,8,FALSE))</f>
        <v>3. Manuels scolaires et matériels pédagogiques</v>
      </c>
      <c r="W730" s="19" t="s">
        <v>192</v>
      </c>
      <c r="X730" s="19" t="s">
        <v>347</v>
      </c>
      <c r="Y730" s="19" t="s">
        <v>32</v>
      </c>
      <c r="Z730" s="19" t="str">
        <f>A730 &amp; "-" &amp; VLOOKUP(A730,[4]PROGRAMMES!$E$1:$F$7,2,FALSE)</f>
        <v>2-Qualité des enseignements et des apprentissages</v>
      </c>
      <c r="AA730" s="19" t="str">
        <f>B730 &amp; "-" &amp; VLOOKUP(B730,[4]SOUSPROGRAMMES!$E$1:$F$44,2,FALSE)</f>
        <v xml:space="preserve">25- Conditions d’apprentissage améliorées </v>
      </c>
      <c r="AB730" s="19" t="str">
        <f>C730 &amp; "-" &amp; VLOOKUP(C730,[4]RESULTATS!$E$1:$F$176,2,FALSE)</f>
        <v>253- Les élèves du primaire et du secondaire disposent des manuels des matières fondamentales en quantité suffisante.</v>
      </c>
      <c r="AC730" s="20" t="str">
        <f>D730 &amp; "-" &amp; VLOOKUP(D730,[4]STRATEGIES!$E$1:$F$504,2,FALSE)</f>
        <v>2531-Distribution des manuels et guides</v>
      </c>
      <c r="AD730" s="21" t="str">
        <f t="shared" si="148"/>
        <v>25312-acquisition de guides pour le primaire</v>
      </c>
    </row>
    <row r="731" spans="1:30" s="22" customFormat="1" ht="60" customHeight="1" x14ac:dyDescent="0.8">
      <c r="A731" s="14">
        <v>2</v>
      </c>
      <c r="B731" s="15">
        <v>25</v>
      </c>
      <c r="C731" s="15">
        <v>253</v>
      </c>
      <c r="D731" s="15">
        <v>2531</v>
      </c>
      <c r="E731" s="14">
        <v>25312</v>
      </c>
      <c r="F731" s="16" t="s">
        <v>895</v>
      </c>
      <c r="G731" s="21" t="s">
        <v>893</v>
      </c>
      <c r="H731" s="17" t="s">
        <v>896</v>
      </c>
      <c r="I731" s="56">
        <v>0</v>
      </c>
      <c r="J731" s="56">
        <f>107253*19.81%</f>
        <v>21246.819299999999</v>
      </c>
      <c r="K731" s="56">
        <f>110134*19.81%</f>
        <v>21817.545399999999</v>
      </c>
      <c r="L731" s="56">
        <f>11957*19.81%</f>
        <v>2368.6817000000001</v>
      </c>
      <c r="M731" s="56">
        <f>SUM(I731:L731)</f>
        <v>45433.046399999999</v>
      </c>
      <c r="N731" s="56">
        <f>IF(OR(H731="",H731="sif",H731="PM"),0,VLOOKUP(H731,[5]CU!$C$4:$H$255,6,FALSE))</f>
        <v>2.1999999999999999E-2</v>
      </c>
      <c r="O731" s="56">
        <f>IFERROR($N731*I731,0)</f>
        <v>0</v>
      </c>
      <c r="P731" s="56">
        <f>IFERROR($N731*J731,0)</f>
        <v>467.43002459999997</v>
      </c>
      <c r="Q731" s="56">
        <f>IFERROR($N731*K731,0)</f>
        <v>479.98599879999995</v>
      </c>
      <c r="R731" s="56">
        <f>IFERROR($N731*L731,0)</f>
        <v>52.110997400000002</v>
      </c>
      <c r="S731" s="53">
        <f t="shared" si="152"/>
        <v>999.52702079999983</v>
      </c>
      <c r="T731" s="35" t="s">
        <v>39</v>
      </c>
      <c r="U731" s="19" t="s">
        <v>647</v>
      </c>
      <c r="V731" s="19" t="str">
        <f>IF(OR($H731="",$H731="sif",$H731="PM"),"",VLOOKUP($H731,[5]CU!$C$5:$J$255,8,FALSE))</f>
        <v>3. Manuels scolaires et matériels pédagogiques</v>
      </c>
      <c r="W731" s="19" t="s">
        <v>192</v>
      </c>
      <c r="X731" s="19" t="s">
        <v>347</v>
      </c>
      <c r="Y731" s="19" t="s">
        <v>32</v>
      </c>
      <c r="Z731" s="19" t="str">
        <f>A731 &amp; "-" &amp; VLOOKUP(A731,[4]PROGRAMMES!$E$1:$F$7,2,FALSE)</f>
        <v>2-Qualité des enseignements et des apprentissages</v>
      </c>
      <c r="AA731" s="19" t="str">
        <f>B731 &amp; "-" &amp; VLOOKUP(B731,[4]SOUSPROGRAMMES!$E$1:$F$44,2,FALSE)</f>
        <v xml:space="preserve">25- Conditions d’apprentissage améliorées </v>
      </c>
      <c r="AB731" s="19" t="str">
        <f>C731 &amp; "-" &amp; VLOOKUP(C731,[4]RESULTATS!$E$1:$F$176,2,FALSE)</f>
        <v>253- Les élèves du primaire et du secondaire disposent des manuels des matières fondamentales en quantité suffisante.</v>
      </c>
      <c r="AC731" s="20" t="str">
        <f>D731 &amp; "-" &amp; VLOOKUP(D731,[4]STRATEGIES!$E$1:$F$504,2,FALSE)</f>
        <v>2531-Distribution des manuels et guides</v>
      </c>
      <c r="AD731" s="21" t="str">
        <f t="shared" si="148"/>
        <v>25312-acquisition de guides pour le primaire</v>
      </c>
    </row>
    <row r="732" spans="1:30" s="22" customFormat="1" ht="60" hidden="1" customHeight="1" x14ac:dyDescent="0.8">
      <c r="A732" s="14">
        <v>2</v>
      </c>
      <c r="B732" s="15">
        <v>25</v>
      </c>
      <c r="C732" s="15">
        <v>253</v>
      </c>
      <c r="D732" s="15">
        <v>2531</v>
      </c>
      <c r="E732" s="14">
        <v>25312</v>
      </c>
      <c r="F732" s="16" t="s">
        <v>895</v>
      </c>
      <c r="G732" s="21" t="s">
        <v>893</v>
      </c>
      <c r="H732" s="17" t="s">
        <v>896</v>
      </c>
      <c r="I732" s="56">
        <v>0</v>
      </c>
      <c r="J732" s="56">
        <v>0</v>
      </c>
      <c r="K732" s="56">
        <v>0</v>
      </c>
      <c r="L732" s="56">
        <v>0</v>
      </c>
      <c r="M732" s="56">
        <f t="shared" si="150"/>
        <v>0</v>
      </c>
      <c r="N732" s="56">
        <f>IF(OR(H732="",H732="sif",H732="PM"),0,VLOOKUP(H732,[5]CU!$C$4:$H$255,6,FALSE))</f>
        <v>2.1999999999999999E-2</v>
      </c>
      <c r="O732" s="56">
        <f t="shared" si="147"/>
        <v>0</v>
      </c>
      <c r="P732" s="56">
        <f t="shared" si="147"/>
        <v>0</v>
      </c>
      <c r="Q732" s="56">
        <f t="shared" si="147"/>
        <v>0</v>
      </c>
      <c r="R732" s="56">
        <f t="shared" si="147"/>
        <v>0</v>
      </c>
      <c r="S732" s="53">
        <f t="shared" si="152"/>
        <v>0</v>
      </c>
      <c r="T732" s="35" t="s">
        <v>178</v>
      </c>
      <c r="U732" s="19" t="s">
        <v>647</v>
      </c>
      <c r="V732" s="19" t="str">
        <f>IF(OR($H732="",$H732="sif",$H732="PM"),"",VLOOKUP($H732,[5]CU!$C$5:$J$255,8,FALSE))</f>
        <v>3. Manuels scolaires et matériels pédagogiques</v>
      </c>
      <c r="W732" s="19" t="s">
        <v>192</v>
      </c>
      <c r="X732" s="19" t="s">
        <v>347</v>
      </c>
      <c r="Y732" s="19" t="s">
        <v>32</v>
      </c>
      <c r="Z732" s="19" t="str">
        <f>A732 &amp; "-" &amp; VLOOKUP(A732,[4]PROGRAMMES!$E$1:$F$7,2,FALSE)</f>
        <v>2-Qualité des enseignements et des apprentissages</v>
      </c>
      <c r="AA732" s="19" t="str">
        <f>B732 &amp; "-" &amp; VLOOKUP(B732,[4]SOUSPROGRAMMES!$E$1:$F$44,2,FALSE)</f>
        <v xml:space="preserve">25- Conditions d’apprentissage améliorées </v>
      </c>
      <c r="AB732" s="19" t="str">
        <f>C732 &amp; "-" &amp; VLOOKUP(C732,[4]RESULTATS!$E$1:$F$176,2,FALSE)</f>
        <v>253- Les élèves du primaire et du secondaire disposent des manuels des matières fondamentales en quantité suffisante.</v>
      </c>
      <c r="AC732" s="20" t="str">
        <f>D732 &amp; "-" &amp; VLOOKUP(D732,[4]STRATEGIES!$E$1:$F$504,2,FALSE)</f>
        <v>2531-Distribution des manuels et guides</v>
      </c>
      <c r="AD732" s="21" t="str">
        <f t="shared" si="148"/>
        <v>25312-acquisition de guides pour le primaire</v>
      </c>
    </row>
    <row r="733" spans="1:30" s="22" customFormat="1" ht="60" customHeight="1" x14ac:dyDescent="0.8">
      <c r="A733" s="14">
        <v>2</v>
      </c>
      <c r="B733" s="15">
        <v>25</v>
      </c>
      <c r="C733" s="15">
        <v>253</v>
      </c>
      <c r="D733" s="15">
        <v>2531</v>
      </c>
      <c r="E733" s="14">
        <v>25313</v>
      </c>
      <c r="F733" s="16" t="s">
        <v>897</v>
      </c>
      <c r="G733" s="21" t="s">
        <v>893</v>
      </c>
      <c r="H733" s="17" t="s">
        <v>898</v>
      </c>
      <c r="I733" s="56">
        <v>0</v>
      </c>
      <c r="J733" s="56">
        <f>3757261*80.01%</f>
        <v>3006184.5260999999</v>
      </c>
      <c r="K733" s="56">
        <f>914530*80.01%</f>
        <v>731715.45299999998</v>
      </c>
      <c r="L733" s="56"/>
      <c r="M733" s="56">
        <f>SUM(I733:L733)</f>
        <v>3737899.9791000001</v>
      </c>
      <c r="N733" s="56">
        <f>IF(OR(H733="",H733="sif",H733="PM"),0,VLOOKUP(H733,[5]CU!$C$4:$H$255,6,FALSE))</f>
        <v>4.0752999999999998E-2</v>
      </c>
      <c r="O733" s="56">
        <f>IFERROR($N733*I733,0)</f>
        <v>0</v>
      </c>
      <c r="P733" s="56">
        <f>IFERROR($N733*J733,0)</f>
        <v>122511.03799215329</v>
      </c>
      <c r="Q733" s="56">
        <f>IFERROR($N733*K733,0)</f>
        <v>29819.599856108998</v>
      </c>
      <c r="R733" s="56">
        <f>IFERROR($N733*L733,0)</f>
        <v>0</v>
      </c>
      <c r="S733" s="53">
        <f t="shared" si="152"/>
        <v>152330.6378482623</v>
      </c>
      <c r="T733" s="35" t="s">
        <v>118</v>
      </c>
      <c r="U733" s="18" t="s">
        <v>647</v>
      </c>
      <c r="V733" s="19" t="str">
        <f>IF(OR($H733="",$H733="sif",$H733="PM"),"",VLOOKUP($H733,[5]CU!$C$5:$J$255,8,FALSE))</f>
        <v>3. Manuels scolaires et matériels pédagogiques</v>
      </c>
      <c r="W733" s="18" t="s">
        <v>192</v>
      </c>
      <c r="X733" s="18" t="s">
        <v>347</v>
      </c>
      <c r="Y733" s="19" t="s">
        <v>32</v>
      </c>
      <c r="Z733" s="19" t="str">
        <f>A733 &amp; "-" &amp; VLOOKUP(A733,[4]PROGRAMMES!$E$1:$F$7,2,FALSE)</f>
        <v>2-Qualité des enseignements et des apprentissages</v>
      </c>
      <c r="AA733" s="19" t="str">
        <f>B733 &amp; "-" &amp; VLOOKUP(B733,[4]SOUSPROGRAMMES!$E$1:$F$44,2,FALSE)</f>
        <v xml:space="preserve">25- Conditions d’apprentissage améliorées </v>
      </c>
      <c r="AB733" s="19" t="str">
        <f>C733 &amp; "-" &amp; VLOOKUP(C733,[4]RESULTATS!$E$1:$F$176,2,FALSE)</f>
        <v>253- Les élèves du primaire et du secondaire disposent des manuels des matières fondamentales en quantité suffisante.</v>
      </c>
      <c r="AC733" s="20" t="str">
        <f>D733 &amp; "-" &amp; VLOOKUP(D733,[4]STRATEGIES!$E$1:$F$504,2,FALSE)</f>
        <v>2531-Distribution des manuels et guides</v>
      </c>
      <c r="AD733" s="21" t="str">
        <f t="shared" si="148"/>
        <v>25313-Acquisition de manuels pour le collège (hors 7ème année)</v>
      </c>
    </row>
    <row r="734" spans="1:30" s="22" customFormat="1" ht="60" customHeight="1" x14ac:dyDescent="0.8">
      <c r="A734" s="14">
        <v>2</v>
      </c>
      <c r="B734" s="15">
        <v>25</v>
      </c>
      <c r="C734" s="15">
        <v>253</v>
      </c>
      <c r="D734" s="15">
        <v>2531</v>
      </c>
      <c r="E734" s="14">
        <v>25313</v>
      </c>
      <c r="F734" s="16" t="s">
        <v>897</v>
      </c>
      <c r="G734" s="21" t="s">
        <v>893</v>
      </c>
      <c r="H734" s="17" t="s">
        <v>898</v>
      </c>
      <c r="I734" s="56">
        <v>0</v>
      </c>
      <c r="J734" s="56">
        <f>3757261*19.99%</f>
        <v>751076.47389999998</v>
      </c>
      <c r="K734" s="56">
        <f>914530*19.99%</f>
        <v>182814.54699999999</v>
      </c>
      <c r="L734" s="56"/>
      <c r="M734" s="56">
        <f t="shared" si="150"/>
        <v>933891.0209</v>
      </c>
      <c r="N734" s="56">
        <f>IF(OR(H734="",H734="sif",H734="PM"),0,VLOOKUP(H734,[5]CU!$C$4:$H$255,6,FALSE))</f>
        <v>4.0752999999999998E-2</v>
      </c>
      <c r="O734" s="56">
        <f t="shared" si="147"/>
        <v>0</v>
      </c>
      <c r="P734" s="56">
        <f t="shared" si="147"/>
        <v>30608.619540846699</v>
      </c>
      <c r="Q734" s="56">
        <f t="shared" si="147"/>
        <v>7450.241233890999</v>
      </c>
      <c r="R734" s="56">
        <f t="shared" si="147"/>
        <v>0</v>
      </c>
      <c r="S734" s="53">
        <f t="shared" si="152"/>
        <v>38058.860774737695</v>
      </c>
      <c r="T734" s="35" t="s">
        <v>118</v>
      </c>
      <c r="U734" s="18" t="s">
        <v>647</v>
      </c>
      <c r="V734" s="19" t="str">
        <f>IF(OR($H734="",$H734="sif",$H734="PM"),"",VLOOKUP($H734,[5]CU!$C$5:$J$255,8,FALSE))</f>
        <v>3. Manuels scolaires et matériels pédagogiques</v>
      </c>
      <c r="W734" s="18" t="s">
        <v>192</v>
      </c>
      <c r="X734" s="18" t="s">
        <v>347</v>
      </c>
      <c r="Y734" s="19" t="s">
        <v>32</v>
      </c>
      <c r="Z734" s="19" t="str">
        <f>A734 &amp; "-" &amp; VLOOKUP(A734,[4]PROGRAMMES!$E$1:$F$7,2,FALSE)</f>
        <v>2-Qualité des enseignements et des apprentissages</v>
      </c>
      <c r="AA734" s="19" t="str">
        <f>B734 &amp; "-" &amp; VLOOKUP(B734,[4]SOUSPROGRAMMES!$E$1:$F$44,2,FALSE)</f>
        <v xml:space="preserve">25- Conditions d’apprentissage améliorées </v>
      </c>
      <c r="AB734" s="19" t="str">
        <f>C734 &amp; "-" &amp; VLOOKUP(C734,[4]RESULTATS!$E$1:$F$176,2,FALSE)</f>
        <v>253- Les élèves du primaire et du secondaire disposent des manuels des matières fondamentales en quantité suffisante.</v>
      </c>
      <c r="AC734" s="20" t="str">
        <f>D734 &amp; "-" &amp; VLOOKUP(D734,[4]STRATEGIES!$E$1:$F$504,2,FALSE)</f>
        <v>2531-Distribution des manuels et guides</v>
      </c>
      <c r="AD734" s="21" t="str">
        <f t="shared" si="148"/>
        <v>25313-Acquisition de manuels pour le collège (hors 7ème année)</v>
      </c>
    </row>
    <row r="735" spans="1:30" s="22" customFormat="1" ht="60" hidden="1" customHeight="1" x14ac:dyDescent="0.8">
      <c r="A735" s="14">
        <v>2</v>
      </c>
      <c r="B735" s="15">
        <v>25</v>
      </c>
      <c r="C735" s="15">
        <v>253</v>
      </c>
      <c r="D735" s="15">
        <v>2531</v>
      </c>
      <c r="E735" s="14">
        <v>25314</v>
      </c>
      <c r="F735" s="16" t="s">
        <v>899</v>
      </c>
      <c r="G735" s="21" t="s">
        <v>893</v>
      </c>
      <c r="H735" s="17" t="s">
        <v>900</v>
      </c>
      <c r="I735" s="56">
        <v>0</v>
      </c>
      <c r="J735" s="56"/>
      <c r="K735" s="56"/>
      <c r="L735" s="56"/>
      <c r="M735" s="56">
        <f>SUM(I735:L735)</f>
        <v>0</v>
      </c>
      <c r="N735" s="56">
        <f>IF(OR(H735="",H735="sif",H735="PM"),0,VLOOKUP(H735,[5]CU!$C$4:$H$255,6,FALSE))</f>
        <v>4.5999999999999999E-2</v>
      </c>
      <c r="O735" s="56">
        <f>IFERROR($N735*I735,0)</f>
        <v>0</v>
      </c>
      <c r="P735" s="56">
        <f>IFERROR($N735*J735,0)</f>
        <v>0</v>
      </c>
      <c r="Q735" s="56">
        <f>IFERROR($N735*K735,0)</f>
        <v>0</v>
      </c>
      <c r="R735" s="56">
        <f>IFERROR($N735*L735,0)</f>
        <v>0</v>
      </c>
      <c r="S735" s="53">
        <f t="shared" si="152"/>
        <v>0</v>
      </c>
      <c r="T735" s="35" t="s">
        <v>178</v>
      </c>
      <c r="U735" s="18" t="s">
        <v>647</v>
      </c>
      <c r="V735" s="19" t="str">
        <f>IF(OR($H735="",$H735="sif",$H735="PM"),"",VLOOKUP($H735,[5]CU!$C$5:$J$255,8,FALSE))</f>
        <v>3. Manuels scolaires et matériels pédagogiques</v>
      </c>
      <c r="W735" s="18" t="s">
        <v>192</v>
      </c>
      <c r="X735" s="18" t="s">
        <v>347</v>
      </c>
      <c r="Y735" s="19" t="s">
        <v>32</v>
      </c>
      <c r="Z735" s="19" t="str">
        <f>A735 &amp; "-" &amp; VLOOKUP(A735,[4]PROGRAMMES!$E$1:$F$7,2,FALSE)</f>
        <v>2-Qualité des enseignements et des apprentissages</v>
      </c>
      <c r="AA735" s="19" t="str">
        <f>B735 &amp; "-" &amp; VLOOKUP(B735,[4]SOUSPROGRAMMES!$E$1:$F$44,2,FALSE)</f>
        <v xml:space="preserve">25- Conditions d’apprentissage améliorées </v>
      </c>
      <c r="AB735" s="19" t="str">
        <f>C735 &amp; "-" &amp; VLOOKUP(C735,[4]RESULTATS!$E$1:$F$176,2,FALSE)</f>
        <v>253- Les élèves du primaire et du secondaire disposent des manuels des matières fondamentales en quantité suffisante.</v>
      </c>
      <c r="AC735" s="20" t="str">
        <f>D735 &amp; "-" &amp; VLOOKUP(D735,[4]STRATEGIES!$E$1:$F$504,2,FALSE)</f>
        <v>2531-Distribution des manuels et guides</v>
      </c>
      <c r="AD735" s="21" t="str">
        <f t="shared" si="148"/>
        <v>25314-Acquisition de guides pour le collège (hors 7ème année)</v>
      </c>
    </row>
    <row r="736" spans="1:30" s="22" customFormat="1" ht="60" customHeight="1" x14ac:dyDescent="0.8">
      <c r="A736" s="14">
        <v>2</v>
      </c>
      <c r="B736" s="15">
        <v>25</v>
      </c>
      <c r="C736" s="15">
        <v>253</v>
      </c>
      <c r="D736" s="15">
        <v>2531</v>
      </c>
      <c r="E736" s="14">
        <v>25314</v>
      </c>
      <c r="F736" s="16" t="s">
        <v>899</v>
      </c>
      <c r="G736" s="21" t="s">
        <v>893</v>
      </c>
      <c r="H736" s="17" t="s">
        <v>900</v>
      </c>
      <c r="I736" s="56">
        <v>0</v>
      </c>
      <c r="J736" s="56">
        <v>77310</v>
      </c>
      <c r="K736" s="56">
        <v>11000</v>
      </c>
      <c r="L736" s="56"/>
      <c r="M736" s="56">
        <f t="shared" si="150"/>
        <v>88310</v>
      </c>
      <c r="N736" s="56">
        <f>IF(OR(H736="",H736="sif",H736="PM"),0,VLOOKUP(H736,[5]CU!$C$4:$H$255,6,FALSE))</f>
        <v>4.5999999999999999E-2</v>
      </c>
      <c r="O736" s="56">
        <f t="shared" si="147"/>
        <v>0</v>
      </c>
      <c r="P736" s="56">
        <f t="shared" si="147"/>
        <v>3556.2599999999998</v>
      </c>
      <c r="Q736" s="56">
        <f t="shared" si="147"/>
        <v>506</v>
      </c>
      <c r="R736" s="56">
        <f t="shared" si="147"/>
        <v>0</v>
      </c>
      <c r="S736" s="53">
        <f t="shared" si="152"/>
        <v>4062.2599999999998</v>
      </c>
      <c r="T736" s="35" t="s">
        <v>39</v>
      </c>
      <c r="U736" s="18" t="s">
        <v>647</v>
      </c>
      <c r="V736" s="19" t="str">
        <f>IF(OR($H736="",$H736="sif",$H736="PM"),"",VLOOKUP($H736,[5]CU!$C$5:$J$255,8,FALSE))</f>
        <v>3. Manuels scolaires et matériels pédagogiques</v>
      </c>
      <c r="W736" s="18" t="s">
        <v>192</v>
      </c>
      <c r="X736" s="18" t="s">
        <v>347</v>
      </c>
      <c r="Y736" s="19" t="s">
        <v>32</v>
      </c>
      <c r="Z736" s="19" t="str">
        <f>A736 &amp; "-" &amp; VLOOKUP(A736,[4]PROGRAMMES!$E$1:$F$7,2,FALSE)</f>
        <v>2-Qualité des enseignements et des apprentissages</v>
      </c>
      <c r="AA736" s="19" t="str">
        <f>B736 &amp; "-" &amp; VLOOKUP(B736,[4]SOUSPROGRAMMES!$E$1:$F$44,2,FALSE)</f>
        <v xml:space="preserve">25- Conditions d’apprentissage améliorées </v>
      </c>
      <c r="AB736" s="19" t="str">
        <f>C736 &amp; "-" &amp; VLOOKUP(C736,[4]RESULTATS!$E$1:$F$176,2,FALSE)</f>
        <v>253- Les élèves du primaire et du secondaire disposent des manuels des matières fondamentales en quantité suffisante.</v>
      </c>
      <c r="AC736" s="20" t="str">
        <f>D736 &amp; "-" &amp; VLOOKUP(D736,[4]STRATEGIES!$E$1:$F$504,2,FALSE)</f>
        <v>2531-Distribution des manuels et guides</v>
      </c>
      <c r="AD736" s="21" t="str">
        <f t="shared" si="148"/>
        <v>25314-Acquisition de guides pour le collège (hors 7ème année)</v>
      </c>
    </row>
    <row r="737" spans="1:30" s="22" customFormat="1" ht="60" hidden="1" customHeight="1" x14ac:dyDescent="0.8">
      <c r="A737" s="14">
        <v>2</v>
      </c>
      <c r="B737" s="15">
        <v>25</v>
      </c>
      <c r="C737" s="15">
        <v>253</v>
      </c>
      <c r="D737" s="15">
        <v>2531</v>
      </c>
      <c r="E737" s="14">
        <v>25315</v>
      </c>
      <c r="F737" s="16" t="s">
        <v>901</v>
      </c>
      <c r="G737" s="21" t="s">
        <v>893</v>
      </c>
      <c r="H737" s="17" t="s">
        <v>902</v>
      </c>
      <c r="I737" s="56">
        <v>0</v>
      </c>
      <c r="J737" s="56">
        <v>419947</v>
      </c>
      <c r="K737" s="56">
        <v>101330</v>
      </c>
      <c r="L737" s="56"/>
      <c r="M737" s="56">
        <f t="shared" si="150"/>
        <v>521277</v>
      </c>
      <c r="N737" s="56">
        <f>IF(OR(H737="",H737="sif",H737="PM"),0,VLOOKUP(H737,[5]CU!$C$4:$H$255,6,FALSE))</f>
        <v>5.6649999999999999E-2</v>
      </c>
      <c r="O737" s="56">
        <f t="shared" si="147"/>
        <v>0</v>
      </c>
      <c r="P737" s="56">
        <f t="shared" si="147"/>
        <v>23789.99755</v>
      </c>
      <c r="Q737" s="56">
        <f t="shared" si="147"/>
        <v>5740.3445000000002</v>
      </c>
      <c r="R737" s="56">
        <f t="shared" si="147"/>
        <v>0</v>
      </c>
      <c r="S737" s="53">
        <f t="shared" si="152"/>
        <v>29530.342049999999</v>
      </c>
      <c r="T737" s="35" t="s">
        <v>56</v>
      </c>
      <c r="U737" s="18" t="s">
        <v>647</v>
      </c>
      <c r="V737" s="19" t="str">
        <f>IF(OR($H737="",$H737="sif",$H737="PM"),"",VLOOKUP($H737,[5]CU!$C$5:$J$255,8,FALSE))</f>
        <v>3. Manuels scolaires et matériels pédagogiques</v>
      </c>
      <c r="W737" s="18" t="s">
        <v>398</v>
      </c>
      <c r="X737" s="18" t="s">
        <v>347</v>
      </c>
      <c r="Y737" s="19" t="s">
        <v>32</v>
      </c>
      <c r="Z737" s="19" t="str">
        <f>A737 &amp; "-" &amp; VLOOKUP(A737,[4]PROGRAMMES!$E$1:$F$7,2,FALSE)</f>
        <v>2-Qualité des enseignements et des apprentissages</v>
      </c>
      <c r="AA737" s="19" t="str">
        <f>B737 &amp; "-" &amp; VLOOKUP(B737,[4]SOUSPROGRAMMES!$E$1:$F$44,2,FALSE)</f>
        <v xml:space="preserve">25- Conditions d’apprentissage améliorées </v>
      </c>
      <c r="AB737" s="19" t="str">
        <f>C737 &amp; "-" &amp; VLOOKUP(C737,[4]RESULTATS!$E$1:$F$176,2,FALSE)</f>
        <v>253- Les élèves du primaire et du secondaire disposent des manuels des matières fondamentales en quantité suffisante.</v>
      </c>
      <c r="AC737" s="20" t="str">
        <f>D737 &amp; "-" &amp; VLOOKUP(D737,[4]STRATEGIES!$E$1:$F$504,2,FALSE)</f>
        <v>2531-Distribution des manuels et guides</v>
      </c>
      <c r="AD737" s="21" t="str">
        <f t="shared" si="148"/>
        <v>25315-Acquisition de manuels (Français et Mathématiques) pour le Lycée (hors 11ème année)</v>
      </c>
    </row>
    <row r="738" spans="1:30" s="22" customFormat="1" ht="60" hidden="1" customHeight="1" x14ac:dyDescent="0.8">
      <c r="A738" s="14">
        <v>2</v>
      </c>
      <c r="B738" s="15">
        <v>25</v>
      </c>
      <c r="C738" s="15">
        <v>253</v>
      </c>
      <c r="D738" s="15">
        <v>2531</v>
      </c>
      <c r="E738" s="14">
        <v>25316</v>
      </c>
      <c r="F738" s="16" t="s">
        <v>903</v>
      </c>
      <c r="G738" s="21" t="s">
        <v>893</v>
      </c>
      <c r="H738" s="17" t="s">
        <v>900</v>
      </c>
      <c r="I738" s="56">
        <v>0</v>
      </c>
      <c r="J738" s="56">
        <f>41163*93.49%</f>
        <v>38483.288699999997</v>
      </c>
      <c r="K738" s="56">
        <f>43663*93.49%</f>
        <v>40820.538699999997</v>
      </c>
      <c r="L738" s="56"/>
      <c r="M738" s="56">
        <f>SUM(I738:L738)</f>
        <v>79303.827399999995</v>
      </c>
      <c r="N738" s="56">
        <f>IF(OR(H738="",H738="sif",H738="PM"),0,VLOOKUP(H738,[5]CU!$C$4:$H$255,6,FALSE))</f>
        <v>4.5999999999999999E-2</v>
      </c>
      <c r="O738" s="56">
        <f>IFERROR($N738*I738,0)</f>
        <v>0</v>
      </c>
      <c r="P738" s="56">
        <f>IFERROR($N738*J738,0)</f>
        <v>1770.2312801999999</v>
      </c>
      <c r="Q738" s="56">
        <f>IFERROR($N738*K738,0)</f>
        <v>1877.7447801999999</v>
      </c>
      <c r="R738" s="56">
        <f>IFERROR($N738*L738,0)</f>
        <v>0</v>
      </c>
      <c r="S738" s="53">
        <f t="shared" si="152"/>
        <v>3647.9760603999998</v>
      </c>
      <c r="T738" s="35" t="s">
        <v>56</v>
      </c>
      <c r="U738" s="18" t="s">
        <v>647</v>
      </c>
      <c r="V738" s="19" t="str">
        <f>IF(OR($H738="",$H738="sif",$H738="PM"),"",VLOOKUP($H738,[5]CU!$C$5:$J$255,8,FALSE))</f>
        <v>3. Manuels scolaires et matériels pédagogiques</v>
      </c>
      <c r="W738" s="18" t="s">
        <v>192</v>
      </c>
      <c r="X738" s="18" t="s">
        <v>347</v>
      </c>
      <c r="Y738" s="19" t="s">
        <v>32</v>
      </c>
      <c r="Z738" s="19" t="str">
        <f>A738 &amp; "-" &amp; VLOOKUP(A738,[4]PROGRAMMES!$E$1:$F$7,2,FALSE)</f>
        <v>2-Qualité des enseignements et des apprentissages</v>
      </c>
      <c r="AA738" s="19" t="str">
        <f>B738 &amp; "-" &amp; VLOOKUP(B738,[4]SOUSPROGRAMMES!$E$1:$F$44,2,FALSE)</f>
        <v xml:space="preserve">25- Conditions d’apprentissage améliorées </v>
      </c>
      <c r="AB738" s="19" t="str">
        <f>C738 &amp; "-" &amp; VLOOKUP(C738,[4]RESULTATS!$E$1:$F$176,2,FALSE)</f>
        <v>253- Les élèves du primaire et du secondaire disposent des manuels des matières fondamentales en quantité suffisante.</v>
      </c>
      <c r="AC738" s="20" t="str">
        <f>D738 &amp; "-" &amp; VLOOKUP(D738,[4]STRATEGIES!$E$1:$F$504,2,FALSE)</f>
        <v>2531-Distribution des manuels et guides</v>
      </c>
      <c r="AD738" s="21" t="str">
        <f t="shared" si="148"/>
        <v>25316-Acquisition de guides pour le Lyce (hors 11ème année)</v>
      </c>
    </row>
    <row r="739" spans="1:30" s="22" customFormat="1" ht="60" hidden="1" customHeight="1" x14ac:dyDescent="0.8">
      <c r="A739" s="14">
        <v>2</v>
      </c>
      <c r="B739" s="15">
        <v>25</v>
      </c>
      <c r="C739" s="15">
        <v>253</v>
      </c>
      <c r="D739" s="15">
        <v>2531</v>
      </c>
      <c r="E739" s="14">
        <v>25316</v>
      </c>
      <c r="F739" s="16" t="s">
        <v>903</v>
      </c>
      <c r="G739" s="21" t="s">
        <v>893</v>
      </c>
      <c r="H739" s="17" t="s">
        <v>900</v>
      </c>
      <c r="I739" s="56">
        <v>0</v>
      </c>
      <c r="J739" s="56">
        <v>0</v>
      </c>
      <c r="K739" s="56">
        <v>0</v>
      </c>
      <c r="L739" s="56">
        <v>0</v>
      </c>
      <c r="M739" s="56">
        <f t="shared" si="150"/>
        <v>0</v>
      </c>
      <c r="N739" s="56">
        <f>IF(OR(H739="",H739="sif",H739="PM"),0,VLOOKUP(H739,[5]CU!$C$4:$H$255,6,FALSE))</f>
        <v>4.5999999999999999E-2</v>
      </c>
      <c r="O739" s="56">
        <f t="shared" si="147"/>
        <v>0</v>
      </c>
      <c r="P739" s="56">
        <f t="shared" si="147"/>
        <v>0</v>
      </c>
      <c r="Q739" s="56">
        <f t="shared" si="147"/>
        <v>0</v>
      </c>
      <c r="R739" s="56">
        <f t="shared" si="147"/>
        <v>0</v>
      </c>
      <c r="S739" s="53">
        <f t="shared" si="152"/>
        <v>0</v>
      </c>
      <c r="T739" s="35" t="s">
        <v>178</v>
      </c>
      <c r="U739" s="18" t="s">
        <v>647</v>
      </c>
      <c r="V739" s="19" t="str">
        <f>IF(OR($H739="",$H739="sif",$H739="PM"),"",VLOOKUP($H739,[5]CU!$C$5:$J$255,8,FALSE))</f>
        <v>3. Manuels scolaires et matériels pédagogiques</v>
      </c>
      <c r="W739" s="18" t="s">
        <v>192</v>
      </c>
      <c r="X739" s="18" t="s">
        <v>347</v>
      </c>
      <c r="Y739" s="19" t="s">
        <v>32</v>
      </c>
      <c r="Z739" s="19" t="str">
        <f>A739 &amp; "-" &amp; VLOOKUP(A739,[4]PROGRAMMES!$E$1:$F$7,2,FALSE)</f>
        <v>2-Qualité des enseignements et des apprentissages</v>
      </c>
      <c r="AA739" s="19" t="str">
        <f>B739 &amp; "-" &amp; VLOOKUP(B739,[4]SOUSPROGRAMMES!$E$1:$F$44,2,FALSE)</f>
        <v xml:space="preserve">25- Conditions d’apprentissage améliorées </v>
      </c>
      <c r="AB739" s="19" t="str">
        <f>C739 &amp; "-" &amp; VLOOKUP(C739,[4]RESULTATS!$E$1:$F$176,2,FALSE)</f>
        <v>253- Les élèves du primaire et du secondaire disposent des manuels des matières fondamentales en quantité suffisante.</v>
      </c>
      <c r="AC739" s="20" t="str">
        <f>D739 &amp; "-" &amp; VLOOKUP(D739,[4]STRATEGIES!$E$1:$F$504,2,FALSE)</f>
        <v>2531-Distribution des manuels et guides</v>
      </c>
      <c r="AD739" s="21" t="str">
        <f t="shared" si="148"/>
        <v>25316-Acquisition de guides pour le Lyce (hors 11ème année)</v>
      </c>
    </row>
    <row r="740" spans="1:30" s="22" customFormat="1" ht="60" customHeight="1" x14ac:dyDescent="0.8">
      <c r="A740" s="14">
        <v>2</v>
      </c>
      <c r="B740" s="15">
        <v>25</v>
      </c>
      <c r="C740" s="15">
        <v>253</v>
      </c>
      <c r="D740" s="15">
        <v>2532</v>
      </c>
      <c r="E740" s="14">
        <v>2532</v>
      </c>
      <c r="F740" s="16" t="s">
        <v>904</v>
      </c>
      <c r="G740" s="17"/>
      <c r="H740" s="17"/>
      <c r="I740" s="56">
        <v>0</v>
      </c>
      <c r="J740" s="56"/>
      <c r="K740" s="56"/>
      <c r="L740" s="56"/>
      <c r="M740" s="56"/>
      <c r="N740" s="56"/>
      <c r="O740" s="56"/>
      <c r="P740" s="56"/>
      <c r="Q740" s="56"/>
      <c r="R740" s="56"/>
      <c r="S740" s="53"/>
      <c r="T740" s="33"/>
      <c r="U740" s="18"/>
      <c r="V740" s="19"/>
      <c r="W740" s="18"/>
      <c r="X740" s="18"/>
      <c r="Y740" s="19" t="s">
        <v>32</v>
      </c>
      <c r="Z740" s="19" t="str">
        <f>A740 &amp; "-" &amp; VLOOKUP(A740,[4]PROGRAMMES!$E$1:$F$7,2,FALSE)</f>
        <v>2-Qualité des enseignements et des apprentissages</v>
      </c>
      <c r="AA740" s="19" t="str">
        <f>B740 &amp; "-" &amp; VLOOKUP(B740,[4]SOUSPROGRAMMES!$E$1:$F$44,2,FALSE)</f>
        <v xml:space="preserve">25- Conditions d’apprentissage améliorées </v>
      </c>
      <c r="AB740" s="19" t="str">
        <f>C740 &amp; "-" &amp; VLOOKUP(C740,[4]RESULTATS!$E$1:$F$176,2,FALSE)</f>
        <v>253- Les élèves du primaire et du secondaire disposent des manuels des matières fondamentales en quantité suffisante.</v>
      </c>
      <c r="AC740" s="20" t="str">
        <f>D740 &amp; "-" &amp; VLOOKUP(D740,[4]STRATEGIES!$E$1:$F$504,2,FALSE)</f>
        <v>2532-redynamiser les comités de gestion des manuels</v>
      </c>
      <c r="AD740" s="21" t="str">
        <f t="shared" si="148"/>
        <v>2532-redynamiser les comités de gestion des manuels</v>
      </c>
    </row>
    <row r="741" spans="1:30" s="22" customFormat="1" ht="60" hidden="1" customHeight="1" x14ac:dyDescent="0.8">
      <c r="A741" s="14">
        <v>2</v>
      </c>
      <c r="B741" s="15">
        <v>25</v>
      </c>
      <c r="C741" s="15">
        <v>253</v>
      </c>
      <c r="D741" s="15">
        <v>2532</v>
      </c>
      <c r="E741" s="14">
        <v>25321</v>
      </c>
      <c r="F741" s="16" t="s">
        <v>905</v>
      </c>
      <c r="G741" s="21" t="s">
        <v>454</v>
      </c>
      <c r="H741" s="17" t="s">
        <v>76</v>
      </c>
      <c r="I741" s="56">
        <v>0</v>
      </c>
      <c r="J741" s="56"/>
      <c r="K741" s="56"/>
      <c r="L741" s="56"/>
      <c r="M741" s="56">
        <f t="shared" si="150"/>
        <v>0</v>
      </c>
      <c r="N741" s="56">
        <f>IF(OR(H741="",H741="sif",H741="PM"),0,VLOOKUP(H741,[5]CU!$C$4:$H$255,6,FALSE))</f>
        <v>45.936799999999998</v>
      </c>
      <c r="O741" s="56">
        <f t="shared" si="147"/>
        <v>0</v>
      </c>
      <c r="P741" s="56">
        <f t="shared" si="147"/>
        <v>0</v>
      </c>
      <c r="Q741" s="56">
        <f t="shared" si="147"/>
        <v>0</v>
      </c>
      <c r="R741" s="56">
        <f t="shared" si="147"/>
        <v>0</v>
      </c>
      <c r="S741" s="53">
        <f>SUM(O741:R741)</f>
        <v>0</v>
      </c>
      <c r="T741" s="35" t="s">
        <v>178</v>
      </c>
      <c r="U741" s="18" t="s">
        <v>647</v>
      </c>
      <c r="V741" s="19" t="str">
        <f>IF(OR($H741="",$H741="sif",$H741="PM"),"",VLOOKUP($H741,[5]CU!$C$5:$J$255,8,FALSE))</f>
        <v>3. Dépenses de fonctionnement</v>
      </c>
      <c r="W741" s="18" t="s">
        <v>708</v>
      </c>
      <c r="X741" s="18" t="s">
        <v>273</v>
      </c>
      <c r="Y741" s="19" t="s">
        <v>32</v>
      </c>
      <c r="Z741" s="19" t="str">
        <f>A741 &amp; "-" &amp; VLOOKUP(A741,[4]PROGRAMMES!$E$1:$F$7,2,FALSE)</f>
        <v>2-Qualité des enseignements et des apprentissages</v>
      </c>
      <c r="AA741" s="19" t="str">
        <f>B741 &amp; "-" &amp; VLOOKUP(B741,[4]SOUSPROGRAMMES!$E$1:$F$44,2,FALSE)</f>
        <v xml:space="preserve">25- Conditions d’apprentissage améliorées </v>
      </c>
      <c r="AB741" s="19" t="str">
        <f>C741 &amp; "-" &amp; VLOOKUP(C741,[4]RESULTATS!$E$1:$F$176,2,FALSE)</f>
        <v>253- Les élèves du primaire et du secondaire disposent des manuels des matières fondamentales en quantité suffisante.</v>
      </c>
      <c r="AC741" s="20" t="str">
        <f>D741 &amp; "-" &amp; VLOOKUP(D741,[4]STRATEGIES!$E$1:$F$504,2,FALSE)</f>
        <v>2532-redynamiser les comités de gestion des manuels</v>
      </c>
      <c r="AD741" s="21" t="str">
        <f t="shared" si="148"/>
        <v xml:space="preserve">25321-Sensibilisation sur la distribution des manuels scolaires </v>
      </c>
    </row>
    <row r="742" spans="1:30" s="22" customFormat="1" ht="60" hidden="1" customHeight="1" x14ac:dyDescent="0.8">
      <c r="A742" s="14">
        <v>2</v>
      </c>
      <c r="B742" s="15">
        <v>25</v>
      </c>
      <c r="C742" s="15">
        <v>253</v>
      </c>
      <c r="D742" s="15">
        <v>2532</v>
      </c>
      <c r="E742" s="14">
        <v>25322</v>
      </c>
      <c r="F742" s="16" t="s">
        <v>906</v>
      </c>
      <c r="G742" s="21" t="s">
        <v>907</v>
      </c>
      <c r="H742" s="17" t="s">
        <v>55</v>
      </c>
      <c r="I742" s="56">
        <v>0</v>
      </c>
      <c r="J742" s="56">
        <v>1</v>
      </c>
      <c r="K742" s="56"/>
      <c r="L742" s="56"/>
      <c r="M742" s="56">
        <f t="shared" si="150"/>
        <v>1</v>
      </c>
      <c r="N742" s="56">
        <f>IF(OR(H742="",H742="sif",H742="PM"),0,VLOOKUP(H742,[5]CU!$C$4:$H$255,6,FALSE))</f>
        <v>0</v>
      </c>
      <c r="O742" s="56">
        <f t="shared" si="147"/>
        <v>0</v>
      </c>
      <c r="P742" s="56">
        <f t="shared" si="147"/>
        <v>0</v>
      </c>
      <c r="Q742" s="56">
        <f t="shared" si="147"/>
        <v>0</v>
      </c>
      <c r="R742" s="56">
        <f t="shared" si="147"/>
        <v>0</v>
      </c>
      <c r="S742" s="53"/>
      <c r="T742" s="35" t="s">
        <v>56</v>
      </c>
      <c r="U742" s="18" t="s">
        <v>647</v>
      </c>
      <c r="V742" s="19" t="str">
        <f>IF(OR($H742="",$H742="sif",$H742="PM"),"",VLOOKUP($H742,[5]CU!$C$5:$J$255,8,FALSE))</f>
        <v/>
      </c>
      <c r="W742" s="18" t="s">
        <v>255</v>
      </c>
      <c r="X742" s="18" t="s">
        <v>708</v>
      </c>
      <c r="Y742" s="19" t="s">
        <v>32</v>
      </c>
      <c r="Z742" s="19" t="str">
        <f>A742 &amp; "-" &amp; VLOOKUP(A742,[4]PROGRAMMES!$E$1:$F$7,2,FALSE)</f>
        <v>2-Qualité des enseignements et des apprentissages</v>
      </c>
      <c r="AA742" s="19" t="str">
        <f>B742 &amp; "-" &amp; VLOOKUP(B742,[4]SOUSPROGRAMMES!$E$1:$F$44,2,FALSE)</f>
        <v xml:space="preserve">25- Conditions d’apprentissage améliorées </v>
      </c>
      <c r="AB742" s="19" t="str">
        <f>C742 &amp; "-" &amp; VLOOKUP(C742,[4]RESULTATS!$E$1:$F$176,2,FALSE)</f>
        <v>253- Les élèves du primaire et du secondaire disposent des manuels des matières fondamentales en quantité suffisante.</v>
      </c>
      <c r="AC742" s="20" t="str">
        <f>D742 &amp; "-" &amp; VLOOKUP(D742,[4]STRATEGIES!$E$1:$F$504,2,FALSE)</f>
        <v>2532-redynamiser les comités de gestion des manuels</v>
      </c>
      <c r="AD742" s="21" t="str">
        <f t="shared" si="148"/>
        <v>25322-Révision des textes organisant, la gestion et la conservation des manuels (en tenant compte des résultats de l'audit activité 25331)</v>
      </c>
    </row>
    <row r="743" spans="1:30" ht="60" hidden="1" customHeight="1" x14ac:dyDescent="0.8">
      <c r="A743" s="25">
        <v>2</v>
      </c>
      <c r="B743" s="16">
        <v>25</v>
      </c>
      <c r="C743" s="16">
        <v>253</v>
      </c>
      <c r="D743" s="16">
        <v>2532</v>
      </c>
      <c r="E743" s="25">
        <v>25323</v>
      </c>
      <c r="F743" s="16" t="s">
        <v>908</v>
      </c>
      <c r="G743" s="21" t="s">
        <v>451</v>
      </c>
      <c r="H743" s="21" t="s">
        <v>816</v>
      </c>
      <c r="I743" s="56">
        <v>0</v>
      </c>
      <c r="J743" s="57">
        <f>(11000+1500+400+38)*1.1</f>
        <v>14231.800000000001</v>
      </c>
      <c r="K743" s="57"/>
      <c r="L743" s="57"/>
      <c r="M743" s="57">
        <f t="shared" si="150"/>
        <v>14231.800000000001</v>
      </c>
      <c r="N743" s="57">
        <f>IF(OR(H743="",H743="sif",H743="PM"),0,VLOOKUP(H743,[5]CU!$C$4:$H$255,6,FALSE))</f>
        <v>7.4999999999999997E-3</v>
      </c>
      <c r="O743" s="57">
        <f t="shared" si="147"/>
        <v>0</v>
      </c>
      <c r="P743" s="57">
        <f t="shared" si="147"/>
        <v>106.7385</v>
      </c>
      <c r="Q743" s="57">
        <f t="shared" si="147"/>
        <v>0</v>
      </c>
      <c r="R743" s="57">
        <f t="shared" si="147"/>
        <v>0</v>
      </c>
      <c r="S743" s="60">
        <f>SUM(O743:R743)</f>
        <v>106.7385</v>
      </c>
      <c r="T743" s="38" t="s">
        <v>169</v>
      </c>
      <c r="U743" s="19" t="s">
        <v>647</v>
      </c>
      <c r="V743" s="19" t="str">
        <f>IF(OR($H743="",$H743="sif",$H743="PM"),"",VLOOKUP($H743,[5]CU!$C$5:$J$255,8,FALSE))</f>
        <v>3. Dépenses de fonctionnement</v>
      </c>
      <c r="W743" s="19" t="s">
        <v>708</v>
      </c>
      <c r="X743" s="19" t="s">
        <v>273</v>
      </c>
      <c r="Y743" s="19" t="s">
        <v>32</v>
      </c>
      <c r="Z743" s="19" t="str">
        <f>A743 &amp; "-" &amp; VLOOKUP(A743,[4]PROGRAMMES!$E$1:$F$7,2,FALSE)</f>
        <v>2-Qualité des enseignements et des apprentissages</v>
      </c>
      <c r="AA743" s="19" t="str">
        <f>B743 &amp; "-" &amp; VLOOKUP(B743,[4]SOUSPROGRAMMES!$E$1:$F$44,2,FALSE)</f>
        <v xml:space="preserve">25- Conditions d’apprentissage améliorées </v>
      </c>
      <c r="AB743" s="19" t="str">
        <f>C743 &amp; "-" &amp; VLOOKUP(C743,[4]RESULTATS!$E$1:$F$176,2,FALSE)</f>
        <v>253- Les élèves du primaire et du secondaire disposent des manuels des matières fondamentales en quantité suffisante.</v>
      </c>
      <c r="AC743" s="20" t="str">
        <f>D743 &amp; "-" &amp; VLOOKUP(D743,[4]STRATEGIES!$E$1:$F$504,2,FALSE)</f>
        <v>2532-redynamiser les comités de gestion des manuels</v>
      </c>
      <c r="AD743" s="21" t="str">
        <f t="shared" si="148"/>
        <v>25323-Partage et diffusion des textes</v>
      </c>
    </row>
    <row r="744" spans="1:30" s="22" customFormat="1" ht="60" customHeight="1" x14ac:dyDescent="0.8">
      <c r="A744" s="14">
        <v>2</v>
      </c>
      <c r="B744" s="15">
        <v>25</v>
      </c>
      <c r="C744" s="15">
        <v>253</v>
      </c>
      <c r="D744" s="15">
        <v>2533</v>
      </c>
      <c r="E744" s="14">
        <v>2533</v>
      </c>
      <c r="F744" s="16" t="s">
        <v>909</v>
      </c>
      <c r="G744" s="17"/>
      <c r="H744" s="17"/>
      <c r="I744" s="56">
        <v>0</v>
      </c>
      <c r="J744" s="56"/>
      <c r="K744" s="56"/>
      <c r="L744" s="56"/>
      <c r="M744" s="56"/>
      <c r="N744" s="56"/>
      <c r="O744" s="56"/>
      <c r="P744" s="56"/>
      <c r="Q744" s="56"/>
      <c r="R744" s="56"/>
      <c r="S744" s="53"/>
      <c r="T744" s="33"/>
      <c r="U744" s="18"/>
      <c r="V744" s="19"/>
      <c r="W744" s="18"/>
      <c r="X744" s="18"/>
      <c r="Y744" s="19" t="s">
        <v>32</v>
      </c>
      <c r="Z744" s="19" t="str">
        <f>A744 &amp; "-" &amp; VLOOKUP(A744,[4]PROGRAMMES!$E$1:$F$7,2,FALSE)</f>
        <v>2-Qualité des enseignements et des apprentissages</v>
      </c>
      <c r="AA744" s="19" t="str">
        <f>B744 &amp; "-" &amp; VLOOKUP(B744,[4]SOUSPROGRAMMES!$E$1:$F$44,2,FALSE)</f>
        <v xml:space="preserve">25- Conditions d’apprentissage améliorées </v>
      </c>
      <c r="AB744" s="19" t="str">
        <f>C744 &amp; "-" &amp; VLOOKUP(C744,[4]RESULTATS!$E$1:$F$176,2,FALSE)</f>
        <v>253- Les élèves du primaire et du secondaire disposent des manuels des matières fondamentales en quantité suffisante.</v>
      </c>
      <c r="AC744" s="20" t="str">
        <f>D744 &amp; "-" &amp; VLOOKUP(D744,[4]STRATEGIES!$E$1:$F$504,2,FALSE)</f>
        <v>2533-Organisation des audits sur la gestion des manuels</v>
      </c>
      <c r="AD744" s="21" t="str">
        <f t="shared" si="148"/>
        <v>2533-Organisation des audits sur la gestion des manuels</v>
      </c>
    </row>
    <row r="745" spans="1:30" ht="60" hidden="1" customHeight="1" x14ac:dyDescent="0.8">
      <c r="A745" s="25">
        <v>2</v>
      </c>
      <c r="B745" s="16">
        <v>25</v>
      </c>
      <c r="C745" s="16">
        <v>253</v>
      </c>
      <c r="D745" s="16">
        <v>2533</v>
      </c>
      <c r="E745" s="25">
        <v>25331</v>
      </c>
      <c r="F745" s="16" t="s">
        <v>910</v>
      </c>
      <c r="G745" s="21" t="s">
        <v>167</v>
      </c>
      <c r="H745" s="21" t="s">
        <v>646</v>
      </c>
      <c r="I745" s="56">
        <v>0</v>
      </c>
      <c r="J745" s="57"/>
      <c r="K745" s="57"/>
      <c r="L745" s="57"/>
      <c r="M745" s="57">
        <f t="shared" si="150"/>
        <v>0</v>
      </c>
      <c r="N745" s="57">
        <f>IF(OR(H745="",H745="sif",H745="PM"),0,VLOOKUP(H745,[5]CU!$C$4:$H$255,6,FALSE))</f>
        <v>10.404797</v>
      </c>
      <c r="O745" s="57">
        <f t="shared" si="147"/>
        <v>0</v>
      </c>
      <c r="P745" s="57">
        <f t="shared" si="147"/>
        <v>0</v>
      </c>
      <c r="Q745" s="57">
        <f t="shared" si="147"/>
        <v>0</v>
      </c>
      <c r="R745" s="57">
        <f t="shared" si="147"/>
        <v>0</v>
      </c>
      <c r="S745" s="60">
        <f>SUM(O745:R745)</f>
        <v>0</v>
      </c>
      <c r="T745" s="38" t="s">
        <v>169</v>
      </c>
      <c r="U745" s="19" t="s">
        <v>647</v>
      </c>
      <c r="V745" s="19" t="str">
        <f>IF(OR($H745="",$H745="sif",$H745="PM"),"",VLOOKUP($H745,[5]CU!$C$5:$J$255,8,FALSE))</f>
        <v>3. Dépenses de fonctionnement</v>
      </c>
      <c r="W745" s="19" t="s">
        <v>273</v>
      </c>
      <c r="X745" s="19" t="s">
        <v>911</v>
      </c>
      <c r="Y745" s="19" t="s">
        <v>32</v>
      </c>
      <c r="Z745" s="19" t="str">
        <f>A745 &amp; "-" &amp; VLOOKUP(A745,[4]PROGRAMMES!$E$1:$F$7,2,FALSE)</f>
        <v>2-Qualité des enseignements et des apprentissages</v>
      </c>
      <c r="AA745" s="19" t="str">
        <f>B745 &amp; "-" &amp; VLOOKUP(B745,[4]SOUSPROGRAMMES!$E$1:$F$44,2,FALSE)</f>
        <v xml:space="preserve">25- Conditions d’apprentissage améliorées </v>
      </c>
      <c r="AB745" s="19" t="str">
        <f>C745 &amp; "-" &amp; VLOOKUP(C745,[4]RESULTATS!$E$1:$F$176,2,FALSE)</f>
        <v>253- Les élèves du primaire et du secondaire disposent des manuels des matières fondamentales en quantité suffisante.</v>
      </c>
      <c r="AC745" s="20" t="str">
        <f>D745 &amp; "-" &amp; VLOOKUP(D745,[4]STRATEGIES!$E$1:$F$504,2,FALSE)</f>
        <v>2533-Organisation des audits sur la gestion des manuels</v>
      </c>
      <c r="AD745" s="21" t="str">
        <f t="shared" si="148"/>
        <v>25331-Organisation d'un audit sur la gestion des manuels scolaires</v>
      </c>
    </row>
    <row r="746" spans="1:30" ht="60" hidden="1" customHeight="1" x14ac:dyDescent="0.8">
      <c r="A746" s="25">
        <v>2</v>
      </c>
      <c r="B746" s="16">
        <v>25</v>
      </c>
      <c r="C746" s="16">
        <v>253</v>
      </c>
      <c r="D746" s="16">
        <v>2533</v>
      </c>
      <c r="E746" s="25">
        <v>25332</v>
      </c>
      <c r="F746" s="16" t="s">
        <v>912</v>
      </c>
      <c r="G746" s="21" t="s">
        <v>37</v>
      </c>
      <c r="H746" s="21" t="s">
        <v>66</v>
      </c>
      <c r="I746" s="56">
        <v>0</v>
      </c>
      <c r="J746" s="57">
        <f>10*5</f>
        <v>50</v>
      </c>
      <c r="K746" s="57"/>
      <c r="L746" s="57"/>
      <c r="M746" s="57">
        <f t="shared" si="150"/>
        <v>50</v>
      </c>
      <c r="N746" s="57">
        <f>IF(OR(H746="",H746="sif",H746="PM"),0,VLOOKUP(H746,[5]CU!$C$4:$H$255,6,FALSE))</f>
        <v>0.255</v>
      </c>
      <c r="O746" s="57">
        <f t="shared" si="147"/>
        <v>0</v>
      </c>
      <c r="P746" s="57">
        <f t="shared" si="147"/>
        <v>12.75</v>
      </c>
      <c r="Q746" s="57">
        <f t="shared" si="147"/>
        <v>0</v>
      </c>
      <c r="R746" s="57">
        <f t="shared" si="147"/>
        <v>0</v>
      </c>
      <c r="S746" s="60">
        <f>SUM(O746:R746)</f>
        <v>12.75</v>
      </c>
      <c r="T746" s="38" t="s">
        <v>169</v>
      </c>
      <c r="U746" s="19" t="s">
        <v>647</v>
      </c>
      <c r="V746" s="19" t="str">
        <f>IF(OR($H746="",$H746="sif",$H746="PM"),"",VLOOKUP($H746,[5]CU!$C$5:$J$255,8,FALSE))</f>
        <v>3. Dépenses de fonctionnement</v>
      </c>
      <c r="W746" s="19" t="s">
        <v>708</v>
      </c>
      <c r="X746" s="19" t="s">
        <v>273</v>
      </c>
      <c r="Y746" s="19" t="s">
        <v>32</v>
      </c>
      <c r="Z746" s="19" t="str">
        <f>A746 &amp; "-" &amp; VLOOKUP(A746,[4]PROGRAMMES!$E$1:$F$7,2,FALSE)</f>
        <v>2-Qualité des enseignements et des apprentissages</v>
      </c>
      <c r="AA746" s="19" t="str">
        <f>B746 &amp; "-" &amp; VLOOKUP(B746,[4]SOUSPROGRAMMES!$E$1:$F$44,2,FALSE)</f>
        <v xml:space="preserve">25- Conditions d’apprentissage améliorées </v>
      </c>
      <c r="AB746" s="19" t="str">
        <f>C746 &amp; "-" &amp; VLOOKUP(C746,[4]RESULTATS!$E$1:$F$176,2,FALSE)</f>
        <v>253- Les élèves du primaire et du secondaire disposent des manuels des matières fondamentales en quantité suffisante.</v>
      </c>
      <c r="AC746" s="20" t="str">
        <f>D746 &amp; "-" &amp; VLOOKUP(D746,[4]STRATEGIES!$E$1:$F$504,2,FALSE)</f>
        <v>2533-Organisation des audits sur la gestion des manuels</v>
      </c>
      <c r="AD746" s="21" t="str">
        <f t="shared" si="148"/>
        <v>25332-Mise en place de mécanismes de suivi de la gestion des manuels et développement des outils appropriés sur la base des recommandations de l'audit</v>
      </c>
    </row>
    <row r="747" spans="1:30" ht="60" hidden="1" customHeight="1" x14ac:dyDescent="0.8">
      <c r="A747" s="25">
        <v>2</v>
      </c>
      <c r="B747" s="16">
        <v>25</v>
      </c>
      <c r="C747" s="16">
        <v>253</v>
      </c>
      <c r="D747" s="16">
        <v>2533</v>
      </c>
      <c r="E747" s="25">
        <v>25333</v>
      </c>
      <c r="F747" s="16" t="s">
        <v>913</v>
      </c>
      <c r="G747" s="21" t="s">
        <v>58</v>
      </c>
      <c r="H747" s="21" t="s">
        <v>59</v>
      </c>
      <c r="I747" s="56">
        <v>0</v>
      </c>
      <c r="J747" s="57"/>
      <c r="K747" s="57">
        <f>10*4*8</f>
        <v>320</v>
      </c>
      <c r="L747" s="57">
        <f>10*4*8*2</f>
        <v>640</v>
      </c>
      <c r="M747" s="57">
        <f t="shared" si="150"/>
        <v>960</v>
      </c>
      <c r="N747" s="57">
        <f>IF(OR(H747="",H747="sif",H747="PM"),0,VLOOKUP(H747,[5]CU!$C$4:$H$255,6,FALSE))</f>
        <v>0.8177777777777776</v>
      </c>
      <c r="O747" s="57">
        <f t="shared" si="147"/>
        <v>0</v>
      </c>
      <c r="P747" s="57">
        <f t="shared" si="147"/>
        <v>0</v>
      </c>
      <c r="Q747" s="57">
        <f t="shared" si="147"/>
        <v>261.68888888888881</v>
      </c>
      <c r="R747" s="57">
        <f t="shared" si="147"/>
        <v>523.37777777777762</v>
      </c>
      <c r="S747" s="60">
        <f>SUM(O747:R747)</f>
        <v>785.06666666666638</v>
      </c>
      <c r="T747" s="38" t="s">
        <v>169</v>
      </c>
      <c r="U747" s="19" t="s">
        <v>647</v>
      </c>
      <c r="V747" s="19" t="str">
        <f>IF(OR($H747="",$H747="sif",$H747="PM"),"",VLOOKUP($H747,[5]CU!$C$5:$J$255,8,FALSE))</f>
        <v>3. Dépenses de fonctionnement</v>
      </c>
      <c r="W747" s="19" t="s">
        <v>273</v>
      </c>
      <c r="X747" s="19" t="s">
        <v>273</v>
      </c>
      <c r="Y747" s="19" t="s">
        <v>32</v>
      </c>
      <c r="Z747" s="19" t="str">
        <f>A747 &amp; "-" &amp; VLOOKUP(A747,[4]PROGRAMMES!$E$1:$F$7,2,FALSE)</f>
        <v>2-Qualité des enseignements et des apprentissages</v>
      </c>
      <c r="AA747" s="19" t="str">
        <f>B747 &amp; "-" &amp; VLOOKUP(B747,[4]SOUSPROGRAMMES!$E$1:$F$44,2,FALSE)</f>
        <v xml:space="preserve">25- Conditions d’apprentissage améliorées </v>
      </c>
      <c r="AB747" s="19" t="str">
        <f>C747 &amp; "-" &amp; VLOOKUP(C747,[4]RESULTATS!$E$1:$F$176,2,FALSE)</f>
        <v>253- Les élèves du primaire et du secondaire disposent des manuels des matières fondamentales en quantité suffisante.</v>
      </c>
      <c r="AC747" s="20" t="str">
        <f>D747 &amp; "-" &amp; VLOOKUP(D747,[4]STRATEGIES!$E$1:$F$504,2,FALSE)</f>
        <v>2533-Organisation des audits sur la gestion des manuels</v>
      </c>
      <c r="AD747" s="21" t="str">
        <f t="shared" si="148"/>
        <v>25333-Organisation de missions régulières de suivi de la mise en œuvre des textes organisant la gestion et la conservation</v>
      </c>
    </row>
    <row r="748" spans="1:30" ht="60" hidden="1" customHeight="1" x14ac:dyDescent="0.8">
      <c r="A748" s="25">
        <v>2</v>
      </c>
      <c r="B748" s="16">
        <v>25</v>
      </c>
      <c r="C748" s="16">
        <v>253</v>
      </c>
      <c r="D748" s="16">
        <v>2533</v>
      </c>
      <c r="E748" s="25">
        <v>25334</v>
      </c>
      <c r="F748" s="16" t="s">
        <v>914</v>
      </c>
      <c r="G748" s="21" t="s">
        <v>298</v>
      </c>
      <c r="H748" s="21" t="s">
        <v>38</v>
      </c>
      <c r="I748" s="56">
        <v>0</v>
      </c>
      <c r="J748" s="57"/>
      <c r="K748" s="57">
        <f>20*1</f>
        <v>20</v>
      </c>
      <c r="L748" s="57">
        <f>90*1*2</f>
        <v>180</v>
      </c>
      <c r="M748" s="57">
        <f t="shared" si="150"/>
        <v>200</v>
      </c>
      <c r="N748" s="57">
        <f>IF(OR(H748="",H748="sif",H748="PM"),0,VLOOKUP(H748,[5]CU!$C$4:$H$255,6,FALSE))</f>
        <v>0.3133333333333333</v>
      </c>
      <c r="O748" s="57">
        <f t="shared" si="147"/>
        <v>0</v>
      </c>
      <c r="P748" s="57">
        <f t="shared" si="147"/>
        <v>0</v>
      </c>
      <c r="Q748" s="57">
        <f t="shared" si="147"/>
        <v>6.2666666666666657</v>
      </c>
      <c r="R748" s="57">
        <f t="shared" si="147"/>
        <v>56.399999999999991</v>
      </c>
      <c r="S748" s="60">
        <f>SUM(O748:R748)</f>
        <v>62.666666666666657</v>
      </c>
      <c r="T748" s="38" t="s">
        <v>169</v>
      </c>
      <c r="U748" s="19" t="s">
        <v>647</v>
      </c>
      <c r="V748" s="19" t="str">
        <f>IF(OR($H748="",$H748="sif",$H748="PM"),"",VLOOKUP($H748,[5]CU!$C$5:$J$255,8,FALSE))</f>
        <v>3. Formation</v>
      </c>
      <c r="W748" s="19" t="s">
        <v>273</v>
      </c>
      <c r="X748" s="19" t="s">
        <v>273</v>
      </c>
      <c r="Y748" s="19" t="s">
        <v>32</v>
      </c>
      <c r="Z748" s="19" t="str">
        <f>A748 &amp; "-" &amp; VLOOKUP(A748,[4]PROGRAMMES!$E$1:$F$7,2,FALSE)</f>
        <v>2-Qualité des enseignements et des apprentissages</v>
      </c>
      <c r="AA748" s="19" t="str">
        <f>B748 &amp; "-" &amp; VLOOKUP(B748,[4]SOUSPROGRAMMES!$E$1:$F$44,2,FALSE)</f>
        <v xml:space="preserve">25- Conditions d’apprentissage améliorées </v>
      </c>
      <c r="AB748" s="19" t="str">
        <f>C748 &amp; "-" &amp; VLOOKUP(C748,[4]RESULTATS!$E$1:$F$176,2,FALSE)</f>
        <v>253- Les élèves du primaire et du secondaire disposent des manuels des matières fondamentales en quantité suffisante.</v>
      </c>
      <c r="AC748" s="20" t="str">
        <f>D748 &amp; "-" &amp; VLOOKUP(D748,[4]STRATEGIES!$E$1:$F$504,2,FALSE)</f>
        <v>2533-Organisation des audits sur la gestion des manuels</v>
      </c>
      <c r="AD748" s="21" t="str">
        <f t="shared" si="148"/>
        <v>25334-Partage et diffusion des résultats du suivi</v>
      </c>
    </row>
    <row r="749" spans="1:30" s="22" customFormat="1" ht="60" hidden="1" customHeight="1" x14ac:dyDescent="0.8">
      <c r="A749" s="14">
        <v>2</v>
      </c>
      <c r="B749" s="15">
        <v>25</v>
      </c>
      <c r="C749" s="15">
        <v>253</v>
      </c>
      <c r="D749" s="15">
        <v>2533</v>
      </c>
      <c r="E749" s="14">
        <v>25335</v>
      </c>
      <c r="F749" s="16" t="s">
        <v>915</v>
      </c>
      <c r="G749" s="21" t="s">
        <v>916</v>
      </c>
      <c r="H749" s="17" t="s">
        <v>55</v>
      </c>
      <c r="I749" s="56">
        <v>0</v>
      </c>
      <c r="J749" s="56"/>
      <c r="K749" s="56">
        <v>1</v>
      </c>
      <c r="L749" s="56">
        <v>1</v>
      </c>
      <c r="M749" s="56">
        <f t="shared" si="150"/>
        <v>2</v>
      </c>
      <c r="N749" s="56">
        <f>IF(OR(H749="",H749="sif",H749="PM"),0,VLOOKUP(H749,[5]CU!$C$4:$H$255,6,FALSE))</f>
        <v>0</v>
      </c>
      <c r="O749" s="56">
        <f t="shared" si="147"/>
        <v>0</v>
      </c>
      <c r="P749" s="56">
        <f t="shared" si="147"/>
        <v>0</v>
      </c>
      <c r="Q749" s="56">
        <f t="shared" si="147"/>
        <v>0</v>
      </c>
      <c r="R749" s="56">
        <f t="shared" si="147"/>
        <v>0</v>
      </c>
      <c r="S749" s="53"/>
      <c r="T749" s="35" t="s">
        <v>56</v>
      </c>
      <c r="U749" s="18" t="s">
        <v>647</v>
      </c>
      <c r="V749" s="19" t="str">
        <f>IF(OR($H749="",$H749="sif",$H749="PM"),"",VLOOKUP($H749,[5]CU!$C$5:$J$255,8,FALSE))</f>
        <v/>
      </c>
      <c r="W749" s="18" t="s">
        <v>273</v>
      </c>
      <c r="X749" s="18" t="s">
        <v>273</v>
      </c>
      <c r="Y749" s="19" t="s">
        <v>32</v>
      </c>
      <c r="Z749" s="19" t="str">
        <f>A749 &amp; "-" &amp; VLOOKUP(A749,[4]PROGRAMMES!$E$1:$F$7,2,FALSE)</f>
        <v>2-Qualité des enseignements et des apprentissages</v>
      </c>
      <c r="AA749" s="19" t="str">
        <f>B749 &amp; "-" &amp; VLOOKUP(B749,[4]SOUSPROGRAMMES!$E$1:$F$44,2,FALSE)</f>
        <v xml:space="preserve">25- Conditions d’apprentissage améliorées </v>
      </c>
      <c r="AB749" s="19" t="str">
        <f>C749 &amp; "-" &amp; VLOOKUP(C749,[4]RESULTATS!$E$1:$F$176,2,FALSE)</f>
        <v>253- Les élèves du primaire et du secondaire disposent des manuels des matières fondamentales en quantité suffisante.</v>
      </c>
      <c r="AC749" s="20" t="str">
        <f>D749 &amp; "-" &amp; VLOOKUP(D749,[4]STRATEGIES!$E$1:$F$504,2,FALSE)</f>
        <v>2533-Organisation des audits sur la gestion des manuels</v>
      </c>
      <c r="AD749" s="21" t="str">
        <f t="shared" si="148"/>
        <v>25335-Mise en place des remédiations préconisées par la mission de suivi</v>
      </c>
    </row>
    <row r="750" spans="1:30" s="22" customFormat="1" ht="30" customHeight="1" x14ac:dyDescent="0.8">
      <c r="A750" s="14">
        <v>2</v>
      </c>
      <c r="B750" s="15">
        <v>25</v>
      </c>
      <c r="C750" s="15">
        <v>254</v>
      </c>
      <c r="D750" s="15">
        <v>254</v>
      </c>
      <c r="E750" s="14">
        <v>254</v>
      </c>
      <c r="F750" s="16" t="s">
        <v>917</v>
      </c>
      <c r="G750" s="17"/>
      <c r="H750" s="17"/>
      <c r="I750" s="56">
        <v>0</v>
      </c>
      <c r="J750" s="56"/>
      <c r="K750" s="56"/>
      <c r="L750" s="56"/>
      <c r="M750" s="56"/>
      <c r="N750" s="56"/>
      <c r="O750" s="56"/>
      <c r="P750" s="56"/>
      <c r="Q750" s="56"/>
      <c r="R750" s="56"/>
      <c r="S750" s="53"/>
      <c r="T750" s="33"/>
      <c r="U750" s="18"/>
      <c r="V750" s="19"/>
      <c r="W750" s="18"/>
      <c r="X750" s="18"/>
      <c r="Y750" s="19" t="s">
        <v>32</v>
      </c>
      <c r="Z750" s="19" t="str">
        <f>A750 &amp; "-" &amp; VLOOKUP(A750,[4]PROGRAMMES!$E$1:$F$7,2,FALSE)</f>
        <v>2-Qualité des enseignements et des apprentissages</v>
      </c>
      <c r="AA750" s="19" t="str">
        <f>B750 &amp; "-" &amp; VLOOKUP(B750,[4]SOUSPROGRAMMES!$E$1:$F$44,2,FALSE)</f>
        <v xml:space="preserve">25- Conditions d’apprentissage améliorées </v>
      </c>
      <c r="AB750" s="19" t="str">
        <f>C750 &amp; "-" &amp; VLOOKUP(C750,[4]RESULTATS!$E$1:$F$176,2,FALSE)</f>
        <v>254- Les enseignants utilisent en classe les matériels didactiques et ludiques</v>
      </c>
      <c r="AC750" s="20" t="str">
        <f>D750 &amp; "-" &amp; VLOOKUP(D750,[4]STRATEGIES!$E$1:$F$504,2,FALSE)</f>
        <v>254- Les enseignants utilisent en classe les matériels didactiques et ludiques</v>
      </c>
      <c r="AD750" s="21" t="str">
        <f t="shared" si="148"/>
        <v>254- Les enseignants utilisent en classe les matériels didactiques et ludiques</v>
      </c>
    </row>
    <row r="751" spans="1:30" s="22" customFormat="1" ht="30" customHeight="1" x14ac:dyDescent="0.8">
      <c r="A751" s="14">
        <v>2</v>
      </c>
      <c r="B751" s="15">
        <v>25</v>
      </c>
      <c r="C751" s="15">
        <v>254</v>
      </c>
      <c r="D751" s="15">
        <v>2541</v>
      </c>
      <c r="E751" s="14">
        <v>2541</v>
      </c>
      <c r="F751" s="16" t="s">
        <v>918</v>
      </c>
      <c r="G751" s="17"/>
      <c r="H751" s="17"/>
      <c r="I751" s="56">
        <v>0</v>
      </c>
      <c r="J751" s="56"/>
      <c r="K751" s="56"/>
      <c r="L751" s="56"/>
      <c r="M751" s="56"/>
      <c r="N751" s="56"/>
      <c r="O751" s="56"/>
      <c r="P751" s="56"/>
      <c r="Q751" s="56"/>
      <c r="R751" s="56"/>
      <c r="S751" s="53"/>
      <c r="T751" s="33"/>
      <c r="U751" s="18"/>
      <c r="V751" s="19"/>
      <c r="W751" s="18"/>
      <c r="X751" s="18"/>
      <c r="Y751" s="19" t="s">
        <v>32</v>
      </c>
      <c r="Z751" s="19" t="str">
        <f>A751 &amp; "-" &amp; VLOOKUP(A751,[4]PROGRAMMES!$E$1:$F$7,2,FALSE)</f>
        <v>2-Qualité des enseignements et des apprentissages</v>
      </c>
      <c r="AA751" s="19" t="str">
        <f>B751 &amp; "-" &amp; VLOOKUP(B751,[4]SOUSPROGRAMMES!$E$1:$F$44,2,FALSE)</f>
        <v xml:space="preserve">25- Conditions d’apprentissage améliorées </v>
      </c>
      <c r="AB751" s="19" t="str">
        <f>C751 &amp; "-" &amp; VLOOKUP(C751,[4]RESULTATS!$E$1:$F$176,2,FALSE)</f>
        <v>254- Les enseignants utilisent en classe les matériels didactiques et ludiques</v>
      </c>
      <c r="AC751" s="20" t="str">
        <f>D751 &amp; "-" &amp; VLOOKUP(D751,[4]STRATEGIES!$E$1:$F$504,2,FALSE)</f>
        <v>2541-Formation des personnes pour le développement des matériels didactiques et ludiques</v>
      </c>
      <c r="AD751" s="21" t="str">
        <f t="shared" si="148"/>
        <v>2541-Formation des personnes pour le développement des matériels didactiques et ludiques</v>
      </c>
    </row>
    <row r="752" spans="1:30" s="22" customFormat="1" ht="30" hidden="1" customHeight="1" x14ac:dyDescent="0.8">
      <c r="A752" s="14">
        <v>2</v>
      </c>
      <c r="B752" s="15">
        <v>25</v>
      </c>
      <c r="C752" s="15">
        <v>254</v>
      </c>
      <c r="D752" s="15">
        <v>2541</v>
      </c>
      <c r="E752" s="14">
        <v>25411</v>
      </c>
      <c r="F752" s="16" t="s">
        <v>919</v>
      </c>
      <c r="G752" s="21" t="s">
        <v>651</v>
      </c>
      <c r="H752" s="17" t="s">
        <v>55</v>
      </c>
      <c r="I752" s="56">
        <v>0</v>
      </c>
      <c r="J752" s="56">
        <v>1</v>
      </c>
      <c r="K752" s="56">
        <v>1</v>
      </c>
      <c r="L752" s="56">
        <v>1</v>
      </c>
      <c r="M752" s="56">
        <f t="shared" si="150"/>
        <v>3</v>
      </c>
      <c r="N752" s="56">
        <f>IF(OR(H752="",H752="sif",H752="PM"),0,VLOOKUP(H752,[5]CU!$C$4:$H$255,6,FALSE))</f>
        <v>0</v>
      </c>
      <c r="O752" s="56">
        <f t="shared" si="147"/>
        <v>0</v>
      </c>
      <c r="P752" s="56">
        <f t="shared" si="147"/>
        <v>0</v>
      </c>
      <c r="Q752" s="56">
        <f t="shared" si="147"/>
        <v>0</v>
      </c>
      <c r="R752" s="56">
        <f t="shared" si="147"/>
        <v>0</v>
      </c>
      <c r="S752" s="53"/>
      <c r="T752" s="35" t="s">
        <v>56</v>
      </c>
      <c r="U752" s="18" t="s">
        <v>647</v>
      </c>
      <c r="V752" s="19" t="str">
        <f>IF(OR($H752="",$H752="sif",$H752="PM"),"",VLOOKUP($H752,[5]CU!$C$5:$J$255,8,FALSE))</f>
        <v/>
      </c>
      <c r="W752" s="18" t="s">
        <v>255</v>
      </c>
      <c r="X752" s="18" t="s">
        <v>347</v>
      </c>
      <c r="Y752" s="19" t="s">
        <v>32</v>
      </c>
      <c r="Z752" s="19" t="str">
        <f>A752 &amp; "-" &amp; VLOOKUP(A752,[4]PROGRAMMES!$E$1:$F$7,2,FALSE)</f>
        <v>2-Qualité des enseignements et des apprentissages</v>
      </c>
      <c r="AA752" s="19" t="str">
        <f>B752 &amp; "-" &amp; VLOOKUP(B752,[4]SOUSPROGRAMMES!$E$1:$F$44,2,FALSE)</f>
        <v xml:space="preserve">25- Conditions d’apprentissage améliorées </v>
      </c>
      <c r="AB752" s="19" t="str">
        <f>C752 &amp; "-" &amp; VLOOKUP(C752,[4]RESULTATS!$E$1:$F$176,2,FALSE)</f>
        <v>254- Les enseignants utilisent en classe les matériels didactiques et ludiques</v>
      </c>
      <c r="AC752" s="20" t="str">
        <f>D752 &amp; "-" &amp; VLOOKUP(D752,[4]STRATEGIES!$E$1:$F$504,2,FALSE)</f>
        <v>2541-Formation des personnes pour le développement des matériels didactiques et ludiques</v>
      </c>
      <c r="AD752" s="21" t="str">
        <f t="shared" si="148"/>
        <v>25411-Identification des enseignants devant élaborer les matériels didactiques et ludiques</v>
      </c>
    </row>
    <row r="753" spans="1:30" s="22" customFormat="1" ht="30" customHeight="1" x14ac:dyDescent="0.8">
      <c r="A753" s="14">
        <v>2</v>
      </c>
      <c r="B753" s="15">
        <v>25</v>
      </c>
      <c r="C753" s="15">
        <v>254</v>
      </c>
      <c r="D753" s="15">
        <v>2541</v>
      </c>
      <c r="E753" s="14">
        <v>25412</v>
      </c>
      <c r="F753" s="16" t="s">
        <v>920</v>
      </c>
      <c r="G753" s="21" t="s">
        <v>100</v>
      </c>
      <c r="H753" s="17" t="s">
        <v>101</v>
      </c>
      <c r="I753" s="56">
        <f>2*10</f>
        <v>20</v>
      </c>
      <c r="J753" s="53">
        <f>2*10</f>
        <v>20</v>
      </c>
      <c r="K753" s="53"/>
      <c r="L753" s="53"/>
      <c r="M753" s="53">
        <f t="shared" si="150"/>
        <v>40</v>
      </c>
      <c r="N753" s="53">
        <f>IF(OR(H753="",H753="sif",H753="PM"),0,VLOOKUP(H753,[5]CU!$C$4:$H$255,6,FALSE))</f>
        <v>2.651545</v>
      </c>
      <c r="O753" s="53">
        <f t="shared" si="147"/>
        <v>53.030900000000003</v>
      </c>
      <c r="P753" s="53">
        <f t="shared" si="147"/>
        <v>53.030900000000003</v>
      </c>
      <c r="Q753" s="53">
        <f t="shared" si="147"/>
        <v>0</v>
      </c>
      <c r="R753" s="53">
        <f t="shared" si="147"/>
        <v>0</v>
      </c>
      <c r="S753" s="53">
        <f t="shared" ref="S753:S763" si="153">SUM(O753:R753)</f>
        <v>106.06180000000001</v>
      </c>
      <c r="T753" s="35" t="s">
        <v>67</v>
      </c>
      <c r="U753" s="18" t="s">
        <v>647</v>
      </c>
      <c r="V753" s="19" t="str">
        <f>IF(OR($H753="",$H753="sif",$H753="PM"),"",VLOOKUP($H753,[5]CU!$C$5:$J$255,8,FALSE))</f>
        <v>3. Dépenses de fonctionnement</v>
      </c>
      <c r="W753" s="18" t="s">
        <v>347</v>
      </c>
      <c r="X753" s="18" t="s">
        <v>921</v>
      </c>
      <c r="Y753" s="19" t="s">
        <v>32</v>
      </c>
      <c r="Z753" s="19" t="str">
        <f>A753 &amp; "-" &amp; VLOOKUP(A753,[4]PROGRAMMES!$E$1:$F$7,2,FALSE)</f>
        <v>2-Qualité des enseignements et des apprentissages</v>
      </c>
      <c r="AA753" s="19" t="str">
        <f>B753 &amp; "-" &amp; VLOOKUP(B753,[4]SOUSPROGRAMMES!$E$1:$F$44,2,FALSE)</f>
        <v xml:space="preserve">25- Conditions d’apprentissage améliorées </v>
      </c>
      <c r="AB753" s="19" t="str">
        <f>C753 &amp; "-" &amp; VLOOKUP(C753,[4]RESULTATS!$E$1:$F$176,2,FALSE)</f>
        <v>254- Les enseignants utilisent en classe les matériels didactiques et ludiques</v>
      </c>
      <c r="AC753" s="20" t="str">
        <f>D753 &amp; "-" &amp; VLOOKUP(D753,[4]STRATEGIES!$E$1:$F$504,2,FALSE)</f>
        <v>2541-Formation des personnes pour le développement des matériels didactiques et ludiques</v>
      </c>
      <c r="AD753" s="21" t="str">
        <f t="shared" si="148"/>
        <v>25412-Appui au développement des modules de formation à la conception du matériel didactiques et ludiques</v>
      </c>
    </row>
    <row r="754" spans="1:30" s="22" customFormat="1" ht="45" customHeight="1" x14ac:dyDescent="0.8">
      <c r="A754" s="14">
        <v>2</v>
      </c>
      <c r="B754" s="15">
        <v>25</v>
      </c>
      <c r="C754" s="15">
        <v>254</v>
      </c>
      <c r="D754" s="15">
        <v>2541</v>
      </c>
      <c r="E754" s="14">
        <v>25413</v>
      </c>
      <c r="F754" s="16" t="s">
        <v>922</v>
      </c>
      <c r="G754" s="21" t="s">
        <v>37</v>
      </c>
      <c r="H754" s="17" t="s">
        <v>301</v>
      </c>
      <c r="I754" s="56"/>
      <c r="J754" s="56">
        <f>10*10</f>
        <v>100</v>
      </c>
      <c r="K754" s="56"/>
      <c r="L754" s="56"/>
      <c r="M754" s="56">
        <f t="shared" si="150"/>
        <v>100</v>
      </c>
      <c r="N754" s="56">
        <f>IF(OR(H754="",H754="sif",H754="PM"),0,VLOOKUP(H754,[5]CU!$C$4:$H$255,6,FALSE))</f>
        <v>0.67666666666666664</v>
      </c>
      <c r="O754" s="56">
        <f t="shared" si="147"/>
        <v>0</v>
      </c>
      <c r="P754" s="56">
        <f t="shared" si="147"/>
        <v>67.666666666666657</v>
      </c>
      <c r="Q754" s="56">
        <f t="shared" si="147"/>
        <v>0</v>
      </c>
      <c r="R754" s="56">
        <f t="shared" si="147"/>
        <v>0</v>
      </c>
      <c r="S754" s="53">
        <f t="shared" si="153"/>
        <v>67.666666666666657</v>
      </c>
      <c r="T754" s="35" t="s">
        <v>118</v>
      </c>
      <c r="U754" s="18" t="s">
        <v>647</v>
      </c>
      <c r="V754" s="19" t="str">
        <f>IF(OR($H754="",$H754="sif",$H754="PM"),"",VLOOKUP($H754,[5]CU!$C$5:$J$255,8,FALSE))</f>
        <v>3. Formation</v>
      </c>
      <c r="W754" s="18" t="s">
        <v>347</v>
      </c>
      <c r="X754" s="18" t="s">
        <v>921</v>
      </c>
      <c r="Y754" s="19" t="s">
        <v>32</v>
      </c>
      <c r="Z754" s="19" t="str">
        <f>A754 &amp; "-" &amp; VLOOKUP(A754,[4]PROGRAMMES!$E$1:$F$7,2,FALSE)</f>
        <v>2-Qualité des enseignements et des apprentissages</v>
      </c>
      <c r="AA754" s="19" t="str">
        <f>B754 &amp; "-" &amp; VLOOKUP(B754,[4]SOUSPROGRAMMES!$E$1:$F$44,2,FALSE)</f>
        <v xml:space="preserve">25- Conditions d’apprentissage améliorées </v>
      </c>
      <c r="AB754" s="19" t="str">
        <f>C754 &amp; "-" &amp; VLOOKUP(C754,[4]RESULTATS!$E$1:$F$176,2,FALSE)</f>
        <v>254- Les enseignants utilisent en classe les matériels didactiques et ludiques</v>
      </c>
      <c r="AC754" s="20" t="str">
        <f>D754 &amp; "-" &amp; VLOOKUP(D754,[4]STRATEGIES!$E$1:$F$504,2,FALSE)</f>
        <v>2541-Formation des personnes pour le développement des matériels didactiques et ludiques</v>
      </c>
      <c r="AD754" s="21" t="str">
        <f t="shared" si="148"/>
        <v>25413-Elaboration de modules sur la conception et la fabrication matériels didactiques avec l'appui de l'assistance technique (activité 25412)</v>
      </c>
    </row>
    <row r="755" spans="1:30" s="22" customFormat="1" ht="30" customHeight="1" x14ac:dyDescent="0.8">
      <c r="A755" s="14">
        <v>2</v>
      </c>
      <c r="B755" s="15">
        <v>25</v>
      </c>
      <c r="C755" s="15">
        <v>254</v>
      </c>
      <c r="D755" s="15">
        <v>2541</v>
      </c>
      <c r="E755" s="14">
        <v>25414</v>
      </c>
      <c r="F755" s="16" t="s">
        <v>923</v>
      </c>
      <c r="G755" s="21" t="s">
        <v>37</v>
      </c>
      <c r="H755" s="17" t="s">
        <v>301</v>
      </c>
      <c r="I755" s="56"/>
      <c r="J755" s="56">
        <f>10*10</f>
        <v>100</v>
      </c>
      <c r="K755" s="56"/>
      <c r="L755" s="56"/>
      <c r="M755" s="56">
        <f t="shared" si="150"/>
        <v>100</v>
      </c>
      <c r="N755" s="56">
        <f>IF(OR(H755="",H755="sif",H755="PM"),0,VLOOKUP(H755,[5]CU!$C$4:$H$255,6,FALSE))</f>
        <v>0.67666666666666664</v>
      </c>
      <c r="O755" s="56">
        <f t="shared" si="147"/>
        <v>0</v>
      </c>
      <c r="P755" s="56">
        <f t="shared" si="147"/>
        <v>67.666666666666657</v>
      </c>
      <c r="Q755" s="56">
        <f t="shared" si="147"/>
        <v>0</v>
      </c>
      <c r="R755" s="56">
        <f t="shared" si="147"/>
        <v>0</v>
      </c>
      <c r="S755" s="53">
        <f t="shared" si="153"/>
        <v>67.666666666666657</v>
      </c>
      <c r="T755" s="35" t="s">
        <v>118</v>
      </c>
      <c r="U755" s="18" t="s">
        <v>647</v>
      </c>
      <c r="V755" s="19" t="str">
        <f>IF(OR($H755="",$H755="sif",$H755="PM"),"",VLOOKUP($H755,[5]CU!$C$5:$J$255,8,FALSE))</f>
        <v>3. Formation</v>
      </c>
      <c r="W755" s="18" t="s">
        <v>347</v>
      </c>
      <c r="X755" s="18" t="s">
        <v>921</v>
      </c>
      <c r="Y755" s="19" t="s">
        <v>32</v>
      </c>
      <c r="Z755" s="19" t="str">
        <f>A755 &amp; "-" &amp; VLOOKUP(A755,[4]PROGRAMMES!$E$1:$F$7,2,FALSE)</f>
        <v>2-Qualité des enseignements et des apprentissages</v>
      </c>
      <c r="AA755" s="19" t="str">
        <f>B755 &amp; "-" &amp; VLOOKUP(B755,[4]SOUSPROGRAMMES!$E$1:$F$44,2,FALSE)</f>
        <v xml:space="preserve">25- Conditions d’apprentissage améliorées </v>
      </c>
      <c r="AB755" s="19" t="str">
        <f>C755 &amp; "-" &amp; VLOOKUP(C755,[4]RESULTATS!$E$1:$F$176,2,FALSE)</f>
        <v>254- Les enseignants utilisent en classe les matériels didactiques et ludiques</v>
      </c>
      <c r="AC755" s="20" t="str">
        <f>D755 &amp; "-" &amp; VLOOKUP(D755,[4]STRATEGIES!$E$1:$F$504,2,FALSE)</f>
        <v>2541-Formation des personnes pour le développement des matériels didactiques et ludiques</v>
      </c>
      <c r="AD755" s="21" t="str">
        <f t="shared" si="148"/>
        <v>25414-Elaboration de modules sur la fabrication matériels ludiques avec l'appui de l'assistance technique (activité 25412)</v>
      </c>
    </row>
    <row r="756" spans="1:30" s="22" customFormat="1" ht="30" customHeight="1" x14ac:dyDescent="0.8">
      <c r="A756" s="14">
        <v>2</v>
      </c>
      <c r="B756" s="15">
        <v>25</v>
      </c>
      <c r="C756" s="15">
        <v>254</v>
      </c>
      <c r="D756" s="15">
        <v>2541</v>
      </c>
      <c r="E756" s="14">
        <v>25415</v>
      </c>
      <c r="F756" s="16" t="s">
        <v>924</v>
      </c>
      <c r="G756" s="21" t="s">
        <v>37</v>
      </c>
      <c r="H756" s="17" t="s">
        <v>38</v>
      </c>
      <c r="I756" s="56">
        <v>0</v>
      </c>
      <c r="J756" s="56"/>
      <c r="K756" s="56">
        <f>((427*20%)*5)*50%</f>
        <v>213.5</v>
      </c>
      <c r="L756" s="56">
        <f>((427*20%)*5)*50%</f>
        <v>213.5</v>
      </c>
      <c r="M756" s="56">
        <f>SUM(I756:L756)</f>
        <v>427</v>
      </c>
      <c r="N756" s="56">
        <f>IF(OR(H756="",H756="sif",H756="PM"),0,VLOOKUP(H756,[5]CU!$C$4:$H$255,6,FALSE))</f>
        <v>0.3133333333333333</v>
      </c>
      <c r="O756" s="56">
        <f>IFERROR($N756*I756,0)</f>
        <v>0</v>
      </c>
      <c r="P756" s="56">
        <f>IFERROR($N756*J756,0)</f>
        <v>0</v>
      </c>
      <c r="Q756" s="56">
        <f>IFERROR($N756*K756,0)</f>
        <v>66.896666666666661</v>
      </c>
      <c r="R756" s="56">
        <f>IFERROR($N756*L756,0)</f>
        <v>66.896666666666661</v>
      </c>
      <c r="S756" s="53">
        <f>SUM(O756:R756)</f>
        <v>133.79333333333332</v>
      </c>
      <c r="T756" s="35" t="s">
        <v>39</v>
      </c>
      <c r="U756" s="19" t="s">
        <v>647</v>
      </c>
      <c r="V756" s="19" t="str">
        <f>IF(OR($H756="",$H756="sif",$H756="PM"),"",VLOOKUP($H756,[5]CU!$C$5:$J$255,8,FALSE))</f>
        <v>3. Formation</v>
      </c>
      <c r="W756" s="19" t="s">
        <v>708</v>
      </c>
      <c r="X756" s="19" t="s">
        <v>347</v>
      </c>
      <c r="Y756" s="19" t="s">
        <v>32</v>
      </c>
      <c r="Z756" s="19" t="str">
        <f>A756 &amp; "-" &amp; VLOOKUP(A756,[4]PROGRAMMES!$E$1:$F$7,2,FALSE)</f>
        <v>2-Qualité des enseignements et des apprentissages</v>
      </c>
      <c r="AA756" s="19" t="str">
        <f>B756 &amp; "-" &amp; VLOOKUP(B756,[4]SOUSPROGRAMMES!$E$1:$F$44,2,FALSE)</f>
        <v xml:space="preserve">25- Conditions d’apprentissage améliorées </v>
      </c>
      <c r="AB756" s="19" t="str">
        <f>C756 &amp; "-" &amp; VLOOKUP(C756,[4]RESULTATS!$E$1:$F$176,2,FALSE)</f>
        <v>254- Les enseignants utilisent en classe les matériels didactiques et ludiques</v>
      </c>
      <c r="AC756" s="20" t="str">
        <f>D756 &amp; "-" &amp; VLOOKUP(D756,[4]STRATEGIES!$E$1:$F$504,2,FALSE)</f>
        <v>2541-Formation des personnes pour le développement des matériels didactiques et ludiques</v>
      </c>
      <c r="AD756" s="21" t="str">
        <f t="shared" si="148"/>
        <v>25415-Formation des formateurs des éducateurs au développement de matériels ludiques (niveau DSEE)</v>
      </c>
    </row>
    <row r="757" spans="1:30" s="22" customFormat="1" ht="30" customHeight="1" x14ac:dyDescent="0.8">
      <c r="A757" s="14">
        <v>2</v>
      </c>
      <c r="B757" s="15">
        <v>25</v>
      </c>
      <c r="C757" s="15">
        <v>254</v>
      </c>
      <c r="D757" s="15">
        <v>2541</v>
      </c>
      <c r="E757" s="14">
        <v>25415</v>
      </c>
      <c r="F757" s="16" t="s">
        <v>924</v>
      </c>
      <c r="G757" s="21" t="s">
        <v>37</v>
      </c>
      <c r="H757" s="17" t="s">
        <v>38</v>
      </c>
      <c r="I757" s="56">
        <v>0</v>
      </c>
      <c r="J757" s="56"/>
      <c r="K757" s="56">
        <f>((427*20%)*5)*50%</f>
        <v>213.5</v>
      </c>
      <c r="L757" s="56">
        <f>((427*20%)*5)*50%</f>
        <v>213.5</v>
      </c>
      <c r="M757" s="56">
        <f t="shared" si="150"/>
        <v>427</v>
      </c>
      <c r="N757" s="56">
        <f>IF(OR(H757="",H757="sif",H757="PM"),0,VLOOKUP(H757,[5]CU!$C$4:$H$255,6,FALSE))</f>
        <v>0.3133333333333333</v>
      </c>
      <c r="O757" s="56">
        <f t="shared" ref="O757:R800" si="154">IFERROR($N757*I757,0)</f>
        <v>0</v>
      </c>
      <c r="P757" s="56">
        <f t="shared" si="154"/>
        <v>0</v>
      </c>
      <c r="Q757" s="56">
        <f t="shared" si="154"/>
        <v>66.896666666666661</v>
      </c>
      <c r="R757" s="56">
        <f t="shared" si="154"/>
        <v>66.896666666666661</v>
      </c>
      <c r="S757" s="53">
        <f t="shared" si="153"/>
        <v>133.79333333333332</v>
      </c>
      <c r="T757" s="35" t="s">
        <v>39</v>
      </c>
      <c r="U757" s="19" t="s">
        <v>647</v>
      </c>
      <c r="V757" s="19" t="str">
        <f>IF(OR($H757="",$H757="sif",$H757="PM"),"",VLOOKUP($H757,[5]CU!$C$5:$J$255,8,FALSE))</f>
        <v>3. Formation</v>
      </c>
      <c r="W757" s="19" t="s">
        <v>708</v>
      </c>
      <c r="X757" s="19" t="s">
        <v>347</v>
      </c>
      <c r="Y757" s="19" t="s">
        <v>32</v>
      </c>
      <c r="Z757" s="19" t="str">
        <f>A757 &amp; "-" &amp; VLOOKUP(A757,[4]PROGRAMMES!$E$1:$F$7,2,FALSE)</f>
        <v>2-Qualité des enseignements et des apprentissages</v>
      </c>
      <c r="AA757" s="19" t="str">
        <f>B757 &amp; "-" &amp; VLOOKUP(B757,[4]SOUSPROGRAMMES!$E$1:$F$44,2,FALSE)</f>
        <v xml:space="preserve">25- Conditions d’apprentissage améliorées </v>
      </c>
      <c r="AB757" s="19" t="str">
        <f>C757 &amp; "-" &amp; VLOOKUP(C757,[4]RESULTATS!$E$1:$F$176,2,FALSE)</f>
        <v>254- Les enseignants utilisent en classe les matériels didactiques et ludiques</v>
      </c>
      <c r="AC757" s="20" t="str">
        <f>D757 &amp; "-" &amp; VLOOKUP(D757,[4]STRATEGIES!$E$1:$F$504,2,FALSE)</f>
        <v>2541-Formation des personnes pour le développement des matériels didactiques et ludiques</v>
      </c>
      <c r="AD757" s="21" t="str">
        <f t="shared" si="148"/>
        <v>25415-Formation des formateurs des éducateurs au développement de matériels ludiques (niveau DSEE)</v>
      </c>
    </row>
    <row r="758" spans="1:30" s="22" customFormat="1" ht="30" customHeight="1" x14ac:dyDescent="0.8">
      <c r="A758" s="14">
        <v>2</v>
      </c>
      <c r="B758" s="15">
        <v>25</v>
      </c>
      <c r="C758" s="15">
        <v>254</v>
      </c>
      <c r="D758" s="15">
        <v>2541</v>
      </c>
      <c r="E758" s="14">
        <v>25416</v>
      </c>
      <c r="F758" s="16" t="s">
        <v>925</v>
      </c>
      <c r="G758" s="21" t="s">
        <v>37</v>
      </c>
      <c r="H758" s="17" t="s">
        <v>66</v>
      </c>
      <c r="I758" s="56"/>
      <c r="J758" s="53"/>
      <c r="K758" s="53">
        <f>10*3</f>
        <v>30</v>
      </c>
      <c r="L758" s="53"/>
      <c r="M758" s="53">
        <f t="shared" si="150"/>
        <v>30</v>
      </c>
      <c r="N758" s="53">
        <f>IF(OR(H758="",H758="sif",H758="PM"),0,VLOOKUP(H758,[5]CU!$C$4:$H$255,6,FALSE))</f>
        <v>0.255</v>
      </c>
      <c r="O758" s="53">
        <f t="shared" si="154"/>
        <v>0</v>
      </c>
      <c r="P758" s="53">
        <f t="shared" si="154"/>
        <v>0</v>
      </c>
      <c r="Q758" s="53">
        <f t="shared" si="154"/>
        <v>7.65</v>
      </c>
      <c r="R758" s="53">
        <f t="shared" si="154"/>
        <v>0</v>
      </c>
      <c r="S758" s="53">
        <f t="shared" si="153"/>
        <v>7.65</v>
      </c>
      <c r="T758" s="35" t="s">
        <v>67</v>
      </c>
      <c r="U758" s="18" t="s">
        <v>647</v>
      </c>
      <c r="V758" s="19" t="str">
        <f>IF(OR($H758="",$H758="sif",$H758="PM"),"",VLOOKUP($H758,[5]CU!$C$5:$J$255,8,FALSE))</f>
        <v>3. Dépenses de fonctionnement</v>
      </c>
      <c r="W758" s="18" t="s">
        <v>708</v>
      </c>
      <c r="X758" s="18" t="s">
        <v>347</v>
      </c>
      <c r="Y758" s="19" t="s">
        <v>32</v>
      </c>
      <c r="Z758" s="19" t="str">
        <f>A758 &amp; "-" &amp; VLOOKUP(A758,[4]PROGRAMMES!$E$1:$F$7,2,FALSE)</f>
        <v>2-Qualité des enseignements et des apprentissages</v>
      </c>
      <c r="AA758" s="19" t="str">
        <f>B758 &amp; "-" &amp; VLOOKUP(B758,[4]SOUSPROGRAMMES!$E$1:$F$44,2,FALSE)</f>
        <v xml:space="preserve">25- Conditions d’apprentissage améliorées </v>
      </c>
      <c r="AB758" s="19" t="str">
        <f>C758 &amp; "-" &amp; VLOOKUP(C758,[4]RESULTATS!$E$1:$F$176,2,FALSE)</f>
        <v>254- Les enseignants utilisent en classe les matériels didactiques et ludiques</v>
      </c>
      <c r="AC758" s="20" t="str">
        <f>D758 &amp; "-" &amp; VLOOKUP(D758,[4]STRATEGIES!$E$1:$F$504,2,FALSE)</f>
        <v>2541-Formation des personnes pour le développement des matériels didactiques et ludiques</v>
      </c>
      <c r="AD758" s="21" t="str">
        <f t="shared" si="148"/>
        <v>25416-Conception des outils de suivi des enseignants à l'utilisation des matériels didactiques et ludiques</v>
      </c>
    </row>
    <row r="759" spans="1:30" s="22" customFormat="1" ht="30" customHeight="1" x14ac:dyDescent="0.8">
      <c r="A759" s="14">
        <v>2</v>
      </c>
      <c r="B759" s="15">
        <v>25</v>
      </c>
      <c r="C759" s="15">
        <v>254</v>
      </c>
      <c r="D759" s="15">
        <v>2541</v>
      </c>
      <c r="E759" s="14">
        <v>25417</v>
      </c>
      <c r="F759" s="16" t="s">
        <v>926</v>
      </c>
      <c r="G759" s="21" t="s">
        <v>436</v>
      </c>
      <c r="H759" s="17" t="s">
        <v>301</v>
      </c>
      <c r="I759" s="56">
        <v>8</v>
      </c>
      <c r="J759" s="53"/>
      <c r="K759" s="53">
        <f>(10*10*8)*50%</f>
        <v>400</v>
      </c>
      <c r="L759" s="53"/>
      <c r="M759" s="53">
        <f>SUM(I759:L759)</f>
        <v>408</v>
      </c>
      <c r="N759" s="53">
        <f>IF(OR(H759="",H759="sif",H759="PM"),0,VLOOKUP(H759,[5]CU!$C$4:$H$255,6,FALSE))</f>
        <v>0.67666666666666664</v>
      </c>
      <c r="O759" s="53">
        <f>IFERROR($N759*I759,0)</f>
        <v>5.4133333333333331</v>
      </c>
      <c r="P759" s="53">
        <f>IFERROR($N759*J759,0)</f>
        <v>0</v>
      </c>
      <c r="Q759" s="53">
        <f>IFERROR($N759*K759,0)</f>
        <v>270.66666666666663</v>
      </c>
      <c r="R759" s="53">
        <f>IFERROR($N759*L759,0)</f>
        <v>0</v>
      </c>
      <c r="S759" s="53">
        <f>SUM(O759:R759)</f>
        <v>276.08</v>
      </c>
      <c r="T759" s="35" t="s">
        <v>67</v>
      </c>
      <c r="U759" s="19" t="s">
        <v>647</v>
      </c>
      <c r="V759" s="19" t="str">
        <f>IF(OR($H759="",$H759="sif",$H759="PM"),"",VLOOKUP($H759,[5]CU!$C$5:$J$255,8,FALSE))</f>
        <v>3. Formation</v>
      </c>
      <c r="W759" s="19" t="s">
        <v>708</v>
      </c>
      <c r="X759" s="19" t="s">
        <v>347</v>
      </c>
      <c r="Y759" s="19" t="s">
        <v>32</v>
      </c>
      <c r="Z759" s="19" t="str">
        <f>A759 &amp; "-" &amp; VLOOKUP(A759,[4]PROGRAMMES!$E$1:$F$7,2,FALSE)</f>
        <v>2-Qualité des enseignements et des apprentissages</v>
      </c>
      <c r="AA759" s="19" t="str">
        <f>B759 &amp; "-" &amp; VLOOKUP(B759,[4]SOUSPROGRAMMES!$E$1:$F$44,2,FALSE)</f>
        <v xml:space="preserve">25- Conditions d’apprentissage améliorées </v>
      </c>
      <c r="AB759" s="19" t="str">
        <f>C759 &amp; "-" &amp; VLOOKUP(C759,[4]RESULTATS!$E$1:$F$176,2,FALSE)</f>
        <v>254- Les enseignants utilisent en classe les matériels didactiques et ludiques</v>
      </c>
      <c r="AC759" s="20" t="str">
        <f>D759 &amp; "-" &amp; VLOOKUP(D759,[4]STRATEGIES!$E$1:$F$504,2,FALSE)</f>
        <v>2541-Formation des personnes pour le développement des matériels didactiques et ludiques</v>
      </c>
      <c r="AD759" s="21" t="str">
        <f t="shared" si="148"/>
        <v>25417-Formation du noyau des formateurs à la production du matériel didactique</v>
      </c>
    </row>
    <row r="760" spans="1:30" s="22" customFormat="1" ht="30" customHeight="1" x14ac:dyDescent="0.8">
      <c r="A760" s="14">
        <v>2</v>
      </c>
      <c r="B760" s="15">
        <v>25</v>
      </c>
      <c r="C760" s="15">
        <v>254</v>
      </c>
      <c r="D760" s="15">
        <v>2541</v>
      </c>
      <c r="E760" s="14">
        <v>25417</v>
      </c>
      <c r="F760" s="16" t="s">
        <v>926</v>
      </c>
      <c r="G760" s="21" t="s">
        <v>436</v>
      </c>
      <c r="H760" s="17" t="s">
        <v>301</v>
      </c>
      <c r="I760" s="56">
        <v>0</v>
      </c>
      <c r="J760" s="56"/>
      <c r="K760" s="56">
        <f>(10*10*8)*50%</f>
        <v>400</v>
      </c>
      <c r="L760" s="56"/>
      <c r="M760" s="56">
        <f t="shared" si="150"/>
        <v>400</v>
      </c>
      <c r="N760" s="56">
        <f>IF(OR(H760="",H760="sif",H760="PM"),0,VLOOKUP(H760,[5]CU!$C$4:$H$255,6,FALSE))</f>
        <v>0.67666666666666664</v>
      </c>
      <c r="O760" s="56">
        <f t="shared" si="154"/>
        <v>0</v>
      </c>
      <c r="P760" s="56">
        <f t="shared" si="154"/>
        <v>0</v>
      </c>
      <c r="Q760" s="56">
        <f t="shared" si="154"/>
        <v>270.66666666666663</v>
      </c>
      <c r="R760" s="56">
        <f t="shared" si="154"/>
        <v>0</v>
      </c>
      <c r="S760" s="53">
        <f t="shared" si="153"/>
        <v>270.66666666666663</v>
      </c>
      <c r="T760" s="35" t="s">
        <v>39</v>
      </c>
      <c r="U760" s="19" t="s">
        <v>647</v>
      </c>
      <c r="V760" s="19" t="str">
        <f>IF(OR($H760="",$H760="sif",$H760="PM"),"",VLOOKUP($H760,[5]CU!$C$5:$J$255,8,FALSE))</f>
        <v>3. Formation</v>
      </c>
      <c r="W760" s="19" t="s">
        <v>708</v>
      </c>
      <c r="X760" s="19" t="s">
        <v>347</v>
      </c>
      <c r="Y760" s="19" t="s">
        <v>32</v>
      </c>
      <c r="Z760" s="19" t="str">
        <f>A760 &amp; "-" &amp; VLOOKUP(A760,[4]PROGRAMMES!$E$1:$F$7,2,FALSE)</f>
        <v>2-Qualité des enseignements et des apprentissages</v>
      </c>
      <c r="AA760" s="19" t="str">
        <f>B760 &amp; "-" &amp; VLOOKUP(B760,[4]SOUSPROGRAMMES!$E$1:$F$44,2,FALSE)</f>
        <v xml:space="preserve">25- Conditions d’apprentissage améliorées </v>
      </c>
      <c r="AB760" s="19" t="str">
        <f>C760 &amp; "-" &amp; VLOOKUP(C760,[4]RESULTATS!$E$1:$F$176,2,FALSE)</f>
        <v>254- Les enseignants utilisent en classe les matériels didactiques et ludiques</v>
      </c>
      <c r="AC760" s="20" t="str">
        <f>D760 &amp; "-" &amp; VLOOKUP(D760,[4]STRATEGIES!$E$1:$F$504,2,FALSE)</f>
        <v>2541-Formation des personnes pour le développement des matériels didactiques et ludiques</v>
      </c>
      <c r="AD760" s="21" t="str">
        <f t="shared" si="148"/>
        <v>25417-Formation du noyau des formateurs à la production du matériel didactique</v>
      </c>
    </row>
    <row r="761" spans="1:30" s="22" customFormat="1" ht="30" customHeight="1" x14ac:dyDescent="0.8">
      <c r="A761" s="14">
        <v>2</v>
      </c>
      <c r="B761" s="15">
        <v>25</v>
      </c>
      <c r="C761" s="15">
        <v>254</v>
      </c>
      <c r="D761" s="15">
        <v>2542</v>
      </c>
      <c r="E761" s="14">
        <v>2542</v>
      </c>
      <c r="F761" s="16" t="s">
        <v>927</v>
      </c>
      <c r="G761" s="17"/>
      <c r="H761" s="17"/>
      <c r="I761" s="56">
        <v>0</v>
      </c>
      <c r="J761" s="56"/>
      <c r="K761" s="56"/>
      <c r="L761" s="56"/>
      <c r="M761" s="56"/>
      <c r="N761" s="56"/>
      <c r="O761" s="56"/>
      <c r="P761" s="56"/>
      <c r="Q761" s="56"/>
      <c r="R761" s="56"/>
      <c r="S761" s="53"/>
      <c r="T761" s="33"/>
      <c r="U761" s="18"/>
      <c r="V761" s="19"/>
      <c r="W761" s="18"/>
      <c r="X761" s="18"/>
      <c r="Y761" s="19" t="s">
        <v>32</v>
      </c>
      <c r="Z761" s="19" t="str">
        <f>A761 &amp; "-" &amp; VLOOKUP(A761,[4]PROGRAMMES!$E$1:$F$7,2,FALSE)</f>
        <v>2-Qualité des enseignements et des apprentissages</v>
      </c>
      <c r="AA761" s="19" t="str">
        <f>B761 &amp; "-" &amp; VLOOKUP(B761,[4]SOUSPROGRAMMES!$E$1:$F$44,2,FALSE)</f>
        <v xml:space="preserve">25- Conditions d’apprentissage améliorées </v>
      </c>
      <c r="AB761" s="19" t="str">
        <f>C761 &amp; "-" &amp; VLOOKUP(C761,[4]RESULTATS!$E$1:$F$176,2,FALSE)</f>
        <v>254- Les enseignants utilisent en classe les matériels didactiques et ludiques</v>
      </c>
      <c r="AC761" s="20" t="str">
        <f>D761 &amp; "-" &amp; VLOOKUP(D761,[4]STRATEGIES!$E$1:$F$504,2,FALSE)</f>
        <v>2542-Développement des matériels ludiques et didactiques et équipement des CEC</v>
      </c>
      <c r="AD761" s="21" t="str">
        <f t="shared" si="148"/>
        <v>2542-Développement des matériels ludiques et didactiques et équipement des CEC</v>
      </c>
    </row>
    <row r="762" spans="1:30" s="22" customFormat="1" ht="45" customHeight="1" x14ac:dyDescent="0.8">
      <c r="A762" s="14">
        <v>2</v>
      </c>
      <c r="B762" s="15">
        <v>25</v>
      </c>
      <c r="C762" s="15">
        <v>254</v>
      </c>
      <c r="D762" s="15">
        <v>2542</v>
      </c>
      <c r="E762" s="14">
        <v>25421</v>
      </c>
      <c r="F762" s="16" t="s">
        <v>928</v>
      </c>
      <c r="G762" s="21" t="s">
        <v>929</v>
      </c>
      <c r="H762" s="17" t="s">
        <v>930</v>
      </c>
      <c r="I762" s="56">
        <f>100*50%</f>
        <v>50</v>
      </c>
      <c r="J762" s="53"/>
      <c r="K762" s="53">
        <f>100*50%</f>
        <v>50</v>
      </c>
      <c r="L762" s="53">
        <f>150*50%</f>
        <v>75</v>
      </c>
      <c r="M762" s="53">
        <f>SUM(I762:L762)</f>
        <v>175</v>
      </c>
      <c r="N762" s="53">
        <f>IF(OR(H762="",H762="sif",H762="PM"),0,VLOOKUP(H762,[5]CU!$C$4:$H$255,6,FALSE))</f>
        <v>1</v>
      </c>
      <c r="O762" s="53">
        <f>IFERROR($N762*I762,0)</f>
        <v>50</v>
      </c>
      <c r="P762" s="53">
        <f>IFERROR($N762*J762,0)</f>
        <v>0</v>
      </c>
      <c r="Q762" s="53">
        <f>IFERROR($N762*K762,0)</f>
        <v>50</v>
      </c>
      <c r="R762" s="53">
        <f>IFERROR($N762*L762,0)</f>
        <v>75</v>
      </c>
      <c r="S762" s="53">
        <f>SUM(O762:R762)</f>
        <v>175</v>
      </c>
      <c r="T762" s="35" t="s">
        <v>67</v>
      </c>
      <c r="U762" s="19" t="s">
        <v>647</v>
      </c>
      <c r="V762" s="19" t="str">
        <f>IF(OR($H762="",$H762="sif",$H762="PM"),"",VLOOKUP($H762,[5]CU!$C$5:$J$255,8,FALSE))</f>
        <v>3. Manuels scolaires et matériels pédagogiques</v>
      </c>
      <c r="W762" s="19" t="s">
        <v>665</v>
      </c>
      <c r="X762" s="19" t="s">
        <v>347</v>
      </c>
      <c r="Y762" s="19" t="s">
        <v>32</v>
      </c>
      <c r="Z762" s="19" t="str">
        <f>A762 &amp; "-" &amp; VLOOKUP(A762,[4]PROGRAMMES!$E$1:$F$7,2,FALSE)</f>
        <v>2-Qualité des enseignements et des apprentissages</v>
      </c>
      <c r="AA762" s="19" t="str">
        <f>B762 &amp; "-" &amp; VLOOKUP(B762,[4]SOUSPROGRAMMES!$E$1:$F$44,2,FALSE)</f>
        <v xml:space="preserve">25- Conditions d’apprentissage améliorées </v>
      </c>
      <c r="AB762" s="19" t="str">
        <f>C762 &amp; "-" &amp; VLOOKUP(C762,[4]RESULTATS!$E$1:$F$176,2,FALSE)</f>
        <v>254- Les enseignants utilisent en classe les matériels didactiques et ludiques</v>
      </c>
      <c r="AC762" s="20" t="str">
        <f>D762 &amp; "-" &amp; VLOOKUP(D762,[4]STRATEGIES!$E$1:$F$504,2,FALSE)</f>
        <v>2542-Développement des matériels ludiques et didactiques et équipement des CEC</v>
      </c>
      <c r="AD762" s="21" t="str">
        <f t="shared" si="148"/>
        <v>25421-production du matériel ludiques par les éducateurs (acquisition de petits matériels)</v>
      </c>
    </row>
    <row r="763" spans="1:30" s="22" customFormat="1" ht="45" customHeight="1" x14ac:dyDescent="0.8">
      <c r="A763" s="14">
        <v>2</v>
      </c>
      <c r="B763" s="15">
        <v>25</v>
      </c>
      <c r="C763" s="15">
        <v>254</v>
      </c>
      <c r="D763" s="15">
        <v>2542</v>
      </c>
      <c r="E763" s="14">
        <v>25421</v>
      </c>
      <c r="F763" s="16" t="s">
        <v>928</v>
      </c>
      <c r="G763" s="21" t="s">
        <v>929</v>
      </c>
      <c r="H763" s="17" t="s">
        <v>930</v>
      </c>
      <c r="I763" s="56">
        <v>0</v>
      </c>
      <c r="J763" s="56"/>
      <c r="K763" s="56">
        <f>100*50%</f>
        <v>50</v>
      </c>
      <c r="L763" s="56">
        <f>150*50%</f>
        <v>75</v>
      </c>
      <c r="M763" s="56">
        <f t="shared" si="150"/>
        <v>125</v>
      </c>
      <c r="N763" s="56">
        <f>IF(OR(H763="",H763="sif",H763="PM"),0,VLOOKUP(H763,[5]CU!$C$4:$H$255,6,FALSE))</f>
        <v>1</v>
      </c>
      <c r="O763" s="56">
        <f t="shared" si="154"/>
        <v>0</v>
      </c>
      <c r="P763" s="56">
        <f t="shared" si="154"/>
        <v>0</v>
      </c>
      <c r="Q763" s="56">
        <f t="shared" si="154"/>
        <v>50</v>
      </c>
      <c r="R763" s="56">
        <f t="shared" si="154"/>
        <v>75</v>
      </c>
      <c r="S763" s="53">
        <f t="shared" si="153"/>
        <v>125</v>
      </c>
      <c r="T763" s="35" t="s">
        <v>39</v>
      </c>
      <c r="U763" s="19" t="s">
        <v>647</v>
      </c>
      <c r="V763" s="19" t="str">
        <f>IF(OR($H763="",$H763="sif",$H763="PM"),"",VLOOKUP($H763,[5]CU!$C$5:$J$255,8,FALSE))</f>
        <v>3. Manuels scolaires et matériels pédagogiques</v>
      </c>
      <c r="W763" s="19" t="s">
        <v>665</v>
      </c>
      <c r="X763" s="19" t="s">
        <v>347</v>
      </c>
      <c r="Y763" s="19" t="s">
        <v>32</v>
      </c>
      <c r="Z763" s="19" t="str">
        <f>A763 &amp; "-" &amp; VLOOKUP(A763,[4]PROGRAMMES!$E$1:$F$7,2,FALSE)</f>
        <v>2-Qualité des enseignements et des apprentissages</v>
      </c>
      <c r="AA763" s="19" t="str">
        <f>B763 &amp; "-" &amp; VLOOKUP(B763,[4]SOUSPROGRAMMES!$E$1:$F$44,2,FALSE)</f>
        <v xml:space="preserve">25- Conditions d’apprentissage améliorées </v>
      </c>
      <c r="AB763" s="19" t="str">
        <f>C763 &amp; "-" &amp; VLOOKUP(C763,[4]RESULTATS!$E$1:$F$176,2,FALSE)</f>
        <v>254- Les enseignants utilisent en classe les matériels didactiques et ludiques</v>
      </c>
      <c r="AC763" s="20" t="str">
        <f>D763 &amp; "-" &amp; VLOOKUP(D763,[4]STRATEGIES!$E$1:$F$504,2,FALSE)</f>
        <v>2542-Développement des matériels ludiques et didactiques et équipement des CEC</v>
      </c>
      <c r="AD763" s="21" t="str">
        <f t="shared" si="148"/>
        <v>25421-production du matériel ludiques par les éducateurs (acquisition de petits matériels)</v>
      </c>
    </row>
    <row r="764" spans="1:30" s="22" customFormat="1" ht="30" hidden="1" customHeight="1" x14ac:dyDescent="0.8">
      <c r="A764" s="14">
        <v>2</v>
      </c>
      <c r="B764" s="15">
        <v>25</v>
      </c>
      <c r="C764" s="15">
        <v>254</v>
      </c>
      <c r="D764" s="15">
        <v>2542</v>
      </c>
      <c r="E764" s="14">
        <v>25422</v>
      </c>
      <c r="F764" s="16" t="s">
        <v>931</v>
      </c>
      <c r="G764" s="21" t="s">
        <v>932</v>
      </c>
      <c r="H764" s="17" t="s">
        <v>55</v>
      </c>
      <c r="I764" s="56">
        <v>0</v>
      </c>
      <c r="J764" s="56"/>
      <c r="K764" s="56">
        <v>1</v>
      </c>
      <c r="L764" s="56">
        <v>1</v>
      </c>
      <c r="M764" s="56">
        <f t="shared" si="150"/>
        <v>2</v>
      </c>
      <c r="N764" s="56">
        <f>IF(OR(H764="",H764="sif",H764="PM"),0,VLOOKUP(H764,[5]CU!$C$4:$H$255,6,FALSE))</f>
        <v>0</v>
      </c>
      <c r="O764" s="56">
        <f t="shared" si="154"/>
        <v>0</v>
      </c>
      <c r="P764" s="56">
        <f t="shared" si="154"/>
        <v>0</v>
      </c>
      <c r="Q764" s="56">
        <f t="shared" si="154"/>
        <v>0</v>
      </c>
      <c r="R764" s="56">
        <f t="shared" si="154"/>
        <v>0</v>
      </c>
      <c r="S764" s="53"/>
      <c r="T764" s="35" t="s">
        <v>56</v>
      </c>
      <c r="U764" s="18" t="s">
        <v>647</v>
      </c>
      <c r="V764" s="19" t="str">
        <f>IF(OR($H764="",$H764="sif",$H764="PM"),"",VLOOKUP($H764,[5]CU!$C$5:$J$255,8,FALSE))</f>
        <v/>
      </c>
      <c r="W764" s="18" t="s">
        <v>708</v>
      </c>
      <c r="X764" s="18" t="s">
        <v>347</v>
      </c>
      <c r="Y764" s="19" t="s">
        <v>32</v>
      </c>
      <c r="Z764" s="19" t="str">
        <f>A764 &amp; "-" &amp; VLOOKUP(A764,[4]PROGRAMMES!$E$1:$F$7,2,FALSE)</f>
        <v>2-Qualité des enseignements et des apprentissages</v>
      </c>
      <c r="AA764" s="19" t="str">
        <f>B764 &amp; "-" &amp; VLOOKUP(B764,[4]SOUSPROGRAMMES!$E$1:$F$44,2,FALSE)</f>
        <v xml:space="preserve">25- Conditions d’apprentissage améliorées </v>
      </c>
      <c r="AB764" s="19" t="str">
        <f>C764 &amp; "-" &amp; VLOOKUP(C764,[4]RESULTATS!$E$1:$F$176,2,FALSE)</f>
        <v>254- Les enseignants utilisent en classe les matériels didactiques et ludiques</v>
      </c>
      <c r="AC764" s="20" t="str">
        <f>D764 &amp; "-" &amp; VLOOKUP(D764,[4]STRATEGIES!$E$1:$F$504,2,FALSE)</f>
        <v>2542-Développement des matériels ludiques et didactiques et équipement des CEC</v>
      </c>
      <c r="AD764" s="21" t="str">
        <f t="shared" si="148"/>
        <v>25422-Appui à la production du matériel didactique par les IRE/DPE (subvention de fonctionnement)</v>
      </c>
    </row>
    <row r="765" spans="1:30" s="22" customFormat="1" ht="30" hidden="1" customHeight="1" x14ac:dyDescent="0.8">
      <c r="A765" s="14">
        <v>2</v>
      </c>
      <c r="B765" s="15">
        <v>25</v>
      </c>
      <c r="C765" s="15">
        <v>254</v>
      </c>
      <c r="D765" s="15">
        <v>2542</v>
      </c>
      <c r="E765" s="14">
        <v>25423</v>
      </c>
      <c r="F765" s="16" t="s">
        <v>933</v>
      </c>
      <c r="G765" s="21" t="s">
        <v>934</v>
      </c>
      <c r="H765" s="17" t="s">
        <v>55</v>
      </c>
      <c r="I765" s="56">
        <v>0</v>
      </c>
      <c r="J765" s="56"/>
      <c r="K765" s="56">
        <v>1</v>
      </c>
      <c r="L765" s="56">
        <v>1</v>
      </c>
      <c r="M765" s="56">
        <f t="shared" si="150"/>
        <v>2</v>
      </c>
      <c r="N765" s="56">
        <f>IF(OR(H765="",H765="sif",H765="PM"),0,VLOOKUP(H765,[5]CU!$C$4:$H$255,6,FALSE))</f>
        <v>0</v>
      </c>
      <c r="O765" s="56">
        <f t="shared" si="154"/>
        <v>0</v>
      </c>
      <c r="P765" s="56">
        <f t="shared" si="154"/>
        <v>0</v>
      </c>
      <c r="Q765" s="56">
        <f t="shared" si="154"/>
        <v>0</v>
      </c>
      <c r="R765" s="56">
        <f t="shared" si="154"/>
        <v>0</v>
      </c>
      <c r="S765" s="53"/>
      <c r="T765" s="35" t="s">
        <v>56</v>
      </c>
      <c r="U765" s="18" t="s">
        <v>647</v>
      </c>
      <c r="V765" s="19" t="str">
        <f>IF(OR($H765="",$H765="sif",$H765="PM"),"",VLOOKUP($H765,[5]CU!$C$5:$J$255,8,FALSE))</f>
        <v/>
      </c>
      <c r="W765" s="18" t="s">
        <v>708</v>
      </c>
      <c r="X765" s="18" t="s">
        <v>347</v>
      </c>
      <c r="Y765" s="19" t="s">
        <v>32</v>
      </c>
      <c r="Z765" s="19" t="str">
        <f>A765 &amp; "-" &amp; VLOOKUP(A765,[4]PROGRAMMES!$E$1:$F$7,2,FALSE)</f>
        <v>2-Qualité des enseignements et des apprentissages</v>
      </c>
      <c r="AA765" s="19" t="str">
        <f>B765 &amp; "-" &amp; VLOOKUP(B765,[4]SOUSPROGRAMMES!$E$1:$F$44,2,FALSE)</f>
        <v xml:space="preserve">25- Conditions d’apprentissage améliorées </v>
      </c>
      <c r="AB765" s="19" t="str">
        <f>C765 &amp; "-" &amp; VLOOKUP(C765,[4]RESULTATS!$E$1:$F$176,2,FALSE)</f>
        <v>254- Les enseignants utilisent en classe les matériels didactiques et ludiques</v>
      </c>
      <c r="AC765" s="20" t="str">
        <f>D765 &amp; "-" &amp; VLOOKUP(D765,[4]STRATEGIES!$E$1:$F$504,2,FALSE)</f>
        <v>2542-Développement des matériels ludiques et didactiques et équipement des CEC</v>
      </c>
      <c r="AD765" s="21" t="str">
        <f t="shared" si="148"/>
        <v>25423-Suivi des enseignants à l'utilisation des matériels didactiques et ludiques</v>
      </c>
    </row>
    <row r="766" spans="1:30" s="22" customFormat="1" ht="30" customHeight="1" x14ac:dyDescent="0.8">
      <c r="A766" s="14">
        <v>2</v>
      </c>
      <c r="B766" s="15">
        <v>25</v>
      </c>
      <c r="C766" s="15">
        <v>254</v>
      </c>
      <c r="D766" s="15">
        <v>2542</v>
      </c>
      <c r="E766" s="14">
        <v>25424</v>
      </c>
      <c r="F766" s="16" t="s">
        <v>935</v>
      </c>
      <c r="G766" s="21" t="s">
        <v>722</v>
      </c>
      <c r="H766" s="17" t="s">
        <v>936</v>
      </c>
      <c r="I766" s="56"/>
      <c r="J766" s="56">
        <f>0.5*25.01%</f>
        <v>0.12504999999999999</v>
      </c>
      <c r="K766" s="56">
        <f>0.5*25.01%</f>
        <v>0.12504999999999999</v>
      </c>
      <c r="L766" s="56">
        <f>0.5*25.01%</f>
        <v>0.12504999999999999</v>
      </c>
      <c r="M766" s="56">
        <f t="shared" si="150"/>
        <v>0.37514999999999998</v>
      </c>
      <c r="N766" s="56">
        <f>IF(OR(H766="",H766="sif",H766="PM"),0,VLOOKUP(H766,[5]CU!$C$4:$H$255,6,FALSE))</f>
        <v>2850</v>
      </c>
      <c r="O766" s="56">
        <f>IFERROR($N766*I865,0)</f>
        <v>2850</v>
      </c>
      <c r="P766" s="56">
        <f t="shared" si="154"/>
        <v>356.39249999999998</v>
      </c>
      <c r="Q766" s="56">
        <f t="shared" si="154"/>
        <v>356.39249999999998</v>
      </c>
      <c r="R766" s="56">
        <f t="shared" si="154"/>
        <v>356.39249999999998</v>
      </c>
      <c r="S766" s="53">
        <f>SUM(O766:R766)</f>
        <v>3919.1774999999998</v>
      </c>
      <c r="T766" s="35" t="s">
        <v>118</v>
      </c>
      <c r="U766" s="18" t="s">
        <v>647</v>
      </c>
      <c r="V766" s="19" t="str">
        <f>IF(OR($H766="",$H766="sif",$H766="PM"),"",VLOOKUP($H766,[5]CU!$C$5:$J$255,8,FALSE))</f>
        <v>3. Manuels scolaires et matériels pédagogiques</v>
      </c>
      <c r="W766" s="18" t="s">
        <v>665</v>
      </c>
      <c r="X766" s="18" t="s">
        <v>665</v>
      </c>
      <c r="Y766" s="19" t="s">
        <v>32</v>
      </c>
      <c r="Z766" s="19" t="str">
        <f>A766 &amp; "-" &amp; VLOOKUP(A766,[4]PROGRAMMES!$E$1:$F$7,2,FALSE)</f>
        <v>2-Qualité des enseignements et des apprentissages</v>
      </c>
      <c r="AA766" s="19" t="str">
        <f>B766 &amp; "-" &amp; VLOOKUP(B766,[4]SOUSPROGRAMMES!$E$1:$F$44,2,FALSE)</f>
        <v xml:space="preserve">25- Conditions d’apprentissage améliorées </v>
      </c>
      <c r="AB766" s="19" t="str">
        <f>C766 &amp; "-" &amp; VLOOKUP(C766,[4]RESULTATS!$E$1:$F$176,2,FALSE)</f>
        <v>254- Les enseignants utilisent en classe les matériels didactiques et ludiques</v>
      </c>
      <c r="AC766" s="20" t="str">
        <f>D766 &amp; "-" &amp; VLOOKUP(D766,[4]STRATEGIES!$E$1:$F$504,2,FALSE)</f>
        <v>2542-Développement des matériels ludiques et didactiques et équipement des CEC</v>
      </c>
      <c r="AD766" s="21" t="str">
        <f t="shared" si="148"/>
        <v>25424-Aménagement et installations d'aires de jeux et de malle à lire dans les CEC</v>
      </c>
    </row>
    <row r="767" spans="1:30" s="22" customFormat="1" ht="30" customHeight="1" x14ac:dyDescent="0.8">
      <c r="A767" s="14">
        <v>2</v>
      </c>
      <c r="B767" s="15">
        <v>25</v>
      </c>
      <c r="C767" s="15">
        <v>254</v>
      </c>
      <c r="D767" s="15">
        <v>2542</v>
      </c>
      <c r="E767" s="14">
        <v>25424</v>
      </c>
      <c r="F767" s="16" t="s">
        <v>935</v>
      </c>
      <c r="G767" s="21" t="s">
        <v>722</v>
      </c>
      <c r="H767" s="17" t="s">
        <v>936</v>
      </c>
      <c r="I767" s="56">
        <v>0</v>
      </c>
      <c r="J767" s="56">
        <f>0.5*31.52%</f>
        <v>0.15759999999999999</v>
      </c>
      <c r="K767" s="56">
        <f>0.5*31.52%</f>
        <v>0.15759999999999999</v>
      </c>
      <c r="L767" s="56">
        <f>0.5*31.52%</f>
        <v>0.15759999999999999</v>
      </c>
      <c r="M767" s="56">
        <f>SUM(I767:L767)</f>
        <v>0.4728</v>
      </c>
      <c r="N767" s="56">
        <f>IF(OR(H767="",H767="sif",H767="PM"),0,VLOOKUP(H767,[5]CU!$C$4:$H$255,6,FALSE))</f>
        <v>2850</v>
      </c>
      <c r="O767" s="56">
        <f>IFERROR($N767*I767,0)</f>
        <v>0</v>
      </c>
      <c r="P767" s="56">
        <f>IFERROR($N767*J767,0)</f>
        <v>449.15999999999997</v>
      </c>
      <c r="Q767" s="56">
        <f>IFERROR($N767*K767,0)</f>
        <v>449.15999999999997</v>
      </c>
      <c r="R767" s="56">
        <f>IFERROR($N767*L767,0)</f>
        <v>449.15999999999997</v>
      </c>
      <c r="S767" s="53">
        <f>SUM(O767:R767)</f>
        <v>1347.48</v>
      </c>
      <c r="T767" s="35" t="s">
        <v>118</v>
      </c>
      <c r="U767" s="18" t="s">
        <v>647</v>
      </c>
      <c r="V767" s="19" t="str">
        <f>IF(OR($H767="",$H767="sif",$H767="PM"),"",VLOOKUP($H767,[5]CU!$C$5:$J$255,8,FALSE))</f>
        <v>3. Manuels scolaires et matériels pédagogiques</v>
      </c>
      <c r="W767" s="18" t="s">
        <v>665</v>
      </c>
      <c r="X767" s="18" t="s">
        <v>665</v>
      </c>
      <c r="Y767" s="19" t="s">
        <v>32</v>
      </c>
      <c r="Z767" s="19" t="str">
        <f>A767 &amp; "-" &amp; VLOOKUP(A767,[4]PROGRAMMES!$E$1:$F$7,2,FALSE)</f>
        <v>2-Qualité des enseignements et des apprentissages</v>
      </c>
      <c r="AA767" s="19" t="str">
        <f>B767 &amp; "-" &amp; VLOOKUP(B767,[4]SOUSPROGRAMMES!$E$1:$F$44,2,FALSE)</f>
        <v xml:space="preserve">25- Conditions d’apprentissage améliorées </v>
      </c>
      <c r="AB767" s="19" t="str">
        <f>C767 &amp; "-" &amp; VLOOKUP(C767,[4]RESULTATS!$E$1:$F$176,2,FALSE)</f>
        <v>254- Les enseignants utilisent en classe les matériels didactiques et ludiques</v>
      </c>
      <c r="AC767" s="20" t="str">
        <f>D767 &amp; "-" &amp; VLOOKUP(D767,[4]STRATEGIES!$E$1:$F$504,2,FALSE)</f>
        <v>2542-Développement des matériels ludiques et didactiques et équipement des CEC</v>
      </c>
      <c r="AD767" s="21" t="str">
        <f t="shared" si="148"/>
        <v>25424-Aménagement et installations d'aires de jeux et de malle à lire dans les CEC</v>
      </c>
    </row>
    <row r="768" spans="1:30" s="22" customFormat="1" ht="30" customHeight="1" x14ac:dyDescent="0.8">
      <c r="A768" s="14">
        <v>2</v>
      </c>
      <c r="B768" s="15">
        <v>25</v>
      </c>
      <c r="C768" s="15">
        <v>254</v>
      </c>
      <c r="D768" s="15">
        <v>2542</v>
      </c>
      <c r="E768" s="14">
        <v>25424</v>
      </c>
      <c r="F768" s="16" t="s">
        <v>935</v>
      </c>
      <c r="G768" s="21" t="s">
        <v>722</v>
      </c>
      <c r="H768" s="17" t="s">
        <v>936</v>
      </c>
      <c r="I768" s="56">
        <v>0</v>
      </c>
      <c r="J768" s="53">
        <f>0.5*43.47%</f>
        <v>0.21734999999999999</v>
      </c>
      <c r="K768" s="53">
        <f>0.5*43.47%</f>
        <v>0.21734999999999999</v>
      </c>
      <c r="L768" s="53">
        <f>0.5*43.47%</f>
        <v>0.21734999999999999</v>
      </c>
      <c r="M768" s="53">
        <f t="shared" si="150"/>
        <v>0.65205000000000002</v>
      </c>
      <c r="N768" s="53">
        <f>IF(OR(H768="",H768="sif",H768="PM"),0,VLOOKUP(H768,[5]CU!$C$4:$H$255,6,FALSE))</f>
        <v>2850</v>
      </c>
      <c r="O768" s="53">
        <f t="shared" si="154"/>
        <v>0</v>
      </c>
      <c r="P768" s="53">
        <f t="shared" si="154"/>
        <v>619.44749999999999</v>
      </c>
      <c r="Q768" s="53">
        <f t="shared" si="154"/>
        <v>619.44749999999999</v>
      </c>
      <c r="R768" s="53">
        <f t="shared" si="154"/>
        <v>619.44749999999999</v>
      </c>
      <c r="S768" s="53">
        <f>SUM(O768:R768)</f>
        <v>1858.3425</v>
      </c>
      <c r="T768" s="35" t="s">
        <v>67</v>
      </c>
      <c r="U768" s="18" t="s">
        <v>647</v>
      </c>
      <c r="V768" s="19" t="str">
        <f>IF(OR($H768="",$H768="sif",$H768="PM"),"",VLOOKUP($H768,[5]CU!$C$5:$J$255,8,FALSE))</f>
        <v>3. Manuels scolaires et matériels pédagogiques</v>
      </c>
      <c r="W768" s="18" t="s">
        <v>665</v>
      </c>
      <c r="X768" s="18" t="s">
        <v>665</v>
      </c>
      <c r="Y768" s="19" t="s">
        <v>32</v>
      </c>
      <c r="Z768" s="19" t="str">
        <f>A768 &amp; "-" &amp; VLOOKUP(A768,[4]PROGRAMMES!$E$1:$F$7,2,FALSE)</f>
        <v>2-Qualité des enseignements et des apprentissages</v>
      </c>
      <c r="AA768" s="19" t="str">
        <f>B768 &amp; "-" &amp; VLOOKUP(B768,[4]SOUSPROGRAMMES!$E$1:$F$44,2,FALSE)</f>
        <v xml:space="preserve">25- Conditions d’apprentissage améliorées </v>
      </c>
      <c r="AB768" s="19" t="str">
        <f>C768 &amp; "-" &amp; VLOOKUP(C768,[4]RESULTATS!$E$1:$F$176,2,FALSE)</f>
        <v>254- Les enseignants utilisent en classe les matériels didactiques et ludiques</v>
      </c>
      <c r="AC768" s="20" t="str">
        <f>D768 &amp; "-" &amp; VLOOKUP(D768,[4]STRATEGIES!$E$1:$F$504,2,FALSE)</f>
        <v>2542-Développement des matériels ludiques et didactiques et équipement des CEC</v>
      </c>
      <c r="AD768" s="21" t="str">
        <f t="shared" si="148"/>
        <v>25424-Aménagement et installations d'aires de jeux et de malle à lire dans les CEC</v>
      </c>
    </row>
    <row r="769" spans="1:30" s="22" customFormat="1" ht="30" customHeight="1" x14ac:dyDescent="0.8">
      <c r="A769" s="14">
        <v>2</v>
      </c>
      <c r="B769" s="15">
        <v>25</v>
      </c>
      <c r="C769" s="15">
        <v>254</v>
      </c>
      <c r="D769" s="15">
        <v>2543</v>
      </c>
      <c r="E769" s="14">
        <v>2543</v>
      </c>
      <c r="F769" s="16" t="s">
        <v>937</v>
      </c>
      <c r="G769" s="17"/>
      <c r="H769" s="17"/>
      <c r="I769" s="56">
        <v>0</v>
      </c>
      <c r="J769" s="56"/>
      <c r="K769" s="56"/>
      <c r="L769" s="56"/>
      <c r="M769" s="56"/>
      <c r="N769" s="56"/>
      <c r="O769" s="56"/>
      <c r="P769" s="56"/>
      <c r="Q769" s="56"/>
      <c r="R769" s="56"/>
      <c r="S769" s="53"/>
      <c r="T769" s="33"/>
      <c r="U769" s="18"/>
      <c r="V769" s="19"/>
      <c r="W769" s="18"/>
      <c r="X769" s="18"/>
      <c r="Y769" s="19" t="s">
        <v>32</v>
      </c>
      <c r="Z769" s="19" t="str">
        <f>A769 &amp; "-" &amp; VLOOKUP(A769,[4]PROGRAMMES!$E$1:$F$7,2,FALSE)</f>
        <v>2-Qualité des enseignements et des apprentissages</v>
      </c>
      <c r="AA769" s="19" t="str">
        <f>B769 &amp; "-" &amp; VLOOKUP(B769,[4]SOUSPROGRAMMES!$E$1:$F$44,2,FALSE)</f>
        <v xml:space="preserve">25- Conditions d’apprentissage améliorées </v>
      </c>
      <c r="AB769" s="19" t="str">
        <f>C769 &amp; "-" &amp; VLOOKUP(C769,[4]RESULTATS!$E$1:$F$176,2,FALSE)</f>
        <v>254- Les enseignants utilisent en classe les matériels didactiques et ludiques</v>
      </c>
      <c r="AC769" s="20" t="str">
        <f>D769 &amp; "-" &amp; VLOOKUP(D769,[4]STRATEGIES!$E$1:$F$504,2,FALSE)</f>
        <v>2543-Validation du matériel didactique produit</v>
      </c>
      <c r="AD769" s="21" t="str">
        <f t="shared" si="148"/>
        <v>2543-Validation du matériel didactique produit</v>
      </c>
    </row>
    <row r="770" spans="1:30" s="22" customFormat="1" ht="45" hidden="1" customHeight="1" x14ac:dyDescent="0.8">
      <c r="A770" s="14">
        <v>2</v>
      </c>
      <c r="B770" s="15">
        <v>25</v>
      </c>
      <c r="C770" s="15">
        <v>254</v>
      </c>
      <c r="D770" s="15">
        <v>2543</v>
      </c>
      <c r="E770" s="14">
        <v>25431</v>
      </c>
      <c r="F770" s="16" t="s">
        <v>938</v>
      </c>
      <c r="G770" s="21" t="s">
        <v>92</v>
      </c>
      <c r="H770" s="17" t="s">
        <v>55</v>
      </c>
      <c r="I770" s="56">
        <v>0</v>
      </c>
      <c r="J770" s="56"/>
      <c r="K770" s="56">
        <v>1</v>
      </c>
      <c r="L770" s="56">
        <v>1</v>
      </c>
      <c r="M770" s="56">
        <f t="shared" si="150"/>
        <v>2</v>
      </c>
      <c r="N770" s="56">
        <f>IF(OR(H770="",H770="sif",H770="PM"),0,VLOOKUP(H770,[5]CU!$C$4:$H$255,6,FALSE))</f>
        <v>0</v>
      </c>
      <c r="O770" s="56">
        <f t="shared" si="154"/>
        <v>0</v>
      </c>
      <c r="P770" s="56">
        <f t="shared" si="154"/>
        <v>0</v>
      </c>
      <c r="Q770" s="56">
        <f t="shared" si="154"/>
        <v>0</v>
      </c>
      <c r="R770" s="56">
        <f t="shared" si="154"/>
        <v>0</v>
      </c>
      <c r="S770" s="53"/>
      <c r="T770" s="35" t="s">
        <v>56</v>
      </c>
      <c r="U770" s="18" t="s">
        <v>647</v>
      </c>
      <c r="V770" s="19" t="str">
        <f>IF(OR($H770="",$H770="sif",$H770="PM"),"",VLOOKUP($H770,[5]CU!$C$5:$J$255,8,FALSE))</f>
        <v/>
      </c>
      <c r="W770" s="18" t="s">
        <v>708</v>
      </c>
      <c r="X770" s="18" t="s">
        <v>347</v>
      </c>
      <c r="Y770" s="19" t="s">
        <v>32</v>
      </c>
      <c r="Z770" s="19" t="str">
        <f>A770 &amp; "-" &amp; VLOOKUP(A770,[4]PROGRAMMES!$E$1:$F$7,2,FALSE)</f>
        <v>2-Qualité des enseignements et des apprentissages</v>
      </c>
      <c r="AA770" s="19" t="str">
        <f>B770 &amp; "-" &amp; VLOOKUP(B770,[4]SOUSPROGRAMMES!$E$1:$F$44,2,FALSE)</f>
        <v xml:space="preserve">25- Conditions d’apprentissage améliorées </v>
      </c>
      <c r="AB770" s="19" t="str">
        <f>C770 &amp; "-" &amp; VLOOKUP(C770,[4]RESULTATS!$E$1:$F$176,2,FALSE)</f>
        <v>254- Les enseignants utilisent en classe les matériels didactiques et ludiques</v>
      </c>
      <c r="AC770" s="20" t="str">
        <f>D770 &amp; "-" &amp; VLOOKUP(D770,[4]STRATEGIES!$E$1:$F$504,2,FALSE)</f>
        <v>2543-Validation du matériel didactique produit</v>
      </c>
      <c r="AD770" s="21" t="str">
        <f t="shared" si="148"/>
        <v>25431-Identification par les IRE et les DPE des productions les plus pertinentes et partage avec la commission scientifique (voir activité 25121)</v>
      </c>
    </row>
    <row r="771" spans="1:30" s="22" customFormat="1" ht="30" customHeight="1" x14ac:dyDescent="0.8">
      <c r="A771" s="14">
        <v>2</v>
      </c>
      <c r="B771" s="15">
        <v>25</v>
      </c>
      <c r="C771" s="15">
        <v>254</v>
      </c>
      <c r="D771" s="15">
        <v>2543</v>
      </c>
      <c r="E771" s="14">
        <v>25432</v>
      </c>
      <c r="F771" s="16" t="s">
        <v>939</v>
      </c>
      <c r="G771" s="21" t="s">
        <v>37</v>
      </c>
      <c r="H771" s="17" t="s">
        <v>38</v>
      </c>
      <c r="I771" s="56">
        <v>0</v>
      </c>
      <c r="J771" s="56"/>
      <c r="K771" s="56">
        <f>25*5</f>
        <v>125</v>
      </c>
      <c r="L771" s="56">
        <f>25*5</f>
        <v>125</v>
      </c>
      <c r="M771" s="56">
        <f t="shared" si="150"/>
        <v>250</v>
      </c>
      <c r="N771" s="56">
        <f>IF(OR(H771="",H771="sif",H771="PM"),0,VLOOKUP(H771,[5]CU!$C$4:$H$255,6,FALSE))</f>
        <v>0.3133333333333333</v>
      </c>
      <c r="O771" s="56">
        <f t="shared" si="154"/>
        <v>0</v>
      </c>
      <c r="P771" s="56">
        <f t="shared" si="154"/>
        <v>0</v>
      </c>
      <c r="Q771" s="56">
        <f t="shared" si="154"/>
        <v>39.166666666666664</v>
      </c>
      <c r="R771" s="56">
        <f t="shared" si="154"/>
        <v>39.166666666666664</v>
      </c>
      <c r="S771" s="53">
        <f>SUM(O771:R771)</f>
        <v>78.333333333333329</v>
      </c>
      <c r="T771" s="35" t="s">
        <v>39</v>
      </c>
      <c r="U771" s="19" t="s">
        <v>647</v>
      </c>
      <c r="V771" s="19" t="str">
        <f>IF(OR($H771="",$H771="sif",$H771="PM"),"",VLOOKUP($H771,[5]CU!$C$5:$J$255,8,FALSE))</f>
        <v>3. Formation</v>
      </c>
      <c r="W771" s="19" t="s">
        <v>708</v>
      </c>
      <c r="X771" s="19" t="s">
        <v>940</v>
      </c>
      <c r="Y771" s="19" t="s">
        <v>32</v>
      </c>
      <c r="Z771" s="19" t="str">
        <f>A771 &amp; "-" &amp; VLOOKUP(A771,[4]PROGRAMMES!$E$1:$F$7,2,FALSE)</f>
        <v>2-Qualité des enseignements et des apprentissages</v>
      </c>
      <c r="AA771" s="19" t="str">
        <f>B771 &amp; "-" &amp; VLOOKUP(B771,[4]SOUSPROGRAMMES!$E$1:$F$44,2,FALSE)</f>
        <v xml:space="preserve">25- Conditions d’apprentissage améliorées </v>
      </c>
      <c r="AB771" s="19" t="str">
        <f>C771 &amp; "-" &amp; VLOOKUP(C771,[4]RESULTATS!$E$1:$F$176,2,FALSE)</f>
        <v>254- Les enseignants utilisent en classe les matériels didactiques et ludiques</v>
      </c>
      <c r="AC771" s="20" t="str">
        <f>D771 &amp; "-" &amp; VLOOKUP(D771,[4]STRATEGIES!$E$1:$F$504,2,FALSE)</f>
        <v>2543-Validation du matériel didactique produit</v>
      </c>
      <c r="AD771" s="21" t="str">
        <f t="shared" si="148"/>
        <v>25432-choix par le comité scientifique des productions à vulgariser</v>
      </c>
    </row>
    <row r="772" spans="1:30" s="22" customFormat="1" ht="30" customHeight="1" x14ac:dyDescent="0.8">
      <c r="A772" s="14">
        <v>2</v>
      </c>
      <c r="B772" s="15">
        <v>25</v>
      </c>
      <c r="C772" s="15">
        <v>254</v>
      </c>
      <c r="D772" s="15">
        <v>2544</v>
      </c>
      <c r="E772" s="14">
        <v>2544</v>
      </c>
      <c r="F772" s="16" t="s">
        <v>941</v>
      </c>
      <c r="G772" s="17"/>
      <c r="H772" s="17"/>
      <c r="I772" s="56">
        <v>0</v>
      </c>
      <c r="J772" s="56"/>
      <c r="K772" s="56"/>
      <c r="L772" s="56"/>
      <c r="M772" s="56"/>
      <c r="N772" s="56"/>
      <c r="O772" s="56"/>
      <c r="P772" s="56"/>
      <c r="Q772" s="56"/>
      <c r="R772" s="56"/>
      <c r="S772" s="53"/>
      <c r="T772" s="33"/>
      <c r="U772" s="18"/>
      <c r="V772" s="19"/>
      <c r="W772" s="18"/>
      <c r="X772" s="18"/>
      <c r="Y772" s="19" t="s">
        <v>32</v>
      </c>
      <c r="Z772" s="19" t="str">
        <f>A772 &amp; "-" &amp; VLOOKUP(A772,[4]PROGRAMMES!$E$1:$F$7,2,FALSE)</f>
        <v>2-Qualité des enseignements et des apprentissages</v>
      </c>
      <c r="AA772" s="19" t="str">
        <f>B772 &amp; "-" &amp; VLOOKUP(B772,[4]SOUSPROGRAMMES!$E$1:$F$44,2,FALSE)</f>
        <v xml:space="preserve">25- Conditions d’apprentissage améliorées </v>
      </c>
      <c r="AB772" s="19" t="str">
        <f>C772 &amp; "-" &amp; VLOOKUP(C772,[4]RESULTATS!$E$1:$F$176,2,FALSE)</f>
        <v>254- Les enseignants utilisent en classe les matériels didactiques et ludiques</v>
      </c>
      <c r="AC772" s="20" t="str">
        <f>D772 &amp; "-" &amp; VLOOKUP(D772,[4]STRATEGIES!$E$1:$F$504,2,FALSE)</f>
        <v>2544-Distribution du matériel validé</v>
      </c>
      <c r="AD772" s="21" t="str">
        <f t="shared" ref="AD772:AD835" si="155">E772 &amp; "-" &amp; F772</f>
        <v>2544-Distribution du matériel validé</v>
      </c>
    </row>
    <row r="773" spans="1:30" s="22" customFormat="1" ht="45" customHeight="1" x14ac:dyDescent="0.8">
      <c r="A773" s="14">
        <v>2</v>
      </c>
      <c r="B773" s="15">
        <v>25</v>
      </c>
      <c r="C773" s="15">
        <v>254</v>
      </c>
      <c r="D773" s="15">
        <v>2544</v>
      </c>
      <c r="E773" s="14">
        <v>25441</v>
      </c>
      <c r="F773" s="16" t="s">
        <v>942</v>
      </c>
      <c r="G773" s="21" t="s">
        <v>943</v>
      </c>
      <c r="H773" s="17" t="s">
        <v>944</v>
      </c>
      <c r="I773" s="56">
        <v>0</v>
      </c>
      <c r="J773" s="56">
        <v>1</v>
      </c>
      <c r="K773" s="56">
        <v>1</v>
      </c>
      <c r="L773" s="56">
        <v>1</v>
      </c>
      <c r="M773" s="56">
        <f t="shared" si="150"/>
        <v>3</v>
      </c>
      <c r="N773" s="56">
        <f>IF(OR(H773="",H773="sif",H773="PM"),0,VLOOKUP(H773,[5]CU!$C$4:$H$255,6,FALSE))</f>
        <v>300</v>
      </c>
      <c r="O773" s="56">
        <f t="shared" si="154"/>
        <v>0</v>
      </c>
      <c r="P773" s="56">
        <f t="shared" si="154"/>
        <v>300</v>
      </c>
      <c r="Q773" s="56">
        <f t="shared" si="154"/>
        <v>300</v>
      </c>
      <c r="R773" s="56">
        <f t="shared" si="154"/>
        <v>300</v>
      </c>
      <c r="S773" s="53">
        <f>SUM(O773:R773)</f>
        <v>900</v>
      </c>
      <c r="T773" s="35" t="s">
        <v>39</v>
      </c>
      <c r="U773" s="19" t="s">
        <v>647</v>
      </c>
      <c r="V773" s="19" t="str">
        <f>IF(OR($H773="",$H773="sif",$H773="PM"),"",VLOOKUP($H773,[5]CU!$C$5:$J$255,8,FALSE))</f>
        <v>3. Manuels scolaires et matériels pédagogiques</v>
      </c>
      <c r="W773" s="19" t="s">
        <v>708</v>
      </c>
      <c r="X773" s="19" t="s">
        <v>347</v>
      </c>
      <c r="Y773" s="19" t="s">
        <v>32</v>
      </c>
      <c r="Z773" s="19" t="str">
        <f>A773 &amp; "-" &amp; VLOOKUP(A773,[4]PROGRAMMES!$E$1:$F$7,2,FALSE)</f>
        <v>2-Qualité des enseignements et des apprentissages</v>
      </c>
      <c r="AA773" s="19" t="str">
        <f>B773 &amp; "-" &amp; VLOOKUP(B773,[4]SOUSPROGRAMMES!$E$1:$F$44,2,FALSE)</f>
        <v xml:space="preserve">25- Conditions d’apprentissage améliorées </v>
      </c>
      <c r="AB773" s="19" t="str">
        <f>C773 &amp; "-" &amp; VLOOKUP(C773,[4]RESULTATS!$E$1:$F$176,2,FALSE)</f>
        <v>254- Les enseignants utilisent en classe les matériels didactiques et ludiques</v>
      </c>
      <c r="AC773" s="20" t="str">
        <f>D773 &amp; "-" &amp; VLOOKUP(D773,[4]STRATEGIES!$E$1:$F$504,2,FALSE)</f>
        <v>2544-Distribution du matériel validé</v>
      </c>
      <c r="AD773" s="21" t="str">
        <f t="shared" si="155"/>
        <v>25441-Reproduction et distribution du matériel retenu</v>
      </c>
    </row>
    <row r="774" spans="1:30" s="22" customFormat="1" ht="30" customHeight="1" x14ac:dyDescent="0.8">
      <c r="A774" s="14">
        <v>2</v>
      </c>
      <c r="B774" s="15">
        <v>25</v>
      </c>
      <c r="C774" s="15">
        <v>255</v>
      </c>
      <c r="D774" s="15">
        <v>255</v>
      </c>
      <c r="E774" s="14">
        <v>255</v>
      </c>
      <c r="F774" s="16" t="s">
        <v>945</v>
      </c>
      <c r="G774" s="17"/>
      <c r="H774" s="17"/>
      <c r="I774" s="56">
        <v>0</v>
      </c>
      <c r="J774" s="56"/>
      <c r="K774" s="56"/>
      <c r="L774" s="56"/>
      <c r="M774" s="56"/>
      <c r="N774" s="56"/>
      <c r="O774" s="56"/>
      <c r="P774" s="56"/>
      <c r="Q774" s="56"/>
      <c r="R774" s="56"/>
      <c r="S774" s="53"/>
      <c r="T774" s="33"/>
      <c r="U774" s="18"/>
      <c r="V774" s="19"/>
      <c r="W774" s="18"/>
      <c r="X774" s="18"/>
      <c r="Y774" s="19" t="s">
        <v>32</v>
      </c>
      <c r="Z774" s="19" t="str">
        <f>A774 &amp; "-" &amp; VLOOKUP(A774,[4]PROGRAMMES!$E$1:$F$7,2,FALSE)</f>
        <v>2-Qualité des enseignements et des apprentissages</v>
      </c>
      <c r="AA774" s="19" t="str">
        <f>B774 &amp; "-" &amp; VLOOKUP(B774,[4]SOUSPROGRAMMES!$E$1:$F$44,2,FALSE)</f>
        <v xml:space="preserve">25- Conditions d’apprentissage améliorées </v>
      </c>
      <c r="AB774" s="19" t="str">
        <f>C774 &amp; "-" &amp; VLOOKUP(C774,[4]RESULTATS!$E$1:$F$176,2,FALSE)</f>
        <v>255- les enseignants sont plus ou moins satisfaits de leur conditions de vie</v>
      </c>
      <c r="AC774" s="20" t="str">
        <f>D774 &amp; "-" &amp; VLOOKUP(D774,[4]STRATEGIES!$E$1:$F$504,2,FALSE)</f>
        <v>255- les enseignants sont plus ou moins satisfaits de leur conditions de vie</v>
      </c>
      <c r="AD774" s="21" t="str">
        <f t="shared" si="155"/>
        <v>255- les enseignants sont plus ou moins satisfaits de leur conditions de vie</v>
      </c>
    </row>
    <row r="775" spans="1:30" s="22" customFormat="1" ht="30" customHeight="1" x14ac:dyDescent="0.8">
      <c r="A775" s="14">
        <v>2</v>
      </c>
      <c r="B775" s="15">
        <v>25</v>
      </c>
      <c r="C775" s="15">
        <v>255</v>
      </c>
      <c r="D775" s="15">
        <v>2551</v>
      </c>
      <c r="E775" s="14">
        <v>2551</v>
      </c>
      <c r="F775" s="16" t="s">
        <v>946</v>
      </c>
      <c r="G775" s="17"/>
      <c r="H775" s="17"/>
      <c r="I775" s="56">
        <v>0</v>
      </c>
      <c r="J775" s="56"/>
      <c r="K775" s="56"/>
      <c r="L775" s="56"/>
      <c r="M775" s="56"/>
      <c r="N775" s="56"/>
      <c r="O775" s="56"/>
      <c r="P775" s="56"/>
      <c r="Q775" s="56"/>
      <c r="R775" s="56"/>
      <c r="S775" s="53"/>
      <c r="T775" s="33"/>
      <c r="U775" s="18"/>
      <c r="V775" s="19"/>
      <c r="W775" s="18"/>
      <c r="X775" s="18"/>
      <c r="Y775" s="19" t="s">
        <v>32</v>
      </c>
      <c r="Z775" s="19" t="str">
        <f>A775 &amp; "-" &amp; VLOOKUP(A775,[4]PROGRAMMES!$E$1:$F$7,2,FALSE)</f>
        <v>2-Qualité des enseignements et des apprentissages</v>
      </c>
      <c r="AA775" s="19" t="str">
        <f>B775 &amp; "-" &amp; VLOOKUP(B775,[4]SOUSPROGRAMMES!$E$1:$F$44,2,FALSE)</f>
        <v xml:space="preserve">25- Conditions d’apprentissage améliorées </v>
      </c>
      <c r="AB775" s="19" t="str">
        <f>C775 &amp; "-" &amp; VLOOKUP(C775,[4]RESULTATS!$E$1:$F$176,2,FALSE)</f>
        <v>255- les enseignants sont plus ou moins satisfaits de leur conditions de vie</v>
      </c>
      <c r="AC775" s="20" t="str">
        <f>D775 &amp; "-" &amp; VLOOKUP(D775,[4]STRATEGIES!$E$1:$F$504,2,FALSE)</f>
        <v>2551-Amélioration des conditions de vie des enseignants</v>
      </c>
      <c r="AD775" s="21" t="str">
        <f t="shared" si="155"/>
        <v>2551-Amélioration des conditions de vie des enseignants</v>
      </c>
    </row>
    <row r="776" spans="1:30" s="22" customFormat="1" ht="30" hidden="1" customHeight="1" x14ac:dyDescent="0.8">
      <c r="A776" s="14">
        <v>2</v>
      </c>
      <c r="B776" s="15">
        <v>25</v>
      </c>
      <c r="C776" s="15">
        <v>255</v>
      </c>
      <c r="D776" s="15">
        <v>2551</v>
      </c>
      <c r="E776" s="14">
        <v>25511</v>
      </c>
      <c r="F776" s="16" t="s">
        <v>947</v>
      </c>
      <c r="G776" s="21" t="s">
        <v>298</v>
      </c>
      <c r="H776" s="17" t="s">
        <v>38</v>
      </c>
      <c r="I776" s="56">
        <v>0</v>
      </c>
      <c r="J776" s="56"/>
      <c r="K776" s="56"/>
      <c r="L776" s="56"/>
      <c r="M776" s="56">
        <f t="shared" si="150"/>
        <v>0</v>
      </c>
      <c r="N776" s="56">
        <f>IF(OR(H776="",H776="sif",H776="PM"),0,VLOOKUP(H776,[5]CU!$C$4:$H$255,6,FALSE))</f>
        <v>0.3133333333333333</v>
      </c>
      <c r="O776" s="56">
        <f t="shared" si="154"/>
        <v>0</v>
      </c>
      <c r="P776" s="56">
        <f t="shared" si="154"/>
        <v>0</v>
      </c>
      <c r="Q776" s="56">
        <f t="shared" si="154"/>
        <v>0</v>
      </c>
      <c r="R776" s="56">
        <f t="shared" si="154"/>
        <v>0</v>
      </c>
      <c r="S776" s="53">
        <f>SUM(O776:R776)</f>
        <v>0</v>
      </c>
      <c r="T776" s="35" t="s">
        <v>56</v>
      </c>
      <c r="U776" s="18" t="s">
        <v>647</v>
      </c>
      <c r="V776" s="19" t="str">
        <f>IF(OR($H776="",$H776="sif",$H776="PM"),"",VLOOKUP($H776,[5]CU!$C$5:$J$255,8,FALSE))</f>
        <v>3. Formation</v>
      </c>
      <c r="W776" s="18" t="s">
        <v>142</v>
      </c>
      <c r="X776" s="18" t="s">
        <v>273</v>
      </c>
      <c r="Y776" s="19" t="s">
        <v>32</v>
      </c>
      <c r="Z776" s="19" t="str">
        <f>A776 &amp; "-" &amp; VLOOKUP(A776,[4]PROGRAMMES!$E$1:$F$7,2,FALSE)</f>
        <v>2-Qualité des enseignements et des apprentissages</v>
      </c>
      <c r="AA776" s="19" t="str">
        <f>B776 &amp; "-" &amp; VLOOKUP(B776,[4]SOUSPROGRAMMES!$E$1:$F$44,2,FALSE)</f>
        <v xml:space="preserve">25- Conditions d’apprentissage améliorées </v>
      </c>
      <c r="AB776" s="19" t="str">
        <f>C776 &amp; "-" &amp; VLOOKUP(C776,[4]RESULTATS!$E$1:$F$176,2,FALSE)</f>
        <v>255- les enseignants sont plus ou moins satisfaits de leur conditions de vie</v>
      </c>
      <c r="AC776" s="20" t="str">
        <f>D776 &amp; "-" &amp; VLOOKUP(D776,[4]STRATEGIES!$E$1:$F$504,2,FALSE)</f>
        <v>2551-Amélioration des conditions de vie des enseignants</v>
      </c>
      <c r="AD776" s="21" t="str">
        <f t="shared" si="155"/>
        <v>25511- Mise en place d’un mécanisme de dialogue permanent syndicats des enseignants et gouvernement</v>
      </c>
    </row>
    <row r="777" spans="1:30" s="22" customFormat="1" ht="30" hidden="1" customHeight="1" x14ac:dyDescent="0.8">
      <c r="A777" s="14">
        <v>2</v>
      </c>
      <c r="B777" s="15">
        <v>25</v>
      </c>
      <c r="C777" s="15">
        <v>255</v>
      </c>
      <c r="D777" s="15">
        <v>2551</v>
      </c>
      <c r="E777" s="14">
        <v>25512</v>
      </c>
      <c r="F777" s="16" t="s">
        <v>948</v>
      </c>
      <c r="G777" s="21" t="s">
        <v>298</v>
      </c>
      <c r="H777" s="17" t="s">
        <v>38</v>
      </c>
      <c r="I777" s="56">
        <v>0</v>
      </c>
      <c r="J777" s="56"/>
      <c r="K777" s="56"/>
      <c r="L777" s="56"/>
      <c r="M777" s="56">
        <f t="shared" si="150"/>
        <v>0</v>
      </c>
      <c r="N777" s="56">
        <f>IF(OR(H777="",H777="sif",H777="PM"),0,VLOOKUP(H777,[5]CU!$C$4:$H$255,6,FALSE))</f>
        <v>0.3133333333333333</v>
      </c>
      <c r="O777" s="56">
        <f t="shared" si="154"/>
        <v>0</v>
      </c>
      <c r="P777" s="56">
        <f t="shared" si="154"/>
        <v>0</v>
      </c>
      <c r="Q777" s="56">
        <f t="shared" si="154"/>
        <v>0</v>
      </c>
      <c r="R777" s="56">
        <f t="shared" si="154"/>
        <v>0</v>
      </c>
      <c r="S777" s="53">
        <f>SUM(O777:R777)</f>
        <v>0</v>
      </c>
      <c r="T777" s="35" t="s">
        <v>56</v>
      </c>
      <c r="U777" s="18" t="s">
        <v>647</v>
      </c>
      <c r="V777" s="19" t="str">
        <f>IF(OR($H777="",$H777="sif",$H777="PM"),"",VLOOKUP($H777,[5]CU!$C$5:$J$255,8,FALSE))</f>
        <v>3. Formation</v>
      </c>
      <c r="W777" s="18" t="s">
        <v>949</v>
      </c>
      <c r="X777" s="18" t="s">
        <v>142</v>
      </c>
      <c r="Y777" s="19" t="s">
        <v>32</v>
      </c>
      <c r="Z777" s="19" t="str">
        <f>A777 &amp; "-" &amp; VLOOKUP(A777,[4]PROGRAMMES!$E$1:$F$7,2,FALSE)</f>
        <v>2-Qualité des enseignements et des apprentissages</v>
      </c>
      <c r="AA777" s="19" t="str">
        <f>B777 &amp; "-" &amp; VLOOKUP(B777,[4]SOUSPROGRAMMES!$E$1:$F$44,2,FALSE)</f>
        <v xml:space="preserve">25- Conditions d’apprentissage améliorées </v>
      </c>
      <c r="AB777" s="19" t="str">
        <f>C777 &amp; "-" &amp; VLOOKUP(C777,[4]RESULTATS!$E$1:$F$176,2,FALSE)</f>
        <v>255- les enseignants sont plus ou moins satisfaits de leur conditions de vie</v>
      </c>
      <c r="AC777" s="20" t="str">
        <f>D777 &amp; "-" &amp; VLOOKUP(D777,[4]STRATEGIES!$E$1:$F$504,2,FALSE)</f>
        <v>2551-Amélioration des conditions de vie des enseignants</v>
      </c>
      <c r="AD777" s="21" t="str">
        <f t="shared" si="155"/>
        <v>25512- Identifier des canaux porteurs pour l’attractivité du métier d’enseignant en Guinée</v>
      </c>
    </row>
    <row r="778" spans="1:30" s="22" customFormat="1" ht="30" hidden="1" customHeight="1" x14ac:dyDescent="0.8">
      <c r="A778" s="14">
        <v>2</v>
      </c>
      <c r="B778" s="15">
        <v>25</v>
      </c>
      <c r="C778" s="15">
        <v>255</v>
      </c>
      <c r="D778" s="15">
        <v>2551</v>
      </c>
      <c r="E778" s="14">
        <v>25513</v>
      </c>
      <c r="F778" s="16" t="s">
        <v>950</v>
      </c>
      <c r="G778" s="21" t="s">
        <v>298</v>
      </c>
      <c r="H778" s="17" t="s">
        <v>38</v>
      </c>
      <c r="I778" s="56">
        <v>0</v>
      </c>
      <c r="J778" s="56">
        <f>25*7</f>
        <v>175</v>
      </c>
      <c r="K778" s="56"/>
      <c r="L778" s="56"/>
      <c r="M778" s="56">
        <f t="shared" si="150"/>
        <v>175</v>
      </c>
      <c r="N778" s="56">
        <f>IF(OR(H778="",H778="sif",H778="PM"),0,VLOOKUP(H778,[5]CU!$C$4:$H$255,6,FALSE))</f>
        <v>0.3133333333333333</v>
      </c>
      <c r="O778" s="56">
        <f t="shared" si="154"/>
        <v>0</v>
      </c>
      <c r="P778" s="56">
        <f t="shared" si="154"/>
        <v>54.833333333333329</v>
      </c>
      <c r="Q778" s="56">
        <f t="shared" si="154"/>
        <v>0</v>
      </c>
      <c r="R778" s="56">
        <f t="shared" si="154"/>
        <v>0</v>
      </c>
      <c r="S778" s="53">
        <f>SUM(O778:R778)</f>
        <v>54.833333333333329</v>
      </c>
      <c r="T778" s="35" t="s">
        <v>56</v>
      </c>
      <c r="U778" s="18" t="s">
        <v>647</v>
      </c>
      <c r="V778" s="19" t="str">
        <f>IF(OR($H778="",$H778="sif",$H778="PM"),"",VLOOKUP($H778,[5]CU!$C$5:$J$255,8,FALSE))</f>
        <v>3. Formation</v>
      </c>
      <c r="W778" s="18" t="s">
        <v>949</v>
      </c>
      <c r="X778" s="18" t="s">
        <v>142</v>
      </c>
      <c r="Y778" s="19" t="s">
        <v>32</v>
      </c>
      <c r="Z778" s="19" t="str">
        <f>A778 &amp; "-" &amp; VLOOKUP(A778,[4]PROGRAMMES!$E$1:$F$7,2,FALSE)</f>
        <v>2-Qualité des enseignements et des apprentissages</v>
      </c>
      <c r="AA778" s="19" t="str">
        <f>B778 &amp; "-" &amp; VLOOKUP(B778,[4]SOUSPROGRAMMES!$E$1:$F$44,2,FALSE)</f>
        <v xml:space="preserve">25- Conditions d’apprentissage améliorées </v>
      </c>
      <c r="AB778" s="19" t="str">
        <f>C778 &amp; "-" &amp; VLOOKUP(C778,[4]RESULTATS!$E$1:$F$176,2,FALSE)</f>
        <v>255- les enseignants sont plus ou moins satisfaits de leur conditions de vie</v>
      </c>
      <c r="AC778" s="20" t="str">
        <f>D778 &amp; "-" &amp; VLOOKUP(D778,[4]STRATEGIES!$E$1:$F$504,2,FALSE)</f>
        <v>2551-Amélioration des conditions de vie des enseignants</v>
      </c>
      <c r="AD778" s="21" t="str">
        <f t="shared" si="155"/>
        <v>25513-Renforcement des capacités professionnelles des enseignants</v>
      </c>
    </row>
    <row r="779" spans="1:30" s="22" customFormat="1" ht="45" customHeight="1" x14ac:dyDescent="0.8">
      <c r="A779" s="14">
        <v>2</v>
      </c>
      <c r="B779" s="15">
        <v>25</v>
      </c>
      <c r="C779" s="15">
        <v>256</v>
      </c>
      <c r="D779" s="15">
        <v>256</v>
      </c>
      <c r="E779" s="14">
        <v>256</v>
      </c>
      <c r="F779" s="16" t="s">
        <v>951</v>
      </c>
      <c r="G779" s="17"/>
      <c r="H779" s="17"/>
      <c r="I779" s="56">
        <v>0</v>
      </c>
      <c r="J779" s="56"/>
      <c r="K779" s="56"/>
      <c r="L779" s="56"/>
      <c r="M779" s="56"/>
      <c r="N779" s="56"/>
      <c r="O779" s="56"/>
      <c r="P779" s="56"/>
      <c r="Q779" s="56"/>
      <c r="R779" s="56"/>
      <c r="S779" s="53"/>
      <c r="T779" s="33"/>
      <c r="U779" s="18"/>
      <c r="V779" s="19"/>
      <c r="W779" s="18"/>
      <c r="X779" s="18"/>
      <c r="Y779" s="19" t="s">
        <v>32</v>
      </c>
      <c r="Z779" s="19" t="str">
        <f>A779 &amp; "-" &amp; VLOOKUP(A779,[4]PROGRAMMES!$E$1:$F$7,2,FALSE)</f>
        <v>2-Qualité des enseignements et des apprentissages</v>
      </c>
      <c r="AA779" s="19" t="str">
        <f>B779 &amp; "-" &amp; VLOOKUP(B779,[4]SOUSPROGRAMMES!$E$1:$F$44,2,FALSE)</f>
        <v xml:space="preserve">25- Conditions d’apprentissage améliorées </v>
      </c>
      <c r="AB779" s="19" t="str">
        <f>C779 &amp; "-" &amp; VLOOKUP(C779,[4]RESULTATS!$E$1:$F$176,2,FALSE)</f>
        <v>256- Les laboratoires et kits sont installés progressivement dans les établissements secondaires</v>
      </c>
      <c r="AC779" s="20" t="str">
        <f>D779 &amp; "-" &amp; VLOOKUP(D779,[4]STRATEGIES!$E$1:$F$504,2,FALSE)</f>
        <v>256- Les laboratoires et kits sont installés progressivement dans les établissements secondaires</v>
      </c>
      <c r="AD779" s="21" t="str">
        <f t="shared" si="155"/>
        <v>256- Les laboratoires et kits sont installés progressivement dans les établissements secondaires</v>
      </c>
    </row>
    <row r="780" spans="1:30" s="22" customFormat="1" ht="45" customHeight="1" x14ac:dyDescent="0.8">
      <c r="A780" s="14">
        <v>2</v>
      </c>
      <c r="B780" s="15">
        <v>25</v>
      </c>
      <c r="C780" s="15">
        <v>256</v>
      </c>
      <c r="D780" s="15">
        <v>2561</v>
      </c>
      <c r="E780" s="14">
        <v>2561</v>
      </c>
      <c r="F780" s="16" t="s">
        <v>952</v>
      </c>
      <c r="G780" s="17"/>
      <c r="H780" s="17"/>
      <c r="I780" s="56">
        <v>0</v>
      </c>
      <c r="J780" s="56"/>
      <c r="K780" s="56"/>
      <c r="L780" s="56"/>
      <c r="M780" s="56"/>
      <c r="N780" s="56"/>
      <c r="O780" s="56"/>
      <c r="P780" s="56"/>
      <c r="Q780" s="56"/>
      <c r="R780" s="56"/>
      <c r="S780" s="53"/>
      <c r="T780" s="33"/>
      <c r="U780" s="18"/>
      <c r="V780" s="19"/>
      <c r="W780" s="18"/>
      <c r="X780" s="18"/>
      <c r="Y780" s="19" t="s">
        <v>32</v>
      </c>
      <c r="Z780" s="19" t="str">
        <f>A780 &amp; "-" &amp; VLOOKUP(A780,[4]PROGRAMMES!$E$1:$F$7,2,FALSE)</f>
        <v>2-Qualité des enseignements et des apprentissages</v>
      </c>
      <c r="AA780" s="19" t="str">
        <f>B780 &amp; "-" &amp; VLOOKUP(B780,[4]SOUSPROGRAMMES!$E$1:$F$44,2,FALSE)</f>
        <v xml:space="preserve">25- Conditions d’apprentissage améliorées </v>
      </c>
      <c r="AB780" s="19" t="str">
        <f>C780 &amp; "-" &amp; VLOOKUP(C780,[4]RESULTATS!$E$1:$F$176,2,FALSE)</f>
        <v>256- Les laboratoires et kits sont installés progressivement dans les établissements secondaires</v>
      </c>
      <c r="AC780" s="20" t="str">
        <f>D780 &amp; "-" &amp; VLOOKUP(D780,[4]STRATEGIES!$E$1:$F$504,2,FALSE)</f>
        <v>2561-création de conditions pratiques d'enseignement</v>
      </c>
      <c r="AD780" s="21" t="str">
        <f t="shared" si="155"/>
        <v>2561-création de conditions pratiques d'enseignement</v>
      </c>
    </row>
    <row r="781" spans="1:30" s="22" customFormat="1" ht="45" hidden="1" customHeight="1" x14ac:dyDescent="0.8">
      <c r="A781" s="14">
        <v>2</v>
      </c>
      <c r="B781" s="15">
        <v>25</v>
      </c>
      <c r="C781" s="15">
        <v>256</v>
      </c>
      <c r="D781" s="15">
        <v>2561</v>
      </c>
      <c r="E781" s="14">
        <v>25611</v>
      </c>
      <c r="F781" s="16" t="s">
        <v>953</v>
      </c>
      <c r="G781" s="21" t="s">
        <v>321</v>
      </c>
      <c r="H781" s="17" t="s">
        <v>55</v>
      </c>
      <c r="I781" s="56">
        <v>0</v>
      </c>
      <c r="J781" s="56">
        <v>1</v>
      </c>
      <c r="K781" s="56"/>
      <c r="L781" s="56"/>
      <c r="M781" s="56">
        <f t="shared" si="150"/>
        <v>1</v>
      </c>
      <c r="N781" s="56">
        <f>IF(OR(H781="",H781="sif",H781="PM"),0,VLOOKUP(H781,[5]CU!$C$4:$H$255,6,FALSE))</f>
        <v>0</v>
      </c>
      <c r="O781" s="56">
        <f t="shared" si="154"/>
        <v>0</v>
      </c>
      <c r="P781" s="56">
        <f t="shared" si="154"/>
        <v>0</v>
      </c>
      <c r="Q781" s="56">
        <f t="shared" si="154"/>
        <v>0</v>
      </c>
      <c r="R781" s="56">
        <f t="shared" si="154"/>
        <v>0</v>
      </c>
      <c r="S781" s="53"/>
      <c r="T781" s="35" t="s">
        <v>56</v>
      </c>
      <c r="U781" s="18" t="s">
        <v>647</v>
      </c>
      <c r="V781" s="19" t="str">
        <f>IF(OR($H781="",$H781="sif",$H781="PM"),"",VLOOKUP($H781,[5]CU!$C$5:$J$255,8,FALSE))</f>
        <v/>
      </c>
      <c r="W781" s="18" t="s">
        <v>255</v>
      </c>
      <c r="X781" s="18" t="s">
        <v>398</v>
      </c>
      <c r="Y781" s="19" t="s">
        <v>32</v>
      </c>
      <c r="Z781" s="19" t="str">
        <f>A781 &amp; "-" &amp; VLOOKUP(A781,[4]PROGRAMMES!$E$1:$F$7,2,FALSE)</f>
        <v>2-Qualité des enseignements et des apprentissages</v>
      </c>
      <c r="AA781" s="19" t="str">
        <f>B781 &amp; "-" &amp; VLOOKUP(B781,[4]SOUSPROGRAMMES!$E$1:$F$44,2,FALSE)</f>
        <v xml:space="preserve">25- Conditions d’apprentissage améliorées </v>
      </c>
      <c r="AB781" s="19" t="str">
        <f>C781 &amp; "-" &amp; VLOOKUP(C781,[4]RESULTATS!$E$1:$F$176,2,FALSE)</f>
        <v>256- Les laboratoires et kits sont installés progressivement dans les établissements secondaires</v>
      </c>
      <c r="AC781" s="20" t="str">
        <f>D781 &amp; "-" &amp; VLOOKUP(D781,[4]STRATEGIES!$E$1:$F$504,2,FALSE)</f>
        <v>2561-création de conditions pratiques d'enseignement</v>
      </c>
      <c r="AD781" s="21" t="str">
        <f t="shared" si="155"/>
        <v>25611-Mise en place d'un comité pour la déFinition d'une stratégie pour le renforcement de l'enseignement scientifique dans le secondaire</v>
      </c>
    </row>
    <row r="782" spans="1:30" s="22" customFormat="1" ht="45" hidden="1" customHeight="1" x14ac:dyDescent="0.8">
      <c r="A782" s="14">
        <v>2</v>
      </c>
      <c r="B782" s="15">
        <v>25</v>
      </c>
      <c r="C782" s="15">
        <v>256</v>
      </c>
      <c r="D782" s="15">
        <v>2561</v>
      </c>
      <c r="E782" s="14">
        <v>25612</v>
      </c>
      <c r="F782" s="16" t="s">
        <v>954</v>
      </c>
      <c r="G782" s="21" t="s">
        <v>37</v>
      </c>
      <c r="H782" s="17" t="s">
        <v>38</v>
      </c>
      <c r="I782" s="56">
        <v>0</v>
      </c>
      <c r="J782" s="56"/>
      <c r="K782" s="56">
        <f>10*5*2</f>
        <v>100</v>
      </c>
      <c r="L782" s="56"/>
      <c r="M782" s="56">
        <f t="shared" si="150"/>
        <v>100</v>
      </c>
      <c r="N782" s="56">
        <f>IF(OR(H782="",H782="sif",H782="PM"),0,VLOOKUP(H782,[5]CU!$C$4:$H$255,6,FALSE))</f>
        <v>0.3133333333333333</v>
      </c>
      <c r="O782" s="56">
        <f t="shared" si="154"/>
        <v>0</v>
      </c>
      <c r="P782" s="56">
        <f t="shared" si="154"/>
        <v>0</v>
      </c>
      <c r="Q782" s="56">
        <f t="shared" si="154"/>
        <v>31.333333333333329</v>
      </c>
      <c r="R782" s="56">
        <f t="shared" si="154"/>
        <v>0</v>
      </c>
      <c r="S782" s="53">
        <f>SUM(O782:R782)</f>
        <v>31.333333333333329</v>
      </c>
      <c r="T782" s="35" t="s">
        <v>56</v>
      </c>
      <c r="U782" s="18" t="s">
        <v>647</v>
      </c>
      <c r="V782" s="19" t="str">
        <f>IF(OR($H782="",$H782="sif",$H782="PM"),"",VLOOKUP($H782,[5]CU!$C$5:$J$255,8,FALSE))</f>
        <v>3. Formation</v>
      </c>
      <c r="W782" s="18" t="s">
        <v>398</v>
      </c>
      <c r="X782" s="18" t="s">
        <v>940</v>
      </c>
      <c r="Y782" s="19" t="s">
        <v>32</v>
      </c>
      <c r="Z782" s="19" t="str">
        <f>A782 &amp; "-" &amp; VLOOKUP(A782,[4]PROGRAMMES!$E$1:$F$7,2,FALSE)</f>
        <v>2-Qualité des enseignements et des apprentissages</v>
      </c>
      <c r="AA782" s="19" t="str">
        <f>B782 &amp; "-" &amp; VLOOKUP(B782,[4]SOUSPROGRAMMES!$E$1:$F$44,2,FALSE)</f>
        <v xml:space="preserve">25- Conditions d’apprentissage améliorées </v>
      </c>
      <c r="AB782" s="19" t="str">
        <f>C782 &amp; "-" &amp; VLOOKUP(C782,[4]RESULTATS!$E$1:$F$176,2,FALSE)</f>
        <v>256- Les laboratoires et kits sont installés progressivement dans les établissements secondaires</v>
      </c>
      <c r="AC782" s="20" t="str">
        <f>D782 &amp; "-" &amp; VLOOKUP(D782,[4]STRATEGIES!$E$1:$F$504,2,FALSE)</f>
        <v>2561-création de conditions pratiques d'enseignement</v>
      </c>
      <c r="AD782" s="21" t="str">
        <f t="shared" si="155"/>
        <v>25612-Spécification par le comité du matériel à utiliser pour l'expérimentation dans des lycées pilotes</v>
      </c>
    </row>
    <row r="783" spans="1:30" s="22" customFormat="1" ht="45" hidden="1" customHeight="1" x14ac:dyDescent="0.8">
      <c r="A783" s="14">
        <v>2</v>
      </c>
      <c r="B783" s="15">
        <v>25</v>
      </c>
      <c r="C783" s="15">
        <v>256</v>
      </c>
      <c r="D783" s="15">
        <v>2561</v>
      </c>
      <c r="E783" s="14">
        <v>25613</v>
      </c>
      <c r="F783" s="16" t="s">
        <v>955</v>
      </c>
      <c r="G783" s="21" t="s">
        <v>943</v>
      </c>
      <c r="H783" s="17" t="s">
        <v>956</v>
      </c>
      <c r="I783" s="56">
        <v>0</v>
      </c>
      <c r="J783" s="56"/>
      <c r="K783" s="56">
        <v>1</v>
      </c>
      <c r="L783" s="56">
        <v>1</v>
      </c>
      <c r="M783" s="56">
        <f t="shared" si="150"/>
        <v>2</v>
      </c>
      <c r="N783" s="56">
        <f>IF(OR(H783="",H783="sif",H783="PM"),0,VLOOKUP(H783,[5]CU!$C$4:$H$255,6,FALSE))</f>
        <v>5000</v>
      </c>
      <c r="O783" s="56">
        <f t="shared" si="154"/>
        <v>0</v>
      </c>
      <c r="P783" s="56">
        <f t="shared" si="154"/>
        <v>0</v>
      </c>
      <c r="Q783" s="56">
        <f t="shared" si="154"/>
        <v>5000</v>
      </c>
      <c r="R783" s="56">
        <f t="shared" si="154"/>
        <v>5000</v>
      </c>
      <c r="S783" s="53">
        <f>SUM(O783:R783)</f>
        <v>10000</v>
      </c>
      <c r="T783" s="35" t="s">
        <v>56</v>
      </c>
      <c r="U783" s="18" t="s">
        <v>647</v>
      </c>
      <c r="V783" s="19" t="str">
        <f>IF(OR($H783="",$H783="sif",$H783="PM"),"",VLOOKUP($H783,[5]CU!$C$5:$J$255,8,FALSE))</f>
        <v>3. Manuels scolaires et matériels pédagogiques</v>
      </c>
      <c r="W783" s="18" t="s">
        <v>663</v>
      </c>
      <c r="X783" s="18" t="s">
        <v>398</v>
      </c>
      <c r="Y783" s="19" t="s">
        <v>32</v>
      </c>
      <c r="Z783" s="19" t="str">
        <f>A783 &amp; "-" &amp; VLOOKUP(A783,[4]PROGRAMMES!$E$1:$F$7,2,FALSE)</f>
        <v>2-Qualité des enseignements et des apprentissages</v>
      </c>
      <c r="AA783" s="19" t="str">
        <f>B783 &amp; "-" &amp; VLOOKUP(B783,[4]SOUSPROGRAMMES!$E$1:$F$44,2,FALSE)</f>
        <v xml:space="preserve">25- Conditions d’apprentissage améliorées </v>
      </c>
      <c r="AB783" s="19" t="str">
        <f>C783 &amp; "-" &amp; VLOOKUP(C783,[4]RESULTATS!$E$1:$F$176,2,FALSE)</f>
        <v>256- Les laboratoires et kits sont installés progressivement dans les établissements secondaires</v>
      </c>
      <c r="AC783" s="20" t="str">
        <f>D783 &amp; "-" &amp; VLOOKUP(D783,[4]STRATEGIES!$E$1:$F$504,2,FALSE)</f>
        <v>2561-création de conditions pratiques d'enseignement</v>
      </c>
      <c r="AD783" s="21" t="str">
        <f t="shared" si="155"/>
        <v>25613-Acquisition de matériel adaptés pour l'expérimentation</v>
      </c>
    </row>
    <row r="784" spans="1:30" s="22" customFormat="1" ht="45" hidden="1" customHeight="1" x14ac:dyDescent="0.8">
      <c r="A784" s="14">
        <v>2</v>
      </c>
      <c r="B784" s="15">
        <v>25</v>
      </c>
      <c r="C784" s="15">
        <v>256</v>
      </c>
      <c r="D784" s="15">
        <v>2561</v>
      </c>
      <c r="E784" s="14">
        <v>25614</v>
      </c>
      <c r="F784" s="16" t="s">
        <v>957</v>
      </c>
      <c r="G784" s="21" t="s">
        <v>54</v>
      </c>
      <c r="H784" s="17" t="s">
        <v>55</v>
      </c>
      <c r="I784" s="56">
        <v>0</v>
      </c>
      <c r="J784" s="56"/>
      <c r="K784" s="56"/>
      <c r="L784" s="56">
        <v>1</v>
      </c>
      <c r="M784" s="56">
        <f t="shared" si="150"/>
        <v>1</v>
      </c>
      <c r="N784" s="56">
        <f>IF(OR(H784="",H784="sif",H784="PM"),0,VLOOKUP(H784,[5]CU!$C$4:$H$255,6,FALSE))</f>
        <v>0</v>
      </c>
      <c r="O784" s="56">
        <f t="shared" si="154"/>
        <v>0</v>
      </c>
      <c r="P784" s="56">
        <f t="shared" si="154"/>
        <v>0</v>
      </c>
      <c r="Q784" s="56">
        <f t="shared" si="154"/>
        <v>0</v>
      </c>
      <c r="R784" s="56">
        <f t="shared" si="154"/>
        <v>0</v>
      </c>
      <c r="S784" s="53"/>
      <c r="T784" s="35" t="s">
        <v>56</v>
      </c>
      <c r="U784" s="18" t="s">
        <v>647</v>
      </c>
      <c r="V784" s="19" t="str">
        <f>IF(OR($H784="",$H784="sif",$H784="PM"),"",VLOOKUP($H784,[5]CU!$C$5:$J$255,8,FALSE))</f>
        <v/>
      </c>
      <c r="W784" s="18" t="s">
        <v>708</v>
      </c>
      <c r="X784" s="18" t="s">
        <v>398</v>
      </c>
      <c r="Y784" s="19" t="s">
        <v>32</v>
      </c>
      <c r="Z784" s="19" t="str">
        <f>A784 &amp; "-" &amp; VLOOKUP(A784,[4]PROGRAMMES!$E$1:$F$7,2,FALSE)</f>
        <v>2-Qualité des enseignements et des apprentissages</v>
      </c>
      <c r="AA784" s="19" t="str">
        <f>B784 &amp; "-" &amp; VLOOKUP(B784,[4]SOUSPROGRAMMES!$E$1:$F$44,2,FALSE)</f>
        <v xml:space="preserve">25- Conditions d’apprentissage améliorées </v>
      </c>
      <c r="AB784" s="19" t="str">
        <f>C784 &amp; "-" &amp; VLOOKUP(C784,[4]RESULTATS!$E$1:$F$176,2,FALSE)</f>
        <v>256- Les laboratoires et kits sont installés progressivement dans les établissements secondaires</v>
      </c>
      <c r="AC784" s="20" t="str">
        <f>D784 &amp; "-" &amp; VLOOKUP(D784,[4]STRATEGIES!$E$1:$F$504,2,FALSE)</f>
        <v>2561-création de conditions pratiques d'enseignement</v>
      </c>
      <c r="AD784" s="21" t="str">
        <f t="shared" si="155"/>
        <v>25614-Démarrage de l'expérimentation dans les établissements pilotes</v>
      </c>
    </row>
    <row r="785" spans="1:30" s="22" customFormat="1" ht="45" hidden="1" customHeight="1" x14ac:dyDescent="0.8">
      <c r="A785" s="14">
        <v>2</v>
      </c>
      <c r="B785" s="15">
        <v>25</v>
      </c>
      <c r="C785" s="15">
        <v>256</v>
      </c>
      <c r="D785" s="15">
        <v>2561</v>
      </c>
      <c r="E785" s="14">
        <v>25615</v>
      </c>
      <c r="F785" s="16" t="s">
        <v>958</v>
      </c>
      <c r="G785" s="21" t="s">
        <v>177</v>
      </c>
      <c r="H785" s="17" t="s">
        <v>59</v>
      </c>
      <c r="I785" s="56">
        <v>0</v>
      </c>
      <c r="J785" s="56"/>
      <c r="K785" s="56">
        <f>2*10*5</f>
        <v>100</v>
      </c>
      <c r="L785" s="56">
        <f>2*10*5</f>
        <v>100</v>
      </c>
      <c r="M785" s="56">
        <f t="shared" si="150"/>
        <v>200</v>
      </c>
      <c r="N785" s="56">
        <f>IF(OR(H785="",H785="sif",H785="PM"),0,VLOOKUP(H785,[5]CU!$C$4:$H$255,6,FALSE))</f>
        <v>0.8177777777777776</v>
      </c>
      <c r="O785" s="56">
        <f t="shared" si="154"/>
        <v>0</v>
      </c>
      <c r="P785" s="56">
        <f t="shared" si="154"/>
        <v>0</v>
      </c>
      <c r="Q785" s="56">
        <f t="shared" si="154"/>
        <v>81.777777777777757</v>
      </c>
      <c r="R785" s="56">
        <f t="shared" si="154"/>
        <v>81.777777777777757</v>
      </c>
      <c r="S785" s="53">
        <f>SUM(O785:R785)</f>
        <v>163.55555555555551</v>
      </c>
      <c r="T785" s="35" t="s">
        <v>56</v>
      </c>
      <c r="U785" s="18" t="s">
        <v>647</v>
      </c>
      <c r="V785" s="19" t="str">
        <f>IF(OR($H785="",$H785="sif",$H785="PM"),"",VLOOKUP($H785,[5]CU!$C$5:$J$255,8,FALSE))</f>
        <v>3. Dépenses de fonctionnement</v>
      </c>
      <c r="W785" s="18" t="s">
        <v>708</v>
      </c>
      <c r="X785" s="18" t="s">
        <v>398</v>
      </c>
      <c r="Y785" s="19" t="s">
        <v>32</v>
      </c>
      <c r="Z785" s="19" t="str">
        <f>A785 &amp; "-" &amp; VLOOKUP(A785,[4]PROGRAMMES!$E$1:$F$7,2,FALSE)</f>
        <v>2-Qualité des enseignements et des apprentissages</v>
      </c>
      <c r="AA785" s="19" t="str">
        <f>B785 &amp; "-" &amp; VLOOKUP(B785,[4]SOUSPROGRAMMES!$E$1:$F$44,2,FALSE)</f>
        <v xml:space="preserve">25- Conditions d’apprentissage améliorées </v>
      </c>
      <c r="AB785" s="19" t="str">
        <f>C785 &amp; "-" &amp; VLOOKUP(C785,[4]RESULTATS!$E$1:$F$176,2,FALSE)</f>
        <v>256- Les laboratoires et kits sont installés progressivement dans les établissements secondaires</v>
      </c>
      <c r="AC785" s="20" t="str">
        <f>D785 &amp; "-" &amp; VLOOKUP(D785,[4]STRATEGIES!$E$1:$F$504,2,FALSE)</f>
        <v>2561-création de conditions pratiques d'enseignement</v>
      </c>
      <c r="AD785" s="21" t="str">
        <f t="shared" si="155"/>
        <v>25615-Suivi de l'expérimentation</v>
      </c>
    </row>
    <row r="786" spans="1:30" s="22" customFormat="1" ht="45" hidden="1" customHeight="1" x14ac:dyDescent="0.8">
      <c r="A786" s="14">
        <v>2</v>
      </c>
      <c r="B786" s="15">
        <v>25</v>
      </c>
      <c r="C786" s="15">
        <v>256</v>
      </c>
      <c r="D786" s="15">
        <v>2561</v>
      </c>
      <c r="E786" s="14">
        <v>25616</v>
      </c>
      <c r="F786" s="16" t="s">
        <v>959</v>
      </c>
      <c r="G786" s="21" t="s">
        <v>960</v>
      </c>
      <c r="H786" s="17" t="s">
        <v>961</v>
      </c>
      <c r="I786" s="56">
        <v>0</v>
      </c>
      <c r="J786" s="56"/>
      <c r="K786" s="56"/>
      <c r="L786" s="56"/>
      <c r="M786" s="56">
        <f t="shared" si="150"/>
        <v>0</v>
      </c>
      <c r="N786" s="56">
        <f>IF(OR(H786="",H786="sif",H786="PM"),0,VLOOKUP(H786,[5]CU!$C$4:$H$255,6,FALSE))</f>
        <v>1.764</v>
      </c>
      <c r="O786" s="56">
        <f t="shared" si="154"/>
        <v>0</v>
      </c>
      <c r="P786" s="56">
        <f t="shared" si="154"/>
        <v>0</v>
      </c>
      <c r="Q786" s="56">
        <f t="shared" si="154"/>
        <v>0</v>
      </c>
      <c r="R786" s="56">
        <f t="shared" si="154"/>
        <v>0</v>
      </c>
      <c r="S786" s="53">
        <f>SUM(O786:R786)</f>
        <v>0</v>
      </c>
      <c r="T786" s="35" t="s">
        <v>178</v>
      </c>
      <c r="U786" s="18" t="s">
        <v>647</v>
      </c>
      <c r="V786" s="19" t="str">
        <f>IF(OR($H786="",$H786="sif",$H786="PM"),"",VLOOKUP($H786,[5]CU!$C$5:$J$255,8,FALSE))</f>
        <v>3. Formation</v>
      </c>
      <c r="W786" s="18" t="s">
        <v>708</v>
      </c>
      <c r="X786" s="18" t="s">
        <v>398</v>
      </c>
      <c r="Y786" s="19" t="s">
        <v>32</v>
      </c>
      <c r="Z786" s="19" t="str">
        <f>A786 &amp; "-" &amp; VLOOKUP(A786,[4]PROGRAMMES!$E$1:$F$7,2,FALSE)</f>
        <v>2-Qualité des enseignements et des apprentissages</v>
      </c>
      <c r="AA786" s="19" t="str">
        <f>B786 &amp; "-" &amp; VLOOKUP(B786,[4]SOUSPROGRAMMES!$E$1:$F$44,2,FALSE)</f>
        <v xml:space="preserve">25- Conditions d’apprentissage améliorées </v>
      </c>
      <c r="AB786" s="19" t="str">
        <f>C786 &amp; "-" &amp; VLOOKUP(C786,[4]RESULTATS!$E$1:$F$176,2,FALSE)</f>
        <v>256- Les laboratoires et kits sont installés progressivement dans les établissements secondaires</v>
      </c>
      <c r="AC786" s="20" t="str">
        <f>D786 &amp; "-" &amp; VLOOKUP(D786,[4]STRATEGIES!$E$1:$F$504,2,FALSE)</f>
        <v>2561-création de conditions pratiques d'enseignement</v>
      </c>
      <c r="AD786" s="21" t="str">
        <f t="shared" si="155"/>
        <v xml:space="preserve">25616-Acquisition de mallettes pédagogiques </v>
      </c>
    </row>
    <row r="787" spans="1:30" s="22" customFormat="1" ht="45" customHeight="1" x14ac:dyDescent="0.8">
      <c r="A787" s="14">
        <v>2</v>
      </c>
      <c r="B787" s="15">
        <v>25</v>
      </c>
      <c r="C787" s="15">
        <v>256</v>
      </c>
      <c r="D787" s="15">
        <v>2562</v>
      </c>
      <c r="E787" s="14">
        <v>2562</v>
      </c>
      <c r="F787" s="16" t="s">
        <v>962</v>
      </c>
      <c r="G787" s="17"/>
      <c r="H787" s="17"/>
      <c r="I787" s="56">
        <v>0</v>
      </c>
      <c r="J787" s="56"/>
      <c r="K787" s="56"/>
      <c r="L787" s="56"/>
      <c r="M787" s="56"/>
      <c r="N787" s="56"/>
      <c r="O787" s="56"/>
      <c r="P787" s="56"/>
      <c r="Q787" s="56"/>
      <c r="R787" s="56"/>
      <c r="S787" s="53"/>
      <c r="T787" s="33"/>
      <c r="U787" s="18"/>
      <c r="V787" s="19"/>
      <c r="W787" s="18"/>
      <c r="X787" s="18"/>
      <c r="Y787" s="19" t="s">
        <v>32</v>
      </c>
      <c r="Z787" s="19" t="str">
        <f>A787 &amp; "-" &amp; VLOOKUP(A787,[4]PROGRAMMES!$E$1:$F$7,2,FALSE)</f>
        <v>2-Qualité des enseignements et des apprentissages</v>
      </c>
      <c r="AA787" s="19" t="str">
        <f>B787 &amp; "-" &amp; VLOOKUP(B787,[4]SOUSPROGRAMMES!$E$1:$F$44,2,FALSE)</f>
        <v xml:space="preserve">25- Conditions d’apprentissage améliorées </v>
      </c>
      <c r="AB787" s="19" t="str">
        <f>C787 &amp; "-" &amp; VLOOKUP(C787,[4]RESULTATS!$E$1:$F$176,2,FALSE)</f>
        <v>256- Les laboratoires et kits sont installés progressivement dans les établissements secondaires</v>
      </c>
      <c r="AC787" s="20" t="str">
        <f>D787 &amp; "-" &amp; VLOOKUP(D787,[4]STRATEGIES!$E$1:$F$504,2,FALSE)</f>
        <v>2562-Promotion de l’initiative de l’enseignement des mathématiques, des sciences au Secondaire</v>
      </c>
      <c r="AD787" s="21" t="str">
        <f t="shared" si="155"/>
        <v>2562-Promotion de l’initiative de l’enseignement des mathématiques, des sciences au Secondaire</v>
      </c>
    </row>
    <row r="788" spans="1:30" s="22" customFormat="1" ht="45" hidden="1" customHeight="1" x14ac:dyDescent="0.8">
      <c r="A788" s="14">
        <v>2</v>
      </c>
      <c r="B788" s="15">
        <v>25</v>
      </c>
      <c r="C788" s="15">
        <v>256</v>
      </c>
      <c r="D788" s="15">
        <v>2562</v>
      </c>
      <c r="E788" s="14">
        <v>25621</v>
      </c>
      <c r="F788" s="16" t="s">
        <v>963</v>
      </c>
      <c r="G788" s="21" t="s">
        <v>651</v>
      </c>
      <c r="H788" s="17" t="s">
        <v>55</v>
      </c>
      <c r="I788" s="56">
        <v>0</v>
      </c>
      <c r="J788" s="56">
        <v>1</v>
      </c>
      <c r="K788" s="56"/>
      <c r="L788" s="56"/>
      <c r="M788" s="56">
        <f t="shared" si="150"/>
        <v>1</v>
      </c>
      <c r="N788" s="56">
        <f>IF(OR(H788="",H788="sif",H788="PM"),0,VLOOKUP(H788,[5]CU!$C$4:$H$255,6,FALSE))</f>
        <v>0</v>
      </c>
      <c r="O788" s="56">
        <f t="shared" si="154"/>
        <v>0</v>
      </c>
      <c r="P788" s="56">
        <f t="shared" si="154"/>
        <v>0</v>
      </c>
      <c r="Q788" s="56">
        <f t="shared" si="154"/>
        <v>0</v>
      </c>
      <c r="R788" s="56">
        <f t="shared" si="154"/>
        <v>0</v>
      </c>
      <c r="S788" s="53"/>
      <c r="T788" s="35" t="s">
        <v>56</v>
      </c>
      <c r="U788" s="18" t="s">
        <v>647</v>
      </c>
      <c r="V788" s="19" t="str">
        <f>IF(OR($H788="",$H788="sif",$H788="PM"),"",VLOOKUP($H788,[5]CU!$C$5:$J$255,8,FALSE))</f>
        <v/>
      </c>
      <c r="W788" s="18" t="s">
        <v>255</v>
      </c>
      <c r="X788" s="18" t="s">
        <v>398</v>
      </c>
      <c r="Y788" s="19" t="s">
        <v>32</v>
      </c>
      <c r="Z788" s="19" t="str">
        <f>A788 &amp; "-" &amp; VLOOKUP(A788,[4]PROGRAMMES!$E$1:$F$7,2,FALSE)</f>
        <v>2-Qualité des enseignements et des apprentissages</v>
      </c>
      <c r="AA788" s="19" t="str">
        <f>B788 &amp; "-" &amp; VLOOKUP(B788,[4]SOUSPROGRAMMES!$E$1:$F$44,2,FALSE)</f>
        <v xml:space="preserve">25- Conditions d’apprentissage améliorées </v>
      </c>
      <c r="AB788" s="19" t="str">
        <f>C788 &amp; "-" &amp; VLOOKUP(C788,[4]RESULTATS!$E$1:$F$176,2,FALSE)</f>
        <v>256- Les laboratoires et kits sont installés progressivement dans les établissements secondaires</v>
      </c>
      <c r="AC788" s="20" t="str">
        <f>D788 &amp; "-" &amp; VLOOKUP(D788,[4]STRATEGIES!$E$1:$F$504,2,FALSE)</f>
        <v>2562-Promotion de l’initiative de l’enseignement des mathématiques, des sciences au Secondaire</v>
      </c>
      <c r="AD788" s="21" t="str">
        <f t="shared" si="155"/>
        <v xml:space="preserve">25621-Création d'un Comité du programme MS4SSA             </v>
      </c>
    </row>
    <row r="789" spans="1:30" s="22" customFormat="1" ht="45" hidden="1" customHeight="1" x14ac:dyDescent="0.8">
      <c r="A789" s="14">
        <v>2</v>
      </c>
      <c r="B789" s="15">
        <v>25</v>
      </c>
      <c r="C789" s="15">
        <v>256</v>
      </c>
      <c r="D789" s="15">
        <v>2562</v>
      </c>
      <c r="E789" s="14">
        <v>25622</v>
      </c>
      <c r="F789" s="16" t="s">
        <v>964</v>
      </c>
      <c r="G789" s="21" t="s">
        <v>613</v>
      </c>
      <c r="H789" s="17" t="s">
        <v>55</v>
      </c>
      <c r="I789" s="56">
        <v>0</v>
      </c>
      <c r="J789" s="56">
        <v>1</v>
      </c>
      <c r="K789" s="56"/>
      <c r="L789" s="56"/>
      <c r="M789" s="56">
        <f t="shared" si="150"/>
        <v>1</v>
      </c>
      <c r="N789" s="56">
        <f>IF(OR(H789="",H789="sif",H789="PM"),0,VLOOKUP(H789,[5]CU!$C$4:$H$255,6,FALSE))</f>
        <v>0</v>
      </c>
      <c r="O789" s="56">
        <f t="shared" si="154"/>
        <v>0</v>
      </c>
      <c r="P789" s="56">
        <f t="shared" si="154"/>
        <v>0</v>
      </c>
      <c r="Q789" s="56">
        <f t="shared" si="154"/>
        <v>0</v>
      </c>
      <c r="R789" s="56">
        <f t="shared" si="154"/>
        <v>0</v>
      </c>
      <c r="S789" s="53"/>
      <c r="T789" s="35" t="s">
        <v>56</v>
      </c>
      <c r="U789" s="18" t="s">
        <v>647</v>
      </c>
      <c r="V789" s="19" t="str">
        <f>IF(OR($H789="",$H789="sif",$H789="PM"),"",VLOOKUP($H789,[5]CU!$C$5:$J$255,8,FALSE))</f>
        <v/>
      </c>
      <c r="W789" s="18" t="s">
        <v>398</v>
      </c>
      <c r="X789" s="18" t="s">
        <v>965</v>
      </c>
      <c r="Y789" s="19" t="s">
        <v>32</v>
      </c>
      <c r="Z789" s="19" t="str">
        <f>A789 &amp; "-" &amp; VLOOKUP(A789,[4]PROGRAMMES!$E$1:$F$7,2,FALSE)</f>
        <v>2-Qualité des enseignements et des apprentissages</v>
      </c>
      <c r="AA789" s="19" t="str">
        <f>B789 &amp; "-" &amp; VLOOKUP(B789,[4]SOUSPROGRAMMES!$E$1:$F$44,2,FALSE)</f>
        <v xml:space="preserve">25- Conditions d’apprentissage améliorées </v>
      </c>
      <c r="AB789" s="19" t="str">
        <f>C789 &amp; "-" &amp; VLOOKUP(C789,[4]RESULTATS!$E$1:$F$176,2,FALSE)</f>
        <v>256- Les laboratoires et kits sont installés progressivement dans les établissements secondaires</v>
      </c>
      <c r="AC789" s="20" t="str">
        <f>D789 &amp; "-" &amp; VLOOKUP(D789,[4]STRATEGIES!$E$1:$F$504,2,FALSE)</f>
        <v>2562-Promotion de l’initiative de l’enseignement des mathématiques, des sciences au Secondaire</v>
      </c>
      <c r="AD789" s="21" t="str">
        <f t="shared" si="155"/>
        <v xml:space="preserve">25622-Sélection de 20 écoles pilotes (14 régions administratives et 6 à Conakry).                    </v>
      </c>
    </row>
    <row r="790" spans="1:30" s="22" customFormat="1" ht="45" hidden="1" customHeight="1" x14ac:dyDescent="0.8">
      <c r="A790" s="14">
        <v>2</v>
      </c>
      <c r="B790" s="15">
        <v>25</v>
      </c>
      <c r="C790" s="15">
        <v>256</v>
      </c>
      <c r="D790" s="15">
        <v>2562</v>
      </c>
      <c r="E790" s="14">
        <v>25623</v>
      </c>
      <c r="F790" s="16" t="s">
        <v>966</v>
      </c>
      <c r="G790" s="21" t="s">
        <v>613</v>
      </c>
      <c r="H790" s="17" t="s">
        <v>55</v>
      </c>
      <c r="I790" s="56">
        <v>0</v>
      </c>
      <c r="J790" s="56">
        <v>1</v>
      </c>
      <c r="K790" s="56"/>
      <c r="L790" s="56"/>
      <c r="M790" s="56">
        <f t="shared" si="150"/>
        <v>1</v>
      </c>
      <c r="N790" s="56">
        <f>IF(OR(H790="",H790="sif",H790="PM"),0,VLOOKUP(H790,[5]CU!$C$4:$H$255,6,FALSE))</f>
        <v>0</v>
      </c>
      <c r="O790" s="56">
        <f t="shared" si="154"/>
        <v>0</v>
      </c>
      <c r="P790" s="56">
        <f t="shared" si="154"/>
        <v>0</v>
      </c>
      <c r="Q790" s="56">
        <f t="shared" si="154"/>
        <v>0</v>
      </c>
      <c r="R790" s="56">
        <f t="shared" si="154"/>
        <v>0</v>
      </c>
      <c r="S790" s="53"/>
      <c r="T790" s="35" t="s">
        <v>56</v>
      </c>
      <c r="U790" s="18" t="s">
        <v>647</v>
      </c>
      <c r="V790" s="19" t="str">
        <f>IF(OR($H790="",$H790="sif",$H790="PM"),"",VLOOKUP($H790,[5]CU!$C$5:$J$255,8,FALSE))</f>
        <v/>
      </c>
      <c r="W790" s="18" t="s">
        <v>398</v>
      </c>
      <c r="X790" s="18" t="s">
        <v>965</v>
      </c>
      <c r="Y790" s="19" t="s">
        <v>32</v>
      </c>
      <c r="Z790" s="19" t="str">
        <f>A790 &amp; "-" &amp; VLOOKUP(A790,[4]PROGRAMMES!$E$1:$F$7,2,FALSE)</f>
        <v>2-Qualité des enseignements et des apprentissages</v>
      </c>
      <c r="AA790" s="19" t="str">
        <f>B790 &amp; "-" &amp; VLOOKUP(B790,[4]SOUSPROGRAMMES!$E$1:$F$44,2,FALSE)</f>
        <v xml:space="preserve">25- Conditions d’apprentissage améliorées </v>
      </c>
      <c r="AB790" s="19" t="str">
        <f>C790 &amp; "-" &amp; VLOOKUP(C790,[4]RESULTATS!$E$1:$F$176,2,FALSE)</f>
        <v>256- Les laboratoires et kits sont installés progressivement dans les établissements secondaires</v>
      </c>
      <c r="AC790" s="20" t="str">
        <f>D790 &amp; "-" &amp; VLOOKUP(D790,[4]STRATEGIES!$E$1:$F$504,2,FALSE)</f>
        <v>2562-Promotion de l’initiative de l’enseignement des mathématiques, des sciences au Secondaire</v>
      </c>
      <c r="AD790" s="21" t="str">
        <f t="shared" si="155"/>
        <v>25623-Choix d'une équipe de 20 formateurs de formateurs.</v>
      </c>
    </row>
    <row r="791" spans="1:30" s="22" customFormat="1" ht="45" customHeight="1" x14ac:dyDescent="0.8">
      <c r="A791" s="14">
        <v>2</v>
      </c>
      <c r="B791" s="15">
        <v>25</v>
      </c>
      <c r="C791" s="15">
        <v>256</v>
      </c>
      <c r="D791" s="15">
        <v>2562</v>
      </c>
      <c r="E791" s="14">
        <v>25624</v>
      </c>
      <c r="F791" s="16" t="s">
        <v>967</v>
      </c>
      <c r="G791" s="21" t="s">
        <v>436</v>
      </c>
      <c r="H791" s="17" t="s">
        <v>501</v>
      </c>
      <c r="I791" s="56">
        <v>0</v>
      </c>
      <c r="J791" s="56">
        <f>20</f>
        <v>20</v>
      </c>
      <c r="K791" s="56"/>
      <c r="L791" s="56"/>
      <c r="M791" s="56">
        <f t="shared" si="150"/>
        <v>20</v>
      </c>
      <c r="N791" s="56">
        <f>IF(OR(H791="",H791="sif",H791="PM"),0,VLOOKUP(H791,[5]CU!$C$4:$H$255,6,FALSE))</f>
        <v>50.336534</v>
      </c>
      <c r="O791" s="56">
        <f t="shared" si="154"/>
        <v>0</v>
      </c>
      <c r="P791" s="56">
        <f t="shared" si="154"/>
        <v>1006.73068</v>
      </c>
      <c r="Q791" s="56">
        <f t="shared" si="154"/>
        <v>0</v>
      </c>
      <c r="R791" s="56">
        <f t="shared" si="154"/>
        <v>0</v>
      </c>
      <c r="S791" s="53">
        <f t="shared" ref="S791:S797" si="156">SUM(O791:R791)</f>
        <v>1006.73068</v>
      </c>
      <c r="T791" s="35" t="s">
        <v>39</v>
      </c>
      <c r="U791" s="19" t="s">
        <v>647</v>
      </c>
      <c r="V791" s="19" t="str">
        <f>IF(OR($H791="",$H791="sif",$H791="PM"),"",VLOOKUP($H791,[5]CU!$C$5:$J$255,8,FALSE))</f>
        <v>3. Formation</v>
      </c>
      <c r="W791" s="19" t="s">
        <v>663</v>
      </c>
      <c r="X791" s="19" t="s">
        <v>398</v>
      </c>
      <c r="Y791" s="19" t="s">
        <v>32</v>
      </c>
      <c r="Z791" s="19" t="str">
        <f>A791 &amp; "-" &amp; VLOOKUP(A791,[4]PROGRAMMES!$E$1:$F$7,2,FALSE)</f>
        <v>2-Qualité des enseignements et des apprentissages</v>
      </c>
      <c r="AA791" s="19" t="str">
        <f>B791 &amp; "-" &amp; VLOOKUP(B791,[4]SOUSPROGRAMMES!$E$1:$F$44,2,FALSE)</f>
        <v xml:space="preserve">25- Conditions d’apprentissage améliorées </v>
      </c>
      <c r="AB791" s="19" t="str">
        <f>C791 &amp; "-" &amp; VLOOKUP(C791,[4]RESULTATS!$E$1:$F$176,2,FALSE)</f>
        <v>256- Les laboratoires et kits sont installés progressivement dans les établissements secondaires</v>
      </c>
      <c r="AC791" s="20" t="str">
        <f>D791 &amp; "-" &amp; VLOOKUP(D791,[4]STRATEGIES!$E$1:$F$504,2,FALSE)</f>
        <v>2562-Promotion de l’initiative de l’enseignement des mathématiques, des sciences au Secondaire</v>
      </c>
      <c r="AD791" s="21" t="str">
        <f t="shared" si="155"/>
        <v>25624-Formation de 20 formateurs à l'étranger de l'initiative MS4SSA</v>
      </c>
    </row>
    <row r="792" spans="1:30" s="22" customFormat="1" ht="45" customHeight="1" x14ac:dyDescent="0.8">
      <c r="A792" s="14">
        <v>2</v>
      </c>
      <c r="B792" s="15">
        <v>25</v>
      </c>
      <c r="C792" s="15">
        <v>256</v>
      </c>
      <c r="D792" s="15">
        <v>2562</v>
      </c>
      <c r="E792" s="14">
        <v>25625</v>
      </c>
      <c r="F792" s="16" t="s">
        <v>968</v>
      </c>
      <c r="G792" s="21" t="s">
        <v>969</v>
      </c>
      <c r="H792" s="17" t="s">
        <v>970</v>
      </c>
      <c r="I792" s="56">
        <v>0</v>
      </c>
      <c r="J792" s="56">
        <f>4*5</f>
        <v>20</v>
      </c>
      <c r="K792" s="56"/>
      <c r="L792" s="56"/>
      <c r="M792" s="56">
        <f t="shared" si="150"/>
        <v>20</v>
      </c>
      <c r="N792" s="56">
        <f>IF(OR(H792="",H792="sif",H792="PM"),0,VLOOKUP(H792,[5]CU!$C$4:$H$255,6,FALSE))</f>
        <v>10.034934666666667</v>
      </c>
      <c r="O792" s="56">
        <f t="shared" si="154"/>
        <v>0</v>
      </c>
      <c r="P792" s="56">
        <f t="shared" si="154"/>
        <v>200.69869333333332</v>
      </c>
      <c r="Q792" s="56">
        <f t="shared" si="154"/>
        <v>0</v>
      </c>
      <c r="R792" s="56">
        <f t="shared" si="154"/>
        <v>0</v>
      </c>
      <c r="S792" s="53">
        <f t="shared" si="156"/>
        <v>200.69869333333332</v>
      </c>
      <c r="T792" s="35" t="s">
        <v>39</v>
      </c>
      <c r="U792" s="19" t="s">
        <v>647</v>
      </c>
      <c r="V792" s="19" t="str">
        <f>IF(OR($H792="",$H792="sif",$H792="PM"),"",VLOOKUP($H792,[5]CU!$C$5:$J$255,8,FALSE))</f>
        <v>5. Investissement</v>
      </c>
      <c r="W792" s="19" t="s">
        <v>663</v>
      </c>
      <c r="X792" s="19" t="s">
        <v>398</v>
      </c>
      <c r="Y792" s="19" t="s">
        <v>32</v>
      </c>
      <c r="Z792" s="19" t="str">
        <f>A792 &amp; "-" &amp; VLOOKUP(A792,[4]PROGRAMMES!$E$1:$F$7,2,FALSE)</f>
        <v>2-Qualité des enseignements et des apprentissages</v>
      </c>
      <c r="AA792" s="19" t="str">
        <f>B792 &amp; "-" &amp; VLOOKUP(B792,[4]SOUSPROGRAMMES!$E$1:$F$44,2,FALSE)</f>
        <v xml:space="preserve">25- Conditions d’apprentissage améliorées </v>
      </c>
      <c r="AB792" s="19" t="str">
        <f>C792 &amp; "-" &amp; VLOOKUP(C792,[4]RESULTATS!$E$1:$F$176,2,FALSE)</f>
        <v>256- Les laboratoires et kits sont installés progressivement dans les établissements secondaires</v>
      </c>
      <c r="AC792" s="20" t="str">
        <f>D792 &amp; "-" &amp; VLOOKUP(D792,[4]STRATEGIES!$E$1:$F$504,2,FALSE)</f>
        <v>2562-Promotion de l’initiative de l’enseignement des mathématiques, des sciences au Secondaire</v>
      </c>
      <c r="AD792" s="21" t="str">
        <f t="shared" si="155"/>
        <v>25625-Equipement en ressources informatiques des structures en charge de MS4SSA</v>
      </c>
    </row>
    <row r="793" spans="1:30" s="22" customFormat="1" ht="45" customHeight="1" x14ac:dyDescent="0.8">
      <c r="A793" s="14">
        <v>2</v>
      </c>
      <c r="B793" s="15">
        <v>25</v>
      </c>
      <c r="C793" s="15">
        <v>256</v>
      </c>
      <c r="D793" s="15">
        <v>2562</v>
      </c>
      <c r="E793" s="14">
        <v>25626</v>
      </c>
      <c r="F793" s="16" t="s">
        <v>971</v>
      </c>
      <c r="G793" s="21" t="s">
        <v>969</v>
      </c>
      <c r="H793" s="17" t="s">
        <v>972</v>
      </c>
      <c r="I793" s="56">
        <v>0</v>
      </c>
      <c r="J793" s="56">
        <v>20</v>
      </c>
      <c r="K793" s="56"/>
      <c r="L793" s="56"/>
      <c r="M793" s="56">
        <f t="shared" si="150"/>
        <v>20</v>
      </c>
      <c r="N793" s="56">
        <f>IF(OR(H793="",H793="sif",H793="PM"),0,VLOOKUP(H793,[5]CU!$C$4:$H$255,6,FALSE))</f>
        <v>5</v>
      </c>
      <c r="O793" s="56">
        <f t="shared" si="154"/>
        <v>0</v>
      </c>
      <c r="P793" s="56">
        <f t="shared" si="154"/>
        <v>100</v>
      </c>
      <c r="Q793" s="56">
        <f t="shared" si="154"/>
        <v>0</v>
      </c>
      <c r="R793" s="56">
        <f t="shared" si="154"/>
        <v>0</v>
      </c>
      <c r="S793" s="53">
        <f t="shared" si="156"/>
        <v>100</v>
      </c>
      <c r="T793" s="35" t="s">
        <v>39</v>
      </c>
      <c r="U793" s="19" t="s">
        <v>647</v>
      </c>
      <c r="V793" s="19" t="str">
        <f>IF(OR($H793="",$H793="sif",$H793="PM"),"",VLOOKUP($H793,[5]CU!$C$5:$J$255,8,FALSE))</f>
        <v>5. Investissement</v>
      </c>
      <c r="W793" s="19" t="s">
        <v>663</v>
      </c>
      <c r="X793" s="19" t="s">
        <v>398</v>
      </c>
      <c r="Y793" s="19" t="s">
        <v>32</v>
      </c>
      <c r="Z793" s="19" t="str">
        <f>A793 &amp; "-" &amp; VLOOKUP(A793,[4]PROGRAMMES!$E$1:$F$7,2,FALSE)</f>
        <v>2-Qualité des enseignements et des apprentissages</v>
      </c>
      <c r="AA793" s="19" t="str">
        <f>B793 &amp; "-" &amp; VLOOKUP(B793,[4]SOUSPROGRAMMES!$E$1:$F$44,2,FALSE)</f>
        <v xml:space="preserve">25- Conditions d’apprentissage améliorées </v>
      </c>
      <c r="AB793" s="19" t="str">
        <f>C793 &amp; "-" &amp; VLOOKUP(C793,[4]RESULTATS!$E$1:$F$176,2,FALSE)</f>
        <v>256- Les laboratoires et kits sont installés progressivement dans les établissements secondaires</v>
      </c>
      <c r="AC793" s="20" t="str">
        <f>D793 &amp; "-" &amp; VLOOKUP(D793,[4]STRATEGIES!$E$1:$F$504,2,FALSE)</f>
        <v>2562-Promotion de l’initiative de l’enseignement des mathématiques, des sciences au Secondaire</v>
      </c>
      <c r="AD793" s="21" t="str">
        <f t="shared" si="155"/>
        <v>25626-Equipement d'une salle de formation des formateurs en informatique (ISSEG)</v>
      </c>
    </row>
    <row r="794" spans="1:30" s="22" customFormat="1" ht="45" customHeight="1" x14ac:dyDescent="0.8">
      <c r="A794" s="14">
        <v>2</v>
      </c>
      <c r="B794" s="15">
        <v>25</v>
      </c>
      <c r="C794" s="15">
        <v>256</v>
      </c>
      <c r="D794" s="15">
        <v>2562</v>
      </c>
      <c r="E794" s="14">
        <v>25627</v>
      </c>
      <c r="F794" s="16" t="s">
        <v>973</v>
      </c>
      <c r="G794" s="21" t="s">
        <v>969</v>
      </c>
      <c r="H794" s="17" t="s">
        <v>974</v>
      </c>
      <c r="I794" s="56">
        <v>0</v>
      </c>
      <c r="J794" s="56">
        <v>11</v>
      </c>
      <c r="K794" s="56"/>
      <c r="L794" s="56"/>
      <c r="M794" s="56">
        <f t="shared" si="150"/>
        <v>11</v>
      </c>
      <c r="N794" s="56">
        <f>IF(OR(H794="",H794="sif",H794="PM"),0,VLOOKUP(H794,[5]CU!$C$4:$H$255,6,FALSE))</f>
        <v>6.333333333333333</v>
      </c>
      <c r="O794" s="56">
        <f t="shared" si="154"/>
        <v>0</v>
      </c>
      <c r="P794" s="56">
        <f t="shared" si="154"/>
        <v>69.666666666666657</v>
      </c>
      <c r="Q794" s="56">
        <f t="shared" si="154"/>
        <v>0</v>
      </c>
      <c r="R794" s="56">
        <f t="shared" si="154"/>
        <v>0</v>
      </c>
      <c r="S794" s="53">
        <f t="shared" si="156"/>
        <v>69.666666666666657</v>
      </c>
      <c r="T794" s="35" t="s">
        <v>39</v>
      </c>
      <c r="U794" s="19" t="s">
        <v>647</v>
      </c>
      <c r="V794" s="19" t="str">
        <f>IF(OR($H794="",$H794="sif",$H794="PM"),"",VLOOKUP($H794,[5]CU!$C$5:$J$255,8,FALSE))</f>
        <v>5. Investissement</v>
      </c>
      <c r="W794" s="19" t="s">
        <v>663</v>
      </c>
      <c r="X794" s="19" t="s">
        <v>398</v>
      </c>
      <c r="Y794" s="19" t="s">
        <v>32</v>
      </c>
      <c r="Z794" s="19" t="str">
        <f>A794 &amp; "-" &amp; VLOOKUP(A794,[4]PROGRAMMES!$E$1:$F$7,2,FALSE)</f>
        <v>2-Qualité des enseignements et des apprentissages</v>
      </c>
      <c r="AA794" s="19" t="str">
        <f>B794 &amp; "-" &amp; VLOOKUP(B794,[4]SOUSPROGRAMMES!$E$1:$F$44,2,FALSE)</f>
        <v xml:space="preserve">25- Conditions d’apprentissage améliorées </v>
      </c>
      <c r="AB794" s="19" t="str">
        <f>C794 &amp; "-" &amp; VLOOKUP(C794,[4]RESULTATS!$E$1:$F$176,2,FALSE)</f>
        <v>256- Les laboratoires et kits sont installés progressivement dans les établissements secondaires</v>
      </c>
      <c r="AC794" s="20" t="str">
        <f>D794 &amp; "-" &amp; VLOOKUP(D794,[4]STRATEGIES!$E$1:$F$504,2,FALSE)</f>
        <v>2562-Promotion de l’initiative de l’enseignement des mathématiques, des sciences au Secondaire</v>
      </c>
      <c r="AD794" s="21" t="str">
        <f t="shared" si="155"/>
        <v>25627-Acquisition d'équipement informatique pour les formateurs (ISSEG)</v>
      </c>
    </row>
    <row r="795" spans="1:30" s="22" customFormat="1" ht="45" customHeight="1" x14ac:dyDescent="0.8">
      <c r="A795" s="14">
        <v>2</v>
      </c>
      <c r="B795" s="15">
        <v>25</v>
      </c>
      <c r="C795" s="15">
        <v>256</v>
      </c>
      <c r="D795" s="15">
        <v>2562</v>
      </c>
      <c r="E795" s="14">
        <v>25628</v>
      </c>
      <c r="F795" s="16" t="s">
        <v>975</v>
      </c>
      <c r="G795" s="21" t="s">
        <v>976</v>
      </c>
      <c r="H795" s="17" t="s">
        <v>977</v>
      </c>
      <c r="I795" s="56">
        <v>0</v>
      </c>
      <c r="J795" s="56">
        <v>1</v>
      </c>
      <c r="K795" s="56"/>
      <c r="L795" s="56"/>
      <c r="M795" s="56">
        <f t="shared" si="150"/>
        <v>1</v>
      </c>
      <c r="N795" s="56">
        <f>IF(OR(H795="",H795="sif",H795="PM"),0,VLOOKUP(H795,[5]CU!$C$4:$H$255,6,FALSE))</f>
        <v>241.2</v>
      </c>
      <c r="O795" s="56">
        <f t="shared" si="154"/>
        <v>0</v>
      </c>
      <c r="P795" s="56">
        <f t="shared" si="154"/>
        <v>241.2</v>
      </c>
      <c r="Q795" s="56">
        <f t="shared" si="154"/>
        <v>0</v>
      </c>
      <c r="R795" s="56">
        <f t="shared" si="154"/>
        <v>0</v>
      </c>
      <c r="S795" s="53">
        <f t="shared" si="156"/>
        <v>241.2</v>
      </c>
      <c r="T795" s="35" t="s">
        <v>39</v>
      </c>
      <c r="U795" s="19" t="s">
        <v>647</v>
      </c>
      <c r="V795" s="19" t="str">
        <f>IF(OR($H795="",$H795="sif",$H795="PM"),"",VLOOKUP($H795,[5]CU!$C$5:$J$255,8,FALSE))</f>
        <v>5. Investissement</v>
      </c>
      <c r="W795" s="19" t="s">
        <v>663</v>
      </c>
      <c r="X795" s="19" t="s">
        <v>398</v>
      </c>
      <c r="Y795" s="19" t="s">
        <v>32</v>
      </c>
      <c r="Z795" s="19" t="str">
        <f>A795 &amp; "-" &amp; VLOOKUP(A795,[4]PROGRAMMES!$E$1:$F$7,2,FALSE)</f>
        <v>2-Qualité des enseignements et des apprentissages</v>
      </c>
      <c r="AA795" s="19" t="str">
        <f>B795 &amp; "-" &amp; VLOOKUP(B795,[4]SOUSPROGRAMMES!$E$1:$F$44,2,FALSE)</f>
        <v xml:space="preserve">25- Conditions d’apprentissage améliorées </v>
      </c>
      <c r="AB795" s="19" t="str">
        <f>C795 &amp; "-" &amp; VLOOKUP(C795,[4]RESULTATS!$E$1:$F$176,2,FALSE)</f>
        <v>256- Les laboratoires et kits sont installés progressivement dans les établissements secondaires</v>
      </c>
      <c r="AC795" s="20" t="str">
        <f>D795 &amp; "-" &amp; VLOOKUP(D795,[4]STRATEGIES!$E$1:$F$504,2,FALSE)</f>
        <v>2562-Promotion de l’initiative de l’enseignement des mathématiques, des sciences au Secondaire</v>
      </c>
      <c r="AD795" s="21" t="str">
        <f t="shared" si="155"/>
        <v>25628-Complément d'équipement de projection pour la salle (ISSEG)</v>
      </c>
    </row>
    <row r="796" spans="1:30" s="22" customFormat="1" ht="45" customHeight="1" x14ac:dyDescent="0.8">
      <c r="A796" s="14">
        <v>2</v>
      </c>
      <c r="B796" s="15">
        <v>25</v>
      </c>
      <c r="C796" s="15">
        <v>256</v>
      </c>
      <c r="D796" s="15">
        <v>2562</v>
      </c>
      <c r="E796" s="14">
        <v>25629</v>
      </c>
      <c r="F796" s="16" t="s">
        <v>978</v>
      </c>
      <c r="G796" s="21" t="s">
        <v>979</v>
      </c>
      <c r="H796" s="17" t="s">
        <v>980</v>
      </c>
      <c r="I796" s="56">
        <v>0</v>
      </c>
      <c r="J796" s="56"/>
      <c r="K796" s="56">
        <v>1</v>
      </c>
      <c r="L796" s="56"/>
      <c r="M796" s="56">
        <f t="shared" ref="M796:M825" si="157">SUM(I796:L796)</f>
        <v>1</v>
      </c>
      <c r="N796" s="56">
        <f>IF(OR(H796="",H796="sif",H796="PM"),0,VLOOKUP(H796,[5]CU!$C$4:$H$255,6,FALSE))</f>
        <v>300</v>
      </c>
      <c r="O796" s="56">
        <f t="shared" si="154"/>
        <v>0</v>
      </c>
      <c r="P796" s="56">
        <f t="shared" si="154"/>
        <v>0</v>
      </c>
      <c r="Q796" s="56">
        <f t="shared" si="154"/>
        <v>300</v>
      </c>
      <c r="R796" s="56">
        <f t="shared" si="154"/>
        <v>0</v>
      </c>
      <c r="S796" s="53">
        <f t="shared" si="156"/>
        <v>300</v>
      </c>
      <c r="T796" s="35" t="s">
        <v>39</v>
      </c>
      <c r="U796" s="19" t="s">
        <v>647</v>
      </c>
      <c r="V796" s="19" t="str">
        <f>IF(OR($H796="",$H796="sif",$H796="PM"),"",VLOOKUP($H796,[5]CU!$C$5:$J$255,8,FALSE))</f>
        <v>5. Investissement</v>
      </c>
      <c r="W796" s="19" t="s">
        <v>663</v>
      </c>
      <c r="X796" s="19" t="s">
        <v>398</v>
      </c>
      <c r="Y796" s="19" t="s">
        <v>32</v>
      </c>
      <c r="Z796" s="19" t="str">
        <f>A796 &amp; "-" &amp; VLOOKUP(A796,[4]PROGRAMMES!$E$1:$F$7,2,FALSE)</f>
        <v>2-Qualité des enseignements et des apprentissages</v>
      </c>
      <c r="AA796" s="19" t="str">
        <f>B796 &amp; "-" &amp; VLOOKUP(B796,[4]SOUSPROGRAMMES!$E$1:$F$44,2,FALSE)</f>
        <v xml:space="preserve">25- Conditions d’apprentissage améliorées </v>
      </c>
      <c r="AB796" s="19" t="str">
        <f>C796 &amp; "-" &amp; VLOOKUP(C796,[4]RESULTATS!$E$1:$F$176,2,FALSE)</f>
        <v>256- Les laboratoires et kits sont installés progressivement dans les établissements secondaires</v>
      </c>
      <c r="AC796" s="20" t="str">
        <f>D796 &amp; "-" &amp; VLOOKUP(D796,[4]STRATEGIES!$E$1:$F$504,2,FALSE)</f>
        <v>2562-Promotion de l’initiative de l’enseignement des mathématiques, des sciences au Secondaire</v>
      </c>
      <c r="AD796" s="21" t="str">
        <f t="shared" si="155"/>
        <v xml:space="preserve">25629-Acquisition de véhicule pour la liaison  </v>
      </c>
    </row>
    <row r="797" spans="1:30" s="22" customFormat="1" ht="45" customHeight="1" x14ac:dyDescent="0.8">
      <c r="A797" s="14">
        <v>2</v>
      </c>
      <c r="B797" s="15">
        <v>25</v>
      </c>
      <c r="C797" s="15">
        <v>256</v>
      </c>
      <c r="D797" s="15">
        <v>2562</v>
      </c>
      <c r="E797" s="14">
        <v>256210</v>
      </c>
      <c r="F797" s="16" t="s">
        <v>981</v>
      </c>
      <c r="G797" s="21" t="s">
        <v>451</v>
      </c>
      <c r="H797" s="17" t="s">
        <v>452</v>
      </c>
      <c r="I797" s="56">
        <v>0</v>
      </c>
      <c r="J797" s="56">
        <f>(3*5*2)*((10*3)+(30*70))</f>
        <v>63900</v>
      </c>
      <c r="K797" s="56"/>
      <c r="L797" s="56"/>
      <c r="M797" s="56">
        <f t="shared" si="157"/>
        <v>63900</v>
      </c>
      <c r="N797" s="56">
        <f>IF(OR(H797="",H797="sif",H797="PM"),0,VLOOKUP(H797,[5]CU!$C$4:$H$255,6,FALSE))</f>
        <v>7.4999999999999997E-3</v>
      </c>
      <c r="O797" s="56">
        <f t="shared" si="154"/>
        <v>0</v>
      </c>
      <c r="P797" s="56">
        <f t="shared" si="154"/>
        <v>479.25</v>
      </c>
      <c r="Q797" s="56">
        <f t="shared" si="154"/>
        <v>0</v>
      </c>
      <c r="R797" s="56">
        <f t="shared" si="154"/>
        <v>0</v>
      </c>
      <c r="S797" s="53">
        <f t="shared" si="156"/>
        <v>479.25</v>
      </c>
      <c r="T797" s="35" t="s">
        <v>39</v>
      </c>
      <c r="U797" s="19" t="s">
        <v>647</v>
      </c>
      <c r="V797" s="19" t="str">
        <f>IF(OR($H797="",$H797="sif",$H797="PM"),"",VLOOKUP($H797,[5]CU!$C$5:$J$255,8,FALSE))</f>
        <v>3. Dépenses de fonctionnement</v>
      </c>
      <c r="W797" s="19" t="s">
        <v>398</v>
      </c>
      <c r="X797" s="19" t="s">
        <v>398</v>
      </c>
      <c r="Y797" s="19" t="s">
        <v>32</v>
      </c>
      <c r="Z797" s="19" t="str">
        <f>A797 &amp; "-" &amp; VLOOKUP(A797,[4]PROGRAMMES!$E$1:$F$7,2,FALSE)</f>
        <v>2-Qualité des enseignements et des apprentissages</v>
      </c>
      <c r="AA797" s="19" t="str">
        <f>B797 &amp; "-" &amp; VLOOKUP(B797,[4]SOUSPROGRAMMES!$E$1:$F$44,2,FALSE)</f>
        <v xml:space="preserve">25- Conditions d’apprentissage améliorées </v>
      </c>
      <c r="AB797" s="19" t="str">
        <f>C797 &amp; "-" &amp; VLOOKUP(C797,[4]RESULTATS!$E$1:$F$176,2,FALSE)</f>
        <v>256- Les laboratoires et kits sont installés progressivement dans les établissements secondaires</v>
      </c>
      <c r="AC797" s="20" t="str">
        <f>D797 &amp; "-" &amp; VLOOKUP(D797,[4]STRATEGIES!$E$1:$F$504,2,FALSE)</f>
        <v>2562-Promotion de l’initiative de l’enseignement des mathématiques, des sciences au Secondaire</v>
      </c>
      <c r="AD797" s="21" t="str">
        <f t="shared" si="155"/>
        <v>256210-Reproduction des modules MS4SSA</v>
      </c>
    </row>
    <row r="798" spans="1:30" s="22" customFormat="1" ht="45" customHeight="1" x14ac:dyDescent="0.8">
      <c r="A798" s="14">
        <v>2</v>
      </c>
      <c r="B798" s="15">
        <v>25</v>
      </c>
      <c r="C798" s="15">
        <v>256</v>
      </c>
      <c r="D798" s="15">
        <v>2562</v>
      </c>
      <c r="E798" s="14">
        <v>256211</v>
      </c>
      <c r="F798" s="16" t="s">
        <v>982</v>
      </c>
      <c r="G798" s="21" t="s">
        <v>182</v>
      </c>
      <c r="H798" s="17" t="s">
        <v>55</v>
      </c>
      <c r="I798" s="56">
        <v>0</v>
      </c>
      <c r="J798" s="56"/>
      <c r="K798" s="56">
        <v>1</v>
      </c>
      <c r="L798" s="56">
        <v>1</v>
      </c>
      <c r="M798" s="56">
        <f t="shared" si="157"/>
        <v>2</v>
      </c>
      <c r="N798" s="56">
        <f>IF(OR(H798="",H798="sif",H798="PM"),0,VLOOKUP(H798,[5]CU!$C$4:$H$255,6,FALSE))</f>
        <v>0</v>
      </c>
      <c r="O798" s="56">
        <f t="shared" si="154"/>
        <v>0</v>
      </c>
      <c r="P798" s="56">
        <f t="shared" si="154"/>
        <v>0</v>
      </c>
      <c r="Q798" s="56">
        <f t="shared" si="154"/>
        <v>0</v>
      </c>
      <c r="R798" s="56">
        <f t="shared" si="154"/>
        <v>0</v>
      </c>
      <c r="S798" s="53"/>
      <c r="T798" s="35" t="s">
        <v>39</v>
      </c>
      <c r="U798" s="18" t="s">
        <v>647</v>
      </c>
      <c r="V798" s="19" t="str">
        <f>IF(OR($H798="",$H798="sif",$H798="PM"),"",VLOOKUP($H798,[5]CU!$C$5:$J$255,8,FALSE))</f>
        <v/>
      </c>
      <c r="W798" s="18" t="s">
        <v>398</v>
      </c>
      <c r="X798" s="18" t="s">
        <v>965</v>
      </c>
      <c r="Y798" s="19" t="s">
        <v>32</v>
      </c>
      <c r="Z798" s="19" t="str">
        <f>A798 &amp; "-" &amp; VLOOKUP(A798,[4]PROGRAMMES!$E$1:$F$7,2,FALSE)</f>
        <v>2-Qualité des enseignements et des apprentissages</v>
      </c>
      <c r="AA798" s="19" t="str">
        <f>B798 &amp; "-" &amp; VLOOKUP(B798,[4]SOUSPROGRAMMES!$E$1:$F$44,2,FALSE)</f>
        <v xml:space="preserve">25- Conditions d’apprentissage améliorées </v>
      </c>
      <c r="AB798" s="19" t="str">
        <f>C798 &amp; "-" &amp; VLOOKUP(C798,[4]RESULTATS!$E$1:$F$176,2,FALSE)</f>
        <v>256- Les laboratoires et kits sont installés progressivement dans les établissements secondaires</v>
      </c>
      <c r="AC798" s="20" t="str">
        <f>D798 &amp; "-" &amp; VLOOKUP(D798,[4]STRATEGIES!$E$1:$F$504,2,FALSE)</f>
        <v>2562-Promotion de l’initiative de l’enseignement des mathématiques, des sciences au Secondaire</v>
      </c>
      <c r="AD798" s="21" t="str">
        <f t="shared" si="155"/>
        <v>256211-Expérimentation dans les établissements pilotes</v>
      </c>
    </row>
    <row r="799" spans="1:30" s="22" customFormat="1" ht="45" customHeight="1" x14ac:dyDescent="0.8">
      <c r="A799" s="14">
        <v>2</v>
      </c>
      <c r="B799" s="15">
        <v>25</v>
      </c>
      <c r="C799" s="15">
        <v>256</v>
      </c>
      <c r="D799" s="15">
        <v>2562</v>
      </c>
      <c r="E799" s="14">
        <v>256212</v>
      </c>
      <c r="F799" s="16" t="s">
        <v>983</v>
      </c>
      <c r="G799" s="21" t="s">
        <v>37</v>
      </c>
      <c r="H799" s="17" t="s">
        <v>66</v>
      </c>
      <c r="I799" s="56">
        <v>0</v>
      </c>
      <c r="J799" s="56"/>
      <c r="K799" s="56">
        <f>10*2</f>
        <v>20</v>
      </c>
      <c r="L799" s="56"/>
      <c r="M799" s="56">
        <f t="shared" si="157"/>
        <v>20</v>
      </c>
      <c r="N799" s="56">
        <f>IF(OR(H799="",H799="sif",H799="PM"),0,VLOOKUP(H799,[5]CU!$C$4:$H$255,6,FALSE))</f>
        <v>0.255</v>
      </c>
      <c r="O799" s="56">
        <f t="shared" si="154"/>
        <v>0</v>
      </c>
      <c r="P799" s="56">
        <f t="shared" si="154"/>
        <v>0</v>
      </c>
      <c r="Q799" s="56">
        <f t="shared" si="154"/>
        <v>5.0999999999999996</v>
      </c>
      <c r="R799" s="56">
        <f t="shared" si="154"/>
        <v>0</v>
      </c>
      <c r="S799" s="53">
        <f t="shared" ref="S799:S806" si="158">SUM(O799:R799)</f>
        <v>5.0999999999999996</v>
      </c>
      <c r="T799" s="35" t="s">
        <v>39</v>
      </c>
      <c r="U799" s="19" t="s">
        <v>647</v>
      </c>
      <c r="V799" s="19" t="str">
        <f>IF(OR($H799="",$H799="sif",$H799="PM"),"",VLOOKUP($H799,[5]CU!$C$5:$J$255,8,FALSE))</f>
        <v>3. Dépenses de fonctionnement</v>
      </c>
      <c r="W799" s="19" t="s">
        <v>398</v>
      </c>
      <c r="X799" s="19" t="s">
        <v>984</v>
      </c>
      <c r="Y799" s="19" t="s">
        <v>32</v>
      </c>
      <c r="Z799" s="19" t="str">
        <f>A799 &amp; "-" &amp; VLOOKUP(A799,[4]PROGRAMMES!$E$1:$F$7,2,FALSE)</f>
        <v>2-Qualité des enseignements et des apprentissages</v>
      </c>
      <c r="AA799" s="19" t="str">
        <f>B799 &amp; "-" &amp; VLOOKUP(B799,[4]SOUSPROGRAMMES!$E$1:$F$44,2,FALSE)</f>
        <v xml:space="preserve">25- Conditions d’apprentissage améliorées </v>
      </c>
      <c r="AB799" s="19" t="str">
        <f>C799 &amp; "-" &amp; VLOOKUP(C799,[4]RESULTATS!$E$1:$F$176,2,FALSE)</f>
        <v>256- Les laboratoires et kits sont installés progressivement dans les établissements secondaires</v>
      </c>
      <c r="AC799" s="20" t="str">
        <f>D799 &amp; "-" &amp; VLOOKUP(D799,[4]STRATEGIES!$E$1:$F$504,2,FALSE)</f>
        <v>2562-Promotion de l’initiative de l’enseignement des mathématiques, des sciences au Secondaire</v>
      </c>
      <c r="AD799" s="21" t="str">
        <f t="shared" si="155"/>
        <v>256212-Préparation des fiches d’évaluation des modules MS4SSA pour les établissements pilotes</v>
      </c>
    </row>
    <row r="800" spans="1:30" s="22" customFormat="1" ht="45" customHeight="1" x14ac:dyDescent="0.8">
      <c r="A800" s="14">
        <v>2</v>
      </c>
      <c r="B800" s="15">
        <v>25</v>
      </c>
      <c r="C800" s="15">
        <v>256</v>
      </c>
      <c r="D800" s="15">
        <v>2562</v>
      </c>
      <c r="E800" s="14">
        <v>256213</v>
      </c>
      <c r="F800" s="16" t="s">
        <v>985</v>
      </c>
      <c r="G800" s="21" t="s">
        <v>58</v>
      </c>
      <c r="H800" s="17" t="s">
        <v>59</v>
      </c>
      <c r="I800" s="56">
        <v>0</v>
      </c>
      <c r="J800" s="56"/>
      <c r="K800" s="56">
        <f>10*5</f>
        <v>50</v>
      </c>
      <c r="L800" s="56">
        <f>10*5</f>
        <v>50</v>
      </c>
      <c r="M800" s="56">
        <f t="shared" si="157"/>
        <v>100</v>
      </c>
      <c r="N800" s="56">
        <f>IF(OR(H800="",H800="sif",H800="PM"),0,VLOOKUP(H800,[5]CU!$C$4:$H$255,6,FALSE))</f>
        <v>0.8177777777777776</v>
      </c>
      <c r="O800" s="56">
        <f t="shared" si="154"/>
        <v>0</v>
      </c>
      <c r="P800" s="56">
        <f t="shared" si="154"/>
        <v>0</v>
      </c>
      <c r="Q800" s="56">
        <f t="shared" si="154"/>
        <v>40.888888888888879</v>
      </c>
      <c r="R800" s="56">
        <f t="shared" si="154"/>
        <v>40.888888888888879</v>
      </c>
      <c r="S800" s="53">
        <f t="shared" si="158"/>
        <v>81.777777777777757</v>
      </c>
      <c r="T800" s="35" t="s">
        <v>39</v>
      </c>
      <c r="U800" s="19" t="s">
        <v>647</v>
      </c>
      <c r="V800" s="19" t="str">
        <f>IF(OR($H800="",$H800="sif",$H800="PM"),"",VLOOKUP($H800,[5]CU!$C$5:$J$255,8,FALSE))</f>
        <v>3. Dépenses de fonctionnement</v>
      </c>
      <c r="W800" s="19" t="s">
        <v>398</v>
      </c>
      <c r="X800" s="19" t="s">
        <v>273</v>
      </c>
      <c r="Y800" s="19" t="s">
        <v>32</v>
      </c>
      <c r="Z800" s="19" t="str">
        <f>A800 &amp; "-" &amp; VLOOKUP(A800,[4]PROGRAMMES!$E$1:$F$7,2,FALSE)</f>
        <v>2-Qualité des enseignements et des apprentissages</v>
      </c>
      <c r="AA800" s="19" t="str">
        <f>B800 &amp; "-" &amp; VLOOKUP(B800,[4]SOUSPROGRAMMES!$E$1:$F$44,2,FALSE)</f>
        <v xml:space="preserve">25- Conditions d’apprentissage améliorées </v>
      </c>
      <c r="AB800" s="19" t="str">
        <f>C800 &amp; "-" &amp; VLOOKUP(C800,[4]RESULTATS!$E$1:$F$176,2,FALSE)</f>
        <v>256- Les laboratoires et kits sont installés progressivement dans les établissements secondaires</v>
      </c>
      <c r="AC800" s="20" t="str">
        <f>D800 &amp; "-" &amp; VLOOKUP(D800,[4]STRATEGIES!$E$1:$F$504,2,FALSE)</f>
        <v>2562-Promotion de l’initiative de l’enseignement des mathématiques, des sciences au Secondaire</v>
      </c>
      <c r="AD800" s="21" t="str">
        <f t="shared" si="155"/>
        <v>256213-Observation de classe des enseignants dans l'enseignement des modules MS4SSA</v>
      </c>
    </row>
    <row r="801" spans="1:30" s="22" customFormat="1" ht="45" customHeight="1" x14ac:dyDescent="0.8">
      <c r="A801" s="14">
        <v>2</v>
      </c>
      <c r="B801" s="15">
        <v>25</v>
      </c>
      <c r="C801" s="15">
        <v>256</v>
      </c>
      <c r="D801" s="15">
        <v>2562</v>
      </c>
      <c r="E801" s="14">
        <v>256214</v>
      </c>
      <c r="F801" s="16" t="s">
        <v>986</v>
      </c>
      <c r="G801" s="21" t="s">
        <v>298</v>
      </c>
      <c r="H801" s="17" t="s">
        <v>66</v>
      </c>
      <c r="I801" s="56">
        <v>0</v>
      </c>
      <c r="J801" s="56"/>
      <c r="K801" s="56">
        <f>10*3</f>
        <v>30</v>
      </c>
      <c r="L801" s="56">
        <f>8*3</f>
        <v>24</v>
      </c>
      <c r="M801" s="56">
        <f t="shared" si="157"/>
        <v>54</v>
      </c>
      <c r="N801" s="56">
        <f>IF(OR(H801="",H801="sif",H801="PM"),0,VLOOKUP(H801,[5]CU!$C$4:$H$255,6,FALSE))</f>
        <v>0.255</v>
      </c>
      <c r="O801" s="56">
        <f t="shared" ref="O801:R825" si="159">IFERROR($N801*I801,0)</f>
        <v>0</v>
      </c>
      <c r="P801" s="56">
        <f t="shared" si="159"/>
        <v>0</v>
      </c>
      <c r="Q801" s="56">
        <f t="shared" si="159"/>
        <v>7.65</v>
      </c>
      <c r="R801" s="56">
        <f t="shared" si="159"/>
        <v>6.12</v>
      </c>
      <c r="S801" s="53">
        <f t="shared" si="158"/>
        <v>13.77</v>
      </c>
      <c r="T801" s="35" t="s">
        <v>39</v>
      </c>
      <c r="U801" s="19" t="s">
        <v>647</v>
      </c>
      <c r="V801" s="19" t="str">
        <f>IF(OR($H801="",$H801="sif",$H801="PM"),"",VLOOKUP($H801,[5]CU!$C$5:$J$255,8,FALSE))</f>
        <v>3. Dépenses de fonctionnement</v>
      </c>
      <c r="W801" s="19" t="s">
        <v>398</v>
      </c>
      <c r="X801" s="19" t="s">
        <v>987</v>
      </c>
      <c r="Y801" s="19" t="s">
        <v>32</v>
      </c>
      <c r="Z801" s="19" t="str">
        <f>A801 &amp; "-" &amp; VLOOKUP(A801,[4]PROGRAMMES!$E$1:$F$7,2,FALSE)</f>
        <v>2-Qualité des enseignements et des apprentissages</v>
      </c>
      <c r="AA801" s="19" t="str">
        <f>B801 &amp; "-" &amp; VLOOKUP(B801,[4]SOUSPROGRAMMES!$E$1:$F$44,2,FALSE)</f>
        <v xml:space="preserve">25- Conditions d’apprentissage améliorées </v>
      </c>
      <c r="AB801" s="19" t="str">
        <f>C801 &amp; "-" &amp; VLOOKUP(C801,[4]RESULTATS!$E$1:$F$176,2,FALSE)</f>
        <v>256- Les laboratoires et kits sont installés progressivement dans les établissements secondaires</v>
      </c>
      <c r="AC801" s="20" t="str">
        <f>D801 &amp; "-" &amp; VLOOKUP(D801,[4]STRATEGIES!$E$1:$F$504,2,FALSE)</f>
        <v>2562-Promotion de l’initiative de l’enseignement des mathématiques, des sciences au Secondaire</v>
      </c>
      <c r="AD801" s="21" t="str">
        <f t="shared" si="155"/>
        <v>256214-Traitement et analyse des données recueillies (élaboration du rapport de suivi)</v>
      </c>
    </row>
    <row r="802" spans="1:30" s="22" customFormat="1" ht="45" customHeight="1" x14ac:dyDescent="0.8">
      <c r="A802" s="14">
        <v>2</v>
      </c>
      <c r="B802" s="15">
        <v>25</v>
      </c>
      <c r="C802" s="15">
        <v>256</v>
      </c>
      <c r="D802" s="15">
        <v>2562</v>
      </c>
      <c r="E802" s="14">
        <v>256215</v>
      </c>
      <c r="F802" s="16" t="s">
        <v>988</v>
      </c>
      <c r="G802" s="21" t="s">
        <v>37</v>
      </c>
      <c r="H802" s="17" t="s">
        <v>66</v>
      </c>
      <c r="I802" s="56">
        <v>0</v>
      </c>
      <c r="J802" s="56"/>
      <c r="K802" s="56"/>
      <c r="L802" s="56">
        <f>20*3</f>
        <v>60</v>
      </c>
      <c r="M802" s="56">
        <f t="shared" si="157"/>
        <v>60</v>
      </c>
      <c r="N802" s="56">
        <f>IF(OR(H802="",H802="sif",H802="PM"),0,VLOOKUP(H802,[5]CU!$C$4:$H$255,6,FALSE))</f>
        <v>0.255</v>
      </c>
      <c r="O802" s="56">
        <f t="shared" si="159"/>
        <v>0</v>
      </c>
      <c r="P802" s="56">
        <f t="shared" si="159"/>
        <v>0</v>
      </c>
      <c r="Q802" s="56">
        <f t="shared" si="159"/>
        <v>0</v>
      </c>
      <c r="R802" s="56">
        <f t="shared" si="159"/>
        <v>15.3</v>
      </c>
      <c r="S802" s="53">
        <f t="shared" si="158"/>
        <v>15.3</v>
      </c>
      <c r="T802" s="35" t="s">
        <v>39</v>
      </c>
      <c r="U802" s="19" t="s">
        <v>647</v>
      </c>
      <c r="V802" s="19" t="str">
        <f>IF(OR($H802="",$H802="sif",$H802="PM"),"",VLOOKUP($H802,[5]CU!$C$5:$J$255,8,FALSE))</f>
        <v>3. Dépenses de fonctionnement</v>
      </c>
      <c r="W802" s="19" t="s">
        <v>398</v>
      </c>
      <c r="X802" s="19" t="s">
        <v>987</v>
      </c>
      <c r="Y802" s="19" t="s">
        <v>32</v>
      </c>
      <c r="Z802" s="19" t="str">
        <f>A802 &amp; "-" &amp; VLOOKUP(A802,[4]PROGRAMMES!$E$1:$F$7,2,FALSE)</f>
        <v>2-Qualité des enseignements et des apprentissages</v>
      </c>
      <c r="AA802" s="19" t="str">
        <f>B802 &amp; "-" &amp; VLOOKUP(B802,[4]SOUSPROGRAMMES!$E$1:$F$44,2,FALSE)</f>
        <v xml:space="preserve">25- Conditions d’apprentissage améliorées </v>
      </c>
      <c r="AB802" s="19" t="str">
        <f>C802 &amp; "-" &amp; VLOOKUP(C802,[4]RESULTATS!$E$1:$F$176,2,FALSE)</f>
        <v>256- Les laboratoires et kits sont installés progressivement dans les établissements secondaires</v>
      </c>
      <c r="AC802" s="20" t="str">
        <f>D802 &amp; "-" &amp; VLOOKUP(D802,[4]STRATEGIES!$E$1:$F$504,2,FALSE)</f>
        <v>2562-Promotion de l’initiative de l’enseignement des mathématiques, des sciences au Secondaire</v>
      </c>
      <c r="AD802" s="21" t="str">
        <f t="shared" si="155"/>
        <v>256215- validation du rapport de suivi</v>
      </c>
    </row>
    <row r="803" spans="1:30" s="22" customFormat="1" ht="45" customHeight="1" x14ac:dyDescent="0.8">
      <c r="A803" s="14">
        <v>2</v>
      </c>
      <c r="B803" s="15">
        <v>25</v>
      </c>
      <c r="C803" s="15">
        <v>256</v>
      </c>
      <c r="D803" s="15">
        <v>2563</v>
      </c>
      <c r="E803" s="14">
        <v>2563</v>
      </c>
      <c r="F803" s="16" t="s">
        <v>989</v>
      </c>
      <c r="G803" s="17"/>
      <c r="H803" s="17"/>
      <c r="I803" s="56">
        <v>0</v>
      </c>
      <c r="J803" s="56"/>
      <c r="K803" s="56"/>
      <c r="L803" s="56"/>
      <c r="M803" s="56"/>
      <c r="N803" s="56"/>
      <c r="O803" s="56"/>
      <c r="P803" s="56"/>
      <c r="Q803" s="56"/>
      <c r="R803" s="56"/>
      <c r="S803" s="53"/>
      <c r="T803" s="33"/>
      <c r="U803" s="18"/>
      <c r="V803" s="19"/>
      <c r="W803" s="18"/>
      <c r="X803" s="18"/>
      <c r="Y803" s="19" t="s">
        <v>32</v>
      </c>
      <c r="Z803" s="19" t="str">
        <f>A803 &amp; "-" &amp; VLOOKUP(A803,[4]PROGRAMMES!$E$1:$F$7,2,FALSE)</f>
        <v>2-Qualité des enseignements et des apprentissages</v>
      </c>
      <c r="AA803" s="19" t="str">
        <f>B803 &amp; "-" &amp; VLOOKUP(B803,[4]SOUSPROGRAMMES!$E$1:$F$44,2,FALSE)</f>
        <v xml:space="preserve">25- Conditions d’apprentissage améliorées </v>
      </c>
      <c r="AB803" s="19" t="str">
        <f>C803 &amp; "-" &amp; VLOOKUP(C803,[4]RESULTATS!$E$1:$F$176,2,FALSE)</f>
        <v>256- Les laboratoires et kits sont installés progressivement dans les établissements secondaires</v>
      </c>
      <c r="AC803" s="20" t="str">
        <f>D803 &amp; "-" &amp; VLOOKUP(D803,[4]STRATEGIES!$E$1:$F$504,2,FALSE)</f>
        <v>2563-Promotion et développement des TICE dans les enseignements apprentissages</v>
      </c>
      <c r="AD803" s="21" t="str">
        <f t="shared" si="155"/>
        <v>2563-Promotion et développement des TICE dans les enseignements apprentissages</v>
      </c>
    </row>
    <row r="804" spans="1:30" s="22" customFormat="1" ht="45" customHeight="1" x14ac:dyDescent="0.8">
      <c r="A804" s="14">
        <v>2</v>
      </c>
      <c r="B804" s="15">
        <v>25</v>
      </c>
      <c r="C804" s="15">
        <v>256</v>
      </c>
      <c r="D804" s="15">
        <v>2563</v>
      </c>
      <c r="E804" s="14">
        <v>25631</v>
      </c>
      <c r="F804" s="16" t="s">
        <v>990</v>
      </c>
      <c r="G804" s="21" t="s">
        <v>991</v>
      </c>
      <c r="H804" s="17" t="s">
        <v>992</v>
      </c>
      <c r="I804" s="56">
        <v>0</v>
      </c>
      <c r="J804" s="53"/>
      <c r="K804" s="53"/>
      <c r="L804" s="53"/>
      <c r="M804" s="53">
        <f t="shared" si="157"/>
        <v>0</v>
      </c>
      <c r="N804" s="53">
        <f>IF(OR(H804="",H804="sif",H804="PM"),0,VLOOKUP(H804,[5]CU!$C$4:$H$255,6,FALSE))</f>
        <v>475</v>
      </c>
      <c r="O804" s="53">
        <f t="shared" si="159"/>
        <v>0</v>
      </c>
      <c r="P804" s="53">
        <f t="shared" si="159"/>
        <v>0</v>
      </c>
      <c r="Q804" s="53">
        <f t="shared" si="159"/>
        <v>0</v>
      </c>
      <c r="R804" s="53">
        <f t="shared" si="159"/>
        <v>0</v>
      </c>
      <c r="S804" s="53">
        <f t="shared" si="158"/>
        <v>0</v>
      </c>
      <c r="T804" s="35" t="s">
        <v>67</v>
      </c>
      <c r="U804" s="18" t="s">
        <v>647</v>
      </c>
      <c r="V804" s="19" t="str">
        <f>IF(OR($H804="",$H804="sif",$H804="PM"),"",VLOOKUP($H804,[5]CU!$C$5:$J$255,8,FALSE))</f>
        <v>3. Dépenses de fonctionnement</v>
      </c>
      <c r="W804" s="18" t="s">
        <v>993</v>
      </c>
      <c r="X804" s="18" t="s">
        <v>993</v>
      </c>
      <c r="Y804" s="19" t="s">
        <v>32</v>
      </c>
      <c r="Z804" s="19" t="str">
        <f>A804 &amp; "-" &amp; VLOOKUP(A804,[4]PROGRAMMES!$E$1:$F$7,2,FALSE)</f>
        <v>2-Qualité des enseignements et des apprentissages</v>
      </c>
      <c r="AA804" s="19" t="str">
        <f>B804 &amp; "-" &amp; VLOOKUP(B804,[4]SOUSPROGRAMMES!$E$1:$F$44,2,FALSE)</f>
        <v xml:space="preserve">25- Conditions d’apprentissage améliorées </v>
      </c>
      <c r="AB804" s="19" t="str">
        <f>C804 &amp; "-" &amp; VLOOKUP(C804,[4]RESULTATS!$E$1:$F$176,2,FALSE)</f>
        <v>256- Les laboratoires et kits sont installés progressivement dans les établissements secondaires</v>
      </c>
      <c r="AC804" s="20" t="str">
        <f>D804 &amp; "-" &amp; VLOOKUP(D804,[4]STRATEGIES!$E$1:$F$504,2,FALSE)</f>
        <v>2563-Promotion et développement des TICE dans les enseignements apprentissages</v>
      </c>
      <c r="AD804" s="21" t="str">
        <f t="shared" si="155"/>
        <v>25631-Elaboration d'un document de politique d'introduction des TICE dans l'éducation</v>
      </c>
    </row>
    <row r="805" spans="1:30" s="22" customFormat="1" ht="45" customHeight="1" x14ac:dyDescent="0.8">
      <c r="A805" s="14">
        <v>2</v>
      </c>
      <c r="B805" s="15">
        <v>25</v>
      </c>
      <c r="C805" s="15">
        <v>256</v>
      </c>
      <c r="D805" s="15">
        <v>2563</v>
      </c>
      <c r="E805" s="14">
        <v>25632</v>
      </c>
      <c r="F805" s="16" t="s">
        <v>994</v>
      </c>
      <c r="G805" s="21" t="s">
        <v>37</v>
      </c>
      <c r="H805" s="17" t="s">
        <v>66</v>
      </c>
      <c r="I805" s="56">
        <v>0</v>
      </c>
      <c r="J805" s="56">
        <f>10*5</f>
        <v>50</v>
      </c>
      <c r="K805" s="56"/>
      <c r="L805" s="56"/>
      <c r="M805" s="56">
        <f t="shared" si="157"/>
        <v>50</v>
      </c>
      <c r="N805" s="56">
        <f>IF(OR(H805="",H805="sif",H805="PM"),0,VLOOKUP(H805,[5]CU!$C$4:$H$255,6,FALSE))</f>
        <v>0.255</v>
      </c>
      <c r="O805" s="56">
        <f t="shared" si="159"/>
        <v>0</v>
      </c>
      <c r="P805" s="56">
        <f t="shared" si="159"/>
        <v>12.75</v>
      </c>
      <c r="Q805" s="56">
        <f t="shared" si="159"/>
        <v>0</v>
      </c>
      <c r="R805" s="56">
        <f t="shared" si="159"/>
        <v>0</v>
      </c>
      <c r="S805" s="53">
        <f t="shared" si="158"/>
        <v>12.75</v>
      </c>
      <c r="T805" s="35" t="s">
        <v>39</v>
      </c>
      <c r="U805" s="19" t="s">
        <v>647</v>
      </c>
      <c r="V805" s="19" t="str">
        <f>IF(OR($H805="",$H805="sif",$H805="PM"),"",VLOOKUP($H805,[5]CU!$C$5:$J$255,8,FALSE))</f>
        <v>3. Dépenses de fonctionnement</v>
      </c>
      <c r="W805" s="19" t="s">
        <v>993</v>
      </c>
      <c r="X805" s="19" t="s">
        <v>995</v>
      </c>
      <c r="Y805" s="19" t="s">
        <v>32</v>
      </c>
      <c r="Z805" s="19" t="str">
        <f>A805 &amp; "-" &amp; VLOOKUP(A805,[4]PROGRAMMES!$E$1:$F$7,2,FALSE)</f>
        <v>2-Qualité des enseignements et des apprentissages</v>
      </c>
      <c r="AA805" s="19" t="str">
        <f>B805 &amp; "-" &amp; VLOOKUP(B805,[4]SOUSPROGRAMMES!$E$1:$F$44,2,FALSE)</f>
        <v xml:space="preserve">25- Conditions d’apprentissage améliorées </v>
      </c>
      <c r="AB805" s="19" t="str">
        <f>C805 &amp; "-" &amp; VLOOKUP(C805,[4]RESULTATS!$E$1:$F$176,2,FALSE)</f>
        <v>256- Les laboratoires et kits sont installés progressivement dans les établissements secondaires</v>
      </c>
      <c r="AC805" s="20" t="str">
        <f>D805 &amp; "-" &amp; VLOOKUP(D805,[4]STRATEGIES!$E$1:$F$504,2,FALSE)</f>
        <v>2563-Promotion et développement des TICE dans les enseignements apprentissages</v>
      </c>
      <c r="AD805" s="21" t="str">
        <f t="shared" si="155"/>
        <v>25632-Elaboration des outils de collecte des informations sur l'utilisation des TICE dans les établissements scolaires</v>
      </c>
    </row>
    <row r="806" spans="1:30" s="22" customFormat="1" ht="45" customHeight="1" x14ac:dyDescent="0.8">
      <c r="A806" s="14">
        <v>2</v>
      </c>
      <c r="B806" s="15">
        <v>25</v>
      </c>
      <c r="C806" s="15">
        <v>256</v>
      </c>
      <c r="D806" s="15">
        <v>2563</v>
      </c>
      <c r="E806" s="14">
        <v>25633</v>
      </c>
      <c r="F806" s="16" t="s">
        <v>996</v>
      </c>
      <c r="G806" s="21" t="s">
        <v>298</v>
      </c>
      <c r="H806" s="17" t="s">
        <v>38</v>
      </c>
      <c r="I806" s="56">
        <v>0</v>
      </c>
      <c r="J806" s="56">
        <f>20*1</f>
        <v>20</v>
      </c>
      <c r="K806" s="56"/>
      <c r="L806" s="56"/>
      <c r="M806" s="56">
        <f t="shared" si="157"/>
        <v>20</v>
      </c>
      <c r="N806" s="56">
        <f>IF(OR(H806="",H806="sif",H806="PM"),0,VLOOKUP(H806,[5]CU!$C$4:$H$255,6,FALSE))</f>
        <v>0.3133333333333333</v>
      </c>
      <c r="O806" s="56">
        <f t="shared" si="159"/>
        <v>0</v>
      </c>
      <c r="P806" s="56">
        <f t="shared" si="159"/>
        <v>6.2666666666666657</v>
      </c>
      <c r="Q806" s="56">
        <f t="shared" si="159"/>
        <v>0</v>
      </c>
      <c r="R806" s="56">
        <f t="shared" si="159"/>
        <v>0</v>
      </c>
      <c r="S806" s="53">
        <f t="shared" si="158"/>
        <v>6.2666666666666657</v>
      </c>
      <c r="T806" s="35" t="s">
        <v>39</v>
      </c>
      <c r="U806" s="19" t="s">
        <v>647</v>
      </c>
      <c r="V806" s="19" t="str">
        <f>IF(OR($H806="",$H806="sif",$H806="PM"),"",VLOOKUP($H806,[5]CU!$C$5:$J$255,8,FALSE))</f>
        <v>3. Formation</v>
      </c>
      <c r="W806" s="19" t="s">
        <v>993</v>
      </c>
      <c r="X806" s="19" t="s">
        <v>995</v>
      </c>
      <c r="Y806" s="19" t="s">
        <v>32</v>
      </c>
      <c r="Z806" s="19" t="str">
        <f>A806 &amp; "-" &amp; VLOOKUP(A806,[4]PROGRAMMES!$E$1:$F$7,2,FALSE)</f>
        <v>2-Qualité des enseignements et des apprentissages</v>
      </c>
      <c r="AA806" s="19" t="str">
        <f>B806 &amp; "-" &amp; VLOOKUP(B806,[4]SOUSPROGRAMMES!$E$1:$F$44,2,FALSE)</f>
        <v xml:space="preserve">25- Conditions d’apprentissage améliorées </v>
      </c>
      <c r="AB806" s="19" t="str">
        <f>C806 &amp; "-" &amp; VLOOKUP(C806,[4]RESULTATS!$E$1:$F$176,2,FALSE)</f>
        <v>256- Les laboratoires et kits sont installés progressivement dans les établissements secondaires</v>
      </c>
      <c r="AC806" s="20" t="str">
        <f>D806 &amp; "-" &amp; VLOOKUP(D806,[4]STRATEGIES!$E$1:$F$504,2,FALSE)</f>
        <v>2563-Promotion et développement des TICE dans les enseignements apprentissages</v>
      </c>
      <c r="AD806" s="21" t="str">
        <f t="shared" si="155"/>
        <v>25633-Validation des outils</v>
      </c>
    </row>
    <row r="807" spans="1:30" s="22" customFormat="1" ht="45" customHeight="1" x14ac:dyDescent="0.8">
      <c r="A807" s="14">
        <v>2</v>
      </c>
      <c r="B807" s="15">
        <v>25</v>
      </c>
      <c r="C807" s="15">
        <v>256</v>
      </c>
      <c r="D807" s="15">
        <v>2563</v>
      </c>
      <c r="E807" s="14">
        <v>25634</v>
      </c>
      <c r="F807" s="16" t="s">
        <v>997</v>
      </c>
      <c r="G807" s="21" t="s">
        <v>92</v>
      </c>
      <c r="H807" s="17" t="s">
        <v>55</v>
      </c>
      <c r="I807" s="56">
        <v>0</v>
      </c>
      <c r="J807" s="56">
        <v>1</v>
      </c>
      <c r="K807" s="56"/>
      <c r="L807" s="56"/>
      <c r="M807" s="56">
        <f t="shared" si="157"/>
        <v>1</v>
      </c>
      <c r="N807" s="56">
        <f>IF(OR(H807="",H807="sif",H807="PM"),0,VLOOKUP(H807,[5]CU!$C$4:$H$255,6,FALSE))</f>
        <v>0</v>
      </c>
      <c r="O807" s="56">
        <f t="shared" si="159"/>
        <v>0</v>
      </c>
      <c r="P807" s="56">
        <f t="shared" si="159"/>
        <v>0</v>
      </c>
      <c r="Q807" s="56">
        <f t="shared" si="159"/>
        <v>0</v>
      </c>
      <c r="R807" s="56">
        <f t="shared" si="159"/>
        <v>0</v>
      </c>
      <c r="S807" s="53"/>
      <c r="T807" s="35" t="s">
        <v>39</v>
      </c>
      <c r="U807" s="18" t="s">
        <v>647</v>
      </c>
      <c r="V807" s="19" t="str">
        <f>IF(OR($H807="",$H807="sif",$H807="PM"),"",VLOOKUP($H807,[5]CU!$C$5:$J$255,8,FALSE))</f>
        <v/>
      </c>
      <c r="W807" s="18" t="s">
        <v>993</v>
      </c>
      <c r="X807" s="18" t="s">
        <v>995</v>
      </c>
      <c r="Y807" s="19" t="s">
        <v>32</v>
      </c>
      <c r="Z807" s="19" t="str">
        <f>A807 &amp; "-" &amp; VLOOKUP(A807,[4]PROGRAMMES!$E$1:$F$7,2,FALSE)</f>
        <v>2-Qualité des enseignements et des apprentissages</v>
      </c>
      <c r="AA807" s="19" t="str">
        <f>B807 &amp; "-" &amp; VLOOKUP(B807,[4]SOUSPROGRAMMES!$E$1:$F$44,2,FALSE)</f>
        <v xml:space="preserve">25- Conditions d’apprentissage améliorées </v>
      </c>
      <c r="AB807" s="19" t="str">
        <f>C807 &amp; "-" &amp; VLOOKUP(C807,[4]RESULTATS!$E$1:$F$176,2,FALSE)</f>
        <v>256- Les laboratoires et kits sont installés progressivement dans les établissements secondaires</v>
      </c>
      <c r="AC807" s="20" t="str">
        <f>D807 &amp; "-" &amp; VLOOKUP(D807,[4]STRATEGIES!$E$1:$F$504,2,FALSE)</f>
        <v>2563-Promotion et développement des TICE dans les enseignements apprentissages</v>
      </c>
      <c r="AD807" s="21" t="str">
        <f t="shared" si="155"/>
        <v>25634-Manuel de remplissage du questionnaire (prise en compte dans l'activité 23261)</v>
      </c>
    </row>
    <row r="808" spans="1:30" s="22" customFormat="1" ht="45" customHeight="1" x14ac:dyDescent="0.8">
      <c r="A808" s="14">
        <v>2</v>
      </c>
      <c r="B808" s="15">
        <v>25</v>
      </c>
      <c r="C808" s="15">
        <v>256</v>
      </c>
      <c r="D808" s="15">
        <v>2563</v>
      </c>
      <c r="E808" s="14">
        <v>25635</v>
      </c>
      <c r="F808" s="16" t="s">
        <v>998</v>
      </c>
      <c r="G808" s="21" t="s">
        <v>92</v>
      </c>
      <c r="H808" s="17" t="s">
        <v>55</v>
      </c>
      <c r="I808" s="56">
        <v>0</v>
      </c>
      <c r="J808" s="56"/>
      <c r="K808" s="56">
        <v>1</v>
      </c>
      <c r="L808" s="56"/>
      <c r="M808" s="56">
        <f t="shared" si="157"/>
        <v>1</v>
      </c>
      <c r="N808" s="56">
        <f>IF(OR(H808="",H808="sif",H808="PM"),0,VLOOKUP(H808,[5]CU!$C$4:$H$255,6,FALSE))</f>
        <v>0</v>
      </c>
      <c r="O808" s="56">
        <f t="shared" si="159"/>
        <v>0</v>
      </c>
      <c r="P808" s="56">
        <f t="shared" si="159"/>
        <v>0</v>
      </c>
      <c r="Q808" s="56">
        <f t="shared" si="159"/>
        <v>0</v>
      </c>
      <c r="R808" s="56">
        <f t="shared" si="159"/>
        <v>0</v>
      </c>
      <c r="S808" s="53"/>
      <c r="T808" s="35" t="s">
        <v>39</v>
      </c>
      <c r="U808" s="18" t="s">
        <v>647</v>
      </c>
      <c r="V808" s="19" t="str">
        <f>IF(OR($H808="",$H808="sif",$H808="PM"),"",VLOOKUP($H808,[5]CU!$C$5:$J$255,8,FALSE))</f>
        <v/>
      </c>
      <c r="W808" s="18" t="s">
        <v>993</v>
      </c>
      <c r="X808" s="18" t="s">
        <v>96</v>
      </c>
      <c r="Y808" s="19" t="s">
        <v>32</v>
      </c>
      <c r="Z808" s="19" t="str">
        <f>A808 &amp; "-" &amp; VLOOKUP(A808,[4]PROGRAMMES!$E$1:$F$7,2,FALSE)</f>
        <v>2-Qualité des enseignements et des apprentissages</v>
      </c>
      <c r="AA808" s="19" t="str">
        <f>B808 &amp; "-" &amp; VLOOKUP(B808,[4]SOUSPROGRAMMES!$E$1:$F$44,2,FALSE)</f>
        <v xml:space="preserve">25- Conditions d’apprentissage améliorées </v>
      </c>
      <c r="AB808" s="19" t="str">
        <f>C808 &amp; "-" &amp; VLOOKUP(C808,[4]RESULTATS!$E$1:$F$176,2,FALSE)</f>
        <v>256- Les laboratoires et kits sont installés progressivement dans les établissements secondaires</v>
      </c>
      <c r="AC808" s="20" t="str">
        <f>D808 &amp; "-" &amp; VLOOKUP(D808,[4]STRATEGIES!$E$1:$F$504,2,FALSE)</f>
        <v>2563-Promotion et développement des TICE dans les enseignements apprentissages</v>
      </c>
      <c r="AD808" s="21" t="str">
        <f t="shared" si="155"/>
        <v>25635-Collecte des données (dans le cadre de l'enquête statistique annuelle)</v>
      </c>
    </row>
    <row r="809" spans="1:30" s="22" customFormat="1" ht="45" customHeight="1" x14ac:dyDescent="0.8">
      <c r="A809" s="14">
        <v>2</v>
      </c>
      <c r="B809" s="15">
        <v>25</v>
      </c>
      <c r="C809" s="15">
        <v>256</v>
      </c>
      <c r="D809" s="15">
        <v>2563</v>
      </c>
      <c r="E809" s="14">
        <v>25636</v>
      </c>
      <c r="F809" s="16" t="s">
        <v>999</v>
      </c>
      <c r="G809" s="21" t="s">
        <v>182</v>
      </c>
      <c r="H809" s="17" t="s">
        <v>55</v>
      </c>
      <c r="I809" s="56">
        <v>0</v>
      </c>
      <c r="J809" s="56"/>
      <c r="K809" s="56">
        <v>1</v>
      </c>
      <c r="L809" s="56"/>
      <c r="M809" s="56">
        <f t="shared" si="157"/>
        <v>1</v>
      </c>
      <c r="N809" s="56">
        <f>IF(OR(H809="",H809="sif",H809="PM"),0,VLOOKUP(H809,[5]CU!$C$4:$H$255,6,FALSE))</f>
        <v>0</v>
      </c>
      <c r="O809" s="56">
        <f t="shared" si="159"/>
        <v>0</v>
      </c>
      <c r="P809" s="56">
        <f t="shared" si="159"/>
        <v>0</v>
      </c>
      <c r="Q809" s="56">
        <f t="shared" si="159"/>
        <v>0</v>
      </c>
      <c r="R809" s="56">
        <f t="shared" si="159"/>
        <v>0</v>
      </c>
      <c r="S809" s="53"/>
      <c r="T809" s="35" t="s">
        <v>39</v>
      </c>
      <c r="U809" s="18" t="s">
        <v>647</v>
      </c>
      <c r="V809" s="19" t="str">
        <f>IF(OR($H809="",$H809="sif",$H809="PM"),"",VLOOKUP($H809,[5]CU!$C$5:$J$255,8,FALSE))</f>
        <v/>
      </c>
      <c r="W809" s="18" t="s">
        <v>993</v>
      </c>
      <c r="X809" s="18" t="s">
        <v>96</v>
      </c>
      <c r="Y809" s="19" t="s">
        <v>32</v>
      </c>
      <c r="Z809" s="19" t="str">
        <f>A809 &amp; "-" &amp; VLOOKUP(A809,[4]PROGRAMMES!$E$1:$F$7,2,FALSE)</f>
        <v>2-Qualité des enseignements et des apprentissages</v>
      </c>
      <c r="AA809" s="19" t="str">
        <f>B809 &amp; "-" &amp; VLOOKUP(B809,[4]SOUSPROGRAMMES!$E$1:$F$44,2,FALSE)</f>
        <v xml:space="preserve">25- Conditions d’apprentissage améliorées </v>
      </c>
      <c r="AB809" s="19" t="str">
        <f>C809 &amp; "-" &amp; VLOOKUP(C809,[4]RESULTATS!$E$1:$F$176,2,FALSE)</f>
        <v>256- Les laboratoires et kits sont installés progressivement dans les établissements secondaires</v>
      </c>
      <c r="AC809" s="20" t="str">
        <f>D809 &amp; "-" &amp; VLOOKUP(D809,[4]STRATEGIES!$E$1:$F$504,2,FALSE)</f>
        <v>2563-Promotion et développement des TICE dans les enseignements apprentissages</v>
      </c>
      <c r="AD809" s="21" t="str">
        <f t="shared" si="155"/>
        <v>25636-Traitement et analyse des données recueillies et rédaction du rapport diagnostic</v>
      </c>
    </row>
    <row r="810" spans="1:30" s="22" customFormat="1" ht="45" customHeight="1" x14ac:dyDescent="0.8">
      <c r="A810" s="14">
        <v>2</v>
      </c>
      <c r="B810" s="15">
        <v>25</v>
      </c>
      <c r="C810" s="15">
        <v>256</v>
      </c>
      <c r="D810" s="15">
        <v>2563</v>
      </c>
      <c r="E810" s="14">
        <v>25637</v>
      </c>
      <c r="F810" s="16" t="s">
        <v>1000</v>
      </c>
      <c r="G810" s="21" t="s">
        <v>37</v>
      </c>
      <c r="H810" s="17" t="s">
        <v>38</v>
      </c>
      <c r="I810" s="56">
        <v>0</v>
      </c>
      <c r="J810" s="56"/>
      <c r="K810" s="56">
        <f>30*2</f>
        <v>60</v>
      </c>
      <c r="L810" s="56"/>
      <c r="M810" s="56">
        <f t="shared" si="157"/>
        <v>60</v>
      </c>
      <c r="N810" s="56">
        <f>IF(OR(H810="",H810="sif",H810="PM"),0,VLOOKUP(H810,[5]CU!$C$4:$H$255,6,FALSE))</f>
        <v>0.3133333333333333</v>
      </c>
      <c r="O810" s="56">
        <f t="shared" si="159"/>
        <v>0</v>
      </c>
      <c r="P810" s="56">
        <f t="shared" si="159"/>
        <v>0</v>
      </c>
      <c r="Q810" s="56">
        <f t="shared" si="159"/>
        <v>18.799999999999997</v>
      </c>
      <c r="R810" s="56">
        <f t="shared" si="159"/>
        <v>0</v>
      </c>
      <c r="S810" s="53">
        <f>SUM(O810:R810)</f>
        <v>18.799999999999997</v>
      </c>
      <c r="T810" s="35" t="s">
        <v>39</v>
      </c>
      <c r="U810" s="19" t="s">
        <v>647</v>
      </c>
      <c r="V810" s="19" t="str">
        <f>IF(OR($H810="",$H810="sif",$H810="PM"),"",VLOOKUP($H810,[5]CU!$C$5:$J$255,8,FALSE))</f>
        <v>3. Formation</v>
      </c>
      <c r="W810" s="19" t="s">
        <v>993</v>
      </c>
      <c r="X810" s="19" t="s">
        <v>398</v>
      </c>
      <c r="Y810" s="19" t="s">
        <v>32</v>
      </c>
      <c r="Z810" s="19" t="str">
        <f>A810 &amp; "-" &amp; VLOOKUP(A810,[4]PROGRAMMES!$E$1:$F$7,2,FALSE)</f>
        <v>2-Qualité des enseignements et des apprentissages</v>
      </c>
      <c r="AA810" s="19" t="str">
        <f>B810 &amp; "-" &amp; VLOOKUP(B810,[4]SOUSPROGRAMMES!$E$1:$F$44,2,FALSE)</f>
        <v xml:space="preserve">25- Conditions d’apprentissage améliorées </v>
      </c>
      <c r="AB810" s="19" t="str">
        <f>C810 &amp; "-" &amp; VLOOKUP(C810,[4]RESULTATS!$E$1:$F$176,2,FALSE)</f>
        <v>256- Les laboratoires et kits sont installés progressivement dans les établissements secondaires</v>
      </c>
      <c r="AC810" s="20" t="str">
        <f>D810 &amp; "-" &amp; VLOOKUP(D810,[4]STRATEGIES!$E$1:$F$504,2,FALSE)</f>
        <v>2563-Promotion et développement des TICE dans les enseignements apprentissages</v>
      </c>
      <c r="AD810" s="21" t="str">
        <f t="shared" si="155"/>
        <v>25637-Validation du rapport diagnostic des TICE</v>
      </c>
    </row>
    <row r="811" spans="1:30" s="22" customFormat="1" ht="45" customHeight="1" x14ac:dyDescent="0.8">
      <c r="A811" s="14">
        <v>2</v>
      </c>
      <c r="B811" s="15">
        <v>25</v>
      </c>
      <c r="C811" s="15">
        <v>256</v>
      </c>
      <c r="D811" s="15">
        <v>2563</v>
      </c>
      <c r="E811" s="14">
        <v>25638</v>
      </c>
      <c r="F811" s="16" t="s">
        <v>1001</v>
      </c>
      <c r="G811" s="21" t="s">
        <v>37</v>
      </c>
      <c r="H811" s="17" t="s">
        <v>66</v>
      </c>
      <c r="I811" s="56">
        <v>0</v>
      </c>
      <c r="J811" s="56"/>
      <c r="K811" s="56">
        <f>10*10</f>
        <v>100</v>
      </c>
      <c r="L811" s="56"/>
      <c r="M811" s="56">
        <f t="shared" si="157"/>
        <v>100</v>
      </c>
      <c r="N811" s="56">
        <f>IF(OR(H811="",H811="sif",H811="PM"),0,VLOOKUP(H811,[5]CU!$C$4:$H$255,6,FALSE))</f>
        <v>0.255</v>
      </c>
      <c r="O811" s="56">
        <f t="shared" si="159"/>
        <v>0</v>
      </c>
      <c r="P811" s="56">
        <f t="shared" si="159"/>
        <v>0</v>
      </c>
      <c r="Q811" s="56">
        <f t="shared" si="159"/>
        <v>25.5</v>
      </c>
      <c r="R811" s="56">
        <f t="shared" si="159"/>
        <v>0</v>
      </c>
      <c r="S811" s="53">
        <f>SUM(O811:R811)</f>
        <v>25.5</v>
      </c>
      <c r="T811" s="35" t="s">
        <v>39</v>
      </c>
      <c r="U811" s="19" t="s">
        <v>647</v>
      </c>
      <c r="V811" s="19" t="str">
        <f>IF(OR($H811="",$H811="sif",$H811="PM"),"",VLOOKUP($H811,[5]CU!$C$5:$J$255,8,FALSE))</f>
        <v>3. Dépenses de fonctionnement</v>
      </c>
      <c r="W811" s="19" t="s">
        <v>993</v>
      </c>
      <c r="X811" s="19" t="s">
        <v>398</v>
      </c>
      <c r="Y811" s="19" t="s">
        <v>32</v>
      </c>
      <c r="Z811" s="19" t="str">
        <f>A811 &amp; "-" &amp; VLOOKUP(A811,[4]PROGRAMMES!$E$1:$F$7,2,FALSE)</f>
        <v>2-Qualité des enseignements et des apprentissages</v>
      </c>
      <c r="AA811" s="19" t="str">
        <f>B811 &amp; "-" &amp; VLOOKUP(B811,[4]SOUSPROGRAMMES!$E$1:$F$44,2,FALSE)</f>
        <v xml:space="preserve">25- Conditions d’apprentissage améliorées </v>
      </c>
      <c r="AB811" s="19" t="str">
        <f>C811 &amp; "-" &amp; VLOOKUP(C811,[4]RESULTATS!$E$1:$F$176,2,FALSE)</f>
        <v>256- Les laboratoires et kits sont installés progressivement dans les établissements secondaires</v>
      </c>
      <c r="AC811" s="20" t="str">
        <f>D811 &amp; "-" &amp; VLOOKUP(D811,[4]STRATEGIES!$E$1:$F$504,2,FALSE)</f>
        <v>2563-Promotion et développement des TICE dans les enseignements apprentissages</v>
      </c>
      <c r="AD811" s="21" t="str">
        <f t="shared" si="155"/>
        <v>25638-Elaboration d'un schéma directeur d'informatisation des établissements du secondaire</v>
      </c>
    </row>
    <row r="812" spans="1:30" s="22" customFormat="1" ht="45" customHeight="1" x14ac:dyDescent="0.8">
      <c r="A812" s="14">
        <v>2</v>
      </c>
      <c r="B812" s="15">
        <v>25</v>
      </c>
      <c r="C812" s="15">
        <v>256</v>
      </c>
      <c r="D812" s="15">
        <v>2563</v>
      </c>
      <c r="E812" s="14">
        <v>25639</v>
      </c>
      <c r="F812" s="16" t="s">
        <v>1002</v>
      </c>
      <c r="G812" s="21" t="s">
        <v>51</v>
      </c>
      <c r="H812" s="17" t="s">
        <v>501</v>
      </c>
      <c r="I812" s="56">
        <v>0</v>
      </c>
      <c r="J812" s="56"/>
      <c r="K812" s="56">
        <v>4</v>
      </c>
      <c r="L812" s="56"/>
      <c r="M812" s="56">
        <f t="shared" si="157"/>
        <v>4</v>
      </c>
      <c r="N812" s="56">
        <f>IF(OR(H812="",H812="sif",H812="PM"),0,VLOOKUP(H812,[5]CU!$C$4:$H$255,6,FALSE))</f>
        <v>50.336534</v>
      </c>
      <c r="O812" s="56">
        <f t="shared" si="159"/>
        <v>0</v>
      </c>
      <c r="P812" s="56">
        <f t="shared" si="159"/>
        <v>0</v>
      </c>
      <c r="Q812" s="56">
        <f t="shared" si="159"/>
        <v>201.346136</v>
      </c>
      <c r="R812" s="56">
        <f t="shared" si="159"/>
        <v>0</v>
      </c>
      <c r="S812" s="53">
        <f>SUM(O812:R812)</f>
        <v>201.346136</v>
      </c>
      <c r="T812" s="35" t="s">
        <v>39</v>
      </c>
      <c r="U812" s="19" t="s">
        <v>647</v>
      </c>
      <c r="V812" s="19" t="str">
        <f>IF(OR($H812="",$H812="sif",$H812="PM"),"",VLOOKUP($H812,[5]CU!$C$5:$J$255,8,FALSE))</f>
        <v>3. Formation</v>
      </c>
      <c r="W812" s="19" t="s">
        <v>663</v>
      </c>
      <c r="X812" s="19" t="s">
        <v>993</v>
      </c>
      <c r="Y812" s="19" t="s">
        <v>32</v>
      </c>
      <c r="Z812" s="19" t="str">
        <f>A812 &amp; "-" &amp; VLOOKUP(A812,[4]PROGRAMMES!$E$1:$F$7,2,FALSE)</f>
        <v>2-Qualité des enseignements et des apprentissages</v>
      </c>
      <c r="AA812" s="19" t="str">
        <f>B812 &amp; "-" &amp; VLOOKUP(B812,[4]SOUSPROGRAMMES!$E$1:$F$44,2,FALSE)</f>
        <v xml:space="preserve">25- Conditions d’apprentissage améliorées </v>
      </c>
      <c r="AB812" s="19" t="str">
        <f>C812 &amp; "-" &amp; VLOOKUP(C812,[4]RESULTATS!$E$1:$F$176,2,FALSE)</f>
        <v>256- Les laboratoires et kits sont installés progressivement dans les établissements secondaires</v>
      </c>
      <c r="AC812" s="20" t="str">
        <f>D812 &amp; "-" &amp; VLOOKUP(D812,[4]STRATEGIES!$E$1:$F$504,2,FALSE)</f>
        <v>2563-Promotion et développement des TICE dans les enseignements apprentissages</v>
      </c>
      <c r="AD812" s="21" t="str">
        <f t="shared" si="155"/>
        <v xml:space="preserve">25639-Formation de 4 cadres du SITIC à l'extérieure sur Utilisation professionnelle de la micro-informatique et des technologies mobiles </v>
      </c>
    </row>
    <row r="813" spans="1:30" s="22" customFormat="1" ht="45" hidden="1" customHeight="1" x14ac:dyDescent="0.8">
      <c r="A813" s="14">
        <v>2</v>
      </c>
      <c r="B813" s="15">
        <v>25</v>
      </c>
      <c r="C813" s="15">
        <v>256</v>
      </c>
      <c r="D813" s="15">
        <v>2563</v>
      </c>
      <c r="E813" s="14">
        <v>256310</v>
      </c>
      <c r="F813" s="16" t="s">
        <v>1003</v>
      </c>
      <c r="G813" s="21" t="s">
        <v>182</v>
      </c>
      <c r="H813" s="17" t="s">
        <v>55</v>
      </c>
      <c r="I813" s="56">
        <v>0</v>
      </c>
      <c r="J813" s="56"/>
      <c r="K813" s="56"/>
      <c r="L813" s="56">
        <v>1</v>
      </c>
      <c r="M813" s="56">
        <f t="shared" si="157"/>
        <v>1</v>
      </c>
      <c r="N813" s="56">
        <f>IF(OR(H813="",H813="sif",H813="PM"),0,VLOOKUP(H813,[5]CU!$C$4:$H$255,6,FALSE))</f>
        <v>0</v>
      </c>
      <c r="O813" s="56">
        <f t="shared" si="159"/>
        <v>0</v>
      </c>
      <c r="P813" s="56">
        <f t="shared" si="159"/>
        <v>0</v>
      </c>
      <c r="Q813" s="56">
        <f t="shared" si="159"/>
        <v>0</v>
      </c>
      <c r="R813" s="56">
        <f t="shared" si="159"/>
        <v>0</v>
      </c>
      <c r="S813" s="53"/>
      <c r="T813" s="35" t="s">
        <v>56</v>
      </c>
      <c r="U813" s="18" t="s">
        <v>647</v>
      </c>
      <c r="V813" s="19" t="str">
        <f>IF(OR($H813="",$H813="sif",$H813="PM"),"",VLOOKUP($H813,[5]CU!$C$5:$J$255,8,FALSE))</f>
        <v/>
      </c>
      <c r="W813" s="18" t="s">
        <v>993</v>
      </c>
      <c r="X813" s="18" t="s">
        <v>398</v>
      </c>
      <c r="Y813" s="19" t="s">
        <v>32</v>
      </c>
      <c r="Z813" s="19" t="str">
        <f>A813 &amp; "-" &amp; VLOOKUP(A813,[4]PROGRAMMES!$E$1:$F$7,2,FALSE)</f>
        <v>2-Qualité des enseignements et des apprentissages</v>
      </c>
      <c r="AA813" s="19" t="str">
        <f>B813 &amp; "-" &amp; VLOOKUP(B813,[4]SOUSPROGRAMMES!$E$1:$F$44,2,FALSE)</f>
        <v xml:space="preserve">25- Conditions d’apprentissage améliorées </v>
      </c>
      <c r="AB813" s="19" t="str">
        <f>C813 &amp; "-" &amp; VLOOKUP(C813,[4]RESULTATS!$E$1:$F$176,2,FALSE)</f>
        <v>256- Les laboratoires et kits sont installés progressivement dans les établissements secondaires</v>
      </c>
      <c r="AC813" s="20" t="str">
        <f>D813 &amp; "-" &amp; VLOOKUP(D813,[4]STRATEGIES!$E$1:$F$504,2,FALSE)</f>
        <v>2563-Promotion et développement des TICE dans les enseignements apprentissages</v>
      </c>
      <c r="AD813" s="21" t="str">
        <f t="shared" si="155"/>
        <v>256310-Transfert de compétence aux cadres du SITIC sur la micro-informatique et les technologies mobiles</v>
      </c>
    </row>
    <row r="814" spans="1:30" s="22" customFormat="1" ht="45" customHeight="1" x14ac:dyDescent="0.8">
      <c r="A814" s="14">
        <v>2</v>
      </c>
      <c r="B814" s="15">
        <v>25</v>
      </c>
      <c r="C814" s="15">
        <v>256</v>
      </c>
      <c r="D814" s="15">
        <v>2563</v>
      </c>
      <c r="E814" s="14">
        <v>256311</v>
      </c>
      <c r="F814" s="16" t="s">
        <v>1004</v>
      </c>
      <c r="G814" s="21" t="s">
        <v>37</v>
      </c>
      <c r="H814" s="17" t="s">
        <v>66</v>
      </c>
      <c r="I814" s="56">
        <v>0</v>
      </c>
      <c r="J814" s="56">
        <f>10*5</f>
        <v>50</v>
      </c>
      <c r="K814" s="56"/>
      <c r="L814" s="56"/>
      <c r="M814" s="56">
        <f t="shared" si="157"/>
        <v>50</v>
      </c>
      <c r="N814" s="56">
        <f>IF(OR(H814="",H814="sif",H814="PM"),0,VLOOKUP(H814,[5]CU!$C$4:$H$255,6,FALSE))</f>
        <v>0.255</v>
      </c>
      <c r="O814" s="56">
        <f t="shared" si="159"/>
        <v>0</v>
      </c>
      <c r="P814" s="56">
        <f t="shared" si="159"/>
        <v>12.75</v>
      </c>
      <c r="Q814" s="56">
        <f t="shared" si="159"/>
        <v>0</v>
      </c>
      <c r="R814" s="56">
        <f t="shared" si="159"/>
        <v>0</v>
      </c>
      <c r="S814" s="53">
        <f>SUM(O814:R814)</f>
        <v>12.75</v>
      </c>
      <c r="T814" s="35" t="s">
        <v>39</v>
      </c>
      <c r="U814" s="19" t="s">
        <v>647</v>
      </c>
      <c r="V814" s="19" t="str">
        <f>IF(OR($H814="",$H814="sif",$H814="PM"),"",VLOOKUP($H814,[5]CU!$C$5:$J$255,8,FALSE))</f>
        <v>3. Dépenses de fonctionnement</v>
      </c>
      <c r="W814" s="19" t="s">
        <v>993</v>
      </c>
      <c r="X814" s="19" t="s">
        <v>398</v>
      </c>
      <c r="Y814" s="19" t="s">
        <v>32</v>
      </c>
      <c r="Z814" s="19" t="str">
        <f>A814 &amp; "-" &amp; VLOOKUP(A814,[4]PROGRAMMES!$E$1:$F$7,2,FALSE)</f>
        <v>2-Qualité des enseignements et des apprentissages</v>
      </c>
      <c r="AA814" s="19" t="str">
        <f>B814 &amp; "-" &amp; VLOOKUP(B814,[4]SOUSPROGRAMMES!$E$1:$F$44,2,FALSE)</f>
        <v xml:space="preserve">25- Conditions d’apprentissage améliorées </v>
      </c>
      <c r="AB814" s="19" t="str">
        <f>C814 &amp; "-" &amp; VLOOKUP(C814,[4]RESULTATS!$E$1:$F$176,2,FALSE)</f>
        <v>256- Les laboratoires et kits sont installés progressivement dans les établissements secondaires</v>
      </c>
      <c r="AC814" s="20" t="str">
        <f>D814 &amp; "-" &amp; VLOOKUP(D814,[4]STRATEGIES!$E$1:$F$504,2,FALSE)</f>
        <v>2563-Promotion et développement des TICE dans les enseignements apprentissages</v>
      </c>
      <c r="AD814" s="21" t="str">
        <f t="shared" si="155"/>
        <v>256311-Elaboration de procédures d'utilisation de suivi, d'évaluation et de gestion des cyber centres dans les établissements.</v>
      </c>
    </row>
    <row r="815" spans="1:30" s="22" customFormat="1" ht="45" customHeight="1" x14ac:dyDescent="0.8">
      <c r="A815" s="14">
        <v>2</v>
      </c>
      <c r="B815" s="15">
        <v>25</v>
      </c>
      <c r="C815" s="15">
        <v>256</v>
      </c>
      <c r="D815" s="15">
        <v>2563</v>
      </c>
      <c r="E815" s="14">
        <v>256312</v>
      </c>
      <c r="F815" s="16" t="s">
        <v>1005</v>
      </c>
      <c r="G815" s="21" t="s">
        <v>651</v>
      </c>
      <c r="H815" s="17" t="s">
        <v>55</v>
      </c>
      <c r="I815" s="56">
        <v>0</v>
      </c>
      <c r="J815" s="56"/>
      <c r="K815" s="56">
        <v>1</v>
      </c>
      <c r="L815" s="56"/>
      <c r="M815" s="56">
        <f t="shared" si="157"/>
        <v>1</v>
      </c>
      <c r="N815" s="56">
        <f>IF(OR(H815="",H815="sif",H815="PM"),0,VLOOKUP(H815,[5]CU!$C$4:$H$255,6,FALSE))</f>
        <v>0</v>
      </c>
      <c r="O815" s="56">
        <f t="shared" si="159"/>
        <v>0</v>
      </c>
      <c r="P815" s="56">
        <f t="shared" si="159"/>
        <v>0</v>
      </c>
      <c r="Q815" s="56">
        <f t="shared" si="159"/>
        <v>0</v>
      </c>
      <c r="R815" s="56">
        <f t="shared" si="159"/>
        <v>0</v>
      </c>
      <c r="S815" s="53"/>
      <c r="T815" s="35" t="s">
        <v>39</v>
      </c>
      <c r="U815" s="18" t="s">
        <v>647</v>
      </c>
      <c r="V815" s="19" t="str">
        <f>IF(OR($H815="",$H815="sif",$H815="PM"),"",VLOOKUP($H815,[5]CU!$C$5:$J$255,8,FALSE))</f>
        <v/>
      </c>
      <c r="W815" s="18" t="s">
        <v>255</v>
      </c>
      <c r="X815" s="18" t="s">
        <v>398</v>
      </c>
      <c r="Y815" s="19" t="s">
        <v>32</v>
      </c>
      <c r="Z815" s="19" t="str">
        <f>A815 &amp; "-" &amp; VLOOKUP(A815,[4]PROGRAMMES!$E$1:$F$7,2,FALSE)</f>
        <v>2-Qualité des enseignements et des apprentissages</v>
      </c>
      <c r="AA815" s="19" t="str">
        <f>B815 &amp; "-" &amp; VLOOKUP(B815,[4]SOUSPROGRAMMES!$E$1:$F$44,2,FALSE)</f>
        <v xml:space="preserve">25- Conditions d’apprentissage améliorées </v>
      </c>
      <c r="AB815" s="19" t="str">
        <f>C815 &amp; "-" &amp; VLOOKUP(C815,[4]RESULTATS!$E$1:$F$176,2,FALSE)</f>
        <v>256- Les laboratoires et kits sont installés progressivement dans les établissements secondaires</v>
      </c>
      <c r="AC815" s="20" t="str">
        <f>D815 &amp; "-" &amp; VLOOKUP(D815,[4]STRATEGIES!$E$1:$F$504,2,FALSE)</f>
        <v>2563-Promotion et développement des TICE dans les enseignements apprentissages</v>
      </c>
      <c r="AD815" s="21" t="str">
        <f t="shared" si="155"/>
        <v>256312-Choix des écoles pilotes pour la mise en œuvre progressive du schéma directeur/ (établissements disposants de cyber centre)</v>
      </c>
    </row>
    <row r="816" spans="1:30" s="22" customFormat="1" ht="45" customHeight="1" x14ac:dyDescent="0.8">
      <c r="A816" s="14">
        <v>2</v>
      </c>
      <c r="B816" s="15">
        <v>25</v>
      </c>
      <c r="C816" s="15">
        <v>256</v>
      </c>
      <c r="D816" s="15">
        <v>2563</v>
      </c>
      <c r="E816" s="14">
        <v>256313</v>
      </c>
      <c r="F816" s="16" t="s">
        <v>1006</v>
      </c>
      <c r="G816" s="21" t="s">
        <v>37</v>
      </c>
      <c r="H816" s="17" t="s">
        <v>301</v>
      </c>
      <c r="I816" s="56">
        <v>0</v>
      </c>
      <c r="J816" s="56"/>
      <c r="K816" s="56">
        <f>30*5</f>
        <v>150</v>
      </c>
      <c r="L816" s="56"/>
      <c r="M816" s="56">
        <f t="shared" si="157"/>
        <v>150</v>
      </c>
      <c r="N816" s="56">
        <f>IF(OR(H816="",H816="sif",H816="PM"),0,VLOOKUP(H816,[5]CU!$C$4:$H$255,6,FALSE))</f>
        <v>0.67666666666666664</v>
      </c>
      <c r="O816" s="56">
        <f t="shared" si="159"/>
        <v>0</v>
      </c>
      <c r="P816" s="56">
        <f t="shared" si="159"/>
        <v>0</v>
      </c>
      <c r="Q816" s="56">
        <f t="shared" si="159"/>
        <v>101.5</v>
      </c>
      <c r="R816" s="56">
        <f t="shared" si="159"/>
        <v>0</v>
      </c>
      <c r="S816" s="53">
        <f>SUM(O816:R816)</f>
        <v>101.5</v>
      </c>
      <c r="T816" s="35" t="s">
        <v>39</v>
      </c>
      <c r="U816" s="19" t="s">
        <v>647</v>
      </c>
      <c r="V816" s="19" t="str">
        <f>IF(OR($H816="",$H816="sif",$H816="PM"),"",VLOOKUP($H816,[5]CU!$C$5:$J$255,8,FALSE))</f>
        <v>3. Formation</v>
      </c>
      <c r="W816" s="19" t="s">
        <v>993</v>
      </c>
      <c r="X816" s="19" t="s">
        <v>398</v>
      </c>
      <c r="Y816" s="19" t="s">
        <v>32</v>
      </c>
      <c r="Z816" s="19" t="str">
        <f>A816 &amp; "-" &amp; VLOOKUP(A816,[4]PROGRAMMES!$E$1:$F$7,2,FALSE)</f>
        <v>2-Qualité des enseignements et des apprentissages</v>
      </c>
      <c r="AA816" s="19" t="str">
        <f>B816 &amp; "-" &amp; VLOOKUP(B816,[4]SOUSPROGRAMMES!$E$1:$F$44,2,FALSE)</f>
        <v xml:space="preserve">25- Conditions d’apprentissage améliorées </v>
      </c>
      <c r="AB816" s="19" t="str">
        <f>C816 &amp; "-" &amp; VLOOKUP(C816,[4]RESULTATS!$E$1:$F$176,2,FALSE)</f>
        <v>256- Les laboratoires et kits sont installés progressivement dans les établissements secondaires</v>
      </c>
      <c r="AC816" s="20" t="str">
        <f>D816 &amp; "-" &amp; VLOOKUP(D816,[4]STRATEGIES!$E$1:$F$504,2,FALSE)</f>
        <v>2563-Promotion et développement des TICE dans les enseignements apprentissages</v>
      </c>
      <c r="AD816" s="21" t="str">
        <f t="shared" si="155"/>
        <v>256313-Formation des animateurs des centres des établissements pilotes</v>
      </c>
    </row>
    <row r="817" spans="1:30" s="22" customFormat="1" ht="45" customHeight="1" x14ac:dyDescent="0.8">
      <c r="A817" s="14">
        <v>2</v>
      </c>
      <c r="B817" s="15">
        <v>25</v>
      </c>
      <c r="C817" s="15">
        <v>256</v>
      </c>
      <c r="D817" s="15">
        <v>2563</v>
      </c>
      <c r="E817" s="14">
        <v>256314</v>
      </c>
      <c r="F817" s="16" t="s">
        <v>1007</v>
      </c>
      <c r="G817" s="21" t="s">
        <v>1008</v>
      </c>
      <c r="H817" s="17" t="s">
        <v>1009</v>
      </c>
      <c r="I817" s="56">
        <v>0</v>
      </c>
      <c r="J817" s="56"/>
      <c r="K817" s="56">
        <v>30</v>
      </c>
      <c r="L817" s="56"/>
      <c r="M817" s="56">
        <f t="shared" si="157"/>
        <v>30</v>
      </c>
      <c r="N817" s="56">
        <f>IF(OR(H817="",H817="sif",H817="PM"),0,VLOOKUP(H817,[5]CU!$C$4:$H$255,6,FALSE))</f>
        <v>12.79101</v>
      </c>
      <c r="O817" s="56">
        <f t="shared" si="159"/>
        <v>0</v>
      </c>
      <c r="P817" s="56">
        <f t="shared" si="159"/>
        <v>0</v>
      </c>
      <c r="Q817" s="56">
        <f t="shared" si="159"/>
        <v>383.7303</v>
      </c>
      <c r="R817" s="56">
        <f t="shared" si="159"/>
        <v>0</v>
      </c>
      <c r="S817" s="53">
        <f>SUM(O817:R817)</f>
        <v>383.7303</v>
      </c>
      <c r="T817" s="35" t="s">
        <v>39</v>
      </c>
      <c r="U817" s="19" t="s">
        <v>647</v>
      </c>
      <c r="V817" s="19" t="str">
        <f>IF(OR($H817="",$H817="sif",$H817="PM"),"",VLOOKUP($H817,[5]CU!$C$5:$J$255,8,FALSE))</f>
        <v>5. Investissement</v>
      </c>
      <c r="W817" s="19" t="s">
        <v>663</v>
      </c>
      <c r="X817" s="19" t="s">
        <v>398</v>
      </c>
      <c r="Y817" s="19" t="s">
        <v>32</v>
      </c>
      <c r="Z817" s="19" t="str">
        <f>A817 &amp; "-" &amp; VLOOKUP(A817,[4]PROGRAMMES!$E$1:$F$7,2,FALSE)</f>
        <v>2-Qualité des enseignements et des apprentissages</v>
      </c>
      <c r="AA817" s="19" t="str">
        <f>B817 &amp; "-" &amp; VLOOKUP(B817,[4]SOUSPROGRAMMES!$E$1:$F$44,2,FALSE)</f>
        <v xml:space="preserve">25- Conditions d’apprentissage améliorées </v>
      </c>
      <c r="AB817" s="19" t="str">
        <f>C817 &amp; "-" &amp; VLOOKUP(C817,[4]RESULTATS!$E$1:$F$176,2,FALSE)</f>
        <v>256- Les laboratoires et kits sont installés progressivement dans les établissements secondaires</v>
      </c>
      <c r="AC817" s="20" t="str">
        <f>D817 &amp; "-" &amp; VLOOKUP(D817,[4]STRATEGIES!$E$1:$F$504,2,FALSE)</f>
        <v>2563-Promotion et développement des TICE dans les enseignements apprentissages</v>
      </c>
      <c r="AD817" s="21" t="str">
        <f t="shared" si="155"/>
        <v>256314-Dotation en complément d'équipements pour les centres informatique des établissements pilotes</v>
      </c>
    </row>
    <row r="818" spans="1:30" s="22" customFormat="1" ht="45" customHeight="1" x14ac:dyDescent="0.8">
      <c r="A818" s="14">
        <v>2</v>
      </c>
      <c r="B818" s="15">
        <v>25</v>
      </c>
      <c r="C818" s="15">
        <v>256</v>
      </c>
      <c r="D818" s="15">
        <v>2563</v>
      </c>
      <c r="E818" s="14">
        <v>256315</v>
      </c>
      <c r="F818" s="16" t="s">
        <v>1010</v>
      </c>
      <c r="G818" s="21" t="s">
        <v>58</v>
      </c>
      <c r="H818" s="17" t="s">
        <v>59</v>
      </c>
      <c r="I818" s="56">
        <v>0</v>
      </c>
      <c r="J818" s="56"/>
      <c r="K818" s="56"/>
      <c r="L818" s="56">
        <f>4*4*8</f>
        <v>128</v>
      </c>
      <c r="M818" s="56">
        <f t="shared" si="157"/>
        <v>128</v>
      </c>
      <c r="N818" s="56">
        <f>IF(OR(H818="",H818="sif",H818="PM"),0,VLOOKUP(H818,[5]CU!$C$4:$H$255,6,FALSE))</f>
        <v>0.8177777777777776</v>
      </c>
      <c r="O818" s="56">
        <f t="shared" si="159"/>
        <v>0</v>
      </c>
      <c r="P818" s="56">
        <f t="shared" si="159"/>
        <v>0</v>
      </c>
      <c r="Q818" s="56">
        <f t="shared" si="159"/>
        <v>0</v>
      </c>
      <c r="R818" s="56">
        <f t="shared" si="159"/>
        <v>104.67555555555553</v>
      </c>
      <c r="S818" s="53">
        <f>SUM(O818:R818)</f>
        <v>104.67555555555553</v>
      </c>
      <c r="T818" s="35" t="s">
        <v>39</v>
      </c>
      <c r="U818" s="19" t="s">
        <v>647</v>
      </c>
      <c r="V818" s="19" t="str">
        <f>IF(OR($H818="",$H818="sif",$H818="PM"),"",VLOOKUP($H818,[5]CU!$C$5:$J$255,8,FALSE))</f>
        <v>3. Dépenses de fonctionnement</v>
      </c>
      <c r="W818" s="19" t="s">
        <v>993</v>
      </c>
      <c r="X818" s="19" t="s">
        <v>398</v>
      </c>
      <c r="Y818" s="19" t="s">
        <v>32</v>
      </c>
      <c r="Z818" s="19" t="str">
        <f>A818 &amp; "-" &amp; VLOOKUP(A818,[4]PROGRAMMES!$E$1:$F$7,2,FALSE)</f>
        <v>2-Qualité des enseignements et des apprentissages</v>
      </c>
      <c r="AA818" s="19" t="str">
        <f>B818 &amp; "-" &amp; VLOOKUP(B818,[4]SOUSPROGRAMMES!$E$1:$F$44,2,FALSE)</f>
        <v xml:space="preserve">25- Conditions d’apprentissage améliorées </v>
      </c>
      <c r="AB818" s="19" t="str">
        <f>C818 &amp; "-" &amp; VLOOKUP(C818,[4]RESULTATS!$E$1:$F$176,2,FALSE)</f>
        <v>256- Les laboratoires et kits sont installés progressivement dans les établissements secondaires</v>
      </c>
      <c r="AC818" s="20" t="str">
        <f>D818 &amp; "-" &amp; VLOOKUP(D818,[4]STRATEGIES!$E$1:$F$504,2,FALSE)</f>
        <v>2563-Promotion et développement des TICE dans les enseignements apprentissages</v>
      </c>
      <c r="AD818" s="21" t="str">
        <f t="shared" si="155"/>
        <v xml:space="preserve">256315-Suivi et évaluation des établissements pilotes </v>
      </c>
    </row>
    <row r="819" spans="1:30" s="22" customFormat="1" ht="45" customHeight="1" x14ac:dyDescent="0.8">
      <c r="A819" s="14">
        <v>2</v>
      </c>
      <c r="B819" s="15">
        <v>25</v>
      </c>
      <c r="C819" s="15">
        <v>256</v>
      </c>
      <c r="D819" s="15">
        <v>2563</v>
      </c>
      <c r="E819" s="14">
        <v>256316</v>
      </c>
      <c r="F819" s="16" t="s">
        <v>1011</v>
      </c>
      <c r="G819" s="21" t="s">
        <v>37</v>
      </c>
      <c r="H819" s="17" t="s">
        <v>38</v>
      </c>
      <c r="I819" s="56">
        <v>0</v>
      </c>
      <c r="J819" s="56"/>
      <c r="K819" s="56"/>
      <c r="L819" s="56">
        <f>25*2</f>
        <v>50</v>
      </c>
      <c r="M819" s="56">
        <f t="shared" si="157"/>
        <v>50</v>
      </c>
      <c r="N819" s="56">
        <f>IF(OR(H819="",H819="sif",H819="PM"),0,VLOOKUP(H819,[5]CU!$C$4:$H$255,6,FALSE))</f>
        <v>0.3133333333333333</v>
      </c>
      <c r="O819" s="56">
        <f t="shared" si="159"/>
        <v>0</v>
      </c>
      <c r="P819" s="56">
        <f t="shared" si="159"/>
        <v>0</v>
      </c>
      <c r="Q819" s="56">
        <f t="shared" si="159"/>
        <v>0</v>
      </c>
      <c r="R819" s="56">
        <f t="shared" si="159"/>
        <v>15.666666666666664</v>
      </c>
      <c r="S819" s="53">
        <f>SUM(O819:R819)</f>
        <v>15.666666666666664</v>
      </c>
      <c r="T819" s="35" t="s">
        <v>39</v>
      </c>
      <c r="U819" s="19" t="s">
        <v>647</v>
      </c>
      <c r="V819" s="19" t="str">
        <f>IF(OR($H819="",$H819="sif",$H819="PM"),"",VLOOKUP($H819,[5]CU!$C$5:$J$255,8,FALSE))</f>
        <v>3. Formation</v>
      </c>
      <c r="W819" s="19" t="s">
        <v>993</v>
      </c>
      <c r="X819" s="19" t="s">
        <v>398</v>
      </c>
      <c r="Y819" s="19" t="s">
        <v>32</v>
      </c>
      <c r="Z819" s="19" t="str">
        <f>A819 &amp; "-" &amp; VLOOKUP(A819,[4]PROGRAMMES!$E$1:$F$7,2,FALSE)</f>
        <v>2-Qualité des enseignements et des apprentissages</v>
      </c>
      <c r="AA819" s="19" t="str">
        <f>B819 &amp; "-" &amp; VLOOKUP(B819,[4]SOUSPROGRAMMES!$E$1:$F$44,2,FALSE)</f>
        <v xml:space="preserve">25- Conditions d’apprentissage améliorées </v>
      </c>
      <c r="AB819" s="19" t="str">
        <f>C819 &amp; "-" &amp; VLOOKUP(C819,[4]RESULTATS!$E$1:$F$176,2,FALSE)</f>
        <v>256- Les laboratoires et kits sont installés progressivement dans les établissements secondaires</v>
      </c>
      <c r="AC819" s="20" t="str">
        <f>D819 &amp; "-" &amp; VLOOKUP(D819,[4]STRATEGIES!$E$1:$F$504,2,FALSE)</f>
        <v>2563-Promotion et développement des TICE dans les enseignements apprentissages</v>
      </c>
      <c r="AD819" s="21" t="str">
        <f t="shared" si="155"/>
        <v>256316-Partage des résultats de l'évaluation</v>
      </c>
    </row>
    <row r="820" spans="1:30" s="22" customFormat="1" ht="45" customHeight="1" x14ac:dyDescent="0.8">
      <c r="A820" s="14">
        <v>2</v>
      </c>
      <c r="B820" s="15">
        <v>25</v>
      </c>
      <c r="C820" s="15">
        <v>256</v>
      </c>
      <c r="D820" s="15">
        <v>2563</v>
      </c>
      <c r="E820" s="14">
        <v>256317</v>
      </c>
      <c r="F820" s="16" t="s">
        <v>1012</v>
      </c>
      <c r="G820" s="21" t="s">
        <v>37</v>
      </c>
      <c r="H820" s="17" t="s">
        <v>66</v>
      </c>
      <c r="I820" s="56">
        <v>0</v>
      </c>
      <c r="J820" s="56"/>
      <c r="K820" s="56"/>
      <c r="L820" s="56">
        <f>10*4</f>
        <v>40</v>
      </c>
      <c r="M820" s="56">
        <f t="shared" si="157"/>
        <v>40</v>
      </c>
      <c r="N820" s="56">
        <f>IF(OR(H820="",H820="sif",H820="PM"),0,VLOOKUP(H820,[5]CU!$C$4:$H$255,6,FALSE))</f>
        <v>0.255</v>
      </c>
      <c r="O820" s="56">
        <f t="shared" si="159"/>
        <v>0</v>
      </c>
      <c r="P820" s="56">
        <f t="shared" si="159"/>
        <v>0</v>
      </c>
      <c r="Q820" s="56">
        <f t="shared" si="159"/>
        <v>0</v>
      </c>
      <c r="R820" s="56">
        <f t="shared" si="159"/>
        <v>10.199999999999999</v>
      </c>
      <c r="S820" s="53">
        <f>SUM(O820:R820)</f>
        <v>10.199999999999999</v>
      </c>
      <c r="T820" s="35" t="s">
        <v>39</v>
      </c>
      <c r="U820" s="19" t="s">
        <v>647</v>
      </c>
      <c r="V820" s="19" t="str">
        <f>IF(OR($H820="",$H820="sif",$H820="PM"),"",VLOOKUP($H820,[5]CU!$C$5:$J$255,8,FALSE))</f>
        <v>3. Dépenses de fonctionnement</v>
      </c>
      <c r="W820" s="19" t="s">
        <v>993</v>
      </c>
      <c r="X820" s="19" t="s">
        <v>398</v>
      </c>
      <c r="Y820" s="19" t="s">
        <v>32</v>
      </c>
      <c r="Z820" s="19" t="str">
        <f>A820 &amp; "-" &amp; VLOOKUP(A820,[4]PROGRAMMES!$E$1:$F$7,2,FALSE)</f>
        <v>2-Qualité des enseignements et des apprentissages</v>
      </c>
      <c r="AA820" s="19" t="str">
        <f>B820 &amp; "-" &amp; VLOOKUP(B820,[4]SOUSPROGRAMMES!$E$1:$F$44,2,FALSE)</f>
        <v xml:space="preserve">25- Conditions d’apprentissage améliorées </v>
      </c>
      <c r="AB820" s="19" t="str">
        <f>C820 &amp; "-" &amp; VLOOKUP(C820,[4]RESULTATS!$E$1:$F$176,2,FALSE)</f>
        <v>256- Les laboratoires et kits sont installés progressivement dans les établissements secondaires</v>
      </c>
      <c r="AC820" s="20" t="str">
        <f>D820 &amp; "-" &amp; VLOOKUP(D820,[4]STRATEGIES!$E$1:$F$504,2,FALSE)</f>
        <v>2563-Promotion et développement des TICE dans les enseignements apprentissages</v>
      </c>
      <c r="AD820" s="21" t="str">
        <f t="shared" si="155"/>
        <v>256317-Amendement du schéma directeur et des différents outils en fonction des résultats de l'évaluation</v>
      </c>
    </row>
    <row r="821" spans="1:30" s="22" customFormat="1" ht="45" customHeight="1" x14ac:dyDescent="0.8">
      <c r="A821" s="14">
        <v>2</v>
      </c>
      <c r="B821" s="15">
        <v>25</v>
      </c>
      <c r="C821" s="15">
        <v>256</v>
      </c>
      <c r="D821" s="15">
        <v>2563</v>
      </c>
      <c r="E821" s="14">
        <v>256318</v>
      </c>
      <c r="F821" s="16" t="s">
        <v>1013</v>
      </c>
      <c r="G821" s="21" t="s">
        <v>182</v>
      </c>
      <c r="H821" s="17" t="s">
        <v>55</v>
      </c>
      <c r="I821" s="56">
        <v>0</v>
      </c>
      <c r="J821" s="56"/>
      <c r="K821" s="56"/>
      <c r="L821" s="56">
        <v>1</v>
      </c>
      <c r="M821" s="56">
        <f t="shared" si="157"/>
        <v>1</v>
      </c>
      <c r="N821" s="56">
        <f>IF(OR(H821="",H821="sif",H821="PM"),0,VLOOKUP(H821,[5]CU!$C$4:$H$255,6,FALSE))</f>
        <v>0</v>
      </c>
      <c r="O821" s="56">
        <f t="shared" si="159"/>
        <v>0</v>
      </c>
      <c r="P821" s="56">
        <f t="shared" si="159"/>
        <v>0</v>
      </c>
      <c r="Q821" s="56">
        <f t="shared" si="159"/>
        <v>0</v>
      </c>
      <c r="R821" s="56">
        <f t="shared" si="159"/>
        <v>0</v>
      </c>
      <c r="S821" s="53"/>
      <c r="T821" s="35" t="s">
        <v>39</v>
      </c>
      <c r="U821" s="18" t="s">
        <v>647</v>
      </c>
      <c r="V821" s="19" t="str">
        <f>IF(OR($H821="",$H821="sif",$H821="PM"),"",VLOOKUP($H821,[5]CU!$C$5:$J$255,8,FALSE))</f>
        <v/>
      </c>
      <c r="W821" s="18" t="s">
        <v>993</v>
      </c>
      <c r="X821" s="18" t="s">
        <v>398</v>
      </c>
      <c r="Y821" s="19" t="s">
        <v>32</v>
      </c>
      <c r="Z821" s="19" t="str">
        <f>A821 &amp; "-" &amp; VLOOKUP(A821,[4]PROGRAMMES!$E$1:$F$7,2,FALSE)</f>
        <v>2-Qualité des enseignements et des apprentissages</v>
      </c>
      <c r="AA821" s="19" t="str">
        <f>B821 &amp; "-" &amp; VLOOKUP(B821,[4]SOUSPROGRAMMES!$E$1:$F$44,2,FALSE)</f>
        <v xml:space="preserve">25- Conditions d’apprentissage améliorées </v>
      </c>
      <c r="AB821" s="19" t="str">
        <f>C821 &amp; "-" &amp; VLOOKUP(C821,[4]RESULTATS!$E$1:$F$176,2,FALSE)</f>
        <v>256- Les laboratoires et kits sont installés progressivement dans les établissements secondaires</v>
      </c>
      <c r="AC821" s="20" t="str">
        <f>D821 &amp; "-" &amp; VLOOKUP(D821,[4]STRATEGIES!$E$1:$F$504,2,FALSE)</f>
        <v>2563-Promotion et développement des TICE dans les enseignements apprentissages</v>
      </c>
      <c r="AD821" s="21" t="str">
        <f t="shared" si="155"/>
        <v>256318-Préparation de l'expansion (choix des établissements, calendrier, …)</v>
      </c>
    </row>
    <row r="822" spans="1:30" s="22" customFormat="1" ht="45" customHeight="1" x14ac:dyDescent="0.8">
      <c r="A822" s="14">
        <v>2</v>
      </c>
      <c r="B822" s="15">
        <v>25</v>
      </c>
      <c r="C822" s="15">
        <v>257</v>
      </c>
      <c r="D822" s="15">
        <v>257</v>
      </c>
      <c r="E822" s="14">
        <v>257</v>
      </c>
      <c r="F822" s="16" t="s">
        <v>1014</v>
      </c>
      <c r="G822" s="17"/>
      <c r="H822" s="17"/>
      <c r="I822" s="56">
        <v>0</v>
      </c>
      <c r="J822" s="56"/>
      <c r="K822" s="56"/>
      <c r="L822" s="56"/>
      <c r="M822" s="56"/>
      <c r="N822" s="56"/>
      <c r="O822" s="56"/>
      <c r="P822" s="56"/>
      <c r="Q822" s="56"/>
      <c r="R822" s="56"/>
      <c r="S822" s="53"/>
      <c r="T822" s="33"/>
      <c r="U822" s="18"/>
      <c r="V822" s="19"/>
      <c r="W822" s="18"/>
      <c r="X822" s="18"/>
      <c r="Y822" s="19" t="s">
        <v>32</v>
      </c>
      <c r="Z822" s="19" t="str">
        <f>A822 &amp; "-" &amp; VLOOKUP(A822,[4]PROGRAMMES!$E$1:$F$7,2,FALSE)</f>
        <v>2-Qualité des enseignements et des apprentissages</v>
      </c>
      <c r="AA822" s="19" t="str">
        <f>B822 &amp; "-" &amp; VLOOKUP(B822,[4]SOUSPROGRAMMES!$E$1:$F$44,2,FALSE)</f>
        <v xml:space="preserve">25- Conditions d’apprentissage améliorées </v>
      </c>
      <c r="AB822" s="19" t="str">
        <f>C822 &amp; "-" &amp; VLOOKUP(C822,[4]RESULTATS!$E$1:$F$176,2,FALSE)</f>
        <v>257- Extension progressive de l'enseignement de l'anglais au secondaire(collège)</v>
      </c>
      <c r="AC822" s="20" t="str">
        <f>D822 &amp; "-" &amp; VLOOKUP(D822,[4]STRATEGIES!$E$1:$F$504,2,FALSE)</f>
        <v>257- Extension progressive de l'enseignement de l'anglais au secondaire(collège)</v>
      </c>
      <c r="AD822" s="21" t="str">
        <f t="shared" si="155"/>
        <v>257- Extension progressive de l'enseignement de l'anglais au secondaire(collège)</v>
      </c>
    </row>
    <row r="823" spans="1:30" s="22" customFormat="1" ht="45" customHeight="1" x14ac:dyDescent="0.8">
      <c r="A823" s="14">
        <v>2</v>
      </c>
      <c r="B823" s="15">
        <v>25</v>
      </c>
      <c r="C823" s="15">
        <v>257</v>
      </c>
      <c r="D823" s="15">
        <v>2571</v>
      </c>
      <c r="E823" s="14">
        <v>2571</v>
      </c>
      <c r="F823" s="16" t="s">
        <v>1015</v>
      </c>
      <c r="G823" s="17"/>
      <c r="H823" s="17"/>
      <c r="I823" s="56">
        <v>0</v>
      </c>
      <c r="J823" s="56"/>
      <c r="K823" s="56"/>
      <c r="L823" s="56"/>
      <c r="M823" s="56"/>
      <c r="N823" s="56"/>
      <c r="O823" s="56"/>
      <c r="P823" s="56"/>
      <c r="Q823" s="56"/>
      <c r="R823" s="56"/>
      <c r="S823" s="53"/>
      <c r="T823" s="33"/>
      <c r="U823" s="18"/>
      <c r="V823" s="19"/>
      <c r="W823" s="18"/>
      <c r="X823" s="18"/>
      <c r="Y823" s="19" t="s">
        <v>32</v>
      </c>
      <c r="Z823" s="19" t="str">
        <f>A823 &amp; "-" &amp; VLOOKUP(A823,[4]PROGRAMMES!$E$1:$F$7,2,FALSE)</f>
        <v>2-Qualité des enseignements et des apprentissages</v>
      </c>
      <c r="AA823" s="19" t="str">
        <f>B823 &amp; "-" &amp; VLOOKUP(B823,[4]SOUSPROGRAMMES!$E$1:$F$44,2,FALSE)</f>
        <v xml:space="preserve">25- Conditions d’apprentissage améliorées </v>
      </c>
      <c r="AB823" s="19" t="str">
        <f>C823 &amp; "-" &amp; VLOOKUP(C823,[4]RESULTATS!$E$1:$F$176,2,FALSE)</f>
        <v>257- Extension progressive de l'enseignement de l'anglais au secondaire(collège)</v>
      </c>
      <c r="AC823" s="20" t="str">
        <f>D823 &amp; "-" &amp; VLOOKUP(D823,[4]STRATEGIES!$E$1:$F$504,2,FALSE)</f>
        <v>2571-Recrutement de professeurs d'anglais en quantité suffisante</v>
      </c>
      <c r="AD823" s="21" t="str">
        <f t="shared" si="155"/>
        <v>2571-Recrutement de professeurs d'anglais en quantité suffisante</v>
      </c>
    </row>
    <row r="824" spans="1:30" s="22" customFormat="1" ht="45" customHeight="1" x14ac:dyDescent="0.8">
      <c r="A824" s="14">
        <v>2</v>
      </c>
      <c r="B824" s="15">
        <v>25</v>
      </c>
      <c r="C824" s="15">
        <v>257</v>
      </c>
      <c r="D824" s="15">
        <v>2571</v>
      </c>
      <c r="E824" s="14">
        <v>25711</v>
      </c>
      <c r="F824" s="16" t="s">
        <v>1016</v>
      </c>
      <c r="G824" s="21" t="s">
        <v>1017</v>
      </c>
      <c r="H824" s="17" t="s">
        <v>59</v>
      </c>
      <c r="I824" s="56">
        <v>0</v>
      </c>
      <c r="J824" s="56">
        <f>4*10*8</f>
        <v>320</v>
      </c>
      <c r="K824" s="56"/>
      <c r="L824" s="56"/>
      <c r="M824" s="56">
        <f t="shared" si="157"/>
        <v>320</v>
      </c>
      <c r="N824" s="56">
        <f>IF(OR(H824="",H824="sif",H824="PM"),0,VLOOKUP(H824,[5]CU!$C$4:$H$255,6,FALSE))</f>
        <v>0.8177777777777776</v>
      </c>
      <c r="O824" s="56">
        <f t="shared" si="159"/>
        <v>0</v>
      </c>
      <c r="P824" s="56">
        <f t="shared" si="159"/>
        <v>261.68888888888881</v>
      </c>
      <c r="Q824" s="56">
        <f t="shared" si="159"/>
        <v>0</v>
      </c>
      <c r="R824" s="56">
        <f t="shared" si="159"/>
        <v>0</v>
      </c>
      <c r="S824" s="53">
        <f>SUM(O824:R824)</f>
        <v>261.68888888888881</v>
      </c>
      <c r="T824" s="35" t="s">
        <v>118</v>
      </c>
      <c r="U824" s="18" t="s">
        <v>647</v>
      </c>
      <c r="V824" s="19" t="str">
        <f>IF(OR($H824="",$H824="sif",$H824="PM"),"",VLOOKUP($H824,[5]CU!$C$5:$J$255,8,FALSE))</f>
        <v>3. Dépenses de fonctionnement</v>
      </c>
      <c r="W824" s="18" t="s">
        <v>1018</v>
      </c>
      <c r="X824" s="18" t="s">
        <v>398</v>
      </c>
      <c r="Y824" s="19" t="s">
        <v>32</v>
      </c>
      <c r="Z824" s="19" t="str">
        <f>A824 &amp; "-" &amp; VLOOKUP(A824,[4]PROGRAMMES!$E$1:$F$7,2,FALSE)</f>
        <v>2-Qualité des enseignements et des apprentissages</v>
      </c>
      <c r="AA824" s="19" t="str">
        <f>B824 &amp; "-" &amp; VLOOKUP(B824,[4]SOUSPROGRAMMES!$E$1:$F$44,2,FALSE)</f>
        <v xml:space="preserve">25- Conditions d’apprentissage améliorées </v>
      </c>
      <c r="AB824" s="19" t="str">
        <f>C824 &amp; "-" &amp; VLOOKUP(C824,[4]RESULTATS!$E$1:$F$176,2,FALSE)</f>
        <v>257- Extension progressive de l'enseignement de l'anglais au secondaire(collège)</v>
      </c>
      <c r="AC824" s="20" t="str">
        <f>D824 &amp; "-" &amp; VLOOKUP(D824,[4]STRATEGIES!$E$1:$F$504,2,FALSE)</f>
        <v>2571-Recrutement de professeurs d'anglais en quantité suffisante</v>
      </c>
      <c r="AD824" s="21" t="str">
        <f t="shared" si="155"/>
        <v>25711-Réalisation d'une étude de suivi évaluation de l'initiative (besoins en enseignants anglophones, profils, besoins en formation continue, disponibilité ressources matérielles, pertinence, etc.)</v>
      </c>
    </row>
    <row r="825" spans="1:30" s="22" customFormat="1" ht="45" customHeight="1" x14ac:dyDescent="0.8">
      <c r="A825" s="14">
        <v>2</v>
      </c>
      <c r="B825" s="15">
        <v>25</v>
      </c>
      <c r="C825" s="15">
        <v>257</v>
      </c>
      <c r="D825" s="15">
        <v>2571</v>
      </c>
      <c r="E825" s="14">
        <v>25712</v>
      </c>
      <c r="F825" s="16" t="s">
        <v>1019</v>
      </c>
      <c r="G825" s="21" t="s">
        <v>37</v>
      </c>
      <c r="H825" s="17" t="s">
        <v>38</v>
      </c>
      <c r="I825" s="56">
        <v>0</v>
      </c>
      <c r="J825" s="56">
        <f>10*5</f>
        <v>50</v>
      </c>
      <c r="K825" s="56"/>
      <c r="L825" s="56"/>
      <c r="M825" s="56">
        <f t="shared" si="157"/>
        <v>50</v>
      </c>
      <c r="N825" s="56">
        <f>IF(OR(H825="",H825="sif",H825="PM"),0,VLOOKUP(H825,[5]CU!$C$4:$H$255,6,FALSE))</f>
        <v>0.3133333333333333</v>
      </c>
      <c r="O825" s="56">
        <f t="shared" si="159"/>
        <v>0</v>
      </c>
      <c r="P825" s="56">
        <f t="shared" si="159"/>
        <v>15.666666666666664</v>
      </c>
      <c r="Q825" s="56">
        <f t="shared" si="159"/>
        <v>0</v>
      </c>
      <c r="R825" s="56">
        <f t="shared" si="159"/>
        <v>0</v>
      </c>
      <c r="S825" s="53">
        <f>SUM(O825:R825)</f>
        <v>15.666666666666664</v>
      </c>
      <c r="T825" s="35" t="s">
        <v>118</v>
      </c>
      <c r="U825" s="18" t="s">
        <v>647</v>
      </c>
      <c r="V825" s="19" t="str">
        <f>IF(OR($H825="",$H825="sif",$H825="PM"),"",VLOOKUP($H825,[5]CU!$C$5:$J$255,8,FALSE))</f>
        <v>3. Formation</v>
      </c>
      <c r="W825" s="18" t="s">
        <v>1018</v>
      </c>
      <c r="X825" s="18" t="s">
        <v>398</v>
      </c>
      <c r="Y825" s="19" t="s">
        <v>32</v>
      </c>
      <c r="Z825" s="19" t="str">
        <f>A825 &amp; "-" &amp; VLOOKUP(A825,[4]PROGRAMMES!$E$1:$F$7,2,FALSE)</f>
        <v>2-Qualité des enseignements et des apprentissages</v>
      </c>
      <c r="AA825" s="19" t="str">
        <f>B825 &amp; "-" &amp; VLOOKUP(B825,[4]SOUSPROGRAMMES!$E$1:$F$44,2,FALSE)</f>
        <v xml:space="preserve">25- Conditions d’apprentissage améliorées </v>
      </c>
      <c r="AB825" s="19" t="str">
        <f>C825 &amp; "-" &amp; VLOOKUP(C825,[4]RESULTATS!$E$1:$F$176,2,FALSE)</f>
        <v>257- Extension progressive de l'enseignement de l'anglais au secondaire(collège)</v>
      </c>
      <c r="AC825" s="20" t="str">
        <f>D825 &amp; "-" &amp; VLOOKUP(D825,[4]STRATEGIES!$E$1:$F$504,2,FALSE)</f>
        <v>2571-Recrutement de professeurs d'anglais en quantité suffisante</v>
      </c>
      <c r="AD825" s="21" t="str">
        <f t="shared" si="155"/>
        <v>25712-Conception et élaboration des modules</v>
      </c>
    </row>
    <row r="826" spans="1:30" s="22" customFormat="1" ht="45" customHeight="1" x14ac:dyDescent="0.8">
      <c r="A826" s="14">
        <v>2</v>
      </c>
      <c r="B826" s="15">
        <v>25</v>
      </c>
      <c r="C826" s="15">
        <v>257</v>
      </c>
      <c r="D826" s="15">
        <v>2571</v>
      </c>
      <c r="E826" s="14">
        <v>25713</v>
      </c>
      <c r="F826" s="16" t="s">
        <v>1020</v>
      </c>
      <c r="G826" s="21" t="s">
        <v>1021</v>
      </c>
      <c r="H826" s="17" t="s">
        <v>1022</v>
      </c>
      <c r="I826" s="56">
        <v>0</v>
      </c>
      <c r="J826" s="56"/>
      <c r="K826" s="56"/>
      <c r="L826" s="56"/>
      <c r="M826" s="56"/>
      <c r="N826" s="56">
        <f>IF(OR(H826="",H826="sif",H826="PM"),0,VLOOKUP(H826,[5]CU!$C$4:$H$255,6,FALSE))</f>
        <v>0</v>
      </c>
      <c r="O826" s="56"/>
      <c r="P826" s="56"/>
      <c r="Q826" s="56"/>
      <c r="R826" s="56"/>
      <c r="S826" s="53"/>
      <c r="T826" s="35" t="s">
        <v>118</v>
      </c>
      <c r="U826" s="18" t="s">
        <v>647</v>
      </c>
      <c r="V826" s="19" t="str">
        <f>IF(OR($H826="",$H826="sif",$H826="PM"),"",VLOOKUP($H826,[5]CU!$C$5:$J$255,8,FALSE))</f>
        <v/>
      </c>
      <c r="W826" s="18" t="s">
        <v>142</v>
      </c>
      <c r="X826" s="18" t="s">
        <v>398</v>
      </c>
      <c r="Y826" s="19" t="s">
        <v>32</v>
      </c>
      <c r="Z826" s="19" t="str">
        <f>A826 &amp; "-" &amp; VLOOKUP(A826,[4]PROGRAMMES!$E$1:$F$7,2,FALSE)</f>
        <v>2-Qualité des enseignements et des apprentissages</v>
      </c>
      <c r="AA826" s="19" t="str">
        <f>B826 &amp; "-" &amp; VLOOKUP(B826,[4]SOUSPROGRAMMES!$E$1:$F$44,2,FALSE)</f>
        <v xml:space="preserve">25- Conditions d’apprentissage améliorées </v>
      </c>
      <c r="AB826" s="19" t="str">
        <f>C826 &amp; "-" &amp; VLOOKUP(C826,[4]RESULTATS!$E$1:$F$176,2,FALSE)</f>
        <v>257- Extension progressive de l'enseignement de l'anglais au secondaire(collège)</v>
      </c>
      <c r="AC826" s="20" t="str">
        <f>D826 &amp; "-" &amp; VLOOKUP(D826,[4]STRATEGIES!$E$1:$F$504,2,FALSE)</f>
        <v>2571-Recrutement de professeurs d'anglais en quantité suffisante</v>
      </c>
      <c r="AD826" s="21" t="str">
        <f t="shared" si="155"/>
        <v>25713-Dotation des enseignants d'anglais aux collèges</v>
      </c>
    </row>
    <row r="827" spans="1:30" s="22" customFormat="1" ht="45" customHeight="1" x14ac:dyDescent="0.8">
      <c r="A827" s="14">
        <v>2</v>
      </c>
      <c r="B827" s="15">
        <v>25</v>
      </c>
      <c r="C827" s="15">
        <v>257</v>
      </c>
      <c r="D827" s="15">
        <v>2571</v>
      </c>
      <c r="E827" s="14">
        <v>25714</v>
      </c>
      <c r="F827" s="16" t="s">
        <v>1023</v>
      </c>
      <c r="G827" s="21" t="s">
        <v>37</v>
      </c>
      <c r="H827" s="17" t="s">
        <v>38</v>
      </c>
      <c r="I827" s="56">
        <v>0</v>
      </c>
      <c r="J827" s="56">
        <f>100*7</f>
        <v>700</v>
      </c>
      <c r="K827" s="56"/>
      <c r="L827" s="56"/>
      <c r="M827" s="56">
        <f t="shared" ref="M827:M856" si="160">SUM(I827:L827)</f>
        <v>700</v>
      </c>
      <c r="N827" s="56">
        <f>IF(OR(H827="",H827="sif",H827="PM"),0,VLOOKUP(H827,[5]CU!$C$4:$H$255,6,FALSE))</f>
        <v>0.3133333333333333</v>
      </c>
      <c r="O827" s="56">
        <f t="shared" ref="O827:R871" si="161">IFERROR($N827*I827,0)</f>
        <v>0</v>
      </c>
      <c r="P827" s="56">
        <f t="shared" si="161"/>
        <v>219.33333333333331</v>
      </c>
      <c r="Q827" s="56">
        <f t="shared" si="161"/>
        <v>0</v>
      </c>
      <c r="R827" s="56">
        <f t="shared" si="161"/>
        <v>0</v>
      </c>
      <c r="S827" s="53">
        <f>SUM(O827:R827)</f>
        <v>219.33333333333331</v>
      </c>
      <c r="T827" s="35" t="s">
        <v>118</v>
      </c>
      <c r="U827" s="18" t="s">
        <v>647</v>
      </c>
      <c r="V827" s="19" t="str">
        <f>IF(OR($H827="",$H827="sif",$H827="PM"),"",VLOOKUP($H827,[5]CU!$C$5:$J$255,8,FALSE))</f>
        <v>3. Formation</v>
      </c>
      <c r="W827" s="18" t="s">
        <v>1018</v>
      </c>
      <c r="X827" s="18" t="s">
        <v>398</v>
      </c>
      <c r="Y827" s="19" t="s">
        <v>32</v>
      </c>
      <c r="Z827" s="19" t="str">
        <f>A827 &amp; "-" &amp; VLOOKUP(A827,[4]PROGRAMMES!$E$1:$F$7,2,FALSE)</f>
        <v>2-Qualité des enseignements et des apprentissages</v>
      </c>
      <c r="AA827" s="19" t="str">
        <f>B827 &amp; "-" &amp; VLOOKUP(B827,[4]SOUSPROGRAMMES!$E$1:$F$44,2,FALSE)</f>
        <v xml:space="preserve">25- Conditions d’apprentissage améliorées </v>
      </c>
      <c r="AB827" s="19" t="str">
        <f>C827 &amp; "-" &amp; VLOOKUP(C827,[4]RESULTATS!$E$1:$F$176,2,FALSE)</f>
        <v>257- Extension progressive de l'enseignement de l'anglais au secondaire(collège)</v>
      </c>
      <c r="AC827" s="20" t="str">
        <f>D827 &amp; "-" &amp; VLOOKUP(D827,[4]STRATEGIES!$E$1:$F$504,2,FALSE)</f>
        <v>2571-Recrutement de professeurs d'anglais en quantité suffisante</v>
      </c>
      <c r="AD827" s="21" t="str">
        <f t="shared" si="155"/>
        <v>25714-Appui en formation continue des professeurs d'anglais</v>
      </c>
    </row>
    <row r="828" spans="1:30" s="22" customFormat="1" ht="30" customHeight="1" x14ac:dyDescent="0.8">
      <c r="A828" s="14">
        <v>2</v>
      </c>
      <c r="B828" s="15">
        <v>25</v>
      </c>
      <c r="C828" s="15">
        <v>258</v>
      </c>
      <c r="D828" s="15">
        <v>258</v>
      </c>
      <c r="E828" s="14">
        <v>258</v>
      </c>
      <c r="F828" s="16" t="s">
        <v>1024</v>
      </c>
      <c r="G828" s="17"/>
      <c r="H828" s="17"/>
      <c r="I828" s="56">
        <v>0</v>
      </c>
      <c r="J828" s="56"/>
      <c r="K828" s="56"/>
      <c r="L828" s="56"/>
      <c r="M828" s="56"/>
      <c r="N828" s="56"/>
      <c r="O828" s="56"/>
      <c r="P828" s="56"/>
      <c r="Q828" s="56"/>
      <c r="R828" s="56"/>
      <c r="S828" s="53"/>
      <c r="T828" s="33"/>
      <c r="U828" s="18"/>
      <c r="V828" s="19"/>
      <c r="W828" s="18"/>
      <c r="X828" s="18"/>
      <c r="Y828" s="19" t="s">
        <v>32</v>
      </c>
      <c r="Z828" s="19" t="str">
        <f>A828 &amp; "-" &amp; VLOOKUP(A828,[4]PROGRAMMES!$E$1:$F$7,2,FALSE)</f>
        <v>2-Qualité des enseignements et des apprentissages</v>
      </c>
      <c r="AA828" s="19" t="str">
        <f>B828 &amp; "-" &amp; VLOOKUP(B828,[4]SOUSPROGRAMMES!$E$1:$F$44,2,FALSE)</f>
        <v xml:space="preserve">25- Conditions d’apprentissage améliorées </v>
      </c>
      <c r="AB828" s="19" t="str">
        <f>C828 &amp; "-" &amp; VLOOKUP(C828,[4]RESULTATS!$E$1:$F$176,2,FALSE)</f>
        <v>258- Les activités extrascolaires sont diversifiées</v>
      </c>
      <c r="AC828" s="20" t="str">
        <f>D828 &amp; "-" &amp; VLOOKUP(D828,[4]STRATEGIES!$E$1:$F$504,2,FALSE)</f>
        <v>258- Les activités extrascolaires sont diversifiées</v>
      </c>
      <c r="AD828" s="21" t="str">
        <f t="shared" si="155"/>
        <v>258- Les activités extrascolaires sont diversifiées</v>
      </c>
    </row>
    <row r="829" spans="1:30" s="22" customFormat="1" ht="30" customHeight="1" x14ac:dyDescent="0.8">
      <c r="A829" s="14">
        <v>2</v>
      </c>
      <c r="B829" s="15">
        <v>25</v>
      </c>
      <c r="C829" s="15">
        <v>258</v>
      </c>
      <c r="D829" s="15">
        <v>2581</v>
      </c>
      <c r="E829" s="14">
        <v>2581</v>
      </c>
      <c r="F829" s="16" t="s">
        <v>1025</v>
      </c>
      <c r="G829" s="17"/>
      <c r="H829" s="17"/>
      <c r="I829" s="56">
        <v>0</v>
      </c>
      <c r="J829" s="56"/>
      <c r="K829" s="56"/>
      <c r="L829" s="56"/>
      <c r="M829" s="56"/>
      <c r="N829" s="56"/>
      <c r="O829" s="56"/>
      <c r="P829" s="56"/>
      <c r="Q829" s="56"/>
      <c r="R829" s="56"/>
      <c r="S829" s="53"/>
      <c r="T829" s="33"/>
      <c r="U829" s="18"/>
      <c r="V829" s="19"/>
      <c r="W829" s="18"/>
      <c r="X829" s="18"/>
      <c r="Y829" s="19" t="s">
        <v>32</v>
      </c>
      <c r="Z829" s="19" t="str">
        <f>A829 &amp; "-" &amp; VLOOKUP(A829,[4]PROGRAMMES!$E$1:$F$7,2,FALSE)</f>
        <v>2-Qualité des enseignements et des apprentissages</v>
      </c>
      <c r="AA829" s="19" t="str">
        <f>B829 &amp; "-" &amp; VLOOKUP(B829,[4]SOUSPROGRAMMES!$E$1:$F$44,2,FALSE)</f>
        <v xml:space="preserve">25- Conditions d’apprentissage améliorées </v>
      </c>
      <c r="AB829" s="19" t="str">
        <f>C829 &amp; "-" &amp; VLOOKUP(C829,[4]RESULTATS!$E$1:$F$176,2,FALSE)</f>
        <v>258- Les activités extrascolaires sont diversifiées</v>
      </c>
      <c r="AC829" s="20" t="str">
        <f>D829 &amp; "-" &amp; VLOOKUP(D829,[4]STRATEGIES!$E$1:$F$504,2,FALSE)</f>
        <v>2581-Renforcement des activités artistiques, culturelles et sportives dans les écoles</v>
      </c>
      <c r="AD829" s="21" t="str">
        <f t="shared" si="155"/>
        <v>2581-Renforcement des activités artistiques, culturelles et sportives dans les écoles</v>
      </c>
    </row>
    <row r="830" spans="1:30" s="22" customFormat="1" ht="30" customHeight="1" x14ac:dyDescent="0.8">
      <c r="A830" s="14">
        <v>2</v>
      </c>
      <c r="B830" s="15">
        <v>25</v>
      </c>
      <c r="C830" s="15">
        <v>258</v>
      </c>
      <c r="D830" s="15">
        <v>2581</v>
      </c>
      <c r="E830" s="14">
        <v>25811</v>
      </c>
      <c r="F830" s="16" t="s">
        <v>1026</v>
      </c>
      <c r="G830" s="21" t="s">
        <v>37</v>
      </c>
      <c r="H830" s="17" t="s">
        <v>66</v>
      </c>
      <c r="I830" s="56">
        <v>0</v>
      </c>
      <c r="J830" s="56">
        <f>20*5</f>
        <v>100</v>
      </c>
      <c r="K830" s="56"/>
      <c r="L830" s="56"/>
      <c r="M830" s="56">
        <f t="shared" si="160"/>
        <v>100</v>
      </c>
      <c r="N830" s="56">
        <f>IF(OR(H830="",H830="sif",H830="PM"),0,VLOOKUP(H830,[5]CU!$C$4:$H$255,6,FALSE))</f>
        <v>0.255</v>
      </c>
      <c r="O830" s="56">
        <f t="shared" si="161"/>
        <v>0</v>
      </c>
      <c r="P830" s="56">
        <f t="shared" si="161"/>
        <v>25.5</v>
      </c>
      <c r="Q830" s="56">
        <f t="shared" si="161"/>
        <v>0</v>
      </c>
      <c r="R830" s="56">
        <f t="shared" si="161"/>
        <v>0</v>
      </c>
      <c r="S830" s="53">
        <f>SUM(O830:R830)</f>
        <v>25.5</v>
      </c>
      <c r="T830" s="35" t="s">
        <v>118</v>
      </c>
      <c r="U830" s="18" t="s">
        <v>647</v>
      </c>
      <c r="V830" s="19" t="str">
        <f>IF(OR($H830="",$H830="sif",$H830="PM"),"",VLOOKUP($H830,[5]CU!$C$5:$J$255,8,FALSE))</f>
        <v>3. Dépenses de fonctionnement</v>
      </c>
      <c r="W830" s="18" t="s">
        <v>1027</v>
      </c>
      <c r="X830" s="18" t="s">
        <v>1027</v>
      </c>
      <c r="Y830" s="19" t="s">
        <v>32</v>
      </c>
      <c r="Z830" s="19" t="str">
        <f>A830 &amp; "-" &amp; VLOOKUP(A830,[4]PROGRAMMES!$E$1:$F$7,2,FALSE)</f>
        <v>2-Qualité des enseignements et des apprentissages</v>
      </c>
      <c r="AA830" s="19" t="str">
        <f>B830 &amp; "-" &amp; VLOOKUP(B830,[4]SOUSPROGRAMMES!$E$1:$F$44,2,FALSE)</f>
        <v xml:space="preserve">25- Conditions d’apprentissage améliorées </v>
      </c>
      <c r="AB830" s="19" t="str">
        <f>C830 &amp; "-" &amp; VLOOKUP(C830,[4]RESULTATS!$E$1:$F$176,2,FALSE)</f>
        <v>258- Les activités extrascolaires sont diversifiées</v>
      </c>
      <c r="AC830" s="20" t="str">
        <f>D830 &amp; "-" &amp; VLOOKUP(D830,[4]STRATEGIES!$E$1:$F$504,2,FALSE)</f>
        <v>2581-Renforcement des activités artistiques, culturelles et sportives dans les écoles</v>
      </c>
      <c r="AD830" s="21" t="str">
        <f t="shared" si="155"/>
        <v>25811-Actualisation du document de politique sur les activités artistiques, culturelles et sportives en milieu scolaire</v>
      </c>
    </row>
    <row r="831" spans="1:30" s="22" customFormat="1" ht="30" customHeight="1" x14ac:dyDescent="0.8">
      <c r="A831" s="14">
        <v>2</v>
      </c>
      <c r="B831" s="15">
        <v>25</v>
      </c>
      <c r="C831" s="15">
        <v>258</v>
      </c>
      <c r="D831" s="15">
        <v>2581</v>
      </c>
      <c r="E831" s="14">
        <v>25812</v>
      </c>
      <c r="F831" s="16" t="s">
        <v>1028</v>
      </c>
      <c r="G831" s="21" t="s">
        <v>37</v>
      </c>
      <c r="H831" s="17" t="s">
        <v>38</v>
      </c>
      <c r="I831" s="56">
        <v>0</v>
      </c>
      <c r="J831" s="56">
        <f>50*2</f>
        <v>100</v>
      </c>
      <c r="K831" s="56"/>
      <c r="L831" s="56"/>
      <c r="M831" s="56">
        <f t="shared" si="160"/>
        <v>100</v>
      </c>
      <c r="N831" s="56">
        <f>IF(OR(H831="",H831="sif",H831="PM"),0,VLOOKUP(H831,[5]CU!$C$4:$H$255,6,FALSE))</f>
        <v>0.3133333333333333</v>
      </c>
      <c r="O831" s="56">
        <f t="shared" si="161"/>
        <v>0</v>
      </c>
      <c r="P831" s="56">
        <f t="shared" si="161"/>
        <v>31.333333333333329</v>
      </c>
      <c r="Q831" s="56">
        <f t="shared" si="161"/>
        <v>0</v>
      </c>
      <c r="R831" s="56">
        <f t="shared" si="161"/>
        <v>0</v>
      </c>
      <c r="S831" s="53">
        <f>SUM(O831:R831)</f>
        <v>31.333333333333329</v>
      </c>
      <c r="T831" s="35" t="s">
        <v>118</v>
      </c>
      <c r="U831" s="18" t="s">
        <v>647</v>
      </c>
      <c r="V831" s="19" t="str">
        <f>IF(OR($H831="",$H831="sif",$H831="PM"),"",VLOOKUP($H831,[5]CU!$C$5:$J$255,8,FALSE))</f>
        <v>3. Formation</v>
      </c>
      <c r="W831" s="18" t="s">
        <v>1027</v>
      </c>
      <c r="X831" s="18" t="s">
        <v>1027</v>
      </c>
      <c r="Y831" s="19" t="s">
        <v>32</v>
      </c>
      <c r="Z831" s="19" t="str">
        <f>A831 &amp; "-" &amp; VLOOKUP(A831,[4]PROGRAMMES!$E$1:$F$7,2,FALSE)</f>
        <v>2-Qualité des enseignements et des apprentissages</v>
      </c>
      <c r="AA831" s="19" t="str">
        <f>B831 &amp; "-" &amp; VLOOKUP(B831,[4]SOUSPROGRAMMES!$E$1:$F$44,2,FALSE)</f>
        <v xml:space="preserve">25- Conditions d’apprentissage améliorées </v>
      </c>
      <c r="AB831" s="19" t="str">
        <f>C831 &amp; "-" &amp; VLOOKUP(C831,[4]RESULTATS!$E$1:$F$176,2,FALSE)</f>
        <v>258- Les activités extrascolaires sont diversifiées</v>
      </c>
      <c r="AC831" s="20" t="str">
        <f>D831 &amp; "-" &amp; VLOOKUP(D831,[4]STRATEGIES!$E$1:$F$504,2,FALSE)</f>
        <v>2581-Renforcement des activités artistiques, culturelles et sportives dans les écoles</v>
      </c>
      <c r="AD831" s="21" t="str">
        <f t="shared" si="155"/>
        <v>25812-Validation du document de politique sur les activités artistiques, culturelles et sportives en milieu scolaire</v>
      </c>
    </row>
    <row r="832" spans="1:30" s="22" customFormat="1" ht="30" customHeight="1" x14ac:dyDescent="0.8">
      <c r="A832" s="14">
        <v>2</v>
      </c>
      <c r="B832" s="15">
        <v>25</v>
      </c>
      <c r="C832" s="15">
        <v>258</v>
      </c>
      <c r="D832" s="15">
        <v>2581</v>
      </c>
      <c r="E832" s="14">
        <v>25813</v>
      </c>
      <c r="F832" s="16" t="s">
        <v>1029</v>
      </c>
      <c r="G832" s="21" t="s">
        <v>44</v>
      </c>
      <c r="H832" s="17" t="s">
        <v>313</v>
      </c>
      <c r="I832" s="56">
        <v>0</v>
      </c>
      <c r="J832" s="56">
        <f>1000</f>
        <v>1000</v>
      </c>
      <c r="K832" s="56"/>
      <c r="L832" s="56"/>
      <c r="M832" s="56">
        <f t="shared" si="160"/>
        <v>1000</v>
      </c>
      <c r="N832" s="56">
        <f>IF(OR(H832="",H832="sif",H832="PM"),0,VLOOKUP(H832,[5]CU!$C$4:$H$255,6,FALSE))</f>
        <v>7.4999999999999997E-3</v>
      </c>
      <c r="O832" s="56">
        <f t="shared" si="161"/>
        <v>0</v>
      </c>
      <c r="P832" s="56">
        <f t="shared" si="161"/>
        <v>7.5</v>
      </c>
      <c r="Q832" s="56">
        <f t="shared" si="161"/>
        <v>0</v>
      </c>
      <c r="R832" s="56">
        <f t="shared" si="161"/>
        <v>0</v>
      </c>
      <c r="S832" s="53">
        <f>SUM(O832:R832)</f>
        <v>7.5</v>
      </c>
      <c r="T832" s="35" t="s">
        <v>118</v>
      </c>
      <c r="U832" s="18" t="s">
        <v>647</v>
      </c>
      <c r="V832" s="19" t="str">
        <f>IF(OR($H832="",$H832="sif",$H832="PM"),"",VLOOKUP($H832,[5]CU!$C$5:$J$255,8,FALSE))</f>
        <v>3. Dépenses de fonctionnement</v>
      </c>
      <c r="W832" s="18" t="s">
        <v>1027</v>
      </c>
      <c r="X832" s="18" t="s">
        <v>1027</v>
      </c>
      <c r="Y832" s="19" t="s">
        <v>32</v>
      </c>
      <c r="Z832" s="19" t="str">
        <f>A832 &amp; "-" &amp; VLOOKUP(A832,[4]PROGRAMMES!$E$1:$F$7,2,FALSE)</f>
        <v>2-Qualité des enseignements et des apprentissages</v>
      </c>
      <c r="AA832" s="19" t="str">
        <f>B832 &amp; "-" &amp; VLOOKUP(B832,[4]SOUSPROGRAMMES!$E$1:$F$44,2,FALSE)</f>
        <v xml:space="preserve">25- Conditions d’apprentissage améliorées </v>
      </c>
      <c r="AB832" s="19" t="str">
        <f>C832 &amp; "-" &amp; VLOOKUP(C832,[4]RESULTATS!$E$1:$F$176,2,FALSE)</f>
        <v>258- Les activités extrascolaires sont diversifiées</v>
      </c>
      <c r="AC832" s="20" t="str">
        <f>D832 &amp; "-" &amp; VLOOKUP(D832,[4]STRATEGIES!$E$1:$F$504,2,FALSE)</f>
        <v>2581-Renforcement des activités artistiques, culturelles et sportives dans les écoles</v>
      </c>
      <c r="AD832" s="21" t="str">
        <f t="shared" si="155"/>
        <v>25813-Impression du document de politique sur les activités artistiques, culturelles et sportives en milieu scolaire</v>
      </c>
    </row>
    <row r="833" spans="1:30" s="22" customFormat="1" ht="30" customHeight="1" x14ac:dyDescent="0.8">
      <c r="A833" s="14">
        <v>2</v>
      </c>
      <c r="B833" s="15">
        <v>25</v>
      </c>
      <c r="C833" s="15">
        <v>258</v>
      </c>
      <c r="D833" s="15">
        <v>2581</v>
      </c>
      <c r="E833" s="14">
        <v>25814</v>
      </c>
      <c r="F833" s="16" t="s">
        <v>1030</v>
      </c>
      <c r="G833" s="21" t="s">
        <v>37</v>
      </c>
      <c r="H833" s="17" t="s">
        <v>38</v>
      </c>
      <c r="I833" s="56">
        <v>0</v>
      </c>
      <c r="J833" s="56"/>
      <c r="K833" s="56">
        <f>30*2*8</f>
        <v>480</v>
      </c>
      <c r="L833" s="56"/>
      <c r="M833" s="56">
        <f t="shared" si="160"/>
        <v>480</v>
      </c>
      <c r="N833" s="56">
        <f>IF(OR(H833="",H833="sif",H833="PM"),0,VLOOKUP(H833,[5]CU!$C$4:$H$255,6,FALSE))</f>
        <v>0.3133333333333333</v>
      </c>
      <c r="O833" s="56">
        <f t="shared" si="161"/>
        <v>0</v>
      </c>
      <c r="P833" s="56">
        <f t="shared" si="161"/>
        <v>0</v>
      </c>
      <c r="Q833" s="56">
        <f t="shared" si="161"/>
        <v>150.39999999999998</v>
      </c>
      <c r="R833" s="56">
        <f t="shared" si="161"/>
        <v>0</v>
      </c>
      <c r="S833" s="53">
        <f>SUM(O833:R833)</f>
        <v>150.39999999999998</v>
      </c>
      <c r="T833" s="35" t="s">
        <v>118</v>
      </c>
      <c r="U833" s="18" t="s">
        <v>647</v>
      </c>
      <c r="V833" s="19" t="str">
        <f>IF(OR($H833="",$H833="sif",$H833="PM"),"",VLOOKUP($H833,[5]CU!$C$5:$J$255,8,FALSE))</f>
        <v>3. Formation</v>
      </c>
      <c r="W833" s="18" t="s">
        <v>1027</v>
      </c>
      <c r="X833" s="18" t="s">
        <v>1027</v>
      </c>
      <c r="Y833" s="19" t="s">
        <v>32</v>
      </c>
      <c r="Z833" s="19" t="str">
        <f>A833 &amp; "-" &amp; VLOOKUP(A833,[4]PROGRAMMES!$E$1:$F$7,2,FALSE)</f>
        <v>2-Qualité des enseignements et des apprentissages</v>
      </c>
      <c r="AA833" s="19" t="str">
        <f>B833 &amp; "-" &amp; VLOOKUP(B833,[4]SOUSPROGRAMMES!$E$1:$F$44,2,FALSE)</f>
        <v xml:space="preserve">25- Conditions d’apprentissage améliorées </v>
      </c>
      <c r="AB833" s="19" t="str">
        <f>C833 &amp; "-" &amp; VLOOKUP(C833,[4]RESULTATS!$E$1:$F$176,2,FALSE)</f>
        <v>258- Les activités extrascolaires sont diversifiées</v>
      </c>
      <c r="AC833" s="20" t="str">
        <f>D833 &amp; "-" &amp; VLOOKUP(D833,[4]STRATEGIES!$E$1:$F$504,2,FALSE)</f>
        <v>2581-Renforcement des activités artistiques, culturelles et sportives dans les écoles</v>
      </c>
      <c r="AD833" s="21" t="str">
        <f t="shared" si="155"/>
        <v>25814-Vulgarisation du document de politique sur les activités artistiques, culturelles et sportives en milieu scolaire</v>
      </c>
    </row>
    <row r="834" spans="1:30" s="22" customFormat="1" ht="30" hidden="1" customHeight="1" x14ac:dyDescent="0.8">
      <c r="A834" s="14">
        <v>2</v>
      </c>
      <c r="B834" s="15">
        <v>25</v>
      </c>
      <c r="C834" s="15">
        <v>258</v>
      </c>
      <c r="D834" s="15">
        <v>2581</v>
      </c>
      <c r="E834" s="14">
        <v>25815</v>
      </c>
      <c r="F834" s="16" t="s">
        <v>1031</v>
      </c>
      <c r="G834" s="21" t="s">
        <v>92</v>
      </c>
      <c r="H834" s="17" t="s">
        <v>55</v>
      </c>
      <c r="I834" s="56">
        <v>0</v>
      </c>
      <c r="J834" s="56">
        <v>427</v>
      </c>
      <c r="K834" s="56">
        <v>427</v>
      </c>
      <c r="L834" s="56">
        <v>427</v>
      </c>
      <c r="M834" s="56">
        <f t="shared" si="160"/>
        <v>1281</v>
      </c>
      <c r="N834" s="56">
        <f>IF(OR(H834="",H834="sif",H834="PM"),0,VLOOKUP(H834,[5]CU!$C$4:$H$255,6,FALSE))</f>
        <v>0</v>
      </c>
      <c r="O834" s="56">
        <f t="shared" si="161"/>
        <v>0</v>
      </c>
      <c r="P834" s="56">
        <f t="shared" si="161"/>
        <v>0</v>
      </c>
      <c r="Q834" s="56">
        <f t="shared" si="161"/>
        <v>0</v>
      </c>
      <c r="R834" s="56">
        <f t="shared" si="161"/>
        <v>0</v>
      </c>
      <c r="S834" s="53"/>
      <c r="T834" s="35" t="s">
        <v>56</v>
      </c>
      <c r="U834" s="18" t="s">
        <v>647</v>
      </c>
      <c r="V834" s="19" t="str">
        <f>IF(OR($H834="",$H834="sif",$H834="PM"),"",VLOOKUP($H834,[5]CU!$C$5:$J$255,8,FALSE))</f>
        <v/>
      </c>
      <c r="W834" s="18" t="s">
        <v>77</v>
      </c>
      <c r="X834" s="18" t="s">
        <v>193</v>
      </c>
      <c r="Y834" s="19" t="s">
        <v>32</v>
      </c>
      <c r="Z834" s="19" t="str">
        <f>A834 &amp; "-" &amp; VLOOKUP(A834,[4]PROGRAMMES!$E$1:$F$7,2,FALSE)</f>
        <v>2-Qualité des enseignements et des apprentissages</v>
      </c>
      <c r="AA834" s="19" t="str">
        <f>B834 &amp; "-" &amp; VLOOKUP(B834,[4]SOUSPROGRAMMES!$E$1:$F$44,2,FALSE)</f>
        <v xml:space="preserve">25- Conditions d’apprentissage améliorées </v>
      </c>
      <c r="AB834" s="19" t="str">
        <f>C834 &amp; "-" &amp; VLOOKUP(C834,[4]RESULTATS!$E$1:$F$176,2,FALSE)</f>
        <v>258- Les activités extrascolaires sont diversifiées</v>
      </c>
      <c r="AC834" s="20" t="str">
        <f>D834 &amp; "-" &amp; VLOOKUP(D834,[4]STRATEGIES!$E$1:$F$504,2,FALSE)</f>
        <v>2581-Renforcement des activités artistiques, culturelles et sportives dans les écoles</v>
      </c>
      <c r="AD834" s="21" t="str">
        <f t="shared" si="155"/>
        <v>25815-Organisation de compétitions sportives, artistiques et culturelles au niveau DSEE (prise en compte dans activité 12438)</v>
      </c>
    </row>
    <row r="835" spans="1:30" s="22" customFormat="1" ht="30" hidden="1" customHeight="1" x14ac:dyDescent="0.8">
      <c r="A835" s="14">
        <v>2</v>
      </c>
      <c r="B835" s="15">
        <v>25</v>
      </c>
      <c r="C835" s="15">
        <v>258</v>
      </c>
      <c r="D835" s="15">
        <v>2581</v>
      </c>
      <c r="E835" s="14">
        <v>25816</v>
      </c>
      <c r="F835" s="16" t="s">
        <v>1032</v>
      </c>
      <c r="G835" s="21" t="s">
        <v>92</v>
      </c>
      <c r="H835" s="17" t="s">
        <v>55</v>
      </c>
      <c r="I835" s="56">
        <v>0</v>
      </c>
      <c r="J835" s="56">
        <v>38</v>
      </c>
      <c r="K835" s="56">
        <v>38</v>
      </c>
      <c r="L835" s="56">
        <v>38</v>
      </c>
      <c r="M835" s="56">
        <f t="shared" si="160"/>
        <v>114</v>
      </c>
      <c r="N835" s="56">
        <f>IF(OR(H835="",H835="sif",H835="PM"),0,VLOOKUP(H835,[5]CU!$C$4:$H$255,6,FALSE))</f>
        <v>0</v>
      </c>
      <c r="O835" s="56">
        <f t="shared" si="161"/>
        <v>0</v>
      </c>
      <c r="P835" s="56">
        <f t="shared" si="161"/>
        <v>0</v>
      </c>
      <c r="Q835" s="56">
        <f t="shared" si="161"/>
        <v>0</v>
      </c>
      <c r="R835" s="56">
        <f t="shared" si="161"/>
        <v>0</v>
      </c>
      <c r="S835" s="53"/>
      <c r="T835" s="35" t="s">
        <v>56</v>
      </c>
      <c r="U835" s="18" t="s">
        <v>647</v>
      </c>
      <c r="V835" s="19" t="str">
        <f>IF(OR($H835="",$H835="sif",$H835="PM"),"",VLOOKUP($H835,[5]CU!$C$5:$J$255,8,FALSE))</f>
        <v/>
      </c>
      <c r="W835" s="18" t="s">
        <v>282</v>
      </c>
      <c r="X835" s="18" t="s">
        <v>77</v>
      </c>
      <c r="Y835" s="19" t="s">
        <v>32</v>
      </c>
      <c r="Z835" s="19" t="str">
        <f>A835 &amp; "-" &amp; VLOOKUP(A835,[4]PROGRAMMES!$E$1:$F$7,2,FALSE)</f>
        <v>2-Qualité des enseignements et des apprentissages</v>
      </c>
      <c r="AA835" s="19" t="str">
        <f>B835 &amp; "-" &amp; VLOOKUP(B835,[4]SOUSPROGRAMMES!$E$1:$F$44,2,FALSE)</f>
        <v xml:space="preserve">25- Conditions d’apprentissage améliorées </v>
      </c>
      <c r="AB835" s="19" t="str">
        <f>C835 &amp; "-" &amp; VLOOKUP(C835,[4]RESULTATS!$E$1:$F$176,2,FALSE)</f>
        <v>258- Les activités extrascolaires sont diversifiées</v>
      </c>
      <c r="AC835" s="20" t="str">
        <f>D835 &amp; "-" &amp; VLOOKUP(D835,[4]STRATEGIES!$E$1:$F$504,2,FALSE)</f>
        <v>2581-Renforcement des activités artistiques, culturelles et sportives dans les écoles</v>
      </c>
      <c r="AD835" s="21" t="str">
        <f t="shared" si="155"/>
        <v>25816-Organisation de compétitions sportives, artistiques et culturelles au niveau DPE/DCE (prise en compte dans activité 12438)</v>
      </c>
    </row>
    <row r="836" spans="1:30" s="22" customFormat="1" ht="30" hidden="1" customHeight="1" x14ac:dyDescent="0.8">
      <c r="A836" s="14">
        <v>2</v>
      </c>
      <c r="B836" s="15">
        <v>25</v>
      </c>
      <c r="C836" s="15">
        <v>258</v>
      </c>
      <c r="D836" s="15">
        <v>2581</v>
      </c>
      <c r="E836" s="14">
        <v>25817</v>
      </c>
      <c r="F836" s="16" t="s">
        <v>1033</v>
      </c>
      <c r="G836" s="21" t="s">
        <v>92</v>
      </c>
      <c r="H836" s="17" t="s">
        <v>55</v>
      </c>
      <c r="I836" s="56">
        <v>0</v>
      </c>
      <c r="J836" s="56">
        <v>8</v>
      </c>
      <c r="K836" s="56">
        <v>8</v>
      </c>
      <c r="L836" s="56">
        <v>8</v>
      </c>
      <c r="M836" s="56">
        <f t="shared" si="160"/>
        <v>24</v>
      </c>
      <c r="N836" s="56">
        <f>IF(OR(H836="",H836="sif",H836="PM"),0,VLOOKUP(H836,[5]CU!$C$4:$H$255,6,FALSE))</f>
        <v>0</v>
      </c>
      <c r="O836" s="56">
        <f t="shared" si="161"/>
        <v>0</v>
      </c>
      <c r="P836" s="56">
        <f t="shared" si="161"/>
        <v>0</v>
      </c>
      <c r="Q836" s="56">
        <f t="shared" si="161"/>
        <v>0</v>
      </c>
      <c r="R836" s="56">
        <f t="shared" si="161"/>
        <v>0</v>
      </c>
      <c r="S836" s="53"/>
      <c r="T836" s="35" t="s">
        <v>56</v>
      </c>
      <c r="U836" s="18" t="s">
        <v>647</v>
      </c>
      <c r="V836" s="19" t="str">
        <f>IF(OR($H836="",$H836="sif",$H836="PM"),"",VLOOKUP($H836,[5]CU!$C$5:$J$255,8,FALSE))</f>
        <v/>
      </c>
      <c r="W836" s="18" t="s">
        <v>1027</v>
      </c>
      <c r="X836" s="18" t="s">
        <v>282</v>
      </c>
      <c r="Y836" s="19" t="s">
        <v>32</v>
      </c>
      <c r="Z836" s="19" t="str">
        <f>A836 &amp; "-" &amp; VLOOKUP(A836,[4]PROGRAMMES!$E$1:$F$7,2,FALSE)</f>
        <v>2-Qualité des enseignements et des apprentissages</v>
      </c>
      <c r="AA836" s="19" t="str">
        <f>B836 &amp; "-" &amp; VLOOKUP(B836,[4]SOUSPROGRAMMES!$E$1:$F$44,2,FALSE)</f>
        <v xml:space="preserve">25- Conditions d’apprentissage améliorées </v>
      </c>
      <c r="AB836" s="19" t="str">
        <f>C836 &amp; "-" &amp; VLOOKUP(C836,[4]RESULTATS!$E$1:$F$176,2,FALSE)</f>
        <v>258- Les activités extrascolaires sont diversifiées</v>
      </c>
      <c r="AC836" s="20" t="str">
        <f>D836 &amp; "-" &amp; VLOOKUP(D836,[4]STRATEGIES!$E$1:$F$504,2,FALSE)</f>
        <v>2581-Renforcement des activités artistiques, culturelles et sportives dans les écoles</v>
      </c>
      <c r="AD836" s="21" t="str">
        <f t="shared" ref="AD836:AD899" si="162">E836 &amp; "-" &amp; F836</f>
        <v>25817-Organisation de compétitions sportives, artistiques et culturelles au niveau IRE (prise en compte dans activité 12438)</v>
      </c>
    </row>
    <row r="837" spans="1:30" s="22" customFormat="1" ht="30" hidden="1" customHeight="1" x14ac:dyDescent="0.8">
      <c r="A837" s="14">
        <v>2</v>
      </c>
      <c r="B837" s="15">
        <v>25</v>
      </c>
      <c r="C837" s="15">
        <v>258</v>
      </c>
      <c r="D837" s="15">
        <v>2581</v>
      </c>
      <c r="E837" s="14">
        <v>25818</v>
      </c>
      <c r="F837" s="16" t="s">
        <v>1034</v>
      </c>
      <c r="G837" s="21" t="s">
        <v>1035</v>
      </c>
      <c r="H837" s="17" t="s">
        <v>1036</v>
      </c>
      <c r="I837" s="56">
        <v>0</v>
      </c>
      <c r="J837" s="56">
        <v>1</v>
      </c>
      <c r="K837" s="56">
        <v>1</v>
      </c>
      <c r="L837" s="56">
        <v>1</v>
      </c>
      <c r="M837" s="56">
        <f t="shared" si="160"/>
        <v>3</v>
      </c>
      <c r="N837" s="56">
        <f>IF(OR(H837="",H837="sif",H837="PM"),0,VLOOKUP(H837,[5]CU!$C$4:$H$255,6,FALSE))</f>
        <v>185.47499999999999</v>
      </c>
      <c r="O837" s="56">
        <f t="shared" si="161"/>
        <v>0</v>
      </c>
      <c r="P837" s="56">
        <f t="shared" si="161"/>
        <v>185.47499999999999</v>
      </c>
      <c r="Q837" s="56">
        <f t="shared" si="161"/>
        <v>185.47499999999999</v>
      </c>
      <c r="R837" s="56">
        <f t="shared" si="161"/>
        <v>185.47499999999999</v>
      </c>
      <c r="S837" s="53">
        <f t="shared" ref="S837:S859" si="163">SUM(O837:R837)</f>
        <v>556.42499999999995</v>
      </c>
      <c r="T837" s="35" t="s">
        <v>56</v>
      </c>
      <c r="U837" s="18" t="s">
        <v>647</v>
      </c>
      <c r="V837" s="19" t="str">
        <f>IF(OR($H837="",$H837="sif",$H837="PM"),"",VLOOKUP($H837,[5]CU!$C$5:$J$255,8,FALSE))</f>
        <v>4. Transferts et subventions</v>
      </c>
      <c r="W837" s="18" t="s">
        <v>1027</v>
      </c>
      <c r="X837" s="18" t="s">
        <v>1027</v>
      </c>
      <c r="Y837" s="19" t="s">
        <v>32</v>
      </c>
      <c r="Z837" s="19" t="str">
        <f>A837 &amp; "-" &amp; VLOOKUP(A837,[4]PROGRAMMES!$E$1:$F$7,2,FALSE)</f>
        <v>2-Qualité des enseignements et des apprentissages</v>
      </c>
      <c r="AA837" s="19" t="str">
        <f>B837 &amp; "-" &amp; VLOOKUP(B837,[4]SOUSPROGRAMMES!$E$1:$F$44,2,FALSE)</f>
        <v xml:space="preserve">25- Conditions d’apprentissage améliorées </v>
      </c>
      <c r="AB837" s="19" t="str">
        <f>C837 &amp; "-" &amp; VLOOKUP(C837,[4]RESULTATS!$E$1:$F$176,2,FALSE)</f>
        <v>258- Les activités extrascolaires sont diversifiées</v>
      </c>
      <c r="AC837" s="20" t="str">
        <f>D837 &amp; "-" &amp; VLOOKUP(D837,[4]STRATEGIES!$E$1:$F$504,2,FALSE)</f>
        <v>2581-Renforcement des activités artistiques, culturelles et sportives dans les écoles</v>
      </c>
      <c r="AD837" s="21" t="str">
        <f t="shared" si="162"/>
        <v>25818-Organisation de compétitions sportives, artistiques et culturelles au niveau National</v>
      </c>
    </row>
    <row r="838" spans="1:30" s="22" customFormat="1" ht="15" customHeight="1" x14ac:dyDescent="0.8">
      <c r="A838" s="14">
        <v>2</v>
      </c>
      <c r="B838" s="15">
        <v>26</v>
      </c>
      <c r="C838" s="15">
        <v>26</v>
      </c>
      <c r="D838" s="15">
        <v>26</v>
      </c>
      <c r="E838" s="14">
        <v>26</v>
      </c>
      <c r="F838" s="16" t="s">
        <v>1037</v>
      </c>
      <c r="G838" s="17"/>
      <c r="H838" s="17"/>
      <c r="I838" s="56">
        <v>0</v>
      </c>
      <c r="J838" s="56"/>
      <c r="K838" s="56"/>
      <c r="L838" s="56"/>
      <c r="M838" s="56"/>
      <c r="N838" s="56"/>
      <c r="O838" s="56"/>
      <c r="P838" s="56"/>
      <c r="Q838" s="56"/>
      <c r="R838" s="56"/>
      <c r="S838" s="53"/>
      <c r="T838" s="33"/>
      <c r="U838" s="18"/>
      <c r="V838" s="19"/>
      <c r="W838" s="18"/>
      <c r="X838" s="18"/>
      <c r="Y838" s="19" t="s">
        <v>32</v>
      </c>
      <c r="Z838" s="19" t="str">
        <f>A838 &amp; "-" &amp; VLOOKUP(A838,[4]PROGRAMMES!$E$1:$F$7,2,FALSE)</f>
        <v>2-Qualité des enseignements et des apprentissages</v>
      </c>
      <c r="AA838" s="19" t="str">
        <f>B838 &amp; "-" &amp; VLOOKUP(B838,[4]SOUSPROGRAMMES!$E$1:$F$44,2,FALSE)</f>
        <v>26- Examen et évaluation</v>
      </c>
      <c r="AB838" s="19" t="str">
        <f>C838 &amp; "-" &amp; VLOOKUP(C838,[4]RESULTATS!$E$1:$F$176,2,FALSE)</f>
        <v>26- Examen et évaluation</v>
      </c>
      <c r="AC838" s="20" t="str">
        <f>D838 &amp; "-" &amp; VLOOKUP(D838,[4]STRATEGIES!$E$1:$F$504,2,FALSE)</f>
        <v>26- Examen et évaluation</v>
      </c>
      <c r="AD838" s="21" t="str">
        <f t="shared" si="162"/>
        <v>26- Examen et évaluation</v>
      </c>
    </row>
    <row r="839" spans="1:30" s="22" customFormat="1" ht="45" customHeight="1" x14ac:dyDescent="0.8">
      <c r="A839" s="14">
        <v>2</v>
      </c>
      <c r="B839" s="15">
        <v>26</v>
      </c>
      <c r="C839" s="15">
        <v>261</v>
      </c>
      <c r="D839" s="15">
        <v>261</v>
      </c>
      <c r="E839" s="14">
        <v>261</v>
      </c>
      <c r="F839" s="16" t="s">
        <v>1038</v>
      </c>
      <c r="G839" s="17"/>
      <c r="H839" s="17"/>
      <c r="I839" s="56">
        <v>0</v>
      </c>
      <c r="J839" s="56"/>
      <c r="K839" s="56"/>
      <c r="L839" s="56"/>
      <c r="M839" s="56"/>
      <c r="N839" s="56"/>
      <c r="O839" s="56"/>
      <c r="P839" s="56"/>
      <c r="Q839" s="56"/>
      <c r="R839" s="56"/>
      <c r="S839" s="53"/>
      <c r="T839" s="33"/>
      <c r="U839" s="18"/>
      <c r="V839" s="19"/>
      <c r="W839" s="18"/>
      <c r="X839" s="18"/>
      <c r="Y839" s="19" t="s">
        <v>32</v>
      </c>
      <c r="Z839" s="19" t="str">
        <f>A839 &amp; "-" &amp; VLOOKUP(A839,[4]PROGRAMMES!$E$1:$F$7,2,FALSE)</f>
        <v>2-Qualité des enseignements et des apprentissages</v>
      </c>
      <c r="AA839" s="19" t="str">
        <f>B839 &amp; "-" &amp; VLOOKUP(B839,[4]SOUSPROGRAMMES!$E$1:$F$44,2,FALSE)</f>
        <v>26- Examen et évaluation</v>
      </c>
      <c r="AB839" s="19" t="str">
        <f>C839 &amp; "-" &amp; VLOOKUP(C839,[4]RESULTATS!$E$1:$F$176,2,FALSE)</f>
        <v xml:space="preserve">261- Les évaluations des acquis au primaire et secondaire sont régulières, exploitées et disséminées.  </v>
      </c>
      <c r="AC839" s="20" t="str">
        <f>D839 &amp; "-" &amp; VLOOKUP(D839,[4]STRATEGIES!$E$1:$F$504,2,FALSE)</f>
        <v xml:space="preserve">261- Les évaluations des acquis au primaire et secondaire sont régulières, exploitées et disséminées.  </v>
      </c>
      <c r="AD839" s="21" t="str">
        <f t="shared" si="162"/>
        <v xml:space="preserve">261- Les évaluations des acquis au primaire et secondaire sont régulières, exploitées et disséminées.  </v>
      </c>
    </row>
    <row r="840" spans="1:30" s="22" customFormat="1" ht="45" customHeight="1" x14ac:dyDescent="0.8">
      <c r="A840" s="14">
        <v>2</v>
      </c>
      <c r="B840" s="15">
        <v>26</v>
      </c>
      <c r="C840" s="15">
        <v>261</v>
      </c>
      <c r="D840" s="15">
        <v>2611</v>
      </c>
      <c r="E840" s="14">
        <v>2611</v>
      </c>
      <c r="F840" s="16" t="s">
        <v>1039</v>
      </c>
      <c r="G840" s="17"/>
      <c r="H840" s="17"/>
      <c r="I840" s="56">
        <v>0</v>
      </c>
      <c r="J840" s="56"/>
      <c r="K840" s="56"/>
      <c r="L840" s="56"/>
      <c r="M840" s="56"/>
      <c r="N840" s="56"/>
      <c r="O840" s="56"/>
      <c r="P840" s="56"/>
      <c r="Q840" s="56"/>
      <c r="R840" s="56"/>
      <c r="S840" s="53"/>
      <c r="T840" s="33"/>
      <c r="U840" s="18"/>
      <c r="V840" s="19"/>
      <c r="W840" s="18"/>
      <c r="X840" s="18"/>
      <c r="Y840" s="19" t="s">
        <v>32</v>
      </c>
      <c r="Z840" s="19" t="str">
        <f>A840 &amp; "-" &amp; VLOOKUP(A840,[4]PROGRAMMES!$E$1:$F$7,2,FALSE)</f>
        <v>2-Qualité des enseignements et des apprentissages</v>
      </c>
      <c r="AA840" s="19" t="str">
        <f>B840 &amp; "-" &amp; VLOOKUP(B840,[4]SOUSPROGRAMMES!$E$1:$F$44,2,FALSE)</f>
        <v>26- Examen et évaluation</v>
      </c>
      <c r="AB840" s="19" t="str">
        <f>C840 &amp; "-" &amp; VLOOKUP(C840,[4]RESULTATS!$E$1:$F$176,2,FALSE)</f>
        <v xml:space="preserve">261- Les évaluations des acquis au primaire et secondaire sont régulières, exploitées et disséminées.  </v>
      </c>
      <c r="AC840" s="20" t="str">
        <f>D840 &amp; "-" &amp; VLOOKUP(D840,[4]STRATEGIES!$E$1:$F$504,2,FALSE)</f>
        <v>2611-Conception et la validation des outils de collecte de données</v>
      </c>
      <c r="AD840" s="21" t="str">
        <f t="shared" si="162"/>
        <v>2611-Conception et la validation des outils de collecte de données</v>
      </c>
    </row>
    <row r="841" spans="1:30" s="22" customFormat="1" ht="45" customHeight="1" x14ac:dyDescent="0.8">
      <c r="A841" s="14">
        <v>2</v>
      </c>
      <c r="B841" s="15">
        <v>26</v>
      </c>
      <c r="C841" s="15">
        <v>261</v>
      </c>
      <c r="D841" s="15">
        <v>2611</v>
      </c>
      <c r="E841" s="14">
        <v>26111</v>
      </c>
      <c r="F841" s="16" t="s">
        <v>1040</v>
      </c>
      <c r="G841" s="21" t="s">
        <v>37</v>
      </c>
      <c r="H841" s="17" t="s">
        <v>66</v>
      </c>
      <c r="I841" s="56">
        <v>0</v>
      </c>
      <c r="J841" s="56"/>
      <c r="K841" s="56">
        <f>10*7</f>
        <v>70</v>
      </c>
      <c r="L841" s="56"/>
      <c r="M841" s="56">
        <f t="shared" si="160"/>
        <v>70</v>
      </c>
      <c r="N841" s="56">
        <f>IF(OR(H841="",H841="sif",H841="PM"),0,VLOOKUP(H841,[5]CU!$C$4:$H$255,6,FALSE))</f>
        <v>0.255</v>
      </c>
      <c r="O841" s="56">
        <f t="shared" si="161"/>
        <v>0</v>
      </c>
      <c r="P841" s="56">
        <f t="shared" si="161"/>
        <v>0</v>
      </c>
      <c r="Q841" s="56">
        <f t="shared" si="161"/>
        <v>17.850000000000001</v>
      </c>
      <c r="R841" s="56">
        <f t="shared" si="161"/>
        <v>0</v>
      </c>
      <c r="S841" s="53">
        <f t="shared" si="163"/>
        <v>17.850000000000001</v>
      </c>
      <c r="T841" s="35" t="s">
        <v>39</v>
      </c>
      <c r="U841" s="19" t="s">
        <v>647</v>
      </c>
      <c r="V841" s="19" t="str">
        <f>IF(OR($H841="",$H841="sif",$H841="PM"),"",VLOOKUP($H841,[5]CU!$C$5:$J$255,8,FALSE))</f>
        <v>3. Dépenses de fonctionnement</v>
      </c>
      <c r="W841" s="19" t="s">
        <v>192</v>
      </c>
      <c r="X841" s="19" t="s">
        <v>764</v>
      </c>
      <c r="Y841" s="19" t="s">
        <v>32</v>
      </c>
      <c r="Z841" s="19" t="str">
        <f>A841 &amp; "-" &amp; VLOOKUP(A841,[4]PROGRAMMES!$E$1:$F$7,2,FALSE)</f>
        <v>2-Qualité des enseignements et des apprentissages</v>
      </c>
      <c r="AA841" s="19" t="str">
        <f>B841 &amp; "-" &amp; VLOOKUP(B841,[4]SOUSPROGRAMMES!$E$1:$F$44,2,FALSE)</f>
        <v>26- Examen et évaluation</v>
      </c>
      <c r="AB841" s="19" t="str">
        <f>C841 &amp; "-" &amp; VLOOKUP(C841,[4]RESULTATS!$E$1:$F$176,2,FALSE)</f>
        <v xml:space="preserve">261- Les évaluations des acquis au primaire et secondaire sont régulières, exploitées et disséminées.  </v>
      </c>
      <c r="AC841" s="20" t="str">
        <f>D841 &amp; "-" &amp; VLOOKUP(D841,[4]STRATEGIES!$E$1:$F$504,2,FALSE)</f>
        <v>2611-Conception et la validation des outils de collecte de données</v>
      </c>
      <c r="AD841" s="21" t="str">
        <f t="shared" si="162"/>
        <v>26111-Actualisation des outils d'évaluation au primaire</v>
      </c>
    </row>
    <row r="842" spans="1:30" s="22" customFormat="1" ht="45" customHeight="1" x14ac:dyDescent="0.8">
      <c r="A842" s="14">
        <v>2</v>
      </c>
      <c r="B842" s="15">
        <v>26</v>
      </c>
      <c r="C842" s="15">
        <v>261</v>
      </c>
      <c r="D842" s="15">
        <v>2611</v>
      </c>
      <c r="E842" s="14">
        <v>26112</v>
      </c>
      <c r="F842" s="16" t="s">
        <v>1041</v>
      </c>
      <c r="G842" s="21" t="s">
        <v>37</v>
      </c>
      <c r="H842" s="17" t="s">
        <v>38</v>
      </c>
      <c r="I842" s="56">
        <v>0</v>
      </c>
      <c r="J842" s="56"/>
      <c r="K842" s="56">
        <f>25*7</f>
        <v>175</v>
      </c>
      <c r="L842" s="56"/>
      <c r="M842" s="56">
        <f t="shared" si="160"/>
        <v>175</v>
      </c>
      <c r="N842" s="56">
        <f>IF(OR(H842="",H842="sif",H842="PM"),0,VLOOKUP(H842,[5]CU!$C$4:$H$255,6,FALSE))</f>
        <v>0.3133333333333333</v>
      </c>
      <c r="O842" s="56">
        <f t="shared" si="161"/>
        <v>0</v>
      </c>
      <c r="P842" s="56">
        <f t="shared" si="161"/>
        <v>0</v>
      </c>
      <c r="Q842" s="56">
        <f t="shared" si="161"/>
        <v>54.833333333333329</v>
      </c>
      <c r="R842" s="56">
        <f t="shared" si="161"/>
        <v>0</v>
      </c>
      <c r="S842" s="53">
        <f t="shared" si="163"/>
        <v>54.833333333333329</v>
      </c>
      <c r="T842" s="35" t="s">
        <v>39</v>
      </c>
      <c r="U842" s="19" t="s">
        <v>647</v>
      </c>
      <c r="V842" s="19" t="str">
        <f>IF(OR($H842="",$H842="sif",$H842="PM"),"",VLOOKUP($H842,[5]CU!$C$5:$J$255,8,FALSE))</f>
        <v>3. Formation</v>
      </c>
      <c r="W842" s="19" t="s">
        <v>398</v>
      </c>
      <c r="X842" s="19" t="s">
        <v>764</v>
      </c>
      <c r="Y842" s="19" t="s">
        <v>32</v>
      </c>
      <c r="Z842" s="19" t="str">
        <f>A842 &amp; "-" &amp; VLOOKUP(A842,[4]PROGRAMMES!$E$1:$F$7,2,FALSE)</f>
        <v>2-Qualité des enseignements et des apprentissages</v>
      </c>
      <c r="AA842" s="19" t="str">
        <f>B842 &amp; "-" &amp; VLOOKUP(B842,[4]SOUSPROGRAMMES!$E$1:$F$44,2,FALSE)</f>
        <v>26- Examen et évaluation</v>
      </c>
      <c r="AB842" s="19" t="str">
        <f>C842 &amp; "-" &amp; VLOOKUP(C842,[4]RESULTATS!$E$1:$F$176,2,FALSE)</f>
        <v xml:space="preserve">261- Les évaluations des acquis au primaire et secondaire sont régulières, exploitées et disséminées.  </v>
      </c>
      <c r="AC842" s="20" t="str">
        <f>D842 &amp; "-" &amp; VLOOKUP(D842,[4]STRATEGIES!$E$1:$F$504,2,FALSE)</f>
        <v>2611-Conception et la validation des outils de collecte de données</v>
      </c>
      <c r="AD842" s="21" t="str">
        <f t="shared" si="162"/>
        <v>26112-Conception des outils d'évaluation des acquis des élèves au collège</v>
      </c>
    </row>
    <row r="843" spans="1:30" s="22" customFormat="1" ht="45" customHeight="1" x14ac:dyDescent="0.8">
      <c r="A843" s="14">
        <v>2</v>
      </c>
      <c r="B843" s="15">
        <v>26</v>
      </c>
      <c r="C843" s="15">
        <v>261</v>
      </c>
      <c r="D843" s="15">
        <v>2611</v>
      </c>
      <c r="E843" s="14">
        <v>26113</v>
      </c>
      <c r="F843" s="16" t="s">
        <v>1042</v>
      </c>
      <c r="G843" s="21" t="s">
        <v>37</v>
      </c>
      <c r="H843" s="17" t="s">
        <v>38</v>
      </c>
      <c r="I843" s="56">
        <v>0</v>
      </c>
      <c r="J843" s="56"/>
      <c r="K843" s="56">
        <f>40*2</f>
        <v>80</v>
      </c>
      <c r="L843" s="56"/>
      <c r="M843" s="56">
        <f t="shared" si="160"/>
        <v>80</v>
      </c>
      <c r="N843" s="56">
        <f>IF(OR(H843="",H843="sif",H843="PM"),0,VLOOKUP(H843,[5]CU!$C$4:$H$255,6,FALSE))</f>
        <v>0.3133333333333333</v>
      </c>
      <c r="O843" s="56">
        <f t="shared" si="161"/>
        <v>0</v>
      </c>
      <c r="P843" s="56">
        <f t="shared" si="161"/>
        <v>0</v>
      </c>
      <c r="Q843" s="56">
        <f t="shared" si="161"/>
        <v>25.066666666666663</v>
      </c>
      <c r="R843" s="56">
        <f t="shared" si="161"/>
        <v>0</v>
      </c>
      <c r="S843" s="53">
        <f t="shared" si="163"/>
        <v>25.066666666666663</v>
      </c>
      <c r="T843" s="35" t="s">
        <v>39</v>
      </c>
      <c r="U843" s="19" t="s">
        <v>647</v>
      </c>
      <c r="V843" s="19" t="str">
        <f>IF(OR($H843="",$H843="sif",$H843="PM"),"",VLOOKUP($H843,[5]CU!$C$5:$J$255,8,FALSE))</f>
        <v>3. Formation</v>
      </c>
      <c r="W843" s="19" t="s">
        <v>764</v>
      </c>
      <c r="X843" s="19" t="s">
        <v>764</v>
      </c>
      <c r="Y843" s="19" t="s">
        <v>32</v>
      </c>
      <c r="Z843" s="19" t="str">
        <f>A843 &amp; "-" &amp; VLOOKUP(A843,[4]PROGRAMMES!$E$1:$F$7,2,FALSE)</f>
        <v>2-Qualité des enseignements et des apprentissages</v>
      </c>
      <c r="AA843" s="19" t="str">
        <f>B843 &amp; "-" &amp; VLOOKUP(B843,[4]SOUSPROGRAMMES!$E$1:$F$44,2,FALSE)</f>
        <v>26- Examen et évaluation</v>
      </c>
      <c r="AB843" s="19" t="str">
        <f>C843 &amp; "-" &amp; VLOOKUP(C843,[4]RESULTATS!$E$1:$F$176,2,FALSE)</f>
        <v xml:space="preserve">261- Les évaluations des acquis au primaire et secondaire sont régulières, exploitées et disséminées.  </v>
      </c>
      <c r="AC843" s="20" t="str">
        <f>D843 &amp; "-" &amp; VLOOKUP(D843,[4]STRATEGIES!$E$1:$F$504,2,FALSE)</f>
        <v>2611-Conception et la validation des outils de collecte de données</v>
      </c>
      <c r="AD843" s="21" t="str">
        <f t="shared" si="162"/>
        <v>26113-Formation des administrateurs de test pour l'expérimentation des outils</v>
      </c>
    </row>
    <row r="844" spans="1:30" s="22" customFormat="1" ht="45" customHeight="1" x14ac:dyDescent="0.8">
      <c r="A844" s="14">
        <v>2</v>
      </c>
      <c r="B844" s="15">
        <v>26</v>
      </c>
      <c r="C844" s="15">
        <v>261</v>
      </c>
      <c r="D844" s="15">
        <v>2611</v>
      </c>
      <c r="E844" s="14">
        <v>26114</v>
      </c>
      <c r="F844" s="16" t="s">
        <v>1043</v>
      </c>
      <c r="G844" s="21" t="s">
        <v>58</v>
      </c>
      <c r="H844" s="17" t="s">
        <v>38</v>
      </c>
      <c r="I844" s="56">
        <v>0</v>
      </c>
      <c r="J844" s="56"/>
      <c r="K844" s="56">
        <f>40*2</f>
        <v>80</v>
      </c>
      <c r="L844" s="56"/>
      <c r="M844" s="56">
        <f t="shared" si="160"/>
        <v>80</v>
      </c>
      <c r="N844" s="56">
        <f>IF(OR(H844="",H844="sif",H844="PM"),0,VLOOKUP(H844,[5]CU!$C$4:$H$255,6,FALSE))</f>
        <v>0.3133333333333333</v>
      </c>
      <c r="O844" s="56">
        <f t="shared" si="161"/>
        <v>0</v>
      </c>
      <c r="P844" s="56">
        <f t="shared" si="161"/>
        <v>0</v>
      </c>
      <c r="Q844" s="56">
        <f t="shared" si="161"/>
        <v>25.066666666666663</v>
      </c>
      <c r="R844" s="56">
        <f t="shared" si="161"/>
        <v>0</v>
      </c>
      <c r="S844" s="53">
        <f t="shared" si="163"/>
        <v>25.066666666666663</v>
      </c>
      <c r="T844" s="35" t="s">
        <v>39</v>
      </c>
      <c r="U844" s="19" t="s">
        <v>647</v>
      </c>
      <c r="V844" s="19" t="str">
        <f>IF(OR($H844="",$H844="sif",$H844="PM"),"",VLOOKUP($H844,[5]CU!$C$5:$J$255,8,FALSE))</f>
        <v>3. Formation</v>
      </c>
      <c r="W844" s="19" t="s">
        <v>764</v>
      </c>
      <c r="X844" s="19" t="s">
        <v>764</v>
      </c>
      <c r="Y844" s="19" t="s">
        <v>32</v>
      </c>
      <c r="Z844" s="19" t="str">
        <f>A844 &amp; "-" &amp; VLOOKUP(A844,[4]PROGRAMMES!$E$1:$F$7,2,FALSE)</f>
        <v>2-Qualité des enseignements et des apprentissages</v>
      </c>
      <c r="AA844" s="19" t="str">
        <f>B844 &amp; "-" &amp; VLOOKUP(B844,[4]SOUSPROGRAMMES!$E$1:$F$44,2,FALSE)</f>
        <v>26- Examen et évaluation</v>
      </c>
      <c r="AB844" s="19" t="str">
        <f>C844 &amp; "-" &amp; VLOOKUP(C844,[4]RESULTATS!$E$1:$F$176,2,FALSE)</f>
        <v xml:space="preserve">261- Les évaluations des acquis au primaire et secondaire sont régulières, exploitées et disséminées.  </v>
      </c>
      <c r="AC844" s="20" t="str">
        <f>D844 &amp; "-" &amp; VLOOKUP(D844,[4]STRATEGIES!$E$1:$F$504,2,FALSE)</f>
        <v>2611-Conception et la validation des outils de collecte de données</v>
      </c>
      <c r="AD844" s="21" t="str">
        <f t="shared" si="162"/>
        <v>26114-Collecte de données sur le terrain dans 20 écoles pour tester les outils</v>
      </c>
    </row>
    <row r="845" spans="1:30" s="22" customFormat="1" ht="45" customHeight="1" x14ac:dyDescent="0.8">
      <c r="A845" s="14">
        <v>2</v>
      </c>
      <c r="B845" s="15">
        <v>26</v>
      </c>
      <c r="C845" s="15">
        <v>261</v>
      </c>
      <c r="D845" s="15">
        <v>2611</v>
      </c>
      <c r="E845" s="14">
        <v>26115</v>
      </c>
      <c r="F845" s="16" t="s">
        <v>1044</v>
      </c>
      <c r="G845" s="21" t="s">
        <v>37</v>
      </c>
      <c r="H845" s="17" t="s">
        <v>66</v>
      </c>
      <c r="I845" s="56">
        <v>0</v>
      </c>
      <c r="J845" s="56"/>
      <c r="K845" s="56">
        <f>20*5</f>
        <v>100</v>
      </c>
      <c r="L845" s="56"/>
      <c r="M845" s="56">
        <f t="shared" si="160"/>
        <v>100</v>
      </c>
      <c r="N845" s="56">
        <f>IF(OR(H845="",H845="sif",H845="PM"),0,VLOOKUP(H845,[5]CU!$C$4:$H$255,6,FALSE))</f>
        <v>0.255</v>
      </c>
      <c r="O845" s="56">
        <f t="shared" si="161"/>
        <v>0</v>
      </c>
      <c r="P845" s="56">
        <f t="shared" si="161"/>
        <v>0</v>
      </c>
      <c r="Q845" s="56">
        <f t="shared" si="161"/>
        <v>25.5</v>
      </c>
      <c r="R845" s="56">
        <f t="shared" si="161"/>
        <v>0</v>
      </c>
      <c r="S845" s="53">
        <f t="shared" si="163"/>
        <v>25.5</v>
      </c>
      <c r="T845" s="35" t="s">
        <v>39</v>
      </c>
      <c r="U845" s="19" t="s">
        <v>647</v>
      </c>
      <c r="V845" s="19" t="str">
        <f>IF(OR($H845="",$H845="sif",$H845="PM"),"",VLOOKUP($H845,[5]CU!$C$5:$J$255,8,FALSE))</f>
        <v>3. Dépenses de fonctionnement</v>
      </c>
      <c r="W845" s="19" t="s">
        <v>764</v>
      </c>
      <c r="X845" s="19" t="s">
        <v>764</v>
      </c>
      <c r="Y845" s="19" t="s">
        <v>32</v>
      </c>
      <c r="Z845" s="19" t="str">
        <f>A845 &amp; "-" &amp; VLOOKUP(A845,[4]PROGRAMMES!$E$1:$F$7,2,FALSE)</f>
        <v>2-Qualité des enseignements et des apprentissages</v>
      </c>
      <c r="AA845" s="19" t="str">
        <f>B845 &amp; "-" &amp; VLOOKUP(B845,[4]SOUSPROGRAMMES!$E$1:$F$44,2,FALSE)</f>
        <v>26- Examen et évaluation</v>
      </c>
      <c r="AB845" s="19" t="str">
        <f>C845 &amp; "-" &amp; VLOOKUP(C845,[4]RESULTATS!$E$1:$F$176,2,FALSE)</f>
        <v xml:space="preserve">261- Les évaluations des acquis au primaire et secondaire sont régulières, exploitées et disséminées.  </v>
      </c>
      <c r="AC845" s="20" t="str">
        <f>D845 &amp; "-" &amp; VLOOKUP(D845,[4]STRATEGIES!$E$1:$F$504,2,FALSE)</f>
        <v>2611-Conception et la validation des outils de collecte de données</v>
      </c>
      <c r="AD845" s="21" t="str">
        <f t="shared" si="162"/>
        <v>26115-Analyse psychométrique des items et Finalisation des instruments de collecte</v>
      </c>
    </row>
    <row r="846" spans="1:30" s="22" customFormat="1" ht="45" customHeight="1" x14ac:dyDescent="0.8">
      <c r="A846" s="14">
        <v>2</v>
      </c>
      <c r="B846" s="15">
        <v>26</v>
      </c>
      <c r="C846" s="15">
        <v>261</v>
      </c>
      <c r="D846" s="15">
        <v>2612</v>
      </c>
      <c r="E846" s="14">
        <v>2612</v>
      </c>
      <c r="F846" s="16" t="s">
        <v>1045</v>
      </c>
      <c r="G846" s="17"/>
      <c r="H846" s="17"/>
      <c r="I846" s="56">
        <v>0</v>
      </c>
      <c r="J846" s="56"/>
      <c r="K846" s="56"/>
      <c r="L846" s="56"/>
      <c r="M846" s="56"/>
      <c r="N846" s="56"/>
      <c r="O846" s="56"/>
      <c r="P846" s="56"/>
      <c r="Q846" s="56"/>
      <c r="R846" s="56"/>
      <c r="S846" s="53"/>
      <c r="T846" s="33"/>
      <c r="U846" s="18"/>
      <c r="V846" s="19"/>
      <c r="W846" s="18"/>
      <c r="X846" s="18"/>
      <c r="Y846" s="19" t="s">
        <v>32</v>
      </c>
      <c r="Z846" s="19" t="str">
        <f>A846 &amp; "-" &amp; VLOOKUP(A846,[4]PROGRAMMES!$E$1:$F$7,2,FALSE)</f>
        <v>2-Qualité des enseignements et des apprentissages</v>
      </c>
      <c r="AA846" s="19" t="str">
        <f>B846 &amp; "-" &amp; VLOOKUP(B846,[4]SOUSPROGRAMMES!$E$1:$F$44,2,FALSE)</f>
        <v>26- Examen et évaluation</v>
      </c>
      <c r="AB846" s="19" t="str">
        <f>C846 &amp; "-" &amp; VLOOKUP(C846,[4]RESULTATS!$E$1:$F$176,2,FALSE)</f>
        <v xml:space="preserve">261- Les évaluations des acquis au primaire et secondaire sont régulières, exploitées et disséminées.  </v>
      </c>
      <c r="AC846" s="20" t="str">
        <f>D846 &amp; "-" &amp; VLOOKUP(D846,[4]STRATEGIES!$E$1:$F$504,2,FALSE)</f>
        <v>2612-Evaluation standardisée des acquis des élèves (CP2, CE2 et CM2) : Mise à échelle "Collecte", analyse et la rédaction du rapport d’évaluation</v>
      </c>
      <c r="AD846" s="21" t="str">
        <f t="shared" si="162"/>
        <v>2612-Evaluation standardisée des acquis des élèves (CP2, CE2 et CM2) : Mise à échelle "Collecte", analyse et la rédaction du rapport d’évaluation</v>
      </c>
    </row>
    <row r="847" spans="1:30" s="22" customFormat="1" ht="45" customHeight="1" x14ac:dyDescent="0.8">
      <c r="A847" s="14">
        <v>2</v>
      </c>
      <c r="B847" s="15">
        <v>26</v>
      </c>
      <c r="C847" s="15">
        <v>261</v>
      </c>
      <c r="D847" s="15">
        <v>2612</v>
      </c>
      <c r="E847" s="14">
        <v>26121</v>
      </c>
      <c r="F847" s="16" t="s">
        <v>1046</v>
      </c>
      <c r="G847" s="21" t="s">
        <v>1047</v>
      </c>
      <c r="H847" s="17" t="s">
        <v>1048</v>
      </c>
      <c r="I847" s="56">
        <v>0</v>
      </c>
      <c r="J847" s="56"/>
      <c r="K847" s="56"/>
      <c r="L847" s="56">
        <v>1</v>
      </c>
      <c r="M847" s="56">
        <f t="shared" si="160"/>
        <v>1</v>
      </c>
      <c r="N847" s="56">
        <f>IF(OR(H847="",H847="sif",H847="PM"),0,VLOOKUP(H847,[5]CU!$C$4:$H$255,6,FALSE))</f>
        <v>1152</v>
      </c>
      <c r="O847" s="56">
        <f t="shared" si="161"/>
        <v>0</v>
      </c>
      <c r="P847" s="56">
        <f t="shared" si="161"/>
        <v>0</v>
      </c>
      <c r="Q847" s="56">
        <f t="shared" si="161"/>
        <v>0</v>
      </c>
      <c r="R847" s="56">
        <f t="shared" si="161"/>
        <v>1152</v>
      </c>
      <c r="S847" s="53">
        <f t="shared" si="163"/>
        <v>1152</v>
      </c>
      <c r="T847" s="35" t="s">
        <v>39</v>
      </c>
      <c r="U847" s="19" t="s">
        <v>647</v>
      </c>
      <c r="V847" s="19" t="str">
        <f>IF(OR($H847="",$H847="sif",$H847="PM"),"",VLOOKUP($H847,[5]CU!$C$5:$J$255,8,FALSE))</f>
        <v>3. Dépenses de fonctionnement</v>
      </c>
      <c r="W847" s="19" t="s">
        <v>192</v>
      </c>
      <c r="X847" s="19" t="s">
        <v>764</v>
      </c>
      <c r="Y847" s="19" t="s">
        <v>32</v>
      </c>
      <c r="Z847" s="19" t="str">
        <f>A847 &amp; "-" &amp; VLOOKUP(A847,[4]PROGRAMMES!$E$1:$F$7,2,FALSE)</f>
        <v>2-Qualité des enseignements et des apprentissages</v>
      </c>
      <c r="AA847" s="19" t="str">
        <f>B847 &amp; "-" &amp; VLOOKUP(B847,[4]SOUSPROGRAMMES!$E$1:$F$44,2,FALSE)</f>
        <v>26- Examen et évaluation</v>
      </c>
      <c r="AB847" s="19" t="str">
        <f>C847 &amp; "-" &amp; VLOOKUP(C847,[4]RESULTATS!$E$1:$F$176,2,FALSE)</f>
        <v xml:space="preserve">261- Les évaluations des acquis au primaire et secondaire sont régulières, exploitées et disséminées.  </v>
      </c>
      <c r="AC847" s="20" t="str">
        <f>D847 &amp; "-" &amp; VLOOKUP(D847,[4]STRATEGIES!$E$1:$F$504,2,FALSE)</f>
        <v>2612-Evaluation standardisée des acquis des élèves (CP2, CE2 et CM2) : Mise à échelle "Collecte", analyse et la rédaction du rapport d’évaluation</v>
      </c>
      <c r="AD847" s="21" t="str">
        <f t="shared" si="162"/>
        <v>26121-Evaluation des acquis des élèves du CP2 (Reprographie des outils, colisage, échantillonnage, achat de petit matériel, formation, collecte, traitement, etc.)</v>
      </c>
    </row>
    <row r="848" spans="1:30" s="22" customFormat="1" ht="45" customHeight="1" x14ac:dyDescent="0.8">
      <c r="A848" s="14">
        <v>2</v>
      </c>
      <c r="B848" s="15">
        <v>26</v>
      </c>
      <c r="C848" s="15">
        <v>261</v>
      </c>
      <c r="D848" s="15">
        <v>2612</v>
      </c>
      <c r="E848" s="14">
        <v>26122</v>
      </c>
      <c r="F848" s="16" t="s">
        <v>1049</v>
      </c>
      <c r="G848" s="21" t="s">
        <v>1047</v>
      </c>
      <c r="H848" s="17" t="s">
        <v>1048</v>
      </c>
      <c r="I848" s="56">
        <v>0</v>
      </c>
      <c r="J848" s="56"/>
      <c r="K848" s="56">
        <v>1</v>
      </c>
      <c r="L848" s="56"/>
      <c r="M848" s="56">
        <f t="shared" si="160"/>
        <v>1</v>
      </c>
      <c r="N848" s="56">
        <f>IF(OR(H848="",H848="sif",H848="PM"),0,VLOOKUP(H848,[5]CU!$C$4:$H$255,6,FALSE))</f>
        <v>1152</v>
      </c>
      <c r="O848" s="56">
        <f t="shared" si="161"/>
        <v>0</v>
      </c>
      <c r="P848" s="56">
        <f t="shared" si="161"/>
        <v>0</v>
      </c>
      <c r="Q848" s="56">
        <f t="shared" si="161"/>
        <v>1152</v>
      </c>
      <c r="R848" s="56">
        <f t="shared" si="161"/>
        <v>0</v>
      </c>
      <c r="S848" s="53">
        <f t="shared" si="163"/>
        <v>1152</v>
      </c>
      <c r="T848" s="35" t="s">
        <v>39</v>
      </c>
      <c r="U848" s="18" t="s">
        <v>647</v>
      </c>
      <c r="V848" s="19" t="str">
        <f>IF(OR($H848="",$H848="sif",$H848="PM"),"",VLOOKUP($H848,[5]CU!$C$5:$J$255,8,FALSE))</f>
        <v>3. Dépenses de fonctionnement</v>
      </c>
      <c r="W848" s="18" t="s">
        <v>192</v>
      </c>
      <c r="X848" s="18" t="s">
        <v>764</v>
      </c>
      <c r="Y848" s="19" t="s">
        <v>32</v>
      </c>
      <c r="Z848" s="19" t="str">
        <f>A848 &amp; "-" &amp; VLOOKUP(A848,[4]PROGRAMMES!$E$1:$F$7,2,FALSE)</f>
        <v>2-Qualité des enseignements et des apprentissages</v>
      </c>
      <c r="AA848" s="19" t="str">
        <f>B848 &amp; "-" &amp; VLOOKUP(B848,[4]SOUSPROGRAMMES!$E$1:$F$44,2,FALSE)</f>
        <v>26- Examen et évaluation</v>
      </c>
      <c r="AB848" s="19" t="str">
        <f>C848 &amp; "-" &amp; VLOOKUP(C848,[4]RESULTATS!$E$1:$F$176,2,FALSE)</f>
        <v xml:space="preserve">261- Les évaluations des acquis au primaire et secondaire sont régulières, exploitées et disséminées.  </v>
      </c>
      <c r="AC848" s="20" t="str">
        <f>D848 &amp; "-" &amp; VLOOKUP(D848,[4]STRATEGIES!$E$1:$F$504,2,FALSE)</f>
        <v>2612-Evaluation standardisée des acquis des élèves (CP2, CE2 et CM2) : Mise à échelle "Collecte", analyse et la rédaction du rapport d’évaluation</v>
      </c>
      <c r="AD848" s="21" t="str">
        <f t="shared" si="162"/>
        <v>26122-Evaluation des acquis des élèves du CE2 (Reprographie des outils, colisage, échantillonnage, achat de petit matériel, formation, collecte, traitement, etc.)</v>
      </c>
    </row>
    <row r="849" spans="1:30" s="22" customFormat="1" ht="45" customHeight="1" x14ac:dyDescent="0.8">
      <c r="A849" s="14">
        <v>2</v>
      </c>
      <c r="B849" s="15">
        <v>26</v>
      </c>
      <c r="C849" s="15">
        <v>261</v>
      </c>
      <c r="D849" s="15">
        <v>2612</v>
      </c>
      <c r="E849" s="14">
        <v>26123</v>
      </c>
      <c r="F849" s="16" t="s">
        <v>1050</v>
      </c>
      <c r="G849" s="21" t="s">
        <v>1047</v>
      </c>
      <c r="H849" s="17" t="s">
        <v>1048</v>
      </c>
      <c r="I849" s="56">
        <v>0</v>
      </c>
      <c r="J849" s="56">
        <v>1</v>
      </c>
      <c r="K849" s="56"/>
      <c r="L849" s="56"/>
      <c r="M849" s="56">
        <f t="shared" si="160"/>
        <v>1</v>
      </c>
      <c r="N849" s="56">
        <f>IF(OR(H849="",H849="sif",H849="PM"),0,VLOOKUP(H849,[5]CU!$C$4:$H$255,6,FALSE))</f>
        <v>1152</v>
      </c>
      <c r="O849" s="56">
        <f t="shared" si="161"/>
        <v>0</v>
      </c>
      <c r="P849" s="56">
        <f t="shared" si="161"/>
        <v>1152</v>
      </c>
      <c r="Q849" s="56">
        <f t="shared" si="161"/>
        <v>0</v>
      </c>
      <c r="R849" s="56">
        <f t="shared" si="161"/>
        <v>0</v>
      </c>
      <c r="S849" s="53">
        <f t="shared" si="163"/>
        <v>1152</v>
      </c>
      <c r="T849" s="35" t="s">
        <v>39</v>
      </c>
      <c r="U849" s="18" t="s">
        <v>647</v>
      </c>
      <c r="V849" s="19" t="str">
        <f>IF(OR($H849="",$H849="sif",$H849="PM"),"",VLOOKUP($H849,[5]CU!$C$5:$J$255,8,FALSE))</f>
        <v>3. Dépenses de fonctionnement</v>
      </c>
      <c r="W849" s="18" t="s">
        <v>192</v>
      </c>
      <c r="X849" s="18" t="s">
        <v>764</v>
      </c>
      <c r="Y849" s="19" t="s">
        <v>32</v>
      </c>
      <c r="Z849" s="19" t="str">
        <f>A849 &amp; "-" &amp; VLOOKUP(A849,[4]PROGRAMMES!$E$1:$F$7,2,FALSE)</f>
        <v>2-Qualité des enseignements et des apprentissages</v>
      </c>
      <c r="AA849" s="19" t="str">
        <f>B849 &amp; "-" &amp; VLOOKUP(B849,[4]SOUSPROGRAMMES!$E$1:$F$44,2,FALSE)</f>
        <v>26- Examen et évaluation</v>
      </c>
      <c r="AB849" s="19" t="str">
        <f>C849 &amp; "-" &amp; VLOOKUP(C849,[4]RESULTATS!$E$1:$F$176,2,FALSE)</f>
        <v xml:space="preserve">261- Les évaluations des acquis au primaire et secondaire sont régulières, exploitées et disséminées.  </v>
      </c>
      <c r="AC849" s="20" t="str">
        <f>D849 &amp; "-" &amp; VLOOKUP(D849,[4]STRATEGIES!$E$1:$F$504,2,FALSE)</f>
        <v>2612-Evaluation standardisée des acquis des élèves (CP2, CE2 et CM2) : Mise à échelle "Collecte", analyse et la rédaction du rapport d’évaluation</v>
      </c>
      <c r="AD849" s="21" t="str">
        <f t="shared" si="162"/>
        <v>26123-Evaluation des acquis des élèves du CM2 (Reprographie des outils, colisage, échantillonnage, achat de petit matériel, formation, collecte, traitement, etc.)</v>
      </c>
    </row>
    <row r="850" spans="1:30" s="22" customFormat="1" ht="45" hidden="1" customHeight="1" x14ac:dyDescent="0.8">
      <c r="A850" s="14">
        <v>2</v>
      </c>
      <c r="B850" s="15">
        <v>26</v>
      </c>
      <c r="C850" s="15">
        <v>261</v>
      </c>
      <c r="D850" s="15">
        <v>2612</v>
      </c>
      <c r="E850" s="14">
        <v>26124</v>
      </c>
      <c r="F850" s="16" t="s">
        <v>1051</v>
      </c>
      <c r="G850" s="21" t="s">
        <v>1047</v>
      </c>
      <c r="H850" s="17" t="s">
        <v>1052</v>
      </c>
      <c r="I850" s="56">
        <v>0</v>
      </c>
      <c r="J850" s="56"/>
      <c r="K850" s="56"/>
      <c r="L850" s="56"/>
      <c r="M850" s="56">
        <f t="shared" si="160"/>
        <v>0</v>
      </c>
      <c r="N850" s="56">
        <f>IF(OR(H850="",H850="sif",H850="PM"),0,VLOOKUP(H850,[5]CU!$C$4:$H$255,6,FALSE))</f>
        <v>3325</v>
      </c>
      <c r="O850" s="56">
        <f t="shared" si="161"/>
        <v>0</v>
      </c>
      <c r="P850" s="56">
        <f t="shared" si="161"/>
        <v>0</v>
      </c>
      <c r="Q850" s="56">
        <f t="shared" si="161"/>
        <v>0</v>
      </c>
      <c r="R850" s="56">
        <f t="shared" si="161"/>
        <v>0</v>
      </c>
      <c r="S850" s="53">
        <f t="shared" si="163"/>
        <v>0</v>
      </c>
      <c r="T850" s="35" t="s">
        <v>178</v>
      </c>
      <c r="U850" s="18" t="s">
        <v>647</v>
      </c>
      <c r="V850" s="19" t="str">
        <f>IF(OR($H850="",$H850="sif",$H850="PM"),"",VLOOKUP($H850,[5]CU!$C$5:$J$255,8,FALSE))</f>
        <v>3. Dépenses de fonctionnement</v>
      </c>
      <c r="W850" s="18" t="s">
        <v>1053</v>
      </c>
      <c r="X850" s="18" t="s">
        <v>1054</v>
      </c>
      <c r="Y850" s="19" t="s">
        <v>32</v>
      </c>
      <c r="Z850" s="19" t="str">
        <f>A850 &amp; "-" &amp; VLOOKUP(A850,[4]PROGRAMMES!$E$1:$F$7,2,FALSE)</f>
        <v>2-Qualité des enseignements et des apprentissages</v>
      </c>
      <c r="AA850" s="19" t="str">
        <f>B850 &amp; "-" &amp; VLOOKUP(B850,[4]SOUSPROGRAMMES!$E$1:$F$44,2,FALSE)</f>
        <v>26- Examen et évaluation</v>
      </c>
      <c r="AB850" s="19" t="str">
        <f>C850 &amp; "-" &amp; VLOOKUP(C850,[4]RESULTATS!$E$1:$F$176,2,FALSE)</f>
        <v xml:space="preserve">261- Les évaluations des acquis au primaire et secondaire sont régulières, exploitées et disséminées.  </v>
      </c>
      <c r="AC850" s="20" t="str">
        <f>D850 &amp; "-" &amp; VLOOKUP(D850,[4]STRATEGIES!$E$1:$F$504,2,FALSE)</f>
        <v>2612-Evaluation standardisée des acquis des élèves (CP2, CE2 et CM2) : Mise à échelle "Collecte", analyse et la rédaction du rapport d’évaluation</v>
      </c>
      <c r="AD850" s="21" t="str">
        <f t="shared" si="162"/>
        <v>26124-Evaluation Internationale PASEC2019</v>
      </c>
    </row>
    <row r="851" spans="1:30" s="22" customFormat="1" ht="45" hidden="1" customHeight="1" x14ac:dyDescent="0.8">
      <c r="A851" s="14">
        <v>2</v>
      </c>
      <c r="B851" s="15">
        <v>26</v>
      </c>
      <c r="C851" s="15">
        <v>261</v>
      </c>
      <c r="D851" s="15">
        <v>2612</v>
      </c>
      <c r="E851" s="14">
        <v>26125</v>
      </c>
      <c r="F851" s="16" t="s">
        <v>1055</v>
      </c>
      <c r="G851" s="21" t="s">
        <v>1056</v>
      </c>
      <c r="H851" s="17" t="s">
        <v>1057</v>
      </c>
      <c r="I851" s="56">
        <v>0</v>
      </c>
      <c r="J851" s="56"/>
      <c r="K851" s="56"/>
      <c r="L851" s="56"/>
      <c r="M851" s="56">
        <f>SUM(I851:L851)</f>
        <v>0</v>
      </c>
      <c r="N851" s="56">
        <f>IF(OR(H851="",H851="sif",H851="PM"),0,VLOOKUP(H851,[5]CU!$C$4:$H$255,6,FALSE))</f>
        <v>538.00300000000004</v>
      </c>
      <c r="O851" s="56">
        <f>IFERROR($N851*I851,0)</f>
        <v>0</v>
      </c>
      <c r="P851" s="56">
        <f>IFERROR($N851*J851,0)</f>
        <v>0</v>
      </c>
      <c r="Q851" s="56">
        <f>IFERROR($N851*K851,0)</f>
        <v>0</v>
      </c>
      <c r="R851" s="56">
        <f>IFERROR($N851*L851,0)</f>
        <v>0</v>
      </c>
      <c r="S851" s="53">
        <f>SUM(O851:R851)</f>
        <v>0</v>
      </c>
      <c r="T851" s="35" t="s">
        <v>178</v>
      </c>
      <c r="U851" s="19" t="s">
        <v>647</v>
      </c>
      <c r="V851" s="19" t="str">
        <f>IF(OR($H851="",$H851="sif",$H851="PM"),"",VLOOKUP($H851,[5]CU!$C$5:$J$255,8,FALSE))</f>
        <v>3. Dépenses de fonctionnement</v>
      </c>
      <c r="W851" s="19" t="s">
        <v>347</v>
      </c>
      <c r="X851" s="19" t="s">
        <v>764</v>
      </c>
      <c r="Y851" s="19" t="s">
        <v>32</v>
      </c>
      <c r="Z851" s="19" t="str">
        <f>A851 &amp; "-" &amp; VLOOKUP(A851,[4]PROGRAMMES!$E$1:$F$7,2,FALSE)</f>
        <v>2-Qualité des enseignements et des apprentissages</v>
      </c>
      <c r="AA851" s="19" t="str">
        <f>B851 &amp; "-" &amp; VLOOKUP(B851,[4]SOUSPROGRAMMES!$E$1:$F$44,2,FALSE)</f>
        <v>26- Examen et évaluation</v>
      </c>
      <c r="AB851" s="19" t="str">
        <f>C851 &amp; "-" &amp; VLOOKUP(C851,[4]RESULTATS!$E$1:$F$176,2,FALSE)</f>
        <v xml:space="preserve">261- Les évaluations des acquis au primaire et secondaire sont régulières, exploitées et disséminées.  </v>
      </c>
      <c r="AC851" s="20" t="str">
        <f>D851 &amp; "-" &amp; VLOOKUP(D851,[4]STRATEGIES!$E$1:$F$504,2,FALSE)</f>
        <v>2612-Evaluation standardisée des acquis des élèves (CP2, CE2 et CM2) : Mise à échelle "Collecte", analyse et la rédaction du rapport d’évaluation</v>
      </c>
      <c r="AD851" s="21" t="str">
        <f t="shared" si="162"/>
        <v>26125-Evaluation de type EGRA</v>
      </c>
    </row>
    <row r="852" spans="1:30" s="22" customFormat="1" ht="45" customHeight="1" x14ac:dyDescent="0.8">
      <c r="A852" s="14">
        <v>2</v>
      </c>
      <c r="B852" s="15">
        <v>26</v>
      </c>
      <c r="C852" s="15">
        <v>261</v>
      </c>
      <c r="D852" s="15">
        <v>2612</v>
      </c>
      <c r="E852" s="14">
        <v>26125</v>
      </c>
      <c r="F852" s="16" t="s">
        <v>1055</v>
      </c>
      <c r="G852" s="21" t="s">
        <v>1056</v>
      </c>
      <c r="H852" s="17" t="s">
        <v>1057</v>
      </c>
      <c r="I852" s="56">
        <v>0</v>
      </c>
      <c r="J852" s="56"/>
      <c r="K852" s="56"/>
      <c r="L852" s="56">
        <v>1</v>
      </c>
      <c r="M852" s="56">
        <f t="shared" si="160"/>
        <v>1</v>
      </c>
      <c r="N852" s="56">
        <f>IF(OR(H852="",H852="sif",H852="PM"),0,VLOOKUP(H852,[5]CU!$C$4:$H$255,6,FALSE))</f>
        <v>538.00300000000004</v>
      </c>
      <c r="O852" s="56">
        <f t="shared" si="161"/>
        <v>0</v>
      </c>
      <c r="P852" s="56">
        <f t="shared" si="161"/>
        <v>0</v>
      </c>
      <c r="Q852" s="56">
        <f t="shared" si="161"/>
        <v>0</v>
      </c>
      <c r="R852" s="56">
        <f t="shared" si="161"/>
        <v>538.00300000000004</v>
      </c>
      <c r="S852" s="53">
        <f t="shared" si="163"/>
        <v>538.00300000000004</v>
      </c>
      <c r="T852" s="35" t="s">
        <v>39</v>
      </c>
      <c r="U852" s="19" t="s">
        <v>647</v>
      </c>
      <c r="V852" s="19" t="str">
        <f>IF(OR($H852="",$H852="sif",$H852="PM"),"",VLOOKUP($H852,[5]CU!$C$5:$J$255,8,FALSE))</f>
        <v>3. Dépenses de fonctionnement</v>
      </c>
      <c r="W852" s="19" t="s">
        <v>347</v>
      </c>
      <c r="X852" s="19" t="s">
        <v>764</v>
      </c>
      <c r="Y852" s="19" t="s">
        <v>32</v>
      </c>
      <c r="Z852" s="19" t="str">
        <f>A852 &amp; "-" &amp; VLOOKUP(A852,[4]PROGRAMMES!$E$1:$F$7,2,FALSE)</f>
        <v>2-Qualité des enseignements et des apprentissages</v>
      </c>
      <c r="AA852" s="19" t="str">
        <f>B852 &amp; "-" &amp; VLOOKUP(B852,[4]SOUSPROGRAMMES!$E$1:$F$44,2,FALSE)</f>
        <v>26- Examen et évaluation</v>
      </c>
      <c r="AB852" s="19" t="str">
        <f>C852 &amp; "-" &amp; VLOOKUP(C852,[4]RESULTATS!$E$1:$F$176,2,FALSE)</f>
        <v xml:space="preserve">261- Les évaluations des acquis au primaire et secondaire sont régulières, exploitées et disséminées.  </v>
      </c>
      <c r="AC852" s="20" t="str">
        <f>D852 &amp; "-" &amp; VLOOKUP(D852,[4]STRATEGIES!$E$1:$F$504,2,FALSE)</f>
        <v>2612-Evaluation standardisée des acquis des élèves (CP2, CE2 et CM2) : Mise à échelle "Collecte", analyse et la rédaction du rapport d’évaluation</v>
      </c>
      <c r="AD852" s="21" t="str">
        <f t="shared" si="162"/>
        <v>26125-Evaluation de type EGRA</v>
      </c>
    </row>
    <row r="853" spans="1:30" s="22" customFormat="1" ht="45" customHeight="1" x14ac:dyDescent="0.8">
      <c r="A853" s="14">
        <v>2</v>
      </c>
      <c r="B853" s="15">
        <v>26</v>
      </c>
      <c r="C853" s="15">
        <v>261</v>
      </c>
      <c r="D853" s="15">
        <v>2613</v>
      </c>
      <c r="E853" s="14">
        <v>2613</v>
      </c>
      <c r="F853" s="16" t="s">
        <v>1058</v>
      </c>
      <c r="G853" s="17"/>
      <c r="H853" s="17"/>
      <c r="I853" s="56">
        <v>0</v>
      </c>
      <c r="J853" s="56"/>
      <c r="K853" s="56"/>
      <c r="L853" s="56"/>
      <c r="M853" s="56"/>
      <c r="N853" s="56"/>
      <c r="O853" s="56"/>
      <c r="P853" s="56"/>
      <c r="Q853" s="56"/>
      <c r="R853" s="56"/>
      <c r="S853" s="53"/>
      <c r="T853" s="33"/>
      <c r="U853" s="18"/>
      <c r="V853" s="19"/>
      <c r="W853" s="18"/>
      <c r="X853" s="18"/>
      <c r="Y853" s="19" t="s">
        <v>32</v>
      </c>
      <c r="Z853" s="19" t="str">
        <f>A853 &amp; "-" &amp; VLOOKUP(A853,[4]PROGRAMMES!$E$1:$F$7,2,FALSE)</f>
        <v>2-Qualité des enseignements et des apprentissages</v>
      </c>
      <c r="AA853" s="19" t="str">
        <f>B853 &amp; "-" &amp; VLOOKUP(B853,[4]SOUSPROGRAMMES!$E$1:$F$44,2,FALSE)</f>
        <v>26- Examen et évaluation</v>
      </c>
      <c r="AB853" s="19" t="str">
        <f>C853 &amp; "-" &amp; VLOOKUP(C853,[4]RESULTATS!$E$1:$F$176,2,FALSE)</f>
        <v xml:space="preserve">261- Les évaluations des acquis au primaire et secondaire sont régulières, exploitées et disséminées.  </v>
      </c>
      <c r="AC853" s="20" t="str">
        <f>D853 &amp; "-" &amp; VLOOKUP(D853,[4]STRATEGIES!$E$1:$F$504,2,FALSE)</f>
        <v>2613-Evaluation standardisée des acquis des élèves au secondaire : Mise échelle, analyse et la rédaction du rapport d’évaluation</v>
      </c>
      <c r="AD853" s="21" t="str">
        <f t="shared" si="162"/>
        <v>2613-Evaluation standardisée des acquis des élèves au secondaire : Mise échelle, analyse et la rédaction du rapport d’évaluation</v>
      </c>
    </row>
    <row r="854" spans="1:30" s="22" customFormat="1" ht="45" customHeight="1" x14ac:dyDescent="0.8">
      <c r="A854" s="14">
        <v>2</v>
      </c>
      <c r="B854" s="15">
        <v>26</v>
      </c>
      <c r="C854" s="15">
        <v>261</v>
      </c>
      <c r="D854" s="15">
        <v>2613</v>
      </c>
      <c r="E854" s="14">
        <v>26131</v>
      </c>
      <c r="F854" s="16" t="s">
        <v>1059</v>
      </c>
      <c r="G854" s="21" t="s">
        <v>1047</v>
      </c>
      <c r="H854" s="17" t="s">
        <v>1060</v>
      </c>
      <c r="I854" s="56">
        <v>0</v>
      </c>
      <c r="J854" s="56"/>
      <c r="K854" s="56"/>
      <c r="L854" s="56">
        <v>1</v>
      </c>
      <c r="M854" s="56">
        <f t="shared" si="160"/>
        <v>1</v>
      </c>
      <c r="N854" s="56">
        <f>IF(OR(H854="",H854="sif",H854="PM"),0,VLOOKUP(H854,[5]CU!$C$4:$H$255,6,FALSE))</f>
        <v>889.63750000000005</v>
      </c>
      <c r="O854" s="56">
        <f t="shared" si="161"/>
        <v>0</v>
      </c>
      <c r="P854" s="56">
        <f t="shared" si="161"/>
        <v>0</v>
      </c>
      <c r="Q854" s="56">
        <f t="shared" si="161"/>
        <v>0</v>
      </c>
      <c r="R854" s="56">
        <f t="shared" si="161"/>
        <v>889.63750000000005</v>
      </c>
      <c r="S854" s="53">
        <f t="shared" si="163"/>
        <v>889.63750000000005</v>
      </c>
      <c r="T854" s="35" t="s">
        <v>39</v>
      </c>
      <c r="U854" s="18" t="s">
        <v>647</v>
      </c>
      <c r="V854" s="19" t="str">
        <f>IF(OR($H854="",$H854="sif",$H854="PM"),"",VLOOKUP($H854,[5]CU!$C$5:$J$255,8,FALSE))</f>
        <v>3. Dépenses de fonctionnement</v>
      </c>
      <c r="W854" s="18" t="s">
        <v>398</v>
      </c>
      <c r="X854" s="18" t="s">
        <v>764</v>
      </c>
      <c r="Y854" s="19" t="s">
        <v>32</v>
      </c>
      <c r="Z854" s="19" t="str">
        <f>A854 &amp; "-" &amp; VLOOKUP(A854,[4]PROGRAMMES!$E$1:$F$7,2,FALSE)</f>
        <v>2-Qualité des enseignements et des apprentissages</v>
      </c>
      <c r="AA854" s="19" t="str">
        <f>B854 &amp; "-" &amp; VLOOKUP(B854,[4]SOUSPROGRAMMES!$E$1:$F$44,2,FALSE)</f>
        <v>26- Examen et évaluation</v>
      </c>
      <c r="AB854" s="19" t="str">
        <f>C854 &amp; "-" &amp; VLOOKUP(C854,[4]RESULTATS!$E$1:$F$176,2,FALSE)</f>
        <v xml:space="preserve">261- Les évaluations des acquis au primaire et secondaire sont régulières, exploitées et disséminées.  </v>
      </c>
      <c r="AC854" s="20" t="str">
        <f>D854 &amp; "-" &amp; VLOOKUP(D854,[4]STRATEGIES!$E$1:$F$504,2,FALSE)</f>
        <v>2613-Evaluation standardisée des acquis des élèves au secondaire : Mise échelle, analyse et la rédaction du rapport d’évaluation</v>
      </c>
      <c r="AD854" s="21" t="str">
        <f t="shared" si="162"/>
        <v>26131-Evaluation des acquis des élèves de la 9éme année (Reprographie des outils, colisage, échantillonnage, achat de petit matériel, formation, collecte, traitement, etc.)</v>
      </c>
    </row>
    <row r="855" spans="1:30" s="22" customFormat="1" ht="45" customHeight="1" x14ac:dyDescent="0.8">
      <c r="A855" s="14">
        <v>2</v>
      </c>
      <c r="B855" s="15">
        <v>26</v>
      </c>
      <c r="C855" s="15">
        <v>261</v>
      </c>
      <c r="D855" s="15">
        <v>2614</v>
      </c>
      <c r="E855" s="14">
        <v>2614</v>
      </c>
      <c r="F855" s="16" t="s">
        <v>1061</v>
      </c>
      <c r="G855" s="17"/>
      <c r="H855" s="17"/>
      <c r="I855" s="56">
        <v>0</v>
      </c>
      <c r="J855" s="56"/>
      <c r="K855" s="56"/>
      <c r="L855" s="56"/>
      <c r="M855" s="56"/>
      <c r="N855" s="56"/>
      <c r="O855" s="56"/>
      <c r="P855" s="56"/>
      <c r="Q855" s="56"/>
      <c r="R855" s="56"/>
      <c r="S855" s="53"/>
      <c r="T855" s="33"/>
      <c r="U855" s="18"/>
      <c r="V855" s="19"/>
      <c r="W855" s="18"/>
      <c r="X855" s="18"/>
      <c r="Y855" s="19" t="s">
        <v>32</v>
      </c>
      <c r="Z855" s="19" t="str">
        <f>A855 &amp; "-" &amp; VLOOKUP(A855,[4]PROGRAMMES!$E$1:$F$7,2,FALSE)</f>
        <v>2-Qualité des enseignements et des apprentissages</v>
      </c>
      <c r="AA855" s="19" t="str">
        <f>B855 &amp; "-" &amp; VLOOKUP(B855,[4]SOUSPROGRAMMES!$E$1:$F$44,2,FALSE)</f>
        <v>26- Examen et évaluation</v>
      </c>
      <c r="AB855" s="19" t="str">
        <f>C855 &amp; "-" &amp; VLOOKUP(C855,[4]RESULTATS!$E$1:$F$176,2,FALSE)</f>
        <v xml:space="preserve">261- Les évaluations des acquis au primaire et secondaire sont régulières, exploitées et disséminées.  </v>
      </c>
      <c r="AC855" s="20" t="str">
        <f>D855 &amp; "-" &amp; VLOOKUP(D855,[4]STRATEGIES!$E$1:$F$504,2,FALSE)</f>
        <v>2614-Dissémination des résultats des évaluations à tous les niveaux (Régions, préfecture, DSEE et Ecoles)</v>
      </c>
      <c r="AD855" s="21" t="str">
        <f t="shared" si="162"/>
        <v>2614-Dissémination des résultats des évaluations à tous les niveaux (Régions, préfecture, DSEE et Ecoles)</v>
      </c>
    </row>
    <row r="856" spans="1:30" s="22" customFormat="1" ht="45" customHeight="1" x14ac:dyDescent="0.8">
      <c r="A856" s="14">
        <v>2</v>
      </c>
      <c r="B856" s="15">
        <v>26</v>
      </c>
      <c r="C856" s="15">
        <v>261</v>
      </c>
      <c r="D856" s="15">
        <v>2614</v>
      </c>
      <c r="E856" s="14">
        <v>26141</v>
      </c>
      <c r="F856" s="16" t="s">
        <v>1062</v>
      </c>
      <c r="G856" s="21" t="s">
        <v>37</v>
      </c>
      <c r="H856" s="17" t="s">
        <v>38</v>
      </c>
      <c r="I856" s="56">
        <v>0</v>
      </c>
      <c r="J856" s="56"/>
      <c r="K856" s="56">
        <f>(8*2+38*2)*2</f>
        <v>184</v>
      </c>
      <c r="L856" s="56">
        <f>(8*2+38*2)*2</f>
        <v>184</v>
      </c>
      <c r="M856" s="56">
        <f t="shared" si="160"/>
        <v>368</v>
      </c>
      <c r="N856" s="56">
        <f>IF(OR(H856="",H856="sif",H856="PM"),0,VLOOKUP(H856,[5]CU!$C$4:$H$255,6,FALSE))</f>
        <v>0.3133333333333333</v>
      </c>
      <c r="O856" s="56">
        <f t="shared" si="161"/>
        <v>0</v>
      </c>
      <c r="P856" s="56">
        <f t="shared" si="161"/>
        <v>0</v>
      </c>
      <c r="Q856" s="56">
        <f t="shared" si="161"/>
        <v>57.653333333333329</v>
      </c>
      <c r="R856" s="56">
        <f t="shared" si="161"/>
        <v>57.653333333333329</v>
      </c>
      <c r="S856" s="53">
        <f t="shared" si="163"/>
        <v>115.30666666666666</v>
      </c>
      <c r="T856" s="35" t="s">
        <v>39</v>
      </c>
      <c r="U856" s="18" t="s">
        <v>647</v>
      </c>
      <c r="V856" s="19" t="str">
        <f>IF(OR($H856="",$H856="sif",$H856="PM"),"",VLOOKUP($H856,[5]CU!$C$5:$J$255,8,FALSE))</f>
        <v>3. Formation</v>
      </c>
      <c r="W856" s="18" t="s">
        <v>764</v>
      </c>
      <c r="X856" s="18" t="s">
        <v>764</v>
      </c>
      <c r="Y856" s="19" t="s">
        <v>32</v>
      </c>
      <c r="Z856" s="19" t="str">
        <f>A856 &amp; "-" &amp; VLOOKUP(A856,[4]PROGRAMMES!$E$1:$F$7,2,FALSE)</f>
        <v>2-Qualité des enseignements et des apprentissages</v>
      </c>
      <c r="AA856" s="19" t="str">
        <f>B856 &amp; "-" &amp; VLOOKUP(B856,[4]SOUSPROGRAMMES!$E$1:$F$44,2,FALSE)</f>
        <v>26- Examen et évaluation</v>
      </c>
      <c r="AB856" s="19" t="str">
        <f>C856 &amp; "-" &amp; VLOOKUP(C856,[4]RESULTATS!$E$1:$F$176,2,FALSE)</f>
        <v xml:space="preserve">261- Les évaluations des acquis au primaire et secondaire sont régulières, exploitées et disséminées.  </v>
      </c>
      <c r="AC856" s="20" t="str">
        <f>D856 &amp; "-" &amp; VLOOKUP(D856,[4]STRATEGIES!$E$1:$F$504,2,FALSE)</f>
        <v>2614-Dissémination des résultats des évaluations à tous les niveaux (Régions, préfecture, DSEE et Ecoles)</v>
      </c>
      <c r="AD856" s="21" t="str">
        <f t="shared" si="162"/>
        <v xml:space="preserve">26141-Partage des résultats des rapports d'évaluation au niveau déconcentré </v>
      </c>
    </row>
    <row r="857" spans="1:30" s="22" customFormat="1" ht="45" customHeight="1" x14ac:dyDescent="0.8">
      <c r="A857" s="14">
        <v>2</v>
      </c>
      <c r="B857" s="15">
        <v>26</v>
      </c>
      <c r="C857" s="15">
        <v>261</v>
      </c>
      <c r="D857" s="15">
        <v>2614</v>
      </c>
      <c r="E857" s="14">
        <v>26142</v>
      </c>
      <c r="F857" s="16" t="s">
        <v>1063</v>
      </c>
      <c r="G857" s="21" t="s">
        <v>37</v>
      </c>
      <c r="H857" s="17" t="s">
        <v>301</v>
      </c>
      <c r="I857" s="56">
        <v>0</v>
      </c>
      <c r="J857" s="56"/>
      <c r="K857" s="56">
        <f>(8*2+38*2)*2</f>
        <v>184</v>
      </c>
      <c r="L857" s="56">
        <f>(8*2+38*2)*2</f>
        <v>184</v>
      </c>
      <c r="M857" s="56">
        <f>(8*2+38*2)</f>
        <v>92</v>
      </c>
      <c r="N857" s="56">
        <f>IF(OR(H857="",H857="sif",H857="PM"),0,VLOOKUP(H857,[5]CU!$C$4:$H$255,6,FALSE))</f>
        <v>0.67666666666666664</v>
      </c>
      <c r="O857" s="56">
        <f t="shared" si="161"/>
        <v>0</v>
      </c>
      <c r="P857" s="56">
        <f t="shared" si="161"/>
        <v>0</v>
      </c>
      <c r="Q857" s="56">
        <f t="shared" si="161"/>
        <v>124.50666666666666</v>
      </c>
      <c r="R857" s="56">
        <f t="shared" si="161"/>
        <v>124.50666666666666</v>
      </c>
      <c r="S857" s="53">
        <f t="shared" si="163"/>
        <v>249.01333333333332</v>
      </c>
      <c r="T857" s="35" t="s">
        <v>39</v>
      </c>
      <c r="U857" s="18" t="s">
        <v>647</v>
      </c>
      <c r="V857" s="19" t="str">
        <f>IF(OR($H857="",$H857="sif",$H857="PM"),"",VLOOKUP($H857,[5]CU!$C$5:$J$255,8,FALSE))</f>
        <v>3. Formation</v>
      </c>
      <c r="W857" s="18" t="s">
        <v>1064</v>
      </c>
      <c r="X857" s="18" t="s">
        <v>764</v>
      </c>
      <c r="Y857" s="19" t="s">
        <v>32</v>
      </c>
      <c r="Z857" s="19" t="str">
        <f>A857 &amp; "-" &amp; VLOOKUP(A857,[4]PROGRAMMES!$E$1:$F$7,2,FALSE)</f>
        <v>2-Qualité des enseignements et des apprentissages</v>
      </c>
      <c r="AA857" s="19" t="str">
        <f>B857 &amp; "-" &amp; VLOOKUP(B857,[4]SOUSPROGRAMMES!$E$1:$F$44,2,FALSE)</f>
        <v>26- Examen et évaluation</v>
      </c>
      <c r="AB857" s="19" t="str">
        <f>C857 &amp; "-" &amp; VLOOKUP(C857,[4]RESULTATS!$E$1:$F$176,2,FALSE)</f>
        <v xml:space="preserve">261- Les évaluations des acquis au primaire et secondaire sont régulières, exploitées et disséminées.  </v>
      </c>
      <c r="AC857" s="20" t="str">
        <f>D857 &amp; "-" &amp; VLOOKUP(D857,[4]STRATEGIES!$E$1:$F$504,2,FALSE)</f>
        <v>2614-Dissémination des résultats des évaluations à tous les niveaux (Régions, préfecture, DSEE et Ecoles)</v>
      </c>
      <c r="AD857" s="21" t="str">
        <f t="shared" si="162"/>
        <v xml:space="preserve">26142-Partage des résultats du rapport d'analyse des examens nationaux au niveau déconcentré </v>
      </c>
    </row>
    <row r="858" spans="1:30" s="22" customFormat="1" ht="45" customHeight="1" x14ac:dyDescent="0.8">
      <c r="A858" s="14">
        <v>2</v>
      </c>
      <c r="B858" s="15">
        <v>26</v>
      </c>
      <c r="C858" s="15">
        <v>261</v>
      </c>
      <c r="D858" s="15">
        <v>2615</v>
      </c>
      <c r="E858" s="14">
        <v>2615</v>
      </c>
      <c r="F858" s="16" t="s">
        <v>1065</v>
      </c>
      <c r="G858" s="17"/>
      <c r="H858" s="17"/>
      <c r="I858" s="56">
        <v>0</v>
      </c>
      <c r="J858" s="56"/>
      <c r="K858" s="56"/>
      <c r="L858" s="56"/>
      <c r="M858" s="56"/>
      <c r="N858" s="56"/>
      <c r="O858" s="56"/>
      <c r="P858" s="56"/>
      <c r="Q858" s="56"/>
      <c r="R858" s="56"/>
      <c r="S858" s="53"/>
      <c r="T858" s="33"/>
      <c r="U858" s="18"/>
      <c r="V858" s="19"/>
      <c r="W858" s="18"/>
      <c r="X858" s="18"/>
      <c r="Y858" s="19" t="s">
        <v>32</v>
      </c>
      <c r="Z858" s="19" t="str">
        <f>A858 &amp; "-" &amp; VLOOKUP(A858,[4]PROGRAMMES!$E$1:$F$7,2,FALSE)</f>
        <v>2-Qualité des enseignements et des apprentissages</v>
      </c>
      <c r="AA858" s="19" t="str">
        <f>B858 &amp; "-" &amp; VLOOKUP(B858,[4]SOUSPROGRAMMES!$E$1:$F$44,2,FALSE)</f>
        <v>26- Examen et évaluation</v>
      </c>
      <c r="AB858" s="19" t="str">
        <f>C858 &amp; "-" &amp; VLOOKUP(C858,[4]RESULTATS!$E$1:$F$176,2,FALSE)</f>
        <v xml:space="preserve">261- Les évaluations des acquis au primaire et secondaire sont régulières, exploitées et disséminées.  </v>
      </c>
      <c r="AC858" s="20" t="str">
        <f>D858 &amp; "-" &amp; VLOOKUP(D858,[4]STRATEGIES!$E$1:$F$504,2,FALSE)</f>
        <v>2615-Renforcement des capacités du service national d'évaluation</v>
      </c>
      <c r="AD858" s="21" t="str">
        <f t="shared" si="162"/>
        <v>2615-Renforcement des capacités du service national d'évaluation</v>
      </c>
    </row>
    <row r="859" spans="1:30" s="22" customFormat="1" ht="45" customHeight="1" x14ac:dyDescent="0.8">
      <c r="A859" s="14">
        <v>2</v>
      </c>
      <c r="B859" s="15">
        <v>26</v>
      </c>
      <c r="C859" s="15">
        <v>261</v>
      </c>
      <c r="D859" s="15">
        <v>2615</v>
      </c>
      <c r="E859" s="14">
        <v>26151</v>
      </c>
      <c r="F859" s="16" t="s">
        <v>1066</v>
      </c>
      <c r="G859" s="21" t="s">
        <v>1067</v>
      </c>
      <c r="H859" s="17" t="s">
        <v>1068</v>
      </c>
      <c r="I859" s="56">
        <v>0</v>
      </c>
      <c r="J859" s="56">
        <v>2</v>
      </c>
      <c r="K859" s="56">
        <v>2</v>
      </c>
      <c r="L859" s="56"/>
      <c r="M859" s="56">
        <f t="shared" ref="M859:M871" si="164">SUM(I859:L859)</f>
        <v>4</v>
      </c>
      <c r="N859" s="56">
        <f>IF(OR(H859="",H859="sif",H859="PM"),0,VLOOKUP(H859,[5]CU!$C$4:$H$255,6,FALSE))</f>
        <v>107.95</v>
      </c>
      <c r="O859" s="56">
        <f t="shared" si="161"/>
        <v>0</v>
      </c>
      <c r="P859" s="56">
        <f t="shared" si="161"/>
        <v>215.9</v>
      </c>
      <c r="Q859" s="56">
        <f t="shared" si="161"/>
        <v>215.9</v>
      </c>
      <c r="R859" s="56">
        <f t="shared" si="161"/>
        <v>0</v>
      </c>
      <c r="S859" s="53">
        <f t="shared" si="163"/>
        <v>431.8</v>
      </c>
      <c r="T859" s="35" t="s">
        <v>39</v>
      </c>
      <c r="U859" s="19" t="s">
        <v>647</v>
      </c>
      <c r="V859" s="19" t="str">
        <f>IF(OR($H859="",$H859="sif",$H859="PM"),"",VLOOKUP($H859,[5]CU!$C$5:$J$255,8,FALSE))</f>
        <v>3. Formation</v>
      </c>
      <c r="W859" s="19" t="s">
        <v>663</v>
      </c>
      <c r="X859" s="19" t="s">
        <v>764</v>
      </c>
      <c r="Y859" s="19" t="s">
        <v>32</v>
      </c>
      <c r="Z859" s="19" t="str">
        <f>A859 &amp; "-" &amp; VLOOKUP(A859,[4]PROGRAMMES!$E$1:$F$7,2,FALSE)</f>
        <v>2-Qualité des enseignements et des apprentissages</v>
      </c>
      <c r="AA859" s="19" t="str">
        <f>B859 &amp; "-" &amp; VLOOKUP(B859,[4]SOUSPROGRAMMES!$E$1:$F$44,2,FALSE)</f>
        <v>26- Examen et évaluation</v>
      </c>
      <c r="AB859" s="19" t="str">
        <f>C859 &amp; "-" &amp; VLOOKUP(C859,[4]RESULTATS!$E$1:$F$176,2,FALSE)</f>
        <v xml:space="preserve">261- Les évaluations des acquis au primaire et secondaire sont régulières, exploitées et disséminées.  </v>
      </c>
      <c r="AC859" s="20" t="str">
        <f>D859 &amp; "-" &amp; VLOOKUP(D859,[4]STRATEGIES!$E$1:$F$504,2,FALSE)</f>
        <v>2615-Renforcement des capacités du service national d'évaluation</v>
      </c>
      <c r="AD859" s="21" t="str">
        <f t="shared" si="162"/>
        <v>26151-Formation à l'extérieur de 4 cadres du SNCESE en analyse psychométrique et en analyse des données</v>
      </c>
    </row>
    <row r="860" spans="1:30" s="22" customFormat="1" ht="45" customHeight="1" x14ac:dyDescent="0.8">
      <c r="A860" s="14">
        <v>2</v>
      </c>
      <c r="B860" s="15">
        <v>26</v>
      </c>
      <c r="C860" s="15">
        <v>261</v>
      </c>
      <c r="D860" s="15">
        <v>2615</v>
      </c>
      <c r="E860" s="14">
        <v>26152</v>
      </c>
      <c r="F860" s="16" t="s">
        <v>1069</v>
      </c>
      <c r="G860" s="21" t="s">
        <v>1070</v>
      </c>
      <c r="H860" s="17" t="s">
        <v>55</v>
      </c>
      <c r="I860" s="56">
        <v>0</v>
      </c>
      <c r="J860" s="56"/>
      <c r="K860" s="56">
        <v>1</v>
      </c>
      <c r="L860" s="56">
        <v>1</v>
      </c>
      <c r="M860" s="56">
        <f t="shared" si="164"/>
        <v>2</v>
      </c>
      <c r="N860" s="56">
        <f>IF(OR(H860="",H860="sif",H860="PM"),0,VLOOKUP(H860,[5]CU!$C$4:$H$255,6,FALSE))</f>
        <v>0</v>
      </c>
      <c r="O860" s="56">
        <f t="shared" si="161"/>
        <v>0</v>
      </c>
      <c r="P860" s="56">
        <f t="shared" si="161"/>
        <v>0</v>
      </c>
      <c r="Q860" s="56">
        <f t="shared" si="161"/>
        <v>0</v>
      </c>
      <c r="R860" s="56">
        <f t="shared" si="161"/>
        <v>0</v>
      </c>
      <c r="S860" s="53"/>
      <c r="T860" s="35" t="s">
        <v>39</v>
      </c>
      <c r="U860" s="18" t="s">
        <v>647</v>
      </c>
      <c r="V860" s="19" t="str">
        <f>IF(OR($H860="",$H860="sif",$H860="PM"),"",VLOOKUP($H860,[5]CU!$C$5:$J$255,8,FALSE))</f>
        <v/>
      </c>
      <c r="W860" s="18" t="s">
        <v>764</v>
      </c>
      <c r="X860" s="18" t="s">
        <v>764</v>
      </c>
      <c r="Y860" s="19" t="s">
        <v>32</v>
      </c>
      <c r="Z860" s="19" t="str">
        <f>A860 &amp; "-" &amp; VLOOKUP(A860,[4]PROGRAMMES!$E$1:$F$7,2,FALSE)</f>
        <v>2-Qualité des enseignements et des apprentissages</v>
      </c>
      <c r="AA860" s="19" t="str">
        <f>B860 &amp; "-" &amp; VLOOKUP(B860,[4]SOUSPROGRAMMES!$E$1:$F$44,2,FALSE)</f>
        <v>26- Examen et évaluation</v>
      </c>
      <c r="AB860" s="19" t="str">
        <f>C860 &amp; "-" &amp; VLOOKUP(C860,[4]RESULTATS!$E$1:$F$176,2,FALSE)</f>
        <v xml:space="preserve">261- Les évaluations des acquis au primaire et secondaire sont régulières, exploitées et disséminées.  </v>
      </c>
      <c r="AC860" s="20" t="str">
        <f>D860 &amp; "-" &amp; VLOOKUP(D860,[4]STRATEGIES!$E$1:$F$504,2,FALSE)</f>
        <v>2615-Renforcement des capacités du service national d'évaluation</v>
      </c>
      <c r="AD860" s="21" t="str">
        <f t="shared" si="162"/>
        <v xml:space="preserve">26152-Transfert de compétence de 20 cadres du SNCESE en analyse du 1er degré (Statistique descriptive, nettoyage des fichiers, conception d'un masque de saisie etc.) en faisant faire </v>
      </c>
    </row>
    <row r="861" spans="1:30" s="22" customFormat="1" ht="45" customHeight="1" x14ac:dyDescent="0.8">
      <c r="A861" s="14">
        <v>2</v>
      </c>
      <c r="B861" s="15">
        <v>26</v>
      </c>
      <c r="C861" s="15">
        <v>261</v>
      </c>
      <c r="D861" s="15">
        <v>2615</v>
      </c>
      <c r="E861" s="14">
        <v>26153</v>
      </c>
      <c r="F861" s="16" t="s">
        <v>1071</v>
      </c>
      <c r="G861" s="21" t="s">
        <v>1072</v>
      </c>
      <c r="H861" s="17" t="s">
        <v>970</v>
      </c>
      <c r="I861" s="56">
        <v>0</v>
      </c>
      <c r="J861" s="56"/>
      <c r="K861" s="56">
        <v>20</v>
      </c>
      <c r="L861" s="56">
        <v>10</v>
      </c>
      <c r="M861" s="56">
        <f t="shared" si="164"/>
        <v>30</v>
      </c>
      <c r="N861" s="56">
        <f>IF(OR(H861="",H861="sif",H861="PM"),0,VLOOKUP(H861,[5]CU!$C$4:$H$255,6,FALSE))</f>
        <v>10.034934666666667</v>
      </c>
      <c r="O861" s="56">
        <f t="shared" si="161"/>
        <v>0</v>
      </c>
      <c r="P861" s="56">
        <f t="shared" si="161"/>
        <v>0</v>
      </c>
      <c r="Q861" s="56">
        <f t="shared" si="161"/>
        <v>200.69869333333332</v>
      </c>
      <c r="R861" s="56">
        <f t="shared" si="161"/>
        <v>100.34934666666666</v>
      </c>
      <c r="S861" s="53">
        <f>SUM(O861:R861)</f>
        <v>301.04804000000001</v>
      </c>
      <c r="T861" s="35" t="s">
        <v>39</v>
      </c>
      <c r="U861" s="19" t="s">
        <v>647</v>
      </c>
      <c r="V861" s="19" t="str">
        <f>IF(OR($H861="",$H861="sif",$H861="PM"),"",VLOOKUP($H861,[5]CU!$C$5:$J$255,8,FALSE))</f>
        <v>5. Investissement</v>
      </c>
      <c r="W861" s="19" t="s">
        <v>663</v>
      </c>
      <c r="X861" s="19" t="s">
        <v>764</v>
      </c>
      <c r="Y861" s="19" t="s">
        <v>32</v>
      </c>
      <c r="Z861" s="19" t="str">
        <f>A861 &amp; "-" &amp; VLOOKUP(A861,[4]PROGRAMMES!$E$1:$F$7,2,FALSE)</f>
        <v>2-Qualité des enseignements et des apprentissages</v>
      </c>
      <c r="AA861" s="19" t="str">
        <f>B861 &amp; "-" &amp; VLOOKUP(B861,[4]SOUSPROGRAMMES!$E$1:$F$44,2,FALSE)</f>
        <v>26- Examen et évaluation</v>
      </c>
      <c r="AB861" s="19" t="str">
        <f>C861 &amp; "-" &amp; VLOOKUP(C861,[4]RESULTATS!$E$1:$F$176,2,FALSE)</f>
        <v xml:space="preserve">261- Les évaluations des acquis au primaire et secondaire sont régulières, exploitées et disséminées.  </v>
      </c>
      <c r="AC861" s="20" t="str">
        <f>D861 &amp; "-" &amp; VLOOKUP(D861,[4]STRATEGIES!$E$1:$F$504,2,FALSE)</f>
        <v>2615-Renforcement des capacités du service national d'évaluation</v>
      </c>
      <c r="AD861" s="21" t="str">
        <f t="shared" si="162"/>
        <v>26153-Equipement en matériel informatique du service d'évaluation</v>
      </c>
    </row>
    <row r="862" spans="1:30" s="22" customFormat="1" ht="45" customHeight="1" x14ac:dyDescent="0.8">
      <c r="A862" s="14">
        <v>2</v>
      </c>
      <c r="B862" s="15">
        <v>26</v>
      </c>
      <c r="C862" s="15">
        <v>261</v>
      </c>
      <c r="D862" s="15">
        <v>2615</v>
      </c>
      <c r="E862" s="14">
        <v>26154</v>
      </c>
      <c r="F862" s="16" t="s">
        <v>1073</v>
      </c>
      <c r="G862" s="21" t="s">
        <v>1074</v>
      </c>
      <c r="H862" s="17" t="s">
        <v>1075</v>
      </c>
      <c r="I862" s="56">
        <v>0</v>
      </c>
      <c r="J862" s="56"/>
      <c r="K862" s="56">
        <f>2*8</f>
        <v>16</v>
      </c>
      <c r="L862" s="56"/>
      <c r="M862" s="56">
        <f t="shared" si="164"/>
        <v>16</v>
      </c>
      <c r="N862" s="56">
        <f>IF(OR(H862="",H862="sif",H862="PM"),0,VLOOKUP(H862,[5]CU!$C$4:$H$255,6,FALSE))</f>
        <v>10.5</v>
      </c>
      <c r="O862" s="56">
        <f t="shared" si="161"/>
        <v>0</v>
      </c>
      <c r="P862" s="56">
        <f t="shared" si="161"/>
        <v>0</v>
      </c>
      <c r="Q862" s="56">
        <f t="shared" si="161"/>
        <v>168</v>
      </c>
      <c r="R862" s="56">
        <f t="shared" si="161"/>
        <v>0</v>
      </c>
      <c r="S862" s="53">
        <f>SUM(O862:R862)</f>
        <v>168</v>
      </c>
      <c r="T862" s="35" t="s">
        <v>39</v>
      </c>
      <c r="U862" s="19" t="s">
        <v>647</v>
      </c>
      <c r="V862" s="19" t="str">
        <f>IF(OR($H862="",$H862="sif",$H862="PM"),"",VLOOKUP($H862,[5]CU!$C$5:$J$255,8,FALSE))</f>
        <v>5. Investissement</v>
      </c>
      <c r="W862" s="19" t="s">
        <v>663</v>
      </c>
      <c r="X862" s="19" t="s">
        <v>764</v>
      </c>
      <c r="Y862" s="19" t="s">
        <v>32</v>
      </c>
      <c r="Z862" s="19" t="str">
        <f>A862 &amp; "-" &amp; VLOOKUP(A862,[4]PROGRAMMES!$E$1:$F$7,2,FALSE)</f>
        <v>2-Qualité des enseignements et des apprentissages</v>
      </c>
      <c r="AA862" s="19" t="str">
        <f>B862 &amp; "-" &amp; VLOOKUP(B862,[4]SOUSPROGRAMMES!$E$1:$F$44,2,FALSE)</f>
        <v>26- Examen et évaluation</v>
      </c>
      <c r="AB862" s="19" t="str">
        <f>C862 &amp; "-" &amp; VLOOKUP(C862,[4]RESULTATS!$E$1:$F$176,2,FALSE)</f>
        <v xml:space="preserve">261- Les évaluations des acquis au primaire et secondaire sont régulières, exploitées et disséminées.  </v>
      </c>
      <c r="AC862" s="20" t="str">
        <f>D862 &amp; "-" &amp; VLOOKUP(D862,[4]STRATEGIES!$E$1:$F$504,2,FALSE)</f>
        <v>2615-Renforcement des capacités du service national d'évaluation</v>
      </c>
      <c r="AD862" s="21" t="str">
        <f t="shared" si="162"/>
        <v>26154-Acquisition de logiciels de traitement de données"SPSS, SPAD"</v>
      </c>
    </row>
    <row r="863" spans="1:30" s="22" customFormat="1" ht="45" customHeight="1" x14ac:dyDescent="0.8">
      <c r="A863" s="14">
        <v>2</v>
      </c>
      <c r="B863" s="15">
        <v>26</v>
      </c>
      <c r="C863" s="15">
        <v>261</v>
      </c>
      <c r="D863" s="15">
        <v>2615</v>
      </c>
      <c r="E863" s="14">
        <v>26155</v>
      </c>
      <c r="F863" s="16" t="s">
        <v>1076</v>
      </c>
      <c r="G863" s="21" t="s">
        <v>979</v>
      </c>
      <c r="H863" s="17" t="s">
        <v>980</v>
      </c>
      <c r="I863" s="56">
        <v>0</v>
      </c>
      <c r="J863" s="56"/>
      <c r="K863" s="56">
        <v>1</v>
      </c>
      <c r="L863" s="56"/>
      <c r="M863" s="56">
        <f t="shared" si="164"/>
        <v>1</v>
      </c>
      <c r="N863" s="56">
        <f>IF(OR(H863="",H863="sif",H863="PM"),0,VLOOKUP(H863,[5]CU!$C$4:$H$255,6,FALSE))</f>
        <v>300</v>
      </c>
      <c r="O863" s="56">
        <f t="shared" si="161"/>
        <v>0</v>
      </c>
      <c r="P863" s="56">
        <f t="shared" si="161"/>
        <v>0</v>
      </c>
      <c r="Q863" s="56">
        <f t="shared" si="161"/>
        <v>300</v>
      </c>
      <c r="R863" s="56">
        <f t="shared" si="161"/>
        <v>0</v>
      </c>
      <c r="S863" s="53">
        <f>SUM(O863:R863)</f>
        <v>300</v>
      </c>
      <c r="T863" s="35" t="s">
        <v>39</v>
      </c>
      <c r="U863" s="19" t="s">
        <v>647</v>
      </c>
      <c r="V863" s="19" t="str">
        <f>IF(OR($H863="",$H863="sif",$H863="PM"),"",VLOOKUP($H863,[5]CU!$C$5:$J$255,8,FALSE))</f>
        <v>5. Investissement</v>
      </c>
      <c r="W863" s="19" t="s">
        <v>663</v>
      </c>
      <c r="X863" s="19" t="s">
        <v>764</v>
      </c>
      <c r="Y863" s="19" t="s">
        <v>32</v>
      </c>
      <c r="Z863" s="19" t="str">
        <f>A863 &amp; "-" &amp; VLOOKUP(A863,[4]PROGRAMMES!$E$1:$F$7,2,FALSE)</f>
        <v>2-Qualité des enseignements et des apprentissages</v>
      </c>
      <c r="AA863" s="19" t="str">
        <f>B863 &amp; "-" &amp; VLOOKUP(B863,[4]SOUSPROGRAMMES!$E$1:$F$44,2,FALSE)</f>
        <v>26- Examen et évaluation</v>
      </c>
      <c r="AB863" s="19" t="str">
        <f>C863 &amp; "-" &amp; VLOOKUP(C863,[4]RESULTATS!$E$1:$F$176,2,FALSE)</f>
        <v xml:space="preserve">261- Les évaluations des acquis au primaire et secondaire sont régulières, exploitées et disséminées.  </v>
      </c>
      <c r="AC863" s="20" t="str">
        <f>D863 &amp; "-" &amp; VLOOKUP(D863,[4]STRATEGIES!$E$1:$F$504,2,FALSE)</f>
        <v>2615-Renforcement des capacités du service national d'évaluation</v>
      </c>
      <c r="AD863" s="21" t="str">
        <f t="shared" si="162"/>
        <v>26155-Acquisition d'un véhicule pour la supervision des activités d'évaluation</v>
      </c>
    </row>
    <row r="864" spans="1:30" s="22" customFormat="1" ht="45" customHeight="1" x14ac:dyDescent="0.8">
      <c r="A864" s="14">
        <v>2</v>
      </c>
      <c r="B864" s="15">
        <v>26</v>
      </c>
      <c r="C864" s="15">
        <v>261</v>
      </c>
      <c r="D864" s="15">
        <v>2616</v>
      </c>
      <c r="E864" s="14">
        <v>2616</v>
      </c>
      <c r="F864" s="16" t="s">
        <v>1077</v>
      </c>
      <c r="G864" s="17"/>
      <c r="H864" s="17"/>
      <c r="I864" s="56">
        <v>0</v>
      </c>
      <c r="J864" s="56"/>
      <c r="K864" s="56"/>
      <c r="L864" s="56"/>
      <c r="M864" s="56"/>
      <c r="N864" s="56"/>
      <c r="O864" s="56"/>
      <c r="P864" s="56"/>
      <c r="Q864" s="56"/>
      <c r="R864" s="56"/>
      <c r="S864" s="53"/>
      <c r="T864" s="33"/>
      <c r="U864" s="18"/>
      <c r="V864" s="19"/>
      <c r="W864" s="18"/>
      <c r="X864" s="18"/>
      <c r="Y864" s="19" t="s">
        <v>32</v>
      </c>
      <c r="Z864" s="19" t="str">
        <f>A864 &amp; "-" &amp; VLOOKUP(A864,[4]PROGRAMMES!$E$1:$F$7,2,FALSE)</f>
        <v>2-Qualité des enseignements et des apprentissages</v>
      </c>
      <c r="AA864" s="19" t="str">
        <f>B864 &amp; "-" &amp; VLOOKUP(B864,[4]SOUSPROGRAMMES!$E$1:$F$44,2,FALSE)</f>
        <v>26- Examen et évaluation</v>
      </c>
      <c r="AB864" s="19" t="str">
        <f>C864 &amp; "-" &amp; VLOOKUP(C864,[4]RESULTATS!$E$1:$F$176,2,FALSE)</f>
        <v xml:space="preserve">261- Les évaluations des acquis au primaire et secondaire sont régulières, exploitées et disséminées.  </v>
      </c>
      <c r="AC864" s="20" t="str">
        <f>D864 &amp; "-" &amp; VLOOKUP(D864,[4]STRATEGIES!$E$1:$F$504,2,FALSE)</f>
        <v>2616-Renforcement des évaluations pilotes</v>
      </c>
      <c r="AD864" s="21" t="str">
        <f t="shared" si="162"/>
        <v>2616-Renforcement des évaluations pilotes</v>
      </c>
    </row>
    <row r="865" spans="1:30" s="22" customFormat="1" ht="45" customHeight="1" x14ac:dyDescent="0.8">
      <c r="A865" s="14">
        <v>2</v>
      </c>
      <c r="B865" s="15">
        <v>26</v>
      </c>
      <c r="C865" s="15">
        <v>261</v>
      </c>
      <c r="D865" s="15">
        <v>2616</v>
      </c>
      <c r="E865" s="14">
        <v>26161</v>
      </c>
      <c r="F865" s="16" t="s">
        <v>1078</v>
      </c>
      <c r="G865" s="21" t="s">
        <v>722</v>
      </c>
      <c r="H865" s="17" t="s">
        <v>1079</v>
      </c>
      <c r="I865" s="56">
        <v>1</v>
      </c>
      <c r="J865" s="53"/>
      <c r="K865" s="53"/>
      <c r="L865" s="53"/>
      <c r="M865" s="53">
        <f>SUM(I865:L865)</f>
        <v>1</v>
      </c>
      <c r="N865" s="53">
        <f>IF(OR(H865="",H865="sif",H865="PM"),0,VLOOKUP(H865,[5]CU!$C$4:$H$255,6,FALSE))</f>
        <v>570</v>
      </c>
      <c r="O865" s="53">
        <f>IFERROR($N865*#REF!,0)</f>
        <v>0</v>
      </c>
      <c r="P865" s="53">
        <f t="shared" si="161"/>
        <v>0</v>
      </c>
      <c r="Q865" s="53">
        <f t="shared" si="161"/>
        <v>0</v>
      </c>
      <c r="R865" s="53">
        <f t="shared" si="161"/>
        <v>0</v>
      </c>
      <c r="S865" s="53">
        <f>SUM(O865:R865)</f>
        <v>0</v>
      </c>
      <c r="T865" s="35" t="s">
        <v>67</v>
      </c>
      <c r="U865" s="18" t="s">
        <v>647</v>
      </c>
      <c r="V865" s="19" t="str">
        <f>IF(OR($H865="",$H865="sif",$H865="PM"),"",VLOOKUP($H865,[5]CU!$C$5:$J$255,8,FALSE))</f>
        <v>3. Dépenses de fonctionnement</v>
      </c>
      <c r="W865" s="18" t="s">
        <v>764</v>
      </c>
      <c r="X865" s="18" t="s">
        <v>764</v>
      </c>
      <c r="Y865" s="19" t="s">
        <v>32</v>
      </c>
      <c r="Z865" s="19" t="str">
        <f>A865 &amp; "-" &amp; VLOOKUP(A865,[4]PROGRAMMES!$E$1:$F$7,2,FALSE)</f>
        <v>2-Qualité des enseignements et des apprentissages</v>
      </c>
      <c r="AA865" s="19" t="str">
        <f>B865 &amp; "-" &amp; VLOOKUP(B865,[4]SOUSPROGRAMMES!$E$1:$F$44,2,FALSE)</f>
        <v>26- Examen et évaluation</v>
      </c>
      <c r="AB865" s="19" t="str">
        <f>C865 &amp; "-" &amp; VLOOKUP(C865,[4]RESULTATS!$E$1:$F$176,2,FALSE)</f>
        <v xml:space="preserve">261- Les évaluations des acquis au primaire et secondaire sont régulières, exploitées et disséminées.  </v>
      </c>
      <c r="AC865" s="20" t="str">
        <f>D865 &amp; "-" &amp; VLOOKUP(D865,[4]STRATEGIES!$E$1:$F$504,2,FALSE)</f>
        <v>2616-Renforcement des évaluations pilotes</v>
      </c>
      <c r="AD865" s="21" t="str">
        <f t="shared" si="162"/>
        <v>26161-Evaluation des acquis scolaires et préscolaires dans les communes de convergence</v>
      </c>
    </row>
    <row r="866" spans="1:30" s="22" customFormat="1" ht="30" customHeight="1" x14ac:dyDescent="0.8">
      <c r="A866" s="14">
        <v>2</v>
      </c>
      <c r="B866" s="15">
        <v>26</v>
      </c>
      <c r="C866" s="15">
        <v>262</v>
      </c>
      <c r="D866" s="15">
        <v>262</v>
      </c>
      <c r="E866" s="14">
        <v>262</v>
      </c>
      <c r="F866" s="16" t="s">
        <v>1080</v>
      </c>
      <c r="G866" s="17"/>
      <c r="H866" s="17"/>
      <c r="I866" s="56">
        <v>0</v>
      </c>
      <c r="J866" s="56"/>
      <c r="K866" s="56"/>
      <c r="L866" s="56"/>
      <c r="M866" s="56"/>
      <c r="N866" s="56"/>
      <c r="O866" s="56"/>
      <c r="P866" s="56"/>
      <c r="Q866" s="56"/>
      <c r="R866" s="56"/>
      <c r="S866" s="53"/>
      <c r="T866" s="33"/>
      <c r="U866" s="18"/>
      <c r="V866" s="19"/>
      <c r="W866" s="18"/>
      <c r="X866" s="18"/>
      <c r="Y866" s="19" t="s">
        <v>32</v>
      </c>
      <c r="Z866" s="19" t="str">
        <f>A866 &amp; "-" &amp; VLOOKUP(A866,[4]PROGRAMMES!$E$1:$F$7,2,FALSE)</f>
        <v>2-Qualité des enseignements et des apprentissages</v>
      </c>
      <c r="AA866" s="19" t="str">
        <f>B866 &amp; "-" &amp; VLOOKUP(B866,[4]SOUSPROGRAMMES!$E$1:$F$44,2,FALSE)</f>
        <v>26- Examen et évaluation</v>
      </c>
      <c r="AB866" s="19" t="str">
        <f>C866 &amp; "-" &amp; VLOOKUP(C866,[4]RESULTATS!$E$1:$F$176,2,FALSE)</f>
        <v>262- La fiabilité des examens nationaux est améliorée</v>
      </c>
      <c r="AC866" s="20" t="str">
        <f>D866 &amp; "-" &amp; VLOOKUP(D866,[4]STRATEGIES!$E$1:$F$504,2,FALSE)</f>
        <v>262- La fiabilité des examens nationaux est améliorée</v>
      </c>
      <c r="AD866" s="21" t="str">
        <f t="shared" si="162"/>
        <v>262- La fiabilité des examens nationaux est améliorée</v>
      </c>
    </row>
    <row r="867" spans="1:30" s="22" customFormat="1" ht="30" customHeight="1" x14ac:dyDescent="0.8">
      <c r="A867" s="14">
        <v>2</v>
      </c>
      <c r="B867" s="15">
        <v>26</v>
      </c>
      <c r="C867" s="15">
        <v>262</v>
      </c>
      <c r="D867" s="15">
        <v>2621</v>
      </c>
      <c r="E867" s="14">
        <v>2621</v>
      </c>
      <c r="F867" s="16" t="s">
        <v>1081</v>
      </c>
      <c r="G867" s="17"/>
      <c r="H867" s="17"/>
      <c r="I867" s="56">
        <v>0</v>
      </c>
      <c r="J867" s="56"/>
      <c r="K867" s="56"/>
      <c r="L867" s="56"/>
      <c r="M867" s="56"/>
      <c r="N867" s="56"/>
      <c r="O867" s="56"/>
      <c r="P867" s="56"/>
      <c r="Q867" s="56"/>
      <c r="R867" s="56"/>
      <c r="S867" s="53"/>
      <c r="T867" s="33"/>
      <c r="U867" s="18"/>
      <c r="V867" s="19"/>
      <c r="W867" s="18"/>
      <c r="X867" s="18"/>
      <c r="Y867" s="19" t="s">
        <v>32</v>
      </c>
      <c r="Z867" s="19" t="str">
        <f>A867 &amp; "-" &amp; VLOOKUP(A867,[4]PROGRAMMES!$E$1:$F$7,2,FALSE)</f>
        <v>2-Qualité des enseignements et des apprentissages</v>
      </c>
      <c r="AA867" s="19" t="str">
        <f>B867 &amp; "-" &amp; VLOOKUP(B867,[4]SOUSPROGRAMMES!$E$1:$F$44,2,FALSE)</f>
        <v>26- Examen et évaluation</v>
      </c>
      <c r="AB867" s="19" t="str">
        <f>C867 &amp; "-" &amp; VLOOKUP(C867,[4]RESULTATS!$E$1:$F$176,2,FALSE)</f>
        <v>262- La fiabilité des examens nationaux est améliorée</v>
      </c>
      <c r="AC867" s="20" t="str">
        <f>D867 &amp; "-" &amp; VLOOKUP(D867,[4]STRATEGIES!$E$1:$F$504,2,FALSE)</f>
        <v>2621-Collecte des données des examens nationaux</v>
      </c>
      <c r="AD867" s="21" t="str">
        <f t="shared" si="162"/>
        <v>2621-Collecte des données des examens nationaux</v>
      </c>
    </row>
    <row r="868" spans="1:30" s="22" customFormat="1" ht="30" hidden="1" customHeight="1" x14ac:dyDescent="0.8">
      <c r="A868" s="14">
        <v>2</v>
      </c>
      <c r="B868" s="15">
        <v>26</v>
      </c>
      <c r="C868" s="15">
        <v>262</v>
      </c>
      <c r="D868" s="15">
        <v>2621</v>
      </c>
      <c r="E868" s="14">
        <v>26211</v>
      </c>
      <c r="F868" s="16" t="s">
        <v>1082</v>
      </c>
      <c r="G868" s="21" t="s">
        <v>37</v>
      </c>
      <c r="H868" s="17" t="s">
        <v>66</v>
      </c>
      <c r="I868" s="56">
        <v>0</v>
      </c>
      <c r="J868" s="56">
        <f>25*2</f>
        <v>50</v>
      </c>
      <c r="K868" s="56"/>
      <c r="L868" s="56"/>
      <c r="M868" s="56">
        <f t="shared" si="164"/>
        <v>50</v>
      </c>
      <c r="N868" s="56">
        <f>IF(OR(H868="",H868="sif",H868="PM"),0,VLOOKUP(H868,[5]CU!$C$4:$H$255,6,FALSE))</f>
        <v>0.255</v>
      </c>
      <c r="O868" s="56">
        <f t="shared" si="161"/>
        <v>0</v>
      </c>
      <c r="P868" s="56">
        <f t="shared" si="161"/>
        <v>12.75</v>
      </c>
      <c r="Q868" s="56">
        <f t="shared" si="161"/>
        <v>0</v>
      </c>
      <c r="R868" s="56">
        <f t="shared" si="161"/>
        <v>0</v>
      </c>
      <c r="S868" s="53">
        <f>SUM(O868:R868)</f>
        <v>12.75</v>
      </c>
      <c r="T868" s="35" t="s">
        <v>56</v>
      </c>
      <c r="U868" s="18" t="s">
        <v>647</v>
      </c>
      <c r="V868" s="19" t="str">
        <f>IF(OR($H868="",$H868="sif",$H868="PM"),"",VLOOKUP($H868,[5]CU!$C$5:$J$255,8,FALSE))</f>
        <v>3. Dépenses de fonctionnement</v>
      </c>
      <c r="W868" s="18" t="s">
        <v>708</v>
      </c>
      <c r="X868" s="18" t="s">
        <v>764</v>
      </c>
      <c r="Y868" s="19" t="s">
        <v>32</v>
      </c>
      <c r="Z868" s="19" t="str">
        <f>A868 &amp; "-" &amp; VLOOKUP(A868,[4]PROGRAMMES!$E$1:$F$7,2,FALSE)</f>
        <v>2-Qualité des enseignements et des apprentissages</v>
      </c>
      <c r="AA868" s="19" t="str">
        <f>B868 &amp; "-" &amp; VLOOKUP(B868,[4]SOUSPROGRAMMES!$E$1:$F$44,2,FALSE)</f>
        <v>26- Examen et évaluation</v>
      </c>
      <c r="AB868" s="19" t="str">
        <f>C868 &amp; "-" &amp; VLOOKUP(C868,[4]RESULTATS!$E$1:$F$176,2,FALSE)</f>
        <v>262- La fiabilité des examens nationaux est améliorée</v>
      </c>
      <c r="AC868" s="20" t="str">
        <f>D868 &amp; "-" &amp; VLOOKUP(D868,[4]STRATEGIES!$E$1:$F$504,2,FALSE)</f>
        <v>2621-Collecte des données des examens nationaux</v>
      </c>
      <c r="AD868" s="21" t="str">
        <f t="shared" si="162"/>
        <v>26211-Conception d'un questionnaire d'informations des élèves candidats (par échantillon)</v>
      </c>
    </row>
    <row r="869" spans="1:30" s="22" customFormat="1" ht="30" hidden="1" customHeight="1" x14ac:dyDescent="0.8">
      <c r="A869" s="14">
        <v>2</v>
      </c>
      <c r="B869" s="15">
        <v>26</v>
      </c>
      <c r="C869" s="15">
        <v>262</v>
      </c>
      <c r="D869" s="15">
        <v>2621</v>
      </c>
      <c r="E869" s="14">
        <v>26212</v>
      </c>
      <c r="F869" s="16" t="s">
        <v>1083</v>
      </c>
      <c r="G869" s="21" t="s">
        <v>321</v>
      </c>
      <c r="H869" s="17" t="s">
        <v>55</v>
      </c>
      <c r="I869" s="56">
        <v>0</v>
      </c>
      <c r="J869" s="56">
        <v>1</v>
      </c>
      <c r="K869" s="56">
        <v>1</v>
      </c>
      <c r="L869" s="56">
        <v>1</v>
      </c>
      <c r="M869" s="56">
        <f t="shared" si="164"/>
        <v>3</v>
      </c>
      <c r="N869" s="56">
        <f>IF(OR(H869="",H869="sif",H869="PM"),0,VLOOKUP(H869,[5]CU!$C$4:$H$255,6,FALSE))</f>
        <v>0</v>
      </c>
      <c r="O869" s="56">
        <f t="shared" si="161"/>
        <v>0</v>
      </c>
      <c r="P869" s="56">
        <f t="shared" si="161"/>
        <v>0</v>
      </c>
      <c r="Q869" s="56">
        <f t="shared" si="161"/>
        <v>0</v>
      </c>
      <c r="R869" s="56">
        <f t="shared" si="161"/>
        <v>0</v>
      </c>
      <c r="S869" s="53"/>
      <c r="T869" s="35" t="s">
        <v>56</v>
      </c>
      <c r="U869" s="18" t="s">
        <v>647</v>
      </c>
      <c r="V869" s="19" t="str">
        <f>IF(OR($H869="",$H869="sif",$H869="PM"),"",VLOOKUP($H869,[5]CU!$C$5:$J$255,8,FALSE))</f>
        <v/>
      </c>
      <c r="W869" s="18" t="s">
        <v>708</v>
      </c>
      <c r="X869" s="18" t="s">
        <v>764</v>
      </c>
      <c r="Y869" s="19" t="s">
        <v>32</v>
      </c>
      <c r="Z869" s="19" t="str">
        <f>A869 &amp; "-" &amp; VLOOKUP(A869,[4]PROGRAMMES!$E$1:$F$7,2,FALSE)</f>
        <v>2-Qualité des enseignements et des apprentissages</v>
      </c>
      <c r="AA869" s="19" t="str">
        <f>B869 &amp; "-" &amp; VLOOKUP(B869,[4]SOUSPROGRAMMES!$E$1:$F$44,2,FALSE)</f>
        <v>26- Examen et évaluation</v>
      </c>
      <c r="AB869" s="19" t="str">
        <f>C869 &amp; "-" &amp; VLOOKUP(C869,[4]RESULTATS!$E$1:$F$176,2,FALSE)</f>
        <v>262- La fiabilité des examens nationaux est améliorée</v>
      </c>
      <c r="AC869" s="20" t="str">
        <f>D869 &amp; "-" &amp; VLOOKUP(D869,[4]STRATEGIES!$E$1:$F$504,2,FALSE)</f>
        <v>2621-Collecte des données des examens nationaux</v>
      </c>
      <c r="AD869" s="21" t="str">
        <f t="shared" si="162"/>
        <v>26212-Collecte annuelle des fichiers de base des résultats des examens nationaux (Entrée en 7ième, BEPC et BAC)</v>
      </c>
    </row>
    <row r="870" spans="1:30" s="22" customFormat="1" ht="30" hidden="1" customHeight="1" x14ac:dyDescent="0.8">
      <c r="A870" s="14">
        <v>2</v>
      </c>
      <c r="B870" s="15">
        <v>26</v>
      </c>
      <c r="C870" s="15">
        <v>262</v>
      </c>
      <c r="D870" s="15">
        <v>2621</v>
      </c>
      <c r="E870" s="14">
        <v>26213</v>
      </c>
      <c r="F870" s="16" t="s">
        <v>1084</v>
      </c>
      <c r="G870" s="21" t="s">
        <v>436</v>
      </c>
      <c r="H870" s="17" t="s">
        <v>301</v>
      </c>
      <c r="I870" s="56">
        <v>0</v>
      </c>
      <c r="J870" s="56">
        <f>38*1</f>
        <v>38</v>
      </c>
      <c r="K870" s="56">
        <f>38*1</f>
        <v>38</v>
      </c>
      <c r="L870" s="56">
        <f>38*1</f>
        <v>38</v>
      </c>
      <c r="M870" s="56">
        <f t="shared" si="164"/>
        <v>114</v>
      </c>
      <c r="N870" s="56">
        <f>IF(OR(H870="",H870="sif",H870="PM"),0,VLOOKUP(H870,[5]CU!$C$4:$H$255,6,FALSE))</f>
        <v>0.67666666666666664</v>
      </c>
      <c r="O870" s="56">
        <f t="shared" si="161"/>
        <v>0</v>
      </c>
      <c r="P870" s="56">
        <f t="shared" si="161"/>
        <v>25.713333333333331</v>
      </c>
      <c r="Q870" s="56">
        <f t="shared" si="161"/>
        <v>25.713333333333331</v>
      </c>
      <c r="R870" s="56">
        <f t="shared" si="161"/>
        <v>25.713333333333331</v>
      </c>
      <c r="S870" s="53">
        <f>SUM(O870:R870)</f>
        <v>77.139999999999986</v>
      </c>
      <c r="T870" s="35" t="s">
        <v>56</v>
      </c>
      <c r="U870" s="18" t="s">
        <v>647</v>
      </c>
      <c r="V870" s="19" t="str">
        <f>IF(OR($H870="",$H870="sif",$H870="PM"),"",VLOOKUP($H870,[5]CU!$C$5:$J$255,8,FALSE))</f>
        <v>3. Formation</v>
      </c>
      <c r="W870" s="18" t="s">
        <v>764</v>
      </c>
      <c r="X870" s="18" t="s">
        <v>764</v>
      </c>
      <c r="Y870" s="19" t="s">
        <v>32</v>
      </c>
      <c r="Z870" s="19" t="str">
        <f>A870 &amp; "-" &amp; VLOOKUP(A870,[4]PROGRAMMES!$E$1:$F$7,2,FALSE)</f>
        <v>2-Qualité des enseignements et des apprentissages</v>
      </c>
      <c r="AA870" s="19" t="str">
        <f>B870 &amp; "-" &amp; VLOOKUP(B870,[4]SOUSPROGRAMMES!$E$1:$F$44,2,FALSE)</f>
        <v>26- Examen et évaluation</v>
      </c>
      <c r="AB870" s="19" t="str">
        <f>C870 &amp; "-" &amp; VLOOKUP(C870,[4]RESULTATS!$E$1:$F$176,2,FALSE)</f>
        <v>262- La fiabilité des examens nationaux est améliorée</v>
      </c>
      <c r="AC870" s="20" t="str">
        <f>D870 &amp; "-" &amp; VLOOKUP(D870,[4]STRATEGIES!$E$1:$F$504,2,FALSE)</f>
        <v>2621-Collecte des données des examens nationaux</v>
      </c>
      <c r="AD870" s="21" t="str">
        <f t="shared" si="162"/>
        <v>26213-Formation des administrateurs de test (superviseurs des examens)</v>
      </c>
    </row>
    <row r="871" spans="1:30" s="22" customFormat="1" ht="30" hidden="1" customHeight="1" x14ac:dyDescent="0.8">
      <c r="A871" s="14">
        <v>2</v>
      </c>
      <c r="B871" s="15">
        <v>26</v>
      </c>
      <c r="C871" s="15">
        <v>262</v>
      </c>
      <c r="D871" s="15">
        <v>2621</v>
      </c>
      <c r="E871" s="14">
        <v>26214</v>
      </c>
      <c r="F871" s="16" t="s">
        <v>1085</v>
      </c>
      <c r="G871" s="21" t="s">
        <v>692</v>
      </c>
      <c r="H871" s="17" t="s">
        <v>816</v>
      </c>
      <c r="I871" s="56">
        <v>0</v>
      </c>
      <c r="J871" s="56">
        <f>100*38*2</f>
        <v>7600</v>
      </c>
      <c r="K871" s="56">
        <f>100*38*2</f>
        <v>7600</v>
      </c>
      <c r="L871" s="56">
        <f>100*38*2</f>
        <v>7600</v>
      </c>
      <c r="M871" s="56">
        <f t="shared" si="164"/>
        <v>22800</v>
      </c>
      <c r="N871" s="56">
        <f>IF(OR(H871="",H871="sif",H871="PM"),0,VLOOKUP(H871,[5]CU!$C$4:$H$255,6,FALSE))</f>
        <v>7.4999999999999997E-3</v>
      </c>
      <c r="O871" s="56">
        <f t="shared" si="161"/>
        <v>0</v>
      </c>
      <c r="P871" s="56">
        <f t="shared" si="161"/>
        <v>57</v>
      </c>
      <c r="Q871" s="56">
        <f t="shared" si="161"/>
        <v>57</v>
      </c>
      <c r="R871" s="56">
        <f t="shared" si="161"/>
        <v>57</v>
      </c>
      <c r="S871" s="53">
        <f>SUM(O871:R871)</f>
        <v>171</v>
      </c>
      <c r="T871" s="35" t="s">
        <v>56</v>
      </c>
      <c r="U871" s="18" t="s">
        <v>647</v>
      </c>
      <c r="V871" s="19" t="str">
        <f>IF(OR($H871="",$H871="sif",$H871="PM"),"",VLOOKUP($H871,[5]CU!$C$5:$J$255,8,FALSE))</f>
        <v>3. Dépenses de fonctionnement</v>
      </c>
      <c r="W871" s="18" t="s">
        <v>764</v>
      </c>
      <c r="X871" s="18" t="s">
        <v>764</v>
      </c>
      <c r="Y871" s="19" t="s">
        <v>32</v>
      </c>
      <c r="Z871" s="19" t="str">
        <f>A871 &amp; "-" &amp; VLOOKUP(A871,[4]PROGRAMMES!$E$1:$F$7,2,FALSE)</f>
        <v>2-Qualité des enseignements et des apprentissages</v>
      </c>
      <c r="AA871" s="19" t="str">
        <f>B871 &amp; "-" &amp; VLOOKUP(B871,[4]SOUSPROGRAMMES!$E$1:$F$44,2,FALSE)</f>
        <v>26- Examen et évaluation</v>
      </c>
      <c r="AB871" s="19" t="str">
        <f>C871 &amp; "-" &amp; VLOOKUP(C871,[4]RESULTATS!$E$1:$F$176,2,FALSE)</f>
        <v>262- La fiabilité des examens nationaux est améliorée</v>
      </c>
      <c r="AC871" s="20" t="str">
        <f>D871 &amp; "-" &amp; VLOOKUP(D871,[4]STRATEGIES!$E$1:$F$504,2,FALSE)</f>
        <v>2621-Collecte des données des examens nationaux</v>
      </c>
      <c r="AD871" s="21" t="str">
        <f t="shared" si="162"/>
        <v>26214-Reproduction des questionnaires</v>
      </c>
    </row>
    <row r="872" spans="1:30" s="22" customFormat="1" ht="45" hidden="1" customHeight="1" x14ac:dyDescent="0.8">
      <c r="A872" s="14">
        <v>2</v>
      </c>
      <c r="B872" s="15">
        <v>26</v>
      </c>
      <c r="C872" s="15">
        <v>262</v>
      </c>
      <c r="D872" s="15">
        <v>2621</v>
      </c>
      <c r="E872" s="14">
        <v>26215</v>
      </c>
      <c r="F872" s="16" t="s">
        <v>1086</v>
      </c>
      <c r="G872" s="21" t="s">
        <v>92</v>
      </c>
      <c r="H872" s="17" t="s">
        <v>55</v>
      </c>
      <c r="I872" s="56">
        <v>0</v>
      </c>
      <c r="J872" s="56"/>
      <c r="K872" s="56"/>
      <c r="L872" s="56"/>
      <c r="M872" s="56"/>
      <c r="N872" s="56">
        <f>IF(OR(H872="",H872="sif",H872="PM"),0,VLOOKUP(H872,[5]CU!$C$4:$H$255,6,FALSE))</f>
        <v>0</v>
      </c>
      <c r="O872" s="56"/>
      <c r="P872" s="56"/>
      <c r="Q872" s="56"/>
      <c r="R872" s="56"/>
      <c r="S872" s="53"/>
      <c r="T872" s="35" t="s">
        <v>56</v>
      </c>
      <c r="U872" s="18" t="s">
        <v>647</v>
      </c>
      <c r="V872" s="19" t="str">
        <f>IF(OR($H872="",$H872="sif",$H872="PM"),"",VLOOKUP($H872,[5]CU!$C$5:$J$255,8,FALSE))</f>
        <v/>
      </c>
      <c r="W872" s="18" t="s">
        <v>764</v>
      </c>
      <c r="X872" s="18" t="s">
        <v>764</v>
      </c>
      <c r="Y872" s="19" t="s">
        <v>32</v>
      </c>
      <c r="Z872" s="19" t="str">
        <f>A872 &amp; "-" &amp; VLOOKUP(A872,[4]PROGRAMMES!$E$1:$F$7,2,FALSE)</f>
        <v>2-Qualité des enseignements et des apprentissages</v>
      </c>
      <c r="AA872" s="19" t="str">
        <f>B872 &amp; "-" &amp; VLOOKUP(B872,[4]SOUSPROGRAMMES!$E$1:$F$44,2,FALSE)</f>
        <v>26- Examen et évaluation</v>
      </c>
      <c r="AB872" s="19" t="str">
        <f>C872 &amp; "-" &amp; VLOOKUP(C872,[4]RESULTATS!$E$1:$F$176,2,FALSE)</f>
        <v>262- La fiabilité des examens nationaux est améliorée</v>
      </c>
      <c r="AC872" s="20" t="str">
        <f>D872 &amp; "-" &amp; VLOOKUP(D872,[4]STRATEGIES!$E$1:$F$504,2,FALSE)</f>
        <v>2621-Collecte des données des examens nationaux</v>
      </c>
      <c r="AD872" s="21" t="str">
        <f t="shared" si="162"/>
        <v>26215-Remplissage des questionnaires par l'échantillon sous l'administration des superviseurs des examens (pris en charge dans budget examen)</v>
      </c>
    </row>
    <row r="873" spans="1:30" s="22" customFormat="1" ht="30" hidden="1" customHeight="1" x14ac:dyDescent="0.8">
      <c r="A873" s="14">
        <v>2</v>
      </c>
      <c r="B873" s="15">
        <v>26</v>
      </c>
      <c r="C873" s="15">
        <v>262</v>
      </c>
      <c r="D873" s="15">
        <v>2621</v>
      </c>
      <c r="E873" s="14">
        <v>26216</v>
      </c>
      <c r="F873" s="16" t="s">
        <v>1087</v>
      </c>
      <c r="G873" s="21" t="s">
        <v>37</v>
      </c>
      <c r="H873" s="17" t="s">
        <v>66</v>
      </c>
      <c r="I873" s="56">
        <v>0</v>
      </c>
      <c r="J873" s="56">
        <f>12*10</f>
        <v>120</v>
      </c>
      <c r="K873" s="56">
        <f>12*10</f>
        <v>120</v>
      </c>
      <c r="L873" s="56">
        <f>12*10</f>
        <v>120</v>
      </c>
      <c r="M873" s="56">
        <f t="shared" ref="M873:M883" si="165">SUM(I873:L873)</f>
        <v>360</v>
      </c>
      <c r="N873" s="56">
        <f>IF(OR(H873="",H873="sif",H873="PM"),0,VLOOKUP(H873,[5]CU!$C$4:$H$255,6,FALSE))</f>
        <v>0.255</v>
      </c>
      <c r="O873" s="56">
        <f t="shared" ref="O873:R883" si="166">IFERROR($N873*I873,0)</f>
        <v>0</v>
      </c>
      <c r="P873" s="56">
        <f t="shared" si="166"/>
        <v>30.6</v>
      </c>
      <c r="Q873" s="56">
        <f t="shared" si="166"/>
        <v>30.6</v>
      </c>
      <c r="R873" s="56">
        <f t="shared" si="166"/>
        <v>30.6</v>
      </c>
      <c r="S873" s="53">
        <f>SUM(O873:R873)</f>
        <v>91.800000000000011</v>
      </c>
      <c r="T873" s="35" t="s">
        <v>56</v>
      </c>
      <c r="U873" s="18" t="s">
        <v>647</v>
      </c>
      <c r="V873" s="19" t="str">
        <f>IF(OR($H873="",$H873="sif",$H873="PM"),"",VLOOKUP($H873,[5]CU!$C$5:$J$255,8,FALSE))</f>
        <v>3. Dépenses de fonctionnement</v>
      </c>
      <c r="W873" s="18" t="s">
        <v>764</v>
      </c>
      <c r="X873" s="18" t="s">
        <v>764</v>
      </c>
      <c r="Y873" s="19" t="s">
        <v>32</v>
      </c>
      <c r="Z873" s="19" t="str">
        <f>A873 &amp; "-" &amp; VLOOKUP(A873,[4]PROGRAMMES!$E$1:$F$7,2,FALSE)</f>
        <v>2-Qualité des enseignements et des apprentissages</v>
      </c>
      <c r="AA873" s="19" t="str">
        <f>B873 &amp; "-" &amp; VLOOKUP(B873,[4]SOUSPROGRAMMES!$E$1:$F$44,2,FALSE)</f>
        <v>26- Examen et évaluation</v>
      </c>
      <c r="AB873" s="19" t="str">
        <f>C873 &amp; "-" &amp; VLOOKUP(C873,[4]RESULTATS!$E$1:$F$176,2,FALSE)</f>
        <v>262- La fiabilité des examens nationaux est améliorée</v>
      </c>
      <c r="AC873" s="20" t="str">
        <f>D873 &amp; "-" &amp; VLOOKUP(D873,[4]STRATEGIES!$E$1:$F$504,2,FALSE)</f>
        <v>2621-Collecte des données des examens nationaux</v>
      </c>
      <c r="AD873" s="21" t="str">
        <f t="shared" si="162"/>
        <v>26216-Traitement des données (codification, saisie et toilettage des fichiers)</v>
      </c>
    </row>
    <row r="874" spans="1:30" s="22" customFormat="1" ht="30" hidden="1" customHeight="1" x14ac:dyDescent="0.8">
      <c r="A874" s="14">
        <v>2</v>
      </c>
      <c r="B874" s="15">
        <v>26</v>
      </c>
      <c r="C874" s="15">
        <v>262</v>
      </c>
      <c r="D874" s="15">
        <v>2621</v>
      </c>
      <c r="E874" s="14">
        <v>26217</v>
      </c>
      <c r="F874" s="16" t="s">
        <v>1088</v>
      </c>
      <c r="G874" s="21" t="s">
        <v>37</v>
      </c>
      <c r="H874" s="17" t="s">
        <v>66</v>
      </c>
      <c r="I874" s="56">
        <v>0</v>
      </c>
      <c r="J874" s="56">
        <f>10*10</f>
        <v>100</v>
      </c>
      <c r="K874" s="56">
        <f>10*10</f>
        <v>100</v>
      </c>
      <c r="L874" s="56">
        <f>10*10</f>
        <v>100</v>
      </c>
      <c r="M874" s="56">
        <f t="shared" si="165"/>
        <v>300</v>
      </c>
      <c r="N874" s="56">
        <f>IF(OR(H874="",H874="sif",H874="PM"),0,VLOOKUP(H874,[5]CU!$C$4:$H$255,6,FALSE))</f>
        <v>0.255</v>
      </c>
      <c r="O874" s="56">
        <f t="shared" si="166"/>
        <v>0</v>
      </c>
      <c r="P874" s="56">
        <f t="shared" si="166"/>
        <v>25.5</v>
      </c>
      <c r="Q874" s="56">
        <f t="shared" si="166"/>
        <v>25.5</v>
      </c>
      <c r="R874" s="56">
        <f t="shared" si="166"/>
        <v>25.5</v>
      </c>
      <c r="S874" s="53">
        <f>SUM(O874:R874)</f>
        <v>76.5</v>
      </c>
      <c r="T874" s="35" t="s">
        <v>56</v>
      </c>
      <c r="U874" s="18" t="s">
        <v>647</v>
      </c>
      <c r="V874" s="19" t="str">
        <f>IF(OR($H874="",$H874="sif",$H874="PM"),"",VLOOKUP($H874,[5]CU!$C$5:$J$255,8,FALSE))</f>
        <v>3. Dépenses de fonctionnement</v>
      </c>
      <c r="W874" s="18" t="s">
        <v>764</v>
      </c>
      <c r="X874" s="18" t="s">
        <v>764</v>
      </c>
      <c r="Y874" s="19" t="s">
        <v>32</v>
      </c>
      <c r="Z874" s="19" t="str">
        <f>A874 &amp; "-" &amp; VLOOKUP(A874,[4]PROGRAMMES!$E$1:$F$7,2,FALSE)</f>
        <v>2-Qualité des enseignements et des apprentissages</v>
      </c>
      <c r="AA874" s="19" t="str">
        <f>B874 &amp; "-" &amp; VLOOKUP(B874,[4]SOUSPROGRAMMES!$E$1:$F$44,2,FALSE)</f>
        <v>26- Examen et évaluation</v>
      </c>
      <c r="AB874" s="19" t="str">
        <f>C874 &amp; "-" &amp; VLOOKUP(C874,[4]RESULTATS!$E$1:$F$176,2,FALSE)</f>
        <v>262- La fiabilité des examens nationaux est améliorée</v>
      </c>
      <c r="AC874" s="20" t="str">
        <f>D874 &amp; "-" &amp; VLOOKUP(D874,[4]STRATEGIES!$E$1:$F$504,2,FALSE)</f>
        <v>2621-Collecte des données des examens nationaux</v>
      </c>
      <c r="AD874" s="21" t="str">
        <f t="shared" si="162"/>
        <v>26217-Analyse et rédaction du rapport d'évaluation</v>
      </c>
    </row>
    <row r="875" spans="1:30" s="22" customFormat="1" ht="30" customHeight="1" x14ac:dyDescent="0.8">
      <c r="A875" s="14">
        <v>2</v>
      </c>
      <c r="B875" s="15">
        <v>26</v>
      </c>
      <c r="C875" s="15">
        <v>262</v>
      </c>
      <c r="D875" s="15">
        <v>2622</v>
      </c>
      <c r="E875" s="14">
        <v>2622</v>
      </c>
      <c r="F875" s="16" t="s">
        <v>1089</v>
      </c>
      <c r="G875" s="17"/>
      <c r="H875" s="17"/>
      <c r="I875" s="56">
        <v>0</v>
      </c>
      <c r="J875" s="56"/>
      <c r="K875" s="56"/>
      <c r="L875" s="56"/>
      <c r="M875" s="56"/>
      <c r="N875" s="56"/>
      <c r="O875" s="56"/>
      <c r="P875" s="56"/>
      <c r="Q875" s="56"/>
      <c r="R875" s="56"/>
      <c r="S875" s="53"/>
      <c r="T875" s="33"/>
      <c r="U875" s="18"/>
      <c r="V875" s="19"/>
      <c r="W875" s="18"/>
      <c r="X875" s="18"/>
      <c r="Y875" s="19" t="s">
        <v>32</v>
      </c>
      <c r="Z875" s="19" t="str">
        <f>A875 &amp; "-" &amp; VLOOKUP(A875,[4]PROGRAMMES!$E$1:$F$7,2,FALSE)</f>
        <v>2-Qualité des enseignements et des apprentissages</v>
      </c>
      <c r="AA875" s="19" t="str">
        <f>B875 &amp; "-" &amp; VLOOKUP(B875,[4]SOUSPROGRAMMES!$E$1:$F$44,2,FALSE)</f>
        <v>26- Examen et évaluation</v>
      </c>
      <c r="AB875" s="19" t="str">
        <f>C875 &amp; "-" &amp; VLOOKUP(C875,[4]RESULTATS!$E$1:$F$176,2,FALSE)</f>
        <v>262- La fiabilité des examens nationaux est améliorée</v>
      </c>
      <c r="AC875" s="20" t="str">
        <f>D875 &amp; "-" &amp; VLOOKUP(D875,[4]STRATEGIES!$E$1:$F$504,2,FALSE)</f>
        <v>2622-Analyse et rédaction du rapport d'audit</v>
      </c>
      <c r="AD875" s="21" t="str">
        <f t="shared" si="162"/>
        <v>2622-Analyse et rédaction du rapport d'audit</v>
      </c>
    </row>
    <row r="876" spans="1:30" s="22" customFormat="1" ht="45" hidden="1" customHeight="1" x14ac:dyDescent="0.8">
      <c r="A876" s="14">
        <v>2</v>
      </c>
      <c r="B876" s="15">
        <v>26</v>
      </c>
      <c r="C876" s="15">
        <v>262</v>
      </c>
      <c r="D876" s="15">
        <v>2622</v>
      </c>
      <c r="E876" s="14">
        <v>26221</v>
      </c>
      <c r="F876" s="16" t="s">
        <v>1090</v>
      </c>
      <c r="G876" s="21" t="s">
        <v>58</v>
      </c>
      <c r="H876" s="17" t="s">
        <v>59</v>
      </c>
      <c r="I876" s="56">
        <v>0</v>
      </c>
      <c r="J876" s="56">
        <f>4*7*8</f>
        <v>224</v>
      </c>
      <c r="K876" s="56">
        <f>4*7*8</f>
        <v>224</v>
      </c>
      <c r="L876" s="56">
        <f>4*7*8</f>
        <v>224</v>
      </c>
      <c r="M876" s="56">
        <f t="shared" si="165"/>
        <v>672</v>
      </c>
      <c r="N876" s="56">
        <f>IF(OR(H876="",H876="sif",H876="PM"),0,VLOOKUP(H876,[5]CU!$C$4:$H$255,6,FALSE))</f>
        <v>0.8177777777777776</v>
      </c>
      <c r="O876" s="56">
        <f t="shared" si="166"/>
        <v>0</v>
      </c>
      <c r="P876" s="56">
        <f t="shared" si="166"/>
        <v>183.18222222222218</v>
      </c>
      <c r="Q876" s="56">
        <f t="shared" si="166"/>
        <v>183.18222222222218</v>
      </c>
      <c r="R876" s="56">
        <f t="shared" si="166"/>
        <v>183.18222222222218</v>
      </c>
      <c r="S876" s="53">
        <f>SUM(O876:R876)</f>
        <v>549.54666666666651</v>
      </c>
      <c r="T876" s="35" t="s">
        <v>56</v>
      </c>
      <c r="U876" s="18" t="s">
        <v>647</v>
      </c>
      <c r="V876" s="19" t="str">
        <f>IF(OR($H876="",$H876="sif",$H876="PM"),"",VLOOKUP($H876,[5]CU!$C$5:$J$255,8,FALSE))</f>
        <v>3. Dépenses de fonctionnement</v>
      </c>
      <c r="W876" s="18" t="s">
        <v>273</v>
      </c>
      <c r="X876" s="18" t="s">
        <v>1091</v>
      </c>
      <c r="Y876" s="19" t="s">
        <v>32</v>
      </c>
      <c r="Z876" s="19" t="str">
        <f>A876 &amp; "-" &amp; VLOOKUP(A876,[4]PROGRAMMES!$E$1:$F$7,2,FALSE)</f>
        <v>2-Qualité des enseignements et des apprentissages</v>
      </c>
      <c r="AA876" s="19" t="str">
        <f>B876 &amp; "-" &amp; VLOOKUP(B876,[4]SOUSPROGRAMMES!$E$1:$F$44,2,FALSE)</f>
        <v>26- Examen et évaluation</v>
      </c>
      <c r="AB876" s="19" t="str">
        <f>C876 &amp; "-" &amp; VLOOKUP(C876,[4]RESULTATS!$E$1:$F$176,2,FALSE)</f>
        <v>262- La fiabilité des examens nationaux est améliorée</v>
      </c>
      <c r="AC876" s="20" t="str">
        <f>D876 &amp; "-" &amp; VLOOKUP(D876,[4]STRATEGIES!$E$1:$F$504,2,FALSE)</f>
        <v>2622-Analyse et rédaction du rapport d'audit</v>
      </c>
      <c r="AD876" s="21" t="str">
        <f t="shared" si="162"/>
        <v>26221-Contrôle de conformité entre la note et la production de l'élève, entre la note sur la copie et celle sur la fiche de centralisation, entre la note sur la fiche de centralisation et la note saisie)</v>
      </c>
    </row>
    <row r="877" spans="1:30" s="22" customFormat="1" ht="30" hidden="1" customHeight="1" x14ac:dyDescent="0.8">
      <c r="A877" s="14">
        <v>2</v>
      </c>
      <c r="B877" s="15">
        <v>26</v>
      </c>
      <c r="C877" s="15">
        <v>262</v>
      </c>
      <c r="D877" s="15">
        <v>2622</v>
      </c>
      <c r="E877" s="14">
        <v>26222</v>
      </c>
      <c r="F877" s="16" t="s">
        <v>1092</v>
      </c>
      <c r="G877" s="21" t="s">
        <v>37</v>
      </c>
      <c r="H877" s="17" t="s">
        <v>38</v>
      </c>
      <c r="I877" s="56">
        <v>0</v>
      </c>
      <c r="J877" s="56">
        <f>16*10</f>
        <v>160</v>
      </c>
      <c r="K877" s="56">
        <f>16*10</f>
        <v>160</v>
      </c>
      <c r="L877" s="56">
        <f>16*10</f>
        <v>160</v>
      </c>
      <c r="M877" s="56">
        <f t="shared" si="165"/>
        <v>480</v>
      </c>
      <c r="N877" s="56">
        <f>IF(OR(H877="",H877="sif",H877="PM"),0,VLOOKUP(H877,[5]CU!$C$4:$H$255,6,FALSE))</f>
        <v>0.3133333333333333</v>
      </c>
      <c r="O877" s="56">
        <f t="shared" si="166"/>
        <v>0</v>
      </c>
      <c r="P877" s="56">
        <f t="shared" si="166"/>
        <v>50.133333333333326</v>
      </c>
      <c r="Q877" s="56">
        <f t="shared" si="166"/>
        <v>50.133333333333326</v>
      </c>
      <c r="R877" s="56">
        <f t="shared" si="166"/>
        <v>50.133333333333326</v>
      </c>
      <c r="S877" s="53">
        <f>SUM(O877:R877)</f>
        <v>150.39999999999998</v>
      </c>
      <c r="T877" s="35" t="s">
        <v>56</v>
      </c>
      <c r="U877" s="18" t="s">
        <v>647</v>
      </c>
      <c r="V877" s="19" t="str">
        <f>IF(OR($H877="",$H877="sif",$H877="PM"),"",VLOOKUP($H877,[5]CU!$C$5:$J$255,8,FALSE))</f>
        <v>3. Formation</v>
      </c>
      <c r="W877" s="18" t="s">
        <v>273</v>
      </c>
      <c r="X877" s="18" t="s">
        <v>1091</v>
      </c>
      <c r="Y877" s="19" t="s">
        <v>32</v>
      </c>
      <c r="Z877" s="19" t="str">
        <f>A877 &amp; "-" &amp; VLOOKUP(A877,[4]PROGRAMMES!$E$1:$F$7,2,FALSE)</f>
        <v>2-Qualité des enseignements et des apprentissages</v>
      </c>
      <c r="AA877" s="19" t="str">
        <f>B877 &amp; "-" &amp; VLOOKUP(B877,[4]SOUSPROGRAMMES!$E$1:$F$44,2,FALSE)</f>
        <v>26- Examen et évaluation</v>
      </c>
      <c r="AB877" s="19" t="str">
        <f>C877 &amp; "-" &amp; VLOOKUP(C877,[4]RESULTATS!$E$1:$F$176,2,FALSE)</f>
        <v>262- La fiabilité des examens nationaux est améliorée</v>
      </c>
      <c r="AC877" s="20" t="str">
        <f>D877 &amp; "-" &amp; VLOOKUP(D877,[4]STRATEGIES!$E$1:$F$504,2,FALSE)</f>
        <v>2622-Analyse et rédaction du rapport d'audit</v>
      </c>
      <c r="AD877" s="21" t="str">
        <f t="shared" si="162"/>
        <v>26222-Rédaction du rapport d'audit</v>
      </c>
    </row>
    <row r="878" spans="1:30" s="22" customFormat="1" ht="30" customHeight="1" x14ac:dyDescent="0.8">
      <c r="A878" s="14">
        <v>2</v>
      </c>
      <c r="B878" s="15">
        <v>26</v>
      </c>
      <c r="C878" s="15">
        <v>262</v>
      </c>
      <c r="D878" s="15">
        <v>2623</v>
      </c>
      <c r="E878" s="14">
        <v>2623</v>
      </c>
      <c r="F878" s="16" t="s">
        <v>1093</v>
      </c>
      <c r="G878" s="17"/>
      <c r="H878" s="17"/>
      <c r="I878" s="56">
        <v>0</v>
      </c>
      <c r="J878" s="56"/>
      <c r="K878" s="56"/>
      <c r="L878" s="56"/>
      <c r="M878" s="56"/>
      <c r="N878" s="56"/>
      <c r="O878" s="56"/>
      <c r="P878" s="56"/>
      <c r="Q878" s="56"/>
      <c r="R878" s="56"/>
      <c r="S878" s="53"/>
      <c r="T878" s="33"/>
      <c r="U878" s="18"/>
      <c r="V878" s="19"/>
      <c r="W878" s="18"/>
      <c r="X878" s="18"/>
      <c r="Y878" s="19" t="s">
        <v>32</v>
      </c>
      <c r="Z878" s="19" t="str">
        <f>A878 &amp; "-" &amp; VLOOKUP(A878,[4]PROGRAMMES!$E$1:$F$7,2,FALSE)</f>
        <v>2-Qualité des enseignements et des apprentissages</v>
      </c>
      <c r="AA878" s="19" t="str">
        <f>B878 &amp; "-" &amp; VLOOKUP(B878,[4]SOUSPROGRAMMES!$E$1:$F$44,2,FALSE)</f>
        <v>26- Examen et évaluation</v>
      </c>
      <c r="AB878" s="19" t="str">
        <f>C878 &amp; "-" &amp; VLOOKUP(C878,[4]RESULTATS!$E$1:$F$176,2,FALSE)</f>
        <v>262- La fiabilité des examens nationaux est améliorée</v>
      </c>
      <c r="AC878" s="20" t="str">
        <f>D878 &amp; "-" &amp; VLOOKUP(D878,[4]STRATEGIES!$E$1:$F$504,2,FALSE)</f>
        <v>2623-Adaptation des textes organisants les examens nationaux</v>
      </c>
      <c r="AD878" s="21" t="str">
        <f t="shared" si="162"/>
        <v>2623-Adaptation des textes organisants les examens nationaux</v>
      </c>
    </row>
    <row r="879" spans="1:30" s="22" customFormat="1" ht="45" hidden="1" customHeight="1" x14ac:dyDescent="0.8">
      <c r="A879" s="14">
        <v>2</v>
      </c>
      <c r="B879" s="15">
        <v>26</v>
      </c>
      <c r="C879" s="15">
        <v>262</v>
      </c>
      <c r="D879" s="15">
        <v>2623</v>
      </c>
      <c r="E879" s="14">
        <v>26231</v>
      </c>
      <c r="F879" s="16" t="s">
        <v>1094</v>
      </c>
      <c r="G879" s="21" t="s">
        <v>1095</v>
      </c>
      <c r="H879" s="17" t="s">
        <v>55</v>
      </c>
      <c r="I879" s="56">
        <v>0</v>
      </c>
      <c r="J879" s="56">
        <v>1</v>
      </c>
      <c r="K879" s="56"/>
      <c r="L879" s="56"/>
      <c r="M879" s="56">
        <f t="shared" si="165"/>
        <v>1</v>
      </c>
      <c r="N879" s="56">
        <f>IF(OR(H879="",H879="sif",H879="PM"),0,VLOOKUP(H879,[5]CU!$C$4:$H$255,6,FALSE))</f>
        <v>0</v>
      </c>
      <c r="O879" s="56">
        <f t="shared" si="166"/>
        <v>0</v>
      </c>
      <c r="P879" s="56">
        <f t="shared" si="166"/>
        <v>0</v>
      </c>
      <c r="Q879" s="56">
        <f t="shared" si="166"/>
        <v>0</v>
      </c>
      <c r="R879" s="56">
        <f t="shared" si="166"/>
        <v>0</v>
      </c>
      <c r="S879" s="53"/>
      <c r="T879" s="35" t="s">
        <v>56</v>
      </c>
      <c r="U879" s="18" t="s">
        <v>647</v>
      </c>
      <c r="V879" s="19" t="str">
        <f>IF(OR($H879="",$H879="sif",$H879="PM"),"",VLOOKUP($H879,[5]CU!$C$5:$J$255,8,FALSE))</f>
        <v/>
      </c>
      <c r="W879" s="18" t="s">
        <v>708</v>
      </c>
      <c r="X879" s="18" t="s">
        <v>273</v>
      </c>
      <c r="Y879" s="19" t="s">
        <v>32</v>
      </c>
      <c r="Z879" s="19" t="str">
        <f>A879 &amp; "-" &amp; VLOOKUP(A879,[4]PROGRAMMES!$E$1:$F$7,2,FALSE)</f>
        <v>2-Qualité des enseignements et des apprentissages</v>
      </c>
      <c r="AA879" s="19" t="str">
        <f>B879 &amp; "-" &amp; VLOOKUP(B879,[4]SOUSPROGRAMMES!$E$1:$F$44,2,FALSE)</f>
        <v>26- Examen et évaluation</v>
      </c>
      <c r="AB879" s="19" t="str">
        <f>C879 &amp; "-" &amp; VLOOKUP(C879,[4]RESULTATS!$E$1:$F$176,2,FALSE)</f>
        <v>262- La fiabilité des examens nationaux est améliorée</v>
      </c>
      <c r="AC879" s="20" t="str">
        <f>D879 &amp; "-" &amp; VLOOKUP(D879,[4]STRATEGIES!$E$1:$F$504,2,FALSE)</f>
        <v>2623-Adaptation des textes organisants les examens nationaux</v>
      </c>
      <c r="AD879" s="21" t="str">
        <f t="shared" si="162"/>
        <v>26231-Mise en place d'une commission nationale pour la révision des procédures de passation des examens pour les rendre plus transparents</v>
      </c>
    </row>
    <row r="880" spans="1:30" s="22" customFormat="1" ht="60" hidden="1" customHeight="1" x14ac:dyDescent="0.8">
      <c r="A880" s="14">
        <v>2</v>
      </c>
      <c r="B880" s="15">
        <v>26</v>
      </c>
      <c r="C880" s="15">
        <v>262</v>
      </c>
      <c r="D880" s="15">
        <v>2623</v>
      </c>
      <c r="E880" s="14">
        <v>26232</v>
      </c>
      <c r="F880" s="16" t="s">
        <v>1096</v>
      </c>
      <c r="G880" s="21" t="s">
        <v>298</v>
      </c>
      <c r="H880" s="17" t="s">
        <v>38</v>
      </c>
      <c r="I880" s="56">
        <v>0</v>
      </c>
      <c r="J880" s="56">
        <f>20*2*4</f>
        <v>160</v>
      </c>
      <c r="K880" s="56"/>
      <c r="L880" s="56"/>
      <c r="M880" s="56">
        <f t="shared" si="165"/>
        <v>160</v>
      </c>
      <c r="N880" s="56">
        <f>IF(OR(H880="",H880="sif",H880="PM"),0,VLOOKUP(H880,[5]CU!$C$4:$H$255,6,FALSE))</f>
        <v>0.3133333333333333</v>
      </c>
      <c r="O880" s="56">
        <f t="shared" si="166"/>
        <v>0</v>
      </c>
      <c r="P880" s="56">
        <f t="shared" si="166"/>
        <v>50.133333333333326</v>
      </c>
      <c r="Q880" s="56">
        <f t="shared" si="166"/>
        <v>0</v>
      </c>
      <c r="R880" s="56">
        <f t="shared" si="166"/>
        <v>0</v>
      </c>
      <c r="S880" s="53">
        <f>SUM(O880:R880)</f>
        <v>50.133333333333326</v>
      </c>
      <c r="T880" s="35" t="s">
        <v>56</v>
      </c>
      <c r="U880" s="18" t="s">
        <v>647</v>
      </c>
      <c r="V880" s="19" t="str">
        <f>IF(OR($H880="",$H880="sif",$H880="PM"),"",VLOOKUP($H880,[5]CU!$C$5:$J$255,8,FALSE))</f>
        <v>3. Formation</v>
      </c>
      <c r="W880" s="18" t="s">
        <v>708</v>
      </c>
      <c r="X880" s="18" t="s">
        <v>273</v>
      </c>
      <c r="Y880" s="19" t="s">
        <v>32</v>
      </c>
      <c r="Z880" s="19" t="str">
        <f>A880 &amp; "-" &amp; VLOOKUP(A880,[4]PROGRAMMES!$E$1:$F$7,2,FALSE)</f>
        <v>2-Qualité des enseignements et des apprentissages</v>
      </c>
      <c r="AA880" s="19" t="str">
        <f>B880 &amp; "-" &amp; VLOOKUP(B880,[4]SOUSPROGRAMMES!$E$1:$F$44,2,FALSE)</f>
        <v>26- Examen et évaluation</v>
      </c>
      <c r="AB880" s="19" t="str">
        <f>C880 &amp; "-" &amp; VLOOKUP(C880,[4]RESULTATS!$E$1:$F$176,2,FALSE)</f>
        <v>262- La fiabilité des examens nationaux est améliorée</v>
      </c>
      <c r="AC880" s="20" t="str">
        <f>D880 &amp; "-" &amp; VLOOKUP(D880,[4]STRATEGIES!$E$1:$F$504,2,FALSE)</f>
        <v>2623-Adaptation des textes organisants les examens nationaux</v>
      </c>
      <c r="AD880" s="21" t="str">
        <f t="shared" si="162"/>
        <v>26232-Proposition de révision des procédures du déroulement des examens par la commission en concertation avec les partenaires et les acteurs (syndicats, les APEAE, les structures déconcentrées et le service des examens)</v>
      </c>
    </row>
    <row r="881" spans="1:30" s="22" customFormat="1" ht="30" hidden="1" customHeight="1" x14ac:dyDescent="0.8">
      <c r="A881" s="14">
        <v>2</v>
      </c>
      <c r="B881" s="15">
        <v>26</v>
      </c>
      <c r="C881" s="15">
        <v>262</v>
      </c>
      <c r="D881" s="15">
        <v>2623</v>
      </c>
      <c r="E881" s="14">
        <v>26233</v>
      </c>
      <c r="F881" s="16" t="s">
        <v>1097</v>
      </c>
      <c r="G881" s="21" t="s">
        <v>298</v>
      </c>
      <c r="H881" s="17" t="s">
        <v>38</v>
      </c>
      <c r="I881" s="56">
        <v>0</v>
      </c>
      <c r="J881" s="56">
        <f>30*1</f>
        <v>30</v>
      </c>
      <c r="K881" s="56"/>
      <c r="L881" s="56"/>
      <c r="M881" s="56">
        <f t="shared" si="165"/>
        <v>30</v>
      </c>
      <c r="N881" s="56">
        <f>IF(OR(H881="",H881="sif",H881="PM"),0,VLOOKUP(H881,[5]CU!$C$4:$H$255,6,FALSE))</f>
        <v>0.3133333333333333</v>
      </c>
      <c r="O881" s="56">
        <f t="shared" si="166"/>
        <v>0</v>
      </c>
      <c r="P881" s="56">
        <f t="shared" si="166"/>
        <v>9.3999999999999986</v>
      </c>
      <c r="Q881" s="56">
        <f t="shared" si="166"/>
        <v>0</v>
      </c>
      <c r="R881" s="56">
        <f t="shared" si="166"/>
        <v>0</v>
      </c>
      <c r="S881" s="53">
        <f>SUM(O881:R881)</f>
        <v>9.3999999999999986</v>
      </c>
      <c r="T881" s="35" t="s">
        <v>56</v>
      </c>
      <c r="U881" s="18" t="s">
        <v>647</v>
      </c>
      <c r="V881" s="19" t="str">
        <f>IF(OR($H881="",$H881="sif",$H881="PM"),"",VLOOKUP($H881,[5]CU!$C$5:$J$255,8,FALSE))</f>
        <v>3. Formation</v>
      </c>
      <c r="W881" s="18" t="s">
        <v>708</v>
      </c>
      <c r="X881" s="18" t="s">
        <v>273</v>
      </c>
      <c r="Y881" s="19" t="s">
        <v>32</v>
      </c>
      <c r="Z881" s="19" t="str">
        <f>A881 &amp; "-" &amp; VLOOKUP(A881,[4]PROGRAMMES!$E$1:$F$7,2,FALSE)</f>
        <v>2-Qualité des enseignements et des apprentissages</v>
      </c>
      <c r="AA881" s="19" t="str">
        <f>B881 &amp; "-" &amp; VLOOKUP(B881,[4]SOUSPROGRAMMES!$E$1:$F$44,2,FALSE)</f>
        <v>26- Examen et évaluation</v>
      </c>
      <c r="AB881" s="19" t="str">
        <f>C881 &amp; "-" &amp; VLOOKUP(C881,[4]RESULTATS!$E$1:$F$176,2,FALSE)</f>
        <v>262- La fiabilité des examens nationaux est améliorée</v>
      </c>
      <c r="AC881" s="20" t="str">
        <f>D881 &amp; "-" &amp; VLOOKUP(D881,[4]STRATEGIES!$E$1:$F$504,2,FALSE)</f>
        <v>2623-Adaptation des textes organisants les examens nationaux</v>
      </c>
      <c r="AD881" s="21" t="str">
        <f t="shared" si="162"/>
        <v xml:space="preserve">26233-Validation de la proposition de révision des procédures du déroulement des examens </v>
      </c>
    </row>
    <row r="882" spans="1:30" s="22" customFormat="1" ht="30" hidden="1" customHeight="1" x14ac:dyDescent="0.8">
      <c r="A882" s="14">
        <v>2</v>
      </c>
      <c r="B882" s="15">
        <v>26</v>
      </c>
      <c r="C882" s="15">
        <v>262</v>
      </c>
      <c r="D882" s="15">
        <v>2623</v>
      </c>
      <c r="E882" s="14">
        <v>26234</v>
      </c>
      <c r="F882" s="16" t="s">
        <v>1098</v>
      </c>
      <c r="G882" s="21" t="s">
        <v>826</v>
      </c>
      <c r="H882" s="17" t="s">
        <v>55</v>
      </c>
      <c r="I882" s="56">
        <v>0</v>
      </c>
      <c r="J882" s="56"/>
      <c r="K882" s="56">
        <v>1</v>
      </c>
      <c r="L882" s="56"/>
      <c r="M882" s="56">
        <f t="shared" si="165"/>
        <v>1</v>
      </c>
      <c r="N882" s="56">
        <f>IF(OR(H882="",H882="sif",H882="PM"),0,VLOOKUP(H882,[5]CU!$C$4:$H$255,6,FALSE))</f>
        <v>0</v>
      </c>
      <c r="O882" s="56">
        <f t="shared" si="166"/>
        <v>0</v>
      </c>
      <c r="P882" s="56">
        <f t="shared" si="166"/>
        <v>0</v>
      </c>
      <c r="Q882" s="56">
        <f t="shared" si="166"/>
        <v>0</v>
      </c>
      <c r="R882" s="56">
        <f t="shared" si="166"/>
        <v>0</v>
      </c>
      <c r="S882" s="53"/>
      <c r="T882" s="35" t="s">
        <v>56</v>
      </c>
      <c r="U882" s="18" t="s">
        <v>647</v>
      </c>
      <c r="V882" s="19" t="str">
        <f>IF(OR($H882="",$H882="sif",$H882="PM"),"",VLOOKUP($H882,[5]CU!$C$5:$J$255,8,FALSE))</f>
        <v/>
      </c>
      <c r="W882" s="18" t="s">
        <v>708</v>
      </c>
      <c r="X882" s="18" t="s">
        <v>273</v>
      </c>
      <c r="Y882" s="19" t="s">
        <v>32</v>
      </c>
      <c r="Z882" s="19" t="str">
        <f>A882 &amp; "-" &amp; VLOOKUP(A882,[4]PROGRAMMES!$E$1:$F$7,2,FALSE)</f>
        <v>2-Qualité des enseignements et des apprentissages</v>
      </c>
      <c r="AA882" s="19" t="str">
        <f>B882 &amp; "-" &amp; VLOOKUP(B882,[4]SOUSPROGRAMMES!$E$1:$F$44,2,FALSE)</f>
        <v>26- Examen et évaluation</v>
      </c>
      <c r="AB882" s="19" t="str">
        <f>C882 &amp; "-" &amp; VLOOKUP(C882,[4]RESULTATS!$E$1:$F$176,2,FALSE)</f>
        <v>262- La fiabilité des examens nationaux est améliorée</v>
      </c>
      <c r="AC882" s="20" t="str">
        <f>D882 &amp; "-" &amp; VLOOKUP(D882,[4]STRATEGIES!$E$1:$F$504,2,FALSE)</f>
        <v>2623-Adaptation des textes organisants les examens nationaux</v>
      </c>
      <c r="AD882" s="21" t="str">
        <f t="shared" si="162"/>
        <v xml:space="preserve">26234-Adoption des textes fixant les procédures de déroulement des examens </v>
      </c>
    </row>
    <row r="883" spans="1:30" s="22" customFormat="1" ht="30" hidden="1" customHeight="1" x14ac:dyDescent="0.8">
      <c r="A883" s="14">
        <v>2</v>
      </c>
      <c r="B883" s="15">
        <v>26</v>
      </c>
      <c r="C883" s="15">
        <v>262</v>
      </c>
      <c r="D883" s="15">
        <v>2623</v>
      </c>
      <c r="E883" s="14">
        <v>26235</v>
      </c>
      <c r="F883" s="16" t="s">
        <v>1099</v>
      </c>
      <c r="G883" s="21" t="s">
        <v>1100</v>
      </c>
      <c r="H883" s="17" t="s">
        <v>1101</v>
      </c>
      <c r="I883" s="56">
        <v>0</v>
      </c>
      <c r="J883" s="56">
        <v>0.94444920263311705</v>
      </c>
      <c r="K883" s="56">
        <v>0.99959583372921401</v>
      </c>
      <c r="L883" s="56">
        <v>1.0559549636376699</v>
      </c>
      <c r="M883" s="56">
        <f t="shared" si="165"/>
        <v>3.0000000000000009</v>
      </c>
      <c r="N883" s="56">
        <f>IF(OR(H883="",H883="sif",H883="PM"),0,VLOOKUP(H883,[5]CU!$C$4:$H$255,6,FALSE))</f>
        <v>45791.453339168198</v>
      </c>
      <c r="O883" s="56">
        <f t="shared" si="166"/>
        <v>0</v>
      </c>
      <c r="P883" s="56">
        <f t="shared" si="166"/>
        <v>43247.701593588987</v>
      </c>
      <c r="Q883" s="56">
        <f t="shared" si="166"/>
        <v>45772.945978238233</v>
      </c>
      <c r="R883" s="56">
        <f t="shared" si="166"/>
        <v>48353.712445677411</v>
      </c>
      <c r="S883" s="53">
        <f>SUM(O883:R883)</f>
        <v>137374.36001750463</v>
      </c>
      <c r="T883" s="35" t="s">
        <v>56</v>
      </c>
      <c r="U883" s="18" t="s">
        <v>647</v>
      </c>
      <c r="V883" s="19" t="str">
        <f>IF(OR($H883="",$H883="sif",$H883="PM"),"",VLOOKUP($H883,[5]CU!$C$5:$J$255,8,FALSE))</f>
        <v>3. Dépenses de fonctionnement</v>
      </c>
      <c r="W883" s="18" t="s">
        <v>708</v>
      </c>
      <c r="X883" s="18" t="s">
        <v>273</v>
      </c>
      <c r="Y883" s="19" t="s">
        <v>32</v>
      </c>
      <c r="Z883" s="19" t="str">
        <f>A883 &amp; "-" &amp; VLOOKUP(A883,[4]PROGRAMMES!$E$1:$F$7,2,FALSE)</f>
        <v>2-Qualité des enseignements et des apprentissages</v>
      </c>
      <c r="AA883" s="19" t="str">
        <f>B883 &amp; "-" &amp; VLOOKUP(B883,[4]SOUSPROGRAMMES!$E$1:$F$44,2,FALSE)</f>
        <v>26- Examen et évaluation</v>
      </c>
      <c r="AB883" s="19" t="str">
        <f>C883 &amp; "-" &amp; VLOOKUP(C883,[4]RESULTATS!$E$1:$F$176,2,FALSE)</f>
        <v>262- La fiabilité des examens nationaux est améliorée</v>
      </c>
      <c r="AC883" s="20" t="str">
        <f>D883 &amp; "-" &amp; VLOOKUP(D883,[4]STRATEGIES!$E$1:$F$504,2,FALSE)</f>
        <v>2623-Adaptation des textes organisants les examens nationaux</v>
      </c>
      <c r="AD883" s="21" t="str">
        <f t="shared" si="162"/>
        <v>26235-Organisation des examens et concours</v>
      </c>
    </row>
    <row r="884" spans="1:30" s="22" customFormat="1" ht="60" customHeight="1" x14ac:dyDescent="0.8">
      <c r="A884" s="14">
        <v>2</v>
      </c>
      <c r="B884" s="15">
        <v>26</v>
      </c>
      <c r="C884" s="15">
        <v>263</v>
      </c>
      <c r="D884" s="15">
        <v>263</v>
      </c>
      <c r="E884" s="14">
        <v>263</v>
      </c>
      <c r="F884" s="16" t="s">
        <v>1102</v>
      </c>
      <c r="G884" s="17"/>
      <c r="H884" s="17"/>
      <c r="I884" s="56">
        <v>0</v>
      </c>
      <c r="J884" s="56"/>
      <c r="K884" s="56"/>
      <c r="L884" s="56"/>
      <c r="M884" s="56"/>
      <c r="N884" s="56"/>
      <c r="O884" s="56"/>
      <c r="P884" s="56"/>
      <c r="Q884" s="56"/>
      <c r="R884" s="56"/>
      <c r="S884" s="53"/>
      <c r="T884" s="33"/>
      <c r="U884" s="18"/>
      <c r="V884" s="19"/>
      <c r="W884" s="18"/>
      <c r="X884" s="18"/>
      <c r="Y884" s="19" t="s">
        <v>32</v>
      </c>
      <c r="Z884" s="19" t="str">
        <f>A884 &amp; "-" &amp; VLOOKUP(A884,[4]PROGRAMMES!$E$1:$F$7,2,FALSE)</f>
        <v>2-Qualité des enseignements et des apprentissages</v>
      </c>
      <c r="AA884" s="19" t="str">
        <f>B884 &amp; "-" &amp; VLOOKUP(B884,[4]SOUSPROGRAMMES!$E$1:$F$44,2,FALSE)</f>
        <v>26- Examen et évaluation</v>
      </c>
      <c r="AB884" s="19" t="str">
        <f>C884 &amp; "-" &amp; VLOOKUP(C884,[4]RESULTATS!$E$1:$F$176,2,FALSE)</f>
        <v>263- Un document référentiel sur la production et l'utilisation des données des évaluations standardisées est mis en place</v>
      </c>
      <c r="AC884" s="20" t="str">
        <f>D884 &amp; "-" &amp; VLOOKUP(D884,[4]STRATEGIES!$E$1:$F$504,2,FALSE)</f>
        <v>263- Un document référentiel sur la production et l'utilisation des données des évaluations standardisées est mis en place</v>
      </c>
      <c r="AD884" s="21" t="str">
        <f t="shared" si="162"/>
        <v>263- Un document référentiel sur la production et l'utilisation des données des évaluations standardisées est mis en place</v>
      </c>
    </row>
    <row r="885" spans="1:30" s="22" customFormat="1" ht="60" customHeight="1" x14ac:dyDescent="0.8">
      <c r="A885" s="14">
        <v>2</v>
      </c>
      <c r="B885" s="15">
        <v>26</v>
      </c>
      <c r="C885" s="15">
        <v>263</v>
      </c>
      <c r="D885" s="15">
        <v>2631</v>
      </c>
      <c r="E885" s="14">
        <v>2631</v>
      </c>
      <c r="F885" s="16" t="s">
        <v>1103</v>
      </c>
      <c r="G885" s="17"/>
      <c r="H885" s="17"/>
      <c r="I885" s="56">
        <v>0</v>
      </c>
      <c r="J885" s="56"/>
      <c r="K885" s="56"/>
      <c r="L885" s="56"/>
      <c r="M885" s="56"/>
      <c r="N885" s="56"/>
      <c r="O885" s="56"/>
      <c r="P885" s="56"/>
      <c r="Q885" s="56"/>
      <c r="R885" s="56"/>
      <c r="S885" s="53"/>
      <c r="T885" s="33"/>
      <c r="U885" s="18"/>
      <c r="V885" s="19"/>
      <c r="W885" s="18"/>
      <c r="X885" s="18"/>
      <c r="Y885" s="19" t="s">
        <v>32</v>
      </c>
      <c r="Z885" s="19" t="str">
        <f>A885 &amp; "-" &amp; VLOOKUP(A885,[4]PROGRAMMES!$E$1:$F$7,2,FALSE)</f>
        <v>2-Qualité des enseignements et des apprentissages</v>
      </c>
      <c r="AA885" s="19" t="str">
        <f>B885 &amp; "-" &amp; VLOOKUP(B885,[4]SOUSPROGRAMMES!$E$1:$F$44,2,FALSE)</f>
        <v>26- Examen et évaluation</v>
      </c>
      <c r="AB885" s="19" t="str">
        <f>C885 &amp; "-" &amp; VLOOKUP(C885,[4]RESULTATS!$E$1:$F$176,2,FALSE)</f>
        <v>263- Un document référentiel sur la production et l'utilisation des données des évaluations standardisées est mis en place</v>
      </c>
      <c r="AC885" s="20" t="str">
        <f>D885 &amp; "-" &amp; VLOOKUP(D885,[4]STRATEGIES!$E$1:$F$504,2,FALSE)</f>
        <v>2631-Rédaction du document de référence</v>
      </c>
      <c r="AD885" s="21" t="str">
        <f t="shared" si="162"/>
        <v>2631-Rédaction du document de référence</v>
      </c>
    </row>
    <row r="886" spans="1:30" s="22" customFormat="1" ht="60" hidden="1" customHeight="1" x14ac:dyDescent="0.8">
      <c r="A886" s="14">
        <v>2</v>
      </c>
      <c r="B886" s="15">
        <v>26</v>
      </c>
      <c r="C886" s="15">
        <v>263</v>
      </c>
      <c r="D886" s="15">
        <v>2631</v>
      </c>
      <c r="E886" s="14">
        <v>26311</v>
      </c>
      <c r="F886" s="16" t="s">
        <v>1104</v>
      </c>
      <c r="G886" s="21" t="s">
        <v>321</v>
      </c>
      <c r="H886" s="17" t="s">
        <v>55</v>
      </c>
      <c r="I886" s="56">
        <v>0</v>
      </c>
      <c r="J886" s="56"/>
      <c r="K886" s="56"/>
      <c r="L886" s="56"/>
      <c r="M886" s="56"/>
      <c r="N886" s="56">
        <f>IF(OR(H886="",H886="sif",H886="PM"),0,VLOOKUP(H886,[5]CU!$C$4:$H$255,6,FALSE))</f>
        <v>0</v>
      </c>
      <c r="O886" s="56"/>
      <c r="P886" s="56"/>
      <c r="Q886" s="56"/>
      <c r="R886" s="56"/>
      <c r="S886" s="53"/>
      <c r="T886" s="35" t="s">
        <v>56</v>
      </c>
      <c r="U886" s="18" t="s">
        <v>647</v>
      </c>
      <c r="V886" s="19" t="str">
        <f>IF(OR($H886="",$H886="sif",$H886="PM"),"",VLOOKUP($H886,[5]CU!$C$5:$J$255,8,FALSE))</f>
        <v/>
      </c>
      <c r="W886" s="18" t="s">
        <v>255</v>
      </c>
      <c r="X886" s="18" t="s">
        <v>764</v>
      </c>
      <c r="Y886" s="19" t="s">
        <v>32</v>
      </c>
      <c r="Z886" s="19" t="str">
        <f>A886 &amp; "-" &amp; VLOOKUP(A886,[4]PROGRAMMES!$E$1:$F$7,2,FALSE)</f>
        <v>2-Qualité des enseignements et des apprentissages</v>
      </c>
      <c r="AA886" s="19" t="str">
        <f>B886 &amp; "-" &amp; VLOOKUP(B886,[4]SOUSPROGRAMMES!$E$1:$F$44,2,FALSE)</f>
        <v>26- Examen et évaluation</v>
      </c>
      <c r="AB886" s="19" t="str">
        <f>C886 &amp; "-" &amp; VLOOKUP(C886,[4]RESULTATS!$E$1:$F$176,2,FALSE)</f>
        <v>263- Un document référentiel sur la production et l'utilisation des données des évaluations standardisées est mis en place</v>
      </c>
      <c r="AC886" s="20" t="str">
        <f>D886 &amp; "-" &amp; VLOOKUP(D886,[4]STRATEGIES!$E$1:$F$504,2,FALSE)</f>
        <v>2631-Rédaction du document de référence</v>
      </c>
      <c r="AD886" s="21" t="str">
        <f t="shared" si="162"/>
        <v>26311-Mise en place de l'équipe chargée de l'élaboration du document de référence sur la production et l'utilisation des données des évaluations</v>
      </c>
    </row>
    <row r="887" spans="1:30" s="22" customFormat="1" ht="60" customHeight="1" x14ac:dyDescent="0.8">
      <c r="A887" s="14">
        <v>2</v>
      </c>
      <c r="B887" s="15">
        <v>26</v>
      </c>
      <c r="C887" s="15">
        <v>263</v>
      </c>
      <c r="D887" s="15">
        <v>2631</v>
      </c>
      <c r="E887" s="14">
        <v>26312</v>
      </c>
      <c r="F887" s="16" t="s">
        <v>709</v>
      </c>
      <c r="G887" s="21" t="s">
        <v>100</v>
      </c>
      <c r="H887" s="17" t="s">
        <v>646</v>
      </c>
      <c r="I887" s="56">
        <v>0</v>
      </c>
      <c r="J887" s="56">
        <f>1*10*2</f>
        <v>20</v>
      </c>
      <c r="K887" s="56"/>
      <c r="L887" s="56"/>
      <c r="M887" s="56">
        <f t="shared" ref="M887:M950" si="167">SUM(I887:L887)</f>
        <v>20</v>
      </c>
      <c r="N887" s="56">
        <f>IF(OR(H887="",H887="sif",H887="PM"),0,VLOOKUP(H887,[5]CU!$C$4:$H$255,6,FALSE))</f>
        <v>10.404797</v>
      </c>
      <c r="O887" s="56">
        <f t="shared" ref="O887:R940" si="168">IFERROR($N887*I887,0)</f>
        <v>0</v>
      </c>
      <c r="P887" s="56">
        <f t="shared" si="168"/>
        <v>208.09594000000001</v>
      </c>
      <c r="Q887" s="56">
        <f t="shared" si="168"/>
        <v>0</v>
      </c>
      <c r="R887" s="56">
        <f t="shared" si="168"/>
        <v>0</v>
      </c>
      <c r="S887" s="53">
        <f t="shared" ref="S887:S894" si="169">SUM(O887:R887)</f>
        <v>208.09594000000001</v>
      </c>
      <c r="T887" s="35" t="s">
        <v>39</v>
      </c>
      <c r="U887" s="19" t="s">
        <v>647</v>
      </c>
      <c r="V887" s="19" t="str">
        <f>IF(OR($H887="",$H887="sif",$H887="PM"),"",VLOOKUP($H887,[5]CU!$C$5:$J$255,8,FALSE))</f>
        <v>3. Dépenses de fonctionnement</v>
      </c>
      <c r="W887" s="19" t="s">
        <v>708</v>
      </c>
      <c r="X887" s="19" t="s">
        <v>764</v>
      </c>
      <c r="Y887" s="19" t="s">
        <v>32</v>
      </c>
      <c r="Z887" s="19" t="str">
        <f>A887 &amp; "-" &amp; VLOOKUP(A887,[4]PROGRAMMES!$E$1:$F$7,2,FALSE)</f>
        <v>2-Qualité des enseignements et des apprentissages</v>
      </c>
      <c r="AA887" s="19" t="str">
        <f>B887 &amp; "-" &amp; VLOOKUP(B887,[4]SOUSPROGRAMMES!$E$1:$F$44,2,FALSE)</f>
        <v>26- Examen et évaluation</v>
      </c>
      <c r="AB887" s="19" t="str">
        <f>C887 &amp; "-" &amp; VLOOKUP(C887,[4]RESULTATS!$E$1:$F$176,2,FALSE)</f>
        <v>263- Un document référentiel sur la production et l'utilisation des données des évaluations standardisées est mis en place</v>
      </c>
      <c r="AC887" s="20" t="str">
        <f>D887 &amp; "-" &amp; VLOOKUP(D887,[4]STRATEGIES!$E$1:$F$504,2,FALSE)</f>
        <v>2631-Rédaction du document de référence</v>
      </c>
      <c r="AD887" s="21" t="str">
        <f t="shared" si="162"/>
        <v xml:space="preserve">26312-Recrutement d'une expertise internationale d'appui à l'équipe </v>
      </c>
    </row>
    <row r="888" spans="1:30" s="22" customFormat="1" ht="60" customHeight="1" x14ac:dyDescent="0.8">
      <c r="A888" s="14">
        <v>2</v>
      </c>
      <c r="B888" s="15">
        <v>26</v>
      </c>
      <c r="C888" s="15">
        <v>263</v>
      </c>
      <c r="D888" s="15">
        <v>2631</v>
      </c>
      <c r="E888" s="14">
        <v>26313</v>
      </c>
      <c r="F888" s="16" t="s">
        <v>1105</v>
      </c>
      <c r="G888" s="21" t="s">
        <v>37</v>
      </c>
      <c r="H888" s="17" t="s">
        <v>66</v>
      </c>
      <c r="I888" s="56">
        <v>0</v>
      </c>
      <c r="J888" s="56">
        <f>20*10</f>
        <v>200</v>
      </c>
      <c r="K888" s="56"/>
      <c r="L888" s="56"/>
      <c r="M888" s="56">
        <f t="shared" si="167"/>
        <v>200</v>
      </c>
      <c r="N888" s="56">
        <f>IF(OR(H888="",H888="sif",H888="PM"),0,VLOOKUP(H888,[5]CU!$C$4:$H$255,6,FALSE))</f>
        <v>0.255</v>
      </c>
      <c r="O888" s="56">
        <f t="shared" si="168"/>
        <v>0</v>
      </c>
      <c r="P888" s="56">
        <f t="shared" si="168"/>
        <v>51</v>
      </c>
      <c r="Q888" s="56">
        <f t="shared" si="168"/>
        <v>0</v>
      </c>
      <c r="R888" s="56">
        <f t="shared" si="168"/>
        <v>0</v>
      </c>
      <c r="S888" s="53">
        <f t="shared" si="169"/>
        <v>51</v>
      </c>
      <c r="T888" s="35" t="s">
        <v>39</v>
      </c>
      <c r="U888" s="19" t="s">
        <v>647</v>
      </c>
      <c r="V888" s="19" t="str">
        <f>IF(OR($H888="",$H888="sif",$H888="PM"),"",VLOOKUP($H888,[5]CU!$C$5:$J$255,8,FALSE))</f>
        <v>3. Dépenses de fonctionnement</v>
      </c>
      <c r="W888" s="19" t="s">
        <v>708</v>
      </c>
      <c r="X888" s="19" t="s">
        <v>764</v>
      </c>
      <c r="Y888" s="19" t="s">
        <v>32</v>
      </c>
      <c r="Z888" s="19" t="str">
        <f>A888 &amp; "-" &amp; VLOOKUP(A888,[4]PROGRAMMES!$E$1:$F$7,2,FALSE)</f>
        <v>2-Qualité des enseignements et des apprentissages</v>
      </c>
      <c r="AA888" s="19" t="str">
        <f>B888 &amp; "-" &amp; VLOOKUP(B888,[4]SOUSPROGRAMMES!$E$1:$F$44,2,FALSE)</f>
        <v>26- Examen et évaluation</v>
      </c>
      <c r="AB888" s="19" t="str">
        <f>C888 &amp; "-" &amp; VLOOKUP(C888,[4]RESULTATS!$E$1:$F$176,2,FALSE)</f>
        <v>263- Un document référentiel sur la production et l'utilisation des données des évaluations standardisées est mis en place</v>
      </c>
      <c r="AC888" s="20" t="str">
        <f>D888 &amp; "-" &amp; VLOOKUP(D888,[4]STRATEGIES!$E$1:$F$504,2,FALSE)</f>
        <v>2631-Rédaction du document de référence</v>
      </c>
      <c r="AD888" s="21" t="str">
        <f t="shared" si="162"/>
        <v>26313-Rédaction du document de référentiel sur la production et l'utilisation des données des évaluations avec l'appui de l'expertise</v>
      </c>
    </row>
    <row r="889" spans="1:30" s="22" customFormat="1" ht="60" customHeight="1" x14ac:dyDescent="0.8">
      <c r="A889" s="14">
        <v>2</v>
      </c>
      <c r="B889" s="15">
        <v>26</v>
      </c>
      <c r="C889" s="15">
        <v>263</v>
      </c>
      <c r="D889" s="15">
        <v>2631</v>
      </c>
      <c r="E889" s="14">
        <v>26314</v>
      </c>
      <c r="F889" s="16" t="s">
        <v>1106</v>
      </c>
      <c r="G889" s="21" t="s">
        <v>37</v>
      </c>
      <c r="H889" s="17" t="s">
        <v>38</v>
      </c>
      <c r="I889" s="56">
        <v>0</v>
      </c>
      <c r="J889" s="56">
        <f>30*1</f>
        <v>30</v>
      </c>
      <c r="K889" s="56"/>
      <c r="L889" s="56"/>
      <c r="M889" s="56">
        <f t="shared" si="167"/>
        <v>30</v>
      </c>
      <c r="N889" s="56">
        <f>IF(OR(H889="",H889="sif",H889="PM"),0,VLOOKUP(H889,[5]CU!$C$4:$H$255,6,FALSE))</f>
        <v>0.3133333333333333</v>
      </c>
      <c r="O889" s="56">
        <f t="shared" si="168"/>
        <v>0</v>
      </c>
      <c r="P889" s="56">
        <f t="shared" si="168"/>
        <v>9.3999999999999986</v>
      </c>
      <c r="Q889" s="56">
        <f t="shared" si="168"/>
        <v>0</v>
      </c>
      <c r="R889" s="56">
        <f t="shared" si="168"/>
        <v>0</v>
      </c>
      <c r="S889" s="53">
        <f t="shared" si="169"/>
        <v>9.3999999999999986</v>
      </c>
      <c r="T889" s="35" t="s">
        <v>39</v>
      </c>
      <c r="U889" s="19" t="s">
        <v>647</v>
      </c>
      <c r="V889" s="19" t="str">
        <f>IF(OR($H889="",$H889="sif",$H889="PM"),"",VLOOKUP($H889,[5]CU!$C$5:$J$255,8,FALSE))</f>
        <v>3. Formation</v>
      </c>
      <c r="W889" s="19" t="s">
        <v>708</v>
      </c>
      <c r="X889" s="19" t="s">
        <v>764</v>
      </c>
      <c r="Y889" s="19" t="s">
        <v>32</v>
      </c>
      <c r="Z889" s="19" t="str">
        <f>A889 &amp; "-" &amp; VLOOKUP(A889,[4]PROGRAMMES!$E$1:$F$7,2,FALSE)</f>
        <v>2-Qualité des enseignements et des apprentissages</v>
      </c>
      <c r="AA889" s="19" t="str">
        <f>B889 &amp; "-" &amp; VLOOKUP(B889,[4]SOUSPROGRAMMES!$E$1:$F$44,2,FALSE)</f>
        <v>26- Examen et évaluation</v>
      </c>
      <c r="AB889" s="19" t="str">
        <f>C889 &amp; "-" &amp; VLOOKUP(C889,[4]RESULTATS!$E$1:$F$176,2,FALSE)</f>
        <v>263- Un document référentiel sur la production et l'utilisation des données des évaluations standardisées est mis en place</v>
      </c>
      <c r="AC889" s="20" t="str">
        <f>D889 &amp; "-" &amp; VLOOKUP(D889,[4]STRATEGIES!$E$1:$F$504,2,FALSE)</f>
        <v>2631-Rédaction du document de référence</v>
      </c>
      <c r="AD889" s="21" t="str">
        <f t="shared" si="162"/>
        <v>26314-Validation du document</v>
      </c>
    </row>
    <row r="890" spans="1:30" s="22" customFormat="1" ht="60" customHeight="1" x14ac:dyDescent="0.8">
      <c r="A890" s="14">
        <v>2</v>
      </c>
      <c r="B890" s="15">
        <v>26</v>
      </c>
      <c r="C890" s="15">
        <v>263</v>
      </c>
      <c r="D890" s="15">
        <v>2631</v>
      </c>
      <c r="E890" s="14">
        <v>26315</v>
      </c>
      <c r="F890" s="16" t="s">
        <v>1107</v>
      </c>
      <c r="G890" s="21" t="s">
        <v>1108</v>
      </c>
      <c r="H890" s="17" t="s">
        <v>816</v>
      </c>
      <c r="I890" s="56">
        <v>0</v>
      </c>
      <c r="J890" s="56"/>
      <c r="K890" s="56">
        <f>38+426+8+60</f>
        <v>532</v>
      </c>
      <c r="L890" s="56"/>
      <c r="M890" s="56">
        <f t="shared" si="167"/>
        <v>532</v>
      </c>
      <c r="N890" s="56">
        <f>IF(OR(H890="",H890="sif",H890="PM"),0,VLOOKUP(H890,[5]CU!$C$4:$H$255,6,FALSE))</f>
        <v>7.4999999999999997E-3</v>
      </c>
      <c r="O890" s="56">
        <f t="shared" si="168"/>
        <v>0</v>
      </c>
      <c r="P890" s="56">
        <f t="shared" si="168"/>
        <v>0</v>
      </c>
      <c r="Q890" s="56">
        <f t="shared" si="168"/>
        <v>3.9899999999999998</v>
      </c>
      <c r="R890" s="56">
        <f t="shared" si="168"/>
        <v>0</v>
      </c>
      <c r="S890" s="53">
        <f t="shared" si="169"/>
        <v>3.9899999999999998</v>
      </c>
      <c r="T890" s="35" t="s">
        <v>39</v>
      </c>
      <c r="U890" s="19" t="s">
        <v>647</v>
      </c>
      <c r="V890" s="19" t="str">
        <f>IF(OR($H890="",$H890="sif",$H890="PM"),"",VLOOKUP($H890,[5]CU!$C$5:$J$255,8,FALSE))</f>
        <v>3. Dépenses de fonctionnement</v>
      </c>
      <c r="W890" s="19" t="s">
        <v>764</v>
      </c>
      <c r="X890" s="19" t="s">
        <v>708</v>
      </c>
      <c r="Y890" s="19" t="s">
        <v>32</v>
      </c>
      <c r="Z890" s="19" t="str">
        <f>A890 &amp; "-" &amp; VLOOKUP(A890,[4]PROGRAMMES!$E$1:$F$7,2,FALSE)</f>
        <v>2-Qualité des enseignements et des apprentissages</v>
      </c>
      <c r="AA890" s="19" t="str">
        <f>B890 &amp; "-" &amp; VLOOKUP(B890,[4]SOUSPROGRAMMES!$E$1:$F$44,2,FALSE)</f>
        <v>26- Examen et évaluation</v>
      </c>
      <c r="AB890" s="19" t="str">
        <f>C890 &amp; "-" &amp; VLOOKUP(C890,[4]RESULTATS!$E$1:$F$176,2,FALSE)</f>
        <v>263- Un document référentiel sur la production et l'utilisation des données des évaluations standardisées est mis en place</v>
      </c>
      <c r="AC890" s="20" t="str">
        <f>D890 &amp; "-" &amp; VLOOKUP(D890,[4]STRATEGIES!$E$1:$F$504,2,FALSE)</f>
        <v>2631-Rédaction du document de référence</v>
      </c>
      <c r="AD890" s="21" t="str">
        <f t="shared" si="162"/>
        <v>26315-Partage du document au niveau central et déconcentré</v>
      </c>
    </row>
    <row r="891" spans="1:30" s="22" customFormat="1" ht="30" customHeight="1" x14ac:dyDescent="0.8">
      <c r="A891" s="14">
        <v>2</v>
      </c>
      <c r="B891" s="15">
        <v>26</v>
      </c>
      <c r="C891" s="15">
        <v>264</v>
      </c>
      <c r="D891" s="15">
        <v>264</v>
      </c>
      <c r="E891" s="14">
        <v>264</v>
      </c>
      <c r="F891" s="16" t="s">
        <v>1109</v>
      </c>
      <c r="G891" s="17"/>
      <c r="H891" s="17"/>
      <c r="I891" s="56">
        <v>0</v>
      </c>
      <c r="J891" s="56"/>
      <c r="K891" s="56"/>
      <c r="L891" s="56"/>
      <c r="M891" s="56"/>
      <c r="N891" s="56"/>
      <c r="O891" s="56"/>
      <c r="P891" s="56"/>
      <c r="Q891" s="56"/>
      <c r="R891" s="56"/>
      <c r="S891" s="53"/>
      <c r="T891" s="33"/>
      <c r="U891" s="18"/>
      <c r="V891" s="19"/>
      <c r="W891" s="18"/>
      <c r="X891" s="18"/>
      <c r="Y891" s="19" t="s">
        <v>32</v>
      </c>
      <c r="Z891" s="19" t="str">
        <f>A891 &amp; "-" &amp; VLOOKUP(A891,[4]PROGRAMMES!$E$1:$F$7,2,FALSE)</f>
        <v>2-Qualité des enseignements et des apprentissages</v>
      </c>
      <c r="AA891" s="19" t="str">
        <f>B891 &amp; "-" &amp; VLOOKUP(B891,[4]SOUSPROGRAMMES!$E$1:$F$44,2,FALSE)</f>
        <v>26- Examen et évaluation</v>
      </c>
      <c r="AB891" s="19" t="str">
        <f>C891 &amp; "-" &amp; VLOOKUP(C891,[4]RESULTATS!$E$1:$F$176,2,FALSE)</f>
        <v>264- Les capacités des enseignants en méthodes d'évaluation sont renforcés</v>
      </c>
      <c r="AC891" s="20" t="str">
        <f>D891 &amp; "-" &amp; VLOOKUP(D891,[4]STRATEGIES!$E$1:$F$504,2,FALSE)</f>
        <v>264- Les capacités des enseignants en méthodes d'évaluation sont renforcés</v>
      </c>
      <c r="AD891" s="21" t="str">
        <f t="shared" si="162"/>
        <v>264- Les capacités des enseignants en méthodes d'évaluation sont renforcés</v>
      </c>
    </row>
    <row r="892" spans="1:30" s="22" customFormat="1" ht="30" customHeight="1" x14ac:dyDescent="0.8">
      <c r="A892" s="14">
        <v>2</v>
      </c>
      <c r="B892" s="15">
        <v>26</v>
      </c>
      <c r="C892" s="15">
        <v>264</v>
      </c>
      <c r="D892" s="15">
        <v>2641</v>
      </c>
      <c r="E892" s="14">
        <v>2641</v>
      </c>
      <c r="F892" s="16" t="s">
        <v>1110</v>
      </c>
      <c r="G892" s="17"/>
      <c r="H892" s="17"/>
      <c r="I892" s="56">
        <v>0</v>
      </c>
      <c r="J892" s="56"/>
      <c r="K892" s="56"/>
      <c r="L892" s="56"/>
      <c r="M892" s="56"/>
      <c r="N892" s="56"/>
      <c r="O892" s="56"/>
      <c r="P892" s="56"/>
      <c r="Q892" s="56"/>
      <c r="R892" s="56"/>
      <c r="S892" s="53"/>
      <c r="T892" s="33"/>
      <c r="U892" s="18"/>
      <c r="V892" s="19"/>
      <c r="W892" s="18"/>
      <c r="X892" s="18"/>
      <c r="Y892" s="19" t="s">
        <v>32</v>
      </c>
      <c r="Z892" s="19" t="str">
        <f>A892 &amp; "-" &amp; VLOOKUP(A892,[4]PROGRAMMES!$E$1:$F$7,2,FALSE)</f>
        <v>2-Qualité des enseignements et des apprentissages</v>
      </c>
      <c r="AA892" s="19" t="str">
        <f>B892 &amp; "-" &amp; VLOOKUP(B892,[4]SOUSPROGRAMMES!$E$1:$F$44,2,FALSE)</f>
        <v>26- Examen et évaluation</v>
      </c>
      <c r="AB892" s="19" t="str">
        <f>C892 &amp; "-" &amp; VLOOKUP(C892,[4]RESULTATS!$E$1:$F$176,2,FALSE)</f>
        <v>264- Les capacités des enseignants en méthodes d'évaluation sont renforcés</v>
      </c>
      <c r="AC892" s="20" t="str">
        <f>D892 &amp; "-" &amp; VLOOKUP(D892,[4]STRATEGIES!$E$1:$F$504,2,FALSE)</f>
        <v>2641-Formation des enseignants en conception d'items/épreuves et en notation (docimologie)</v>
      </c>
      <c r="AD892" s="21" t="str">
        <f t="shared" si="162"/>
        <v>2641-Formation des enseignants en conception d'items/épreuves et en notation (docimologie)</v>
      </c>
    </row>
    <row r="893" spans="1:30" ht="45" hidden="1" customHeight="1" x14ac:dyDescent="0.8">
      <c r="A893" s="25">
        <v>2</v>
      </c>
      <c r="B893" s="16">
        <v>26</v>
      </c>
      <c r="C893" s="16">
        <v>264</v>
      </c>
      <c r="D893" s="16">
        <v>2641</v>
      </c>
      <c r="E893" s="25">
        <v>26411</v>
      </c>
      <c r="F893" s="16" t="s">
        <v>1111</v>
      </c>
      <c r="G893" s="21" t="s">
        <v>436</v>
      </c>
      <c r="H893" s="21" t="s">
        <v>301</v>
      </c>
      <c r="I893" s="56">
        <v>0</v>
      </c>
      <c r="J893" s="57"/>
      <c r="K893" s="57">
        <f>40*4</f>
        <v>160</v>
      </c>
      <c r="L893" s="57"/>
      <c r="M893" s="57">
        <f t="shared" si="167"/>
        <v>160</v>
      </c>
      <c r="N893" s="57">
        <f>IF(OR(H893="",H893="sif",H893="PM"),0,VLOOKUP(H893,[5]CU!$C$4:$H$255,6,FALSE))</f>
        <v>0.67666666666666664</v>
      </c>
      <c r="O893" s="57">
        <f t="shared" si="168"/>
        <v>0</v>
      </c>
      <c r="P893" s="57">
        <f t="shared" si="168"/>
        <v>0</v>
      </c>
      <c r="Q893" s="57">
        <f t="shared" si="168"/>
        <v>108.26666666666667</v>
      </c>
      <c r="R893" s="57">
        <f t="shared" si="168"/>
        <v>0</v>
      </c>
      <c r="S893" s="60">
        <f t="shared" si="169"/>
        <v>108.26666666666667</v>
      </c>
      <c r="T893" s="38" t="s">
        <v>169</v>
      </c>
      <c r="U893" s="19" t="s">
        <v>647</v>
      </c>
      <c r="V893" s="19" t="str">
        <f>IF(OR($H893="",$H893="sif",$H893="PM"),"",VLOOKUP($H893,[5]CU!$C$5:$J$255,8,FALSE))</f>
        <v>3. Formation</v>
      </c>
      <c r="W893" s="19" t="s">
        <v>764</v>
      </c>
      <c r="X893" s="19" t="s">
        <v>1112</v>
      </c>
      <c r="Y893" s="19" t="s">
        <v>32</v>
      </c>
      <c r="Z893" s="19" t="str">
        <f>A893 &amp; "-" &amp; VLOOKUP(A893,[4]PROGRAMMES!$E$1:$F$7,2,FALSE)</f>
        <v>2-Qualité des enseignements et des apprentissages</v>
      </c>
      <c r="AA893" s="19" t="str">
        <f>B893 &amp; "-" &amp; VLOOKUP(B893,[4]SOUSPROGRAMMES!$E$1:$F$44,2,FALSE)</f>
        <v>26- Examen et évaluation</v>
      </c>
      <c r="AB893" s="19" t="str">
        <f>C893 &amp; "-" &amp; VLOOKUP(C893,[4]RESULTATS!$E$1:$F$176,2,FALSE)</f>
        <v>264- Les capacités des enseignants en méthodes d'évaluation sont renforcés</v>
      </c>
      <c r="AC893" s="20" t="str">
        <f>D893 &amp; "-" &amp; VLOOKUP(D893,[4]STRATEGIES!$E$1:$F$504,2,FALSE)</f>
        <v>2641-Formation des enseignants en conception d'items/épreuves et en notation (docimologie)</v>
      </c>
      <c r="AD893" s="21" t="str">
        <f t="shared" si="162"/>
        <v>26411-Formation des cadres du niveau central et déconcentré en docimologie</v>
      </c>
    </row>
    <row r="894" spans="1:30" ht="45" hidden="1" customHeight="1" x14ac:dyDescent="0.8">
      <c r="A894" s="25">
        <v>2</v>
      </c>
      <c r="B894" s="16">
        <v>26</v>
      </c>
      <c r="C894" s="16">
        <v>264</v>
      </c>
      <c r="D894" s="16">
        <v>2641</v>
      </c>
      <c r="E894" s="25">
        <v>26412</v>
      </c>
      <c r="F894" s="16" t="s">
        <v>1113</v>
      </c>
      <c r="G894" s="21" t="s">
        <v>436</v>
      </c>
      <c r="H894" s="21" t="s">
        <v>352</v>
      </c>
      <c r="I894" s="56">
        <v>0</v>
      </c>
      <c r="J894" s="57"/>
      <c r="K894" s="57">
        <f>30*5*2</f>
        <v>300</v>
      </c>
      <c r="L894" s="57">
        <f>50*5*2*1</f>
        <v>500</v>
      </c>
      <c r="M894" s="57">
        <f t="shared" si="167"/>
        <v>800</v>
      </c>
      <c r="N894" s="57">
        <f>IF(OR(H894="",H894="sif",H894="PM"),0,VLOOKUP(H894,[5]CU!$C$4:$H$255,6,FALSE))</f>
        <v>0.54600000000000004</v>
      </c>
      <c r="O894" s="57">
        <f t="shared" si="168"/>
        <v>0</v>
      </c>
      <c r="P894" s="57">
        <f t="shared" si="168"/>
        <v>0</v>
      </c>
      <c r="Q894" s="57">
        <f t="shared" si="168"/>
        <v>163.80000000000001</v>
      </c>
      <c r="R894" s="57">
        <f t="shared" si="168"/>
        <v>273</v>
      </c>
      <c r="S894" s="60">
        <f t="shared" si="169"/>
        <v>436.8</v>
      </c>
      <c r="T894" s="38" t="s">
        <v>169</v>
      </c>
      <c r="U894" s="19" t="s">
        <v>647</v>
      </c>
      <c r="V894" s="19" t="str">
        <f>IF(OR($H894="",$H894="sif",$H894="PM"),"",VLOOKUP($H894,[5]CU!$C$5:$J$255,8,FALSE))</f>
        <v>3. Formation</v>
      </c>
      <c r="W894" s="19" t="s">
        <v>764</v>
      </c>
      <c r="X894" s="19" t="s">
        <v>1114</v>
      </c>
      <c r="Y894" s="19" t="s">
        <v>32</v>
      </c>
      <c r="Z894" s="19" t="str">
        <f>A894 &amp; "-" &amp; VLOOKUP(A894,[4]PROGRAMMES!$E$1:$F$7,2,FALSE)</f>
        <v>2-Qualité des enseignements et des apprentissages</v>
      </c>
      <c r="AA894" s="19" t="str">
        <f>B894 &amp; "-" &amp; VLOOKUP(B894,[4]SOUSPROGRAMMES!$E$1:$F$44,2,FALSE)</f>
        <v>26- Examen et évaluation</v>
      </c>
      <c r="AB894" s="19" t="str">
        <f>C894 &amp; "-" &amp; VLOOKUP(C894,[4]RESULTATS!$E$1:$F$176,2,FALSE)</f>
        <v>264- Les capacités des enseignants en méthodes d'évaluation sont renforcés</v>
      </c>
      <c r="AC894" s="20" t="str">
        <f>D894 &amp; "-" &amp; VLOOKUP(D894,[4]STRATEGIES!$E$1:$F$504,2,FALSE)</f>
        <v>2641-Formation des enseignants en conception d'items/épreuves et en notation (docimologie)</v>
      </c>
      <c r="AD894" s="21" t="str">
        <f t="shared" si="162"/>
        <v xml:space="preserve">26412-Duplication des formations auprès des enseignants correcteurs par les responsables des évaluations au niveau déconcentré </v>
      </c>
    </row>
    <row r="895" spans="1:30" s="22" customFormat="1" ht="45" customHeight="1" x14ac:dyDescent="0.8">
      <c r="A895" s="14">
        <v>2</v>
      </c>
      <c r="B895" s="15">
        <v>27</v>
      </c>
      <c r="C895" s="15">
        <v>27</v>
      </c>
      <c r="D895" s="15">
        <v>27</v>
      </c>
      <c r="E895" s="14">
        <v>27</v>
      </c>
      <c r="F895" s="16" t="s">
        <v>1115</v>
      </c>
      <c r="G895" s="17"/>
      <c r="H895" s="17"/>
      <c r="I895" s="56">
        <v>0</v>
      </c>
      <c r="J895" s="56"/>
      <c r="K895" s="56"/>
      <c r="L895" s="56"/>
      <c r="M895" s="56"/>
      <c r="N895" s="56"/>
      <c r="O895" s="56"/>
      <c r="P895" s="56"/>
      <c r="Q895" s="56"/>
      <c r="R895" s="56"/>
      <c r="S895" s="53"/>
      <c r="T895" s="33"/>
      <c r="U895" s="18"/>
      <c r="V895" s="19"/>
      <c r="W895" s="18"/>
      <c r="X895" s="18"/>
      <c r="Y895" s="19" t="s">
        <v>32</v>
      </c>
      <c r="Z895" s="19" t="str">
        <f>A895 &amp; "-" &amp; VLOOKUP(A895,[4]PROGRAMMES!$E$1:$F$7,2,FALSE)</f>
        <v>2-Qualité des enseignements et des apprentissages</v>
      </c>
      <c r="AA895" s="19" t="str">
        <f>B895 &amp; "-" &amp; VLOOKUP(B895,[4]SOUSPROGRAMMES!$E$1:$F$44,2,FALSE)</f>
        <v>27- Introduction de l'enseignement bilingue Français-langues nationales au primaire</v>
      </c>
      <c r="AB895" s="19" t="str">
        <f>C895 &amp; "-" &amp; VLOOKUP(C895,[4]RESULTATS!$E$1:$F$176,2,FALSE)</f>
        <v>27- Introduction de l'enseignement bilingue Français-langues nationales au primaire</v>
      </c>
      <c r="AC895" s="20" t="str">
        <f>D895 &amp; "-" &amp; VLOOKUP(D895,[4]STRATEGIES!$E$1:$F$504,2,FALSE)</f>
        <v>27- Introduction de l'enseignement bilingue Français-langues nationales au primaire</v>
      </c>
      <c r="AD895" s="21" t="str">
        <f t="shared" si="162"/>
        <v>27- Introduction de l'enseignement bilingue Français-langues nationales au primaire</v>
      </c>
    </row>
    <row r="896" spans="1:30" s="22" customFormat="1" ht="105" customHeight="1" x14ac:dyDescent="0.8">
      <c r="A896" s="14">
        <v>2</v>
      </c>
      <c r="B896" s="15">
        <v>27</v>
      </c>
      <c r="C896" s="15">
        <v>271</v>
      </c>
      <c r="D896" s="15">
        <v>271</v>
      </c>
      <c r="E896" s="14">
        <v>271</v>
      </c>
      <c r="F896" s="16" t="s">
        <v>1116</v>
      </c>
      <c r="G896" s="17"/>
      <c r="H896" s="17"/>
      <c r="I896" s="56">
        <v>0</v>
      </c>
      <c r="J896" s="56"/>
      <c r="K896" s="56"/>
      <c r="L896" s="56"/>
      <c r="M896" s="56"/>
      <c r="N896" s="56"/>
      <c r="O896" s="56"/>
      <c r="P896" s="56"/>
      <c r="Q896" s="56"/>
      <c r="R896" s="56"/>
      <c r="S896" s="53"/>
      <c r="T896" s="33"/>
      <c r="U896" s="18"/>
      <c r="V896" s="19"/>
      <c r="W896" s="18"/>
      <c r="X896" s="18"/>
      <c r="Y896" s="19" t="s">
        <v>32</v>
      </c>
      <c r="Z896" s="19" t="str">
        <f>A896 &amp; "-" &amp; VLOOKUP(A896,[4]PROGRAMMES!$E$1:$F$7,2,FALSE)</f>
        <v>2-Qualité des enseignements et des apprentissages</v>
      </c>
      <c r="AA896" s="19" t="str">
        <f>B896 &amp; "-" &amp; VLOOKUP(B896,[4]SOUSPROGRAMMES!$E$1:$F$44,2,FALSE)</f>
        <v>27- Introduction de l'enseignement bilingue Français-langues nationales au primaire</v>
      </c>
      <c r="AB896" s="19" t="str">
        <f>C896 &amp; "-" &amp; VLOOKUP(C896,[4]RESULTATS!$E$1:$F$176,2,FALSE)</f>
        <v>271- Les résultats de la phase pilote sont capitalisés pour identifier les stratégies d’utilisation des langues nationales dans l’enseignement et l’apprentissageUne instance de pilotage de la réforme du bilinguisme est opérationnelle</v>
      </c>
      <c r="AC896" s="20" t="str">
        <f>D896 &amp; "-" &amp; VLOOKUP(D896,[4]STRATEGIES!$E$1:$F$504,2,FALSE)</f>
        <v>271- Les résultats de la phase pilote sont capitalisés pour identifier les stratégies d’utilisation des langues nationales dans l’enseignement et l’apprentissageUne instance de pilotage de la réforme du bilinguisme est opérationnelle</v>
      </c>
      <c r="AD896" s="21" t="str">
        <f t="shared" si="162"/>
        <v>271- Les résultats de la phase pilote sont capitalisés pour identifier les stratégies d’utilisation des langues nationales dans l’enseignement et l’apprentissageUne instance de pilotage de la réforme du bilinguisme est opérationnelle</v>
      </c>
    </row>
    <row r="897" spans="1:30" s="22" customFormat="1" ht="105" customHeight="1" x14ac:dyDescent="0.8">
      <c r="A897" s="14">
        <v>2</v>
      </c>
      <c r="B897" s="15">
        <v>27</v>
      </c>
      <c r="C897" s="15">
        <v>271</v>
      </c>
      <c r="D897" s="15">
        <v>2711</v>
      </c>
      <c r="E897" s="14">
        <v>2711</v>
      </c>
      <c r="F897" s="16" t="s">
        <v>1117</v>
      </c>
      <c r="G897" s="17"/>
      <c r="H897" s="17"/>
      <c r="I897" s="56">
        <v>0</v>
      </c>
      <c r="J897" s="56"/>
      <c r="K897" s="56"/>
      <c r="L897" s="56"/>
      <c r="M897" s="56"/>
      <c r="N897" s="56"/>
      <c r="O897" s="56"/>
      <c r="P897" s="56"/>
      <c r="Q897" s="56"/>
      <c r="R897" s="56"/>
      <c r="S897" s="53"/>
      <c r="T897" s="33"/>
      <c r="U897" s="18"/>
      <c r="V897" s="19"/>
      <c r="W897" s="18"/>
      <c r="X897" s="18"/>
      <c r="Y897" s="19" t="s">
        <v>32</v>
      </c>
      <c r="Z897" s="19" t="str">
        <f>A897 &amp; "-" &amp; VLOOKUP(A897,[4]PROGRAMMES!$E$1:$F$7,2,FALSE)</f>
        <v>2-Qualité des enseignements et des apprentissages</v>
      </c>
      <c r="AA897" s="19" t="str">
        <f>B897 &amp; "-" &amp; VLOOKUP(B897,[4]SOUSPROGRAMMES!$E$1:$F$44,2,FALSE)</f>
        <v>27- Introduction de l'enseignement bilingue Français-langues nationales au primaire</v>
      </c>
      <c r="AB897" s="19" t="str">
        <f>C897 &amp; "-" &amp; VLOOKUP(C897,[4]RESULTATS!$E$1:$F$176,2,FALSE)</f>
        <v>271- Les résultats de la phase pilote sont capitalisés pour identifier les stratégies d’utilisation des langues nationales dans l’enseignement et l’apprentissageUne instance de pilotage de la réforme du bilinguisme est opérationnelle</v>
      </c>
      <c r="AC897" s="20" t="str">
        <f>D897 &amp; "-" &amp; VLOOKUP(D897,[4]STRATEGIES!$E$1:$F$504,2,FALSE)</f>
        <v>2711-Recomposition de l'instance de pilotage de la réforme du bilinguisme</v>
      </c>
      <c r="AD897" s="21" t="str">
        <f t="shared" si="162"/>
        <v>2711-Recomposition de l'instance de pilotage de la réforme du bilinguisme</v>
      </c>
    </row>
    <row r="898" spans="1:30" s="22" customFormat="1" ht="105" hidden="1" customHeight="1" x14ac:dyDescent="0.8">
      <c r="A898" s="14">
        <v>2</v>
      </c>
      <c r="B898" s="15">
        <v>27</v>
      </c>
      <c r="C898" s="15">
        <v>271</v>
      </c>
      <c r="D898" s="15">
        <v>2711</v>
      </c>
      <c r="E898" s="14">
        <v>27111</v>
      </c>
      <c r="F898" s="16" t="s">
        <v>1118</v>
      </c>
      <c r="G898" s="21" t="s">
        <v>1119</v>
      </c>
      <c r="H898" s="17" t="s">
        <v>55</v>
      </c>
      <c r="I898" s="56">
        <v>0</v>
      </c>
      <c r="J898" s="56"/>
      <c r="K898" s="56"/>
      <c r="L898" s="56"/>
      <c r="M898" s="56">
        <f t="shared" si="167"/>
        <v>0</v>
      </c>
      <c r="N898" s="56">
        <f>IF(OR(H898="",H898="sif",H898="PM"),0,VLOOKUP(H898,[5]CU!$C$4:$H$255,6,FALSE))</f>
        <v>0</v>
      </c>
      <c r="O898" s="56">
        <f t="shared" si="168"/>
        <v>0</v>
      </c>
      <c r="P898" s="56">
        <f t="shared" si="168"/>
        <v>0</v>
      </c>
      <c r="Q898" s="56">
        <f t="shared" si="168"/>
        <v>0</v>
      </c>
      <c r="R898" s="56">
        <f t="shared" si="168"/>
        <v>0</v>
      </c>
      <c r="S898" s="53"/>
      <c r="T898" s="35" t="s">
        <v>56</v>
      </c>
      <c r="U898" s="18" t="s">
        <v>330</v>
      </c>
      <c r="V898" s="19" t="str">
        <f>IF(OR($H898="",$H898="sif",$H898="PM"),"",VLOOKUP($H898,[5]CU!$C$5:$J$255,8,FALSE))</f>
        <v/>
      </c>
      <c r="W898" s="18" t="s">
        <v>1120</v>
      </c>
      <c r="X898" s="18" t="s">
        <v>192</v>
      </c>
      <c r="Y898" s="19" t="s">
        <v>32</v>
      </c>
      <c r="Z898" s="19" t="str">
        <f>A898 &amp; "-" &amp; VLOOKUP(A898,[4]PROGRAMMES!$E$1:$F$7,2,FALSE)</f>
        <v>2-Qualité des enseignements et des apprentissages</v>
      </c>
      <c r="AA898" s="19" t="str">
        <f>B898 &amp; "-" &amp; VLOOKUP(B898,[4]SOUSPROGRAMMES!$E$1:$F$44,2,FALSE)</f>
        <v>27- Introduction de l'enseignement bilingue Français-langues nationales au primaire</v>
      </c>
      <c r="AB898" s="19" t="str">
        <f>C898 &amp; "-" &amp; VLOOKUP(C898,[4]RESULTATS!$E$1:$F$176,2,FALSE)</f>
        <v>271- Les résultats de la phase pilote sont capitalisés pour identifier les stratégies d’utilisation des langues nationales dans l’enseignement et l’apprentissageUne instance de pilotage de la réforme du bilinguisme est opérationnelle</v>
      </c>
      <c r="AC898" s="20" t="str">
        <f>D898 &amp; "-" &amp; VLOOKUP(D898,[4]STRATEGIES!$E$1:$F$504,2,FALSE)</f>
        <v>2711-Recomposition de l'instance de pilotage de la réforme du bilinguisme</v>
      </c>
      <c r="AD898" s="21" t="str">
        <f t="shared" si="162"/>
        <v xml:space="preserve">27111-Création d’une instance de pilotage de la réforme des langues nationales </v>
      </c>
    </row>
    <row r="899" spans="1:30" s="22" customFormat="1" ht="105" customHeight="1" x14ac:dyDescent="0.8">
      <c r="A899" s="14">
        <v>2</v>
      </c>
      <c r="B899" s="15">
        <v>27</v>
      </c>
      <c r="C899" s="15">
        <v>271</v>
      </c>
      <c r="D899" s="15">
        <v>2711</v>
      </c>
      <c r="E899" s="14">
        <v>27112</v>
      </c>
      <c r="F899" s="16" t="s">
        <v>1121</v>
      </c>
      <c r="G899" s="21" t="s">
        <v>1122</v>
      </c>
      <c r="H899" s="17" t="s">
        <v>1123</v>
      </c>
      <c r="I899" s="56">
        <v>0</v>
      </c>
      <c r="J899" s="53"/>
      <c r="K899" s="53"/>
      <c r="L899" s="53"/>
      <c r="M899" s="53">
        <f>SUM(I899:L899)</f>
        <v>0</v>
      </c>
      <c r="N899" s="53">
        <f>IF(OR(H899="",H899="sif",H899="PM"),0,VLOOKUP(H899,[5]CU!$C$4:$H$255,6,FALSE))</f>
        <v>327.75</v>
      </c>
      <c r="O899" s="53">
        <f>IFERROR($N899*I899,0)</f>
        <v>0</v>
      </c>
      <c r="P899" s="53">
        <f>IFERROR($N899*J899,0)</f>
        <v>0</v>
      </c>
      <c r="Q899" s="53">
        <f>IFERROR($N899*K899,0)</f>
        <v>0</v>
      </c>
      <c r="R899" s="53">
        <f>IFERROR($N899*L899,0)</f>
        <v>0</v>
      </c>
      <c r="S899" s="53">
        <f>SUM(O899:R899)</f>
        <v>0</v>
      </c>
      <c r="T899" s="35" t="s">
        <v>67</v>
      </c>
      <c r="U899" s="18" t="s">
        <v>330</v>
      </c>
      <c r="V899" s="19" t="str">
        <f>IF(OR($H899="",$H899="sif",$H899="PM"),"",VLOOKUP($H899,[5]CU!$C$5:$J$255,8,FALSE))</f>
        <v>3. Manuels scolaires et matériels pédagogiques</v>
      </c>
      <c r="W899" s="18" t="s">
        <v>255</v>
      </c>
      <c r="X899" s="18" t="s">
        <v>192</v>
      </c>
      <c r="Y899" s="19" t="s">
        <v>32</v>
      </c>
      <c r="Z899" s="19" t="str">
        <f>A899 &amp; "-" &amp; VLOOKUP(A899,[4]PROGRAMMES!$E$1:$F$7,2,FALSE)</f>
        <v>2-Qualité des enseignements et des apprentissages</v>
      </c>
      <c r="AA899" s="19" t="str">
        <f>B899 &amp; "-" &amp; VLOOKUP(B899,[4]SOUSPROGRAMMES!$E$1:$F$44,2,FALSE)</f>
        <v>27- Introduction de l'enseignement bilingue Français-langues nationales au primaire</v>
      </c>
      <c r="AB899" s="19" t="str">
        <f>C899 &amp; "-" &amp; VLOOKUP(C899,[4]RESULTATS!$E$1:$F$176,2,FALSE)</f>
        <v>271- Les résultats de la phase pilote sont capitalisés pour identifier les stratégies d’utilisation des langues nationales dans l’enseignement et l’apprentissageUne instance de pilotage de la réforme du bilinguisme est opérationnelle</v>
      </c>
      <c r="AC899" s="20" t="str">
        <f>D899 &amp; "-" &amp; VLOOKUP(D899,[4]STRATEGIES!$E$1:$F$504,2,FALSE)</f>
        <v>2711-Recomposition de l'instance de pilotage de la réforme du bilinguisme</v>
      </c>
      <c r="AD899" s="21" t="str">
        <f t="shared" si="162"/>
        <v>27112-Poursuite de la mise en œuvre de la phase pilote actuelle</v>
      </c>
    </row>
    <row r="900" spans="1:30" s="22" customFormat="1" ht="105" hidden="1" customHeight="1" x14ac:dyDescent="0.8">
      <c r="A900" s="14">
        <v>2</v>
      </c>
      <c r="B900" s="15">
        <v>27</v>
      </c>
      <c r="C900" s="15">
        <v>271</v>
      </c>
      <c r="D900" s="15">
        <v>2711</v>
      </c>
      <c r="E900" s="14">
        <v>27112</v>
      </c>
      <c r="F900" s="16" t="s">
        <v>1121</v>
      </c>
      <c r="G900" s="21" t="s">
        <v>1122</v>
      </c>
      <c r="H900" s="17" t="s">
        <v>1123</v>
      </c>
      <c r="I900" s="56">
        <v>0</v>
      </c>
      <c r="J900" s="56">
        <v>10</v>
      </c>
      <c r="K900" s="56">
        <v>20</v>
      </c>
      <c r="L900" s="56">
        <v>25</v>
      </c>
      <c r="M900" s="56">
        <f t="shared" si="167"/>
        <v>55</v>
      </c>
      <c r="N900" s="56">
        <f>IF(OR(H900="",H900="sif",H900="PM"),0,VLOOKUP(H900,[5]CU!$C$4:$H$255,6,FALSE))</f>
        <v>327.75</v>
      </c>
      <c r="O900" s="56">
        <f t="shared" si="168"/>
        <v>0</v>
      </c>
      <c r="P900" s="56">
        <f t="shared" si="168"/>
        <v>3277.5</v>
      </c>
      <c r="Q900" s="56">
        <f t="shared" si="168"/>
        <v>6555</v>
      </c>
      <c r="R900" s="56">
        <f t="shared" si="168"/>
        <v>8193.75</v>
      </c>
      <c r="S900" s="53">
        <f>SUM(O900:R900)</f>
        <v>18026.25</v>
      </c>
      <c r="T900" s="35" t="s">
        <v>56</v>
      </c>
      <c r="U900" s="18" t="s">
        <v>330</v>
      </c>
      <c r="V900" s="19" t="str">
        <f>IF(OR($H900="",$H900="sif",$H900="PM"),"",VLOOKUP($H900,[5]CU!$C$5:$J$255,8,FALSE))</f>
        <v>3. Manuels scolaires et matériels pédagogiques</v>
      </c>
      <c r="W900" s="18" t="s">
        <v>255</v>
      </c>
      <c r="X900" s="18" t="s">
        <v>192</v>
      </c>
      <c r="Y900" s="19" t="s">
        <v>32</v>
      </c>
      <c r="Z900" s="19" t="str">
        <f>A900 &amp; "-" &amp; VLOOKUP(A900,[4]PROGRAMMES!$E$1:$F$7,2,FALSE)</f>
        <v>2-Qualité des enseignements et des apprentissages</v>
      </c>
      <c r="AA900" s="19" t="str">
        <f>B900 &amp; "-" &amp; VLOOKUP(B900,[4]SOUSPROGRAMMES!$E$1:$F$44,2,FALSE)</f>
        <v>27- Introduction de l'enseignement bilingue Français-langues nationales au primaire</v>
      </c>
      <c r="AB900" s="19" t="str">
        <f>C900 &amp; "-" &amp; VLOOKUP(C900,[4]RESULTATS!$E$1:$F$176,2,FALSE)</f>
        <v>271- Les résultats de la phase pilote sont capitalisés pour identifier les stratégies d’utilisation des langues nationales dans l’enseignement et l’apprentissageUne instance de pilotage de la réforme du bilinguisme est opérationnelle</v>
      </c>
      <c r="AC900" s="20" t="str">
        <f>D900 &amp; "-" &amp; VLOOKUP(D900,[4]STRATEGIES!$E$1:$F$504,2,FALSE)</f>
        <v>2711-Recomposition de l'instance de pilotage de la réforme du bilinguisme</v>
      </c>
      <c r="AD900" s="21" t="str">
        <f t="shared" ref="AD900:AD963" si="170">E900 &amp; "-" &amp; F900</f>
        <v>27112-Poursuite de la mise en œuvre de la phase pilote actuelle</v>
      </c>
    </row>
    <row r="901" spans="1:30" s="22" customFormat="1" ht="105" hidden="1" customHeight="1" x14ac:dyDescent="0.8">
      <c r="A901" s="14">
        <v>2</v>
      </c>
      <c r="B901" s="15">
        <v>27</v>
      </c>
      <c r="C901" s="15">
        <v>271</v>
      </c>
      <c r="D901" s="15">
        <v>2711</v>
      </c>
      <c r="E901" s="14">
        <v>27113</v>
      </c>
      <c r="F901" s="16" t="s">
        <v>1124</v>
      </c>
      <c r="G901" s="21" t="s">
        <v>496</v>
      </c>
      <c r="H901" s="17" t="s">
        <v>1125</v>
      </c>
      <c r="I901" s="56">
        <v>0</v>
      </c>
      <c r="J901" s="56"/>
      <c r="K901" s="56"/>
      <c r="L901" s="56">
        <v>1</v>
      </c>
      <c r="M901" s="56">
        <f t="shared" si="167"/>
        <v>1</v>
      </c>
      <c r="N901" s="56">
        <f>IF(OR(H901="",H901="sif",H901="PM"),0,VLOOKUP(H901,[5]CU!$C$4:$H$255,6,FALSE))</f>
        <v>285</v>
      </c>
      <c r="O901" s="56">
        <f t="shared" si="168"/>
        <v>0</v>
      </c>
      <c r="P901" s="56">
        <f t="shared" si="168"/>
        <v>0</v>
      </c>
      <c r="Q901" s="56">
        <f t="shared" si="168"/>
        <v>0</v>
      </c>
      <c r="R901" s="56">
        <f t="shared" si="168"/>
        <v>285</v>
      </c>
      <c r="S901" s="53">
        <f>SUM(O901:R901)</f>
        <v>285</v>
      </c>
      <c r="T901" s="35" t="s">
        <v>56</v>
      </c>
      <c r="U901" s="18" t="s">
        <v>330</v>
      </c>
      <c r="V901" s="19" t="str">
        <f>IF(OR($H901="",$H901="sif",$H901="PM"),"",VLOOKUP($H901,[5]CU!$C$5:$J$255,8,FALSE))</f>
        <v>3. Dépenses de fonctionnement</v>
      </c>
      <c r="W901" s="18" t="s">
        <v>1126</v>
      </c>
      <c r="X901" s="18" t="s">
        <v>192</v>
      </c>
      <c r="Y901" s="19" t="s">
        <v>32</v>
      </c>
      <c r="Z901" s="19" t="str">
        <f>A901 &amp; "-" &amp; VLOOKUP(A901,[4]PROGRAMMES!$E$1:$F$7,2,FALSE)</f>
        <v>2-Qualité des enseignements et des apprentissages</v>
      </c>
      <c r="AA901" s="19" t="str">
        <f>B901 &amp; "-" &amp; VLOOKUP(B901,[4]SOUSPROGRAMMES!$E$1:$F$44,2,FALSE)</f>
        <v>27- Introduction de l'enseignement bilingue Français-langues nationales au primaire</v>
      </c>
      <c r="AB901" s="19" t="str">
        <f>C901 &amp; "-" &amp; VLOOKUP(C901,[4]RESULTATS!$E$1:$F$176,2,FALSE)</f>
        <v>271- Les résultats de la phase pilote sont capitalisés pour identifier les stratégies d’utilisation des langues nationales dans l’enseignement et l’apprentissageUne instance de pilotage de la réforme du bilinguisme est opérationnelle</v>
      </c>
      <c r="AC901" s="20" t="str">
        <f>D901 &amp; "-" &amp; VLOOKUP(D901,[4]STRATEGIES!$E$1:$F$504,2,FALSE)</f>
        <v>2711-Recomposition de l'instance de pilotage de la réforme du bilinguisme</v>
      </c>
      <c r="AD901" s="21" t="str">
        <f t="shared" si="170"/>
        <v>27113-Evaluation des résultats de la phase pilote</v>
      </c>
    </row>
    <row r="902" spans="1:30" s="22" customFormat="1" ht="105" hidden="1" customHeight="1" x14ac:dyDescent="0.8">
      <c r="A902" s="14">
        <v>2</v>
      </c>
      <c r="B902" s="15">
        <v>27</v>
      </c>
      <c r="C902" s="15">
        <v>271</v>
      </c>
      <c r="D902" s="15">
        <v>2711</v>
      </c>
      <c r="E902" s="14">
        <v>27114</v>
      </c>
      <c r="F902" s="16" t="s">
        <v>1127</v>
      </c>
      <c r="G902" s="21" t="s">
        <v>1128</v>
      </c>
      <c r="H902" s="17" t="s">
        <v>59</v>
      </c>
      <c r="I902" s="56">
        <v>0</v>
      </c>
      <c r="J902" s="56">
        <f>4*10*8</f>
        <v>320</v>
      </c>
      <c r="K902" s="56">
        <f>4*10*8</f>
        <v>320</v>
      </c>
      <c r="L902" s="56">
        <f>4*10*8</f>
        <v>320</v>
      </c>
      <c r="M902" s="56">
        <f>SUM(I902:L902)</f>
        <v>960</v>
      </c>
      <c r="N902" s="56">
        <f>IF(OR(H902="",H902="sif",H902="PM"),0,VLOOKUP(H902,[5]CU!$C$4:$H$255,6,FALSE))</f>
        <v>0.8177777777777776</v>
      </c>
      <c r="O902" s="56">
        <f t="shared" si="168"/>
        <v>0</v>
      </c>
      <c r="P902" s="56">
        <f t="shared" si="168"/>
        <v>261.68888888888881</v>
      </c>
      <c r="Q902" s="56">
        <f t="shared" si="168"/>
        <v>261.68888888888881</v>
      </c>
      <c r="R902" s="56">
        <f t="shared" si="168"/>
        <v>261.68888888888881</v>
      </c>
      <c r="S902" s="53">
        <f>SUM(O902:R902)</f>
        <v>785.06666666666638</v>
      </c>
      <c r="T902" s="35" t="s">
        <v>56</v>
      </c>
      <c r="U902" s="18" t="s">
        <v>330</v>
      </c>
      <c r="V902" s="19" t="str">
        <f>IF(OR($H902="",$H902="sif",$H902="PM"),"",VLOOKUP($H902,[5]CU!$C$5:$J$255,8,FALSE))</f>
        <v>3. Dépenses de fonctionnement</v>
      </c>
      <c r="W902" s="18" t="s">
        <v>192</v>
      </c>
      <c r="X902" s="18" t="s">
        <v>192</v>
      </c>
      <c r="Y902" s="19" t="s">
        <v>32</v>
      </c>
      <c r="Z902" s="19" t="str">
        <f>A902 &amp; "-" &amp; VLOOKUP(A902,[4]PROGRAMMES!$E$1:$F$7,2,FALSE)</f>
        <v>2-Qualité des enseignements et des apprentissages</v>
      </c>
      <c r="AA902" s="19" t="str">
        <f>B902 &amp; "-" &amp; VLOOKUP(B902,[4]SOUSPROGRAMMES!$E$1:$F$44,2,FALSE)</f>
        <v>27- Introduction de l'enseignement bilingue Français-langues nationales au primaire</v>
      </c>
      <c r="AB902" s="19" t="str">
        <f>C902 &amp; "-" &amp; VLOOKUP(C902,[4]RESULTATS!$E$1:$F$176,2,FALSE)</f>
        <v>271- Les résultats de la phase pilote sont capitalisés pour identifier les stratégies d’utilisation des langues nationales dans l’enseignement et l’apprentissageUne instance de pilotage de la réforme du bilinguisme est opérationnelle</v>
      </c>
      <c r="AC902" s="20" t="str">
        <f>D902 &amp; "-" &amp; VLOOKUP(D902,[4]STRATEGIES!$E$1:$F$504,2,FALSE)</f>
        <v>2711-Recomposition de l'instance de pilotage de la réforme du bilinguisme</v>
      </c>
      <c r="AD902" s="21" t="str">
        <f t="shared" si="170"/>
        <v xml:space="preserve">27114-Suivi-supervision de la phase pilote </v>
      </c>
    </row>
    <row r="903" spans="1:30" s="22" customFormat="1" ht="45" customHeight="1" x14ac:dyDescent="0.8">
      <c r="A903" s="14">
        <v>2</v>
      </c>
      <c r="B903" s="15">
        <v>27</v>
      </c>
      <c r="C903" s="15">
        <v>272</v>
      </c>
      <c r="D903" s="15">
        <v>272</v>
      </c>
      <c r="E903" s="14">
        <v>272</v>
      </c>
      <c r="F903" s="16" t="s">
        <v>1129</v>
      </c>
      <c r="G903" s="17"/>
      <c r="H903" s="17"/>
      <c r="I903" s="56">
        <v>0</v>
      </c>
      <c r="J903" s="56"/>
      <c r="K903" s="56"/>
      <c r="L903" s="56"/>
      <c r="M903" s="56"/>
      <c r="N903" s="56"/>
      <c r="O903" s="56"/>
      <c r="P903" s="56"/>
      <c r="Q903" s="56"/>
      <c r="R903" s="56"/>
      <c r="S903" s="53"/>
      <c r="T903" s="33"/>
      <c r="U903" s="18"/>
      <c r="V903" s="19"/>
      <c r="W903" s="18"/>
      <c r="X903" s="18"/>
      <c r="Y903" s="19" t="s">
        <v>32</v>
      </c>
      <c r="Z903" s="19" t="str">
        <f>A903 &amp; "-" &amp; VLOOKUP(A903,[4]PROGRAMMES!$E$1:$F$7,2,FALSE)</f>
        <v>2-Qualité des enseignements et des apprentissages</v>
      </c>
      <c r="AA903" s="19" t="str">
        <f>B903 &amp; "-" &amp; VLOOKUP(B903,[4]SOUSPROGRAMMES!$E$1:$F$44,2,FALSE)</f>
        <v>27- Introduction de l'enseignement bilingue Français-langues nationales au primaire</v>
      </c>
      <c r="AB903" s="19" t="str">
        <f>C903 &amp; "-" &amp; VLOOKUP(C903,[4]RESULTATS!$E$1:$F$176,2,FALSE)</f>
        <v>272- Des étude sont réalisées pour préparer la mise à l'échelle</v>
      </c>
      <c r="AC903" s="20" t="str">
        <f>D903 &amp; "-" &amp; VLOOKUP(D903,[4]STRATEGIES!$E$1:$F$504,2,FALSE)</f>
        <v>272- Des étude sont réalisées pour préparer la mise à l'échelle</v>
      </c>
      <c r="AD903" s="21" t="str">
        <f t="shared" si="170"/>
        <v>272- Des étude sont réalisées pour préparer la mise à l'échelle</v>
      </c>
    </row>
    <row r="904" spans="1:30" s="22" customFormat="1" ht="45" customHeight="1" x14ac:dyDescent="0.8">
      <c r="A904" s="14">
        <v>2</v>
      </c>
      <c r="B904" s="15">
        <v>27</v>
      </c>
      <c r="C904" s="15">
        <v>272</v>
      </c>
      <c r="D904" s="15">
        <v>2721</v>
      </c>
      <c r="E904" s="14">
        <v>2721</v>
      </c>
      <c r="F904" s="16" t="s">
        <v>1130</v>
      </c>
      <c r="G904" s="17"/>
      <c r="H904" s="17"/>
      <c r="I904" s="56">
        <v>0</v>
      </c>
      <c r="J904" s="56"/>
      <c r="K904" s="56"/>
      <c r="L904" s="56"/>
      <c r="M904" s="56"/>
      <c r="N904" s="56"/>
      <c r="O904" s="56"/>
      <c r="P904" s="56"/>
      <c r="Q904" s="56"/>
      <c r="R904" s="56"/>
      <c r="S904" s="53"/>
      <c r="T904" s="33"/>
      <c r="U904" s="18"/>
      <c r="V904" s="19"/>
      <c r="W904" s="18"/>
      <c r="X904" s="18"/>
      <c r="Y904" s="19" t="s">
        <v>32</v>
      </c>
      <c r="Z904" s="19" t="str">
        <f>A904 &amp; "-" &amp; VLOOKUP(A904,[4]PROGRAMMES!$E$1:$F$7,2,FALSE)</f>
        <v>2-Qualité des enseignements et des apprentissages</v>
      </c>
      <c r="AA904" s="19" t="str">
        <f>B904 &amp; "-" &amp; VLOOKUP(B904,[4]SOUSPROGRAMMES!$E$1:$F$44,2,FALSE)</f>
        <v>27- Introduction de l'enseignement bilingue Français-langues nationales au primaire</v>
      </c>
      <c r="AB904" s="19" t="str">
        <f>C904 &amp; "-" &amp; VLOOKUP(C904,[4]RESULTATS!$E$1:$F$176,2,FALSE)</f>
        <v>272- Des étude sont réalisées pour préparer la mise à l'échelle</v>
      </c>
      <c r="AC904" s="20" t="str">
        <f>D904 &amp; "-" &amp; VLOOKUP(D904,[4]STRATEGIES!$E$1:$F$504,2,FALSE)</f>
        <v>2721-Recrutement d'un cabinet spécialisée pour la conduite de l'étude</v>
      </c>
      <c r="AD904" s="21" t="str">
        <f t="shared" si="170"/>
        <v>2721-Recrutement d'un cabinet spécialisée pour la conduite de l'étude</v>
      </c>
    </row>
    <row r="905" spans="1:30" s="22" customFormat="1" ht="45" hidden="1" customHeight="1" x14ac:dyDescent="0.8">
      <c r="A905" s="14">
        <v>2</v>
      </c>
      <c r="B905" s="15">
        <v>27</v>
      </c>
      <c r="C905" s="15">
        <v>272</v>
      </c>
      <c r="D905" s="15">
        <v>2721</v>
      </c>
      <c r="E905" s="14">
        <v>27211</v>
      </c>
      <c r="F905" s="16" t="s">
        <v>1131</v>
      </c>
      <c r="G905" s="21" t="s">
        <v>1119</v>
      </c>
      <c r="H905" s="17" t="s">
        <v>55</v>
      </c>
      <c r="I905" s="56">
        <v>0</v>
      </c>
      <c r="J905" s="56">
        <v>1</v>
      </c>
      <c r="K905" s="56"/>
      <c r="L905" s="56"/>
      <c r="M905" s="56">
        <f t="shared" si="167"/>
        <v>1</v>
      </c>
      <c r="N905" s="56">
        <f>IF(OR(H905="",H905="sif",H905="PM"),0,VLOOKUP(H905,[5]CU!$C$4:$H$255,6,FALSE))</f>
        <v>0</v>
      </c>
      <c r="O905" s="56">
        <f t="shared" si="168"/>
        <v>0</v>
      </c>
      <c r="P905" s="56">
        <f t="shared" si="168"/>
        <v>0</v>
      </c>
      <c r="Q905" s="56">
        <f t="shared" si="168"/>
        <v>0</v>
      </c>
      <c r="R905" s="56">
        <f t="shared" si="168"/>
        <v>0</v>
      </c>
      <c r="S905" s="53"/>
      <c r="T905" s="35" t="s">
        <v>56</v>
      </c>
      <c r="U905" s="18" t="s">
        <v>330</v>
      </c>
      <c r="V905" s="19" t="str">
        <f>IF(OR($H905="",$H905="sif",$H905="PM"),"",VLOOKUP($H905,[5]CU!$C$5:$J$255,8,FALSE))</f>
        <v/>
      </c>
      <c r="W905" s="18" t="s">
        <v>1132</v>
      </c>
      <c r="X905" s="18" t="s">
        <v>192</v>
      </c>
      <c r="Y905" s="19" t="s">
        <v>32</v>
      </c>
      <c r="Z905" s="19" t="str">
        <f>A905 &amp; "-" &amp; VLOOKUP(A905,[4]PROGRAMMES!$E$1:$F$7,2,FALSE)</f>
        <v>2-Qualité des enseignements et des apprentissages</v>
      </c>
      <c r="AA905" s="19" t="str">
        <f>B905 &amp; "-" &amp; VLOOKUP(B905,[4]SOUSPROGRAMMES!$E$1:$F$44,2,FALSE)</f>
        <v>27- Introduction de l'enseignement bilingue Français-langues nationales au primaire</v>
      </c>
      <c r="AB905" s="19" t="str">
        <f>C905 &amp; "-" &amp; VLOOKUP(C905,[4]RESULTATS!$E$1:$F$176,2,FALSE)</f>
        <v>272- Des étude sont réalisées pour préparer la mise à l'échelle</v>
      </c>
      <c r="AC905" s="20" t="str">
        <f>D905 &amp; "-" &amp; VLOOKUP(D905,[4]STRATEGIES!$E$1:$F$504,2,FALSE)</f>
        <v>2721-Recrutement d'un cabinet spécialisée pour la conduite de l'étude</v>
      </c>
      <c r="AD905" s="21" t="str">
        <f t="shared" si="170"/>
        <v>27211-Elaboration des TDR</v>
      </c>
    </row>
    <row r="906" spans="1:30" s="22" customFormat="1" ht="45" hidden="1" customHeight="1" x14ac:dyDescent="0.8">
      <c r="A906" s="14">
        <v>2</v>
      </c>
      <c r="B906" s="15">
        <v>27</v>
      </c>
      <c r="C906" s="15">
        <v>272</v>
      </c>
      <c r="D906" s="15">
        <v>2721</v>
      </c>
      <c r="E906" s="14">
        <v>27212</v>
      </c>
      <c r="F906" s="16" t="s">
        <v>1133</v>
      </c>
      <c r="G906" s="21" t="s">
        <v>167</v>
      </c>
      <c r="H906" s="17" t="s">
        <v>646</v>
      </c>
      <c r="I906" s="56">
        <v>0</v>
      </c>
      <c r="J906" s="56">
        <f>9*15*2</f>
        <v>270</v>
      </c>
      <c r="K906" s="56">
        <f>9*15*2</f>
        <v>270</v>
      </c>
      <c r="L906" s="56"/>
      <c r="M906" s="56">
        <f t="shared" si="167"/>
        <v>540</v>
      </c>
      <c r="N906" s="56">
        <f>IF(OR(H906="",H906="sif",H906="PM"),0,VLOOKUP(H906,[5]CU!$C$4:$H$255,6,FALSE))</f>
        <v>10.404797</v>
      </c>
      <c r="O906" s="56">
        <f t="shared" si="168"/>
        <v>0</v>
      </c>
      <c r="P906" s="56">
        <f t="shared" si="168"/>
        <v>2809.2951900000003</v>
      </c>
      <c r="Q906" s="56">
        <f t="shared" si="168"/>
        <v>2809.2951900000003</v>
      </c>
      <c r="R906" s="56">
        <f t="shared" si="168"/>
        <v>0</v>
      </c>
      <c r="S906" s="53">
        <f>SUM(O906:R906)</f>
        <v>5618.5903800000006</v>
      </c>
      <c r="T906" s="35" t="s">
        <v>56</v>
      </c>
      <c r="U906" s="18" t="s">
        <v>330</v>
      </c>
      <c r="V906" s="19" t="str">
        <f>IF(OR($H906="",$H906="sif",$H906="PM"),"",VLOOKUP($H906,[5]CU!$C$5:$J$255,8,FALSE))</f>
        <v>3. Dépenses de fonctionnement</v>
      </c>
      <c r="W906" s="18" t="s">
        <v>1132</v>
      </c>
      <c r="X906" s="18" t="s">
        <v>192</v>
      </c>
      <c r="Y906" s="19" t="s">
        <v>32</v>
      </c>
      <c r="Z906" s="19" t="str">
        <f>A906 &amp; "-" &amp; VLOOKUP(A906,[4]PROGRAMMES!$E$1:$F$7,2,FALSE)</f>
        <v>2-Qualité des enseignements et des apprentissages</v>
      </c>
      <c r="AA906" s="19" t="str">
        <f>B906 &amp; "-" &amp; VLOOKUP(B906,[4]SOUSPROGRAMMES!$E$1:$F$44,2,FALSE)</f>
        <v>27- Introduction de l'enseignement bilingue Français-langues nationales au primaire</v>
      </c>
      <c r="AB906" s="19" t="str">
        <f>C906 &amp; "-" &amp; VLOOKUP(C906,[4]RESULTATS!$E$1:$F$176,2,FALSE)</f>
        <v>272- Des étude sont réalisées pour préparer la mise à l'échelle</v>
      </c>
      <c r="AC906" s="20" t="str">
        <f>D906 &amp; "-" &amp; VLOOKUP(D906,[4]STRATEGIES!$E$1:$F$504,2,FALSE)</f>
        <v>2721-Recrutement d'un cabinet spécialisée pour la conduite de l'étude</v>
      </c>
      <c r="AD906" s="21" t="str">
        <f t="shared" si="170"/>
        <v>27212-Réalisation de l'étude sociolinguistique (aires linguistiques, compétences linguistiques des enseignants, etc.)</v>
      </c>
    </row>
    <row r="907" spans="1:30" s="22" customFormat="1" ht="45" hidden="1" customHeight="1" x14ac:dyDescent="0.8">
      <c r="A907" s="14">
        <v>2</v>
      </c>
      <c r="B907" s="15">
        <v>27</v>
      </c>
      <c r="C907" s="15">
        <v>272</v>
      </c>
      <c r="D907" s="15">
        <v>2721</v>
      </c>
      <c r="E907" s="14">
        <v>27213</v>
      </c>
      <c r="F907" s="16" t="s">
        <v>1134</v>
      </c>
      <c r="G907" s="21" t="s">
        <v>37</v>
      </c>
      <c r="H907" s="17" t="s">
        <v>38</v>
      </c>
      <c r="I907" s="56">
        <v>0</v>
      </c>
      <c r="J907" s="56">
        <f>30*2*3</f>
        <v>180</v>
      </c>
      <c r="K907" s="56">
        <f>80*2</f>
        <v>160</v>
      </c>
      <c r="L907" s="56"/>
      <c r="M907" s="56">
        <f t="shared" si="167"/>
        <v>340</v>
      </c>
      <c r="N907" s="56">
        <f>IF(OR(H907="",H907="sif",H907="PM"),0,VLOOKUP(H907,[5]CU!$C$4:$H$255,6,FALSE))</f>
        <v>0.3133333333333333</v>
      </c>
      <c r="O907" s="56">
        <f t="shared" si="168"/>
        <v>0</v>
      </c>
      <c r="P907" s="56">
        <f t="shared" si="168"/>
        <v>56.399999999999991</v>
      </c>
      <c r="Q907" s="56">
        <f t="shared" si="168"/>
        <v>50.133333333333326</v>
      </c>
      <c r="R907" s="56">
        <f t="shared" si="168"/>
        <v>0</v>
      </c>
      <c r="S907" s="53">
        <f>SUM(O907:R907)</f>
        <v>106.53333333333332</v>
      </c>
      <c r="T907" s="35" t="s">
        <v>56</v>
      </c>
      <c r="U907" s="18" t="s">
        <v>330</v>
      </c>
      <c r="V907" s="19" t="str">
        <f>IF(OR($H907="",$H907="sif",$H907="PM"),"",VLOOKUP($H907,[5]CU!$C$5:$J$255,8,FALSE))</f>
        <v>3. Formation</v>
      </c>
      <c r="W907" s="18" t="s">
        <v>1132</v>
      </c>
      <c r="X907" s="18" t="s">
        <v>192</v>
      </c>
      <c r="Y907" s="19" t="s">
        <v>32</v>
      </c>
      <c r="Z907" s="19" t="str">
        <f>A907 &amp; "-" &amp; VLOOKUP(A907,[4]PROGRAMMES!$E$1:$F$7,2,FALSE)</f>
        <v>2-Qualité des enseignements et des apprentissages</v>
      </c>
      <c r="AA907" s="19" t="str">
        <f>B907 &amp; "-" &amp; VLOOKUP(B907,[4]SOUSPROGRAMMES!$E$1:$F$44,2,FALSE)</f>
        <v>27- Introduction de l'enseignement bilingue Français-langues nationales au primaire</v>
      </c>
      <c r="AB907" s="19" t="str">
        <f>C907 &amp; "-" &amp; VLOOKUP(C907,[4]RESULTATS!$E$1:$F$176,2,FALSE)</f>
        <v>272- Des étude sont réalisées pour préparer la mise à l'échelle</v>
      </c>
      <c r="AC907" s="20" t="str">
        <f>D907 &amp; "-" &amp; VLOOKUP(D907,[4]STRATEGIES!$E$1:$F$504,2,FALSE)</f>
        <v>2721-Recrutement d'un cabinet spécialisée pour la conduite de l'étude</v>
      </c>
      <c r="AD907" s="21" t="str">
        <f t="shared" si="170"/>
        <v>27213-Concertation et validation du rapport de l'étude</v>
      </c>
    </row>
    <row r="908" spans="1:30" s="22" customFormat="1" ht="45" customHeight="1" x14ac:dyDescent="0.8">
      <c r="A908" s="14">
        <v>2</v>
      </c>
      <c r="B908" s="15">
        <v>27</v>
      </c>
      <c r="C908" s="15">
        <v>273</v>
      </c>
      <c r="D908" s="15">
        <v>273</v>
      </c>
      <c r="E908" s="14">
        <v>273</v>
      </c>
      <c r="F908" s="16" t="s">
        <v>1135</v>
      </c>
      <c r="G908" s="17"/>
      <c r="H908" s="17"/>
      <c r="I908" s="56">
        <v>0</v>
      </c>
      <c r="J908" s="56"/>
      <c r="K908" s="56"/>
      <c r="L908" s="56"/>
      <c r="M908" s="56"/>
      <c r="N908" s="56"/>
      <c r="O908" s="56"/>
      <c r="P908" s="56"/>
      <c r="Q908" s="56"/>
      <c r="R908" s="56"/>
      <c r="S908" s="53"/>
      <c r="T908" s="33"/>
      <c r="U908" s="18"/>
      <c r="V908" s="19"/>
      <c r="W908" s="18"/>
      <c r="X908" s="18"/>
      <c r="Y908" s="19" t="s">
        <v>32</v>
      </c>
      <c r="Z908" s="19" t="str">
        <f>A908 &amp; "-" &amp; VLOOKUP(A908,[4]PROGRAMMES!$E$1:$F$7,2,FALSE)</f>
        <v>2-Qualité des enseignements et des apprentissages</v>
      </c>
      <c r="AA908" s="19" t="str">
        <f>B908 &amp; "-" &amp; VLOOKUP(B908,[4]SOUSPROGRAMMES!$E$1:$F$44,2,FALSE)</f>
        <v>27- Introduction de l'enseignement bilingue Français-langues nationales au primaire</v>
      </c>
      <c r="AB908" s="19" t="str">
        <f>C908 &amp; "-" &amp; VLOOKUP(C908,[4]RESULTATS!$E$1:$F$176,2,FALSE)</f>
        <v>273-Une expertise nationale en  langues nationales est disponible</v>
      </c>
      <c r="AC908" s="20" t="str">
        <f>D908 &amp; "-" &amp; VLOOKUP(D908,[4]STRATEGIES!$E$1:$F$504,2,FALSE)</f>
        <v>273-Une expertise nationale en  langues nationales est disponible</v>
      </c>
      <c r="AD908" s="21" t="str">
        <f t="shared" si="170"/>
        <v>273-Une expertise nationale en  langues nationales est disponible</v>
      </c>
    </row>
    <row r="909" spans="1:30" s="22" customFormat="1" ht="45" customHeight="1" x14ac:dyDescent="0.8">
      <c r="A909" s="14">
        <v>2</v>
      </c>
      <c r="B909" s="15">
        <v>27</v>
      </c>
      <c r="C909" s="15">
        <v>273</v>
      </c>
      <c r="D909" s="15">
        <v>2731</v>
      </c>
      <c r="E909" s="14">
        <v>2731</v>
      </c>
      <c r="F909" s="16" t="s">
        <v>1136</v>
      </c>
      <c r="G909" s="17"/>
      <c r="H909" s="17"/>
      <c r="I909" s="56">
        <v>0</v>
      </c>
      <c r="J909" s="56"/>
      <c r="K909" s="56"/>
      <c r="L909" s="56"/>
      <c r="M909" s="56"/>
      <c r="N909" s="56"/>
      <c r="O909" s="56"/>
      <c r="P909" s="56"/>
      <c r="Q909" s="56"/>
      <c r="R909" s="56"/>
      <c r="S909" s="53"/>
      <c r="T909" s="33"/>
      <c r="U909" s="18"/>
      <c r="V909" s="19"/>
      <c r="W909" s="18"/>
      <c r="X909" s="18"/>
      <c r="Y909" s="19" t="s">
        <v>32</v>
      </c>
      <c r="Z909" s="19" t="str">
        <f>A909 &amp; "-" &amp; VLOOKUP(A909,[4]PROGRAMMES!$E$1:$F$7,2,FALSE)</f>
        <v>2-Qualité des enseignements et des apprentissages</v>
      </c>
      <c r="AA909" s="19" t="str">
        <f>B909 &amp; "-" &amp; VLOOKUP(B909,[4]SOUSPROGRAMMES!$E$1:$F$44,2,FALSE)</f>
        <v>27- Introduction de l'enseignement bilingue Français-langues nationales au primaire</v>
      </c>
      <c r="AB909" s="19" t="str">
        <f>C909 &amp; "-" &amp; VLOOKUP(C909,[4]RESULTATS!$E$1:$F$176,2,FALSE)</f>
        <v>273-Une expertise nationale en  langues nationales est disponible</v>
      </c>
      <c r="AC909" s="20" t="str">
        <f>D909 &amp; "-" &amp; VLOOKUP(D909,[4]STRATEGIES!$E$1:$F$504,2,FALSE)</f>
        <v>2731-Mise en place d’une équipe nationale pour la conduite du processus</v>
      </c>
      <c r="AD909" s="21" t="str">
        <f t="shared" si="170"/>
        <v>2731-Mise en place d’une équipe nationale pour la conduite du processus</v>
      </c>
    </row>
    <row r="910" spans="1:30" s="22" customFormat="1" ht="45" hidden="1" customHeight="1" x14ac:dyDescent="0.8">
      <c r="A910" s="14">
        <v>2</v>
      </c>
      <c r="B910" s="15">
        <v>27</v>
      </c>
      <c r="C910" s="15">
        <v>273</v>
      </c>
      <c r="D910" s="15">
        <v>2731</v>
      </c>
      <c r="E910" s="14">
        <v>27311</v>
      </c>
      <c r="F910" s="16" t="s">
        <v>1137</v>
      </c>
      <c r="G910" s="21" t="s">
        <v>1022</v>
      </c>
      <c r="H910" s="17"/>
      <c r="I910" s="56">
        <v>0</v>
      </c>
      <c r="J910" s="56">
        <v>1</v>
      </c>
      <c r="K910" s="56"/>
      <c r="L910" s="56"/>
      <c r="M910" s="56">
        <f t="shared" si="167"/>
        <v>1</v>
      </c>
      <c r="N910" s="56">
        <f>IF(OR(H910="",H910="sif",H910="PM"),0,VLOOKUP(H910,[5]CU!$C$4:$H$255,6,FALSE))</f>
        <v>0</v>
      </c>
      <c r="O910" s="56">
        <f t="shared" si="168"/>
        <v>0</v>
      </c>
      <c r="P910" s="56">
        <f t="shared" si="168"/>
        <v>0</v>
      </c>
      <c r="Q910" s="56">
        <f t="shared" si="168"/>
        <v>0</v>
      </c>
      <c r="R910" s="56">
        <f t="shared" si="168"/>
        <v>0</v>
      </c>
      <c r="S910" s="53"/>
      <c r="T910" s="35" t="s">
        <v>56</v>
      </c>
      <c r="U910" s="18" t="s">
        <v>330</v>
      </c>
      <c r="V910" s="19" t="str">
        <f>IF(OR($H910="",$H910="sif",$H910="PM"),"",VLOOKUP($H910,[5]CU!$C$5:$J$255,8,FALSE))</f>
        <v/>
      </c>
      <c r="W910" s="18" t="s">
        <v>255</v>
      </c>
      <c r="X910" s="18" t="s">
        <v>192</v>
      </c>
      <c r="Y910" s="19" t="s">
        <v>32</v>
      </c>
      <c r="Z910" s="19" t="str">
        <f>A910 &amp; "-" &amp; VLOOKUP(A910,[4]PROGRAMMES!$E$1:$F$7,2,FALSE)</f>
        <v>2-Qualité des enseignements et des apprentissages</v>
      </c>
      <c r="AA910" s="19" t="str">
        <f>B910 &amp; "-" &amp; VLOOKUP(B910,[4]SOUSPROGRAMMES!$E$1:$F$44,2,FALSE)</f>
        <v>27- Introduction de l'enseignement bilingue Français-langues nationales au primaire</v>
      </c>
      <c r="AB910" s="19" t="str">
        <f>C910 &amp; "-" &amp; VLOOKUP(C910,[4]RESULTATS!$E$1:$F$176,2,FALSE)</f>
        <v>273-Une expertise nationale en  langues nationales est disponible</v>
      </c>
      <c r="AC910" s="20" t="str">
        <f>D910 &amp; "-" &amp; VLOOKUP(D910,[4]STRATEGIES!$E$1:$F$504,2,FALSE)</f>
        <v>2731-Mise en place d’une équipe nationale pour la conduite du processus</v>
      </c>
      <c r="AD910" s="21" t="str">
        <f t="shared" si="170"/>
        <v>27311-Création du comité national</v>
      </c>
    </row>
    <row r="911" spans="1:30" s="22" customFormat="1" ht="45" hidden="1" customHeight="1" x14ac:dyDescent="0.8">
      <c r="A911" s="14">
        <v>2</v>
      </c>
      <c r="B911" s="15">
        <v>27</v>
      </c>
      <c r="C911" s="15">
        <v>273</v>
      </c>
      <c r="D911" s="15">
        <v>2731</v>
      </c>
      <c r="E911" s="14">
        <v>27312</v>
      </c>
      <c r="F911" s="16" t="s">
        <v>1019</v>
      </c>
      <c r="G911" s="21" t="s">
        <v>298</v>
      </c>
      <c r="H911" s="17" t="s">
        <v>66</v>
      </c>
      <c r="I911" s="56">
        <v>0</v>
      </c>
      <c r="J911" s="56">
        <f>25*7*2</f>
        <v>350</v>
      </c>
      <c r="K911" s="56"/>
      <c r="L911" s="56"/>
      <c r="M911" s="56">
        <f t="shared" si="167"/>
        <v>350</v>
      </c>
      <c r="N911" s="56">
        <f>IF(OR(H911="",H911="sif",H911="PM"),0,VLOOKUP(H911,[5]CU!$C$4:$H$255,6,FALSE))</f>
        <v>0.255</v>
      </c>
      <c r="O911" s="56">
        <f t="shared" si="168"/>
        <v>0</v>
      </c>
      <c r="P911" s="56">
        <f t="shared" si="168"/>
        <v>89.25</v>
      </c>
      <c r="Q911" s="56">
        <f t="shared" si="168"/>
        <v>0</v>
      </c>
      <c r="R911" s="56">
        <f t="shared" si="168"/>
        <v>0</v>
      </c>
      <c r="S911" s="53">
        <f t="shared" ref="S911:S937" si="171">SUM(O911:R911)</f>
        <v>89.25</v>
      </c>
      <c r="T911" s="35" t="s">
        <v>56</v>
      </c>
      <c r="U911" s="18" t="s">
        <v>330</v>
      </c>
      <c r="V911" s="19" t="str">
        <f>IF(OR($H911="",$H911="sif",$H911="PM"),"",VLOOKUP($H911,[5]CU!$C$5:$J$255,8,FALSE))</f>
        <v>3. Dépenses de fonctionnement</v>
      </c>
      <c r="W911" s="18" t="s">
        <v>1132</v>
      </c>
      <c r="X911" s="18" t="s">
        <v>192</v>
      </c>
      <c r="Y911" s="19" t="s">
        <v>32</v>
      </c>
      <c r="Z911" s="19" t="str">
        <f>A911 &amp; "-" &amp; VLOOKUP(A911,[4]PROGRAMMES!$E$1:$F$7,2,FALSE)</f>
        <v>2-Qualité des enseignements et des apprentissages</v>
      </c>
      <c r="AA911" s="19" t="str">
        <f>B911 &amp; "-" &amp; VLOOKUP(B911,[4]SOUSPROGRAMMES!$E$1:$F$44,2,FALSE)</f>
        <v>27- Introduction de l'enseignement bilingue Français-langues nationales au primaire</v>
      </c>
      <c r="AB911" s="19" t="str">
        <f>C911 &amp; "-" &amp; VLOOKUP(C911,[4]RESULTATS!$E$1:$F$176,2,FALSE)</f>
        <v>273-Une expertise nationale en  langues nationales est disponible</v>
      </c>
      <c r="AC911" s="20" t="str">
        <f>D911 &amp; "-" &amp; VLOOKUP(D911,[4]STRATEGIES!$E$1:$F$504,2,FALSE)</f>
        <v>2731-Mise en place d’une équipe nationale pour la conduite du processus</v>
      </c>
      <c r="AD911" s="21" t="str">
        <f t="shared" si="170"/>
        <v>27312-Conception et élaboration des modules</v>
      </c>
    </row>
    <row r="912" spans="1:30" s="22" customFormat="1" ht="45" hidden="1" customHeight="1" x14ac:dyDescent="0.8">
      <c r="A912" s="14">
        <v>2</v>
      </c>
      <c r="B912" s="15">
        <v>27</v>
      </c>
      <c r="C912" s="15">
        <v>273</v>
      </c>
      <c r="D912" s="15">
        <v>2731</v>
      </c>
      <c r="E912" s="14">
        <v>27313</v>
      </c>
      <c r="F912" s="16" t="s">
        <v>1138</v>
      </c>
      <c r="G912" s="21" t="s">
        <v>298</v>
      </c>
      <c r="H912" s="17" t="s">
        <v>52</v>
      </c>
      <c r="I912" s="56">
        <v>0</v>
      </c>
      <c r="J912" s="56">
        <f>50*10</f>
        <v>500</v>
      </c>
      <c r="K912" s="56"/>
      <c r="L912" s="56"/>
      <c r="M912" s="56">
        <f t="shared" si="167"/>
        <v>500</v>
      </c>
      <c r="N912" s="56">
        <f>IF(OR(H912="",H912="sif",H912="PM"),0,VLOOKUP(H912,[5]CU!$C$4:$H$255,6,FALSE))</f>
        <v>1.5</v>
      </c>
      <c r="O912" s="56">
        <f t="shared" si="168"/>
        <v>0</v>
      </c>
      <c r="P912" s="56">
        <f t="shared" si="168"/>
        <v>750</v>
      </c>
      <c r="Q912" s="56">
        <f t="shared" si="168"/>
        <v>0</v>
      </c>
      <c r="R912" s="56">
        <f t="shared" si="168"/>
        <v>0</v>
      </c>
      <c r="S912" s="53">
        <f t="shared" si="171"/>
        <v>750</v>
      </c>
      <c r="T912" s="35" t="s">
        <v>56</v>
      </c>
      <c r="U912" s="18" t="s">
        <v>330</v>
      </c>
      <c r="V912" s="19" t="str">
        <f>IF(OR($H912="",$H912="sif",$H912="PM"),"",VLOOKUP($H912,[5]CU!$C$5:$J$255,8,FALSE))</f>
        <v>3. Formation</v>
      </c>
      <c r="W912" s="18" t="s">
        <v>1132</v>
      </c>
      <c r="X912" s="18" t="s">
        <v>192</v>
      </c>
      <c r="Y912" s="19" t="s">
        <v>32</v>
      </c>
      <c r="Z912" s="19" t="str">
        <f>A912 &amp; "-" &amp; VLOOKUP(A912,[4]PROGRAMMES!$E$1:$F$7,2,FALSE)</f>
        <v>2-Qualité des enseignements et des apprentissages</v>
      </c>
      <c r="AA912" s="19" t="str">
        <f>B912 &amp; "-" &amp; VLOOKUP(B912,[4]SOUSPROGRAMMES!$E$1:$F$44,2,FALSE)</f>
        <v>27- Introduction de l'enseignement bilingue Français-langues nationales au primaire</v>
      </c>
      <c r="AB912" s="19" t="str">
        <f>C912 &amp; "-" &amp; VLOOKUP(C912,[4]RESULTATS!$E$1:$F$176,2,FALSE)</f>
        <v>273-Une expertise nationale en  langues nationales est disponible</v>
      </c>
      <c r="AC912" s="20" t="str">
        <f>D912 &amp; "-" &amp; VLOOKUP(D912,[4]STRATEGIES!$E$1:$F$504,2,FALSE)</f>
        <v>2731-Mise en place d’une équipe nationale pour la conduite du processus</v>
      </c>
      <c r="AD912" s="21" t="str">
        <f t="shared" si="170"/>
        <v>27313-Formation des enseignants à l'approche</v>
      </c>
    </row>
    <row r="913" spans="1:30" s="22" customFormat="1" ht="45" hidden="1" customHeight="1" x14ac:dyDescent="0.8">
      <c r="A913" s="14">
        <v>2</v>
      </c>
      <c r="B913" s="15">
        <v>27</v>
      </c>
      <c r="C913" s="15">
        <v>273</v>
      </c>
      <c r="D913" s="15">
        <v>2731</v>
      </c>
      <c r="E913" s="14">
        <v>27314</v>
      </c>
      <c r="F913" s="16" t="s">
        <v>1139</v>
      </c>
      <c r="G913" s="21" t="s">
        <v>298</v>
      </c>
      <c r="H913" s="17" t="s">
        <v>66</v>
      </c>
      <c r="I913" s="56">
        <v>0</v>
      </c>
      <c r="J913" s="56">
        <f>15*4*10</f>
        <v>600</v>
      </c>
      <c r="K913" s="56"/>
      <c r="L913" s="56"/>
      <c r="M913" s="56">
        <f t="shared" si="167"/>
        <v>600</v>
      </c>
      <c r="N913" s="56">
        <f>IF(OR(H913="",H913="sif",H913="PM"),0,VLOOKUP(H913,[5]CU!$C$4:$H$255,6,FALSE))</f>
        <v>0.255</v>
      </c>
      <c r="O913" s="56">
        <f t="shared" si="168"/>
        <v>0</v>
      </c>
      <c r="P913" s="56">
        <f t="shared" si="168"/>
        <v>153</v>
      </c>
      <c r="Q913" s="56">
        <f t="shared" si="168"/>
        <v>0</v>
      </c>
      <c r="R913" s="56">
        <f t="shared" si="168"/>
        <v>0</v>
      </c>
      <c r="S913" s="53">
        <f t="shared" si="171"/>
        <v>153</v>
      </c>
      <c r="T913" s="35" t="s">
        <v>56</v>
      </c>
      <c r="U913" s="18" t="s">
        <v>330</v>
      </c>
      <c r="V913" s="19" t="str">
        <f>IF(OR($H913="",$H913="sif",$H913="PM"),"",VLOOKUP($H913,[5]CU!$C$5:$J$255,8,FALSE))</f>
        <v>3. Dépenses de fonctionnement</v>
      </c>
      <c r="W913" s="18" t="s">
        <v>1132</v>
      </c>
      <c r="X913" s="18" t="s">
        <v>192</v>
      </c>
      <c r="Y913" s="19" t="s">
        <v>32</v>
      </c>
      <c r="Z913" s="19" t="str">
        <f>A913 &amp; "-" &amp; VLOOKUP(A913,[4]PROGRAMMES!$E$1:$F$7,2,FALSE)</f>
        <v>2-Qualité des enseignements et des apprentissages</v>
      </c>
      <c r="AA913" s="19" t="str">
        <f>B913 &amp; "-" &amp; VLOOKUP(B913,[4]SOUSPROGRAMMES!$E$1:$F$44,2,FALSE)</f>
        <v>27- Introduction de l'enseignement bilingue Français-langues nationales au primaire</v>
      </c>
      <c r="AB913" s="19" t="str">
        <f>C913 &amp; "-" &amp; VLOOKUP(C913,[4]RESULTATS!$E$1:$F$176,2,FALSE)</f>
        <v>273-Une expertise nationale en  langues nationales est disponible</v>
      </c>
      <c r="AC913" s="20" t="str">
        <f>D913 &amp; "-" &amp; VLOOKUP(D913,[4]STRATEGIES!$E$1:$F$504,2,FALSE)</f>
        <v>2731-Mise en place d’une équipe nationale pour la conduite du processus</v>
      </c>
      <c r="AD913" s="21" t="str">
        <f t="shared" si="170"/>
        <v>27314-Intégrations de la formation en enseignement bilingue dans les institutions de formation initiale</v>
      </c>
    </row>
    <row r="914" spans="1:30" s="22" customFormat="1" ht="45" customHeight="1" x14ac:dyDescent="0.8">
      <c r="A914" s="14">
        <v>2</v>
      </c>
      <c r="B914" s="15">
        <v>27</v>
      </c>
      <c r="C914" s="15">
        <v>274</v>
      </c>
      <c r="D914" s="15">
        <v>274</v>
      </c>
      <c r="E914" s="14">
        <v>274</v>
      </c>
      <c r="F914" s="16" t="s">
        <v>1140</v>
      </c>
      <c r="G914" s="17"/>
      <c r="H914" s="17"/>
      <c r="I914" s="56">
        <v>0</v>
      </c>
      <c r="J914" s="56"/>
      <c r="K914" s="56"/>
      <c r="L914" s="56"/>
      <c r="M914" s="56"/>
      <c r="N914" s="56"/>
      <c r="O914" s="56"/>
      <c r="P914" s="56"/>
      <c r="Q914" s="56"/>
      <c r="R914" s="56"/>
      <c r="S914" s="53"/>
      <c r="T914" s="33"/>
      <c r="U914" s="18"/>
      <c r="V914" s="19"/>
      <c r="W914" s="18"/>
      <c r="X914" s="18"/>
      <c r="Y914" s="19" t="s">
        <v>32</v>
      </c>
      <c r="Z914" s="19" t="str">
        <f>A914 &amp; "-" &amp; VLOOKUP(A914,[4]PROGRAMMES!$E$1:$F$7,2,FALSE)</f>
        <v>2-Qualité des enseignements et des apprentissages</v>
      </c>
      <c r="AA914" s="19" t="str">
        <f>B914 &amp; "-" &amp; VLOOKUP(B914,[4]SOUSPROGRAMMES!$E$1:$F$44,2,FALSE)</f>
        <v>27- Introduction de l'enseignement bilingue Français-langues nationales au primaire</v>
      </c>
      <c r="AB914" s="19" t="str">
        <f>C914 &amp; "-" &amp; VLOOKUP(C914,[4]RESULTATS!$E$1:$F$176,2,FALSE)</f>
        <v xml:space="preserve">274-Les acteurs et partenaires adhèrent à l’approche l’enseignement  et de l’apprentissage des langues nationales </v>
      </c>
      <c r="AC914" s="20" t="str">
        <f>D914 &amp; "-" &amp; VLOOKUP(D914,[4]STRATEGIES!$E$1:$F$504,2,FALSE)</f>
        <v xml:space="preserve">274-Les acteurs et partenaires adhèrent à l’approche l’enseignement  et de l’apprentissage des langues nationales </v>
      </c>
      <c r="AD914" s="21" t="str">
        <f t="shared" si="170"/>
        <v xml:space="preserve">274-Les acteurs et partenaires adhèrent à l’approche l’enseignement  et de l’apprentissage des langues nationales </v>
      </c>
    </row>
    <row r="915" spans="1:30" s="22" customFormat="1" ht="45" customHeight="1" x14ac:dyDescent="0.8">
      <c r="A915" s="14">
        <v>2</v>
      </c>
      <c r="B915" s="15">
        <v>27</v>
      </c>
      <c r="C915" s="15">
        <v>274</v>
      </c>
      <c r="D915" s="15">
        <v>2741</v>
      </c>
      <c r="E915" s="14">
        <v>2741</v>
      </c>
      <c r="F915" s="16" t="s">
        <v>1141</v>
      </c>
      <c r="G915" s="17"/>
      <c r="H915" s="17"/>
      <c r="I915" s="56">
        <v>0</v>
      </c>
      <c r="J915" s="56"/>
      <c r="K915" s="56"/>
      <c r="L915" s="56"/>
      <c r="M915" s="56"/>
      <c r="N915" s="56"/>
      <c r="O915" s="56"/>
      <c r="P915" s="56"/>
      <c r="Q915" s="56"/>
      <c r="R915" s="56"/>
      <c r="S915" s="53"/>
      <c r="T915" s="33"/>
      <c r="U915" s="18"/>
      <c r="V915" s="19"/>
      <c r="W915" s="18"/>
      <c r="X915" s="18"/>
      <c r="Y915" s="19" t="s">
        <v>32</v>
      </c>
      <c r="Z915" s="19" t="str">
        <f>A915 &amp; "-" &amp; VLOOKUP(A915,[4]PROGRAMMES!$E$1:$F$7,2,FALSE)</f>
        <v>2-Qualité des enseignements et des apprentissages</v>
      </c>
      <c r="AA915" s="19" t="str">
        <f>B915 &amp; "-" &amp; VLOOKUP(B915,[4]SOUSPROGRAMMES!$E$1:$F$44,2,FALSE)</f>
        <v>27- Introduction de l'enseignement bilingue Français-langues nationales au primaire</v>
      </c>
      <c r="AB915" s="19" t="str">
        <f>C915 &amp; "-" &amp; VLOOKUP(C915,[4]RESULTATS!$E$1:$F$176,2,FALSE)</f>
        <v xml:space="preserve">274-Les acteurs et partenaires adhèrent à l’approche l’enseignement  et de l’apprentissage des langues nationales </v>
      </c>
      <c r="AC915" s="20" t="str">
        <f>D915 &amp; "-" &amp; VLOOKUP(D915,[4]STRATEGIES!$E$1:$F$504,2,FALSE)</f>
        <v>2741-Sensibilisation de tous les acteurs et partenaires</v>
      </c>
      <c r="AD915" s="21" t="str">
        <f t="shared" si="170"/>
        <v>2741-Sensibilisation de tous les acteurs et partenaires</v>
      </c>
    </row>
    <row r="916" spans="1:30" s="22" customFormat="1" ht="45" hidden="1" customHeight="1" x14ac:dyDescent="0.8">
      <c r="A916" s="14">
        <v>2</v>
      </c>
      <c r="B916" s="15">
        <v>27</v>
      </c>
      <c r="C916" s="15">
        <v>274</v>
      </c>
      <c r="D916" s="15">
        <v>2741</v>
      </c>
      <c r="E916" s="14">
        <v>27411</v>
      </c>
      <c r="F916" s="16" t="s">
        <v>1142</v>
      </c>
      <c r="G916" s="21" t="s">
        <v>1143</v>
      </c>
      <c r="H916" s="17" t="s">
        <v>73</v>
      </c>
      <c r="I916" s="56">
        <v>0</v>
      </c>
      <c r="J916" s="56">
        <f>2*3*20</f>
        <v>120</v>
      </c>
      <c r="K916" s="56"/>
      <c r="L916" s="56"/>
      <c r="M916" s="56">
        <f t="shared" si="167"/>
        <v>120</v>
      </c>
      <c r="N916" s="56">
        <f>IF(OR(H916="",H916="sif",H916="PM"),0,VLOOKUP(H916,[5]CU!$C$4:$H$255,6,FALSE))</f>
        <v>0.4</v>
      </c>
      <c r="O916" s="56">
        <f t="shared" si="168"/>
        <v>0</v>
      </c>
      <c r="P916" s="56">
        <f t="shared" si="168"/>
        <v>48</v>
      </c>
      <c r="Q916" s="56">
        <f t="shared" si="168"/>
        <v>0</v>
      </c>
      <c r="R916" s="56">
        <f t="shared" si="168"/>
        <v>0</v>
      </c>
      <c r="S916" s="53">
        <f t="shared" si="171"/>
        <v>48</v>
      </c>
      <c r="T916" s="35" t="s">
        <v>56</v>
      </c>
      <c r="U916" s="18" t="s">
        <v>330</v>
      </c>
      <c r="V916" s="19" t="str">
        <f>IF(OR($H916="",$H916="sif",$H916="PM"),"",VLOOKUP($H916,[5]CU!$C$5:$J$255,8,FALSE))</f>
        <v>3. Dépenses de fonctionnement</v>
      </c>
      <c r="W916" s="18" t="s">
        <v>1132</v>
      </c>
      <c r="X916" s="18" t="s">
        <v>192</v>
      </c>
      <c r="Y916" s="19" t="s">
        <v>32</v>
      </c>
      <c r="Z916" s="19" t="str">
        <f>A916 &amp; "-" &amp; VLOOKUP(A916,[4]PROGRAMMES!$E$1:$F$7,2,FALSE)</f>
        <v>2-Qualité des enseignements et des apprentissages</v>
      </c>
      <c r="AA916" s="19" t="str">
        <f>B916 &amp; "-" &amp; VLOOKUP(B916,[4]SOUSPROGRAMMES!$E$1:$F$44,2,FALSE)</f>
        <v>27- Introduction de l'enseignement bilingue Français-langues nationales au primaire</v>
      </c>
      <c r="AB916" s="19" t="str">
        <f>C916 &amp; "-" &amp; VLOOKUP(C916,[4]RESULTATS!$E$1:$F$176,2,FALSE)</f>
        <v xml:space="preserve">274-Les acteurs et partenaires adhèrent à l’approche l’enseignement  et de l’apprentissage des langues nationales </v>
      </c>
      <c r="AC916" s="20" t="str">
        <f>D916 &amp; "-" &amp; VLOOKUP(D916,[4]STRATEGIES!$E$1:$F$504,2,FALSE)</f>
        <v>2741-Sensibilisation de tous les acteurs et partenaires</v>
      </c>
      <c r="AD916" s="21" t="str">
        <f t="shared" si="170"/>
        <v>27411-Conception et diffusion de messages radio/télé, affiches, etc.</v>
      </c>
    </row>
    <row r="917" spans="1:30" s="22" customFormat="1" ht="45" hidden="1" customHeight="1" x14ac:dyDescent="0.8">
      <c r="A917" s="14">
        <v>2</v>
      </c>
      <c r="B917" s="15">
        <v>27</v>
      </c>
      <c r="C917" s="15">
        <v>274</v>
      </c>
      <c r="D917" s="15">
        <v>2741</v>
      </c>
      <c r="E917" s="14">
        <v>27412</v>
      </c>
      <c r="F917" s="16" t="s">
        <v>1144</v>
      </c>
      <c r="G917" s="21" t="s">
        <v>1128</v>
      </c>
      <c r="H917" s="17" t="s">
        <v>59</v>
      </c>
      <c r="I917" s="56">
        <v>0</v>
      </c>
      <c r="J917" s="56">
        <f>4*6*8</f>
        <v>192</v>
      </c>
      <c r="K917" s="56"/>
      <c r="L917" s="56"/>
      <c r="M917" s="56">
        <f t="shared" si="167"/>
        <v>192</v>
      </c>
      <c r="N917" s="56">
        <f>IF(OR(H917="",H917="sif",H917="PM"),0,VLOOKUP(H917,[5]CU!$C$4:$H$255,6,FALSE))</f>
        <v>0.8177777777777776</v>
      </c>
      <c r="O917" s="56">
        <f t="shared" si="168"/>
        <v>0</v>
      </c>
      <c r="P917" s="56">
        <f t="shared" si="168"/>
        <v>157.01333333333329</v>
      </c>
      <c r="Q917" s="56">
        <f t="shared" si="168"/>
        <v>0</v>
      </c>
      <c r="R917" s="56">
        <f t="shared" si="168"/>
        <v>0</v>
      </c>
      <c r="S917" s="53">
        <f t="shared" si="171"/>
        <v>157.01333333333329</v>
      </c>
      <c r="T917" s="35" t="s">
        <v>56</v>
      </c>
      <c r="U917" s="18" t="s">
        <v>330</v>
      </c>
      <c r="V917" s="19" t="str">
        <f>IF(OR($H917="",$H917="sif",$H917="PM"),"",VLOOKUP($H917,[5]CU!$C$5:$J$255,8,FALSE))</f>
        <v>3. Dépenses de fonctionnement</v>
      </c>
      <c r="W917" s="18" t="s">
        <v>1132</v>
      </c>
      <c r="X917" s="18" t="s">
        <v>192</v>
      </c>
      <c r="Y917" s="19" t="s">
        <v>32</v>
      </c>
      <c r="Z917" s="19" t="str">
        <f>A917 &amp; "-" &amp; VLOOKUP(A917,[4]PROGRAMMES!$E$1:$F$7,2,FALSE)</f>
        <v>2-Qualité des enseignements et des apprentissages</v>
      </c>
      <c r="AA917" s="19" t="str">
        <f>B917 &amp; "-" &amp; VLOOKUP(B917,[4]SOUSPROGRAMMES!$E$1:$F$44,2,FALSE)</f>
        <v>27- Introduction de l'enseignement bilingue Français-langues nationales au primaire</v>
      </c>
      <c r="AB917" s="19" t="str">
        <f>C917 &amp; "-" &amp; VLOOKUP(C917,[4]RESULTATS!$E$1:$F$176,2,FALSE)</f>
        <v xml:space="preserve">274-Les acteurs et partenaires adhèrent à l’approche l’enseignement  et de l’apprentissage des langues nationales </v>
      </c>
      <c r="AC917" s="20" t="str">
        <f>D917 &amp; "-" &amp; VLOOKUP(D917,[4]STRATEGIES!$E$1:$F$504,2,FALSE)</f>
        <v>2741-Sensibilisation de tous les acteurs et partenaires</v>
      </c>
      <c r="AD917" s="21" t="str">
        <f t="shared" si="170"/>
        <v>27412-Organisation de plaidoyers</v>
      </c>
    </row>
    <row r="918" spans="1:30" s="22" customFormat="1" ht="45" hidden="1" customHeight="1" x14ac:dyDescent="0.8">
      <c r="A918" s="14">
        <v>2</v>
      </c>
      <c r="B918" s="15">
        <v>27</v>
      </c>
      <c r="C918" s="15">
        <v>274</v>
      </c>
      <c r="D918" s="15">
        <v>2741</v>
      </c>
      <c r="E918" s="14">
        <v>27413</v>
      </c>
      <c r="F918" s="16" t="s">
        <v>1145</v>
      </c>
      <c r="G918" s="21" t="s">
        <v>1079</v>
      </c>
      <c r="H918" s="17" t="s">
        <v>66</v>
      </c>
      <c r="I918" s="56">
        <v>0</v>
      </c>
      <c r="J918" s="56"/>
      <c r="K918" s="56">
        <f>20*6</f>
        <v>120</v>
      </c>
      <c r="L918" s="56"/>
      <c r="M918" s="56">
        <f t="shared" si="167"/>
        <v>120</v>
      </c>
      <c r="N918" s="56">
        <f>IF(OR(H918="",H918="sif",H918="PM"),0,VLOOKUP(H918,[5]CU!$C$4:$H$255,6,FALSE))</f>
        <v>0.255</v>
      </c>
      <c r="O918" s="56">
        <f t="shared" si="168"/>
        <v>0</v>
      </c>
      <c r="P918" s="56">
        <f t="shared" si="168"/>
        <v>0</v>
      </c>
      <c r="Q918" s="56">
        <f t="shared" si="168"/>
        <v>30.6</v>
      </c>
      <c r="R918" s="56">
        <f t="shared" si="168"/>
        <v>0</v>
      </c>
      <c r="S918" s="53">
        <f t="shared" si="171"/>
        <v>30.6</v>
      </c>
      <c r="T918" s="35" t="s">
        <v>56</v>
      </c>
      <c r="U918" s="18" t="s">
        <v>330</v>
      </c>
      <c r="V918" s="19" t="str">
        <f>IF(OR($H918="",$H918="sif",$H918="PM"),"",VLOOKUP($H918,[5]CU!$C$5:$J$255,8,FALSE))</f>
        <v>3. Dépenses de fonctionnement</v>
      </c>
      <c r="W918" s="18" t="s">
        <v>1132</v>
      </c>
      <c r="X918" s="18" t="s">
        <v>192</v>
      </c>
      <c r="Y918" s="19" t="s">
        <v>32</v>
      </c>
      <c r="Z918" s="19" t="str">
        <f>A918 &amp; "-" &amp; VLOOKUP(A918,[4]PROGRAMMES!$E$1:$F$7,2,FALSE)</f>
        <v>2-Qualité des enseignements et des apprentissages</v>
      </c>
      <c r="AA918" s="19" t="str">
        <f>B918 &amp; "-" &amp; VLOOKUP(B918,[4]SOUSPROGRAMMES!$E$1:$F$44,2,FALSE)</f>
        <v>27- Introduction de l'enseignement bilingue Français-langues nationales au primaire</v>
      </c>
      <c r="AB918" s="19" t="str">
        <f>C918 &amp; "-" &amp; VLOOKUP(C918,[4]RESULTATS!$E$1:$F$176,2,FALSE)</f>
        <v xml:space="preserve">274-Les acteurs et partenaires adhèrent à l’approche l’enseignement  et de l’apprentissage des langues nationales </v>
      </c>
      <c r="AC918" s="20" t="str">
        <f>D918 &amp; "-" &amp; VLOOKUP(D918,[4]STRATEGIES!$E$1:$F$504,2,FALSE)</f>
        <v>2741-Sensibilisation de tous les acteurs et partenaires</v>
      </c>
      <c r="AD918" s="21" t="str">
        <f t="shared" si="170"/>
        <v>27413-Bilan du processus</v>
      </c>
    </row>
    <row r="919" spans="1:30" s="22" customFormat="1" ht="45" customHeight="1" x14ac:dyDescent="0.8">
      <c r="A919" s="14">
        <v>2</v>
      </c>
      <c r="B919" s="15">
        <v>27</v>
      </c>
      <c r="C919" s="15">
        <v>275</v>
      </c>
      <c r="D919" s="15">
        <v>275</v>
      </c>
      <c r="E919" s="14">
        <v>275</v>
      </c>
      <c r="F919" s="16" t="s">
        <v>1146</v>
      </c>
      <c r="G919" s="17"/>
      <c r="H919" s="17"/>
      <c r="I919" s="56">
        <v>0</v>
      </c>
      <c r="J919" s="56"/>
      <c r="K919" s="56"/>
      <c r="L919" s="56"/>
      <c r="M919" s="56"/>
      <c r="N919" s="56"/>
      <c r="O919" s="56"/>
      <c r="P919" s="56"/>
      <c r="Q919" s="56"/>
      <c r="R919" s="56"/>
      <c r="S919" s="53"/>
      <c r="T919" s="33"/>
      <c r="U919" s="18"/>
      <c r="V919" s="19"/>
      <c r="W919" s="18"/>
      <c r="X919" s="18"/>
      <c r="Y919" s="19" t="s">
        <v>32</v>
      </c>
      <c r="Z919" s="19" t="str">
        <f>A919 &amp; "-" &amp; VLOOKUP(A919,[4]PROGRAMMES!$E$1:$F$7,2,FALSE)</f>
        <v>2-Qualité des enseignements et des apprentissages</v>
      </c>
      <c r="AA919" s="19" t="str">
        <f>B919 &amp; "-" &amp; VLOOKUP(B919,[4]SOUSPROGRAMMES!$E$1:$F$44,2,FALSE)</f>
        <v>27- Introduction de l'enseignement bilingue Français-langues nationales au primaire</v>
      </c>
      <c r="AB919" s="19" t="str">
        <f>C919 &amp; "-" &amp; VLOOKUP(C919,[4]RESULTATS!$E$1:$F$176,2,FALSE)</f>
        <v>275- L’utilisation des langues nationales dans l’enseignement et l’apprentissage est effective</v>
      </c>
      <c r="AC919" s="20" t="str">
        <f>D919 &amp; "-" &amp; VLOOKUP(D919,[4]STRATEGIES!$E$1:$F$504,2,FALSE)</f>
        <v>275- L’utilisation des langues nationales dans l’enseignement et l’apprentissage est effective</v>
      </c>
      <c r="AD919" s="21" t="str">
        <f t="shared" si="170"/>
        <v>275- L’utilisation des langues nationales dans l’enseignement et l’apprentissage est effective</v>
      </c>
    </row>
    <row r="920" spans="1:30" s="22" customFormat="1" ht="45" customHeight="1" x14ac:dyDescent="0.8">
      <c r="A920" s="14">
        <v>2</v>
      </c>
      <c r="B920" s="15">
        <v>27</v>
      </c>
      <c r="C920" s="15">
        <v>275</v>
      </c>
      <c r="D920" s="15">
        <v>2751</v>
      </c>
      <c r="E920" s="14">
        <v>2751</v>
      </c>
      <c r="F920" s="16" t="s">
        <v>1147</v>
      </c>
      <c r="G920" s="17"/>
      <c r="H920" s="17"/>
      <c r="I920" s="56">
        <v>0</v>
      </c>
      <c r="J920" s="56"/>
      <c r="K920" s="56"/>
      <c r="L920" s="56"/>
      <c r="M920" s="56"/>
      <c r="N920" s="56"/>
      <c r="O920" s="56"/>
      <c r="P920" s="56"/>
      <c r="Q920" s="56"/>
      <c r="R920" s="56"/>
      <c r="S920" s="53"/>
      <c r="T920" s="33"/>
      <c r="U920" s="18"/>
      <c r="V920" s="19"/>
      <c r="W920" s="18"/>
      <c r="X920" s="18"/>
      <c r="Y920" s="19" t="s">
        <v>32</v>
      </c>
      <c r="Z920" s="19" t="str">
        <f>A920 &amp; "-" &amp; VLOOKUP(A920,[4]PROGRAMMES!$E$1:$F$7,2,FALSE)</f>
        <v>2-Qualité des enseignements et des apprentissages</v>
      </c>
      <c r="AA920" s="19" t="str">
        <f>B920 &amp; "-" &amp; VLOOKUP(B920,[4]SOUSPROGRAMMES!$E$1:$F$44,2,FALSE)</f>
        <v>27- Introduction de l'enseignement bilingue Français-langues nationales au primaire</v>
      </c>
      <c r="AB920" s="19" t="str">
        <f>C920 &amp; "-" &amp; VLOOKUP(C920,[4]RESULTATS!$E$1:$F$176,2,FALSE)</f>
        <v>275- L’utilisation des langues nationales dans l’enseignement et l’apprentissage est effective</v>
      </c>
      <c r="AC920" s="20" t="str">
        <f>D920 &amp; "-" &amp; VLOOKUP(D920,[4]STRATEGIES!$E$1:$F$504,2,FALSE)</f>
        <v>2751-Les langues nationales sont généralisées progressivement dans les écoles</v>
      </c>
      <c r="AD920" s="21" t="str">
        <f t="shared" si="170"/>
        <v>2751-Les langues nationales sont généralisées progressivement dans les écoles</v>
      </c>
    </row>
    <row r="921" spans="1:30" s="22" customFormat="1" ht="45" hidden="1" customHeight="1" x14ac:dyDescent="0.8">
      <c r="A921" s="14">
        <v>2</v>
      </c>
      <c r="B921" s="15">
        <v>27</v>
      </c>
      <c r="C921" s="15">
        <v>275</v>
      </c>
      <c r="D921" s="15">
        <v>2751</v>
      </c>
      <c r="E921" s="14">
        <v>27511</v>
      </c>
      <c r="F921" s="16" t="s">
        <v>1148</v>
      </c>
      <c r="G921" s="21" t="s">
        <v>298</v>
      </c>
      <c r="H921" s="17" t="s">
        <v>38</v>
      </c>
      <c r="I921" s="56">
        <v>0</v>
      </c>
      <c r="J921" s="56"/>
      <c r="K921" s="56"/>
      <c r="L921" s="56">
        <f>15*10</f>
        <v>150</v>
      </c>
      <c r="M921" s="56">
        <f t="shared" si="167"/>
        <v>150</v>
      </c>
      <c r="N921" s="56">
        <f>IF(OR(H921="",H921="sif",H921="PM"),0,VLOOKUP(H921,[5]CU!$C$4:$H$255,6,FALSE))</f>
        <v>0.3133333333333333</v>
      </c>
      <c r="O921" s="56">
        <f t="shared" si="168"/>
        <v>0</v>
      </c>
      <c r="P921" s="56">
        <f t="shared" si="168"/>
        <v>0</v>
      </c>
      <c r="Q921" s="56">
        <f t="shared" si="168"/>
        <v>0</v>
      </c>
      <c r="R921" s="56">
        <f t="shared" si="168"/>
        <v>46.999999999999993</v>
      </c>
      <c r="S921" s="53">
        <f t="shared" si="171"/>
        <v>46.999999999999993</v>
      </c>
      <c r="T921" s="35" t="s">
        <v>56</v>
      </c>
      <c r="U921" s="18" t="s">
        <v>330</v>
      </c>
      <c r="V921" s="19" t="str">
        <f>IF(OR($H921="",$H921="sif",$H921="PM"),"",VLOOKUP($H921,[5]CU!$C$5:$J$255,8,FALSE))</f>
        <v>3. Formation</v>
      </c>
      <c r="W921" s="18" t="s">
        <v>1132</v>
      </c>
      <c r="X921" s="18" t="s">
        <v>192</v>
      </c>
      <c r="Y921" s="19" t="s">
        <v>32</v>
      </c>
      <c r="Z921" s="19" t="str">
        <f>A921 &amp; "-" &amp; VLOOKUP(A921,[4]PROGRAMMES!$E$1:$F$7,2,FALSE)</f>
        <v>2-Qualité des enseignements et des apprentissages</v>
      </c>
      <c r="AA921" s="19" t="str">
        <f>B921 &amp; "-" &amp; VLOOKUP(B921,[4]SOUSPROGRAMMES!$E$1:$F$44,2,FALSE)</f>
        <v>27- Introduction de l'enseignement bilingue Français-langues nationales au primaire</v>
      </c>
      <c r="AB921" s="19" t="str">
        <f>C921 &amp; "-" &amp; VLOOKUP(C921,[4]RESULTATS!$E$1:$F$176,2,FALSE)</f>
        <v>275- L’utilisation des langues nationales dans l’enseignement et l’apprentissage est effective</v>
      </c>
      <c r="AC921" s="20" t="str">
        <f>D921 &amp; "-" &amp; VLOOKUP(D921,[4]STRATEGIES!$E$1:$F$504,2,FALSE)</f>
        <v>2751-Les langues nationales sont généralisées progressivement dans les écoles</v>
      </c>
      <c r="AD921" s="21" t="str">
        <f t="shared" si="170"/>
        <v>27511-Elaboration des supports didactiques</v>
      </c>
    </row>
    <row r="922" spans="1:30" s="22" customFormat="1" ht="45" hidden="1" customHeight="1" x14ac:dyDescent="0.8">
      <c r="A922" s="14">
        <v>2</v>
      </c>
      <c r="B922" s="15">
        <v>27</v>
      </c>
      <c r="C922" s="15">
        <v>275</v>
      </c>
      <c r="D922" s="15">
        <v>2751</v>
      </c>
      <c r="E922" s="14">
        <v>27512</v>
      </c>
      <c r="F922" s="16" t="s">
        <v>1149</v>
      </c>
      <c r="G922" s="21" t="s">
        <v>1128</v>
      </c>
      <c r="H922" s="17" t="s">
        <v>59</v>
      </c>
      <c r="I922" s="56">
        <v>0</v>
      </c>
      <c r="J922" s="56"/>
      <c r="K922" s="56"/>
      <c r="L922" s="56">
        <f>3*38*10</f>
        <v>1140</v>
      </c>
      <c r="M922" s="56">
        <f t="shared" si="167"/>
        <v>1140</v>
      </c>
      <c r="N922" s="56">
        <f>IF(OR(H922="",H922="sif",H922="PM"),0,VLOOKUP(H922,[5]CU!$C$4:$H$255,6,FALSE))</f>
        <v>0.8177777777777776</v>
      </c>
      <c r="O922" s="56">
        <f t="shared" si="168"/>
        <v>0</v>
      </c>
      <c r="P922" s="56">
        <f t="shared" si="168"/>
        <v>0</v>
      </c>
      <c r="Q922" s="56">
        <f t="shared" si="168"/>
        <v>0</v>
      </c>
      <c r="R922" s="56">
        <f t="shared" si="168"/>
        <v>932.26666666666642</v>
      </c>
      <c r="S922" s="53">
        <f t="shared" si="171"/>
        <v>932.26666666666642</v>
      </c>
      <c r="T922" s="35" t="s">
        <v>56</v>
      </c>
      <c r="U922" s="18" t="s">
        <v>330</v>
      </c>
      <c r="V922" s="19" t="str">
        <f>IF(OR($H922="",$H922="sif",$H922="PM"),"",VLOOKUP($H922,[5]CU!$C$5:$J$255,8,FALSE))</f>
        <v>3. Dépenses de fonctionnement</v>
      </c>
      <c r="W922" s="18" t="s">
        <v>192</v>
      </c>
      <c r="X922" s="18" t="s">
        <v>192</v>
      </c>
      <c r="Y922" s="19" t="s">
        <v>32</v>
      </c>
      <c r="Z922" s="19" t="str">
        <f>A922 &amp; "-" &amp; VLOOKUP(A922,[4]PROGRAMMES!$E$1:$F$7,2,FALSE)</f>
        <v>2-Qualité des enseignements et des apprentissages</v>
      </c>
      <c r="AA922" s="19" t="str">
        <f>B922 &amp; "-" &amp; VLOOKUP(B922,[4]SOUSPROGRAMMES!$E$1:$F$44,2,FALSE)</f>
        <v>27- Introduction de l'enseignement bilingue Français-langues nationales au primaire</v>
      </c>
      <c r="AB922" s="19" t="str">
        <f>C922 &amp; "-" &amp; VLOOKUP(C922,[4]RESULTATS!$E$1:$F$176,2,FALSE)</f>
        <v>275- L’utilisation des langues nationales dans l’enseignement et l’apprentissage est effective</v>
      </c>
      <c r="AC922" s="20" t="str">
        <f>D922 &amp; "-" &amp; VLOOKUP(D922,[4]STRATEGIES!$E$1:$F$504,2,FALSE)</f>
        <v>2751-Les langues nationales sont généralisées progressivement dans les écoles</v>
      </c>
      <c r="AD922" s="21" t="str">
        <f t="shared" si="170"/>
        <v>27512-Dissémination des supports didactiques</v>
      </c>
    </row>
    <row r="923" spans="1:30" s="22" customFormat="1" ht="45" hidden="1" customHeight="1" x14ac:dyDescent="0.8">
      <c r="A923" s="14">
        <v>2</v>
      </c>
      <c r="B923" s="15">
        <v>27</v>
      </c>
      <c r="C923" s="15">
        <v>275</v>
      </c>
      <c r="D923" s="15">
        <v>2751</v>
      </c>
      <c r="E923" s="14">
        <v>27513</v>
      </c>
      <c r="F923" s="16" t="s">
        <v>1150</v>
      </c>
      <c r="G923" s="21" t="s">
        <v>298</v>
      </c>
      <c r="H923" s="17" t="s">
        <v>52</v>
      </c>
      <c r="I923" s="56">
        <v>0</v>
      </c>
      <c r="J923" s="56"/>
      <c r="K923" s="56"/>
      <c r="L923" s="56">
        <f>(46*2) +(38*4)</f>
        <v>244</v>
      </c>
      <c r="M923" s="56">
        <f t="shared" si="167"/>
        <v>244</v>
      </c>
      <c r="N923" s="56">
        <f>IF(OR(H923="",H923="sif",H923="PM"),0,VLOOKUP(H923,[5]CU!$C$4:$H$255,6,FALSE))</f>
        <v>1.5</v>
      </c>
      <c r="O923" s="56">
        <f t="shared" si="168"/>
        <v>0</v>
      </c>
      <c r="P923" s="56">
        <f t="shared" si="168"/>
        <v>0</v>
      </c>
      <c r="Q923" s="56">
        <f t="shared" si="168"/>
        <v>0</v>
      </c>
      <c r="R923" s="56">
        <f t="shared" si="168"/>
        <v>366</v>
      </c>
      <c r="S923" s="53">
        <f t="shared" si="171"/>
        <v>366</v>
      </c>
      <c r="T923" s="35" t="s">
        <v>56</v>
      </c>
      <c r="U923" s="18" t="s">
        <v>330</v>
      </c>
      <c r="V923" s="19" t="str">
        <f>IF(OR($H923="",$H923="sif",$H923="PM"),"",VLOOKUP($H923,[5]CU!$C$5:$J$255,8,FALSE))</f>
        <v>3. Formation</v>
      </c>
      <c r="W923" s="18" t="s">
        <v>192</v>
      </c>
      <c r="X923" s="18" t="s">
        <v>192</v>
      </c>
      <c r="Y923" s="19" t="s">
        <v>32</v>
      </c>
      <c r="Z923" s="19" t="str">
        <f>A923 &amp; "-" &amp; VLOOKUP(A923,[4]PROGRAMMES!$E$1:$F$7,2,FALSE)</f>
        <v>2-Qualité des enseignements et des apprentissages</v>
      </c>
      <c r="AA923" s="19" t="str">
        <f>B923 &amp; "-" &amp; VLOOKUP(B923,[4]SOUSPROGRAMMES!$E$1:$F$44,2,FALSE)</f>
        <v>27- Introduction de l'enseignement bilingue Français-langues nationales au primaire</v>
      </c>
      <c r="AB923" s="19" t="str">
        <f>C923 &amp; "-" &amp; VLOOKUP(C923,[4]RESULTATS!$E$1:$F$176,2,FALSE)</f>
        <v>275- L’utilisation des langues nationales dans l’enseignement et l’apprentissage est effective</v>
      </c>
      <c r="AC923" s="20" t="str">
        <f>D923 &amp; "-" &amp; VLOOKUP(D923,[4]STRATEGIES!$E$1:$F$504,2,FALSE)</f>
        <v>2751-Les langues nationales sont généralisées progressivement dans les écoles</v>
      </c>
      <c r="AD923" s="21" t="str">
        <f t="shared" si="170"/>
        <v>27513-Formation des enseignants et encadreurs</v>
      </c>
    </row>
    <row r="924" spans="1:30" s="22" customFormat="1" ht="15" customHeight="1" x14ac:dyDescent="0.8">
      <c r="A924" s="14">
        <v>3</v>
      </c>
      <c r="B924" s="15">
        <v>3</v>
      </c>
      <c r="C924" s="15">
        <v>3</v>
      </c>
      <c r="D924" s="15">
        <v>3</v>
      </c>
      <c r="E924" s="14">
        <v>3</v>
      </c>
      <c r="F924" s="16" t="s">
        <v>1151</v>
      </c>
      <c r="G924" s="17"/>
      <c r="H924" s="17"/>
      <c r="I924" s="56">
        <v>0</v>
      </c>
      <c r="J924" s="56"/>
      <c r="K924" s="56"/>
      <c r="L924" s="56"/>
      <c r="M924" s="56"/>
      <c r="N924" s="56"/>
      <c r="O924" s="56"/>
      <c r="P924" s="56"/>
      <c r="Q924" s="56"/>
      <c r="R924" s="56"/>
      <c r="S924" s="53"/>
      <c r="T924" s="33"/>
      <c r="U924" s="18"/>
      <c r="V924" s="19"/>
      <c r="W924" s="18"/>
      <c r="X924" s="18"/>
      <c r="Y924" s="18" t="s">
        <v>677</v>
      </c>
      <c r="Z924" s="19" t="str">
        <f>A924 &amp; "-" &amp; VLOOKUP(A924,[4]PROGRAMMES!$E$1:$F$7,2,FALSE)</f>
        <v>3-Expansion et réforme de l’ETFP</v>
      </c>
      <c r="AA924" s="19" t="str">
        <f>B924 &amp; "-" &amp; VLOOKUP(B924,[4]SOUSPROGRAMMES!$E$1:$F$44,2,FALSE)</f>
        <v>3-Expansion et réforme de l’ETFP</v>
      </c>
      <c r="AB924" s="19" t="str">
        <f>C924 &amp; "-" &amp; VLOOKUP(C924,[4]RESULTATS!$E$1:$F$176,2,FALSE)</f>
        <v>3-Expansion et réforme de l’ETFP</v>
      </c>
      <c r="AC924" s="20" t="str">
        <f>D924 &amp; "-" &amp; VLOOKUP(D924,[4]STRATEGIES!$E$1:$F$504,2,FALSE)</f>
        <v>3-Expansion et réforme de l’ETFP</v>
      </c>
      <c r="AD924" s="21" t="str">
        <f t="shared" si="170"/>
        <v>3-Expansion et réforme de l’ETFP</v>
      </c>
    </row>
    <row r="925" spans="1:30" s="22" customFormat="1" ht="30" customHeight="1" x14ac:dyDescent="0.8">
      <c r="A925" s="14">
        <v>3</v>
      </c>
      <c r="B925" s="15">
        <v>31</v>
      </c>
      <c r="C925" s="15">
        <v>31</v>
      </c>
      <c r="D925" s="15">
        <v>31</v>
      </c>
      <c r="E925" s="14">
        <v>31</v>
      </c>
      <c r="F925" s="16" t="s">
        <v>1152</v>
      </c>
      <c r="G925" s="17"/>
      <c r="H925" s="17"/>
      <c r="I925" s="56">
        <v>0</v>
      </c>
      <c r="J925" s="56"/>
      <c r="K925" s="56"/>
      <c r="L925" s="56"/>
      <c r="M925" s="56"/>
      <c r="N925" s="56"/>
      <c r="O925" s="56"/>
      <c r="P925" s="56"/>
      <c r="Q925" s="56"/>
      <c r="R925" s="56"/>
      <c r="S925" s="53"/>
      <c r="T925" s="33"/>
      <c r="U925" s="18"/>
      <c r="V925" s="19"/>
      <c r="W925" s="18"/>
      <c r="X925" s="18"/>
      <c r="Y925" s="18" t="s">
        <v>677</v>
      </c>
      <c r="Z925" s="19" t="str">
        <f>A925 &amp; "-" &amp; VLOOKUP(A925,[4]PROGRAMMES!$E$1:$F$7,2,FALSE)</f>
        <v>3-Expansion et réforme de l’ETFP</v>
      </c>
      <c r="AA925" s="19" t="str">
        <f>B925 &amp; "-" &amp; VLOOKUP(B925,[4]SOUSPROGRAMMES!$E$1:$F$44,2,FALSE)</f>
        <v>31- Identification des besoins en qualification de l’économie</v>
      </c>
      <c r="AB925" s="19" t="str">
        <f>C925 &amp; "-" &amp; VLOOKUP(C925,[4]RESULTATS!$E$1:$F$176,2,FALSE)</f>
        <v>31- Identification des besoins en qualification de l’économie</v>
      </c>
      <c r="AC925" s="20" t="str">
        <f>D925 &amp; "-" &amp; VLOOKUP(D925,[4]STRATEGIES!$E$1:$F$504,2,FALSE)</f>
        <v>31- Identification des besoins en qualification de l’économie</v>
      </c>
      <c r="AD925" s="21" t="str">
        <f t="shared" si="170"/>
        <v>31-Identification des besoins en qualification de l’économie</v>
      </c>
    </row>
    <row r="926" spans="1:30" s="22" customFormat="1" ht="30" customHeight="1" x14ac:dyDescent="0.8">
      <c r="A926" s="14">
        <v>3</v>
      </c>
      <c r="B926" s="15">
        <v>31</v>
      </c>
      <c r="C926" s="15">
        <v>311</v>
      </c>
      <c r="D926" s="15">
        <v>311</v>
      </c>
      <c r="E926" s="14">
        <v>311</v>
      </c>
      <c r="F926" s="16" t="s">
        <v>1153</v>
      </c>
      <c r="G926" s="17"/>
      <c r="H926" s="17"/>
      <c r="I926" s="56">
        <v>0</v>
      </c>
      <c r="J926" s="56"/>
      <c r="K926" s="56"/>
      <c r="L926" s="56"/>
      <c r="M926" s="56"/>
      <c r="N926" s="56"/>
      <c r="O926" s="56"/>
      <c r="P926" s="56"/>
      <c r="Q926" s="56"/>
      <c r="R926" s="56"/>
      <c r="S926" s="53"/>
      <c r="T926" s="33"/>
      <c r="U926" s="18"/>
      <c r="V926" s="19"/>
      <c r="W926" s="18"/>
      <c r="X926" s="18"/>
      <c r="Y926" s="18" t="s">
        <v>677</v>
      </c>
      <c r="Z926" s="19" t="str">
        <f>A926 &amp; "-" &amp; VLOOKUP(A926,[4]PROGRAMMES!$E$1:$F$7,2,FALSE)</f>
        <v>3-Expansion et réforme de l’ETFP</v>
      </c>
      <c r="AA926" s="19" t="str">
        <f>B926 &amp; "-" &amp; VLOOKUP(B926,[4]SOUSPROGRAMMES!$E$1:$F$44,2,FALSE)</f>
        <v>31- Identification des besoins en qualification de l’économie</v>
      </c>
      <c r="AB926" s="19" t="str">
        <f>C926 &amp; "-" &amp; VLOOKUP(C926,[4]RESULTATS!$E$1:$F$176,2,FALSE)</f>
        <v>311- Les besoins en compétence des secteurs prioritaires sont identifiés</v>
      </c>
      <c r="AC926" s="20" t="str">
        <f>D926 &amp; "-" &amp; VLOOKUP(D926,[4]STRATEGIES!$E$1:$F$504,2,FALSE)</f>
        <v>311- Les besoins en compétence des secteurs prioritaires sont identifiés</v>
      </c>
      <c r="AD926" s="21" t="str">
        <f t="shared" si="170"/>
        <v>311-Les besoins en compétence des secteurs prioritaires sont identifiés</v>
      </c>
    </row>
    <row r="927" spans="1:30" s="22" customFormat="1" ht="30" customHeight="1" x14ac:dyDescent="0.8">
      <c r="A927" s="14">
        <v>3</v>
      </c>
      <c r="B927" s="15">
        <v>31</v>
      </c>
      <c r="C927" s="15">
        <v>311</v>
      </c>
      <c r="D927" s="15">
        <v>3111</v>
      </c>
      <c r="E927" s="14">
        <v>3111</v>
      </c>
      <c r="F927" s="16" t="s">
        <v>1154</v>
      </c>
      <c r="G927" s="17"/>
      <c r="H927" s="17"/>
      <c r="I927" s="56">
        <v>0</v>
      </c>
      <c r="J927" s="56"/>
      <c r="K927" s="56"/>
      <c r="L927" s="56"/>
      <c r="M927" s="56"/>
      <c r="N927" s="56"/>
      <c r="O927" s="56"/>
      <c r="P927" s="56"/>
      <c r="Q927" s="56"/>
      <c r="R927" s="56"/>
      <c r="S927" s="53"/>
      <c r="T927" s="33"/>
      <c r="U927" s="18"/>
      <c r="V927" s="19"/>
      <c r="W927" s="18"/>
      <c r="X927" s="18"/>
      <c r="Y927" s="18" t="s">
        <v>677</v>
      </c>
      <c r="Z927" s="19" t="str">
        <f>A927 &amp; "-" &amp; VLOOKUP(A927,[4]PROGRAMMES!$E$1:$F$7,2,FALSE)</f>
        <v>3-Expansion et réforme de l’ETFP</v>
      </c>
      <c r="AA927" s="19" t="str">
        <f>B927 &amp; "-" &amp; VLOOKUP(B927,[4]SOUSPROGRAMMES!$E$1:$F$44,2,FALSE)</f>
        <v>31- Identification des besoins en qualification de l’économie</v>
      </c>
      <c r="AB927" s="19" t="str">
        <f>C927 &amp; "-" &amp; VLOOKUP(C927,[4]RESULTATS!$E$1:$F$176,2,FALSE)</f>
        <v>311- Les besoins en compétence des secteurs prioritaires sont identifiés</v>
      </c>
      <c r="AC927" s="20" t="str">
        <f>D927 &amp; "-" &amp; VLOOKUP(D927,[4]STRATEGIES!$E$1:$F$504,2,FALSE)</f>
        <v>3111-Réalisation d’études d'identification impliquant tous les acteurs à tous les niveaux</v>
      </c>
      <c r="AD927" s="21" t="str">
        <f t="shared" si="170"/>
        <v>3111-Réalisation d’études d'identification impliquant tous les acteurs à tous les niveaux</v>
      </c>
    </row>
    <row r="928" spans="1:30" ht="60" hidden="1" customHeight="1" x14ac:dyDescent="0.8">
      <c r="A928" s="25">
        <v>3</v>
      </c>
      <c r="B928" s="16">
        <v>31</v>
      </c>
      <c r="C928" s="16">
        <v>311</v>
      </c>
      <c r="D928" s="16">
        <v>3111</v>
      </c>
      <c r="E928" s="25">
        <v>31111</v>
      </c>
      <c r="F928" s="16" t="s">
        <v>1155</v>
      </c>
      <c r="G928" s="21" t="s">
        <v>167</v>
      </c>
      <c r="H928" s="21" t="s">
        <v>646</v>
      </c>
      <c r="I928" s="56">
        <v>0</v>
      </c>
      <c r="J928" s="57">
        <v>0</v>
      </c>
      <c r="K928" s="57"/>
      <c r="L928" s="57"/>
      <c r="M928" s="57">
        <f t="shared" si="167"/>
        <v>0</v>
      </c>
      <c r="N928" s="57">
        <f>IF(OR(H928="",H928="sif",H928="PM"),0,VLOOKUP(H928,[5]CU!$C$4:$H$255,6,FALSE))</f>
        <v>10.404797</v>
      </c>
      <c r="O928" s="57">
        <f t="shared" si="168"/>
        <v>0</v>
      </c>
      <c r="P928" s="57">
        <f t="shared" si="168"/>
        <v>0</v>
      </c>
      <c r="Q928" s="57">
        <f t="shared" si="168"/>
        <v>0</v>
      </c>
      <c r="R928" s="57">
        <f t="shared" si="168"/>
        <v>0</v>
      </c>
      <c r="S928" s="60">
        <f t="shared" si="171"/>
        <v>0</v>
      </c>
      <c r="T928" s="38" t="s">
        <v>56</v>
      </c>
      <c r="U928" s="19" t="s">
        <v>1156</v>
      </c>
      <c r="V928" s="19" t="str">
        <f>IF(OR($H928="",$H928="sif",$H928="PM"),"",VLOOKUP($H928,[5]CU!$C$5:$J$255,8,FALSE))</f>
        <v>3. Dépenses de fonctionnement</v>
      </c>
      <c r="W928" s="19" t="s">
        <v>96</v>
      </c>
      <c r="X928" s="19" t="s">
        <v>1157</v>
      </c>
      <c r="Y928" s="19" t="s">
        <v>677</v>
      </c>
      <c r="Z928" s="19" t="str">
        <f>A928 &amp; "-" &amp; VLOOKUP(A928,[4]PROGRAMMES!$E$1:$F$7,2,FALSE)</f>
        <v>3-Expansion et réforme de l’ETFP</v>
      </c>
      <c r="AA928" s="19" t="str">
        <f>B928 &amp; "-" &amp; VLOOKUP(B928,[4]SOUSPROGRAMMES!$E$1:$F$44,2,FALSE)</f>
        <v>31- Identification des besoins en qualification de l’économie</v>
      </c>
      <c r="AB928" s="19" t="str">
        <f>C928 &amp; "-" &amp; VLOOKUP(C928,[4]RESULTATS!$E$1:$F$176,2,FALSE)</f>
        <v>311- Les besoins en compétence des secteurs prioritaires sont identifiés</v>
      </c>
      <c r="AC928" s="20" t="str">
        <f>D928 &amp; "-" &amp; VLOOKUP(D928,[4]STRATEGIES!$E$1:$F$504,2,FALSE)</f>
        <v>3111-Réalisation d’études d'identification impliquant tous les acteurs à tous les niveaux</v>
      </c>
      <c r="AD928" s="21" t="str">
        <f t="shared" si="170"/>
        <v>31111-Appui à l'identification des études à mener et élaboration des TDR (y compris les données pouvant être régulièrement collectées)</v>
      </c>
    </row>
    <row r="929" spans="1:30" ht="60" hidden="1" customHeight="1" x14ac:dyDescent="0.8">
      <c r="A929" s="25">
        <v>3</v>
      </c>
      <c r="B929" s="16">
        <v>31</v>
      </c>
      <c r="C929" s="16">
        <v>311</v>
      </c>
      <c r="D929" s="16">
        <v>3111</v>
      </c>
      <c r="E929" s="25">
        <v>31112</v>
      </c>
      <c r="F929" s="16" t="s">
        <v>1158</v>
      </c>
      <c r="G929" s="21" t="s">
        <v>167</v>
      </c>
      <c r="H929" s="21" t="s">
        <v>662</v>
      </c>
      <c r="I929" s="56">
        <v>0</v>
      </c>
      <c r="J929" s="57">
        <v>0</v>
      </c>
      <c r="K929" s="57">
        <v>6</v>
      </c>
      <c r="L929" s="57">
        <v>0</v>
      </c>
      <c r="M929" s="57">
        <f t="shared" si="167"/>
        <v>6</v>
      </c>
      <c r="N929" s="57">
        <f>IF(OR(H929="",H929="sif",H929="PM"),0,VLOOKUP(H929,[5]CU!$C$4:$H$255,6,FALSE))</f>
        <v>219.54797350000001</v>
      </c>
      <c r="O929" s="57">
        <f t="shared" si="168"/>
        <v>0</v>
      </c>
      <c r="P929" s="57">
        <f t="shared" si="168"/>
        <v>0</v>
      </c>
      <c r="Q929" s="57">
        <f t="shared" si="168"/>
        <v>1317.2878410000001</v>
      </c>
      <c r="R929" s="57">
        <f t="shared" si="168"/>
        <v>0</v>
      </c>
      <c r="S929" s="60">
        <f t="shared" si="171"/>
        <v>1317.2878410000001</v>
      </c>
      <c r="T929" s="38" t="s">
        <v>169</v>
      </c>
      <c r="U929" s="19" t="s">
        <v>1156</v>
      </c>
      <c r="V929" s="19" t="str">
        <f>IF(OR($H929="",$H929="sif",$H929="PM"),"",VLOOKUP($H929,[5]CU!$C$5:$J$255,8,FALSE))</f>
        <v>3. Dépenses de fonctionnement</v>
      </c>
      <c r="W929" s="19" t="s">
        <v>96</v>
      </c>
      <c r="X929" s="19" t="s">
        <v>1157</v>
      </c>
      <c r="Y929" s="19" t="s">
        <v>677</v>
      </c>
      <c r="Z929" s="19" t="str">
        <f>A929 &amp; "-" &amp; VLOOKUP(A929,[4]PROGRAMMES!$E$1:$F$7,2,FALSE)</f>
        <v>3-Expansion et réforme de l’ETFP</v>
      </c>
      <c r="AA929" s="19" t="str">
        <f>B929 &amp; "-" &amp; VLOOKUP(B929,[4]SOUSPROGRAMMES!$E$1:$F$44,2,FALSE)</f>
        <v>31- Identification des besoins en qualification de l’économie</v>
      </c>
      <c r="AB929" s="19" t="str">
        <f>C929 &amp; "-" &amp; VLOOKUP(C929,[4]RESULTATS!$E$1:$F$176,2,FALSE)</f>
        <v>311- Les besoins en compétence des secteurs prioritaires sont identifiés</v>
      </c>
      <c r="AC929" s="20" t="str">
        <f>D929 &amp; "-" &amp; VLOOKUP(D929,[4]STRATEGIES!$E$1:$F$504,2,FALSE)</f>
        <v>3111-Réalisation d’études d'identification impliquant tous les acteurs à tous les niveaux</v>
      </c>
      <c r="AD929" s="21" t="str">
        <f t="shared" si="170"/>
        <v>31112-Etudes sur les besoins des secteurs prioritaires</v>
      </c>
    </row>
    <row r="930" spans="1:30" ht="60" hidden="1" customHeight="1" x14ac:dyDescent="0.8">
      <c r="A930" s="25">
        <v>3</v>
      </c>
      <c r="B930" s="16">
        <v>31</v>
      </c>
      <c r="C930" s="16">
        <v>311</v>
      </c>
      <c r="D930" s="16">
        <v>3111</v>
      </c>
      <c r="E930" s="25">
        <v>31113</v>
      </c>
      <c r="F930" s="16" t="s">
        <v>1159</v>
      </c>
      <c r="G930" s="21" t="s">
        <v>1160</v>
      </c>
      <c r="H930" s="21" t="s">
        <v>59</v>
      </c>
      <c r="I930" s="56">
        <v>0</v>
      </c>
      <c r="J930" s="57">
        <f>1*4*2</f>
        <v>8</v>
      </c>
      <c r="K930" s="57">
        <v>1</v>
      </c>
      <c r="L930" s="57"/>
      <c r="M930" s="57">
        <f t="shared" si="167"/>
        <v>9</v>
      </c>
      <c r="N930" s="57">
        <f>IF(OR(H930="",H930="sif",H930="PM"),0,VLOOKUP(H930,[5]CU!$C$4:$H$255,6,FALSE))</f>
        <v>0.8177777777777776</v>
      </c>
      <c r="O930" s="57">
        <f t="shared" si="168"/>
        <v>0</v>
      </c>
      <c r="P930" s="57">
        <f t="shared" si="168"/>
        <v>6.5422222222222208</v>
      </c>
      <c r="Q930" s="57">
        <f t="shared" si="168"/>
        <v>0.8177777777777776</v>
      </c>
      <c r="R930" s="57">
        <f t="shared" si="168"/>
        <v>0</v>
      </c>
      <c r="S930" s="60">
        <f t="shared" si="171"/>
        <v>7.3599999999999985</v>
      </c>
      <c r="T930" s="38" t="s">
        <v>169</v>
      </c>
      <c r="U930" s="19" t="s">
        <v>1156</v>
      </c>
      <c r="V930" s="19" t="str">
        <f>IF(OR($H930="",$H930="sif",$H930="PM"),"",VLOOKUP($H930,[5]CU!$C$5:$J$255,8,FALSE))</f>
        <v>3. Dépenses de fonctionnement</v>
      </c>
      <c r="W930" s="19" t="s">
        <v>1161</v>
      </c>
      <c r="X930" s="19" t="s">
        <v>1162</v>
      </c>
      <c r="Y930" s="19" t="s">
        <v>677</v>
      </c>
      <c r="Z930" s="19" t="str">
        <f>A930 &amp; "-" &amp; VLOOKUP(A930,[4]PROGRAMMES!$E$1:$F$7,2,FALSE)</f>
        <v>3-Expansion et réforme de l’ETFP</v>
      </c>
      <c r="AA930" s="19" t="str">
        <f>B930 &amp; "-" &amp; VLOOKUP(B930,[4]SOUSPROGRAMMES!$E$1:$F$44,2,FALSE)</f>
        <v>31- Identification des besoins en qualification de l’économie</v>
      </c>
      <c r="AB930" s="19" t="str">
        <f>C930 &amp; "-" &amp; VLOOKUP(C930,[4]RESULTATS!$E$1:$F$176,2,FALSE)</f>
        <v>311- Les besoins en compétence des secteurs prioritaires sont identifiés</v>
      </c>
      <c r="AC930" s="20" t="str">
        <f>D930 &amp; "-" &amp; VLOOKUP(D930,[4]STRATEGIES!$E$1:$F$504,2,FALSE)</f>
        <v>3111-Réalisation d’études d'identification impliquant tous les acteurs à tous les niveaux</v>
      </c>
      <c r="AD930" s="21" t="str">
        <f t="shared" si="170"/>
        <v>31113-Collecte de données pour l'étude sur les besoins en emploi des secteurs prioritaires (regroupement par région administrative)</v>
      </c>
    </row>
    <row r="931" spans="1:30" s="22" customFormat="1" ht="30" customHeight="1" x14ac:dyDescent="0.8">
      <c r="A931" s="14">
        <v>3</v>
      </c>
      <c r="B931" s="15">
        <v>31</v>
      </c>
      <c r="C931" s="15">
        <v>311</v>
      </c>
      <c r="D931" s="15">
        <v>3112</v>
      </c>
      <c r="E931" s="14">
        <v>3112</v>
      </c>
      <c r="F931" s="16" t="s">
        <v>1163</v>
      </c>
      <c r="G931" s="17"/>
      <c r="H931" s="17"/>
      <c r="I931" s="56">
        <v>0</v>
      </c>
      <c r="J931" s="56"/>
      <c r="K931" s="56"/>
      <c r="L931" s="56"/>
      <c r="M931" s="56"/>
      <c r="N931" s="56"/>
      <c r="O931" s="56"/>
      <c r="P931" s="56"/>
      <c r="Q931" s="56"/>
      <c r="R931" s="56"/>
      <c r="S931" s="53"/>
      <c r="T931" s="33"/>
      <c r="U931" s="18"/>
      <c r="V931" s="19"/>
      <c r="W931" s="18"/>
      <c r="X931" s="18"/>
      <c r="Y931" s="18" t="s">
        <v>677</v>
      </c>
      <c r="Z931" s="19" t="str">
        <f>A931 &amp; "-" &amp; VLOOKUP(A931,[4]PROGRAMMES!$E$1:$F$7,2,FALSE)</f>
        <v>3-Expansion et réforme de l’ETFP</v>
      </c>
      <c r="AA931" s="19" t="str">
        <f>B931 &amp; "-" &amp; VLOOKUP(B931,[4]SOUSPROGRAMMES!$E$1:$F$44,2,FALSE)</f>
        <v>31- Identification des besoins en qualification de l’économie</v>
      </c>
      <c r="AB931" s="19" t="str">
        <f>C931 &amp; "-" &amp; VLOOKUP(C931,[4]RESULTATS!$E$1:$F$176,2,FALSE)</f>
        <v>311- Les besoins en compétence des secteurs prioritaires sont identifiés</v>
      </c>
      <c r="AC931" s="20" t="str">
        <f>D931 &amp; "-" &amp; VLOOKUP(D931,[4]STRATEGIES!$E$1:$F$504,2,FALSE)</f>
        <v>3112-Organisation de concertations avec tous les acteurs, en particulier avec les professionnels à tous les niveaux</v>
      </c>
      <c r="AD931" s="21" t="str">
        <f t="shared" si="170"/>
        <v>3112-Organisation de concertations avec tous les acteurs, en particulier avec les professionnels à tous les niveaux</v>
      </c>
    </row>
    <row r="932" spans="1:30" s="22" customFormat="1" ht="30" customHeight="1" x14ac:dyDescent="0.8">
      <c r="A932" s="14">
        <v>3</v>
      </c>
      <c r="B932" s="15">
        <v>31</v>
      </c>
      <c r="C932" s="15">
        <v>311</v>
      </c>
      <c r="D932" s="15">
        <v>3112</v>
      </c>
      <c r="E932" s="14">
        <v>31121</v>
      </c>
      <c r="F932" s="16" t="s">
        <v>1164</v>
      </c>
      <c r="G932" s="21" t="s">
        <v>37</v>
      </c>
      <c r="H932" s="17" t="s">
        <v>38</v>
      </c>
      <c r="I932" s="56">
        <v>0</v>
      </c>
      <c r="J932" s="56"/>
      <c r="K932" s="56">
        <f>20*3*9</f>
        <v>540</v>
      </c>
      <c r="L932" s="56"/>
      <c r="M932" s="56">
        <f t="shared" si="167"/>
        <v>540</v>
      </c>
      <c r="N932" s="56">
        <f>IF(OR(H932="",H932="sif",H932="PM"),0,VLOOKUP(H932,[5]CU!$C$4:$H$255,6,FALSE))</f>
        <v>0.3133333333333333</v>
      </c>
      <c r="O932" s="56">
        <f t="shared" si="168"/>
        <v>0</v>
      </c>
      <c r="P932" s="56">
        <f t="shared" si="168"/>
        <v>0</v>
      </c>
      <c r="Q932" s="56">
        <f t="shared" si="168"/>
        <v>169.2</v>
      </c>
      <c r="R932" s="56">
        <f t="shared" si="168"/>
        <v>0</v>
      </c>
      <c r="S932" s="53">
        <f t="shared" si="171"/>
        <v>169.2</v>
      </c>
      <c r="T932" s="35" t="s">
        <v>118</v>
      </c>
      <c r="U932" s="18" t="s">
        <v>1156</v>
      </c>
      <c r="V932" s="19" t="str">
        <f>IF(OR($H932="",$H932="sif",$H932="PM"),"",VLOOKUP($H932,[5]CU!$C$5:$J$255,8,FALSE))</f>
        <v>3. Formation</v>
      </c>
      <c r="W932" s="18" t="s">
        <v>1165</v>
      </c>
      <c r="X932" s="18" t="s">
        <v>1166</v>
      </c>
      <c r="Y932" s="18" t="s">
        <v>677</v>
      </c>
      <c r="Z932" s="19" t="str">
        <f>A932 &amp; "-" &amp; VLOOKUP(A932,[4]PROGRAMMES!$E$1:$F$7,2,FALSE)</f>
        <v>3-Expansion et réforme de l’ETFP</v>
      </c>
      <c r="AA932" s="19" t="str">
        <f>B932 &amp; "-" &amp; VLOOKUP(B932,[4]SOUSPROGRAMMES!$E$1:$F$44,2,FALSE)</f>
        <v>31- Identification des besoins en qualification de l’économie</v>
      </c>
      <c r="AB932" s="19" t="str">
        <f>C932 &amp; "-" &amp; VLOOKUP(C932,[4]RESULTATS!$E$1:$F$176,2,FALSE)</f>
        <v>311- Les besoins en compétence des secteurs prioritaires sont identifiés</v>
      </c>
      <c r="AC932" s="20" t="str">
        <f>D932 &amp; "-" &amp; VLOOKUP(D932,[4]STRATEGIES!$E$1:$F$504,2,FALSE)</f>
        <v>3112-Organisation de concertations avec tous les acteurs, en particulier avec les professionnels à tous les niveaux</v>
      </c>
      <c r="AD932" s="21" t="str">
        <f t="shared" si="170"/>
        <v>31121-Organisation de rencontres de concertation et de partage des résultats des études</v>
      </c>
    </row>
    <row r="933" spans="1:30" s="22" customFormat="1" ht="30" customHeight="1" x14ac:dyDescent="0.8">
      <c r="A933" s="14">
        <v>3</v>
      </c>
      <c r="B933" s="15">
        <v>31</v>
      </c>
      <c r="C933" s="15">
        <v>311</v>
      </c>
      <c r="D933" s="15">
        <v>3112</v>
      </c>
      <c r="E933" s="14">
        <v>31122</v>
      </c>
      <c r="F933" s="16" t="s">
        <v>1167</v>
      </c>
      <c r="G933" s="21" t="s">
        <v>167</v>
      </c>
      <c r="H933" s="17" t="s">
        <v>646</v>
      </c>
      <c r="I933" s="56">
        <v>0</v>
      </c>
      <c r="J933" s="56"/>
      <c r="K933" s="56">
        <f>1*45</f>
        <v>45</v>
      </c>
      <c r="L933" s="56"/>
      <c r="M933" s="56">
        <f t="shared" si="167"/>
        <v>45</v>
      </c>
      <c r="N933" s="56">
        <f>IF(OR(H933="",H933="sif",H933="PM"),0,VLOOKUP(H933,[5]CU!$C$4:$H$255,6,FALSE))</f>
        <v>10.404797</v>
      </c>
      <c r="O933" s="56">
        <f t="shared" si="168"/>
        <v>0</v>
      </c>
      <c r="P933" s="56">
        <f t="shared" si="168"/>
        <v>0</v>
      </c>
      <c r="Q933" s="56">
        <f t="shared" si="168"/>
        <v>468.21586500000001</v>
      </c>
      <c r="R933" s="56">
        <f t="shared" si="168"/>
        <v>0</v>
      </c>
      <c r="S933" s="53">
        <f t="shared" si="171"/>
        <v>468.21586500000001</v>
      </c>
      <c r="T933" s="35" t="s">
        <v>118</v>
      </c>
      <c r="U933" s="18" t="s">
        <v>1156</v>
      </c>
      <c r="V933" s="19" t="str">
        <f>IF(OR($H933="",$H933="sif",$H933="PM"),"",VLOOKUP($H933,[5]CU!$C$5:$J$255,8,FALSE))</f>
        <v>3. Dépenses de fonctionnement</v>
      </c>
      <c r="W933" s="18" t="s">
        <v>1165</v>
      </c>
      <c r="X933" s="18" t="s">
        <v>1168</v>
      </c>
      <c r="Y933" s="18" t="s">
        <v>677</v>
      </c>
      <c r="Z933" s="19" t="str">
        <f>A933 &amp; "-" &amp; VLOOKUP(A933,[4]PROGRAMMES!$E$1:$F$7,2,FALSE)</f>
        <v>3-Expansion et réforme de l’ETFP</v>
      </c>
      <c r="AA933" s="19" t="str">
        <f>B933 &amp; "-" &amp; VLOOKUP(B933,[4]SOUSPROGRAMMES!$E$1:$F$44,2,FALSE)</f>
        <v>31- Identification des besoins en qualification de l’économie</v>
      </c>
      <c r="AB933" s="19" t="str">
        <f>C933 &amp; "-" &amp; VLOOKUP(C933,[4]RESULTATS!$E$1:$F$176,2,FALSE)</f>
        <v>311- Les besoins en compétence des secteurs prioritaires sont identifiés</v>
      </c>
      <c r="AC933" s="20" t="str">
        <f>D933 &amp; "-" &amp; VLOOKUP(D933,[4]STRATEGIES!$E$1:$F$504,2,FALSE)</f>
        <v>3112-Organisation de concertations avec tous les acteurs, en particulier avec les professionnels à tous les niveaux</v>
      </c>
      <c r="AD933" s="21" t="str">
        <f t="shared" si="170"/>
        <v>31122-Identification des filières prioritaires à développer</v>
      </c>
    </row>
    <row r="934" spans="1:30" s="22" customFormat="1" ht="30" hidden="1" customHeight="1" x14ac:dyDescent="0.8">
      <c r="A934" s="14">
        <v>3</v>
      </c>
      <c r="B934" s="15">
        <v>31</v>
      </c>
      <c r="C934" s="15">
        <v>311</v>
      </c>
      <c r="D934" s="15">
        <v>3112</v>
      </c>
      <c r="E934" s="14">
        <v>31123</v>
      </c>
      <c r="F934" s="16" t="s">
        <v>1169</v>
      </c>
      <c r="G934" s="21" t="s">
        <v>37</v>
      </c>
      <c r="H934" s="17" t="s">
        <v>38</v>
      </c>
      <c r="I934" s="56">
        <v>0</v>
      </c>
      <c r="J934" s="56"/>
      <c r="K934" s="56">
        <f>20*3</f>
        <v>60</v>
      </c>
      <c r="L934" s="56"/>
      <c r="M934" s="56">
        <f t="shared" si="167"/>
        <v>60</v>
      </c>
      <c r="N934" s="56">
        <f>IF(OR(H934="",H934="sif",H934="PM"),0,VLOOKUP(H934,[5]CU!$C$4:$H$255,6,FALSE))</f>
        <v>0.3133333333333333</v>
      </c>
      <c r="O934" s="56">
        <f t="shared" si="168"/>
        <v>0</v>
      </c>
      <c r="P934" s="56">
        <f t="shared" si="168"/>
        <v>0</v>
      </c>
      <c r="Q934" s="56">
        <f t="shared" si="168"/>
        <v>18.799999999999997</v>
      </c>
      <c r="R934" s="56">
        <f t="shared" si="168"/>
        <v>0</v>
      </c>
      <c r="S934" s="53">
        <f t="shared" si="171"/>
        <v>18.799999999999997</v>
      </c>
      <c r="T934" s="35" t="s">
        <v>56</v>
      </c>
      <c r="U934" s="18" t="s">
        <v>1156</v>
      </c>
      <c r="V934" s="19" t="str">
        <f>IF(OR($H934="",$H934="sif",$H934="PM"),"",VLOOKUP($H934,[5]CU!$C$5:$J$255,8,FALSE))</f>
        <v>3. Formation</v>
      </c>
      <c r="W934" s="18" t="s">
        <v>1165</v>
      </c>
      <c r="X934" s="18" t="s">
        <v>1170</v>
      </c>
      <c r="Y934" s="18" t="s">
        <v>677</v>
      </c>
      <c r="Z934" s="19" t="str">
        <f>A934 &amp; "-" &amp; VLOOKUP(A934,[4]PROGRAMMES!$E$1:$F$7,2,FALSE)</f>
        <v>3-Expansion et réforme de l’ETFP</v>
      </c>
      <c r="AA934" s="19" t="str">
        <f>B934 &amp; "-" &amp; VLOOKUP(B934,[4]SOUSPROGRAMMES!$E$1:$F$44,2,FALSE)</f>
        <v>31- Identification des besoins en qualification de l’économie</v>
      </c>
      <c r="AB934" s="19" t="str">
        <f>C934 &amp; "-" &amp; VLOOKUP(C934,[4]RESULTATS!$E$1:$F$176,2,FALSE)</f>
        <v>311- Les besoins en compétence des secteurs prioritaires sont identifiés</v>
      </c>
      <c r="AC934" s="20" t="str">
        <f>D934 &amp; "-" &amp; VLOOKUP(D934,[4]STRATEGIES!$E$1:$F$504,2,FALSE)</f>
        <v>3112-Organisation de concertations avec tous les acteurs, en particulier avec les professionnels à tous les niveaux</v>
      </c>
      <c r="AD934" s="21" t="str">
        <f t="shared" si="170"/>
        <v>31123-Validation du choix des filières</v>
      </c>
    </row>
    <row r="935" spans="1:30" s="22" customFormat="1" ht="60" customHeight="1" x14ac:dyDescent="0.8">
      <c r="A935" s="14">
        <v>3</v>
      </c>
      <c r="B935" s="15">
        <v>31</v>
      </c>
      <c r="C935" s="15">
        <v>312</v>
      </c>
      <c r="D935" s="15">
        <v>312</v>
      </c>
      <c r="E935" s="14">
        <v>312</v>
      </c>
      <c r="F935" s="16" t="s">
        <v>1171</v>
      </c>
      <c r="G935" s="17"/>
      <c r="H935" s="17"/>
      <c r="I935" s="56">
        <v>0</v>
      </c>
      <c r="J935" s="56"/>
      <c r="K935" s="56"/>
      <c r="L935" s="56"/>
      <c r="M935" s="56"/>
      <c r="N935" s="56"/>
      <c r="O935" s="56"/>
      <c r="P935" s="56"/>
      <c r="Q935" s="56"/>
      <c r="R935" s="56"/>
      <c r="S935" s="53"/>
      <c r="T935" s="33"/>
      <c r="U935" s="18"/>
      <c r="V935" s="19"/>
      <c r="W935" s="18"/>
      <c r="X935" s="18"/>
      <c r="Y935" s="18" t="s">
        <v>677</v>
      </c>
      <c r="Z935" s="19" t="str">
        <f>A935 &amp; "-" &amp; VLOOKUP(A935,[4]PROGRAMMES!$E$1:$F$7,2,FALSE)</f>
        <v>3-Expansion et réforme de l’ETFP</v>
      </c>
      <c r="AA935" s="19" t="str">
        <f>B935 &amp; "-" &amp; VLOOKUP(B935,[4]SOUSPROGRAMMES!$E$1:$F$44,2,FALSE)</f>
        <v>31- Identification des besoins en qualification de l’économie</v>
      </c>
      <c r="AB935" s="19" t="str">
        <f>C935 &amp; "-" &amp; VLOOKUP(C935,[4]RESULTATS!$E$1:$F$176,2,FALSE)</f>
        <v>312- Un dispositif de veille sur les métiers, d’anticipation et d’identification des besoins du marché du travail est opérationnel</v>
      </c>
      <c r="AC935" s="20" t="str">
        <f>D935 &amp; "-" &amp; VLOOKUP(D935,[4]STRATEGIES!$E$1:$F$504,2,FALSE)</f>
        <v>312- Un dispositif de veille sur les métiers, d’anticipation et d’identification des besoins du marché du travail est opérationnel</v>
      </c>
      <c r="AD935" s="21" t="str">
        <f t="shared" si="170"/>
        <v>312- Un dispositif de veille sur les métiers, d’anticipation et d’identification des besoins du marché du travail est opérationnel</v>
      </c>
    </row>
    <row r="936" spans="1:30" s="22" customFormat="1" ht="60" customHeight="1" x14ac:dyDescent="0.8">
      <c r="A936" s="14">
        <v>3</v>
      </c>
      <c r="B936" s="15">
        <v>31</v>
      </c>
      <c r="C936" s="15">
        <v>312</v>
      </c>
      <c r="D936" s="15">
        <v>3121</v>
      </c>
      <c r="E936" s="14">
        <v>3121</v>
      </c>
      <c r="F936" s="16" t="s">
        <v>1172</v>
      </c>
      <c r="G936" s="17"/>
      <c r="H936" s="17"/>
      <c r="I936" s="56">
        <v>0</v>
      </c>
      <c r="J936" s="56"/>
      <c r="K936" s="56"/>
      <c r="L936" s="56"/>
      <c r="M936" s="56"/>
      <c r="N936" s="56"/>
      <c r="O936" s="56"/>
      <c r="P936" s="56"/>
      <c r="Q936" s="56"/>
      <c r="R936" s="56"/>
      <c r="S936" s="53"/>
      <c r="T936" s="33"/>
      <c r="U936" s="18"/>
      <c r="V936" s="19"/>
      <c r="W936" s="18"/>
      <c r="X936" s="18"/>
      <c r="Y936" s="18" t="s">
        <v>677</v>
      </c>
      <c r="Z936" s="19" t="str">
        <f>A936 &amp; "-" &amp; VLOOKUP(A936,[4]PROGRAMMES!$E$1:$F$7,2,FALSE)</f>
        <v>3-Expansion et réforme de l’ETFP</v>
      </c>
      <c r="AA936" s="19" t="str">
        <f>B936 &amp; "-" &amp; VLOOKUP(B936,[4]SOUSPROGRAMMES!$E$1:$F$44,2,FALSE)</f>
        <v>31- Identification des besoins en qualification de l’économie</v>
      </c>
      <c r="AB936" s="19" t="str">
        <f>C936 &amp; "-" &amp; VLOOKUP(C936,[4]RESULTATS!$E$1:$F$176,2,FALSE)</f>
        <v>312- Un dispositif de veille sur les métiers, d’anticipation et d’identification des besoins du marché du travail est opérationnel</v>
      </c>
      <c r="AC936" s="20" t="str">
        <f>D936 &amp; "-" &amp; VLOOKUP(D936,[4]STRATEGIES!$E$1:$F$504,2,FALSE)</f>
        <v>3121-Définition des missions, du mode de fonctionnement du dispositif</v>
      </c>
      <c r="AD936" s="21" t="str">
        <f t="shared" si="170"/>
        <v>3121-DéFinition des missions, du mode de fonctionnement du dispositif</v>
      </c>
    </row>
    <row r="937" spans="1:30" s="22" customFormat="1" ht="60" customHeight="1" x14ac:dyDescent="0.8">
      <c r="A937" s="14">
        <v>3</v>
      </c>
      <c r="B937" s="15">
        <v>31</v>
      </c>
      <c r="C937" s="15">
        <v>312</v>
      </c>
      <c r="D937" s="15">
        <v>3121</v>
      </c>
      <c r="E937" s="14">
        <v>31211</v>
      </c>
      <c r="F937" s="16" t="s">
        <v>1173</v>
      </c>
      <c r="G937" s="21" t="s">
        <v>37</v>
      </c>
      <c r="H937" s="17" t="s">
        <v>66</v>
      </c>
      <c r="I937" s="56">
        <v>0</v>
      </c>
      <c r="J937" s="56">
        <f>20*3*9</f>
        <v>540</v>
      </c>
      <c r="K937" s="56"/>
      <c r="L937" s="56"/>
      <c r="M937" s="56">
        <f t="shared" si="167"/>
        <v>540</v>
      </c>
      <c r="N937" s="56">
        <f>IF(OR(H937="",H937="sif",H937="PM"),0,VLOOKUP(H937,[5]CU!$C$4:$H$255,6,FALSE))</f>
        <v>0.255</v>
      </c>
      <c r="O937" s="56">
        <f t="shared" si="168"/>
        <v>0</v>
      </c>
      <c r="P937" s="56">
        <f t="shared" si="168"/>
        <v>137.69999999999999</v>
      </c>
      <c r="Q937" s="56">
        <f t="shared" si="168"/>
        <v>0</v>
      </c>
      <c r="R937" s="56">
        <f t="shared" si="168"/>
        <v>0</v>
      </c>
      <c r="S937" s="53">
        <f t="shared" si="171"/>
        <v>137.69999999999999</v>
      </c>
      <c r="T937" s="35" t="s">
        <v>118</v>
      </c>
      <c r="U937" s="18" t="s">
        <v>1156</v>
      </c>
      <c r="V937" s="19" t="str">
        <f>IF(OR($H937="",$H937="sif",$H937="PM"),"",VLOOKUP($H937,[5]CU!$C$5:$J$255,8,FALSE))</f>
        <v>3. Dépenses de fonctionnement</v>
      </c>
      <c r="W937" s="18" t="s">
        <v>1165</v>
      </c>
      <c r="X937" s="18" t="s">
        <v>1174</v>
      </c>
      <c r="Y937" s="18" t="s">
        <v>677</v>
      </c>
      <c r="Z937" s="19" t="str">
        <f>A937 &amp; "-" &amp; VLOOKUP(A937,[4]PROGRAMMES!$E$1:$F$7,2,FALSE)</f>
        <v>3-Expansion et réforme de l’ETFP</v>
      </c>
      <c r="AA937" s="19" t="str">
        <f>B937 &amp; "-" &amp; VLOOKUP(B937,[4]SOUSPROGRAMMES!$E$1:$F$44,2,FALSE)</f>
        <v>31- Identification des besoins en qualification de l’économie</v>
      </c>
      <c r="AB937" s="19" t="str">
        <f>C937 &amp; "-" &amp; VLOOKUP(C937,[4]RESULTATS!$E$1:$F$176,2,FALSE)</f>
        <v>312- Un dispositif de veille sur les métiers, d’anticipation et d’identification des besoins du marché du travail est opérationnel</v>
      </c>
      <c r="AC937" s="20" t="str">
        <f>D937 &amp; "-" &amp; VLOOKUP(D937,[4]STRATEGIES!$E$1:$F$504,2,FALSE)</f>
        <v>3121-Définition des missions, du mode de fonctionnement du dispositif</v>
      </c>
      <c r="AD937" s="21" t="str">
        <f t="shared" si="170"/>
        <v>31211-Organisation de rencontres de concertation pour la déFinition des missions et du mode de fonctionnement du dispositif de veille</v>
      </c>
    </row>
    <row r="938" spans="1:30" s="22" customFormat="1" ht="60" hidden="1" customHeight="1" x14ac:dyDescent="0.8">
      <c r="A938" s="14">
        <v>3</v>
      </c>
      <c r="B938" s="15">
        <v>31</v>
      </c>
      <c r="C938" s="15">
        <v>312</v>
      </c>
      <c r="D938" s="15">
        <v>3121</v>
      </c>
      <c r="E938" s="14">
        <v>31212</v>
      </c>
      <c r="F938" s="16" t="s">
        <v>1175</v>
      </c>
      <c r="G938" s="21" t="s">
        <v>88</v>
      </c>
      <c r="H938" s="17" t="s">
        <v>55</v>
      </c>
      <c r="I938" s="56">
        <v>0</v>
      </c>
      <c r="J938" s="56">
        <v>1</v>
      </c>
      <c r="K938" s="56"/>
      <c r="L938" s="56"/>
      <c r="M938" s="56">
        <f t="shared" si="167"/>
        <v>1</v>
      </c>
      <c r="N938" s="56">
        <f>IF(OR(H938="",H938="sif",H938="PM"),0,VLOOKUP(H938,[5]CU!$C$4:$H$255,6,FALSE))</f>
        <v>0</v>
      </c>
      <c r="O938" s="56">
        <f t="shared" si="168"/>
        <v>0</v>
      </c>
      <c r="P938" s="56">
        <f t="shared" si="168"/>
        <v>0</v>
      </c>
      <c r="Q938" s="56">
        <f t="shared" si="168"/>
        <v>0</v>
      </c>
      <c r="R938" s="56">
        <f t="shared" si="168"/>
        <v>0</v>
      </c>
      <c r="S938" s="53"/>
      <c r="T938" s="35" t="s">
        <v>56</v>
      </c>
      <c r="U938" s="18" t="s">
        <v>1156</v>
      </c>
      <c r="V938" s="19" t="str">
        <f>IF(OR($H938="",$H938="sif",$H938="PM"),"",VLOOKUP($H938,[5]CU!$C$5:$J$255,8,FALSE))</f>
        <v/>
      </c>
      <c r="W938" s="18" t="s">
        <v>1165</v>
      </c>
      <c r="X938" s="18" t="s">
        <v>1174</v>
      </c>
      <c r="Y938" s="18" t="s">
        <v>677</v>
      </c>
      <c r="Z938" s="19" t="str">
        <f>A938 &amp; "-" &amp; VLOOKUP(A938,[4]PROGRAMMES!$E$1:$F$7,2,FALSE)</f>
        <v>3-Expansion et réforme de l’ETFP</v>
      </c>
      <c r="AA938" s="19" t="str">
        <f>B938 &amp; "-" &amp; VLOOKUP(B938,[4]SOUSPROGRAMMES!$E$1:$F$44,2,FALSE)</f>
        <v>31- Identification des besoins en qualification de l’économie</v>
      </c>
      <c r="AB938" s="19" t="str">
        <f>C938 &amp; "-" &amp; VLOOKUP(C938,[4]RESULTATS!$E$1:$F$176,2,FALSE)</f>
        <v>312- Un dispositif de veille sur les métiers, d’anticipation et d’identification des besoins du marché du travail est opérationnel</v>
      </c>
      <c r="AC938" s="20" t="str">
        <f>D938 &amp; "-" &amp; VLOOKUP(D938,[4]STRATEGIES!$E$1:$F$504,2,FALSE)</f>
        <v>3121-Définition des missions, du mode de fonctionnement du dispositif</v>
      </c>
      <c r="AD938" s="21" t="str">
        <f t="shared" si="170"/>
        <v>31212-Identification du dispositif sur la base des résultats de la concertation</v>
      </c>
    </row>
    <row r="939" spans="1:30" s="22" customFormat="1" ht="60" customHeight="1" x14ac:dyDescent="0.8">
      <c r="A939" s="14">
        <v>3</v>
      </c>
      <c r="B939" s="15">
        <v>31</v>
      </c>
      <c r="C939" s="15">
        <v>312</v>
      </c>
      <c r="D939" s="15">
        <v>3122</v>
      </c>
      <c r="E939" s="14">
        <v>3122</v>
      </c>
      <c r="F939" s="16" t="s">
        <v>1176</v>
      </c>
      <c r="G939" s="17"/>
      <c r="H939" s="17"/>
      <c r="I939" s="56">
        <v>0</v>
      </c>
      <c r="J939" s="56"/>
      <c r="K939" s="56"/>
      <c r="L939" s="56"/>
      <c r="M939" s="56"/>
      <c r="N939" s="56"/>
      <c r="O939" s="56"/>
      <c r="P939" s="56"/>
      <c r="Q939" s="56"/>
      <c r="R939" s="56"/>
      <c r="S939" s="53"/>
      <c r="T939" s="33"/>
      <c r="U939" s="18"/>
      <c r="V939" s="19"/>
      <c r="W939" s="18"/>
      <c r="X939" s="18"/>
      <c r="Y939" s="18" t="s">
        <v>677</v>
      </c>
      <c r="Z939" s="19" t="str">
        <f>A939 &amp; "-" &amp; VLOOKUP(A939,[4]PROGRAMMES!$E$1:$F$7,2,FALSE)</f>
        <v>3-Expansion et réforme de l’ETFP</v>
      </c>
      <c r="AA939" s="19" t="str">
        <f>B939 &amp; "-" &amp; VLOOKUP(B939,[4]SOUSPROGRAMMES!$E$1:$F$44,2,FALSE)</f>
        <v>31- Identification des besoins en qualification de l’économie</v>
      </c>
      <c r="AB939" s="19" t="str">
        <f>C939 &amp; "-" &amp; VLOOKUP(C939,[4]RESULTATS!$E$1:$F$176,2,FALSE)</f>
        <v>312- Un dispositif de veille sur les métiers, d’anticipation et d’identification des besoins du marché du travail est opérationnel</v>
      </c>
      <c r="AC939" s="20" t="str">
        <f>D939 &amp; "-" &amp; VLOOKUP(D939,[4]STRATEGIES!$E$1:$F$504,2,FALSE)</f>
        <v>3122-Mise en place et opérationnalisation du dispositif de veille</v>
      </c>
      <c r="AD939" s="21" t="str">
        <f t="shared" si="170"/>
        <v>3122-Mise en place et opérationnalisation du dispositif de veille</v>
      </c>
    </row>
    <row r="940" spans="1:30" s="22" customFormat="1" ht="60" hidden="1" customHeight="1" x14ac:dyDescent="0.8">
      <c r="A940" s="14">
        <v>3</v>
      </c>
      <c r="B940" s="15">
        <v>31</v>
      </c>
      <c r="C940" s="15">
        <v>312</v>
      </c>
      <c r="D940" s="15">
        <v>3122</v>
      </c>
      <c r="E940" s="14">
        <v>31221</v>
      </c>
      <c r="F940" s="16" t="s">
        <v>1177</v>
      </c>
      <c r="G940" s="21" t="s">
        <v>1178</v>
      </c>
      <c r="H940" s="17" t="s">
        <v>66</v>
      </c>
      <c r="I940" s="56">
        <v>0</v>
      </c>
      <c r="J940" s="56">
        <f>20*5</f>
        <v>100</v>
      </c>
      <c r="K940" s="56"/>
      <c r="L940" s="56"/>
      <c r="M940" s="56">
        <f t="shared" si="167"/>
        <v>100</v>
      </c>
      <c r="N940" s="56">
        <f>IF(OR(H940="",H940="sif",H940="PM"),0,VLOOKUP(H940,[5]CU!$C$4:$H$255,6,FALSE))</f>
        <v>0.255</v>
      </c>
      <c r="O940" s="56">
        <f t="shared" si="168"/>
        <v>0</v>
      </c>
      <c r="P940" s="56">
        <f t="shared" si="168"/>
        <v>25.5</v>
      </c>
      <c r="Q940" s="56">
        <f t="shared" si="168"/>
        <v>0</v>
      </c>
      <c r="R940" s="56">
        <f t="shared" si="168"/>
        <v>0</v>
      </c>
      <c r="S940" s="53">
        <f>SUM(O940:R940)</f>
        <v>25.5</v>
      </c>
      <c r="T940" s="35" t="s">
        <v>56</v>
      </c>
      <c r="U940" s="18" t="s">
        <v>1156</v>
      </c>
      <c r="V940" s="19" t="str">
        <f>IF(OR($H940="",$H940="sif",$H940="PM"),"",VLOOKUP($H940,[5]CU!$C$5:$J$255,8,FALSE))</f>
        <v>3. Dépenses de fonctionnement</v>
      </c>
      <c r="W940" s="18" t="s">
        <v>1165</v>
      </c>
      <c r="X940" s="18" t="s">
        <v>1162</v>
      </c>
      <c r="Y940" s="18" t="s">
        <v>677</v>
      </c>
      <c r="Z940" s="19" t="str">
        <f>A940 &amp; "-" &amp; VLOOKUP(A940,[4]PROGRAMMES!$E$1:$F$7,2,FALSE)</f>
        <v>3-Expansion et réforme de l’ETFP</v>
      </c>
      <c r="AA940" s="19" t="str">
        <f>B940 &amp; "-" &amp; VLOOKUP(B940,[4]SOUSPROGRAMMES!$E$1:$F$44,2,FALSE)</f>
        <v>31- Identification des besoins en qualification de l’économie</v>
      </c>
      <c r="AB940" s="19" t="str">
        <f>C940 &amp; "-" &amp; VLOOKUP(C940,[4]RESULTATS!$E$1:$F$176,2,FALSE)</f>
        <v>312- Un dispositif de veille sur les métiers, d’anticipation et d’identification des besoins du marché du travail est opérationnel</v>
      </c>
      <c r="AC940" s="20" t="str">
        <f>D940 &amp; "-" &amp; VLOOKUP(D940,[4]STRATEGIES!$E$1:$F$504,2,FALSE)</f>
        <v>3122-Mise en place et opérationnalisation du dispositif de veille</v>
      </c>
      <c r="AD940" s="21" t="str">
        <f t="shared" si="170"/>
        <v>31221-Elaboration, adoption et diffusion des textes réglementaires (gestion paritaire)</v>
      </c>
    </row>
    <row r="941" spans="1:30" s="22" customFormat="1" ht="60" hidden="1" customHeight="1" x14ac:dyDescent="0.8">
      <c r="A941" s="14">
        <v>3</v>
      </c>
      <c r="B941" s="15">
        <v>31</v>
      </c>
      <c r="C941" s="15">
        <v>312</v>
      </c>
      <c r="D941" s="15">
        <v>3122</v>
      </c>
      <c r="E941" s="14">
        <v>31222</v>
      </c>
      <c r="F941" s="16" t="s">
        <v>1179</v>
      </c>
      <c r="G941" s="21" t="s">
        <v>92</v>
      </c>
      <c r="H941" s="17" t="s">
        <v>55</v>
      </c>
      <c r="I941" s="56">
        <v>0</v>
      </c>
      <c r="J941" s="56">
        <v>1</v>
      </c>
      <c r="K941" s="56">
        <v>1</v>
      </c>
      <c r="L941" s="56"/>
      <c r="M941" s="56">
        <f t="shared" si="167"/>
        <v>2</v>
      </c>
      <c r="N941" s="56">
        <f>IF(OR(H941="",H941="sif",H941="PM"),0,VLOOKUP(H941,[5]CU!$C$4:$H$255,6,FALSE))</f>
        <v>0</v>
      </c>
      <c r="O941" s="56">
        <f t="shared" ref="O941:R979" si="172">IFERROR($N941*I941,0)</f>
        <v>0</v>
      </c>
      <c r="P941" s="56">
        <f t="shared" si="172"/>
        <v>0</v>
      </c>
      <c r="Q941" s="56">
        <f t="shared" si="172"/>
        <v>0</v>
      </c>
      <c r="R941" s="56">
        <f t="shared" si="172"/>
        <v>0</v>
      </c>
      <c r="S941" s="53"/>
      <c r="T941" s="35" t="s">
        <v>56</v>
      </c>
      <c r="U941" s="18" t="s">
        <v>1156</v>
      </c>
      <c r="V941" s="19" t="str">
        <f>IF(OR($H941="",$H941="sif",$H941="PM"),"",VLOOKUP($H941,[5]CU!$C$5:$J$255,8,FALSE))</f>
        <v/>
      </c>
      <c r="W941" s="18"/>
      <c r="X941" s="18"/>
      <c r="Y941" s="18" t="s">
        <v>677</v>
      </c>
      <c r="Z941" s="19" t="str">
        <f>A941 &amp; "-" &amp; VLOOKUP(A941,[4]PROGRAMMES!$E$1:$F$7,2,FALSE)</f>
        <v>3-Expansion et réforme de l’ETFP</v>
      </c>
      <c r="AA941" s="19" t="str">
        <f>B941 &amp; "-" &amp; VLOOKUP(B941,[4]SOUSPROGRAMMES!$E$1:$F$44,2,FALSE)</f>
        <v>31- Identification des besoins en qualification de l’économie</v>
      </c>
      <c r="AB941" s="19" t="str">
        <f>C941 &amp; "-" &amp; VLOOKUP(C941,[4]RESULTATS!$E$1:$F$176,2,FALSE)</f>
        <v>312- Un dispositif de veille sur les métiers, d’anticipation et d’identification des besoins du marché du travail est opérationnel</v>
      </c>
      <c r="AC941" s="20" t="str">
        <f>D941 &amp; "-" &amp; VLOOKUP(D941,[4]STRATEGIES!$E$1:$F$504,2,FALSE)</f>
        <v>3122-Mise en place et opérationnalisation du dispositif de veille</v>
      </c>
      <c r="AD941" s="21" t="str">
        <f t="shared" si="170"/>
        <v>31222-Appui technique pour l'élaboration de fiches de collecte et du guide de remplissage des fiches sur les métiers porteurs par zone (sur la base des résultats de l'activité 31112)</v>
      </c>
    </row>
    <row r="942" spans="1:30" s="22" customFormat="1" ht="60" customHeight="1" x14ac:dyDescent="0.8">
      <c r="A942" s="14">
        <v>3</v>
      </c>
      <c r="B942" s="15">
        <v>31</v>
      </c>
      <c r="C942" s="15">
        <v>312</v>
      </c>
      <c r="D942" s="15">
        <v>3122</v>
      </c>
      <c r="E942" s="14">
        <v>31223</v>
      </c>
      <c r="F942" s="16" t="s">
        <v>1180</v>
      </c>
      <c r="G942" s="21" t="s">
        <v>167</v>
      </c>
      <c r="H942" s="17" t="s">
        <v>101</v>
      </c>
      <c r="I942" s="56">
        <v>0</v>
      </c>
      <c r="J942" s="56"/>
      <c r="K942" s="56">
        <f>1*60</f>
        <v>60</v>
      </c>
      <c r="L942" s="56"/>
      <c r="M942" s="56">
        <f t="shared" si="167"/>
        <v>60</v>
      </c>
      <c r="N942" s="56">
        <f>IF(OR(H942="",H942="sif",H942="PM"),0,VLOOKUP(H942,[5]CU!$C$4:$H$255,6,FALSE))</f>
        <v>2.651545</v>
      </c>
      <c r="O942" s="56">
        <f t="shared" si="172"/>
        <v>0</v>
      </c>
      <c r="P942" s="56">
        <f t="shared" si="172"/>
        <v>0</v>
      </c>
      <c r="Q942" s="56">
        <f t="shared" si="172"/>
        <v>159.09270000000001</v>
      </c>
      <c r="R942" s="56">
        <f t="shared" si="172"/>
        <v>0</v>
      </c>
      <c r="S942" s="53">
        <f>SUM(O942:R942)</f>
        <v>159.09270000000001</v>
      </c>
      <c r="T942" s="35" t="s">
        <v>1971</v>
      </c>
      <c r="U942" s="18" t="s">
        <v>1156</v>
      </c>
      <c r="V942" s="19" t="str">
        <f>IF(OR($H942="",$H942="sif",$H942="PM"),"",VLOOKUP($H942,[5]CU!$C$5:$J$255,8,FALSE))</f>
        <v>3. Dépenses de fonctionnement</v>
      </c>
      <c r="W942" s="18" t="s">
        <v>96</v>
      </c>
      <c r="X942" s="18" t="s">
        <v>196</v>
      </c>
      <c r="Y942" s="18" t="s">
        <v>677</v>
      </c>
      <c r="Z942" s="19" t="str">
        <f>A942 &amp; "-" &amp; VLOOKUP(A942,[4]PROGRAMMES!$E$1:$F$7,2,FALSE)</f>
        <v>3-Expansion et réforme de l’ETFP</v>
      </c>
      <c r="AA942" s="19" t="str">
        <f>B942 &amp; "-" &amp; VLOOKUP(B942,[4]SOUSPROGRAMMES!$E$1:$F$44,2,FALSE)</f>
        <v>31- Identification des besoins en qualification de l’économie</v>
      </c>
      <c r="AB942" s="19" t="str">
        <f>C942 &amp; "-" &amp; VLOOKUP(C942,[4]RESULTATS!$E$1:$F$176,2,FALSE)</f>
        <v>312- Un dispositif de veille sur les métiers, d’anticipation et d’identification des besoins du marché du travail est opérationnel</v>
      </c>
      <c r="AC942" s="20" t="str">
        <f>D942 &amp; "-" &amp; VLOOKUP(D942,[4]STRATEGIES!$E$1:$F$504,2,FALSE)</f>
        <v>3122-Mise en place et opérationnalisation du dispositif de veille</v>
      </c>
      <c r="AD942" s="21" t="str">
        <f t="shared" si="170"/>
        <v>31223-Appui technique pour la mise en place d'une base de données sur les métiers porteurs par zone (sur la base des résultats de l'activité 31112)</v>
      </c>
    </row>
    <row r="943" spans="1:30" s="22" customFormat="1" ht="60" hidden="1" customHeight="1" x14ac:dyDescent="0.8">
      <c r="A943" s="14">
        <v>3</v>
      </c>
      <c r="B943" s="15">
        <v>31</v>
      </c>
      <c r="C943" s="15">
        <v>312</v>
      </c>
      <c r="D943" s="15">
        <v>3122</v>
      </c>
      <c r="E943" s="14">
        <v>31224</v>
      </c>
      <c r="F943" s="16" t="s">
        <v>1181</v>
      </c>
      <c r="G943" s="21" t="s">
        <v>92</v>
      </c>
      <c r="H943" s="17" t="s">
        <v>55</v>
      </c>
      <c r="I943" s="56">
        <v>0</v>
      </c>
      <c r="J943" s="56"/>
      <c r="K943" s="56">
        <v>1</v>
      </c>
      <c r="L943" s="56"/>
      <c r="M943" s="56">
        <f t="shared" si="167"/>
        <v>1</v>
      </c>
      <c r="N943" s="56">
        <f>IF(OR(H943="",H943="sif",H943="PM"),0,VLOOKUP(H943,[5]CU!$C$4:$H$255,6,FALSE))</f>
        <v>0</v>
      </c>
      <c r="O943" s="56">
        <f t="shared" si="172"/>
        <v>0</v>
      </c>
      <c r="P943" s="56">
        <f t="shared" si="172"/>
        <v>0</v>
      </c>
      <c r="Q943" s="56">
        <f t="shared" si="172"/>
        <v>0</v>
      </c>
      <c r="R943" s="56">
        <f t="shared" si="172"/>
        <v>0</v>
      </c>
      <c r="S943" s="53"/>
      <c r="T943" s="35" t="s">
        <v>56</v>
      </c>
      <c r="U943" s="18" t="s">
        <v>1156</v>
      </c>
      <c r="V943" s="19" t="str">
        <f>IF(OR($H943="",$H943="sif",$H943="PM"),"",VLOOKUP($H943,[5]CU!$C$5:$J$255,8,FALSE))</f>
        <v/>
      </c>
      <c r="W943" s="18"/>
      <c r="X943" s="18"/>
      <c r="Y943" s="18" t="s">
        <v>677</v>
      </c>
      <c r="Z943" s="19" t="str">
        <f>A943 &amp; "-" &amp; VLOOKUP(A943,[4]PROGRAMMES!$E$1:$F$7,2,FALSE)</f>
        <v>3-Expansion et réforme de l’ETFP</v>
      </c>
      <c r="AA943" s="19" t="str">
        <f>B943 &amp; "-" &amp; VLOOKUP(B943,[4]SOUSPROGRAMMES!$E$1:$F$44,2,FALSE)</f>
        <v>31- Identification des besoins en qualification de l’économie</v>
      </c>
      <c r="AB943" s="19" t="str">
        <f>C943 &amp; "-" &amp; VLOOKUP(C943,[4]RESULTATS!$E$1:$F$176,2,FALSE)</f>
        <v>312- Un dispositif de veille sur les métiers, d’anticipation et d’identification des besoins du marché du travail est opérationnel</v>
      </c>
      <c r="AC943" s="20" t="str">
        <f>D943 &amp; "-" &amp; VLOOKUP(D943,[4]STRATEGIES!$E$1:$F$504,2,FALSE)</f>
        <v>3122-Mise en place et opérationnalisation du dispositif de veille</v>
      </c>
      <c r="AD943" s="21" t="str">
        <f t="shared" si="170"/>
        <v>31224-Elaboration d'un guide d'utilisation de la base de données (prise en compte dans activité 31223)</v>
      </c>
    </row>
    <row r="944" spans="1:30" s="22" customFormat="1" ht="60" hidden="1" customHeight="1" x14ac:dyDescent="0.8">
      <c r="A944" s="14">
        <v>3</v>
      </c>
      <c r="B944" s="15">
        <v>31</v>
      </c>
      <c r="C944" s="15">
        <v>312</v>
      </c>
      <c r="D944" s="15">
        <v>3122</v>
      </c>
      <c r="E944" s="14">
        <v>31225</v>
      </c>
      <c r="F944" s="16" t="s">
        <v>1182</v>
      </c>
      <c r="G944" s="21" t="s">
        <v>44</v>
      </c>
      <c r="H944" s="17" t="s">
        <v>452</v>
      </c>
      <c r="I944" s="56">
        <v>0</v>
      </c>
      <c r="J944" s="56">
        <f>10*4*8</f>
        <v>320</v>
      </c>
      <c r="K944" s="56">
        <f>30*10*8</f>
        <v>2400</v>
      </c>
      <c r="L944" s="56">
        <v>0</v>
      </c>
      <c r="M944" s="56">
        <f t="shared" si="167"/>
        <v>2720</v>
      </c>
      <c r="N944" s="56">
        <f>IF(OR(H944="",H944="sif",H944="PM"),0,VLOOKUP(H944,[5]CU!$C$4:$H$255,6,FALSE))</f>
        <v>7.4999999999999997E-3</v>
      </c>
      <c r="O944" s="56">
        <f t="shared" si="172"/>
        <v>0</v>
      </c>
      <c r="P944" s="56">
        <f t="shared" si="172"/>
        <v>2.4</v>
      </c>
      <c r="Q944" s="56">
        <f t="shared" si="172"/>
        <v>18</v>
      </c>
      <c r="R944" s="56">
        <f t="shared" si="172"/>
        <v>0</v>
      </c>
      <c r="S944" s="53">
        <f>SUM(O944:R944)</f>
        <v>20.399999999999999</v>
      </c>
      <c r="T944" s="35" t="s">
        <v>169</v>
      </c>
      <c r="U944" s="18" t="s">
        <v>1156</v>
      </c>
      <c r="V944" s="19" t="str">
        <f>IF(OR($H944="",$H944="sif",$H944="PM"),"",VLOOKUP($H944,[5]CU!$C$5:$J$255,8,FALSE))</f>
        <v>3. Dépenses de fonctionnement</v>
      </c>
      <c r="W944" s="18" t="s">
        <v>96</v>
      </c>
      <c r="X944" s="18" t="s">
        <v>1183</v>
      </c>
      <c r="Y944" s="18" t="s">
        <v>677</v>
      </c>
      <c r="Z944" s="19" t="str">
        <f>A944 &amp; "-" &amp; VLOOKUP(A944,[4]PROGRAMMES!$E$1:$F$7,2,FALSE)</f>
        <v>3-Expansion et réforme de l’ETFP</v>
      </c>
      <c r="AA944" s="19" t="str">
        <f>B944 &amp; "-" &amp; VLOOKUP(B944,[4]SOUSPROGRAMMES!$E$1:$F$44,2,FALSE)</f>
        <v>31- Identification des besoins en qualification de l’économie</v>
      </c>
      <c r="AB944" s="19" t="str">
        <f>C944 &amp; "-" &amp; VLOOKUP(C944,[4]RESULTATS!$E$1:$F$176,2,FALSE)</f>
        <v>312- Un dispositif de veille sur les métiers, d’anticipation et d’identification des besoins du marché du travail est opérationnel</v>
      </c>
      <c r="AC944" s="20" t="str">
        <f>D944 &amp; "-" &amp; VLOOKUP(D944,[4]STRATEGIES!$E$1:$F$504,2,FALSE)</f>
        <v>3122-Mise en place et opérationnalisation du dispositif de veille</v>
      </c>
      <c r="AD944" s="21" t="str">
        <f t="shared" si="170"/>
        <v>31225-Collecte périodique des données sur le marché de l'emploi</v>
      </c>
    </row>
    <row r="945" spans="1:30" s="22" customFormat="1" ht="60" hidden="1" customHeight="1" x14ac:dyDescent="0.8">
      <c r="A945" s="14">
        <v>3</v>
      </c>
      <c r="B945" s="15">
        <v>31</v>
      </c>
      <c r="C945" s="15">
        <v>312</v>
      </c>
      <c r="D945" s="15">
        <v>3122</v>
      </c>
      <c r="E945" s="14">
        <v>31226</v>
      </c>
      <c r="F945" s="16" t="s">
        <v>1184</v>
      </c>
      <c r="G945" s="21" t="s">
        <v>37</v>
      </c>
      <c r="H945" s="17" t="s">
        <v>66</v>
      </c>
      <c r="I945" s="56">
        <v>0</v>
      </c>
      <c r="J945" s="56"/>
      <c r="K945" s="56">
        <f>((1*10*12)+(10*12))*8</f>
        <v>1920</v>
      </c>
      <c r="L945" s="56">
        <v>0</v>
      </c>
      <c r="M945" s="56">
        <f t="shared" si="167"/>
        <v>1920</v>
      </c>
      <c r="N945" s="56">
        <f>IF(OR(H945="",H945="sif",H945="PM"),0,VLOOKUP(H945,[5]CU!$C$4:$H$255,6,FALSE))</f>
        <v>0.255</v>
      </c>
      <c r="O945" s="56">
        <f t="shared" si="172"/>
        <v>0</v>
      </c>
      <c r="P945" s="56">
        <f t="shared" si="172"/>
        <v>0</v>
      </c>
      <c r="Q945" s="56">
        <f t="shared" si="172"/>
        <v>489.6</v>
      </c>
      <c r="R945" s="56">
        <f t="shared" si="172"/>
        <v>0</v>
      </c>
      <c r="S945" s="53">
        <f>SUM(O945:R945)</f>
        <v>489.6</v>
      </c>
      <c r="T945" s="35" t="s">
        <v>169</v>
      </c>
      <c r="U945" s="18" t="s">
        <v>1156</v>
      </c>
      <c r="V945" s="19" t="str">
        <f>IF(OR($H945="",$H945="sif",$H945="PM"),"",VLOOKUP($H945,[5]CU!$C$5:$J$255,8,FALSE))</f>
        <v>3. Dépenses de fonctionnement</v>
      </c>
      <c r="W945" s="18"/>
      <c r="X945" s="18"/>
      <c r="Y945" s="18" t="s">
        <v>677</v>
      </c>
      <c r="Z945" s="19" t="str">
        <f>A945 &amp; "-" &amp; VLOOKUP(A945,[4]PROGRAMMES!$E$1:$F$7,2,FALSE)</f>
        <v>3-Expansion et réforme de l’ETFP</v>
      </c>
      <c r="AA945" s="19" t="str">
        <f>B945 &amp; "-" &amp; VLOOKUP(B945,[4]SOUSPROGRAMMES!$E$1:$F$44,2,FALSE)</f>
        <v>31- Identification des besoins en qualification de l’économie</v>
      </c>
      <c r="AB945" s="19" t="str">
        <f>C945 &amp; "-" &amp; VLOOKUP(C945,[4]RESULTATS!$E$1:$F$176,2,FALSE)</f>
        <v>312- Un dispositif de veille sur les métiers, d’anticipation et d’identification des besoins du marché du travail est opérationnel</v>
      </c>
      <c r="AC945" s="20" t="str">
        <f>D945 &amp; "-" &amp; VLOOKUP(D945,[4]STRATEGIES!$E$1:$F$504,2,FALSE)</f>
        <v>3122-Mise en place et opérationnalisation du dispositif de veille</v>
      </c>
      <c r="AD945" s="21" t="str">
        <f t="shared" si="170"/>
        <v>31226-Saisie et analyse des données collectées</v>
      </c>
    </row>
    <row r="946" spans="1:30" s="22" customFormat="1" ht="60" hidden="1" customHeight="1" x14ac:dyDescent="0.8">
      <c r="A946" s="14">
        <v>3</v>
      </c>
      <c r="B946" s="15">
        <v>31</v>
      </c>
      <c r="C946" s="15">
        <v>312</v>
      </c>
      <c r="D946" s="15">
        <v>3122</v>
      </c>
      <c r="E946" s="14">
        <v>31227</v>
      </c>
      <c r="F946" s="16" t="s">
        <v>1185</v>
      </c>
      <c r="G946" s="21" t="s">
        <v>1186</v>
      </c>
      <c r="H946" s="17" t="s">
        <v>66</v>
      </c>
      <c r="I946" s="56">
        <v>0</v>
      </c>
      <c r="J946" s="56"/>
      <c r="K946" s="56">
        <f>20*2</f>
        <v>40</v>
      </c>
      <c r="L946" s="56">
        <f>20*2</f>
        <v>40</v>
      </c>
      <c r="M946" s="56">
        <f t="shared" si="167"/>
        <v>80</v>
      </c>
      <c r="N946" s="56">
        <f>IF(OR(H946="",H946="sif",H946="PM"),0,VLOOKUP(H946,[5]CU!$C$4:$H$255,6,FALSE))</f>
        <v>0.255</v>
      </c>
      <c r="O946" s="56">
        <f t="shared" si="172"/>
        <v>0</v>
      </c>
      <c r="P946" s="56">
        <f t="shared" si="172"/>
        <v>0</v>
      </c>
      <c r="Q946" s="56">
        <f t="shared" si="172"/>
        <v>10.199999999999999</v>
      </c>
      <c r="R946" s="56">
        <f t="shared" si="172"/>
        <v>10.199999999999999</v>
      </c>
      <c r="S946" s="53">
        <f>SUM(O946:R946)</f>
        <v>20.399999999999999</v>
      </c>
      <c r="T946" s="35" t="s">
        <v>56</v>
      </c>
      <c r="U946" s="18" t="s">
        <v>1156</v>
      </c>
      <c r="V946" s="19" t="str">
        <f>IF(OR($H946="",$H946="sif",$H946="PM"),"",VLOOKUP($H946,[5]CU!$C$5:$J$255,8,FALSE))</f>
        <v>3. Dépenses de fonctionnement</v>
      </c>
      <c r="W946" s="18" t="s">
        <v>96</v>
      </c>
      <c r="X946" s="18" t="s">
        <v>1187</v>
      </c>
      <c r="Y946" s="18" t="s">
        <v>677</v>
      </c>
      <c r="Z946" s="19" t="str">
        <f>A946 &amp; "-" &amp; VLOOKUP(A946,[4]PROGRAMMES!$E$1:$F$7,2,FALSE)</f>
        <v>3-Expansion et réforme de l’ETFP</v>
      </c>
      <c r="AA946" s="19" t="str">
        <f>B946 &amp; "-" &amp; VLOOKUP(B946,[4]SOUSPROGRAMMES!$E$1:$F$44,2,FALSE)</f>
        <v>31- Identification des besoins en qualification de l’économie</v>
      </c>
      <c r="AB946" s="19" t="str">
        <f>C946 &amp; "-" &amp; VLOOKUP(C946,[4]RESULTATS!$E$1:$F$176,2,FALSE)</f>
        <v>312- Un dispositif de veille sur les métiers, d’anticipation et d’identification des besoins du marché du travail est opérationnel</v>
      </c>
      <c r="AC946" s="20" t="str">
        <f>D946 &amp; "-" &amp; VLOOKUP(D946,[4]STRATEGIES!$E$1:$F$504,2,FALSE)</f>
        <v>3122-Mise en place et opérationnalisation du dispositif de veille</v>
      </c>
      <c r="AD946" s="21" t="str">
        <f t="shared" si="170"/>
        <v>31227-Organisation des rencontres du groupe de gestion paritaire du dispositif de veille</v>
      </c>
    </row>
    <row r="947" spans="1:30" s="22" customFormat="1" ht="30" customHeight="1" x14ac:dyDescent="0.8">
      <c r="A947" s="14">
        <v>3</v>
      </c>
      <c r="B947" s="15">
        <v>31</v>
      </c>
      <c r="C947" s="15">
        <v>313</v>
      </c>
      <c r="D947" s="15">
        <v>313</v>
      </c>
      <c r="E947" s="14">
        <v>313</v>
      </c>
      <c r="F947" s="16" t="s">
        <v>1188</v>
      </c>
      <c r="G947" s="17"/>
      <c r="H947" s="17"/>
      <c r="I947" s="56">
        <v>0</v>
      </c>
      <c r="J947" s="56"/>
      <c r="K947" s="56"/>
      <c r="L947" s="56"/>
      <c r="M947" s="56"/>
      <c r="N947" s="56"/>
      <c r="O947" s="56"/>
      <c r="P947" s="56"/>
      <c r="Q947" s="56"/>
      <c r="R947" s="56"/>
      <c r="S947" s="53"/>
      <c r="T947" s="33"/>
      <c r="U947" s="18"/>
      <c r="V947" s="19"/>
      <c r="W947" s="18"/>
      <c r="X947" s="18"/>
      <c r="Y947" s="18" t="s">
        <v>677</v>
      </c>
      <c r="Z947" s="19" t="str">
        <f>A947 &amp; "-" &amp; VLOOKUP(A947,[4]PROGRAMMES!$E$1:$F$7,2,FALSE)</f>
        <v>3-Expansion et réforme de l’ETFP</v>
      </c>
      <c r="AA947" s="19" t="str">
        <f>B947 &amp; "-" &amp; VLOOKUP(B947,[4]SOUSPROGRAMMES!$E$1:$F$44,2,FALSE)</f>
        <v>31- Identification des besoins en qualification de l’économie</v>
      </c>
      <c r="AB947" s="19" t="str">
        <f>C947 &amp; "-" &amp; VLOOKUP(C947,[4]RESULTATS!$E$1:$F$176,2,FALSE)</f>
        <v>313- Un mécanisme de suivi de l’insertion est opérationnel</v>
      </c>
      <c r="AC947" s="20" t="str">
        <f>D947 &amp; "-" &amp; VLOOKUP(D947,[4]STRATEGIES!$E$1:$F$504,2,FALSE)</f>
        <v>313- Un mécanisme de suivi de l’insertion est opérationnel</v>
      </c>
      <c r="AD947" s="21" t="str">
        <f t="shared" si="170"/>
        <v>313- Un mécanisme de suivi de l’insertion est opérationnel</v>
      </c>
    </row>
    <row r="948" spans="1:30" s="22" customFormat="1" ht="30" customHeight="1" x14ac:dyDescent="0.8">
      <c r="A948" s="14">
        <v>3</v>
      </c>
      <c r="B948" s="15">
        <v>31</v>
      </c>
      <c r="C948" s="15">
        <v>313</v>
      </c>
      <c r="D948" s="15">
        <v>3131</v>
      </c>
      <c r="E948" s="14">
        <v>3131</v>
      </c>
      <c r="F948" s="16" t="s">
        <v>1189</v>
      </c>
      <c r="G948" s="17"/>
      <c r="H948" s="17"/>
      <c r="I948" s="56">
        <v>0</v>
      </c>
      <c r="J948" s="56"/>
      <c r="K948" s="56"/>
      <c r="L948" s="56"/>
      <c r="M948" s="56"/>
      <c r="N948" s="56"/>
      <c r="O948" s="56"/>
      <c r="P948" s="56"/>
      <c r="Q948" s="56"/>
      <c r="R948" s="56"/>
      <c r="S948" s="53"/>
      <c r="T948" s="33"/>
      <c r="U948" s="18"/>
      <c r="V948" s="19"/>
      <c r="W948" s="18"/>
      <c r="X948" s="18"/>
      <c r="Y948" s="18" t="s">
        <v>677</v>
      </c>
      <c r="Z948" s="19" t="str">
        <f>A948 &amp; "-" &amp; VLOOKUP(A948,[4]PROGRAMMES!$E$1:$F$7,2,FALSE)</f>
        <v>3-Expansion et réforme de l’ETFP</v>
      </c>
      <c r="AA948" s="19" t="str">
        <f>B948 &amp; "-" &amp; VLOOKUP(B948,[4]SOUSPROGRAMMES!$E$1:$F$44,2,FALSE)</f>
        <v>31- Identification des besoins en qualification de l’économie</v>
      </c>
      <c r="AB948" s="19" t="str">
        <f>C948 &amp; "-" &amp; VLOOKUP(C948,[4]RESULTATS!$E$1:$F$176,2,FALSE)</f>
        <v>313- Un mécanisme de suivi de l’insertion est opérationnel</v>
      </c>
      <c r="AC948" s="20" t="str">
        <f>D948 &amp; "-" &amp; VLOOKUP(D948,[4]STRATEGIES!$E$1:$F$504,2,FALSE)</f>
        <v>3131-Conception et mise en place du mécanisme de suivi de l’insertion</v>
      </c>
      <c r="AD948" s="21" t="str">
        <f t="shared" si="170"/>
        <v>3131-Conception et mise en place du mécanisme de suivi de l’insertion</v>
      </c>
    </row>
    <row r="949" spans="1:30" s="22" customFormat="1" ht="45" customHeight="1" x14ac:dyDescent="0.8">
      <c r="A949" s="14">
        <v>3</v>
      </c>
      <c r="B949" s="15">
        <v>31</v>
      </c>
      <c r="C949" s="15">
        <v>313</v>
      </c>
      <c r="D949" s="15">
        <v>3131</v>
      </c>
      <c r="E949" s="14">
        <v>31311</v>
      </c>
      <c r="F949" s="16" t="s">
        <v>1190</v>
      </c>
      <c r="G949" s="21" t="s">
        <v>1191</v>
      </c>
      <c r="H949" s="17" t="s">
        <v>662</v>
      </c>
      <c r="I949" s="56">
        <v>0</v>
      </c>
      <c r="J949" s="56">
        <f>1*4</f>
        <v>4</v>
      </c>
      <c r="K949" s="56">
        <v>2</v>
      </c>
      <c r="L949" s="56">
        <v>1</v>
      </c>
      <c r="M949" s="56">
        <f t="shared" si="167"/>
        <v>7</v>
      </c>
      <c r="N949" s="56">
        <f>IF(OR(H949="",H949="sif",H949="PM"),0,VLOOKUP(H949,[5]CU!$C$4:$H$255,6,FALSE))</f>
        <v>219.54797350000001</v>
      </c>
      <c r="O949" s="56">
        <f t="shared" si="172"/>
        <v>0</v>
      </c>
      <c r="P949" s="56">
        <f t="shared" si="172"/>
        <v>878.19189400000005</v>
      </c>
      <c r="Q949" s="56">
        <f t="shared" si="172"/>
        <v>439.09594700000002</v>
      </c>
      <c r="R949" s="56">
        <f t="shared" si="172"/>
        <v>219.54797350000001</v>
      </c>
      <c r="S949" s="53">
        <f>SUM(O949:R949)</f>
        <v>1536.8358145000002</v>
      </c>
      <c r="T949" s="35" t="s">
        <v>2672</v>
      </c>
      <c r="U949" s="18" t="s">
        <v>1156</v>
      </c>
      <c r="V949" s="19" t="str">
        <f>IF(OR($H949="",$H949="sif",$H949="PM"),"",VLOOKUP($H949,[5]CU!$C$5:$J$255,8,FALSE))</f>
        <v>3. Dépenses de fonctionnement</v>
      </c>
      <c r="W949" s="18" t="s">
        <v>96</v>
      </c>
      <c r="X949" s="18" t="s">
        <v>1165</v>
      </c>
      <c r="Y949" s="18" t="s">
        <v>677</v>
      </c>
      <c r="Z949" s="19" t="str">
        <f>A949 &amp; "-" &amp; VLOOKUP(A949,[4]PROGRAMMES!$E$1:$F$7,2,FALSE)</f>
        <v>3-Expansion et réforme de l’ETFP</v>
      </c>
      <c r="AA949" s="19" t="str">
        <f>B949 &amp; "-" &amp; VLOOKUP(B949,[4]SOUSPROGRAMMES!$E$1:$F$44,2,FALSE)</f>
        <v>31- Identification des besoins en qualification de l’économie</v>
      </c>
      <c r="AB949" s="19" t="str">
        <f>C949 &amp; "-" &amp; VLOOKUP(C949,[4]RESULTATS!$E$1:$F$176,2,FALSE)</f>
        <v>313- Un mécanisme de suivi de l’insertion est opérationnel</v>
      </c>
      <c r="AC949" s="20" t="str">
        <f>D949 &amp; "-" &amp; VLOOKUP(D949,[4]STRATEGIES!$E$1:$F$504,2,FALSE)</f>
        <v>3131-Conception et mise en place du mécanisme de suivi de l’insertion</v>
      </c>
      <c r="AD949" s="21" t="str">
        <f t="shared" si="170"/>
        <v>31311-Appui à la mise en place et à l'opérationnalisation d'un dispositif de suivi de l'insertion socioprofessionnelle</v>
      </c>
    </row>
    <row r="950" spans="1:30" s="22" customFormat="1" ht="30" customHeight="1" x14ac:dyDescent="0.8">
      <c r="A950" s="14">
        <v>3</v>
      </c>
      <c r="B950" s="15">
        <v>31</v>
      </c>
      <c r="C950" s="15">
        <v>313</v>
      </c>
      <c r="D950" s="15">
        <v>3131</v>
      </c>
      <c r="E950" s="14">
        <v>31312</v>
      </c>
      <c r="F950" s="16" t="s">
        <v>1192</v>
      </c>
      <c r="G950" s="21" t="s">
        <v>1193</v>
      </c>
      <c r="H950" s="17" t="s">
        <v>66</v>
      </c>
      <c r="I950" s="56">
        <v>0</v>
      </c>
      <c r="J950" s="56">
        <f>20*5</f>
        <v>100</v>
      </c>
      <c r="K950" s="56"/>
      <c r="L950" s="56"/>
      <c r="M950" s="56">
        <f t="shared" si="167"/>
        <v>100</v>
      </c>
      <c r="N950" s="56">
        <f>IF(OR(H950="",H950="sif",H950="PM"),0,VLOOKUP(H950,[5]CU!$C$4:$H$255,6,FALSE))</f>
        <v>0.255</v>
      </c>
      <c r="O950" s="56">
        <f t="shared" si="172"/>
        <v>0</v>
      </c>
      <c r="P950" s="56">
        <f t="shared" si="172"/>
        <v>25.5</v>
      </c>
      <c r="Q950" s="56">
        <f t="shared" si="172"/>
        <v>0</v>
      </c>
      <c r="R950" s="56">
        <f t="shared" si="172"/>
        <v>0</v>
      </c>
      <c r="S950" s="53">
        <f>SUM(O950:R950)</f>
        <v>25.5</v>
      </c>
      <c r="T950" s="35" t="s">
        <v>2673</v>
      </c>
      <c r="U950" s="18" t="s">
        <v>1156</v>
      </c>
      <c r="V950" s="19" t="str">
        <f>IF(OR($H950="",$H950="sif",$H950="PM"),"",VLOOKUP($H950,[5]CU!$C$5:$J$255,8,FALSE))</f>
        <v>3. Dépenses de fonctionnement</v>
      </c>
      <c r="W950" s="18" t="s">
        <v>1165</v>
      </c>
      <c r="X950" s="18" t="s">
        <v>1165</v>
      </c>
      <c r="Y950" s="18" t="s">
        <v>677</v>
      </c>
      <c r="Z950" s="19" t="str">
        <f>A950 &amp; "-" &amp; VLOOKUP(A950,[4]PROGRAMMES!$E$1:$F$7,2,FALSE)</f>
        <v>3-Expansion et réforme de l’ETFP</v>
      </c>
      <c r="AA950" s="19" t="str">
        <f>B950 &amp; "-" &amp; VLOOKUP(B950,[4]SOUSPROGRAMMES!$E$1:$F$44,2,FALSE)</f>
        <v>31- Identification des besoins en qualification de l’économie</v>
      </c>
      <c r="AB950" s="19" t="str">
        <f>C950 &amp; "-" &amp; VLOOKUP(C950,[4]RESULTATS!$E$1:$F$176,2,FALSE)</f>
        <v>313- Un mécanisme de suivi de l’insertion est opérationnel</v>
      </c>
      <c r="AC950" s="20" t="str">
        <f>D950 &amp; "-" &amp; VLOOKUP(D950,[4]STRATEGIES!$E$1:$F$504,2,FALSE)</f>
        <v>3131-Conception et mise en place du mécanisme de suivi de l’insertion</v>
      </c>
      <c r="AD950" s="21" t="str">
        <f t="shared" si="170"/>
        <v>31312-DéFinition du mécanisme de suivi de l'insertion</v>
      </c>
    </row>
    <row r="951" spans="1:30" s="22" customFormat="1" ht="30" hidden="1" customHeight="1" x14ac:dyDescent="0.8">
      <c r="A951" s="14">
        <v>3</v>
      </c>
      <c r="B951" s="15">
        <v>31</v>
      </c>
      <c r="C951" s="15">
        <v>313</v>
      </c>
      <c r="D951" s="15">
        <v>3131</v>
      </c>
      <c r="E951" s="14">
        <v>31313</v>
      </c>
      <c r="F951" s="16" t="s">
        <v>1194</v>
      </c>
      <c r="G951" s="21" t="s">
        <v>1195</v>
      </c>
      <c r="H951" s="17" t="s">
        <v>55</v>
      </c>
      <c r="I951" s="56">
        <v>0</v>
      </c>
      <c r="J951" s="56"/>
      <c r="K951" s="56">
        <v>1</v>
      </c>
      <c r="L951" s="56"/>
      <c r="M951" s="56">
        <f t="shared" ref="M951:M979" si="173">SUM(I951:L951)</f>
        <v>1</v>
      </c>
      <c r="N951" s="56">
        <f>IF(OR(H951="",H951="sif",H951="PM"),0,VLOOKUP(H951,[5]CU!$C$4:$H$255,6,FALSE))</f>
        <v>0</v>
      </c>
      <c r="O951" s="56">
        <f t="shared" si="172"/>
        <v>0</v>
      </c>
      <c r="P951" s="56">
        <f t="shared" si="172"/>
        <v>0</v>
      </c>
      <c r="Q951" s="56">
        <f t="shared" si="172"/>
        <v>0</v>
      </c>
      <c r="R951" s="56">
        <f t="shared" si="172"/>
        <v>0</v>
      </c>
      <c r="S951" s="53"/>
      <c r="T951" s="35" t="s">
        <v>56</v>
      </c>
      <c r="U951" s="18" t="s">
        <v>1156</v>
      </c>
      <c r="V951" s="19" t="str">
        <f>IF(OR($H951="",$H951="sif",$H951="PM"),"",VLOOKUP($H951,[5]CU!$C$5:$J$255,8,FALSE))</f>
        <v/>
      </c>
      <c r="W951" s="18" t="s">
        <v>1165</v>
      </c>
      <c r="X951" s="18" t="s">
        <v>1165</v>
      </c>
      <c r="Y951" s="18" t="s">
        <v>677</v>
      </c>
      <c r="Z951" s="19" t="str">
        <f>A951 &amp; "-" &amp; VLOOKUP(A951,[4]PROGRAMMES!$E$1:$F$7,2,FALSE)</f>
        <v>3-Expansion et réforme de l’ETFP</v>
      </c>
      <c r="AA951" s="19" t="str">
        <f>B951 &amp; "-" &amp; VLOOKUP(B951,[4]SOUSPROGRAMMES!$E$1:$F$44,2,FALSE)</f>
        <v>31- Identification des besoins en qualification de l’économie</v>
      </c>
      <c r="AB951" s="19" t="str">
        <f>C951 &amp; "-" &amp; VLOOKUP(C951,[4]RESULTATS!$E$1:$F$176,2,FALSE)</f>
        <v>313- Un mécanisme de suivi de l’insertion est opérationnel</v>
      </c>
      <c r="AC951" s="20" t="str">
        <f>D951 &amp; "-" &amp; VLOOKUP(D951,[4]STRATEGIES!$E$1:$F$504,2,FALSE)</f>
        <v>3131-Conception et mise en place du mécanisme de suivi de l’insertion</v>
      </c>
      <c r="AD951" s="21" t="str">
        <f t="shared" si="170"/>
        <v>31313-la mise en place du dispositif d'insertion</v>
      </c>
    </row>
    <row r="952" spans="1:30" s="22" customFormat="1" ht="30" customHeight="1" x14ac:dyDescent="0.8">
      <c r="A952" s="14">
        <v>3</v>
      </c>
      <c r="B952" s="15">
        <v>31</v>
      </c>
      <c r="C952" s="15">
        <v>313</v>
      </c>
      <c r="D952" s="15">
        <v>3132</v>
      </c>
      <c r="E952" s="14">
        <v>3132</v>
      </c>
      <c r="F952" s="16" t="s">
        <v>1196</v>
      </c>
      <c r="G952" s="17"/>
      <c r="H952" s="17"/>
      <c r="I952" s="56">
        <v>0</v>
      </c>
      <c r="J952" s="56"/>
      <c r="K952" s="56"/>
      <c r="L952" s="56"/>
      <c r="M952" s="56"/>
      <c r="N952" s="56"/>
      <c r="O952" s="56"/>
      <c r="P952" s="56"/>
      <c r="Q952" s="56"/>
      <c r="R952" s="56"/>
      <c r="S952" s="53"/>
      <c r="T952" s="33"/>
      <c r="U952" s="18"/>
      <c r="V952" s="19"/>
      <c r="W952" s="18"/>
      <c r="X952" s="18"/>
      <c r="Y952" s="18" t="s">
        <v>677</v>
      </c>
      <c r="Z952" s="19" t="str">
        <f>A952 &amp; "-" &amp; VLOOKUP(A952,[4]PROGRAMMES!$E$1:$F$7,2,FALSE)</f>
        <v>3-Expansion et réforme de l’ETFP</v>
      </c>
      <c r="AA952" s="19" t="str">
        <f>B952 &amp; "-" &amp; VLOOKUP(B952,[4]SOUSPROGRAMMES!$E$1:$F$44,2,FALSE)</f>
        <v>31- Identification des besoins en qualification de l’économie</v>
      </c>
      <c r="AB952" s="19" t="str">
        <f>C952 &amp; "-" &amp; VLOOKUP(C952,[4]RESULTATS!$E$1:$F$176,2,FALSE)</f>
        <v>313- Un mécanisme de suivi de l’insertion est opérationnel</v>
      </c>
      <c r="AC952" s="20" t="str">
        <f>D952 &amp; "-" &amp; VLOOKUP(D952,[4]STRATEGIES!$E$1:$F$504,2,FALSE)</f>
        <v>3132-Réalisation d’actions de suivi et d’analyse de l’insertion des diplômés de l’ETFP</v>
      </c>
      <c r="AD952" s="21" t="str">
        <f t="shared" si="170"/>
        <v>3132-Réalisation d’actions de suivi et d’analyse de l’insertion des diplômés de l’ETFP</v>
      </c>
    </row>
    <row r="953" spans="1:30" s="22" customFormat="1" ht="30" hidden="1" customHeight="1" x14ac:dyDescent="0.8">
      <c r="A953" s="14">
        <v>3</v>
      </c>
      <c r="B953" s="15">
        <v>31</v>
      </c>
      <c r="C953" s="15">
        <v>313</v>
      </c>
      <c r="D953" s="15">
        <v>3132</v>
      </c>
      <c r="E953" s="14">
        <v>31321</v>
      </c>
      <c r="F953" s="16" t="s">
        <v>1197</v>
      </c>
      <c r="G953" s="21" t="s">
        <v>92</v>
      </c>
      <c r="H953" s="17" t="s">
        <v>55</v>
      </c>
      <c r="I953" s="56">
        <v>0</v>
      </c>
      <c r="J953" s="56"/>
      <c r="K953" s="56">
        <v>1</v>
      </c>
      <c r="L953" s="56"/>
      <c r="M953" s="56">
        <f t="shared" si="173"/>
        <v>1</v>
      </c>
      <c r="N953" s="56">
        <f>IF(OR(H953="",H953="sif",H953="PM"),0,VLOOKUP(H953,[5]CU!$C$4:$H$255,6,FALSE))</f>
        <v>0</v>
      </c>
      <c r="O953" s="56">
        <f t="shared" si="172"/>
        <v>0</v>
      </c>
      <c r="P953" s="56">
        <f t="shared" si="172"/>
        <v>0</v>
      </c>
      <c r="Q953" s="56">
        <f t="shared" si="172"/>
        <v>0</v>
      </c>
      <c r="R953" s="56">
        <f t="shared" si="172"/>
        <v>0</v>
      </c>
      <c r="S953" s="53"/>
      <c r="T953" s="35" t="s">
        <v>56</v>
      </c>
      <c r="U953" s="18" t="s">
        <v>1156</v>
      </c>
      <c r="V953" s="19" t="str">
        <f>IF(OR($H953="",$H953="sif",$H953="PM"),"",VLOOKUP($H953,[5]CU!$C$5:$J$255,8,FALSE))</f>
        <v/>
      </c>
      <c r="W953" s="18"/>
      <c r="X953" s="18"/>
      <c r="Y953" s="18" t="s">
        <v>677</v>
      </c>
      <c r="Z953" s="19" t="str">
        <f>A953 &amp; "-" &amp; VLOOKUP(A953,[4]PROGRAMMES!$E$1:$F$7,2,FALSE)</f>
        <v>3-Expansion et réforme de l’ETFP</v>
      </c>
      <c r="AA953" s="19" t="str">
        <f>B953 &amp; "-" &amp; VLOOKUP(B953,[4]SOUSPROGRAMMES!$E$1:$F$44,2,FALSE)</f>
        <v>31- Identification des besoins en qualification de l’économie</v>
      </c>
      <c r="AB953" s="19" t="str">
        <f>C953 &amp; "-" &amp; VLOOKUP(C953,[4]RESULTATS!$E$1:$F$176,2,FALSE)</f>
        <v>313- Un mécanisme de suivi de l’insertion est opérationnel</v>
      </c>
      <c r="AC953" s="20" t="str">
        <f>D953 &amp; "-" &amp; VLOOKUP(D953,[4]STRATEGIES!$E$1:$F$504,2,FALSE)</f>
        <v>3132-Réalisation d’actions de suivi et d’analyse de l’insertion des diplômés de l’ETFP</v>
      </c>
      <c r="AD953" s="21" t="str">
        <f t="shared" si="170"/>
        <v>31321-Elaboration de guide d'enquête pour le suivi de l'insertion professionnelle (pris en compte dans activité 31311)</v>
      </c>
    </row>
    <row r="954" spans="1:30" s="22" customFormat="1" ht="45" hidden="1" customHeight="1" x14ac:dyDescent="0.8">
      <c r="A954" s="14">
        <v>3</v>
      </c>
      <c r="B954" s="15">
        <v>31</v>
      </c>
      <c r="C954" s="15">
        <v>313</v>
      </c>
      <c r="D954" s="15">
        <v>3132</v>
      </c>
      <c r="E954" s="14">
        <v>31322</v>
      </c>
      <c r="F954" s="16" t="s">
        <v>1198</v>
      </c>
      <c r="G954" s="21" t="s">
        <v>92</v>
      </c>
      <c r="H954" s="17" t="s">
        <v>55</v>
      </c>
      <c r="I954" s="56">
        <v>0</v>
      </c>
      <c r="J954" s="56"/>
      <c r="K954" s="56">
        <v>1</v>
      </c>
      <c r="L954" s="56"/>
      <c r="M954" s="56">
        <f t="shared" si="173"/>
        <v>1</v>
      </c>
      <c r="N954" s="56">
        <f>IF(OR(H954="",H954="sif",H954="PM"),0,VLOOKUP(H954,[5]CU!$C$4:$H$255,6,FALSE))</f>
        <v>0</v>
      </c>
      <c r="O954" s="56">
        <f t="shared" si="172"/>
        <v>0</v>
      </c>
      <c r="P954" s="56">
        <f t="shared" si="172"/>
        <v>0</v>
      </c>
      <c r="Q954" s="56">
        <f t="shared" si="172"/>
        <v>0</v>
      </c>
      <c r="R954" s="56">
        <f t="shared" si="172"/>
        <v>0</v>
      </c>
      <c r="S954" s="53"/>
      <c r="T954" s="35" t="s">
        <v>56</v>
      </c>
      <c r="U954" s="18" t="s">
        <v>1156</v>
      </c>
      <c r="V954" s="19" t="str">
        <f>IF(OR($H954="",$H954="sif",$H954="PM"),"",VLOOKUP($H954,[5]CU!$C$5:$J$255,8,FALSE))</f>
        <v/>
      </c>
      <c r="W954" s="18"/>
      <c r="X954" s="18"/>
      <c r="Y954" s="18" t="s">
        <v>677</v>
      </c>
      <c r="Z954" s="19" t="str">
        <f>A954 &amp; "-" &amp; VLOOKUP(A954,[4]PROGRAMMES!$E$1:$F$7,2,FALSE)</f>
        <v>3-Expansion et réforme de l’ETFP</v>
      </c>
      <c r="AA954" s="19" t="str">
        <f>B954 &amp; "-" &amp; VLOOKUP(B954,[4]SOUSPROGRAMMES!$E$1:$F$44,2,FALSE)</f>
        <v>31- Identification des besoins en qualification de l’économie</v>
      </c>
      <c r="AB954" s="19" t="str">
        <f>C954 &amp; "-" &amp; VLOOKUP(C954,[4]RESULTATS!$E$1:$F$176,2,FALSE)</f>
        <v>313- Un mécanisme de suivi de l’insertion est opérationnel</v>
      </c>
      <c r="AC954" s="20" t="str">
        <f>D954 &amp; "-" &amp; VLOOKUP(D954,[4]STRATEGIES!$E$1:$F$504,2,FALSE)</f>
        <v>3132-Réalisation d’actions de suivi et d’analyse de l’insertion des diplômés de l’ETFP</v>
      </c>
      <c r="AD954" s="21" t="str">
        <f t="shared" si="170"/>
        <v>31322-Développement d'une application pour le suivi de l'insertion (niveau établissement et niveau national pris en charge dans activité 31311)</v>
      </c>
    </row>
    <row r="955" spans="1:30" s="22" customFormat="1" ht="45" hidden="1" customHeight="1" x14ac:dyDescent="0.8">
      <c r="A955" s="14">
        <v>3</v>
      </c>
      <c r="B955" s="15">
        <v>31</v>
      </c>
      <c r="C955" s="15">
        <v>313</v>
      </c>
      <c r="D955" s="15">
        <v>3132</v>
      </c>
      <c r="E955" s="14">
        <v>31323</v>
      </c>
      <c r="F955" s="16" t="s">
        <v>1199</v>
      </c>
      <c r="G955" s="21" t="s">
        <v>92</v>
      </c>
      <c r="H955" s="17" t="s">
        <v>55</v>
      </c>
      <c r="I955" s="56">
        <v>0</v>
      </c>
      <c r="J955" s="56"/>
      <c r="K955" s="56">
        <v>1</v>
      </c>
      <c r="L955" s="56">
        <v>1</v>
      </c>
      <c r="M955" s="56">
        <f t="shared" si="173"/>
        <v>2</v>
      </c>
      <c r="N955" s="56">
        <f>IF(OR(H955="",H955="sif",H955="PM"),0,VLOOKUP(H955,[5]CU!$C$4:$H$255,6,FALSE))</f>
        <v>0</v>
      </c>
      <c r="O955" s="56">
        <f t="shared" si="172"/>
        <v>0</v>
      </c>
      <c r="P955" s="56">
        <f t="shared" si="172"/>
        <v>0</v>
      </c>
      <c r="Q955" s="56">
        <f t="shared" si="172"/>
        <v>0</v>
      </c>
      <c r="R955" s="56">
        <f t="shared" si="172"/>
        <v>0</v>
      </c>
      <c r="S955" s="53"/>
      <c r="T955" s="35" t="s">
        <v>56</v>
      </c>
      <c r="U955" s="18" t="s">
        <v>1156</v>
      </c>
      <c r="V955" s="19" t="str">
        <f>IF(OR($H955="",$H955="sif",$H955="PM"),"",VLOOKUP($H955,[5]CU!$C$5:$J$255,8,FALSE))</f>
        <v/>
      </c>
      <c r="W955" s="18"/>
      <c r="X955" s="18"/>
      <c r="Y955" s="18" t="s">
        <v>677</v>
      </c>
      <c r="Z955" s="19" t="str">
        <f>A955 &amp; "-" &amp; VLOOKUP(A955,[4]PROGRAMMES!$E$1:$F$7,2,FALSE)</f>
        <v>3-Expansion et réforme de l’ETFP</v>
      </c>
      <c r="AA955" s="19" t="str">
        <f>B955 &amp; "-" &amp; VLOOKUP(B955,[4]SOUSPROGRAMMES!$E$1:$F$44,2,FALSE)</f>
        <v>31- Identification des besoins en qualification de l’économie</v>
      </c>
      <c r="AB955" s="19" t="str">
        <f>C955 &amp; "-" &amp; VLOOKUP(C955,[4]RESULTATS!$E$1:$F$176,2,FALSE)</f>
        <v>313- Un mécanisme de suivi de l’insertion est opérationnel</v>
      </c>
      <c r="AC955" s="20" t="str">
        <f>D955 &amp; "-" &amp; VLOOKUP(D955,[4]STRATEGIES!$E$1:$F$504,2,FALSE)</f>
        <v>3132-Réalisation d’actions de suivi et d’analyse de l’insertion des diplômés de l’ETFP</v>
      </c>
      <c r="AD955" s="21" t="str">
        <f t="shared" si="170"/>
        <v>31323-Collecte périodique des données sur l'insertion professionnelle au niveau des institutions de formation et des entreprises (voir budget établissement)</v>
      </c>
    </row>
    <row r="956" spans="1:30" s="22" customFormat="1" ht="30" hidden="1" customHeight="1" x14ac:dyDescent="0.8">
      <c r="A956" s="14">
        <v>3</v>
      </c>
      <c r="B956" s="15">
        <v>31</v>
      </c>
      <c r="C956" s="15">
        <v>313</v>
      </c>
      <c r="D956" s="15">
        <v>3132</v>
      </c>
      <c r="E956" s="14">
        <v>31324</v>
      </c>
      <c r="F956" s="16" t="s">
        <v>1200</v>
      </c>
      <c r="G956" s="21" t="s">
        <v>37</v>
      </c>
      <c r="H956" s="17" t="s">
        <v>66</v>
      </c>
      <c r="I956" s="56">
        <v>0</v>
      </c>
      <c r="J956" s="56"/>
      <c r="K956" s="56">
        <f>40*5*8</f>
        <v>1600</v>
      </c>
      <c r="L956" s="56">
        <v>0</v>
      </c>
      <c r="M956" s="56">
        <f t="shared" si="173"/>
        <v>1600</v>
      </c>
      <c r="N956" s="56">
        <f>IF(OR(H956="",H956="sif",H956="PM"),0,VLOOKUP(H956,[5]CU!$C$4:$H$255,6,FALSE))</f>
        <v>0.255</v>
      </c>
      <c r="O956" s="56">
        <f t="shared" si="172"/>
        <v>0</v>
      </c>
      <c r="P956" s="56">
        <f t="shared" si="172"/>
        <v>0</v>
      </c>
      <c r="Q956" s="56">
        <f t="shared" si="172"/>
        <v>408</v>
      </c>
      <c r="R956" s="56">
        <f t="shared" si="172"/>
        <v>0</v>
      </c>
      <c r="S956" s="53">
        <f>SUM(O956:R956)</f>
        <v>408</v>
      </c>
      <c r="T956" s="35" t="s">
        <v>169</v>
      </c>
      <c r="U956" s="18" t="s">
        <v>1156</v>
      </c>
      <c r="V956" s="19" t="str">
        <f>IF(OR($H956="",$H956="sif",$H956="PM"),"",VLOOKUP($H956,[5]CU!$C$5:$J$255,8,FALSE))</f>
        <v>3. Dépenses de fonctionnement</v>
      </c>
      <c r="W956" s="18" t="s">
        <v>96</v>
      </c>
      <c r="X956" s="18" t="s">
        <v>1165</v>
      </c>
      <c r="Y956" s="18" t="s">
        <v>677</v>
      </c>
      <c r="Z956" s="19" t="str">
        <f>A956 &amp; "-" &amp; VLOOKUP(A956,[4]PROGRAMMES!$E$1:$F$7,2,FALSE)</f>
        <v>3-Expansion et réforme de l’ETFP</v>
      </c>
      <c r="AA956" s="19" t="str">
        <f>B956 &amp; "-" &amp; VLOOKUP(B956,[4]SOUSPROGRAMMES!$E$1:$F$44,2,FALSE)</f>
        <v>31- Identification des besoins en qualification de l’économie</v>
      </c>
      <c r="AB956" s="19" t="str">
        <f>C956 &amp; "-" &amp; VLOOKUP(C956,[4]RESULTATS!$E$1:$F$176,2,FALSE)</f>
        <v>313- Un mécanisme de suivi de l’insertion est opérationnel</v>
      </c>
      <c r="AC956" s="20" t="str">
        <f>D956 &amp; "-" &amp; VLOOKUP(D956,[4]STRATEGIES!$E$1:$F$504,2,FALSE)</f>
        <v>3132-Réalisation d’actions de suivi et d’analyse de l’insertion des diplômés de l’ETFP</v>
      </c>
      <c r="AD956" s="21" t="str">
        <f t="shared" si="170"/>
        <v>31324-Analyse et partage des résultats annuels du suivi de l'insertion</v>
      </c>
    </row>
    <row r="957" spans="1:30" s="22" customFormat="1" ht="30" hidden="1" customHeight="1" x14ac:dyDescent="0.8">
      <c r="A957" s="14">
        <v>3</v>
      </c>
      <c r="B957" s="15">
        <v>31</v>
      </c>
      <c r="C957" s="15">
        <v>313</v>
      </c>
      <c r="D957" s="15">
        <v>3132</v>
      </c>
      <c r="E957" s="14">
        <v>31325</v>
      </c>
      <c r="F957" s="16" t="s">
        <v>1201</v>
      </c>
      <c r="G957" s="21" t="s">
        <v>1195</v>
      </c>
      <c r="H957" s="17" t="s">
        <v>55</v>
      </c>
      <c r="I957" s="56">
        <v>0</v>
      </c>
      <c r="J957" s="56"/>
      <c r="K957" s="56">
        <v>1</v>
      </c>
      <c r="L957" s="56">
        <v>1</v>
      </c>
      <c r="M957" s="56">
        <f t="shared" si="173"/>
        <v>2</v>
      </c>
      <c r="N957" s="56">
        <f>IF(OR(H957="",H957="sif",H957="PM"),0,VLOOKUP(H957,[5]CU!$C$4:$H$255,6,FALSE))</f>
        <v>0</v>
      </c>
      <c r="O957" s="56">
        <f t="shared" si="172"/>
        <v>0</v>
      </c>
      <c r="P957" s="56">
        <f t="shared" si="172"/>
        <v>0</v>
      </c>
      <c r="Q957" s="56">
        <f t="shared" si="172"/>
        <v>0</v>
      </c>
      <c r="R957" s="56">
        <f t="shared" si="172"/>
        <v>0</v>
      </c>
      <c r="S957" s="53"/>
      <c r="T957" s="35" t="s">
        <v>56</v>
      </c>
      <c r="U957" s="18" t="s">
        <v>1156</v>
      </c>
      <c r="V957" s="19" t="str">
        <f>IF(OR($H957="",$H957="sif",$H957="PM"),"",VLOOKUP($H957,[5]CU!$C$5:$J$255,8,FALSE))</f>
        <v/>
      </c>
      <c r="W957" s="18" t="s">
        <v>1165</v>
      </c>
      <c r="X957" s="18" t="s">
        <v>1165</v>
      </c>
      <c r="Y957" s="18" t="s">
        <v>677</v>
      </c>
      <c r="Z957" s="19" t="str">
        <f>A957 &amp; "-" &amp; VLOOKUP(A957,[4]PROGRAMMES!$E$1:$F$7,2,FALSE)</f>
        <v>3-Expansion et réforme de l’ETFP</v>
      </c>
      <c r="AA957" s="19" t="str">
        <f>B957 &amp; "-" &amp; VLOOKUP(B957,[4]SOUSPROGRAMMES!$E$1:$F$44,2,FALSE)</f>
        <v>31- Identification des besoins en qualification de l’économie</v>
      </c>
      <c r="AB957" s="19" t="str">
        <f>C957 &amp; "-" &amp; VLOOKUP(C957,[4]RESULTATS!$E$1:$F$176,2,FALSE)</f>
        <v>313- Un mécanisme de suivi de l’insertion est opérationnel</v>
      </c>
      <c r="AC957" s="20" t="str">
        <f>D957 &amp; "-" &amp; VLOOKUP(D957,[4]STRATEGIES!$E$1:$F$504,2,FALSE)</f>
        <v>3132-Réalisation d’actions de suivi et d’analyse de l’insertion des diplômés de l’ETFP</v>
      </c>
      <c r="AD957" s="21" t="str">
        <f t="shared" si="170"/>
        <v xml:space="preserve">31325-Prise en charge dans les programmes de formation des constats de l'analyse du suivi de l'insertion </v>
      </c>
    </row>
    <row r="958" spans="1:30" s="22" customFormat="1" ht="45" customHeight="1" x14ac:dyDescent="0.8">
      <c r="A958" s="14">
        <v>3</v>
      </c>
      <c r="B958" s="15">
        <v>32</v>
      </c>
      <c r="C958" s="15">
        <v>32</v>
      </c>
      <c r="D958" s="15">
        <v>32</v>
      </c>
      <c r="E958" s="14">
        <v>32</v>
      </c>
      <c r="F958" s="16" t="s">
        <v>1202</v>
      </c>
      <c r="G958" s="17"/>
      <c r="H958" s="17"/>
      <c r="I958" s="56">
        <v>0</v>
      </c>
      <c r="J958" s="56"/>
      <c r="K958" s="56"/>
      <c r="L958" s="56"/>
      <c r="M958" s="56"/>
      <c r="N958" s="56"/>
      <c r="O958" s="56"/>
      <c r="P958" s="56"/>
      <c r="Q958" s="56"/>
      <c r="R958" s="56"/>
      <c r="S958" s="53"/>
      <c r="T958" s="33"/>
      <c r="U958" s="18"/>
      <c r="V958" s="19"/>
      <c r="W958" s="18"/>
      <c r="X958" s="18"/>
      <c r="Y958" s="18" t="s">
        <v>677</v>
      </c>
      <c r="Z958" s="19" t="str">
        <f>A958 &amp; "-" &amp; VLOOKUP(A958,[4]PROGRAMMES!$E$1:$F$7,2,FALSE)</f>
        <v>3-Expansion et réforme de l’ETFP</v>
      </c>
      <c r="AA958" s="19" t="str">
        <f>B958 &amp; "-" &amp; VLOOKUP(B958,[4]SOUSPROGRAMMES!$E$1:$F$44,2,FALSE)</f>
        <v>32- Mise en place d’une ingénierie de formation adaptée aux besoins de l’économie</v>
      </c>
      <c r="AB958" s="19" t="str">
        <f>C958 &amp; "-" &amp; VLOOKUP(C958,[4]RESULTATS!$E$1:$F$176,2,FALSE)</f>
        <v>32- Mise en place d’une ingénierie de formation adaptée aux besoins de l’économie</v>
      </c>
      <c r="AC958" s="20" t="str">
        <f>D958 &amp; "-" &amp; VLOOKUP(D958,[4]STRATEGIES!$E$1:$F$504,2,FALSE)</f>
        <v>32- Mise en place d’une ingénierie de formation adaptée aux besoins de l’économie</v>
      </c>
      <c r="AD958" s="21" t="str">
        <f t="shared" si="170"/>
        <v>32- Mise en place d’une ingénierie de formation adaptée aux besoins de l’économie</v>
      </c>
    </row>
    <row r="959" spans="1:30" s="22" customFormat="1" ht="60" customHeight="1" x14ac:dyDescent="0.8">
      <c r="A959" s="14">
        <v>3</v>
      </c>
      <c r="B959" s="15">
        <v>32</v>
      </c>
      <c r="C959" s="15">
        <v>321</v>
      </c>
      <c r="D959" s="15">
        <v>321</v>
      </c>
      <c r="E959" s="14">
        <v>321</v>
      </c>
      <c r="F959" s="16" t="s">
        <v>1203</v>
      </c>
      <c r="G959" s="17"/>
      <c r="H959" s="17"/>
      <c r="I959" s="56">
        <v>0</v>
      </c>
      <c r="J959" s="56"/>
      <c r="K959" s="56"/>
      <c r="L959" s="56"/>
      <c r="M959" s="56"/>
      <c r="N959" s="56"/>
      <c r="O959" s="56"/>
      <c r="P959" s="56"/>
      <c r="Q959" s="56"/>
      <c r="R959" s="56"/>
      <c r="S959" s="53"/>
      <c r="T959" s="33"/>
      <c r="U959" s="18"/>
      <c r="V959" s="19"/>
      <c r="W959" s="18"/>
      <c r="X959" s="18"/>
      <c r="Y959" s="18" t="s">
        <v>677</v>
      </c>
      <c r="Z959" s="19" t="str">
        <f>A959 &amp; "-" &amp; VLOOKUP(A959,[4]PROGRAMMES!$E$1:$F$7,2,FALSE)</f>
        <v>3-Expansion et réforme de l’ETFP</v>
      </c>
      <c r="AA959" s="19" t="str">
        <f>B959 &amp; "-" &amp; VLOOKUP(B959,[4]SOUSPROGRAMMES!$E$1:$F$44,2,FALSE)</f>
        <v>32- Mise en place d’une ingénierie de formation adaptée aux besoins de l’économie</v>
      </c>
      <c r="AB959" s="19" t="str">
        <f>C959 &amp; "-" &amp; VLOOKUP(C959,[4]RESULTATS!$E$1:$F$176,2,FALSE)</f>
        <v>321- Un dispositif institutionnel de formation du personnel de formation et d’ingénierie de formation est mis en place</v>
      </c>
      <c r="AC959" s="20" t="str">
        <f>D959 &amp; "-" &amp; VLOOKUP(D959,[4]STRATEGIES!$E$1:$F$504,2,FALSE)</f>
        <v>321- Un dispositif institutionnel de formation du personnel de formation et d’ingénierie de formation est mis en place</v>
      </c>
      <c r="AD959" s="21" t="str">
        <f t="shared" si="170"/>
        <v>321- Un dispositif institutionnel de formation du personnel de formation et d’ingénierie de formation est mis en place</v>
      </c>
    </row>
    <row r="960" spans="1:30" s="22" customFormat="1" ht="60" customHeight="1" x14ac:dyDescent="0.8">
      <c r="A960" s="14">
        <v>3</v>
      </c>
      <c r="B960" s="15">
        <v>32</v>
      </c>
      <c r="C960" s="15">
        <v>321</v>
      </c>
      <c r="D960" s="15">
        <v>3211</v>
      </c>
      <c r="E960" s="14">
        <v>3211</v>
      </c>
      <c r="F960" s="16" t="s">
        <v>1204</v>
      </c>
      <c r="G960" s="17"/>
      <c r="H960" s="17"/>
      <c r="I960" s="56">
        <v>0</v>
      </c>
      <c r="J960" s="56"/>
      <c r="K960" s="56"/>
      <c r="L960" s="56"/>
      <c r="M960" s="56"/>
      <c r="N960" s="56"/>
      <c r="O960" s="56"/>
      <c r="P960" s="56"/>
      <c r="Q960" s="56"/>
      <c r="R960" s="56"/>
      <c r="S960" s="53"/>
      <c r="T960" s="33"/>
      <c r="U960" s="18"/>
      <c r="V960" s="19"/>
      <c r="W960" s="18"/>
      <c r="X960" s="18"/>
      <c r="Y960" s="18" t="s">
        <v>677</v>
      </c>
      <c r="Z960" s="19" t="str">
        <f>A960 &amp; "-" &amp; VLOOKUP(A960,[4]PROGRAMMES!$E$1:$F$7,2,FALSE)</f>
        <v>3-Expansion et réforme de l’ETFP</v>
      </c>
      <c r="AA960" s="19" t="str">
        <f>B960 &amp; "-" &amp; VLOOKUP(B960,[4]SOUSPROGRAMMES!$E$1:$F$44,2,FALSE)</f>
        <v>32- Mise en place d’une ingénierie de formation adaptée aux besoins de l’économie</v>
      </c>
      <c r="AB960" s="19" t="str">
        <f>C960 &amp; "-" &amp; VLOOKUP(C960,[4]RESULTATS!$E$1:$F$176,2,FALSE)</f>
        <v>321- Un dispositif institutionnel de formation du personnel de formation et d’ingénierie de formation est mis en place</v>
      </c>
      <c r="AC960" s="20" t="str">
        <f>D960 &amp; "-" &amp; VLOOKUP(D960,[4]STRATEGIES!$E$1:$F$504,2,FALSE)</f>
        <v>3211-Définition des missions du dispositif institutionnel de l’ingénierie de formation</v>
      </c>
      <c r="AD960" s="21" t="str">
        <f t="shared" si="170"/>
        <v>3211-DéFinition des missions du dispositif institutionnel de l’ingénierie de formation</v>
      </c>
    </row>
    <row r="961" spans="1:30" s="22" customFormat="1" ht="60" customHeight="1" x14ac:dyDescent="0.8">
      <c r="A961" s="14">
        <v>3</v>
      </c>
      <c r="B961" s="15">
        <v>32</v>
      </c>
      <c r="C961" s="15">
        <v>321</v>
      </c>
      <c r="D961" s="15">
        <v>3211</v>
      </c>
      <c r="E961" s="14">
        <v>32111</v>
      </c>
      <c r="F961" s="16" t="s">
        <v>1205</v>
      </c>
      <c r="G961" s="21" t="s">
        <v>1191</v>
      </c>
      <c r="H961" s="17" t="s">
        <v>662</v>
      </c>
      <c r="I961" s="56">
        <v>0</v>
      </c>
      <c r="J961" s="56"/>
      <c r="K961" s="56">
        <v>8</v>
      </c>
      <c r="L961" s="56">
        <f>1*4</f>
        <v>4</v>
      </c>
      <c r="M961" s="56">
        <f t="shared" si="173"/>
        <v>12</v>
      </c>
      <c r="N961" s="56">
        <f>IF(OR(H961="",H961="sif",H961="PM"),0,VLOOKUP(H961,[5]CU!$C$4:$H$255,6,FALSE))</f>
        <v>219.54797350000001</v>
      </c>
      <c r="O961" s="56">
        <f t="shared" si="172"/>
        <v>0</v>
      </c>
      <c r="P961" s="56">
        <f t="shared" si="172"/>
        <v>0</v>
      </c>
      <c r="Q961" s="56">
        <f t="shared" si="172"/>
        <v>1756.3837880000001</v>
      </c>
      <c r="R961" s="56">
        <f t="shared" si="172"/>
        <v>878.19189400000005</v>
      </c>
      <c r="S961" s="53">
        <f>SUM(O961:R961)</f>
        <v>2634.5756820000001</v>
      </c>
      <c r="T961" s="35" t="s">
        <v>2673</v>
      </c>
      <c r="U961" s="18" t="s">
        <v>1206</v>
      </c>
      <c r="V961" s="19" t="str">
        <f>IF(OR($H961="",$H961="sif",$H961="PM"),"",VLOOKUP($H961,[5]CU!$C$5:$J$255,8,FALSE))</f>
        <v>3. Dépenses de fonctionnement</v>
      </c>
      <c r="W961" s="18" t="s">
        <v>1165</v>
      </c>
      <c r="X961" s="18" t="s">
        <v>1168</v>
      </c>
      <c r="Y961" s="18" t="s">
        <v>677</v>
      </c>
      <c r="Z961" s="19" t="str">
        <f>A961 &amp; "-" &amp; VLOOKUP(A961,[4]PROGRAMMES!$E$1:$F$7,2,FALSE)</f>
        <v>3-Expansion et réforme de l’ETFP</v>
      </c>
      <c r="AA961" s="19" t="str">
        <f>B961 &amp; "-" &amp; VLOOKUP(B961,[4]SOUSPROGRAMMES!$E$1:$F$44,2,FALSE)</f>
        <v>32- Mise en place d’une ingénierie de formation adaptée aux besoins de l’économie</v>
      </c>
      <c r="AB961" s="19" t="str">
        <f>C961 &amp; "-" &amp; VLOOKUP(C961,[4]RESULTATS!$E$1:$F$176,2,FALSE)</f>
        <v>321- Un dispositif institutionnel de formation du personnel de formation et d’ingénierie de formation est mis en place</v>
      </c>
      <c r="AC961" s="20" t="str">
        <f>D961 &amp; "-" &amp; VLOOKUP(D961,[4]STRATEGIES!$E$1:$F$504,2,FALSE)</f>
        <v>3211-Définition des missions du dispositif institutionnel de l’ingénierie de formation</v>
      </c>
      <c r="AD961" s="21" t="str">
        <f t="shared" si="170"/>
        <v>32111-Appui à la déFinition du dispositif institutionnel et à l'accompagnement de l'ingénierie de formation (appui long terme sur l'ensemble du processus)</v>
      </c>
    </row>
    <row r="962" spans="1:30" s="22" customFormat="1" ht="60" hidden="1" customHeight="1" x14ac:dyDescent="0.8">
      <c r="A962" s="14">
        <v>3</v>
      </c>
      <c r="B962" s="15">
        <v>32</v>
      </c>
      <c r="C962" s="15">
        <v>321</v>
      </c>
      <c r="D962" s="15">
        <v>3211</v>
      </c>
      <c r="E962" s="14">
        <v>32112</v>
      </c>
      <c r="F962" s="16" t="s">
        <v>1207</v>
      </c>
      <c r="G962" s="21" t="s">
        <v>92</v>
      </c>
      <c r="H962" s="17" t="s">
        <v>55</v>
      </c>
      <c r="I962" s="56">
        <v>0</v>
      </c>
      <c r="J962" s="56"/>
      <c r="K962" s="56">
        <v>1</v>
      </c>
      <c r="L962" s="56"/>
      <c r="M962" s="56">
        <f t="shared" si="173"/>
        <v>1</v>
      </c>
      <c r="N962" s="56">
        <f>IF(OR(H962="",H962="sif",H962="PM"),0,VLOOKUP(H962,[5]CU!$C$4:$H$255,6,FALSE))</f>
        <v>0</v>
      </c>
      <c r="O962" s="56">
        <f t="shared" si="172"/>
        <v>0</v>
      </c>
      <c r="P962" s="56">
        <f t="shared" si="172"/>
        <v>0</v>
      </c>
      <c r="Q962" s="56">
        <f t="shared" si="172"/>
        <v>0</v>
      </c>
      <c r="R962" s="56">
        <f t="shared" si="172"/>
        <v>0</v>
      </c>
      <c r="S962" s="53"/>
      <c r="T962" s="35" t="s">
        <v>56</v>
      </c>
      <c r="U962" s="18" t="s">
        <v>1206</v>
      </c>
      <c r="V962" s="19" t="str">
        <f>IF(OR($H962="",$H962="sif",$H962="PM"),"",VLOOKUP($H962,[5]CU!$C$5:$J$255,8,FALSE))</f>
        <v/>
      </c>
      <c r="W962" s="18"/>
      <c r="X962" s="18"/>
      <c r="Y962" s="18" t="s">
        <v>677</v>
      </c>
      <c r="Z962" s="19" t="str">
        <f>A962 &amp; "-" &amp; VLOOKUP(A962,[4]PROGRAMMES!$E$1:$F$7,2,FALSE)</f>
        <v>3-Expansion et réforme de l’ETFP</v>
      </c>
      <c r="AA962" s="19" t="str">
        <f>B962 &amp; "-" &amp; VLOOKUP(B962,[4]SOUSPROGRAMMES!$E$1:$F$44,2,FALSE)</f>
        <v>32- Mise en place d’une ingénierie de formation adaptée aux besoins de l’économie</v>
      </c>
      <c r="AB962" s="19" t="str">
        <f>C962 &amp; "-" &amp; VLOOKUP(C962,[4]RESULTATS!$E$1:$F$176,2,FALSE)</f>
        <v>321- Un dispositif institutionnel de formation du personnel de formation et d’ingénierie de formation est mis en place</v>
      </c>
      <c r="AC962" s="20" t="str">
        <f>D962 &amp; "-" &amp; VLOOKUP(D962,[4]STRATEGIES!$E$1:$F$504,2,FALSE)</f>
        <v>3211-Définition des missions du dispositif institutionnel de l’ingénierie de formation</v>
      </c>
      <c r="AD962" s="21" t="str">
        <f t="shared" si="170"/>
        <v>32112-Elaboration d'un cahier de charges (pris en compte dans 32111)</v>
      </c>
    </row>
    <row r="963" spans="1:30" s="22" customFormat="1" ht="60" hidden="1" customHeight="1" x14ac:dyDescent="0.8">
      <c r="A963" s="14">
        <v>3</v>
      </c>
      <c r="B963" s="15">
        <v>32</v>
      </c>
      <c r="C963" s="15">
        <v>321</v>
      </c>
      <c r="D963" s="15">
        <v>3211</v>
      </c>
      <c r="E963" s="14">
        <v>32113</v>
      </c>
      <c r="F963" s="16" t="s">
        <v>1208</v>
      </c>
      <c r="G963" s="21" t="s">
        <v>37</v>
      </c>
      <c r="H963" s="17" t="s">
        <v>38</v>
      </c>
      <c r="I963" s="56">
        <v>0</v>
      </c>
      <c r="J963" s="56"/>
      <c r="K963" s="56">
        <f>20*3</f>
        <v>60</v>
      </c>
      <c r="L963" s="56">
        <f>20*3</f>
        <v>60</v>
      </c>
      <c r="M963" s="56">
        <f t="shared" si="173"/>
        <v>120</v>
      </c>
      <c r="N963" s="56">
        <f>IF(OR(H963="",H963="sif",H963="PM"),0,VLOOKUP(H963,[5]CU!$C$4:$H$255,6,FALSE))</f>
        <v>0.3133333333333333</v>
      </c>
      <c r="O963" s="56">
        <f t="shared" si="172"/>
        <v>0</v>
      </c>
      <c r="P963" s="56">
        <f t="shared" si="172"/>
        <v>0</v>
      </c>
      <c r="Q963" s="56">
        <f t="shared" si="172"/>
        <v>18.799999999999997</v>
      </c>
      <c r="R963" s="56">
        <f t="shared" si="172"/>
        <v>18.799999999999997</v>
      </c>
      <c r="S963" s="53">
        <f>SUM(O963:R963)</f>
        <v>37.599999999999994</v>
      </c>
      <c r="T963" s="35" t="s">
        <v>169</v>
      </c>
      <c r="U963" s="18" t="s">
        <v>1206</v>
      </c>
      <c r="V963" s="19" t="str">
        <f>IF(OR($H963="",$H963="sif",$H963="PM"),"",VLOOKUP($H963,[5]CU!$C$5:$J$255,8,FALSE))</f>
        <v>3. Formation</v>
      </c>
      <c r="W963" s="18" t="s">
        <v>96</v>
      </c>
      <c r="X963" s="18" t="s">
        <v>1165</v>
      </c>
      <c r="Y963" s="18" t="s">
        <v>677</v>
      </c>
      <c r="Z963" s="19" t="str">
        <f>A963 &amp; "-" &amp; VLOOKUP(A963,[4]PROGRAMMES!$E$1:$F$7,2,FALSE)</f>
        <v>3-Expansion et réforme de l’ETFP</v>
      </c>
      <c r="AA963" s="19" t="str">
        <f>B963 &amp; "-" &amp; VLOOKUP(B963,[4]SOUSPROGRAMMES!$E$1:$F$44,2,FALSE)</f>
        <v>32- Mise en place d’une ingénierie de formation adaptée aux besoins de l’économie</v>
      </c>
      <c r="AB963" s="19" t="str">
        <f>C963 &amp; "-" &amp; VLOOKUP(C963,[4]RESULTATS!$E$1:$F$176,2,FALSE)</f>
        <v>321- Un dispositif institutionnel de formation du personnel de formation et d’ingénierie de formation est mis en place</v>
      </c>
      <c r="AC963" s="20" t="str">
        <f>D963 &amp; "-" &amp; VLOOKUP(D963,[4]STRATEGIES!$E$1:$F$504,2,FALSE)</f>
        <v>3211-Définition des missions du dispositif institutionnel de l’ingénierie de formation</v>
      </c>
      <c r="AD963" s="21" t="str">
        <f t="shared" si="170"/>
        <v xml:space="preserve">32113-Partage et validation du projet de dispositif </v>
      </c>
    </row>
    <row r="964" spans="1:30" s="22" customFormat="1" ht="60" hidden="1" customHeight="1" x14ac:dyDescent="0.8">
      <c r="A964" s="14">
        <v>3</v>
      </c>
      <c r="B964" s="15">
        <v>32</v>
      </c>
      <c r="C964" s="15">
        <v>321</v>
      </c>
      <c r="D964" s="15">
        <v>3211</v>
      </c>
      <c r="E964" s="14">
        <v>32114</v>
      </c>
      <c r="F964" s="16" t="s">
        <v>1209</v>
      </c>
      <c r="G964" s="21" t="s">
        <v>651</v>
      </c>
      <c r="H964" s="17" t="s">
        <v>55</v>
      </c>
      <c r="I964" s="56">
        <v>0</v>
      </c>
      <c r="J964" s="56"/>
      <c r="K964" s="56">
        <v>1</v>
      </c>
      <c r="L964" s="56"/>
      <c r="M964" s="56">
        <f t="shared" si="173"/>
        <v>1</v>
      </c>
      <c r="N964" s="56">
        <f>IF(OR(H964="",H964="sif",H964="PM"),0,VLOOKUP(H964,[5]CU!$C$4:$H$255,6,FALSE))</f>
        <v>0</v>
      </c>
      <c r="O964" s="56">
        <f t="shared" si="172"/>
        <v>0</v>
      </c>
      <c r="P964" s="56">
        <f t="shared" si="172"/>
        <v>0</v>
      </c>
      <c r="Q964" s="56">
        <f t="shared" si="172"/>
        <v>0</v>
      </c>
      <c r="R964" s="56">
        <f t="shared" si="172"/>
        <v>0</v>
      </c>
      <c r="S964" s="53"/>
      <c r="T964" s="35" t="s">
        <v>56</v>
      </c>
      <c r="U964" s="18" t="s">
        <v>1206</v>
      </c>
      <c r="V964" s="19" t="str">
        <f>IF(OR($H964="",$H964="sif",$H964="PM"),"",VLOOKUP($H964,[5]CU!$C$5:$J$255,8,FALSE))</f>
        <v/>
      </c>
      <c r="W964" s="18" t="s">
        <v>1165</v>
      </c>
      <c r="X964" s="18" t="s">
        <v>1165</v>
      </c>
      <c r="Y964" s="18" t="s">
        <v>677</v>
      </c>
      <c r="Z964" s="19" t="str">
        <f>A964 &amp; "-" &amp; VLOOKUP(A964,[4]PROGRAMMES!$E$1:$F$7,2,FALSE)</f>
        <v>3-Expansion et réforme de l’ETFP</v>
      </c>
      <c r="AA964" s="19" t="str">
        <f>B964 &amp; "-" &amp; VLOOKUP(B964,[4]SOUSPROGRAMMES!$E$1:$F$44,2,FALSE)</f>
        <v>32- Mise en place d’une ingénierie de formation adaptée aux besoins de l’économie</v>
      </c>
      <c r="AB964" s="19" t="str">
        <f>C964 &amp; "-" &amp; VLOOKUP(C964,[4]RESULTATS!$E$1:$F$176,2,FALSE)</f>
        <v>321- Un dispositif institutionnel de formation du personnel de formation et d’ingénierie de formation est mis en place</v>
      </c>
      <c r="AC964" s="20" t="str">
        <f>D964 &amp; "-" &amp; VLOOKUP(D964,[4]STRATEGIES!$E$1:$F$504,2,FALSE)</f>
        <v>3211-Définition des missions du dispositif institutionnel de l’ingénierie de formation</v>
      </c>
      <c r="AD964" s="21" t="str">
        <f t="shared" ref="AD964:AD1027" si="174">E964 &amp; "-" &amp; F964</f>
        <v>32114-Elaboration et adoption des textes réglementant le fonctionnement du dispositif</v>
      </c>
    </row>
    <row r="965" spans="1:30" s="22" customFormat="1" ht="60" customHeight="1" x14ac:dyDescent="0.8">
      <c r="A965" s="14">
        <v>3</v>
      </c>
      <c r="B965" s="15">
        <v>32</v>
      </c>
      <c r="C965" s="15">
        <v>321</v>
      </c>
      <c r="D965" s="15">
        <v>3212</v>
      </c>
      <c r="E965" s="14">
        <v>3212</v>
      </c>
      <c r="F965" s="16" t="s">
        <v>1210</v>
      </c>
      <c r="G965" s="17"/>
      <c r="H965" s="17"/>
      <c r="I965" s="56">
        <v>0</v>
      </c>
      <c r="J965" s="56"/>
      <c r="K965" s="56"/>
      <c r="L965" s="56"/>
      <c r="M965" s="56"/>
      <c r="N965" s="56"/>
      <c r="O965" s="56"/>
      <c r="P965" s="56"/>
      <c r="Q965" s="56"/>
      <c r="R965" s="56"/>
      <c r="S965" s="53"/>
      <c r="T965" s="33"/>
      <c r="U965" s="18"/>
      <c r="V965" s="19"/>
      <c r="W965" s="18"/>
      <c r="X965" s="18"/>
      <c r="Y965" s="18" t="s">
        <v>677</v>
      </c>
      <c r="Z965" s="19" t="str">
        <f>A965 &amp; "-" &amp; VLOOKUP(A965,[4]PROGRAMMES!$E$1:$F$7,2,FALSE)</f>
        <v>3-Expansion et réforme de l’ETFP</v>
      </c>
      <c r="AA965" s="19" t="str">
        <f>B965 &amp; "-" &amp; VLOOKUP(B965,[4]SOUSPROGRAMMES!$E$1:$F$44,2,FALSE)</f>
        <v>32- Mise en place d’une ingénierie de formation adaptée aux besoins de l’économie</v>
      </c>
      <c r="AB965" s="19" t="str">
        <f>C965 &amp; "-" &amp; VLOOKUP(C965,[4]RESULTATS!$E$1:$F$176,2,FALSE)</f>
        <v>321- Un dispositif institutionnel de formation du personnel de formation et d’ingénierie de formation est mis en place</v>
      </c>
      <c r="AC965" s="20" t="str">
        <f>D965 &amp; "-" &amp; VLOOKUP(D965,[4]STRATEGIES!$E$1:$F$504,2,FALSE)</f>
        <v>3212-Opérationnalisation du dispositif</v>
      </c>
      <c r="AD965" s="21" t="str">
        <f t="shared" si="174"/>
        <v>3212-Opérationnalisation du dispositif</v>
      </c>
    </row>
    <row r="966" spans="1:30" s="22" customFormat="1" ht="60" hidden="1" customHeight="1" x14ac:dyDescent="0.8">
      <c r="A966" s="14">
        <v>3</v>
      </c>
      <c r="B966" s="15">
        <v>32</v>
      </c>
      <c r="C966" s="15">
        <v>321</v>
      </c>
      <c r="D966" s="15">
        <v>3212</v>
      </c>
      <c r="E966" s="14">
        <v>32121</v>
      </c>
      <c r="F966" s="16" t="s">
        <v>1211</v>
      </c>
      <c r="G966" s="21" t="s">
        <v>88</v>
      </c>
      <c r="H966" s="17" t="s">
        <v>55</v>
      </c>
      <c r="I966" s="56">
        <v>0</v>
      </c>
      <c r="J966" s="56"/>
      <c r="K966" s="56">
        <v>1</v>
      </c>
      <c r="L966" s="56"/>
      <c r="M966" s="56">
        <f t="shared" si="173"/>
        <v>1</v>
      </c>
      <c r="N966" s="56">
        <f>IF(OR(H966="",H966="sif",H966="PM"),0,VLOOKUP(H966,[5]CU!$C$4:$H$255,6,FALSE))</f>
        <v>0</v>
      </c>
      <c r="O966" s="56">
        <f t="shared" si="172"/>
        <v>0</v>
      </c>
      <c r="P966" s="56">
        <f t="shared" si="172"/>
        <v>0</v>
      </c>
      <c r="Q966" s="56">
        <f t="shared" si="172"/>
        <v>0</v>
      </c>
      <c r="R966" s="56">
        <f t="shared" si="172"/>
        <v>0</v>
      </c>
      <c r="S966" s="53"/>
      <c r="T966" s="35" t="s">
        <v>56</v>
      </c>
      <c r="U966" s="18" t="s">
        <v>1206</v>
      </c>
      <c r="V966" s="19" t="str">
        <f>IF(OR($H966="",$H966="sif",$H966="PM"),"",VLOOKUP($H966,[5]CU!$C$5:$J$255,8,FALSE))</f>
        <v/>
      </c>
      <c r="W966" s="18" t="s">
        <v>1165</v>
      </c>
      <c r="X966" s="18" t="s">
        <v>1165</v>
      </c>
      <c r="Y966" s="18" t="s">
        <v>677</v>
      </c>
      <c r="Z966" s="19" t="str">
        <f>A966 &amp; "-" &amp; VLOOKUP(A966,[4]PROGRAMMES!$E$1:$F$7,2,FALSE)</f>
        <v>3-Expansion et réforme de l’ETFP</v>
      </c>
      <c r="AA966" s="19" t="str">
        <f>B966 &amp; "-" &amp; VLOOKUP(B966,[4]SOUSPROGRAMMES!$E$1:$F$44,2,FALSE)</f>
        <v>32- Mise en place d’une ingénierie de formation adaptée aux besoins de l’économie</v>
      </c>
      <c r="AB966" s="19" t="str">
        <f>C966 &amp; "-" &amp; VLOOKUP(C966,[4]RESULTATS!$E$1:$F$176,2,FALSE)</f>
        <v>321- Un dispositif institutionnel de formation du personnel de formation et d’ingénierie de formation est mis en place</v>
      </c>
      <c r="AC966" s="20" t="str">
        <f>D966 &amp; "-" &amp; VLOOKUP(D966,[4]STRATEGIES!$E$1:$F$504,2,FALSE)</f>
        <v>3212-Opérationnalisation du dispositif</v>
      </c>
      <c r="AD966" s="21" t="str">
        <f t="shared" si="174"/>
        <v>32121-DéFinition de critères de sélection de conseillers pédagogiques pour la rédaction des programmes et de formateurs de formateurs en APC</v>
      </c>
    </row>
    <row r="967" spans="1:30" s="22" customFormat="1" ht="60" hidden="1" customHeight="1" x14ac:dyDescent="0.8">
      <c r="A967" s="14">
        <v>3</v>
      </c>
      <c r="B967" s="15">
        <v>32</v>
      </c>
      <c r="C967" s="15">
        <v>321</v>
      </c>
      <c r="D967" s="15">
        <v>3212</v>
      </c>
      <c r="E967" s="14">
        <v>32122</v>
      </c>
      <c r="F967" s="16" t="s">
        <v>1212</v>
      </c>
      <c r="G967" s="21" t="s">
        <v>92</v>
      </c>
      <c r="H967" s="17" t="s">
        <v>55</v>
      </c>
      <c r="I967" s="56">
        <v>0</v>
      </c>
      <c r="J967" s="56"/>
      <c r="K967" s="56">
        <v>1</v>
      </c>
      <c r="L967" s="56"/>
      <c r="M967" s="56">
        <f t="shared" si="173"/>
        <v>1</v>
      </c>
      <c r="N967" s="56">
        <f>IF(OR(H967="",H967="sif",H967="PM"),0,VLOOKUP(H967,[5]CU!$C$4:$H$255,6,FALSE))</f>
        <v>0</v>
      </c>
      <c r="O967" s="56">
        <f t="shared" si="172"/>
        <v>0</v>
      </c>
      <c r="P967" s="56">
        <f t="shared" si="172"/>
        <v>0</v>
      </c>
      <c r="Q967" s="56">
        <f t="shared" si="172"/>
        <v>0</v>
      </c>
      <c r="R967" s="56">
        <f t="shared" si="172"/>
        <v>0</v>
      </c>
      <c r="S967" s="53"/>
      <c r="T967" s="35" t="s">
        <v>56</v>
      </c>
      <c r="U967" s="18" t="s">
        <v>1206</v>
      </c>
      <c r="V967" s="19" t="str">
        <f>IF(OR($H967="",$H967="sif",$H967="PM"),"",VLOOKUP($H967,[5]CU!$C$5:$J$255,8,FALSE))</f>
        <v/>
      </c>
      <c r="W967" s="18"/>
      <c r="X967" s="18"/>
      <c r="Y967" s="18" t="s">
        <v>677</v>
      </c>
      <c r="Z967" s="19" t="str">
        <f>A967 &amp; "-" &amp; VLOOKUP(A967,[4]PROGRAMMES!$E$1:$F$7,2,FALSE)</f>
        <v>3-Expansion et réforme de l’ETFP</v>
      </c>
      <c r="AA967" s="19" t="str">
        <f>B967 &amp; "-" &amp; VLOOKUP(B967,[4]SOUSPROGRAMMES!$E$1:$F$44,2,FALSE)</f>
        <v>32- Mise en place d’une ingénierie de formation adaptée aux besoins de l’économie</v>
      </c>
      <c r="AB967" s="19" t="str">
        <f>C967 &amp; "-" &amp; VLOOKUP(C967,[4]RESULTATS!$E$1:$F$176,2,FALSE)</f>
        <v>321- Un dispositif institutionnel de formation du personnel de formation et d’ingénierie de formation est mis en place</v>
      </c>
      <c r="AC967" s="20" t="str">
        <f>D967 &amp; "-" &amp; VLOOKUP(D967,[4]STRATEGIES!$E$1:$F$504,2,FALSE)</f>
        <v>3212-Opérationnalisation du dispositif</v>
      </c>
      <c r="AD967" s="21" t="str">
        <f t="shared" si="174"/>
        <v>32122-Elaboration de plans et supports de formation (Pris en compte dans 32111)</v>
      </c>
    </row>
    <row r="968" spans="1:30" s="22" customFormat="1" ht="60" hidden="1" customHeight="1" x14ac:dyDescent="0.8">
      <c r="A968" s="14">
        <v>3</v>
      </c>
      <c r="B968" s="15">
        <v>32</v>
      </c>
      <c r="C968" s="15">
        <v>321</v>
      </c>
      <c r="D968" s="15">
        <v>3212</v>
      </c>
      <c r="E968" s="14">
        <v>32123</v>
      </c>
      <c r="F968" s="16" t="s">
        <v>1213</v>
      </c>
      <c r="G968" s="21" t="s">
        <v>916</v>
      </c>
      <c r="H968" s="17" t="s">
        <v>55</v>
      </c>
      <c r="I968" s="56">
        <v>0</v>
      </c>
      <c r="J968" s="56"/>
      <c r="K968" s="56">
        <v>1</v>
      </c>
      <c r="L968" s="56"/>
      <c r="M968" s="56">
        <f t="shared" si="173"/>
        <v>1</v>
      </c>
      <c r="N968" s="56">
        <f>IF(OR(H968="",H968="sif",H968="PM"),0,VLOOKUP(H968,[5]CU!$C$4:$H$255,6,FALSE))</f>
        <v>0</v>
      </c>
      <c r="O968" s="56">
        <f t="shared" si="172"/>
        <v>0</v>
      </c>
      <c r="P968" s="56">
        <f t="shared" si="172"/>
        <v>0</v>
      </c>
      <c r="Q968" s="56">
        <f t="shared" si="172"/>
        <v>0</v>
      </c>
      <c r="R968" s="56">
        <f t="shared" si="172"/>
        <v>0</v>
      </c>
      <c r="S968" s="53"/>
      <c r="T968" s="35" t="s">
        <v>56</v>
      </c>
      <c r="U968" s="18" t="s">
        <v>1206</v>
      </c>
      <c r="V968" s="19" t="str">
        <f>IF(OR($H968="",$H968="sif",$H968="PM"),"",VLOOKUP($H968,[5]CU!$C$5:$J$255,8,FALSE))</f>
        <v/>
      </c>
      <c r="W968" s="18" t="s">
        <v>1165</v>
      </c>
      <c r="X968" s="18" t="s">
        <v>1165</v>
      </c>
      <c r="Y968" s="18" t="s">
        <v>677</v>
      </c>
      <c r="Z968" s="19" t="str">
        <f>A968 &amp; "-" &amp; VLOOKUP(A968,[4]PROGRAMMES!$E$1:$F$7,2,FALSE)</f>
        <v>3-Expansion et réforme de l’ETFP</v>
      </c>
      <c r="AA968" s="19" t="str">
        <f>B968 &amp; "-" &amp; VLOOKUP(B968,[4]SOUSPROGRAMMES!$E$1:$F$44,2,FALSE)</f>
        <v>32- Mise en place d’une ingénierie de formation adaptée aux besoins de l’économie</v>
      </c>
      <c r="AB968" s="19" t="str">
        <f>C968 &amp; "-" &amp; VLOOKUP(C968,[4]RESULTATS!$E$1:$F$176,2,FALSE)</f>
        <v>321- Un dispositif institutionnel de formation du personnel de formation et d’ingénierie de formation est mis en place</v>
      </c>
      <c r="AC968" s="20" t="str">
        <f>D968 &amp; "-" &amp; VLOOKUP(D968,[4]STRATEGIES!$E$1:$F$504,2,FALSE)</f>
        <v>3212-Opérationnalisation du dispositif</v>
      </c>
      <c r="AD968" s="21" t="str">
        <f t="shared" si="174"/>
        <v>32123-Recrutement de conseillers pour la rédaction des programmes</v>
      </c>
    </row>
    <row r="969" spans="1:30" s="22" customFormat="1" ht="60" hidden="1" customHeight="1" x14ac:dyDescent="0.8">
      <c r="A969" s="14">
        <v>3</v>
      </c>
      <c r="B969" s="15">
        <v>32</v>
      </c>
      <c r="C969" s="15">
        <v>321</v>
      </c>
      <c r="D969" s="15">
        <v>3212</v>
      </c>
      <c r="E969" s="14">
        <v>32124</v>
      </c>
      <c r="F969" s="16" t="s">
        <v>1214</v>
      </c>
      <c r="G969" s="21" t="s">
        <v>51</v>
      </c>
      <c r="H969" s="17" t="s">
        <v>301</v>
      </c>
      <c r="I969" s="56">
        <v>0</v>
      </c>
      <c r="J969" s="56"/>
      <c r="K969" s="56">
        <f>40*30*8</f>
        <v>9600</v>
      </c>
      <c r="L969" s="56"/>
      <c r="M969" s="56">
        <f t="shared" si="173"/>
        <v>9600</v>
      </c>
      <c r="N969" s="56">
        <f>IF(OR(H969="",H969="sif",H969="PM"),0,VLOOKUP(H969,[5]CU!$C$4:$H$255,6,FALSE))</f>
        <v>0.67666666666666664</v>
      </c>
      <c r="O969" s="56">
        <f t="shared" si="172"/>
        <v>0</v>
      </c>
      <c r="P969" s="56">
        <f t="shared" si="172"/>
        <v>0</v>
      </c>
      <c r="Q969" s="56">
        <f t="shared" si="172"/>
        <v>6496</v>
      </c>
      <c r="R969" s="56">
        <f t="shared" si="172"/>
        <v>0</v>
      </c>
      <c r="S969" s="53">
        <f>SUM(O969:R969)</f>
        <v>6496</v>
      </c>
      <c r="T969" s="35" t="s">
        <v>169</v>
      </c>
      <c r="U969" s="18" t="s">
        <v>1206</v>
      </c>
      <c r="V969" s="19" t="str">
        <f>IF(OR($H969="",$H969="sif",$H969="PM"),"",VLOOKUP($H969,[5]CU!$C$5:$J$255,8,FALSE))</f>
        <v>3. Formation</v>
      </c>
      <c r="W969" s="18" t="s">
        <v>1165</v>
      </c>
      <c r="X969" s="18" t="s">
        <v>1165</v>
      </c>
      <c r="Y969" s="18" t="s">
        <v>677</v>
      </c>
      <c r="Z969" s="19" t="str">
        <f>A969 &amp; "-" &amp; VLOOKUP(A969,[4]PROGRAMMES!$E$1:$F$7,2,FALSE)</f>
        <v>3-Expansion et réforme de l’ETFP</v>
      </c>
      <c r="AA969" s="19" t="str">
        <f>B969 &amp; "-" &amp; VLOOKUP(B969,[4]SOUSPROGRAMMES!$E$1:$F$44,2,FALSE)</f>
        <v>32- Mise en place d’une ingénierie de formation adaptée aux besoins de l’économie</v>
      </c>
      <c r="AB969" s="19" t="str">
        <f>C969 &amp; "-" &amp; VLOOKUP(C969,[4]RESULTATS!$E$1:$F$176,2,FALSE)</f>
        <v>321- Un dispositif institutionnel de formation du personnel de formation et d’ingénierie de formation est mis en place</v>
      </c>
      <c r="AC969" s="20" t="str">
        <f>D969 &amp; "-" &amp; VLOOKUP(D969,[4]STRATEGIES!$E$1:$F$504,2,FALSE)</f>
        <v>3212-Opérationnalisation du dispositif</v>
      </c>
      <c r="AD969" s="21" t="str">
        <f t="shared" si="174"/>
        <v xml:space="preserve">32124-Formation de conseillers sur la méthodologie APC </v>
      </c>
    </row>
    <row r="970" spans="1:30" s="22" customFormat="1" ht="60" hidden="1" customHeight="1" x14ac:dyDescent="0.8">
      <c r="A970" s="14">
        <v>3</v>
      </c>
      <c r="B970" s="15">
        <v>32</v>
      </c>
      <c r="C970" s="15">
        <v>321</v>
      </c>
      <c r="D970" s="15">
        <v>3212</v>
      </c>
      <c r="E970" s="14">
        <v>32125</v>
      </c>
      <c r="F970" s="16" t="s">
        <v>1215</v>
      </c>
      <c r="G970" s="21" t="s">
        <v>92</v>
      </c>
      <c r="H970" s="17" t="s">
        <v>55</v>
      </c>
      <c r="I970" s="56">
        <v>0</v>
      </c>
      <c r="J970" s="56"/>
      <c r="K970" s="56">
        <v>1</v>
      </c>
      <c r="L970" s="56">
        <v>1</v>
      </c>
      <c r="M970" s="56">
        <f t="shared" si="173"/>
        <v>2</v>
      </c>
      <c r="N970" s="56">
        <f>IF(OR(H970="",H970="sif",H970="PM"),0,VLOOKUP(H970,[5]CU!$C$4:$H$255,6,FALSE))</f>
        <v>0</v>
      </c>
      <c r="O970" s="56">
        <f t="shared" si="172"/>
        <v>0</v>
      </c>
      <c r="P970" s="56">
        <f t="shared" si="172"/>
        <v>0</v>
      </c>
      <c r="Q970" s="56">
        <f t="shared" si="172"/>
        <v>0</v>
      </c>
      <c r="R970" s="56">
        <f t="shared" si="172"/>
        <v>0</v>
      </c>
      <c r="S970" s="53"/>
      <c r="T970" s="35" t="s">
        <v>56</v>
      </c>
      <c r="U970" s="18" t="s">
        <v>1206</v>
      </c>
      <c r="V970" s="19" t="str">
        <f>IF(OR($H970="",$H970="sif",$H970="PM"),"",VLOOKUP($H970,[5]CU!$C$5:$J$255,8,FALSE))</f>
        <v/>
      </c>
      <c r="W970" s="18"/>
      <c r="X970" s="18"/>
      <c r="Y970" s="18" t="s">
        <v>677</v>
      </c>
      <c r="Z970" s="19" t="str">
        <f>A970 &amp; "-" &amp; VLOOKUP(A970,[4]PROGRAMMES!$E$1:$F$7,2,FALSE)</f>
        <v>3-Expansion et réforme de l’ETFP</v>
      </c>
      <c r="AA970" s="19" t="str">
        <f>B970 &amp; "-" &amp; VLOOKUP(B970,[4]SOUSPROGRAMMES!$E$1:$F$44,2,FALSE)</f>
        <v>32- Mise en place d’une ingénierie de formation adaptée aux besoins de l’économie</v>
      </c>
      <c r="AB970" s="19" t="str">
        <f>C970 &amp; "-" &amp; VLOOKUP(C970,[4]RESULTATS!$E$1:$F$176,2,FALSE)</f>
        <v>321- Un dispositif institutionnel de formation du personnel de formation et d’ingénierie de formation est mis en place</v>
      </c>
      <c r="AC970" s="20" t="str">
        <f>D970 &amp; "-" &amp; VLOOKUP(D970,[4]STRATEGIES!$E$1:$F$504,2,FALSE)</f>
        <v>3212-Opérationnalisation du dispositif</v>
      </c>
      <c r="AD970" s="21" t="str">
        <f t="shared" si="174"/>
        <v>32125-Appui développement des nouveaux programmes pour les nouvelles filières (pris en compte dans activité 32111)</v>
      </c>
    </row>
    <row r="971" spans="1:30" s="22" customFormat="1" ht="60" hidden="1" customHeight="1" x14ac:dyDescent="0.8">
      <c r="A971" s="14">
        <v>3</v>
      </c>
      <c r="B971" s="15">
        <v>32</v>
      </c>
      <c r="C971" s="15">
        <v>321</v>
      </c>
      <c r="D971" s="15">
        <v>3212</v>
      </c>
      <c r="E971" s="14">
        <v>32126</v>
      </c>
      <c r="F971" s="16" t="s">
        <v>1216</v>
      </c>
      <c r="G971" s="21" t="s">
        <v>1217</v>
      </c>
      <c r="H971" s="17" t="s">
        <v>66</v>
      </c>
      <c r="I971" s="56">
        <v>0</v>
      </c>
      <c r="J971" s="56"/>
      <c r="K971" s="56">
        <f>(5*10*1)*20+(10+5*2)*20</f>
        <v>1400</v>
      </c>
      <c r="L971" s="56">
        <v>0</v>
      </c>
      <c r="M971" s="56">
        <f t="shared" si="173"/>
        <v>1400</v>
      </c>
      <c r="N971" s="56">
        <f>IF(OR(H971="",H971="sif",H971="PM"),0,VLOOKUP(H971,[5]CU!$C$4:$H$255,6,FALSE))</f>
        <v>0.255</v>
      </c>
      <c r="O971" s="56">
        <f t="shared" si="172"/>
        <v>0</v>
      </c>
      <c r="P971" s="56">
        <f t="shared" si="172"/>
        <v>0</v>
      </c>
      <c r="Q971" s="56">
        <f t="shared" si="172"/>
        <v>357</v>
      </c>
      <c r="R971" s="56">
        <f t="shared" si="172"/>
        <v>0</v>
      </c>
      <c r="S971" s="53">
        <f>SUM(O971:R971)</f>
        <v>357</v>
      </c>
      <c r="T971" s="35" t="s">
        <v>169</v>
      </c>
      <c r="U971" s="18" t="s">
        <v>1206</v>
      </c>
      <c r="V971" s="19" t="str">
        <f>IF(OR($H971="",$H971="sif",$H971="PM"),"",VLOOKUP($H971,[5]CU!$C$5:$J$255,8,FALSE))</f>
        <v>3. Dépenses de fonctionnement</v>
      </c>
      <c r="W971" s="18" t="s">
        <v>1165</v>
      </c>
      <c r="X971" s="18" t="s">
        <v>1218</v>
      </c>
      <c r="Y971" s="18" t="s">
        <v>677</v>
      </c>
      <c r="Z971" s="19" t="str">
        <f>A971 &amp; "-" &amp; VLOOKUP(A971,[4]PROGRAMMES!$E$1:$F$7,2,FALSE)</f>
        <v>3-Expansion et réforme de l’ETFP</v>
      </c>
      <c r="AA971" s="19" t="str">
        <f>B971 &amp; "-" &amp; VLOOKUP(B971,[4]SOUSPROGRAMMES!$E$1:$F$44,2,FALSE)</f>
        <v>32- Mise en place d’une ingénierie de formation adaptée aux besoins de l’économie</v>
      </c>
      <c r="AB971" s="19" t="str">
        <f>C971 &amp; "-" &amp; VLOOKUP(C971,[4]RESULTATS!$E$1:$F$176,2,FALSE)</f>
        <v>321- Un dispositif institutionnel de formation du personnel de formation et d’ingénierie de formation est mis en place</v>
      </c>
      <c r="AC971" s="20" t="str">
        <f>D971 &amp; "-" &amp; VLOOKUP(D971,[4]STRATEGIES!$E$1:$F$504,2,FALSE)</f>
        <v>3212-Opérationnalisation du dispositif</v>
      </c>
      <c r="AD971" s="21" t="str">
        <f t="shared" si="174"/>
        <v>32126-Elaboration des nouveaux programmes et des guides d'accompagnement</v>
      </c>
    </row>
    <row r="972" spans="1:30" s="22" customFormat="1" ht="60" hidden="1" customHeight="1" x14ac:dyDescent="0.8">
      <c r="A972" s="14">
        <v>3</v>
      </c>
      <c r="B972" s="15">
        <v>32</v>
      </c>
      <c r="C972" s="15">
        <v>321</v>
      </c>
      <c r="D972" s="15">
        <v>3212</v>
      </c>
      <c r="E972" s="14">
        <v>32127</v>
      </c>
      <c r="F972" s="16" t="s">
        <v>1219</v>
      </c>
      <c r="G972" s="21" t="s">
        <v>1217</v>
      </c>
      <c r="H972" s="17" t="s">
        <v>66</v>
      </c>
      <c r="I972" s="56">
        <v>0</v>
      </c>
      <c r="J972" s="56"/>
      <c r="K972" s="56">
        <f>(5*40*1)*20</f>
        <v>4000</v>
      </c>
      <c r="L972" s="56">
        <v>0</v>
      </c>
      <c r="M972" s="56">
        <f t="shared" si="173"/>
        <v>4000</v>
      </c>
      <c r="N972" s="56">
        <f>IF(OR(H972="",H972="sif",H972="PM"),0,VLOOKUP(H972,[5]CU!$C$4:$H$255,6,FALSE))</f>
        <v>0.255</v>
      </c>
      <c r="O972" s="56">
        <f t="shared" si="172"/>
        <v>0</v>
      </c>
      <c r="P972" s="56">
        <f t="shared" si="172"/>
        <v>0</v>
      </c>
      <c r="Q972" s="56">
        <f t="shared" si="172"/>
        <v>1020</v>
      </c>
      <c r="R972" s="56">
        <f t="shared" si="172"/>
        <v>0</v>
      </c>
      <c r="S972" s="53">
        <f>SUM(O972:R972)</f>
        <v>1020</v>
      </c>
      <c r="T972" s="35" t="s">
        <v>169</v>
      </c>
      <c r="U972" s="18" t="s">
        <v>1206</v>
      </c>
      <c r="V972" s="19" t="str">
        <f>IF(OR($H972="",$H972="sif",$H972="PM"),"",VLOOKUP($H972,[5]CU!$C$5:$J$255,8,FALSE))</f>
        <v>3. Dépenses de fonctionnement</v>
      </c>
      <c r="W972" s="18" t="s">
        <v>1165</v>
      </c>
      <c r="X972" s="18" t="s">
        <v>1218</v>
      </c>
      <c r="Y972" s="18" t="s">
        <v>677</v>
      </c>
      <c r="Z972" s="19" t="str">
        <f>A972 &amp; "-" &amp; VLOOKUP(A972,[4]PROGRAMMES!$E$1:$F$7,2,FALSE)</f>
        <v>3-Expansion et réforme de l’ETFP</v>
      </c>
      <c r="AA972" s="19" t="str">
        <f>B972 &amp; "-" &amp; VLOOKUP(B972,[4]SOUSPROGRAMMES!$E$1:$F$44,2,FALSE)</f>
        <v>32- Mise en place d’une ingénierie de formation adaptée aux besoins de l’économie</v>
      </c>
      <c r="AB972" s="19" t="str">
        <f>C972 &amp; "-" &amp; VLOOKUP(C972,[4]RESULTATS!$E$1:$F$176,2,FALSE)</f>
        <v>321- Un dispositif institutionnel de formation du personnel de formation et d’ingénierie de formation est mis en place</v>
      </c>
      <c r="AC972" s="20" t="str">
        <f>D972 &amp; "-" &amp; VLOOKUP(D972,[4]STRATEGIES!$E$1:$F$504,2,FALSE)</f>
        <v>3212-Opérationnalisation du dispositif</v>
      </c>
      <c r="AD972" s="21" t="str">
        <f t="shared" si="174"/>
        <v>32127-Révision des programmes existants selon l'APC</v>
      </c>
    </row>
    <row r="973" spans="1:30" s="22" customFormat="1" ht="60" hidden="1" customHeight="1" x14ac:dyDescent="0.8">
      <c r="A973" s="14">
        <v>3</v>
      </c>
      <c r="B973" s="15">
        <v>32</v>
      </c>
      <c r="C973" s="15">
        <v>321</v>
      </c>
      <c r="D973" s="15">
        <v>3212</v>
      </c>
      <c r="E973" s="14">
        <v>32128</v>
      </c>
      <c r="F973" s="16" t="s">
        <v>1220</v>
      </c>
      <c r="G973" s="21" t="s">
        <v>916</v>
      </c>
      <c r="H973" s="17" t="s">
        <v>55</v>
      </c>
      <c r="I973" s="56">
        <v>0</v>
      </c>
      <c r="J973" s="56"/>
      <c r="K973" s="56">
        <v>1</v>
      </c>
      <c r="L973" s="56">
        <v>1</v>
      </c>
      <c r="M973" s="56">
        <f t="shared" si="173"/>
        <v>2</v>
      </c>
      <c r="N973" s="56">
        <f>IF(OR(H973="",H973="sif",H973="PM"),0,VLOOKUP(H973,[5]CU!$C$4:$H$255,6,FALSE))</f>
        <v>0</v>
      </c>
      <c r="O973" s="56">
        <f t="shared" si="172"/>
        <v>0</v>
      </c>
      <c r="P973" s="56">
        <f t="shared" si="172"/>
        <v>0</v>
      </c>
      <c r="Q973" s="56">
        <f t="shared" si="172"/>
        <v>0</v>
      </c>
      <c r="R973" s="56">
        <f t="shared" si="172"/>
        <v>0</v>
      </c>
      <c r="S973" s="53"/>
      <c r="T973" s="35" t="s">
        <v>56</v>
      </c>
      <c r="U973" s="18" t="s">
        <v>1206</v>
      </c>
      <c r="V973" s="19" t="str">
        <f>IF(OR($H973="",$H973="sif",$H973="PM"),"",VLOOKUP($H973,[5]CU!$C$5:$J$255,8,FALSE))</f>
        <v/>
      </c>
      <c r="W973" s="18"/>
      <c r="X973" s="18"/>
      <c r="Y973" s="18" t="s">
        <v>677</v>
      </c>
      <c r="Z973" s="19" t="str">
        <f>A973 &amp; "-" &amp; VLOOKUP(A973,[4]PROGRAMMES!$E$1:$F$7,2,FALSE)</f>
        <v>3-Expansion et réforme de l’ETFP</v>
      </c>
      <c r="AA973" s="19" t="str">
        <f>B973 &amp; "-" &amp; VLOOKUP(B973,[4]SOUSPROGRAMMES!$E$1:$F$44,2,FALSE)</f>
        <v>32- Mise en place d’une ingénierie de formation adaptée aux besoins de l’économie</v>
      </c>
      <c r="AB973" s="19" t="str">
        <f>C973 &amp; "-" &amp; VLOOKUP(C973,[4]RESULTATS!$E$1:$F$176,2,FALSE)</f>
        <v>321- Un dispositif institutionnel de formation du personnel de formation et d’ingénierie de formation est mis en place</v>
      </c>
      <c r="AC973" s="20" t="str">
        <f>D973 &amp; "-" &amp; VLOOKUP(D973,[4]STRATEGIES!$E$1:$F$504,2,FALSE)</f>
        <v>3212-Opérationnalisation du dispositif</v>
      </c>
      <c r="AD973" s="21" t="str">
        <f t="shared" si="174"/>
        <v>32128-Recrutement de formateurs pour la formation des formateurs en méthodologie APC (pris en compte activité 32111</v>
      </c>
    </row>
    <row r="974" spans="1:30" s="22" customFormat="1" ht="60" hidden="1" customHeight="1" x14ac:dyDescent="0.8">
      <c r="A974" s="14">
        <v>3</v>
      </c>
      <c r="B974" s="15">
        <v>32</v>
      </c>
      <c r="C974" s="15">
        <v>321</v>
      </c>
      <c r="D974" s="15">
        <v>3212</v>
      </c>
      <c r="E974" s="14">
        <v>32129</v>
      </c>
      <c r="F974" s="16" t="s">
        <v>1221</v>
      </c>
      <c r="G974" s="21" t="s">
        <v>436</v>
      </c>
      <c r="H974" s="17" t="s">
        <v>301</v>
      </c>
      <c r="I974" s="56">
        <v>0</v>
      </c>
      <c r="J974" s="56"/>
      <c r="K974" s="56">
        <f>35*30</f>
        <v>1050</v>
      </c>
      <c r="L974" s="56">
        <v>0</v>
      </c>
      <c r="M974" s="56">
        <f t="shared" si="173"/>
        <v>1050</v>
      </c>
      <c r="N974" s="56">
        <f>IF(OR(H974="",H974="sif",H974="PM"),0,VLOOKUP(H974,[5]CU!$C$4:$H$255,6,FALSE))</f>
        <v>0.67666666666666664</v>
      </c>
      <c r="O974" s="56">
        <f t="shared" si="172"/>
        <v>0</v>
      </c>
      <c r="P974" s="56">
        <f t="shared" si="172"/>
        <v>0</v>
      </c>
      <c r="Q974" s="56">
        <f t="shared" si="172"/>
        <v>710.5</v>
      </c>
      <c r="R974" s="56">
        <f t="shared" si="172"/>
        <v>0</v>
      </c>
      <c r="S974" s="53">
        <f t="shared" ref="S974:S979" si="175">SUM(O974:R974)</f>
        <v>710.5</v>
      </c>
      <c r="T974" s="35" t="s">
        <v>169</v>
      </c>
      <c r="U974" s="18" t="s">
        <v>1206</v>
      </c>
      <c r="V974" s="19" t="str">
        <f>IF(OR($H974="",$H974="sif",$H974="PM"),"",VLOOKUP($H974,[5]CU!$C$5:$J$255,8,FALSE))</f>
        <v>3. Formation</v>
      </c>
      <c r="W974" s="18" t="s">
        <v>1165</v>
      </c>
      <c r="X974" s="18" t="s">
        <v>1222</v>
      </c>
      <c r="Y974" s="18" t="s">
        <v>677</v>
      </c>
      <c r="Z974" s="19" t="str">
        <f>A974 &amp; "-" &amp; VLOOKUP(A974,[4]PROGRAMMES!$E$1:$F$7,2,FALSE)</f>
        <v>3-Expansion et réforme de l’ETFP</v>
      </c>
      <c r="AA974" s="19" t="str">
        <f>B974 &amp; "-" &amp; VLOOKUP(B974,[4]SOUSPROGRAMMES!$E$1:$F$44,2,FALSE)</f>
        <v>32- Mise en place d’une ingénierie de formation adaptée aux besoins de l’économie</v>
      </c>
      <c r="AB974" s="19" t="str">
        <f>C974 &amp; "-" &amp; VLOOKUP(C974,[4]RESULTATS!$E$1:$F$176,2,FALSE)</f>
        <v>321- Un dispositif institutionnel de formation du personnel de formation et d’ingénierie de formation est mis en place</v>
      </c>
      <c r="AC974" s="20" t="str">
        <f>D974 &amp; "-" &amp; VLOOKUP(D974,[4]STRATEGIES!$E$1:$F$504,2,FALSE)</f>
        <v>3212-Opérationnalisation du dispositif</v>
      </c>
      <c r="AD974" s="21" t="str">
        <f t="shared" si="174"/>
        <v>32129-Formation de formateurs (formateurs d l'ENPETP) en méthodologie APC</v>
      </c>
    </row>
    <row r="975" spans="1:30" s="22" customFormat="1" ht="60" hidden="1" customHeight="1" x14ac:dyDescent="0.8">
      <c r="A975" s="14">
        <v>3</v>
      </c>
      <c r="B975" s="15">
        <v>32</v>
      </c>
      <c r="C975" s="15">
        <v>321</v>
      </c>
      <c r="D975" s="15">
        <v>3212</v>
      </c>
      <c r="E975" s="14">
        <v>321210</v>
      </c>
      <c r="F975" s="16" t="s">
        <v>1223</v>
      </c>
      <c r="G975" s="21" t="s">
        <v>106</v>
      </c>
      <c r="H975" s="17" t="s">
        <v>1224</v>
      </c>
      <c r="I975" s="56">
        <v>0</v>
      </c>
      <c r="J975" s="56"/>
      <c r="K975" s="56">
        <v>1</v>
      </c>
      <c r="L975" s="56"/>
      <c r="M975" s="56">
        <f t="shared" si="173"/>
        <v>1</v>
      </c>
      <c r="N975" s="56">
        <f>IF(OR(H975="",H975="sif",H975="PM"),0,VLOOKUP(H975,[5]CU!$C$4:$H$255,6,FALSE))</f>
        <v>645.37004999999999</v>
      </c>
      <c r="O975" s="56">
        <f t="shared" si="172"/>
        <v>0</v>
      </c>
      <c r="P975" s="56">
        <f t="shared" si="172"/>
        <v>0</v>
      </c>
      <c r="Q975" s="56">
        <f t="shared" si="172"/>
        <v>645.37004999999999</v>
      </c>
      <c r="R975" s="56">
        <f t="shared" si="172"/>
        <v>0</v>
      </c>
      <c r="S975" s="53">
        <f t="shared" si="175"/>
        <v>645.37004999999999</v>
      </c>
      <c r="T975" s="35" t="s">
        <v>169</v>
      </c>
      <c r="U975" s="18" t="s">
        <v>1206</v>
      </c>
      <c r="V975" s="19" t="str">
        <f>IF(OR($H975="",$H975="sif",$H975="PM"),"",VLOOKUP($H975,[5]CU!$C$5:$J$255,8,FALSE))</f>
        <v>5. Investissement</v>
      </c>
      <c r="W975" s="18"/>
      <c r="X975" s="18"/>
      <c r="Y975" s="18" t="s">
        <v>677</v>
      </c>
      <c r="Z975" s="19" t="str">
        <f>A975 &amp; "-" &amp; VLOOKUP(A975,[4]PROGRAMMES!$E$1:$F$7,2,FALSE)</f>
        <v>3-Expansion et réforme de l’ETFP</v>
      </c>
      <c r="AA975" s="19" t="str">
        <f>B975 &amp; "-" &amp; VLOOKUP(B975,[4]SOUSPROGRAMMES!$E$1:$F$44,2,FALSE)</f>
        <v>32- Mise en place d’une ingénierie de formation adaptée aux besoins de l’économie</v>
      </c>
      <c r="AB975" s="19" t="str">
        <f>C975 &amp; "-" &amp; VLOOKUP(C975,[4]RESULTATS!$E$1:$F$176,2,FALSE)</f>
        <v>321- Un dispositif institutionnel de formation du personnel de formation et d’ingénierie de formation est mis en place</v>
      </c>
      <c r="AC975" s="20" t="str">
        <f>D975 &amp; "-" &amp; VLOOKUP(D975,[4]STRATEGIES!$E$1:$F$504,2,FALSE)</f>
        <v>3212-Opérationnalisation du dispositif</v>
      </c>
      <c r="AD975" s="21" t="str">
        <f t="shared" si="174"/>
        <v>321210-Acquisition d'équipements pour l'ENPETP</v>
      </c>
    </row>
    <row r="976" spans="1:30" s="22" customFormat="1" ht="60" hidden="1" customHeight="1" x14ac:dyDescent="0.8">
      <c r="A976" s="14">
        <v>3</v>
      </c>
      <c r="B976" s="15">
        <v>32</v>
      </c>
      <c r="C976" s="15">
        <v>321</v>
      </c>
      <c r="D976" s="15">
        <v>3212</v>
      </c>
      <c r="E976" s="14">
        <v>321211</v>
      </c>
      <c r="F976" s="16" t="s">
        <v>1225</v>
      </c>
      <c r="G976" s="21" t="s">
        <v>167</v>
      </c>
      <c r="H976" s="17" t="s">
        <v>646</v>
      </c>
      <c r="I976" s="56">
        <v>0</v>
      </c>
      <c r="J976" s="56">
        <f>1*45</f>
        <v>45</v>
      </c>
      <c r="K976" s="56"/>
      <c r="L976" s="56"/>
      <c r="M976" s="56">
        <f t="shared" si="173"/>
        <v>45</v>
      </c>
      <c r="N976" s="56">
        <f>IF(OR(H976="",H976="sif",H976="PM"),0,VLOOKUP(H976,[5]CU!$C$4:$H$255,6,FALSE))</f>
        <v>10.404797</v>
      </c>
      <c r="O976" s="56">
        <f t="shared" si="172"/>
        <v>0</v>
      </c>
      <c r="P976" s="56">
        <f t="shared" si="172"/>
        <v>468.21586500000001</v>
      </c>
      <c r="Q976" s="56">
        <f t="shared" si="172"/>
        <v>0</v>
      </c>
      <c r="R976" s="56">
        <f t="shared" si="172"/>
        <v>0</v>
      </c>
      <c r="S976" s="53">
        <f t="shared" si="175"/>
        <v>468.21586500000001</v>
      </c>
      <c r="T976" s="35" t="s">
        <v>169</v>
      </c>
      <c r="U976" s="18" t="s">
        <v>1206</v>
      </c>
      <c r="V976" s="19" t="str">
        <f>IF(OR($H976="",$H976="sif",$H976="PM"),"",VLOOKUP($H976,[5]CU!$C$5:$J$255,8,FALSE))</f>
        <v>3. Dépenses de fonctionnement</v>
      </c>
      <c r="W976" s="18" t="s">
        <v>1165</v>
      </c>
      <c r="X976" s="18" t="s">
        <v>750</v>
      </c>
      <c r="Y976" s="18" t="s">
        <v>677</v>
      </c>
      <c r="Z976" s="19" t="str">
        <f>A976 &amp; "-" &amp; VLOOKUP(A976,[4]PROGRAMMES!$E$1:$F$7,2,FALSE)</f>
        <v>3-Expansion et réforme de l’ETFP</v>
      </c>
      <c r="AA976" s="19" t="str">
        <f>B976 &amp; "-" &amp; VLOOKUP(B976,[4]SOUSPROGRAMMES!$E$1:$F$44,2,FALSE)</f>
        <v>32- Mise en place d’une ingénierie de formation adaptée aux besoins de l’économie</v>
      </c>
      <c r="AB976" s="19" t="str">
        <f>C976 &amp; "-" &amp; VLOOKUP(C976,[4]RESULTATS!$E$1:$F$176,2,FALSE)</f>
        <v>321- Un dispositif institutionnel de formation du personnel de formation et d’ingénierie de formation est mis en place</v>
      </c>
      <c r="AC976" s="20" t="str">
        <f>D976 &amp; "-" &amp; VLOOKUP(D976,[4]STRATEGIES!$E$1:$F$504,2,FALSE)</f>
        <v>3212-Opérationnalisation du dispositif</v>
      </c>
      <c r="AD976" s="21" t="str">
        <f t="shared" si="174"/>
        <v>321211-Appui à la déFinition d'outils de gestion et d'encadrement pour l'ENPETP</v>
      </c>
    </row>
    <row r="977" spans="1:30" s="22" customFormat="1" ht="60" hidden="1" customHeight="1" x14ac:dyDescent="0.8">
      <c r="A977" s="14">
        <v>3</v>
      </c>
      <c r="B977" s="15">
        <v>32</v>
      </c>
      <c r="C977" s="15">
        <v>321</v>
      </c>
      <c r="D977" s="15">
        <v>3212</v>
      </c>
      <c r="E977" s="14">
        <v>321212</v>
      </c>
      <c r="F977" s="16" t="s">
        <v>1226</v>
      </c>
      <c r="G977" s="21" t="s">
        <v>37</v>
      </c>
      <c r="H977" s="17" t="s">
        <v>66</v>
      </c>
      <c r="I977" s="56">
        <v>0</v>
      </c>
      <c r="J977" s="56">
        <f>10*5</f>
        <v>50</v>
      </c>
      <c r="K977" s="56">
        <f>10*5</f>
        <v>50</v>
      </c>
      <c r="L977" s="56">
        <f>10*5</f>
        <v>50</v>
      </c>
      <c r="M977" s="56">
        <f t="shared" si="173"/>
        <v>150</v>
      </c>
      <c r="N977" s="56">
        <f>IF(OR(H977="",H977="sif",H977="PM"),0,VLOOKUP(H977,[5]CU!$C$4:$H$255,6,FALSE))</f>
        <v>0.255</v>
      </c>
      <c r="O977" s="56">
        <f t="shared" si="172"/>
        <v>0</v>
      </c>
      <c r="P977" s="56">
        <f t="shared" si="172"/>
        <v>12.75</v>
      </c>
      <c r="Q977" s="56">
        <f t="shared" si="172"/>
        <v>12.75</v>
      </c>
      <c r="R977" s="56">
        <f t="shared" si="172"/>
        <v>12.75</v>
      </c>
      <c r="S977" s="53">
        <f t="shared" si="175"/>
        <v>38.25</v>
      </c>
      <c r="T977" s="35" t="s">
        <v>169</v>
      </c>
      <c r="U977" s="18" t="s">
        <v>1206</v>
      </c>
      <c r="V977" s="19" t="str">
        <f>IF(OR($H977="",$H977="sif",$H977="PM"),"",VLOOKUP($H977,[5]CU!$C$5:$J$255,8,FALSE))</f>
        <v>3. Dépenses de fonctionnement</v>
      </c>
      <c r="W977" s="18" t="s">
        <v>1165</v>
      </c>
      <c r="X977" s="18" t="s">
        <v>1222</v>
      </c>
      <c r="Y977" s="18" t="s">
        <v>677</v>
      </c>
      <c r="Z977" s="19" t="str">
        <f>A977 &amp; "-" &amp; VLOOKUP(A977,[4]PROGRAMMES!$E$1:$F$7,2,FALSE)</f>
        <v>3-Expansion et réforme de l’ETFP</v>
      </c>
      <c r="AA977" s="19" t="str">
        <f>B977 &amp; "-" &amp; VLOOKUP(B977,[4]SOUSPROGRAMMES!$E$1:$F$44,2,FALSE)</f>
        <v>32- Mise en place d’une ingénierie de formation adaptée aux besoins de l’économie</v>
      </c>
      <c r="AB977" s="19" t="str">
        <f>C977 &amp; "-" &amp; VLOOKUP(C977,[4]RESULTATS!$E$1:$F$176,2,FALSE)</f>
        <v>321- Un dispositif institutionnel de formation du personnel de formation et d’ingénierie de formation est mis en place</v>
      </c>
      <c r="AC977" s="20" t="str">
        <f>D977 &amp; "-" &amp; VLOOKUP(D977,[4]STRATEGIES!$E$1:$F$504,2,FALSE)</f>
        <v>3212-Opérationnalisation du dispositif</v>
      </c>
      <c r="AD977" s="21" t="str">
        <f t="shared" si="174"/>
        <v>321212-Formation du personnel d'encadrement de l'ENPET à l'utilisation des outils</v>
      </c>
    </row>
    <row r="978" spans="1:30" s="22" customFormat="1" ht="60" hidden="1" customHeight="1" x14ac:dyDescent="0.8">
      <c r="A978" s="14">
        <v>3</v>
      </c>
      <c r="B978" s="15">
        <v>32</v>
      </c>
      <c r="C978" s="15">
        <v>321</v>
      </c>
      <c r="D978" s="15">
        <v>3212</v>
      </c>
      <c r="E978" s="14">
        <v>321212</v>
      </c>
      <c r="F978" s="16" t="s">
        <v>1227</v>
      </c>
      <c r="G978" s="21" t="s">
        <v>37</v>
      </c>
      <c r="H978" s="17" t="s">
        <v>301</v>
      </c>
      <c r="I978" s="56">
        <v>0</v>
      </c>
      <c r="J978" s="56"/>
      <c r="K978" s="56">
        <f>(3*10*1)*60/3</f>
        <v>600</v>
      </c>
      <c r="L978" s="56">
        <f>(3*10*1)*60/3</f>
        <v>600</v>
      </c>
      <c r="M978" s="56">
        <f t="shared" si="173"/>
        <v>1200</v>
      </c>
      <c r="N978" s="56">
        <f>IF(OR(H978="",H978="sif",H978="PM"),0,VLOOKUP(H978,[5]CU!$C$4:$H$255,6,FALSE))</f>
        <v>0.67666666666666664</v>
      </c>
      <c r="O978" s="56">
        <f t="shared" si="172"/>
        <v>0</v>
      </c>
      <c r="P978" s="56">
        <f t="shared" si="172"/>
        <v>0</v>
      </c>
      <c r="Q978" s="56">
        <f t="shared" si="172"/>
        <v>406</v>
      </c>
      <c r="R978" s="56">
        <f t="shared" si="172"/>
        <v>406</v>
      </c>
      <c r="S978" s="53">
        <f t="shared" si="175"/>
        <v>812</v>
      </c>
      <c r="T978" s="35" t="s">
        <v>56</v>
      </c>
      <c r="U978" s="18" t="s">
        <v>1206</v>
      </c>
      <c r="V978" s="19" t="str">
        <f>IF(OR($H978="",$H978="sif",$H978="PM"),"",VLOOKUP($H978,[5]CU!$C$5:$J$255,8,FALSE))</f>
        <v>3. Formation</v>
      </c>
      <c r="W978" s="18" t="s">
        <v>1165</v>
      </c>
      <c r="X978" s="18" t="s">
        <v>1222</v>
      </c>
      <c r="Y978" s="18" t="s">
        <v>677</v>
      </c>
      <c r="Z978" s="19" t="str">
        <f>A978 &amp; "-" &amp; VLOOKUP(A978,[4]PROGRAMMES!$E$1:$F$7,2,FALSE)</f>
        <v>3-Expansion et réforme de l’ETFP</v>
      </c>
      <c r="AA978" s="19" t="str">
        <f>B978 &amp; "-" &amp; VLOOKUP(B978,[4]SOUSPROGRAMMES!$E$1:$F$44,2,FALSE)</f>
        <v>32- Mise en place d’une ingénierie de formation adaptée aux besoins de l’économie</v>
      </c>
      <c r="AB978" s="19" t="str">
        <f>C978 &amp; "-" &amp; VLOOKUP(C978,[4]RESULTATS!$E$1:$F$176,2,FALSE)</f>
        <v>321- Un dispositif institutionnel de formation du personnel de formation et d’ingénierie de formation est mis en place</v>
      </c>
      <c r="AC978" s="20" t="str">
        <f>D978 &amp; "-" &amp; VLOOKUP(D978,[4]STRATEGIES!$E$1:$F$504,2,FALSE)</f>
        <v>3212-Opérationnalisation du dispositif</v>
      </c>
      <c r="AD978" s="21" t="str">
        <f t="shared" si="174"/>
        <v>321212-Formation de formateurs (Prof CFP, ENAE, Ecoles de santé) de l'ENPETP à l'APC</v>
      </c>
    </row>
    <row r="979" spans="1:30" s="22" customFormat="1" ht="60" hidden="1" customHeight="1" x14ac:dyDescent="0.8">
      <c r="A979" s="14">
        <v>3</v>
      </c>
      <c r="B979" s="15">
        <v>32</v>
      </c>
      <c r="C979" s="15">
        <v>321</v>
      </c>
      <c r="D979" s="15">
        <v>3212</v>
      </c>
      <c r="E979" s="14">
        <v>321213</v>
      </c>
      <c r="F979" s="16" t="s">
        <v>1228</v>
      </c>
      <c r="G979" s="21" t="s">
        <v>1229</v>
      </c>
      <c r="H979" s="17" t="s">
        <v>1230</v>
      </c>
      <c r="I979" s="56">
        <v>0</v>
      </c>
      <c r="J979" s="56">
        <v>1</v>
      </c>
      <c r="K979" s="56">
        <v>1</v>
      </c>
      <c r="L979" s="56">
        <v>1</v>
      </c>
      <c r="M979" s="56">
        <f t="shared" si="173"/>
        <v>3</v>
      </c>
      <c r="N979" s="56">
        <f>IF(OR(H979="",H979="sif",H979="PM"),0,VLOOKUP(H979,[5]CU!$C$4:$H$255,6,FALSE))</f>
        <v>41384.007740617999</v>
      </c>
      <c r="O979" s="56">
        <f t="shared" si="172"/>
        <v>0</v>
      </c>
      <c r="P979" s="56">
        <f t="shared" si="172"/>
        <v>41384.007740617999</v>
      </c>
      <c r="Q979" s="56">
        <f t="shared" si="172"/>
        <v>41384.007740617999</v>
      </c>
      <c r="R979" s="56">
        <f t="shared" si="172"/>
        <v>41384.007740617999</v>
      </c>
      <c r="S979" s="53">
        <f t="shared" si="175"/>
        <v>124152.023221854</v>
      </c>
      <c r="T979" s="35" t="s">
        <v>56</v>
      </c>
      <c r="U979" s="18" t="s">
        <v>1206</v>
      </c>
      <c r="V979" s="19" t="str">
        <f>IF(OR($H979="",$H979="sif",$H979="PM"),"",VLOOKUP($H979,[5]CU!$C$5:$J$255,8,FALSE))</f>
        <v>3. Dépenses de fonctionnement</v>
      </c>
      <c r="W979" s="18" t="s">
        <v>521</v>
      </c>
      <c r="X979" s="18" t="s">
        <v>1231</v>
      </c>
      <c r="Y979" s="18" t="s">
        <v>677</v>
      </c>
      <c r="Z979" s="19" t="str">
        <f>A979 &amp; "-" &amp; VLOOKUP(A979,[4]PROGRAMMES!$E$1:$F$7,2,FALSE)</f>
        <v>3-Expansion et réforme de l’ETFP</v>
      </c>
      <c r="AA979" s="19" t="str">
        <f>B979 &amp; "-" &amp; VLOOKUP(B979,[4]SOUSPROGRAMMES!$E$1:$F$44,2,FALSE)</f>
        <v>32- Mise en place d’une ingénierie de formation adaptée aux besoins de l’économie</v>
      </c>
      <c r="AB979" s="19" t="str">
        <f>C979 &amp; "-" &amp; VLOOKUP(C979,[4]RESULTATS!$E$1:$F$176,2,FALSE)</f>
        <v>321- Un dispositif institutionnel de formation du personnel de formation et d’ingénierie de formation est mis en place</v>
      </c>
      <c r="AC979" s="20" t="str">
        <f>D979 &amp; "-" &amp; VLOOKUP(D979,[4]STRATEGIES!$E$1:$F$504,2,FALSE)</f>
        <v>3212-Opérationnalisation du dispositif</v>
      </c>
      <c r="AD979" s="21" t="str">
        <f t="shared" si="174"/>
        <v>321213-Organisation des examens de sortie et concours d'entrée dans les institutions de l'ETFPET</v>
      </c>
    </row>
    <row r="980" spans="1:30" s="22" customFormat="1" ht="45" customHeight="1" x14ac:dyDescent="0.8">
      <c r="A980" s="14">
        <v>3</v>
      </c>
      <c r="B980" s="15">
        <v>32</v>
      </c>
      <c r="C980" s="15">
        <v>322</v>
      </c>
      <c r="D980" s="15">
        <v>322</v>
      </c>
      <c r="E980" s="14">
        <v>322</v>
      </c>
      <c r="F980" s="16" t="s">
        <v>1232</v>
      </c>
      <c r="G980" s="17"/>
      <c r="H980" s="17"/>
      <c r="I980" s="56">
        <v>0</v>
      </c>
      <c r="J980" s="56"/>
      <c r="K980" s="56"/>
      <c r="L980" s="56"/>
      <c r="M980" s="56"/>
      <c r="N980" s="56"/>
      <c r="O980" s="56"/>
      <c r="P980" s="56"/>
      <c r="Q980" s="56"/>
      <c r="R980" s="56"/>
      <c r="S980" s="53"/>
      <c r="T980" s="33"/>
      <c r="U980" s="18"/>
      <c r="V980" s="19"/>
      <c r="W980" s="18"/>
      <c r="X980" s="18"/>
      <c r="Y980" s="18" t="s">
        <v>677</v>
      </c>
      <c r="Z980" s="19" t="str">
        <f>A980 &amp; "-" &amp; VLOOKUP(A980,[4]PROGRAMMES!$E$1:$F$7,2,FALSE)</f>
        <v>3-Expansion et réforme de l’ETFP</v>
      </c>
      <c r="AA980" s="19" t="str">
        <f>B980 &amp; "-" &amp; VLOOKUP(B980,[4]SOUSPROGRAMMES!$E$1:$F$44,2,FALSE)</f>
        <v>32- Mise en place d’une ingénierie de formation adaptée aux besoins de l’économie</v>
      </c>
      <c r="AB980" s="19" t="str">
        <f>C980 &amp; "-" &amp; VLOOKUP(C980,[4]RESULTATS!$E$1:$F$176,2,FALSE)</f>
        <v>322- Les TIC et l’économie verte sont prises en compte dans l’élaboration des programmes</v>
      </c>
      <c r="AC980" s="20" t="str">
        <f>D980 &amp; "-" &amp; VLOOKUP(D980,[4]STRATEGIES!$E$1:$F$504,2,FALSE)</f>
        <v>322- Les TIC et l’économie verte sont prises en compte dans l’élaboration des programmes</v>
      </c>
      <c r="AD980" s="21" t="str">
        <f t="shared" si="174"/>
        <v>322- Les TIC et l’économie verte sont prises en compte dans l’élaboration des programmes</v>
      </c>
    </row>
    <row r="981" spans="1:30" s="22" customFormat="1" ht="45" customHeight="1" x14ac:dyDescent="0.8">
      <c r="A981" s="14">
        <v>3</v>
      </c>
      <c r="B981" s="15">
        <v>32</v>
      </c>
      <c r="C981" s="15">
        <v>322</v>
      </c>
      <c r="D981" s="15">
        <v>3221</v>
      </c>
      <c r="E981" s="14">
        <v>3221</v>
      </c>
      <c r="F981" s="16" t="s">
        <v>1233</v>
      </c>
      <c r="G981" s="17"/>
      <c r="H981" s="17"/>
      <c r="I981" s="56">
        <v>0</v>
      </c>
      <c r="J981" s="56"/>
      <c r="K981" s="56"/>
      <c r="L981" s="56"/>
      <c r="M981" s="56"/>
      <c r="N981" s="56"/>
      <c r="O981" s="56"/>
      <c r="P981" s="56"/>
      <c r="Q981" s="56"/>
      <c r="R981" s="56"/>
      <c r="S981" s="53"/>
      <c r="T981" s="33"/>
      <c r="U981" s="18"/>
      <c r="V981" s="19"/>
      <c r="W981" s="18"/>
      <c r="X981" s="18"/>
      <c r="Y981" s="18" t="s">
        <v>677</v>
      </c>
      <c r="Z981" s="19" t="str">
        <f>A981 &amp; "-" &amp; VLOOKUP(A981,[4]PROGRAMMES!$E$1:$F$7,2,FALSE)</f>
        <v>3-Expansion et réforme de l’ETFP</v>
      </c>
      <c r="AA981" s="19" t="str">
        <f>B981 &amp; "-" &amp; VLOOKUP(B981,[4]SOUSPROGRAMMES!$E$1:$F$44,2,FALSE)</f>
        <v>32- Mise en place d’une ingénierie de formation adaptée aux besoins de l’économie</v>
      </c>
      <c r="AB981" s="19" t="str">
        <f>C981 &amp; "-" &amp; VLOOKUP(C981,[4]RESULTATS!$E$1:$F$176,2,FALSE)</f>
        <v>322- Les TIC et l’économie verte sont prises en compte dans l’élaboration des programmes</v>
      </c>
      <c r="AC981" s="20" t="str">
        <f>D981 &amp; "-" &amp; VLOOKUP(D981,[4]STRATEGIES!$E$1:$F$504,2,FALSE)</f>
        <v>3221-Intégration des TIC et prise en compte de l’économie verte dans l’actualisation et l’élaboration des programmes</v>
      </c>
      <c r="AD981" s="21" t="str">
        <f t="shared" si="174"/>
        <v>3221-Intégration des TIC et prise en compte de l’économie verte dans l’actualisation et l’élaboration des programmes</v>
      </c>
    </row>
    <row r="982" spans="1:30" s="22" customFormat="1" ht="45" hidden="1" customHeight="1" x14ac:dyDescent="0.8">
      <c r="A982" s="14">
        <v>3</v>
      </c>
      <c r="B982" s="15">
        <v>32</v>
      </c>
      <c r="C982" s="15">
        <v>322</v>
      </c>
      <c r="D982" s="15">
        <v>3221</v>
      </c>
      <c r="E982" s="14">
        <v>32211</v>
      </c>
      <c r="F982" s="16" t="s">
        <v>1234</v>
      </c>
      <c r="G982" s="21" t="s">
        <v>159</v>
      </c>
      <c r="H982" s="17"/>
      <c r="I982" s="56">
        <v>0</v>
      </c>
      <c r="J982" s="56"/>
      <c r="K982" s="56">
        <v>1</v>
      </c>
      <c r="L982" s="56">
        <v>1</v>
      </c>
      <c r="M982" s="56">
        <f t="shared" ref="M982:M1044" si="176">SUM(I982:L982)</f>
        <v>2</v>
      </c>
      <c r="N982" s="56">
        <f>IF(OR(H982="",H982="sif",H982="PM"),0,VLOOKUP(H982,[5]CU!$C$4:$H$255,6,FALSE))</f>
        <v>0</v>
      </c>
      <c r="O982" s="56">
        <f t="shared" ref="O982:R1020" si="177">IFERROR($N982*I982,0)</f>
        <v>0</v>
      </c>
      <c r="P982" s="56">
        <f t="shared" si="177"/>
        <v>0</v>
      </c>
      <c r="Q982" s="56">
        <f t="shared" si="177"/>
        <v>0</v>
      </c>
      <c r="R982" s="56">
        <f t="shared" si="177"/>
        <v>0</v>
      </c>
      <c r="S982" s="53"/>
      <c r="T982" s="35" t="s">
        <v>56</v>
      </c>
      <c r="U982" s="18" t="s">
        <v>1206</v>
      </c>
      <c r="V982" s="19" t="str">
        <f>IF(OR($H982="",$H982="sif",$H982="PM"),"",VLOOKUP($H982,[5]CU!$C$5:$J$255,8,FALSE))</f>
        <v/>
      </c>
      <c r="W982" s="18" t="s">
        <v>1165</v>
      </c>
      <c r="X982" s="18" t="s">
        <v>1235</v>
      </c>
      <c r="Y982" s="18" t="s">
        <v>677</v>
      </c>
      <c r="Z982" s="19" t="str">
        <f>A982 &amp; "-" &amp; VLOOKUP(A982,[4]PROGRAMMES!$E$1:$F$7,2,FALSE)</f>
        <v>3-Expansion et réforme de l’ETFP</v>
      </c>
      <c r="AA982" s="19" t="str">
        <f>B982 &amp; "-" &amp; VLOOKUP(B982,[4]SOUSPROGRAMMES!$E$1:$F$44,2,FALSE)</f>
        <v>32- Mise en place d’une ingénierie de formation adaptée aux besoins de l’économie</v>
      </c>
      <c r="AB982" s="19" t="str">
        <f>C982 &amp; "-" &amp; VLOOKUP(C982,[4]RESULTATS!$E$1:$F$176,2,FALSE)</f>
        <v>322- Les TIC et l’économie verte sont prises en compte dans l’élaboration des programmes</v>
      </c>
      <c r="AC982" s="20" t="str">
        <f>D982 &amp; "-" &amp; VLOOKUP(D982,[4]STRATEGIES!$E$1:$F$504,2,FALSE)</f>
        <v>3221-Intégration des TIC et prise en compte de l’économie verte dans l’actualisation et l’élaboration des programmes</v>
      </c>
      <c r="AD982" s="21" t="str">
        <f t="shared" si="174"/>
        <v>32211-Prise en compte des TIC et de l'économie verte dans les nouveaux programmes et dans les programmes révisés (pris en compte dans activités 32126 et 32127)</v>
      </c>
    </row>
    <row r="983" spans="1:30" s="22" customFormat="1" ht="45" hidden="1" customHeight="1" x14ac:dyDescent="0.8">
      <c r="A983" s="14">
        <v>3</v>
      </c>
      <c r="B983" s="15">
        <v>32</v>
      </c>
      <c r="C983" s="15">
        <v>322</v>
      </c>
      <c r="D983" s="15">
        <v>3221</v>
      </c>
      <c r="E983" s="14">
        <v>32212</v>
      </c>
      <c r="F983" s="16" t="s">
        <v>1236</v>
      </c>
      <c r="G983" s="21" t="s">
        <v>92</v>
      </c>
      <c r="H983" s="17" t="s">
        <v>55</v>
      </c>
      <c r="I983" s="56">
        <v>0</v>
      </c>
      <c r="J983" s="56"/>
      <c r="K983" s="56"/>
      <c r="L983" s="56"/>
      <c r="M983" s="56">
        <f t="shared" si="176"/>
        <v>0</v>
      </c>
      <c r="N983" s="56">
        <f>IF(OR(H983="",H983="sif",H983="PM"),0,VLOOKUP(H983,[5]CU!$C$4:$H$255,6,FALSE))</f>
        <v>0</v>
      </c>
      <c r="O983" s="56">
        <f t="shared" si="177"/>
        <v>0</v>
      </c>
      <c r="P983" s="56">
        <f t="shared" si="177"/>
        <v>0</v>
      </c>
      <c r="Q983" s="56">
        <f t="shared" si="177"/>
        <v>0</v>
      </c>
      <c r="R983" s="56">
        <f t="shared" si="177"/>
        <v>0</v>
      </c>
      <c r="S983" s="53"/>
      <c r="T983" s="35" t="s">
        <v>56</v>
      </c>
      <c r="U983" s="18" t="s">
        <v>1206</v>
      </c>
      <c r="V983" s="19" t="str">
        <f>IF(OR($H983="",$H983="sif",$H983="PM"),"",VLOOKUP($H983,[5]CU!$C$5:$J$255,8,FALSE))</f>
        <v/>
      </c>
      <c r="W983" s="18" t="s">
        <v>521</v>
      </c>
      <c r="X983" s="18" t="s">
        <v>1237</v>
      </c>
      <c r="Y983" s="18" t="s">
        <v>677</v>
      </c>
      <c r="Z983" s="19" t="str">
        <f>A983 &amp; "-" &amp; VLOOKUP(A983,[4]PROGRAMMES!$E$1:$F$7,2,FALSE)</f>
        <v>3-Expansion et réforme de l’ETFP</v>
      </c>
      <c r="AA983" s="19" t="str">
        <f>B983 &amp; "-" &amp; VLOOKUP(B983,[4]SOUSPROGRAMMES!$E$1:$F$44,2,FALSE)</f>
        <v>32- Mise en place d’une ingénierie de formation adaptée aux besoins de l’économie</v>
      </c>
      <c r="AB983" s="19" t="str">
        <f>C983 &amp; "-" &amp; VLOOKUP(C983,[4]RESULTATS!$E$1:$F$176,2,FALSE)</f>
        <v>322- Les TIC et l’économie verte sont prises en compte dans l’élaboration des programmes</v>
      </c>
      <c r="AC983" s="20" t="str">
        <f>D983 &amp; "-" &amp; VLOOKUP(D983,[4]STRATEGIES!$E$1:$F$504,2,FALSE)</f>
        <v>3221-Intégration des TIC et prise en compte de l’économie verte dans l’actualisation et l’élaboration des programmes</v>
      </c>
      <c r="AD983" s="21" t="str">
        <f t="shared" si="174"/>
        <v>32212-Equipement des ERAM en matériel informatiques (voir activité 33117)</v>
      </c>
    </row>
    <row r="984" spans="1:30" s="22" customFormat="1" ht="45" hidden="1" customHeight="1" x14ac:dyDescent="0.8">
      <c r="A984" s="14">
        <v>3</v>
      </c>
      <c r="B984" s="15">
        <v>32</v>
      </c>
      <c r="C984" s="15">
        <v>322</v>
      </c>
      <c r="D984" s="15">
        <v>3221</v>
      </c>
      <c r="E984" s="14">
        <v>32213</v>
      </c>
      <c r="F984" s="16" t="s">
        <v>1238</v>
      </c>
      <c r="G984" s="21" t="s">
        <v>1239</v>
      </c>
      <c r="H984" s="17" t="s">
        <v>1240</v>
      </c>
      <c r="I984" s="56">
        <v>0</v>
      </c>
      <c r="J984" s="56">
        <v>0</v>
      </c>
      <c r="K984" s="56">
        <v>8</v>
      </c>
      <c r="L984" s="56">
        <v>0</v>
      </c>
      <c r="M984" s="56">
        <f t="shared" si="176"/>
        <v>8</v>
      </c>
      <c r="N984" s="56">
        <f>IF(OR(H984="",H984="sif",H984="PM"),0,VLOOKUP(H984,[5]CU!$C$4:$H$255,6,FALSE))</f>
        <v>100</v>
      </c>
      <c r="O984" s="56">
        <f t="shared" si="177"/>
        <v>0</v>
      </c>
      <c r="P984" s="56">
        <f t="shared" si="177"/>
        <v>0</v>
      </c>
      <c r="Q984" s="56">
        <f t="shared" si="177"/>
        <v>800</v>
      </c>
      <c r="R984" s="56">
        <f t="shared" si="177"/>
        <v>0</v>
      </c>
      <c r="S984" s="53">
        <f t="shared" ref="S984:S993" si="178">SUM(O984:R984)</f>
        <v>800</v>
      </c>
      <c r="T984" s="35" t="s">
        <v>169</v>
      </c>
      <c r="U984" s="18" t="s">
        <v>1206</v>
      </c>
      <c r="V984" s="19" t="str">
        <f>IF(OR($H984="",$H984="sif",$H984="PM"),"",VLOOKUP($H984,[5]CU!$C$5:$J$255,8,FALSE))</f>
        <v>5. Investissement</v>
      </c>
      <c r="W984" s="18" t="s">
        <v>521</v>
      </c>
      <c r="X984" s="18" t="s">
        <v>1237</v>
      </c>
      <c r="Y984" s="18" t="s">
        <v>677</v>
      </c>
      <c r="Z984" s="19" t="str">
        <f>A984 &amp; "-" &amp; VLOOKUP(A984,[4]PROGRAMMES!$E$1:$F$7,2,FALSE)</f>
        <v>3-Expansion et réforme de l’ETFP</v>
      </c>
      <c r="AA984" s="19" t="str">
        <f>B984 &amp; "-" &amp; VLOOKUP(B984,[4]SOUSPROGRAMMES!$E$1:$F$44,2,FALSE)</f>
        <v>32- Mise en place d’une ingénierie de formation adaptée aux besoins de l’économie</v>
      </c>
      <c r="AB984" s="19" t="str">
        <f>C984 &amp; "-" &amp; VLOOKUP(C984,[4]RESULTATS!$E$1:$F$176,2,FALSE)</f>
        <v>322- Les TIC et l’économie verte sont prises en compte dans l’élaboration des programmes</v>
      </c>
      <c r="AC984" s="20" t="str">
        <f>D984 &amp; "-" &amp; VLOOKUP(D984,[4]STRATEGIES!$E$1:$F$504,2,FALSE)</f>
        <v>3221-Intégration des TIC et prise en compte de l’économie verte dans l’actualisation et l’élaboration des programmes</v>
      </c>
      <c r="AD984" s="21" t="str">
        <f t="shared" si="174"/>
        <v>32213-Equipement des ENI en matériel informatiques</v>
      </c>
    </row>
    <row r="985" spans="1:30" s="22" customFormat="1" ht="45" hidden="1" customHeight="1" x14ac:dyDescent="0.8">
      <c r="A985" s="14">
        <v>3</v>
      </c>
      <c r="B985" s="15">
        <v>32</v>
      </c>
      <c r="C985" s="15">
        <v>322</v>
      </c>
      <c r="D985" s="15">
        <v>3221</v>
      </c>
      <c r="E985" s="14">
        <v>32214</v>
      </c>
      <c r="F985" s="16" t="s">
        <v>1241</v>
      </c>
      <c r="G985" s="21" t="s">
        <v>1239</v>
      </c>
      <c r="H985" s="17" t="s">
        <v>1242</v>
      </c>
      <c r="I985" s="56">
        <v>0</v>
      </c>
      <c r="J985" s="56"/>
      <c r="K985" s="56"/>
      <c r="L985" s="56"/>
      <c r="M985" s="56">
        <f t="shared" si="176"/>
        <v>0</v>
      </c>
      <c r="N985" s="56">
        <f>IF(OR(H985="",H985="sif",H985="PM"),0,VLOOKUP(H985,[5]CU!$C$4:$H$255,6,FALSE))</f>
        <v>60</v>
      </c>
      <c r="O985" s="56">
        <f t="shared" si="177"/>
        <v>0</v>
      </c>
      <c r="P985" s="56">
        <f t="shared" si="177"/>
        <v>0</v>
      </c>
      <c r="Q985" s="56">
        <f t="shared" si="177"/>
        <v>0</v>
      </c>
      <c r="R985" s="56">
        <f t="shared" si="177"/>
        <v>0</v>
      </c>
      <c r="S985" s="53">
        <f t="shared" si="178"/>
        <v>0</v>
      </c>
      <c r="T985" s="35" t="s">
        <v>56</v>
      </c>
      <c r="U985" s="18" t="s">
        <v>1206</v>
      </c>
      <c r="V985" s="19" t="str">
        <f>IF(OR($H985="",$H985="sif",$H985="PM"),"",VLOOKUP($H985,[5]CU!$C$5:$J$255,8,FALSE))</f>
        <v>5. Investissement</v>
      </c>
      <c r="W985" s="18" t="s">
        <v>521</v>
      </c>
      <c r="X985" s="18" t="s">
        <v>1237</v>
      </c>
      <c r="Y985" s="18" t="s">
        <v>677</v>
      </c>
      <c r="Z985" s="19" t="str">
        <f>A985 &amp; "-" &amp; VLOOKUP(A985,[4]PROGRAMMES!$E$1:$F$7,2,FALSE)</f>
        <v>3-Expansion et réforme de l’ETFP</v>
      </c>
      <c r="AA985" s="19" t="str">
        <f>B985 &amp; "-" &amp; VLOOKUP(B985,[4]SOUSPROGRAMMES!$E$1:$F$44,2,FALSE)</f>
        <v>32- Mise en place d’une ingénierie de formation adaptée aux besoins de l’économie</v>
      </c>
      <c r="AB985" s="19" t="str">
        <f>C985 &amp; "-" &amp; VLOOKUP(C985,[4]RESULTATS!$E$1:$F$176,2,FALSE)</f>
        <v>322- Les TIC et l’économie verte sont prises en compte dans l’élaboration des programmes</v>
      </c>
      <c r="AC985" s="20" t="str">
        <f>D985 &amp; "-" &amp; VLOOKUP(D985,[4]STRATEGIES!$E$1:$F$504,2,FALSE)</f>
        <v>3221-Intégration des TIC et prise en compte de l’économie verte dans l’actualisation et l’élaboration des programmes</v>
      </c>
      <c r="AD985" s="21" t="str">
        <f t="shared" si="174"/>
        <v>32214-Equipement des ENAE en matériel informatiques</v>
      </c>
    </row>
    <row r="986" spans="1:30" s="22" customFormat="1" ht="45" hidden="1" customHeight="1" x14ac:dyDescent="0.8">
      <c r="A986" s="14">
        <v>3</v>
      </c>
      <c r="B986" s="15">
        <v>32</v>
      </c>
      <c r="C986" s="15">
        <v>322</v>
      </c>
      <c r="D986" s="15">
        <v>3221</v>
      </c>
      <c r="E986" s="14">
        <v>32215</v>
      </c>
      <c r="F986" s="16" t="s">
        <v>1243</v>
      </c>
      <c r="G986" s="21" t="s">
        <v>436</v>
      </c>
      <c r="H986" s="17" t="s">
        <v>301</v>
      </c>
      <c r="I986" s="56">
        <v>0</v>
      </c>
      <c r="J986" s="56">
        <f>1*10*1</f>
        <v>10</v>
      </c>
      <c r="K986" s="56"/>
      <c r="L986" s="56"/>
      <c r="M986" s="56">
        <f t="shared" si="176"/>
        <v>10</v>
      </c>
      <c r="N986" s="56">
        <f>IF(OR(H986="",H986="sif",H986="PM"),0,VLOOKUP(H986,[5]CU!$C$4:$H$255,6,FALSE))</f>
        <v>0.67666666666666664</v>
      </c>
      <c r="O986" s="56">
        <f t="shared" si="177"/>
        <v>0</v>
      </c>
      <c r="P986" s="56">
        <f t="shared" si="177"/>
        <v>6.7666666666666666</v>
      </c>
      <c r="Q986" s="56">
        <f t="shared" si="177"/>
        <v>0</v>
      </c>
      <c r="R986" s="56">
        <f t="shared" si="177"/>
        <v>0</v>
      </c>
      <c r="S986" s="53">
        <f t="shared" si="178"/>
        <v>6.7666666666666666</v>
      </c>
      <c r="T986" s="35" t="s">
        <v>169</v>
      </c>
      <c r="U986" s="18" t="s">
        <v>1206</v>
      </c>
      <c r="V986" s="19" t="str">
        <f>IF(OR($H986="",$H986="sif",$H986="PM"),"",VLOOKUP($H986,[5]CU!$C$5:$J$255,8,FALSE))</f>
        <v>3. Formation</v>
      </c>
      <c r="W986" s="18" t="s">
        <v>521</v>
      </c>
      <c r="X986" s="18" t="s">
        <v>1244</v>
      </c>
      <c r="Y986" s="18" t="s">
        <v>677</v>
      </c>
      <c r="Z986" s="19" t="str">
        <f>A986 &amp; "-" &amp; VLOOKUP(A986,[4]PROGRAMMES!$E$1:$F$7,2,FALSE)</f>
        <v>3-Expansion et réforme de l’ETFP</v>
      </c>
      <c r="AA986" s="19" t="str">
        <f>B986 &amp; "-" &amp; VLOOKUP(B986,[4]SOUSPROGRAMMES!$E$1:$F$44,2,FALSE)</f>
        <v>32- Mise en place d’une ingénierie de formation adaptée aux besoins de l’économie</v>
      </c>
      <c r="AB986" s="19" t="str">
        <f>C986 &amp; "-" &amp; VLOOKUP(C986,[4]RESULTATS!$E$1:$F$176,2,FALSE)</f>
        <v>322- Les TIC et l’économie verte sont prises en compte dans l’élaboration des programmes</v>
      </c>
      <c r="AC986" s="20" t="str">
        <f>D986 &amp; "-" &amp; VLOOKUP(D986,[4]STRATEGIES!$E$1:$F$504,2,FALSE)</f>
        <v>3221-Intégration des TIC et prise en compte de l’économie verte dans l’actualisation et l’élaboration des programmes</v>
      </c>
      <c r="AD986" s="21" t="str">
        <f t="shared" si="174"/>
        <v>32215-Formation des responsables TIC des ENI, ERAM, ENAE, Ecoles de santé</v>
      </c>
    </row>
    <row r="987" spans="1:30" s="22" customFormat="1" ht="45" customHeight="1" x14ac:dyDescent="0.8">
      <c r="A987" s="14">
        <v>3</v>
      </c>
      <c r="B987" s="15">
        <v>32</v>
      </c>
      <c r="C987" s="15">
        <v>323</v>
      </c>
      <c r="D987" s="15">
        <v>323</v>
      </c>
      <c r="E987" s="14">
        <v>323</v>
      </c>
      <c r="F987" s="16" t="s">
        <v>1245</v>
      </c>
      <c r="G987" s="17"/>
      <c r="H987" s="17"/>
      <c r="I987" s="56">
        <v>0</v>
      </c>
      <c r="J987" s="56"/>
      <c r="K987" s="56"/>
      <c r="L987" s="56"/>
      <c r="M987" s="56"/>
      <c r="N987" s="56"/>
      <c r="O987" s="56"/>
      <c r="P987" s="56"/>
      <c r="Q987" s="56"/>
      <c r="R987" s="56"/>
      <c r="S987" s="53"/>
      <c r="T987" s="33"/>
      <c r="U987" s="18"/>
      <c r="V987" s="19"/>
      <c r="W987" s="18"/>
      <c r="X987" s="18"/>
      <c r="Y987" s="18" t="s">
        <v>677</v>
      </c>
      <c r="Z987" s="19" t="str">
        <f>A987 &amp; "-" &amp; VLOOKUP(A987,[4]PROGRAMMES!$E$1:$F$7,2,FALSE)</f>
        <v>3-Expansion et réforme de l’ETFP</v>
      </c>
      <c r="AA987" s="19" t="str">
        <f>B987 &amp; "-" &amp; VLOOKUP(B987,[4]SOUSPROGRAMMES!$E$1:$F$44,2,FALSE)</f>
        <v>32- Mise en place d’une ingénierie de formation adaptée aux besoins de l’économie</v>
      </c>
      <c r="AB987" s="19" t="str">
        <f>C987 &amp; "-" &amp; VLOOKUP(C987,[4]RESULTATS!$E$1:$F$176,2,FALSE)</f>
        <v>323- Un cadre adéquat pour le développement de la formation en milieu du travail est mis en place</v>
      </c>
      <c r="AC987" s="20" t="str">
        <f>D987 &amp; "-" &amp; VLOOKUP(D987,[4]STRATEGIES!$E$1:$F$504,2,FALSE)</f>
        <v>323- Un cadre adéquat pour le développement de la formation en milieu du travail est mis en place</v>
      </c>
      <c r="AD987" s="21" t="str">
        <f t="shared" si="174"/>
        <v>323- Un cadre adéquat pour le développement de la formation en milieu du travail est mis en place</v>
      </c>
    </row>
    <row r="988" spans="1:30" s="22" customFormat="1" ht="45" customHeight="1" x14ac:dyDescent="0.8">
      <c r="A988" s="14">
        <v>3</v>
      </c>
      <c r="B988" s="15">
        <v>32</v>
      </c>
      <c r="C988" s="15">
        <v>323</v>
      </c>
      <c r="D988" s="15">
        <v>3231</v>
      </c>
      <c r="E988" s="14">
        <v>3231</v>
      </c>
      <c r="F988" s="16" t="s">
        <v>1246</v>
      </c>
      <c r="G988" s="17"/>
      <c r="H988" s="17"/>
      <c r="I988" s="56">
        <v>0</v>
      </c>
      <c r="J988" s="56"/>
      <c r="K988" s="56"/>
      <c r="L988" s="56"/>
      <c r="M988" s="56"/>
      <c r="N988" s="56"/>
      <c r="O988" s="56"/>
      <c r="P988" s="56"/>
      <c r="Q988" s="56"/>
      <c r="R988" s="56"/>
      <c r="S988" s="53"/>
      <c r="T988" s="33"/>
      <c r="U988" s="18"/>
      <c r="V988" s="19"/>
      <c r="W988" s="18"/>
      <c r="X988" s="18"/>
      <c r="Y988" s="18" t="s">
        <v>677</v>
      </c>
      <c r="Z988" s="19" t="str">
        <f>A988 &amp; "-" &amp; VLOOKUP(A988,[4]PROGRAMMES!$E$1:$F$7,2,FALSE)</f>
        <v>3-Expansion et réforme de l’ETFP</v>
      </c>
      <c r="AA988" s="19" t="str">
        <f>B988 &amp; "-" &amp; VLOOKUP(B988,[4]SOUSPROGRAMMES!$E$1:$F$44,2,FALSE)</f>
        <v>32- Mise en place d’une ingénierie de formation adaptée aux besoins de l’économie</v>
      </c>
      <c r="AB988" s="19" t="str">
        <f>C988 &amp; "-" &amp; VLOOKUP(C988,[4]RESULTATS!$E$1:$F$176,2,FALSE)</f>
        <v>323- Un cadre adéquat pour le développement de la formation en milieu du travail est mis en place</v>
      </c>
      <c r="AC988" s="20" t="str">
        <f>D988 &amp; "-" &amp; VLOOKUP(D988,[4]STRATEGIES!$E$1:$F$504,2,FALSE)</f>
        <v>3231-Définition d’un cadre de développement de l’apprentissage</v>
      </c>
      <c r="AD988" s="21" t="str">
        <f t="shared" si="174"/>
        <v>3231-DéFinition d’un cadre de développement de l’apprentissage</v>
      </c>
    </row>
    <row r="989" spans="1:30" s="22" customFormat="1" ht="45" hidden="1" customHeight="1" x14ac:dyDescent="0.8">
      <c r="A989" s="14">
        <v>3</v>
      </c>
      <c r="B989" s="15">
        <v>32</v>
      </c>
      <c r="C989" s="15">
        <v>323</v>
      </c>
      <c r="D989" s="15">
        <v>3231</v>
      </c>
      <c r="E989" s="14">
        <v>32311</v>
      </c>
      <c r="F989" s="16" t="s">
        <v>1247</v>
      </c>
      <c r="G989" s="21" t="s">
        <v>167</v>
      </c>
      <c r="H989" s="17" t="s">
        <v>662</v>
      </c>
      <c r="I989" s="56">
        <v>0</v>
      </c>
      <c r="J989" s="56">
        <f>2*3</f>
        <v>6</v>
      </c>
      <c r="K989" s="56">
        <v>4</v>
      </c>
      <c r="L989" s="56">
        <v>2</v>
      </c>
      <c r="M989" s="56">
        <f t="shared" si="176"/>
        <v>12</v>
      </c>
      <c r="N989" s="56">
        <f>IF(OR(H989="",H989="sif",H989="PM"),0,VLOOKUP(H989,[5]CU!$C$4:$H$255,6,FALSE))</f>
        <v>219.54797350000001</v>
      </c>
      <c r="O989" s="56">
        <f t="shared" si="177"/>
        <v>0</v>
      </c>
      <c r="P989" s="56">
        <f t="shared" si="177"/>
        <v>1317.2878410000001</v>
      </c>
      <c r="Q989" s="56">
        <f t="shared" si="177"/>
        <v>878.19189400000005</v>
      </c>
      <c r="R989" s="56">
        <f t="shared" si="177"/>
        <v>439.09594700000002</v>
      </c>
      <c r="S989" s="53">
        <f t="shared" si="178"/>
        <v>2634.5756819999997</v>
      </c>
      <c r="T989" s="35" t="s">
        <v>169</v>
      </c>
      <c r="U989" s="18" t="s">
        <v>1206</v>
      </c>
      <c r="V989" s="19" t="str">
        <f>IF(OR($H989="",$H989="sif",$H989="PM"),"",VLOOKUP($H989,[5]CU!$C$5:$J$255,8,FALSE))</f>
        <v>3. Dépenses de fonctionnement</v>
      </c>
      <c r="W989" s="18" t="s">
        <v>1165</v>
      </c>
      <c r="X989" s="18" t="s">
        <v>750</v>
      </c>
      <c r="Y989" s="18" t="s">
        <v>677</v>
      </c>
      <c r="Z989" s="19" t="str">
        <f>A989 &amp; "-" &amp; VLOOKUP(A989,[4]PROGRAMMES!$E$1:$F$7,2,FALSE)</f>
        <v>3-Expansion et réforme de l’ETFP</v>
      </c>
      <c r="AA989" s="19" t="str">
        <f>B989 &amp; "-" &amp; VLOOKUP(B989,[4]SOUSPROGRAMMES!$E$1:$F$44,2,FALSE)</f>
        <v>32- Mise en place d’une ingénierie de formation adaptée aux besoins de l’économie</v>
      </c>
      <c r="AB989" s="19" t="str">
        <f>C989 &amp; "-" &amp; VLOOKUP(C989,[4]RESULTATS!$E$1:$F$176,2,FALSE)</f>
        <v>323- Un cadre adéquat pour le développement de la formation en milieu du travail est mis en place</v>
      </c>
      <c r="AC989" s="20" t="str">
        <f>D989 &amp; "-" &amp; VLOOKUP(D989,[4]STRATEGIES!$E$1:$F$504,2,FALSE)</f>
        <v>3231-Définition d’un cadre de développement de l’apprentissage</v>
      </c>
      <c r="AD989" s="21" t="str">
        <f t="shared" si="174"/>
        <v>32311-Appui à la déFinition d'un cadre de développement de l'apprentissage (assistance technique longue durée pour accompagner le processus dans son ensemble)</v>
      </c>
    </row>
    <row r="990" spans="1:30" s="22" customFormat="1" ht="45" customHeight="1" x14ac:dyDescent="0.8">
      <c r="A990" s="14">
        <v>3</v>
      </c>
      <c r="B990" s="15">
        <v>32</v>
      </c>
      <c r="C990" s="15">
        <v>323</v>
      </c>
      <c r="D990" s="15">
        <v>3231</v>
      </c>
      <c r="E990" s="14">
        <v>32312</v>
      </c>
      <c r="F990" s="16" t="s">
        <v>1248</v>
      </c>
      <c r="G990" s="21" t="s">
        <v>298</v>
      </c>
      <c r="H990" s="17" t="s">
        <v>66</v>
      </c>
      <c r="I990" s="56">
        <v>0</v>
      </c>
      <c r="J990" s="56">
        <f>15*5</f>
        <v>75</v>
      </c>
      <c r="K990" s="56"/>
      <c r="L990" s="56"/>
      <c r="M990" s="56">
        <f t="shared" si="176"/>
        <v>75</v>
      </c>
      <c r="N990" s="56">
        <f>IF(OR(H990="",H990="sif",H990="PM"),0,VLOOKUP(H990,[5]CU!$C$4:$H$255,6,FALSE))</f>
        <v>0.255</v>
      </c>
      <c r="O990" s="56">
        <f t="shared" si="177"/>
        <v>0</v>
      </c>
      <c r="P990" s="56">
        <f t="shared" si="177"/>
        <v>19.125</v>
      </c>
      <c r="Q990" s="56">
        <f t="shared" si="177"/>
        <v>0</v>
      </c>
      <c r="R990" s="56">
        <f t="shared" si="177"/>
        <v>0</v>
      </c>
      <c r="S990" s="53">
        <f t="shared" si="178"/>
        <v>19.125</v>
      </c>
      <c r="T990" s="35" t="s">
        <v>118</v>
      </c>
      <c r="U990" s="18" t="s">
        <v>1206</v>
      </c>
      <c r="V990" s="19" t="str">
        <f>IF(OR($H990="",$H990="sif",$H990="PM"),"",VLOOKUP($H990,[5]CU!$C$5:$J$255,8,FALSE))</f>
        <v>3. Dépenses de fonctionnement</v>
      </c>
      <c r="W990" s="18" t="s">
        <v>1165</v>
      </c>
      <c r="X990" s="18" t="s">
        <v>1165</v>
      </c>
      <c r="Y990" s="18" t="s">
        <v>677</v>
      </c>
      <c r="Z990" s="19" t="str">
        <f>A990 &amp; "-" &amp; VLOOKUP(A990,[4]PROGRAMMES!$E$1:$F$7,2,FALSE)</f>
        <v>3-Expansion et réforme de l’ETFP</v>
      </c>
      <c r="AA990" s="19" t="str">
        <f>B990 &amp; "-" &amp; VLOOKUP(B990,[4]SOUSPROGRAMMES!$E$1:$F$44,2,FALSE)</f>
        <v>32- Mise en place d’une ingénierie de formation adaptée aux besoins de l’économie</v>
      </c>
      <c r="AB990" s="19" t="str">
        <f>C990 &amp; "-" &amp; VLOOKUP(C990,[4]RESULTATS!$E$1:$F$176,2,FALSE)</f>
        <v>323- Un cadre adéquat pour le développement de la formation en milieu du travail est mis en place</v>
      </c>
      <c r="AC990" s="20" t="str">
        <f>D990 &amp; "-" &amp; VLOOKUP(D990,[4]STRATEGIES!$E$1:$F$504,2,FALSE)</f>
        <v>3231-Définition d’un cadre de développement de l’apprentissage</v>
      </c>
      <c r="AD990" s="21" t="str">
        <f t="shared" si="174"/>
        <v>32312-Elaboration d'une fiche de collecte pour l'identification des maitres apprentis et des cadres d'apprentissage (en collaboration avec les fédérations)</v>
      </c>
    </row>
    <row r="991" spans="1:30" s="22" customFormat="1" ht="45" hidden="1" customHeight="1" x14ac:dyDescent="0.8">
      <c r="A991" s="14">
        <v>3</v>
      </c>
      <c r="B991" s="15">
        <v>32</v>
      </c>
      <c r="C991" s="15">
        <v>323</v>
      </c>
      <c r="D991" s="15">
        <v>3231</v>
      </c>
      <c r="E991" s="14">
        <v>32313</v>
      </c>
      <c r="F991" s="16" t="s">
        <v>1249</v>
      </c>
      <c r="G991" s="21" t="s">
        <v>1250</v>
      </c>
      <c r="H991" s="17" t="s">
        <v>59</v>
      </c>
      <c r="I991" s="56">
        <v>0</v>
      </c>
      <c r="J991" s="56">
        <v>0</v>
      </c>
      <c r="K991" s="56"/>
      <c r="L991" s="56">
        <v>1</v>
      </c>
      <c r="M991" s="56">
        <f t="shared" si="176"/>
        <v>1</v>
      </c>
      <c r="N991" s="56">
        <f>IF(OR(H991="",H991="sif",H991="PM"),0,VLOOKUP(H991,[5]CU!$C$4:$H$255,6,FALSE))</f>
        <v>0.8177777777777776</v>
      </c>
      <c r="O991" s="56">
        <f t="shared" si="177"/>
        <v>0</v>
      </c>
      <c r="P991" s="56">
        <f t="shared" si="177"/>
        <v>0</v>
      </c>
      <c r="Q991" s="56">
        <f t="shared" si="177"/>
        <v>0</v>
      </c>
      <c r="R991" s="56">
        <f t="shared" si="177"/>
        <v>0.8177777777777776</v>
      </c>
      <c r="S991" s="53">
        <f t="shared" si="178"/>
        <v>0.8177777777777776</v>
      </c>
      <c r="T991" s="35" t="s">
        <v>169</v>
      </c>
      <c r="U991" s="18" t="s">
        <v>1206</v>
      </c>
      <c r="V991" s="19" t="str">
        <f>IF(OR($H991="",$H991="sif",$H991="PM"),"",VLOOKUP($H991,[5]CU!$C$5:$J$255,8,FALSE))</f>
        <v>3. Dépenses de fonctionnement</v>
      </c>
      <c r="W991" s="18" t="s">
        <v>1165</v>
      </c>
      <c r="X991" s="18" t="s">
        <v>1251</v>
      </c>
      <c r="Y991" s="18" t="s">
        <v>677</v>
      </c>
      <c r="Z991" s="19" t="str">
        <f>A991 &amp; "-" &amp; VLOOKUP(A991,[4]PROGRAMMES!$E$1:$F$7,2,FALSE)</f>
        <v>3-Expansion et réforme de l’ETFP</v>
      </c>
      <c r="AA991" s="19" t="str">
        <f>B991 &amp; "-" &amp; VLOOKUP(B991,[4]SOUSPROGRAMMES!$E$1:$F$44,2,FALSE)</f>
        <v>32- Mise en place d’une ingénierie de formation adaptée aux besoins de l’économie</v>
      </c>
      <c r="AB991" s="19" t="str">
        <f>C991 &amp; "-" &amp; VLOOKUP(C991,[4]RESULTATS!$E$1:$F$176,2,FALSE)</f>
        <v>323- Un cadre adéquat pour le développement de la formation en milieu du travail est mis en place</v>
      </c>
      <c r="AC991" s="20" t="str">
        <f>D991 &amp; "-" &amp; VLOOKUP(D991,[4]STRATEGIES!$E$1:$F$504,2,FALSE)</f>
        <v>3231-Définition d’un cadre de développement de l’apprentissage</v>
      </c>
      <c r="AD991" s="21" t="str">
        <f t="shared" si="174"/>
        <v>32313-Identification/Recensement des maitres apprentis et des cadres d'apprentissage adéquats (A faire par les fédérations)</v>
      </c>
    </row>
    <row r="992" spans="1:30" s="22" customFormat="1" ht="45" hidden="1" customHeight="1" x14ac:dyDescent="0.8">
      <c r="A992" s="14">
        <v>3</v>
      </c>
      <c r="B992" s="15">
        <v>32</v>
      </c>
      <c r="C992" s="15">
        <v>323</v>
      </c>
      <c r="D992" s="15">
        <v>3231</v>
      </c>
      <c r="E992" s="14">
        <v>32314</v>
      </c>
      <c r="F992" s="16" t="s">
        <v>1252</v>
      </c>
      <c r="G992" s="21" t="s">
        <v>315</v>
      </c>
      <c r="H992" s="17" t="s">
        <v>38</v>
      </c>
      <c r="I992" s="56">
        <v>0</v>
      </c>
      <c r="J992" s="56">
        <f>15*2*9</f>
        <v>270</v>
      </c>
      <c r="K992" s="56"/>
      <c r="L992" s="56">
        <f>15*2*9</f>
        <v>270</v>
      </c>
      <c r="M992" s="56">
        <f t="shared" si="176"/>
        <v>540</v>
      </c>
      <c r="N992" s="56">
        <f>IF(OR(H992="",H992="sif",H992="PM"),0,VLOOKUP(H992,[5]CU!$C$4:$H$255,6,FALSE))</f>
        <v>0.3133333333333333</v>
      </c>
      <c r="O992" s="56">
        <f t="shared" si="177"/>
        <v>0</v>
      </c>
      <c r="P992" s="56">
        <f t="shared" si="177"/>
        <v>84.6</v>
      </c>
      <c r="Q992" s="56">
        <f t="shared" si="177"/>
        <v>0</v>
      </c>
      <c r="R992" s="56">
        <f t="shared" si="177"/>
        <v>84.6</v>
      </c>
      <c r="S992" s="53">
        <f t="shared" si="178"/>
        <v>169.2</v>
      </c>
      <c r="T992" s="35" t="s">
        <v>56</v>
      </c>
      <c r="U992" s="18" t="s">
        <v>1206</v>
      </c>
      <c r="V992" s="19" t="str">
        <f>IF(OR($H992="",$H992="sif",$H992="PM"),"",VLOOKUP($H992,[5]CU!$C$5:$J$255,8,FALSE))</f>
        <v>3. Formation</v>
      </c>
      <c r="W992" s="18" t="s">
        <v>1165</v>
      </c>
      <c r="X992" s="18" t="s">
        <v>1251</v>
      </c>
      <c r="Y992" s="18" t="s">
        <v>677</v>
      </c>
      <c r="Z992" s="19" t="str">
        <f>A992 &amp; "-" &amp; VLOOKUP(A992,[4]PROGRAMMES!$E$1:$F$7,2,FALSE)</f>
        <v>3-Expansion et réforme de l’ETFP</v>
      </c>
      <c r="AA992" s="19" t="str">
        <f>B992 &amp; "-" &amp; VLOOKUP(B992,[4]SOUSPROGRAMMES!$E$1:$F$44,2,FALSE)</f>
        <v>32- Mise en place d’une ingénierie de formation adaptée aux besoins de l’économie</v>
      </c>
      <c r="AB992" s="19" t="str">
        <f>C992 &amp; "-" &amp; VLOOKUP(C992,[4]RESULTATS!$E$1:$F$176,2,FALSE)</f>
        <v>323- Un cadre adéquat pour le développement de la formation en milieu du travail est mis en place</v>
      </c>
      <c r="AC992" s="20" t="str">
        <f>D992 &amp; "-" &amp; VLOOKUP(D992,[4]STRATEGIES!$E$1:$F$504,2,FALSE)</f>
        <v>3231-Définition d’un cadre de développement de l’apprentissage</v>
      </c>
      <c r="AD992" s="21" t="str">
        <f t="shared" si="174"/>
        <v xml:space="preserve">32314-Validation par les acteurs au niveau régional et national des résultats de la collecte et déFinition des appuis à mener </v>
      </c>
    </row>
    <row r="993" spans="1:30" s="22" customFormat="1" ht="45" customHeight="1" x14ac:dyDescent="0.8">
      <c r="A993" s="14">
        <v>3</v>
      </c>
      <c r="B993" s="15">
        <v>32</v>
      </c>
      <c r="C993" s="15">
        <v>323</v>
      </c>
      <c r="D993" s="15">
        <v>3231</v>
      </c>
      <c r="E993" s="14">
        <v>32315</v>
      </c>
      <c r="F993" s="16" t="s">
        <v>1253</v>
      </c>
      <c r="G993" s="21" t="s">
        <v>1254</v>
      </c>
      <c r="H993" s="17" t="s">
        <v>38</v>
      </c>
      <c r="I993" s="56">
        <v>0</v>
      </c>
      <c r="J993" s="56">
        <f>45*2</f>
        <v>90</v>
      </c>
      <c r="K993" s="56"/>
      <c r="L993" s="56"/>
      <c r="M993" s="56">
        <f t="shared" si="176"/>
        <v>90</v>
      </c>
      <c r="N993" s="56">
        <f>IF(OR(H993="",H993="sif",H993="PM"),0,VLOOKUP(H993,[5]CU!$C$4:$H$255,6,FALSE))</f>
        <v>0.3133333333333333</v>
      </c>
      <c r="O993" s="56">
        <f t="shared" si="177"/>
        <v>0</v>
      </c>
      <c r="P993" s="56">
        <f t="shared" si="177"/>
        <v>28.199999999999996</v>
      </c>
      <c r="Q993" s="56">
        <f t="shared" si="177"/>
        <v>0</v>
      </c>
      <c r="R993" s="56">
        <f t="shared" si="177"/>
        <v>0</v>
      </c>
      <c r="S993" s="53">
        <f t="shared" si="178"/>
        <v>28.199999999999996</v>
      </c>
      <c r="T993" s="35" t="s">
        <v>118</v>
      </c>
      <c r="U993" s="18" t="s">
        <v>1206</v>
      </c>
      <c r="V993" s="19" t="str">
        <f>IF(OR($H993="",$H993="sif",$H993="PM"),"",VLOOKUP($H993,[5]CU!$C$5:$J$255,8,FALSE))</f>
        <v>3. Formation</v>
      </c>
      <c r="W993" s="18" t="s">
        <v>1165</v>
      </c>
      <c r="X993" s="18" t="s">
        <v>1255</v>
      </c>
      <c r="Y993" s="18" t="s">
        <v>677</v>
      </c>
      <c r="Z993" s="19" t="str">
        <f>A993 &amp; "-" &amp; VLOOKUP(A993,[4]PROGRAMMES!$E$1:$F$7,2,FALSE)</f>
        <v>3-Expansion et réforme de l’ETFP</v>
      </c>
      <c r="AA993" s="19" t="str">
        <f>B993 &amp; "-" &amp; VLOOKUP(B993,[4]SOUSPROGRAMMES!$E$1:$F$44,2,FALSE)</f>
        <v>32- Mise en place d’une ingénierie de formation adaptée aux besoins de l’économie</v>
      </c>
      <c r="AB993" s="19" t="str">
        <f>C993 &amp; "-" &amp; VLOOKUP(C993,[4]RESULTATS!$E$1:$F$176,2,FALSE)</f>
        <v>323- Un cadre adéquat pour le développement de la formation en milieu du travail est mis en place</v>
      </c>
      <c r="AC993" s="20" t="str">
        <f>D993 &amp; "-" &amp; VLOOKUP(D993,[4]STRATEGIES!$E$1:$F$504,2,FALSE)</f>
        <v>3231-Définition d’un cadre de développement de l’apprentissage</v>
      </c>
      <c r="AD993" s="21" t="str">
        <f t="shared" si="174"/>
        <v>32315-Partage des résultats de l'étude sur le cadre de l'apprentissage</v>
      </c>
    </row>
    <row r="994" spans="1:30" s="22" customFormat="1" ht="45" hidden="1" customHeight="1" x14ac:dyDescent="0.8">
      <c r="A994" s="14">
        <v>3</v>
      </c>
      <c r="B994" s="15">
        <v>32</v>
      </c>
      <c r="C994" s="15">
        <v>323</v>
      </c>
      <c r="D994" s="15">
        <v>3231</v>
      </c>
      <c r="E994" s="14">
        <v>32316</v>
      </c>
      <c r="F994" s="16" t="s">
        <v>1256</v>
      </c>
      <c r="G994" s="21" t="s">
        <v>826</v>
      </c>
      <c r="H994" s="17" t="s">
        <v>55</v>
      </c>
      <c r="I994" s="56">
        <v>0</v>
      </c>
      <c r="J994" s="56"/>
      <c r="K994" s="56">
        <v>1</v>
      </c>
      <c r="L994" s="56">
        <v>1</v>
      </c>
      <c r="M994" s="56">
        <f t="shared" si="176"/>
        <v>2</v>
      </c>
      <c r="N994" s="56">
        <f>IF(OR(H994="",H994="sif",H994="PM"),0,VLOOKUP(H994,[5]CU!$C$4:$H$255,6,FALSE))</f>
        <v>0</v>
      </c>
      <c r="O994" s="56">
        <f t="shared" si="177"/>
        <v>0</v>
      </c>
      <c r="P994" s="56">
        <f t="shared" si="177"/>
        <v>0</v>
      </c>
      <c r="Q994" s="56">
        <f t="shared" si="177"/>
        <v>0</v>
      </c>
      <c r="R994" s="56">
        <f t="shared" si="177"/>
        <v>0</v>
      </c>
      <c r="S994" s="53"/>
      <c r="T994" s="35" t="s">
        <v>56</v>
      </c>
      <c r="U994" s="18" t="s">
        <v>1206</v>
      </c>
      <c r="V994" s="19" t="str">
        <f>IF(OR($H994="",$H994="sif",$H994="PM"),"",VLOOKUP($H994,[5]CU!$C$5:$J$255,8,FALSE))</f>
        <v/>
      </c>
      <c r="W994" s="18" t="s">
        <v>1165</v>
      </c>
      <c r="X994" s="18" t="s">
        <v>1255</v>
      </c>
      <c r="Y994" s="18" t="s">
        <v>677</v>
      </c>
      <c r="Z994" s="19" t="str">
        <f>A994 &amp; "-" &amp; VLOOKUP(A994,[4]PROGRAMMES!$E$1:$F$7,2,FALSE)</f>
        <v>3-Expansion et réforme de l’ETFP</v>
      </c>
      <c r="AA994" s="19" t="str">
        <f>B994 &amp; "-" &amp; VLOOKUP(B994,[4]SOUSPROGRAMMES!$E$1:$F$44,2,FALSE)</f>
        <v>32- Mise en place d’une ingénierie de formation adaptée aux besoins de l’économie</v>
      </c>
      <c r="AB994" s="19" t="str">
        <f>C994 &amp; "-" &amp; VLOOKUP(C994,[4]RESULTATS!$E$1:$F$176,2,FALSE)</f>
        <v>323- Un cadre adéquat pour le développement de la formation en milieu du travail est mis en place</v>
      </c>
      <c r="AC994" s="20" t="str">
        <f>D994 &amp; "-" &amp; VLOOKUP(D994,[4]STRATEGIES!$E$1:$F$504,2,FALSE)</f>
        <v>3231-Définition d’un cadre de développement de l’apprentissage</v>
      </c>
      <c r="AD994" s="21" t="str">
        <f t="shared" si="174"/>
        <v>32316-Adoption du nouveau cadre d'apprentissage</v>
      </c>
    </row>
    <row r="995" spans="1:30" s="22" customFormat="1" ht="45" customHeight="1" x14ac:dyDescent="0.8">
      <c r="A995" s="14">
        <v>3</v>
      </c>
      <c r="B995" s="15">
        <v>32</v>
      </c>
      <c r="C995" s="15">
        <v>323</v>
      </c>
      <c r="D995" s="15">
        <v>3232</v>
      </c>
      <c r="E995" s="14">
        <v>3232</v>
      </c>
      <c r="F995" s="16" t="s">
        <v>1257</v>
      </c>
      <c r="G995" s="17"/>
      <c r="H995" s="17"/>
      <c r="I995" s="56">
        <v>0</v>
      </c>
      <c r="J995" s="56"/>
      <c r="K995" s="56"/>
      <c r="L995" s="56"/>
      <c r="M995" s="56"/>
      <c r="N995" s="56"/>
      <c r="O995" s="56"/>
      <c r="P995" s="56"/>
      <c r="Q995" s="56"/>
      <c r="R995" s="56"/>
      <c r="S995" s="53"/>
      <c r="T995" s="33"/>
      <c r="U995" s="18"/>
      <c r="V995" s="19"/>
      <c r="W995" s="18"/>
      <c r="X995" s="18"/>
      <c r="Y995" s="18" t="s">
        <v>677</v>
      </c>
      <c r="Z995" s="19" t="str">
        <f>A995 &amp; "-" &amp; VLOOKUP(A995,[4]PROGRAMMES!$E$1:$F$7,2,FALSE)</f>
        <v>3-Expansion et réforme de l’ETFP</v>
      </c>
      <c r="AA995" s="19" t="str">
        <f>B995 &amp; "-" &amp; VLOOKUP(B995,[4]SOUSPROGRAMMES!$E$1:$F$44,2,FALSE)</f>
        <v>32- Mise en place d’une ingénierie de formation adaptée aux besoins de l’économie</v>
      </c>
      <c r="AB995" s="19" t="str">
        <f>C995 &amp; "-" &amp; VLOOKUP(C995,[4]RESULTATS!$E$1:$F$176,2,FALSE)</f>
        <v>323- Un cadre adéquat pour le développement de la formation en milieu du travail est mis en place</v>
      </c>
      <c r="AC995" s="20" t="str">
        <f>D995 &amp; "-" &amp; VLOOKUP(D995,[4]STRATEGIES!$E$1:$F$504,2,FALSE)</f>
        <v>3232-Définition d’un cadre de développement de l’alternance</v>
      </c>
      <c r="AD995" s="21" t="str">
        <f t="shared" si="174"/>
        <v>3232-DéFinition d’un cadre de développement de l’alternance</v>
      </c>
    </row>
    <row r="996" spans="1:30" s="22" customFormat="1" ht="45" hidden="1" customHeight="1" x14ac:dyDescent="0.8">
      <c r="A996" s="14">
        <v>3</v>
      </c>
      <c r="B996" s="15">
        <v>32</v>
      </c>
      <c r="C996" s="15">
        <v>323</v>
      </c>
      <c r="D996" s="15">
        <v>3232</v>
      </c>
      <c r="E996" s="14">
        <v>32321</v>
      </c>
      <c r="F996" s="16" t="s">
        <v>1258</v>
      </c>
      <c r="G996" s="21" t="s">
        <v>92</v>
      </c>
      <c r="H996" s="17" t="s">
        <v>55</v>
      </c>
      <c r="I996" s="56">
        <v>0</v>
      </c>
      <c r="J996" s="56">
        <v>1</v>
      </c>
      <c r="K996" s="56"/>
      <c r="L996" s="56"/>
      <c r="M996" s="56">
        <f t="shared" si="176"/>
        <v>1</v>
      </c>
      <c r="N996" s="56">
        <f>IF(OR(H996="",H996="sif",H996="PM"),0,VLOOKUP(H996,[5]CU!$C$4:$H$255,6,FALSE))</f>
        <v>0</v>
      </c>
      <c r="O996" s="56">
        <f t="shared" si="177"/>
        <v>0</v>
      </c>
      <c r="P996" s="56">
        <f t="shared" si="177"/>
        <v>0</v>
      </c>
      <c r="Q996" s="56">
        <f t="shared" si="177"/>
        <v>0</v>
      </c>
      <c r="R996" s="56">
        <f t="shared" si="177"/>
        <v>0</v>
      </c>
      <c r="S996" s="53"/>
      <c r="T996" s="35" t="s">
        <v>56</v>
      </c>
      <c r="U996" s="18" t="s">
        <v>1206</v>
      </c>
      <c r="V996" s="19" t="str">
        <f>IF(OR($H996="",$H996="sif",$H996="PM"),"",VLOOKUP($H996,[5]CU!$C$5:$J$255,8,FALSE))</f>
        <v/>
      </c>
      <c r="W996" s="18"/>
      <c r="X996" s="18"/>
      <c r="Y996" s="18" t="s">
        <v>677</v>
      </c>
      <c r="Z996" s="19" t="str">
        <f>A996 &amp; "-" &amp; VLOOKUP(A996,[4]PROGRAMMES!$E$1:$F$7,2,FALSE)</f>
        <v>3-Expansion et réforme de l’ETFP</v>
      </c>
      <c r="AA996" s="19" t="str">
        <f>B996 &amp; "-" &amp; VLOOKUP(B996,[4]SOUSPROGRAMMES!$E$1:$F$44,2,FALSE)</f>
        <v>32- Mise en place d’une ingénierie de formation adaptée aux besoins de l’économie</v>
      </c>
      <c r="AB996" s="19" t="str">
        <f>C996 &amp; "-" &amp; VLOOKUP(C996,[4]RESULTATS!$E$1:$F$176,2,FALSE)</f>
        <v>323- Un cadre adéquat pour le développement de la formation en milieu du travail est mis en place</v>
      </c>
      <c r="AC996" s="20" t="str">
        <f>D996 &amp; "-" &amp; VLOOKUP(D996,[4]STRATEGIES!$E$1:$F$504,2,FALSE)</f>
        <v>3232-Définition d’un cadre de développement de l’alternance</v>
      </c>
      <c r="AD996" s="21" t="str">
        <f t="shared" si="174"/>
        <v>32321-Appui à la déFinition d'un cadre de développement de l'alternance (compris dans l'activité 32311)</v>
      </c>
    </row>
    <row r="997" spans="1:30" s="22" customFormat="1" ht="45" hidden="1" customHeight="1" x14ac:dyDescent="0.8">
      <c r="A997" s="14">
        <v>3</v>
      </c>
      <c r="B997" s="15">
        <v>32</v>
      </c>
      <c r="C997" s="15">
        <v>323</v>
      </c>
      <c r="D997" s="15">
        <v>3232</v>
      </c>
      <c r="E997" s="14">
        <v>32322</v>
      </c>
      <c r="F997" s="16" t="s">
        <v>1259</v>
      </c>
      <c r="G997" s="21" t="s">
        <v>92</v>
      </c>
      <c r="H997" s="17" t="s">
        <v>55</v>
      </c>
      <c r="I997" s="56">
        <v>0</v>
      </c>
      <c r="J997" s="56">
        <v>1</v>
      </c>
      <c r="K997" s="56"/>
      <c r="L997" s="56"/>
      <c r="M997" s="56">
        <f t="shared" si="176"/>
        <v>1</v>
      </c>
      <c r="N997" s="56">
        <f>IF(OR(H997="",H997="sif",H997="PM"),0,VLOOKUP(H997,[5]CU!$C$4:$H$255,6,FALSE))</f>
        <v>0</v>
      </c>
      <c r="O997" s="56">
        <f t="shared" si="177"/>
        <v>0</v>
      </c>
      <c r="P997" s="56">
        <f t="shared" si="177"/>
        <v>0</v>
      </c>
      <c r="Q997" s="56">
        <f t="shared" si="177"/>
        <v>0</v>
      </c>
      <c r="R997" s="56">
        <f t="shared" si="177"/>
        <v>0</v>
      </c>
      <c r="S997" s="53"/>
      <c r="T997" s="35" t="s">
        <v>56</v>
      </c>
      <c r="U997" s="18" t="s">
        <v>1206</v>
      </c>
      <c r="V997" s="19" t="str">
        <f>IF(OR($H997="",$H997="sif",$H997="PM"),"",VLOOKUP($H997,[5]CU!$C$5:$J$255,8,FALSE))</f>
        <v/>
      </c>
      <c r="W997" s="18"/>
      <c r="X997" s="18"/>
      <c r="Y997" s="18" t="s">
        <v>677</v>
      </c>
      <c r="Z997" s="19" t="str">
        <f>A997 &amp; "-" &amp; VLOOKUP(A997,[4]PROGRAMMES!$E$1:$F$7,2,FALSE)</f>
        <v>3-Expansion et réforme de l’ETFP</v>
      </c>
      <c r="AA997" s="19" t="str">
        <f>B997 &amp; "-" &amp; VLOOKUP(B997,[4]SOUSPROGRAMMES!$E$1:$F$44,2,FALSE)</f>
        <v>32- Mise en place d’une ingénierie de formation adaptée aux besoins de l’économie</v>
      </c>
      <c r="AB997" s="19" t="str">
        <f>C997 &amp; "-" &amp; VLOOKUP(C997,[4]RESULTATS!$E$1:$F$176,2,FALSE)</f>
        <v>323- Un cadre adéquat pour le développement de la formation en milieu du travail est mis en place</v>
      </c>
      <c r="AC997" s="20" t="str">
        <f>D997 &amp; "-" &amp; VLOOKUP(D997,[4]STRATEGIES!$E$1:$F$504,2,FALSE)</f>
        <v>3232-Définition d’un cadre de développement de l’alternance</v>
      </c>
      <c r="AD997" s="21" t="str">
        <f t="shared" si="174"/>
        <v>32322-Conception des fiches d'identification des entreprises (compris dans 32311)</v>
      </c>
    </row>
    <row r="998" spans="1:30" s="22" customFormat="1" ht="45" hidden="1" customHeight="1" x14ac:dyDescent="0.8">
      <c r="A998" s="14">
        <v>3</v>
      </c>
      <c r="B998" s="15">
        <v>32</v>
      </c>
      <c r="C998" s="15">
        <v>323</v>
      </c>
      <c r="D998" s="15">
        <v>3232</v>
      </c>
      <c r="E998" s="14">
        <v>32323</v>
      </c>
      <c r="F998" s="16" t="s">
        <v>1260</v>
      </c>
      <c r="G998" s="21" t="s">
        <v>298</v>
      </c>
      <c r="H998" s="17" t="s">
        <v>38</v>
      </c>
      <c r="I998" s="56">
        <v>0</v>
      </c>
      <c r="J998" s="56">
        <f>30*3</f>
        <v>90</v>
      </c>
      <c r="K998" s="56"/>
      <c r="L998" s="56"/>
      <c r="M998" s="56">
        <f t="shared" si="176"/>
        <v>90</v>
      </c>
      <c r="N998" s="56">
        <f>IF(OR(H998="",H998="sif",H998="PM"),0,VLOOKUP(H998,[5]CU!$C$4:$H$255,6,FALSE))</f>
        <v>0.3133333333333333</v>
      </c>
      <c r="O998" s="56">
        <f t="shared" si="177"/>
        <v>0</v>
      </c>
      <c r="P998" s="56">
        <f t="shared" si="177"/>
        <v>28.199999999999996</v>
      </c>
      <c r="Q998" s="56">
        <f t="shared" si="177"/>
        <v>0</v>
      </c>
      <c r="R998" s="56">
        <f t="shared" si="177"/>
        <v>0</v>
      </c>
      <c r="S998" s="53">
        <f>SUM(O998:R998)</f>
        <v>28.199999999999996</v>
      </c>
      <c r="T998" s="35" t="s">
        <v>56</v>
      </c>
      <c r="U998" s="18" t="s">
        <v>1206</v>
      </c>
      <c r="V998" s="19" t="str">
        <f>IF(OR($H998="",$H998="sif",$H998="PM"),"",VLOOKUP($H998,[5]CU!$C$5:$J$255,8,FALSE))</f>
        <v>3. Formation</v>
      </c>
      <c r="W998" s="18" t="s">
        <v>1165</v>
      </c>
      <c r="X998" s="18" t="s">
        <v>1255</v>
      </c>
      <c r="Y998" s="18" t="s">
        <v>677</v>
      </c>
      <c r="Z998" s="19" t="str">
        <f>A998 &amp; "-" &amp; VLOOKUP(A998,[4]PROGRAMMES!$E$1:$F$7,2,FALSE)</f>
        <v>3-Expansion et réforme de l’ETFP</v>
      </c>
      <c r="AA998" s="19" t="str">
        <f>B998 &amp; "-" &amp; VLOOKUP(B998,[4]SOUSPROGRAMMES!$E$1:$F$44,2,FALSE)</f>
        <v>32- Mise en place d’une ingénierie de formation adaptée aux besoins de l’économie</v>
      </c>
      <c r="AB998" s="19" t="str">
        <f>C998 &amp; "-" &amp; VLOOKUP(C998,[4]RESULTATS!$E$1:$F$176,2,FALSE)</f>
        <v>323- Un cadre adéquat pour le développement de la formation en milieu du travail est mis en place</v>
      </c>
      <c r="AC998" s="20" t="str">
        <f>D998 &amp; "-" &amp; VLOOKUP(D998,[4]STRATEGIES!$E$1:$F$504,2,FALSE)</f>
        <v>3232-Définition d’un cadre de développement de l’alternance</v>
      </c>
      <c r="AD998" s="21" t="str">
        <f t="shared" si="174"/>
        <v>32323-Validation des fiches de collecte par les acteurs concernés</v>
      </c>
    </row>
    <row r="999" spans="1:30" s="22" customFormat="1" ht="45" hidden="1" customHeight="1" x14ac:dyDescent="0.8">
      <c r="A999" s="14">
        <v>3</v>
      </c>
      <c r="B999" s="15">
        <v>32</v>
      </c>
      <c r="C999" s="15">
        <v>323</v>
      </c>
      <c r="D999" s="15">
        <v>3232</v>
      </c>
      <c r="E999" s="14">
        <v>32324</v>
      </c>
      <c r="F999" s="16" t="s">
        <v>1261</v>
      </c>
      <c r="G999" s="21" t="s">
        <v>1250</v>
      </c>
      <c r="H999" s="17" t="s">
        <v>59</v>
      </c>
      <c r="I999" s="56">
        <v>0</v>
      </c>
      <c r="J999" s="56">
        <f>5*5*9</f>
        <v>225</v>
      </c>
      <c r="K999" s="56"/>
      <c r="L999" s="56">
        <f>5*3*9</f>
        <v>135</v>
      </c>
      <c r="M999" s="56">
        <f t="shared" si="176"/>
        <v>360</v>
      </c>
      <c r="N999" s="56">
        <f>IF(OR(H999="",H999="sif",H999="PM"),0,VLOOKUP(H999,[5]CU!$C$4:$H$255,6,FALSE))</f>
        <v>0.8177777777777776</v>
      </c>
      <c r="O999" s="56">
        <f t="shared" si="177"/>
        <v>0</v>
      </c>
      <c r="P999" s="56">
        <f t="shared" si="177"/>
        <v>183.99999999999997</v>
      </c>
      <c r="Q999" s="56">
        <f t="shared" si="177"/>
        <v>0</v>
      </c>
      <c r="R999" s="56">
        <f t="shared" si="177"/>
        <v>110.39999999999998</v>
      </c>
      <c r="S999" s="53">
        <f>SUM(O999:R999)</f>
        <v>294.39999999999998</v>
      </c>
      <c r="T999" s="35" t="s">
        <v>56</v>
      </c>
      <c r="U999" s="18" t="s">
        <v>1206</v>
      </c>
      <c r="V999" s="19" t="str">
        <f>IF(OR($H999="",$H999="sif",$H999="PM"),"",VLOOKUP($H999,[5]CU!$C$5:$J$255,8,FALSE))</f>
        <v>3. Dépenses de fonctionnement</v>
      </c>
      <c r="W999" s="18" t="s">
        <v>96</v>
      </c>
      <c r="X999" s="18" t="s">
        <v>1262</v>
      </c>
      <c r="Y999" s="18" t="s">
        <v>677</v>
      </c>
      <c r="Z999" s="19" t="str">
        <f>A999 &amp; "-" &amp; VLOOKUP(A999,[4]PROGRAMMES!$E$1:$F$7,2,FALSE)</f>
        <v>3-Expansion et réforme de l’ETFP</v>
      </c>
      <c r="AA999" s="19" t="str">
        <f>B999 &amp; "-" &amp; VLOOKUP(B999,[4]SOUSPROGRAMMES!$E$1:$F$44,2,FALSE)</f>
        <v>32- Mise en place d’une ingénierie de formation adaptée aux besoins de l’économie</v>
      </c>
      <c r="AB999" s="19" t="str">
        <f>C999 &amp; "-" &amp; VLOOKUP(C999,[4]RESULTATS!$E$1:$F$176,2,FALSE)</f>
        <v>323- Un cadre adéquat pour le développement de la formation en milieu du travail est mis en place</v>
      </c>
      <c r="AC999" s="20" t="str">
        <f>D999 &amp; "-" &amp; VLOOKUP(D999,[4]STRATEGIES!$E$1:$F$504,2,FALSE)</f>
        <v>3232-Définition d’un cadre de développement de l’alternance</v>
      </c>
      <c r="AD999" s="21" t="str">
        <f t="shared" si="174"/>
        <v>32324-Identification des entreprises par zone et par secteur d'activité</v>
      </c>
    </row>
    <row r="1000" spans="1:30" s="22" customFormat="1" ht="45" hidden="1" customHeight="1" x14ac:dyDescent="0.8">
      <c r="A1000" s="14">
        <v>3</v>
      </c>
      <c r="B1000" s="15">
        <v>32</v>
      </c>
      <c r="C1000" s="15">
        <v>323</v>
      </c>
      <c r="D1000" s="15">
        <v>3232</v>
      </c>
      <c r="E1000" s="14">
        <v>32325</v>
      </c>
      <c r="F1000" s="16" t="s">
        <v>1263</v>
      </c>
      <c r="G1000" s="21" t="s">
        <v>37</v>
      </c>
      <c r="H1000" s="17" t="s">
        <v>38</v>
      </c>
      <c r="I1000" s="56">
        <v>0</v>
      </c>
      <c r="J1000" s="56"/>
      <c r="K1000" s="56">
        <f>45*2</f>
        <v>90</v>
      </c>
      <c r="L1000" s="56"/>
      <c r="M1000" s="56">
        <f t="shared" si="176"/>
        <v>90</v>
      </c>
      <c r="N1000" s="56">
        <f>IF(OR(H1000="",H1000="sif",H1000="PM"),0,VLOOKUP(H1000,[5]CU!$C$4:$H$255,6,FALSE))</f>
        <v>0.3133333333333333</v>
      </c>
      <c r="O1000" s="56">
        <f t="shared" si="177"/>
        <v>0</v>
      </c>
      <c r="P1000" s="56">
        <f t="shared" si="177"/>
        <v>0</v>
      </c>
      <c r="Q1000" s="56">
        <f t="shared" si="177"/>
        <v>28.199999999999996</v>
      </c>
      <c r="R1000" s="56">
        <f t="shared" si="177"/>
        <v>0</v>
      </c>
      <c r="S1000" s="53">
        <f>SUM(O1000:R1000)</f>
        <v>28.199999999999996</v>
      </c>
      <c r="T1000" s="35" t="s">
        <v>56</v>
      </c>
      <c r="U1000" s="18" t="s">
        <v>1206</v>
      </c>
      <c r="V1000" s="19" t="str">
        <f>IF(OR($H1000="",$H1000="sif",$H1000="PM"),"",VLOOKUP($H1000,[5]CU!$C$5:$J$255,8,FALSE))</f>
        <v>3. Formation</v>
      </c>
      <c r="W1000" s="18" t="s">
        <v>1165</v>
      </c>
      <c r="X1000" s="18" t="s">
        <v>1255</v>
      </c>
      <c r="Y1000" s="18" t="s">
        <v>677</v>
      </c>
      <c r="Z1000" s="19" t="str">
        <f>A1000 &amp; "-" &amp; VLOOKUP(A1000,[4]PROGRAMMES!$E$1:$F$7,2,FALSE)</f>
        <v>3-Expansion et réforme de l’ETFP</v>
      </c>
      <c r="AA1000" s="19" t="str">
        <f>B1000 &amp; "-" &amp; VLOOKUP(B1000,[4]SOUSPROGRAMMES!$E$1:$F$44,2,FALSE)</f>
        <v>32- Mise en place d’une ingénierie de formation adaptée aux besoins de l’économie</v>
      </c>
      <c r="AB1000" s="19" t="str">
        <f>C1000 &amp; "-" &amp; VLOOKUP(C1000,[4]RESULTATS!$E$1:$F$176,2,FALSE)</f>
        <v>323- Un cadre adéquat pour le développement de la formation en milieu du travail est mis en place</v>
      </c>
      <c r="AC1000" s="20" t="str">
        <f>D1000 &amp; "-" &amp; VLOOKUP(D1000,[4]STRATEGIES!$E$1:$F$504,2,FALSE)</f>
        <v>3232-Définition d’un cadre de développement de l’alternance</v>
      </c>
      <c r="AD1000" s="21" t="str">
        <f t="shared" si="174"/>
        <v>32325-Validation du cadre de l'alternance</v>
      </c>
    </row>
    <row r="1001" spans="1:30" s="22" customFormat="1" ht="45" hidden="1" customHeight="1" x14ac:dyDescent="0.8">
      <c r="A1001" s="14">
        <v>3</v>
      </c>
      <c r="B1001" s="15">
        <v>32</v>
      </c>
      <c r="C1001" s="15">
        <v>323</v>
      </c>
      <c r="D1001" s="15">
        <v>3232</v>
      </c>
      <c r="E1001" s="14">
        <v>32326</v>
      </c>
      <c r="F1001" s="16" t="s">
        <v>1264</v>
      </c>
      <c r="G1001" s="21" t="s">
        <v>826</v>
      </c>
      <c r="H1001" s="17" t="s">
        <v>55</v>
      </c>
      <c r="I1001" s="56">
        <v>0</v>
      </c>
      <c r="J1001" s="56"/>
      <c r="K1001" s="56">
        <v>1</v>
      </c>
      <c r="L1001" s="56"/>
      <c r="M1001" s="56">
        <f t="shared" si="176"/>
        <v>1</v>
      </c>
      <c r="N1001" s="56">
        <f>IF(OR(H1001="",H1001="sif",H1001="PM"),0,VLOOKUP(H1001,[5]CU!$C$4:$H$255,6,FALSE))</f>
        <v>0</v>
      </c>
      <c r="O1001" s="56">
        <f t="shared" si="177"/>
        <v>0</v>
      </c>
      <c r="P1001" s="56">
        <f t="shared" si="177"/>
        <v>0</v>
      </c>
      <c r="Q1001" s="56">
        <f t="shared" si="177"/>
        <v>0</v>
      </c>
      <c r="R1001" s="56">
        <f t="shared" si="177"/>
        <v>0</v>
      </c>
      <c r="S1001" s="53"/>
      <c r="T1001" s="35" t="s">
        <v>56</v>
      </c>
      <c r="U1001" s="18" t="s">
        <v>1206</v>
      </c>
      <c r="V1001" s="19" t="str">
        <f>IF(OR($H1001="",$H1001="sif",$H1001="PM"),"",VLOOKUP($H1001,[5]CU!$C$5:$J$255,8,FALSE))</f>
        <v/>
      </c>
      <c r="W1001" s="18" t="s">
        <v>1165</v>
      </c>
      <c r="X1001" s="18" t="s">
        <v>1255</v>
      </c>
      <c r="Y1001" s="18" t="s">
        <v>677</v>
      </c>
      <c r="Z1001" s="19" t="str">
        <f>A1001 &amp; "-" &amp; VLOOKUP(A1001,[4]PROGRAMMES!$E$1:$F$7,2,FALSE)</f>
        <v>3-Expansion et réforme de l’ETFP</v>
      </c>
      <c r="AA1001" s="19" t="str">
        <f>B1001 &amp; "-" &amp; VLOOKUP(B1001,[4]SOUSPROGRAMMES!$E$1:$F$44,2,FALSE)</f>
        <v>32- Mise en place d’une ingénierie de formation adaptée aux besoins de l’économie</v>
      </c>
      <c r="AB1001" s="19" t="str">
        <f>C1001 &amp; "-" &amp; VLOOKUP(C1001,[4]RESULTATS!$E$1:$F$176,2,FALSE)</f>
        <v>323- Un cadre adéquat pour le développement de la formation en milieu du travail est mis en place</v>
      </c>
      <c r="AC1001" s="20" t="str">
        <f>D1001 &amp; "-" &amp; VLOOKUP(D1001,[4]STRATEGIES!$E$1:$F$504,2,FALSE)</f>
        <v>3232-Définition d’un cadre de développement de l’alternance</v>
      </c>
      <c r="AD1001" s="21" t="str">
        <f t="shared" si="174"/>
        <v>32326-Elaboration et adoption des textes organisant l'alternance</v>
      </c>
    </row>
    <row r="1002" spans="1:30" s="22" customFormat="1" ht="45" customHeight="1" x14ac:dyDescent="0.8">
      <c r="A1002" s="14">
        <v>3</v>
      </c>
      <c r="B1002" s="15">
        <v>32</v>
      </c>
      <c r="C1002" s="15">
        <v>323</v>
      </c>
      <c r="D1002" s="15">
        <v>3233</v>
      </c>
      <c r="E1002" s="14">
        <v>3233</v>
      </c>
      <c r="F1002" s="16" t="s">
        <v>1265</v>
      </c>
      <c r="G1002" s="17"/>
      <c r="H1002" s="17"/>
      <c r="I1002" s="56">
        <v>0</v>
      </c>
      <c r="J1002" s="56"/>
      <c r="K1002" s="56"/>
      <c r="L1002" s="56"/>
      <c r="M1002" s="56"/>
      <c r="N1002" s="56"/>
      <c r="O1002" s="56"/>
      <c r="P1002" s="56"/>
      <c r="Q1002" s="56"/>
      <c r="R1002" s="56"/>
      <c r="S1002" s="53"/>
      <c r="T1002" s="33"/>
      <c r="U1002" s="18"/>
      <c r="V1002" s="19"/>
      <c r="W1002" s="18"/>
      <c r="X1002" s="18"/>
      <c r="Y1002" s="18" t="s">
        <v>677</v>
      </c>
      <c r="Z1002" s="19" t="str">
        <f>A1002 &amp; "-" &amp; VLOOKUP(A1002,[4]PROGRAMMES!$E$1:$F$7,2,FALSE)</f>
        <v>3-Expansion et réforme de l’ETFP</v>
      </c>
      <c r="AA1002" s="19" t="str">
        <f>B1002 &amp; "-" &amp; VLOOKUP(B1002,[4]SOUSPROGRAMMES!$E$1:$F$44,2,FALSE)</f>
        <v>32- Mise en place d’une ingénierie de formation adaptée aux besoins de l’économie</v>
      </c>
      <c r="AB1002" s="19" t="str">
        <f>C1002 &amp; "-" &amp; VLOOKUP(C1002,[4]RESULTATS!$E$1:$F$176,2,FALSE)</f>
        <v>323- Un cadre adéquat pour le développement de la formation en milieu du travail est mis en place</v>
      </c>
      <c r="AC1002" s="20" t="str">
        <f>D1002 &amp; "-" &amp; VLOOKUP(D1002,[4]STRATEGIES!$E$1:$F$504,2,FALSE)</f>
        <v>3233-Mise en place d’un dispositif de validation des acquis de l’expérience</v>
      </c>
      <c r="AD1002" s="21" t="str">
        <f t="shared" si="174"/>
        <v>3233-Mise en place d’un dispositif de validation des acquis de l’expérience</v>
      </c>
    </row>
    <row r="1003" spans="1:30" s="22" customFormat="1" ht="45" hidden="1" customHeight="1" x14ac:dyDescent="0.8">
      <c r="A1003" s="14">
        <v>3</v>
      </c>
      <c r="B1003" s="15">
        <v>32</v>
      </c>
      <c r="C1003" s="15">
        <v>323</v>
      </c>
      <c r="D1003" s="15">
        <v>3233</v>
      </c>
      <c r="E1003" s="14">
        <v>32331</v>
      </c>
      <c r="F1003" s="16" t="s">
        <v>1266</v>
      </c>
      <c r="G1003" s="21" t="s">
        <v>92</v>
      </c>
      <c r="H1003" s="17" t="s">
        <v>55</v>
      </c>
      <c r="I1003" s="56">
        <v>0</v>
      </c>
      <c r="J1003" s="56">
        <v>1</v>
      </c>
      <c r="K1003" s="56">
        <v>0</v>
      </c>
      <c r="L1003" s="56">
        <v>0</v>
      </c>
      <c r="M1003" s="56">
        <f t="shared" si="176"/>
        <v>1</v>
      </c>
      <c r="N1003" s="56">
        <f>IF(OR(H1003="",H1003="sif",H1003="PM"),0,VLOOKUP(H1003,[5]CU!$C$4:$H$255,6,FALSE))</f>
        <v>0</v>
      </c>
      <c r="O1003" s="56">
        <f t="shared" si="177"/>
        <v>0</v>
      </c>
      <c r="P1003" s="56">
        <f t="shared" si="177"/>
        <v>0</v>
      </c>
      <c r="Q1003" s="56">
        <f t="shared" si="177"/>
        <v>0</v>
      </c>
      <c r="R1003" s="56">
        <f t="shared" si="177"/>
        <v>0</v>
      </c>
      <c r="S1003" s="53"/>
      <c r="T1003" s="35" t="s">
        <v>169</v>
      </c>
      <c r="U1003" s="18" t="s">
        <v>1206</v>
      </c>
      <c r="V1003" s="19" t="str">
        <f>IF(OR($H1003="",$H1003="sif",$H1003="PM"),"",VLOOKUP($H1003,[5]CU!$C$5:$J$255,8,FALSE))</f>
        <v/>
      </c>
      <c r="W1003" s="18"/>
      <c r="X1003" s="18"/>
      <c r="Y1003" s="18" t="s">
        <v>677</v>
      </c>
      <c r="Z1003" s="19" t="str">
        <f>A1003 &amp; "-" &amp; VLOOKUP(A1003,[4]PROGRAMMES!$E$1:$F$7,2,FALSE)</f>
        <v>3-Expansion et réforme de l’ETFP</v>
      </c>
      <c r="AA1003" s="19" t="str">
        <f>B1003 &amp; "-" &amp; VLOOKUP(B1003,[4]SOUSPROGRAMMES!$E$1:$F$44,2,FALSE)</f>
        <v>32- Mise en place d’une ingénierie de formation adaptée aux besoins de l’économie</v>
      </c>
      <c r="AB1003" s="19" t="str">
        <f>C1003 &amp; "-" &amp; VLOOKUP(C1003,[4]RESULTATS!$E$1:$F$176,2,FALSE)</f>
        <v>323- Un cadre adéquat pour le développement de la formation en milieu du travail est mis en place</v>
      </c>
      <c r="AC1003" s="20" t="str">
        <f>D1003 &amp; "-" &amp; VLOOKUP(D1003,[4]STRATEGIES!$E$1:$F$504,2,FALSE)</f>
        <v>3233-Mise en place d’un dispositif de validation des acquis de l’expérience</v>
      </c>
      <c r="AD1003" s="21" t="str">
        <f t="shared" si="174"/>
        <v>32331-Appui à la mise en place d'un dispositif de validation des acquis (voir activité 32311)</v>
      </c>
    </row>
    <row r="1004" spans="1:30" s="22" customFormat="1" ht="45" hidden="1" customHeight="1" x14ac:dyDescent="0.8">
      <c r="A1004" s="14">
        <v>3</v>
      </c>
      <c r="B1004" s="15">
        <v>32</v>
      </c>
      <c r="C1004" s="15">
        <v>323</v>
      </c>
      <c r="D1004" s="15">
        <v>3233</v>
      </c>
      <c r="E1004" s="14">
        <v>32332</v>
      </c>
      <c r="F1004" s="16" t="s">
        <v>1267</v>
      </c>
      <c r="G1004" s="21" t="s">
        <v>1217</v>
      </c>
      <c r="H1004" s="17" t="s">
        <v>66</v>
      </c>
      <c r="I1004" s="56">
        <v>0</v>
      </c>
      <c r="J1004" s="56"/>
      <c r="K1004" s="56">
        <f>5*8*5</f>
        <v>200</v>
      </c>
      <c r="L1004" s="56">
        <v>0</v>
      </c>
      <c r="M1004" s="56">
        <f t="shared" si="176"/>
        <v>200</v>
      </c>
      <c r="N1004" s="56">
        <f>IF(OR(H1004="",H1004="sif",H1004="PM"),0,VLOOKUP(H1004,[5]CU!$C$4:$H$255,6,FALSE))</f>
        <v>0.255</v>
      </c>
      <c r="O1004" s="56">
        <f t="shared" si="177"/>
        <v>0</v>
      </c>
      <c r="P1004" s="56">
        <f t="shared" si="177"/>
        <v>0</v>
      </c>
      <c r="Q1004" s="56">
        <f t="shared" si="177"/>
        <v>51</v>
      </c>
      <c r="R1004" s="56">
        <f t="shared" si="177"/>
        <v>0</v>
      </c>
      <c r="S1004" s="53">
        <f>SUM(O1004:R1004)</f>
        <v>51</v>
      </c>
      <c r="T1004" s="35" t="s">
        <v>169</v>
      </c>
      <c r="U1004" s="18" t="s">
        <v>1206</v>
      </c>
      <c r="V1004" s="19" t="str">
        <f>IF(OR($H1004="",$H1004="sif",$H1004="PM"),"",VLOOKUP($H1004,[5]CU!$C$5:$J$255,8,FALSE))</f>
        <v>3. Dépenses de fonctionnement</v>
      </c>
      <c r="W1004" s="18" t="s">
        <v>1268</v>
      </c>
      <c r="X1004" s="18" t="s">
        <v>1165</v>
      </c>
      <c r="Y1004" s="18" t="s">
        <v>677</v>
      </c>
      <c r="Z1004" s="19" t="str">
        <f>A1004 &amp; "-" &amp; VLOOKUP(A1004,[4]PROGRAMMES!$E$1:$F$7,2,FALSE)</f>
        <v>3-Expansion et réforme de l’ETFP</v>
      </c>
      <c r="AA1004" s="19" t="str">
        <f>B1004 &amp; "-" &amp; VLOOKUP(B1004,[4]SOUSPROGRAMMES!$E$1:$F$44,2,FALSE)</f>
        <v>32- Mise en place d’une ingénierie de formation adaptée aux besoins de l’économie</v>
      </c>
      <c r="AB1004" s="19" t="str">
        <f>C1004 &amp; "-" &amp; VLOOKUP(C1004,[4]RESULTATS!$E$1:$F$176,2,FALSE)</f>
        <v>323- Un cadre adéquat pour le développement de la formation en milieu du travail est mis en place</v>
      </c>
      <c r="AC1004" s="20" t="str">
        <f>D1004 &amp; "-" &amp; VLOOKUP(D1004,[4]STRATEGIES!$E$1:$F$504,2,FALSE)</f>
        <v>3233-Mise en place d’un dispositif de validation des acquis de l’expérience</v>
      </c>
      <c r="AD1004" s="21" t="str">
        <f t="shared" si="174"/>
        <v>32332-Concertation sur la proposition de dispositif de validation des acquis</v>
      </c>
    </row>
    <row r="1005" spans="1:30" s="22" customFormat="1" ht="45" hidden="1" customHeight="1" x14ac:dyDescent="0.8">
      <c r="A1005" s="14">
        <v>3</v>
      </c>
      <c r="B1005" s="15">
        <v>32</v>
      </c>
      <c r="C1005" s="15">
        <v>323</v>
      </c>
      <c r="D1005" s="15">
        <v>3233</v>
      </c>
      <c r="E1005" s="14">
        <v>32333</v>
      </c>
      <c r="F1005" s="16" t="s">
        <v>1269</v>
      </c>
      <c r="G1005" s="21" t="s">
        <v>826</v>
      </c>
      <c r="H1005" s="17" t="s">
        <v>55</v>
      </c>
      <c r="I1005" s="56">
        <v>0</v>
      </c>
      <c r="J1005" s="56"/>
      <c r="K1005" s="56">
        <v>1</v>
      </c>
      <c r="L1005" s="56"/>
      <c r="M1005" s="56">
        <f t="shared" si="176"/>
        <v>1</v>
      </c>
      <c r="N1005" s="56">
        <f>IF(OR(H1005="",H1005="sif",H1005="PM"),0,VLOOKUP(H1005,[5]CU!$C$4:$H$255,6,FALSE))</f>
        <v>0</v>
      </c>
      <c r="O1005" s="56">
        <f t="shared" si="177"/>
        <v>0</v>
      </c>
      <c r="P1005" s="56">
        <f t="shared" si="177"/>
        <v>0</v>
      </c>
      <c r="Q1005" s="56">
        <f t="shared" si="177"/>
        <v>0</v>
      </c>
      <c r="R1005" s="56">
        <f t="shared" si="177"/>
        <v>0</v>
      </c>
      <c r="S1005" s="53"/>
      <c r="T1005" s="35" t="s">
        <v>56</v>
      </c>
      <c r="U1005" s="18" t="s">
        <v>1206</v>
      </c>
      <c r="V1005" s="19" t="str">
        <f>IF(OR($H1005="",$H1005="sif",$H1005="PM"),"",VLOOKUP($H1005,[5]CU!$C$5:$J$255,8,FALSE))</f>
        <v/>
      </c>
      <c r="W1005" s="18" t="s">
        <v>1268</v>
      </c>
      <c r="X1005" s="18" t="s">
        <v>1165</v>
      </c>
      <c r="Y1005" s="18" t="s">
        <v>677</v>
      </c>
      <c r="Z1005" s="19" t="str">
        <f>A1005 &amp; "-" &amp; VLOOKUP(A1005,[4]PROGRAMMES!$E$1:$F$7,2,FALSE)</f>
        <v>3-Expansion et réforme de l’ETFP</v>
      </c>
      <c r="AA1005" s="19" t="str">
        <f>B1005 &amp; "-" &amp; VLOOKUP(B1005,[4]SOUSPROGRAMMES!$E$1:$F$44,2,FALSE)</f>
        <v>32- Mise en place d’une ingénierie de formation adaptée aux besoins de l’économie</v>
      </c>
      <c r="AB1005" s="19" t="str">
        <f>C1005 &amp; "-" &amp; VLOOKUP(C1005,[4]RESULTATS!$E$1:$F$176,2,FALSE)</f>
        <v>323- Un cadre adéquat pour le développement de la formation en milieu du travail est mis en place</v>
      </c>
      <c r="AC1005" s="20" t="str">
        <f>D1005 &amp; "-" &amp; VLOOKUP(D1005,[4]STRATEGIES!$E$1:$F$504,2,FALSE)</f>
        <v>3233-Mise en place d’un dispositif de validation des acquis de l’expérience</v>
      </c>
      <c r="AD1005" s="21" t="str">
        <f t="shared" si="174"/>
        <v>32333-Elaboration des textes règlementant la validation des acquis des apprentissages</v>
      </c>
    </row>
    <row r="1006" spans="1:30" s="22" customFormat="1" ht="45" customHeight="1" x14ac:dyDescent="0.8">
      <c r="A1006" s="14">
        <v>3</v>
      </c>
      <c r="B1006" s="15">
        <v>33</v>
      </c>
      <c r="C1006" s="15">
        <v>33</v>
      </c>
      <c r="D1006" s="15">
        <v>33</v>
      </c>
      <c r="E1006" s="14">
        <v>33</v>
      </c>
      <c r="F1006" s="16" t="s">
        <v>1270</v>
      </c>
      <c r="G1006" s="17"/>
      <c r="H1006" s="17"/>
      <c r="I1006" s="56">
        <v>0</v>
      </c>
      <c r="J1006" s="56"/>
      <c r="K1006" s="56"/>
      <c r="L1006" s="56"/>
      <c r="M1006" s="56"/>
      <c r="N1006" s="56"/>
      <c r="O1006" s="56"/>
      <c r="P1006" s="56"/>
      <c r="Q1006" s="56"/>
      <c r="R1006" s="56"/>
      <c r="S1006" s="53"/>
      <c r="T1006" s="33"/>
      <c r="U1006" s="18"/>
      <c r="V1006" s="19"/>
      <c r="W1006" s="18"/>
      <c r="X1006" s="18"/>
      <c r="Y1006" s="18" t="s">
        <v>677</v>
      </c>
      <c r="Z1006" s="19" t="str">
        <f>A1006 &amp; "-" &amp; VLOOKUP(A1006,[4]PROGRAMMES!$E$1:$F$7,2,FALSE)</f>
        <v>3-Expansion et réforme de l’ETFP</v>
      </c>
      <c r="AA1006" s="19" t="str">
        <f>B1006 &amp; "-" &amp; VLOOKUP(B1006,[4]SOUSPROGRAMMES!$E$1:$F$44,2,FALSE)</f>
        <v>33- Développement de l’offre de formation professionnelle et technique de qualité</v>
      </c>
      <c r="AB1006" s="19" t="str">
        <f>C1006 &amp; "-" &amp; VLOOKUP(C1006,[4]RESULTATS!$E$1:$F$176,2,FALSE)</f>
        <v>33- Développement de l’offre de formation professionnelle et technique de qualité</v>
      </c>
      <c r="AC1006" s="20" t="str">
        <f>D1006 &amp; "-" &amp; VLOOKUP(D1006,[4]STRATEGIES!$E$1:$F$504,2,FALSE)</f>
        <v>33- Développement de l’offre de formation professionnelle et technique de qualité</v>
      </c>
      <c r="AD1006" s="21" t="str">
        <f t="shared" si="174"/>
        <v>33- Développement de l’offre de formation professionnelle et technique de qualité</v>
      </c>
    </row>
    <row r="1007" spans="1:30" s="22" customFormat="1" ht="90" customHeight="1" x14ac:dyDescent="0.8">
      <c r="A1007" s="14">
        <v>3</v>
      </c>
      <c r="B1007" s="15">
        <v>33</v>
      </c>
      <c r="C1007" s="15">
        <v>331</v>
      </c>
      <c r="D1007" s="15">
        <v>331</v>
      </c>
      <c r="E1007" s="14">
        <v>331</v>
      </c>
      <c r="F1007" s="16" t="s">
        <v>1271</v>
      </c>
      <c r="G1007" s="17"/>
      <c r="H1007" s="17"/>
      <c r="I1007" s="56">
        <v>0</v>
      </c>
      <c r="J1007" s="56"/>
      <c r="K1007" s="56"/>
      <c r="L1007" s="56"/>
      <c r="M1007" s="56"/>
      <c r="N1007" s="56"/>
      <c r="O1007" s="56"/>
      <c r="P1007" s="56"/>
      <c r="Q1007" s="56"/>
      <c r="R1007" s="56"/>
      <c r="S1007" s="53"/>
      <c r="T1007" s="33"/>
      <c r="U1007" s="18"/>
      <c r="V1007" s="19"/>
      <c r="W1007" s="18"/>
      <c r="X1007" s="18"/>
      <c r="Y1007" s="18" t="s">
        <v>677</v>
      </c>
      <c r="Z1007" s="19" t="str">
        <f>A1007 &amp; "-" &amp; VLOOKUP(A1007,[4]PROGRAMMES!$E$1:$F$7,2,FALSE)</f>
        <v>3-Expansion et réforme de l’ETFP</v>
      </c>
      <c r="AA1007" s="19" t="str">
        <f>B1007 &amp; "-" &amp; VLOOKUP(B1007,[4]SOUSPROGRAMMES!$E$1:$F$44,2,FALSE)</f>
        <v>33- Développement de l’offre de formation professionnelle et technique de qualité</v>
      </c>
      <c r="AB1007" s="19" t="str">
        <f>C1007 &amp; "-" &amp; VLOOKUP(C1007,[4]RESULTATS!$E$1:$F$176,2,FALSE)</f>
        <v>331- L’accès aux dispositifs de l’ETFP est accrue en lien avec les besoins (quantitatifs et qualitatifs) de l’économie avec une priorité accordée aux filières porteuses dans les secteurs primaire et secondaire</v>
      </c>
      <c r="AC1007" s="20" t="str">
        <f>D1007 &amp; "-" &amp; VLOOKUP(D1007,[4]STRATEGIES!$E$1:$F$504,2,FALSE)</f>
        <v>331- L’accès aux dispositifs de l’ETFP est accrue en lien avec les besoins (quantitatifs et qualitatifs) de l’économie avec une priorité accordée aux filières porteuses dans les secteurs primaire et secondaire</v>
      </c>
      <c r="AD1007" s="21" t="str">
        <f t="shared" si="174"/>
        <v>331- L’accès aux dispositifs de l’ETFP est accrue en lien avec les besoins (quantitatifs et qualitatifs) de l’économie avec une priorité accordée aux filières porteuses dans les secteurs primaire et secondaire</v>
      </c>
    </row>
    <row r="1008" spans="1:30" s="22" customFormat="1" ht="90" customHeight="1" x14ac:dyDescent="0.8">
      <c r="A1008" s="14">
        <v>3</v>
      </c>
      <c r="B1008" s="15">
        <v>33</v>
      </c>
      <c r="C1008" s="15">
        <v>331</v>
      </c>
      <c r="D1008" s="15">
        <v>3311</v>
      </c>
      <c r="E1008" s="14">
        <v>3311</v>
      </c>
      <c r="F1008" s="16" t="s">
        <v>1272</v>
      </c>
      <c r="G1008" s="17"/>
      <c r="H1008" s="17"/>
      <c r="I1008" s="56">
        <v>0</v>
      </c>
      <c r="J1008" s="56"/>
      <c r="K1008" s="56"/>
      <c r="L1008" s="56"/>
      <c r="M1008" s="56"/>
      <c r="N1008" s="56"/>
      <c r="O1008" s="56"/>
      <c r="P1008" s="56"/>
      <c r="Q1008" s="56"/>
      <c r="R1008" s="56"/>
      <c r="S1008" s="53"/>
      <c r="T1008" s="33"/>
      <c r="U1008" s="18"/>
      <c r="V1008" s="19"/>
      <c r="W1008" s="18"/>
      <c r="X1008" s="18"/>
      <c r="Y1008" s="18" t="s">
        <v>677</v>
      </c>
      <c r="Z1008" s="19" t="str">
        <f>A1008 &amp; "-" &amp; VLOOKUP(A1008,[4]PROGRAMMES!$E$1:$F$7,2,FALSE)</f>
        <v>3-Expansion et réforme de l’ETFP</v>
      </c>
      <c r="AA1008" s="19" t="str">
        <f>B1008 &amp; "-" &amp; VLOOKUP(B1008,[4]SOUSPROGRAMMES!$E$1:$F$44,2,FALSE)</f>
        <v>33- Développement de l’offre de formation professionnelle et technique de qualité</v>
      </c>
      <c r="AB1008" s="19" t="str">
        <f>C1008 &amp; "-" &amp; VLOOKUP(C1008,[4]RESULTATS!$E$1:$F$176,2,FALSE)</f>
        <v>331- L’accès aux dispositifs de l’ETFP est accrue en lien avec les besoins (quantitatifs et qualitatifs) de l’économie avec une priorité accordée aux filières porteuses dans les secteurs primaire et secondaire</v>
      </c>
      <c r="AC1008" s="20" t="str">
        <f>D1008 &amp; "-" &amp; VLOOKUP(D1008,[4]STRATEGIES!$E$1:$F$504,2,FALSE)</f>
        <v>3311-Accroissement de la capacité d’accueil (infrastructures, équipements en tenant compte des besoins des apprenants porteurs de handicap et à besoins éducatifs speciaux ainsi que les catastrophes naturelles)</v>
      </c>
      <c r="AD1008" s="21" t="str">
        <f t="shared" si="174"/>
        <v>3311-Accroissement de la capacité d’accueil (infrastructures, équipements en tenant compte des besoins des apprenants porteurs de handicap et à besoins éducatifs speciaux ainsi que les catastrophes naturelles)</v>
      </c>
    </row>
    <row r="1009" spans="1:30" s="22" customFormat="1" ht="61" x14ac:dyDescent="0.8">
      <c r="A1009" s="14">
        <v>3</v>
      </c>
      <c r="B1009" s="15">
        <v>33</v>
      </c>
      <c r="C1009" s="15">
        <v>331</v>
      </c>
      <c r="D1009" s="15">
        <v>3311</v>
      </c>
      <c r="E1009" s="14">
        <v>33111</v>
      </c>
      <c r="F1009" s="16" t="s">
        <v>1273</v>
      </c>
      <c r="G1009" s="21" t="s">
        <v>1274</v>
      </c>
      <c r="H1009" s="17" t="s">
        <v>1275</v>
      </c>
      <c r="I1009" s="56">
        <v>0</v>
      </c>
      <c r="J1009" s="56"/>
      <c r="K1009" s="56"/>
      <c r="L1009" s="56"/>
      <c r="M1009" s="56">
        <f t="shared" si="176"/>
        <v>0</v>
      </c>
      <c r="N1009" s="56">
        <f>IF(OR(H1009="",H1009="sif",H1009="PM"),0,VLOOKUP(H1009,[5]CU!$C$4:$H$255,6,FALSE))</f>
        <v>2006.65768</v>
      </c>
      <c r="O1009" s="56">
        <f t="shared" si="177"/>
        <v>0</v>
      </c>
      <c r="P1009" s="56">
        <f t="shared" si="177"/>
        <v>0</v>
      </c>
      <c r="Q1009" s="56">
        <f t="shared" si="177"/>
        <v>0</v>
      </c>
      <c r="R1009" s="56">
        <f t="shared" si="177"/>
        <v>0</v>
      </c>
      <c r="S1009" s="53">
        <f>SUM(O1009:R1009)</f>
        <v>0</v>
      </c>
      <c r="T1009" s="35" t="s">
        <v>1276</v>
      </c>
      <c r="U1009" s="18" t="s">
        <v>1206</v>
      </c>
      <c r="V1009" s="19" t="str">
        <f>IF(OR($H1009="",$H1009="sif",$H1009="PM"),"",VLOOKUP($H1009,[5]CU!$C$5:$J$255,8,FALSE))</f>
        <v>3. Dépenses de fonctionnement</v>
      </c>
      <c r="W1009" s="18" t="s">
        <v>521</v>
      </c>
      <c r="X1009" s="18" t="s">
        <v>1237</v>
      </c>
      <c r="Y1009" s="18" t="s">
        <v>677</v>
      </c>
      <c r="Z1009" s="19" t="str">
        <f>A1009 &amp; "-" &amp; VLOOKUP(A1009,[4]PROGRAMMES!$E$1:$F$7,2,FALSE)</f>
        <v>3-Expansion et réforme de l’ETFP</v>
      </c>
      <c r="AA1009" s="19" t="str">
        <f>B1009 &amp; "-" &amp; VLOOKUP(B1009,[4]SOUSPROGRAMMES!$E$1:$F$44,2,FALSE)</f>
        <v>33- Développement de l’offre de formation professionnelle et technique de qualité</v>
      </c>
      <c r="AB1009" s="19" t="str">
        <f>C1009 &amp; "-" &amp; VLOOKUP(C1009,[4]RESULTATS!$E$1:$F$176,2,FALSE)</f>
        <v>331- L’accès aux dispositifs de l’ETFP est accrue en lien avec les besoins (quantitatifs et qualitatifs) de l’économie avec une priorité accordée aux filières porteuses dans les secteurs primaire et secondaire</v>
      </c>
      <c r="AC1009" s="20" t="str">
        <f>D1009 &amp; "-" &amp; VLOOKUP(D1009,[4]STRATEGIES!$E$1:$F$504,2,FALSE)</f>
        <v>3311-Accroissement de la capacité d’accueil (infrastructures, équipements en tenant compte des besoins des apprenants porteurs de handicap et à besoins éducatifs speciaux ainsi que les catastrophes naturelles)</v>
      </c>
      <c r="AD1009" s="21" t="str">
        <f t="shared" si="174"/>
        <v>33111-Etudes et supervisions des travaux de rénovation des CFP en cours</v>
      </c>
    </row>
    <row r="1010" spans="1:30" s="22" customFormat="1" ht="90" hidden="1" customHeight="1" x14ac:dyDescent="0.8">
      <c r="A1010" s="14">
        <v>3</v>
      </c>
      <c r="B1010" s="15">
        <v>33</v>
      </c>
      <c r="C1010" s="15">
        <v>331</v>
      </c>
      <c r="D1010" s="15">
        <v>3311</v>
      </c>
      <c r="E1010" s="14">
        <v>33112</v>
      </c>
      <c r="F1010" s="16" t="s">
        <v>1277</v>
      </c>
      <c r="G1010" s="21" t="s">
        <v>1278</v>
      </c>
      <c r="H1010" s="17" t="s">
        <v>1279</v>
      </c>
      <c r="I1010" s="56">
        <v>0</v>
      </c>
      <c r="J1010" s="56">
        <v>0</v>
      </c>
      <c r="K1010" s="56">
        <v>1</v>
      </c>
      <c r="L1010" s="56">
        <v>0</v>
      </c>
      <c r="M1010" s="56">
        <f t="shared" si="176"/>
        <v>1</v>
      </c>
      <c r="N1010" s="56">
        <f>IF(OR(H1010="",H1010="sif",H1010="PM"),0,VLOOKUP(H1010,[5]CU!$C$4:$H$255,6,FALSE))</f>
        <v>3703.140895</v>
      </c>
      <c r="O1010" s="56">
        <f t="shared" si="177"/>
        <v>0</v>
      </c>
      <c r="P1010" s="56">
        <f t="shared" si="177"/>
        <v>0</v>
      </c>
      <c r="Q1010" s="56">
        <f t="shared" si="177"/>
        <v>3703.140895</v>
      </c>
      <c r="R1010" s="56">
        <f t="shared" si="177"/>
        <v>0</v>
      </c>
      <c r="S1010" s="53">
        <f>SUM(O1010:R1010)</f>
        <v>3703.140895</v>
      </c>
      <c r="T1010" s="35" t="s">
        <v>169</v>
      </c>
      <c r="U1010" s="18" t="s">
        <v>1206</v>
      </c>
      <c r="V1010" s="19" t="str">
        <f>IF(OR($H1010="",$H1010="sif",$H1010="PM"),"",VLOOKUP($H1010,[5]CU!$C$5:$J$255,8,FALSE))</f>
        <v>5. Investissement</v>
      </c>
      <c r="W1010" s="18" t="s">
        <v>521</v>
      </c>
      <c r="X1010" s="18" t="s">
        <v>1237</v>
      </c>
      <c r="Y1010" s="18" t="s">
        <v>677</v>
      </c>
      <c r="Z1010" s="19" t="str">
        <f>A1010 &amp; "-" &amp; VLOOKUP(A1010,[4]PROGRAMMES!$E$1:$F$7,2,FALSE)</f>
        <v>3-Expansion et réforme de l’ETFP</v>
      </c>
      <c r="AA1010" s="19" t="str">
        <f>B1010 &amp; "-" &amp; VLOOKUP(B1010,[4]SOUSPROGRAMMES!$E$1:$F$44,2,FALSE)</f>
        <v>33- Développement de l’offre de formation professionnelle et technique de qualité</v>
      </c>
      <c r="AB1010" s="19" t="str">
        <f>C1010 &amp; "-" &amp; VLOOKUP(C1010,[4]RESULTATS!$E$1:$F$176,2,FALSE)</f>
        <v>331- L’accès aux dispositifs de l’ETFP est accrue en lien avec les besoins (quantitatifs et qualitatifs) de l’économie avec une priorité accordée aux filières porteuses dans les secteurs primaire et secondaire</v>
      </c>
      <c r="AC1010" s="20" t="str">
        <f>D1010 &amp; "-" &amp; VLOOKUP(D1010,[4]STRATEGIES!$E$1:$F$504,2,FALSE)</f>
        <v>3311-Accroissement de la capacité d’accueil (infrastructures, équipements en tenant compte des besoins des apprenants porteurs de handicap et à besoins éducatifs speciaux ainsi que les catastrophes naturelles)</v>
      </c>
      <c r="AD1010" s="21" t="str">
        <f t="shared" si="174"/>
        <v xml:space="preserve">33112-Etudes et supervisions des ERAM </v>
      </c>
    </row>
    <row r="1011" spans="1:30" s="22" customFormat="1" ht="90" hidden="1" customHeight="1" x14ac:dyDescent="0.8">
      <c r="A1011" s="14">
        <v>3</v>
      </c>
      <c r="B1011" s="15">
        <v>33</v>
      </c>
      <c r="C1011" s="15">
        <v>331</v>
      </c>
      <c r="D1011" s="15">
        <v>3311</v>
      </c>
      <c r="E1011" s="14">
        <v>33113</v>
      </c>
      <c r="F1011" s="16" t="s">
        <v>1280</v>
      </c>
      <c r="G1011" s="21" t="s">
        <v>92</v>
      </c>
      <c r="H1011" s="17" t="s">
        <v>92</v>
      </c>
      <c r="I1011" s="56">
        <v>0</v>
      </c>
      <c r="J1011" s="56">
        <v>0.2</v>
      </c>
      <c r="K1011" s="56"/>
      <c r="L1011" s="56"/>
      <c r="M1011" s="56">
        <f t="shared" si="176"/>
        <v>0.2</v>
      </c>
      <c r="N1011" s="56">
        <f>IF(OR(H1011="",H1011="sif",H1011="PM"),0,VLOOKUP(H1011,[5]CU!$C$4:$H$255,6,FALSE))</f>
        <v>0</v>
      </c>
      <c r="O1011" s="56">
        <f t="shared" si="177"/>
        <v>0</v>
      </c>
      <c r="P1011" s="56">
        <f t="shared" si="177"/>
        <v>0</v>
      </c>
      <c r="Q1011" s="56">
        <f t="shared" si="177"/>
        <v>0</v>
      </c>
      <c r="R1011" s="56">
        <f t="shared" si="177"/>
        <v>0</v>
      </c>
      <c r="S1011" s="53"/>
      <c r="T1011" s="35" t="s">
        <v>56</v>
      </c>
      <c r="U1011" s="18" t="s">
        <v>1206</v>
      </c>
      <c r="V1011" s="19" t="str">
        <f>IF(OR($H1011="",$H1011="sif",$H1011="PM"),"",VLOOKUP($H1011,[5]CU!$C$5:$J$255,8,FALSE))</f>
        <v/>
      </c>
      <c r="W1011" s="18"/>
      <c r="X1011" s="18"/>
      <c r="Y1011" s="18" t="s">
        <v>677</v>
      </c>
      <c r="Z1011" s="19" t="str">
        <f>A1011 &amp; "-" &amp; VLOOKUP(A1011,[4]PROGRAMMES!$E$1:$F$7,2,FALSE)</f>
        <v>3-Expansion et réforme de l’ETFP</v>
      </c>
      <c r="AA1011" s="19" t="str">
        <f>B1011 &amp; "-" &amp; VLOOKUP(B1011,[4]SOUSPROGRAMMES!$E$1:$F$44,2,FALSE)</f>
        <v>33- Développement de l’offre de formation professionnelle et technique de qualité</v>
      </c>
      <c r="AB1011" s="19" t="str">
        <f>C1011 &amp; "-" &amp; VLOOKUP(C1011,[4]RESULTATS!$E$1:$F$176,2,FALSE)</f>
        <v>331- L’accès aux dispositifs de l’ETFP est accrue en lien avec les besoins (quantitatifs et qualitatifs) de l’économie avec une priorité accordée aux filières porteuses dans les secteurs primaire et secondaire</v>
      </c>
      <c r="AC1011" s="20" t="str">
        <f>D1011 &amp; "-" &amp; VLOOKUP(D1011,[4]STRATEGIES!$E$1:$F$504,2,FALSE)</f>
        <v>3311-Accroissement de la capacité d’accueil (infrastructures, équipements en tenant compte des besoins des apprenants porteurs de handicap et à besoins éducatifs speciaux ainsi que les catastrophes naturelles)</v>
      </c>
      <c r="AD1011" s="21" t="str">
        <f t="shared" si="174"/>
        <v>33113-Construction et équipement du complexe sectoriel BTP hôtellerie (Don fondation Mohamed VI</v>
      </c>
    </row>
    <row r="1012" spans="1:30" s="22" customFormat="1" ht="90" hidden="1" customHeight="1" x14ac:dyDescent="0.8">
      <c r="A1012" s="14">
        <v>3</v>
      </c>
      <c r="B1012" s="15">
        <v>33</v>
      </c>
      <c r="C1012" s="15">
        <v>331</v>
      </c>
      <c r="D1012" s="15">
        <v>3311</v>
      </c>
      <c r="E1012" s="14">
        <v>33114</v>
      </c>
      <c r="F1012" s="16" t="s">
        <v>1281</v>
      </c>
      <c r="G1012" s="21" t="s">
        <v>1282</v>
      </c>
      <c r="H1012" s="17" t="s">
        <v>1283</v>
      </c>
      <c r="I1012" s="56">
        <v>0</v>
      </c>
      <c r="J1012" s="56">
        <v>0.2</v>
      </c>
      <c r="K1012" s="56"/>
      <c r="L1012" s="56"/>
      <c r="M1012" s="56">
        <f t="shared" si="176"/>
        <v>0.2</v>
      </c>
      <c r="N1012" s="56">
        <f>IF(OR(H1012="",H1012="sif",H1012="PM"),0,VLOOKUP(H1012,[5]CU!$C$4:$H$255,6,FALSE))</f>
        <v>9225.6919629999993</v>
      </c>
      <c r="O1012" s="56">
        <f t="shared" si="177"/>
        <v>0</v>
      </c>
      <c r="P1012" s="56">
        <f t="shared" si="177"/>
        <v>1845.1383925999999</v>
      </c>
      <c r="Q1012" s="56">
        <f t="shared" si="177"/>
        <v>0</v>
      </c>
      <c r="R1012" s="56">
        <f t="shared" si="177"/>
        <v>0</v>
      </c>
      <c r="S1012" s="53">
        <f t="shared" ref="S1012:S1030" si="179">SUM(O1012:R1012)</f>
        <v>1845.1383925999999</v>
      </c>
      <c r="T1012" s="35" t="s">
        <v>56</v>
      </c>
      <c r="U1012" s="18" t="s">
        <v>1206</v>
      </c>
      <c r="V1012" s="19" t="str">
        <f>IF(OR($H1012="",$H1012="sif",$H1012="PM"),"",VLOOKUP($H1012,[5]CU!$C$5:$J$255,8,FALSE))</f>
        <v>5. Investissement</v>
      </c>
      <c r="W1012" s="18"/>
      <c r="X1012" s="18"/>
      <c r="Y1012" s="18" t="s">
        <v>677</v>
      </c>
      <c r="Z1012" s="19" t="str">
        <f>A1012 &amp; "-" &amp; VLOOKUP(A1012,[4]PROGRAMMES!$E$1:$F$7,2,FALSE)</f>
        <v>3-Expansion et réforme de l’ETFP</v>
      </c>
      <c r="AA1012" s="19" t="str">
        <f>B1012 &amp; "-" &amp; VLOOKUP(B1012,[4]SOUSPROGRAMMES!$E$1:$F$44,2,FALSE)</f>
        <v>33- Développement de l’offre de formation professionnelle et technique de qualité</v>
      </c>
      <c r="AB1012" s="19" t="str">
        <f>C1012 &amp; "-" &amp; VLOOKUP(C1012,[4]RESULTATS!$E$1:$F$176,2,FALSE)</f>
        <v>331- L’accès aux dispositifs de l’ETFP est accrue en lien avec les besoins (quantitatifs et qualitatifs) de l’économie avec une priorité accordée aux filières porteuses dans les secteurs primaire et secondaire</v>
      </c>
      <c r="AC1012" s="20" t="str">
        <f>D1012 &amp; "-" &amp; VLOOKUP(D1012,[4]STRATEGIES!$E$1:$F$504,2,FALSE)</f>
        <v>3311-Accroissement de la capacité d’accueil (infrastructures, équipements en tenant compte des besoins des apprenants porteurs de handicap et à besoins éducatifs speciaux ainsi que les catastrophes naturelles)</v>
      </c>
      <c r="AD1012" s="21" t="str">
        <f t="shared" si="174"/>
        <v>33114-Travaux d’extension ENSAC</v>
      </c>
    </row>
    <row r="1013" spans="1:30" s="22" customFormat="1" ht="90" hidden="1" customHeight="1" x14ac:dyDescent="0.8">
      <c r="A1013" s="14">
        <v>3</v>
      </c>
      <c r="B1013" s="15">
        <v>33</v>
      </c>
      <c r="C1013" s="15">
        <v>331</v>
      </c>
      <c r="D1013" s="15">
        <v>3311</v>
      </c>
      <c r="E1013" s="14">
        <v>33115</v>
      </c>
      <c r="F1013" s="16" t="s">
        <v>1284</v>
      </c>
      <c r="G1013" s="21" t="s">
        <v>1282</v>
      </c>
      <c r="H1013" s="17" t="s">
        <v>1285</v>
      </c>
      <c r="I1013" s="56">
        <v>0</v>
      </c>
      <c r="J1013" s="56">
        <v>0.6</v>
      </c>
      <c r="K1013" s="56"/>
      <c r="L1013" s="56"/>
      <c r="M1013" s="56">
        <f t="shared" si="176"/>
        <v>0.6</v>
      </c>
      <c r="N1013" s="56">
        <f>IF(OR(H1013="",H1013="sif",H1013="PM"),0,VLOOKUP(H1013,[5]CU!$C$4:$H$255,6,FALSE))</f>
        <v>25083.221000000001</v>
      </c>
      <c r="O1013" s="56">
        <f t="shared" si="177"/>
        <v>0</v>
      </c>
      <c r="P1013" s="56">
        <f t="shared" si="177"/>
        <v>15049.9326</v>
      </c>
      <c r="Q1013" s="56">
        <f t="shared" si="177"/>
        <v>0</v>
      </c>
      <c r="R1013" s="56">
        <f t="shared" si="177"/>
        <v>0</v>
      </c>
      <c r="S1013" s="53">
        <f t="shared" si="179"/>
        <v>15049.9326</v>
      </c>
      <c r="T1013" s="35" t="s">
        <v>56</v>
      </c>
      <c r="U1013" s="18" t="s">
        <v>1206</v>
      </c>
      <c r="V1013" s="19" t="str">
        <f>IF(OR($H1013="",$H1013="sif",$H1013="PM"),"",VLOOKUP($H1013,[5]CU!$C$5:$J$255,8,FALSE))</f>
        <v>5. Investissement</v>
      </c>
      <c r="W1013" s="18"/>
      <c r="X1013" s="18"/>
      <c r="Y1013" s="18" t="s">
        <v>677</v>
      </c>
      <c r="Z1013" s="19" t="str">
        <f>A1013 &amp; "-" &amp; VLOOKUP(A1013,[4]PROGRAMMES!$E$1:$F$7,2,FALSE)</f>
        <v>3-Expansion et réforme de l’ETFP</v>
      </c>
      <c r="AA1013" s="19" t="str">
        <f>B1013 &amp; "-" &amp; VLOOKUP(B1013,[4]SOUSPROGRAMMES!$E$1:$F$44,2,FALSE)</f>
        <v>33- Développement de l’offre de formation professionnelle et technique de qualité</v>
      </c>
      <c r="AB1013" s="19" t="str">
        <f>C1013 &amp; "-" &amp; VLOOKUP(C1013,[4]RESULTATS!$E$1:$F$176,2,FALSE)</f>
        <v>331- L’accès aux dispositifs de l’ETFP est accrue en lien avec les besoins (quantitatifs et qualitatifs) de l’économie avec une priorité accordée aux filières porteuses dans les secteurs primaire et secondaire</v>
      </c>
      <c r="AC1013" s="20" t="str">
        <f>D1013 &amp; "-" &amp; VLOOKUP(D1013,[4]STRATEGIES!$E$1:$F$504,2,FALSE)</f>
        <v>3311-Accroissement de la capacité d’accueil (infrastructures, équipements en tenant compte des besoins des apprenants porteurs de handicap et à besoins éducatifs speciaux ainsi que les catastrophes naturelles)</v>
      </c>
      <c r="AD1013" s="21" t="str">
        <f t="shared" si="174"/>
        <v>33115-Construction du CFP de Lambanyi</v>
      </c>
    </row>
    <row r="1014" spans="1:30" s="22" customFormat="1" ht="90" hidden="1" customHeight="1" x14ac:dyDescent="0.8">
      <c r="A1014" s="14">
        <v>3</v>
      </c>
      <c r="B1014" s="15">
        <v>33</v>
      </c>
      <c r="C1014" s="15">
        <v>331</v>
      </c>
      <c r="D1014" s="15">
        <v>3311</v>
      </c>
      <c r="E1014" s="14">
        <v>33116</v>
      </c>
      <c r="F1014" s="16" t="s">
        <v>1286</v>
      </c>
      <c r="G1014" s="21" t="s">
        <v>1282</v>
      </c>
      <c r="H1014" s="17" t="s">
        <v>1287</v>
      </c>
      <c r="I1014" s="56">
        <v>0</v>
      </c>
      <c r="J1014" s="56">
        <v>0.2</v>
      </c>
      <c r="K1014" s="56"/>
      <c r="L1014" s="56"/>
      <c r="M1014" s="56">
        <f t="shared" si="176"/>
        <v>0.2</v>
      </c>
      <c r="N1014" s="56">
        <f>IF(OR(H1014="",H1014="sif",H1014="PM"),0,VLOOKUP(H1014,[5]CU!$C$4:$H$255,6,FALSE))</f>
        <v>46289.261183000002</v>
      </c>
      <c r="O1014" s="56">
        <f t="shared" si="177"/>
        <v>0</v>
      </c>
      <c r="P1014" s="56">
        <f t="shared" si="177"/>
        <v>9257.8522366000016</v>
      </c>
      <c r="Q1014" s="56">
        <f t="shared" si="177"/>
        <v>0</v>
      </c>
      <c r="R1014" s="56">
        <f t="shared" si="177"/>
        <v>0</v>
      </c>
      <c r="S1014" s="53">
        <f t="shared" si="179"/>
        <v>9257.8522366000016</v>
      </c>
      <c r="T1014" s="35" t="s">
        <v>56</v>
      </c>
      <c r="U1014" s="18" t="s">
        <v>1206</v>
      </c>
      <c r="V1014" s="19" t="str">
        <f>IF(OR($H1014="",$H1014="sif",$H1014="PM"),"",VLOOKUP($H1014,[5]CU!$C$5:$J$255,8,FALSE))</f>
        <v>5. Investissement</v>
      </c>
      <c r="W1014" s="18" t="s">
        <v>521</v>
      </c>
      <c r="X1014" s="18" t="s">
        <v>1237</v>
      </c>
      <c r="Y1014" s="18" t="s">
        <v>677</v>
      </c>
      <c r="Z1014" s="19" t="str">
        <f>A1014 &amp; "-" &amp; VLOOKUP(A1014,[4]PROGRAMMES!$E$1:$F$7,2,FALSE)</f>
        <v>3-Expansion et réforme de l’ETFP</v>
      </c>
      <c r="AA1014" s="19" t="str">
        <f>B1014 &amp; "-" &amp; VLOOKUP(B1014,[4]SOUSPROGRAMMES!$E$1:$F$44,2,FALSE)</f>
        <v>33- Développement de l’offre de formation professionnelle et technique de qualité</v>
      </c>
      <c r="AB1014" s="19" t="str">
        <f>C1014 &amp; "-" &amp; VLOOKUP(C1014,[4]RESULTATS!$E$1:$F$176,2,FALSE)</f>
        <v>331- L’accès aux dispositifs de l’ETFP est accrue en lien avec les besoins (quantitatifs et qualitatifs) de l’économie avec une priorité accordée aux filières porteuses dans les secteurs primaire et secondaire</v>
      </c>
      <c r="AC1014" s="20" t="str">
        <f>D1014 &amp; "-" &amp; VLOOKUP(D1014,[4]STRATEGIES!$E$1:$F$504,2,FALSE)</f>
        <v>3311-Accroissement de la capacité d’accueil (infrastructures, équipements en tenant compte des besoins des apprenants porteurs de handicap et à besoins éducatifs speciaux ainsi que les catastrophes naturelles)</v>
      </c>
      <c r="AD1014" s="21" t="str">
        <f t="shared" si="174"/>
        <v>33116-Construction des ERAM de Coyah et Dabola</v>
      </c>
    </row>
    <row r="1015" spans="1:30" s="22" customFormat="1" ht="90" hidden="1" customHeight="1" x14ac:dyDescent="0.8">
      <c r="A1015" s="14">
        <v>3</v>
      </c>
      <c r="B1015" s="15">
        <v>33</v>
      </c>
      <c r="C1015" s="15">
        <v>331</v>
      </c>
      <c r="D1015" s="15">
        <v>3311</v>
      </c>
      <c r="E1015" s="14">
        <v>33117</v>
      </c>
      <c r="F1015" s="16" t="s">
        <v>1288</v>
      </c>
      <c r="G1015" s="21" t="s">
        <v>106</v>
      </c>
      <c r="H1015" s="17" t="s">
        <v>1289</v>
      </c>
      <c r="I1015" s="56">
        <v>0</v>
      </c>
      <c r="J1015" s="56"/>
      <c r="K1015" s="56"/>
      <c r="L1015" s="56"/>
      <c r="M1015" s="56">
        <f t="shared" si="176"/>
        <v>0</v>
      </c>
      <c r="N1015" s="56">
        <f>IF(OR(H1015="",H1015="sif",H1015="PM"),0,VLOOKUP(H1015,[5]CU!$C$4:$H$255,6,FALSE))</f>
        <v>17865.557499999999</v>
      </c>
      <c r="O1015" s="56">
        <f t="shared" si="177"/>
        <v>0</v>
      </c>
      <c r="P1015" s="56">
        <f t="shared" si="177"/>
        <v>0</v>
      </c>
      <c r="Q1015" s="56">
        <f t="shared" si="177"/>
        <v>0</v>
      </c>
      <c r="R1015" s="56">
        <f t="shared" si="177"/>
        <v>0</v>
      </c>
      <c r="S1015" s="53">
        <f t="shared" si="179"/>
        <v>0</v>
      </c>
      <c r="T1015" s="35" t="s">
        <v>56</v>
      </c>
      <c r="U1015" s="18" t="s">
        <v>1206</v>
      </c>
      <c r="V1015" s="19" t="str">
        <f>IF(OR($H1015="",$H1015="sif",$H1015="PM"),"",VLOOKUP($H1015,[5]CU!$C$5:$J$255,8,FALSE))</f>
        <v>5. Investissement</v>
      </c>
      <c r="W1015" s="18" t="s">
        <v>521</v>
      </c>
      <c r="X1015" s="18" t="s">
        <v>1237</v>
      </c>
      <c r="Y1015" s="18" t="s">
        <v>677</v>
      </c>
      <c r="Z1015" s="19" t="str">
        <f>A1015 &amp; "-" &amp; VLOOKUP(A1015,[4]PROGRAMMES!$E$1:$F$7,2,FALSE)</f>
        <v>3-Expansion et réforme de l’ETFP</v>
      </c>
      <c r="AA1015" s="19" t="str">
        <f>B1015 &amp; "-" &amp; VLOOKUP(B1015,[4]SOUSPROGRAMMES!$E$1:$F$44,2,FALSE)</f>
        <v>33- Développement de l’offre de formation professionnelle et technique de qualité</v>
      </c>
      <c r="AB1015" s="19" t="str">
        <f>C1015 &amp; "-" &amp; VLOOKUP(C1015,[4]RESULTATS!$E$1:$F$176,2,FALSE)</f>
        <v>331- L’accès aux dispositifs de l’ETFP est accrue en lien avec les besoins (quantitatifs et qualitatifs) de l’économie avec une priorité accordée aux filières porteuses dans les secteurs primaire et secondaire</v>
      </c>
      <c r="AC1015" s="20" t="str">
        <f>D1015 &amp; "-" &amp; VLOOKUP(D1015,[4]STRATEGIES!$E$1:$F$504,2,FALSE)</f>
        <v>3311-Accroissement de la capacité d’accueil (infrastructures, équipements en tenant compte des besoins des apprenants porteurs de handicap et à besoins éducatifs speciaux ainsi que les catastrophes naturelles)</v>
      </c>
      <c r="AD1015" s="21" t="str">
        <f t="shared" si="174"/>
        <v>33117-Equipement de 4 ERAM : Boké, Labé, Siguiri et N’Zérékoré</v>
      </c>
    </row>
    <row r="1016" spans="1:30" s="22" customFormat="1" ht="90" hidden="1" customHeight="1" x14ac:dyDescent="0.8">
      <c r="A1016" s="14">
        <v>3</v>
      </c>
      <c r="B1016" s="15">
        <v>33</v>
      </c>
      <c r="C1016" s="15">
        <v>331</v>
      </c>
      <c r="D1016" s="15">
        <v>3311</v>
      </c>
      <c r="E1016" s="14">
        <v>33118</v>
      </c>
      <c r="F1016" s="16" t="s">
        <v>1290</v>
      </c>
      <c r="G1016" s="21" t="s">
        <v>1282</v>
      </c>
      <c r="H1016" s="17" t="s">
        <v>1287</v>
      </c>
      <c r="I1016" s="56">
        <v>0</v>
      </c>
      <c r="J1016" s="56"/>
      <c r="K1016" s="56">
        <v>0.5</v>
      </c>
      <c r="L1016" s="56">
        <v>0.5</v>
      </c>
      <c r="M1016" s="56">
        <f t="shared" si="176"/>
        <v>1</v>
      </c>
      <c r="N1016" s="56">
        <f>IF(OR(H1016="",H1016="sif",H1016="PM"),0,VLOOKUP(H1016,[5]CU!$C$4:$H$255,6,FALSE))</f>
        <v>46289.261183000002</v>
      </c>
      <c r="O1016" s="56">
        <f t="shared" si="177"/>
        <v>0</v>
      </c>
      <c r="P1016" s="56">
        <f t="shared" si="177"/>
        <v>0</v>
      </c>
      <c r="Q1016" s="56">
        <f t="shared" si="177"/>
        <v>23144.630591500001</v>
      </c>
      <c r="R1016" s="56">
        <f t="shared" si="177"/>
        <v>23144.630591500001</v>
      </c>
      <c r="S1016" s="53">
        <f t="shared" si="179"/>
        <v>46289.261183000002</v>
      </c>
      <c r="T1016" s="35" t="s">
        <v>56</v>
      </c>
      <c r="U1016" s="18" t="s">
        <v>1206</v>
      </c>
      <c r="V1016" s="19" t="str">
        <f>IF(OR($H1016="",$H1016="sif",$H1016="PM"),"",VLOOKUP($H1016,[5]CU!$C$5:$J$255,8,FALSE))</f>
        <v>5. Investissement</v>
      </c>
      <c r="W1016" s="18" t="s">
        <v>521</v>
      </c>
      <c r="X1016" s="18" t="s">
        <v>1237</v>
      </c>
      <c r="Y1016" s="18" t="s">
        <v>677</v>
      </c>
      <c r="Z1016" s="19" t="str">
        <f>A1016 &amp; "-" &amp; VLOOKUP(A1016,[4]PROGRAMMES!$E$1:$F$7,2,FALSE)</f>
        <v>3-Expansion et réforme de l’ETFP</v>
      </c>
      <c r="AA1016" s="19" t="str">
        <f>B1016 &amp; "-" &amp; VLOOKUP(B1016,[4]SOUSPROGRAMMES!$E$1:$F$44,2,FALSE)</f>
        <v>33- Développement de l’offre de formation professionnelle et technique de qualité</v>
      </c>
      <c r="AB1016" s="19" t="str">
        <f>C1016 &amp; "-" &amp; VLOOKUP(C1016,[4]RESULTATS!$E$1:$F$176,2,FALSE)</f>
        <v>331- L’accès aux dispositifs de l’ETFP est accrue en lien avec les besoins (quantitatifs et qualitatifs) de l’économie avec une priorité accordée aux filières porteuses dans les secteurs primaire et secondaire</v>
      </c>
      <c r="AC1016" s="20" t="str">
        <f>D1016 &amp; "-" &amp; VLOOKUP(D1016,[4]STRATEGIES!$E$1:$F$504,2,FALSE)</f>
        <v>3311-Accroissement de la capacité d’accueil (infrastructures, équipements en tenant compte des besoins des apprenants porteurs de handicap et à besoins éducatifs speciaux ainsi que les catastrophes naturelles)</v>
      </c>
      <c r="AD1016" s="21" t="str">
        <f t="shared" si="174"/>
        <v>33118-Construction de 2 ERAM : Mamou et Kindia</v>
      </c>
    </row>
    <row r="1017" spans="1:30" s="22" customFormat="1" ht="90" customHeight="1" x14ac:dyDescent="0.8">
      <c r="A1017" s="14">
        <v>3</v>
      </c>
      <c r="B1017" s="15">
        <v>33</v>
      </c>
      <c r="C1017" s="15">
        <v>331</v>
      </c>
      <c r="D1017" s="15">
        <v>3311</v>
      </c>
      <c r="E1017" s="14">
        <v>33119</v>
      </c>
      <c r="F1017" s="16" t="s">
        <v>1291</v>
      </c>
      <c r="G1017" s="21" t="s">
        <v>1292</v>
      </c>
      <c r="H1017" s="17" t="s">
        <v>1293</v>
      </c>
      <c r="I1017" s="56">
        <v>0</v>
      </c>
      <c r="J1017" s="56"/>
      <c r="K1017" s="56"/>
      <c r="L1017" s="56"/>
      <c r="M1017" s="56">
        <f t="shared" si="176"/>
        <v>0</v>
      </c>
      <c r="N1017" s="56">
        <f>IF(OR(H1017="",H1017="sif",H1017="PM"),0,VLOOKUP(H1017,[5]CU!$C$4:$H$255,6,FALSE))</f>
        <v>22879.5</v>
      </c>
      <c r="O1017" s="56">
        <f t="shared" si="177"/>
        <v>0</v>
      </c>
      <c r="P1017" s="56">
        <f t="shared" si="177"/>
        <v>0</v>
      </c>
      <c r="Q1017" s="56">
        <f t="shared" si="177"/>
        <v>0</v>
      </c>
      <c r="R1017" s="56">
        <f t="shared" si="177"/>
        <v>0</v>
      </c>
      <c r="S1017" s="53">
        <f t="shared" si="179"/>
        <v>0</v>
      </c>
      <c r="T1017" s="35" t="s">
        <v>414</v>
      </c>
      <c r="U1017" s="18" t="s">
        <v>1206</v>
      </c>
      <c r="V1017" s="19" t="str">
        <f>IF(OR($H1017="",$H1017="sif",$H1017="PM"),"",VLOOKUP($H1017,[5]CU!$C$5:$J$255,8,FALSE))</f>
        <v>5. Investissement</v>
      </c>
      <c r="W1017" s="18" t="s">
        <v>521</v>
      </c>
      <c r="X1017" s="18" t="s">
        <v>1237</v>
      </c>
      <c r="Y1017" s="18" t="s">
        <v>677</v>
      </c>
      <c r="Z1017" s="19" t="str">
        <f>A1017 &amp; "-" &amp; VLOOKUP(A1017,[4]PROGRAMMES!$E$1:$F$7,2,FALSE)</f>
        <v>3-Expansion et réforme de l’ETFP</v>
      </c>
      <c r="AA1017" s="19" t="str">
        <f>B1017 &amp; "-" &amp; VLOOKUP(B1017,[4]SOUSPROGRAMMES!$E$1:$F$44,2,FALSE)</f>
        <v>33- Développement de l’offre de formation professionnelle et technique de qualité</v>
      </c>
      <c r="AB1017" s="19" t="str">
        <f>C1017 &amp; "-" &amp; VLOOKUP(C1017,[4]RESULTATS!$E$1:$F$176,2,FALSE)</f>
        <v>331- L’accès aux dispositifs de l’ETFP est accrue en lien avec les besoins (quantitatifs et qualitatifs) de l’économie avec une priorité accordée aux filières porteuses dans les secteurs primaire et secondaire</v>
      </c>
      <c r="AC1017" s="20" t="str">
        <f>D1017 &amp; "-" &amp; VLOOKUP(D1017,[4]STRATEGIES!$E$1:$F$504,2,FALSE)</f>
        <v>3311-Accroissement de la capacité d’accueil (infrastructures, équipements en tenant compte des besoins des apprenants porteurs de handicap et à besoins éducatifs speciaux ainsi que les catastrophes naturelles)</v>
      </c>
      <c r="AD1017" s="21" t="str">
        <f t="shared" si="174"/>
        <v>33119-Construction et Equipement ENI Mamou</v>
      </c>
    </row>
    <row r="1018" spans="1:30" s="22" customFormat="1" ht="90" hidden="1" customHeight="1" x14ac:dyDescent="0.8">
      <c r="A1018" s="14">
        <v>3</v>
      </c>
      <c r="B1018" s="15">
        <v>33</v>
      </c>
      <c r="C1018" s="15">
        <v>331</v>
      </c>
      <c r="D1018" s="15">
        <v>3311</v>
      </c>
      <c r="E1018" s="14">
        <v>331110</v>
      </c>
      <c r="F1018" s="16" t="s">
        <v>1294</v>
      </c>
      <c r="G1018" s="21" t="s">
        <v>1282</v>
      </c>
      <c r="H1018" s="17" t="s">
        <v>1295</v>
      </c>
      <c r="I1018" s="56">
        <v>0</v>
      </c>
      <c r="J1018" s="56">
        <v>0</v>
      </c>
      <c r="K1018" s="56">
        <v>1</v>
      </c>
      <c r="L1018" s="56">
        <v>0</v>
      </c>
      <c r="M1018" s="56">
        <f t="shared" si="176"/>
        <v>1</v>
      </c>
      <c r="N1018" s="56">
        <f>IF(OR(H1018="",H1018="sif",H1018="PM"),0,VLOOKUP(H1018,[5]CU!$C$4:$H$255,6,FALSE))</f>
        <v>5099.777</v>
      </c>
      <c r="O1018" s="56">
        <f t="shared" si="177"/>
        <v>0</v>
      </c>
      <c r="P1018" s="56">
        <f t="shared" si="177"/>
        <v>0</v>
      </c>
      <c r="Q1018" s="56">
        <f t="shared" si="177"/>
        <v>5099.777</v>
      </c>
      <c r="R1018" s="56">
        <f t="shared" si="177"/>
        <v>0</v>
      </c>
      <c r="S1018" s="53">
        <f t="shared" si="179"/>
        <v>5099.777</v>
      </c>
      <c r="T1018" s="35" t="s">
        <v>169</v>
      </c>
      <c r="U1018" s="18" t="s">
        <v>1206</v>
      </c>
      <c r="V1018" s="19" t="str">
        <f>IF(OR($H1018="",$H1018="sif",$H1018="PM"),"",VLOOKUP($H1018,[5]CU!$C$5:$J$255,8,FALSE))</f>
        <v>5. Investissement</v>
      </c>
      <c r="W1018" s="18" t="s">
        <v>521</v>
      </c>
      <c r="X1018" s="18" t="s">
        <v>1237</v>
      </c>
      <c r="Y1018" s="18" t="s">
        <v>677</v>
      </c>
      <c r="Z1018" s="19" t="str">
        <f>A1018 &amp; "-" &amp; VLOOKUP(A1018,[4]PROGRAMMES!$E$1:$F$7,2,FALSE)</f>
        <v>3-Expansion et réforme de l’ETFP</v>
      </c>
      <c r="AA1018" s="19" t="str">
        <f>B1018 &amp; "-" &amp; VLOOKUP(B1018,[4]SOUSPROGRAMMES!$E$1:$F$44,2,FALSE)</f>
        <v>33- Développement de l’offre de formation professionnelle et technique de qualité</v>
      </c>
      <c r="AB1018" s="19" t="str">
        <f>C1018 &amp; "-" &amp; VLOOKUP(C1018,[4]RESULTATS!$E$1:$F$176,2,FALSE)</f>
        <v>331- L’accès aux dispositifs de l’ETFP est accrue en lien avec les besoins (quantitatifs et qualitatifs) de l’économie avec une priorité accordée aux filières porteuses dans les secteurs primaire et secondaire</v>
      </c>
      <c r="AC1018" s="20" t="str">
        <f>D1018 &amp; "-" &amp; VLOOKUP(D1018,[4]STRATEGIES!$E$1:$F$504,2,FALSE)</f>
        <v>3311-Accroissement de la capacité d’accueil (infrastructures, équipements en tenant compte des besoins des apprenants porteurs de handicap et à besoins éducatifs speciaux ainsi que les catastrophes naturelles)</v>
      </c>
      <c r="AD1018" s="21" t="str">
        <f t="shared" si="174"/>
        <v>331110-Sécurisation du Site de l’ENEPS</v>
      </c>
    </row>
    <row r="1019" spans="1:30" s="22" customFormat="1" ht="90" hidden="1" customHeight="1" x14ac:dyDescent="0.8">
      <c r="A1019" s="14">
        <v>3</v>
      </c>
      <c r="B1019" s="15">
        <v>33</v>
      </c>
      <c r="C1019" s="15">
        <v>331</v>
      </c>
      <c r="D1019" s="15">
        <v>3311</v>
      </c>
      <c r="E1019" s="14">
        <v>331111</v>
      </c>
      <c r="F1019" s="16" t="s">
        <v>1296</v>
      </c>
      <c r="G1019" s="21" t="s">
        <v>1282</v>
      </c>
      <c r="H1019" s="17" t="s">
        <v>1297</v>
      </c>
      <c r="I1019" s="56">
        <v>0</v>
      </c>
      <c r="J1019" s="56">
        <v>2</v>
      </c>
      <c r="K1019" s="56">
        <v>6</v>
      </c>
      <c r="L1019" s="56">
        <v>2</v>
      </c>
      <c r="M1019" s="56">
        <f t="shared" si="176"/>
        <v>10</v>
      </c>
      <c r="N1019" s="56">
        <f>IF(OR(H1019="",H1019="sif",H1019="PM"),0,VLOOKUP(H1019,[5]CU!$C$4:$H$255,6,FALSE))</f>
        <v>17142.857143000001</v>
      </c>
      <c r="O1019" s="56">
        <f t="shared" si="177"/>
        <v>0</v>
      </c>
      <c r="P1019" s="56">
        <f t="shared" si="177"/>
        <v>34285.714286000002</v>
      </c>
      <c r="Q1019" s="56">
        <f t="shared" si="177"/>
        <v>102857.14285800001</v>
      </c>
      <c r="R1019" s="56">
        <f t="shared" si="177"/>
        <v>34285.714286000002</v>
      </c>
      <c r="S1019" s="53">
        <f t="shared" si="179"/>
        <v>171428.57143000001</v>
      </c>
      <c r="T1019" s="35" t="s">
        <v>56</v>
      </c>
      <c r="U1019" s="18" t="s">
        <v>1206</v>
      </c>
      <c r="V1019" s="19" t="str">
        <f>IF(OR($H1019="",$H1019="sif",$H1019="PM"),"",VLOOKUP($H1019,[5]CU!$C$5:$J$255,8,FALSE))</f>
        <v>5. Investissement</v>
      </c>
      <c r="W1019" s="18" t="s">
        <v>521</v>
      </c>
      <c r="X1019" s="18" t="s">
        <v>1237</v>
      </c>
      <c r="Y1019" s="18" t="s">
        <v>677</v>
      </c>
      <c r="Z1019" s="19" t="str">
        <f>A1019 &amp; "-" &amp; VLOOKUP(A1019,[4]PROGRAMMES!$E$1:$F$7,2,FALSE)</f>
        <v>3-Expansion et réforme de l’ETFP</v>
      </c>
      <c r="AA1019" s="19" t="str">
        <f>B1019 &amp; "-" &amp; VLOOKUP(B1019,[4]SOUSPROGRAMMES!$E$1:$F$44,2,FALSE)</f>
        <v>33- Développement de l’offre de formation professionnelle et technique de qualité</v>
      </c>
      <c r="AB1019" s="19" t="str">
        <f>C1019 &amp; "-" &amp; VLOOKUP(C1019,[4]RESULTATS!$E$1:$F$176,2,FALSE)</f>
        <v>331- L’accès aux dispositifs de l’ETFP est accrue en lien avec les besoins (quantitatifs et qualitatifs) de l’économie avec une priorité accordée aux filières porteuses dans les secteurs primaire et secondaire</v>
      </c>
      <c r="AC1019" s="20" t="str">
        <f>D1019 &amp; "-" &amp; VLOOKUP(D1019,[4]STRATEGIES!$E$1:$F$504,2,FALSE)</f>
        <v>3311-Accroissement de la capacité d’accueil (infrastructures, équipements en tenant compte des besoins des apprenants porteurs de handicap et à besoins éducatifs speciaux ainsi que les catastrophes naturelles)</v>
      </c>
      <c r="AD1019" s="21" t="str">
        <f t="shared" si="174"/>
        <v>331111-Construction de CAFPPS</v>
      </c>
    </row>
    <row r="1020" spans="1:30" s="22" customFormat="1" ht="90" hidden="1" customHeight="1" x14ac:dyDescent="0.8">
      <c r="A1020" s="14">
        <v>3</v>
      </c>
      <c r="B1020" s="15">
        <v>33</v>
      </c>
      <c r="C1020" s="15">
        <v>331</v>
      </c>
      <c r="D1020" s="15">
        <v>3311</v>
      </c>
      <c r="E1020" s="14">
        <v>331112</v>
      </c>
      <c r="F1020" s="16" t="s">
        <v>1298</v>
      </c>
      <c r="G1020" s="21" t="s">
        <v>106</v>
      </c>
      <c r="H1020" s="17" t="s">
        <v>1299</v>
      </c>
      <c r="I1020" s="56">
        <v>0</v>
      </c>
      <c r="J1020" s="56"/>
      <c r="K1020" s="56">
        <v>1</v>
      </c>
      <c r="L1020" s="56">
        <v>0</v>
      </c>
      <c r="M1020" s="56">
        <f t="shared" si="176"/>
        <v>1</v>
      </c>
      <c r="N1020" s="56">
        <f>IF(OR(H1020="",H1020="sif",H1020="PM"),0,VLOOKUP(H1020,[5]CU!$C$4:$H$255,6,FALSE))</f>
        <v>136.16666666666666</v>
      </c>
      <c r="O1020" s="56">
        <f t="shared" si="177"/>
        <v>0</v>
      </c>
      <c r="P1020" s="56">
        <f t="shared" si="177"/>
        <v>0</v>
      </c>
      <c r="Q1020" s="56">
        <f t="shared" si="177"/>
        <v>136.16666666666666</v>
      </c>
      <c r="R1020" s="56">
        <f t="shared" si="177"/>
        <v>0</v>
      </c>
      <c r="S1020" s="53">
        <f t="shared" si="179"/>
        <v>136.16666666666666</v>
      </c>
      <c r="T1020" s="35" t="s">
        <v>169</v>
      </c>
      <c r="U1020" s="18" t="s">
        <v>1206</v>
      </c>
      <c r="V1020" s="19" t="str">
        <f>IF(OR($H1020="",$H1020="sif",$H1020="PM"),"",VLOOKUP($H1020,[5]CU!$C$5:$J$255,8,FALSE))</f>
        <v>5. Investissement</v>
      </c>
      <c r="W1020" s="18" t="s">
        <v>521</v>
      </c>
      <c r="X1020" s="18" t="s">
        <v>1237</v>
      </c>
      <c r="Y1020" s="18" t="s">
        <v>677</v>
      </c>
      <c r="Z1020" s="19" t="str">
        <f>A1020 &amp; "-" &amp; VLOOKUP(A1020,[4]PROGRAMMES!$E$1:$F$7,2,FALSE)</f>
        <v>3-Expansion et réforme de l’ETFP</v>
      </c>
      <c r="AA1020" s="19" t="str">
        <f>B1020 &amp; "-" &amp; VLOOKUP(B1020,[4]SOUSPROGRAMMES!$E$1:$F$44,2,FALSE)</f>
        <v>33- Développement de l’offre de formation professionnelle et technique de qualité</v>
      </c>
      <c r="AB1020" s="19" t="str">
        <f>C1020 &amp; "-" &amp; VLOOKUP(C1020,[4]RESULTATS!$E$1:$F$176,2,FALSE)</f>
        <v>331- L’accès aux dispositifs de l’ETFP est accrue en lien avec les besoins (quantitatifs et qualitatifs) de l’économie avec une priorité accordée aux filières porteuses dans les secteurs primaire et secondaire</v>
      </c>
      <c r="AC1020" s="20" t="str">
        <f>D1020 &amp; "-" &amp; VLOOKUP(D1020,[4]STRATEGIES!$E$1:$F$504,2,FALSE)</f>
        <v>3311-Accroissement de la capacité d’accueil (infrastructures, équipements en tenant compte des besoins des apprenants porteurs de handicap et à besoins éducatifs speciaux ainsi que les catastrophes naturelles)</v>
      </c>
      <c r="AD1020" s="21" t="str">
        <f t="shared" si="174"/>
        <v>331112-Equipement de CAFPPS</v>
      </c>
    </row>
    <row r="1021" spans="1:30" s="22" customFormat="1" ht="90" hidden="1" customHeight="1" x14ac:dyDescent="0.8">
      <c r="A1021" s="14">
        <v>3</v>
      </c>
      <c r="B1021" s="15">
        <v>33</v>
      </c>
      <c r="C1021" s="15">
        <v>331</v>
      </c>
      <c r="D1021" s="15">
        <v>3311</v>
      </c>
      <c r="E1021" s="14">
        <v>331113</v>
      </c>
      <c r="F1021" s="16" t="s">
        <v>1300</v>
      </c>
      <c r="G1021" s="21" t="s">
        <v>1282</v>
      </c>
      <c r="H1021" s="17" t="s">
        <v>1301</v>
      </c>
      <c r="I1021" s="56">
        <v>0</v>
      </c>
      <c r="J1021" s="56">
        <v>0.4</v>
      </c>
      <c r="K1021" s="56"/>
      <c r="L1021" s="56"/>
      <c r="M1021" s="56">
        <f t="shared" si="176"/>
        <v>0.4</v>
      </c>
      <c r="N1021" s="56">
        <f>IF(OR(H1021="",H1021="sif",H1021="PM"),0,VLOOKUP(H1021,[5]CU!$C$4:$H$255,6,FALSE))</f>
        <v>2499.6039999999998</v>
      </c>
      <c r="O1021" s="56">
        <f t="shared" ref="O1021:R1063" si="180">IFERROR($N1021*I1021,0)</f>
        <v>0</v>
      </c>
      <c r="P1021" s="56">
        <f t="shared" si="180"/>
        <v>999.84159999999997</v>
      </c>
      <c r="Q1021" s="56">
        <f t="shared" si="180"/>
        <v>0</v>
      </c>
      <c r="R1021" s="56">
        <f t="shared" si="180"/>
        <v>0</v>
      </c>
      <c r="S1021" s="53">
        <f t="shared" si="179"/>
        <v>999.84159999999997</v>
      </c>
      <c r="T1021" s="35" t="s">
        <v>56</v>
      </c>
      <c r="U1021" s="18" t="s">
        <v>1206</v>
      </c>
      <c r="V1021" s="19" t="str">
        <f>IF(OR($H1021="",$H1021="sif",$H1021="PM"),"",VLOOKUP($H1021,[5]CU!$C$5:$J$255,8,FALSE))</f>
        <v>5. Investissement</v>
      </c>
      <c r="W1021" s="18" t="s">
        <v>521</v>
      </c>
      <c r="X1021" s="18" t="s">
        <v>1237</v>
      </c>
      <c r="Y1021" s="18" t="s">
        <v>677</v>
      </c>
      <c r="Z1021" s="19" t="str">
        <f>A1021 &amp; "-" &amp; VLOOKUP(A1021,[4]PROGRAMMES!$E$1:$F$7,2,FALSE)</f>
        <v>3-Expansion et réforme de l’ETFP</v>
      </c>
      <c r="AA1021" s="19" t="str">
        <f>B1021 &amp; "-" &amp; VLOOKUP(B1021,[4]SOUSPROGRAMMES!$E$1:$F$44,2,FALSE)</f>
        <v>33- Développement de l’offre de formation professionnelle et technique de qualité</v>
      </c>
      <c r="AB1021" s="19" t="str">
        <f>C1021 &amp; "-" &amp; VLOOKUP(C1021,[4]RESULTATS!$E$1:$F$176,2,FALSE)</f>
        <v>331- L’accès aux dispositifs de l’ETFP est accrue en lien avec les besoins (quantitatifs et qualitatifs) de l’économie avec une priorité accordée aux filières porteuses dans les secteurs primaire et secondaire</v>
      </c>
      <c r="AC1021" s="20" t="str">
        <f>D1021 &amp; "-" &amp; VLOOKUP(D1021,[4]STRATEGIES!$E$1:$F$504,2,FALSE)</f>
        <v>3311-Accroissement de la capacité d’accueil (infrastructures, équipements en tenant compte des besoins des apprenants porteurs de handicap et à besoins éducatifs speciaux ainsi que les catastrophes naturelles)</v>
      </c>
      <c r="AD1021" s="21" t="str">
        <f t="shared" si="174"/>
        <v>331113-Construction de la clôture de l’ENI et du CFP de Mamou</v>
      </c>
    </row>
    <row r="1022" spans="1:30" s="22" customFormat="1" ht="90" customHeight="1" x14ac:dyDescent="0.8">
      <c r="A1022" s="14">
        <v>3</v>
      </c>
      <c r="B1022" s="15">
        <v>33</v>
      </c>
      <c r="C1022" s="15">
        <v>331</v>
      </c>
      <c r="D1022" s="15">
        <v>3311</v>
      </c>
      <c r="E1022" s="14">
        <v>331115</v>
      </c>
      <c r="F1022" s="16" t="s">
        <v>1302</v>
      </c>
      <c r="G1022" s="21" t="s">
        <v>604</v>
      </c>
      <c r="H1022" s="17" t="s">
        <v>1303</v>
      </c>
      <c r="I1022" s="56">
        <v>0</v>
      </c>
      <c r="J1022" s="56">
        <v>0.6</v>
      </c>
      <c r="K1022" s="56">
        <v>0.3</v>
      </c>
      <c r="L1022" s="56"/>
      <c r="M1022" s="56">
        <f t="shared" si="176"/>
        <v>0.89999999999999991</v>
      </c>
      <c r="N1022" s="56">
        <f>IF(OR(H1022="",H1022="sif",H1022="PM"),0,VLOOKUP(H1022,[5]CU!$C$4:$H$255,6,FALSE))</f>
        <v>8366.5</v>
      </c>
      <c r="O1022" s="56">
        <f t="shared" si="180"/>
        <v>0</v>
      </c>
      <c r="P1022" s="56">
        <f t="shared" si="180"/>
        <v>5019.8999999999996</v>
      </c>
      <c r="Q1022" s="56">
        <f t="shared" si="180"/>
        <v>2509.9499999999998</v>
      </c>
      <c r="R1022" s="56">
        <f t="shared" si="180"/>
        <v>0</v>
      </c>
      <c r="S1022" s="53">
        <f t="shared" si="179"/>
        <v>7529.8499999999995</v>
      </c>
      <c r="T1022" s="35" t="s">
        <v>1304</v>
      </c>
      <c r="U1022" s="19" t="s">
        <v>1206</v>
      </c>
      <c r="V1022" s="19" t="str">
        <f>IF(OR($H1022="",$H1022="sif",$H1022="PM"),"",VLOOKUP($H1022,[5]CU!$C$5:$J$255,8,FALSE))</f>
        <v>5. Investissement</v>
      </c>
      <c r="W1022" s="19" t="s">
        <v>521</v>
      </c>
      <c r="X1022" s="19" t="s">
        <v>1237</v>
      </c>
      <c r="Y1022" s="18" t="s">
        <v>677</v>
      </c>
      <c r="Z1022" s="19" t="str">
        <f>A1022 &amp; "-" &amp; VLOOKUP(A1022,[4]PROGRAMMES!$E$1:$F$7,2,FALSE)</f>
        <v>3-Expansion et réforme de l’ETFP</v>
      </c>
      <c r="AA1022" s="19" t="str">
        <f>B1022 &amp; "-" &amp; VLOOKUP(B1022,[4]SOUSPROGRAMMES!$E$1:$F$44,2,FALSE)</f>
        <v>33- Développement de l’offre de formation professionnelle et technique de qualité</v>
      </c>
      <c r="AB1022" s="19" t="str">
        <f>C1022 &amp; "-" &amp; VLOOKUP(C1022,[4]RESULTATS!$E$1:$F$176,2,FALSE)</f>
        <v>331- L’accès aux dispositifs de l’ETFP est accrue en lien avec les besoins (quantitatifs et qualitatifs) de l’économie avec une priorité accordée aux filières porteuses dans les secteurs primaire et secondaire</v>
      </c>
      <c r="AC1022" s="20" t="str">
        <f>D1022 &amp; "-" &amp; VLOOKUP(D1022,[4]STRATEGIES!$E$1:$F$504,2,FALSE)</f>
        <v>3311-Accroissement de la capacité d’accueil (infrastructures, équipements en tenant compte des besoins des apprenants porteurs de handicap et à besoins éducatifs speciaux ainsi que les catastrophes naturelles)</v>
      </c>
      <c r="AD1022" s="21" t="str">
        <f t="shared" si="174"/>
        <v>331115-Rénovation et extension du CFP de Ratoma</v>
      </c>
    </row>
    <row r="1023" spans="1:30" s="22" customFormat="1" ht="90" hidden="1" customHeight="1" x14ac:dyDescent="0.8">
      <c r="A1023" s="14">
        <v>3</v>
      </c>
      <c r="B1023" s="15">
        <v>33</v>
      </c>
      <c r="C1023" s="15">
        <v>331</v>
      </c>
      <c r="D1023" s="15">
        <v>3311</v>
      </c>
      <c r="E1023" s="14">
        <v>331116</v>
      </c>
      <c r="F1023" s="16" t="s">
        <v>1305</v>
      </c>
      <c r="G1023" s="21" t="s">
        <v>604</v>
      </c>
      <c r="H1023" s="17" t="s">
        <v>1303</v>
      </c>
      <c r="I1023" s="56">
        <v>0</v>
      </c>
      <c r="J1023" s="56">
        <v>0.6</v>
      </c>
      <c r="K1023" s="56">
        <v>0.3</v>
      </c>
      <c r="L1023" s="56"/>
      <c r="M1023" s="56">
        <f t="shared" si="176"/>
        <v>0.89999999999999991</v>
      </c>
      <c r="N1023" s="56">
        <f>IF(OR(H1023="",H1023="sif",H1023="PM"),0,VLOOKUP(H1023,[5]CU!$C$4:$H$255,6,FALSE))</f>
        <v>8366.5</v>
      </c>
      <c r="O1023" s="56">
        <f t="shared" si="180"/>
        <v>0</v>
      </c>
      <c r="P1023" s="56">
        <f t="shared" si="180"/>
        <v>5019.8999999999996</v>
      </c>
      <c r="Q1023" s="56">
        <f t="shared" si="180"/>
        <v>2509.9499999999998</v>
      </c>
      <c r="R1023" s="56">
        <f t="shared" si="180"/>
        <v>0</v>
      </c>
      <c r="S1023" s="53">
        <f t="shared" si="179"/>
        <v>7529.8499999999995</v>
      </c>
      <c r="T1023" s="35" t="s">
        <v>56</v>
      </c>
      <c r="U1023" s="18" t="s">
        <v>1206</v>
      </c>
      <c r="V1023" s="19" t="str">
        <f>IF(OR($H1023="",$H1023="sif",$H1023="PM"),"",VLOOKUP($H1023,[5]CU!$C$5:$J$255,8,FALSE))</f>
        <v>5. Investissement</v>
      </c>
      <c r="W1023" s="18" t="s">
        <v>521</v>
      </c>
      <c r="X1023" s="18" t="s">
        <v>1237</v>
      </c>
      <c r="Y1023" s="18" t="s">
        <v>677</v>
      </c>
      <c r="Z1023" s="19" t="str">
        <f>A1023 &amp; "-" &amp; VLOOKUP(A1023,[4]PROGRAMMES!$E$1:$F$7,2,FALSE)</f>
        <v>3-Expansion et réforme de l’ETFP</v>
      </c>
      <c r="AA1023" s="19" t="str">
        <f>B1023 &amp; "-" &amp; VLOOKUP(B1023,[4]SOUSPROGRAMMES!$E$1:$F$44,2,FALSE)</f>
        <v>33- Développement de l’offre de formation professionnelle et technique de qualité</v>
      </c>
      <c r="AB1023" s="19" t="str">
        <f>C1023 &amp; "-" &amp; VLOOKUP(C1023,[4]RESULTATS!$E$1:$F$176,2,FALSE)</f>
        <v>331- L’accès aux dispositifs de l’ETFP est accrue en lien avec les besoins (quantitatifs et qualitatifs) de l’économie avec une priorité accordée aux filières porteuses dans les secteurs primaire et secondaire</v>
      </c>
      <c r="AC1023" s="20" t="str">
        <f>D1023 &amp; "-" &amp; VLOOKUP(D1023,[4]STRATEGIES!$E$1:$F$504,2,FALSE)</f>
        <v>3311-Accroissement de la capacité d’accueil (infrastructures, équipements en tenant compte des besoins des apprenants porteurs de handicap et à besoins éducatifs speciaux ainsi que les catastrophes naturelles)</v>
      </c>
      <c r="AD1023" s="21" t="str">
        <f t="shared" si="174"/>
        <v>331116-Rénovation et extension du CFP Bordo Kankan</v>
      </c>
    </row>
    <row r="1024" spans="1:30" s="22" customFormat="1" ht="90" hidden="1" customHeight="1" x14ac:dyDescent="0.8">
      <c r="A1024" s="14">
        <v>3</v>
      </c>
      <c r="B1024" s="15">
        <v>33</v>
      </c>
      <c r="C1024" s="15">
        <v>331</v>
      </c>
      <c r="D1024" s="15">
        <v>3311</v>
      </c>
      <c r="E1024" s="14">
        <v>331118</v>
      </c>
      <c r="F1024" s="16" t="s">
        <v>1306</v>
      </c>
      <c r="G1024" s="21" t="s">
        <v>106</v>
      </c>
      <c r="H1024" s="17" t="s">
        <v>1289</v>
      </c>
      <c r="I1024" s="56">
        <v>0</v>
      </c>
      <c r="J1024" s="56">
        <v>0</v>
      </c>
      <c r="K1024" s="56">
        <v>4</v>
      </c>
      <c r="L1024" s="56">
        <v>1</v>
      </c>
      <c r="M1024" s="56">
        <f t="shared" si="176"/>
        <v>5</v>
      </c>
      <c r="N1024" s="56">
        <f>IF(OR(H1024="",H1024="sif",H1024="PM"),0,VLOOKUP(H1024,[5]CU!$C$4:$H$255,6,FALSE))</f>
        <v>17865.557499999999</v>
      </c>
      <c r="O1024" s="56">
        <f t="shared" si="180"/>
        <v>0</v>
      </c>
      <c r="P1024" s="56">
        <f t="shared" si="180"/>
        <v>0</v>
      </c>
      <c r="Q1024" s="56">
        <f t="shared" si="180"/>
        <v>71462.23</v>
      </c>
      <c r="R1024" s="56">
        <f t="shared" si="180"/>
        <v>17865.557499999999</v>
      </c>
      <c r="S1024" s="53">
        <f t="shared" si="179"/>
        <v>89327.787499999991</v>
      </c>
      <c r="T1024" s="35" t="s">
        <v>169</v>
      </c>
      <c r="U1024" s="18" t="s">
        <v>1206</v>
      </c>
      <c r="V1024" s="19" t="str">
        <f>IF(OR($H1024="",$H1024="sif",$H1024="PM"),"",VLOOKUP($H1024,[5]CU!$C$5:$J$255,8,FALSE))</f>
        <v>5. Investissement</v>
      </c>
      <c r="W1024" s="18" t="s">
        <v>521</v>
      </c>
      <c r="X1024" s="18" t="s">
        <v>1237</v>
      </c>
      <c r="Y1024" s="18" t="s">
        <v>677</v>
      </c>
      <c r="Z1024" s="19" t="str">
        <f>A1024 &amp; "-" &amp; VLOOKUP(A1024,[4]PROGRAMMES!$E$1:$F$7,2,FALSE)</f>
        <v>3-Expansion et réforme de l’ETFP</v>
      </c>
      <c r="AA1024" s="19" t="str">
        <f>B1024 &amp; "-" &amp; VLOOKUP(B1024,[4]SOUSPROGRAMMES!$E$1:$F$44,2,FALSE)</f>
        <v>33- Développement de l’offre de formation professionnelle et technique de qualité</v>
      </c>
      <c r="AB1024" s="19" t="str">
        <f>C1024 &amp; "-" &amp; VLOOKUP(C1024,[4]RESULTATS!$E$1:$F$176,2,FALSE)</f>
        <v>331- L’accès aux dispositifs de l’ETFP est accrue en lien avec les besoins (quantitatifs et qualitatifs) de l’économie avec une priorité accordée aux filières porteuses dans les secteurs primaire et secondaire</v>
      </c>
      <c r="AC1024" s="20" t="str">
        <f>D1024 &amp; "-" &amp; VLOOKUP(D1024,[4]STRATEGIES!$E$1:$F$504,2,FALSE)</f>
        <v>3311-Accroissement de la capacité d’accueil (infrastructures, équipements en tenant compte des besoins des apprenants porteurs de handicap et à besoins éducatifs speciaux ainsi que les catastrophes naturelles)</v>
      </c>
      <c r="AD1024" s="21" t="str">
        <f t="shared" si="174"/>
        <v>331118-Equipement des ERAM de Coyah, Dabola, Kindia et Mamou</v>
      </c>
    </row>
    <row r="1025" spans="1:30" s="22" customFormat="1" ht="90" hidden="1" customHeight="1" x14ac:dyDescent="0.8">
      <c r="A1025" s="14">
        <v>3</v>
      </c>
      <c r="B1025" s="15">
        <v>33</v>
      </c>
      <c r="C1025" s="15">
        <v>331</v>
      </c>
      <c r="D1025" s="15">
        <v>3311</v>
      </c>
      <c r="E1025" s="14">
        <v>331119</v>
      </c>
      <c r="F1025" s="16" t="s">
        <v>1307</v>
      </c>
      <c r="G1025" s="21" t="s">
        <v>106</v>
      </c>
      <c r="H1025" s="17" t="s">
        <v>1308</v>
      </c>
      <c r="I1025" s="56">
        <v>0</v>
      </c>
      <c r="J1025" s="56">
        <v>3</v>
      </c>
      <c r="K1025" s="56">
        <v>4</v>
      </c>
      <c r="L1025" s="56">
        <v>3</v>
      </c>
      <c r="M1025" s="56">
        <f t="shared" si="176"/>
        <v>10</v>
      </c>
      <c r="N1025" s="56">
        <f>IF(OR(H1025="",H1025="sif",H1025="PM"),0,VLOOKUP(H1025,[5]CU!$C$4:$H$255,6,FALSE))</f>
        <v>16391</v>
      </c>
      <c r="O1025" s="56">
        <f t="shared" si="180"/>
        <v>0</v>
      </c>
      <c r="P1025" s="56">
        <f t="shared" si="180"/>
        <v>49173</v>
      </c>
      <c r="Q1025" s="56">
        <f t="shared" si="180"/>
        <v>65564</v>
      </c>
      <c r="R1025" s="56">
        <f t="shared" si="180"/>
        <v>49173</v>
      </c>
      <c r="S1025" s="53">
        <f t="shared" si="179"/>
        <v>163910</v>
      </c>
      <c r="T1025" s="35" t="s">
        <v>56</v>
      </c>
      <c r="U1025" s="18" t="s">
        <v>1206</v>
      </c>
      <c r="V1025" s="19" t="str">
        <f>IF(OR($H1025="",$H1025="sif",$H1025="PM"),"",VLOOKUP($H1025,[5]CU!$C$5:$J$255,8,FALSE))</f>
        <v>5. Investissement</v>
      </c>
      <c r="W1025" s="18" t="s">
        <v>521</v>
      </c>
      <c r="X1025" s="18" t="s">
        <v>1237</v>
      </c>
      <c r="Y1025" s="18" t="s">
        <v>677</v>
      </c>
      <c r="Z1025" s="19" t="str">
        <f>A1025 &amp; "-" &amp; VLOOKUP(A1025,[4]PROGRAMMES!$E$1:$F$7,2,FALSE)</f>
        <v>3-Expansion et réforme de l’ETFP</v>
      </c>
      <c r="AA1025" s="19" t="str">
        <f>B1025 &amp; "-" &amp; VLOOKUP(B1025,[4]SOUSPROGRAMMES!$E$1:$F$44,2,FALSE)</f>
        <v>33- Développement de l’offre de formation professionnelle et technique de qualité</v>
      </c>
      <c r="AB1025" s="19" t="str">
        <f>C1025 &amp; "-" &amp; VLOOKUP(C1025,[4]RESULTATS!$E$1:$F$176,2,FALSE)</f>
        <v>331- L’accès aux dispositifs de l’ETFP est accrue en lien avec les besoins (quantitatifs et qualitatifs) de l’économie avec une priorité accordée aux filières porteuses dans les secteurs primaire et secondaire</v>
      </c>
      <c r="AC1025" s="20" t="str">
        <f>D1025 &amp; "-" &amp; VLOOKUP(D1025,[4]STRATEGIES!$E$1:$F$504,2,FALSE)</f>
        <v>3311-Accroissement de la capacité d’accueil (infrastructures, équipements en tenant compte des besoins des apprenants porteurs de handicap et à besoins éducatifs speciaux ainsi que les catastrophes naturelles)</v>
      </c>
      <c r="AD1025" s="21" t="str">
        <f t="shared" si="174"/>
        <v>331119-Equipement des CFP</v>
      </c>
    </row>
    <row r="1026" spans="1:30" s="22" customFormat="1" ht="61" x14ac:dyDescent="0.8">
      <c r="A1026" s="14">
        <v>3</v>
      </c>
      <c r="B1026" s="15">
        <v>33</v>
      </c>
      <c r="C1026" s="15">
        <v>331</v>
      </c>
      <c r="D1026" s="15">
        <v>3311</v>
      </c>
      <c r="E1026" s="14">
        <v>331120</v>
      </c>
      <c r="F1026" s="16" t="s">
        <v>1309</v>
      </c>
      <c r="G1026" s="21" t="s">
        <v>1310</v>
      </c>
      <c r="H1026" s="17" t="s">
        <v>1311</v>
      </c>
      <c r="I1026" s="56">
        <v>0</v>
      </c>
      <c r="J1026" s="56">
        <v>0.6</v>
      </c>
      <c r="K1026" s="56">
        <v>0.3</v>
      </c>
      <c r="L1026" s="56"/>
      <c r="M1026" s="56">
        <f t="shared" si="176"/>
        <v>0.89999999999999991</v>
      </c>
      <c r="N1026" s="56">
        <f>IF(OR(H1026="",H1026="sif",H1026="PM"),0,VLOOKUP(H1026,[5]CU!$C$4:$H$255,6,FALSE))</f>
        <v>95550</v>
      </c>
      <c r="O1026" s="56">
        <f t="shared" si="180"/>
        <v>0</v>
      </c>
      <c r="P1026" s="56">
        <f t="shared" si="180"/>
        <v>57330</v>
      </c>
      <c r="Q1026" s="56">
        <f t="shared" si="180"/>
        <v>28665</v>
      </c>
      <c r="R1026" s="56">
        <f t="shared" si="180"/>
        <v>0</v>
      </c>
      <c r="S1026" s="53">
        <f t="shared" si="179"/>
        <v>85995</v>
      </c>
      <c r="T1026" s="35" t="s">
        <v>1276</v>
      </c>
      <c r="U1026" s="18" t="s">
        <v>1206</v>
      </c>
      <c r="V1026" s="19" t="str">
        <f>IF(OR($H1026="",$H1026="sif",$H1026="PM"),"",VLOOKUP($H1026,[5]CU!$C$5:$J$255,8,FALSE))</f>
        <v>5. Investissement</v>
      </c>
      <c r="W1026" s="18" t="s">
        <v>1312</v>
      </c>
      <c r="X1026" s="18" t="s">
        <v>1312</v>
      </c>
      <c r="Y1026" s="18" t="s">
        <v>677</v>
      </c>
      <c r="Z1026" s="19" t="str">
        <f>A1026 &amp; "-" &amp; VLOOKUP(A1026,[4]PROGRAMMES!$E$1:$F$7,2,FALSE)</f>
        <v>3-Expansion et réforme de l’ETFP</v>
      </c>
      <c r="AA1026" s="19" t="str">
        <f>B1026 &amp; "-" &amp; VLOOKUP(B1026,[4]SOUSPROGRAMMES!$E$1:$F$44,2,FALSE)</f>
        <v>33- Développement de l’offre de formation professionnelle et technique de qualité</v>
      </c>
      <c r="AB1026" s="19" t="str">
        <f>C1026 &amp; "-" &amp; VLOOKUP(C1026,[4]RESULTATS!$E$1:$F$176,2,FALSE)</f>
        <v>331- L’accès aux dispositifs de l’ETFP est accrue en lien avec les besoins (quantitatifs et qualitatifs) de l’économie avec une priorité accordée aux filières porteuses dans les secteurs primaire et secondaire</v>
      </c>
      <c r="AC1026" s="20" t="str">
        <f>D1026 &amp; "-" &amp; VLOOKUP(D1026,[4]STRATEGIES!$E$1:$F$504,2,FALSE)</f>
        <v>3311-Accroissement de la capacité d’accueil (infrastructures, équipements en tenant compte des besoins des apprenants porteurs de handicap et à besoins éducatifs speciaux ainsi que les catastrophes naturelles)</v>
      </c>
      <c r="AD1026" s="21" t="str">
        <f t="shared" si="174"/>
        <v>331120-Rénovation et extension des infrastructures de l'ENAM, de l'ENPET, de CEPERTAM, des CFP et ENAE de Matoto,  Beyla, Fria, Boké, Koba, Tolo,Macenta et du CAFPPS Macenta</v>
      </c>
    </row>
    <row r="1027" spans="1:30" s="22" customFormat="1" ht="61" x14ac:dyDescent="0.8">
      <c r="A1027" s="14">
        <v>3</v>
      </c>
      <c r="B1027" s="15">
        <v>33</v>
      </c>
      <c r="C1027" s="15">
        <v>331</v>
      </c>
      <c r="D1027" s="15">
        <v>3311</v>
      </c>
      <c r="E1027" s="14">
        <v>331121</v>
      </c>
      <c r="F1027" s="16" t="s">
        <v>1313</v>
      </c>
      <c r="G1027" s="21" t="s">
        <v>106</v>
      </c>
      <c r="H1027" s="17" t="s">
        <v>1314</v>
      </c>
      <c r="I1027" s="56">
        <v>0</v>
      </c>
      <c r="J1027" s="56">
        <v>0.1</v>
      </c>
      <c r="K1027" s="56">
        <v>0.9</v>
      </c>
      <c r="L1027" s="56"/>
      <c r="M1027" s="56">
        <f t="shared" si="176"/>
        <v>1</v>
      </c>
      <c r="N1027" s="56">
        <f>IF(OR(H1027="",H1027="sif",H1027="PM"),0,VLOOKUP(H1027,[5]CU!$C$4:$H$255,6,FALSE))</f>
        <v>89775</v>
      </c>
      <c r="O1027" s="56">
        <f t="shared" si="180"/>
        <v>0</v>
      </c>
      <c r="P1027" s="56">
        <f t="shared" si="180"/>
        <v>8977.5</v>
      </c>
      <c r="Q1027" s="56">
        <f t="shared" si="180"/>
        <v>80797.5</v>
      </c>
      <c r="R1027" s="56">
        <f t="shared" si="180"/>
        <v>0</v>
      </c>
      <c r="S1027" s="53">
        <f t="shared" si="179"/>
        <v>89775</v>
      </c>
      <c r="T1027" s="35" t="s">
        <v>1276</v>
      </c>
      <c r="U1027" s="18" t="s">
        <v>1206</v>
      </c>
      <c r="V1027" s="19" t="str">
        <f>IF(OR($H1027="",$H1027="sif",$H1027="PM"),"",VLOOKUP($H1027,[5]CU!$C$5:$J$255,8,FALSE))</f>
        <v>5. Investissement</v>
      </c>
      <c r="W1027" s="18" t="s">
        <v>1312</v>
      </c>
      <c r="X1027" s="18" t="s">
        <v>1312</v>
      </c>
      <c r="Y1027" s="18" t="s">
        <v>677</v>
      </c>
      <c r="Z1027" s="19" t="str">
        <f>A1027 &amp; "-" &amp; VLOOKUP(A1027,[4]PROGRAMMES!$E$1:$F$7,2,FALSE)</f>
        <v>3-Expansion et réforme de l’ETFP</v>
      </c>
      <c r="AA1027" s="19" t="str">
        <f>B1027 &amp; "-" &amp; VLOOKUP(B1027,[4]SOUSPROGRAMMES!$E$1:$F$44,2,FALSE)</f>
        <v>33- Développement de l’offre de formation professionnelle et technique de qualité</v>
      </c>
      <c r="AB1027" s="19" t="str">
        <f>C1027 &amp; "-" &amp; VLOOKUP(C1027,[4]RESULTATS!$E$1:$F$176,2,FALSE)</f>
        <v>331- L’accès aux dispositifs de l’ETFP est accrue en lien avec les besoins (quantitatifs et qualitatifs) de l’économie avec une priorité accordée aux filières porteuses dans les secteurs primaire et secondaire</v>
      </c>
      <c r="AC1027" s="20" t="str">
        <f>D1027 &amp; "-" &amp; VLOOKUP(D1027,[4]STRATEGIES!$E$1:$F$504,2,FALSE)</f>
        <v>3311-Accroissement de la capacité d’accueil (infrastructures, équipements en tenant compte des besoins des apprenants porteurs de handicap et à besoins éducatifs speciaux ainsi que les catastrophes naturelles)</v>
      </c>
      <c r="AD1027" s="21" t="str">
        <f t="shared" si="174"/>
        <v>331121-Equipement ateliers de l'ENAM, de l'ENPET, de CEPERTAM, des CFP et ENAE de Matoto, Macenta, Beyla, Fria, Boké, Koba, Tolo, et du CAFPPS Macenta</v>
      </c>
    </row>
    <row r="1028" spans="1:30" s="22" customFormat="1" ht="90" customHeight="1" x14ac:dyDescent="0.8">
      <c r="A1028" s="14">
        <v>3</v>
      </c>
      <c r="B1028" s="15">
        <v>33</v>
      </c>
      <c r="C1028" s="15">
        <v>331</v>
      </c>
      <c r="D1028" s="15">
        <v>3311</v>
      </c>
      <c r="E1028" s="14">
        <v>331122</v>
      </c>
      <c r="F1028" s="16" t="s">
        <v>1315</v>
      </c>
      <c r="G1028" s="21" t="s">
        <v>1310</v>
      </c>
      <c r="H1028" s="17" t="s">
        <v>1316</v>
      </c>
      <c r="I1028" s="56">
        <v>0</v>
      </c>
      <c r="J1028" s="56">
        <v>0.4</v>
      </c>
      <c r="K1028" s="56"/>
      <c r="L1028" s="56"/>
      <c r="M1028" s="56">
        <f t="shared" si="176"/>
        <v>0.4</v>
      </c>
      <c r="N1028" s="56">
        <f>IF(OR(H1028="",H1028="sif",H1028="PM"),0,VLOOKUP(H1028,[5]CU!$C$4:$H$255,6,FALSE))</f>
        <v>6175</v>
      </c>
      <c r="O1028" s="56">
        <f t="shared" si="180"/>
        <v>0</v>
      </c>
      <c r="P1028" s="56">
        <f t="shared" si="180"/>
        <v>2470</v>
      </c>
      <c r="Q1028" s="56">
        <f t="shared" si="180"/>
        <v>0</v>
      </c>
      <c r="R1028" s="56">
        <f t="shared" si="180"/>
        <v>0</v>
      </c>
      <c r="S1028" s="53">
        <f t="shared" si="179"/>
        <v>2470</v>
      </c>
      <c r="T1028" s="35" t="s">
        <v>1304</v>
      </c>
      <c r="U1028" s="19" t="s">
        <v>1206</v>
      </c>
      <c r="V1028" s="19" t="str">
        <f>IF(OR($H1028="",$H1028="sif",$H1028="PM"),"",VLOOKUP($H1028,[5]CU!$C$5:$J$255,8,FALSE))</f>
        <v>5. Investissement</v>
      </c>
      <c r="W1028" s="19" t="s">
        <v>1317</v>
      </c>
      <c r="X1028" s="19" t="s">
        <v>1318</v>
      </c>
      <c r="Y1028" s="18" t="s">
        <v>677</v>
      </c>
      <c r="Z1028" s="19" t="str">
        <f>A1028 &amp; "-" &amp; VLOOKUP(A1028,[4]PROGRAMMES!$E$1:$F$7,2,FALSE)</f>
        <v>3-Expansion et réforme de l’ETFP</v>
      </c>
      <c r="AA1028" s="19" t="str">
        <f>B1028 &amp; "-" &amp; VLOOKUP(B1028,[4]SOUSPROGRAMMES!$E$1:$F$44,2,FALSE)</f>
        <v>33- Développement de l’offre de formation professionnelle et technique de qualité</v>
      </c>
      <c r="AB1028" s="19" t="str">
        <f>C1028 &amp; "-" &amp; VLOOKUP(C1028,[4]RESULTATS!$E$1:$F$176,2,FALSE)</f>
        <v>331- L’accès aux dispositifs de l’ETFP est accrue en lien avec les besoins (quantitatifs et qualitatifs) de l’économie avec une priorité accordée aux filières porteuses dans les secteurs primaire et secondaire</v>
      </c>
      <c r="AC1028" s="20" t="str">
        <f>D1028 &amp; "-" &amp; VLOOKUP(D1028,[4]STRATEGIES!$E$1:$F$504,2,FALSE)</f>
        <v>3311-Accroissement de la capacité d’accueil (infrastructures, équipements en tenant compte des besoins des apprenants porteurs de handicap et à besoins éducatifs speciaux ainsi que les catastrophes naturelles)</v>
      </c>
      <c r="AD1028" s="21" t="str">
        <f t="shared" ref="AD1028:AD1091" si="181">E1028 &amp; "-" &amp; F1028</f>
        <v>331122-Rénovation et équipement des ateliers des CFP Donka, Ratoma, CENFOTH</v>
      </c>
    </row>
    <row r="1029" spans="1:30" s="22" customFormat="1" ht="90" customHeight="1" x14ac:dyDescent="0.8">
      <c r="A1029" s="14">
        <v>3</v>
      </c>
      <c r="B1029" s="15">
        <v>33</v>
      </c>
      <c r="C1029" s="15">
        <v>331</v>
      </c>
      <c r="D1029" s="15">
        <v>3312</v>
      </c>
      <c r="E1029" s="14">
        <v>3312</v>
      </c>
      <c r="F1029" s="16" t="s">
        <v>1319</v>
      </c>
      <c r="G1029" s="17"/>
      <c r="H1029" s="17"/>
      <c r="I1029" s="56">
        <v>0</v>
      </c>
      <c r="J1029" s="56"/>
      <c r="K1029" s="56"/>
      <c r="L1029" s="56"/>
      <c r="M1029" s="56"/>
      <c r="N1029" s="56"/>
      <c r="O1029" s="56"/>
      <c r="P1029" s="56"/>
      <c r="Q1029" s="56"/>
      <c r="R1029" s="56"/>
      <c r="S1029" s="53"/>
      <c r="T1029" s="33"/>
      <c r="U1029" s="18"/>
      <c r="V1029" s="19"/>
      <c r="W1029" s="18"/>
      <c r="X1029" s="18"/>
      <c r="Y1029" s="18" t="s">
        <v>677</v>
      </c>
      <c r="Z1029" s="19" t="str">
        <f>A1029 &amp; "-" &amp; VLOOKUP(A1029,[4]PROGRAMMES!$E$1:$F$7,2,FALSE)</f>
        <v>3-Expansion et réforme de l’ETFP</v>
      </c>
      <c r="AA1029" s="19" t="str">
        <f>B1029 &amp; "-" &amp; VLOOKUP(B1029,[4]SOUSPROGRAMMES!$E$1:$F$44,2,FALSE)</f>
        <v>33- Développement de l’offre de formation professionnelle et technique de qualité</v>
      </c>
      <c r="AB1029" s="19" t="str">
        <f>C1029 &amp; "-" &amp; VLOOKUP(C1029,[4]RESULTATS!$E$1:$F$176,2,FALSE)</f>
        <v>331- L’accès aux dispositifs de l’ETFP est accrue en lien avec les besoins (quantitatifs et qualitatifs) de l’économie avec une priorité accordée aux filières porteuses dans les secteurs primaire et secondaire</v>
      </c>
      <c r="AC1029" s="20" t="str">
        <f>D1029 &amp; "-" &amp; VLOOKUP(D1029,[4]STRATEGIES!$E$1:$F$504,2,FALSE)</f>
        <v>3312-Dotation des établissements en personnel qualifié suffisant</v>
      </c>
      <c r="AD1029" s="21" t="str">
        <f t="shared" si="181"/>
        <v>3312-Dotation des établissements en personnel qualifié suffisant</v>
      </c>
    </row>
    <row r="1030" spans="1:30" s="22" customFormat="1" ht="90" hidden="1" customHeight="1" x14ac:dyDescent="0.8">
      <c r="A1030" s="14">
        <v>3</v>
      </c>
      <c r="B1030" s="15">
        <v>33</v>
      </c>
      <c r="C1030" s="15">
        <v>331</v>
      </c>
      <c r="D1030" s="15">
        <v>3312</v>
      </c>
      <c r="E1030" s="14">
        <v>33121</v>
      </c>
      <c r="F1030" s="16" t="s">
        <v>1320</v>
      </c>
      <c r="G1030" s="21" t="s">
        <v>1321</v>
      </c>
      <c r="H1030" s="17" t="s">
        <v>1322</v>
      </c>
      <c r="I1030" s="56">
        <v>0</v>
      </c>
      <c r="J1030" s="56">
        <v>0.86929068308295498</v>
      </c>
      <c r="K1030" s="56">
        <v>1.0731920814281699</v>
      </c>
      <c r="L1030" s="56">
        <v>1.35448177220855</v>
      </c>
      <c r="M1030" s="56">
        <f t="shared" si="176"/>
        <v>3.2969645367196749</v>
      </c>
      <c r="N1030" s="56">
        <f>IF(OR(H1030="",H1030="sif",H1030="PM"),0,VLOOKUP(H1030,[5]CU!$C$4:$H$255,6,FALSE))</f>
        <v>70656.731413700894</v>
      </c>
      <c r="O1030" s="56">
        <f t="shared" si="180"/>
        <v>0</v>
      </c>
      <c r="P1030" s="56">
        <f t="shared" si="180"/>
        <v>61421.238315024937</v>
      </c>
      <c r="Q1030" s="56">
        <f t="shared" si="180"/>
        <v>75828.244652780821</v>
      </c>
      <c r="R1030" s="56">
        <f t="shared" si="180"/>
        <v>95703.254783693119</v>
      </c>
      <c r="S1030" s="53">
        <f t="shared" si="179"/>
        <v>232952.73775149888</v>
      </c>
      <c r="T1030" s="35" t="s">
        <v>56</v>
      </c>
      <c r="U1030" s="18" t="s">
        <v>1206</v>
      </c>
      <c r="V1030" s="19" t="str">
        <f>IF(OR($H1030="",$H1030="sif",$H1030="PM"),"",VLOOKUP($H1030,[5]CU!$C$5:$J$255,8,FALSE))</f>
        <v>2. Personnel</v>
      </c>
      <c r="W1030" s="18" t="s">
        <v>1323</v>
      </c>
      <c r="X1030" s="18" t="s">
        <v>142</v>
      </c>
      <c r="Y1030" s="18" t="s">
        <v>677</v>
      </c>
      <c r="Z1030" s="19" t="str">
        <f>A1030 &amp; "-" &amp; VLOOKUP(A1030,[4]PROGRAMMES!$E$1:$F$7,2,FALSE)</f>
        <v>3-Expansion et réforme de l’ETFP</v>
      </c>
      <c r="AA1030" s="19" t="str">
        <f>B1030 &amp; "-" &amp; VLOOKUP(B1030,[4]SOUSPROGRAMMES!$E$1:$F$44,2,FALSE)</f>
        <v>33- Développement de l’offre de formation professionnelle et technique de qualité</v>
      </c>
      <c r="AB1030" s="19" t="str">
        <f>C1030 &amp; "-" &amp; VLOOKUP(C1030,[4]RESULTATS!$E$1:$F$176,2,FALSE)</f>
        <v>331- L’accès aux dispositifs de l’ETFP est accrue en lien avec les besoins (quantitatifs et qualitatifs) de l’économie avec une priorité accordée aux filières porteuses dans les secteurs primaire et secondaire</v>
      </c>
      <c r="AC1030" s="20" t="str">
        <f>D1030 &amp; "-" &amp; VLOOKUP(D1030,[4]STRATEGIES!$E$1:$F$504,2,FALSE)</f>
        <v>3312-Dotation des établissements en personnel qualifié suffisant</v>
      </c>
      <c r="AD1030" s="21" t="str">
        <f t="shared" si="181"/>
        <v>33121-Recrutement du personnel de formation pour les centres de formation (hors ENI)</v>
      </c>
    </row>
    <row r="1031" spans="1:30" s="22" customFormat="1" ht="90" hidden="1" customHeight="1" x14ac:dyDescent="0.8">
      <c r="A1031" s="14">
        <v>3</v>
      </c>
      <c r="B1031" s="15">
        <v>33</v>
      </c>
      <c r="C1031" s="15">
        <v>331</v>
      </c>
      <c r="D1031" s="15">
        <v>3312</v>
      </c>
      <c r="E1031" s="14">
        <v>33122</v>
      </c>
      <c r="F1031" s="16" t="s">
        <v>1324</v>
      </c>
      <c r="G1031" s="21" t="s">
        <v>92</v>
      </c>
      <c r="H1031" s="17" t="s">
        <v>55</v>
      </c>
      <c r="I1031" s="56">
        <v>0</v>
      </c>
      <c r="J1031" s="56">
        <v>400</v>
      </c>
      <c r="K1031" s="56">
        <v>400</v>
      </c>
      <c r="L1031" s="56">
        <v>400</v>
      </c>
      <c r="M1031" s="56">
        <f t="shared" si="176"/>
        <v>1200</v>
      </c>
      <c r="N1031" s="56">
        <f>IF(OR(H1031="",H1031="sif",H1031="PM"),0,VLOOKUP(H1031,[5]CU!$C$4:$H$255,6,FALSE))</f>
        <v>0</v>
      </c>
      <c r="O1031" s="56">
        <f t="shared" si="180"/>
        <v>0</v>
      </c>
      <c r="P1031" s="56">
        <f t="shared" si="180"/>
        <v>0</v>
      </c>
      <c r="Q1031" s="56">
        <f t="shared" si="180"/>
        <v>0</v>
      </c>
      <c r="R1031" s="56">
        <f t="shared" si="180"/>
        <v>0</v>
      </c>
      <c r="S1031" s="53"/>
      <c r="T1031" s="35" t="s">
        <v>56</v>
      </c>
      <c r="U1031" s="18" t="s">
        <v>1206</v>
      </c>
      <c r="V1031" s="19" t="str">
        <f>IF(OR($H1031="",$H1031="sif",$H1031="PM"),"",VLOOKUP($H1031,[5]CU!$C$5:$J$255,8,FALSE))</f>
        <v/>
      </c>
      <c r="W1031" s="18"/>
      <c r="X1031" s="18"/>
      <c r="Y1031" s="18" t="s">
        <v>677</v>
      </c>
      <c r="Z1031" s="19" t="str">
        <f>A1031 &amp; "-" &amp; VLOOKUP(A1031,[4]PROGRAMMES!$E$1:$F$7,2,FALSE)</f>
        <v>3-Expansion et réforme de l’ETFP</v>
      </c>
      <c r="AA1031" s="19" t="str">
        <f>B1031 &amp; "-" &amp; VLOOKUP(B1031,[4]SOUSPROGRAMMES!$E$1:$F$44,2,FALSE)</f>
        <v>33- Développement de l’offre de formation professionnelle et technique de qualité</v>
      </c>
      <c r="AB1031" s="19" t="str">
        <f>C1031 &amp; "-" &amp; VLOOKUP(C1031,[4]RESULTATS!$E$1:$F$176,2,FALSE)</f>
        <v>331- L’accès aux dispositifs de l’ETFP est accrue en lien avec les besoins (quantitatifs et qualitatifs) de l’économie avec une priorité accordée aux filières porteuses dans les secteurs primaire et secondaire</v>
      </c>
      <c r="AC1031" s="20" t="str">
        <f>D1031 &amp; "-" &amp; VLOOKUP(D1031,[4]STRATEGIES!$E$1:$F$504,2,FALSE)</f>
        <v>3312-Dotation des établissements en personnel qualifié suffisant</v>
      </c>
      <c r="AD1031" s="21" t="str">
        <f t="shared" si="181"/>
        <v>33122-Formation du personnel enseignant à l’ENPET (CFP, ENAE, Ecoles de SANTE)</v>
      </c>
    </row>
    <row r="1032" spans="1:30" s="22" customFormat="1" ht="90" hidden="1" customHeight="1" x14ac:dyDescent="0.8">
      <c r="A1032" s="14">
        <v>3</v>
      </c>
      <c r="B1032" s="15">
        <v>33</v>
      </c>
      <c r="C1032" s="15">
        <v>331</v>
      </c>
      <c r="D1032" s="15">
        <v>3312</v>
      </c>
      <c r="E1032" s="14">
        <v>33123</v>
      </c>
      <c r="F1032" s="16" t="s">
        <v>1325</v>
      </c>
      <c r="G1032" s="21" t="s">
        <v>1326</v>
      </c>
      <c r="H1032" s="17" t="s">
        <v>1327</v>
      </c>
      <c r="I1032" s="56">
        <v>0</v>
      </c>
      <c r="J1032" s="56">
        <f>I1032/4*2</f>
        <v>0</v>
      </c>
      <c r="K1032" s="56">
        <v>30</v>
      </c>
      <c r="L1032" s="56"/>
      <c r="M1032" s="56">
        <f t="shared" si="176"/>
        <v>30</v>
      </c>
      <c r="N1032" s="56">
        <f>IF(OR(H1032="",H1032="sif",H1032="PM"),0,VLOOKUP(H1032,[5]CU!$C$4:$H$255,6,FALSE))</f>
        <v>252</v>
      </c>
      <c r="O1032" s="56">
        <f t="shared" si="180"/>
        <v>0</v>
      </c>
      <c r="P1032" s="56">
        <f t="shared" si="180"/>
        <v>0</v>
      </c>
      <c r="Q1032" s="56">
        <f t="shared" si="180"/>
        <v>7560</v>
      </c>
      <c r="R1032" s="56">
        <f t="shared" si="180"/>
        <v>0</v>
      </c>
      <c r="S1032" s="53">
        <f>SUM(O1032:R1032)</f>
        <v>7560</v>
      </c>
      <c r="T1032" s="35" t="s">
        <v>56</v>
      </c>
      <c r="U1032" s="18" t="s">
        <v>1206</v>
      </c>
      <c r="V1032" s="19" t="str">
        <f>IF(OR($H1032="",$H1032="sif",$H1032="PM"),"",VLOOKUP($H1032,[5]CU!$C$5:$J$255,8,FALSE))</f>
        <v>3. Formation</v>
      </c>
      <c r="W1032" s="18"/>
      <c r="X1032" s="18"/>
      <c r="Y1032" s="18" t="s">
        <v>677</v>
      </c>
      <c r="Z1032" s="19" t="str">
        <f>A1032 &amp; "-" &amp; VLOOKUP(A1032,[4]PROGRAMMES!$E$1:$F$7,2,FALSE)</f>
        <v>3-Expansion et réforme de l’ETFP</v>
      </c>
      <c r="AA1032" s="19" t="str">
        <f>B1032 &amp; "-" &amp; VLOOKUP(B1032,[4]SOUSPROGRAMMES!$E$1:$F$44,2,FALSE)</f>
        <v>33- Développement de l’offre de formation professionnelle et technique de qualité</v>
      </c>
      <c r="AB1032" s="19" t="str">
        <f>C1032 &amp; "-" &amp; VLOOKUP(C1032,[4]RESULTATS!$E$1:$F$176,2,FALSE)</f>
        <v>331- L’accès aux dispositifs de l’ETFP est accrue en lien avec les besoins (quantitatifs et qualitatifs) de l’économie avec une priorité accordée aux filières porteuses dans les secteurs primaire et secondaire</v>
      </c>
      <c r="AC1032" s="20" t="str">
        <f>D1032 &amp; "-" &amp; VLOOKUP(D1032,[4]STRATEGIES!$E$1:$F$504,2,FALSE)</f>
        <v>3312-Dotation des établissements en personnel qualifié suffisant</v>
      </c>
      <c r="AD1032" s="21" t="str">
        <f t="shared" si="181"/>
        <v>33123-Formation du personnel enseignant des ERAM à l'étranger</v>
      </c>
    </row>
    <row r="1033" spans="1:30" s="22" customFormat="1" ht="90" hidden="1" customHeight="1" x14ac:dyDescent="0.8">
      <c r="A1033" s="14">
        <v>3</v>
      </c>
      <c r="B1033" s="15">
        <v>33</v>
      </c>
      <c r="C1033" s="15">
        <v>331</v>
      </c>
      <c r="D1033" s="15">
        <v>3312</v>
      </c>
      <c r="E1033" s="14">
        <v>33124</v>
      </c>
      <c r="F1033" s="16" t="s">
        <v>1328</v>
      </c>
      <c r="G1033" s="21" t="s">
        <v>92</v>
      </c>
      <c r="H1033" s="17" t="s">
        <v>55</v>
      </c>
      <c r="I1033" s="56">
        <v>0</v>
      </c>
      <c r="J1033" s="56">
        <f>I1033*5/100+256</f>
        <v>256</v>
      </c>
      <c r="K1033" s="56">
        <f>+I1033*0.05+269</f>
        <v>269</v>
      </c>
      <c r="L1033" s="56">
        <f>+K1033*0.05+282</f>
        <v>295.45</v>
      </c>
      <c r="M1033" s="56">
        <f t="shared" si="176"/>
        <v>820.45</v>
      </c>
      <c r="N1033" s="56">
        <f>IF(OR(H1033="",H1033="sif",H1033="PM"),0,VLOOKUP(H1033,[5]CU!$C$4:$H$255,6,FALSE))</f>
        <v>0</v>
      </c>
      <c r="O1033" s="56">
        <f t="shared" si="180"/>
        <v>0</v>
      </c>
      <c r="P1033" s="56">
        <f t="shared" si="180"/>
        <v>0</v>
      </c>
      <c r="Q1033" s="56">
        <f t="shared" si="180"/>
        <v>0</v>
      </c>
      <c r="R1033" s="56">
        <f t="shared" si="180"/>
        <v>0</v>
      </c>
      <c r="S1033" s="53"/>
      <c r="T1033" s="35" t="s">
        <v>56</v>
      </c>
      <c r="U1033" s="18" t="s">
        <v>1206</v>
      </c>
      <c r="V1033" s="19" t="str">
        <f>IF(OR($H1033="",$H1033="sif",$H1033="PM"),"",VLOOKUP($H1033,[5]CU!$C$5:$J$255,8,FALSE))</f>
        <v/>
      </c>
      <c r="W1033" s="18" t="s">
        <v>521</v>
      </c>
      <c r="X1033" s="18" t="s">
        <v>1329</v>
      </c>
      <c r="Y1033" s="18" t="s">
        <v>677</v>
      </c>
      <c r="Z1033" s="19" t="str">
        <f>A1033 &amp; "-" &amp; VLOOKUP(A1033,[4]PROGRAMMES!$E$1:$F$7,2,FALSE)</f>
        <v>3-Expansion et réforme de l’ETFP</v>
      </c>
      <c r="AA1033" s="19" t="str">
        <f>B1033 &amp; "-" &amp; VLOOKUP(B1033,[4]SOUSPROGRAMMES!$E$1:$F$44,2,FALSE)</f>
        <v>33- Développement de l’offre de formation professionnelle et technique de qualité</v>
      </c>
      <c r="AB1033" s="19" t="str">
        <f>C1033 &amp; "-" &amp; VLOOKUP(C1033,[4]RESULTATS!$E$1:$F$176,2,FALSE)</f>
        <v>331- L’accès aux dispositifs de l’ETFP est accrue en lien avec les besoins (quantitatifs et qualitatifs) de l’économie avec une priorité accordée aux filières porteuses dans les secteurs primaire et secondaire</v>
      </c>
      <c r="AC1033" s="20" t="str">
        <f>D1033 &amp; "-" &amp; VLOOKUP(D1033,[4]STRATEGIES!$E$1:$F$504,2,FALSE)</f>
        <v>3312-Dotation des établissements en personnel qualifié suffisant</v>
      </c>
      <c r="AD1033" s="21" t="str">
        <f t="shared" si="181"/>
        <v>33124-Dotation des établissements du post primaire pour la prise en charge de la vacation des professionnels (voir budget établissement)</v>
      </c>
    </row>
    <row r="1034" spans="1:30" s="22" customFormat="1" ht="90" customHeight="1" x14ac:dyDescent="0.8">
      <c r="A1034" s="14">
        <v>3</v>
      </c>
      <c r="B1034" s="15">
        <v>33</v>
      </c>
      <c r="C1034" s="15">
        <v>331</v>
      </c>
      <c r="D1034" s="15">
        <v>3313</v>
      </c>
      <c r="E1034" s="14">
        <v>3313</v>
      </c>
      <c r="F1034" s="16" t="s">
        <v>1330</v>
      </c>
      <c r="G1034" s="17"/>
      <c r="H1034" s="17"/>
      <c r="I1034" s="56">
        <v>0</v>
      </c>
      <c r="J1034" s="56"/>
      <c r="K1034" s="56"/>
      <c r="L1034" s="56"/>
      <c r="M1034" s="56"/>
      <c r="N1034" s="56"/>
      <c r="O1034" s="56"/>
      <c r="P1034" s="56"/>
      <c r="Q1034" s="56"/>
      <c r="R1034" s="56"/>
      <c r="S1034" s="53"/>
      <c r="T1034" s="33"/>
      <c r="U1034" s="18"/>
      <c r="V1034" s="19"/>
      <c r="W1034" s="18"/>
      <c r="X1034" s="18"/>
      <c r="Y1034" s="18" t="s">
        <v>677</v>
      </c>
      <c r="Z1034" s="19" t="str">
        <f>A1034 &amp; "-" &amp; VLOOKUP(A1034,[4]PROGRAMMES!$E$1:$F$7,2,FALSE)</f>
        <v>3-Expansion et réforme de l’ETFP</v>
      </c>
      <c r="AA1034" s="19" t="str">
        <f>B1034 &amp; "-" &amp; VLOOKUP(B1034,[4]SOUSPROGRAMMES!$E$1:$F$44,2,FALSE)</f>
        <v>33- Développement de l’offre de formation professionnelle et technique de qualité</v>
      </c>
      <c r="AB1034" s="19" t="str">
        <f>C1034 &amp; "-" &amp; VLOOKUP(C1034,[4]RESULTATS!$E$1:$F$176,2,FALSE)</f>
        <v>331- L’accès aux dispositifs de l’ETFP est accrue en lien avec les besoins (quantitatifs et qualitatifs) de l’économie avec une priorité accordée aux filières porteuses dans les secteurs primaire et secondaire</v>
      </c>
      <c r="AC1034" s="20" t="str">
        <f>D1034 &amp; "-" &amp; VLOOKUP(D1034,[4]STRATEGIES!$E$1:$F$504,2,FALSE)</f>
        <v>3313-Application de divers modes de formation (apprentissage, résidentiel, alternance, en situation de travail…)</v>
      </c>
      <c r="AD1034" s="21" t="str">
        <f t="shared" si="181"/>
        <v>3313-Application de divers modes de formation (apprentissage, résidentiel, alternance, en situation de travail…)</v>
      </c>
    </row>
    <row r="1035" spans="1:30" s="22" customFormat="1" ht="90" hidden="1" customHeight="1" x14ac:dyDescent="0.8">
      <c r="A1035" s="14">
        <v>3</v>
      </c>
      <c r="B1035" s="15">
        <v>33</v>
      </c>
      <c r="C1035" s="15">
        <v>331</v>
      </c>
      <c r="D1035" s="15">
        <v>3313</v>
      </c>
      <c r="E1035" s="14">
        <v>33131</v>
      </c>
      <c r="F1035" s="16" t="s">
        <v>1331</v>
      </c>
      <c r="G1035" s="21" t="s">
        <v>1332</v>
      </c>
      <c r="H1035" s="17" t="s">
        <v>1333</v>
      </c>
      <c r="I1035" s="56">
        <v>0</v>
      </c>
      <c r="J1035" s="56"/>
      <c r="K1035" s="56"/>
      <c r="L1035" s="56">
        <v>11107</v>
      </c>
      <c r="M1035" s="56">
        <f t="shared" si="176"/>
        <v>11107</v>
      </c>
      <c r="N1035" s="56">
        <f>IF(OR(H1035="",H1035="sif",H1035="PM"),0,VLOOKUP(H1035,[5]CU!$C$4:$H$255,6,FALSE))</f>
        <v>0.12571428571428572</v>
      </c>
      <c r="O1035" s="56">
        <f t="shared" si="180"/>
        <v>0</v>
      </c>
      <c r="P1035" s="56">
        <f t="shared" si="180"/>
        <v>0</v>
      </c>
      <c r="Q1035" s="56">
        <f t="shared" si="180"/>
        <v>0</v>
      </c>
      <c r="R1035" s="56">
        <f t="shared" si="180"/>
        <v>1396.3085714285714</v>
      </c>
      <c r="S1035" s="53">
        <f>SUM(O1035:R1035)</f>
        <v>1396.3085714285714</v>
      </c>
      <c r="T1035" s="35" t="s">
        <v>56</v>
      </c>
      <c r="U1035" s="18" t="s">
        <v>1206</v>
      </c>
      <c r="V1035" s="19" t="str">
        <f>IF(OR($H1035="",$H1035="sif",$H1035="PM"),"",VLOOKUP($H1035,[5]CU!$C$5:$J$255,8,FALSE))</f>
        <v>3. Dépenses de fonctionnement</v>
      </c>
      <c r="W1035" s="18" t="s">
        <v>1334</v>
      </c>
      <c r="X1035" s="18" t="s">
        <v>1335</v>
      </c>
      <c r="Y1035" s="18" t="s">
        <v>677</v>
      </c>
      <c r="Z1035" s="19" t="str">
        <f>A1035 &amp; "-" &amp; VLOOKUP(A1035,[4]PROGRAMMES!$E$1:$F$7,2,FALSE)</f>
        <v>3-Expansion et réforme de l’ETFP</v>
      </c>
      <c r="AA1035" s="19" t="str">
        <f>B1035 &amp; "-" &amp; VLOOKUP(B1035,[4]SOUSPROGRAMMES!$E$1:$F$44,2,FALSE)</f>
        <v>33- Développement de l’offre de formation professionnelle et technique de qualité</v>
      </c>
      <c r="AB1035" s="19" t="str">
        <f>C1035 &amp; "-" &amp; VLOOKUP(C1035,[4]RESULTATS!$E$1:$F$176,2,FALSE)</f>
        <v>331- L’accès aux dispositifs de l’ETFP est accrue en lien avec les besoins (quantitatifs et qualitatifs) de l’économie avec une priorité accordée aux filières porteuses dans les secteurs primaire et secondaire</v>
      </c>
      <c r="AC1035" s="20" t="str">
        <f>D1035 &amp; "-" &amp; VLOOKUP(D1035,[4]STRATEGIES!$E$1:$F$504,2,FALSE)</f>
        <v>3313-Application de divers modes de formation (apprentissage, résidentiel, alternance, en situation de travail…)</v>
      </c>
      <c r="AD1035" s="21" t="str">
        <f t="shared" si="181"/>
        <v>33131-Encadrement et appui méthodologique aux maitres apprentis retenus</v>
      </c>
    </row>
    <row r="1036" spans="1:30" s="22" customFormat="1" ht="90" hidden="1" customHeight="1" x14ac:dyDescent="0.8">
      <c r="A1036" s="14">
        <v>3</v>
      </c>
      <c r="B1036" s="15">
        <v>33</v>
      </c>
      <c r="C1036" s="15">
        <v>331</v>
      </c>
      <c r="D1036" s="15">
        <v>3313</v>
      </c>
      <c r="E1036" s="14">
        <v>33132</v>
      </c>
      <c r="F1036" s="16" t="s">
        <v>1336</v>
      </c>
      <c r="G1036" s="21" t="s">
        <v>1337</v>
      </c>
      <c r="H1036" s="17" t="s">
        <v>1338</v>
      </c>
      <c r="I1036" s="56">
        <v>0</v>
      </c>
      <c r="J1036" s="56"/>
      <c r="K1036" s="56"/>
      <c r="L1036" s="56">
        <f>L1035/20</f>
        <v>555.35</v>
      </c>
      <c r="M1036" s="56">
        <f t="shared" si="176"/>
        <v>555.35</v>
      </c>
      <c r="N1036" s="56">
        <f>IF(OR(H1036="",H1036="sif",H1036="PM"),0,VLOOKUP(H1036,[5]CU!$C$4:$H$255,6,FALSE))</f>
        <v>30</v>
      </c>
      <c r="O1036" s="56">
        <f t="shared" si="180"/>
        <v>0</v>
      </c>
      <c r="P1036" s="56">
        <f t="shared" si="180"/>
        <v>0</v>
      </c>
      <c r="Q1036" s="56">
        <f t="shared" si="180"/>
        <v>0</v>
      </c>
      <c r="R1036" s="56">
        <f t="shared" si="180"/>
        <v>16660.5</v>
      </c>
      <c r="S1036" s="53">
        <f>SUM(O1036:R1036)</f>
        <v>16660.5</v>
      </c>
      <c r="T1036" s="35" t="s">
        <v>56</v>
      </c>
      <c r="U1036" s="18" t="s">
        <v>1206</v>
      </c>
      <c r="V1036" s="19" t="str">
        <f>IF(OR($H1036="",$H1036="sif",$H1036="PM"),"",VLOOKUP($H1036,[5]CU!$C$5:$J$255,8,FALSE))</f>
        <v>3. Manuels scolaires et matériels pédagogiques</v>
      </c>
      <c r="W1036" s="18" t="s">
        <v>521</v>
      </c>
      <c r="X1036" s="18" t="s">
        <v>1339</v>
      </c>
      <c r="Y1036" s="18" t="s">
        <v>677</v>
      </c>
      <c r="Z1036" s="19" t="str">
        <f>A1036 &amp; "-" &amp; VLOOKUP(A1036,[4]PROGRAMMES!$E$1:$F$7,2,FALSE)</f>
        <v>3-Expansion et réforme de l’ETFP</v>
      </c>
      <c r="AA1036" s="19" t="str">
        <f>B1036 &amp; "-" &amp; VLOOKUP(B1036,[4]SOUSPROGRAMMES!$E$1:$F$44,2,FALSE)</f>
        <v>33- Développement de l’offre de formation professionnelle et technique de qualité</v>
      </c>
      <c r="AB1036" s="19" t="str">
        <f>C1036 &amp; "-" &amp; VLOOKUP(C1036,[4]RESULTATS!$E$1:$F$176,2,FALSE)</f>
        <v>331- L’accès aux dispositifs de l’ETFP est accrue en lien avec les besoins (quantitatifs et qualitatifs) de l’économie avec une priorité accordée aux filières porteuses dans les secteurs primaire et secondaire</v>
      </c>
      <c r="AC1036" s="20" t="str">
        <f>D1036 &amp; "-" &amp; VLOOKUP(D1036,[4]STRATEGIES!$E$1:$F$504,2,FALSE)</f>
        <v>3313-Application de divers modes de formation (apprentissage, résidentiel, alternance, en situation de travail…)</v>
      </c>
      <c r="AD1036" s="21" t="str">
        <f t="shared" si="181"/>
        <v>33132-Acquisition de Kit d'apprentissage pour les apprentis encadrés</v>
      </c>
    </row>
    <row r="1037" spans="1:30" s="22" customFormat="1" ht="90" hidden="1" customHeight="1" x14ac:dyDescent="0.8">
      <c r="A1037" s="14">
        <v>3</v>
      </c>
      <c r="B1037" s="15">
        <v>33</v>
      </c>
      <c r="C1037" s="15">
        <v>331</v>
      </c>
      <c r="D1037" s="15">
        <v>3313</v>
      </c>
      <c r="E1037" s="14">
        <v>33133</v>
      </c>
      <c r="F1037" s="16" t="s">
        <v>1340</v>
      </c>
      <c r="G1037" s="21" t="s">
        <v>58</v>
      </c>
      <c r="H1037" s="17" t="s">
        <v>59</v>
      </c>
      <c r="I1037" s="56">
        <v>0</v>
      </c>
      <c r="J1037" s="56"/>
      <c r="K1037" s="56"/>
      <c r="L1037" s="56">
        <f>(L1035/350)</f>
        <v>31.734285714285715</v>
      </c>
      <c r="M1037" s="56">
        <f t="shared" si="176"/>
        <v>31.734285714285715</v>
      </c>
      <c r="N1037" s="56">
        <f>IF(OR(H1037="",H1037="sif",H1037="PM"),0,VLOOKUP(H1037,[5]CU!$C$4:$H$255,6,FALSE))</f>
        <v>0.8177777777777776</v>
      </c>
      <c r="O1037" s="56">
        <f t="shared" si="180"/>
        <v>0</v>
      </c>
      <c r="P1037" s="56">
        <f t="shared" si="180"/>
        <v>0</v>
      </c>
      <c r="Q1037" s="56">
        <f t="shared" si="180"/>
        <v>0</v>
      </c>
      <c r="R1037" s="56">
        <f t="shared" si="180"/>
        <v>25.951593650793647</v>
      </c>
      <c r="S1037" s="53">
        <f>SUM(O1037:R1037)</f>
        <v>25.951593650793647</v>
      </c>
      <c r="T1037" s="35" t="s">
        <v>56</v>
      </c>
      <c r="U1037" s="18" t="s">
        <v>1206</v>
      </c>
      <c r="V1037" s="19" t="str">
        <f>IF(OR($H1037="",$H1037="sif",$H1037="PM"),"",VLOOKUP($H1037,[5]CU!$C$5:$J$255,8,FALSE))</f>
        <v>3. Dépenses de fonctionnement</v>
      </c>
      <c r="W1037" s="18" t="s">
        <v>1166</v>
      </c>
      <c r="X1037" s="18" t="s">
        <v>1318</v>
      </c>
      <c r="Y1037" s="18" t="s">
        <v>677</v>
      </c>
      <c r="Z1037" s="19" t="str">
        <f>A1037 &amp; "-" &amp; VLOOKUP(A1037,[4]PROGRAMMES!$E$1:$F$7,2,FALSE)</f>
        <v>3-Expansion et réforme de l’ETFP</v>
      </c>
      <c r="AA1037" s="19" t="str">
        <f>B1037 &amp; "-" &amp; VLOOKUP(B1037,[4]SOUSPROGRAMMES!$E$1:$F$44,2,FALSE)</f>
        <v>33- Développement de l’offre de formation professionnelle et technique de qualité</v>
      </c>
      <c r="AB1037" s="19" t="str">
        <f>C1037 &amp; "-" &amp; VLOOKUP(C1037,[4]RESULTATS!$E$1:$F$176,2,FALSE)</f>
        <v>331- L’accès aux dispositifs de l’ETFP est accrue en lien avec les besoins (quantitatifs et qualitatifs) de l’économie avec une priorité accordée aux filières porteuses dans les secteurs primaire et secondaire</v>
      </c>
      <c r="AC1037" s="20" t="str">
        <f>D1037 &amp; "-" &amp; VLOOKUP(D1037,[4]STRATEGIES!$E$1:$F$504,2,FALSE)</f>
        <v>3313-Application de divers modes de formation (apprentissage, résidentiel, alternance, en situation de travail…)</v>
      </c>
      <c r="AD1037" s="21" t="str">
        <f t="shared" si="181"/>
        <v>33133-Orientation professionnelle et placement des apprentis</v>
      </c>
    </row>
    <row r="1038" spans="1:30" s="22" customFormat="1" ht="90" hidden="1" customHeight="1" x14ac:dyDescent="0.8">
      <c r="A1038" s="14">
        <v>3</v>
      </c>
      <c r="B1038" s="15">
        <v>33</v>
      </c>
      <c r="C1038" s="15">
        <v>331</v>
      </c>
      <c r="D1038" s="15">
        <v>3313</v>
      </c>
      <c r="E1038" s="14">
        <v>33134</v>
      </c>
      <c r="F1038" s="16" t="s">
        <v>1341</v>
      </c>
      <c r="G1038" s="21" t="s">
        <v>1342</v>
      </c>
      <c r="H1038" s="17" t="s">
        <v>55</v>
      </c>
      <c r="I1038" s="56">
        <v>0</v>
      </c>
      <c r="J1038" s="56"/>
      <c r="K1038" s="56">
        <v>1</v>
      </c>
      <c r="L1038" s="56"/>
      <c r="M1038" s="56">
        <f t="shared" si="176"/>
        <v>1</v>
      </c>
      <c r="N1038" s="56">
        <f>IF(OR(H1038="",H1038="sif",H1038="PM"),0,VLOOKUP(H1038,[5]CU!$C$4:$H$255,6,FALSE))</f>
        <v>0</v>
      </c>
      <c r="O1038" s="56">
        <f t="shared" si="180"/>
        <v>0</v>
      </c>
      <c r="P1038" s="56">
        <f t="shared" si="180"/>
        <v>0</v>
      </c>
      <c r="Q1038" s="56">
        <f t="shared" si="180"/>
        <v>0</v>
      </c>
      <c r="R1038" s="56">
        <f t="shared" si="180"/>
        <v>0</v>
      </c>
      <c r="S1038" s="53"/>
      <c r="T1038" s="35" t="s">
        <v>56</v>
      </c>
      <c r="U1038" s="18" t="s">
        <v>1206</v>
      </c>
      <c r="V1038" s="19" t="str">
        <f>IF(OR($H1038="",$H1038="sif",$H1038="PM"),"",VLOOKUP($H1038,[5]CU!$C$5:$J$255,8,FALSE))</f>
        <v/>
      </c>
      <c r="W1038" s="18" t="s">
        <v>1166</v>
      </c>
      <c r="X1038" s="18" t="s">
        <v>1318</v>
      </c>
      <c r="Y1038" s="18" t="s">
        <v>677</v>
      </c>
      <c r="Z1038" s="19" t="str">
        <f>A1038 &amp; "-" &amp; VLOOKUP(A1038,[4]PROGRAMMES!$E$1:$F$7,2,FALSE)</f>
        <v>3-Expansion et réforme de l’ETFP</v>
      </c>
      <c r="AA1038" s="19" t="str">
        <f>B1038 &amp; "-" &amp; VLOOKUP(B1038,[4]SOUSPROGRAMMES!$E$1:$F$44,2,FALSE)</f>
        <v>33- Développement de l’offre de formation professionnelle et technique de qualité</v>
      </c>
      <c r="AB1038" s="19" t="str">
        <f>C1038 &amp; "-" &amp; VLOOKUP(C1038,[4]RESULTATS!$E$1:$F$176,2,FALSE)</f>
        <v>331- L’accès aux dispositifs de l’ETFP est accrue en lien avec les besoins (quantitatifs et qualitatifs) de l’économie avec une priorité accordée aux filières porteuses dans les secteurs primaire et secondaire</v>
      </c>
      <c r="AC1038" s="20" t="str">
        <f>D1038 &amp; "-" &amp; VLOOKUP(D1038,[4]STRATEGIES!$E$1:$F$504,2,FALSE)</f>
        <v>3313-Application de divers modes de formation (apprentissage, résidentiel, alternance, en situation de travail…)</v>
      </c>
      <c r="AD1038" s="21" t="str">
        <f t="shared" si="181"/>
        <v>33134-Recrutement des superviseurs (Post primaire, CFP, ENI, ENAE, Ecoles de Santé)</v>
      </c>
    </row>
    <row r="1039" spans="1:30" s="22" customFormat="1" ht="90" hidden="1" customHeight="1" x14ac:dyDescent="0.8">
      <c r="A1039" s="14">
        <v>3</v>
      </c>
      <c r="B1039" s="15">
        <v>33</v>
      </c>
      <c r="C1039" s="15">
        <v>331</v>
      </c>
      <c r="D1039" s="15">
        <v>3313</v>
      </c>
      <c r="E1039" s="14">
        <v>33135</v>
      </c>
      <c r="F1039" s="16" t="s">
        <v>1343</v>
      </c>
      <c r="G1039" s="21" t="s">
        <v>37</v>
      </c>
      <c r="H1039" s="17" t="s">
        <v>66</v>
      </c>
      <c r="I1039" s="56">
        <v>0</v>
      </c>
      <c r="J1039" s="56"/>
      <c r="K1039" s="56">
        <f>20*5</f>
        <v>100</v>
      </c>
      <c r="L1039" s="56">
        <f>20*5</f>
        <v>100</v>
      </c>
      <c r="M1039" s="56">
        <f t="shared" si="176"/>
        <v>200</v>
      </c>
      <c r="N1039" s="56">
        <f>IF(OR(H1039="",H1039="sif",H1039="PM"),0,VLOOKUP(H1039,[5]CU!$C$4:$H$255,6,FALSE))</f>
        <v>0.255</v>
      </c>
      <c r="O1039" s="56">
        <f t="shared" si="180"/>
        <v>0</v>
      </c>
      <c r="P1039" s="56">
        <f t="shared" si="180"/>
        <v>0</v>
      </c>
      <c r="Q1039" s="56">
        <f t="shared" si="180"/>
        <v>25.5</v>
      </c>
      <c r="R1039" s="56">
        <f t="shared" si="180"/>
        <v>25.5</v>
      </c>
      <c r="S1039" s="53">
        <f>SUM(O1039:R1039)</f>
        <v>51</v>
      </c>
      <c r="T1039" s="35" t="s">
        <v>56</v>
      </c>
      <c r="U1039" s="18" t="s">
        <v>1206</v>
      </c>
      <c r="V1039" s="19" t="str">
        <f>IF(OR($H1039="",$H1039="sif",$H1039="PM"),"",VLOOKUP($H1039,[5]CU!$C$5:$J$255,8,FALSE))</f>
        <v>3. Dépenses de fonctionnement</v>
      </c>
      <c r="W1039" s="18" t="s">
        <v>1334</v>
      </c>
      <c r="X1039" s="18" t="s">
        <v>1166</v>
      </c>
      <c r="Y1039" s="18" t="s">
        <v>677</v>
      </c>
      <c r="Z1039" s="19" t="str">
        <f>A1039 &amp; "-" &amp; VLOOKUP(A1039,[4]PROGRAMMES!$E$1:$F$7,2,FALSE)</f>
        <v>3-Expansion et réforme de l’ETFP</v>
      </c>
      <c r="AA1039" s="19" t="str">
        <f>B1039 &amp; "-" &amp; VLOOKUP(B1039,[4]SOUSPROGRAMMES!$E$1:$F$44,2,FALSE)</f>
        <v>33- Développement de l’offre de formation professionnelle et technique de qualité</v>
      </c>
      <c r="AB1039" s="19" t="str">
        <f>C1039 &amp; "-" &amp; VLOOKUP(C1039,[4]RESULTATS!$E$1:$F$176,2,FALSE)</f>
        <v>331- L’accès aux dispositifs de l’ETFP est accrue en lien avec les besoins (quantitatifs et qualitatifs) de l’économie avec une priorité accordée aux filières porteuses dans les secteurs primaire et secondaire</v>
      </c>
      <c r="AC1039" s="20" t="str">
        <f>D1039 &amp; "-" &amp; VLOOKUP(D1039,[4]STRATEGIES!$E$1:$F$504,2,FALSE)</f>
        <v>3313-Application de divers modes de formation (apprentissage, résidentiel, alternance, en situation de travail…)</v>
      </c>
      <c r="AD1039" s="21" t="str">
        <f t="shared" si="181"/>
        <v>33135-Développement de guide de supervision pédagogique</v>
      </c>
    </row>
    <row r="1040" spans="1:30" s="22" customFormat="1" ht="90" hidden="1" customHeight="1" x14ac:dyDescent="0.8">
      <c r="A1040" s="14">
        <v>3</v>
      </c>
      <c r="B1040" s="15">
        <v>33</v>
      </c>
      <c r="C1040" s="15">
        <v>331</v>
      </c>
      <c r="D1040" s="15">
        <v>3313</v>
      </c>
      <c r="E1040" s="14">
        <v>33136</v>
      </c>
      <c r="F1040" s="16" t="s">
        <v>1344</v>
      </c>
      <c r="G1040" s="21" t="s">
        <v>51</v>
      </c>
      <c r="H1040" s="17" t="s">
        <v>301</v>
      </c>
      <c r="I1040" s="56">
        <v>0</v>
      </c>
      <c r="J1040" s="56"/>
      <c r="K1040" s="56">
        <f>(L1035/350)*2</f>
        <v>63.46857142857143</v>
      </c>
      <c r="L1040" s="56">
        <f>((24319/150)-(L1037))*2</f>
        <v>260.78476190476192</v>
      </c>
      <c r="M1040" s="56">
        <f t="shared" si="176"/>
        <v>324.25333333333333</v>
      </c>
      <c r="N1040" s="56">
        <f>IF(OR(H1040="",H1040="sif",H1040="PM"),0,VLOOKUP(H1040,[5]CU!$C$4:$H$255,6,FALSE))</f>
        <v>0.67666666666666664</v>
      </c>
      <c r="O1040" s="56">
        <f t="shared" si="180"/>
        <v>0</v>
      </c>
      <c r="P1040" s="56">
        <f t="shared" si="180"/>
        <v>0</v>
      </c>
      <c r="Q1040" s="56">
        <f t="shared" si="180"/>
        <v>42.947066666666665</v>
      </c>
      <c r="R1040" s="56">
        <f t="shared" si="180"/>
        <v>176.46435555555556</v>
      </c>
      <c r="S1040" s="53">
        <f>SUM(O1040:R1040)</f>
        <v>219.41142222222223</v>
      </c>
      <c r="T1040" s="35" t="s">
        <v>56</v>
      </c>
      <c r="U1040" s="18" t="s">
        <v>1206</v>
      </c>
      <c r="V1040" s="19" t="str">
        <f>IF(OR($H1040="",$H1040="sif",$H1040="PM"),"",VLOOKUP($H1040,[5]CU!$C$5:$J$255,8,FALSE))</f>
        <v>3. Formation</v>
      </c>
      <c r="W1040" s="18" t="s">
        <v>1334</v>
      </c>
      <c r="X1040" s="18" t="s">
        <v>1345</v>
      </c>
      <c r="Y1040" s="18" t="s">
        <v>677</v>
      </c>
      <c r="Z1040" s="19" t="str">
        <f>A1040 &amp; "-" &amp; VLOOKUP(A1040,[4]PROGRAMMES!$E$1:$F$7,2,FALSE)</f>
        <v>3-Expansion et réforme de l’ETFP</v>
      </c>
      <c r="AA1040" s="19" t="str">
        <f>B1040 &amp; "-" &amp; VLOOKUP(B1040,[4]SOUSPROGRAMMES!$E$1:$F$44,2,FALSE)</f>
        <v>33- Développement de l’offre de formation professionnelle et technique de qualité</v>
      </c>
      <c r="AB1040" s="19" t="str">
        <f>C1040 &amp; "-" &amp; VLOOKUP(C1040,[4]RESULTATS!$E$1:$F$176,2,FALSE)</f>
        <v>331- L’accès aux dispositifs de l’ETFP est accrue en lien avec les besoins (quantitatifs et qualitatifs) de l’économie avec une priorité accordée aux filières porteuses dans les secteurs primaire et secondaire</v>
      </c>
      <c r="AC1040" s="20" t="str">
        <f>D1040 &amp; "-" &amp; VLOOKUP(D1040,[4]STRATEGIES!$E$1:$F$504,2,FALSE)</f>
        <v>3313-Application de divers modes de formation (apprentissage, résidentiel, alternance, en situation de travail…)</v>
      </c>
      <c r="AD1040" s="21" t="str">
        <f t="shared" si="181"/>
        <v>33136-Formation des superviseurs (Post primaire, CFP, ENI, ENAE, Ecoles de Santé)</v>
      </c>
    </row>
    <row r="1041" spans="1:30" s="22" customFormat="1" ht="90" hidden="1" customHeight="1" x14ac:dyDescent="0.8">
      <c r="A1041" s="14">
        <v>3</v>
      </c>
      <c r="B1041" s="15">
        <v>33</v>
      </c>
      <c r="C1041" s="15">
        <v>331</v>
      </c>
      <c r="D1041" s="15">
        <v>3313</v>
      </c>
      <c r="E1041" s="14">
        <v>33137</v>
      </c>
      <c r="F1041" s="16" t="s">
        <v>1346</v>
      </c>
      <c r="G1041" s="21" t="s">
        <v>943</v>
      </c>
      <c r="H1041" s="17" t="s">
        <v>1347</v>
      </c>
      <c r="I1041" s="56">
        <v>0</v>
      </c>
      <c r="J1041" s="56"/>
      <c r="K1041" s="56"/>
      <c r="L1041" s="56">
        <v>63</v>
      </c>
      <c r="M1041" s="56">
        <f t="shared" si="176"/>
        <v>63</v>
      </c>
      <c r="N1041" s="56">
        <f>IF(OR(H1041="",H1041="sif",H1041="PM"),0,VLOOKUP(H1041,[5]CU!$C$4:$H$255,6,FALSE))</f>
        <v>15</v>
      </c>
      <c r="O1041" s="56">
        <f t="shared" si="180"/>
        <v>0</v>
      </c>
      <c r="P1041" s="56">
        <f t="shared" si="180"/>
        <v>0</v>
      </c>
      <c r="Q1041" s="56">
        <f t="shared" si="180"/>
        <v>0</v>
      </c>
      <c r="R1041" s="56">
        <f t="shared" si="180"/>
        <v>945</v>
      </c>
      <c r="S1041" s="53">
        <f>SUM(O1041:R1041)</f>
        <v>945</v>
      </c>
      <c r="T1041" s="35" t="s">
        <v>56</v>
      </c>
      <c r="U1041" s="18" t="s">
        <v>1206</v>
      </c>
      <c r="V1041" s="19" t="str">
        <f>IF(OR($H1041="",$H1041="sif",$H1041="PM"),"",VLOOKUP($H1041,[5]CU!$C$5:$J$255,8,FALSE))</f>
        <v>5. Investissement</v>
      </c>
      <c r="W1041" s="18" t="s">
        <v>521</v>
      </c>
      <c r="X1041" s="18" t="s">
        <v>1348</v>
      </c>
      <c r="Y1041" s="18" t="s">
        <v>677</v>
      </c>
      <c r="Z1041" s="19" t="str">
        <f>A1041 &amp; "-" &amp; VLOOKUP(A1041,[4]PROGRAMMES!$E$1:$F$7,2,FALSE)</f>
        <v>3-Expansion et réforme de l’ETFP</v>
      </c>
      <c r="AA1041" s="19" t="str">
        <f>B1041 &amp; "-" &amp; VLOOKUP(B1041,[4]SOUSPROGRAMMES!$E$1:$F$44,2,FALSE)</f>
        <v>33- Développement de l’offre de formation professionnelle et technique de qualité</v>
      </c>
      <c r="AB1041" s="19" t="str">
        <f>C1041 &amp; "-" &amp; VLOOKUP(C1041,[4]RESULTATS!$E$1:$F$176,2,FALSE)</f>
        <v>331- L’accès aux dispositifs de l’ETFP est accrue en lien avec les besoins (quantitatifs et qualitatifs) de l’économie avec une priorité accordée aux filières porteuses dans les secteurs primaire et secondaire</v>
      </c>
      <c r="AC1041" s="20" t="str">
        <f>D1041 &amp; "-" &amp; VLOOKUP(D1041,[4]STRATEGIES!$E$1:$F$504,2,FALSE)</f>
        <v>3313-Application de divers modes de formation (apprentissage, résidentiel, alternance, en situation de travail…)</v>
      </c>
      <c r="AD1041" s="21" t="str">
        <f t="shared" si="181"/>
        <v>33137-Dotation des superviseurs en Moto</v>
      </c>
    </row>
    <row r="1042" spans="1:30" s="22" customFormat="1" ht="90" hidden="1" customHeight="1" x14ac:dyDescent="0.8">
      <c r="A1042" s="14">
        <v>3</v>
      </c>
      <c r="B1042" s="15">
        <v>33</v>
      </c>
      <c r="C1042" s="15">
        <v>331</v>
      </c>
      <c r="D1042" s="15">
        <v>3313</v>
      </c>
      <c r="E1042" s="14">
        <v>33138</v>
      </c>
      <c r="F1042" s="16" t="s">
        <v>1349</v>
      </c>
      <c r="G1042" s="21" t="s">
        <v>1350</v>
      </c>
      <c r="H1042" s="17" t="s">
        <v>59</v>
      </c>
      <c r="I1042" s="56">
        <v>0</v>
      </c>
      <c r="J1042" s="56"/>
      <c r="K1042" s="56"/>
      <c r="L1042" s="56">
        <f>L1037*3</f>
        <v>95.202857142857141</v>
      </c>
      <c r="M1042" s="56">
        <f t="shared" si="176"/>
        <v>95.202857142857141</v>
      </c>
      <c r="N1042" s="56">
        <f>IF(OR(H1042="",H1042="sif",H1042="PM"),0,VLOOKUP(H1042,[5]CU!$C$4:$H$255,6,FALSE))</f>
        <v>0.8177777777777776</v>
      </c>
      <c r="O1042" s="56">
        <f t="shared" si="180"/>
        <v>0</v>
      </c>
      <c r="P1042" s="56">
        <f t="shared" si="180"/>
        <v>0</v>
      </c>
      <c r="Q1042" s="56">
        <f t="shared" si="180"/>
        <v>0</v>
      </c>
      <c r="R1042" s="56">
        <f t="shared" si="180"/>
        <v>77.854780952380935</v>
      </c>
      <c r="S1042" s="53">
        <f>SUM(O1042:R1042)</f>
        <v>77.854780952380935</v>
      </c>
      <c r="T1042" s="35" t="s">
        <v>56</v>
      </c>
      <c r="U1042" s="18" t="s">
        <v>1206</v>
      </c>
      <c r="V1042" s="19" t="str">
        <f>IF(OR($H1042="",$H1042="sif",$H1042="PM"),"",VLOOKUP($H1042,[5]CU!$C$5:$J$255,8,FALSE))</f>
        <v>3. Dépenses de fonctionnement</v>
      </c>
      <c r="W1042" s="18" t="s">
        <v>521</v>
      </c>
      <c r="X1042" s="18" t="s">
        <v>548</v>
      </c>
      <c r="Y1042" s="18" t="s">
        <v>677</v>
      </c>
      <c r="Z1042" s="19" t="str">
        <f>A1042 &amp; "-" &amp; VLOOKUP(A1042,[4]PROGRAMMES!$E$1:$F$7,2,FALSE)</f>
        <v>3-Expansion et réforme de l’ETFP</v>
      </c>
      <c r="AA1042" s="19" t="str">
        <f>B1042 &amp; "-" &amp; VLOOKUP(B1042,[4]SOUSPROGRAMMES!$E$1:$F$44,2,FALSE)</f>
        <v>33- Développement de l’offre de formation professionnelle et technique de qualité</v>
      </c>
      <c r="AB1042" s="19" t="str">
        <f>C1042 &amp; "-" &amp; VLOOKUP(C1042,[4]RESULTATS!$E$1:$F$176,2,FALSE)</f>
        <v>331- L’accès aux dispositifs de l’ETFP est accrue en lien avec les besoins (quantitatifs et qualitatifs) de l’économie avec une priorité accordée aux filières porteuses dans les secteurs primaire et secondaire</v>
      </c>
      <c r="AC1042" s="20" t="str">
        <f>D1042 &amp; "-" &amp; VLOOKUP(D1042,[4]STRATEGIES!$E$1:$F$504,2,FALSE)</f>
        <v>3313-Application de divers modes de formation (apprentissage, résidentiel, alternance, en situation de travail…)</v>
      </c>
      <c r="AD1042" s="21" t="str">
        <f t="shared" si="181"/>
        <v>33138-Organisation des activités de supervision</v>
      </c>
    </row>
    <row r="1043" spans="1:30" s="22" customFormat="1" ht="90" customHeight="1" x14ac:dyDescent="0.8">
      <c r="A1043" s="14">
        <v>3</v>
      </c>
      <c r="B1043" s="15">
        <v>33</v>
      </c>
      <c r="C1043" s="15">
        <v>331</v>
      </c>
      <c r="D1043" s="15">
        <v>3314</v>
      </c>
      <c r="E1043" s="14">
        <v>3314</v>
      </c>
      <c r="F1043" s="16" t="s">
        <v>1351</v>
      </c>
      <c r="G1043" s="17"/>
      <c r="H1043" s="17"/>
      <c r="I1043" s="56">
        <v>0</v>
      </c>
      <c r="J1043" s="56"/>
      <c r="K1043" s="56"/>
      <c r="L1043" s="56"/>
      <c r="M1043" s="56"/>
      <c r="N1043" s="56"/>
      <c r="O1043" s="56"/>
      <c r="P1043" s="56"/>
      <c r="Q1043" s="56"/>
      <c r="R1043" s="56"/>
      <c r="S1043" s="53"/>
      <c r="T1043" s="33"/>
      <c r="U1043" s="18"/>
      <c r="V1043" s="19"/>
      <c r="W1043" s="18"/>
      <c r="X1043" s="18"/>
      <c r="Y1043" s="18" t="s">
        <v>677</v>
      </c>
      <c r="Z1043" s="19" t="str">
        <f>A1043 &amp; "-" &amp; VLOOKUP(A1043,[4]PROGRAMMES!$E$1:$F$7,2,FALSE)</f>
        <v>3-Expansion et réforme de l’ETFP</v>
      </c>
      <c r="AA1043" s="19" t="str">
        <f>B1043 &amp; "-" &amp; VLOOKUP(B1043,[4]SOUSPROGRAMMES!$E$1:$F$44,2,FALSE)</f>
        <v>33- Développement de l’offre de formation professionnelle et technique de qualité</v>
      </c>
      <c r="AB1043" s="19" t="str">
        <f>C1043 &amp; "-" &amp; VLOOKUP(C1043,[4]RESULTATS!$E$1:$F$176,2,FALSE)</f>
        <v>331- L’accès aux dispositifs de l’ETFP est accrue en lien avec les besoins (quantitatifs et qualitatifs) de l’économie avec une priorité accordée aux filières porteuses dans les secteurs primaire et secondaire</v>
      </c>
      <c r="AC1043" s="20" t="str">
        <f>D1043 &amp; "-" &amp; VLOOKUP(D1043,[4]STRATEGIES!$E$1:$F$504,2,FALSE)</f>
        <v>3314-Fournitures de matières d'œuvres</v>
      </c>
      <c r="AD1043" s="21" t="str">
        <f t="shared" si="181"/>
        <v>3314-Fournitures de matières d'œuvres</v>
      </c>
    </row>
    <row r="1044" spans="1:30" s="22" customFormat="1" ht="90" hidden="1" customHeight="1" x14ac:dyDescent="0.8">
      <c r="A1044" s="14">
        <v>3</v>
      </c>
      <c r="B1044" s="15">
        <v>33</v>
      </c>
      <c r="C1044" s="15">
        <v>331</v>
      </c>
      <c r="D1044" s="15">
        <v>3314</v>
      </c>
      <c r="E1044" s="14">
        <v>33141</v>
      </c>
      <c r="F1044" s="16" t="s">
        <v>1352</v>
      </c>
      <c r="G1044" s="21" t="s">
        <v>1353</v>
      </c>
      <c r="H1044" s="17" t="s">
        <v>1354</v>
      </c>
      <c r="I1044" s="56">
        <v>0</v>
      </c>
      <c r="J1044" s="56">
        <v>0.88219879567267101</v>
      </c>
      <c r="K1044" s="56">
        <v>1.0571857240256399</v>
      </c>
      <c r="L1044" s="56">
        <v>1.3133731127672701</v>
      </c>
      <c r="M1044" s="56">
        <f t="shared" si="176"/>
        <v>3.2527576324655811</v>
      </c>
      <c r="N1044" s="56">
        <f>IF(OR(H1044="",H1044="sif",H1044="PM"),0,VLOOKUP(H1044,[5]CU!$C$4:$H$255,6,FALSE))</f>
        <v>11105.788684483899</v>
      </c>
      <c r="O1044" s="56">
        <f t="shared" si="180"/>
        <v>0</v>
      </c>
      <c r="P1044" s="56">
        <f t="shared" si="180"/>
        <v>9797.5134024468734</v>
      </c>
      <c r="Q1044" s="56">
        <f t="shared" si="180"/>
        <v>11740.881251281871</v>
      </c>
      <c r="R1044" s="56">
        <f t="shared" si="180"/>
        <v>14586.044254276145</v>
      </c>
      <c r="S1044" s="53">
        <f>SUM(O1044:R1044)</f>
        <v>36124.438908004886</v>
      </c>
      <c r="T1044" s="35" t="s">
        <v>56</v>
      </c>
      <c r="U1044" s="18" t="s">
        <v>1206</v>
      </c>
      <c r="V1044" s="19" t="str">
        <f>IF(OR($H1044="",$H1044="sif",$H1044="PM"),"",VLOOKUP($H1044,[5]CU!$C$5:$J$255,8,FALSE))</f>
        <v>3. Dépenses de fonctionnement</v>
      </c>
      <c r="W1044" s="18" t="s">
        <v>521</v>
      </c>
      <c r="X1044" s="18" t="s">
        <v>1318</v>
      </c>
      <c r="Y1044" s="18" t="s">
        <v>677</v>
      </c>
      <c r="Z1044" s="19" t="str">
        <f>A1044 &amp; "-" &amp; VLOOKUP(A1044,[4]PROGRAMMES!$E$1:$F$7,2,FALSE)</f>
        <v>3-Expansion et réforme de l’ETFP</v>
      </c>
      <c r="AA1044" s="19" t="str">
        <f>B1044 &amp; "-" &amp; VLOOKUP(B1044,[4]SOUSPROGRAMMES!$E$1:$F$44,2,FALSE)</f>
        <v>33- Développement de l’offre de formation professionnelle et technique de qualité</v>
      </c>
      <c r="AB1044" s="19" t="str">
        <f>C1044 &amp; "-" &amp; VLOOKUP(C1044,[4]RESULTATS!$E$1:$F$176,2,FALSE)</f>
        <v>331- L’accès aux dispositifs de l’ETFP est accrue en lien avec les besoins (quantitatifs et qualitatifs) de l’économie avec une priorité accordée aux filières porteuses dans les secteurs primaire et secondaire</v>
      </c>
      <c r="AC1044" s="20" t="str">
        <f>D1044 &amp; "-" &amp; VLOOKUP(D1044,[4]STRATEGIES!$E$1:$F$504,2,FALSE)</f>
        <v>3314-Fournitures de matières d'œuvres</v>
      </c>
      <c r="AD1044" s="21" t="str">
        <f t="shared" si="181"/>
        <v>33141-Allocations pour l'achat de matières d'œuvre pour les institutions de formation (hors ENI)</v>
      </c>
    </row>
    <row r="1045" spans="1:30" s="22" customFormat="1" ht="45" customHeight="1" x14ac:dyDescent="0.8">
      <c r="A1045" s="14">
        <v>3</v>
      </c>
      <c r="B1045" s="15">
        <v>33</v>
      </c>
      <c r="C1045" s="15">
        <v>332</v>
      </c>
      <c r="D1045" s="15">
        <v>332</v>
      </c>
      <c r="E1045" s="14">
        <v>332</v>
      </c>
      <c r="F1045" s="16" t="s">
        <v>1355</v>
      </c>
      <c r="G1045" s="17"/>
      <c r="H1045" s="17"/>
      <c r="I1045" s="56">
        <v>0</v>
      </c>
      <c r="J1045" s="56"/>
      <c r="K1045" s="56"/>
      <c r="L1045" s="56"/>
      <c r="M1045" s="56"/>
      <c r="N1045" s="56"/>
      <c r="O1045" s="56"/>
      <c r="P1045" s="56"/>
      <c r="Q1045" s="56"/>
      <c r="R1045" s="56"/>
      <c r="S1045" s="53"/>
      <c r="T1045" s="33"/>
      <c r="U1045" s="18"/>
      <c r="V1045" s="19"/>
      <c r="W1045" s="18"/>
      <c r="X1045" s="18"/>
      <c r="Y1045" s="18" t="s">
        <v>677</v>
      </c>
      <c r="Z1045" s="19" t="str">
        <f>A1045 &amp; "-" &amp; VLOOKUP(A1045,[4]PROGRAMMES!$E$1:$F$7,2,FALSE)</f>
        <v>3-Expansion et réforme de l’ETFP</v>
      </c>
      <c r="AA1045" s="19" t="str">
        <f>B1045 &amp; "-" &amp; VLOOKUP(B1045,[4]SOUSPROGRAMMES!$E$1:$F$44,2,FALSE)</f>
        <v>33- Développement de l’offre de formation professionnelle et technique de qualité</v>
      </c>
      <c r="AB1045" s="19" t="str">
        <f>C1045 &amp; "-" &amp; VLOOKUP(C1045,[4]RESULTATS!$E$1:$F$176,2,FALSE)</f>
        <v>332- L’équité dans l’accès est améliorée (genre, zones, régions, besoins spécifiques)</v>
      </c>
      <c r="AC1045" s="20" t="str">
        <f>D1045 &amp; "-" &amp; VLOOKUP(D1045,[4]STRATEGIES!$E$1:$F$504,2,FALSE)</f>
        <v>332- L’équité dans l’accès est améliorée (genre, zones, régions, besoins spécifiques)</v>
      </c>
      <c r="AD1045" s="21" t="str">
        <f t="shared" si="181"/>
        <v>332- L’équité dans l’accès est améliorée (genre, zones, régions, besoins spécifiques)</v>
      </c>
    </row>
    <row r="1046" spans="1:30" s="22" customFormat="1" ht="45" customHeight="1" x14ac:dyDescent="0.8">
      <c r="A1046" s="14">
        <v>3</v>
      </c>
      <c r="B1046" s="15">
        <v>33</v>
      </c>
      <c r="C1046" s="15">
        <v>332</v>
      </c>
      <c r="D1046" s="15">
        <v>3321</v>
      </c>
      <c r="E1046" s="14">
        <v>3321</v>
      </c>
      <c r="F1046" s="16" t="s">
        <v>1356</v>
      </c>
      <c r="G1046" s="17"/>
      <c r="H1046" s="17"/>
      <c r="I1046" s="56">
        <v>0</v>
      </c>
      <c r="J1046" s="56"/>
      <c r="K1046" s="56"/>
      <c r="L1046" s="56"/>
      <c r="M1046" s="56"/>
      <c r="N1046" s="56"/>
      <c r="O1046" s="56"/>
      <c r="P1046" s="56"/>
      <c r="Q1046" s="56"/>
      <c r="R1046" s="56"/>
      <c r="S1046" s="53"/>
      <c r="T1046" s="33"/>
      <c r="U1046" s="18"/>
      <c r="V1046" s="19"/>
      <c r="W1046" s="18"/>
      <c r="X1046" s="18"/>
      <c r="Y1046" s="18" t="s">
        <v>677</v>
      </c>
      <c r="Z1046" s="19" t="str">
        <f>A1046 &amp; "-" &amp; VLOOKUP(A1046,[4]PROGRAMMES!$E$1:$F$7,2,FALSE)</f>
        <v>3-Expansion et réforme de l’ETFP</v>
      </c>
      <c r="AA1046" s="19" t="str">
        <f>B1046 &amp; "-" &amp; VLOOKUP(B1046,[4]SOUSPROGRAMMES!$E$1:$F$44,2,FALSE)</f>
        <v>33- Développement de l’offre de formation professionnelle et technique de qualité</v>
      </c>
      <c r="AB1046" s="19" t="str">
        <f>C1046 &amp; "-" &amp; VLOOKUP(C1046,[4]RESULTATS!$E$1:$F$176,2,FALSE)</f>
        <v>332- L’équité dans l’accès est améliorée (genre, zones, régions, besoins spécifiques)</v>
      </c>
      <c r="AC1046" s="20" t="str">
        <f>D1046 &amp; "-" &amp; VLOOKUP(D1046,[4]STRATEGIES!$E$1:$F$504,2,FALSE)</f>
        <v>3321-Définition et Mise en place de mécanismes favorisant l’équité</v>
      </c>
      <c r="AD1046" s="21" t="str">
        <f t="shared" si="181"/>
        <v>3321-DéFinition et Mise en place de mécanismes favorisant l’équité</v>
      </c>
    </row>
    <row r="1047" spans="1:30" s="22" customFormat="1" ht="45" hidden="1" customHeight="1" x14ac:dyDescent="0.8">
      <c r="A1047" s="14">
        <v>3</v>
      </c>
      <c r="B1047" s="15">
        <v>33</v>
      </c>
      <c r="C1047" s="15">
        <v>332</v>
      </c>
      <c r="D1047" s="15">
        <v>3321</v>
      </c>
      <c r="E1047" s="14">
        <v>33211</v>
      </c>
      <c r="F1047" s="16" t="s">
        <v>1357</v>
      </c>
      <c r="G1047" s="21" t="s">
        <v>660</v>
      </c>
      <c r="H1047" s="17" t="s">
        <v>55</v>
      </c>
      <c r="I1047" s="56">
        <v>0</v>
      </c>
      <c r="J1047" s="56">
        <v>1</v>
      </c>
      <c r="K1047" s="56"/>
      <c r="L1047" s="56"/>
      <c r="M1047" s="56">
        <f t="shared" ref="M1047:M1102" si="182">SUM(I1047:L1047)</f>
        <v>1</v>
      </c>
      <c r="N1047" s="56">
        <f>IF(OR(H1047="",H1047="sif",H1047="PM"),0,VLOOKUP(H1047,[5]CU!$C$4:$H$255,6,FALSE))</f>
        <v>0</v>
      </c>
      <c r="O1047" s="56">
        <f t="shared" si="180"/>
        <v>0</v>
      </c>
      <c r="P1047" s="56">
        <f t="shared" si="180"/>
        <v>0</v>
      </c>
      <c r="Q1047" s="56">
        <f t="shared" si="180"/>
        <v>0</v>
      </c>
      <c r="R1047" s="56">
        <f t="shared" si="180"/>
        <v>0</v>
      </c>
      <c r="S1047" s="53"/>
      <c r="T1047" s="35" t="s">
        <v>56</v>
      </c>
      <c r="U1047" s="18" t="s">
        <v>1206</v>
      </c>
      <c r="V1047" s="19" t="str">
        <f>IF(OR($H1047="",$H1047="sif",$H1047="PM"),"",VLOOKUP($H1047,[5]CU!$C$5:$J$255,8,FALSE))</f>
        <v/>
      </c>
      <c r="W1047" s="18" t="s">
        <v>1358</v>
      </c>
      <c r="X1047" s="18" t="s">
        <v>1318</v>
      </c>
      <c r="Y1047" s="18" t="s">
        <v>677</v>
      </c>
      <c r="Z1047" s="19" t="str">
        <f>A1047 &amp; "-" &amp; VLOOKUP(A1047,[4]PROGRAMMES!$E$1:$F$7,2,FALSE)</f>
        <v>3-Expansion et réforme de l’ETFP</v>
      </c>
      <c r="AA1047" s="19" t="str">
        <f>B1047 &amp; "-" &amp; VLOOKUP(B1047,[4]SOUSPROGRAMMES!$E$1:$F$44,2,FALSE)</f>
        <v>33- Développement de l’offre de formation professionnelle et technique de qualité</v>
      </c>
      <c r="AB1047" s="19" t="str">
        <f>C1047 &amp; "-" &amp; VLOOKUP(C1047,[4]RESULTATS!$E$1:$F$176,2,FALSE)</f>
        <v>332- L’équité dans l’accès est améliorée (genre, zones, régions, besoins spécifiques)</v>
      </c>
      <c r="AC1047" s="20" t="str">
        <f>D1047 &amp; "-" &amp; VLOOKUP(D1047,[4]STRATEGIES!$E$1:$F$504,2,FALSE)</f>
        <v>3321-Définition et Mise en place de mécanismes favorisant l’équité</v>
      </c>
      <c r="AD1047" s="21" t="str">
        <f t="shared" si="181"/>
        <v>33211-DéFinition de critères pour l'octroi de bourses aux filles dans les filières du secteur primaire et secondaire</v>
      </c>
    </row>
    <row r="1048" spans="1:30" s="22" customFormat="1" ht="45" customHeight="1" x14ac:dyDescent="0.8">
      <c r="A1048" s="14">
        <v>3</v>
      </c>
      <c r="B1048" s="15">
        <v>33</v>
      </c>
      <c r="C1048" s="15">
        <v>332</v>
      </c>
      <c r="D1048" s="15">
        <v>3311</v>
      </c>
      <c r="E1048" s="14">
        <v>33211</v>
      </c>
      <c r="F1048" s="16" t="s">
        <v>1359</v>
      </c>
      <c r="G1048" s="17"/>
      <c r="H1048" s="17"/>
      <c r="I1048" s="56">
        <v>0</v>
      </c>
      <c r="J1048" s="56"/>
      <c r="K1048" s="56"/>
      <c r="L1048" s="56"/>
      <c r="M1048" s="56"/>
      <c r="N1048" s="56"/>
      <c r="O1048" s="56"/>
      <c r="P1048" s="56"/>
      <c r="Q1048" s="56"/>
      <c r="R1048" s="56"/>
      <c r="S1048" s="53"/>
      <c r="T1048" s="33"/>
      <c r="U1048" s="18"/>
      <c r="V1048" s="19"/>
      <c r="W1048" s="18"/>
      <c r="X1048" s="18"/>
      <c r="Y1048" s="18" t="s">
        <v>677</v>
      </c>
      <c r="Z1048" s="19" t="str">
        <f>A1048 &amp; "-" &amp; VLOOKUP(A1048,[4]PROGRAMMES!$E$1:$F$7,2,FALSE)</f>
        <v>3-Expansion et réforme de l’ETFP</v>
      </c>
      <c r="AA1048" s="19" t="str">
        <f>B1048 &amp; "-" &amp; VLOOKUP(B1048,[4]SOUSPROGRAMMES!$E$1:$F$44,2,FALSE)</f>
        <v>33- Développement de l’offre de formation professionnelle et technique de qualité</v>
      </c>
      <c r="AB1048" s="19" t="str">
        <f>C1048 &amp; "-" &amp; VLOOKUP(C1048,[4]RESULTATS!$E$1:$F$176,2,FALSE)</f>
        <v>332- L’équité dans l’accès est améliorée (genre, zones, régions, besoins spécifiques)</v>
      </c>
      <c r="AC1048" s="20" t="str">
        <f>D1048 &amp; "-" &amp; VLOOKUP(D1048,[4]STRATEGIES!$E$1:$F$504,2,FALSE)</f>
        <v>3311-Accroissement de la capacité d’accueil (infrastructures, équipements en tenant compte des besoins des apprenants porteurs de handicap et à besoins éducatifs speciaux ainsi que les catastrophes naturelles)</v>
      </c>
      <c r="AD1048" s="21" t="str">
        <f t="shared" si="181"/>
        <v>33211-Modélisé</v>
      </c>
    </row>
    <row r="1049" spans="1:30" s="22" customFormat="1" ht="45" hidden="1" customHeight="1" x14ac:dyDescent="0.8">
      <c r="A1049" s="14">
        <v>3</v>
      </c>
      <c r="B1049" s="15">
        <v>33</v>
      </c>
      <c r="C1049" s="15">
        <v>332</v>
      </c>
      <c r="D1049" s="15">
        <v>3312</v>
      </c>
      <c r="E1049" s="14">
        <v>33212</v>
      </c>
      <c r="F1049" s="16" t="s">
        <v>1360</v>
      </c>
      <c r="G1049" s="21" t="s">
        <v>1361</v>
      </c>
      <c r="H1049" s="17" t="s">
        <v>1362</v>
      </c>
      <c r="I1049" s="56">
        <v>0</v>
      </c>
      <c r="J1049" s="56">
        <v>500</v>
      </c>
      <c r="K1049" s="56">
        <v>750</v>
      </c>
      <c r="L1049" s="56">
        <v>1000</v>
      </c>
      <c r="M1049" s="56">
        <f t="shared" si="182"/>
        <v>2250</v>
      </c>
      <c r="N1049" s="56">
        <f>IF(OR(H1049="",H1049="sif",H1049="PM"),0,VLOOKUP(H1049,[5]CU!$C$4:$H$255,6,FALSE))</f>
        <v>1.8</v>
      </c>
      <c r="O1049" s="56">
        <f t="shared" si="180"/>
        <v>0</v>
      </c>
      <c r="P1049" s="56">
        <f t="shared" si="180"/>
        <v>900</v>
      </c>
      <c r="Q1049" s="56">
        <f t="shared" si="180"/>
        <v>1350</v>
      </c>
      <c r="R1049" s="56">
        <f t="shared" si="180"/>
        <v>1800</v>
      </c>
      <c r="S1049" s="53">
        <f>SUM(O1049:R1049)</f>
        <v>4050</v>
      </c>
      <c r="T1049" s="35" t="s">
        <v>56</v>
      </c>
      <c r="U1049" s="18" t="s">
        <v>1206</v>
      </c>
      <c r="V1049" s="19" t="str">
        <f>IF(OR($H1049="",$H1049="sif",$H1049="PM"),"",VLOOKUP($H1049,[5]CU!$C$5:$J$255,8,FALSE))</f>
        <v>4. Transferts et subventions</v>
      </c>
      <c r="W1049" s="18" t="s">
        <v>521</v>
      </c>
      <c r="X1049" s="18" t="s">
        <v>1363</v>
      </c>
      <c r="Y1049" s="18" t="s">
        <v>677</v>
      </c>
      <c r="Z1049" s="19" t="str">
        <f>A1049 &amp; "-" &amp; VLOOKUP(A1049,[4]PROGRAMMES!$E$1:$F$7,2,FALSE)</f>
        <v>3-Expansion et réforme de l’ETFP</v>
      </c>
      <c r="AA1049" s="19" t="str">
        <f>B1049 &amp; "-" &amp; VLOOKUP(B1049,[4]SOUSPROGRAMMES!$E$1:$F$44,2,FALSE)</f>
        <v>33- Développement de l’offre de formation professionnelle et technique de qualité</v>
      </c>
      <c r="AB1049" s="19" t="str">
        <f>C1049 &amp; "-" &amp; VLOOKUP(C1049,[4]RESULTATS!$E$1:$F$176,2,FALSE)</f>
        <v>332- L’équité dans l’accès est améliorée (genre, zones, régions, besoins spécifiques)</v>
      </c>
      <c r="AC1049" s="20" t="str">
        <f>D1049 &amp; "-" &amp; VLOOKUP(D1049,[4]STRATEGIES!$E$1:$F$504,2,FALSE)</f>
        <v>3312-Dotation des établissements en personnel qualifié suffisant</v>
      </c>
      <c r="AD1049" s="21" t="str">
        <f t="shared" si="181"/>
        <v>33212-Attribution de bourses pour les filles retenues</v>
      </c>
    </row>
    <row r="1050" spans="1:30" s="22" customFormat="1" ht="45" hidden="1" customHeight="1" x14ac:dyDescent="0.8">
      <c r="A1050" s="14">
        <v>3</v>
      </c>
      <c r="B1050" s="15">
        <v>33</v>
      </c>
      <c r="C1050" s="15">
        <v>332</v>
      </c>
      <c r="D1050" s="15">
        <v>3313</v>
      </c>
      <c r="E1050" s="14">
        <v>33213</v>
      </c>
      <c r="F1050" s="16" t="s">
        <v>1364</v>
      </c>
      <c r="G1050" s="21" t="s">
        <v>1365</v>
      </c>
      <c r="H1050" s="17" t="s">
        <v>1366</v>
      </c>
      <c r="I1050" s="56">
        <v>0</v>
      </c>
      <c r="J1050" s="56">
        <v>0.96474039200074402</v>
      </c>
      <c r="K1050" s="56">
        <v>1.1027134346771701</v>
      </c>
      <c r="L1050" s="56">
        <v>1.1946954631281199</v>
      </c>
      <c r="M1050" s="56">
        <f t="shared" si="182"/>
        <v>3.2621492898060342</v>
      </c>
      <c r="N1050" s="56">
        <f>IF(OR(H1050="",H1050="sif",H1050="PM"),0,VLOOKUP(H1050,[5]CU!$C$4:$H$255,6,FALSE))</f>
        <v>16876.0817384408</v>
      </c>
      <c r="O1050" s="56">
        <f t="shared" si="180"/>
        <v>0</v>
      </c>
      <c r="P1050" s="56">
        <f t="shared" si="180"/>
        <v>16281.037711779974</v>
      </c>
      <c r="Q1050" s="56">
        <f t="shared" si="180"/>
        <v>18609.482057688721</v>
      </c>
      <c r="R1050" s="56">
        <f t="shared" si="180"/>
        <v>20161.778288294539</v>
      </c>
      <c r="S1050" s="53">
        <f>SUM(O1050:R1050)</f>
        <v>55052.298057763233</v>
      </c>
      <c r="T1050" s="35" t="s">
        <v>56</v>
      </c>
      <c r="U1050" s="18" t="s">
        <v>1206</v>
      </c>
      <c r="V1050" s="19" t="str">
        <f>IF(OR($H1050="",$H1050="sif",$H1050="PM"),"",VLOOKUP($H1050,[5]CU!$C$5:$J$255,8,FALSE))</f>
        <v>4. Transferts et subventions</v>
      </c>
      <c r="W1050" s="18" t="s">
        <v>521</v>
      </c>
      <c r="X1050" s="18" t="s">
        <v>1367</v>
      </c>
      <c r="Y1050" s="18" t="s">
        <v>677</v>
      </c>
      <c r="Z1050" s="19" t="str">
        <f>A1050 &amp; "-" &amp; VLOOKUP(A1050,[4]PROGRAMMES!$E$1:$F$7,2,FALSE)</f>
        <v>3-Expansion et réforme de l’ETFP</v>
      </c>
      <c r="AA1050" s="19" t="str">
        <f>B1050 &amp; "-" &amp; VLOOKUP(B1050,[4]SOUSPROGRAMMES!$E$1:$F$44,2,FALSE)</f>
        <v>33- Développement de l’offre de formation professionnelle et technique de qualité</v>
      </c>
      <c r="AB1050" s="19" t="str">
        <f>C1050 &amp; "-" &amp; VLOOKUP(C1050,[4]RESULTATS!$E$1:$F$176,2,FALSE)</f>
        <v>332- L’équité dans l’accès est améliorée (genre, zones, régions, besoins spécifiques)</v>
      </c>
      <c r="AC1050" s="20" t="str">
        <f>D1050 &amp; "-" &amp; VLOOKUP(D1050,[4]STRATEGIES!$E$1:$F$504,2,FALSE)</f>
        <v>3313-Application de divers modes de formation (apprentissage, résidentiel, alternance, en situation de travail…)</v>
      </c>
      <c r="AD1050" s="21" t="str">
        <f t="shared" si="181"/>
        <v>33213-Attribution de bourses pour les élèves maitres dans les ENI</v>
      </c>
    </row>
    <row r="1051" spans="1:30" s="22" customFormat="1" ht="45" customHeight="1" x14ac:dyDescent="0.8">
      <c r="A1051" s="14">
        <v>3</v>
      </c>
      <c r="B1051" s="15">
        <v>33</v>
      </c>
      <c r="C1051" s="15">
        <v>333</v>
      </c>
      <c r="D1051" s="15">
        <v>333</v>
      </c>
      <c r="E1051" s="14">
        <v>333</v>
      </c>
      <c r="F1051" s="16" t="s">
        <v>1368</v>
      </c>
      <c r="G1051" s="17"/>
      <c r="H1051" s="17"/>
      <c r="I1051" s="56">
        <v>0</v>
      </c>
      <c r="J1051" s="56"/>
      <c r="K1051" s="56"/>
      <c r="L1051" s="56"/>
      <c r="M1051" s="56"/>
      <c r="N1051" s="56"/>
      <c r="O1051" s="56"/>
      <c r="P1051" s="56"/>
      <c r="Q1051" s="56"/>
      <c r="R1051" s="56"/>
      <c r="S1051" s="53"/>
      <c r="T1051" s="33"/>
      <c r="U1051" s="18"/>
      <c r="V1051" s="19"/>
      <c r="W1051" s="18"/>
      <c r="X1051" s="18"/>
      <c r="Y1051" s="18" t="s">
        <v>677</v>
      </c>
      <c r="Z1051" s="19" t="str">
        <f>A1051 &amp; "-" &amp; VLOOKUP(A1051,[4]PROGRAMMES!$E$1:$F$7,2,FALSE)</f>
        <v>3-Expansion et réforme de l’ETFP</v>
      </c>
      <c r="AA1051" s="19" t="str">
        <f>B1051 &amp; "-" &amp; VLOOKUP(B1051,[4]SOUSPROGRAMMES!$E$1:$F$44,2,FALSE)</f>
        <v>33- Développement de l’offre de formation professionnelle et technique de qualité</v>
      </c>
      <c r="AB1051" s="19" t="str">
        <f>C1051 &amp; "-" &amp; VLOOKUP(C1051,[4]RESULTATS!$E$1:$F$176,2,FALSE)</f>
        <v>333- Un dispositif d’appui à l’insertion socioprofessionnelle y compris l’entreprenariat est opérationnel</v>
      </c>
      <c r="AC1051" s="20" t="str">
        <f>D1051 &amp; "-" &amp; VLOOKUP(D1051,[4]STRATEGIES!$E$1:$F$504,2,FALSE)</f>
        <v>333- Un dispositif d’appui à l’insertion socioprofessionnelle y compris l’entreprenariat est opérationnel</v>
      </c>
      <c r="AD1051" s="21" t="str">
        <f t="shared" si="181"/>
        <v>333- Un dispositif d’appui à l’insertion socioprofessionnelle y compris l’entreprenariat est opérationnel</v>
      </c>
    </row>
    <row r="1052" spans="1:30" s="22" customFormat="1" ht="45" customHeight="1" x14ac:dyDescent="0.8">
      <c r="A1052" s="14">
        <v>3</v>
      </c>
      <c r="B1052" s="15">
        <v>33</v>
      </c>
      <c r="C1052" s="15">
        <v>333</v>
      </c>
      <c r="D1052" s="15">
        <v>3331</v>
      </c>
      <c r="E1052" s="14">
        <v>3331</v>
      </c>
      <c r="F1052" s="16" t="s">
        <v>1369</v>
      </c>
      <c r="G1052" s="17"/>
      <c r="H1052" s="17"/>
      <c r="I1052" s="56">
        <v>0</v>
      </c>
      <c r="J1052" s="56"/>
      <c r="K1052" s="56"/>
      <c r="L1052" s="56"/>
      <c r="M1052" s="56"/>
      <c r="N1052" s="56"/>
      <c r="O1052" s="56"/>
      <c r="P1052" s="56"/>
      <c r="Q1052" s="56"/>
      <c r="R1052" s="56"/>
      <c r="S1052" s="53"/>
      <c r="T1052" s="33"/>
      <c r="U1052" s="18"/>
      <c r="V1052" s="19"/>
      <c r="W1052" s="18"/>
      <c r="X1052" s="18"/>
      <c r="Y1052" s="18" t="s">
        <v>677</v>
      </c>
      <c r="Z1052" s="19" t="str">
        <f>A1052 &amp; "-" &amp; VLOOKUP(A1052,[4]PROGRAMMES!$E$1:$F$7,2,FALSE)</f>
        <v>3-Expansion et réforme de l’ETFP</v>
      </c>
      <c r="AA1052" s="19" t="str">
        <f>B1052 &amp; "-" &amp; VLOOKUP(B1052,[4]SOUSPROGRAMMES!$E$1:$F$44,2,FALSE)</f>
        <v>33- Développement de l’offre de formation professionnelle et technique de qualité</v>
      </c>
      <c r="AB1052" s="19" t="str">
        <f>C1052 &amp; "-" &amp; VLOOKUP(C1052,[4]RESULTATS!$E$1:$F$176,2,FALSE)</f>
        <v>333- Un dispositif d’appui à l’insertion socioprofessionnelle y compris l’entreprenariat est opérationnel</v>
      </c>
      <c r="AC1052" s="20" t="str">
        <f>D1052 &amp; "-" &amp; VLOOKUP(D1052,[4]STRATEGIES!$E$1:$F$504,2,FALSE)</f>
        <v>3331-Consolidation des mécanismes d’appui à l’insertion</v>
      </c>
      <c r="AD1052" s="21" t="str">
        <f t="shared" si="181"/>
        <v>3331-Consolidation des mécanismes d’appui à l’insertion</v>
      </c>
    </row>
    <row r="1053" spans="1:30" s="22" customFormat="1" ht="45" customHeight="1" x14ac:dyDescent="0.8">
      <c r="A1053" s="14">
        <v>3</v>
      </c>
      <c r="B1053" s="15">
        <v>33</v>
      </c>
      <c r="C1053" s="15">
        <v>333</v>
      </c>
      <c r="D1053" s="15">
        <v>3331</v>
      </c>
      <c r="E1053" s="14">
        <v>33311</v>
      </c>
      <c r="F1053" s="16" t="s">
        <v>1370</v>
      </c>
      <c r="G1053" s="21" t="s">
        <v>100</v>
      </c>
      <c r="H1053" s="17" t="s">
        <v>646</v>
      </c>
      <c r="I1053" s="56">
        <v>0</v>
      </c>
      <c r="J1053" s="56">
        <f>1*30</f>
        <v>30</v>
      </c>
      <c r="K1053" s="56"/>
      <c r="L1053" s="56"/>
      <c r="M1053" s="56">
        <f t="shared" si="182"/>
        <v>30</v>
      </c>
      <c r="N1053" s="56">
        <f>IF(OR(H1053="",H1053="sif",H1053="PM"),0,VLOOKUP(H1053,[5]CU!$C$4:$H$255,6,FALSE))</f>
        <v>10.404797</v>
      </c>
      <c r="O1053" s="56">
        <f t="shared" si="180"/>
        <v>0</v>
      </c>
      <c r="P1053" s="56">
        <f t="shared" si="180"/>
        <v>312.14391000000001</v>
      </c>
      <c r="Q1053" s="56">
        <f t="shared" si="180"/>
        <v>0</v>
      </c>
      <c r="R1053" s="56">
        <f t="shared" si="180"/>
        <v>0</v>
      </c>
      <c r="S1053" s="53">
        <f>SUM(O1053:R1053)</f>
        <v>312.14391000000001</v>
      </c>
      <c r="T1053" s="35" t="s">
        <v>1276</v>
      </c>
      <c r="U1053" s="18" t="s">
        <v>1206</v>
      </c>
      <c r="V1053" s="19" t="str">
        <f>IF(OR($H1053="",$H1053="sif",$H1053="PM"),"",VLOOKUP($H1053,[5]CU!$C$5:$J$255,8,FALSE))</f>
        <v>3. Dépenses de fonctionnement</v>
      </c>
      <c r="W1053" s="18" t="s">
        <v>1334</v>
      </c>
      <c r="X1053" s="18" t="s">
        <v>1371</v>
      </c>
      <c r="Y1053" s="18" t="s">
        <v>677</v>
      </c>
      <c r="Z1053" s="19" t="str">
        <f>A1053 &amp; "-" &amp; VLOOKUP(A1053,[4]PROGRAMMES!$E$1:$F$7,2,FALSE)</f>
        <v>3-Expansion et réforme de l’ETFP</v>
      </c>
      <c r="AA1053" s="19" t="str">
        <f>B1053 &amp; "-" &amp; VLOOKUP(B1053,[4]SOUSPROGRAMMES!$E$1:$F$44,2,FALSE)</f>
        <v>33- Développement de l’offre de formation professionnelle et technique de qualité</v>
      </c>
      <c r="AB1053" s="19" t="str">
        <f>C1053 &amp; "-" &amp; VLOOKUP(C1053,[4]RESULTATS!$E$1:$F$176,2,FALSE)</f>
        <v>333- Un dispositif d’appui à l’insertion socioprofessionnelle y compris l’entreprenariat est opérationnel</v>
      </c>
      <c r="AC1053" s="20" t="str">
        <f>D1053 &amp; "-" &amp; VLOOKUP(D1053,[4]STRATEGIES!$E$1:$F$504,2,FALSE)</f>
        <v>3331-Consolidation des mécanismes d’appui à l’insertion</v>
      </c>
      <c r="AD1053" s="21" t="str">
        <f t="shared" si="181"/>
        <v>33311-Réalisation d'un état des lieux des dispositifs d'insertion existants</v>
      </c>
    </row>
    <row r="1054" spans="1:30" s="22" customFormat="1" ht="45" customHeight="1" x14ac:dyDescent="0.8">
      <c r="A1054" s="14">
        <v>3</v>
      </c>
      <c r="B1054" s="15">
        <v>33</v>
      </c>
      <c r="C1054" s="15">
        <v>333</v>
      </c>
      <c r="D1054" s="15">
        <v>3331</v>
      </c>
      <c r="E1054" s="14">
        <v>33312</v>
      </c>
      <c r="F1054" s="16" t="s">
        <v>1372</v>
      </c>
      <c r="G1054" s="21" t="s">
        <v>298</v>
      </c>
      <c r="H1054" s="17" t="s">
        <v>38</v>
      </c>
      <c r="I1054" s="56">
        <v>0</v>
      </c>
      <c r="J1054" s="56">
        <f>45*2</f>
        <v>90</v>
      </c>
      <c r="K1054" s="56"/>
      <c r="L1054" s="56"/>
      <c r="M1054" s="56">
        <f t="shared" si="182"/>
        <v>90</v>
      </c>
      <c r="N1054" s="56">
        <f>IF(OR(H1054="",H1054="sif",H1054="PM"),0,VLOOKUP(H1054,[5]CU!$C$4:$H$255,6,FALSE))</f>
        <v>0.3133333333333333</v>
      </c>
      <c r="O1054" s="56">
        <f t="shared" si="180"/>
        <v>0</v>
      </c>
      <c r="P1054" s="56">
        <f t="shared" si="180"/>
        <v>28.199999999999996</v>
      </c>
      <c r="Q1054" s="56">
        <f t="shared" si="180"/>
        <v>0</v>
      </c>
      <c r="R1054" s="56">
        <f t="shared" si="180"/>
        <v>0</v>
      </c>
      <c r="S1054" s="53">
        <f>SUM(O1054:R1054)</f>
        <v>28.199999999999996</v>
      </c>
      <c r="T1054" s="35" t="s">
        <v>118</v>
      </c>
      <c r="U1054" s="18" t="s">
        <v>1206</v>
      </c>
      <c r="V1054" s="19" t="str">
        <f>IF(OR($H1054="",$H1054="sif",$H1054="PM"),"",VLOOKUP($H1054,[5]CU!$C$5:$J$255,8,FALSE))</f>
        <v>3. Formation</v>
      </c>
      <c r="W1054" s="18" t="s">
        <v>1334</v>
      </c>
      <c r="X1054" s="18" t="s">
        <v>1371</v>
      </c>
      <c r="Y1054" s="18" t="s">
        <v>677</v>
      </c>
      <c r="Z1054" s="19" t="str">
        <f>A1054 &amp; "-" &amp; VLOOKUP(A1054,[4]PROGRAMMES!$E$1:$F$7,2,FALSE)</f>
        <v>3-Expansion et réforme de l’ETFP</v>
      </c>
      <c r="AA1054" s="19" t="str">
        <f>B1054 &amp; "-" &amp; VLOOKUP(B1054,[4]SOUSPROGRAMMES!$E$1:$F$44,2,FALSE)</f>
        <v>33- Développement de l’offre de formation professionnelle et technique de qualité</v>
      </c>
      <c r="AB1054" s="19" t="str">
        <f>C1054 &amp; "-" &amp; VLOOKUP(C1054,[4]RESULTATS!$E$1:$F$176,2,FALSE)</f>
        <v>333- Un dispositif d’appui à l’insertion socioprofessionnelle y compris l’entreprenariat est opérationnel</v>
      </c>
      <c r="AC1054" s="20" t="str">
        <f>D1054 &amp; "-" &amp; VLOOKUP(D1054,[4]STRATEGIES!$E$1:$F$504,2,FALSE)</f>
        <v>3331-Consolidation des mécanismes d’appui à l’insertion</v>
      </c>
      <c r="AD1054" s="21" t="str">
        <f t="shared" si="181"/>
        <v>33312-Choix et adoption d'un dispositif d'insertion</v>
      </c>
    </row>
    <row r="1055" spans="1:30" s="22" customFormat="1" ht="45" customHeight="1" x14ac:dyDescent="0.8">
      <c r="A1055" s="14">
        <v>3</v>
      </c>
      <c r="B1055" s="15">
        <v>33</v>
      </c>
      <c r="C1055" s="15">
        <v>333</v>
      </c>
      <c r="D1055" s="15">
        <v>3332</v>
      </c>
      <c r="E1055" s="14">
        <v>3332</v>
      </c>
      <c r="F1055" s="16" t="s">
        <v>1373</v>
      </c>
      <c r="G1055" s="17"/>
      <c r="H1055" s="17"/>
      <c r="I1055" s="56">
        <v>0</v>
      </c>
      <c r="J1055" s="56"/>
      <c r="K1055" s="56"/>
      <c r="L1055" s="56"/>
      <c r="M1055" s="56"/>
      <c r="N1055" s="56"/>
      <c r="O1055" s="56"/>
      <c r="P1055" s="56"/>
      <c r="Q1055" s="56"/>
      <c r="R1055" s="56"/>
      <c r="S1055" s="53"/>
      <c r="T1055" s="33"/>
      <c r="U1055" s="18"/>
      <c r="V1055" s="19"/>
      <c r="W1055" s="18"/>
      <c r="X1055" s="18"/>
      <c r="Y1055" s="18" t="s">
        <v>677</v>
      </c>
      <c r="Z1055" s="19" t="str">
        <f>A1055 &amp; "-" &amp; VLOOKUP(A1055,[4]PROGRAMMES!$E$1:$F$7,2,FALSE)</f>
        <v>3-Expansion et réforme de l’ETFP</v>
      </c>
      <c r="AA1055" s="19" t="str">
        <f>B1055 &amp; "-" &amp; VLOOKUP(B1055,[4]SOUSPROGRAMMES!$E$1:$F$44,2,FALSE)</f>
        <v>33- Développement de l’offre de formation professionnelle et technique de qualité</v>
      </c>
      <c r="AB1055" s="19" t="str">
        <f>C1055 &amp; "-" &amp; VLOOKUP(C1055,[4]RESULTATS!$E$1:$F$176,2,FALSE)</f>
        <v>333- Un dispositif d’appui à l’insertion socioprofessionnelle y compris l’entreprenariat est opérationnel</v>
      </c>
      <c r="AC1055" s="20" t="str">
        <f>D1055 &amp; "-" &amp; VLOOKUP(D1055,[4]STRATEGIES!$E$1:$F$504,2,FALSE)</f>
        <v>3332-Opérationnalisation,(notamment allocation de ressources) des mécanismes d’appui à l’insertion</v>
      </c>
      <c r="AD1055" s="21" t="str">
        <f t="shared" si="181"/>
        <v>3332-Opérationnalisation,(notamment allocation de ressources) des mécanismes d’appui à l’insertion</v>
      </c>
    </row>
    <row r="1056" spans="1:30" s="22" customFormat="1" ht="45" hidden="1" customHeight="1" x14ac:dyDescent="0.8">
      <c r="A1056" s="14">
        <v>3</v>
      </c>
      <c r="B1056" s="15">
        <v>33</v>
      </c>
      <c r="C1056" s="15">
        <v>333</v>
      </c>
      <c r="D1056" s="15">
        <v>3332</v>
      </c>
      <c r="E1056" s="14">
        <v>33321</v>
      </c>
      <c r="F1056" s="16" t="s">
        <v>1374</v>
      </c>
      <c r="G1056" s="21" t="s">
        <v>37</v>
      </c>
      <c r="H1056" s="17" t="s">
        <v>38</v>
      </c>
      <c r="I1056" s="56">
        <v>0</v>
      </c>
      <c r="J1056" s="56">
        <f>50*1*8</f>
        <v>400</v>
      </c>
      <c r="K1056" s="56">
        <f>50*1*8</f>
        <v>400</v>
      </c>
      <c r="L1056" s="56">
        <f>50*1*8</f>
        <v>400</v>
      </c>
      <c r="M1056" s="56">
        <f t="shared" si="182"/>
        <v>1200</v>
      </c>
      <c r="N1056" s="56">
        <f>IF(OR(H1056="",H1056="sif",H1056="PM"),0,VLOOKUP(H1056,[5]CU!$C$4:$H$255,6,FALSE))</f>
        <v>0.3133333333333333</v>
      </c>
      <c r="O1056" s="56">
        <f t="shared" si="180"/>
        <v>0</v>
      </c>
      <c r="P1056" s="56">
        <f t="shared" si="180"/>
        <v>125.33333333333331</v>
      </c>
      <c r="Q1056" s="56">
        <f t="shared" si="180"/>
        <v>125.33333333333331</v>
      </c>
      <c r="R1056" s="56">
        <f t="shared" si="180"/>
        <v>125.33333333333331</v>
      </c>
      <c r="S1056" s="53">
        <f>SUM(O1056:R1056)</f>
        <v>375.99999999999994</v>
      </c>
      <c r="T1056" s="35" t="s">
        <v>56</v>
      </c>
      <c r="U1056" s="18" t="s">
        <v>1206</v>
      </c>
      <c r="V1056" s="19" t="str">
        <f>IF(OR($H1056="",$H1056="sif",$H1056="PM"),"",VLOOKUP($H1056,[5]CU!$C$5:$J$255,8,FALSE))</f>
        <v>3. Formation</v>
      </c>
      <c r="W1056" s="18" t="s">
        <v>1334</v>
      </c>
      <c r="X1056" s="18" t="s">
        <v>1375</v>
      </c>
      <c r="Y1056" s="18" t="s">
        <v>677</v>
      </c>
      <c r="Z1056" s="19" t="str">
        <f>A1056 &amp; "-" &amp; VLOOKUP(A1056,[4]PROGRAMMES!$E$1:$F$7,2,FALSE)</f>
        <v>3-Expansion et réforme de l’ETFP</v>
      </c>
      <c r="AA1056" s="19" t="str">
        <f>B1056 &amp; "-" &amp; VLOOKUP(B1056,[4]SOUSPROGRAMMES!$E$1:$F$44,2,FALSE)</f>
        <v>33- Développement de l’offre de formation professionnelle et technique de qualité</v>
      </c>
      <c r="AB1056" s="19" t="str">
        <f>C1056 &amp; "-" &amp; VLOOKUP(C1056,[4]RESULTATS!$E$1:$F$176,2,FALSE)</f>
        <v>333- Un dispositif d’appui à l’insertion socioprofessionnelle y compris l’entreprenariat est opérationnel</v>
      </c>
      <c r="AC1056" s="20" t="str">
        <f>D1056 &amp; "-" &amp; VLOOKUP(D1056,[4]STRATEGIES!$E$1:$F$504,2,FALSE)</f>
        <v>3332-Opérationnalisation,(notamment allocation de ressources) des mécanismes d’appui à l’insertion</v>
      </c>
      <c r="AD1056" s="21" t="str">
        <f t="shared" si="181"/>
        <v>33321-Amélioration de l'adhésion des jeunes diplômés dans les organisations professionnelles</v>
      </c>
    </row>
    <row r="1057" spans="1:30" s="22" customFormat="1" ht="45" hidden="1" customHeight="1" x14ac:dyDescent="0.8">
      <c r="A1057" s="14">
        <v>3</v>
      </c>
      <c r="B1057" s="15">
        <v>33</v>
      </c>
      <c r="C1057" s="15">
        <v>333</v>
      </c>
      <c r="D1057" s="15">
        <v>3332</v>
      </c>
      <c r="E1057" s="14">
        <v>33322</v>
      </c>
      <c r="F1057" s="16" t="s">
        <v>1376</v>
      </c>
      <c r="G1057" s="21" t="s">
        <v>736</v>
      </c>
      <c r="H1057" s="17" t="s">
        <v>55</v>
      </c>
      <c r="I1057" s="56">
        <v>0</v>
      </c>
      <c r="J1057" s="56">
        <v>1</v>
      </c>
      <c r="K1057" s="56">
        <v>1</v>
      </c>
      <c r="L1057" s="56">
        <v>1</v>
      </c>
      <c r="M1057" s="56">
        <f t="shared" si="182"/>
        <v>3</v>
      </c>
      <c r="N1057" s="56">
        <f>IF(OR(H1057="",H1057="sif",H1057="PM"),0,VLOOKUP(H1057,[5]CU!$C$4:$H$255,6,FALSE))</f>
        <v>0</v>
      </c>
      <c r="O1057" s="56">
        <f t="shared" si="180"/>
        <v>0</v>
      </c>
      <c r="P1057" s="56">
        <f t="shared" si="180"/>
        <v>0</v>
      </c>
      <c r="Q1057" s="56">
        <f t="shared" si="180"/>
        <v>0</v>
      </c>
      <c r="R1057" s="56">
        <f t="shared" si="180"/>
        <v>0</v>
      </c>
      <c r="S1057" s="53"/>
      <c r="T1057" s="35" t="s">
        <v>56</v>
      </c>
      <c r="U1057" s="18" t="s">
        <v>1206</v>
      </c>
      <c r="V1057" s="19" t="str">
        <f>IF(OR($H1057="",$H1057="sif",$H1057="PM"),"",VLOOKUP($H1057,[5]CU!$C$5:$J$255,8,FALSE))</f>
        <v/>
      </c>
      <c r="W1057" s="18" t="s">
        <v>255</v>
      </c>
      <c r="X1057" s="18" t="s">
        <v>96</v>
      </c>
      <c r="Y1057" s="18" t="s">
        <v>677</v>
      </c>
      <c r="Z1057" s="19" t="str">
        <f>A1057 &amp; "-" &amp; VLOOKUP(A1057,[4]PROGRAMMES!$E$1:$F$7,2,FALSE)</f>
        <v>3-Expansion et réforme de l’ETFP</v>
      </c>
      <c r="AA1057" s="19" t="str">
        <f>B1057 &amp; "-" &amp; VLOOKUP(B1057,[4]SOUSPROGRAMMES!$E$1:$F$44,2,FALSE)</f>
        <v>33- Développement de l’offre de formation professionnelle et technique de qualité</v>
      </c>
      <c r="AB1057" s="19" t="str">
        <f>C1057 &amp; "-" &amp; VLOOKUP(C1057,[4]RESULTATS!$E$1:$F$176,2,FALSE)</f>
        <v>333- Un dispositif d’appui à l’insertion socioprofessionnelle y compris l’entreprenariat est opérationnel</v>
      </c>
      <c r="AC1057" s="20" t="str">
        <f>D1057 &amp; "-" &amp; VLOOKUP(D1057,[4]STRATEGIES!$E$1:$F$504,2,FALSE)</f>
        <v>3332-Opérationnalisation,(notamment allocation de ressources) des mécanismes d’appui à l’insertion</v>
      </c>
      <c r="AD1057" s="21" t="str">
        <f t="shared" si="181"/>
        <v>33322-Plaidoyer auprès des institutions Financières pour le Financement des projets d'insertion (auto-emploi)</v>
      </c>
    </row>
    <row r="1058" spans="1:30" s="22" customFormat="1" ht="45" customHeight="1" x14ac:dyDescent="0.8">
      <c r="A1058" s="14">
        <v>3</v>
      </c>
      <c r="B1058" s="15">
        <v>33</v>
      </c>
      <c r="C1058" s="15">
        <v>333</v>
      </c>
      <c r="D1058" s="15">
        <v>3332</v>
      </c>
      <c r="E1058" s="14">
        <v>33323</v>
      </c>
      <c r="F1058" s="16" t="s">
        <v>1377</v>
      </c>
      <c r="G1058" s="21" t="s">
        <v>167</v>
      </c>
      <c r="H1058" s="17" t="s">
        <v>646</v>
      </c>
      <c r="I1058" s="56">
        <v>0</v>
      </c>
      <c r="J1058" s="56">
        <f>1*30</f>
        <v>30</v>
      </c>
      <c r="K1058" s="56"/>
      <c r="L1058" s="56"/>
      <c r="M1058" s="56">
        <f t="shared" si="182"/>
        <v>30</v>
      </c>
      <c r="N1058" s="56">
        <f>IF(OR(H1058="",H1058="sif",H1058="PM"),0,VLOOKUP(H1058,[5]CU!$C$4:$H$255,6,FALSE))</f>
        <v>10.404797</v>
      </c>
      <c r="O1058" s="56">
        <f t="shared" si="180"/>
        <v>0</v>
      </c>
      <c r="P1058" s="56">
        <f t="shared" si="180"/>
        <v>312.14391000000001</v>
      </c>
      <c r="Q1058" s="56">
        <f t="shared" si="180"/>
        <v>0</v>
      </c>
      <c r="R1058" s="56">
        <f t="shared" si="180"/>
        <v>0</v>
      </c>
      <c r="S1058" s="53">
        <f>SUM(O1058:R1058)</f>
        <v>312.14391000000001</v>
      </c>
      <c r="T1058" s="35" t="s">
        <v>1276</v>
      </c>
      <c r="U1058" s="18" t="s">
        <v>1206</v>
      </c>
      <c r="V1058" s="19" t="str">
        <f>IF(OR($H1058="",$H1058="sif",$H1058="PM"),"",VLOOKUP($H1058,[5]CU!$C$5:$J$255,8,FALSE))</f>
        <v>3. Dépenses de fonctionnement</v>
      </c>
      <c r="W1058" s="18" t="s">
        <v>96</v>
      </c>
      <c r="X1058" s="18" t="s">
        <v>100</v>
      </c>
      <c r="Y1058" s="18" t="s">
        <v>677</v>
      </c>
      <c r="Z1058" s="19" t="str">
        <f>A1058 &amp; "-" &amp; VLOOKUP(A1058,[4]PROGRAMMES!$E$1:$F$7,2,FALSE)</f>
        <v>3-Expansion et réforme de l’ETFP</v>
      </c>
      <c r="AA1058" s="19" t="str">
        <f>B1058 &amp; "-" &amp; VLOOKUP(B1058,[4]SOUSPROGRAMMES!$E$1:$F$44,2,FALSE)</f>
        <v>33- Développement de l’offre de formation professionnelle et technique de qualité</v>
      </c>
      <c r="AB1058" s="19" t="str">
        <f>C1058 &amp; "-" &amp; VLOOKUP(C1058,[4]RESULTATS!$E$1:$F$176,2,FALSE)</f>
        <v>333- Un dispositif d’appui à l’insertion socioprofessionnelle y compris l’entreprenariat est opérationnel</v>
      </c>
      <c r="AC1058" s="20" t="str">
        <f>D1058 &amp; "-" &amp; VLOOKUP(D1058,[4]STRATEGIES!$E$1:$F$504,2,FALSE)</f>
        <v>3332-Opérationnalisation,(notamment allocation de ressources) des mécanismes d’appui à l’insertion</v>
      </c>
      <c r="AD1058" s="21" t="str">
        <f t="shared" si="181"/>
        <v>33323-Etude de faisabilité de la mise en œuvre d'un fonds d'insertion</v>
      </c>
    </row>
    <row r="1059" spans="1:30" s="22" customFormat="1" ht="60" hidden="1" customHeight="1" x14ac:dyDescent="0.8">
      <c r="A1059" s="14">
        <v>3</v>
      </c>
      <c r="B1059" s="15">
        <v>33</v>
      </c>
      <c r="C1059" s="15">
        <v>333</v>
      </c>
      <c r="D1059" s="15">
        <v>3332</v>
      </c>
      <c r="E1059" s="14">
        <v>33324</v>
      </c>
      <c r="F1059" s="16" t="s">
        <v>1378</v>
      </c>
      <c r="G1059" s="21" t="s">
        <v>1379</v>
      </c>
      <c r="H1059" s="17" t="s">
        <v>1380</v>
      </c>
      <c r="I1059" s="56">
        <v>0</v>
      </c>
      <c r="J1059" s="56"/>
      <c r="K1059" s="56"/>
      <c r="L1059" s="56">
        <v>156</v>
      </c>
      <c r="M1059" s="56">
        <f t="shared" si="182"/>
        <v>156</v>
      </c>
      <c r="N1059" s="56">
        <f>IF(OR(H1059="",H1059="sif",H1059="PM"),0,VLOOKUP(H1059,[5]CU!$C$4:$H$255,6,FALSE))</f>
        <v>20</v>
      </c>
      <c r="O1059" s="56">
        <f t="shared" si="180"/>
        <v>0</v>
      </c>
      <c r="P1059" s="56">
        <f t="shared" si="180"/>
        <v>0</v>
      </c>
      <c r="Q1059" s="56">
        <f t="shared" si="180"/>
        <v>0</v>
      </c>
      <c r="R1059" s="56">
        <f t="shared" si="180"/>
        <v>3120</v>
      </c>
      <c r="S1059" s="53">
        <f>SUM(O1059:R1059)</f>
        <v>3120</v>
      </c>
      <c r="T1059" s="35" t="s">
        <v>56</v>
      </c>
      <c r="U1059" s="18" t="s">
        <v>1206</v>
      </c>
      <c r="V1059" s="19" t="str">
        <f>IF(OR($H1059="",$H1059="sif",$H1059="PM"),"",VLOOKUP($H1059,[5]CU!$C$5:$J$255,8,FALSE))</f>
        <v>4. Transferts et subventions</v>
      </c>
      <c r="W1059" s="18" t="s">
        <v>1334</v>
      </c>
      <c r="X1059" s="19" t="s">
        <v>1381</v>
      </c>
      <c r="Y1059" s="18" t="s">
        <v>677</v>
      </c>
      <c r="Z1059" s="19" t="str">
        <f>A1059 &amp; "-" &amp; VLOOKUP(A1059,[4]PROGRAMMES!$E$1:$F$7,2,FALSE)</f>
        <v>3-Expansion et réforme de l’ETFP</v>
      </c>
      <c r="AA1059" s="19" t="str">
        <f>B1059 &amp; "-" &amp; VLOOKUP(B1059,[4]SOUSPROGRAMMES!$E$1:$F$44,2,FALSE)</f>
        <v>33- Développement de l’offre de formation professionnelle et technique de qualité</v>
      </c>
      <c r="AB1059" s="19" t="str">
        <f>C1059 &amp; "-" &amp; VLOOKUP(C1059,[4]RESULTATS!$E$1:$F$176,2,FALSE)</f>
        <v>333- Un dispositif d’appui à l’insertion socioprofessionnelle y compris l’entreprenariat est opérationnel</v>
      </c>
      <c r="AC1059" s="20" t="str">
        <f>D1059 &amp; "-" &amp; VLOOKUP(D1059,[4]STRATEGIES!$E$1:$F$504,2,FALSE)</f>
        <v>3332-Opérationnalisation,(notamment allocation de ressources) des mécanismes d’appui à l’insertion</v>
      </c>
      <c r="AD1059" s="21" t="str">
        <f t="shared" si="181"/>
        <v>33324-Dotation de kits d'appui à l'insertion</v>
      </c>
    </row>
    <row r="1060" spans="1:30" s="22" customFormat="1" ht="45" customHeight="1" x14ac:dyDescent="0.8">
      <c r="A1060" s="14">
        <v>3</v>
      </c>
      <c r="B1060" s="15">
        <v>33</v>
      </c>
      <c r="C1060" s="15">
        <v>333</v>
      </c>
      <c r="D1060" s="15">
        <v>3333</v>
      </c>
      <c r="E1060" s="14">
        <v>3333</v>
      </c>
      <c r="F1060" s="16" t="s">
        <v>1382</v>
      </c>
      <c r="G1060" s="17"/>
      <c r="H1060" s="17"/>
      <c r="I1060" s="56">
        <v>0</v>
      </c>
      <c r="J1060" s="56"/>
      <c r="K1060" s="56"/>
      <c r="L1060" s="56"/>
      <c r="M1060" s="56"/>
      <c r="N1060" s="56"/>
      <c r="O1060" s="56"/>
      <c r="P1060" s="56"/>
      <c r="Q1060" s="56"/>
      <c r="R1060" s="56"/>
      <c r="S1060" s="53"/>
      <c r="T1060" s="33"/>
      <c r="U1060" s="18"/>
      <c r="V1060" s="19"/>
      <c r="W1060" s="18"/>
      <c r="X1060" s="18"/>
      <c r="Y1060" s="18" t="s">
        <v>677</v>
      </c>
      <c r="Z1060" s="19" t="str">
        <f>A1060 &amp; "-" &amp; VLOOKUP(A1060,[4]PROGRAMMES!$E$1:$F$7,2,FALSE)</f>
        <v>3-Expansion et réforme de l’ETFP</v>
      </c>
      <c r="AA1060" s="19" t="str">
        <f>B1060 &amp; "-" &amp; VLOOKUP(B1060,[4]SOUSPROGRAMMES!$E$1:$F$44,2,FALSE)</f>
        <v>33- Développement de l’offre de formation professionnelle et technique de qualité</v>
      </c>
      <c r="AB1060" s="19" t="str">
        <f>C1060 &amp; "-" &amp; VLOOKUP(C1060,[4]RESULTATS!$E$1:$F$176,2,FALSE)</f>
        <v>333- Un dispositif d’appui à l’insertion socioprofessionnelle y compris l’entreprenariat est opérationnel</v>
      </c>
      <c r="AC1060" s="20" t="str">
        <f>D1060 &amp; "-" &amp; VLOOKUP(D1060,[4]STRATEGIES!$E$1:$F$504,2,FALSE)</f>
        <v>3333-Suivi et encadrement des appuyés</v>
      </c>
      <c r="AD1060" s="21" t="str">
        <f t="shared" si="181"/>
        <v>3333-Suivi et encadrement des appuyés</v>
      </c>
    </row>
    <row r="1061" spans="1:30" s="22" customFormat="1" ht="60" hidden="1" customHeight="1" x14ac:dyDescent="0.8">
      <c r="A1061" s="14">
        <v>3</v>
      </c>
      <c r="B1061" s="15">
        <v>33</v>
      </c>
      <c r="C1061" s="15">
        <v>333</v>
      </c>
      <c r="D1061" s="15">
        <v>3333</v>
      </c>
      <c r="E1061" s="14">
        <v>33331</v>
      </c>
      <c r="F1061" s="16" t="s">
        <v>1383</v>
      </c>
      <c r="G1061" s="21" t="s">
        <v>1384</v>
      </c>
      <c r="H1061" s="17" t="s">
        <v>1385</v>
      </c>
      <c r="I1061" s="56">
        <v>0</v>
      </c>
      <c r="J1061" s="56"/>
      <c r="K1061" s="56"/>
      <c r="L1061" s="56">
        <f>11107/350</f>
        <v>31.734285714285715</v>
      </c>
      <c r="M1061" s="56">
        <f t="shared" si="182"/>
        <v>31.734285714285715</v>
      </c>
      <c r="N1061" s="56">
        <f>IF(OR(H1061="",H1061="sif",H1061="PM"),0,VLOOKUP(H1061,[5]CU!$C$4:$H$255,6,FALSE))</f>
        <v>25.906700000000001</v>
      </c>
      <c r="O1061" s="56">
        <f t="shared" si="180"/>
        <v>0</v>
      </c>
      <c r="P1061" s="56">
        <f t="shared" si="180"/>
        <v>0</v>
      </c>
      <c r="Q1061" s="56">
        <f t="shared" si="180"/>
        <v>0</v>
      </c>
      <c r="R1061" s="56">
        <f t="shared" si="180"/>
        <v>822.13061971428579</v>
      </c>
      <c r="S1061" s="53">
        <f>SUM(O1061:R1061)</f>
        <v>822.13061971428579</v>
      </c>
      <c r="T1061" s="35" t="s">
        <v>56</v>
      </c>
      <c r="U1061" s="18" t="s">
        <v>1206</v>
      </c>
      <c r="V1061" s="19" t="str">
        <f>IF(OR($H1061="",$H1061="sif",$H1061="PM"),"",VLOOKUP($H1061,[5]CU!$C$5:$J$255,8,FALSE))</f>
        <v>3. Dépenses de fonctionnement</v>
      </c>
      <c r="W1061" s="18" t="s">
        <v>1334</v>
      </c>
      <c r="X1061" s="19" t="s">
        <v>1381</v>
      </c>
      <c r="Y1061" s="18" t="s">
        <v>677</v>
      </c>
      <c r="Z1061" s="19" t="str">
        <f>A1061 &amp; "-" &amp; VLOOKUP(A1061,[4]PROGRAMMES!$E$1:$F$7,2,FALSE)</f>
        <v>3-Expansion et réforme de l’ETFP</v>
      </c>
      <c r="AA1061" s="19" t="str">
        <f>B1061 &amp; "-" &amp; VLOOKUP(B1061,[4]SOUSPROGRAMMES!$E$1:$F$44,2,FALSE)</f>
        <v>33- Développement de l’offre de formation professionnelle et technique de qualité</v>
      </c>
      <c r="AB1061" s="19" t="str">
        <f>C1061 &amp; "-" &amp; VLOOKUP(C1061,[4]RESULTATS!$E$1:$F$176,2,FALSE)</f>
        <v>333- Un dispositif d’appui à l’insertion socioprofessionnelle y compris l’entreprenariat est opérationnel</v>
      </c>
      <c r="AC1061" s="20" t="str">
        <f>D1061 &amp; "-" &amp; VLOOKUP(D1061,[4]STRATEGIES!$E$1:$F$504,2,FALSE)</f>
        <v>3333-Suivi et encadrement des appuyés</v>
      </c>
      <c r="AD1061" s="21" t="str">
        <f t="shared" si="181"/>
        <v>33331-Travaux de supervisions des apprentissages</v>
      </c>
    </row>
    <row r="1062" spans="1:30" s="22" customFormat="1" ht="45" customHeight="1" x14ac:dyDescent="0.8">
      <c r="A1062" s="14">
        <v>3</v>
      </c>
      <c r="B1062" s="15">
        <v>33</v>
      </c>
      <c r="C1062" s="15">
        <v>333</v>
      </c>
      <c r="D1062" s="15">
        <v>3334</v>
      </c>
      <c r="E1062" s="14">
        <v>3334</v>
      </c>
      <c r="F1062" s="16" t="s">
        <v>1386</v>
      </c>
      <c r="G1062" s="17"/>
      <c r="H1062" s="17"/>
      <c r="I1062" s="56">
        <v>0</v>
      </c>
      <c r="J1062" s="56"/>
      <c r="K1062" s="56"/>
      <c r="L1062" s="56"/>
      <c r="M1062" s="56"/>
      <c r="N1062" s="56"/>
      <c r="O1062" s="56"/>
      <c r="P1062" s="56"/>
      <c r="Q1062" s="56"/>
      <c r="R1062" s="56"/>
      <c r="S1062" s="53"/>
      <c r="T1062" s="33"/>
      <c r="U1062" s="18"/>
      <c r="V1062" s="19"/>
      <c r="W1062" s="18"/>
      <c r="X1062" s="18"/>
      <c r="Y1062" s="18" t="s">
        <v>677</v>
      </c>
      <c r="Z1062" s="19" t="str">
        <f>A1062 &amp; "-" &amp; VLOOKUP(A1062,[4]PROGRAMMES!$E$1:$F$7,2,FALSE)</f>
        <v>3-Expansion et réforme de l’ETFP</v>
      </c>
      <c r="AA1062" s="19" t="str">
        <f>B1062 &amp; "-" &amp; VLOOKUP(B1062,[4]SOUSPROGRAMMES!$E$1:$F$44,2,FALSE)</f>
        <v>33- Développement de l’offre de formation professionnelle et technique de qualité</v>
      </c>
      <c r="AB1062" s="19" t="str">
        <f>C1062 &amp; "-" &amp; VLOOKUP(C1062,[4]RESULTATS!$E$1:$F$176,2,FALSE)</f>
        <v>333- Un dispositif d’appui à l’insertion socioprofessionnelle y compris l’entreprenariat est opérationnel</v>
      </c>
      <c r="AC1062" s="20" t="str">
        <f>D1062 &amp; "-" &amp; VLOOKUP(D1062,[4]STRATEGIES!$E$1:$F$504,2,FALSE)</f>
        <v>3334-Intégration de la dimension entrepreunariale dans le dispositif de formation</v>
      </c>
      <c r="AD1062" s="21" t="str">
        <f t="shared" si="181"/>
        <v>3334-Intégration de la dimension entrepreunariale dans le dispositif de formation</v>
      </c>
    </row>
    <row r="1063" spans="1:30" s="22" customFormat="1" ht="45" hidden="1" customHeight="1" x14ac:dyDescent="0.8">
      <c r="A1063" s="14">
        <v>3</v>
      </c>
      <c r="B1063" s="15">
        <v>33</v>
      </c>
      <c r="C1063" s="15">
        <v>333</v>
      </c>
      <c r="D1063" s="15">
        <v>3334</v>
      </c>
      <c r="E1063" s="14">
        <v>33341</v>
      </c>
      <c r="F1063" s="16" t="s">
        <v>1387</v>
      </c>
      <c r="G1063" s="21" t="s">
        <v>1388</v>
      </c>
      <c r="H1063" s="17" t="s">
        <v>55</v>
      </c>
      <c r="I1063" s="56">
        <v>0</v>
      </c>
      <c r="J1063" s="56"/>
      <c r="K1063" s="56">
        <v>1</v>
      </c>
      <c r="L1063" s="56">
        <v>1</v>
      </c>
      <c r="M1063" s="56">
        <f t="shared" si="182"/>
        <v>2</v>
      </c>
      <c r="N1063" s="56">
        <f>IF(OR(H1063="",H1063="sif",H1063="PM"),0,VLOOKUP(H1063,[5]CU!$C$4:$H$255,6,FALSE))</f>
        <v>0</v>
      </c>
      <c r="O1063" s="56">
        <f t="shared" si="180"/>
        <v>0</v>
      </c>
      <c r="P1063" s="56">
        <f t="shared" si="180"/>
        <v>0</v>
      </c>
      <c r="Q1063" s="56">
        <f t="shared" si="180"/>
        <v>0</v>
      </c>
      <c r="R1063" s="56">
        <f t="shared" si="180"/>
        <v>0</v>
      </c>
      <c r="S1063" s="53"/>
      <c r="T1063" s="35" t="s">
        <v>56</v>
      </c>
      <c r="U1063" s="18" t="s">
        <v>1206</v>
      </c>
      <c r="V1063" s="19" t="str">
        <f>IF(OR($H1063="",$H1063="sif",$H1063="PM"),"",VLOOKUP($H1063,[5]CU!$C$5:$J$255,8,FALSE))</f>
        <v/>
      </c>
      <c r="W1063" s="18" t="s">
        <v>1162</v>
      </c>
      <c r="X1063" s="18" t="s">
        <v>1389</v>
      </c>
      <c r="Y1063" s="18" t="s">
        <v>677</v>
      </c>
      <c r="Z1063" s="19" t="str">
        <f>A1063 &amp; "-" &amp; VLOOKUP(A1063,[4]PROGRAMMES!$E$1:$F$7,2,FALSE)</f>
        <v>3-Expansion et réforme de l’ETFP</v>
      </c>
      <c r="AA1063" s="19" t="str">
        <f>B1063 &amp; "-" &amp; VLOOKUP(B1063,[4]SOUSPROGRAMMES!$E$1:$F$44,2,FALSE)</f>
        <v>33- Développement de l’offre de formation professionnelle et technique de qualité</v>
      </c>
      <c r="AB1063" s="19" t="str">
        <f>C1063 &amp; "-" &amp; VLOOKUP(C1063,[4]RESULTATS!$E$1:$F$176,2,FALSE)</f>
        <v>333- Un dispositif d’appui à l’insertion socioprofessionnelle y compris l’entreprenariat est opérationnel</v>
      </c>
      <c r="AC1063" s="20" t="str">
        <f>D1063 &amp; "-" &amp; VLOOKUP(D1063,[4]STRATEGIES!$E$1:$F$504,2,FALSE)</f>
        <v>3334-Intégration de la dimension entrepreunariale dans le dispositif de formation</v>
      </c>
      <c r="AD1063" s="21" t="str">
        <f t="shared" si="181"/>
        <v>33341-Introduction dans les cursus de formation du développement de projet personnel</v>
      </c>
    </row>
    <row r="1064" spans="1:30" s="22" customFormat="1" ht="45" customHeight="1" x14ac:dyDescent="0.8">
      <c r="A1064" s="14">
        <v>3</v>
      </c>
      <c r="B1064" s="15">
        <v>33</v>
      </c>
      <c r="C1064" s="15">
        <v>333</v>
      </c>
      <c r="D1064" s="15">
        <v>3334</v>
      </c>
      <c r="E1064" s="14">
        <v>33342</v>
      </c>
      <c r="F1064" s="16" t="s">
        <v>1390</v>
      </c>
      <c r="G1064" s="21" t="s">
        <v>100</v>
      </c>
      <c r="H1064" s="17" t="s">
        <v>646</v>
      </c>
      <c r="I1064" s="56">
        <v>0</v>
      </c>
      <c r="J1064" s="56"/>
      <c r="K1064" s="56">
        <f>1*30</f>
        <v>30</v>
      </c>
      <c r="L1064" s="56"/>
      <c r="M1064" s="56">
        <f t="shared" si="182"/>
        <v>30</v>
      </c>
      <c r="N1064" s="56">
        <f>IF(OR(H1064="",H1064="sif",H1064="PM"),0,VLOOKUP(H1064,[5]CU!$C$4:$H$255,6,FALSE))</f>
        <v>10.404797</v>
      </c>
      <c r="O1064" s="56">
        <f t="shared" ref="O1064:R1102" si="183">IFERROR($N1064*I1064,0)</f>
        <v>0</v>
      </c>
      <c r="P1064" s="56">
        <f t="shared" si="183"/>
        <v>0</v>
      </c>
      <c r="Q1064" s="56">
        <f t="shared" si="183"/>
        <v>312.14391000000001</v>
      </c>
      <c r="R1064" s="56">
        <f t="shared" si="183"/>
        <v>0</v>
      </c>
      <c r="S1064" s="53">
        <f>SUM(O1064:R1064)</f>
        <v>312.14391000000001</v>
      </c>
      <c r="T1064" s="35" t="s">
        <v>118</v>
      </c>
      <c r="U1064" s="18" t="s">
        <v>1206</v>
      </c>
      <c r="V1064" s="19" t="str">
        <f>IF(OR($H1064="",$H1064="sif",$H1064="PM"),"",VLOOKUP($H1064,[5]CU!$C$5:$J$255,8,FALSE))</f>
        <v>3. Dépenses de fonctionnement</v>
      </c>
      <c r="W1064" s="18" t="s">
        <v>96</v>
      </c>
      <c r="X1064" s="18" t="s">
        <v>100</v>
      </c>
      <c r="Y1064" s="18" t="s">
        <v>677</v>
      </c>
      <c r="Z1064" s="19" t="str">
        <f>A1064 &amp; "-" &amp; VLOOKUP(A1064,[4]PROGRAMMES!$E$1:$F$7,2,FALSE)</f>
        <v>3-Expansion et réforme de l’ETFP</v>
      </c>
      <c r="AA1064" s="19" t="str">
        <f>B1064 &amp; "-" &amp; VLOOKUP(B1064,[4]SOUSPROGRAMMES!$E$1:$F$44,2,FALSE)</f>
        <v>33- Développement de l’offre de formation professionnelle et technique de qualité</v>
      </c>
      <c r="AB1064" s="19" t="str">
        <f>C1064 &amp; "-" &amp; VLOOKUP(C1064,[4]RESULTATS!$E$1:$F$176,2,FALSE)</f>
        <v>333- Un dispositif d’appui à l’insertion socioprofessionnelle y compris l’entreprenariat est opérationnel</v>
      </c>
      <c r="AC1064" s="20" t="str">
        <f>D1064 &amp; "-" &amp; VLOOKUP(D1064,[4]STRATEGIES!$E$1:$F$504,2,FALSE)</f>
        <v>3334-Intégration de la dimension entrepreunariale dans le dispositif de formation</v>
      </c>
      <c r="AD1064" s="21" t="str">
        <f t="shared" si="181"/>
        <v>33342-Etude pour la mise en place d'incubateurs</v>
      </c>
    </row>
    <row r="1065" spans="1:30" s="22" customFormat="1" ht="30" customHeight="1" x14ac:dyDescent="0.8">
      <c r="A1065" s="14">
        <v>3</v>
      </c>
      <c r="B1065" s="15">
        <v>34</v>
      </c>
      <c r="C1065" s="15">
        <v>34</v>
      </c>
      <c r="D1065" s="15">
        <v>34</v>
      </c>
      <c r="E1065" s="14">
        <v>34</v>
      </c>
      <c r="F1065" s="16" t="s">
        <v>1391</v>
      </c>
      <c r="G1065" s="17"/>
      <c r="H1065" s="17"/>
      <c r="I1065" s="56">
        <v>0</v>
      </c>
      <c r="J1065" s="56"/>
      <c r="K1065" s="56"/>
      <c r="L1065" s="56"/>
      <c r="M1065" s="56"/>
      <c r="N1065" s="56"/>
      <c r="O1065" s="56"/>
      <c r="P1065" s="56"/>
      <c r="Q1065" s="56"/>
      <c r="R1065" s="56"/>
      <c r="S1065" s="53"/>
      <c r="T1065" s="33"/>
      <c r="U1065" s="18"/>
      <c r="V1065" s="19"/>
      <c r="W1065" s="18"/>
      <c r="X1065" s="18"/>
      <c r="Y1065" s="18" t="s">
        <v>677</v>
      </c>
      <c r="Z1065" s="19" t="str">
        <f>A1065 &amp; "-" &amp; VLOOKUP(A1065,[4]PROGRAMMES!$E$1:$F$7,2,FALSE)</f>
        <v>3-Expansion et réforme de l’ETFP</v>
      </c>
      <c r="AA1065" s="19" t="str">
        <f>B1065 &amp; "-" &amp; VLOOKUP(B1065,[4]SOUSPROGRAMMES!$E$1:$F$44,2,FALSE)</f>
        <v>34- le financement du développement de l’ETFP</v>
      </c>
      <c r="AB1065" s="19" t="str">
        <f>C1065 &amp; "-" &amp; VLOOKUP(C1065,[4]RESULTATS!$E$1:$F$176,2,FALSE)</f>
        <v>34- le financement du développement de l’ETFP</v>
      </c>
      <c r="AC1065" s="20" t="str">
        <f>D1065 &amp; "-" &amp; VLOOKUP(D1065,[4]STRATEGIES!$E$1:$F$504,2,FALSE)</f>
        <v>34- le financement du développement de l’ETFP</v>
      </c>
      <c r="AD1065" s="21" t="str">
        <f t="shared" si="181"/>
        <v>34- le Financement du développement de l’ETFP</v>
      </c>
    </row>
    <row r="1066" spans="1:30" s="22" customFormat="1" ht="45" customHeight="1" x14ac:dyDescent="0.8">
      <c r="A1066" s="14">
        <v>3</v>
      </c>
      <c r="B1066" s="15">
        <v>34</v>
      </c>
      <c r="C1066" s="15">
        <v>341</v>
      </c>
      <c r="D1066" s="15">
        <v>341</v>
      </c>
      <c r="E1066" s="14">
        <v>341</v>
      </c>
      <c r="F1066" s="16" t="s">
        <v>1392</v>
      </c>
      <c r="G1066" s="17"/>
      <c r="H1066" s="17"/>
      <c r="I1066" s="56">
        <v>0</v>
      </c>
      <c r="J1066" s="56"/>
      <c r="K1066" s="56"/>
      <c r="L1066" s="56"/>
      <c r="M1066" s="56"/>
      <c r="N1066" s="56"/>
      <c r="O1066" s="56"/>
      <c r="P1066" s="56"/>
      <c r="Q1066" s="56"/>
      <c r="R1066" s="56"/>
      <c r="S1066" s="53"/>
      <c r="T1066" s="33"/>
      <c r="U1066" s="18"/>
      <c r="V1066" s="19"/>
      <c r="W1066" s="18"/>
      <c r="X1066" s="18"/>
      <c r="Y1066" s="18" t="s">
        <v>677</v>
      </c>
      <c r="Z1066" s="19" t="str">
        <f>A1066 &amp; "-" &amp; VLOOKUP(A1066,[4]PROGRAMMES!$E$1:$F$7,2,FALSE)</f>
        <v>3-Expansion et réforme de l’ETFP</v>
      </c>
      <c r="AA1066" s="19" t="str">
        <f>B1066 &amp; "-" &amp; VLOOKUP(B1066,[4]SOUSPROGRAMMES!$E$1:$F$44,2,FALSE)</f>
        <v>34- le financement du développement de l’ETFP</v>
      </c>
      <c r="AB1066" s="19" t="str">
        <f>C1066 &amp; "-" &amp; VLOOKUP(C1066,[4]RESULTATS!$E$1:$F$176,2,FALSE)</f>
        <v>341- L’allocation budgétaire de l’ETFP dans le budget de l’éducation est améliorée</v>
      </c>
      <c r="AC1066" s="20" t="str">
        <f>D1066 &amp; "-" &amp; VLOOKUP(D1066,[4]STRATEGIES!$E$1:$F$504,2,FALSE)</f>
        <v>341- L’allocation budgétaire de l’ETFP dans le budget de l’éducation est améliorée</v>
      </c>
      <c r="AD1066" s="21" t="str">
        <f t="shared" si="181"/>
        <v>341- L’allocation budgétaire de l’ETFP dans le budget de l’éducation est améliorée</v>
      </c>
    </row>
    <row r="1067" spans="1:30" s="22" customFormat="1" ht="45" customHeight="1" x14ac:dyDescent="0.8">
      <c r="A1067" s="14">
        <v>3</v>
      </c>
      <c r="B1067" s="15">
        <v>34</v>
      </c>
      <c r="C1067" s="15">
        <v>341</v>
      </c>
      <c r="D1067" s="15">
        <v>3411</v>
      </c>
      <c r="E1067" s="14">
        <v>3411</v>
      </c>
      <c r="F1067" s="16" t="s">
        <v>1393</v>
      </c>
      <c r="G1067" s="17"/>
      <c r="H1067" s="17"/>
      <c r="I1067" s="56">
        <v>0</v>
      </c>
      <c r="J1067" s="56"/>
      <c r="K1067" s="56"/>
      <c r="L1067" s="56"/>
      <c r="M1067" s="56"/>
      <c r="N1067" s="56"/>
      <c r="O1067" s="56"/>
      <c r="P1067" s="56"/>
      <c r="Q1067" s="56"/>
      <c r="R1067" s="56"/>
      <c r="S1067" s="53"/>
      <c r="T1067" s="33"/>
      <c r="U1067" s="18"/>
      <c r="V1067" s="19"/>
      <c r="W1067" s="18"/>
      <c r="X1067" s="18"/>
      <c r="Y1067" s="18" t="s">
        <v>677</v>
      </c>
      <c r="Z1067" s="19" t="str">
        <f>A1067 &amp; "-" &amp; VLOOKUP(A1067,[4]PROGRAMMES!$E$1:$F$7,2,FALSE)</f>
        <v>3-Expansion et réforme de l’ETFP</v>
      </c>
      <c r="AA1067" s="19" t="str">
        <f>B1067 &amp; "-" &amp; VLOOKUP(B1067,[4]SOUSPROGRAMMES!$E$1:$F$44,2,FALSE)</f>
        <v>34- le financement du développement de l’ETFP</v>
      </c>
      <c r="AB1067" s="19" t="str">
        <f>C1067 &amp; "-" &amp; VLOOKUP(C1067,[4]RESULTATS!$E$1:$F$176,2,FALSE)</f>
        <v>341- L’allocation budgétaire de l’ETFP dans le budget de l’éducation est améliorée</v>
      </c>
      <c r="AC1067" s="20" t="str">
        <f>D1067 &amp; "-" &amp; VLOOKUP(D1067,[4]STRATEGIES!$E$1:$F$504,2,FALSE)</f>
        <v>3411-Plaidoyer pour concrétiser la priorité accordée à l’ETFP</v>
      </c>
      <c r="AD1067" s="21" t="str">
        <f t="shared" si="181"/>
        <v>3411-Plaidoyer pour concrétiser la priorité accordée à l’ETFP</v>
      </c>
    </row>
    <row r="1068" spans="1:30" s="22" customFormat="1" ht="45" hidden="1" customHeight="1" x14ac:dyDescent="0.8">
      <c r="A1068" s="14">
        <v>3</v>
      </c>
      <c r="B1068" s="15">
        <v>34</v>
      </c>
      <c r="C1068" s="15">
        <v>341</v>
      </c>
      <c r="D1068" s="15">
        <v>3411</v>
      </c>
      <c r="E1068" s="14">
        <v>34111</v>
      </c>
      <c r="F1068" s="16" t="s">
        <v>1394</v>
      </c>
      <c r="G1068" s="21" t="s">
        <v>1395</v>
      </c>
      <c r="H1068" s="17" t="s">
        <v>55</v>
      </c>
      <c r="I1068" s="56">
        <v>0</v>
      </c>
      <c r="J1068" s="56">
        <v>1</v>
      </c>
      <c r="K1068" s="56">
        <v>1</v>
      </c>
      <c r="L1068" s="56">
        <v>1</v>
      </c>
      <c r="M1068" s="56">
        <f t="shared" si="182"/>
        <v>3</v>
      </c>
      <c r="N1068" s="56">
        <f>IF(OR(H1068="",H1068="sif",H1068="PM"),0,VLOOKUP(H1068,[5]CU!$C$4:$H$255,6,FALSE))</f>
        <v>0</v>
      </c>
      <c r="O1068" s="56">
        <f t="shared" si="183"/>
        <v>0</v>
      </c>
      <c r="P1068" s="56">
        <f t="shared" si="183"/>
        <v>0</v>
      </c>
      <c r="Q1068" s="56">
        <f t="shared" si="183"/>
        <v>0</v>
      </c>
      <c r="R1068" s="56">
        <f t="shared" si="183"/>
        <v>0</v>
      </c>
      <c r="S1068" s="53"/>
      <c r="T1068" s="35" t="s">
        <v>56</v>
      </c>
      <c r="U1068" s="18" t="s">
        <v>1156</v>
      </c>
      <c r="V1068" s="19" t="str">
        <f>IF(OR($H1068="",$H1068="sif",$H1068="PM"),"",VLOOKUP($H1068,[5]CU!$C$5:$J$255,8,FALSE))</f>
        <v/>
      </c>
      <c r="W1068" s="18" t="s">
        <v>521</v>
      </c>
      <c r="X1068" s="18" t="s">
        <v>1334</v>
      </c>
      <c r="Y1068" s="18" t="s">
        <v>677</v>
      </c>
      <c r="Z1068" s="19" t="str">
        <f>A1068 &amp; "-" &amp; VLOOKUP(A1068,[4]PROGRAMMES!$E$1:$F$7,2,FALSE)</f>
        <v>3-Expansion et réforme de l’ETFP</v>
      </c>
      <c r="AA1068" s="19" t="str">
        <f>B1068 &amp; "-" &amp; VLOOKUP(B1068,[4]SOUSPROGRAMMES!$E$1:$F$44,2,FALSE)</f>
        <v>34- le financement du développement de l’ETFP</v>
      </c>
      <c r="AB1068" s="19" t="str">
        <f>C1068 &amp; "-" &amp; VLOOKUP(C1068,[4]RESULTATS!$E$1:$F$176,2,FALSE)</f>
        <v>341- L’allocation budgétaire de l’ETFP dans le budget de l’éducation est améliorée</v>
      </c>
      <c r="AC1068" s="20" t="str">
        <f>D1068 &amp; "-" &amp; VLOOKUP(D1068,[4]STRATEGIES!$E$1:$F$504,2,FALSE)</f>
        <v>3411-Plaidoyer pour concrétiser la priorité accordée à l’ETFP</v>
      </c>
      <c r="AD1068" s="21" t="str">
        <f t="shared" si="181"/>
        <v>34111-Réorganisation et réorientation des projets de budget en lien avec la réforme de l'ETFP</v>
      </c>
    </row>
    <row r="1069" spans="1:30" s="22" customFormat="1" ht="45" hidden="1" customHeight="1" x14ac:dyDescent="0.8">
      <c r="A1069" s="14">
        <v>3</v>
      </c>
      <c r="B1069" s="15">
        <v>34</v>
      </c>
      <c r="C1069" s="15">
        <v>341</v>
      </c>
      <c r="D1069" s="15">
        <v>3411</v>
      </c>
      <c r="E1069" s="14">
        <v>34112</v>
      </c>
      <c r="F1069" s="16" t="s">
        <v>1396</v>
      </c>
      <c r="G1069" s="21" t="s">
        <v>836</v>
      </c>
      <c r="H1069" s="17" t="s">
        <v>55</v>
      </c>
      <c r="I1069" s="56">
        <v>0</v>
      </c>
      <c r="J1069" s="56">
        <v>1</v>
      </c>
      <c r="K1069" s="56">
        <v>1</v>
      </c>
      <c r="L1069" s="56">
        <v>1</v>
      </c>
      <c r="M1069" s="56">
        <f t="shared" si="182"/>
        <v>3</v>
      </c>
      <c r="N1069" s="56">
        <f>IF(OR(H1069="",H1069="sif",H1069="PM"),0,VLOOKUP(H1069,[5]CU!$C$4:$H$255,6,FALSE))</f>
        <v>0</v>
      </c>
      <c r="O1069" s="56">
        <f t="shared" si="183"/>
        <v>0</v>
      </c>
      <c r="P1069" s="56">
        <f t="shared" si="183"/>
        <v>0</v>
      </c>
      <c r="Q1069" s="56">
        <f t="shared" si="183"/>
        <v>0</v>
      </c>
      <c r="R1069" s="56">
        <f t="shared" si="183"/>
        <v>0</v>
      </c>
      <c r="S1069" s="53"/>
      <c r="T1069" s="35" t="s">
        <v>56</v>
      </c>
      <c r="U1069" s="18" t="s">
        <v>1156</v>
      </c>
      <c r="V1069" s="19" t="str">
        <f>IF(OR($H1069="",$H1069="sif",$H1069="PM"),"",VLOOKUP($H1069,[5]CU!$C$5:$J$255,8,FALSE))</f>
        <v/>
      </c>
      <c r="W1069" s="18" t="s">
        <v>521</v>
      </c>
      <c r="X1069" s="18" t="s">
        <v>1334</v>
      </c>
      <c r="Y1069" s="18" t="s">
        <v>677</v>
      </c>
      <c r="Z1069" s="19" t="str">
        <f>A1069 &amp; "-" &amp; VLOOKUP(A1069,[4]PROGRAMMES!$E$1:$F$7,2,FALSE)</f>
        <v>3-Expansion et réforme de l’ETFP</v>
      </c>
      <c r="AA1069" s="19" t="str">
        <f>B1069 &amp; "-" &amp; VLOOKUP(B1069,[4]SOUSPROGRAMMES!$E$1:$F$44,2,FALSE)</f>
        <v>34- le financement du développement de l’ETFP</v>
      </c>
      <c r="AB1069" s="19" t="str">
        <f>C1069 &amp; "-" &amp; VLOOKUP(C1069,[4]RESULTATS!$E$1:$F$176,2,FALSE)</f>
        <v>341- L’allocation budgétaire de l’ETFP dans le budget de l’éducation est améliorée</v>
      </c>
      <c r="AC1069" s="20" t="str">
        <f>D1069 &amp; "-" &amp; VLOOKUP(D1069,[4]STRATEGIES!$E$1:$F$504,2,FALSE)</f>
        <v>3411-Plaidoyer pour concrétiser la priorité accordée à l’ETFP</v>
      </c>
      <c r="AD1069" s="21" t="str">
        <f t="shared" si="181"/>
        <v>34112-Organisation de réunion de concertation et d'information avec les services techniques du budget et du plan</v>
      </c>
    </row>
    <row r="1070" spans="1:30" s="22" customFormat="1" ht="45" customHeight="1" x14ac:dyDescent="0.8">
      <c r="A1070" s="14">
        <v>3</v>
      </c>
      <c r="B1070" s="15">
        <v>34</v>
      </c>
      <c r="C1070" s="15">
        <v>341</v>
      </c>
      <c r="D1070" s="15">
        <v>3412</v>
      </c>
      <c r="E1070" s="14">
        <v>3412</v>
      </c>
      <c r="F1070" s="16" t="s">
        <v>1397</v>
      </c>
      <c r="G1070" s="17"/>
      <c r="H1070" s="17"/>
      <c r="I1070" s="56">
        <v>0</v>
      </c>
      <c r="J1070" s="56"/>
      <c r="K1070" s="56"/>
      <c r="L1070" s="56"/>
      <c r="M1070" s="56"/>
      <c r="N1070" s="56"/>
      <c r="O1070" s="56"/>
      <c r="P1070" s="56"/>
      <c r="Q1070" s="56"/>
      <c r="R1070" s="56"/>
      <c r="S1070" s="53"/>
      <c r="T1070" s="33"/>
      <c r="U1070" s="18"/>
      <c r="V1070" s="19"/>
      <c r="W1070" s="18"/>
      <c r="X1070" s="18"/>
      <c r="Y1070" s="18" t="s">
        <v>677</v>
      </c>
      <c r="Z1070" s="19" t="str">
        <f>A1070 &amp; "-" &amp; VLOOKUP(A1070,[4]PROGRAMMES!$E$1:$F$7,2,FALSE)</f>
        <v>3-Expansion et réforme de l’ETFP</v>
      </c>
      <c r="AA1070" s="19" t="str">
        <f>B1070 &amp; "-" &amp; VLOOKUP(B1070,[4]SOUSPROGRAMMES!$E$1:$F$44,2,FALSE)</f>
        <v>34- le financement du développement de l’ETFP</v>
      </c>
      <c r="AB1070" s="19" t="str">
        <f>C1070 &amp; "-" &amp; VLOOKUP(C1070,[4]RESULTATS!$E$1:$F$176,2,FALSE)</f>
        <v>341- L’allocation budgétaire de l’ETFP dans le budget de l’éducation est améliorée</v>
      </c>
      <c r="AC1070" s="20" t="str">
        <f>D1070 &amp; "-" &amp; VLOOKUP(D1070,[4]STRATEGIES!$E$1:$F$504,2,FALSE)</f>
        <v>3412-Adaptation des lignes budgétaire pour tenir compte des spécificités de l’ETFP</v>
      </c>
      <c r="AD1070" s="21" t="str">
        <f t="shared" si="181"/>
        <v>3412-Adaptation des lignes budgétaire pour tenir compte des spécificités de l’ETFP</v>
      </c>
    </row>
    <row r="1071" spans="1:30" s="22" customFormat="1" ht="45" hidden="1" customHeight="1" x14ac:dyDescent="0.8">
      <c r="A1071" s="14">
        <v>3</v>
      </c>
      <c r="B1071" s="15">
        <v>34</v>
      </c>
      <c r="C1071" s="15">
        <v>341</v>
      </c>
      <c r="D1071" s="15">
        <v>3412</v>
      </c>
      <c r="E1071" s="14">
        <v>34121</v>
      </c>
      <c r="F1071" s="16" t="s">
        <v>1398</v>
      </c>
      <c r="G1071" s="21" t="s">
        <v>836</v>
      </c>
      <c r="H1071" s="17" t="s">
        <v>55</v>
      </c>
      <c r="I1071" s="56">
        <v>0</v>
      </c>
      <c r="J1071" s="56" t="s">
        <v>1399</v>
      </c>
      <c r="K1071" s="56"/>
      <c r="L1071" s="56"/>
      <c r="M1071" s="56">
        <f t="shared" si="182"/>
        <v>0</v>
      </c>
      <c r="N1071" s="56">
        <f>IF(OR(H1071="",H1071="sif",H1071="PM"),0,VLOOKUP(H1071,[5]CU!$C$4:$H$255,6,FALSE))</f>
        <v>0</v>
      </c>
      <c r="O1071" s="56">
        <f t="shared" si="183"/>
        <v>0</v>
      </c>
      <c r="P1071" s="56">
        <f t="shared" si="183"/>
        <v>0</v>
      </c>
      <c r="Q1071" s="56">
        <f t="shared" si="183"/>
        <v>0</v>
      </c>
      <c r="R1071" s="56">
        <f t="shared" si="183"/>
        <v>0</v>
      </c>
      <c r="S1071" s="53"/>
      <c r="T1071" s="35" t="s">
        <v>56</v>
      </c>
      <c r="U1071" s="18" t="s">
        <v>1156</v>
      </c>
      <c r="V1071" s="19" t="str">
        <f>IF(OR($H1071="",$H1071="sif",$H1071="PM"),"",VLOOKUP($H1071,[5]CU!$C$5:$J$255,8,FALSE))</f>
        <v/>
      </c>
      <c r="W1071" s="18" t="s">
        <v>521</v>
      </c>
      <c r="X1071" s="18" t="s">
        <v>1334</v>
      </c>
      <c r="Y1071" s="18" t="s">
        <v>677</v>
      </c>
      <c r="Z1071" s="19" t="str">
        <f>A1071 &amp; "-" &amp; VLOOKUP(A1071,[4]PROGRAMMES!$E$1:$F$7,2,FALSE)</f>
        <v>3-Expansion et réforme de l’ETFP</v>
      </c>
      <c r="AA1071" s="19" t="str">
        <f>B1071 &amp; "-" &amp; VLOOKUP(B1071,[4]SOUSPROGRAMMES!$E$1:$F$44,2,FALSE)</f>
        <v>34- le financement du développement de l’ETFP</v>
      </c>
      <c r="AB1071" s="19" t="str">
        <f>C1071 &amp; "-" &amp; VLOOKUP(C1071,[4]RESULTATS!$E$1:$F$176,2,FALSE)</f>
        <v>341- L’allocation budgétaire de l’ETFP dans le budget de l’éducation est améliorée</v>
      </c>
      <c r="AC1071" s="20" t="str">
        <f>D1071 &amp; "-" &amp; VLOOKUP(D1071,[4]STRATEGIES!$E$1:$F$504,2,FALSE)</f>
        <v>3412-Adaptation des lignes budgétaire pour tenir compte des spécificités de l’ETFP</v>
      </c>
      <c r="AD1071" s="21" t="str">
        <f t="shared" si="181"/>
        <v>34121-Proposition de lignes budgétaires pour les activités spécifiques à l'ETFP</v>
      </c>
    </row>
    <row r="1072" spans="1:30" s="22" customFormat="1" ht="45" hidden="1" customHeight="1" x14ac:dyDescent="0.8">
      <c r="A1072" s="14">
        <v>3</v>
      </c>
      <c r="B1072" s="15">
        <v>34</v>
      </c>
      <c r="C1072" s="15">
        <v>341</v>
      </c>
      <c r="D1072" s="15">
        <v>3412</v>
      </c>
      <c r="E1072" s="14">
        <v>34122</v>
      </c>
      <c r="F1072" s="16" t="s">
        <v>1400</v>
      </c>
      <c r="G1072" s="21" t="s">
        <v>836</v>
      </c>
      <c r="H1072" s="17" t="s">
        <v>55</v>
      </c>
      <c r="I1072" s="56">
        <v>0</v>
      </c>
      <c r="J1072" s="56"/>
      <c r="K1072" s="56"/>
      <c r="L1072" s="56"/>
      <c r="M1072" s="56">
        <f t="shared" si="182"/>
        <v>0</v>
      </c>
      <c r="N1072" s="56">
        <f>IF(OR(H1072="",H1072="sif",H1072="PM"),0,VLOOKUP(H1072,[5]CU!$C$4:$H$255,6,FALSE))</f>
        <v>0</v>
      </c>
      <c r="O1072" s="56">
        <f t="shared" si="183"/>
        <v>0</v>
      </c>
      <c r="P1072" s="56">
        <f t="shared" si="183"/>
        <v>0</v>
      </c>
      <c r="Q1072" s="56">
        <f t="shared" si="183"/>
        <v>0</v>
      </c>
      <c r="R1072" s="56">
        <f t="shared" si="183"/>
        <v>0</v>
      </c>
      <c r="S1072" s="53"/>
      <c r="T1072" s="35" t="s">
        <v>56</v>
      </c>
      <c r="U1072" s="18" t="s">
        <v>1156</v>
      </c>
      <c r="V1072" s="19" t="str">
        <f>IF(OR($H1072="",$H1072="sif",$H1072="PM"),"",VLOOKUP($H1072,[5]CU!$C$5:$J$255,8,FALSE))</f>
        <v/>
      </c>
      <c r="W1072" s="18" t="s">
        <v>521</v>
      </c>
      <c r="X1072" s="18" t="s">
        <v>1334</v>
      </c>
      <c r="Y1072" s="18" t="s">
        <v>677</v>
      </c>
      <c r="Z1072" s="19" t="str">
        <f>A1072 &amp; "-" &amp; VLOOKUP(A1072,[4]PROGRAMMES!$E$1:$F$7,2,FALSE)</f>
        <v>3-Expansion et réforme de l’ETFP</v>
      </c>
      <c r="AA1072" s="19" t="str">
        <f>B1072 &amp; "-" &amp; VLOOKUP(B1072,[4]SOUSPROGRAMMES!$E$1:$F$44,2,FALSE)</f>
        <v>34- le financement du développement de l’ETFP</v>
      </c>
      <c r="AB1072" s="19" t="str">
        <f>C1072 &amp; "-" &amp; VLOOKUP(C1072,[4]RESULTATS!$E$1:$F$176,2,FALSE)</f>
        <v>341- L’allocation budgétaire de l’ETFP dans le budget de l’éducation est améliorée</v>
      </c>
      <c r="AC1072" s="20" t="str">
        <f>D1072 &amp; "-" &amp; VLOOKUP(D1072,[4]STRATEGIES!$E$1:$F$504,2,FALSE)</f>
        <v>3412-Adaptation des lignes budgétaire pour tenir compte des spécificités de l’ETFP</v>
      </c>
      <c r="AD1072" s="21" t="str">
        <f t="shared" si="181"/>
        <v>34122-Validation de lignes budgétaires par la direction nationale du budget</v>
      </c>
    </row>
    <row r="1073" spans="1:30" s="22" customFormat="1" ht="45" customHeight="1" x14ac:dyDescent="0.8">
      <c r="A1073" s="14">
        <v>3</v>
      </c>
      <c r="B1073" s="15">
        <v>34</v>
      </c>
      <c r="C1073" s="15">
        <v>342</v>
      </c>
      <c r="D1073" s="15">
        <v>342</v>
      </c>
      <c r="E1073" s="14">
        <v>342</v>
      </c>
      <c r="F1073" s="16" t="s">
        <v>1401</v>
      </c>
      <c r="G1073" s="17"/>
      <c r="H1073" s="17"/>
      <c r="I1073" s="56">
        <v>0</v>
      </c>
      <c r="J1073" s="56"/>
      <c r="K1073" s="56"/>
      <c r="L1073" s="56"/>
      <c r="M1073" s="56"/>
      <c r="N1073" s="56"/>
      <c r="O1073" s="56"/>
      <c r="P1073" s="56"/>
      <c r="Q1073" s="56"/>
      <c r="R1073" s="56"/>
      <c r="S1073" s="53"/>
      <c r="T1073" s="33"/>
      <c r="U1073" s="18"/>
      <c r="V1073" s="19"/>
      <c r="W1073" s="18"/>
      <c r="X1073" s="18"/>
      <c r="Y1073" s="18" t="s">
        <v>677</v>
      </c>
      <c r="Z1073" s="19" t="str">
        <f>A1073 &amp; "-" &amp; VLOOKUP(A1073,[4]PROGRAMMES!$E$1:$F$7,2,FALSE)</f>
        <v>3-Expansion et réforme de l’ETFP</v>
      </c>
      <c r="AA1073" s="19" t="str">
        <f>B1073 &amp; "-" &amp; VLOOKUP(B1073,[4]SOUSPROGRAMMES!$E$1:$F$44,2,FALSE)</f>
        <v>34- le financement du développement de l’ETFP</v>
      </c>
      <c r="AB1073" s="19" t="str">
        <f>C1073 &amp; "-" &amp; VLOOKUP(C1073,[4]RESULTATS!$E$1:$F$176,2,FALSE)</f>
        <v>342- Le reversement intégral du produit de la taxe de l’apprentissage au FNQP est effectif</v>
      </c>
      <c r="AC1073" s="20" t="str">
        <f>D1073 &amp; "-" &amp; VLOOKUP(D1073,[4]STRATEGIES!$E$1:$F$504,2,FALSE)</f>
        <v>342- Le reversement intégral du produit de la taxe de l’apprentissage au FNQP est effectif</v>
      </c>
      <c r="AD1073" s="21" t="str">
        <f t="shared" si="181"/>
        <v>342- Le reversement intégral du produit de la taxe de l’apprentissage au FNQP est effectif</v>
      </c>
    </row>
    <row r="1074" spans="1:30" s="22" customFormat="1" ht="45" customHeight="1" x14ac:dyDescent="0.8">
      <c r="A1074" s="14">
        <v>3</v>
      </c>
      <c r="B1074" s="15">
        <v>34</v>
      </c>
      <c r="C1074" s="15">
        <v>342</v>
      </c>
      <c r="D1074" s="15">
        <v>3421</v>
      </c>
      <c r="E1074" s="14">
        <v>3421</v>
      </c>
      <c r="F1074" s="16" t="s">
        <v>1402</v>
      </c>
      <c r="G1074" s="17"/>
      <c r="H1074" s="17"/>
      <c r="I1074" s="56">
        <v>0</v>
      </c>
      <c r="J1074" s="56"/>
      <c r="K1074" s="56"/>
      <c r="L1074" s="56"/>
      <c r="M1074" s="56"/>
      <c r="N1074" s="56"/>
      <c r="O1074" s="56"/>
      <c r="P1074" s="56"/>
      <c r="Q1074" s="56"/>
      <c r="R1074" s="56"/>
      <c r="S1074" s="53"/>
      <c r="T1074" s="33"/>
      <c r="U1074" s="18"/>
      <c r="V1074" s="19"/>
      <c r="W1074" s="18"/>
      <c r="X1074" s="18"/>
      <c r="Y1074" s="18" t="s">
        <v>677</v>
      </c>
      <c r="Z1074" s="19" t="str">
        <f>A1074 &amp; "-" &amp; VLOOKUP(A1074,[4]PROGRAMMES!$E$1:$F$7,2,FALSE)</f>
        <v>3-Expansion et réforme de l’ETFP</v>
      </c>
      <c r="AA1074" s="19" t="str">
        <f>B1074 &amp; "-" &amp; VLOOKUP(B1074,[4]SOUSPROGRAMMES!$E$1:$F$44,2,FALSE)</f>
        <v>34- le financement du développement de l’ETFP</v>
      </c>
      <c r="AB1074" s="19" t="str">
        <f>C1074 &amp; "-" &amp; VLOOKUP(C1074,[4]RESULTATS!$E$1:$F$176,2,FALSE)</f>
        <v>342- Le reversement intégral du produit de la taxe de l’apprentissage au FNQP est effectif</v>
      </c>
      <c r="AC1074" s="20" t="str">
        <f>D1074 &amp; "-" &amp; VLOOKUP(D1074,[4]STRATEGIES!$E$1:$F$504,2,FALSE)</f>
        <v>3421-Plaidoyer pour le reversement intégral du produit de la taxe de l’apprentissage au FNQP</v>
      </c>
      <c r="AD1074" s="21" t="str">
        <f t="shared" si="181"/>
        <v>3421-Plaidoyer pour le reversement intégral du produit de la taxe de l’apprentissage au FNQP</v>
      </c>
    </row>
    <row r="1075" spans="1:30" s="22" customFormat="1" ht="45" hidden="1" customHeight="1" x14ac:dyDescent="0.8">
      <c r="A1075" s="14">
        <v>3</v>
      </c>
      <c r="B1075" s="15">
        <v>34</v>
      </c>
      <c r="C1075" s="15">
        <v>342</v>
      </c>
      <c r="D1075" s="15">
        <v>3421</v>
      </c>
      <c r="E1075" s="14">
        <v>34211</v>
      </c>
      <c r="F1075" s="16" t="s">
        <v>1403</v>
      </c>
      <c r="G1075" s="21" t="s">
        <v>651</v>
      </c>
      <c r="H1075" s="17" t="s">
        <v>55</v>
      </c>
      <c r="I1075" s="56">
        <v>0</v>
      </c>
      <c r="J1075" s="56">
        <v>1</v>
      </c>
      <c r="K1075" s="56"/>
      <c r="L1075" s="56"/>
      <c r="M1075" s="56">
        <f t="shared" si="182"/>
        <v>1</v>
      </c>
      <c r="N1075" s="56">
        <f>IF(OR(H1075="",H1075="sif",H1075="PM"),0,VLOOKUP(H1075,[5]CU!$C$4:$H$255,6,FALSE))</f>
        <v>0</v>
      </c>
      <c r="O1075" s="56">
        <f t="shared" si="183"/>
        <v>0</v>
      </c>
      <c r="P1075" s="56">
        <f t="shared" si="183"/>
        <v>0</v>
      </c>
      <c r="Q1075" s="56">
        <f t="shared" si="183"/>
        <v>0</v>
      </c>
      <c r="R1075" s="56">
        <f t="shared" si="183"/>
        <v>0</v>
      </c>
      <c r="S1075" s="53"/>
      <c r="T1075" s="35" t="s">
        <v>56</v>
      </c>
      <c r="U1075" s="18" t="s">
        <v>1156</v>
      </c>
      <c r="V1075" s="19" t="str">
        <f>IF(OR($H1075="",$H1075="sif",$H1075="PM"),"",VLOOKUP($H1075,[5]CU!$C$5:$J$255,8,FALSE))</f>
        <v/>
      </c>
      <c r="W1075" s="18" t="s">
        <v>521</v>
      </c>
      <c r="X1075" s="18" t="s">
        <v>1404</v>
      </c>
      <c r="Y1075" s="18" t="s">
        <v>677</v>
      </c>
      <c r="Z1075" s="19" t="str">
        <f>A1075 &amp; "-" &amp; VLOOKUP(A1075,[4]PROGRAMMES!$E$1:$F$7,2,FALSE)</f>
        <v>3-Expansion et réforme de l’ETFP</v>
      </c>
      <c r="AA1075" s="19" t="str">
        <f>B1075 &amp; "-" &amp; VLOOKUP(B1075,[4]SOUSPROGRAMMES!$E$1:$F$44,2,FALSE)</f>
        <v>34- le financement du développement de l’ETFP</v>
      </c>
      <c r="AB1075" s="19" t="str">
        <f>C1075 &amp; "-" &amp; VLOOKUP(C1075,[4]RESULTATS!$E$1:$F$176,2,FALSE)</f>
        <v>342- Le reversement intégral du produit de la taxe de l’apprentissage au FNQP est effectif</v>
      </c>
      <c r="AC1075" s="20" t="str">
        <f>D1075 &amp; "-" &amp; VLOOKUP(D1075,[4]STRATEGIES!$E$1:$F$504,2,FALSE)</f>
        <v>3421-Plaidoyer pour le reversement intégral du produit de la taxe de l’apprentissage au FNQP</v>
      </c>
      <c r="AD1075" s="21" t="str">
        <f t="shared" si="181"/>
        <v>34211-Elaboration et adoption des textes instaurant le reversement de la taxe d'apprentissage pour le Financement de la formation professionnelle</v>
      </c>
    </row>
    <row r="1076" spans="1:30" s="22" customFormat="1" ht="45" hidden="1" customHeight="1" x14ac:dyDescent="0.8">
      <c r="A1076" s="14">
        <v>3</v>
      </c>
      <c r="B1076" s="15">
        <v>34</v>
      </c>
      <c r="C1076" s="15">
        <v>342</v>
      </c>
      <c r="D1076" s="15">
        <v>3421</v>
      </c>
      <c r="E1076" s="14">
        <v>34212</v>
      </c>
      <c r="F1076" s="16" t="s">
        <v>1405</v>
      </c>
      <c r="G1076" s="21" t="s">
        <v>836</v>
      </c>
      <c r="H1076" s="17" t="s">
        <v>55</v>
      </c>
      <c r="I1076" s="56">
        <v>0</v>
      </c>
      <c r="J1076" s="56">
        <v>1</v>
      </c>
      <c r="K1076" s="56"/>
      <c r="L1076" s="56"/>
      <c r="M1076" s="56">
        <f t="shared" si="182"/>
        <v>1</v>
      </c>
      <c r="N1076" s="56">
        <f>IF(OR(H1076="",H1076="sif",H1076="PM"),0,VLOOKUP(H1076,[5]CU!$C$4:$H$255,6,FALSE))</f>
        <v>0</v>
      </c>
      <c r="O1076" s="56">
        <f t="shared" si="183"/>
        <v>0</v>
      </c>
      <c r="P1076" s="56">
        <f t="shared" si="183"/>
        <v>0</v>
      </c>
      <c r="Q1076" s="56">
        <f t="shared" si="183"/>
        <v>0</v>
      </c>
      <c r="R1076" s="56">
        <f t="shared" si="183"/>
        <v>0</v>
      </c>
      <c r="S1076" s="53"/>
      <c r="T1076" s="35" t="s">
        <v>56</v>
      </c>
      <c r="U1076" s="18" t="s">
        <v>1156</v>
      </c>
      <c r="V1076" s="19" t="str">
        <f>IF(OR($H1076="",$H1076="sif",$H1076="PM"),"",VLOOKUP($H1076,[5]CU!$C$5:$J$255,8,FALSE))</f>
        <v/>
      </c>
      <c r="W1076" s="18" t="s">
        <v>521</v>
      </c>
      <c r="X1076" s="18" t="s">
        <v>1404</v>
      </c>
      <c r="Y1076" s="18" t="s">
        <v>677</v>
      </c>
      <c r="Z1076" s="19" t="str">
        <f>A1076 &amp; "-" &amp; VLOOKUP(A1076,[4]PROGRAMMES!$E$1:$F$7,2,FALSE)</f>
        <v>3-Expansion et réforme de l’ETFP</v>
      </c>
      <c r="AA1076" s="19" t="str">
        <f>B1076 &amp; "-" &amp; VLOOKUP(B1076,[4]SOUSPROGRAMMES!$E$1:$F$44,2,FALSE)</f>
        <v>34- le financement du développement de l’ETFP</v>
      </c>
      <c r="AB1076" s="19" t="str">
        <f>C1076 &amp; "-" &amp; VLOOKUP(C1076,[4]RESULTATS!$E$1:$F$176,2,FALSE)</f>
        <v>342- Le reversement intégral du produit de la taxe de l’apprentissage au FNQP est effectif</v>
      </c>
      <c r="AC1076" s="20" t="str">
        <f>D1076 &amp; "-" &amp; VLOOKUP(D1076,[4]STRATEGIES!$E$1:$F$504,2,FALSE)</f>
        <v>3421-Plaidoyer pour le reversement intégral du produit de la taxe de l’apprentissage au FNQP</v>
      </c>
      <c r="AD1076" s="21" t="str">
        <f t="shared" si="181"/>
        <v>34212-Révision des textes régissant le fonds national pour la qualification professionnelle</v>
      </c>
    </row>
    <row r="1077" spans="1:30" s="22" customFormat="1" ht="45" hidden="1" customHeight="1" x14ac:dyDescent="0.8">
      <c r="A1077" s="14">
        <v>3</v>
      </c>
      <c r="B1077" s="15">
        <v>34</v>
      </c>
      <c r="C1077" s="15">
        <v>342</v>
      </c>
      <c r="D1077" s="15">
        <v>3421</v>
      </c>
      <c r="E1077" s="14">
        <v>34213</v>
      </c>
      <c r="F1077" s="16" t="s">
        <v>1406</v>
      </c>
      <c r="G1077" s="21" t="s">
        <v>836</v>
      </c>
      <c r="H1077" s="17" t="s">
        <v>55</v>
      </c>
      <c r="I1077" s="56">
        <v>0</v>
      </c>
      <c r="J1077" s="56">
        <v>1</v>
      </c>
      <c r="K1077" s="56"/>
      <c r="L1077" s="56"/>
      <c r="M1077" s="56">
        <f t="shared" si="182"/>
        <v>1</v>
      </c>
      <c r="N1077" s="56">
        <f>IF(OR(H1077="",H1077="sif",H1077="PM"),0,VLOOKUP(H1077,[5]CU!$C$4:$H$255,6,FALSE))</f>
        <v>0</v>
      </c>
      <c r="O1077" s="56">
        <f t="shared" si="183"/>
        <v>0</v>
      </c>
      <c r="P1077" s="56">
        <f t="shared" si="183"/>
        <v>0</v>
      </c>
      <c r="Q1077" s="56">
        <f t="shared" si="183"/>
        <v>0</v>
      </c>
      <c r="R1077" s="56">
        <f t="shared" si="183"/>
        <v>0</v>
      </c>
      <c r="S1077" s="53"/>
      <c r="T1077" s="35" t="s">
        <v>56</v>
      </c>
      <c r="U1077" s="18" t="s">
        <v>1156</v>
      </c>
      <c r="V1077" s="19" t="str">
        <f>IF(OR($H1077="",$H1077="sif",$H1077="PM"),"",VLOOKUP($H1077,[5]CU!$C$5:$J$255,8,FALSE))</f>
        <v/>
      </c>
      <c r="W1077" s="18" t="s">
        <v>521</v>
      </c>
      <c r="X1077" s="18" t="s">
        <v>1404</v>
      </c>
      <c r="Y1077" s="18" t="s">
        <v>677</v>
      </c>
      <c r="Z1077" s="19" t="str">
        <f>A1077 &amp; "-" &amp; VLOOKUP(A1077,[4]PROGRAMMES!$E$1:$F$7,2,FALSE)</f>
        <v>3-Expansion et réforme de l’ETFP</v>
      </c>
      <c r="AA1077" s="19" t="str">
        <f>B1077 &amp; "-" &amp; VLOOKUP(B1077,[4]SOUSPROGRAMMES!$E$1:$F$44,2,FALSE)</f>
        <v>34- le financement du développement de l’ETFP</v>
      </c>
      <c r="AB1077" s="19" t="str">
        <f>C1077 &amp; "-" &amp; VLOOKUP(C1077,[4]RESULTATS!$E$1:$F$176,2,FALSE)</f>
        <v>342- Le reversement intégral du produit de la taxe de l’apprentissage au FNQP est effectif</v>
      </c>
      <c r="AC1077" s="20" t="str">
        <f>D1077 &amp; "-" &amp; VLOOKUP(D1077,[4]STRATEGIES!$E$1:$F$504,2,FALSE)</f>
        <v>3421-Plaidoyer pour le reversement intégral du produit de la taxe de l’apprentissage au FNQP</v>
      </c>
      <c r="AD1077" s="21" t="str">
        <f t="shared" si="181"/>
        <v>34213-Introduction dans le contrat des sociétés minières le paiement de la CFPCA pour la mise à niveau de la main d'œuvre nationale</v>
      </c>
    </row>
    <row r="1078" spans="1:30" s="22" customFormat="1" ht="45" customHeight="1" x14ac:dyDescent="0.8">
      <c r="A1078" s="14">
        <v>3</v>
      </c>
      <c r="B1078" s="15">
        <v>34</v>
      </c>
      <c r="C1078" s="15">
        <v>342</v>
      </c>
      <c r="D1078" s="15">
        <v>3422</v>
      </c>
      <c r="E1078" s="14">
        <v>3422</v>
      </c>
      <c r="F1078" s="16" t="s">
        <v>1407</v>
      </c>
      <c r="G1078" s="17"/>
      <c r="H1078" s="17"/>
      <c r="I1078" s="56">
        <v>0</v>
      </c>
      <c r="J1078" s="56"/>
      <c r="K1078" s="56"/>
      <c r="L1078" s="56"/>
      <c r="M1078" s="56"/>
      <c r="N1078" s="56"/>
      <c r="O1078" s="56"/>
      <c r="P1078" s="56"/>
      <c r="Q1078" s="56"/>
      <c r="R1078" s="56"/>
      <c r="S1078" s="53"/>
      <c r="T1078" s="33"/>
      <c r="U1078" s="18"/>
      <c r="V1078" s="19"/>
      <c r="W1078" s="18"/>
      <c r="X1078" s="18"/>
      <c r="Y1078" s="18" t="s">
        <v>677</v>
      </c>
      <c r="Z1078" s="19" t="str">
        <f>A1078 &amp; "-" &amp; VLOOKUP(A1078,[4]PROGRAMMES!$E$1:$F$7,2,FALSE)</f>
        <v>3-Expansion et réforme de l’ETFP</v>
      </c>
      <c r="AA1078" s="19" t="str">
        <f>B1078 &amp; "-" &amp; VLOOKUP(B1078,[4]SOUSPROGRAMMES!$E$1:$F$44,2,FALSE)</f>
        <v>34- le financement du développement de l’ETFP</v>
      </c>
      <c r="AB1078" s="19" t="str">
        <f>C1078 &amp; "-" &amp; VLOOKUP(C1078,[4]RESULTATS!$E$1:$F$176,2,FALSE)</f>
        <v>342- Le reversement intégral du produit de la taxe de l’apprentissage au FNQP est effectif</v>
      </c>
      <c r="AC1078" s="20" t="str">
        <f>D1078 &amp; "-" &amp; VLOOKUP(D1078,[4]STRATEGIES!$E$1:$F$504,2,FALSE)</f>
        <v>3422-Mise en place d’une stratégie de gestion de la taxe d’apprentissage</v>
      </c>
      <c r="AD1078" s="21" t="str">
        <f t="shared" si="181"/>
        <v>3422-Mise en place d’une stratégie de gestion de la taxe d’apprentissage</v>
      </c>
    </row>
    <row r="1079" spans="1:30" s="22" customFormat="1" ht="45" hidden="1" customHeight="1" x14ac:dyDescent="0.8">
      <c r="A1079" s="14">
        <v>3</v>
      </c>
      <c r="B1079" s="15">
        <v>34</v>
      </c>
      <c r="C1079" s="15">
        <v>342</v>
      </c>
      <c r="D1079" s="15">
        <v>3422</v>
      </c>
      <c r="E1079" s="14">
        <v>34221</v>
      </c>
      <c r="F1079" s="16" t="s">
        <v>1408</v>
      </c>
      <c r="G1079" s="21" t="s">
        <v>1409</v>
      </c>
      <c r="H1079" s="17" t="s">
        <v>38</v>
      </c>
      <c r="I1079" s="56">
        <v>0</v>
      </c>
      <c r="J1079" s="56"/>
      <c r="K1079" s="56">
        <f>35*2*4</f>
        <v>280</v>
      </c>
      <c r="L1079" s="56">
        <f>35*2*4</f>
        <v>280</v>
      </c>
      <c r="M1079" s="56">
        <f t="shared" si="182"/>
        <v>560</v>
      </c>
      <c r="N1079" s="56">
        <f>IF(OR(H1079="",H1079="sif",H1079="PM"),0,VLOOKUP(H1079,[5]CU!$C$4:$H$255,6,FALSE))</f>
        <v>0.3133333333333333</v>
      </c>
      <c r="O1079" s="56">
        <f t="shared" si="183"/>
        <v>0</v>
      </c>
      <c r="P1079" s="56">
        <f t="shared" si="183"/>
        <v>0</v>
      </c>
      <c r="Q1079" s="56">
        <f t="shared" si="183"/>
        <v>87.73333333333332</v>
      </c>
      <c r="R1079" s="56">
        <f t="shared" si="183"/>
        <v>87.73333333333332</v>
      </c>
      <c r="S1079" s="53">
        <f>SUM(O1079:R1079)</f>
        <v>175.46666666666664</v>
      </c>
      <c r="T1079" s="35" t="s">
        <v>56</v>
      </c>
      <c r="U1079" s="18" t="s">
        <v>1156</v>
      </c>
      <c r="V1079" s="19" t="str">
        <f>IF(OR($H1079="",$H1079="sif",$H1079="PM"),"",VLOOKUP($H1079,[5]CU!$C$5:$J$255,8,FALSE))</f>
        <v>3. Formation</v>
      </c>
      <c r="W1079" s="18" t="s">
        <v>521</v>
      </c>
      <c r="X1079" s="18" t="s">
        <v>1404</v>
      </c>
      <c r="Y1079" s="18" t="s">
        <v>677</v>
      </c>
      <c r="Z1079" s="19" t="str">
        <f>A1079 &amp; "-" &amp; VLOOKUP(A1079,[4]PROGRAMMES!$E$1:$F$7,2,FALSE)</f>
        <v>3-Expansion et réforme de l’ETFP</v>
      </c>
      <c r="AA1079" s="19" t="str">
        <f>B1079 &amp; "-" &amp; VLOOKUP(B1079,[4]SOUSPROGRAMMES!$E$1:$F$44,2,FALSE)</f>
        <v>34- le financement du développement de l’ETFP</v>
      </c>
      <c r="AB1079" s="19" t="str">
        <f>C1079 &amp; "-" &amp; VLOOKUP(C1079,[4]RESULTATS!$E$1:$F$176,2,FALSE)</f>
        <v>342- Le reversement intégral du produit de la taxe de l’apprentissage au FNQP est effectif</v>
      </c>
      <c r="AC1079" s="20" t="str">
        <f>D1079 &amp; "-" &amp; VLOOKUP(D1079,[4]STRATEGIES!$E$1:$F$504,2,FALSE)</f>
        <v>3422-Mise en place d’une stratégie de gestion de la taxe d’apprentissage</v>
      </c>
      <c r="AD1079" s="21" t="str">
        <f t="shared" si="181"/>
        <v>34221-Organisation de rencontres avec les services concernés (ONFPP, différents services du METFP-ET et employeurs) pour la déFinition de stratégie de gestion de la taxe d'apprentissage</v>
      </c>
    </row>
    <row r="1080" spans="1:30" s="22" customFormat="1" ht="45" customHeight="1" x14ac:dyDescent="0.8">
      <c r="A1080" s="14">
        <v>3</v>
      </c>
      <c r="B1080" s="15">
        <v>34</v>
      </c>
      <c r="C1080" s="15">
        <v>342</v>
      </c>
      <c r="D1080" s="15">
        <v>3423</v>
      </c>
      <c r="E1080" s="14">
        <v>3423</v>
      </c>
      <c r="F1080" s="16" t="s">
        <v>1410</v>
      </c>
      <c r="G1080" s="17"/>
      <c r="H1080" s="17"/>
      <c r="I1080" s="56">
        <v>0</v>
      </c>
      <c r="J1080" s="56"/>
      <c r="K1080" s="56"/>
      <c r="L1080" s="56"/>
      <c r="M1080" s="56"/>
      <c r="N1080" s="56"/>
      <c r="O1080" s="56"/>
      <c r="P1080" s="56"/>
      <c r="Q1080" s="56"/>
      <c r="R1080" s="56"/>
      <c r="S1080" s="53"/>
      <c r="T1080" s="33"/>
      <c r="U1080" s="18"/>
      <c r="V1080" s="19"/>
      <c r="W1080" s="18"/>
      <c r="X1080" s="18"/>
      <c r="Y1080" s="18" t="s">
        <v>677</v>
      </c>
      <c r="Z1080" s="19" t="str">
        <f>A1080 &amp; "-" &amp; VLOOKUP(A1080,[4]PROGRAMMES!$E$1:$F$7,2,FALSE)</f>
        <v>3-Expansion et réforme de l’ETFP</v>
      </c>
      <c r="AA1080" s="19" t="str">
        <f>B1080 &amp; "-" &amp; VLOOKUP(B1080,[4]SOUSPROGRAMMES!$E$1:$F$44,2,FALSE)</f>
        <v>34- le financement du développement de l’ETFP</v>
      </c>
      <c r="AB1080" s="19" t="str">
        <f>C1080 &amp; "-" &amp; VLOOKUP(C1080,[4]RESULTATS!$E$1:$F$176,2,FALSE)</f>
        <v>342- Le reversement intégral du produit de la taxe de l’apprentissage au FNQP est effectif</v>
      </c>
      <c r="AC1080" s="20" t="str">
        <f>D1080 &amp; "-" &amp; VLOOKUP(D1080,[4]STRATEGIES!$E$1:$F$504,2,FALSE)</f>
        <v xml:space="preserve">3423-Opérationnalisation de la stratégie de gestion de la taxe
</v>
      </c>
      <c r="AD1080" s="21" t="str">
        <f t="shared" si="181"/>
        <v xml:space="preserve">3423-Opérationnalisation de la stratégie de gestion de la taxe
</v>
      </c>
    </row>
    <row r="1081" spans="1:30" s="22" customFormat="1" ht="45" hidden="1" customHeight="1" x14ac:dyDescent="0.8">
      <c r="A1081" s="14">
        <v>3</v>
      </c>
      <c r="B1081" s="15">
        <v>34</v>
      </c>
      <c r="C1081" s="15">
        <v>342</v>
      </c>
      <c r="D1081" s="15">
        <v>3423</v>
      </c>
      <c r="E1081" s="14">
        <v>34231</v>
      </c>
      <c r="F1081" s="16" t="s">
        <v>1411</v>
      </c>
      <c r="G1081" s="21" t="s">
        <v>159</v>
      </c>
      <c r="H1081" s="17"/>
      <c r="I1081" s="56">
        <v>0</v>
      </c>
      <c r="J1081" s="56"/>
      <c r="K1081" s="56">
        <v>1</v>
      </c>
      <c r="L1081" s="56">
        <v>1</v>
      </c>
      <c r="M1081" s="56">
        <f t="shared" si="182"/>
        <v>2</v>
      </c>
      <c r="N1081" s="56">
        <f>IF(OR(H1081="",H1081="sif",H1081="PM"),0,VLOOKUP(H1081,[5]CU!$C$4:$H$255,6,FALSE))</f>
        <v>0</v>
      </c>
      <c r="O1081" s="56">
        <f t="shared" si="183"/>
        <v>0</v>
      </c>
      <c r="P1081" s="56">
        <f t="shared" si="183"/>
        <v>0</v>
      </c>
      <c r="Q1081" s="56">
        <f t="shared" si="183"/>
        <v>0</v>
      </c>
      <c r="R1081" s="56">
        <f t="shared" si="183"/>
        <v>0</v>
      </c>
      <c r="S1081" s="53"/>
      <c r="T1081" s="35" t="s">
        <v>56</v>
      </c>
      <c r="U1081" s="18" t="s">
        <v>1156</v>
      </c>
      <c r="V1081" s="19" t="str">
        <f>IF(OR($H1081="",$H1081="sif",$H1081="PM"),"",VLOOKUP($H1081,[5]CU!$C$5:$J$255,8,FALSE))</f>
        <v/>
      </c>
      <c r="W1081" s="18" t="s">
        <v>1404</v>
      </c>
      <c r="X1081" s="19" t="s">
        <v>1412</v>
      </c>
      <c r="Y1081" s="18" t="s">
        <v>677</v>
      </c>
      <c r="Z1081" s="19" t="str">
        <f>A1081 &amp; "-" &amp; VLOOKUP(A1081,[4]PROGRAMMES!$E$1:$F$7,2,FALSE)</f>
        <v>3-Expansion et réforme de l’ETFP</v>
      </c>
      <c r="AA1081" s="19" t="str">
        <f>B1081 &amp; "-" &amp; VLOOKUP(B1081,[4]SOUSPROGRAMMES!$E$1:$F$44,2,FALSE)</f>
        <v>34- le financement du développement de l’ETFP</v>
      </c>
      <c r="AB1081" s="19" t="str">
        <f>C1081 &amp; "-" &amp; VLOOKUP(C1081,[4]RESULTATS!$E$1:$F$176,2,FALSE)</f>
        <v>342- Le reversement intégral du produit de la taxe de l’apprentissage au FNQP est effectif</v>
      </c>
      <c r="AC1081" s="20" t="str">
        <f>D1081 &amp; "-" &amp; VLOOKUP(D1081,[4]STRATEGIES!$E$1:$F$504,2,FALSE)</f>
        <v xml:space="preserve">3423-Opérationnalisation de la stratégie de gestion de la taxe
</v>
      </c>
      <c r="AD1081" s="21" t="str">
        <f t="shared" si="181"/>
        <v>34231-Mise en œuvre des activités Financées par la taxe d'apprentissage par l'ONFPP</v>
      </c>
    </row>
    <row r="1082" spans="1:30" s="22" customFormat="1" ht="45" customHeight="1" x14ac:dyDescent="0.8">
      <c r="A1082" s="14">
        <v>3</v>
      </c>
      <c r="B1082" s="15">
        <v>34</v>
      </c>
      <c r="C1082" s="15">
        <v>343</v>
      </c>
      <c r="D1082" s="15">
        <v>343</v>
      </c>
      <c r="E1082" s="14">
        <v>343</v>
      </c>
      <c r="F1082" s="16" t="s">
        <v>1413</v>
      </c>
      <c r="G1082" s="17"/>
      <c r="H1082" s="17"/>
      <c r="I1082" s="56">
        <v>0</v>
      </c>
      <c r="J1082" s="56"/>
      <c r="K1082" s="56"/>
      <c r="L1082" s="56"/>
      <c r="M1082" s="56"/>
      <c r="N1082" s="56"/>
      <c r="O1082" s="56"/>
      <c r="P1082" s="56"/>
      <c r="Q1082" s="56"/>
      <c r="R1082" s="56"/>
      <c r="S1082" s="53"/>
      <c r="T1082" s="33"/>
      <c r="U1082" s="18"/>
      <c r="V1082" s="19"/>
      <c r="W1082" s="18"/>
      <c r="X1082" s="18"/>
      <c r="Y1082" s="18" t="s">
        <v>677</v>
      </c>
      <c r="Z1082" s="19" t="str">
        <f>A1082 &amp; "-" &amp; VLOOKUP(A1082,[4]PROGRAMMES!$E$1:$F$7,2,FALSE)</f>
        <v>3-Expansion et réforme de l’ETFP</v>
      </c>
      <c r="AA1082" s="19" t="str">
        <f>B1082 &amp; "-" &amp; VLOOKUP(B1082,[4]SOUSPROGRAMMES!$E$1:$F$44,2,FALSE)</f>
        <v>34- le financement du développement de l’ETFP</v>
      </c>
      <c r="AB1082" s="19" t="str">
        <f>C1082 &amp; "-" &amp; VLOOKUP(C1082,[4]RESULTATS!$E$1:$F$176,2,FALSE)</f>
        <v>343- La contribution du milieu socioprofessionnel dans le partage du coût de formation est accrue</v>
      </c>
      <c r="AC1082" s="20" t="str">
        <f>D1082 &amp; "-" &amp; VLOOKUP(D1082,[4]STRATEGIES!$E$1:$F$504,2,FALSE)</f>
        <v>343- La contribution du milieu socioprofessionnel dans le partage du coût de formation est accrue</v>
      </c>
      <c r="AD1082" s="21" t="str">
        <f t="shared" si="181"/>
        <v>343- La contribution du milieu socioprofessionnel dans le partage du coût de formation est accrue</v>
      </c>
    </row>
    <row r="1083" spans="1:30" s="22" customFormat="1" ht="45" customHeight="1" x14ac:dyDescent="0.8">
      <c r="A1083" s="14">
        <v>3</v>
      </c>
      <c r="B1083" s="15">
        <v>34</v>
      </c>
      <c r="C1083" s="15">
        <v>343</v>
      </c>
      <c r="D1083" s="15">
        <v>3431</v>
      </c>
      <c r="E1083" s="14">
        <v>3431</v>
      </c>
      <c r="F1083" s="16" t="s">
        <v>1414</v>
      </c>
      <c r="G1083" s="17"/>
      <c r="H1083" s="17"/>
      <c r="I1083" s="56">
        <v>0</v>
      </c>
      <c r="J1083" s="56"/>
      <c r="K1083" s="56"/>
      <c r="L1083" s="56"/>
      <c r="M1083" s="56"/>
      <c r="N1083" s="56"/>
      <c r="O1083" s="56"/>
      <c r="P1083" s="56"/>
      <c r="Q1083" s="56"/>
      <c r="R1083" s="56"/>
      <c r="S1083" s="53"/>
      <c r="T1083" s="33"/>
      <c r="U1083" s="18"/>
      <c r="V1083" s="19"/>
      <c r="W1083" s="18"/>
      <c r="X1083" s="18"/>
      <c r="Y1083" s="18" t="s">
        <v>677</v>
      </c>
      <c r="Z1083" s="19" t="str">
        <f>A1083 &amp; "-" &amp; VLOOKUP(A1083,[4]PROGRAMMES!$E$1:$F$7,2,FALSE)</f>
        <v>3-Expansion et réforme de l’ETFP</v>
      </c>
      <c r="AA1083" s="19" t="str">
        <f>B1083 &amp; "-" &amp; VLOOKUP(B1083,[4]SOUSPROGRAMMES!$E$1:$F$44,2,FALSE)</f>
        <v>34- le financement du développement de l’ETFP</v>
      </c>
      <c r="AB1083" s="19" t="str">
        <f>C1083 &amp; "-" &amp; VLOOKUP(C1083,[4]RESULTATS!$E$1:$F$176,2,FALSE)</f>
        <v>343- La contribution du milieu socioprofessionnel dans le partage du coût de formation est accrue</v>
      </c>
      <c r="AC1083" s="20" t="str">
        <f>D1083 &amp; "-" &amp; VLOOKUP(D1083,[4]STRATEGIES!$E$1:$F$504,2,FALSE)</f>
        <v>3431-Elaboration d’un cadre parteunarial favorisant le partage de coût de la formation avec le milieu socioprofessionnel</v>
      </c>
      <c r="AD1083" s="21" t="str">
        <f t="shared" si="181"/>
        <v>3431-Elaboration d’un cadre parteunarial favorisant le partage de coût de la formation avec le milieu socioprofessionnel</v>
      </c>
    </row>
    <row r="1084" spans="1:30" s="22" customFormat="1" ht="45" hidden="1" customHeight="1" x14ac:dyDescent="0.8">
      <c r="A1084" s="14">
        <v>3</v>
      </c>
      <c r="B1084" s="15">
        <v>34</v>
      </c>
      <c r="C1084" s="15">
        <v>343</v>
      </c>
      <c r="D1084" s="15">
        <v>3431</v>
      </c>
      <c r="E1084" s="14">
        <v>34311</v>
      </c>
      <c r="F1084" s="16" t="s">
        <v>1415</v>
      </c>
      <c r="G1084" s="21" t="s">
        <v>1416</v>
      </c>
      <c r="H1084" s="17" t="s">
        <v>101</v>
      </c>
      <c r="I1084" s="56">
        <v>0</v>
      </c>
      <c r="J1084" s="56">
        <f>1*30</f>
        <v>30</v>
      </c>
      <c r="K1084" s="56"/>
      <c r="L1084" s="56"/>
      <c r="M1084" s="56">
        <f t="shared" si="182"/>
        <v>30</v>
      </c>
      <c r="N1084" s="56">
        <f>IF(OR(H1084="",H1084="sif",H1084="PM"),0,VLOOKUP(H1084,[5]CU!$C$4:$H$255,6,FALSE))</f>
        <v>2.651545</v>
      </c>
      <c r="O1084" s="56">
        <f t="shared" si="183"/>
        <v>0</v>
      </c>
      <c r="P1084" s="56">
        <f t="shared" si="183"/>
        <v>79.546350000000004</v>
      </c>
      <c r="Q1084" s="56">
        <f t="shared" si="183"/>
        <v>0</v>
      </c>
      <c r="R1084" s="56">
        <f t="shared" si="183"/>
        <v>0</v>
      </c>
      <c r="S1084" s="53">
        <f>SUM(O1084:R1084)</f>
        <v>79.546350000000004</v>
      </c>
      <c r="T1084" s="35" t="s">
        <v>169</v>
      </c>
      <c r="U1084" s="18" t="s">
        <v>1156</v>
      </c>
      <c r="V1084" s="19" t="str">
        <f>IF(OR($H1084="",$H1084="sif",$H1084="PM"),"",VLOOKUP($H1084,[5]CU!$C$5:$J$255,8,FALSE))</f>
        <v>3. Dépenses de fonctionnement</v>
      </c>
      <c r="W1084" s="18" t="s">
        <v>96</v>
      </c>
      <c r="X1084" s="18" t="s">
        <v>1371</v>
      </c>
      <c r="Y1084" s="18" t="s">
        <v>677</v>
      </c>
      <c r="Z1084" s="19" t="str">
        <f>A1084 &amp; "-" &amp; VLOOKUP(A1084,[4]PROGRAMMES!$E$1:$F$7,2,FALSE)</f>
        <v>3-Expansion et réforme de l’ETFP</v>
      </c>
      <c r="AA1084" s="19" t="str">
        <f>B1084 &amp; "-" &amp; VLOOKUP(B1084,[4]SOUSPROGRAMMES!$E$1:$F$44,2,FALSE)</f>
        <v>34- le financement du développement de l’ETFP</v>
      </c>
      <c r="AB1084" s="19" t="str">
        <f>C1084 &amp; "-" &amp; VLOOKUP(C1084,[4]RESULTATS!$E$1:$F$176,2,FALSE)</f>
        <v>343- La contribution du milieu socioprofessionnel dans le partage du coût de formation est accrue</v>
      </c>
      <c r="AC1084" s="20" t="str">
        <f>D1084 &amp; "-" &amp; VLOOKUP(D1084,[4]STRATEGIES!$E$1:$F$504,2,FALSE)</f>
        <v>3431-Elaboration d’un cadre parteunarial favorisant le partage de coût de la formation avec le milieu socioprofessionnel</v>
      </c>
      <c r="AD1084" s="21" t="str">
        <f t="shared" si="181"/>
        <v>34311-Organisation d'un état des lieux</v>
      </c>
    </row>
    <row r="1085" spans="1:30" s="22" customFormat="1" ht="45" hidden="1" customHeight="1" x14ac:dyDescent="0.8">
      <c r="A1085" s="14">
        <v>3</v>
      </c>
      <c r="B1085" s="15">
        <v>34</v>
      </c>
      <c r="C1085" s="15">
        <v>343</v>
      </c>
      <c r="D1085" s="15">
        <v>3431</v>
      </c>
      <c r="E1085" s="14">
        <v>34312</v>
      </c>
      <c r="F1085" s="16" t="s">
        <v>1417</v>
      </c>
      <c r="G1085" s="21" t="s">
        <v>836</v>
      </c>
      <c r="H1085" s="17" t="s">
        <v>55</v>
      </c>
      <c r="I1085" s="56">
        <v>0</v>
      </c>
      <c r="J1085" s="56">
        <v>1</v>
      </c>
      <c r="K1085" s="56"/>
      <c r="L1085" s="56"/>
      <c r="M1085" s="56">
        <f t="shared" si="182"/>
        <v>1</v>
      </c>
      <c r="N1085" s="56">
        <f>IF(OR(H1085="",H1085="sif",H1085="PM"),0,VLOOKUP(H1085,[5]CU!$C$4:$H$255,6,FALSE))</f>
        <v>0</v>
      </c>
      <c r="O1085" s="56">
        <f t="shared" si="183"/>
        <v>0</v>
      </c>
      <c r="P1085" s="56">
        <f t="shared" si="183"/>
        <v>0</v>
      </c>
      <c r="Q1085" s="56">
        <f t="shared" si="183"/>
        <v>0</v>
      </c>
      <c r="R1085" s="56">
        <f t="shared" si="183"/>
        <v>0</v>
      </c>
      <c r="S1085" s="53"/>
      <c r="T1085" s="35" t="s">
        <v>56</v>
      </c>
      <c r="U1085" s="18" t="s">
        <v>1156</v>
      </c>
      <c r="V1085" s="19" t="str">
        <f>IF(OR($H1085="",$H1085="sif",$H1085="PM"),"",VLOOKUP($H1085,[5]CU!$C$5:$J$255,8,FALSE))</f>
        <v/>
      </c>
      <c r="W1085" s="18"/>
      <c r="X1085" s="18"/>
      <c r="Y1085" s="18" t="s">
        <v>677</v>
      </c>
      <c r="Z1085" s="19" t="str">
        <f>A1085 &amp; "-" &amp; VLOOKUP(A1085,[4]PROGRAMMES!$E$1:$F$7,2,FALSE)</f>
        <v>3-Expansion et réforme de l’ETFP</v>
      </c>
      <c r="AA1085" s="19" t="str">
        <f>B1085 &amp; "-" &amp; VLOOKUP(B1085,[4]SOUSPROGRAMMES!$E$1:$F$44,2,FALSE)</f>
        <v>34- le financement du développement de l’ETFP</v>
      </c>
      <c r="AB1085" s="19" t="str">
        <f>C1085 &amp; "-" &amp; VLOOKUP(C1085,[4]RESULTATS!$E$1:$F$176,2,FALSE)</f>
        <v>343- La contribution du milieu socioprofessionnel dans le partage du coût de formation est accrue</v>
      </c>
      <c r="AC1085" s="20" t="str">
        <f>D1085 &amp; "-" &amp; VLOOKUP(D1085,[4]STRATEGIES!$E$1:$F$504,2,FALSE)</f>
        <v>3431-Elaboration d’un cadre parteunarial favorisant le partage de coût de la formation avec le milieu socioprofessionnel</v>
      </c>
      <c r="AD1085" s="21" t="str">
        <f t="shared" si="181"/>
        <v>34312-Identification des partenaires potentiels (pris en compte dans l'activité 34311)</v>
      </c>
    </row>
    <row r="1086" spans="1:30" s="22" customFormat="1" ht="45" hidden="1" customHeight="1" x14ac:dyDescent="0.8">
      <c r="A1086" s="14">
        <v>3</v>
      </c>
      <c r="B1086" s="15">
        <v>34</v>
      </c>
      <c r="C1086" s="15">
        <v>343</v>
      </c>
      <c r="D1086" s="15">
        <v>3431</v>
      </c>
      <c r="E1086" s="14">
        <v>34313</v>
      </c>
      <c r="F1086" s="16" t="s">
        <v>1418</v>
      </c>
      <c r="G1086" s="21" t="s">
        <v>836</v>
      </c>
      <c r="H1086" s="17" t="s">
        <v>55</v>
      </c>
      <c r="I1086" s="56">
        <v>0</v>
      </c>
      <c r="J1086" s="56">
        <v>1</v>
      </c>
      <c r="K1086" s="56"/>
      <c r="L1086" s="56"/>
      <c r="M1086" s="56">
        <f t="shared" si="182"/>
        <v>1</v>
      </c>
      <c r="N1086" s="56">
        <f>IF(OR(H1086="",H1086="sif",H1086="PM"),0,VLOOKUP(H1086,[5]CU!$C$4:$H$255,6,FALSE))</f>
        <v>0</v>
      </c>
      <c r="O1086" s="56">
        <f t="shared" si="183"/>
        <v>0</v>
      </c>
      <c r="P1086" s="56">
        <f t="shared" si="183"/>
        <v>0</v>
      </c>
      <c r="Q1086" s="56">
        <f t="shared" si="183"/>
        <v>0</v>
      </c>
      <c r="R1086" s="56">
        <f t="shared" si="183"/>
        <v>0</v>
      </c>
      <c r="S1086" s="53"/>
      <c r="T1086" s="35" t="s">
        <v>56</v>
      </c>
      <c r="U1086" s="18" t="s">
        <v>1156</v>
      </c>
      <c r="V1086" s="19" t="str">
        <f>IF(OR($H1086="",$H1086="sif",$H1086="PM"),"",VLOOKUP($H1086,[5]CU!$C$5:$J$255,8,FALSE))</f>
        <v/>
      </c>
      <c r="W1086" s="18"/>
      <c r="X1086" s="18"/>
      <c r="Y1086" s="18" t="s">
        <v>677</v>
      </c>
      <c r="Z1086" s="19" t="str">
        <f>A1086 &amp; "-" &amp; VLOOKUP(A1086,[4]PROGRAMMES!$E$1:$F$7,2,FALSE)</f>
        <v>3-Expansion et réforme de l’ETFP</v>
      </c>
      <c r="AA1086" s="19" t="str">
        <f>B1086 &amp; "-" &amp; VLOOKUP(B1086,[4]SOUSPROGRAMMES!$E$1:$F$44,2,FALSE)</f>
        <v>34- le financement du développement de l’ETFP</v>
      </c>
      <c r="AB1086" s="19" t="str">
        <f>C1086 &amp; "-" &amp; VLOOKUP(C1086,[4]RESULTATS!$E$1:$F$176,2,FALSE)</f>
        <v>343- La contribution du milieu socioprofessionnel dans le partage du coût de formation est accrue</v>
      </c>
      <c r="AC1086" s="20" t="str">
        <f>D1086 &amp; "-" &amp; VLOOKUP(D1086,[4]STRATEGIES!$E$1:$F$504,2,FALSE)</f>
        <v>3431-Elaboration d’un cadre parteunarial favorisant le partage de coût de la formation avec le milieu socioprofessionnel</v>
      </c>
      <c r="AD1086" s="21" t="str">
        <f t="shared" si="181"/>
        <v>34313-Identification de grandes orientations et axes de partenariats (pris en compte dans l'activité 34311)</v>
      </c>
    </row>
    <row r="1087" spans="1:30" s="22" customFormat="1" ht="45" hidden="1" customHeight="1" x14ac:dyDescent="0.8">
      <c r="A1087" s="14">
        <v>3</v>
      </c>
      <c r="B1087" s="15">
        <v>34</v>
      </c>
      <c r="C1087" s="15">
        <v>343</v>
      </c>
      <c r="D1087" s="15">
        <v>3431</v>
      </c>
      <c r="E1087" s="14">
        <v>34314</v>
      </c>
      <c r="F1087" s="16" t="s">
        <v>1419</v>
      </c>
      <c r="G1087" s="21" t="s">
        <v>660</v>
      </c>
      <c r="H1087" s="17" t="s">
        <v>55</v>
      </c>
      <c r="I1087" s="56">
        <v>0</v>
      </c>
      <c r="J1087" s="56"/>
      <c r="K1087" s="56">
        <v>1</v>
      </c>
      <c r="L1087" s="56"/>
      <c r="M1087" s="56">
        <f t="shared" si="182"/>
        <v>1</v>
      </c>
      <c r="N1087" s="56">
        <f>IF(OR(H1087="",H1087="sif",H1087="PM"),0,VLOOKUP(H1087,[5]CU!$C$4:$H$255,6,FALSE))</f>
        <v>0</v>
      </c>
      <c r="O1087" s="56">
        <f t="shared" si="183"/>
        <v>0</v>
      </c>
      <c r="P1087" s="56">
        <f t="shared" si="183"/>
        <v>0</v>
      </c>
      <c r="Q1087" s="56">
        <f t="shared" si="183"/>
        <v>0</v>
      </c>
      <c r="R1087" s="56">
        <f t="shared" si="183"/>
        <v>0</v>
      </c>
      <c r="S1087" s="53"/>
      <c r="T1087" s="35" t="s">
        <v>56</v>
      </c>
      <c r="U1087" s="18" t="s">
        <v>1156</v>
      </c>
      <c r="V1087" s="19" t="str">
        <f>IF(OR($H1087="",$H1087="sif",$H1087="PM"),"",VLOOKUP($H1087,[5]CU!$C$5:$J$255,8,FALSE))</f>
        <v/>
      </c>
      <c r="W1087" s="18" t="s">
        <v>1334</v>
      </c>
      <c r="X1087" s="18" t="s">
        <v>1375</v>
      </c>
      <c r="Y1087" s="18" t="s">
        <v>677</v>
      </c>
      <c r="Z1087" s="19" t="str">
        <f>A1087 &amp; "-" &amp; VLOOKUP(A1087,[4]PROGRAMMES!$E$1:$F$7,2,FALSE)</f>
        <v>3-Expansion et réforme de l’ETFP</v>
      </c>
      <c r="AA1087" s="19" t="str">
        <f>B1087 &amp; "-" &amp; VLOOKUP(B1087,[4]SOUSPROGRAMMES!$E$1:$F$44,2,FALSE)</f>
        <v>34- le financement du développement de l’ETFP</v>
      </c>
      <c r="AB1087" s="19" t="str">
        <f>C1087 &amp; "-" &amp; VLOOKUP(C1087,[4]RESULTATS!$E$1:$F$176,2,FALSE)</f>
        <v>343- La contribution du milieu socioprofessionnel dans le partage du coût de formation est accrue</v>
      </c>
      <c r="AC1087" s="20" t="str">
        <f>D1087 &amp; "-" &amp; VLOOKUP(D1087,[4]STRATEGIES!$E$1:$F$504,2,FALSE)</f>
        <v>3431-Elaboration d’un cadre parteunarial favorisant le partage de coût de la formation avec le milieu socioprofessionnel</v>
      </c>
      <c r="AD1087" s="21" t="str">
        <f t="shared" si="181"/>
        <v>34314-formalisation du cadre partenarial</v>
      </c>
    </row>
    <row r="1088" spans="1:30" s="22" customFormat="1" ht="45" hidden="1" customHeight="1" x14ac:dyDescent="0.8">
      <c r="A1088" s="14">
        <v>3</v>
      </c>
      <c r="B1088" s="15">
        <v>34</v>
      </c>
      <c r="C1088" s="15">
        <v>343</v>
      </c>
      <c r="D1088" s="15">
        <v>3431</v>
      </c>
      <c r="E1088" s="14">
        <v>34315</v>
      </c>
      <c r="F1088" s="16" t="s">
        <v>1420</v>
      </c>
      <c r="G1088" s="21" t="s">
        <v>1186</v>
      </c>
      <c r="H1088" s="17" t="s">
        <v>38</v>
      </c>
      <c r="I1088" s="56">
        <v>0</v>
      </c>
      <c r="J1088" s="56"/>
      <c r="K1088" s="56">
        <f>45*3*2</f>
        <v>270</v>
      </c>
      <c r="L1088" s="56">
        <f>45*3*2</f>
        <v>270</v>
      </c>
      <c r="M1088" s="56">
        <f t="shared" si="182"/>
        <v>540</v>
      </c>
      <c r="N1088" s="56">
        <f>IF(OR(H1088="",H1088="sif",H1088="PM"),0,VLOOKUP(H1088,[5]CU!$C$4:$H$255,6,FALSE))</f>
        <v>0.3133333333333333</v>
      </c>
      <c r="O1088" s="56">
        <f t="shared" si="183"/>
        <v>0</v>
      </c>
      <c r="P1088" s="56">
        <f t="shared" si="183"/>
        <v>0</v>
      </c>
      <c r="Q1088" s="56">
        <f t="shared" si="183"/>
        <v>84.6</v>
      </c>
      <c r="R1088" s="56">
        <f t="shared" si="183"/>
        <v>84.6</v>
      </c>
      <c r="S1088" s="53">
        <f>SUM(O1088:R1088)</f>
        <v>169.2</v>
      </c>
      <c r="T1088" s="35" t="s">
        <v>56</v>
      </c>
      <c r="U1088" s="18" t="s">
        <v>1156</v>
      </c>
      <c r="V1088" s="19" t="str">
        <f>IF(OR($H1088="",$H1088="sif",$H1088="PM"),"",VLOOKUP($H1088,[5]CU!$C$5:$J$255,8,FALSE))</f>
        <v>3. Formation</v>
      </c>
      <c r="W1088" s="18" t="s">
        <v>1334</v>
      </c>
      <c r="X1088" s="18" t="s">
        <v>1375</v>
      </c>
      <c r="Y1088" s="18" t="s">
        <v>677</v>
      </c>
      <c r="Z1088" s="19" t="str">
        <f>A1088 &amp; "-" &amp; VLOOKUP(A1088,[4]PROGRAMMES!$E$1:$F$7,2,FALSE)</f>
        <v>3-Expansion et réforme de l’ETFP</v>
      </c>
      <c r="AA1088" s="19" t="str">
        <f>B1088 &amp; "-" &amp; VLOOKUP(B1088,[4]SOUSPROGRAMMES!$E$1:$F$44,2,FALSE)</f>
        <v>34- le financement du développement de l’ETFP</v>
      </c>
      <c r="AB1088" s="19" t="str">
        <f>C1088 &amp; "-" &amp; VLOOKUP(C1088,[4]RESULTATS!$E$1:$F$176,2,FALSE)</f>
        <v>343- La contribution du milieu socioprofessionnel dans le partage du coût de formation est accrue</v>
      </c>
      <c r="AC1088" s="20" t="str">
        <f>D1088 &amp; "-" &amp; VLOOKUP(D1088,[4]STRATEGIES!$E$1:$F$504,2,FALSE)</f>
        <v>3431-Elaboration d’un cadre parteunarial favorisant le partage de coût de la formation avec le milieu socioprofessionnel</v>
      </c>
      <c r="AD1088" s="21" t="str">
        <f t="shared" si="181"/>
        <v>34315-fonctionnement du cadre partenarial</v>
      </c>
    </row>
    <row r="1089" spans="1:30" s="22" customFormat="1" ht="45" customHeight="1" x14ac:dyDescent="0.8">
      <c r="A1089" s="14">
        <v>3</v>
      </c>
      <c r="B1089" s="15">
        <v>34</v>
      </c>
      <c r="C1089" s="15">
        <v>343</v>
      </c>
      <c r="D1089" s="15">
        <v>3432</v>
      </c>
      <c r="E1089" s="14">
        <v>3432</v>
      </c>
      <c r="F1089" s="16" t="s">
        <v>1421</v>
      </c>
      <c r="G1089" s="17"/>
      <c r="H1089" s="17"/>
      <c r="I1089" s="56">
        <v>0</v>
      </c>
      <c r="J1089" s="56"/>
      <c r="K1089" s="56"/>
      <c r="L1089" s="56"/>
      <c r="M1089" s="56"/>
      <c r="N1089" s="56"/>
      <c r="O1089" s="56"/>
      <c r="P1089" s="56"/>
      <c r="Q1089" s="56"/>
      <c r="R1089" s="56"/>
      <c r="S1089" s="53"/>
      <c r="T1089" s="33"/>
      <c r="U1089" s="18"/>
      <c r="V1089" s="19"/>
      <c r="W1089" s="18"/>
      <c r="X1089" s="18"/>
      <c r="Y1089" s="18" t="s">
        <v>677</v>
      </c>
      <c r="Z1089" s="19" t="str">
        <f>A1089 &amp; "-" &amp; VLOOKUP(A1089,[4]PROGRAMMES!$E$1:$F$7,2,FALSE)</f>
        <v>3-Expansion et réforme de l’ETFP</v>
      </c>
      <c r="AA1089" s="19" t="str">
        <f>B1089 &amp; "-" &amp; VLOOKUP(B1089,[4]SOUSPROGRAMMES!$E$1:$F$44,2,FALSE)</f>
        <v>34- le financement du développement de l’ETFP</v>
      </c>
      <c r="AB1089" s="19" t="str">
        <f>C1089 &amp; "-" &amp; VLOOKUP(C1089,[4]RESULTATS!$E$1:$F$176,2,FALSE)</f>
        <v>343- La contribution du milieu socioprofessionnel dans le partage du coût de formation est accrue</v>
      </c>
      <c r="AC1089" s="20" t="str">
        <f>D1089 &amp; "-" &amp; VLOOKUP(D1089,[4]STRATEGIES!$E$1:$F$504,2,FALSE)</f>
        <v>3432-Mise en place d’un cadre qui favorise les prestations de services par les institutions de l’ETFP</v>
      </c>
      <c r="AD1089" s="21" t="str">
        <f t="shared" si="181"/>
        <v>3432-Mise en place d’un cadre qui favorise les prestations de services par les institutions de l’ETFP</v>
      </c>
    </row>
    <row r="1090" spans="1:30" s="22" customFormat="1" ht="45" hidden="1" customHeight="1" x14ac:dyDescent="0.8">
      <c r="A1090" s="14">
        <v>3</v>
      </c>
      <c r="B1090" s="15">
        <v>34</v>
      </c>
      <c r="C1090" s="15">
        <v>343</v>
      </c>
      <c r="D1090" s="15">
        <v>3432</v>
      </c>
      <c r="E1090" s="14">
        <v>34321</v>
      </c>
      <c r="F1090" s="16" t="s">
        <v>1422</v>
      </c>
      <c r="G1090" s="21" t="s">
        <v>1423</v>
      </c>
      <c r="H1090" s="17" t="s">
        <v>1424</v>
      </c>
      <c r="I1090" s="56">
        <v>0</v>
      </c>
      <c r="J1090" s="56">
        <f>1*25</f>
        <v>25</v>
      </c>
      <c r="K1090" s="56"/>
      <c r="L1090" s="56"/>
      <c r="M1090" s="56">
        <f t="shared" si="182"/>
        <v>25</v>
      </c>
      <c r="N1090" s="56">
        <f>IF(OR(H1090="",H1090="sif",H1090="PM"),0,VLOOKUP(H1090,[5]CU!$C$4:$H$255,6,FALSE))</f>
        <v>10.404797</v>
      </c>
      <c r="O1090" s="56">
        <f t="shared" si="183"/>
        <v>0</v>
      </c>
      <c r="P1090" s="56">
        <f t="shared" si="183"/>
        <v>260.11992500000002</v>
      </c>
      <c r="Q1090" s="56">
        <f t="shared" si="183"/>
        <v>0</v>
      </c>
      <c r="R1090" s="56">
        <f t="shared" si="183"/>
        <v>0</v>
      </c>
      <c r="S1090" s="53">
        <f>SUM(O1090:R1090)</f>
        <v>260.11992500000002</v>
      </c>
      <c r="T1090" s="35" t="s">
        <v>169</v>
      </c>
      <c r="U1090" s="18" t="s">
        <v>1156</v>
      </c>
      <c r="V1090" s="19" t="str">
        <f>IF(OR($H1090="",$H1090="sif",$H1090="PM"),"",VLOOKUP($H1090,[5]CU!$C$5:$J$255,8,FALSE))</f>
        <v>3. Dépenses de fonctionnement</v>
      </c>
      <c r="W1090" s="18" t="s">
        <v>1334</v>
      </c>
      <c r="X1090" s="18" t="s">
        <v>1375</v>
      </c>
      <c r="Y1090" s="18" t="s">
        <v>677</v>
      </c>
      <c r="Z1090" s="19" t="str">
        <f>A1090 &amp; "-" &amp; VLOOKUP(A1090,[4]PROGRAMMES!$E$1:$F$7,2,FALSE)</f>
        <v>3-Expansion et réforme de l’ETFP</v>
      </c>
      <c r="AA1090" s="19" t="str">
        <f>B1090 &amp; "-" &amp; VLOOKUP(B1090,[4]SOUSPROGRAMMES!$E$1:$F$44,2,FALSE)</f>
        <v>34- le financement du développement de l’ETFP</v>
      </c>
      <c r="AB1090" s="19" t="str">
        <f>C1090 &amp; "-" &amp; VLOOKUP(C1090,[4]RESULTATS!$E$1:$F$176,2,FALSE)</f>
        <v>343- La contribution du milieu socioprofessionnel dans le partage du coût de formation est accrue</v>
      </c>
      <c r="AC1090" s="20" t="str">
        <f>D1090 &amp; "-" &amp; VLOOKUP(D1090,[4]STRATEGIES!$E$1:$F$504,2,FALSE)</f>
        <v>3432-Mise en place d’un cadre qui favorise les prestations de services par les institutions de l’ETFP</v>
      </c>
      <c r="AD1090" s="21" t="str">
        <f t="shared" si="181"/>
        <v>34321-Elaboration de lignes directrices et d'orientation qui favorisent les prestations de services par les institutions de l'ETFP</v>
      </c>
    </row>
    <row r="1091" spans="1:30" s="22" customFormat="1" ht="45" hidden="1" customHeight="1" x14ac:dyDescent="0.8">
      <c r="A1091" s="14">
        <v>3</v>
      </c>
      <c r="B1091" s="15">
        <v>34</v>
      </c>
      <c r="C1091" s="15">
        <v>343</v>
      </c>
      <c r="D1091" s="15">
        <v>3432</v>
      </c>
      <c r="E1091" s="14">
        <v>34322</v>
      </c>
      <c r="F1091" s="16" t="s">
        <v>1425</v>
      </c>
      <c r="G1091" s="21" t="s">
        <v>315</v>
      </c>
      <c r="H1091" s="17" t="s">
        <v>38</v>
      </c>
      <c r="I1091" s="56">
        <v>0</v>
      </c>
      <c r="J1091" s="56">
        <f>30*2*9</f>
        <v>540</v>
      </c>
      <c r="K1091" s="56"/>
      <c r="L1091" s="56"/>
      <c r="M1091" s="56">
        <f t="shared" si="182"/>
        <v>540</v>
      </c>
      <c r="N1091" s="56">
        <f>IF(OR(H1091="",H1091="sif",H1091="PM"),0,VLOOKUP(H1091,[5]CU!$C$4:$H$255,6,FALSE))</f>
        <v>0.3133333333333333</v>
      </c>
      <c r="O1091" s="56">
        <f t="shared" si="183"/>
        <v>0</v>
      </c>
      <c r="P1091" s="56">
        <f t="shared" si="183"/>
        <v>169.2</v>
      </c>
      <c r="Q1091" s="56">
        <f t="shared" si="183"/>
        <v>0</v>
      </c>
      <c r="R1091" s="56">
        <f t="shared" si="183"/>
        <v>0</v>
      </c>
      <c r="S1091" s="53">
        <f>SUM(O1091:R1091)</f>
        <v>169.2</v>
      </c>
      <c r="T1091" s="35" t="s">
        <v>169</v>
      </c>
      <c r="U1091" s="18" t="s">
        <v>1156</v>
      </c>
      <c r="V1091" s="19" t="str">
        <f>IF(OR($H1091="",$H1091="sif",$H1091="PM"),"",VLOOKUP($H1091,[5]CU!$C$5:$J$255,8,FALSE))</f>
        <v>3. Formation</v>
      </c>
      <c r="W1091" s="18" t="s">
        <v>1334</v>
      </c>
      <c r="X1091" s="18" t="s">
        <v>1375</v>
      </c>
      <c r="Y1091" s="18" t="s">
        <v>677</v>
      </c>
      <c r="Z1091" s="19" t="str">
        <f>A1091 &amp; "-" &amp; VLOOKUP(A1091,[4]PROGRAMMES!$E$1:$F$7,2,FALSE)</f>
        <v>3-Expansion et réforme de l’ETFP</v>
      </c>
      <c r="AA1091" s="19" t="str">
        <f>B1091 &amp; "-" &amp; VLOOKUP(B1091,[4]SOUSPROGRAMMES!$E$1:$F$44,2,FALSE)</f>
        <v>34- le financement du développement de l’ETFP</v>
      </c>
      <c r="AB1091" s="19" t="str">
        <f>C1091 &amp; "-" &amp; VLOOKUP(C1091,[4]RESULTATS!$E$1:$F$176,2,FALSE)</f>
        <v>343- La contribution du milieu socioprofessionnel dans le partage du coût de formation est accrue</v>
      </c>
      <c r="AC1091" s="20" t="str">
        <f>D1091 &amp; "-" &amp; VLOOKUP(D1091,[4]STRATEGIES!$E$1:$F$504,2,FALSE)</f>
        <v>3432-Mise en place d’un cadre qui favorise les prestations de services par les institutions de l’ETFP</v>
      </c>
      <c r="AD1091" s="21" t="str">
        <f t="shared" si="181"/>
        <v>34322-Vulgarisation des textes élaborés</v>
      </c>
    </row>
    <row r="1092" spans="1:30" s="22" customFormat="1" ht="45" customHeight="1" x14ac:dyDescent="0.8">
      <c r="A1092" s="14">
        <v>3</v>
      </c>
      <c r="B1092" s="15">
        <v>34</v>
      </c>
      <c r="C1092" s="15">
        <v>343</v>
      </c>
      <c r="D1092" s="15">
        <v>3433</v>
      </c>
      <c r="E1092" s="14">
        <v>3433</v>
      </c>
      <c r="F1092" s="16" t="s">
        <v>1426</v>
      </c>
      <c r="G1092" s="17"/>
      <c r="H1092" s="17"/>
      <c r="I1092" s="56">
        <v>0</v>
      </c>
      <c r="J1092" s="56"/>
      <c r="K1092" s="56"/>
      <c r="L1092" s="56"/>
      <c r="M1092" s="56"/>
      <c r="N1092" s="56"/>
      <c r="O1092" s="56"/>
      <c r="P1092" s="56"/>
      <c r="Q1092" s="56"/>
      <c r="R1092" s="56"/>
      <c r="S1092" s="53"/>
      <c r="T1092" s="33"/>
      <c r="U1092" s="18"/>
      <c r="V1092" s="19"/>
      <c r="W1092" s="18"/>
      <c r="X1092" s="18"/>
      <c r="Y1092" s="18" t="s">
        <v>677</v>
      </c>
      <c r="Z1092" s="19" t="str">
        <f>A1092 &amp; "-" &amp; VLOOKUP(A1092,[4]PROGRAMMES!$E$1:$F$7,2,FALSE)</f>
        <v>3-Expansion et réforme de l’ETFP</v>
      </c>
      <c r="AA1092" s="19" t="str">
        <f>B1092 &amp; "-" &amp; VLOOKUP(B1092,[4]SOUSPROGRAMMES!$E$1:$F$44,2,FALSE)</f>
        <v>34- le financement du développement de l’ETFP</v>
      </c>
      <c r="AB1092" s="19" t="str">
        <f>C1092 &amp; "-" &amp; VLOOKUP(C1092,[4]RESULTATS!$E$1:$F$176,2,FALSE)</f>
        <v>343- La contribution du milieu socioprofessionnel dans le partage du coût de formation est accrue</v>
      </c>
      <c r="AC1092" s="20" t="str">
        <f>D1092 &amp; "-" &amp; VLOOKUP(D1092,[4]STRATEGIES!$E$1:$F$504,2,FALSE)</f>
        <v>3433-Elaboration et mise en œuvre d’une stratégie de communication et de sensibilisation du milieu socioprofessionnel</v>
      </c>
      <c r="AD1092" s="21" t="str">
        <f t="shared" ref="AD1092:AD1155" si="184">E1092 &amp; "-" &amp; F1092</f>
        <v>3433-Elaboration et mise en œuvre d’une stratégie de communication et de sensibilisation du milieu socioprofessionnel</v>
      </c>
    </row>
    <row r="1093" spans="1:30" s="22" customFormat="1" ht="45" hidden="1" customHeight="1" x14ac:dyDescent="0.8">
      <c r="A1093" s="14">
        <v>3</v>
      </c>
      <c r="B1093" s="15">
        <v>34</v>
      </c>
      <c r="C1093" s="15">
        <v>343</v>
      </c>
      <c r="D1093" s="15">
        <v>3433</v>
      </c>
      <c r="E1093" s="14">
        <v>34331</v>
      </c>
      <c r="F1093" s="16" t="s">
        <v>1427</v>
      </c>
      <c r="G1093" s="21" t="s">
        <v>1428</v>
      </c>
      <c r="H1093" s="17" t="s">
        <v>1429</v>
      </c>
      <c r="I1093" s="56">
        <v>0</v>
      </c>
      <c r="J1093" s="56">
        <f>1*30</f>
        <v>30</v>
      </c>
      <c r="K1093" s="56"/>
      <c r="L1093" s="56"/>
      <c r="M1093" s="56">
        <f t="shared" si="182"/>
        <v>30</v>
      </c>
      <c r="N1093" s="56">
        <f>IF(OR(H1093="",H1093="sif",H1093="PM"),0,VLOOKUP(H1093,[5]CU!$C$4:$H$255,6,FALSE))</f>
        <v>2.651545</v>
      </c>
      <c r="O1093" s="56">
        <f t="shared" si="183"/>
        <v>0</v>
      </c>
      <c r="P1093" s="56">
        <f t="shared" si="183"/>
        <v>79.546350000000004</v>
      </c>
      <c r="Q1093" s="56">
        <f t="shared" si="183"/>
        <v>0</v>
      </c>
      <c r="R1093" s="56">
        <f t="shared" si="183"/>
        <v>0</v>
      </c>
      <c r="S1093" s="53">
        <f>SUM(O1093:R1093)</f>
        <v>79.546350000000004</v>
      </c>
      <c r="T1093" s="35" t="s">
        <v>169</v>
      </c>
      <c r="U1093" s="18" t="s">
        <v>1156</v>
      </c>
      <c r="V1093" s="19" t="str">
        <f>IF(OR($H1093="",$H1093="sif",$H1093="PM"),"",VLOOKUP($H1093,[5]CU!$C$5:$J$255,8,FALSE))</f>
        <v>3. Dépenses de fonctionnement</v>
      </c>
      <c r="W1093" s="18" t="s">
        <v>1334</v>
      </c>
      <c r="X1093" s="18" t="s">
        <v>100</v>
      </c>
      <c r="Y1093" s="18" t="s">
        <v>677</v>
      </c>
      <c r="Z1093" s="19" t="str">
        <f>A1093 &amp; "-" &amp; VLOOKUP(A1093,[4]PROGRAMMES!$E$1:$F$7,2,FALSE)</f>
        <v>3-Expansion et réforme de l’ETFP</v>
      </c>
      <c r="AA1093" s="19" t="str">
        <f>B1093 &amp; "-" &amp; VLOOKUP(B1093,[4]SOUSPROGRAMMES!$E$1:$F$44,2,FALSE)</f>
        <v>34- le financement du développement de l’ETFP</v>
      </c>
      <c r="AB1093" s="19" t="str">
        <f>C1093 &amp; "-" &amp; VLOOKUP(C1093,[4]RESULTATS!$E$1:$F$176,2,FALSE)</f>
        <v>343- La contribution du milieu socioprofessionnel dans le partage du coût de formation est accrue</v>
      </c>
      <c r="AC1093" s="20" t="str">
        <f>D1093 &amp; "-" &amp; VLOOKUP(D1093,[4]STRATEGIES!$E$1:$F$504,2,FALSE)</f>
        <v>3433-Elaboration et mise en œuvre d’une stratégie de communication et de sensibilisation du milieu socioprofessionnel</v>
      </c>
      <c r="AD1093" s="21" t="str">
        <f t="shared" si="184"/>
        <v>34331-Etat des lieux</v>
      </c>
    </row>
    <row r="1094" spans="1:30" s="22" customFormat="1" ht="45" hidden="1" customHeight="1" x14ac:dyDescent="0.8">
      <c r="A1094" s="14">
        <v>3</v>
      </c>
      <c r="B1094" s="15">
        <v>34</v>
      </c>
      <c r="C1094" s="15">
        <v>343</v>
      </c>
      <c r="D1094" s="15">
        <v>3433</v>
      </c>
      <c r="E1094" s="14">
        <v>34332</v>
      </c>
      <c r="F1094" s="16" t="s">
        <v>1430</v>
      </c>
      <c r="G1094" s="21" t="s">
        <v>800</v>
      </c>
      <c r="H1094" s="17"/>
      <c r="I1094" s="56">
        <v>0</v>
      </c>
      <c r="J1094" s="56">
        <v>1</v>
      </c>
      <c r="K1094" s="56"/>
      <c r="L1094" s="56"/>
      <c r="M1094" s="56">
        <f t="shared" si="182"/>
        <v>1</v>
      </c>
      <c r="N1094" s="56">
        <f>IF(OR(H1094="",H1094="sif",H1094="PM"),0,VLOOKUP(H1094,[5]CU!$C$4:$H$255,6,FALSE))</f>
        <v>0</v>
      </c>
      <c r="O1094" s="56">
        <f t="shared" si="183"/>
        <v>0</v>
      </c>
      <c r="P1094" s="56">
        <f t="shared" si="183"/>
        <v>0</v>
      </c>
      <c r="Q1094" s="56">
        <f t="shared" si="183"/>
        <v>0</v>
      </c>
      <c r="R1094" s="56">
        <f t="shared" si="183"/>
        <v>0</v>
      </c>
      <c r="S1094" s="53"/>
      <c r="T1094" s="35" t="s">
        <v>56</v>
      </c>
      <c r="U1094" s="18" t="s">
        <v>1156</v>
      </c>
      <c r="V1094" s="19" t="str">
        <f>IF(OR($H1094="",$H1094="sif",$H1094="PM"),"",VLOOKUP($H1094,[5]CU!$C$5:$J$255,8,FALSE))</f>
        <v/>
      </c>
      <c r="W1094" s="18" t="s">
        <v>1334</v>
      </c>
      <c r="X1094" s="18" t="s">
        <v>100</v>
      </c>
      <c r="Y1094" s="18" t="s">
        <v>677</v>
      </c>
      <c r="Z1094" s="19" t="str">
        <f>A1094 &amp; "-" &amp; VLOOKUP(A1094,[4]PROGRAMMES!$E$1:$F$7,2,FALSE)</f>
        <v>3-Expansion et réforme de l’ETFP</v>
      </c>
      <c r="AA1094" s="19" t="str">
        <f>B1094 &amp; "-" &amp; VLOOKUP(B1094,[4]SOUSPROGRAMMES!$E$1:$F$44,2,FALSE)</f>
        <v>34- le financement du développement de l’ETFP</v>
      </c>
      <c r="AB1094" s="19" t="str">
        <f>C1094 &amp; "-" &amp; VLOOKUP(C1094,[4]RESULTATS!$E$1:$F$176,2,FALSE)</f>
        <v>343- La contribution du milieu socioprofessionnel dans le partage du coût de formation est accrue</v>
      </c>
      <c r="AC1094" s="20" t="str">
        <f>D1094 &amp; "-" &amp; VLOOKUP(D1094,[4]STRATEGIES!$E$1:$F$504,2,FALSE)</f>
        <v>3433-Elaboration et mise en œuvre d’une stratégie de communication et de sensibilisation du milieu socioprofessionnel</v>
      </c>
      <c r="AD1094" s="21" t="str">
        <f t="shared" si="184"/>
        <v>34332-Elaboration d’un plan de communication (pris en compte dans activité 34331)</v>
      </c>
    </row>
    <row r="1095" spans="1:30" s="22" customFormat="1" ht="45" hidden="1" customHeight="1" x14ac:dyDescent="0.8">
      <c r="A1095" s="14">
        <v>3</v>
      </c>
      <c r="B1095" s="15">
        <v>34</v>
      </c>
      <c r="C1095" s="15">
        <v>343</v>
      </c>
      <c r="D1095" s="15">
        <v>3433</v>
      </c>
      <c r="E1095" s="14">
        <v>34333</v>
      </c>
      <c r="F1095" s="16" t="s">
        <v>1431</v>
      </c>
      <c r="G1095" s="21" t="s">
        <v>1432</v>
      </c>
      <c r="H1095" s="17" t="s">
        <v>1433</v>
      </c>
      <c r="I1095" s="56">
        <v>0</v>
      </c>
      <c r="J1095" s="56"/>
      <c r="K1095" s="56">
        <f>35*3*9</f>
        <v>945</v>
      </c>
      <c r="L1095" s="56"/>
      <c r="M1095" s="56">
        <f t="shared" si="182"/>
        <v>945</v>
      </c>
      <c r="N1095" s="56">
        <f>IF(OR(H1095="",H1095="sif",H1095="PM"),0,VLOOKUP(H1095,[5]CU!$C$4:$H$255,6,FALSE))</f>
        <v>0.3133333333333333</v>
      </c>
      <c r="O1095" s="56">
        <f t="shared" si="183"/>
        <v>0</v>
      </c>
      <c r="P1095" s="56">
        <f t="shared" si="183"/>
        <v>0</v>
      </c>
      <c r="Q1095" s="56">
        <f t="shared" si="183"/>
        <v>296.09999999999997</v>
      </c>
      <c r="R1095" s="56">
        <f t="shared" si="183"/>
        <v>0</v>
      </c>
      <c r="S1095" s="53">
        <f>SUM(O1095:R1095)</f>
        <v>296.09999999999997</v>
      </c>
      <c r="T1095" s="35" t="s">
        <v>169</v>
      </c>
      <c r="U1095" s="18" t="s">
        <v>1156</v>
      </c>
      <c r="V1095" s="19" t="str">
        <f>IF(OR($H1095="",$H1095="sif",$H1095="PM"),"",VLOOKUP($H1095,[5]CU!$C$5:$J$255,8,FALSE))</f>
        <v>3. Formation</v>
      </c>
      <c r="W1095" s="18" t="s">
        <v>1434</v>
      </c>
      <c r="X1095" s="19" t="s">
        <v>1435</v>
      </c>
      <c r="Y1095" s="18" t="s">
        <v>677</v>
      </c>
      <c r="Z1095" s="19" t="str">
        <f>A1095 &amp; "-" &amp; VLOOKUP(A1095,[4]PROGRAMMES!$E$1:$F$7,2,FALSE)</f>
        <v>3-Expansion et réforme de l’ETFP</v>
      </c>
      <c r="AA1095" s="19" t="str">
        <f>B1095 &amp; "-" &amp; VLOOKUP(B1095,[4]SOUSPROGRAMMES!$E$1:$F$44,2,FALSE)</f>
        <v>34- le financement du développement de l’ETFP</v>
      </c>
      <c r="AB1095" s="19" t="str">
        <f>C1095 &amp; "-" &amp; VLOOKUP(C1095,[4]RESULTATS!$E$1:$F$176,2,FALSE)</f>
        <v>343- La contribution du milieu socioprofessionnel dans le partage du coût de formation est accrue</v>
      </c>
      <c r="AC1095" s="20" t="str">
        <f>D1095 &amp; "-" &amp; VLOOKUP(D1095,[4]STRATEGIES!$E$1:$F$504,2,FALSE)</f>
        <v>3433-Elaboration et mise en œuvre d’une stratégie de communication et de sensibilisation du milieu socioprofessionnel</v>
      </c>
      <c r="AD1095" s="21" t="str">
        <f t="shared" si="184"/>
        <v>34333-vulgarisation du plan de communication</v>
      </c>
    </row>
    <row r="1096" spans="1:30" s="22" customFormat="1" ht="45" hidden="1" customHeight="1" x14ac:dyDescent="0.8">
      <c r="A1096" s="14">
        <v>3</v>
      </c>
      <c r="B1096" s="15">
        <v>34</v>
      </c>
      <c r="C1096" s="15">
        <v>343</v>
      </c>
      <c r="D1096" s="15">
        <v>3433</v>
      </c>
      <c r="E1096" s="14">
        <v>34334</v>
      </c>
      <c r="F1096" s="16" t="s">
        <v>1436</v>
      </c>
      <c r="G1096" s="21" t="s">
        <v>1437</v>
      </c>
      <c r="H1096" s="17" t="s">
        <v>1438</v>
      </c>
      <c r="I1096" s="56">
        <v>0</v>
      </c>
      <c r="J1096" s="56"/>
      <c r="K1096" s="56">
        <v>1</v>
      </c>
      <c r="L1096" s="56">
        <v>1</v>
      </c>
      <c r="M1096" s="56">
        <f t="shared" si="182"/>
        <v>2</v>
      </c>
      <c r="N1096" s="56">
        <f>IF(OR(H1096="",H1096="sif",H1096="PM"),0,VLOOKUP(H1096,[5]CU!$C$4:$H$255,6,FALSE))</f>
        <v>50.536799999999999</v>
      </c>
      <c r="O1096" s="56">
        <f t="shared" si="183"/>
        <v>0</v>
      </c>
      <c r="P1096" s="56">
        <f t="shared" si="183"/>
        <v>0</v>
      </c>
      <c r="Q1096" s="56">
        <f t="shared" si="183"/>
        <v>50.536799999999999</v>
      </c>
      <c r="R1096" s="56">
        <f t="shared" si="183"/>
        <v>50.536799999999999</v>
      </c>
      <c r="S1096" s="53">
        <f>SUM(O1096:R1096)</f>
        <v>101.0736</v>
      </c>
      <c r="T1096" s="35" t="s">
        <v>169</v>
      </c>
      <c r="U1096" s="18" t="s">
        <v>1156</v>
      </c>
      <c r="V1096" s="19" t="str">
        <f>IF(OR($H1096="",$H1096="sif",$H1096="PM"),"",VLOOKUP($H1096,[5]CU!$C$5:$J$255,8,FALSE))</f>
        <v>3. Dépenses de fonctionnement</v>
      </c>
      <c r="W1096" s="18"/>
      <c r="X1096" s="18"/>
      <c r="Y1096" s="18" t="s">
        <v>677</v>
      </c>
      <c r="Z1096" s="19" t="str">
        <f>A1096 &amp; "-" &amp; VLOOKUP(A1096,[4]PROGRAMMES!$E$1:$F$7,2,FALSE)</f>
        <v>3-Expansion et réforme de l’ETFP</v>
      </c>
      <c r="AA1096" s="19" t="str">
        <f>B1096 &amp; "-" &amp; VLOOKUP(B1096,[4]SOUSPROGRAMMES!$E$1:$F$44,2,FALSE)</f>
        <v>34- le financement du développement de l’ETFP</v>
      </c>
      <c r="AB1096" s="19" t="str">
        <f>C1096 &amp; "-" &amp; VLOOKUP(C1096,[4]RESULTATS!$E$1:$F$176,2,FALSE)</f>
        <v>343- La contribution du milieu socioprofessionnel dans le partage du coût de formation est accrue</v>
      </c>
      <c r="AC1096" s="20" t="str">
        <f>D1096 &amp; "-" &amp; VLOOKUP(D1096,[4]STRATEGIES!$E$1:$F$504,2,FALSE)</f>
        <v>3433-Elaboration et mise en œuvre d’une stratégie de communication et de sensibilisation du milieu socioprofessionnel</v>
      </c>
      <c r="AD1096" s="21" t="str">
        <f t="shared" si="184"/>
        <v>34334-Mise en œuvre d'activités de communication</v>
      </c>
    </row>
    <row r="1097" spans="1:30" s="22" customFormat="1" ht="45" customHeight="1" x14ac:dyDescent="0.8">
      <c r="A1097" s="14">
        <v>3</v>
      </c>
      <c r="B1097" s="15">
        <v>35</v>
      </c>
      <c r="C1097" s="15">
        <v>35</v>
      </c>
      <c r="D1097" s="15">
        <v>35</v>
      </c>
      <c r="E1097" s="14">
        <v>35</v>
      </c>
      <c r="F1097" s="16" t="s">
        <v>1439</v>
      </c>
      <c r="G1097" s="17"/>
      <c r="H1097" s="17"/>
      <c r="I1097" s="56">
        <v>0</v>
      </c>
      <c r="J1097" s="56"/>
      <c r="K1097" s="56"/>
      <c r="L1097" s="56"/>
      <c r="M1097" s="56"/>
      <c r="N1097" s="56"/>
      <c r="O1097" s="56"/>
      <c r="P1097" s="56"/>
      <c r="Q1097" s="56"/>
      <c r="R1097" s="56"/>
      <c r="S1097" s="53"/>
      <c r="T1097" s="33"/>
      <c r="U1097" s="18"/>
      <c r="V1097" s="19"/>
      <c r="W1097" s="18"/>
      <c r="X1097" s="18"/>
      <c r="Y1097" s="18" t="s">
        <v>677</v>
      </c>
      <c r="Z1097" s="19" t="str">
        <f>A1097 &amp; "-" &amp; VLOOKUP(A1097,[4]PROGRAMMES!$E$1:$F$7,2,FALSE)</f>
        <v>3-Expansion et réforme de l’ETFP</v>
      </c>
      <c r="AA1097" s="19" t="str">
        <f>B1097 &amp; "-" &amp; VLOOKUP(B1097,[4]SOUSPROGRAMMES!$E$1:$F$44,2,FALSE)</f>
        <v>35- Développement de la formation continue des actifs en situation de travail</v>
      </c>
      <c r="AB1097" s="19" t="str">
        <f>C1097 &amp; "-" &amp; VLOOKUP(C1097,[4]RESULTATS!$E$1:$F$176,2,FALSE)</f>
        <v>35- Développement de la formation continue des actifs en situation de travail</v>
      </c>
      <c r="AC1097" s="20" t="str">
        <f>D1097 &amp; "-" &amp; VLOOKUP(D1097,[4]STRATEGIES!$E$1:$F$504,2,FALSE)</f>
        <v>35- Développement de la formation continue des actifs en situation de travail</v>
      </c>
      <c r="AD1097" s="21" t="str">
        <f t="shared" si="184"/>
        <v>35- Développement de la formation continue des actifs en situation de travail</v>
      </c>
    </row>
    <row r="1098" spans="1:30" s="22" customFormat="1" ht="45" customHeight="1" x14ac:dyDescent="0.8">
      <c r="A1098" s="14">
        <v>3</v>
      </c>
      <c r="B1098" s="15">
        <v>35</v>
      </c>
      <c r="C1098" s="15">
        <v>352</v>
      </c>
      <c r="D1098" s="15">
        <v>352</v>
      </c>
      <c r="E1098" s="14">
        <v>352</v>
      </c>
      <c r="F1098" s="16" t="s">
        <v>1440</v>
      </c>
      <c r="G1098" s="17"/>
      <c r="H1098" s="17"/>
      <c r="I1098" s="56">
        <v>0</v>
      </c>
      <c r="J1098" s="56"/>
      <c r="K1098" s="56"/>
      <c r="L1098" s="56"/>
      <c r="M1098" s="56"/>
      <c r="N1098" s="56"/>
      <c r="O1098" s="56"/>
      <c r="P1098" s="56"/>
      <c r="Q1098" s="56"/>
      <c r="R1098" s="56"/>
      <c r="S1098" s="53"/>
      <c r="T1098" s="33"/>
      <c r="U1098" s="18"/>
      <c r="V1098" s="19"/>
      <c r="W1098" s="18"/>
      <c r="X1098" s="18"/>
      <c r="Y1098" s="18" t="s">
        <v>677</v>
      </c>
      <c r="Z1098" s="19" t="str">
        <f>A1098 &amp; "-" &amp; VLOOKUP(A1098,[4]PROGRAMMES!$E$1:$F$7,2,FALSE)</f>
        <v>3-Expansion et réforme de l’ETFP</v>
      </c>
      <c r="AA1098" s="19" t="str">
        <f>B1098 &amp; "-" &amp; VLOOKUP(B1098,[4]SOUSPROGRAMMES!$E$1:$F$44,2,FALSE)</f>
        <v>35- Développement de la formation continue des actifs en situation de travail</v>
      </c>
      <c r="AB1098" s="19" t="str">
        <f>C1098 &amp; "-" &amp; VLOOKUP(C1098,[4]RESULTATS!$E$1:$F$176,2,FALSE)</f>
        <v>352- la stratégie globale de formation continue est mise en œuvre</v>
      </c>
      <c r="AC1098" s="20" t="str">
        <f>D1098 &amp; "-" &amp; VLOOKUP(D1098,[4]STRATEGIES!$E$1:$F$504,2,FALSE)</f>
        <v>352- la stratégie globale de formation continue est mise en œuvre</v>
      </c>
      <c r="AD1098" s="21" t="str">
        <f t="shared" si="184"/>
        <v>352- la stratégie globale de formation continue est mise en œuvre</v>
      </c>
    </row>
    <row r="1099" spans="1:30" s="22" customFormat="1" ht="45" customHeight="1" x14ac:dyDescent="0.8">
      <c r="A1099" s="14">
        <v>3</v>
      </c>
      <c r="B1099" s="15">
        <v>35</v>
      </c>
      <c r="C1099" s="15">
        <v>352</v>
      </c>
      <c r="D1099" s="15">
        <v>3521</v>
      </c>
      <c r="E1099" s="14">
        <v>3521</v>
      </c>
      <c r="F1099" s="16" t="s">
        <v>1441</v>
      </c>
      <c r="G1099" s="17"/>
      <c r="H1099" s="17"/>
      <c r="I1099" s="56">
        <v>0</v>
      </c>
      <c r="J1099" s="56"/>
      <c r="K1099" s="56"/>
      <c r="L1099" s="56"/>
      <c r="M1099" s="56"/>
      <c r="N1099" s="56"/>
      <c r="O1099" s="56"/>
      <c r="P1099" s="56"/>
      <c r="Q1099" s="56"/>
      <c r="R1099" s="56"/>
      <c r="S1099" s="53"/>
      <c r="T1099" s="33"/>
      <c r="U1099" s="18"/>
      <c r="V1099" s="19"/>
      <c r="W1099" s="18"/>
      <c r="X1099" s="18"/>
      <c r="Y1099" s="18" t="s">
        <v>677</v>
      </c>
      <c r="Z1099" s="19" t="str">
        <f>A1099 &amp; "-" &amp; VLOOKUP(A1099,[4]PROGRAMMES!$E$1:$F$7,2,FALSE)</f>
        <v>3-Expansion et réforme de l’ETFP</v>
      </c>
      <c r="AA1099" s="19" t="str">
        <f>B1099 &amp; "-" &amp; VLOOKUP(B1099,[4]SOUSPROGRAMMES!$E$1:$F$44,2,FALSE)</f>
        <v>35- Développement de la formation continue des actifs en situation de travail</v>
      </c>
      <c r="AB1099" s="19" t="str">
        <f>C1099 &amp; "-" &amp; VLOOKUP(C1099,[4]RESULTATS!$E$1:$F$176,2,FALSE)</f>
        <v>352- la stratégie globale de formation continue est mise en œuvre</v>
      </c>
      <c r="AC1099" s="20" t="str">
        <f>D1099 &amp; "-" &amp; VLOOKUP(D1099,[4]STRATEGIES!$E$1:$F$504,2,FALSE)</f>
        <v>3521-Elaboration d’une stratégie nationale de formation continue avec l'implication active des professionnels</v>
      </c>
      <c r="AD1099" s="21" t="str">
        <f t="shared" si="184"/>
        <v>3521-Elaboration d’une stratégie nationale de formation continue avec l'implication active des professionnels</v>
      </c>
    </row>
    <row r="1100" spans="1:30" s="22" customFormat="1" ht="60" hidden="1" customHeight="1" x14ac:dyDescent="0.8">
      <c r="A1100" s="14">
        <v>3</v>
      </c>
      <c r="B1100" s="15">
        <v>35</v>
      </c>
      <c r="C1100" s="15">
        <v>352</v>
      </c>
      <c r="D1100" s="15">
        <v>3521</v>
      </c>
      <c r="E1100" s="14">
        <v>35111</v>
      </c>
      <c r="F1100" s="16" t="s">
        <v>1442</v>
      </c>
      <c r="G1100" s="21" t="s">
        <v>1423</v>
      </c>
      <c r="H1100" s="17" t="s">
        <v>646</v>
      </c>
      <c r="I1100" s="56">
        <v>0</v>
      </c>
      <c r="J1100" s="56">
        <f>1*30</f>
        <v>30</v>
      </c>
      <c r="K1100" s="56"/>
      <c r="L1100" s="56"/>
      <c r="M1100" s="56">
        <f t="shared" si="182"/>
        <v>30</v>
      </c>
      <c r="N1100" s="56">
        <f>IF(OR(H1100="",H1100="sif",H1100="PM"),0,VLOOKUP(H1100,[5]CU!$C$4:$H$255,6,FALSE))</f>
        <v>10.404797</v>
      </c>
      <c r="O1100" s="56">
        <f t="shared" si="183"/>
        <v>0</v>
      </c>
      <c r="P1100" s="56">
        <f t="shared" si="183"/>
        <v>312.14391000000001</v>
      </c>
      <c r="Q1100" s="56">
        <f t="shared" si="183"/>
        <v>0</v>
      </c>
      <c r="R1100" s="56">
        <f t="shared" si="183"/>
        <v>0</v>
      </c>
      <c r="S1100" s="53">
        <f>SUM(O1100:R1100)</f>
        <v>312.14391000000001</v>
      </c>
      <c r="T1100" s="35" t="s">
        <v>56</v>
      </c>
      <c r="U1100" s="18" t="s">
        <v>1443</v>
      </c>
      <c r="V1100" s="19" t="str">
        <f>IF(OR($H1100="",$H1100="sif",$H1100="PM"),"",VLOOKUP($H1100,[5]CU!$C$5:$J$255,8,FALSE))</f>
        <v>3. Dépenses de fonctionnement</v>
      </c>
      <c r="W1100" s="18" t="s">
        <v>96</v>
      </c>
      <c r="X1100" s="19" t="s">
        <v>1444</v>
      </c>
      <c r="Y1100" s="18" t="s">
        <v>677</v>
      </c>
      <c r="Z1100" s="19" t="str">
        <f>A1100 &amp; "-" &amp; VLOOKUP(A1100,[4]PROGRAMMES!$E$1:$F$7,2,FALSE)</f>
        <v>3-Expansion et réforme de l’ETFP</v>
      </c>
      <c r="AA1100" s="19" t="str">
        <f>B1100 &amp; "-" &amp; VLOOKUP(B1100,[4]SOUSPROGRAMMES!$E$1:$F$44,2,FALSE)</f>
        <v>35- Développement de la formation continue des actifs en situation de travail</v>
      </c>
      <c r="AB1100" s="19" t="str">
        <f>C1100 &amp; "-" &amp; VLOOKUP(C1100,[4]RESULTATS!$E$1:$F$176,2,FALSE)</f>
        <v>352- la stratégie globale de formation continue est mise en œuvre</v>
      </c>
      <c r="AC1100" s="20" t="str">
        <f>D1100 &amp; "-" &amp; VLOOKUP(D1100,[4]STRATEGIES!$E$1:$F$504,2,FALSE)</f>
        <v>3521-Elaboration d’une stratégie nationale de formation continue avec l'implication active des professionnels</v>
      </c>
      <c r="AD1100" s="21" t="str">
        <f t="shared" si="184"/>
        <v>35111-Réalisation d'une étude</v>
      </c>
    </row>
    <row r="1101" spans="1:30" s="22" customFormat="1" ht="45" hidden="1" customHeight="1" x14ac:dyDescent="0.8">
      <c r="A1101" s="14">
        <v>3</v>
      </c>
      <c r="B1101" s="15">
        <v>35</v>
      </c>
      <c r="C1101" s="15">
        <v>352</v>
      </c>
      <c r="D1101" s="15">
        <v>3521</v>
      </c>
      <c r="E1101" s="14">
        <v>35211</v>
      </c>
      <c r="F1101" s="16" t="s">
        <v>1445</v>
      </c>
      <c r="G1101" s="21" t="s">
        <v>315</v>
      </c>
      <c r="H1101" s="17" t="s">
        <v>66</v>
      </c>
      <c r="I1101" s="56">
        <v>0</v>
      </c>
      <c r="J1101" s="56">
        <f>20*3*9</f>
        <v>540</v>
      </c>
      <c r="K1101" s="56"/>
      <c r="L1101" s="56"/>
      <c r="M1101" s="56">
        <f t="shared" si="182"/>
        <v>540</v>
      </c>
      <c r="N1101" s="56">
        <f>IF(OR(H1101="",H1101="sif",H1101="PM"),0,VLOOKUP(H1101,[5]CU!$C$4:$H$255,6,FALSE))</f>
        <v>0.255</v>
      </c>
      <c r="O1101" s="56">
        <f t="shared" si="183"/>
        <v>0</v>
      </c>
      <c r="P1101" s="56">
        <f t="shared" si="183"/>
        <v>137.69999999999999</v>
      </c>
      <c r="Q1101" s="56">
        <f t="shared" si="183"/>
        <v>0</v>
      </c>
      <c r="R1101" s="56">
        <f t="shared" si="183"/>
        <v>0</v>
      </c>
      <c r="S1101" s="53">
        <f>SUM(O1101:R1101)</f>
        <v>137.69999999999999</v>
      </c>
      <c r="T1101" s="35" t="s">
        <v>56</v>
      </c>
      <c r="U1101" s="18" t="s">
        <v>1443</v>
      </c>
      <c r="V1101" s="19" t="str">
        <f>IF(OR($H1101="",$H1101="sif",$H1101="PM"),"",VLOOKUP($H1101,[5]CU!$C$5:$J$255,8,FALSE))</f>
        <v>3. Dépenses de fonctionnement</v>
      </c>
      <c r="W1101" s="18" t="s">
        <v>96</v>
      </c>
      <c r="X1101" s="19" t="s">
        <v>1446</v>
      </c>
      <c r="Y1101" s="18" t="s">
        <v>677</v>
      </c>
      <c r="Z1101" s="19" t="str">
        <f>A1101 &amp; "-" &amp; VLOOKUP(A1101,[4]PROGRAMMES!$E$1:$F$7,2,FALSE)</f>
        <v>3-Expansion et réforme de l’ETFP</v>
      </c>
      <c r="AA1101" s="19" t="str">
        <f>B1101 &amp; "-" &amp; VLOOKUP(B1101,[4]SOUSPROGRAMMES!$E$1:$F$44,2,FALSE)</f>
        <v>35- Développement de la formation continue des actifs en situation de travail</v>
      </c>
      <c r="AB1101" s="19" t="str">
        <f>C1101 &amp; "-" &amp; VLOOKUP(C1101,[4]RESULTATS!$E$1:$F$176,2,FALSE)</f>
        <v>352- la stratégie globale de formation continue est mise en œuvre</v>
      </c>
      <c r="AC1101" s="20" t="str">
        <f>D1101 &amp; "-" &amp; VLOOKUP(D1101,[4]STRATEGIES!$E$1:$F$504,2,FALSE)</f>
        <v>3521-Elaboration d’une stratégie nationale de formation continue avec l'implication active des professionnels</v>
      </c>
      <c r="AD1101" s="21" t="str">
        <f t="shared" si="184"/>
        <v>35211-Organisation d'atelier d'élaboration</v>
      </c>
    </row>
    <row r="1102" spans="1:30" s="22" customFormat="1" ht="45" hidden="1" customHeight="1" x14ac:dyDescent="0.8">
      <c r="A1102" s="14">
        <v>3</v>
      </c>
      <c r="B1102" s="15">
        <v>35</v>
      </c>
      <c r="C1102" s="15">
        <v>352</v>
      </c>
      <c r="D1102" s="15">
        <v>3521</v>
      </c>
      <c r="E1102" s="14">
        <v>35212</v>
      </c>
      <c r="F1102" s="16" t="s">
        <v>1447</v>
      </c>
      <c r="G1102" s="21" t="s">
        <v>916</v>
      </c>
      <c r="H1102" s="17" t="s">
        <v>55</v>
      </c>
      <c r="I1102" s="56">
        <v>0</v>
      </c>
      <c r="J1102" s="56"/>
      <c r="K1102" s="56">
        <v>1</v>
      </c>
      <c r="L1102" s="56"/>
      <c r="M1102" s="56">
        <f t="shared" si="182"/>
        <v>1</v>
      </c>
      <c r="N1102" s="56">
        <f>IF(OR(H1102="",H1102="sif",H1102="PM"),0,VLOOKUP(H1102,[5]CU!$C$4:$H$255,6,FALSE))</f>
        <v>0</v>
      </c>
      <c r="O1102" s="56">
        <f t="shared" si="183"/>
        <v>0</v>
      </c>
      <c r="P1102" s="56">
        <f t="shared" si="183"/>
        <v>0</v>
      </c>
      <c r="Q1102" s="56">
        <f t="shared" si="183"/>
        <v>0</v>
      </c>
      <c r="R1102" s="56">
        <f t="shared" si="183"/>
        <v>0</v>
      </c>
      <c r="S1102" s="53"/>
      <c r="T1102" s="35" t="s">
        <v>56</v>
      </c>
      <c r="U1102" s="18" t="s">
        <v>1443</v>
      </c>
      <c r="V1102" s="19" t="str">
        <f>IF(OR($H1102="",$H1102="sif",$H1102="PM"),"",VLOOKUP($H1102,[5]CU!$C$5:$J$255,8,FALSE))</f>
        <v/>
      </c>
      <c r="W1102" s="18" t="s">
        <v>1334</v>
      </c>
      <c r="X1102" s="19" t="s">
        <v>1448</v>
      </c>
      <c r="Y1102" s="18" t="s">
        <v>677</v>
      </c>
      <c r="Z1102" s="19" t="str">
        <f>A1102 &amp; "-" &amp; VLOOKUP(A1102,[4]PROGRAMMES!$E$1:$F$7,2,FALSE)</f>
        <v>3-Expansion et réforme de l’ETFP</v>
      </c>
      <c r="AA1102" s="19" t="str">
        <f>B1102 &amp; "-" &amp; VLOOKUP(B1102,[4]SOUSPROGRAMMES!$E$1:$F$44,2,FALSE)</f>
        <v>35- Développement de la formation continue des actifs en situation de travail</v>
      </c>
      <c r="AB1102" s="19" t="str">
        <f>C1102 &amp; "-" &amp; VLOOKUP(C1102,[4]RESULTATS!$E$1:$F$176,2,FALSE)</f>
        <v>352- la stratégie globale de formation continue est mise en œuvre</v>
      </c>
      <c r="AC1102" s="20" t="str">
        <f>D1102 &amp; "-" &amp; VLOOKUP(D1102,[4]STRATEGIES!$E$1:$F$504,2,FALSE)</f>
        <v>3521-Elaboration d’une stratégie nationale de formation continue avec l'implication active des professionnels</v>
      </c>
      <c r="AD1102" s="21" t="str">
        <f t="shared" si="184"/>
        <v>35212-Adoption de la stratégie nationale de formation continue</v>
      </c>
    </row>
    <row r="1103" spans="1:30" s="22" customFormat="1" ht="45" customHeight="1" x14ac:dyDescent="0.8">
      <c r="A1103" s="14">
        <v>3</v>
      </c>
      <c r="B1103" s="15">
        <v>35</v>
      </c>
      <c r="C1103" s="15">
        <v>352</v>
      </c>
      <c r="D1103" s="15">
        <v>3522</v>
      </c>
      <c r="E1103" s="14">
        <v>3522</v>
      </c>
      <c r="F1103" s="16" t="s">
        <v>1449</v>
      </c>
      <c r="G1103" s="17"/>
      <c r="H1103" s="17"/>
      <c r="I1103" s="56">
        <v>0</v>
      </c>
      <c r="J1103" s="56"/>
      <c r="K1103" s="56"/>
      <c r="L1103" s="56"/>
      <c r="M1103" s="56"/>
      <c r="N1103" s="56"/>
      <c r="O1103" s="56"/>
      <c r="P1103" s="56"/>
      <c r="Q1103" s="56"/>
      <c r="R1103" s="56"/>
      <c r="S1103" s="53"/>
      <c r="T1103" s="33"/>
      <c r="U1103" s="18"/>
      <c r="V1103" s="19"/>
      <c r="W1103" s="18"/>
      <c r="X1103" s="18"/>
      <c r="Y1103" s="18" t="s">
        <v>677</v>
      </c>
      <c r="Z1103" s="19" t="str">
        <f>A1103 &amp; "-" &amp; VLOOKUP(A1103,[4]PROGRAMMES!$E$1:$F$7,2,FALSE)</f>
        <v>3-Expansion et réforme de l’ETFP</v>
      </c>
      <c r="AA1103" s="19" t="str">
        <f>B1103 &amp; "-" &amp; VLOOKUP(B1103,[4]SOUSPROGRAMMES!$E$1:$F$44,2,FALSE)</f>
        <v>35- Développement de la formation continue des actifs en situation de travail</v>
      </c>
      <c r="AB1103" s="19" t="str">
        <f>C1103 &amp; "-" &amp; VLOOKUP(C1103,[4]RESULTATS!$E$1:$F$176,2,FALSE)</f>
        <v>352- la stratégie globale de formation continue est mise en œuvre</v>
      </c>
      <c r="AC1103" s="20" t="str">
        <f>D1103 &amp; "-" &amp; VLOOKUP(D1103,[4]STRATEGIES!$E$1:$F$504,2,FALSE)</f>
        <v>3522-Promotion de nouveaux mécanismes d'incitation à la formation continue</v>
      </c>
      <c r="AD1103" s="21" t="str">
        <f t="shared" si="184"/>
        <v>3522-Promotion de nouveaux mécanismes d'incitation à la formation continue</v>
      </c>
    </row>
    <row r="1104" spans="1:30" s="22" customFormat="1" ht="45" hidden="1" customHeight="1" x14ac:dyDescent="0.8">
      <c r="A1104" s="14">
        <v>3</v>
      </c>
      <c r="B1104" s="15">
        <v>35</v>
      </c>
      <c r="C1104" s="15">
        <v>352</v>
      </c>
      <c r="D1104" s="15">
        <v>3522</v>
      </c>
      <c r="E1104" s="14"/>
      <c r="F1104" s="16" t="s">
        <v>1450</v>
      </c>
      <c r="G1104" s="21"/>
      <c r="H1104" s="17"/>
      <c r="I1104" s="56">
        <v>0</v>
      </c>
      <c r="J1104" s="56"/>
      <c r="K1104" s="56"/>
      <c r="L1104" s="56"/>
      <c r="M1104" s="56"/>
      <c r="N1104" s="56"/>
      <c r="O1104" s="56"/>
      <c r="P1104" s="56"/>
      <c r="Q1104" s="56"/>
      <c r="R1104" s="56"/>
      <c r="S1104" s="53"/>
      <c r="T1104" s="35" t="s">
        <v>56</v>
      </c>
      <c r="U1104" s="18" t="s">
        <v>1443</v>
      </c>
      <c r="V1104" s="19" t="str">
        <f>IF(OR($H1104="",$H1104="sif",$H1104="PM"),"",VLOOKUP($H1104,[5]CU!$C$5:$J$255,8,FALSE))</f>
        <v/>
      </c>
      <c r="W1104" s="18"/>
      <c r="X1104" s="18"/>
      <c r="Y1104" s="18" t="s">
        <v>677</v>
      </c>
      <c r="Z1104" s="19" t="str">
        <f>A1104 &amp; "-" &amp; VLOOKUP(A1104,[4]PROGRAMMES!$E$1:$F$7,2,FALSE)</f>
        <v>3-Expansion et réforme de l’ETFP</v>
      </c>
      <c r="AA1104" s="19" t="str">
        <f>B1104 &amp; "-" &amp; VLOOKUP(B1104,[4]SOUSPROGRAMMES!$E$1:$F$44,2,FALSE)</f>
        <v>35- Développement de la formation continue des actifs en situation de travail</v>
      </c>
      <c r="AB1104" s="19" t="str">
        <f>C1104 &amp; "-" &amp; VLOOKUP(C1104,[4]RESULTATS!$E$1:$F$176,2,FALSE)</f>
        <v>352- la stratégie globale de formation continue est mise en œuvre</v>
      </c>
      <c r="AC1104" s="20" t="str">
        <f>D1104 &amp; "-" &amp; VLOOKUP(D1104,[4]STRATEGIES!$E$1:$F$504,2,FALSE)</f>
        <v>3522-Promotion de nouveaux mécanismes d'incitation à la formation continue</v>
      </c>
      <c r="AD1104" s="21" t="str">
        <f t="shared" si="184"/>
        <v>-pm sera pris en compte dans la seconde phase du PRODEG</v>
      </c>
    </row>
    <row r="1105" spans="1:30" s="22" customFormat="1" ht="45" customHeight="1" x14ac:dyDescent="0.8">
      <c r="A1105" s="14">
        <v>3</v>
      </c>
      <c r="B1105" s="15">
        <v>35</v>
      </c>
      <c r="C1105" s="15">
        <v>352</v>
      </c>
      <c r="D1105" s="15">
        <v>3523</v>
      </c>
      <c r="E1105" s="14">
        <v>3523</v>
      </c>
      <c r="F1105" s="16" t="s">
        <v>1451</v>
      </c>
      <c r="G1105" s="17"/>
      <c r="H1105" s="17"/>
      <c r="I1105" s="56">
        <v>0</v>
      </c>
      <c r="J1105" s="56"/>
      <c r="K1105" s="56"/>
      <c r="L1105" s="56"/>
      <c r="M1105" s="56"/>
      <c r="N1105" s="56"/>
      <c r="O1105" s="56"/>
      <c r="P1105" s="56"/>
      <c r="Q1105" s="56"/>
      <c r="R1105" s="56"/>
      <c r="S1105" s="53"/>
      <c r="T1105" s="33"/>
      <c r="U1105" s="18"/>
      <c r="V1105" s="19"/>
      <c r="W1105" s="18"/>
      <c r="X1105" s="18"/>
      <c r="Y1105" s="18" t="s">
        <v>677</v>
      </c>
      <c r="Z1105" s="19" t="str">
        <f>A1105 &amp; "-" &amp; VLOOKUP(A1105,[4]PROGRAMMES!$E$1:$F$7,2,FALSE)</f>
        <v>3-Expansion et réforme de l’ETFP</v>
      </c>
      <c r="AA1105" s="19" t="str">
        <f>B1105 &amp; "-" &amp; VLOOKUP(B1105,[4]SOUSPROGRAMMES!$E$1:$F$44,2,FALSE)</f>
        <v>35- Développement de la formation continue des actifs en situation de travail</v>
      </c>
      <c r="AB1105" s="19" t="str">
        <f>C1105 &amp; "-" &amp; VLOOKUP(C1105,[4]RESULTATS!$E$1:$F$176,2,FALSE)</f>
        <v>352- la stratégie globale de formation continue est mise en œuvre</v>
      </c>
      <c r="AC1105" s="20" t="str">
        <f>D1105 &amp; "-" &amp; VLOOKUP(D1105,[4]STRATEGIES!$E$1:$F$504,2,FALSE)</f>
        <v>3523-Opérationnalisation des nouveaux mécanismes de formation continue</v>
      </c>
      <c r="AD1105" s="21" t="str">
        <f t="shared" si="184"/>
        <v>3523-Opérationnalisation des nouveaux mécanismes de formation continue</v>
      </c>
    </row>
    <row r="1106" spans="1:30" s="22" customFormat="1" ht="45" hidden="1" customHeight="1" x14ac:dyDescent="0.8">
      <c r="A1106" s="14">
        <v>3</v>
      </c>
      <c r="B1106" s="15">
        <v>35</v>
      </c>
      <c r="C1106" s="15">
        <v>352</v>
      </c>
      <c r="D1106" s="15">
        <v>3523</v>
      </c>
      <c r="E1106" s="14"/>
      <c r="F1106" s="16" t="s">
        <v>1450</v>
      </c>
      <c r="G1106" s="21"/>
      <c r="H1106" s="17"/>
      <c r="I1106" s="56">
        <v>0</v>
      </c>
      <c r="J1106" s="56"/>
      <c r="K1106" s="56"/>
      <c r="L1106" s="56"/>
      <c r="M1106" s="56"/>
      <c r="N1106" s="56"/>
      <c r="O1106" s="56"/>
      <c r="P1106" s="56"/>
      <c r="Q1106" s="56"/>
      <c r="R1106" s="56"/>
      <c r="S1106" s="53"/>
      <c r="T1106" s="35" t="s">
        <v>56</v>
      </c>
      <c r="U1106" s="18" t="s">
        <v>1443</v>
      </c>
      <c r="V1106" s="19" t="str">
        <f>IF(OR($H1106="",$H1106="sif",$H1106="PM"),"",VLOOKUP($H1106,[5]CU!$C$5:$J$255,8,FALSE))</f>
        <v/>
      </c>
      <c r="W1106" s="18"/>
      <c r="X1106" s="18"/>
      <c r="Y1106" s="18" t="s">
        <v>677</v>
      </c>
      <c r="Z1106" s="19" t="str">
        <f>A1106 &amp; "-" &amp; VLOOKUP(A1106,[4]PROGRAMMES!$E$1:$F$7,2,FALSE)</f>
        <v>3-Expansion et réforme de l’ETFP</v>
      </c>
      <c r="AA1106" s="19" t="str">
        <f>B1106 &amp; "-" &amp; VLOOKUP(B1106,[4]SOUSPROGRAMMES!$E$1:$F$44,2,FALSE)</f>
        <v>35- Développement de la formation continue des actifs en situation de travail</v>
      </c>
      <c r="AB1106" s="19" t="str">
        <f>C1106 &amp; "-" &amp; VLOOKUP(C1106,[4]RESULTATS!$E$1:$F$176,2,FALSE)</f>
        <v>352- la stratégie globale de formation continue est mise en œuvre</v>
      </c>
      <c r="AC1106" s="20" t="str">
        <f>D1106 &amp; "-" &amp; VLOOKUP(D1106,[4]STRATEGIES!$E$1:$F$504,2,FALSE)</f>
        <v>3523-Opérationnalisation des nouveaux mécanismes de formation continue</v>
      </c>
      <c r="AD1106" s="21" t="str">
        <f t="shared" si="184"/>
        <v>-pm sera pris en compte dans la seconde phase du PRODEG</v>
      </c>
    </row>
    <row r="1107" spans="1:30" s="22" customFormat="1" ht="45" customHeight="1" x14ac:dyDescent="0.8">
      <c r="A1107" s="14">
        <v>3</v>
      </c>
      <c r="B1107" s="15">
        <v>35</v>
      </c>
      <c r="C1107" s="15">
        <v>353</v>
      </c>
      <c r="D1107" s="15">
        <v>353</v>
      </c>
      <c r="E1107" s="14">
        <v>353</v>
      </c>
      <c r="F1107" s="16" t="s">
        <v>1452</v>
      </c>
      <c r="G1107" s="17"/>
      <c r="H1107" s="17"/>
      <c r="I1107" s="56">
        <v>0</v>
      </c>
      <c r="J1107" s="56"/>
      <c r="K1107" s="56"/>
      <c r="L1107" s="56"/>
      <c r="M1107" s="56"/>
      <c r="N1107" s="56"/>
      <c r="O1107" s="56"/>
      <c r="P1107" s="56"/>
      <c r="Q1107" s="56"/>
      <c r="R1107" s="56"/>
      <c r="S1107" s="53"/>
      <c r="T1107" s="33"/>
      <c r="U1107" s="18"/>
      <c r="V1107" s="19"/>
      <c r="W1107" s="18"/>
      <c r="X1107" s="18"/>
      <c r="Y1107" s="18" t="s">
        <v>677</v>
      </c>
      <c r="Z1107" s="19" t="str">
        <f>A1107 &amp; "-" &amp; VLOOKUP(A1107,[4]PROGRAMMES!$E$1:$F$7,2,FALSE)</f>
        <v>3-Expansion et réforme de l’ETFP</v>
      </c>
      <c r="AA1107" s="19" t="str">
        <f>B1107 &amp; "-" &amp; VLOOKUP(B1107,[4]SOUSPROGRAMMES!$E$1:$F$44,2,FALSE)</f>
        <v>35- Développement de la formation continue des actifs en situation de travail</v>
      </c>
      <c r="AB1107" s="19" t="str">
        <f>C1107 &amp; "-" &amp; VLOOKUP(C1107,[4]RESULTATS!$E$1:$F$176,2,FALSE)</f>
        <v>353- La prestation de service en formation continue est accrue dans les centres</v>
      </c>
      <c r="AC1107" s="20" t="str">
        <f>D1107 &amp; "-" &amp; VLOOKUP(D1107,[4]STRATEGIES!$E$1:$F$504,2,FALSE)</f>
        <v>353- La prestation de service en formation continue est accrue dans les centres</v>
      </c>
      <c r="AD1107" s="21" t="str">
        <f t="shared" si="184"/>
        <v>353- La prestation de service en formation continue est accrue dans les centres</v>
      </c>
    </row>
    <row r="1108" spans="1:30" s="22" customFormat="1" ht="45" customHeight="1" x14ac:dyDescent="0.8">
      <c r="A1108" s="14">
        <v>3</v>
      </c>
      <c r="B1108" s="15">
        <v>35</v>
      </c>
      <c r="C1108" s="15">
        <v>353</v>
      </c>
      <c r="D1108" s="15">
        <v>3531</v>
      </c>
      <c r="E1108" s="14">
        <v>3531</v>
      </c>
      <c r="F1108" s="16" t="s">
        <v>1453</v>
      </c>
      <c r="G1108" s="17"/>
      <c r="H1108" s="17"/>
      <c r="I1108" s="56">
        <v>0</v>
      </c>
      <c r="J1108" s="56"/>
      <c r="K1108" s="56"/>
      <c r="L1108" s="56"/>
      <c r="M1108" s="56"/>
      <c r="N1108" s="56"/>
      <c r="O1108" s="56"/>
      <c r="P1108" s="56"/>
      <c r="Q1108" s="56"/>
      <c r="R1108" s="56"/>
      <c r="S1108" s="53"/>
      <c r="T1108" s="33"/>
      <c r="U1108" s="18"/>
      <c r="V1108" s="19"/>
      <c r="W1108" s="18"/>
      <c r="X1108" s="18"/>
      <c r="Y1108" s="18" t="s">
        <v>677</v>
      </c>
      <c r="Z1108" s="19" t="str">
        <f>A1108 &amp; "-" &amp; VLOOKUP(A1108,[4]PROGRAMMES!$E$1:$F$7,2,FALSE)</f>
        <v>3-Expansion et réforme de l’ETFP</v>
      </c>
      <c r="AA1108" s="19" t="str">
        <f>B1108 &amp; "-" &amp; VLOOKUP(B1108,[4]SOUSPROGRAMMES!$E$1:$F$44,2,FALSE)</f>
        <v>35- Développement de la formation continue des actifs en situation de travail</v>
      </c>
      <c r="AB1108" s="19" t="str">
        <f>C1108 &amp; "-" &amp; VLOOKUP(C1108,[4]RESULTATS!$E$1:$F$176,2,FALSE)</f>
        <v>353- La prestation de service en formation continue est accrue dans les centres</v>
      </c>
      <c r="AC1108" s="20" t="str">
        <f>D1108 &amp; "-" &amp; VLOOKUP(D1108,[4]STRATEGIES!$E$1:$F$504,2,FALSE)</f>
        <v>3531-Renforcement de capacités des centres en prestation de service en matière de formation continue</v>
      </c>
      <c r="AD1108" s="21" t="str">
        <f t="shared" si="184"/>
        <v>3531-Renforcement de capacités des centres en prestation de service en matière de formation continue</v>
      </c>
    </row>
    <row r="1109" spans="1:30" s="22" customFormat="1" ht="45" hidden="1" customHeight="1" x14ac:dyDescent="0.8">
      <c r="A1109" s="14">
        <v>3</v>
      </c>
      <c r="B1109" s="15">
        <v>35</v>
      </c>
      <c r="C1109" s="15">
        <v>353</v>
      </c>
      <c r="D1109" s="15">
        <v>3531</v>
      </c>
      <c r="E1109" s="14"/>
      <c r="F1109" s="16" t="s">
        <v>1450</v>
      </c>
      <c r="G1109" s="21"/>
      <c r="H1109" s="17"/>
      <c r="I1109" s="56">
        <v>0</v>
      </c>
      <c r="J1109" s="56"/>
      <c r="K1109" s="56"/>
      <c r="L1109" s="56"/>
      <c r="M1109" s="56"/>
      <c r="N1109" s="56"/>
      <c r="O1109" s="56"/>
      <c r="P1109" s="56"/>
      <c r="Q1109" s="56"/>
      <c r="R1109" s="56"/>
      <c r="S1109" s="53"/>
      <c r="T1109" s="35" t="s">
        <v>56</v>
      </c>
      <c r="U1109" s="18" t="s">
        <v>1443</v>
      </c>
      <c r="V1109" s="19" t="str">
        <f>IF(OR($H1109="",$H1109="sif",$H1109="PM"),"",VLOOKUP($H1109,[5]CU!$C$5:$J$255,8,FALSE))</f>
        <v/>
      </c>
      <c r="W1109" s="18"/>
      <c r="X1109" s="18"/>
      <c r="Y1109" s="18" t="s">
        <v>677</v>
      </c>
      <c r="Z1109" s="19" t="str">
        <f>A1109 &amp; "-" &amp; VLOOKUP(A1109,[4]PROGRAMMES!$E$1:$F$7,2,FALSE)</f>
        <v>3-Expansion et réforme de l’ETFP</v>
      </c>
      <c r="AA1109" s="19" t="str">
        <f>B1109 &amp; "-" &amp; VLOOKUP(B1109,[4]SOUSPROGRAMMES!$E$1:$F$44,2,FALSE)</f>
        <v>35- Développement de la formation continue des actifs en situation de travail</v>
      </c>
      <c r="AB1109" s="19" t="str">
        <f>C1109 &amp; "-" &amp; VLOOKUP(C1109,[4]RESULTATS!$E$1:$F$176,2,FALSE)</f>
        <v>353- La prestation de service en formation continue est accrue dans les centres</v>
      </c>
      <c r="AC1109" s="20" t="str">
        <f>D1109 &amp; "-" &amp; VLOOKUP(D1109,[4]STRATEGIES!$E$1:$F$504,2,FALSE)</f>
        <v>3531-Renforcement de capacités des centres en prestation de service en matière de formation continue</v>
      </c>
      <c r="AD1109" s="21" t="str">
        <f t="shared" si="184"/>
        <v>-pm sera pris en compte dans la seconde phase du PRODEG</v>
      </c>
    </row>
    <row r="1110" spans="1:30" s="22" customFormat="1" ht="45" customHeight="1" x14ac:dyDescent="0.8">
      <c r="A1110" s="14">
        <v>3</v>
      </c>
      <c r="B1110" s="15">
        <v>35</v>
      </c>
      <c r="C1110" s="15">
        <v>353</v>
      </c>
      <c r="D1110" s="15">
        <v>3532</v>
      </c>
      <c r="E1110" s="14">
        <v>3532</v>
      </c>
      <c r="F1110" s="16" t="s">
        <v>1454</v>
      </c>
      <c r="G1110" s="17"/>
      <c r="H1110" s="17"/>
      <c r="I1110" s="56">
        <v>0</v>
      </c>
      <c r="J1110" s="56"/>
      <c r="K1110" s="56"/>
      <c r="L1110" s="56"/>
      <c r="M1110" s="56"/>
      <c r="N1110" s="56"/>
      <c r="O1110" s="56"/>
      <c r="P1110" s="56"/>
      <c r="Q1110" s="56"/>
      <c r="R1110" s="56"/>
      <c r="S1110" s="53"/>
      <c r="T1110" s="33"/>
      <c r="U1110" s="18"/>
      <c r="V1110" s="19"/>
      <c r="W1110" s="18"/>
      <c r="X1110" s="18"/>
      <c r="Y1110" s="18" t="s">
        <v>677</v>
      </c>
      <c r="Z1110" s="19" t="str">
        <f>A1110 &amp; "-" &amp; VLOOKUP(A1110,[4]PROGRAMMES!$E$1:$F$7,2,FALSE)</f>
        <v>3-Expansion et réforme de l’ETFP</v>
      </c>
      <c r="AA1110" s="19" t="str">
        <f>B1110 &amp; "-" &amp; VLOOKUP(B1110,[4]SOUSPROGRAMMES!$E$1:$F$44,2,FALSE)</f>
        <v>35- Développement de la formation continue des actifs en situation de travail</v>
      </c>
      <c r="AB1110" s="19" t="str">
        <f>C1110 &amp; "-" &amp; VLOOKUP(C1110,[4]RESULTATS!$E$1:$F$176,2,FALSE)</f>
        <v>353- La prestation de service en formation continue est accrue dans les centres</v>
      </c>
      <c r="AC1110" s="20" t="str">
        <f>D1110 &amp; "-" &amp; VLOOKUP(D1110,[4]STRATEGIES!$E$1:$F$504,2,FALSE)</f>
        <v>3532-Mise en œuvre d'actions de formations continues dans les centres</v>
      </c>
      <c r="AD1110" s="21" t="str">
        <f t="shared" si="184"/>
        <v>3532-Mise en œuvre d'actions de formations continues dans les centres</v>
      </c>
    </row>
    <row r="1111" spans="1:30" s="22" customFormat="1" ht="45" hidden="1" customHeight="1" x14ac:dyDescent="0.8">
      <c r="A1111" s="14">
        <v>3</v>
      </c>
      <c r="B1111" s="15">
        <v>35</v>
      </c>
      <c r="C1111" s="15">
        <v>353</v>
      </c>
      <c r="D1111" s="15">
        <v>3532</v>
      </c>
      <c r="E1111" s="14"/>
      <c r="F1111" s="16" t="s">
        <v>1450</v>
      </c>
      <c r="G1111" s="21"/>
      <c r="H1111" s="17"/>
      <c r="I1111" s="56">
        <v>0</v>
      </c>
      <c r="J1111" s="56"/>
      <c r="K1111" s="56"/>
      <c r="L1111" s="56"/>
      <c r="M1111" s="56"/>
      <c r="N1111" s="56"/>
      <c r="O1111" s="56"/>
      <c r="P1111" s="56"/>
      <c r="Q1111" s="56"/>
      <c r="R1111" s="56"/>
      <c r="S1111" s="53"/>
      <c r="T1111" s="35" t="s">
        <v>56</v>
      </c>
      <c r="U1111" s="18" t="s">
        <v>1443</v>
      </c>
      <c r="V1111" s="19" t="str">
        <f>IF(OR($H1111="",$H1111="sif",$H1111="PM"),"",VLOOKUP($H1111,[5]CU!$C$5:$J$255,8,FALSE))</f>
        <v/>
      </c>
      <c r="W1111" s="18"/>
      <c r="X1111" s="18"/>
      <c r="Y1111" s="18" t="s">
        <v>677</v>
      </c>
      <c r="Z1111" s="19" t="str">
        <f>A1111 &amp; "-" &amp; VLOOKUP(A1111,[4]PROGRAMMES!$E$1:$F$7,2,FALSE)</f>
        <v>3-Expansion et réforme de l’ETFP</v>
      </c>
      <c r="AA1111" s="19" t="str">
        <f>B1111 &amp; "-" &amp; VLOOKUP(B1111,[4]SOUSPROGRAMMES!$E$1:$F$44,2,FALSE)</f>
        <v>35- Développement de la formation continue des actifs en situation de travail</v>
      </c>
      <c r="AB1111" s="19" t="str">
        <f>C1111 &amp; "-" &amp; VLOOKUP(C1111,[4]RESULTATS!$E$1:$F$176,2,FALSE)</f>
        <v>353- La prestation de service en formation continue est accrue dans les centres</v>
      </c>
      <c r="AC1111" s="20" t="str">
        <f>D1111 &amp; "-" &amp; VLOOKUP(D1111,[4]STRATEGIES!$E$1:$F$504,2,FALSE)</f>
        <v>3532-Mise en œuvre d'actions de formations continues dans les centres</v>
      </c>
      <c r="AD1111" s="21" t="str">
        <f t="shared" si="184"/>
        <v>-pm sera pris en compte dans la seconde phase du PRODEG</v>
      </c>
    </row>
    <row r="1112" spans="1:30" s="22" customFormat="1" ht="60" customHeight="1" x14ac:dyDescent="0.8">
      <c r="A1112" s="14">
        <v>3</v>
      </c>
      <c r="B1112" s="15">
        <v>36</v>
      </c>
      <c r="C1112" s="15">
        <v>36</v>
      </c>
      <c r="D1112" s="15">
        <v>36</v>
      </c>
      <c r="E1112" s="14">
        <v>36</v>
      </c>
      <c r="F1112" s="16" t="s">
        <v>1455</v>
      </c>
      <c r="G1112" s="17"/>
      <c r="H1112" s="17"/>
      <c r="I1112" s="56">
        <v>0</v>
      </c>
      <c r="J1112" s="56"/>
      <c r="K1112" s="56"/>
      <c r="L1112" s="56"/>
      <c r="M1112" s="56"/>
      <c r="N1112" s="56"/>
      <c r="O1112" s="56"/>
      <c r="P1112" s="56"/>
      <c r="Q1112" s="56"/>
      <c r="R1112" s="56"/>
      <c r="S1112" s="53"/>
      <c r="T1112" s="33"/>
      <c r="U1112" s="18"/>
      <c r="V1112" s="19"/>
      <c r="W1112" s="18"/>
      <c r="X1112" s="18"/>
      <c r="Y1112" s="18" t="s">
        <v>677</v>
      </c>
      <c r="Z1112" s="19" t="str">
        <f>A1112 &amp; "-" &amp; VLOOKUP(A1112,[4]PROGRAMMES!$E$1:$F$7,2,FALSE)</f>
        <v>3-Expansion et réforme de l’ETFP</v>
      </c>
      <c r="AA1112" s="19" t="str">
        <f>B1112 &amp; "-" &amp; VLOOKUP(B1112,[4]SOUSPROGRAMMES!$E$1:$F$44,2,FALSE)</f>
        <v>36- Renforcement des capacités de pilotage et de gestion dans le cadre d’une gouvernance parteunariale multi niveaux</v>
      </c>
      <c r="AB1112" s="19" t="str">
        <f>C1112 &amp; "-" &amp; VLOOKUP(C1112,[4]RESULTATS!$E$1:$F$176,2,FALSE)</f>
        <v>36- Renforcement des capacités de pilotage et de gestion dans le cadre d’une gouvernance parteunariale multi niveaux</v>
      </c>
      <c r="AC1112" s="20" t="str">
        <f>D1112 &amp; "-" &amp; VLOOKUP(D1112,[4]STRATEGIES!$E$1:$F$504,2,FALSE)</f>
        <v>36- Renforcement des capacités de pilotage et de gestion dans le cadre d’une gouvernance parteunariale multi niveaux</v>
      </c>
      <c r="AD1112" s="21" t="str">
        <f t="shared" si="184"/>
        <v>36- Renforcement des capacités de pilotage et de gestion dans le cadre d’une gouvernance parteunariale multi niveaux</v>
      </c>
    </row>
    <row r="1113" spans="1:30" s="22" customFormat="1" ht="90" customHeight="1" x14ac:dyDescent="0.8">
      <c r="A1113" s="14">
        <v>3</v>
      </c>
      <c r="B1113" s="15">
        <v>36</v>
      </c>
      <c r="C1113" s="15">
        <v>361</v>
      </c>
      <c r="D1113" s="15">
        <v>361</v>
      </c>
      <c r="E1113" s="14">
        <v>361</v>
      </c>
      <c r="F1113" s="16" t="s">
        <v>1456</v>
      </c>
      <c r="G1113" s="17"/>
      <c r="H1113" s="17"/>
      <c r="I1113" s="56">
        <v>0</v>
      </c>
      <c r="J1113" s="56"/>
      <c r="K1113" s="56"/>
      <c r="L1113" s="56"/>
      <c r="M1113" s="56"/>
      <c r="N1113" s="56"/>
      <c r="O1113" s="56"/>
      <c r="P1113" s="56"/>
      <c r="Q1113" s="56"/>
      <c r="R1113" s="56"/>
      <c r="S1113" s="53"/>
      <c r="T1113" s="33"/>
      <c r="U1113" s="18"/>
      <c r="V1113" s="19"/>
      <c r="W1113" s="18"/>
      <c r="X1113" s="18"/>
      <c r="Y1113" s="18" t="s">
        <v>677</v>
      </c>
      <c r="Z1113" s="19" t="str">
        <f>A1113 &amp; "-" &amp; VLOOKUP(A1113,[4]PROGRAMMES!$E$1:$F$7,2,FALSE)</f>
        <v>3-Expansion et réforme de l’ETFP</v>
      </c>
      <c r="AA1113" s="19" t="str">
        <f>B1113 &amp; "-" &amp; VLOOKUP(B1113,[4]SOUSPROGRAMMES!$E$1:$F$44,2,FALSE)</f>
        <v>36- Renforcement des capacités de pilotage et de gestion dans le cadre d’une gouvernance parteunariale multi niveaux</v>
      </c>
      <c r="AB1113" s="19" t="str">
        <f>C1113 &amp; "-" &amp; VLOOKUP(C1113,[4]RESULTATS!$E$1:$F$176,2,FALSE)</f>
        <v>361-Des cadres formalisés de concertation entre les acteurs de la formation professionnelle publics, partenaires sociaux économiques, les collectivités territoriales, sont opérationnels</v>
      </c>
      <c r="AC1113" s="20" t="str">
        <f>D1113 &amp; "-" &amp; VLOOKUP(D1113,[4]STRATEGIES!$E$1:$F$504,2,FALSE)</f>
        <v>361-Des cadres formalisés de concertation entre les acteurs de la formation professionnelle publics, partenaires sociaux économiques, les collectivités territoriales, sont opérationnels</v>
      </c>
      <c r="AD1113" s="21" t="str">
        <f t="shared" si="184"/>
        <v>361-Des cadres formalisés de concertation entre les acteurs de la formation professionnelle publics, partenaires sociaux économiques, les collectivités territoriales, sont opérationnels</v>
      </c>
    </row>
    <row r="1114" spans="1:30" s="22" customFormat="1" ht="90" customHeight="1" x14ac:dyDescent="0.8">
      <c r="A1114" s="14">
        <v>3</v>
      </c>
      <c r="B1114" s="15">
        <v>36</v>
      </c>
      <c r="C1114" s="15">
        <v>361</v>
      </c>
      <c r="D1114" s="15">
        <v>3611</v>
      </c>
      <c r="E1114" s="14">
        <v>3611</v>
      </c>
      <c r="F1114" s="16" t="s">
        <v>1457</v>
      </c>
      <c r="G1114" s="17"/>
      <c r="H1114" s="17"/>
      <c r="I1114" s="56">
        <v>0</v>
      </c>
      <c r="J1114" s="56"/>
      <c r="K1114" s="56"/>
      <c r="L1114" s="56"/>
      <c r="M1114" s="56"/>
      <c r="N1114" s="56"/>
      <c r="O1114" s="56"/>
      <c r="P1114" s="56"/>
      <c r="Q1114" s="56"/>
      <c r="R1114" s="56"/>
      <c r="S1114" s="53"/>
      <c r="T1114" s="33"/>
      <c r="U1114" s="18"/>
      <c r="V1114" s="19"/>
      <c r="W1114" s="18"/>
      <c r="X1114" s="18"/>
      <c r="Y1114" s="18" t="s">
        <v>677</v>
      </c>
      <c r="Z1114" s="19" t="str">
        <f>A1114 &amp; "-" &amp; VLOOKUP(A1114,[4]PROGRAMMES!$E$1:$F$7,2,FALSE)</f>
        <v>3-Expansion et réforme de l’ETFP</v>
      </c>
      <c r="AA1114" s="19" t="str">
        <f>B1114 &amp; "-" &amp; VLOOKUP(B1114,[4]SOUSPROGRAMMES!$E$1:$F$44,2,FALSE)</f>
        <v>36- Renforcement des capacités de pilotage et de gestion dans le cadre d’une gouvernance parteunariale multi niveaux</v>
      </c>
      <c r="AB1114" s="19" t="str">
        <f>C1114 &amp; "-" &amp; VLOOKUP(C1114,[4]RESULTATS!$E$1:$F$176,2,FALSE)</f>
        <v>361-Des cadres formalisés de concertation entre les acteurs de la formation professionnelle publics, partenaires sociaux économiques, les collectivités territoriales, sont opérationnels</v>
      </c>
      <c r="AC1114" s="20" t="str">
        <f>D1114 &amp; "-" &amp; VLOOKUP(D1114,[4]STRATEGIES!$E$1:$F$504,2,FALSE)</f>
        <v>3611-Définition des cadres de concertation</v>
      </c>
      <c r="AD1114" s="21" t="str">
        <f t="shared" si="184"/>
        <v>3611-DéFinition des cadres de concertation</v>
      </c>
    </row>
    <row r="1115" spans="1:30" s="22" customFormat="1" ht="90" hidden="1" customHeight="1" x14ac:dyDescent="0.8">
      <c r="A1115" s="14">
        <v>3</v>
      </c>
      <c r="B1115" s="15">
        <v>36</v>
      </c>
      <c r="C1115" s="15">
        <v>361</v>
      </c>
      <c r="D1115" s="15">
        <v>3611</v>
      </c>
      <c r="E1115" s="14">
        <v>36111</v>
      </c>
      <c r="F1115" s="16" t="s">
        <v>1458</v>
      </c>
      <c r="G1115" s="21" t="s">
        <v>1217</v>
      </c>
      <c r="H1115" s="17" t="s">
        <v>38</v>
      </c>
      <c r="I1115" s="56">
        <v>0</v>
      </c>
      <c r="J1115" s="56">
        <f>45*3*9</f>
        <v>1215</v>
      </c>
      <c r="K1115" s="56"/>
      <c r="L1115" s="56"/>
      <c r="M1115" s="56">
        <f t="shared" ref="M1115:M1134" si="185">SUM(I1115:L1115)</f>
        <v>1215</v>
      </c>
      <c r="N1115" s="56">
        <f>IF(OR(H1115="",H1115="sif",H1115="PM"),0,VLOOKUP(H1115,[5]CU!$C$4:$H$255,6,FALSE))</f>
        <v>0.3133333333333333</v>
      </c>
      <c r="O1115" s="56">
        <f t="shared" ref="O1115:R1134" si="186">IFERROR($N1115*I1115,0)</f>
        <v>0</v>
      </c>
      <c r="P1115" s="56">
        <f t="shared" si="186"/>
        <v>380.69999999999993</v>
      </c>
      <c r="Q1115" s="56">
        <f t="shared" si="186"/>
        <v>0</v>
      </c>
      <c r="R1115" s="56">
        <f t="shared" si="186"/>
        <v>0</v>
      </c>
      <c r="S1115" s="53">
        <f t="shared" ref="S1115:S1123" si="187">SUM(O1115:R1115)</f>
        <v>380.69999999999993</v>
      </c>
      <c r="T1115" s="35" t="s">
        <v>56</v>
      </c>
      <c r="U1115" s="18" t="s">
        <v>1156</v>
      </c>
      <c r="V1115" s="19" t="str">
        <f>IF(OR($H1115="",$H1115="sif",$H1115="PM"),"",VLOOKUP($H1115,[5]CU!$C$5:$J$255,8,FALSE))</f>
        <v>3. Formation</v>
      </c>
      <c r="W1115" s="18" t="s">
        <v>1334</v>
      </c>
      <c r="X1115" s="19" t="s">
        <v>1459</v>
      </c>
      <c r="Y1115" s="18" t="s">
        <v>677</v>
      </c>
      <c r="Z1115" s="19" t="str">
        <f>A1115 &amp; "-" &amp; VLOOKUP(A1115,[4]PROGRAMMES!$E$1:$F$7,2,FALSE)</f>
        <v>3-Expansion et réforme de l’ETFP</v>
      </c>
      <c r="AA1115" s="19" t="str">
        <f>B1115 &amp; "-" &amp; VLOOKUP(B1115,[4]SOUSPROGRAMMES!$E$1:$F$44,2,FALSE)</f>
        <v>36- Renforcement des capacités de pilotage et de gestion dans le cadre d’une gouvernance parteunariale multi niveaux</v>
      </c>
      <c r="AB1115" s="19" t="str">
        <f>C1115 &amp; "-" &amp; VLOOKUP(C1115,[4]RESULTATS!$E$1:$F$176,2,FALSE)</f>
        <v>361-Des cadres formalisés de concertation entre les acteurs de la formation professionnelle publics, partenaires sociaux économiques, les collectivités territoriales, sont opérationnels</v>
      </c>
      <c r="AC1115" s="20" t="str">
        <f>D1115 &amp; "-" &amp; VLOOKUP(D1115,[4]STRATEGIES!$E$1:$F$504,2,FALSE)</f>
        <v>3611-Définition des cadres de concertation</v>
      </c>
      <c r="AD1115" s="21" t="str">
        <f t="shared" si="184"/>
        <v>36111-Identification, information et sensibilisation de tous les partenaires pour la déFinition des cadres de concertation à tous les niveaux (local, régional et national)</v>
      </c>
    </row>
    <row r="1116" spans="1:30" s="22" customFormat="1" ht="90" hidden="1" customHeight="1" x14ac:dyDescent="0.8">
      <c r="A1116" s="14">
        <v>3</v>
      </c>
      <c r="B1116" s="15">
        <v>36</v>
      </c>
      <c r="C1116" s="15">
        <v>361</v>
      </c>
      <c r="D1116" s="15">
        <v>3611</v>
      </c>
      <c r="E1116" s="14">
        <v>36112</v>
      </c>
      <c r="F1116" s="16" t="s">
        <v>1460</v>
      </c>
      <c r="G1116" s="21" t="s">
        <v>37</v>
      </c>
      <c r="H1116" s="17" t="s">
        <v>66</v>
      </c>
      <c r="I1116" s="56">
        <v>0</v>
      </c>
      <c r="J1116" s="56">
        <f>15*3</f>
        <v>45</v>
      </c>
      <c r="K1116" s="56"/>
      <c r="L1116" s="56"/>
      <c r="M1116" s="56">
        <f t="shared" si="185"/>
        <v>45</v>
      </c>
      <c r="N1116" s="56">
        <f>IF(OR(H1116="",H1116="sif",H1116="PM"),0,VLOOKUP(H1116,[5]CU!$C$4:$H$255,6,FALSE))</f>
        <v>0.255</v>
      </c>
      <c r="O1116" s="56">
        <f t="shared" si="186"/>
        <v>0</v>
      </c>
      <c r="P1116" s="56">
        <f t="shared" si="186"/>
        <v>11.475</v>
      </c>
      <c r="Q1116" s="56">
        <f t="shared" si="186"/>
        <v>0</v>
      </c>
      <c r="R1116" s="56">
        <f t="shared" si="186"/>
        <v>0</v>
      </c>
      <c r="S1116" s="53">
        <f t="shared" si="187"/>
        <v>11.475</v>
      </c>
      <c r="T1116" s="35" t="s">
        <v>56</v>
      </c>
      <c r="U1116" s="18" t="s">
        <v>1156</v>
      </c>
      <c r="V1116" s="19" t="str">
        <f>IF(OR($H1116="",$H1116="sif",$H1116="PM"),"",VLOOKUP($H1116,[5]CU!$C$5:$J$255,8,FALSE))</f>
        <v>3. Dépenses de fonctionnement</v>
      </c>
      <c r="W1116" s="18" t="s">
        <v>1334</v>
      </c>
      <c r="X1116" s="19" t="s">
        <v>1461</v>
      </c>
      <c r="Y1116" s="18" t="s">
        <v>677</v>
      </c>
      <c r="Z1116" s="19" t="str">
        <f>A1116 &amp; "-" &amp; VLOOKUP(A1116,[4]PROGRAMMES!$E$1:$F$7,2,FALSE)</f>
        <v>3-Expansion et réforme de l’ETFP</v>
      </c>
      <c r="AA1116" s="19" t="str">
        <f>B1116 &amp; "-" &amp; VLOOKUP(B1116,[4]SOUSPROGRAMMES!$E$1:$F$44,2,FALSE)</f>
        <v>36- Renforcement des capacités de pilotage et de gestion dans le cadre d’une gouvernance parteunariale multi niveaux</v>
      </c>
      <c r="AB1116" s="19" t="str">
        <f>C1116 &amp; "-" &amp; VLOOKUP(C1116,[4]RESULTATS!$E$1:$F$176,2,FALSE)</f>
        <v>361-Des cadres formalisés de concertation entre les acteurs de la formation professionnelle publics, partenaires sociaux économiques, les collectivités territoriales, sont opérationnels</v>
      </c>
      <c r="AC1116" s="20" t="str">
        <f>D1116 &amp; "-" &amp; VLOOKUP(D1116,[4]STRATEGIES!$E$1:$F$504,2,FALSE)</f>
        <v>3611-Définition des cadres de concertation</v>
      </c>
      <c r="AD1116" s="21" t="str">
        <f t="shared" si="184"/>
        <v>36112-Elaboration de textes régissant le fonctionnement des cadres de concertation à tous les niveaux</v>
      </c>
    </row>
    <row r="1117" spans="1:30" s="22" customFormat="1" ht="90" customHeight="1" x14ac:dyDescent="0.8">
      <c r="A1117" s="14">
        <v>3</v>
      </c>
      <c r="B1117" s="15">
        <v>36</v>
      </c>
      <c r="C1117" s="15">
        <v>361</v>
      </c>
      <c r="D1117" s="15">
        <v>3612</v>
      </c>
      <c r="E1117" s="14">
        <v>3612</v>
      </c>
      <c r="F1117" s="16" t="s">
        <v>1462</v>
      </c>
      <c r="G1117" s="17"/>
      <c r="H1117" s="17"/>
      <c r="I1117" s="56">
        <v>0</v>
      </c>
      <c r="J1117" s="56"/>
      <c r="K1117" s="56"/>
      <c r="L1117" s="56"/>
      <c r="M1117" s="56"/>
      <c r="N1117" s="56"/>
      <c r="O1117" s="56"/>
      <c r="P1117" s="56"/>
      <c r="Q1117" s="56"/>
      <c r="R1117" s="56"/>
      <c r="S1117" s="53"/>
      <c r="T1117" s="33"/>
      <c r="U1117" s="18"/>
      <c r="V1117" s="19"/>
      <c r="W1117" s="18"/>
      <c r="X1117" s="18"/>
      <c r="Y1117" s="18" t="s">
        <v>677</v>
      </c>
      <c r="Z1117" s="19" t="str">
        <f>A1117 &amp; "-" &amp; VLOOKUP(A1117,[4]PROGRAMMES!$E$1:$F$7,2,FALSE)</f>
        <v>3-Expansion et réforme de l’ETFP</v>
      </c>
      <c r="AA1117" s="19" t="str">
        <f>B1117 &amp; "-" &amp; VLOOKUP(B1117,[4]SOUSPROGRAMMES!$E$1:$F$44,2,FALSE)</f>
        <v>36- Renforcement des capacités de pilotage et de gestion dans le cadre d’une gouvernance parteunariale multi niveaux</v>
      </c>
      <c r="AB1117" s="19" t="str">
        <f>C1117 &amp; "-" &amp; VLOOKUP(C1117,[4]RESULTATS!$E$1:$F$176,2,FALSE)</f>
        <v>361-Des cadres formalisés de concertation entre les acteurs de la formation professionnelle publics, partenaires sociaux économiques, les collectivités territoriales, sont opérationnels</v>
      </c>
      <c r="AC1117" s="20" t="str">
        <f>D1117 &amp; "-" &amp; VLOOKUP(D1117,[4]STRATEGIES!$E$1:$F$504,2,FALSE)</f>
        <v xml:space="preserve">3612-Opérationnalisation des cadres
</v>
      </c>
      <c r="AD1117" s="21" t="str">
        <f t="shared" si="184"/>
        <v xml:space="preserve">3612-Opérationnalisation des cadres
</v>
      </c>
    </row>
    <row r="1118" spans="1:30" s="22" customFormat="1" ht="90" hidden="1" customHeight="1" x14ac:dyDescent="0.8">
      <c r="A1118" s="14">
        <v>3</v>
      </c>
      <c r="B1118" s="15">
        <v>36</v>
      </c>
      <c r="C1118" s="15">
        <v>361</v>
      </c>
      <c r="D1118" s="15">
        <v>3612</v>
      </c>
      <c r="E1118" s="14">
        <v>36121</v>
      </c>
      <c r="F1118" s="16" t="s">
        <v>1463</v>
      </c>
      <c r="G1118" s="21" t="s">
        <v>1464</v>
      </c>
      <c r="H1118" s="17" t="s">
        <v>38</v>
      </c>
      <c r="I1118" s="56">
        <v>0</v>
      </c>
      <c r="J1118" s="56"/>
      <c r="K1118" s="56">
        <f>45*9*2</f>
        <v>810</v>
      </c>
      <c r="L1118" s="56">
        <f>45*9*2</f>
        <v>810</v>
      </c>
      <c r="M1118" s="56">
        <f t="shared" si="185"/>
        <v>1620</v>
      </c>
      <c r="N1118" s="56">
        <f>IF(OR(H1118="",H1118="sif",H1118="PM"),0,VLOOKUP(H1118,[5]CU!$C$4:$H$255,6,FALSE))</f>
        <v>0.3133333333333333</v>
      </c>
      <c r="O1118" s="56">
        <f t="shared" si="186"/>
        <v>0</v>
      </c>
      <c r="P1118" s="56">
        <f t="shared" si="186"/>
        <v>0</v>
      </c>
      <c r="Q1118" s="56">
        <f t="shared" si="186"/>
        <v>253.79999999999998</v>
      </c>
      <c r="R1118" s="56">
        <f t="shared" si="186"/>
        <v>253.79999999999998</v>
      </c>
      <c r="S1118" s="53">
        <f t="shared" si="187"/>
        <v>507.59999999999997</v>
      </c>
      <c r="T1118" s="35" t="s">
        <v>56</v>
      </c>
      <c r="U1118" s="18" t="s">
        <v>1156</v>
      </c>
      <c r="V1118" s="19" t="str">
        <f>IF(OR($H1118="",$H1118="sif",$H1118="PM"),"",VLOOKUP($H1118,[5]CU!$C$5:$J$255,8,FALSE))</f>
        <v>3. Formation</v>
      </c>
      <c r="W1118" s="18" t="s">
        <v>521</v>
      </c>
      <c r="X1118" s="19" t="s">
        <v>1465</v>
      </c>
      <c r="Y1118" s="18" t="s">
        <v>677</v>
      </c>
      <c r="Z1118" s="19" t="str">
        <f>A1118 &amp; "-" &amp; VLOOKUP(A1118,[4]PROGRAMMES!$E$1:$F$7,2,FALSE)</f>
        <v>3-Expansion et réforme de l’ETFP</v>
      </c>
      <c r="AA1118" s="19" t="str">
        <f>B1118 &amp; "-" &amp; VLOOKUP(B1118,[4]SOUSPROGRAMMES!$E$1:$F$44,2,FALSE)</f>
        <v>36- Renforcement des capacités de pilotage et de gestion dans le cadre d’une gouvernance parteunariale multi niveaux</v>
      </c>
      <c r="AB1118" s="19" t="str">
        <f>C1118 &amp; "-" &amp; VLOOKUP(C1118,[4]RESULTATS!$E$1:$F$176,2,FALSE)</f>
        <v>361-Des cadres formalisés de concertation entre les acteurs de la formation professionnelle publics, partenaires sociaux économiques, les collectivités territoriales, sont opérationnels</v>
      </c>
      <c r="AC1118" s="20" t="str">
        <f>D1118 &amp; "-" &amp; VLOOKUP(D1118,[4]STRATEGIES!$E$1:$F$504,2,FALSE)</f>
        <v xml:space="preserve">3612-Opérationnalisation des cadres
</v>
      </c>
      <c r="AD1118" s="21" t="str">
        <f t="shared" si="184"/>
        <v>36121-Prise en charge des frais de concertation</v>
      </c>
    </row>
    <row r="1119" spans="1:30" s="22" customFormat="1" ht="90" hidden="1" customHeight="1" x14ac:dyDescent="0.8">
      <c r="A1119" s="14">
        <v>3</v>
      </c>
      <c r="B1119" s="15">
        <v>36</v>
      </c>
      <c r="C1119" s="15">
        <v>361</v>
      </c>
      <c r="D1119" s="15">
        <v>3612</v>
      </c>
      <c r="E1119" s="14">
        <v>36122</v>
      </c>
      <c r="F1119" s="16" t="s">
        <v>1466</v>
      </c>
      <c r="G1119" s="21" t="s">
        <v>37</v>
      </c>
      <c r="H1119" s="17" t="s">
        <v>301</v>
      </c>
      <c r="I1119" s="56">
        <v>0</v>
      </c>
      <c r="J1119" s="56"/>
      <c r="K1119" s="56">
        <f>(47*2)*9</f>
        <v>846</v>
      </c>
      <c r="L1119" s="56"/>
      <c r="M1119" s="56">
        <f t="shared" si="185"/>
        <v>846</v>
      </c>
      <c r="N1119" s="56">
        <f>IF(OR(H1119="",H1119="sif",H1119="PM"),0,VLOOKUP(H1119,[5]CU!$C$4:$H$255,6,FALSE))</f>
        <v>0.67666666666666664</v>
      </c>
      <c r="O1119" s="56">
        <f t="shared" si="186"/>
        <v>0</v>
      </c>
      <c r="P1119" s="56">
        <f t="shared" si="186"/>
        <v>0</v>
      </c>
      <c r="Q1119" s="56">
        <f t="shared" si="186"/>
        <v>572.45999999999992</v>
      </c>
      <c r="R1119" s="56">
        <f t="shared" si="186"/>
        <v>0</v>
      </c>
      <c r="S1119" s="53">
        <f t="shared" si="187"/>
        <v>572.45999999999992</v>
      </c>
      <c r="T1119" s="35" t="s">
        <v>56</v>
      </c>
      <c r="U1119" s="18" t="s">
        <v>1156</v>
      </c>
      <c r="V1119" s="19" t="str">
        <f>IF(OR($H1119="",$H1119="sif",$H1119="PM"),"",VLOOKUP($H1119,[5]CU!$C$5:$J$255,8,FALSE))</f>
        <v>3. Formation</v>
      </c>
      <c r="W1119" s="18" t="s">
        <v>521</v>
      </c>
      <c r="X1119" s="19" t="s">
        <v>1465</v>
      </c>
      <c r="Y1119" s="18" t="s">
        <v>677</v>
      </c>
      <c r="Z1119" s="19" t="str">
        <f>A1119 &amp; "-" &amp; VLOOKUP(A1119,[4]PROGRAMMES!$E$1:$F$7,2,FALSE)</f>
        <v>3-Expansion et réforme de l’ETFP</v>
      </c>
      <c r="AA1119" s="19" t="str">
        <f>B1119 &amp; "-" &amp; VLOOKUP(B1119,[4]SOUSPROGRAMMES!$E$1:$F$44,2,FALSE)</f>
        <v>36- Renforcement des capacités de pilotage et de gestion dans le cadre d’une gouvernance parteunariale multi niveaux</v>
      </c>
      <c r="AB1119" s="19" t="str">
        <f>C1119 &amp; "-" &amp; VLOOKUP(C1119,[4]RESULTATS!$E$1:$F$176,2,FALSE)</f>
        <v>361-Des cadres formalisés de concertation entre les acteurs de la formation professionnelle publics, partenaires sociaux économiques, les collectivités territoriales, sont opérationnels</v>
      </c>
      <c r="AC1119" s="20" t="str">
        <f>D1119 &amp; "-" &amp; VLOOKUP(D1119,[4]STRATEGIES!$E$1:$F$504,2,FALSE)</f>
        <v xml:space="preserve">3612-Opérationnalisation des cadres
</v>
      </c>
      <c r="AD1119" s="21" t="str">
        <f t="shared" si="184"/>
        <v>36122-Formation des acteurs impliqués dans les concertations</v>
      </c>
    </row>
    <row r="1120" spans="1:30" s="22" customFormat="1" ht="60" customHeight="1" x14ac:dyDescent="0.8">
      <c r="A1120" s="14">
        <v>3</v>
      </c>
      <c r="B1120" s="15">
        <v>36</v>
      </c>
      <c r="C1120" s="15">
        <v>362</v>
      </c>
      <c r="D1120" s="15">
        <v>362</v>
      </c>
      <c r="E1120" s="14">
        <v>362</v>
      </c>
      <c r="F1120" s="16" t="s">
        <v>1467</v>
      </c>
      <c r="G1120" s="17"/>
      <c r="H1120" s="17"/>
      <c r="I1120" s="56">
        <v>0</v>
      </c>
      <c r="J1120" s="56"/>
      <c r="K1120" s="56"/>
      <c r="L1120" s="56"/>
      <c r="M1120" s="56"/>
      <c r="N1120" s="56"/>
      <c r="O1120" s="56"/>
      <c r="P1120" s="56"/>
      <c r="Q1120" s="56"/>
      <c r="R1120" s="56"/>
      <c r="S1120" s="53"/>
      <c r="T1120" s="33"/>
      <c r="U1120" s="18"/>
      <c r="V1120" s="19"/>
      <c r="W1120" s="18"/>
      <c r="X1120" s="18"/>
      <c r="Y1120" s="18" t="s">
        <v>677</v>
      </c>
      <c r="Z1120" s="19" t="str">
        <f>A1120 &amp; "-" &amp; VLOOKUP(A1120,[4]PROGRAMMES!$E$1:$F$7,2,FALSE)</f>
        <v>3-Expansion et réforme de l’ETFP</v>
      </c>
      <c r="AA1120" s="19" t="str">
        <f>B1120 &amp; "-" &amp; VLOOKUP(B1120,[4]SOUSPROGRAMMES!$E$1:$F$44,2,FALSE)</f>
        <v>36- Renforcement des capacités de pilotage et de gestion dans le cadre d’une gouvernance parteunariale multi niveaux</v>
      </c>
      <c r="AB1120" s="19" t="str">
        <f>C1120 &amp; "-" &amp; VLOOKUP(C1120,[4]RESULTATS!$E$1:$F$176,2,FALSE)</f>
        <v>362- L’autonomisation des institutions est accrue dans un cadre de redevabilité</v>
      </c>
      <c r="AC1120" s="20" t="str">
        <f>D1120 &amp; "-" &amp; VLOOKUP(D1120,[4]STRATEGIES!$E$1:$F$504,2,FALSE)</f>
        <v>362- L’autonomisation des institutions est accrue dans un cadre de redevabilité</v>
      </c>
      <c r="AD1120" s="21" t="str">
        <f t="shared" si="184"/>
        <v>362- L’autonomisation des institutions est accrue dans un cadre de redevabilité</v>
      </c>
    </row>
    <row r="1121" spans="1:30" s="22" customFormat="1" ht="60" customHeight="1" x14ac:dyDescent="0.8">
      <c r="A1121" s="14">
        <v>3</v>
      </c>
      <c r="B1121" s="15">
        <v>36</v>
      </c>
      <c r="C1121" s="15">
        <v>362</v>
      </c>
      <c r="D1121" s="15">
        <v>3621</v>
      </c>
      <c r="E1121" s="14">
        <v>3621</v>
      </c>
      <c r="F1121" s="16" t="s">
        <v>1468</v>
      </c>
      <c r="G1121" s="17"/>
      <c r="H1121" s="17"/>
      <c r="I1121" s="56">
        <v>0</v>
      </c>
      <c r="J1121" s="56"/>
      <c r="K1121" s="56"/>
      <c r="L1121" s="56"/>
      <c r="M1121" s="56"/>
      <c r="N1121" s="56"/>
      <c r="O1121" s="56"/>
      <c r="P1121" s="56"/>
      <c r="Q1121" s="56"/>
      <c r="R1121" s="56"/>
      <c r="S1121" s="53"/>
      <c r="T1121" s="33"/>
      <c r="U1121" s="18"/>
      <c r="V1121" s="19"/>
      <c r="W1121" s="18"/>
      <c r="X1121" s="18"/>
      <c r="Y1121" s="18" t="s">
        <v>677</v>
      </c>
      <c r="Z1121" s="19" t="str">
        <f>A1121 &amp; "-" &amp; VLOOKUP(A1121,[4]PROGRAMMES!$E$1:$F$7,2,FALSE)</f>
        <v>3-Expansion et réforme de l’ETFP</v>
      </c>
      <c r="AA1121" s="19" t="str">
        <f>B1121 &amp; "-" &amp; VLOOKUP(B1121,[4]SOUSPROGRAMMES!$E$1:$F$44,2,FALSE)</f>
        <v>36- Renforcement des capacités de pilotage et de gestion dans le cadre d’une gouvernance parteunariale multi niveaux</v>
      </c>
      <c r="AB1121" s="19" t="str">
        <f>C1121 &amp; "-" &amp; VLOOKUP(C1121,[4]RESULTATS!$E$1:$F$176,2,FALSE)</f>
        <v>362- L’autonomisation des institutions est accrue dans un cadre de redevabilité</v>
      </c>
      <c r="AC1121" s="20" t="str">
        <f>D1121 &amp; "-" &amp; VLOOKUP(D1121,[4]STRATEGIES!$E$1:$F$504,2,FALSE)</f>
        <v>3621-Définition d’un modèle de fonctionnement des institutions de l’ETFP</v>
      </c>
      <c r="AD1121" s="21" t="str">
        <f t="shared" si="184"/>
        <v>3621-DéFinition d’un modèle de fonctionnement des institutions de l’ETFP</v>
      </c>
    </row>
    <row r="1122" spans="1:30" s="22" customFormat="1" ht="60" hidden="1" customHeight="1" x14ac:dyDescent="0.8">
      <c r="A1122" s="14">
        <v>3</v>
      </c>
      <c r="B1122" s="15">
        <v>36</v>
      </c>
      <c r="C1122" s="15">
        <v>362</v>
      </c>
      <c r="D1122" s="15">
        <v>3621</v>
      </c>
      <c r="E1122" s="14">
        <v>36211</v>
      </c>
      <c r="F1122" s="16" t="s">
        <v>1469</v>
      </c>
      <c r="G1122" s="21" t="s">
        <v>167</v>
      </c>
      <c r="H1122" s="17" t="s">
        <v>646</v>
      </c>
      <c r="I1122" s="56">
        <v>0</v>
      </c>
      <c r="J1122" s="56">
        <f>2*20</f>
        <v>40</v>
      </c>
      <c r="K1122" s="56"/>
      <c r="L1122" s="56"/>
      <c r="M1122" s="56">
        <f t="shared" si="185"/>
        <v>40</v>
      </c>
      <c r="N1122" s="56">
        <f>IF(OR(H1122="",H1122="sif",H1122="PM"),0,VLOOKUP(H1122,[5]CU!$C$4:$H$255,6,FALSE))</f>
        <v>10.404797</v>
      </c>
      <c r="O1122" s="56">
        <f t="shared" si="186"/>
        <v>0</v>
      </c>
      <c r="P1122" s="56">
        <f t="shared" si="186"/>
        <v>416.19188000000003</v>
      </c>
      <c r="Q1122" s="56">
        <f t="shared" si="186"/>
        <v>0</v>
      </c>
      <c r="R1122" s="56">
        <f t="shared" si="186"/>
        <v>0</v>
      </c>
      <c r="S1122" s="53">
        <f t="shared" si="187"/>
        <v>416.19188000000003</v>
      </c>
      <c r="T1122" s="35" t="s">
        <v>169</v>
      </c>
      <c r="U1122" s="18" t="s">
        <v>1156</v>
      </c>
      <c r="V1122" s="19" t="str">
        <f>IF(OR($H1122="",$H1122="sif",$H1122="PM"),"",VLOOKUP($H1122,[5]CU!$C$5:$J$255,8,FALSE))</f>
        <v>3. Dépenses de fonctionnement</v>
      </c>
      <c r="W1122" s="18" t="s">
        <v>96</v>
      </c>
      <c r="X1122" s="18" t="s">
        <v>1371</v>
      </c>
      <c r="Y1122" s="18" t="s">
        <v>677</v>
      </c>
      <c r="Z1122" s="19" t="str">
        <f>A1122 &amp; "-" &amp; VLOOKUP(A1122,[4]PROGRAMMES!$E$1:$F$7,2,FALSE)</f>
        <v>3-Expansion et réforme de l’ETFP</v>
      </c>
      <c r="AA1122" s="19" t="str">
        <f>B1122 &amp; "-" &amp; VLOOKUP(B1122,[4]SOUSPROGRAMMES!$E$1:$F$44,2,FALSE)</f>
        <v>36- Renforcement des capacités de pilotage et de gestion dans le cadre d’une gouvernance parteunariale multi niveaux</v>
      </c>
      <c r="AB1122" s="19" t="str">
        <f>C1122 &amp; "-" &amp; VLOOKUP(C1122,[4]RESULTATS!$E$1:$F$176,2,FALSE)</f>
        <v>362- L’autonomisation des institutions est accrue dans un cadre de redevabilité</v>
      </c>
      <c r="AC1122" s="20" t="str">
        <f>D1122 &amp; "-" &amp; VLOOKUP(D1122,[4]STRATEGIES!$E$1:$F$504,2,FALSE)</f>
        <v>3621-Définition d’un modèle de fonctionnement des institutions de l’ETFP</v>
      </c>
      <c r="AD1122" s="21" t="str">
        <f t="shared" si="184"/>
        <v>36211-Etude sur la gouvernance des établissements de l'ETFP</v>
      </c>
    </row>
    <row r="1123" spans="1:30" s="22" customFormat="1" ht="60" hidden="1" customHeight="1" x14ac:dyDescent="0.8">
      <c r="A1123" s="14">
        <v>3</v>
      </c>
      <c r="B1123" s="15">
        <v>36</v>
      </c>
      <c r="C1123" s="15">
        <v>362</v>
      </c>
      <c r="D1123" s="15">
        <v>3621</v>
      </c>
      <c r="E1123" s="14">
        <v>36212</v>
      </c>
      <c r="F1123" s="16" t="s">
        <v>1470</v>
      </c>
      <c r="G1123" s="21" t="s">
        <v>298</v>
      </c>
      <c r="H1123" s="17" t="s">
        <v>38</v>
      </c>
      <c r="I1123" s="56">
        <v>0</v>
      </c>
      <c r="J1123" s="56">
        <f>45*3</f>
        <v>135</v>
      </c>
      <c r="K1123" s="56"/>
      <c r="L1123" s="56"/>
      <c r="M1123" s="56">
        <f t="shared" si="185"/>
        <v>135</v>
      </c>
      <c r="N1123" s="56">
        <f>IF(OR(H1123="",H1123="sif",H1123="PM"),0,VLOOKUP(H1123,[5]CU!$C$4:$H$255,6,FALSE))</f>
        <v>0.3133333333333333</v>
      </c>
      <c r="O1123" s="56">
        <f t="shared" si="186"/>
        <v>0</v>
      </c>
      <c r="P1123" s="56">
        <f t="shared" si="186"/>
        <v>42.3</v>
      </c>
      <c r="Q1123" s="56">
        <f t="shared" si="186"/>
        <v>0</v>
      </c>
      <c r="R1123" s="56">
        <f t="shared" si="186"/>
        <v>0</v>
      </c>
      <c r="S1123" s="53">
        <f t="shared" si="187"/>
        <v>42.3</v>
      </c>
      <c r="T1123" s="35" t="s">
        <v>169</v>
      </c>
      <c r="U1123" s="18" t="s">
        <v>1156</v>
      </c>
      <c r="V1123" s="19" t="str">
        <f>IF(OR($H1123="",$H1123="sif",$H1123="PM"),"",VLOOKUP($H1123,[5]CU!$C$5:$J$255,8,FALSE))</f>
        <v>3. Formation</v>
      </c>
      <c r="W1123" s="18" t="s">
        <v>96</v>
      </c>
      <c r="X1123" s="19" t="s">
        <v>1471</v>
      </c>
      <c r="Y1123" s="18" t="s">
        <v>677</v>
      </c>
      <c r="Z1123" s="19" t="str">
        <f>A1123 &amp; "-" &amp; VLOOKUP(A1123,[4]PROGRAMMES!$E$1:$F$7,2,FALSE)</f>
        <v>3-Expansion et réforme de l’ETFP</v>
      </c>
      <c r="AA1123" s="19" t="str">
        <f>B1123 &amp; "-" &amp; VLOOKUP(B1123,[4]SOUSPROGRAMMES!$E$1:$F$44,2,FALSE)</f>
        <v>36- Renforcement des capacités de pilotage et de gestion dans le cadre d’une gouvernance parteunariale multi niveaux</v>
      </c>
      <c r="AB1123" s="19" t="str">
        <f>C1123 &amp; "-" &amp; VLOOKUP(C1123,[4]RESULTATS!$E$1:$F$176,2,FALSE)</f>
        <v>362- L’autonomisation des institutions est accrue dans un cadre de redevabilité</v>
      </c>
      <c r="AC1123" s="20" t="str">
        <f>D1123 &amp; "-" &amp; VLOOKUP(D1123,[4]STRATEGIES!$E$1:$F$504,2,FALSE)</f>
        <v>3621-Définition d’un modèle de fonctionnement des institutions de l’ETFP</v>
      </c>
      <c r="AD1123" s="21" t="str">
        <f t="shared" si="184"/>
        <v>36212-Concertation et validation des recommandations des résultats de l'étude</v>
      </c>
    </row>
    <row r="1124" spans="1:30" s="22" customFormat="1" ht="60" hidden="1" customHeight="1" x14ac:dyDescent="0.8">
      <c r="A1124" s="14">
        <v>3</v>
      </c>
      <c r="B1124" s="15">
        <v>36</v>
      </c>
      <c r="C1124" s="15">
        <v>362</v>
      </c>
      <c r="D1124" s="15">
        <v>3621</v>
      </c>
      <c r="E1124" s="14">
        <v>36213</v>
      </c>
      <c r="F1124" s="16" t="s">
        <v>1472</v>
      </c>
      <c r="G1124" s="21" t="s">
        <v>836</v>
      </c>
      <c r="H1124" s="17" t="s">
        <v>55</v>
      </c>
      <c r="I1124" s="56">
        <v>0</v>
      </c>
      <c r="J1124" s="56"/>
      <c r="K1124" s="56">
        <v>1</v>
      </c>
      <c r="L1124" s="56"/>
      <c r="M1124" s="56">
        <f t="shared" si="185"/>
        <v>1</v>
      </c>
      <c r="N1124" s="56">
        <f>IF(OR(H1124="",H1124="sif",H1124="PM"),0,VLOOKUP(H1124,[5]CU!$C$4:$H$255,6,FALSE))</f>
        <v>0</v>
      </c>
      <c r="O1124" s="56">
        <f t="shared" si="186"/>
        <v>0</v>
      </c>
      <c r="P1124" s="56">
        <f t="shared" si="186"/>
        <v>0</v>
      </c>
      <c r="Q1124" s="56">
        <f t="shared" si="186"/>
        <v>0</v>
      </c>
      <c r="R1124" s="56">
        <f t="shared" si="186"/>
        <v>0</v>
      </c>
      <c r="S1124" s="53"/>
      <c r="T1124" s="35" t="s">
        <v>56</v>
      </c>
      <c r="U1124" s="18" t="s">
        <v>1156</v>
      </c>
      <c r="V1124" s="19" t="str">
        <f>IF(OR($H1124="",$H1124="sif",$H1124="PM"),"",VLOOKUP($H1124,[5]CU!$C$5:$J$255,8,FALSE))</f>
        <v/>
      </c>
      <c r="W1124" s="18" t="s">
        <v>1334</v>
      </c>
      <c r="X1124" s="19" t="s">
        <v>1471</v>
      </c>
      <c r="Y1124" s="18" t="s">
        <v>677</v>
      </c>
      <c r="Z1124" s="19" t="str">
        <f>A1124 &amp; "-" &amp; VLOOKUP(A1124,[4]PROGRAMMES!$E$1:$F$7,2,FALSE)</f>
        <v>3-Expansion et réforme de l’ETFP</v>
      </c>
      <c r="AA1124" s="19" t="str">
        <f>B1124 &amp; "-" &amp; VLOOKUP(B1124,[4]SOUSPROGRAMMES!$E$1:$F$44,2,FALSE)</f>
        <v>36- Renforcement des capacités de pilotage et de gestion dans le cadre d’une gouvernance parteunariale multi niveaux</v>
      </c>
      <c r="AB1124" s="19" t="str">
        <f>C1124 &amp; "-" &amp; VLOOKUP(C1124,[4]RESULTATS!$E$1:$F$176,2,FALSE)</f>
        <v>362- L’autonomisation des institutions est accrue dans un cadre de redevabilité</v>
      </c>
      <c r="AC1124" s="20" t="str">
        <f>D1124 &amp; "-" &amp; VLOOKUP(D1124,[4]STRATEGIES!$E$1:$F$504,2,FALSE)</f>
        <v>3621-Définition d’un modèle de fonctionnement des institutions de l’ETFP</v>
      </c>
      <c r="AD1124" s="21" t="str">
        <f t="shared" si="184"/>
        <v>36213-Elaboration et adoption des textes réglementaires et organisationnels des établissements pilotes</v>
      </c>
    </row>
    <row r="1125" spans="1:30" s="22" customFormat="1" ht="60" customHeight="1" x14ac:dyDescent="0.8">
      <c r="A1125" s="14">
        <v>3</v>
      </c>
      <c r="B1125" s="15">
        <v>36</v>
      </c>
      <c r="C1125" s="15">
        <v>362</v>
      </c>
      <c r="D1125" s="15">
        <v>3622</v>
      </c>
      <c r="E1125" s="14">
        <v>3622</v>
      </c>
      <c r="F1125" s="16" t="s">
        <v>1473</v>
      </c>
      <c r="G1125" s="17"/>
      <c r="H1125" s="17"/>
      <c r="I1125" s="56">
        <v>0</v>
      </c>
      <c r="J1125" s="56"/>
      <c r="K1125" s="56"/>
      <c r="L1125" s="56"/>
      <c r="M1125" s="56"/>
      <c r="N1125" s="56"/>
      <c r="O1125" s="56"/>
      <c r="P1125" s="56"/>
      <c r="Q1125" s="56"/>
      <c r="R1125" s="56"/>
      <c r="S1125" s="53"/>
      <c r="T1125" s="33"/>
      <c r="U1125" s="18"/>
      <c r="V1125" s="19"/>
      <c r="W1125" s="18"/>
      <c r="X1125" s="18"/>
      <c r="Y1125" s="18" t="s">
        <v>677</v>
      </c>
      <c r="Z1125" s="19" t="str">
        <f>A1125 &amp; "-" &amp; VLOOKUP(A1125,[4]PROGRAMMES!$E$1:$F$7,2,FALSE)</f>
        <v>3-Expansion et réforme de l’ETFP</v>
      </c>
      <c r="AA1125" s="19" t="str">
        <f>B1125 &amp; "-" &amp; VLOOKUP(B1125,[4]SOUSPROGRAMMES!$E$1:$F$44,2,FALSE)</f>
        <v>36- Renforcement des capacités de pilotage et de gestion dans le cadre d’une gouvernance parteunariale multi niveaux</v>
      </c>
      <c r="AB1125" s="19" t="str">
        <f>C1125 &amp; "-" &amp; VLOOKUP(C1125,[4]RESULTATS!$E$1:$F$176,2,FALSE)</f>
        <v>362- L’autonomisation des institutions est accrue dans un cadre de redevabilité</v>
      </c>
      <c r="AC1125" s="20" t="str">
        <f>D1125 &amp; "-" &amp; VLOOKUP(D1125,[4]STRATEGIES!$E$1:$F$504,2,FALSE)</f>
        <v xml:space="preserve">3622-Déploiement progressif du modèle de fonctionnement retenue
</v>
      </c>
      <c r="AD1125" s="21" t="str">
        <f t="shared" si="184"/>
        <v xml:space="preserve">3622-Déploiement progressif du modèle de fonctionnement retenue
</v>
      </c>
    </row>
    <row r="1126" spans="1:30" s="22" customFormat="1" ht="60" hidden="1" customHeight="1" x14ac:dyDescent="0.8">
      <c r="A1126" s="14">
        <v>3</v>
      </c>
      <c r="B1126" s="15">
        <v>36</v>
      </c>
      <c r="C1126" s="15">
        <v>362</v>
      </c>
      <c r="D1126" s="15">
        <v>3622</v>
      </c>
      <c r="E1126" s="14">
        <v>36221</v>
      </c>
      <c r="F1126" s="16" t="s">
        <v>1474</v>
      </c>
      <c r="G1126" s="21" t="s">
        <v>92</v>
      </c>
      <c r="H1126" s="17" t="s">
        <v>55</v>
      </c>
      <c r="I1126" s="56">
        <v>0</v>
      </c>
      <c r="J1126" s="56">
        <v>1</v>
      </c>
      <c r="K1126" s="56"/>
      <c r="L1126" s="56"/>
      <c r="M1126" s="56">
        <f t="shared" si="185"/>
        <v>1</v>
      </c>
      <c r="N1126" s="56">
        <f>IF(OR(H1126="",H1126="sif",H1126="PM"),0,VLOOKUP(H1126,[5]CU!$C$4:$H$255,6,FALSE))</f>
        <v>0</v>
      </c>
      <c r="O1126" s="56">
        <f t="shared" si="186"/>
        <v>0</v>
      </c>
      <c r="P1126" s="56">
        <f t="shared" si="186"/>
        <v>0</v>
      </c>
      <c r="Q1126" s="56">
        <f t="shared" si="186"/>
        <v>0</v>
      </c>
      <c r="R1126" s="56">
        <f t="shared" si="186"/>
        <v>0</v>
      </c>
      <c r="S1126" s="53"/>
      <c r="T1126" s="35" t="s">
        <v>56</v>
      </c>
      <c r="U1126" s="18" t="s">
        <v>1156</v>
      </c>
      <c r="V1126" s="19" t="str">
        <f>IF(OR($H1126="",$H1126="sif",$H1126="PM"),"",VLOOKUP($H1126,[5]CU!$C$5:$J$255,8,FALSE))</f>
        <v/>
      </c>
      <c r="W1126" s="18" t="s">
        <v>96</v>
      </c>
      <c r="X1126" s="19" t="s">
        <v>1475</v>
      </c>
      <c r="Y1126" s="18" t="s">
        <v>677</v>
      </c>
      <c r="Z1126" s="19" t="str">
        <f>A1126 &amp; "-" &amp; VLOOKUP(A1126,[4]PROGRAMMES!$E$1:$F$7,2,FALSE)</f>
        <v>3-Expansion et réforme de l’ETFP</v>
      </c>
      <c r="AA1126" s="19" t="str">
        <f>B1126 &amp; "-" &amp; VLOOKUP(B1126,[4]SOUSPROGRAMMES!$E$1:$F$44,2,FALSE)</f>
        <v>36- Renforcement des capacités de pilotage et de gestion dans le cadre d’une gouvernance parteunariale multi niveaux</v>
      </c>
      <c r="AB1126" s="19" t="str">
        <f>C1126 &amp; "-" &amp; VLOOKUP(C1126,[4]RESULTATS!$E$1:$F$176,2,FALSE)</f>
        <v>362- L’autonomisation des institutions est accrue dans un cadre de redevabilité</v>
      </c>
      <c r="AC1126" s="20" t="str">
        <f>D1126 &amp; "-" &amp; VLOOKUP(D1126,[4]STRATEGIES!$E$1:$F$504,2,FALSE)</f>
        <v xml:space="preserve">3622-Déploiement progressif du modèle de fonctionnement retenue
</v>
      </c>
      <c r="AD1126" s="21" t="str">
        <f t="shared" si="184"/>
        <v>36221-Identification des besoins en formation et en organisation des établissements pilotes pour la mise en place du nouveau modèle de fonctionnement (pris en compte dans activité 36211)</v>
      </c>
    </row>
    <row r="1127" spans="1:30" s="22" customFormat="1" ht="60" hidden="1" customHeight="1" x14ac:dyDescent="0.8">
      <c r="A1127" s="14">
        <v>3</v>
      </c>
      <c r="B1127" s="15">
        <v>36</v>
      </c>
      <c r="C1127" s="15">
        <v>362</v>
      </c>
      <c r="D1127" s="15">
        <v>3622</v>
      </c>
      <c r="E1127" s="14">
        <v>36222</v>
      </c>
      <c r="F1127" s="16" t="s">
        <v>1476</v>
      </c>
      <c r="G1127" s="21" t="s">
        <v>298</v>
      </c>
      <c r="H1127" s="17" t="s">
        <v>301</v>
      </c>
      <c r="I1127" s="56">
        <v>0</v>
      </c>
      <c r="J1127" s="56"/>
      <c r="K1127" s="56">
        <f>5*10*20</f>
        <v>1000</v>
      </c>
      <c r="L1127" s="56"/>
      <c r="M1127" s="56">
        <f t="shared" si="185"/>
        <v>1000</v>
      </c>
      <c r="N1127" s="56">
        <f>IF(OR(H1127="",H1127="sif",H1127="PM"),0,VLOOKUP(H1127,[5]CU!$C$4:$H$255,6,FALSE))</f>
        <v>0.67666666666666664</v>
      </c>
      <c r="O1127" s="56">
        <f t="shared" si="186"/>
        <v>0</v>
      </c>
      <c r="P1127" s="56">
        <f t="shared" si="186"/>
        <v>0</v>
      </c>
      <c r="Q1127" s="56">
        <f t="shared" si="186"/>
        <v>676.66666666666663</v>
      </c>
      <c r="R1127" s="56">
        <f t="shared" si="186"/>
        <v>0</v>
      </c>
      <c r="S1127" s="53">
        <f>SUM(O1127:R1127)</f>
        <v>676.66666666666663</v>
      </c>
      <c r="T1127" s="35" t="s">
        <v>56</v>
      </c>
      <c r="U1127" s="18" t="s">
        <v>1156</v>
      </c>
      <c r="V1127" s="19" t="str">
        <f>IF(OR($H1127="",$H1127="sif",$H1127="PM"),"",VLOOKUP($H1127,[5]CU!$C$5:$J$255,8,FALSE))</f>
        <v>3. Formation</v>
      </c>
      <c r="W1127" s="18" t="s">
        <v>1334</v>
      </c>
      <c r="X1127" s="19" t="s">
        <v>1477</v>
      </c>
      <c r="Y1127" s="18" t="s">
        <v>677</v>
      </c>
      <c r="Z1127" s="19" t="str">
        <f>A1127 &amp; "-" &amp; VLOOKUP(A1127,[4]PROGRAMMES!$E$1:$F$7,2,FALSE)</f>
        <v>3-Expansion et réforme de l’ETFP</v>
      </c>
      <c r="AA1127" s="19" t="str">
        <f>B1127 &amp; "-" &amp; VLOOKUP(B1127,[4]SOUSPROGRAMMES!$E$1:$F$44,2,FALSE)</f>
        <v>36- Renforcement des capacités de pilotage et de gestion dans le cadre d’une gouvernance parteunariale multi niveaux</v>
      </c>
      <c r="AB1127" s="19" t="str">
        <f>C1127 &amp; "-" &amp; VLOOKUP(C1127,[4]RESULTATS!$E$1:$F$176,2,FALSE)</f>
        <v>362- L’autonomisation des institutions est accrue dans un cadre de redevabilité</v>
      </c>
      <c r="AC1127" s="20" t="str">
        <f>D1127 &amp; "-" &amp; VLOOKUP(D1127,[4]STRATEGIES!$E$1:$F$504,2,FALSE)</f>
        <v xml:space="preserve">3622-Déploiement progressif du modèle de fonctionnement retenue
</v>
      </c>
      <c r="AD1127" s="21" t="str">
        <f t="shared" si="184"/>
        <v>36222-Formation des ressources humaines des établissements</v>
      </c>
    </row>
    <row r="1128" spans="1:30" s="22" customFormat="1" ht="60" hidden="1" customHeight="1" x14ac:dyDescent="0.8">
      <c r="A1128" s="14">
        <v>3</v>
      </c>
      <c r="B1128" s="15">
        <v>36</v>
      </c>
      <c r="C1128" s="15">
        <v>362</v>
      </c>
      <c r="D1128" s="15">
        <v>3622</v>
      </c>
      <c r="E1128" s="14">
        <v>36223</v>
      </c>
      <c r="F1128" s="16" t="s">
        <v>1478</v>
      </c>
      <c r="G1128" s="21" t="s">
        <v>159</v>
      </c>
      <c r="H1128" s="17"/>
      <c r="I1128" s="56">
        <v>0</v>
      </c>
      <c r="J1128" s="56">
        <v>1</v>
      </c>
      <c r="K1128" s="56">
        <v>1</v>
      </c>
      <c r="L1128" s="56">
        <v>1</v>
      </c>
      <c r="M1128" s="56">
        <f t="shared" si="185"/>
        <v>3</v>
      </c>
      <c r="N1128" s="56">
        <f>IF(OR(H1128="",H1128="sif",H1128="PM"),0,VLOOKUP(H1128,[5]CU!$C$4:$H$255,6,FALSE))</f>
        <v>0</v>
      </c>
      <c r="O1128" s="56">
        <f t="shared" si="186"/>
        <v>0</v>
      </c>
      <c r="P1128" s="56">
        <f t="shared" si="186"/>
        <v>0</v>
      </c>
      <c r="Q1128" s="56">
        <f t="shared" si="186"/>
        <v>0</v>
      </c>
      <c r="R1128" s="56">
        <f t="shared" si="186"/>
        <v>0</v>
      </c>
      <c r="S1128" s="53"/>
      <c r="T1128" s="35" t="s">
        <v>56</v>
      </c>
      <c r="U1128" s="18" t="s">
        <v>1156</v>
      </c>
      <c r="V1128" s="19" t="str">
        <f>IF(OR($H1128="",$H1128="sif",$H1128="PM"),"",VLOOKUP($H1128,[5]CU!$C$5:$J$255,8,FALSE))</f>
        <v/>
      </c>
      <c r="W1128" s="18" t="s">
        <v>521</v>
      </c>
      <c r="X1128" s="18" t="s">
        <v>1318</v>
      </c>
      <c r="Y1128" s="18" t="s">
        <v>677</v>
      </c>
      <c r="Z1128" s="19" t="str">
        <f>A1128 &amp; "-" &amp; VLOOKUP(A1128,[4]PROGRAMMES!$E$1:$F$7,2,FALSE)</f>
        <v>3-Expansion et réforme de l’ETFP</v>
      </c>
      <c r="AA1128" s="19" t="str">
        <f>B1128 &amp; "-" &amp; VLOOKUP(B1128,[4]SOUSPROGRAMMES!$E$1:$F$44,2,FALSE)</f>
        <v>36- Renforcement des capacités de pilotage et de gestion dans le cadre d’une gouvernance parteunariale multi niveaux</v>
      </c>
      <c r="AB1128" s="19" t="str">
        <f>C1128 &amp; "-" &amp; VLOOKUP(C1128,[4]RESULTATS!$E$1:$F$176,2,FALSE)</f>
        <v>362- L’autonomisation des institutions est accrue dans un cadre de redevabilité</v>
      </c>
      <c r="AC1128" s="20" t="str">
        <f>D1128 &amp; "-" &amp; VLOOKUP(D1128,[4]STRATEGIES!$E$1:$F$504,2,FALSE)</f>
        <v xml:space="preserve">3622-Déploiement progressif du modèle de fonctionnement retenue
</v>
      </c>
      <c r="AD1128" s="21" t="str">
        <f t="shared" si="184"/>
        <v>36223-Financement des sessions des organes de gestion (pris en compte dans la subvention des établissements)</v>
      </c>
    </row>
    <row r="1129" spans="1:30" s="22" customFormat="1" ht="60" hidden="1" customHeight="1" x14ac:dyDescent="0.8">
      <c r="A1129" s="14">
        <v>3</v>
      </c>
      <c r="B1129" s="15">
        <v>36</v>
      </c>
      <c r="C1129" s="15">
        <v>362</v>
      </c>
      <c r="D1129" s="15">
        <v>3622</v>
      </c>
      <c r="E1129" s="14">
        <v>36224</v>
      </c>
      <c r="F1129" s="16" t="s">
        <v>1479</v>
      </c>
      <c r="G1129" s="21" t="s">
        <v>167</v>
      </c>
      <c r="H1129" s="17" t="s">
        <v>101</v>
      </c>
      <c r="I1129" s="56">
        <v>0</v>
      </c>
      <c r="J1129" s="56"/>
      <c r="K1129" s="56"/>
      <c r="L1129" s="56">
        <f>20*20</f>
        <v>400</v>
      </c>
      <c r="M1129" s="56">
        <f t="shared" si="185"/>
        <v>400</v>
      </c>
      <c r="N1129" s="56">
        <f>IF(OR(H1129="",H1129="sif",H1129="PM"),0,VLOOKUP(H1129,[5]CU!$C$4:$H$255,6,FALSE))</f>
        <v>2.651545</v>
      </c>
      <c r="O1129" s="56">
        <f t="shared" si="186"/>
        <v>0</v>
      </c>
      <c r="P1129" s="56">
        <f t="shared" si="186"/>
        <v>0</v>
      </c>
      <c r="Q1129" s="56">
        <f t="shared" si="186"/>
        <v>0</v>
      </c>
      <c r="R1129" s="56">
        <f t="shared" si="186"/>
        <v>1060.6179999999999</v>
      </c>
      <c r="S1129" s="53">
        <f>SUM(O1129:R1129)</f>
        <v>1060.6179999999999</v>
      </c>
      <c r="T1129" s="35" t="s">
        <v>56</v>
      </c>
      <c r="U1129" s="18" t="s">
        <v>1156</v>
      </c>
      <c r="V1129" s="19" t="str">
        <f>IF(OR($H1129="",$H1129="sif",$H1129="PM"),"",VLOOKUP($H1129,[5]CU!$C$5:$J$255,8,FALSE))</f>
        <v>3. Dépenses de fonctionnement</v>
      </c>
      <c r="W1129" s="18" t="s">
        <v>521</v>
      </c>
      <c r="X1129" s="18" t="s">
        <v>1371</v>
      </c>
      <c r="Y1129" s="18" t="s">
        <v>677</v>
      </c>
      <c r="Z1129" s="19" t="str">
        <f>A1129 &amp; "-" &amp; VLOOKUP(A1129,[4]PROGRAMMES!$E$1:$F$7,2,FALSE)</f>
        <v>3-Expansion et réforme de l’ETFP</v>
      </c>
      <c r="AA1129" s="19" t="str">
        <f>B1129 &amp; "-" &amp; VLOOKUP(B1129,[4]SOUSPROGRAMMES!$E$1:$F$44,2,FALSE)</f>
        <v>36- Renforcement des capacités de pilotage et de gestion dans le cadre d’une gouvernance parteunariale multi niveaux</v>
      </c>
      <c r="AB1129" s="19" t="str">
        <f>C1129 &amp; "-" &amp; VLOOKUP(C1129,[4]RESULTATS!$E$1:$F$176,2,FALSE)</f>
        <v>362- L’autonomisation des institutions est accrue dans un cadre de redevabilité</v>
      </c>
      <c r="AC1129" s="20" t="str">
        <f>D1129 &amp; "-" &amp; VLOOKUP(D1129,[4]STRATEGIES!$E$1:$F$504,2,FALSE)</f>
        <v xml:space="preserve">3622-Déploiement progressif du modèle de fonctionnement retenue
</v>
      </c>
      <c r="AD1129" s="21" t="str">
        <f t="shared" si="184"/>
        <v xml:space="preserve">36224-Réalisation des audits annuels des comptes des établissements pilotes </v>
      </c>
    </row>
    <row r="1130" spans="1:30" s="22" customFormat="1" ht="75" customHeight="1" x14ac:dyDescent="0.8">
      <c r="A1130" s="14">
        <v>3</v>
      </c>
      <c r="B1130" s="15">
        <v>36</v>
      </c>
      <c r="C1130" s="15">
        <v>363</v>
      </c>
      <c r="D1130" s="15">
        <v>363</v>
      </c>
      <c r="E1130" s="14">
        <v>363</v>
      </c>
      <c r="F1130" s="16" t="s">
        <v>1480</v>
      </c>
      <c r="G1130" s="17"/>
      <c r="H1130" s="17"/>
      <c r="I1130" s="56">
        <v>0</v>
      </c>
      <c r="J1130" s="56"/>
      <c r="K1130" s="56"/>
      <c r="L1130" s="56"/>
      <c r="M1130" s="56"/>
      <c r="N1130" s="56"/>
      <c r="O1130" s="56"/>
      <c r="P1130" s="56"/>
      <c r="Q1130" s="56"/>
      <c r="R1130" s="56"/>
      <c r="S1130" s="53"/>
      <c r="T1130" s="33"/>
      <c r="U1130" s="18"/>
      <c r="V1130" s="19"/>
      <c r="W1130" s="18"/>
      <c r="X1130" s="18"/>
      <c r="Y1130" s="18" t="s">
        <v>677</v>
      </c>
      <c r="Z1130" s="19" t="str">
        <f>A1130 &amp; "-" &amp; VLOOKUP(A1130,[4]PROGRAMMES!$E$1:$F$7,2,FALSE)</f>
        <v>3-Expansion et réforme de l’ETFP</v>
      </c>
      <c r="AA1130" s="19" t="str">
        <f>B1130 &amp; "-" &amp; VLOOKUP(B1130,[4]SOUSPROGRAMMES!$E$1:$F$44,2,FALSE)</f>
        <v>36- Renforcement des capacités de pilotage et de gestion dans le cadre d’une gouvernance parteunariale multi niveaux</v>
      </c>
      <c r="AB1130" s="19" t="str">
        <f>C1130 &amp; "-" &amp; VLOOKUP(C1130,[4]RESULTATS!$E$1:$F$176,2,FALSE)</f>
        <v>363- La concertation est améliorée au niveaux des autres établissements (établissements non impliqués dans l'expérimentation du nouveau modèle de gouvernance)</v>
      </c>
      <c r="AC1130" s="20" t="str">
        <f>D1130 &amp; "-" &amp; VLOOKUP(D1130,[4]STRATEGIES!$E$1:$F$504,2,FALSE)</f>
        <v>363- La concertation est améliorée au niveaux des autres établissements (établissements non impliqués dans l'expérimentation du nouveau modèle de gouvernance)</v>
      </c>
      <c r="AD1130" s="21" t="str">
        <f t="shared" si="184"/>
        <v>363- La concertation est améliorée au niveaux des autres établissements (établissements non impliqués dans l'expérimentation du nouveau modèle de gouvernance)</v>
      </c>
    </row>
    <row r="1131" spans="1:30" s="22" customFormat="1" ht="75" customHeight="1" x14ac:dyDescent="0.8">
      <c r="A1131" s="14">
        <v>3</v>
      </c>
      <c r="B1131" s="15">
        <v>36</v>
      </c>
      <c r="C1131" s="15">
        <v>363</v>
      </c>
      <c r="D1131" s="15">
        <v>3631</v>
      </c>
      <c r="E1131" s="14">
        <v>3631</v>
      </c>
      <c r="F1131" s="16" t="s">
        <v>1481</v>
      </c>
      <c r="G1131" s="17"/>
      <c r="H1131" s="17"/>
      <c r="I1131" s="56">
        <v>0</v>
      </c>
      <c r="J1131" s="56"/>
      <c r="K1131" s="56"/>
      <c r="L1131" s="56"/>
      <c r="M1131" s="56"/>
      <c r="N1131" s="56"/>
      <c r="O1131" s="56"/>
      <c r="P1131" s="56"/>
      <c r="Q1131" s="56"/>
      <c r="R1131" s="56"/>
      <c r="S1131" s="53"/>
      <c r="T1131" s="33"/>
      <c r="U1131" s="18"/>
      <c r="V1131" s="19"/>
      <c r="W1131" s="18"/>
      <c r="X1131" s="18"/>
      <c r="Y1131" s="18" t="s">
        <v>677</v>
      </c>
      <c r="Z1131" s="19" t="str">
        <f>A1131 &amp; "-" &amp; VLOOKUP(A1131,[4]PROGRAMMES!$E$1:$F$7,2,FALSE)</f>
        <v>3-Expansion et réforme de l’ETFP</v>
      </c>
      <c r="AA1131" s="19" t="str">
        <f>B1131 &amp; "-" &amp; VLOOKUP(B1131,[4]SOUSPROGRAMMES!$E$1:$F$44,2,FALSE)</f>
        <v>36- Renforcement des capacités de pilotage et de gestion dans le cadre d’une gouvernance parteunariale multi niveaux</v>
      </c>
      <c r="AB1131" s="19" t="str">
        <f>C1131 &amp; "-" &amp; VLOOKUP(C1131,[4]RESULTATS!$E$1:$F$176,2,FALSE)</f>
        <v>363- La concertation est améliorée au niveaux des autres établissements (établissements non impliqués dans l'expérimentation du nouveau modèle de gouvernance)</v>
      </c>
      <c r="AC1131" s="20" t="str">
        <f>D1131 &amp; "-" &amp; VLOOKUP(D1131,[4]STRATEGIES!$E$1:$F$504,2,FALSE)</f>
        <v>3631-Renforcement du fonctionnement des conseils d'établissements</v>
      </c>
      <c r="AD1131" s="21" t="str">
        <f t="shared" si="184"/>
        <v>3631-Renforcement du fonctionnement des conseils d'établissements</v>
      </c>
    </row>
    <row r="1132" spans="1:30" s="22" customFormat="1" ht="75" hidden="1" customHeight="1" x14ac:dyDescent="0.8">
      <c r="A1132" s="14">
        <v>3</v>
      </c>
      <c r="B1132" s="15">
        <v>36</v>
      </c>
      <c r="C1132" s="15">
        <v>363</v>
      </c>
      <c r="D1132" s="15">
        <v>3631</v>
      </c>
      <c r="E1132" s="14">
        <v>36311</v>
      </c>
      <c r="F1132" s="16" t="s">
        <v>1482</v>
      </c>
      <c r="G1132" s="21" t="s">
        <v>177</v>
      </c>
      <c r="H1132" s="17" t="s">
        <v>59</v>
      </c>
      <c r="I1132" s="56">
        <v>0</v>
      </c>
      <c r="J1132" s="56">
        <f>4*5</f>
        <v>20</v>
      </c>
      <c r="K1132" s="56">
        <f>4*5</f>
        <v>20</v>
      </c>
      <c r="L1132" s="56">
        <f>4*5</f>
        <v>20</v>
      </c>
      <c r="M1132" s="56">
        <f t="shared" si="185"/>
        <v>60</v>
      </c>
      <c r="N1132" s="56">
        <f>IF(OR(H1132="",H1132="sif",H1132="PM"),0,VLOOKUP(H1132,[5]CU!$C$4:$H$255,6,FALSE))</f>
        <v>0.8177777777777776</v>
      </c>
      <c r="O1132" s="56">
        <f t="shared" si="186"/>
        <v>0</v>
      </c>
      <c r="P1132" s="56">
        <f t="shared" si="186"/>
        <v>16.355555555555551</v>
      </c>
      <c r="Q1132" s="56">
        <f t="shared" si="186"/>
        <v>16.355555555555551</v>
      </c>
      <c r="R1132" s="56">
        <f t="shared" si="186"/>
        <v>16.355555555555551</v>
      </c>
      <c r="S1132" s="53">
        <f>SUM(O1132:R1132)</f>
        <v>49.066666666666649</v>
      </c>
      <c r="T1132" s="35" t="s">
        <v>56</v>
      </c>
      <c r="U1132" s="18" t="s">
        <v>1156</v>
      </c>
      <c r="V1132" s="19" t="str">
        <f>IF(OR($H1132="",$H1132="sif",$H1132="PM"),"",VLOOKUP($H1132,[5]CU!$C$5:$J$255,8,FALSE))</f>
        <v>3. Dépenses de fonctionnement</v>
      </c>
      <c r="W1132" s="18" t="s">
        <v>1334</v>
      </c>
      <c r="X1132" s="19" t="s">
        <v>1483</v>
      </c>
      <c r="Y1132" s="18" t="s">
        <v>677</v>
      </c>
      <c r="Z1132" s="19" t="str">
        <f>A1132 &amp; "-" &amp; VLOOKUP(A1132,[4]PROGRAMMES!$E$1:$F$7,2,FALSE)</f>
        <v>3-Expansion et réforme de l’ETFP</v>
      </c>
      <c r="AA1132" s="19" t="str">
        <f>B1132 &amp; "-" &amp; VLOOKUP(B1132,[4]SOUSPROGRAMMES!$E$1:$F$44,2,FALSE)</f>
        <v>36- Renforcement des capacités de pilotage et de gestion dans le cadre d’une gouvernance parteunariale multi niveaux</v>
      </c>
      <c r="AB1132" s="19" t="str">
        <f>C1132 &amp; "-" &amp; VLOOKUP(C1132,[4]RESULTATS!$E$1:$F$176,2,FALSE)</f>
        <v>363- La concertation est améliorée au niveaux des autres établissements (établissements non impliqués dans l'expérimentation du nouveau modèle de gouvernance)</v>
      </c>
      <c r="AC1132" s="20" t="str">
        <f>D1132 &amp; "-" &amp; VLOOKUP(D1132,[4]STRATEGIES!$E$1:$F$504,2,FALSE)</f>
        <v>3631-Renforcement du fonctionnement des conseils d'établissements</v>
      </c>
      <c r="AD1132" s="21" t="str">
        <f t="shared" si="184"/>
        <v>36311-Information, sensibilisation des partenaires sur la mise en place et l'importance des conseils d'établissement</v>
      </c>
    </row>
    <row r="1133" spans="1:30" s="22" customFormat="1" ht="75" hidden="1" customHeight="1" x14ac:dyDescent="0.8">
      <c r="A1133" s="14">
        <v>3</v>
      </c>
      <c r="B1133" s="15">
        <v>36</v>
      </c>
      <c r="C1133" s="15">
        <v>363</v>
      </c>
      <c r="D1133" s="15">
        <v>3631</v>
      </c>
      <c r="E1133" s="14">
        <v>36312</v>
      </c>
      <c r="F1133" s="16" t="s">
        <v>1484</v>
      </c>
      <c r="G1133" s="21" t="s">
        <v>167</v>
      </c>
      <c r="H1133" s="17" t="s">
        <v>101</v>
      </c>
      <c r="I1133" s="56">
        <v>0</v>
      </c>
      <c r="J1133" s="56">
        <f>1*10</f>
        <v>10</v>
      </c>
      <c r="K1133" s="56">
        <f>1*10</f>
        <v>10</v>
      </c>
      <c r="L1133" s="56">
        <f>1*10</f>
        <v>10</v>
      </c>
      <c r="M1133" s="56">
        <f t="shared" si="185"/>
        <v>30</v>
      </c>
      <c r="N1133" s="56">
        <f>IF(OR(H1133="",H1133="sif",H1133="PM"),0,VLOOKUP(H1133,[5]CU!$C$4:$H$255,6,FALSE))</f>
        <v>2.651545</v>
      </c>
      <c r="O1133" s="56">
        <f t="shared" si="186"/>
        <v>0</v>
      </c>
      <c r="P1133" s="56">
        <f t="shared" si="186"/>
        <v>26.515450000000001</v>
      </c>
      <c r="Q1133" s="56">
        <f t="shared" si="186"/>
        <v>26.515450000000001</v>
      </c>
      <c r="R1133" s="56">
        <f t="shared" si="186"/>
        <v>26.515450000000001</v>
      </c>
      <c r="S1133" s="53">
        <f>SUM(O1133:R1133)</f>
        <v>79.546350000000004</v>
      </c>
      <c r="T1133" s="35" t="s">
        <v>169</v>
      </c>
      <c r="U1133" s="18" t="s">
        <v>1156</v>
      </c>
      <c r="V1133" s="19" t="str">
        <f>IF(OR($H1133="",$H1133="sif",$H1133="PM"),"",VLOOKUP($H1133,[5]CU!$C$5:$J$255,8,FALSE))</f>
        <v>3. Dépenses de fonctionnement</v>
      </c>
      <c r="W1133" s="18" t="s">
        <v>1334</v>
      </c>
      <c r="X1133" s="19" t="s">
        <v>1483</v>
      </c>
      <c r="Y1133" s="18" t="s">
        <v>677</v>
      </c>
      <c r="Z1133" s="19" t="str">
        <f>A1133 &amp; "-" &amp; VLOOKUP(A1133,[4]PROGRAMMES!$E$1:$F$7,2,FALSE)</f>
        <v>3-Expansion et réforme de l’ETFP</v>
      </c>
      <c r="AA1133" s="19" t="str">
        <f>B1133 &amp; "-" &amp; VLOOKUP(B1133,[4]SOUSPROGRAMMES!$E$1:$F$44,2,FALSE)</f>
        <v>36- Renforcement des capacités de pilotage et de gestion dans le cadre d’une gouvernance parteunariale multi niveaux</v>
      </c>
      <c r="AB1133" s="19" t="str">
        <f>C1133 &amp; "-" &amp; VLOOKUP(C1133,[4]RESULTATS!$E$1:$F$176,2,FALSE)</f>
        <v>363- La concertation est améliorée au niveaux des autres établissements (établissements non impliqués dans l'expérimentation du nouveau modèle de gouvernance)</v>
      </c>
      <c r="AC1133" s="20" t="str">
        <f>D1133 &amp; "-" &amp; VLOOKUP(D1133,[4]STRATEGIES!$E$1:$F$504,2,FALSE)</f>
        <v>3631-Renforcement du fonctionnement des conseils d'établissements</v>
      </c>
      <c r="AD1133" s="21" t="str">
        <f t="shared" si="184"/>
        <v>36312-Identification des points forts et des points faibles des centres de formation en termes d'implication du secteur privé</v>
      </c>
    </row>
    <row r="1134" spans="1:30" s="22" customFormat="1" ht="75" hidden="1" customHeight="1" x14ac:dyDescent="0.8">
      <c r="A1134" s="14">
        <v>3</v>
      </c>
      <c r="B1134" s="15">
        <v>36</v>
      </c>
      <c r="C1134" s="15">
        <v>363</v>
      </c>
      <c r="D1134" s="15">
        <v>3631</v>
      </c>
      <c r="E1134" s="14">
        <v>36313</v>
      </c>
      <c r="F1134" s="16" t="s">
        <v>1485</v>
      </c>
      <c r="G1134" s="21" t="s">
        <v>1486</v>
      </c>
      <c r="H1134" s="17" t="s">
        <v>38</v>
      </c>
      <c r="I1134" s="56">
        <v>0</v>
      </c>
      <c r="J1134" s="56">
        <f>4*5*30</f>
        <v>600</v>
      </c>
      <c r="K1134" s="56">
        <f>4*5*10</f>
        <v>200</v>
      </c>
      <c r="L1134" s="56"/>
      <c r="M1134" s="56">
        <f t="shared" si="185"/>
        <v>800</v>
      </c>
      <c r="N1134" s="56">
        <f>IF(OR(H1134="",H1134="sif",H1134="PM"),0,VLOOKUP(H1134,[5]CU!$C$4:$H$255,6,FALSE))</f>
        <v>0.3133333333333333</v>
      </c>
      <c r="O1134" s="56">
        <f t="shared" si="186"/>
        <v>0</v>
      </c>
      <c r="P1134" s="56">
        <f t="shared" si="186"/>
        <v>187.99999999999997</v>
      </c>
      <c r="Q1134" s="56">
        <f t="shared" si="186"/>
        <v>62.666666666666657</v>
      </c>
      <c r="R1134" s="56">
        <f t="shared" si="186"/>
        <v>0</v>
      </c>
      <c r="S1134" s="53">
        <f>SUM(O1134:R1134)</f>
        <v>250.66666666666663</v>
      </c>
      <c r="T1134" s="35" t="s">
        <v>56</v>
      </c>
      <c r="U1134" s="18" t="s">
        <v>1156</v>
      </c>
      <c r="V1134" s="19" t="str">
        <f>IF(OR($H1134="",$H1134="sif",$H1134="PM"),"",VLOOKUP($H1134,[5]CU!$C$5:$J$255,8,FALSE))</f>
        <v>3. Formation</v>
      </c>
      <c r="W1134" s="18" t="s">
        <v>1334</v>
      </c>
      <c r="X1134" s="19" t="s">
        <v>1483</v>
      </c>
      <c r="Y1134" s="18" t="s">
        <v>677</v>
      </c>
      <c r="Z1134" s="19" t="str">
        <f>A1134 &amp; "-" &amp; VLOOKUP(A1134,[4]PROGRAMMES!$E$1:$F$7,2,FALSE)</f>
        <v>3-Expansion et réforme de l’ETFP</v>
      </c>
      <c r="AA1134" s="19" t="str">
        <f>B1134 &amp; "-" &amp; VLOOKUP(B1134,[4]SOUSPROGRAMMES!$E$1:$F$44,2,FALSE)</f>
        <v>36- Renforcement des capacités de pilotage et de gestion dans le cadre d’une gouvernance parteunariale multi niveaux</v>
      </c>
      <c r="AB1134" s="19" t="str">
        <f>C1134 &amp; "-" &amp; VLOOKUP(C1134,[4]RESULTATS!$E$1:$F$176,2,FALSE)</f>
        <v>363- La concertation est améliorée au niveaux des autres établissements (établissements non impliqués dans l'expérimentation du nouveau modèle de gouvernance)</v>
      </c>
      <c r="AC1134" s="20" t="str">
        <f>D1134 &amp; "-" &amp; VLOOKUP(D1134,[4]STRATEGIES!$E$1:$F$504,2,FALSE)</f>
        <v>3631-Renforcement du fonctionnement des conseils d'établissements</v>
      </c>
      <c r="AD1134" s="21" t="str">
        <f t="shared" si="184"/>
        <v>36313-Renforcement de capacités des membres des conseils d'établissement</v>
      </c>
    </row>
    <row r="1135" spans="1:30" s="22" customFormat="1" ht="75" customHeight="1" x14ac:dyDescent="0.8">
      <c r="A1135" s="14">
        <v>3</v>
      </c>
      <c r="B1135" s="15">
        <v>36</v>
      </c>
      <c r="C1135" s="15">
        <v>363</v>
      </c>
      <c r="D1135" s="15">
        <v>3632</v>
      </c>
      <c r="E1135" s="14">
        <v>3632</v>
      </c>
      <c r="F1135" s="16" t="s">
        <v>1487</v>
      </c>
      <c r="G1135" s="17"/>
      <c r="H1135" s="17"/>
      <c r="I1135" s="56">
        <v>0</v>
      </c>
      <c r="J1135" s="56"/>
      <c r="K1135" s="56"/>
      <c r="L1135" s="56"/>
      <c r="M1135" s="56"/>
      <c r="N1135" s="56"/>
      <c r="O1135" s="56"/>
      <c r="P1135" s="56"/>
      <c r="Q1135" s="56"/>
      <c r="R1135" s="56"/>
      <c r="S1135" s="53"/>
      <c r="T1135" s="33"/>
      <c r="U1135" s="18"/>
      <c r="V1135" s="19"/>
      <c r="W1135" s="18"/>
      <c r="X1135" s="18"/>
      <c r="Y1135" s="18" t="s">
        <v>677</v>
      </c>
      <c r="Z1135" s="19" t="str">
        <f>A1135 &amp; "-" &amp; VLOOKUP(A1135,[4]PROGRAMMES!$E$1:$F$7,2,FALSE)</f>
        <v>3-Expansion et réforme de l’ETFP</v>
      </c>
      <c r="AA1135" s="19" t="str">
        <f>B1135 &amp; "-" &amp; VLOOKUP(B1135,[4]SOUSPROGRAMMES!$E$1:$F$44,2,FALSE)</f>
        <v>36- Renforcement des capacités de pilotage et de gestion dans le cadre d’une gouvernance parteunariale multi niveaux</v>
      </c>
      <c r="AB1135" s="19" t="str">
        <f>C1135 &amp; "-" &amp; VLOOKUP(C1135,[4]RESULTATS!$E$1:$F$176,2,FALSE)</f>
        <v>363- La concertation est améliorée au niveaux des autres établissements (établissements non impliqués dans l'expérimentation du nouveau modèle de gouvernance)</v>
      </c>
      <c r="AC1135" s="20" t="str">
        <f>D1135 &amp; "-" &amp; VLOOKUP(D1135,[4]STRATEGIES!$E$1:$F$504,2,FALSE)</f>
        <v>3632-Elaboration et mise en œuvre des projets d'établissements</v>
      </c>
      <c r="AD1135" s="21" t="str">
        <f t="shared" si="184"/>
        <v>3632-Elaboration et mise en œuvre des projets d'établissements</v>
      </c>
    </row>
    <row r="1136" spans="1:30" s="22" customFormat="1" ht="75" hidden="1" customHeight="1" x14ac:dyDescent="0.8">
      <c r="A1136" s="14">
        <v>3</v>
      </c>
      <c r="B1136" s="15">
        <v>36</v>
      </c>
      <c r="C1136" s="15">
        <v>363</v>
      </c>
      <c r="D1136" s="15">
        <v>3632</v>
      </c>
      <c r="E1136" s="14"/>
      <c r="F1136" s="16" t="s">
        <v>1488</v>
      </c>
      <c r="G1136" s="21"/>
      <c r="H1136" s="17"/>
      <c r="I1136" s="56">
        <v>0</v>
      </c>
      <c r="J1136" s="56"/>
      <c r="K1136" s="56"/>
      <c r="L1136" s="56"/>
      <c r="M1136" s="56"/>
      <c r="N1136" s="56"/>
      <c r="O1136" s="56"/>
      <c r="P1136" s="56"/>
      <c r="Q1136" s="56"/>
      <c r="R1136" s="56"/>
      <c r="S1136" s="53"/>
      <c r="T1136" s="35" t="s">
        <v>56</v>
      </c>
      <c r="U1136" s="18" t="s">
        <v>1156</v>
      </c>
      <c r="V1136" s="19" t="str">
        <f>IF(OR($H1136="",$H1136="sif",$H1136="PM"),"",VLOOKUP($H1136,[5]CU!$C$5:$J$255,8,FALSE))</f>
        <v/>
      </c>
      <c r="W1136" s="18"/>
      <c r="X1136" s="18"/>
      <c r="Y1136" s="18" t="s">
        <v>677</v>
      </c>
      <c r="Z1136" s="19" t="str">
        <f>A1136 &amp; "-" &amp; VLOOKUP(A1136,[4]PROGRAMMES!$E$1:$F$7,2,FALSE)</f>
        <v>3-Expansion et réforme de l’ETFP</v>
      </c>
      <c r="AA1136" s="19" t="str">
        <f>B1136 &amp; "-" &amp; VLOOKUP(B1136,[4]SOUSPROGRAMMES!$E$1:$F$44,2,FALSE)</f>
        <v>36- Renforcement des capacités de pilotage et de gestion dans le cadre d’une gouvernance parteunariale multi niveaux</v>
      </c>
      <c r="AB1136" s="19" t="str">
        <f>C1136 &amp; "-" &amp; VLOOKUP(C1136,[4]RESULTATS!$E$1:$F$176,2,FALSE)</f>
        <v>363- La concertation est améliorée au niveaux des autres établissements (établissements non impliqués dans l'expérimentation du nouveau modèle de gouvernance)</v>
      </c>
      <c r="AC1136" s="20" t="str">
        <f>D1136 &amp; "-" &amp; VLOOKUP(D1136,[4]STRATEGIES!$E$1:$F$504,2,FALSE)</f>
        <v>3632-Elaboration et mise en œuvre des projets d'établissements</v>
      </c>
      <c r="AD1136" s="21" t="str">
        <f t="shared" si="184"/>
        <v>-pm seconde phase du PRODEG</v>
      </c>
    </row>
    <row r="1137" spans="1:30" s="22" customFormat="1" ht="60" customHeight="1" x14ac:dyDescent="0.8">
      <c r="A1137" s="14">
        <v>3</v>
      </c>
      <c r="B1137" s="15">
        <v>36</v>
      </c>
      <c r="C1137" s="15">
        <v>364</v>
      </c>
      <c r="D1137" s="15">
        <v>364</v>
      </c>
      <c r="E1137" s="14">
        <v>364</v>
      </c>
      <c r="F1137" s="16" t="s">
        <v>1489</v>
      </c>
      <c r="G1137" s="17"/>
      <c r="H1137" s="17"/>
      <c r="I1137" s="56">
        <v>0</v>
      </c>
      <c r="J1137" s="56"/>
      <c r="K1137" s="56"/>
      <c r="L1137" s="56"/>
      <c r="M1137" s="56"/>
      <c r="N1137" s="56"/>
      <c r="O1137" s="56"/>
      <c r="P1137" s="56"/>
      <c r="Q1137" s="56"/>
      <c r="R1137" s="56"/>
      <c r="S1137" s="53"/>
      <c r="T1137" s="33"/>
      <c r="U1137" s="18"/>
      <c r="V1137" s="19"/>
      <c r="W1137" s="18"/>
      <c r="X1137" s="18"/>
      <c r="Y1137" s="18" t="s">
        <v>677</v>
      </c>
      <c r="Z1137" s="19" t="str">
        <f>A1137 &amp; "-" &amp; VLOOKUP(A1137,[4]PROGRAMMES!$E$1:$F$7,2,FALSE)</f>
        <v>3-Expansion et réforme de l’ETFP</v>
      </c>
      <c r="AA1137" s="19" t="str">
        <f>B1137 &amp; "-" &amp; VLOOKUP(B1137,[4]SOUSPROGRAMMES!$E$1:$F$44,2,FALSE)</f>
        <v>36- Renforcement des capacités de pilotage et de gestion dans le cadre d’une gouvernance parteunariale multi niveaux</v>
      </c>
      <c r="AB1137" s="19" t="str">
        <f>C1137 &amp; "-" &amp; VLOOKUP(C1137,[4]RESULTATS!$E$1:$F$176,2,FALSE)</f>
        <v>364- La capacité de pilotage et de mise en œuvre, technique et financière, de l’ETFP est renforcée</v>
      </c>
      <c r="AC1137" s="20" t="str">
        <f>D1137 &amp; "-" &amp; VLOOKUP(D1137,[4]STRATEGIES!$E$1:$F$504,2,FALSE)</f>
        <v>364- La capacité de pilotage et de mise en œuvre, technique et financière, de l’ETFP est renforcée</v>
      </c>
      <c r="AD1137" s="21" t="str">
        <f t="shared" si="184"/>
        <v>364- La capacité de pilotage et de mise en œuvre, technique et Financière, de l’ETFP est renforcée</v>
      </c>
    </row>
    <row r="1138" spans="1:30" s="22" customFormat="1" ht="60" customHeight="1" x14ac:dyDescent="0.8">
      <c r="A1138" s="14">
        <v>3</v>
      </c>
      <c r="B1138" s="15">
        <v>36</v>
      </c>
      <c r="C1138" s="15">
        <v>364</v>
      </c>
      <c r="D1138" s="15">
        <v>3641</v>
      </c>
      <c r="E1138" s="14">
        <v>3641</v>
      </c>
      <c r="F1138" s="16" t="s">
        <v>1490</v>
      </c>
      <c r="G1138" s="17"/>
      <c r="H1138" s="17"/>
      <c r="I1138" s="56">
        <v>0</v>
      </c>
      <c r="J1138" s="56"/>
      <c r="K1138" s="56"/>
      <c r="L1138" s="56"/>
      <c r="M1138" s="56"/>
      <c r="N1138" s="56"/>
      <c r="O1138" s="56"/>
      <c r="P1138" s="56"/>
      <c r="Q1138" s="56"/>
      <c r="R1138" s="56"/>
      <c r="S1138" s="53"/>
      <c r="T1138" s="33"/>
      <c r="U1138" s="18"/>
      <c r="V1138" s="19"/>
      <c r="W1138" s="18"/>
      <c r="X1138" s="18"/>
      <c r="Y1138" s="18" t="s">
        <v>677</v>
      </c>
      <c r="Z1138" s="19" t="str">
        <f>A1138 &amp; "-" &amp; VLOOKUP(A1138,[4]PROGRAMMES!$E$1:$F$7,2,FALSE)</f>
        <v>3-Expansion et réforme de l’ETFP</v>
      </c>
      <c r="AA1138" s="19" t="str">
        <f>B1138 &amp; "-" &amp; VLOOKUP(B1138,[4]SOUSPROGRAMMES!$E$1:$F$44,2,FALSE)</f>
        <v>36- Renforcement des capacités de pilotage et de gestion dans le cadre d’une gouvernance parteunariale multi niveaux</v>
      </c>
      <c r="AB1138" s="19" t="str">
        <f>C1138 &amp; "-" &amp; VLOOKUP(C1138,[4]RESULTATS!$E$1:$F$176,2,FALSE)</f>
        <v>364- La capacité de pilotage et de mise en œuvre, technique et financière, de l’ETFP est renforcée</v>
      </c>
      <c r="AC1138" s="20" t="str">
        <f>D1138 &amp; "-" &amp; VLOOKUP(D1138,[4]STRATEGIES!$E$1:$F$504,2,FALSE)</f>
        <v xml:space="preserve">3641-Mise en place d’un Système articulé d’information et de gestion de l’ETFP capitalisant et consolidant les données à tous les niveaux
</v>
      </c>
      <c r="AD1138" s="21" t="str">
        <f t="shared" si="184"/>
        <v xml:space="preserve">3641-Mise en place d’un Système articulé d’information et de gestion de l’ETFP capitalisant et consolidant les données à tous les niveaux
</v>
      </c>
    </row>
    <row r="1139" spans="1:30" s="22" customFormat="1" ht="60" customHeight="1" x14ac:dyDescent="0.8">
      <c r="A1139" s="14">
        <v>3</v>
      </c>
      <c r="B1139" s="15">
        <v>36</v>
      </c>
      <c r="C1139" s="15">
        <v>364</v>
      </c>
      <c r="D1139" s="15">
        <v>3641</v>
      </c>
      <c r="E1139" s="14">
        <v>36411</v>
      </c>
      <c r="F1139" s="16" t="s">
        <v>1491</v>
      </c>
      <c r="G1139" s="21" t="s">
        <v>100</v>
      </c>
      <c r="H1139" s="17" t="s">
        <v>1424</v>
      </c>
      <c r="I1139" s="56">
        <v>0</v>
      </c>
      <c r="J1139" s="56"/>
      <c r="K1139" s="56"/>
      <c r="L1139" s="56"/>
      <c r="M1139" s="56">
        <f t="shared" ref="M1139:M1160" si="188">SUM(I1139:L1139)</f>
        <v>0</v>
      </c>
      <c r="N1139" s="56">
        <f>IF(OR(H1139="",H1139="sif",H1139="PM"),0,VLOOKUP(H1139,[5]CU!$C$4:$H$255,6,FALSE))</f>
        <v>10.404797</v>
      </c>
      <c r="O1139" s="56">
        <f t="shared" ref="O1139:R1160" si="189">IFERROR($N1139*I1139,0)</f>
        <v>0</v>
      </c>
      <c r="P1139" s="56">
        <f t="shared" si="189"/>
        <v>0</v>
      </c>
      <c r="Q1139" s="56">
        <f t="shared" si="189"/>
        <v>0</v>
      </c>
      <c r="R1139" s="56">
        <f t="shared" si="189"/>
        <v>0</v>
      </c>
      <c r="S1139" s="53">
        <f>SUM(O1139:R1139)</f>
        <v>0</v>
      </c>
      <c r="T1139" s="35" t="s">
        <v>1304</v>
      </c>
      <c r="U1139" s="19" t="s">
        <v>1156</v>
      </c>
      <c r="V1139" s="19" t="str">
        <f>IF(OR($H1139="",$H1139="sif",$H1139="PM"),"",VLOOKUP($H1139,[5]CU!$C$5:$J$255,8,FALSE))</f>
        <v>3. Dépenses de fonctionnement</v>
      </c>
      <c r="W1139" s="19" t="s">
        <v>1492</v>
      </c>
      <c r="X1139" s="19" t="s">
        <v>1371</v>
      </c>
      <c r="Y1139" s="18" t="s">
        <v>677</v>
      </c>
      <c r="Z1139" s="19" t="str">
        <f>A1139 &amp; "-" &amp; VLOOKUP(A1139,[4]PROGRAMMES!$E$1:$F$7,2,FALSE)</f>
        <v>3-Expansion et réforme de l’ETFP</v>
      </c>
      <c r="AA1139" s="19" t="str">
        <f>B1139 &amp; "-" &amp; VLOOKUP(B1139,[4]SOUSPROGRAMMES!$E$1:$F$44,2,FALSE)</f>
        <v>36- Renforcement des capacités de pilotage et de gestion dans le cadre d’une gouvernance parteunariale multi niveaux</v>
      </c>
      <c r="AB1139" s="19" t="str">
        <f>C1139 &amp; "-" &amp; VLOOKUP(C1139,[4]RESULTATS!$E$1:$F$176,2,FALSE)</f>
        <v>364- La capacité de pilotage et de mise en œuvre, technique et financière, de l’ETFP est renforcée</v>
      </c>
      <c r="AC1139" s="20" t="str">
        <f>D1139 &amp; "-" &amp; VLOOKUP(D1139,[4]STRATEGIES!$E$1:$F$504,2,FALSE)</f>
        <v xml:space="preserve">3641-Mise en place d’un Système articulé d’information et de gestion de l’ETFP capitalisant et consolidant les données à tous les niveaux
</v>
      </c>
      <c r="AD1139" s="21" t="str">
        <f t="shared" si="184"/>
        <v>36411-DéFinition de l'architecture d'un système d'information articulé aux différents niveaux</v>
      </c>
    </row>
    <row r="1140" spans="1:30" s="22" customFormat="1" ht="60" customHeight="1" x14ac:dyDescent="0.8">
      <c r="A1140" s="14">
        <v>3</v>
      </c>
      <c r="B1140" s="15">
        <v>36</v>
      </c>
      <c r="C1140" s="15">
        <v>364</v>
      </c>
      <c r="D1140" s="15">
        <v>3641</v>
      </c>
      <c r="E1140" s="14">
        <v>36412</v>
      </c>
      <c r="F1140" s="16" t="s">
        <v>1493</v>
      </c>
      <c r="G1140" s="21" t="s">
        <v>100</v>
      </c>
      <c r="H1140" s="17" t="s">
        <v>1424</v>
      </c>
      <c r="I1140" s="56">
        <v>0</v>
      </c>
      <c r="J1140" s="56">
        <f>(2*15*4)*20%</f>
        <v>24</v>
      </c>
      <c r="K1140" s="56"/>
      <c r="L1140" s="56"/>
      <c r="M1140" s="56">
        <f>SUM(I1140:L1140)</f>
        <v>24</v>
      </c>
      <c r="N1140" s="56">
        <f>IF(OR(H1140="",H1140="sif",H1140="PM"),0,VLOOKUP(H1140,[5]CU!$C$4:$H$255,6,FALSE))</f>
        <v>10.404797</v>
      </c>
      <c r="O1140" s="56">
        <f>IFERROR($N1140*I1140,0)</f>
        <v>0</v>
      </c>
      <c r="P1140" s="56">
        <f>IFERROR($N1140*J1140,0)</f>
        <v>249.71512799999999</v>
      </c>
      <c r="Q1140" s="56">
        <f>IFERROR($N1140*K1140,0)</f>
        <v>0</v>
      </c>
      <c r="R1140" s="56">
        <f>IFERROR($N1140*L1140,0)</f>
        <v>0</v>
      </c>
      <c r="S1140" s="53">
        <f>SUM(O1140:R1140)</f>
        <v>249.71512799999999</v>
      </c>
      <c r="T1140" s="35" t="s">
        <v>1304</v>
      </c>
      <c r="U1140" s="19" t="s">
        <v>1156</v>
      </c>
      <c r="V1140" s="19" t="str">
        <f>IF(OR($H1140="",$H1140="sif",$H1140="PM"),"",VLOOKUP($H1140,[5]CU!$C$5:$J$255,8,FALSE))</f>
        <v>3. Dépenses de fonctionnement</v>
      </c>
      <c r="W1140" s="19" t="s">
        <v>1494</v>
      </c>
      <c r="X1140" s="19" t="s">
        <v>1371</v>
      </c>
      <c r="Y1140" s="18" t="s">
        <v>677</v>
      </c>
      <c r="Z1140" s="19" t="str">
        <f>A1140 &amp; "-" &amp; VLOOKUP(A1140,[4]PROGRAMMES!$E$1:$F$7,2,FALSE)</f>
        <v>3-Expansion et réforme de l’ETFP</v>
      </c>
      <c r="AA1140" s="19" t="str">
        <f>B1140 &amp; "-" &amp; VLOOKUP(B1140,[4]SOUSPROGRAMMES!$E$1:$F$44,2,FALSE)</f>
        <v>36- Renforcement des capacités de pilotage et de gestion dans le cadre d’une gouvernance parteunariale multi niveaux</v>
      </c>
      <c r="AB1140" s="19" t="str">
        <f>C1140 &amp; "-" &amp; VLOOKUP(C1140,[4]RESULTATS!$E$1:$F$176,2,FALSE)</f>
        <v>364- La capacité de pilotage et de mise en œuvre, technique et financière, de l’ETFP est renforcée</v>
      </c>
      <c r="AC1140" s="20" t="str">
        <f>D1140 &amp; "-" &amp; VLOOKUP(D1140,[4]STRATEGIES!$E$1:$F$504,2,FALSE)</f>
        <v xml:space="preserve">3641-Mise en place d’un Système articulé d’information et de gestion de l’ETFP capitalisant et consolidant les données à tous les niveaux
</v>
      </c>
      <c r="AD1140" s="21" t="str">
        <f t="shared" si="184"/>
        <v>36412-Développement du système d'information pour les différents niveaux et l'identification des équipements et des compétences nécessaires à sa mise en place</v>
      </c>
    </row>
    <row r="1141" spans="1:30" s="22" customFormat="1" ht="60" hidden="1" customHeight="1" x14ac:dyDescent="0.8">
      <c r="A1141" s="14">
        <v>3</v>
      </c>
      <c r="B1141" s="15">
        <v>36</v>
      </c>
      <c r="C1141" s="15">
        <v>364</v>
      </c>
      <c r="D1141" s="15">
        <v>3641</v>
      </c>
      <c r="E1141" s="14">
        <v>36412</v>
      </c>
      <c r="F1141" s="16" t="s">
        <v>1493</v>
      </c>
      <c r="G1141" s="21" t="s">
        <v>100</v>
      </c>
      <c r="H1141" s="17" t="s">
        <v>1424</v>
      </c>
      <c r="I1141" s="56">
        <v>0</v>
      </c>
      <c r="J1141" s="56">
        <f>(2*15*4)*80%</f>
        <v>96</v>
      </c>
      <c r="K1141" s="56"/>
      <c r="L1141" s="56"/>
      <c r="M1141" s="56">
        <f t="shared" si="188"/>
        <v>96</v>
      </c>
      <c r="N1141" s="56">
        <f>IF(OR(H1141="",H1141="sif",H1141="PM"),0,VLOOKUP(H1141,[5]CU!$C$4:$H$255,6,FALSE))</f>
        <v>10.404797</v>
      </c>
      <c r="O1141" s="56">
        <f t="shared" si="189"/>
        <v>0</v>
      </c>
      <c r="P1141" s="56">
        <f t="shared" si="189"/>
        <v>998.86051199999997</v>
      </c>
      <c r="Q1141" s="56">
        <f t="shared" si="189"/>
        <v>0</v>
      </c>
      <c r="R1141" s="56">
        <f t="shared" si="189"/>
        <v>0</v>
      </c>
      <c r="S1141" s="53">
        <f>SUM(O1141:R1141)</f>
        <v>998.86051199999997</v>
      </c>
      <c r="T1141" s="35" t="s">
        <v>169</v>
      </c>
      <c r="U1141" s="19" t="s">
        <v>1156</v>
      </c>
      <c r="V1141" s="19" t="str">
        <f>IF(OR($H1141="",$H1141="sif",$H1141="PM"),"",VLOOKUP($H1141,[5]CU!$C$5:$J$255,8,FALSE))</f>
        <v>3. Dépenses de fonctionnement</v>
      </c>
      <c r="W1141" s="19" t="s">
        <v>1494</v>
      </c>
      <c r="X1141" s="19" t="s">
        <v>1371</v>
      </c>
      <c r="Y1141" s="18" t="s">
        <v>677</v>
      </c>
      <c r="Z1141" s="19" t="str">
        <f>A1141 &amp; "-" &amp; VLOOKUP(A1141,[4]PROGRAMMES!$E$1:$F$7,2,FALSE)</f>
        <v>3-Expansion et réforme de l’ETFP</v>
      </c>
      <c r="AA1141" s="19" t="str">
        <f>B1141 &amp; "-" &amp; VLOOKUP(B1141,[4]SOUSPROGRAMMES!$E$1:$F$44,2,FALSE)</f>
        <v>36- Renforcement des capacités de pilotage et de gestion dans le cadre d’une gouvernance parteunariale multi niveaux</v>
      </c>
      <c r="AB1141" s="19" t="str">
        <f>C1141 &amp; "-" &amp; VLOOKUP(C1141,[4]RESULTATS!$E$1:$F$176,2,FALSE)</f>
        <v>364- La capacité de pilotage et de mise en œuvre, technique et financière, de l’ETFP est renforcée</v>
      </c>
      <c r="AC1141" s="20" t="str">
        <f>D1141 &amp; "-" &amp; VLOOKUP(D1141,[4]STRATEGIES!$E$1:$F$504,2,FALSE)</f>
        <v xml:space="preserve">3641-Mise en place d’un Système articulé d’information et de gestion de l’ETFP capitalisant et consolidant les données à tous les niveaux
</v>
      </c>
      <c r="AD1141" s="21" t="str">
        <f t="shared" si="184"/>
        <v>36412-Développement du système d'information pour les différents niveaux et l'identification des équipements et des compétences nécessaires à sa mise en place</v>
      </c>
    </row>
    <row r="1142" spans="1:30" s="22" customFormat="1" ht="60" hidden="1" customHeight="1" x14ac:dyDescent="0.8">
      <c r="A1142" s="14">
        <v>3</v>
      </c>
      <c r="B1142" s="15">
        <v>36</v>
      </c>
      <c r="C1142" s="15">
        <v>364</v>
      </c>
      <c r="D1142" s="15">
        <v>3641</v>
      </c>
      <c r="E1142" s="14">
        <v>36413</v>
      </c>
      <c r="F1142" s="16" t="s">
        <v>1495</v>
      </c>
      <c r="G1142" s="21" t="s">
        <v>159</v>
      </c>
      <c r="H1142" s="17"/>
      <c r="I1142" s="56">
        <v>0</v>
      </c>
      <c r="J1142" s="56">
        <v>1</v>
      </c>
      <c r="K1142" s="56"/>
      <c r="L1142" s="56"/>
      <c r="M1142" s="56">
        <f t="shared" si="188"/>
        <v>1</v>
      </c>
      <c r="N1142" s="56">
        <f>IF(OR(H1142="",H1142="sif",H1142="PM"),0,VLOOKUP(H1142,[5]CU!$C$4:$H$255,6,FALSE))</f>
        <v>0</v>
      </c>
      <c r="O1142" s="56">
        <f t="shared" si="189"/>
        <v>0</v>
      </c>
      <c r="P1142" s="56">
        <f t="shared" si="189"/>
        <v>0</v>
      </c>
      <c r="Q1142" s="56">
        <f t="shared" si="189"/>
        <v>0</v>
      </c>
      <c r="R1142" s="56">
        <f t="shared" si="189"/>
        <v>0</v>
      </c>
      <c r="S1142" s="53"/>
      <c r="T1142" s="35" t="s">
        <v>56</v>
      </c>
      <c r="U1142" s="18" t="s">
        <v>1156</v>
      </c>
      <c r="V1142" s="19" t="str">
        <f>IF(OR($H1142="",$H1142="sif",$H1142="PM"),"",VLOOKUP($H1142,[5]CU!$C$5:$J$255,8,FALSE))</f>
        <v/>
      </c>
      <c r="W1142" s="18"/>
      <c r="X1142" s="18"/>
      <c r="Y1142" s="18" t="s">
        <v>677</v>
      </c>
      <c r="Z1142" s="19" t="str">
        <f>A1142 &amp; "-" &amp; VLOOKUP(A1142,[4]PROGRAMMES!$E$1:$F$7,2,FALSE)</f>
        <v>3-Expansion et réforme de l’ETFP</v>
      </c>
      <c r="AA1142" s="19" t="str">
        <f>B1142 &amp; "-" &amp; VLOOKUP(B1142,[4]SOUSPROGRAMMES!$E$1:$F$44,2,FALSE)</f>
        <v>36- Renforcement des capacités de pilotage et de gestion dans le cadre d’une gouvernance parteunariale multi niveaux</v>
      </c>
      <c r="AB1142" s="19" t="str">
        <f>C1142 &amp; "-" &amp; VLOOKUP(C1142,[4]RESULTATS!$E$1:$F$176,2,FALSE)</f>
        <v>364- La capacité de pilotage et de mise en œuvre, technique et financière, de l’ETFP est renforcée</v>
      </c>
      <c r="AC1142" s="20" t="str">
        <f>D1142 &amp; "-" &amp; VLOOKUP(D1142,[4]STRATEGIES!$E$1:$F$504,2,FALSE)</f>
        <v xml:space="preserve">3641-Mise en place d’un Système articulé d’information et de gestion de l’ETFP capitalisant et consolidant les données à tous les niveaux
</v>
      </c>
      <c r="AD1142" s="21" t="str">
        <f t="shared" si="184"/>
        <v>36413-Elaboration d'un plan d'opérationnalisation du système d'information (pris en compte dans activité 36312)</v>
      </c>
    </row>
    <row r="1143" spans="1:30" s="22" customFormat="1" ht="60" customHeight="1" x14ac:dyDescent="0.8">
      <c r="A1143" s="14">
        <v>3</v>
      </c>
      <c r="B1143" s="15">
        <v>36</v>
      </c>
      <c r="C1143" s="15">
        <v>364</v>
      </c>
      <c r="D1143" s="15">
        <v>3642</v>
      </c>
      <c r="E1143" s="14">
        <v>3642</v>
      </c>
      <c r="F1143" s="16" t="s">
        <v>1496</v>
      </c>
      <c r="G1143" s="17"/>
      <c r="H1143" s="17"/>
      <c r="I1143" s="56">
        <v>0</v>
      </c>
      <c r="J1143" s="56"/>
      <c r="K1143" s="56"/>
      <c r="L1143" s="56"/>
      <c r="M1143" s="56"/>
      <c r="N1143" s="56"/>
      <c r="O1143" s="56"/>
      <c r="P1143" s="56"/>
      <c r="Q1143" s="56"/>
      <c r="R1143" s="56"/>
      <c r="S1143" s="53"/>
      <c r="T1143" s="33"/>
      <c r="U1143" s="18"/>
      <c r="V1143" s="19"/>
      <c r="W1143" s="18"/>
      <c r="X1143" s="18"/>
      <c r="Y1143" s="18" t="s">
        <v>677</v>
      </c>
      <c r="Z1143" s="19" t="str">
        <f>A1143 &amp; "-" &amp; VLOOKUP(A1143,[4]PROGRAMMES!$E$1:$F$7,2,FALSE)</f>
        <v>3-Expansion et réforme de l’ETFP</v>
      </c>
      <c r="AA1143" s="19" t="str">
        <f>B1143 &amp; "-" &amp; VLOOKUP(B1143,[4]SOUSPROGRAMMES!$E$1:$F$44,2,FALSE)</f>
        <v>36- Renforcement des capacités de pilotage et de gestion dans le cadre d’une gouvernance parteunariale multi niveaux</v>
      </c>
      <c r="AB1143" s="19" t="str">
        <f>C1143 &amp; "-" &amp; VLOOKUP(C1143,[4]RESULTATS!$E$1:$F$176,2,FALSE)</f>
        <v>364- La capacité de pilotage et de mise en œuvre, technique et financière, de l’ETFP est renforcée</v>
      </c>
      <c r="AC1143" s="20" t="str">
        <f>D1143 &amp; "-" &amp; VLOOKUP(D1143,[4]STRATEGIES!$E$1:$F$504,2,FALSE)</f>
        <v xml:space="preserve">3642-Renforcement de la gestion des ressources humaines chargée de la gestion de l’ETFP
</v>
      </c>
      <c r="AD1143" s="21" t="str">
        <f t="shared" si="184"/>
        <v xml:space="preserve">3642-Renforcement de la gestion des ressources humaines chargée de la gestion de l’ETFP
</v>
      </c>
    </row>
    <row r="1144" spans="1:30" s="22" customFormat="1" ht="60" hidden="1" customHeight="1" x14ac:dyDescent="0.8">
      <c r="A1144" s="14">
        <v>3</v>
      </c>
      <c r="B1144" s="15">
        <v>36</v>
      </c>
      <c r="C1144" s="15">
        <v>364</v>
      </c>
      <c r="D1144" s="15">
        <v>3642</v>
      </c>
      <c r="E1144" s="14">
        <v>36421</v>
      </c>
      <c r="F1144" s="16" t="s">
        <v>1497</v>
      </c>
      <c r="G1144" s="21" t="s">
        <v>100</v>
      </c>
      <c r="H1144" s="17" t="s">
        <v>646</v>
      </c>
      <c r="I1144" s="56">
        <v>0</v>
      </c>
      <c r="J1144" s="56"/>
      <c r="K1144" s="56">
        <f>4*20</f>
        <v>80</v>
      </c>
      <c r="L1144" s="56"/>
      <c r="M1144" s="56">
        <f t="shared" si="188"/>
        <v>80</v>
      </c>
      <c r="N1144" s="56">
        <f>IF(OR(H1144="",H1144="sif",H1144="PM"),0,VLOOKUP(H1144,[5]CU!$C$4:$H$255,6,FALSE))</f>
        <v>10.404797</v>
      </c>
      <c r="O1144" s="56">
        <f t="shared" si="189"/>
        <v>0</v>
      </c>
      <c r="P1144" s="56">
        <f t="shared" si="189"/>
        <v>0</v>
      </c>
      <c r="Q1144" s="56">
        <f t="shared" si="189"/>
        <v>832.38376000000005</v>
      </c>
      <c r="R1144" s="56">
        <f t="shared" si="189"/>
        <v>0</v>
      </c>
      <c r="S1144" s="53">
        <f t="shared" ref="S1144:S1151" si="190">SUM(O1144:R1144)</f>
        <v>832.38376000000005</v>
      </c>
      <c r="T1144" s="35" t="s">
        <v>169</v>
      </c>
      <c r="U1144" s="18" t="s">
        <v>1156</v>
      </c>
      <c r="V1144" s="19" t="str">
        <f>IF(OR($H1144="",$H1144="sif",$H1144="PM"),"",VLOOKUP($H1144,[5]CU!$C$5:$J$255,8,FALSE))</f>
        <v>3. Dépenses de fonctionnement</v>
      </c>
      <c r="W1144" s="18" t="s">
        <v>142</v>
      </c>
      <c r="X1144" s="18" t="s">
        <v>1371</v>
      </c>
      <c r="Y1144" s="18" t="s">
        <v>677</v>
      </c>
      <c r="Z1144" s="19" t="str">
        <f>A1144 &amp; "-" &amp; VLOOKUP(A1144,[4]PROGRAMMES!$E$1:$F$7,2,FALSE)</f>
        <v>3-Expansion et réforme de l’ETFP</v>
      </c>
      <c r="AA1144" s="19" t="str">
        <f>B1144 &amp; "-" &amp; VLOOKUP(B1144,[4]SOUSPROGRAMMES!$E$1:$F$44,2,FALSE)</f>
        <v>36- Renforcement des capacités de pilotage et de gestion dans le cadre d’une gouvernance parteunariale multi niveaux</v>
      </c>
      <c r="AB1144" s="19" t="str">
        <f>C1144 &amp; "-" &amp; VLOOKUP(C1144,[4]RESULTATS!$E$1:$F$176,2,FALSE)</f>
        <v>364- La capacité de pilotage et de mise en œuvre, technique et financière, de l’ETFP est renforcée</v>
      </c>
      <c r="AC1144" s="20" t="str">
        <f>D1144 &amp; "-" &amp; VLOOKUP(D1144,[4]STRATEGIES!$E$1:$F$504,2,FALSE)</f>
        <v xml:space="preserve">3642-Renforcement de la gestion des ressources humaines chargée de la gestion de l’ETFP
</v>
      </c>
      <c r="AD1144" s="21" t="str">
        <f t="shared" si="184"/>
        <v xml:space="preserve">36421-Elaboration d'un audit organisationnel du METFP (déFinition des postes et des profils et adéquation profils poste et identification des besoins en formation et élaboration d'un plan de formation) </v>
      </c>
    </row>
    <row r="1145" spans="1:30" s="22" customFormat="1" ht="60" customHeight="1" x14ac:dyDescent="0.8">
      <c r="A1145" s="14">
        <v>3</v>
      </c>
      <c r="B1145" s="15">
        <v>36</v>
      </c>
      <c r="C1145" s="15">
        <v>364</v>
      </c>
      <c r="D1145" s="15">
        <v>3642</v>
      </c>
      <c r="E1145" s="14">
        <v>36422</v>
      </c>
      <c r="F1145" s="16" t="s">
        <v>1498</v>
      </c>
      <c r="G1145" s="21" t="s">
        <v>1499</v>
      </c>
      <c r="H1145" s="17" t="s">
        <v>66</v>
      </c>
      <c r="I1145" s="56">
        <v>0</v>
      </c>
      <c r="J1145" s="56"/>
      <c r="K1145" s="56">
        <f>20*5</f>
        <v>100</v>
      </c>
      <c r="L1145" s="56"/>
      <c r="M1145" s="56">
        <f t="shared" si="188"/>
        <v>100</v>
      </c>
      <c r="N1145" s="56">
        <f>IF(OR(H1145="",H1145="sif",H1145="PM"),0,VLOOKUP(H1145,[5]CU!$C$4:$H$255,6,FALSE))</f>
        <v>0.255</v>
      </c>
      <c r="O1145" s="56">
        <f t="shared" si="189"/>
        <v>0</v>
      </c>
      <c r="P1145" s="56">
        <f t="shared" si="189"/>
        <v>0</v>
      </c>
      <c r="Q1145" s="56">
        <f t="shared" si="189"/>
        <v>25.5</v>
      </c>
      <c r="R1145" s="56">
        <f t="shared" si="189"/>
        <v>0</v>
      </c>
      <c r="S1145" s="53">
        <f t="shared" si="190"/>
        <v>25.5</v>
      </c>
      <c r="T1145" s="35" t="s">
        <v>118</v>
      </c>
      <c r="U1145" s="18" t="s">
        <v>1156</v>
      </c>
      <c r="V1145" s="19" t="str">
        <f>IF(OR($H1145="",$H1145="sif",$H1145="PM"),"",VLOOKUP($H1145,[5]CU!$C$5:$J$255,8,FALSE))</f>
        <v>3. Dépenses de fonctionnement</v>
      </c>
      <c r="W1145" s="18" t="s">
        <v>96</v>
      </c>
      <c r="X1145" s="19" t="s">
        <v>1500</v>
      </c>
      <c r="Y1145" s="18" t="s">
        <v>677</v>
      </c>
      <c r="Z1145" s="19" t="str">
        <f>A1145 &amp; "-" &amp; VLOOKUP(A1145,[4]PROGRAMMES!$E$1:$F$7,2,FALSE)</f>
        <v>3-Expansion et réforme de l’ETFP</v>
      </c>
      <c r="AA1145" s="19" t="str">
        <f>B1145 &amp; "-" &amp; VLOOKUP(B1145,[4]SOUSPROGRAMMES!$E$1:$F$44,2,FALSE)</f>
        <v>36- Renforcement des capacités de pilotage et de gestion dans le cadre d’une gouvernance parteunariale multi niveaux</v>
      </c>
      <c r="AB1145" s="19" t="str">
        <f>C1145 &amp; "-" &amp; VLOOKUP(C1145,[4]RESULTATS!$E$1:$F$176,2,FALSE)</f>
        <v>364- La capacité de pilotage et de mise en œuvre, technique et financière, de l’ETFP est renforcée</v>
      </c>
      <c r="AC1145" s="20" t="str">
        <f>D1145 &amp; "-" &amp; VLOOKUP(D1145,[4]STRATEGIES!$E$1:$F$504,2,FALSE)</f>
        <v xml:space="preserve">3642-Renforcement de la gestion des ressources humaines chargée de la gestion de l’ETFP
</v>
      </c>
      <c r="AD1145" s="21" t="str">
        <f t="shared" si="184"/>
        <v>36422-DéFinition d'un mécanisme d'évaluation des performances du personnel de l'ETFP</v>
      </c>
    </row>
    <row r="1146" spans="1:30" s="22" customFormat="1" ht="60" customHeight="1" x14ac:dyDescent="0.8">
      <c r="A1146" s="14">
        <v>3</v>
      </c>
      <c r="B1146" s="15">
        <v>36</v>
      </c>
      <c r="C1146" s="15">
        <v>364</v>
      </c>
      <c r="D1146" s="15">
        <v>3643</v>
      </c>
      <c r="E1146" s="14">
        <v>3643</v>
      </c>
      <c r="F1146" s="16" t="s">
        <v>1501</v>
      </c>
      <c r="G1146" s="17"/>
      <c r="H1146" s="17"/>
      <c r="I1146" s="56">
        <v>0</v>
      </c>
      <c r="J1146" s="56"/>
      <c r="K1146" s="56"/>
      <c r="L1146" s="56"/>
      <c r="M1146" s="56"/>
      <c r="N1146" s="56"/>
      <c r="O1146" s="56"/>
      <c r="P1146" s="56"/>
      <c r="Q1146" s="56"/>
      <c r="R1146" s="56"/>
      <c r="S1146" s="53"/>
      <c r="T1146" s="33"/>
      <c r="U1146" s="18"/>
      <c r="V1146" s="19"/>
      <c r="W1146" s="18"/>
      <c r="X1146" s="18"/>
      <c r="Y1146" s="18" t="s">
        <v>677</v>
      </c>
      <c r="Z1146" s="19" t="str">
        <f>A1146 &amp; "-" &amp; VLOOKUP(A1146,[4]PROGRAMMES!$E$1:$F$7,2,FALSE)</f>
        <v>3-Expansion et réforme de l’ETFP</v>
      </c>
      <c r="AA1146" s="19" t="str">
        <f>B1146 &amp; "-" &amp; VLOOKUP(B1146,[4]SOUSPROGRAMMES!$E$1:$F$44,2,FALSE)</f>
        <v>36- Renforcement des capacités de pilotage et de gestion dans le cadre d’une gouvernance parteunariale multi niveaux</v>
      </c>
      <c r="AB1146" s="19" t="str">
        <f>C1146 &amp; "-" &amp; VLOOKUP(C1146,[4]RESULTATS!$E$1:$F$176,2,FALSE)</f>
        <v>364- La capacité de pilotage et de mise en œuvre, technique et financière, de l’ETFP est renforcée</v>
      </c>
      <c r="AC1146" s="20" t="str">
        <f>D1146 &amp; "-" &amp; VLOOKUP(D1146,[4]STRATEGIES!$E$1:$F$504,2,FALSE)</f>
        <v xml:space="preserve">3643-Renforcement des moyens et outils de travail
</v>
      </c>
      <c r="AD1146" s="21" t="str">
        <f t="shared" si="184"/>
        <v xml:space="preserve">3643-Renforcement des moyens et outils de travail
</v>
      </c>
    </row>
    <row r="1147" spans="1:30" s="22" customFormat="1" ht="60" customHeight="1" x14ac:dyDescent="0.8">
      <c r="A1147" s="14">
        <v>3</v>
      </c>
      <c r="B1147" s="15">
        <v>36</v>
      </c>
      <c r="C1147" s="15">
        <v>364</v>
      </c>
      <c r="D1147" s="15">
        <v>3643</v>
      </c>
      <c r="E1147" s="14">
        <v>36431</v>
      </c>
      <c r="F1147" s="16" t="s">
        <v>1502</v>
      </c>
      <c r="G1147" s="21" t="s">
        <v>100</v>
      </c>
      <c r="H1147" s="17" t="s">
        <v>646</v>
      </c>
      <c r="I1147" s="56">
        <v>0</v>
      </c>
      <c r="J1147" s="56"/>
      <c r="K1147" s="56"/>
      <c r="L1147" s="56"/>
      <c r="M1147" s="56">
        <f t="shared" si="188"/>
        <v>0</v>
      </c>
      <c r="N1147" s="56">
        <f>IF(OR(H1147="",H1147="sif",H1147="PM"),0,VLOOKUP(H1147,[5]CU!$C$4:$H$255,6,FALSE))</f>
        <v>10.404797</v>
      </c>
      <c r="O1147" s="56">
        <f t="shared" si="189"/>
        <v>0</v>
      </c>
      <c r="P1147" s="56">
        <f t="shared" si="189"/>
        <v>0</v>
      </c>
      <c r="Q1147" s="56">
        <f t="shared" si="189"/>
        <v>0</v>
      </c>
      <c r="R1147" s="56">
        <f t="shared" si="189"/>
        <v>0</v>
      </c>
      <c r="S1147" s="53">
        <f t="shared" si="190"/>
        <v>0</v>
      </c>
      <c r="T1147" s="35" t="s">
        <v>1304</v>
      </c>
      <c r="U1147" s="19" t="s">
        <v>1156</v>
      </c>
      <c r="V1147" s="19" t="str">
        <f>IF(OR($H1147="",$H1147="sif",$H1147="PM"),"",VLOOKUP($H1147,[5]CU!$C$5:$J$255,8,FALSE))</f>
        <v>3. Dépenses de fonctionnement</v>
      </c>
      <c r="W1147" s="19" t="s">
        <v>1494</v>
      </c>
      <c r="X1147" s="19" t="s">
        <v>100</v>
      </c>
      <c r="Y1147" s="18" t="s">
        <v>677</v>
      </c>
      <c r="Z1147" s="19" t="str">
        <f>A1147 &amp; "-" &amp; VLOOKUP(A1147,[4]PROGRAMMES!$E$1:$F$7,2,FALSE)</f>
        <v>3-Expansion et réforme de l’ETFP</v>
      </c>
      <c r="AA1147" s="19" t="str">
        <f>B1147 &amp; "-" &amp; VLOOKUP(B1147,[4]SOUSPROGRAMMES!$E$1:$F$44,2,FALSE)</f>
        <v>36- Renforcement des capacités de pilotage et de gestion dans le cadre d’une gouvernance parteunariale multi niveaux</v>
      </c>
      <c r="AB1147" s="19" t="str">
        <f>C1147 &amp; "-" &amp; VLOOKUP(C1147,[4]RESULTATS!$E$1:$F$176,2,FALSE)</f>
        <v>364- La capacité de pilotage et de mise en œuvre, technique et financière, de l’ETFP est renforcée</v>
      </c>
      <c r="AC1147" s="20" t="str">
        <f>D1147 &amp; "-" &amp; VLOOKUP(D1147,[4]STRATEGIES!$E$1:$F$504,2,FALSE)</f>
        <v xml:space="preserve">3643-Renforcement des moyens et outils de travail
</v>
      </c>
      <c r="AD1147" s="21" t="str">
        <f t="shared" si="184"/>
        <v>36431-Réalisation d'une étude sur les couts unitaires des programmes d'études</v>
      </c>
    </row>
    <row r="1148" spans="1:30" s="22" customFormat="1" ht="60" hidden="1" customHeight="1" x14ac:dyDescent="0.8">
      <c r="A1148" s="14">
        <v>3</v>
      </c>
      <c r="B1148" s="15">
        <v>36</v>
      </c>
      <c r="C1148" s="15">
        <v>364</v>
      </c>
      <c r="D1148" s="15">
        <v>3643</v>
      </c>
      <c r="E1148" s="14">
        <v>36432</v>
      </c>
      <c r="F1148" s="16" t="s">
        <v>1503</v>
      </c>
      <c r="G1148" s="21" t="s">
        <v>100</v>
      </c>
      <c r="H1148" s="17" t="s">
        <v>646</v>
      </c>
      <c r="I1148" s="56">
        <v>0</v>
      </c>
      <c r="J1148" s="56">
        <f>1*30</f>
        <v>30</v>
      </c>
      <c r="K1148" s="56"/>
      <c r="L1148" s="56"/>
      <c r="M1148" s="56">
        <f t="shared" si="188"/>
        <v>30</v>
      </c>
      <c r="N1148" s="56">
        <f>IF(OR(H1148="",H1148="sif",H1148="PM"),0,VLOOKUP(H1148,[5]CU!$C$4:$H$255,6,FALSE))</f>
        <v>10.404797</v>
      </c>
      <c r="O1148" s="56">
        <f t="shared" si="189"/>
        <v>0</v>
      </c>
      <c r="P1148" s="56">
        <f t="shared" si="189"/>
        <v>312.14391000000001</v>
      </c>
      <c r="Q1148" s="56">
        <f t="shared" si="189"/>
        <v>0</v>
      </c>
      <c r="R1148" s="56">
        <f t="shared" si="189"/>
        <v>0</v>
      </c>
      <c r="S1148" s="53">
        <f t="shared" si="190"/>
        <v>312.14391000000001</v>
      </c>
      <c r="T1148" s="35" t="s">
        <v>169</v>
      </c>
      <c r="U1148" s="18" t="s">
        <v>1156</v>
      </c>
      <c r="V1148" s="19" t="str">
        <f>IF(OR($H1148="",$H1148="sif",$H1148="PM"),"",VLOOKUP($H1148,[5]CU!$C$5:$J$255,8,FALSE))</f>
        <v>3. Dépenses de fonctionnement</v>
      </c>
      <c r="W1148" s="18" t="s">
        <v>142</v>
      </c>
      <c r="X1148" s="19" t="s">
        <v>1504</v>
      </c>
      <c r="Y1148" s="18" t="s">
        <v>677</v>
      </c>
      <c r="Z1148" s="19" t="str">
        <f>A1148 &amp; "-" &amp; VLOOKUP(A1148,[4]PROGRAMMES!$E$1:$F$7,2,FALSE)</f>
        <v>3-Expansion et réforme de l’ETFP</v>
      </c>
      <c r="AA1148" s="19" t="str">
        <f>B1148 &amp; "-" &amp; VLOOKUP(B1148,[4]SOUSPROGRAMMES!$E$1:$F$44,2,FALSE)</f>
        <v>36- Renforcement des capacités de pilotage et de gestion dans le cadre d’une gouvernance parteunariale multi niveaux</v>
      </c>
      <c r="AB1148" s="19" t="str">
        <f>C1148 &amp; "-" &amp; VLOOKUP(C1148,[4]RESULTATS!$E$1:$F$176,2,FALSE)</f>
        <v>364- La capacité de pilotage et de mise en œuvre, technique et financière, de l’ETFP est renforcée</v>
      </c>
      <c r="AC1148" s="20" t="str">
        <f>D1148 &amp; "-" &amp; VLOOKUP(D1148,[4]STRATEGIES!$E$1:$F$504,2,FALSE)</f>
        <v xml:space="preserve">3643-Renforcement des moyens et outils de travail
</v>
      </c>
      <c r="AD1148" s="21" t="str">
        <f t="shared" si="184"/>
        <v>36432-Elaboration d'un manuel de procédures de gestion des ressources humaines</v>
      </c>
    </row>
    <row r="1149" spans="1:30" s="22" customFormat="1" ht="60" hidden="1" customHeight="1" x14ac:dyDescent="0.8">
      <c r="A1149" s="14">
        <v>3</v>
      </c>
      <c r="B1149" s="15">
        <v>36</v>
      </c>
      <c r="C1149" s="15">
        <v>364</v>
      </c>
      <c r="D1149" s="15">
        <v>3643</v>
      </c>
      <c r="E1149" s="14">
        <v>36433</v>
      </c>
      <c r="F1149" s="16" t="s">
        <v>1505</v>
      </c>
      <c r="G1149" s="21" t="s">
        <v>1432</v>
      </c>
      <c r="H1149" s="17" t="s">
        <v>38</v>
      </c>
      <c r="I1149" s="56">
        <v>0</v>
      </c>
      <c r="J1149" s="56">
        <f>45*3</f>
        <v>135</v>
      </c>
      <c r="K1149" s="56"/>
      <c r="L1149" s="56"/>
      <c r="M1149" s="56">
        <f t="shared" si="188"/>
        <v>135</v>
      </c>
      <c r="N1149" s="56">
        <f>IF(OR(H1149="",H1149="sif",H1149="PM"),0,VLOOKUP(H1149,[5]CU!$C$4:$H$255,6,FALSE))</f>
        <v>0.3133333333333333</v>
      </c>
      <c r="O1149" s="56">
        <f t="shared" si="189"/>
        <v>0</v>
      </c>
      <c r="P1149" s="56">
        <f t="shared" si="189"/>
        <v>42.3</v>
      </c>
      <c r="Q1149" s="56">
        <f t="shared" si="189"/>
        <v>0</v>
      </c>
      <c r="R1149" s="56">
        <f t="shared" si="189"/>
        <v>0</v>
      </c>
      <c r="S1149" s="53">
        <f t="shared" si="190"/>
        <v>42.3</v>
      </c>
      <c r="T1149" s="35" t="s">
        <v>169</v>
      </c>
      <c r="U1149" s="18" t="s">
        <v>1156</v>
      </c>
      <c r="V1149" s="19" t="str">
        <f>IF(OR($H1149="",$H1149="sif",$H1149="PM"),"",VLOOKUP($H1149,[5]CU!$C$5:$J$255,8,FALSE))</f>
        <v>3. Formation</v>
      </c>
      <c r="W1149" s="18" t="s">
        <v>142</v>
      </c>
      <c r="X1149" s="19" t="s">
        <v>1504</v>
      </c>
      <c r="Y1149" s="18" t="s">
        <v>677</v>
      </c>
      <c r="Z1149" s="19" t="str">
        <f>A1149 &amp; "-" &amp; VLOOKUP(A1149,[4]PROGRAMMES!$E$1:$F$7,2,FALSE)</f>
        <v>3-Expansion et réforme de l’ETFP</v>
      </c>
      <c r="AA1149" s="19" t="str">
        <f>B1149 &amp; "-" &amp; VLOOKUP(B1149,[4]SOUSPROGRAMMES!$E$1:$F$44,2,FALSE)</f>
        <v>36- Renforcement des capacités de pilotage et de gestion dans le cadre d’une gouvernance parteunariale multi niveaux</v>
      </c>
      <c r="AB1149" s="19" t="str">
        <f>C1149 &amp; "-" &amp; VLOOKUP(C1149,[4]RESULTATS!$E$1:$F$176,2,FALSE)</f>
        <v>364- La capacité de pilotage et de mise en œuvre, technique et financière, de l’ETFP est renforcée</v>
      </c>
      <c r="AC1149" s="20" t="str">
        <f>D1149 &amp; "-" &amp; VLOOKUP(D1149,[4]STRATEGIES!$E$1:$F$504,2,FALSE)</f>
        <v xml:space="preserve">3643-Renforcement des moyens et outils de travail
</v>
      </c>
      <c r="AD1149" s="21" t="str">
        <f t="shared" si="184"/>
        <v>36433-Validation et diffusion du manuel de GRH</v>
      </c>
    </row>
    <row r="1150" spans="1:30" s="22" customFormat="1" ht="60" hidden="1" customHeight="1" x14ac:dyDescent="0.8">
      <c r="A1150" s="14">
        <v>3</v>
      </c>
      <c r="B1150" s="15">
        <v>36</v>
      </c>
      <c r="C1150" s="15">
        <v>364</v>
      </c>
      <c r="D1150" s="15">
        <v>3643</v>
      </c>
      <c r="E1150" s="14">
        <v>36434</v>
      </c>
      <c r="F1150" s="16" t="s">
        <v>1506</v>
      </c>
      <c r="G1150" s="21" t="s">
        <v>1072</v>
      </c>
      <c r="H1150" s="17" t="s">
        <v>970</v>
      </c>
      <c r="I1150" s="56">
        <v>0</v>
      </c>
      <c r="J1150" s="56"/>
      <c r="K1150" s="56">
        <f>8+38+5</f>
        <v>51</v>
      </c>
      <c r="L1150" s="56"/>
      <c r="M1150" s="56">
        <f t="shared" si="188"/>
        <v>51</v>
      </c>
      <c r="N1150" s="56">
        <f>IF(OR(H1150="",H1150="sif",H1150="PM"),0,VLOOKUP(H1150,[5]CU!$C$4:$H$255,6,FALSE))</f>
        <v>10.034934666666667</v>
      </c>
      <c r="O1150" s="56">
        <f t="shared" si="189"/>
        <v>0</v>
      </c>
      <c r="P1150" s="56">
        <f t="shared" si="189"/>
        <v>0</v>
      </c>
      <c r="Q1150" s="56">
        <f t="shared" si="189"/>
        <v>511.78166799999997</v>
      </c>
      <c r="R1150" s="56">
        <f t="shared" si="189"/>
        <v>0</v>
      </c>
      <c r="S1150" s="53">
        <f t="shared" si="190"/>
        <v>511.78166799999997</v>
      </c>
      <c r="T1150" s="35" t="s">
        <v>56</v>
      </c>
      <c r="U1150" s="18" t="s">
        <v>1156</v>
      </c>
      <c r="V1150" s="19" t="str">
        <f>IF(OR($H1150="",$H1150="sif",$H1150="PM"),"",VLOOKUP($H1150,[5]CU!$C$5:$J$255,8,FALSE))</f>
        <v>5. Investissement</v>
      </c>
      <c r="W1150" s="18" t="s">
        <v>521</v>
      </c>
      <c r="X1150" s="18" t="s">
        <v>142</v>
      </c>
      <c r="Y1150" s="18" t="s">
        <v>677</v>
      </c>
      <c r="Z1150" s="19" t="str">
        <f>A1150 &amp; "-" &amp; VLOOKUP(A1150,[4]PROGRAMMES!$E$1:$F$7,2,FALSE)</f>
        <v>3-Expansion et réforme de l’ETFP</v>
      </c>
      <c r="AA1150" s="19" t="str">
        <f>B1150 &amp; "-" &amp; VLOOKUP(B1150,[4]SOUSPROGRAMMES!$E$1:$F$44,2,FALSE)</f>
        <v>36- Renforcement des capacités de pilotage et de gestion dans le cadre d’une gouvernance parteunariale multi niveaux</v>
      </c>
      <c r="AB1150" s="19" t="str">
        <f>C1150 &amp; "-" &amp; VLOOKUP(C1150,[4]RESULTATS!$E$1:$F$176,2,FALSE)</f>
        <v>364- La capacité de pilotage et de mise en œuvre, technique et financière, de l’ETFP est renforcée</v>
      </c>
      <c r="AC1150" s="20" t="str">
        <f>D1150 &amp; "-" &amp; VLOOKUP(D1150,[4]STRATEGIES!$E$1:$F$504,2,FALSE)</f>
        <v xml:space="preserve">3643-Renforcement des moyens et outils de travail
</v>
      </c>
      <c r="AD1150" s="21" t="str">
        <f t="shared" si="184"/>
        <v>36434-Acquisition de matériels informatiques pour la GRH</v>
      </c>
    </row>
    <row r="1151" spans="1:30" s="22" customFormat="1" ht="60" hidden="1" customHeight="1" x14ac:dyDescent="0.8">
      <c r="A1151" s="14">
        <v>3</v>
      </c>
      <c r="B1151" s="15">
        <v>36</v>
      </c>
      <c r="C1151" s="15">
        <v>364</v>
      </c>
      <c r="D1151" s="15">
        <v>3643</v>
      </c>
      <c r="E1151" s="14">
        <v>36435</v>
      </c>
      <c r="F1151" s="16" t="s">
        <v>1507</v>
      </c>
      <c r="G1151" s="21" t="s">
        <v>1508</v>
      </c>
      <c r="H1151" s="17" t="s">
        <v>1509</v>
      </c>
      <c r="I1151" s="56">
        <v>0</v>
      </c>
      <c r="J1151" s="56"/>
      <c r="K1151" s="56">
        <v>51</v>
      </c>
      <c r="L1151" s="56"/>
      <c r="M1151" s="56">
        <f t="shared" si="188"/>
        <v>51</v>
      </c>
      <c r="N1151" s="56">
        <f>IF(OR(H1151="",H1151="sif",H1151="PM"),0,VLOOKUP(H1151,[5]CU!$C$4:$H$255,6,FALSE))</f>
        <v>0.48333333333333334</v>
      </c>
      <c r="O1151" s="56">
        <f t="shared" si="189"/>
        <v>0</v>
      </c>
      <c r="P1151" s="56">
        <f t="shared" si="189"/>
        <v>0</v>
      </c>
      <c r="Q1151" s="56">
        <f t="shared" si="189"/>
        <v>24.65</v>
      </c>
      <c r="R1151" s="56">
        <f t="shared" si="189"/>
        <v>0</v>
      </c>
      <c r="S1151" s="53">
        <f t="shared" si="190"/>
        <v>24.65</v>
      </c>
      <c r="T1151" s="35" t="s">
        <v>56</v>
      </c>
      <c r="U1151" s="18" t="s">
        <v>1156</v>
      </c>
      <c r="V1151" s="19" t="str">
        <f>IF(OR($H1151="",$H1151="sif",$H1151="PM"),"",VLOOKUP($H1151,[5]CU!$C$5:$J$255,8,FALSE))</f>
        <v>3. Dépenses de fonctionnement</v>
      </c>
      <c r="W1151" s="18" t="s">
        <v>521</v>
      </c>
      <c r="X1151" s="19" t="s">
        <v>1510</v>
      </c>
      <c r="Y1151" s="18" t="s">
        <v>677</v>
      </c>
      <c r="Z1151" s="19" t="str">
        <f>A1151 &amp; "-" &amp; VLOOKUP(A1151,[4]PROGRAMMES!$E$1:$F$7,2,FALSE)</f>
        <v>3-Expansion et réforme de l’ETFP</v>
      </c>
      <c r="AA1151" s="19" t="str">
        <f>B1151 &amp; "-" &amp; VLOOKUP(B1151,[4]SOUSPROGRAMMES!$E$1:$F$44,2,FALSE)</f>
        <v>36- Renforcement des capacités de pilotage et de gestion dans le cadre d’une gouvernance parteunariale multi niveaux</v>
      </c>
      <c r="AB1151" s="19" t="str">
        <f>C1151 &amp; "-" &amp; VLOOKUP(C1151,[4]RESULTATS!$E$1:$F$176,2,FALSE)</f>
        <v>364- La capacité de pilotage et de mise en œuvre, technique et financière, de l’ETFP est renforcée</v>
      </c>
      <c r="AC1151" s="20" t="str">
        <f>D1151 &amp; "-" &amp; VLOOKUP(D1151,[4]STRATEGIES!$E$1:$F$504,2,FALSE)</f>
        <v xml:space="preserve">3643-Renforcement des moyens et outils de travail
</v>
      </c>
      <c r="AD1151" s="21" t="str">
        <f t="shared" si="184"/>
        <v>36435-Acquisition de MODEMS internet</v>
      </c>
    </row>
    <row r="1152" spans="1:30" s="22" customFormat="1" ht="60" hidden="1" customHeight="1" x14ac:dyDescent="0.8">
      <c r="A1152" s="14">
        <v>3</v>
      </c>
      <c r="B1152" s="15">
        <v>36</v>
      </c>
      <c r="C1152" s="15">
        <v>364</v>
      </c>
      <c r="D1152" s="15">
        <v>3643</v>
      </c>
      <c r="E1152" s="14">
        <v>36436</v>
      </c>
      <c r="F1152" s="16" t="s">
        <v>1511</v>
      </c>
      <c r="G1152" s="21" t="s">
        <v>836</v>
      </c>
      <c r="H1152" s="17" t="s">
        <v>55</v>
      </c>
      <c r="I1152" s="56">
        <v>0</v>
      </c>
      <c r="J1152" s="56"/>
      <c r="K1152" s="56">
        <v>1</v>
      </c>
      <c r="L1152" s="56">
        <v>1</v>
      </c>
      <c r="M1152" s="56">
        <f t="shared" si="188"/>
        <v>2</v>
      </c>
      <c r="N1152" s="56">
        <f>IF(OR(H1152="",H1152="sif",H1152="PM"),0,VLOOKUP(H1152,[5]CU!$C$4:$H$255,6,FALSE))</f>
        <v>0</v>
      </c>
      <c r="O1152" s="56">
        <f t="shared" si="189"/>
        <v>0</v>
      </c>
      <c r="P1152" s="56">
        <f t="shared" si="189"/>
        <v>0</v>
      </c>
      <c r="Q1152" s="56">
        <f t="shared" si="189"/>
        <v>0</v>
      </c>
      <c r="R1152" s="56">
        <f t="shared" si="189"/>
        <v>0</v>
      </c>
      <c r="S1152" s="53"/>
      <c r="T1152" s="35" t="s">
        <v>56</v>
      </c>
      <c r="U1152" s="18" t="s">
        <v>1156</v>
      </c>
      <c r="V1152" s="19" t="str">
        <f>IF(OR($H1152="",$H1152="sif",$H1152="PM"),"",VLOOKUP($H1152,[5]CU!$C$5:$J$255,8,FALSE))</f>
        <v/>
      </c>
      <c r="W1152" s="18" t="s">
        <v>142</v>
      </c>
      <c r="X1152" s="18" t="s">
        <v>1512</v>
      </c>
      <c r="Y1152" s="18" t="s">
        <v>677</v>
      </c>
      <c r="Z1152" s="19" t="str">
        <f>A1152 &amp; "-" &amp; VLOOKUP(A1152,[4]PROGRAMMES!$E$1:$F$7,2,FALSE)</f>
        <v>3-Expansion et réforme de l’ETFP</v>
      </c>
      <c r="AA1152" s="19" t="str">
        <f>B1152 &amp; "-" &amp; VLOOKUP(B1152,[4]SOUSPROGRAMMES!$E$1:$F$44,2,FALSE)</f>
        <v>36- Renforcement des capacités de pilotage et de gestion dans le cadre d’une gouvernance parteunariale multi niveaux</v>
      </c>
      <c r="AB1152" s="19" t="str">
        <f>C1152 &amp; "-" &amp; VLOOKUP(C1152,[4]RESULTATS!$E$1:$F$176,2,FALSE)</f>
        <v>364- La capacité de pilotage et de mise en œuvre, technique et financière, de l’ETFP est renforcée</v>
      </c>
      <c r="AC1152" s="20" t="str">
        <f>D1152 &amp; "-" &amp; VLOOKUP(D1152,[4]STRATEGIES!$E$1:$F$504,2,FALSE)</f>
        <v xml:space="preserve">3643-Renforcement des moyens et outils de travail
</v>
      </c>
      <c r="AD1152" s="21" t="str">
        <f t="shared" si="184"/>
        <v>36436-Mise à jour régulière de la base de données GRH (compris dans activités 36433 et 36434)</v>
      </c>
    </row>
    <row r="1153" spans="1:30" s="22" customFormat="1" ht="60" hidden="1" customHeight="1" x14ac:dyDescent="0.8">
      <c r="A1153" s="14">
        <v>3</v>
      </c>
      <c r="B1153" s="15">
        <v>36</v>
      </c>
      <c r="C1153" s="15">
        <v>364</v>
      </c>
      <c r="D1153" s="15">
        <v>3643</v>
      </c>
      <c r="E1153" s="14">
        <v>36437</v>
      </c>
      <c r="F1153" s="16" t="s">
        <v>1513</v>
      </c>
      <c r="G1153" s="21" t="s">
        <v>1514</v>
      </c>
      <c r="H1153" s="17" t="s">
        <v>980</v>
      </c>
      <c r="I1153" s="56">
        <v>0</v>
      </c>
      <c r="J1153" s="56">
        <f>4*50%</f>
        <v>2</v>
      </c>
      <c r="K1153" s="56">
        <f>4*50%</f>
        <v>2</v>
      </c>
      <c r="L1153" s="56">
        <f>2*50%</f>
        <v>1</v>
      </c>
      <c r="M1153" s="56">
        <f>SUM(I1153:L1153)</f>
        <v>5</v>
      </c>
      <c r="N1153" s="56">
        <f>IF(OR(H1153="",H1153="sif",H1153="PM"),0,VLOOKUP(H1153,[5]CU!$C$4:$H$255,6,FALSE))</f>
        <v>300</v>
      </c>
      <c r="O1153" s="56">
        <f>IFERROR($N1153*I1153,0)</f>
        <v>0</v>
      </c>
      <c r="P1153" s="56">
        <f>IFERROR($N1153*J1153,0)</f>
        <v>600</v>
      </c>
      <c r="Q1153" s="56">
        <f>IFERROR($N1153*K1153,0)</f>
        <v>600</v>
      </c>
      <c r="R1153" s="56">
        <f>IFERROR($N1153*L1153,0)</f>
        <v>300</v>
      </c>
      <c r="S1153" s="53">
        <f>SUM(O1153:R1153)</f>
        <v>1500</v>
      </c>
      <c r="T1153" s="35" t="s">
        <v>56</v>
      </c>
      <c r="U1153" s="18" t="s">
        <v>1156</v>
      </c>
      <c r="V1153" s="19" t="str">
        <f>IF(OR($H1153="",$H1153="sif",$H1153="PM"),"",VLOOKUP($H1153,[5]CU!$C$5:$J$255,8,FALSE))</f>
        <v>5. Investissement</v>
      </c>
      <c r="W1153" s="18" t="s">
        <v>521</v>
      </c>
      <c r="X1153" s="18" t="s">
        <v>1515</v>
      </c>
      <c r="Y1153" s="18" t="s">
        <v>677</v>
      </c>
      <c r="Z1153" s="19" t="str">
        <f>A1153 &amp; "-" &amp; VLOOKUP(A1153,[4]PROGRAMMES!$E$1:$F$7,2,FALSE)</f>
        <v>3-Expansion et réforme de l’ETFP</v>
      </c>
      <c r="AA1153" s="19" t="str">
        <f>B1153 &amp; "-" &amp; VLOOKUP(B1153,[4]SOUSPROGRAMMES!$E$1:$F$44,2,FALSE)</f>
        <v>36- Renforcement des capacités de pilotage et de gestion dans le cadre d’une gouvernance parteunariale multi niveaux</v>
      </c>
      <c r="AB1153" s="19" t="str">
        <f>C1153 &amp; "-" &amp; VLOOKUP(C1153,[4]RESULTATS!$E$1:$F$176,2,FALSE)</f>
        <v>364- La capacité de pilotage et de mise en œuvre, technique et financière, de l’ETFP est renforcée</v>
      </c>
      <c r="AC1153" s="20" t="str">
        <f>D1153 &amp; "-" &amp; VLOOKUP(D1153,[4]STRATEGIES!$E$1:$F$504,2,FALSE)</f>
        <v xml:space="preserve">3643-Renforcement des moyens et outils de travail
</v>
      </c>
      <c r="AD1153" s="21" t="str">
        <f t="shared" si="184"/>
        <v>36437-Acquisition de moyens logistiques pour les Directions nationales et Inspections régionales de l'ETFP</v>
      </c>
    </row>
    <row r="1154" spans="1:30" s="22" customFormat="1" ht="60" customHeight="1" x14ac:dyDescent="0.8">
      <c r="A1154" s="14">
        <v>3</v>
      </c>
      <c r="B1154" s="15">
        <v>36</v>
      </c>
      <c r="C1154" s="15">
        <v>364</v>
      </c>
      <c r="D1154" s="15">
        <v>3643</v>
      </c>
      <c r="E1154" s="14">
        <v>36437</v>
      </c>
      <c r="F1154" s="16" t="s">
        <v>1513</v>
      </c>
      <c r="G1154" s="21" t="s">
        <v>1514</v>
      </c>
      <c r="H1154" s="17" t="s">
        <v>980</v>
      </c>
      <c r="I1154" s="56">
        <v>0</v>
      </c>
      <c r="J1154" s="56">
        <f>4*50%</f>
        <v>2</v>
      </c>
      <c r="K1154" s="56">
        <f>4*50%</f>
        <v>2</v>
      </c>
      <c r="L1154" s="56">
        <f>2*50%</f>
        <v>1</v>
      </c>
      <c r="M1154" s="56">
        <f t="shared" si="188"/>
        <v>5</v>
      </c>
      <c r="N1154" s="56">
        <f>IF(OR(H1154="",H1154="sif",H1154="PM"),0,VLOOKUP(H1154,[5]CU!$C$4:$H$255,6,FALSE))</f>
        <v>300</v>
      </c>
      <c r="O1154" s="56">
        <f t="shared" si="189"/>
        <v>0</v>
      </c>
      <c r="P1154" s="56">
        <f t="shared" si="189"/>
        <v>600</v>
      </c>
      <c r="Q1154" s="56">
        <f t="shared" si="189"/>
        <v>600</v>
      </c>
      <c r="R1154" s="56">
        <f t="shared" si="189"/>
        <v>300</v>
      </c>
      <c r="S1154" s="53">
        <f>SUM(O1154:R1154)</f>
        <v>1500</v>
      </c>
      <c r="T1154" s="35" t="s">
        <v>118</v>
      </c>
      <c r="U1154" s="18" t="s">
        <v>1156</v>
      </c>
      <c r="V1154" s="19" t="str">
        <f>IF(OR($H1154="",$H1154="sif",$H1154="PM"),"",VLOOKUP($H1154,[5]CU!$C$5:$J$255,8,FALSE))</f>
        <v>5. Investissement</v>
      </c>
      <c r="W1154" s="18" t="s">
        <v>521</v>
      </c>
      <c r="X1154" s="18" t="s">
        <v>1515</v>
      </c>
      <c r="Y1154" s="18" t="s">
        <v>677</v>
      </c>
      <c r="Z1154" s="19" t="str">
        <f>A1154 &amp; "-" &amp; VLOOKUP(A1154,[4]PROGRAMMES!$E$1:$F$7,2,FALSE)</f>
        <v>3-Expansion et réforme de l’ETFP</v>
      </c>
      <c r="AA1154" s="19" t="str">
        <f>B1154 &amp; "-" &amp; VLOOKUP(B1154,[4]SOUSPROGRAMMES!$E$1:$F$44,2,FALSE)</f>
        <v>36- Renforcement des capacités de pilotage et de gestion dans le cadre d’une gouvernance parteunariale multi niveaux</v>
      </c>
      <c r="AB1154" s="19" t="str">
        <f>C1154 &amp; "-" &amp; VLOOKUP(C1154,[4]RESULTATS!$E$1:$F$176,2,FALSE)</f>
        <v>364- La capacité de pilotage et de mise en œuvre, technique et financière, de l’ETFP est renforcée</v>
      </c>
      <c r="AC1154" s="20" t="str">
        <f>D1154 &amp; "-" &amp; VLOOKUP(D1154,[4]STRATEGIES!$E$1:$F$504,2,FALSE)</f>
        <v xml:space="preserve">3643-Renforcement des moyens et outils de travail
</v>
      </c>
      <c r="AD1154" s="21" t="str">
        <f t="shared" si="184"/>
        <v>36437-Acquisition de moyens logistiques pour les Directions nationales et Inspections régionales de l'ETFP</v>
      </c>
    </row>
    <row r="1155" spans="1:30" s="22" customFormat="1" ht="60" hidden="1" customHeight="1" x14ac:dyDescent="0.8">
      <c r="A1155" s="14">
        <v>3</v>
      </c>
      <c r="B1155" s="15">
        <v>36</v>
      </c>
      <c r="C1155" s="15">
        <v>364</v>
      </c>
      <c r="D1155" s="15">
        <v>3643</v>
      </c>
      <c r="E1155" s="14">
        <v>36438</v>
      </c>
      <c r="F1155" s="16" t="s">
        <v>1516</v>
      </c>
      <c r="G1155" s="21" t="s">
        <v>103</v>
      </c>
      <c r="H1155" s="17" t="s">
        <v>1517</v>
      </c>
      <c r="I1155" s="56">
        <v>0</v>
      </c>
      <c r="J1155" s="56"/>
      <c r="K1155" s="56">
        <v>4</v>
      </c>
      <c r="L1155" s="56">
        <v>4</v>
      </c>
      <c r="M1155" s="56">
        <f t="shared" si="188"/>
        <v>8</v>
      </c>
      <c r="N1155" s="56">
        <f>IF(OR(H1155="",H1155="sif",H1155="PM"),0,VLOOKUP(H1155,[5]CU!$C$4:$H$255,6,FALSE))</f>
        <v>173.22474299999999</v>
      </c>
      <c r="O1155" s="56">
        <f t="shared" si="189"/>
        <v>0</v>
      </c>
      <c r="P1155" s="56">
        <f t="shared" si="189"/>
        <v>0</v>
      </c>
      <c r="Q1155" s="56">
        <f t="shared" si="189"/>
        <v>692.89897199999996</v>
      </c>
      <c r="R1155" s="56">
        <f t="shared" si="189"/>
        <v>692.89897199999996</v>
      </c>
      <c r="S1155" s="53">
        <f>SUM(O1155:R1155)</f>
        <v>1385.7979439999999</v>
      </c>
      <c r="T1155" s="35" t="s">
        <v>56</v>
      </c>
      <c r="U1155" s="18" t="s">
        <v>1156</v>
      </c>
      <c r="V1155" s="19" t="str">
        <f>IF(OR($H1155="",$H1155="sif",$H1155="PM"),"",VLOOKUP($H1155,[5]CU!$C$5:$J$255,8,FALSE))</f>
        <v>5. Investissement</v>
      </c>
      <c r="W1155" s="18" t="s">
        <v>521</v>
      </c>
      <c r="X1155" s="19" t="s">
        <v>1518</v>
      </c>
      <c r="Y1155" s="18" t="s">
        <v>677</v>
      </c>
      <c r="Z1155" s="19" t="str">
        <f>A1155 &amp; "-" &amp; VLOOKUP(A1155,[4]PROGRAMMES!$E$1:$F$7,2,FALSE)</f>
        <v>3-Expansion et réforme de l’ETFP</v>
      </c>
      <c r="AA1155" s="19" t="str">
        <f>B1155 &amp; "-" &amp; VLOOKUP(B1155,[4]SOUSPROGRAMMES!$E$1:$F$44,2,FALSE)</f>
        <v>36- Renforcement des capacités de pilotage et de gestion dans le cadre d’une gouvernance parteunariale multi niveaux</v>
      </c>
      <c r="AB1155" s="19" t="str">
        <f>C1155 &amp; "-" &amp; VLOOKUP(C1155,[4]RESULTATS!$E$1:$F$176,2,FALSE)</f>
        <v>364- La capacité de pilotage et de mise en œuvre, technique et financière, de l’ETFP est renforcée</v>
      </c>
      <c r="AC1155" s="20" t="str">
        <f>D1155 &amp; "-" &amp; VLOOKUP(D1155,[4]STRATEGIES!$E$1:$F$504,2,FALSE)</f>
        <v xml:space="preserve">3643-Renforcement des moyens et outils de travail
</v>
      </c>
      <c r="AD1155" s="21" t="str">
        <f t="shared" si="184"/>
        <v>36438-Construction de 8 inspections régionales de l'ETFP</v>
      </c>
    </row>
    <row r="1156" spans="1:30" s="22" customFormat="1" ht="60" hidden="1" customHeight="1" x14ac:dyDescent="0.8">
      <c r="A1156" s="14">
        <v>3</v>
      </c>
      <c r="B1156" s="15">
        <v>36</v>
      </c>
      <c r="C1156" s="15">
        <v>364</v>
      </c>
      <c r="D1156" s="15">
        <v>3643</v>
      </c>
      <c r="E1156" s="14">
        <v>36439</v>
      </c>
      <c r="F1156" s="16" t="s">
        <v>1519</v>
      </c>
      <c r="G1156" s="21" t="s">
        <v>1520</v>
      </c>
      <c r="H1156" s="17" t="s">
        <v>1521</v>
      </c>
      <c r="I1156" s="56">
        <v>0</v>
      </c>
      <c r="J1156" s="56"/>
      <c r="K1156" s="56"/>
      <c r="L1156" s="56">
        <v>4</v>
      </c>
      <c r="M1156" s="56">
        <f t="shared" si="188"/>
        <v>4</v>
      </c>
      <c r="N1156" s="56">
        <f>IF(OR(H1156="",H1156="sif",H1156="PM"),0,VLOOKUP(H1156,[5]CU!$C$4:$H$255,6,FALSE))</f>
        <v>610.48388699999998</v>
      </c>
      <c r="O1156" s="56">
        <f t="shared" si="189"/>
        <v>0</v>
      </c>
      <c r="P1156" s="56">
        <f t="shared" si="189"/>
        <v>0</v>
      </c>
      <c r="Q1156" s="56">
        <f t="shared" si="189"/>
        <v>0</v>
      </c>
      <c r="R1156" s="56">
        <f t="shared" si="189"/>
        <v>2441.9355479999999</v>
      </c>
      <c r="S1156" s="53">
        <f>SUM(O1156:R1156)</f>
        <v>2441.9355479999999</v>
      </c>
      <c r="T1156" s="35" t="s">
        <v>56</v>
      </c>
      <c r="U1156" s="18" t="s">
        <v>1156</v>
      </c>
      <c r="V1156" s="19" t="str">
        <f>IF(OR($H1156="",$H1156="sif",$H1156="PM"),"",VLOOKUP($H1156,[5]CU!$C$5:$J$255,8,FALSE))</f>
        <v>5. Investissement</v>
      </c>
      <c r="W1156" s="18" t="s">
        <v>521</v>
      </c>
      <c r="X1156" s="18" t="s">
        <v>1522</v>
      </c>
      <c r="Y1156" s="18" t="s">
        <v>677</v>
      </c>
      <c r="Z1156" s="19" t="str">
        <f>A1156 &amp; "-" &amp; VLOOKUP(A1156,[4]PROGRAMMES!$E$1:$F$7,2,FALSE)</f>
        <v>3-Expansion et réforme de l’ETFP</v>
      </c>
      <c r="AA1156" s="19" t="str">
        <f>B1156 &amp; "-" &amp; VLOOKUP(B1156,[4]SOUSPROGRAMMES!$E$1:$F$44,2,FALSE)</f>
        <v>36- Renforcement des capacités de pilotage et de gestion dans le cadre d’une gouvernance parteunariale multi niveaux</v>
      </c>
      <c r="AB1156" s="19" t="str">
        <f>C1156 &amp; "-" &amp; VLOOKUP(C1156,[4]RESULTATS!$E$1:$F$176,2,FALSE)</f>
        <v>364- La capacité de pilotage et de mise en œuvre, technique et financière, de l’ETFP est renforcée</v>
      </c>
      <c r="AC1156" s="20" t="str">
        <f>D1156 &amp; "-" &amp; VLOOKUP(D1156,[4]STRATEGIES!$E$1:$F$504,2,FALSE)</f>
        <v xml:space="preserve">3643-Renforcement des moyens et outils de travail
</v>
      </c>
      <c r="AD1156" s="21" t="str">
        <f t="shared" ref="AD1156:AD1219" si="191">E1156 &amp; "-" &amp; F1156</f>
        <v>36439-Equipement de 8 inspections</v>
      </c>
    </row>
    <row r="1157" spans="1:30" s="22" customFormat="1" ht="60" customHeight="1" x14ac:dyDescent="0.8">
      <c r="A1157" s="14">
        <v>3</v>
      </c>
      <c r="B1157" s="15">
        <v>36</v>
      </c>
      <c r="C1157" s="15">
        <v>364</v>
      </c>
      <c r="D1157" s="15">
        <v>3644</v>
      </c>
      <c r="E1157" s="14">
        <v>3644</v>
      </c>
      <c r="F1157" s="16" t="s">
        <v>1523</v>
      </c>
      <c r="G1157" s="17"/>
      <c r="H1157" s="17"/>
      <c r="I1157" s="56">
        <v>0</v>
      </c>
      <c r="J1157" s="56"/>
      <c r="K1157" s="56"/>
      <c r="L1157" s="56"/>
      <c r="M1157" s="56"/>
      <c r="N1157" s="56"/>
      <c r="O1157" s="56"/>
      <c r="P1157" s="56"/>
      <c r="Q1157" s="56"/>
      <c r="R1157" s="56"/>
      <c r="S1157" s="53"/>
      <c r="T1157" s="33"/>
      <c r="U1157" s="18"/>
      <c r="V1157" s="19"/>
      <c r="W1157" s="18"/>
      <c r="X1157" s="18"/>
      <c r="Y1157" s="18" t="s">
        <v>677</v>
      </c>
      <c r="Z1157" s="19" t="str">
        <f>A1157 &amp; "-" &amp; VLOOKUP(A1157,[4]PROGRAMMES!$E$1:$F$7,2,FALSE)</f>
        <v>3-Expansion et réforme de l’ETFP</v>
      </c>
      <c r="AA1157" s="19" t="str">
        <f>B1157 &amp; "-" &amp; VLOOKUP(B1157,[4]SOUSPROGRAMMES!$E$1:$F$44,2,FALSE)</f>
        <v>36- Renforcement des capacités de pilotage et de gestion dans le cadre d’une gouvernance parteunariale multi niveaux</v>
      </c>
      <c r="AB1157" s="19" t="str">
        <f>C1157 &amp; "-" &amp; VLOOKUP(C1157,[4]RESULTATS!$E$1:$F$176,2,FALSE)</f>
        <v>364- La capacité de pilotage et de mise en œuvre, technique et financière, de l’ETFP est renforcée</v>
      </c>
      <c r="AC1157" s="20" t="str">
        <f>D1157 &amp; "-" &amp; VLOOKUP(D1157,[4]STRATEGIES!$E$1:$F$504,2,FALSE)</f>
        <v>3644-Adaptation et mise en cohérence des rôles et responsabilités des différentes structures concernées par l’ETFP</v>
      </c>
      <c r="AD1157" s="21" t="str">
        <f t="shared" si="191"/>
        <v>3644-Adaptation et mise en cohérence des rôles et responsabilités des différentes structures concernées par l’ETFP</v>
      </c>
    </row>
    <row r="1158" spans="1:30" s="22" customFormat="1" ht="60" hidden="1" customHeight="1" x14ac:dyDescent="0.8">
      <c r="A1158" s="14">
        <v>3</v>
      </c>
      <c r="B1158" s="15">
        <v>36</v>
      </c>
      <c r="C1158" s="15">
        <v>364</v>
      </c>
      <c r="D1158" s="15">
        <v>3644</v>
      </c>
      <c r="E1158" s="14">
        <v>36441</v>
      </c>
      <c r="F1158" s="16" t="s">
        <v>1524</v>
      </c>
      <c r="G1158" s="21" t="s">
        <v>836</v>
      </c>
      <c r="H1158" s="17" t="s">
        <v>55</v>
      </c>
      <c r="I1158" s="56">
        <v>0</v>
      </c>
      <c r="J1158" s="56"/>
      <c r="K1158" s="56">
        <v>1</v>
      </c>
      <c r="L1158" s="56"/>
      <c r="M1158" s="56">
        <f t="shared" si="188"/>
        <v>1</v>
      </c>
      <c r="N1158" s="56">
        <f>IF(OR(H1158="",H1158="sif",H1158="PM"),0,VLOOKUP(H1158,[5]CU!$C$4:$H$255,6,FALSE))</f>
        <v>0</v>
      </c>
      <c r="O1158" s="56">
        <f t="shared" si="189"/>
        <v>0</v>
      </c>
      <c r="P1158" s="56">
        <f t="shared" si="189"/>
        <v>0</v>
      </c>
      <c r="Q1158" s="56">
        <f t="shared" si="189"/>
        <v>0</v>
      </c>
      <c r="R1158" s="56">
        <f t="shared" si="189"/>
        <v>0</v>
      </c>
      <c r="S1158" s="53"/>
      <c r="T1158" s="35" t="s">
        <v>56</v>
      </c>
      <c r="U1158" s="18" t="s">
        <v>1156</v>
      </c>
      <c r="V1158" s="19" t="str">
        <f>IF(OR($H1158="",$H1158="sif",$H1158="PM"),"",VLOOKUP($H1158,[5]CU!$C$5:$J$255,8,FALSE))</f>
        <v/>
      </c>
      <c r="W1158" s="18" t="s">
        <v>142</v>
      </c>
      <c r="X1158" s="18" t="s">
        <v>1334</v>
      </c>
      <c r="Y1158" s="18" t="s">
        <v>677</v>
      </c>
      <c r="Z1158" s="19" t="str">
        <f>A1158 &amp; "-" &amp; VLOOKUP(A1158,[4]PROGRAMMES!$E$1:$F$7,2,FALSE)</f>
        <v>3-Expansion et réforme de l’ETFP</v>
      </c>
      <c r="AA1158" s="19" t="str">
        <f>B1158 &amp; "-" &amp; VLOOKUP(B1158,[4]SOUSPROGRAMMES!$E$1:$F$44,2,FALSE)</f>
        <v>36- Renforcement des capacités de pilotage et de gestion dans le cadre d’une gouvernance parteunariale multi niveaux</v>
      </c>
      <c r="AB1158" s="19" t="str">
        <f>C1158 &amp; "-" &amp; VLOOKUP(C1158,[4]RESULTATS!$E$1:$F$176,2,FALSE)</f>
        <v>364- La capacité de pilotage et de mise en œuvre, technique et financière, de l’ETFP est renforcée</v>
      </c>
      <c r="AC1158" s="20" t="str">
        <f>D1158 &amp; "-" &amp; VLOOKUP(D1158,[4]STRATEGIES!$E$1:$F$504,2,FALSE)</f>
        <v>3644-Adaptation et mise en cohérence des rôles et responsabilités des différentes structures concernées par l’ETFP</v>
      </c>
      <c r="AD1158" s="21" t="str">
        <f t="shared" si="191"/>
        <v>36441-Révision des textes et cadres organiques des structures et services de l'ETFP (attributions, organisations et fonctionnement des services)</v>
      </c>
    </row>
    <row r="1159" spans="1:30" s="22" customFormat="1" ht="60" hidden="1" customHeight="1" x14ac:dyDescent="0.8">
      <c r="A1159" s="14">
        <v>3</v>
      </c>
      <c r="B1159" s="15">
        <v>36</v>
      </c>
      <c r="C1159" s="15">
        <v>364</v>
      </c>
      <c r="D1159" s="15">
        <v>3644</v>
      </c>
      <c r="E1159" s="14">
        <v>36442</v>
      </c>
      <c r="F1159" s="16" t="s">
        <v>1525</v>
      </c>
      <c r="G1159" s="21" t="s">
        <v>1526</v>
      </c>
      <c r="H1159" s="17" t="s">
        <v>66</v>
      </c>
      <c r="I1159" s="56">
        <v>0</v>
      </c>
      <c r="J1159" s="56"/>
      <c r="K1159" s="56">
        <f>15*5</f>
        <v>75</v>
      </c>
      <c r="L1159" s="56"/>
      <c r="M1159" s="56">
        <f t="shared" si="188"/>
        <v>75</v>
      </c>
      <c r="N1159" s="56">
        <f>IF(OR(H1159="",H1159="sif",H1159="PM"),0,VLOOKUP(H1159,[5]CU!$C$4:$H$255,6,FALSE))</f>
        <v>0.255</v>
      </c>
      <c r="O1159" s="56">
        <f t="shared" si="189"/>
        <v>0</v>
      </c>
      <c r="P1159" s="56">
        <f t="shared" si="189"/>
        <v>0</v>
      </c>
      <c r="Q1159" s="56">
        <f t="shared" si="189"/>
        <v>19.125</v>
      </c>
      <c r="R1159" s="56">
        <f t="shared" si="189"/>
        <v>0</v>
      </c>
      <c r="S1159" s="53">
        <f>SUM(O1159:R1159)</f>
        <v>19.125</v>
      </c>
      <c r="T1159" s="35" t="s">
        <v>56</v>
      </c>
      <c r="U1159" s="18" t="s">
        <v>1156</v>
      </c>
      <c r="V1159" s="19" t="str">
        <f>IF(OR($H1159="",$H1159="sif",$H1159="PM"),"",VLOOKUP($H1159,[5]CU!$C$5:$J$255,8,FALSE))</f>
        <v>3. Dépenses de fonctionnement</v>
      </c>
      <c r="W1159" s="18" t="s">
        <v>1334</v>
      </c>
      <c r="X1159" s="18" t="s">
        <v>1162</v>
      </c>
      <c r="Y1159" s="18" t="s">
        <v>677</v>
      </c>
      <c r="Z1159" s="19" t="str">
        <f>A1159 &amp; "-" &amp; VLOOKUP(A1159,[4]PROGRAMMES!$E$1:$F$7,2,FALSE)</f>
        <v>3-Expansion et réforme de l’ETFP</v>
      </c>
      <c r="AA1159" s="19" t="str">
        <f>B1159 &amp; "-" &amp; VLOOKUP(B1159,[4]SOUSPROGRAMMES!$E$1:$F$44,2,FALSE)</f>
        <v>36- Renforcement des capacités de pilotage et de gestion dans le cadre d’une gouvernance parteunariale multi niveaux</v>
      </c>
      <c r="AB1159" s="19" t="str">
        <f>C1159 &amp; "-" &amp; VLOOKUP(C1159,[4]RESULTATS!$E$1:$F$176,2,FALSE)</f>
        <v>364- La capacité de pilotage et de mise en œuvre, technique et financière, de l’ETFP est renforcée</v>
      </c>
      <c r="AC1159" s="20" t="str">
        <f>D1159 &amp; "-" &amp; VLOOKUP(D1159,[4]STRATEGIES!$E$1:$F$504,2,FALSE)</f>
        <v>3644-Adaptation et mise en cohérence des rôles et responsabilités des différentes structures concernées par l’ETFP</v>
      </c>
      <c r="AD1159" s="21" t="str">
        <f t="shared" si="191"/>
        <v>36442-vulgarisation des textes, des lois et conventions et traités</v>
      </c>
    </row>
    <row r="1160" spans="1:30" s="22" customFormat="1" ht="60" hidden="1" customHeight="1" x14ac:dyDescent="0.8">
      <c r="A1160" s="14">
        <v>3</v>
      </c>
      <c r="B1160" s="15">
        <v>36</v>
      </c>
      <c r="C1160" s="15">
        <v>364</v>
      </c>
      <c r="D1160" s="15">
        <v>3644</v>
      </c>
      <c r="E1160" s="14">
        <v>36443</v>
      </c>
      <c r="F1160" s="16" t="s">
        <v>1527</v>
      </c>
      <c r="G1160" s="21" t="s">
        <v>100</v>
      </c>
      <c r="H1160" s="17" t="s">
        <v>662</v>
      </c>
      <c r="I1160" s="56">
        <v>0</v>
      </c>
      <c r="J1160" s="56">
        <f>3*6</f>
        <v>18</v>
      </c>
      <c r="K1160" s="56"/>
      <c r="L1160" s="56"/>
      <c r="M1160" s="56">
        <f t="shared" si="188"/>
        <v>18</v>
      </c>
      <c r="N1160" s="56">
        <f>IF(OR(H1160="",H1160="sif",H1160="PM"),0,VLOOKUP(H1160,[5]CU!$C$4:$H$255,6,FALSE))</f>
        <v>219.54797350000001</v>
      </c>
      <c r="O1160" s="56">
        <f t="shared" si="189"/>
        <v>0</v>
      </c>
      <c r="P1160" s="56">
        <f t="shared" si="189"/>
        <v>3951.863523</v>
      </c>
      <c r="Q1160" s="56">
        <f t="shared" si="189"/>
        <v>0</v>
      </c>
      <c r="R1160" s="56">
        <f t="shared" si="189"/>
        <v>0</v>
      </c>
      <c r="S1160" s="53">
        <f>SUM(O1160:R1160)</f>
        <v>3951.863523</v>
      </c>
      <c r="T1160" s="35" t="s">
        <v>169</v>
      </c>
      <c r="U1160" s="18" t="s">
        <v>1156</v>
      </c>
      <c r="V1160" s="19" t="str">
        <f>IF(OR($H1160="",$H1160="sif",$H1160="PM"),"",VLOOKUP($H1160,[5]CU!$C$5:$J$255,8,FALSE))</f>
        <v>3. Dépenses de fonctionnement</v>
      </c>
      <c r="W1160" s="18" t="s">
        <v>1528</v>
      </c>
      <c r="X1160" s="18" t="s">
        <v>1529</v>
      </c>
      <c r="Y1160" s="18" t="s">
        <v>677</v>
      </c>
      <c r="Z1160" s="19" t="str">
        <f>A1160 &amp; "-" &amp; VLOOKUP(A1160,[4]PROGRAMMES!$E$1:$F$7,2,FALSE)</f>
        <v>3-Expansion et réforme de l’ETFP</v>
      </c>
      <c r="AA1160" s="19" t="str">
        <f>B1160 &amp; "-" &amp; VLOOKUP(B1160,[4]SOUSPROGRAMMES!$E$1:$F$44,2,FALSE)</f>
        <v>36- Renforcement des capacités de pilotage et de gestion dans le cadre d’une gouvernance parteunariale multi niveaux</v>
      </c>
      <c r="AB1160" s="19" t="str">
        <f>C1160 &amp; "-" &amp; VLOOKUP(C1160,[4]RESULTATS!$E$1:$F$176,2,FALSE)</f>
        <v>364- La capacité de pilotage et de mise en œuvre, technique et financière, de l’ETFP est renforcée</v>
      </c>
      <c r="AC1160" s="20" t="str">
        <f>D1160 &amp; "-" &amp; VLOOKUP(D1160,[4]STRATEGIES!$E$1:$F$504,2,FALSE)</f>
        <v>3644-Adaptation et mise en cohérence des rôles et responsabilités des différentes structures concernées par l’ETFP</v>
      </c>
      <c r="AD1160" s="21" t="str">
        <f t="shared" si="191"/>
        <v>36443-Recrutement de consultants pour la formation des inspecteurs de l'enseignement technique et de la formation professionnelle</v>
      </c>
    </row>
    <row r="1161" spans="1:30" s="22" customFormat="1" ht="60" hidden="1" customHeight="1" x14ac:dyDescent="0.8">
      <c r="A1161" s="14">
        <v>3</v>
      </c>
      <c r="B1161" s="15">
        <v>36</v>
      </c>
      <c r="C1161" s="15">
        <v>364</v>
      </c>
      <c r="D1161" s="15">
        <v>3644</v>
      </c>
      <c r="E1161" s="14">
        <v>36444</v>
      </c>
      <c r="F1161" s="16" t="s">
        <v>1530</v>
      </c>
      <c r="G1161" s="21" t="s">
        <v>55</v>
      </c>
      <c r="H1161" s="17"/>
      <c r="I1161" s="56">
        <v>0</v>
      </c>
      <c r="J1161" s="56"/>
      <c r="K1161" s="56"/>
      <c r="L1161" s="56"/>
      <c r="M1161" s="56"/>
      <c r="N1161" s="56">
        <f>IF(OR(H1161="",H1161="sif",H1161="PM"),0,VLOOKUP(H1161,[5]CU!$C$4:$H$255,6,FALSE))</f>
        <v>0</v>
      </c>
      <c r="O1161" s="56"/>
      <c r="P1161" s="56"/>
      <c r="Q1161" s="56"/>
      <c r="R1161" s="56"/>
      <c r="S1161" s="53"/>
      <c r="T1161" s="35" t="s">
        <v>56</v>
      </c>
      <c r="U1161" s="18" t="s">
        <v>1156</v>
      </c>
      <c r="V1161" s="19" t="str">
        <f>IF(OR($H1161="",$H1161="sif",$H1161="PM"),"",VLOOKUP($H1161,[5]CU!$C$5:$J$255,8,FALSE))</f>
        <v/>
      </c>
      <c r="W1161" s="18" t="s">
        <v>1528</v>
      </c>
      <c r="X1161" s="18" t="s">
        <v>1529</v>
      </c>
      <c r="Y1161" s="18" t="s">
        <v>677</v>
      </c>
      <c r="Z1161" s="19" t="str">
        <f>A1161 &amp; "-" &amp; VLOOKUP(A1161,[4]PROGRAMMES!$E$1:$F$7,2,FALSE)</f>
        <v>3-Expansion et réforme de l’ETFP</v>
      </c>
      <c r="AA1161" s="19" t="str">
        <f>B1161 &amp; "-" &amp; VLOOKUP(B1161,[4]SOUSPROGRAMMES!$E$1:$F$44,2,FALSE)</f>
        <v>36- Renforcement des capacités de pilotage et de gestion dans le cadre d’une gouvernance parteunariale multi niveaux</v>
      </c>
      <c r="AB1161" s="19" t="str">
        <f>C1161 &amp; "-" &amp; VLOOKUP(C1161,[4]RESULTATS!$E$1:$F$176,2,FALSE)</f>
        <v>364- La capacité de pilotage et de mise en œuvre, technique et financière, de l’ETFP est renforcée</v>
      </c>
      <c r="AC1161" s="20" t="str">
        <f>D1161 &amp; "-" &amp; VLOOKUP(D1161,[4]STRATEGIES!$E$1:$F$504,2,FALSE)</f>
        <v>3644-Adaptation et mise en cohérence des rôles et responsabilités des différentes structures concernées par l’ETFP</v>
      </c>
      <c r="AD1161" s="21" t="str">
        <f t="shared" si="191"/>
        <v>36444-Recrutement des inspecteurs à former</v>
      </c>
    </row>
    <row r="1162" spans="1:30" s="22" customFormat="1" ht="60" hidden="1" customHeight="1" x14ac:dyDescent="0.8">
      <c r="A1162" s="14">
        <v>3</v>
      </c>
      <c r="B1162" s="15">
        <v>36</v>
      </c>
      <c r="C1162" s="15">
        <v>364</v>
      </c>
      <c r="D1162" s="15">
        <v>3644</v>
      </c>
      <c r="E1162" s="14">
        <v>36445</v>
      </c>
      <c r="F1162" s="16" t="s">
        <v>1531</v>
      </c>
      <c r="G1162" s="21" t="s">
        <v>51</v>
      </c>
      <c r="H1162" s="17" t="s">
        <v>301</v>
      </c>
      <c r="I1162" s="56">
        <v>0</v>
      </c>
      <c r="J1162" s="56">
        <f>30*6</f>
        <v>180</v>
      </c>
      <c r="K1162" s="56"/>
      <c r="L1162" s="56"/>
      <c r="M1162" s="56">
        <f t="shared" ref="M1162:M1169" si="192">SUM(I1162:L1162)</f>
        <v>180</v>
      </c>
      <c r="N1162" s="56">
        <f>IF(OR(H1162="",H1162="sif",H1162="PM"),0,VLOOKUP(H1162,[5]CU!$C$4:$H$255,6,FALSE))</f>
        <v>0.67666666666666664</v>
      </c>
      <c r="O1162" s="56">
        <f t="shared" ref="O1162:R1169" si="193">IFERROR($N1162*I1162,0)</f>
        <v>0</v>
      </c>
      <c r="P1162" s="56">
        <f t="shared" si="193"/>
        <v>121.8</v>
      </c>
      <c r="Q1162" s="56">
        <f t="shared" si="193"/>
        <v>0</v>
      </c>
      <c r="R1162" s="56">
        <f t="shared" si="193"/>
        <v>0</v>
      </c>
      <c r="S1162" s="53">
        <f t="shared" ref="S1162:S1169" si="194">SUM(O1162:R1162)</f>
        <v>121.8</v>
      </c>
      <c r="T1162" s="35" t="s">
        <v>56</v>
      </c>
      <c r="U1162" s="18" t="s">
        <v>1156</v>
      </c>
      <c r="V1162" s="19" t="str">
        <f>IF(OR($H1162="",$H1162="sif",$H1162="PM"),"",VLOOKUP($H1162,[5]CU!$C$5:$J$255,8,FALSE))</f>
        <v>3. Formation</v>
      </c>
      <c r="W1162" s="18" t="s">
        <v>1528</v>
      </c>
      <c r="X1162" s="18" t="s">
        <v>1529</v>
      </c>
      <c r="Y1162" s="18" t="s">
        <v>677</v>
      </c>
      <c r="Z1162" s="19" t="str">
        <f>A1162 &amp; "-" &amp; VLOOKUP(A1162,[4]PROGRAMMES!$E$1:$F$7,2,FALSE)</f>
        <v>3-Expansion et réforme de l’ETFP</v>
      </c>
      <c r="AA1162" s="19" t="str">
        <f>B1162 &amp; "-" &amp; VLOOKUP(B1162,[4]SOUSPROGRAMMES!$E$1:$F$44,2,FALSE)</f>
        <v>36- Renforcement des capacités de pilotage et de gestion dans le cadre d’une gouvernance parteunariale multi niveaux</v>
      </c>
      <c r="AB1162" s="19" t="str">
        <f>C1162 &amp; "-" &amp; VLOOKUP(C1162,[4]RESULTATS!$E$1:$F$176,2,FALSE)</f>
        <v>364- La capacité de pilotage et de mise en œuvre, technique et financière, de l’ETFP est renforcée</v>
      </c>
      <c r="AC1162" s="20" t="str">
        <f>D1162 &amp; "-" &amp; VLOOKUP(D1162,[4]STRATEGIES!$E$1:$F$504,2,FALSE)</f>
        <v>3644-Adaptation et mise en cohérence des rôles et responsabilités des différentes structures concernées par l’ETFP</v>
      </c>
      <c r="AD1162" s="21" t="str">
        <f t="shared" si="191"/>
        <v>36445-Formation des inspecteurs</v>
      </c>
    </row>
    <row r="1163" spans="1:30" s="22" customFormat="1" ht="60" hidden="1" customHeight="1" x14ac:dyDescent="0.8">
      <c r="A1163" s="14">
        <v>3</v>
      </c>
      <c r="B1163" s="15">
        <v>36</v>
      </c>
      <c r="C1163" s="15">
        <v>364</v>
      </c>
      <c r="D1163" s="15">
        <v>3644</v>
      </c>
      <c r="E1163" s="14">
        <v>36446</v>
      </c>
      <c r="F1163" s="16" t="s">
        <v>1532</v>
      </c>
      <c r="G1163" s="21" t="s">
        <v>58</v>
      </c>
      <c r="H1163" s="17" t="s">
        <v>59</v>
      </c>
      <c r="I1163" s="56">
        <v>0</v>
      </c>
      <c r="J1163" s="56">
        <f>16*10*2</f>
        <v>320</v>
      </c>
      <c r="K1163" s="56">
        <f>16*10*2</f>
        <v>320</v>
      </c>
      <c r="L1163" s="56">
        <f>16*10*2</f>
        <v>320</v>
      </c>
      <c r="M1163" s="56">
        <f t="shared" si="192"/>
        <v>960</v>
      </c>
      <c r="N1163" s="56">
        <f>IF(OR(H1163="",H1163="sif",H1163="PM"),0,VLOOKUP(H1163,[5]CU!$C$4:$H$255,6,FALSE))</f>
        <v>0.8177777777777776</v>
      </c>
      <c r="O1163" s="56">
        <f t="shared" si="193"/>
        <v>0</v>
      </c>
      <c r="P1163" s="56">
        <f t="shared" si="193"/>
        <v>261.68888888888881</v>
      </c>
      <c r="Q1163" s="56">
        <f t="shared" si="193"/>
        <v>261.68888888888881</v>
      </c>
      <c r="R1163" s="56">
        <f t="shared" si="193"/>
        <v>261.68888888888881</v>
      </c>
      <c r="S1163" s="53">
        <f t="shared" si="194"/>
        <v>785.06666666666638</v>
      </c>
      <c r="T1163" s="35" t="s">
        <v>56</v>
      </c>
      <c r="U1163" s="18" t="s">
        <v>1156</v>
      </c>
      <c r="V1163" s="19" t="str">
        <f>IF(OR($H1163="",$H1163="sif",$H1163="PM"),"",VLOOKUP($H1163,[5]CU!$C$5:$J$255,8,FALSE))</f>
        <v>3. Dépenses de fonctionnement</v>
      </c>
      <c r="W1163" s="18" t="s">
        <v>1528</v>
      </c>
      <c r="X1163" s="18" t="s">
        <v>1528</v>
      </c>
      <c r="Y1163" s="18" t="s">
        <v>677</v>
      </c>
      <c r="Z1163" s="19" t="str">
        <f>A1163 &amp; "-" &amp; VLOOKUP(A1163,[4]PROGRAMMES!$E$1:$F$7,2,FALSE)</f>
        <v>3-Expansion et réforme de l’ETFP</v>
      </c>
      <c r="AA1163" s="19" t="str">
        <f>B1163 &amp; "-" &amp; VLOOKUP(B1163,[4]SOUSPROGRAMMES!$E$1:$F$44,2,FALSE)</f>
        <v>36- Renforcement des capacités de pilotage et de gestion dans le cadre d’une gouvernance parteunariale multi niveaux</v>
      </c>
      <c r="AB1163" s="19" t="str">
        <f>C1163 &amp; "-" &amp; VLOOKUP(C1163,[4]RESULTATS!$E$1:$F$176,2,FALSE)</f>
        <v>364- La capacité de pilotage et de mise en œuvre, technique et financière, de l’ETFP est renforcée</v>
      </c>
      <c r="AC1163" s="20" t="str">
        <f>D1163 &amp; "-" &amp; VLOOKUP(D1163,[4]STRATEGIES!$E$1:$F$504,2,FALSE)</f>
        <v>3644-Adaptation et mise en cohérence des rôles et responsabilités des différentes structures concernées par l’ETFP</v>
      </c>
      <c r="AD1163" s="21" t="str">
        <f t="shared" si="191"/>
        <v>36446-Organisation de l'inspection dans les institutions de formation par les services centraux</v>
      </c>
    </row>
    <row r="1164" spans="1:30" s="22" customFormat="1" ht="60" hidden="1" customHeight="1" x14ac:dyDescent="0.8">
      <c r="A1164" s="14">
        <v>3</v>
      </c>
      <c r="B1164" s="15">
        <v>36</v>
      </c>
      <c r="C1164" s="15">
        <v>364</v>
      </c>
      <c r="D1164" s="15">
        <v>3644</v>
      </c>
      <c r="E1164" s="14">
        <v>36447</v>
      </c>
      <c r="F1164" s="16" t="s">
        <v>1533</v>
      </c>
      <c r="G1164" s="21" t="s">
        <v>58</v>
      </c>
      <c r="H1164" s="17" t="s">
        <v>59</v>
      </c>
      <c r="I1164" s="56">
        <v>0</v>
      </c>
      <c r="J1164" s="56">
        <f>16*5*2</f>
        <v>160</v>
      </c>
      <c r="K1164" s="56">
        <f>16*5*2</f>
        <v>160</v>
      </c>
      <c r="L1164" s="56">
        <f>16*5*2</f>
        <v>160</v>
      </c>
      <c r="M1164" s="56">
        <f t="shared" si="192"/>
        <v>480</v>
      </c>
      <c r="N1164" s="56">
        <f>IF(OR(H1164="",H1164="sif",H1164="PM"),0,VLOOKUP(H1164,[5]CU!$C$4:$H$255,6,FALSE))</f>
        <v>0.8177777777777776</v>
      </c>
      <c r="O1164" s="56">
        <f t="shared" si="193"/>
        <v>0</v>
      </c>
      <c r="P1164" s="56">
        <f t="shared" si="193"/>
        <v>130.84444444444441</v>
      </c>
      <c r="Q1164" s="56">
        <f t="shared" si="193"/>
        <v>130.84444444444441</v>
      </c>
      <c r="R1164" s="56">
        <f t="shared" si="193"/>
        <v>130.84444444444441</v>
      </c>
      <c r="S1164" s="53">
        <f t="shared" si="194"/>
        <v>392.53333333333319</v>
      </c>
      <c r="T1164" s="35" t="s">
        <v>56</v>
      </c>
      <c r="U1164" s="18" t="s">
        <v>1156</v>
      </c>
      <c r="V1164" s="19" t="str">
        <f>IF(OR($H1164="",$H1164="sif",$H1164="PM"),"",VLOOKUP($H1164,[5]CU!$C$5:$J$255,8,FALSE))</f>
        <v>3. Dépenses de fonctionnement</v>
      </c>
      <c r="W1164" s="18" t="s">
        <v>1528</v>
      </c>
      <c r="X1164" s="18" t="s">
        <v>1162</v>
      </c>
      <c r="Y1164" s="18" t="s">
        <v>677</v>
      </c>
      <c r="Z1164" s="19" t="str">
        <f>A1164 &amp; "-" &amp; VLOOKUP(A1164,[4]PROGRAMMES!$E$1:$F$7,2,FALSE)</f>
        <v>3-Expansion et réforme de l’ETFP</v>
      </c>
      <c r="AA1164" s="19" t="str">
        <f>B1164 &amp; "-" &amp; VLOOKUP(B1164,[4]SOUSPROGRAMMES!$E$1:$F$44,2,FALSE)</f>
        <v>36- Renforcement des capacités de pilotage et de gestion dans le cadre d’une gouvernance parteunariale multi niveaux</v>
      </c>
      <c r="AB1164" s="19" t="str">
        <f>C1164 &amp; "-" &amp; VLOOKUP(C1164,[4]RESULTATS!$E$1:$F$176,2,FALSE)</f>
        <v>364- La capacité de pilotage et de mise en œuvre, technique et financière, de l’ETFP est renforcée</v>
      </c>
      <c r="AC1164" s="20" t="str">
        <f>D1164 &amp; "-" &amp; VLOOKUP(D1164,[4]STRATEGIES!$E$1:$F$504,2,FALSE)</f>
        <v>3644-Adaptation et mise en cohérence des rôles et responsabilités des différentes structures concernées par l’ETFP</v>
      </c>
      <c r="AD1164" s="21" t="str">
        <f t="shared" si="191"/>
        <v>36447-Organisation de l'inspection dans les institutions de formation par les services régionaux</v>
      </c>
    </row>
    <row r="1165" spans="1:30" s="22" customFormat="1" ht="60" customHeight="1" x14ac:dyDescent="0.8">
      <c r="A1165" s="14">
        <v>3</v>
      </c>
      <c r="B1165" s="15">
        <v>36</v>
      </c>
      <c r="C1165" s="15">
        <v>365</v>
      </c>
      <c r="D1165" s="15">
        <v>365</v>
      </c>
      <c r="E1165" s="14">
        <v>365</v>
      </c>
      <c r="F1165" s="16" t="s">
        <v>1534</v>
      </c>
      <c r="G1165" s="17"/>
      <c r="H1165" s="17"/>
      <c r="I1165" s="56">
        <v>0</v>
      </c>
      <c r="J1165" s="56"/>
      <c r="K1165" s="56"/>
      <c r="L1165" s="56"/>
      <c r="M1165" s="56"/>
      <c r="N1165" s="56"/>
      <c r="O1165" s="56"/>
      <c r="P1165" s="56"/>
      <c r="Q1165" s="56"/>
      <c r="R1165" s="56"/>
      <c r="S1165" s="53"/>
      <c r="T1165" s="33"/>
      <c r="U1165" s="18"/>
      <c r="V1165" s="19"/>
      <c r="W1165" s="18"/>
      <c r="X1165" s="18"/>
      <c r="Y1165" s="18" t="s">
        <v>677</v>
      </c>
      <c r="Z1165" s="19" t="str">
        <f>A1165 &amp; "-" &amp; VLOOKUP(A1165,[4]PROGRAMMES!$E$1:$F$7,2,FALSE)</f>
        <v>3-Expansion et réforme de l’ETFP</v>
      </c>
      <c r="AA1165" s="19" t="str">
        <f>B1165 &amp; "-" &amp; VLOOKUP(B1165,[4]SOUSPROGRAMMES!$E$1:$F$44,2,FALSE)</f>
        <v>36- Renforcement des capacités de pilotage et de gestion dans le cadre d’une gouvernance parteunariale multi niveaux</v>
      </c>
      <c r="AB1165" s="19" t="str">
        <f>C1165 &amp; "-" &amp; VLOOKUP(C1165,[4]RESULTATS!$E$1:$F$176,2,FALSE)</f>
        <v>365-Le dispositif de communication et d’orientation professionnelle est opérationnel</v>
      </c>
      <c r="AC1165" s="20" t="str">
        <f>D1165 &amp; "-" &amp; VLOOKUP(D1165,[4]STRATEGIES!$E$1:$F$504,2,FALSE)</f>
        <v>365-Le dispositif de communication et d’orientation professionnelle est opérationnel</v>
      </c>
      <c r="AD1165" s="21" t="str">
        <f t="shared" si="191"/>
        <v>365-Le dispositif de communication et d’orientation professionnelle est opérationnel</v>
      </c>
    </row>
    <row r="1166" spans="1:30" s="22" customFormat="1" ht="60" customHeight="1" x14ac:dyDescent="0.8">
      <c r="A1166" s="14">
        <v>3</v>
      </c>
      <c r="B1166" s="15">
        <v>36</v>
      </c>
      <c r="C1166" s="15">
        <v>365</v>
      </c>
      <c r="D1166" s="15">
        <v>3651</v>
      </c>
      <c r="E1166" s="14">
        <v>3651</v>
      </c>
      <c r="F1166" s="16" t="s">
        <v>1535</v>
      </c>
      <c r="G1166" s="17"/>
      <c r="H1166" s="17"/>
      <c r="I1166" s="56">
        <v>0</v>
      </c>
      <c r="J1166" s="56"/>
      <c r="K1166" s="56"/>
      <c r="L1166" s="56"/>
      <c r="M1166" s="56"/>
      <c r="N1166" s="56"/>
      <c r="O1166" s="56"/>
      <c r="P1166" s="56"/>
      <c r="Q1166" s="56"/>
      <c r="R1166" s="56"/>
      <c r="S1166" s="53"/>
      <c r="T1166" s="33"/>
      <c r="U1166" s="18"/>
      <c r="V1166" s="19"/>
      <c r="W1166" s="18"/>
      <c r="X1166" s="18"/>
      <c r="Y1166" s="18" t="s">
        <v>677</v>
      </c>
      <c r="Z1166" s="19" t="str">
        <f>A1166 &amp; "-" &amp; VLOOKUP(A1166,[4]PROGRAMMES!$E$1:$F$7,2,FALSE)</f>
        <v>3-Expansion et réforme de l’ETFP</v>
      </c>
      <c r="AA1166" s="19" t="str">
        <f>B1166 &amp; "-" &amp; VLOOKUP(B1166,[4]SOUSPROGRAMMES!$E$1:$F$44,2,FALSE)</f>
        <v>36- Renforcement des capacités de pilotage et de gestion dans le cadre d’une gouvernance parteunariale multi niveaux</v>
      </c>
      <c r="AB1166" s="19" t="str">
        <f>C1166 &amp; "-" &amp; VLOOKUP(C1166,[4]RESULTATS!$E$1:$F$176,2,FALSE)</f>
        <v>365-Le dispositif de communication et d’orientation professionnelle est opérationnel</v>
      </c>
      <c r="AC1166" s="20" t="str">
        <f>D1166 &amp; "-" &amp; VLOOKUP(D1166,[4]STRATEGIES!$E$1:$F$504,2,FALSE)</f>
        <v>3651-Configuration du dispositif de communication et d’orientation professionnelle</v>
      </c>
      <c r="AD1166" s="21" t="str">
        <f t="shared" si="191"/>
        <v>3651-Configuration du dispositif de communication et d’orientation professionnelle</v>
      </c>
    </row>
    <row r="1167" spans="1:30" s="22" customFormat="1" ht="60" hidden="1" customHeight="1" x14ac:dyDescent="0.8">
      <c r="A1167" s="14">
        <v>3</v>
      </c>
      <c r="B1167" s="15">
        <v>36</v>
      </c>
      <c r="C1167" s="15">
        <v>365</v>
      </c>
      <c r="D1167" s="15">
        <v>3651</v>
      </c>
      <c r="E1167" s="14">
        <v>36511</v>
      </c>
      <c r="F1167" s="16" t="s">
        <v>1536</v>
      </c>
      <c r="G1167" s="21" t="s">
        <v>1423</v>
      </c>
      <c r="H1167" s="17" t="s">
        <v>646</v>
      </c>
      <c r="I1167" s="56">
        <v>0</v>
      </c>
      <c r="J1167" s="56">
        <f>1*45</f>
        <v>45</v>
      </c>
      <c r="K1167" s="56"/>
      <c r="L1167" s="56"/>
      <c r="M1167" s="56">
        <f t="shared" si="192"/>
        <v>45</v>
      </c>
      <c r="N1167" s="56">
        <f>IF(OR(H1167="",H1167="sif",H1167="PM"),0,VLOOKUP(H1167,[5]CU!$C$4:$H$255,6,FALSE))</f>
        <v>10.404797</v>
      </c>
      <c r="O1167" s="56">
        <f t="shared" si="193"/>
        <v>0</v>
      </c>
      <c r="P1167" s="56">
        <f t="shared" si="193"/>
        <v>468.21586500000001</v>
      </c>
      <c r="Q1167" s="56">
        <f t="shared" si="193"/>
        <v>0</v>
      </c>
      <c r="R1167" s="56">
        <f t="shared" si="193"/>
        <v>0</v>
      </c>
      <c r="S1167" s="53">
        <f t="shared" si="194"/>
        <v>468.21586500000001</v>
      </c>
      <c r="T1167" s="35" t="s">
        <v>169</v>
      </c>
      <c r="U1167" s="18" t="s">
        <v>1156</v>
      </c>
      <c r="V1167" s="19" t="str">
        <f>IF(OR($H1167="",$H1167="sif",$H1167="PM"),"",VLOOKUP($H1167,[5]CU!$C$5:$J$255,8,FALSE))</f>
        <v>3. Dépenses de fonctionnement</v>
      </c>
      <c r="W1167" s="18" t="s">
        <v>96</v>
      </c>
      <c r="X1167" s="18" t="s">
        <v>1371</v>
      </c>
      <c r="Y1167" s="18" t="s">
        <v>677</v>
      </c>
      <c r="Z1167" s="19" t="str">
        <f>A1167 &amp; "-" &amp; VLOOKUP(A1167,[4]PROGRAMMES!$E$1:$F$7,2,FALSE)</f>
        <v>3-Expansion et réforme de l’ETFP</v>
      </c>
      <c r="AA1167" s="19" t="str">
        <f>B1167 &amp; "-" &amp; VLOOKUP(B1167,[4]SOUSPROGRAMMES!$E$1:$F$44,2,FALSE)</f>
        <v>36- Renforcement des capacités de pilotage et de gestion dans le cadre d’une gouvernance parteunariale multi niveaux</v>
      </c>
      <c r="AB1167" s="19" t="str">
        <f>C1167 &amp; "-" &amp; VLOOKUP(C1167,[4]RESULTATS!$E$1:$F$176,2,FALSE)</f>
        <v>365-Le dispositif de communication et d’orientation professionnelle est opérationnel</v>
      </c>
      <c r="AC1167" s="20" t="str">
        <f>D1167 &amp; "-" &amp; VLOOKUP(D1167,[4]STRATEGIES!$E$1:$F$504,2,FALSE)</f>
        <v>3651-Configuration du dispositif de communication et d’orientation professionnelle</v>
      </c>
      <c r="AD1167" s="21" t="str">
        <f t="shared" si="191"/>
        <v>36511-Etude pour la déFinition du dispositif de communication sur l'orientation professionnelle</v>
      </c>
    </row>
    <row r="1168" spans="1:30" s="22" customFormat="1" ht="60" hidden="1" customHeight="1" x14ac:dyDescent="0.8">
      <c r="A1168" s="14">
        <v>3</v>
      </c>
      <c r="B1168" s="15">
        <v>36</v>
      </c>
      <c r="C1168" s="15">
        <v>365</v>
      </c>
      <c r="D1168" s="15">
        <v>3651</v>
      </c>
      <c r="E1168" s="14">
        <v>36512</v>
      </c>
      <c r="F1168" s="16" t="s">
        <v>1537</v>
      </c>
      <c r="G1168" s="21" t="s">
        <v>298</v>
      </c>
      <c r="H1168" s="17" t="s">
        <v>38</v>
      </c>
      <c r="I1168" s="56">
        <v>0</v>
      </c>
      <c r="J1168" s="56">
        <f>30*2</f>
        <v>60</v>
      </c>
      <c r="K1168" s="56"/>
      <c r="L1168" s="56"/>
      <c r="M1168" s="56">
        <f t="shared" si="192"/>
        <v>60</v>
      </c>
      <c r="N1168" s="56">
        <f>IF(OR(H1168="",H1168="sif",H1168="PM"),0,VLOOKUP(H1168,[5]CU!$C$4:$H$255,6,FALSE))</f>
        <v>0.3133333333333333</v>
      </c>
      <c r="O1168" s="56">
        <f t="shared" si="193"/>
        <v>0</v>
      </c>
      <c r="P1168" s="56">
        <f t="shared" si="193"/>
        <v>18.799999999999997</v>
      </c>
      <c r="Q1168" s="56">
        <f t="shared" si="193"/>
        <v>0</v>
      </c>
      <c r="R1168" s="56">
        <f t="shared" si="193"/>
        <v>0</v>
      </c>
      <c r="S1168" s="53">
        <f t="shared" si="194"/>
        <v>18.799999999999997</v>
      </c>
      <c r="T1168" s="35" t="s">
        <v>169</v>
      </c>
      <c r="U1168" s="18" t="s">
        <v>1156</v>
      </c>
      <c r="V1168" s="19" t="str">
        <f>IF(OR($H1168="",$H1168="sif",$H1168="PM"),"",VLOOKUP($H1168,[5]CU!$C$5:$J$255,8,FALSE))</f>
        <v>3. Formation</v>
      </c>
      <c r="W1168" s="18" t="s">
        <v>96</v>
      </c>
      <c r="X1168" s="18" t="s">
        <v>1334</v>
      </c>
      <c r="Y1168" s="18" t="s">
        <v>677</v>
      </c>
      <c r="Z1168" s="19" t="str">
        <f>A1168 &amp; "-" &amp; VLOOKUP(A1168,[4]PROGRAMMES!$E$1:$F$7,2,FALSE)</f>
        <v>3-Expansion et réforme de l’ETFP</v>
      </c>
      <c r="AA1168" s="19" t="str">
        <f>B1168 &amp; "-" &amp; VLOOKUP(B1168,[4]SOUSPROGRAMMES!$E$1:$F$44,2,FALSE)</f>
        <v>36- Renforcement des capacités de pilotage et de gestion dans le cadre d’une gouvernance parteunariale multi niveaux</v>
      </c>
      <c r="AB1168" s="19" t="str">
        <f>C1168 &amp; "-" &amp; VLOOKUP(C1168,[4]RESULTATS!$E$1:$F$176,2,FALSE)</f>
        <v>365-Le dispositif de communication et d’orientation professionnelle est opérationnel</v>
      </c>
      <c r="AC1168" s="20" t="str">
        <f>D1168 &amp; "-" &amp; VLOOKUP(D1168,[4]STRATEGIES!$E$1:$F$504,2,FALSE)</f>
        <v>3651-Configuration du dispositif de communication et d’orientation professionnelle</v>
      </c>
      <c r="AD1168" s="21" t="str">
        <f t="shared" si="191"/>
        <v>36512-Validation des résultats de l'étude</v>
      </c>
    </row>
    <row r="1169" spans="1:30" s="22" customFormat="1" ht="60" hidden="1" customHeight="1" x14ac:dyDescent="0.8">
      <c r="A1169" s="14">
        <v>3</v>
      </c>
      <c r="B1169" s="15">
        <v>36</v>
      </c>
      <c r="C1169" s="15">
        <v>365</v>
      </c>
      <c r="D1169" s="15">
        <v>3651</v>
      </c>
      <c r="E1169" s="14">
        <v>36513</v>
      </c>
      <c r="F1169" s="16" t="s">
        <v>1538</v>
      </c>
      <c r="G1169" s="21" t="s">
        <v>298</v>
      </c>
      <c r="H1169" s="17" t="s">
        <v>38</v>
      </c>
      <c r="I1169" s="56">
        <v>0</v>
      </c>
      <c r="J1169" s="56"/>
      <c r="K1169" s="56">
        <f>30*2</f>
        <v>60</v>
      </c>
      <c r="L1169" s="56"/>
      <c r="M1169" s="56">
        <f t="shared" si="192"/>
        <v>60</v>
      </c>
      <c r="N1169" s="56">
        <f>IF(OR(H1169="",H1169="sif",H1169="PM"),0,VLOOKUP(H1169,[5]CU!$C$4:$H$255,6,FALSE))</f>
        <v>0.3133333333333333</v>
      </c>
      <c r="O1169" s="56">
        <f t="shared" si="193"/>
        <v>0</v>
      </c>
      <c r="P1169" s="56">
        <f t="shared" si="193"/>
        <v>0</v>
      </c>
      <c r="Q1169" s="56">
        <f t="shared" si="193"/>
        <v>18.799999999999997</v>
      </c>
      <c r="R1169" s="56">
        <f t="shared" si="193"/>
        <v>0</v>
      </c>
      <c r="S1169" s="53">
        <f t="shared" si="194"/>
        <v>18.799999999999997</v>
      </c>
      <c r="T1169" s="35" t="s">
        <v>169</v>
      </c>
      <c r="U1169" s="18" t="s">
        <v>1156</v>
      </c>
      <c r="V1169" s="19" t="str">
        <f>IF(OR($H1169="",$H1169="sif",$H1169="PM"),"",VLOOKUP($H1169,[5]CU!$C$5:$J$255,8,FALSE))</f>
        <v>3. Formation</v>
      </c>
      <c r="W1169" s="18" t="s">
        <v>96</v>
      </c>
      <c r="X1169" s="18" t="s">
        <v>1334</v>
      </c>
      <c r="Y1169" s="18" t="s">
        <v>677</v>
      </c>
      <c r="Z1169" s="19" t="str">
        <f>A1169 &amp; "-" &amp; VLOOKUP(A1169,[4]PROGRAMMES!$E$1:$F$7,2,FALSE)</f>
        <v>3-Expansion et réforme de l’ETFP</v>
      </c>
      <c r="AA1169" s="19" t="str">
        <f>B1169 &amp; "-" &amp; VLOOKUP(B1169,[4]SOUSPROGRAMMES!$E$1:$F$44,2,FALSE)</f>
        <v>36- Renforcement des capacités de pilotage et de gestion dans le cadre d’une gouvernance parteunariale multi niveaux</v>
      </c>
      <c r="AB1169" s="19" t="str">
        <f>C1169 &amp; "-" &amp; VLOOKUP(C1169,[4]RESULTATS!$E$1:$F$176,2,FALSE)</f>
        <v>365-Le dispositif de communication et d’orientation professionnelle est opérationnel</v>
      </c>
      <c r="AC1169" s="20" t="str">
        <f>D1169 &amp; "-" &amp; VLOOKUP(D1169,[4]STRATEGIES!$E$1:$F$504,2,FALSE)</f>
        <v>3651-Configuration du dispositif de communication et d’orientation professionnelle</v>
      </c>
      <c r="AD1169" s="21" t="str">
        <f t="shared" si="191"/>
        <v>36513-Vulgarisation du dispositif de communication</v>
      </c>
    </row>
    <row r="1170" spans="1:30" s="22" customFormat="1" ht="60" customHeight="1" x14ac:dyDescent="0.8">
      <c r="A1170" s="14">
        <v>3</v>
      </c>
      <c r="B1170" s="15">
        <v>36</v>
      </c>
      <c r="C1170" s="15">
        <v>365</v>
      </c>
      <c r="D1170" s="15">
        <v>3652</v>
      </c>
      <c r="E1170" s="14">
        <v>3652</v>
      </c>
      <c r="F1170" s="16" t="s">
        <v>1539</v>
      </c>
      <c r="G1170" s="17"/>
      <c r="H1170" s="17"/>
      <c r="I1170" s="56">
        <v>0</v>
      </c>
      <c r="J1170" s="56"/>
      <c r="K1170" s="56"/>
      <c r="L1170" s="56"/>
      <c r="M1170" s="56"/>
      <c r="N1170" s="56"/>
      <c r="O1170" s="56"/>
      <c r="P1170" s="56"/>
      <c r="Q1170" s="56"/>
      <c r="R1170" s="56"/>
      <c r="S1170" s="53"/>
      <c r="T1170" s="33"/>
      <c r="U1170" s="18"/>
      <c r="V1170" s="19"/>
      <c r="W1170" s="18"/>
      <c r="X1170" s="18"/>
      <c r="Y1170" s="18" t="s">
        <v>677</v>
      </c>
      <c r="Z1170" s="19" t="str">
        <f>A1170 &amp; "-" &amp; VLOOKUP(A1170,[4]PROGRAMMES!$E$1:$F$7,2,FALSE)</f>
        <v>3-Expansion et réforme de l’ETFP</v>
      </c>
      <c r="AA1170" s="19" t="str">
        <f>B1170 &amp; "-" &amp; VLOOKUP(B1170,[4]SOUSPROGRAMMES!$E$1:$F$44,2,FALSE)</f>
        <v>36- Renforcement des capacités de pilotage et de gestion dans le cadre d’une gouvernance parteunariale multi niveaux</v>
      </c>
      <c r="AB1170" s="19" t="str">
        <f>C1170 &amp; "-" &amp; VLOOKUP(C1170,[4]RESULTATS!$E$1:$F$176,2,FALSE)</f>
        <v>365-Le dispositif de communication et d’orientation professionnelle est opérationnel</v>
      </c>
      <c r="AC1170" s="20" t="str">
        <f>D1170 &amp; "-" &amp; VLOOKUP(D1170,[4]STRATEGIES!$E$1:$F$504,2,FALSE)</f>
        <v>3652-Mise en œuvre du dispositif de communication</v>
      </c>
      <c r="AD1170" s="21" t="str">
        <f t="shared" si="191"/>
        <v>3652-Mise en œuvre du dispositif de communication</v>
      </c>
    </row>
    <row r="1171" spans="1:30" s="22" customFormat="1" ht="60" hidden="1" customHeight="1" x14ac:dyDescent="0.8">
      <c r="A1171" s="14">
        <v>3</v>
      </c>
      <c r="B1171" s="15">
        <v>36</v>
      </c>
      <c r="C1171" s="15">
        <v>365</v>
      </c>
      <c r="D1171" s="15">
        <v>3652</v>
      </c>
      <c r="E1171" s="14"/>
      <c r="F1171" s="16" t="s">
        <v>1540</v>
      </c>
      <c r="G1171" s="21"/>
      <c r="H1171" s="17"/>
      <c r="I1171" s="56">
        <v>0</v>
      </c>
      <c r="J1171" s="56"/>
      <c r="K1171" s="56"/>
      <c r="L1171" s="56"/>
      <c r="M1171" s="56"/>
      <c r="N1171" s="56"/>
      <c r="O1171" s="56"/>
      <c r="P1171" s="56"/>
      <c r="Q1171" s="56"/>
      <c r="R1171" s="56"/>
      <c r="S1171" s="53"/>
      <c r="T1171" s="35" t="s">
        <v>56</v>
      </c>
      <c r="U1171" s="18" t="s">
        <v>1156</v>
      </c>
      <c r="V1171" s="19" t="str">
        <f>IF(OR($H1171="",$H1171="sif",$H1171="PM"),"",VLOOKUP($H1171,[5]CU!$C$5:$J$255,8,FALSE))</f>
        <v/>
      </c>
      <c r="W1171" s="18"/>
      <c r="X1171" s="18"/>
      <c r="Y1171" s="18" t="s">
        <v>677</v>
      </c>
      <c r="Z1171" s="19" t="str">
        <f>A1171 &amp; "-" &amp; VLOOKUP(A1171,[4]PROGRAMMES!$E$1:$F$7,2,FALSE)</f>
        <v>3-Expansion et réforme de l’ETFP</v>
      </c>
      <c r="AA1171" s="19" t="str">
        <f>B1171 &amp; "-" &amp; VLOOKUP(B1171,[4]SOUSPROGRAMMES!$E$1:$F$44,2,FALSE)</f>
        <v>36- Renforcement des capacités de pilotage et de gestion dans le cadre d’une gouvernance parteunariale multi niveaux</v>
      </c>
      <c r="AB1171" s="19" t="str">
        <f>C1171 &amp; "-" &amp; VLOOKUP(C1171,[4]RESULTATS!$E$1:$F$176,2,FALSE)</f>
        <v>365-Le dispositif de communication et d’orientation professionnelle est opérationnel</v>
      </c>
      <c r="AC1171" s="20" t="str">
        <f>D1171 &amp; "-" &amp; VLOOKUP(D1171,[4]STRATEGIES!$E$1:$F$504,2,FALSE)</f>
        <v>3652-Mise en œuvre du dispositif de communication</v>
      </c>
      <c r="AD1171" s="21" t="str">
        <f t="shared" si="191"/>
        <v>-PM (mis en œuvre dans le prochain PAPB)</v>
      </c>
    </row>
    <row r="1172" spans="1:30" s="22" customFormat="1" ht="60" customHeight="1" x14ac:dyDescent="0.8">
      <c r="A1172" s="14">
        <v>3</v>
      </c>
      <c r="B1172" s="15">
        <v>36</v>
      </c>
      <c r="C1172" s="15">
        <v>366</v>
      </c>
      <c r="D1172" s="15">
        <v>366</v>
      </c>
      <c r="E1172" s="14">
        <v>366</v>
      </c>
      <c r="F1172" s="16" t="s">
        <v>1541</v>
      </c>
      <c r="G1172" s="17"/>
      <c r="H1172" s="17"/>
      <c r="I1172" s="56">
        <v>0</v>
      </c>
      <c r="J1172" s="56"/>
      <c r="K1172" s="56"/>
      <c r="L1172" s="56"/>
      <c r="M1172" s="56"/>
      <c r="N1172" s="56"/>
      <c r="O1172" s="56"/>
      <c r="P1172" s="56"/>
      <c r="Q1172" s="56"/>
      <c r="R1172" s="56"/>
      <c r="S1172" s="53"/>
      <c r="T1172" s="33"/>
      <c r="U1172" s="18"/>
      <c r="V1172" s="19"/>
      <c r="W1172" s="18"/>
      <c r="X1172" s="18"/>
      <c r="Y1172" s="18" t="s">
        <v>677</v>
      </c>
      <c r="Z1172" s="19" t="str">
        <f>A1172 &amp; "-" &amp; VLOOKUP(A1172,[4]PROGRAMMES!$E$1:$F$7,2,FALSE)</f>
        <v>3-Expansion et réforme de l’ETFP</v>
      </c>
      <c r="AA1172" s="19" t="str">
        <f>B1172 &amp; "-" &amp; VLOOKUP(B1172,[4]SOUSPROGRAMMES!$E$1:$F$44,2,FALSE)</f>
        <v>36- Renforcement des capacités de pilotage et de gestion dans le cadre d’une gouvernance parteunariale multi niveaux</v>
      </c>
      <c r="AB1172" s="19" t="str">
        <f>C1172 &amp; "-" &amp; VLOOKUP(C1172,[4]RESULTATS!$E$1:$F$176,2,FALSE)</f>
        <v>366- Un système d’assurance qualité est mis en place</v>
      </c>
      <c r="AC1172" s="20" t="str">
        <f>D1172 &amp; "-" &amp; VLOOKUP(D1172,[4]STRATEGIES!$E$1:$F$504,2,FALSE)</f>
        <v>366- Un système d’assurance qualité est mis en place</v>
      </c>
      <c r="AD1172" s="21" t="str">
        <f t="shared" si="191"/>
        <v>366- Un système d’assurance qualité est mis en place</v>
      </c>
    </row>
    <row r="1173" spans="1:30" s="22" customFormat="1" ht="60" customHeight="1" x14ac:dyDescent="0.8">
      <c r="A1173" s="14">
        <v>3</v>
      </c>
      <c r="B1173" s="15">
        <v>36</v>
      </c>
      <c r="C1173" s="15">
        <v>366</v>
      </c>
      <c r="D1173" s="15">
        <v>3661</v>
      </c>
      <c r="E1173" s="14">
        <v>3661</v>
      </c>
      <c r="F1173" s="16" t="s">
        <v>1542</v>
      </c>
      <c r="G1173" s="17"/>
      <c r="H1173" s="17"/>
      <c r="I1173" s="56">
        <v>0</v>
      </c>
      <c r="J1173" s="56"/>
      <c r="K1173" s="56"/>
      <c r="L1173" s="56"/>
      <c r="M1173" s="56"/>
      <c r="N1173" s="56"/>
      <c r="O1173" s="56"/>
      <c r="P1173" s="56"/>
      <c r="Q1173" s="56"/>
      <c r="R1173" s="56"/>
      <c r="S1173" s="53"/>
      <c r="T1173" s="33"/>
      <c r="U1173" s="18"/>
      <c r="V1173" s="19"/>
      <c r="W1173" s="18"/>
      <c r="X1173" s="18"/>
      <c r="Y1173" s="18" t="s">
        <v>677</v>
      </c>
      <c r="Z1173" s="19" t="str">
        <f>A1173 &amp; "-" &amp; VLOOKUP(A1173,[4]PROGRAMMES!$E$1:$F$7,2,FALSE)</f>
        <v>3-Expansion et réforme de l’ETFP</v>
      </c>
      <c r="AA1173" s="19" t="str">
        <f>B1173 &amp; "-" &amp; VLOOKUP(B1173,[4]SOUSPROGRAMMES!$E$1:$F$44,2,FALSE)</f>
        <v>36- Renforcement des capacités de pilotage et de gestion dans le cadre d’une gouvernance parteunariale multi niveaux</v>
      </c>
      <c r="AB1173" s="19" t="str">
        <f>C1173 &amp; "-" &amp; VLOOKUP(C1173,[4]RESULTATS!$E$1:$F$176,2,FALSE)</f>
        <v>366- Un système d’assurance qualité est mis en place</v>
      </c>
      <c r="AC1173" s="20" t="str">
        <f>D1173 &amp; "-" &amp; VLOOKUP(D1173,[4]STRATEGIES!$E$1:$F$504,2,FALSE)</f>
        <v>3661-Développement du système d’assurance qualité en cours de mise en œuvre</v>
      </c>
      <c r="AD1173" s="21" t="str">
        <f t="shared" si="191"/>
        <v>3661-Développement du système d’assurance qualité en cours de mise en œuvre</v>
      </c>
    </row>
    <row r="1174" spans="1:30" s="22" customFormat="1" ht="60" hidden="1" customHeight="1" x14ac:dyDescent="0.8">
      <c r="A1174" s="14">
        <v>3</v>
      </c>
      <c r="B1174" s="15">
        <v>36</v>
      </c>
      <c r="C1174" s="15">
        <v>366</v>
      </c>
      <c r="D1174" s="15">
        <v>3661</v>
      </c>
      <c r="E1174" s="14">
        <v>36611</v>
      </c>
      <c r="F1174" s="16" t="s">
        <v>1543</v>
      </c>
      <c r="G1174" s="21" t="s">
        <v>836</v>
      </c>
      <c r="H1174" s="17" t="s">
        <v>55</v>
      </c>
      <c r="I1174" s="56">
        <v>0</v>
      </c>
      <c r="J1174" s="56">
        <v>1</v>
      </c>
      <c r="K1174" s="56">
        <v>1</v>
      </c>
      <c r="L1174" s="56">
        <v>1</v>
      </c>
      <c r="M1174" s="56">
        <f t="shared" ref="M1174:M1190" si="195">SUM(I1174:L1174)</f>
        <v>3</v>
      </c>
      <c r="N1174" s="56">
        <f>IF(OR(H1174="",H1174="sif",H1174="PM"),0,VLOOKUP(H1174,[5]CU!$C$4:$H$255,6,FALSE))</f>
        <v>0</v>
      </c>
      <c r="O1174" s="56">
        <f t="shared" ref="O1174:R1190" si="196">IFERROR($N1174*I1174,0)</f>
        <v>0</v>
      </c>
      <c r="P1174" s="56">
        <f t="shared" si="196"/>
        <v>0</v>
      </c>
      <c r="Q1174" s="56">
        <f t="shared" si="196"/>
        <v>0</v>
      </c>
      <c r="R1174" s="56">
        <f t="shared" si="196"/>
        <v>0</v>
      </c>
      <c r="S1174" s="53"/>
      <c r="T1174" s="35" t="s">
        <v>56</v>
      </c>
      <c r="U1174" s="18" t="s">
        <v>1156</v>
      </c>
      <c r="V1174" s="19" t="str">
        <f>IF(OR($H1174="",$H1174="sif",$H1174="PM"),"",VLOOKUP($H1174,[5]CU!$C$5:$J$255,8,FALSE))</f>
        <v/>
      </c>
      <c r="W1174" s="18" t="s">
        <v>1334</v>
      </c>
      <c r="X1174" s="19" t="s">
        <v>1544</v>
      </c>
      <c r="Y1174" s="18" t="s">
        <v>677</v>
      </c>
      <c r="Z1174" s="19" t="str">
        <f>A1174 &amp; "-" &amp; VLOOKUP(A1174,[4]PROGRAMMES!$E$1:$F$7,2,FALSE)</f>
        <v>3-Expansion et réforme de l’ETFP</v>
      </c>
      <c r="AA1174" s="19" t="str">
        <f>B1174 &amp; "-" &amp; VLOOKUP(B1174,[4]SOUSPROGRAMMES!$E$1:$F$44,2,FALSE)</f>
        <v>36- Renforcement des capacités de pilotage et de gestion dans le cadre d’une gouvernance parteunariale multi niveaux</v>
      </c>
      <c r="AB1174" s="19" t="str">
        <f>C1174 &amp; "-" &amp; VLOOKUP(C1174,[4]RESULTATS!$E$1:$F$176,2,FALSE)</f>
        <v>366- Un système d’assurance qualité est mis en place</v>
      </c>
      <c r="AC1174" s="20" t="str">
        <f>D1174 &amp; "-" &amp; VLOOKUP(D1174,[4]STRATEGIES!$E$1:$F$504,2,FALSE)</f>
        <v>3661-Développement du système d’assurance qualité en cours de mise en œuvre</v>
      </c>
      <c r="AD1174" s="21" t="str">
        <f t="shared" si="191"/>
        <v>36611-Auto-évaluation des programmes pilotes sur la base du manuel de procédures</v>
      </c>
    </row>
    <row r="1175" spans="1:30" s="22" customFormat="1" ht="60" customHeight="1" x14ac:dyDescent="0.8">
      <c r="A1175" s="14">
        <v>3</v>
      </c>
      <c r="B1175" s="15">
        <v>36</v>
      </c>
      <c r="C1175" s="15">
        <v>366</v>
      </c>
      <c r="D1175" s="15">
        <v>3661</v>
      </c>
      <c r="E1175" s="14">
        <v>36612</v>
      </c>
      <c r="F1175" s="16" t="s">
        <v>1545</v>
      </c>
      <c r="G1175" s="21" t="s">
        <v>100</v>
      </c>
      <c r="H1175" s="17" t="s">
        <v>646</v>
      </c>
      <c r="I1175" s="56">
        <v>0</v>
      </c>
      <c r="J1175" s="56">
        <f>((1*15)*20)*23.08%</f>
        <v>69.239999999999995</v>
      </c>
      <c r="K1175" s="56">
        <f>((1*15)*30)*23.08%</f>
        <v>103.85999999999999</v>
      </c>
      <c r="L1175" s="56"/>
      <c r="M1175" s="56">
        <f>SUM(I1175:L1175)</f>
        <v>173.09999999999997</v>
      </c>
      <c r="N1175" s="56">
        <f>IF(OR(H1175="",H1175="sif",H1175="PM"),0,VLOOKUP(H1175,[5]CU!$C$4:$H$255,6,FALSE))</f>
        <v>10.404797</v>
      </c>
      <c r="O1175" s="56">
        <f>IFERROR($N1175*I1175,0)</f>
        <v>0</v>
      </c>
      <c r="P1175" s="56">
        <f>IFERROR($N1175*J1175,0)</f>
        <v>720.42814427999997</v>
      </c>
      <c r="Q1175" s="56">
        <f>IFERROR($N1175*K1175,0)</f>
        <v>1080.6422164199998</v>
      </c>
      <c r="R1175" s="56">
        <f>IFERROR($N1175*L1175,0)</f>
        <v>0</v>
      </c>
      <c r="S1175" s="53">
        <f>SUM(O1175:R1175)</f>
        <v>1801.0703606999998</v>
      </c>
      <c r="T1175" s="35" t="s">
        <v>1304</v>
      </c>
      <c r="U1175" s="19" t="s">
        <v>1156</v>
      </c>
      <c r="V1175" s="19" t="str">
        <f>IF(OR($H1175="",$H1175="sif",$H1175="PM"),"",VLOOKUP($H1175,[5]CU!$C$5:$J$255,8,FALSE))</f>
        <v>3. Dépenses de fonctionnement</v>
      </c>
      <c r="W1175" s="19" t="s">
        <v>1546</v>
      </c>
      <c r="X1175" s="19" t="s">
        <v>100</v>
      </c>
      <c r="Y1175" s="18" t="s">
        <v>677</v>
      </c>
      <c r="Z1175" s="19" t="str">
        <f>A1175 &amp; "-" &amp; VLOOKUP(A1175,[4]PROGRAMMES!$E$1:$F$7,2,FALSE)</f>
        <v>3-Expansion et réforme de l’ETFP</v>
      </c>
      <c r="AA1175" s="19" t="str">
        <f>B1175 &amp; "-" &amp; VLOOKUP(B1175,[4]SOUSPROGRAMMES!$E$1:$F$44,2,FALSE)</f>
        <v>36- Renforcement des capacités de pilotage et de gestion dans le cadre d’une gouvernance parteunariale multi niveaux</v>
      </c>
      <c r="AB1175" s="19" t="str">
        <f>C1175 &amp; "-" &amp; VLOOKUP(C1175,[4]RESULTATS!$E$1:$F$176,2,FALSE)</f>
        <v>366- Un système d’assurance qualité est mis en place</v>
      </c>
      <c r="AC1175" s="20" t="str">
        <f>D1175 &amp; "-" &amp; VLOOKUP(D1175,[4]STRATEGIES!$E$1:$F$504,2,FALSE)</f>
        <v>3661-Développement du système d’assurance qualité en cours de mise en œuvre</v>
      </c>
      <c r="AD1175" s="21" t="str">
        <f t="shared" si="191"/>
        <v>36612-Evaluation indépendante des programmes pilotes</v>
      </c>
    </row>
    <row r="1176" spans="1:30" s="22" customFormat="1" ht="60" hidden="1" customHeight="1" x14ac:dyDescent="0.8">
      <c r="A1176" s="14">
        <v>3</v>
      </c>
      <c r="B1176" s="15">
        <v>36</v>
      </c>
      <c r="C1176" s="15">
        <v>366</v>
      </c>
      <c r="D1176" s="15">
        <v>3661</v>
      </c>
      <c r="E1176" s="14">
        <v>36612</v>
      </c>
      <c r="F1176" s="16" t="s">
        <v>1545</v>
      </c>
      <c r="G1176" s="21" t="s">
        <v>100</v>
      </c>
      <c r="H1176" s="17" t="s">
        <v>646</v>
      </c>
      <c r="I1176" s="56">
        <v>0</v>
      </c>
      <c r="J1176" s="56">
        <f>((1*15)*20)*76.92%</f>
        <v>230.76</v>
      </c>
      <c r="K1176" s="56">
        <f>((1*15)*30)*76.92%</f>
        <v>346.14</v>
      </c>
      <c r="L1176" s="56"/>
      <c r="M1176" s="56">
        <f t="shared" si="195"/>
        <v>576.9</v>
      </c>
      <c r="N1176" s="56">
        <f>IF(OR(H1176="",H1176="sif",H1176="PM"),0,VLOOKUP(H1176,[5]CU!$C$4:$H$255,6,FALSE))</f>
        <v>10.404797</v>
      </c>
      <c r="O1176" s="56">
        <f t="shared" si="196"/>
        <v>0</v>
      </c>
      <c r="P1176" s="56">
        <f t="shared" si="196"/>
        <v>2401.0109557199999</v>
      </c>
      <c r="Q1176" s="56">
        <f t="shared" si="196"/>
        <v>3601.51643358</v>
      </c>
      <c r="R1176" s="56">
        <f t="shared" si="196"/>
        <v>0</v>
      </c>
      <c r="S1176" s="53">
        <f>SUM(O1176:R1176)</f>
        <v>6002.5273892999994</v>
      </c>
      <c r="T1176" s="35" t="s">
        <v>56</v>
      </c>
      <c r="U1176" s="19" t="s">
        <v>1156</v>
      </c>
      <c r="V1176" s="19" t="str">
        <f>IF(OR($H1176="",$H1176="sif",$H1176="PM"),"",VLOOKUP($H1176,[5]CU!$C$5:$J$255,8,FALSE))</f>
        <v>3. Dépenses de fonctionnement</v>
      </c>
      <c r="W1176" s="19" t="s">
        <v>1546</v>
      </c>
      <c r="X1176" s="19" t="s">
        <v>100</v>
      </c>
      <c r="Y1176" s="18" t="s">
        <v>677</v>
      </c>
      <c r="Z1176" s="19" t="str">
        <f>A1176 &amp; "-" &amp; VLOOKUP(A1176,[4]PROGRAMMES!$E$1:$F$7,2,FALSE)</f>
        <v>3-Expansion et réforme de l’ETFP</v>
      </c>
      <c r="AA1176" s="19" t="str">
        <f>B1176 &amp; "-" &amp; VLOOKUP(B1176,[4]SOUSPROGRAMMES!$E$1:$F$44,2,FALSE)</f>
        <v>36- Renforcement des capacités de pilotage et de gestion dans le cadre d’une gouvernance parteunariale multi niveaux</v>
      </c>
      <c r="AB1176" s="19" t="str">
        <f>C1176 &amp; "-" &amp; VLOOKUP(C1176,[4]RESULTATS!$E$1:$F$176,2,FALSE)</f>
        <v>366- Un système d’assurance qualité est mis en place</v>
      </c>
      <c r="AC1176" s="20" t="str">
        <f>D1176 &amp; "-" &amp; VLOOKUP(D1176,[4]STRATEGIES!$E$1:$F$504,2,FALSE)</f>
        <v>3661-Développement du système d’assurance qualité en cours de mise en œuvre</v>
      </c>
      <c r="AD1176" s="21" t="str">
        <f t="shared" si="191"/>
        <v>36612-Evaluation indépendante des programmes pilotes</v>
      </c>
    </row>
    <row r="1177" spans="1:30" s="22" customFormat="1" ht="60" hidden="1" customHeight="1" x14ac:dyDescent="0.8">
      <c r="A1177" s="14">
        <v>3</v>
      </c>
      <c r="B1177" s="15">
        <v>36</v>
      </c>
      <c r="C1177" s="15">
        <v>366</v>
      </c>
      <c r="D1177" s="15">
        <v>3661</v>
      </c>
      <c r="E1177" s="14">
        <v>36613</v>
      </c>
      <c r="F1177" s="16" t="s">
        <v>1547</v>
      </c>
      <c r="G1177" s="21" t="s">
        <v>836</v>
      </c>
      <c r="H1177" s="17" t="s">
        <v>55</v>
      </c>
      <c r="I1177" s="56">
        <v>0</v>
      </c>
      <c r="J1177" s="56">
        <v>1</v>
      </c>
      <c r="K1177" s="56">
        <v>1</v>
      </c>
      <c r="L1177" s="56">
        <v>1</v>
      </c>
      <c r="M1177" s="56">
        <f t="shared" si="195"/>
        <v>3</v>
      </c>
      <c r="N1177" s="56">
        <f>IF(OR(H1177="",H1177="sif",H1177="PM"),0,VLOOKUP(H1177,[5]CU!$C$4:$H$255,6,FALSE))</f>
        <v>0</v>
      </c>
      <c r="O1177" s="56">
        <f t="shared" si="196"/>
        <v>0</v>
      </c>
      <c r="P1177" s="56">
        <f t="shared" si="196"/>
        <v>0</v>
      </c>
      <c r="Q1177" s="56">
        <f t="shared" si="196"/>
        <v>0</v>
      </c>
      <c r="R1177" s="56">
        <f t="shared" si="196"/>
        <v>0</v>
      </c>
      <c r="S1177" s="53"/>
      <c r="T1177" s="35" t="s">
        <v>56</v>
      </c>
      <c r="U1177" s="18" t="s">
        <v>1156</v>
      </c>
      <c r="V1177" s="19" t="str">
        <f>IF(OR($H1177="",$H1177="sif",$H1177="PM"),"",VLOOKUP($H1177,[5]CU!$C$5:$J$255,8,FALSE))</f>
        <v/>
      </c>
      <c r="W1177" s="18" t="s">
        <v>1546</v>
      </c>
      <c r="X1177" s="18" t="s">
        <v>1548</v>
      </c>
      <c r="Y1177" s="18" t="s">
        <v>677</v>
      </c>
      <c r="Z1177" s="19" t="str">
        <f>A1177 &amp; "-" &amp; VLOOKUP(A1177,[4]PROGRAMMES!$E$1:$F$7,2,FALSE)</f>
        <v>3-Expansion et réforme de l’ETFP</v>
      </c>
      <c r="AA1177" s="19" t="str">
        <f>B1177 &amp; "-" &amp; VLOOKUP(B1177,[4]SOUSPROGRAMMES!$E$1:$F$44,2,FALSE)</f>
        <v>36- Renforcement des capacités de pilotage et de gestion dans le cadre d’une gouvernance parteunariale multi niveaux</v>
      </c>
      <c r="AB1177" s="19" t="str">
        <f>C1177 &amp; "-" &amp; VLOOKUP(C1177,[4]RESULTATS!$E$1:$F$176,2,FALSE)</f>
        <v>366- Un système d’assurance qualité est mis en place</v>
      </c>
      <c r="AC1177" s="20" t="str">
        <f>D1177 &amp; "-" &amp; VLOOKUP(D1177,[4]STRATEGIES!$E$1:$F$504,2,FALSE)</f>
        <v>3661-Développement du système d’assurance qualité en cours de mise en œuvre</v>
      </c>
      <c r="AD1177" s="21" t="str">
        <f t="shared" si="191"/>
        <v>36613-Accréditation des programmes ayant satisfait à l'évaluation</v>
      </c>
    </row>
    <row r="1178" spans="1:30" s="22" customFormat="1" ht="60" hidden="1" customHeight="1" x14ac:dyDescent="0.8">
      <c r="A1178" s="14">
        <v>3</v>
      </c>
      <c r="B1178" s="15">
        <v>36</v>
      </c>
      <c r="C1178" s="15">
        <v>366</v>
      </c>
      <c r="D1178" s="15">
        <v>3661</v>
      </c>
      <c r="E1178" s="14">
        <v>36614</v>
      </c>
      <c r="F1178" s="16" t="s">
        <v>1549</v>
      </c>
      <c r="G1178" s="21" t="s">
        <v>836</v>
      </c>
      <c r="H1178" s="17" t="s">
        <v>55</v>
      </c>
      <c r="I1178" s="56">
        <v>0</v>
      </c>
      <c r="J1178" s="56">
        <v>1</v>
      </c>
      <c r="K1178" s="56">
        <v>1</v>
      </c>
      <c r="L1178" s="56">
        <v>1</v>
      </c>
      <c r="M1178" s="56">
        <f t="shared" si="195"/>
        <v>3</v>
      </c>
      <c r="N1178" s="56">
        <f>IF(OR(H1178="",H1178="sif",H1178="PM"),0,VLOOKUP(H1178,[5]CU!$C$4:$H$255,6,FALSE))</f>
        <v>0</v>
      </c>
      <c r="O1178" s="56">
        <f t="shared" si="196"/>
        <v>0</v>
      </c>
      <c r="P1178" s="56">
        <f t="shared" si="196"/>
        <v>0</v>
      </c>
      <c r="Q1178" s="56">
        <f t="shared" si="196"/>
        <v>0</v>
      </c>
      <c r="R1178" s="56">
        <f t="shared" si="196"/>
        <v>0</v>
      </c>
      <c r="S1178" s="53"/>
      <c r="T1178" s="35" t="s">
        <v>56</v>
      </c>
      <c r="U1178" s="18" t="s">
        <v>1156</v>
      </c>
      <c r="V1178" s="19" t="str">
        <f>IF(OR($H1178="",$H1178="sif",$H1178="PM"),"",VLOOKUP($H1178,[5]CU!$C$5:$J$255,8,FALSE))</f>
        <v/>
      </c>
      <c r="W1178" s="18" t="s">
        <v>1334</v>
      </c>
      <c r="X1178" s="18" t="s">
        <v>1548</v>
      </c>
      <c r="Y1178" s="18" t="s">
        <v>677</v>
      </c>
      <c r="Z1178" s="19" t="str">
        <f>A1178 &amp; "-" &amp; VLOOKUP(A1178,[4]PROGRAMMES!$E$1:$F$7,2,FALSE)</f>
        <v>3-Expansion et réforme de l’ETFP</v>
      </c>
      <c r="AA1178" s="19" t="str">
        <f>B1178 &amp; "-" &amp; VLOOKUP(B1178,[4]SOUSPROGRAMMES!$E$1:$F$44,2,FALSE)</f>
        <v>36- Renforcement des capacités de pilotage et de gestion dans le cadre d’une gouvernance parteunariale multi niveaux</v>
      </c>
      <c r="AB1178" s="19" t="str">
        <f>C1178 &amp; "-" &amp; VLOOKUP(C1178,[4]RESULTATS!$E$1:$F$176,2,FALSE)</f>
        <v>366- Un système d’assurance qualité est mis en place</v>
      </c>
      <c r="AC1178" s="20" t="str">
        <f>D1178 &amp; "-" &amp; VLOOKUP(D1178,[4]STRATEGIES!$E$1:$F$504,2,FALSE)</f>
        <v>3661-Développement du système d’assurance qualité en cours de mise en œuvre</v>
      </c>
      <c r="AD1178" s="21" t="str">
        <f t="shared" si="191"/>
        <v>36614-Mise à jour des programmes non accrédités en fonction des recommandations de l'évaluation</v>
      </c>
    </row>
    <row r="1179" spans="1:30" s="22" customFormat="1" ht="60" customHeight="1" x14ac:dyDescent="0.8">
      <c r="A1179" s="14">
        <v>3</v>
      </c>
      <c r="B1179" s="15">
        <v>36</v>
      </c>
      <c r="C1179" s="15">
        <v>366</v>
      </c>
      <c r="D1179" s="15">
        <v>3662</v>
      </c>
      <c r="E1179" s="14">
        <v>3662</v>
      </c>
      <c r="F1179" s="16" t="s">
        <v>1550</v>
      </c>
      <c r="G1179" s="17"/>
      <c r="H1179" s="17"/>
      <c r="I1179" s="56">
        <v>0</v>
      </c>
      <c r="J1179" s="56"/>
      <c r="K1179" s="56"/>
      <c r="L1179" s="56"/>
      <c r="M1179" s="56"/>
      <c r="N1179" s="56"/>
      <c r="O1179" s="56"/>
      <c r="P1179" s="56"/>
      <c r="Q1179" s="56"/>
      <c r="R1179" s="56"/>
      <c r="S1179" s="53"/>
      <c r="T1179" s="33"/>
      <c r="U1179" s="18"/>
      <c r="V1179" s="19"/>
      <c r="W1179" s="18"/>
      <c r="X1179" s="18"/>
      <c r="Y1179" s="18" t="s">
        <v>677</v>
      </c>
      <c r="Z1179" s="19" t="str">
        <f>A1179 &amp; "-" &amp; VLOOKUP(A1179,[4]PROGRAMMES!$E$1:$F$7,2,FALSE)</f>
        <v>3-Expansion et réforme de l’ETFP</v>
      </c>
      <c r="AA1179" s="19" t="str">
        <f>B1179 &amp; "-" &amp; VLOOKUP(B1179,[4]SOUSPROGRAMMES!$E$1:$F$44,2,FALSE)</f>
        <v>36- Renforcement des capacités de pilotage et de gestion dans le cadre d’une gouvernance parteunariale multi niveaux</v>
      </c>
      <c r="AB1179" s="19" t="str">
        <f>C1179 &amp; "-" &amp; VLOOKUP(C1179,[4]RESULTATS!$E$1:$F$176,2,FALSE)</f>
        <v>366- Un système d’assurance qualité est mis en place</v>
      </c>
      <c r="AC1179" s="20" t="str">
        <f>D1179 &amp; "-" &amp; VLOOKUP(D1179,[4]STRATEGIES!$E$1:$F$504,2,FALSE)</f>
        <v>3662-Extension de la mise en œuvre du système d’assurance qualité</v>
      </c>
      <c r="AD1179" s="21" t="str">
        <f t="shared" si="191"/>
        <v>3662-Extension de la mise en œuvre du système d’assurance qualité</v>
      </c>
    </row>
    <row r="1180" spans="1:30" s="22" customFormat="1" ht="60" customHeight="1" x14ac:dyDescent="0.8">
      <c r="A1180" s="14">
        <v>3</v>
      </c>
      <c r="B1180" s="15">
        <v>36</v>
      </c>
      <c r="C1180" s="15">
        <v>366</v>
      </c>
      <c r="D1180" s="15">
        <v>3662</v>
      </c>
      <c r="E1180" s="14">
        <v>36621</v>
      </c>
      <c r="F1180" s="16" t="s">
        <v>1551</v>
      </c>
      <c r="G1180" s="21" t="s">
        <v>436</v>
      </c>
      <c r="H1180" s="17" t="s">
        <v>301</v>
      </c>
      <c r="I1180" s="56">
        <v>0</v>
      </c>
      <c r="J1180" s="56">
        <f>60*2</f>
        <v>120</v>
      </c>
      <c r="K1180" s="56">
        <f>60*2</f>
        <v>120</v>
      </c>
      <c r="L1180" s="56"/>
      <c r="M1180" s="56">
        <f>SUM(I1180:L1180)</f>
        <v>240</v>
      </c>
      <c r="N1180" s="56">
        <f>IF(OR(H1180="",H1180="sif",H1180="PM"),0,VLOOKUP(H1180,[5]CU!$C$4:$H$255,6,FALSE))</f>
        <v>0.67666666666666664</v>
      </c>
      <c r="O1180" s="56">
        <f>IFERROR($N1180*I1180,0)</f>
        <v>0</v>
      </c>
      <c r="P1180" s="56">
        <f>IFERROR($N1180*J1180,0)</f>
        <v>81.2</v>
      </c>
      <c r="Q1180" s="56">
        <f>IFERROR($N1180*K1180,0)</f>
        <v>81.2</v>
      </c>
      <c r="R1180" s="56">
        <f>IFERROR($N1180*L1180,0)</f>
        <v>0</v>
      </c>
      <c r="S1180" s="53">
        <f>SUM(O1180:R1180)</f>
        <v>162.4</v>
      </c>
      <c r="T1180" s="35" t="s">
        <v>1304</v>
      </c>
      <c r="U1180" s="19" t="s">
        <v>1156</v>
      </c>
      <c r="V1180" s="19" t="str">
        <f>IF(OR($H1180="",$H1180="sif",$H1180="PM"),"",VLOOKUP($H1180,[5]CU!$C$5:$J$255,8,FALSE))</f>
        <v>3. Formation</v>
      </c>
      <c r="W1180" s="19" t="s">
        <v>1546</v>
      </c>
      <c r="X1180" s="19" t="s">
        <v>1162</v>
      </c>
      <c r="Y1180" s="18" t="s">
        <v>677</v>
      </c>
      <c r="Z1180" s="19" t="str">
        <f>A1180 &amp; "-" &amp; VLOOKUP(A1180,[4]PROGRAMMES!$E$1:$F$7,2,FALSE)</f>
        <v>3-Expansion et réforme de l’ETFP</v>
      </c>
      <c r="AA1180" s="19" t="str">
        <f>B1180 &amp; "-" &amp; VLOOKUP(B1180,[4]SOUSPROGRAMMES!$E$1:$F$44,2,FALSE)</f>
        <v>36- Renforcement des capacités de pilotage et de gestion dans le cadre d’une gouvernance parteunariale multi niveaux</v>
      </c>
      <c r="AB1180" s="19" t="str">
        <f>C1180 &amp; "-" &amp; VLOOKUP(C1180,[4]RESULTATS!$E$1:$F$176,2,FALSE)</f>
        <v>366- Un système d’assurance qualité est mis en place</v>
      </c>
      <c r="AC1180" s="20" t="str">
        <f>D1180 &amp; "-" &amp; VLOOKUP(D1180,[4]STRATEGIES!$E$1:$F$504,2,FALSE)</f>
        <v>3662-Extension de la mise en œuvre du système d’assurance qualité</v>
      </c>
      <c r="AD1180" s="21" t="str">
        <f t="shared" si="191"/>
        <v>36621-Formation des établissements sur l'assurance qualité (chefs d'établissements et de filières)</v>
      </c>
    </row>
    <row r="1181" spans="1:30" s="22" customFormat="1" ht="61" x14ac:dyDescent="0.8">
      <c r="A1181" s="14">
        <v>3</v>
      </c>
      <c r="B1181" s="15">
        <v>36</v>
      </c>
      <c r="C1181" s="15">
        <v>366</v>
      </c>
      <c r="D1181" s="15">
        <v>3662</v>
      </c>
      <c r="E1181" s="14">
        <v>36621</v>
      </c>
      <c r="F1181" s="16" t="s">
        <v>1551</v>
      </c>
      <c r="G1181" s="21" t="s">
        <v>436</v>
      </c>
      <c r="H1181" s="17" t="s">
        <v>301</v>
      </c>
      <c r="I1181" s="56">
        <v>0</v>
      </c>
      <c r="J1181" s="56"/>
      <c r="K1181" s="56"/>
      <c r="L1181" s="56">
        <f>60*2</f>
        <v>120</v>
      </c>
      <c r="M1181" s="56">
        <f t="shared" si="195"/>
        <v>120</v>
      </c>
      <c r="N1181" s="56">
        <f>IF(OR(H1181="",H1181="sif",H1181="PM"),0,VLOOKUP(H1181,[5]CU!$C$4:$H$255,6,FALSE))</f>
        <v>0.67666666666666664</v>
      </c>
      <c r="O1181" s="56">
        <f t="shared" si="196"/>
        <v>0</v>
      </c>
      <c r="P1181" s="56">
        <f t="shared" si="196"/>
        <v>0</v>
      </c>
      <c r="Q1181" s="56">
        <f t="shared" si="196"/>
        <v>0</v>
      </c>
      <c r="R1181" s="56">
        <f t="shared" si="196"/>
        <v>81.2</v>
      </c>
      <c r="S1181" s="53">
        <f>SUM(O1181:R1181)</f>
        <v>81.2</v>
      </c>
      <c r="T1181" s="35" t="s">
        <v>1276</v>
      </c>
      <c r="U1181" s="19" t="s">
        <v>1156</v>
      </c>
      <c r="V1181" s="19" t="str">
        <f>IF(OR($H1181="",$H1181="sif",$H1181="PM"),"",VLOOKUP($H1181,[5]CU!$C$5:$J$255,8,FALSE))</f>
        <v>3. Formation</v>
      </c>
      <c r="W1181" s="19" t="s">
        <v>1546</v>
      </c>
      <c r="X1181" s="19" t="s">
        <v>1162</v>
      </c>
      <c r="Y1181" s="18" t="s">
        <v>677</v>
      </c>
      <c r="Z1181" s="19" t="str">
        <f>A1181 &amp; "-" &amp; VLOOKUP(A1181,[4]PROGRAMMES!$E$1:$F$7,2,FALSE)</f>
        <v>3-Expansion et réforme de l’ETFP</v>
      </c>
      <c r="AA1181" s="19" t="str">
        <f>B1181 &amp; "-" &amp; VLOOKUP(B1181,[4]SOUSPROGRAMMES!$E$1:$F$44,2,FALSE)</f>
        <v>36- Renforcement des capacités de pilotage et de gestion dans le cadre d’une gouvernance parteunariale multi niveaux</v>
      </c>
      <c r="AB1181" s="19" t="str">
        <f>C1181 &amp; "-" &amp; VLOOKUP(C1181,[4]RESULTATS!$E$1:$F$176,2,FALSE)</f>
        <v>366- Un système d’assurance qualité est mis en place</v>
      </c>
      <c r="AC1181" s="20" t="str">
        <f>D1181 &amp; "-" &amp; VLOOKUP(D1181,[4]STRATEGIES!$E$1:$F$504,2,FALSE)</f>
        <v>3662-Extension de la mise en œuvre du système d’assurance qualité</v>
      </c>
      <c r="AD1181" s="21" t="str">
        <f t="shared" si="191"/>
        <v>36621-Formation des établissements sur l'assurance qualité (chefs d'établissements et de filières)</v>
      </c>
    </row>
    <row r="1182" spans="1:30" s="22" customFormat="1" ht="60" hidden="1" customHeight="1" x14ac:dyDescent="0.8">
      <c r="A1182" s="14">
        <v>3</v>
      </c>
      <c r="B1182" s="15">
        <v>36</v>
      </c>
      <c r="C1182" s="15">
        <v>366</v>
      </c>
      <c r="D1182" s="15">
        <v>3662</v>
      </c>
      <c r="E1182" s="14">
        <v>36622</v>
      </c>
      <c r="F1182" s="16" t="s">
        <v>1552</v>
      </c>
      <c r="G1182" s="21" t="s">
        <v>836</v>
      </c>
      <c r="H1182" s="17" t="s">
        <v>55</v>
      </c>
      <c r="I1182" s="56">
        <v>0</v>
      </c>
      <c r="J1182" s="56"/>
      <c r="K1182" s="56">
        <v>1</v>
      </c>
      <c r="L1182" s="56">
        <v>1</v>
      </c>
      <c r="M1182" s="56">
        <f t="shared" si="195"/>
        <v>2</v>
      </c>
      <c r="N1182" s="56">
        <f>IF(OR(H1182="",H1182="sif",H1182="PM"),0,VLOOKUP(H1182,[5]CU!$C$4:$H$255,6,FALSE))</f>
        <v>0</v>
      </c>
      <c r="O1182" s="56">
        <f t="shared" si="196"/>
        <v>0</v>
      </c>
      <c r="P1182" s="56">
        <f t="shared" si="196"/>
        <v>0</v>
      </c>
      <c r="Q1182" s="56">
        <f t="shared" si="196"/>
        <v>0</v>
      </c>
      <c r="R1182" s="56">
        <f t="shared" si="196"/>
        <v>0</v>
      </c>
      <c r="S1182" s="53"/>
      <c r="T1182" s="35" t="s">
        <v>56</v>
      </c>
      <c r="U1182" s="18" t="s">
        <v>1156</v>
      </c>
      <c r="V1182" s="19" t="str">
        <f>IF(OR($H1182="",$H1182="sif",$H1182="PM"),"",VLOOKUP($H1182,[5]CU!$C$5:$J$255,8,FALSE))</f>
        <v/>
      </c>
      <c r="W1182" s="18" t="s">
        <v>1548</v>
      </c>
      <c r="X1182" s="18" t="s">
        <v>1334</v>
      </c>
      <c r="Y1182" s="18" t="s">
        <v>677</v>
      </c>
      <c r="Z1182" s="19" t="str">
        <f>A1182 &amp; "-" &amp; VLOOKUP(A1182,[4]PROGRAMMES!$E$1:$F$7,2,FALSE)</f>
        <v>3-Expansion et réforme de l’ETFP</v>
      </c>
      <c r="AA1182" s="19" t="str">
        <f>B1182 &amp; "-" &amp; VLOOKUP(B1182,[4]SOUSPROGRAMMES!$E$1:$F$44,2,FALSE)</f>
        <v>36- Renforcement des capacités de pilotage et de gestion dans le cadre d’une gouvernance parteunariale multi niveaux</v>
      </c>
      <c r="AB1182" s="19" t="str">
        <f>C1182 &amp; "-" &amp; VLOOKUP(C1182,[4]RESULTATS!$E$1:$F$176,2,FALSE)</f>
        <v>366- Un système d’assurance qualité est mis en place</v>
      </c>
      <c r="AC1182" s="20" t="str">
        <f>D1182 &amp; "-" &amp; VLOOKUP(D1182,[4]STRATEGIES!$E$1:$F$504,2,FALSE)</f>
        <v>3662-Extension de la mise en œuvre du système d’assurance qualité</v>
      </c>
      <c r="AD1182" s="21" t="str">
        <f t="shared" si="191"/>
        <v>36622-Auto-évaluation des programmes retenues sur la base du manuel de procédures</v>
      </c>
    </row>
    <row r="1183" spans="1:30" s="22" customFormat="1" ht="60" hidden="1" customHeight="1" x14ac:dyDescent="0.8">
      <c r="A1183" s="14">
        <v>3</v>
      </c>
      <c r="B1183" s="15">
        <v>36</v>
      </c>
      <c r="C1183" s="15">
        <v>366</v>
      </c>
      <c r="D1183" s="15">
        <v>3662</v>
      </c>
      <c r="E1183" s="14">
        <v>36623</v>
      </c>
      <c r="F1183" s="16" t="s">
        <v>1553</v>
      </c>
      <c r="G1183" s="21" t="s">
        <v>100</v>
      </c>
      <c r="H1183" s="17" t="s">
        <v>646</v>
      </c>
      <c r="I1183" s="56">
        <v>0</v>
      </c>
      <c r="J1183" s="56"/>
      <c r="K1183" s="56">
        <f>1*45</f>
        <v>45</v>
      </c>
      <c r="L1183" s="56">
        <f>1*45</f>
        <v>45</v>
      </c>
      <c r="M1183" s="56">
        <f t="shared" si="195"/>
        <v>90</v>
      </c>
      <c r="N1183" s="56">
        <f>IF(OR(H1183="",H1183="sif",H1183="PM"),0,VLOOKUP(H1183,[5]CU!$C$4:$H$255,6,FALSE))</f>
        <v>10.404797</v>
      </c>
      <c r="O1183" s="56">
        <f t="shared" si="196"/>
        <v>0</v>
      </c>
      <c r="P1183" s="56">
        <f t="shared" si="196"/>
        <v>0</v>
      </c>
      <c r="Q1183" s="56">
        <f t="shared" si="196"/>
        <v>468.21586500000001</v>
      </c>
      <c r="R1183" s="56">
        <f t="shared" si="196"/>
        <v>468.21586500000001</v>
      </c>
      <c r="S1183" s="53">
        <f>SUM(O1183:R1183)</f>
        <v>936.43173000000002</v>
      </c>
      <c r="T1183" s="35" t="s">
        <v>56</v>
      </c>
      <c r="U1183" s="18" t="s">
        <v>1156</v>
      </c>
      <c r="V1183" s="19" t="str">
        <f>IF(OR($H1183="",$H1183="sif",$H1183="PM"),"",VLOOKUP($H1183,[5]CU!$C$5:$J$255,8,FALSE))</f>
        <v>3. Dépenses de fonctionnement</v>
      </c>
      <c r="W1183" s="18" t="s">
        <v>1546</v>
      </c>
      <c r="X1183" s="18" t="s">
        <v>100</v>
      </c>
      <c r="Y1183" s="18" t="s">
        <v>677</v>
      </c>
      <c r="Z1183" s="19" t="str">
        <f>A1183 &amp; "-" &amp; VLOOKUP(A1183,[4]PROGRAMMES!$E$1:$F$7,2,FALSE)</f>
        <v>3-Expansion et réforme de l’ETFP</v>
      </c>
      <c r="AA1183" s="19" t="str">
        <f>B1183 &amp; "-" &amp; VLOOKUP(B1183,[4]SOUSPROGRAMMES!$E$1:$F$44,2,FALSE)</f>
        <v>36- Renforcement des capacités de pilotage et de gestion dans le cadre d’une gouvernance parteunariale multi niveaux</v>
      </c>
      <c r="AB1183" s="19" t="str">
        <f>C1183 &amp; "-" &amp; VLOOKUP(C1183,[4]RESULTATS!$E$1:$F$176,2,FALSE)</f>
        <v>366- Un système d’assurance qualité est mis en place</v>
      </c>
      <c r="AC1183" s="20" t="str">
        <f>D1183 &amp; "-" &amp; VLOOKUP(D1183,[4]STRATEGIES!$E$1:$F$504,2,FALSE)</f>
        <v>3662-Extension de la mise en œuvre du système d’assurance qualité</v>
      </c>
      <c r="AD1183" s="21" t="str">
        <f t="shared" si="191"/>
        <v>36623-Evaluation indépendante des programmes retenus</v>
      </c>
    </row>
    <row r="1184" spans="1:30" s="22" customFormat="1" ht="60" customHeight="1" x14ac:dyDescent="0.8">
      <c r="A1184" s="14">
        <v>3</v>
      </c>
      <c r="B1184" s="15">
        <v>36</v>
      </c>
      <c r="C1184" s="15">
        <v>366</v>
      </c>
      <c r="D1184" s="15">
        <v>3663</v>
      </c>
      <c r="E1184" s="14">
        <v>3663</v>
      </c>
      <c r="F1184" s="16" t="s">
        <v>1554</v>
      </c>
      <c r="G1184" s="17"/>
      <c r="H1184" s="17"/>
      <c r="I1184" s="56">
        <v>0</v>
      </c>
      <c r="J1184" s="56"/>
      <c r="K1184" s="56"/>
      <c r="L1184" s="56"/>
      <c r="M1184" s="56"/>
      <c r="N1184" s="56"/>
      <c r="O1184" s="56"/>
      <c r="P1184" s="56"/>
      <c r="Q1184" s="56"/>
      <c r="R1184" s="56"/>
      <c r="S1184" s="53"/>
      <c r="T1184" s="33"/>
      <c r="U1184" s="18"/>
      <c r="V1184" s="19"/>
      <c r="W1184" s="18"/>
      <c r="X1184" s="18"/>
      <c r="Y1184" s="18" t="s">
        <v>677</v>
      </c>
      <c r="Z1184" s="19" t="str">
        <f>A1184 &amp; "-" &amp; VLOOKUP(A1184,[4]PROGRAMMES!$E$1:$F$7,2,FALSE)</f>
        <v>3-Expansion et réforme de l’ETFP</v>
      </c>
      <c r="AA1184" s="19" t="str">
        <f>B1184 &amp; "-" &amp; VLOOKUP(B1184,[4]SOUSPROGRAMMES!$E$1:$F$44,2,FALSE)</f>
        <v>36- Renforcement des capacités de pilotage et de gestion dans le cadre d’une gouvernance parteunariale multi niveaux</v>
      </c>
      <c r="AB1184" s="19" t="str">
        <f>C1184 &amp; "-" &amp; VLOOKUP(C1184,[4]RESULTATS!$E$1:$F$176,2,FALSE)</f>
        <v>366- Un système d’assurance qualité est mis en place</v>
      </c>
      <c r="AC1184" s="20" t="str">
        <f>D1184 &amp; "-" &amp; VLOOKUP(D1184,[4]STRATEGIES!$E$1:$F$504,2,FALSE)</f>
        <v>3663-Développement d’un Cadre National de Certification et de Qualification (CNCQ)</v>
      </c>
      <c r="AD1184" s="21" t="str">
        <f t="shared" si="191"/>
        <v>3663-Développement d’un Cadre National de Certification et de Qualification (CNCQ)</v>
      </c>
    </row>
    <row r="1185" spans="1:30" s="22" customFormat="1" ht="60" hidden="1" customHeight="1" x14ac:dyDescent="0.8">
      <c r="A1185" s="14">
        <v>3</v>
      </c>
      <c r="B1185" s="15">
        <v>36</v>
      </c>
      <c r="C1185" s="15">
        <v>366</v>
      </c>
      <c r="D1185" s="15">
        <v>3663</v>
      </c>
      <c r="E1185" s="14">
        <v>36631</v>
      </c>
      <c r="F1185" s="16" t="s">
        <v>1555</v>
      </c>
      <c r="G1185" s="21" t="s">
        <v>195</v>
      </c>
      <c r="H1185" s="17" t="s">
        <v>646</v>
      </c>
      <c r="I1185" s="56">
        <v>0</v>
      </c>
      <c r="J1185" s="56"/>
      <c r="K1185" s="56">
        <f>1*45</f>
        <v>45</v>
      </c>
      <c r="L1185" s="56"/>
      <c r="M1185" s="56">
        <f t="shared" si="195"/>
        <v>45</v>
      </c>
      <c r="N1185" s="56">
        <f>IF(OR(H1185="",H1185="sif",H1185="PM"),0,VLOOKUP(H1185,[5]CU!$C$4:$H$255,6,FALSE))</f>
        <v>10.404797</v>
      </c>
      <c r="O1185" s="56">
        <f t="shared" si="196"/>
        <v>0</v>
      </c>
      <c r="P1185" s="56">
        <f t="shared" si="196"/>
        <v>0</v>
      </c>
      <c r="Q1185" s="56">
        <f t="shared" si="196"/>
        <v>468.21586500000001</v>
      </c>
      <c r="R1185" s="56">
        <f t="shared" si="196"/>
        <v>0</v>
      </c>
      <c r="S1185" s="53">
        <f>SUM(O1185:R1185)</f>
        <v>468.21586500000001</v>
      </c>
      <c r="T1185" s="35" t="s">
        <v>169</v>
      </c>
      <c r="U1185" s="18" t="s">
        <v>1156</v>
      </c>
      <c r="V1185" s="19" t="str">
        <f>IF(OR($H1185="",$H1185="sif",$H1185="PM"),"",VLOOKUP($H1185,[5]CU!$C$5:$J$255,8,FALSE))</f>
        <v>3. Dépenses de fonctionnement</v>
      </c>
      <c r="W1185" s="18" t="s">
        <v>1231</v>
      </c>
      <c r="X1185" s="18" t="s">
        <v>100</v>
      </c>
      <c r="Y1185" s="18" t="s">
        <v>677</v>
      </c>
      <c r="Z1185" s="19" t="str">
        <f>A1185 &amp; "-" &amp; VLOOKUP(A1185,[4]PROGRAMMES!$E$1:$F$7,2,FALSE)</f>
        <v>3-Expansion et réforme de l’ETFP</v>
      </c>
      <c r="AA1185" s="19" t="str">
        <f>B1185 &amp; "-" &amp; VLOOKUP(B1185,[4]SOUSPROGRAMMES!$E$1:$F$44,2,FALSE)</f>
        <v>36- Renforcement des capacités de pilotage et de gestion dans le cadre d’une gouvernance parteunariale multi niveaux</v>
      </c>
      <c r="AB1185" s="19" t="str">
        <f>C1185 &amp; "-" &amp; VLOOKUP(C1185,[4]RESULTATS!$E$1:$F$176,2,FALSE)</f>
        <v>366- Un système d’assurance qualité est mis en place</v>
      </c>
      <c r="AC1185" s="20" t="str">
        <f>D1185 &amp; "-" &amp; VLOOKUP(D1185,[4]STRATEGIES!$E$1:$F$504,2,FALSE)</f>
        <v>3663-Développement d’un Cadre National de Certification et de Qualification (CNCQ)</v>
      </c>
      <c r="AD1185" s="21" t="str">
        <f t="shared" si="191"/>
        <v>36631-Etat des lieux de la formation et de la certification</v>
      </c>
    </row>
    <row r="1186" spans="1:30" s="22" customFormat="1" ht="60" hidden="1" customHeight="1" x14ac:dyDescent="0.8">
      <c r="A1186" s="14">
        <v>3</v>
      </c>
      <c r="B1186" s="15">
        <v>36</v>
      </c>
      <c r="C1186" s="15">
        <v>366</v>
      </c>
      <c r="D1186" s="15">
        <v>3663</v>
      </c>
      <c r="E1186" s="14">
        <v>36632</v>
      </c>
      <c r="F1186" s="16" t="s">
        <v>1556</v>
      </c>
      <c r="G1186" s="21" t="s">
        <v>92</v>
      </c>
      <c r="H1186" s="17" t="s">
        <v>55</v>
      </c>
      <c r="I1186" s="56">
        <v>0</v>
      </c>
      <c r="J1186" s="56"/>
      <c r="K1186" s="56">
        <v>1</v>
      </c>
      <c r="L1186" s="56"/>
      <c r="M1186" s="56">
        <f t="shared" si="195"/>
        <v>1</v>
      </c>
      <c r="N1186" s="56">
        <f>IF(OR(H1186="",H1186="sif",H1186="PM"),0,VLOOKUP(H1186,[5]CU!$C$4:$H$255,6,FALSE))</f>
        <v>0</v>
      </c>
      <c r="O1186" s="56">
        <f t="shared" si="196"/>
        <v>0</v>
      </c>
      <c r="P1186" s="56">
        <f t="shared" si="196"/>
        <v>0</v>
      </c>
      <c r="Q1186" s="56">
        <f t="shared" si="196"/>
        <v>0</v>
      </c>
      <c r="R1186" s="56">
        <f t="shared" si="196"/>
        <v>0</v>
      </c>
      <c r="S1186" s="53"/>
      <c r="T1186" s="35" t="s">
        <v>56</v>
      </c>
      <c r="U1186" s="18" t="s">
        <v>1156</v>
      </c>
      <c r="V1186" s="19" t="str">
        <f>IF(OR($H1186="",$H1186="sif",$H1186="PM"),"",VLOOKUP($H1186,[5]CU!$C$5:$J$255,8,FALSE))</f>
        <v/>
      </c>
      <c r="W1186" s="18" t="s">
        <v>1231</v>
      </c>
      <c r="X1186" s="19" t="s">
        <v>1475</v>
      </c>
      <c r="Y1186" s="18" t="s">
        <v>677</v>
      </c>
      <c r="Z1186" s="19" t="str">
        <f>A1186 &amp; "-" &amp; VLOOKUP(A1186,[4]PROGRAMMES!$E$1:$F$7,2,FALSE)</f>
        <v>3-Expansion et réforme de l’ETFP</v>
      </c>
      <c r="AA1186" s="19" t="str">
        <f>B1186 &amp; "-" &amp; VLOOKUP(B1186,[4]SOUSPROGRAMMES!$E$1:$F$44,2,FALSE)</f>
        <v>36- Renforcement des capacités de pilotage et de gestion dans le cadre d’une gouvernance parteunariale multi niveaux</v>
      </c>
      <c r="AB1186" s="19" t="str">
        <f>C1186 &amp; "-" &amp; VLOOKUP(C1186,[4]RESULTATS!$E$1:$F$176,2,FALSE)</f>
        <v>366- Un système d’assurance qualité est mis en place</v>
      </c>
      <c r="AC1186" s="20" t="str">
        <f>D1186 &amp; "-" &amp; VLOOKUP(D1186,[4]STRATEGIES!$E$1:$F$504,2,FALSE)</f>
        <v>3663-Développement d’un Cadre National de Certification et de Qualification (CNCQ)</v>
      </c>
      <c r="AD1186" s="21" t="str">
        <f t="shared" si="191"/>
        <v>36632-Identification des problématiques de la certification et de la qualification en formation professionnelle (pris en compte dans activité 36531)</v>
      </c>
    </row>
    <row r="1187" spans="1:30" s="22" customFormat="1" ht="60" hidden="1" customHeight="1" x14ac:dyDescent="0.8">
      <c r="A1187" s="14">
        <v>3</v>
      </c>
      <c r="B1187" s="15">
        <v>36</v>
      </c>
      <c r="C1187" s="15">
        <v>366</v>
      </c>
      <c r="D1187" s="15">
        <v>3663</v>
      </c>
      <c r="E1187" s="14">
        <v>36633</v>
      </c>
      <c r="F1187" s="16" t="s">
        <v>1557</v>
      </c>
      <c r="G1187" s="21" t="s">
        <v>1558</v>
      </c>
      <c r="H1187" s="17" t="s">
        <v>66</v>
      </c>
      <c r="I1187" s="56">
        <v>0</v>
      </c>
      <c r="J1187" s="56"/>
      <c r="K1187" s="56">
        <f>20*5</f>
        <v>100</v>
      </c>
      <c r="L1187" s="56"/>
      <c r="M1187" s="56">
        <f t="shared" si="195"/>
        <v>100</v>
      </c>
      <c r="N1187" s="56">
        <f>IF(OR(H1187="",H1187="sif",H1187="PM"),0,VLOOKUP(H1187,[5]CU!$C$4:$H$255,6,FALSE))</f>
        <v>0.255</v>
      </c>
      <c r="O1187" s="56">
        <f t="shared" si="196"/>
        <v>0</v>
      </c>
      <c r="P1187" s="56">
        <f t="shared" si="196"/>
        <v>0</v>
      </c>
      <c r="Q1187" s="56">
        <f t="shared" si="196"/>
        <v>25.5</v>
      </c>
      <c r="R1187" s="56">
        <f t="shared" si="196"/>
        <v>0</v>
      </c>
      <c r="S1187" s="53">
        <f>SUM(O1187:R1187)</f>
        <v>25.5</v>
      </c>
      <c r="T1187" s="35" t="s">
        <v>56</v>
      </c>
      <c r="U1187" s="18" t="s">
        <v>1156</v>
      </c>
      <c r="V1187" s="19" t="str">
        <f>IF(OR($H1187="",$H1187="sif",$H1187="PM"),"",VLOOKUP($H1187,[5]CU!$C$5:$J$255,8,FALSE))</f>
        <v>3. Dépenses de fonctionnement</v>
      </c>
      <c r="W1187" s="18" t="s">
        <v>1231</v>
      </c>
      <c r="X1187" s="19" t="s">
        <v>1475</v>
      </c>
      <c r="Y1187" s="18" t="s">
        <v>677</v>
      </c>
      <c r="Z1187" s="19" t="str">
        <f>A1187 &amp; "-" &amp; VLOOKUP(A1187,[4]PROGRAMMES!$E$1:$F$7,2,FALSE)</f>
        <v>3-Expansion et réforme de l’ETFP</v>
      </c>
      <c r="AA1187" s="19" t="str">
        <f>B1187 &amp; "-" &amp; VLOOKUP(B1187,[4]SOUSPROGRAMMES!$E$1:$F$44,2,FALSE)</f>
        <v>36- Renforcement des capacités de pilotage et de gestion dans le cadre d’une gouvernance parteunariale multi niveaux</v>
      </c>
      <c r="AB1187" s="19" t="str">
        <f>C1187 &amp; "-" &amp; VLOOKUP(C1187,[4]RESULTATS!$E$1:$F$176,2,FALSE)</f>
        <v>366- Un système d’assurance qualité est mis en place</v>
      </c>
      <c r="AC1187" s="20" t="str">
        <f>D1187 &amp; "-" &amp; VLOOKUP(D1187,[4]STRATEGIES!$E$1:$F$504,2,FALSE)</f>
        <v>3663-Développement d’un Cadre National de Certification et de Qualification (CNCQ)</v>
      </c>
      <c r="AD1187" s="21" t="str">
        <f t="shared" si="191"/>
        <v>36633-Elaboration du cadre légal et réglementaire de la qualification et de la certification</v>
      </c>
    </row>
    <row r="1188" spans="1:30" s="22" customFormat="1" ht="60" customHeight="1" x14ac:dyDescent="0.8">
      <c r="A1188" s="14">
        <v>3</v>
      </c>
      <c r="B1188" s="15">
        <v>36</v>
      </c>
      <c r="C1188" s="15">
        <v>366</v>
      </c>
      <c r="D1188" s="15">
        <v>3663</v>
      </c>
      <c r="E1188" s="14">
        <v>36634</v>
      </c>
      <c r="F1188" s="16" t="s">
        <v>1559</v>
      </c>
      <c r="G1188" s="21" t="s">
        <v>1432</v>
      </c>
      <c r="H1188" s="17" t="s">
        <v>38</v>
      </c>
      <c r="I1188" s="56">
        <v>0</v>
      </c>
      <c r="J1188" s="56"/>
      <c r="K1188" s="56">
        <f>60*3</f>
        <v>180</v>
      </c>
      <c r="L1188" s="56"/>
      <c r="M1188" s="56">
        <f t="shared" si="195"/>
        <v>180</v>
      </c>
      <c r="N1188" s="56">
        <f>IF(OR(H1188="",H1188="sif",H1188="PM"),0,VLOOKUP(H1188,[5]CU!$C$4:$H$255,6,FALSE))</f>
        <v>0.3133333333333333</v>
      </c>
      <c r="O1188" s="56">
        <f t="shared" si="196"/>
        <v>0</v>
      </c>
      <c r="P1188" s="56">
        <f t="shared" si="196"/>
        <v>0</v>
      </c>
      <c r="Q1188" s="56">
        <f t="shared" si="196"/>
        <v>56.399999999999991</v>
      </c>
      <c r="R1188" s="56">
        <f t="shared" si="196"/>
        <v>0</v>
      </c>
      <c r="S1188" s="53">
        <f>SUM(O1188:R1188)</f>
        <v>56.399999999999991</v>
      </c>
      <c r="T1188" s="35" t="s">
        <v>118</v>
      </c>
      <c r="U1188" s="18" t="s">
        <v>1156</v>
      </c>
      <c r="V1188" s="19" t="str">
        <f>IF(OR($H1188="",$H1188="sif",$H1188="PM"),"",VLOOKUP($H1188,[5]CU!$C$5:$J$255,8,FALSE))</f>
        <v>3. Formation</v>
      </c>
      <c r="W1188" s="18" t="s">
        <v>1231</v>
      </c>
      <c r="X1188" s="19" t="s">
        <v>1475</v>
      </c>
      <c r="Y1188" s="18" t="s">
        <v>677</v>
      </c>
      <c r="Z1188" s="19" t="str">
        <f>A1188 &amp; "-" &amp; VLOOKUP(A1188,[4]PROGRAMMES!$E$1:$F$7,2,FALSE)</f>
        <v>3-Expansion et réforme de l’ETFP</v>
      </c>
      <c r="AA1188" s="19" t="str">
        <f>B1188 &amp; "-" &amp; VLOOKUP(B1188,[4]SOUSPROGRAMMES!$E$1:$F$44,2,FALSE)</f>
        <v>36- Renforcement des capacités de pilotage et de gestion dans le cadre d’une gouvernance parteunariale multi niveaux</v>
      </c>
      <c r="AB1188" s="19" t="str">
        <f>C1188 &amp; "-" &amp; VLOOKUP(C1188,[4]RESULTATS!$E$1:$F$176,2,FALSE)</f>
        <v>366- Un système d’assurance qualité est mis en place</v>
      </c>
      <c r="AC1188" s="20" t="str">
        <f>D1188 &amp; "-" &amp; VLOOKUP(D1188,[4]STRATEGIES!$E$1:$F$504,2,FALSE)</f>
        <v>3663-Développement d’un Cadre National de Certification et de Qualification (CNCQ)</v>
      </c>
      <c r="AD1188" s="21" t="str">
        <f t="shared" si="191"/>
        <v>36634-Concertation sur le CNCQ</v>
      </c>
    </row>
    <row r="1189" spans="1:30" s="22" customFormat="1" ht="61" hidden="1" x14ac:dyDescent="0.8">
      <c r="A1189" s="14">
        <v>3</v>
      </c>
      <c r="B1189" s="15">
        <v>36</v>
      </c>
      <c r="C1189" s="15">
        <v>366</v>
      </c>
      <c r="D1189" s="15">
        <v>3663</v>
      </c>
      <c r="E1189" s="14">
        <v>36635</v>
      </c>
      <c r="F1189" s="16" t="s">
        <v>1560</v>
      </c>
      <c r="G1189" s="21" t="s">
        <v>836</v>
      </c>
      <c r="H1189" s="17" t="s">
        <v>55</v>
      </c>
      <c r="I1189" s="56">
        <v>0</v>
      </c>
      <c r="J1189" s="56"/>
      <c r="K1189" s="56">
        <v>1</v>
      </c>
      <c r="L1189" s="56"/>
      <c r="M1189" s="56">
        <f t="shared" si="195"/>
        <v>1</v>
      </c>
      <c r="N1189" s="56">
        <f>IF(OR(H1189="",H1189="sif",H1189="PM"),0,VLOOKUP(H1189,[5]CU!$C$4:$H$255,6,FALSE))</f>
        <v>0</v>
      </c>
      <c r="O1189" s="56">
        <f t="shared" si="196"/>
        <v>0</v>
      </c>
      <c r="P1189" s="56">
        <f t="shared" si="196"/>
        <v>0</v>
      </c>
      <c r="Q1189" s="56">
        <f t="shared" si="196"/>
        <v>0</v>
      </c>
      <c r="R1189" s="56">
        <f t="shared" si="196"/>
        <v>0</v>
      </c>
      <c r="S1189" s="53"/>
      <c r="T1189" s="35" t="s">
        <v>56</v>
      </c>
      <c r="U1189" s="18" t="s">
        <v>1156</v>
      </c>
      <c r="V1189" s="19" t="str">
        <f>IF(OR($H1189="",$H1189="sif",$H1189="PM"),"",VLOOKUP($H1189,[5]CU!$C$5:$J$255,8,FALSE))</f>
        <v/>
      </c>
      <c r="W1189" s="18" t="s">
        <v>1231</v>
      </c>
      <c r="X1189" s="19" t="s">
        <v>1475</v>
      </c>
      <c r="Y1189" s="18" t="s">
        <v>677</v>
      </c>
      <c r="Z1189" s="19" t="str">
        <f>A1189 &amp; "-" &amp; VLOOKUP(A1189,[4]PROGRAMMES!$E$1:$F$7,2,FALSE)</f>
        <v>3-Expansion et réforme de l’ETFP</v>
      </c>
      <c r="AA1189" s="19" t="str">
        <f>B1189 &amp; "-" &amp; VLOOKUP(B1189,[4]SOUSPROGRAMMES!$E$1:$F$44,2,FALSE)</f>
        <v>36- Renforcement des capacités de pilotage et de gestion dans le cadre d’une gouvernance parteunariale multi niveaux</v>
      </c>
      <c r="AB1189" s="19" t="str">
        <f>C1189 &amp; "-" &amp; VLOOKUP(C1189,[4]RESULTATS!$E$1:$F$176,2,FALSE)</f>
        <v>366- Un système d’assurance qualité est mis en place</v>
      </c>
      <c r="AC1189" s="20" t="str">
        <f>D1189 &amp; "-" &amp; VLOOKUP(D1189,[4]STRATEGIES!$E$1:$F$504,2,FALSE)</f>
        <v>3663-Développement d’un Cadre National de Certification et de Qualification (CNCQ)</v>
      </c>
      <c r="AD1189" s="21" t="str">
        <f t="shared" si="191"/>
        <v>36635-Adoption des textes réglementaires</v>
      </c>
    </row>
    <row r="1190" spans="1:30" s="22" customFormat="1" ht="60" customHeight="1" x14ac:dyDescent="0.8">
      <c r="A1190" s="14">
        <v>3</v>
      </c>
      <c r="B1190" s="15">
        <v>36</v>
      </c>
      <c r="C1190" s="15">
        <v>366</v>
      </c>
      <c r="D1190" s="15">
        <v>3663</v>
      </c>
      <c r="E1190" s="14">
        <v>36636</v>
      </c>
      <c r="F1190" s="16" t="s">
        <v>1561</v>
      </c>
      <c r="G1190" s="21" t="s">
        <v>1562</v>
      </c>
      <c r="H1190" s="17" t="s">
        <v>452</v>
      </c>
      <c r="I1190" s="56">
        <v>0</v>
      </c>
      <c r="J1190" s="56"/>
      <c r="K1190" s="56"/>
      <c r="L1190" s="56">
        <f>60*20</f>
        <v>1200</v>
      </c>
      <c r="M1190" s="56">
        <f t="shared" si="195"/>
        <v>1200</v>
      </c>
      <c r="N1190" s="56">
        <f>IF(OR(H1190="",H1190="sif",H1190="PM"),0,VLOOKUP(H1190,[5]CU!$C$4:$H$255,6,FALSE))</f>
        <v>7.4999999999999997E-3</v>
      </c>
      <c r="O1190" s="56">
        <f t="shared" si="196"/>
        <v>0</v>
      </c>
      <c r="P1190" s="56">
        <f t="shared" si="196"/>
        <v>0</v>
      </c>
      <c r="Q1190" s="56">
        <f t="shared" si="196"/>
        <v>0</v>
      </c>
      <c r="R1190" s="56">
        <f t="shared" si="196"/>
        <v>9</v>
      </c>
      <c r="S1190" s="53">
        <f>SUM(O1190:R1190)</f>
        <v>9</v>
      </c>
      <c r="T1190" s="35" t="s">
        <v>118</v>
      </c>
      <c r="U1190" s="18" t="s">
        <v>1156</v>
      </c>
      <c r="V1190" s="19" t="str">
        <f>IF(OR($H1190="",$H1190="sif",$H1190="PM"),"",VLOOKUP($H1190,[5]CU!$C$5:$J$255,8,FALSE))</f>
        <v>3. Dépenses de fonctionnement</v>
      </c>
      <c r="W1190" s="18" t="s">
        <v>521</v>
      </c>
      <c r="X1190" s="19" t="s">
        <v>1475</v>
      </c>
      <c r="Y1190" s="18" t="s">
        <v>677</v>
      </c>
      <c r="Z1190" s="19" t="str">
        <f>A1190 &amp; "-" &amp; VLOOKUP(A1190,[4]PROGRAMMES!$E$1:$F$7,2,FALSE)</f>
        <v>3-Expansion et réforme de l’ETFP</v>
      </c>
      <c r="AA1190" s="19" t="str">
        <f>B1190 &amp; "-" &amp; VLOOKUP(B1190,[4]SOUSPROGRAMMES!$E$1:$F$44,2,FALSE)</f>
        <v>36- Renforcement des capacités de pilotage et de gestion dans le cadre d’une gouvernance parteunariale multi niveaux</v>
      </c>
      <c r="AB1190" s="19" t="str">
        <f>C1190 &amp; "-" &amp; VLOOKUP(C1190,[4]RESULTATS!$E$1:$F$176,2,FALSE)</f>
        <v>366- Un système d’assurance qualité est mis en place</v>
      </c>
      <c r="AC1190" s="20" t="str">
        <f>D1190 &amp; "-" &amp; VLOOKUP(D1190,[4]STRATEGIES!$E$1:$F$504,2,FALSE)</f>
        <v>3663-Développement d’un Cadre National de Certification et de Qualification (CNCQ)</v>
      </c>
      <c r="AD1190" s="21" t="str">
        <f t="shared" si="191"/>
        <v>36636-Diffusion des textes</v>
      </c>
    </row>
    <row r="1191" spans="1:30" s="22" customFormat="1" ht="60" customHeight="1" x14ac:dyDescent="0.8">
      <c r="A1191" s="14">
        <v>3</v>
      </c>
      <c r="B1191" s="15">
        <v>36</v>
      </c>
      <c r="C1191" s="15">
        <v>366</v>
      </c>
      <c r="D1191" s="15">
        <v>3664</v>
      </c>
      <c r="E1191" s="14">
        <v>3664</v>
      </c>
      <c r="F1191" s="16" t="s">
        <v>1563</v>
      </c>
      <c r="G1191" s="17"/>
      <c r="H1191" s="17"/>
      <c r="I1191" s="56">
        <v>0</v>
      </c>
      <c r="J1191" s="56"/>
      <c r="K1191" s="56"/>
      <c r="L1191" s="56"/>
      <c r="M1191" s="56"/>
      <c r="N1191" s="56"/>
      <c r="O1191" s="56"/>
      <c r="P1191" s="56"/>
      <c r="Q1191" s="56"/>
      <c r="R1191" s="56"/>
      <c r="S1191" s="53"/>
      <c r="T1191" s="33"/>
      <c r="U1191" s="18"/>
      <c r="V1191" s="19"/>
      <c r="W1191" s="18"/>
      <c r="X1191" s="18"/>
      <c r="Y1191" s="18" t="s">
        <v>677</v>
      </c>
      <c r="Z1191" s="19" t="str">
        <f>A1191 &amp; "-" &amp; VLOOKUP(A1191,[4]PROGRAMMES!$E$1:$F$7,2,FALSE)</f>
        <v>3-Expansion et réforme de l’ETFP</v>
      </c>
      <c r="AA1191" s="19" t="str">
        <f>B1191 &amp; "-" &amp; VLOOKUP(B1191,[4]SOUSPROGRAMMES!$E$1:$F$44,2,FALSE)</f>
        <v>36- Renforcement des capacités de pilotage et de gestion dans le cadre d’une gouvernance parteunariale multi niveaux</v>
      </c>
      <c r="AB1191" s="19" t="str">
        <f>C1191 &amp; "-" &amp; VLOOKUP(C1191,[4]RESULTATS!$E$1:$F$176,2,FALSE)</f>
        <v>366- Un système d’assurance qualité est mis en place</v>
      </c>
      <c r="AC1191" s="20" t="str">
        <f>D1191 &amp; "-" &amp; VLOOKUP(D1191,[4]STRATEGIES!$E$1:$F$504,2,FALSE)</f>
        <v>3664-Application du CNCQ</v>
      </c>
      <c r="AD1191" s="21" t="str">
        <f t="shared" si="191"/>
        <v>3664-Application du CNCQ</v>
      </c>
    </row>
    <row r="1192" spans="1:30" s="22" customFormat="1" ht="60" hidden="1" customHeight="1" x14ac:dyDescent="0.8">
      <c r="A1192" s="14">
        <v>3</v>
      </c>
      <c r="B1192" s="15">
        <v>36</v>
      </c>
      <c r="C1192" s="15">
        <v>366</v>
      </c>
      <c r="D1192" s="15">
        <v>3664</v>
      </c>
      <c r="E1192" s="14"/>
      <c r="F1192" s="16" t="s">
        <v>1564</v>
      </c>
      <c r="G1192" s="21"/>
      <c r="H1192" s="17"/>
      <c r="I1192" s="56">
        <v>0</v>
      </c>
      <c r="J1192" s="56"/>
      <c r="K1192" s="56"/>
      <c r="L1192" s="56"/>
      <c r="M1192" s="56"/>
      <c r="N1192" s="56"/>
      <c r="O1192" s="56"/>
      <c r="P1192" s="56"/>
      <c r="Q1192" s="56"/>
      <c r="R1192" s="56"/>
      <c r="S1192" s="53"/>
      <c r="T1192" s="35" t="s">
        <v>56</v>
      </c>
      <c r="U1192" s="18" t="s">
        <v>1156</v>
      </c>
      <c r="V1192" s="19" t="str">
        <f>IF(OR($H1192="",$H1192="sif",$H1192="PM"),"",VLOOKUP($H1192,[5]CU!$C$5:$J$255,8,FALSE))</f>
        <v/>
      </c>
      <c r="W1192" s="18"/>
      <c r="X1192" s="18"/>
      <c r="Y1192" s="18" t="s">
        <v>677</v>
      </c>
      <c r="Z1192" s="19" t="str">
        <f>A1192 &amp; "-" &amp; VLOOKUP(A1192,[4]PROGRAMMES!$E$1:$F$7,2,FALSE)</f>
        <v>3-Expansion et réforme de l’ETFP</v>
      </c>
      <c r="AA1192" s="19" t="str">
        <f>B1192 &amp; "-" &amp; VLOOKUP(B1192,[4]SOUSPROGRAMMES!$E$1:$F$44,2,FALSE)</f>
        <v>36- Renforcement des capacités de pilotage et de gestion dans le cadre d’une gouvernance parteunariale multi niveaux</v>
      </c>
      <c r="AB1192" s="19" t="str">
        <f>C1192 &amp; "-" &amp; VLOOKUP(C1192,[4]RESULTATS!$E$1:$F$176,2,FALSE)</f>
        <v>366- Un système d’assurance qualité est mis en place</v>
      </c>
      <c r="AC1192" s="20" t="str">
        <f>D1192 &amp; "-" &amp; VLOOKUP(D1192,[4]STRATEGIES!$E$1:$F$504,2,FALSE)</f>
        <v>3664-Application du CNCQ</v>
      </c>
      <c r="AD1192" s="21" t="str">
        <f t="shared" si="191"/>
        <v>-PM (phase 2 du PRODEG)</v>
      </c>
    </row>
    <row r="1193" spans="1:30" s="22" customFormat="1" ht="60" customHeight="1" x14ac:dyDescent="0.8">
      <c r="A1193" s="14">
        <v>3</v>
      </c>
      <c r="B1193" s="15">
        <v>36</v>
      </c>
      <c r="C1193" s="15">
        <v>366</v>
      </c>
      <c r="D1193" s="15">
        <v>3665</v>
      </c>
      <c r="E1193" s="14">
        <v>3665</v>
      </c>
      <c r="F1193" s="16" t="s">
        <v>1565</v>
      </c>
      <c r="G1193" s="17"/>
      <c r="H1193" s="17"/>
      <c r="I1193" s="56">
        <v>0</v>
      </c>
      <c r="J1193" s="56"/>
      <c r="K1193" s="56"/>
      <c r="L1193" s="56"/>
      <c r="M1193" s="56"/>
      <c r="N1193" s="56"/>
      <c r="O1193" s="56"/>
      <c r="P1193" s="56"/>
      <c r="Q1193" s="56"/>
      <c r="R1193" s="56"/>
      <c r="S1193" s="53"/>
      <c r="T1193" s="33"/>
      <c r="U1193" s="18"/>
      <c r="V1193" s="19"/>
      <c r="W1193" s="18"/>
      <c r="X1193" s="18"/>
      <c r="Y1193" s="18" t="s">
        <v>677</v>
      </c>
      <c r="Z1193" s="19" t="str">
        <f>A1193 &amp; "-" &amp; VLOOKUP(A1193,[4]PROGRAMMES!$E$1:$F$7,2,FALSE)</f>
        <v>3-Expansion et réforme de l’ETFP</v>
      </c>
      <c r="AA1193" s="19" t="str">
        <f>B1193 &amp; "-" &amp; VLOOKUP(B1193,[4]SOUSPROGRAMMES!$E$1:$F$44,2,FALSE)</f>
        <v>36- Renforcement des capacités de pilotage et de gestion dans le cadre d’une gouvernance parteunariale multi niveaux</v>
      </c>
      <c r="AB1193" s="19" t="str">
        <f>C1193 &amp; "-" &amp; VLOOKUP(C1193,[4]RESULTATS!$E$1:$F$176,2,FALSE)</f>
        <v>366- Un système d’assurance qualité est mis en place</v>
      </c>
      <c r="AC1193" s="20" t="str">
        <f>D1193 &amp; "-" &amp; VLOOKUP(D1193,[4]STRATEGIES!$E$1:$F$504,2,FALSE)</f>
        <v>3665-Participation à la mise en place du cadre régional de certification</v>
      </c>
      <c r="AD1193" s="21" t="str">
        <f t="shared" si="191"/>
        <v>3665-Participation à la mise en place du cadre régional de certification</v>
      </c>
    </row>
    <row r="1194" spans="1:30" s="22" customFormat="1" ht="60" hidden="1" customHeight="1" x14ac:dyDescent="0.8">
      <c r="A1194" s="14">
        <v>3</v>
      </c>
      <c r="B1194" s="15">
        <v>36</v>
      </c>
      <c r="C1194" s="15">
        <v>366</v>
      </c>
      <c r="D1194" s="15">
        <v>3665</v>
      </c>
      <c r="E1194" s="14">
        <v>36651</v>
      </c>
      <c r="F1194" s="16" t="s">
        <v>1566</v>
      </c>
      <c r="G1194" s="21" t="s">
        <v>159</v>
      </c>
      <c r="H1194" s="17"/>
      <c r="I1194" s="56">
        <v>0</v>
      </c>
      <c r="J1194" s="56"/>
      <c r="K1194" s="56">
        <v>1</v>
      </c>
      <c r="L1194" s="56"/>
      <c r="M1194" s="56">
        <f t="shared" ref="M1194:M1209" si="197">SUM(I1194:L1194)</f>
        <v>1</v>
      </c>
      <c r="N1194" s="56">
        <f>IF(OR(H1194="",H1194="sif",H1194="PM"),0,VLOOKUP(H1194,[5]CU!$C$4:$H$255,6,FALSE))</f>
        <v>0</v>
      </c>
      <c r="O1194" s="56">
        <f t="shared" ref="O1194:R1209" si="198">IFERROR($N1194*I1194,0)</f>
        <v>0</v>
      </c>
      <c r="P1194" s="56">
        <f t="shared" si="198"/>
        <v>0</v>
      </c>
      <c r="Q1194" s="56">
        <f t="shared" si="198"/>
        <v>0</v>
      </c>
      <c r="R1194" s="56">
        <f t="shared" si="198"/>
        <v>0</v>
      </c>
      <c r="S1194" s="53"/>
      <c r="T1194" s="35" t="s">
        <v>56</v>
      </c>
      <c r="U1194" s="18" t="s">
        <v>1156</v>
      </c>
      <c r="V1194" s="19" t="str">
        <f>IF(OR($H1194="",$H1194="sif",$H1194="PM"),"",VLOOKUP($H1194,[5]CU!$C$5:$J$255,8,FALSE))</f>
        <v/>
      </c>
      <c r="W1194" s="18" t="s">
        <v>1231</v>
      </c>
      <c r="X1194" s="19" t="s">
        <v>1567</v>
      </c>
      <c r="Y1194" s="18" t="s">
        <v>677</v>
      </c>
      <c r="Z1194" s="19" t="str">
        <f>A1194 &amp; "-" &amp; VLOOKUP(A1194,[4]PROGRAMMES!$E$1:$F$7,2,FALSE)</f>
        <v>3-Expansion et réforme de l’ETFP</v>
      </c>
      <c r="AA1194" s="19" t="str">
        <f>B1194 &amp; "-" &amp; VLOOKUP(B1194,[4]SOUSPROGRAMMES!$E$1:$F$44,2,FALSE)</f>
        <v>36- Renforcement des capacités de pilotage et de gestion dans le cadre d’une gouvernance parteunariale multi niveaux</v>
      </c>
      <c r="AB1194" s="19" t="str">
        <f>C1194 &amp; "-" &amp; VLOOKUP(C1194,[4]RESULTATS!$E$1:$F$176,2,FALSE)</f>
        <v>366- Un système d’assurance qualité est mis en place</v>
      </c>
      <c r="AC1194" s="20" t="str">
        <f>D1194 &amp; "-" &amp; VLOOKUP(D1194,[4]STRATEGIES!$E$1:$F$504,2,FALSE)</f>
        <v>3665-Participation à la mise en place du cadre régional de certification</v>
      </c>
      <c r="AD1194" s="21" t="str">
        <f t="shared" si="191"/>
        <v>36651-harmonisation du CNCQ de la guinée avec le cadre régional (pris en compte dans la stratégie 3654)</v>
      </c>
    </row>
    <row r="1195" spans="1:30" s="22" customFormat="1" ht="60" customHeight="1" x14ac:dyDescent="0.8">
      <c r="A1195" s="14">
        <v>3</v>
      </c>
      <c r="B1195" s="15">
        <v>36</v>
      </c>
      <c r="C1195" s="15">
        <v>367</v>
      </c>
      <c r="D1195" s="15">
        <v>367</v>
      </c>
      <c r="E1195" s="14">
        <v>367</v>
      </c>
      <c r="F1195" s="16" t="s">
        <v>1568</v>
      </c>
      <c r="G1195" s="17"/>
      <c r="H1195" s="17"/>
      <c r="I1195" s="56">
        <v>0</v>
      </c>
      <c r="J1195" s="56"/>
      <c r="K1195" s="56"/>
      <c r="L1195" s="56"/>
      <c r="M1195" s="56"/>
      <c r="N1195" s="56"/>
      <c r="O1195" s="56"/>
      <c r="P1195" s="56"/>
      <c r="Q1195" s="56"/>
      <c r="R1195" s="56"/>
      <c r="S1195" s="53"/>
      <c r="T1195" s="33"/>
      <c r="U1195" s="18"/>
      <c r="V1195" s="19"/>
      <c r="W1195" s="18"/>
      <c r="X1195" s="18"/>
      <c r="Y1195" s="18" t="s">
        <v>677</v>
      </c>
      <c r="Z1195" s="19" t="str">
        <f>A1195 &amp; "-" &amp; VLOOKUP(A1195,[4]PROGRAMMES!$E$1:$F$7,2,FALSE)</f>
        <v>3-Expansion et réforme de l’ETFP</v>
      </c>
      <c r="AA1195" s="19" t="str">
        <f>B1195 &amp; "-" &amp; VLOOKUP(B1195,[4]SOUSPROGRAMMES!$E$1:$F$44,2,FALSE)</f>
        <v>36- Renforcement des capacités de pilotage et de gestion dans le cadre d’une gouvernance parteunariale multi niveaux</v>
      </c>
      <c r="AB1195" s="19" t="str">
        <f>C1195 &amp; "-" &amp; VLOOKUP(C1195,[4]RESULTATS!$E$1:$F$176,2,FALSE)</f>
        <v>367- Une loi cadre de l’ETFP est élaborée</v>
      </c>
      <c r="AC1195" s="20" t="str">
        <f>D1195 &amp; "-" &amp; VLOOKUP(D1195,[4]STRATEGIES!$E$1:$F$504,2,FALSE)</f>
        <v>367- Une loi cadre de l’ETFP est élaborée</v>
      </c>
      <c r="AD1195" s="21" t="str">
        <f t="shared" si="191"/>
        <v>367- Une loi cadre de l’ETFP est élaborée</v>
      </c>
    </row>
    <row r="1196" spans="1:30" s="22" customFormat="1" ht="60" customHeight="1" x14ac:dyDescent="0.8">
      <c r="A1196" s="14">
        <v>3</v>
      </c>
      <c r="B1196" s="15">
        <v>36</v>
      </c>
      <c r="C1196" s="15">
        <v>367</v>
      </c>
      <c r="D1196" s="15">
        <v>3671</v>
      </c>
      <c r="E1196" s="14">
        <v>3671</v>
      </c>
      <c r="F1196" s="16" t="s">
        <v>1569</v>
      </c>
      <c r="G1196" s="17"/>
      <c r="H1196" s="17"/>
      <c r="I1196" s="56">
        <v>0</v>
      </c>
      <c r="J1196" s="56"/>
      <c r="K1196" s="56"/>
      <c r="L1196" s="56"/>
      <c r="M1196" s="56"/>
      <c r="N1196" s="56"/>
      <c r="O1196" s="56"/>
      <c r="P1196" s="56"/>
      <c r="Q1196" s="56"/>
      <c r="R1196" s="56"/>
      <c r="S1196" s="53"/>
      <c r="T1196" s="33"/>
      <c r="U1196" s="18"/>
      <c r="V1196" s="19"/>
      <c r="W1196" s="18"/>
      <c r="X1196" s="18"/>
      <c r="Y1196" s="18" t="s">
        <v>677</v>
      </c>
      <c r="Z1196" s="19" t="str">
        <f>A1196 &amp; "-" &amp; VLOOKUP(A1196,[4]PROGRAMMES!$E$1:$F$7,2,FALSE)</f>
        <v>3-Expansion et réforme de l’ETFP</v>
      </c>
      <c r="AA1196" s="19" t="str">
        <f>B1196 &amp; "-" &amp; VLOOKUP(B1196,[4]SOUSPROGRAMMES!$E$1:$F$44,2,FALSE)</f>
        <v>36- Renforcement des capacités de pilotage et de gestion dans le cadre d’une gouvernance parteunariale multi niveaux</v>
      </c>
      <c r="AB1196" s="19" t="str">
        <f>C1196 &amp; "-" &amp; VLOOKUP(C1196,[4]RESULTATS!$E$1:$F$176,2,FALSE)</f>
        <v>367- Une loi cadre de l’ETFP est élaborée</v>
      </c>
      <c r="AC1196" s="20" t="str">
        <f>D1196 &amp; "-" &amp; VLOOKUP(D1196,[4]STRATEGIES!$E$1:$F$504,2,FALSE)</f>
        <v xml:space="preserve">3671-élaboration de la loi cadre avec une approche participative
</v>
      </c>
      <c r="AD1196" s="21" t="str">
        <f t="shared" si="191"/>
        <v xml:space="preserve">3671-élaboration de la loi cadre avec une approche participative
</v>
      </c>
    </row>
    <row r="1197" spans="1:30" s="22" customFormat="1" ht="60" customHeight="1" x14ac:dyDescent="0.8">
      <c r="A1197" s="14">
        <v>3</v>
      </c>
      <c r="B1197" s="15">
        <v>36</v>
      </c>
      <c r="C1197" s="15">
        <v>367</v>
      </c>
      <c r="D1197" s="15">
        <v>3671</v>
      </c>
      <c r="E1197" s="14">
        <v>36711</v>
      </c>
      <c r="F1197" s="16" t="s">
        <v>1570</v>
      </c>
      <c r="G1197" s="21" t="s">
        <v>100</v>
      </c>
      <c r="H1197" s="17" t="s">
        <v>646</v>
      </c>
      <c r="I1197" s="56">
        <v>0</v>
      </c>
      <c r="J1197" s="56">
        <f>1*45</f>
        <v>45</v>
      </c>
      <c r="K1197" s="56"/>
      <c r="L1197" s="56"/>
      <c r="M1197" s="56">
        <f t="shared" si="197"/>
        <v>45</v>
      </c>
      <c r="N1197" s="56">
        <f>IF(OR(H1197="",H1197="sif",H1197="PM"),0,VLOOKUP(H1197,[5]CU!$C$4:$H$255,6,FALSE))</f>
        <v>10.404797</v>
      </c>
      <c r="O1197" s="56">
        <f t="shared" si="198"/>
        <v>0</v>
      </c>
      <c r="P1197" s="56">
        <f t="shared" si="198"/>
        <v>468.21586500000001</v>
      </c>
      <c r="Q1197" s="56">
        <f t="shared" si="198"/>
        <v>0</v>
      </c>
      <c r="R1197" s="56">
        <f t="shared" si="198"/>
        <v>0</v>
      </c>
      <c r="S1197" s="53">
        <f>SUM(O1197:R1197)</f>
        <v>468.21586500000001</v>
      </c>
      <c r="T1197" s="35" t="s">
        <v>118</v>
      </c>
      <c r="U1197" s="18" t="s">
        <v>1156</v>
      </c>
      <c r="V1197" s="19" t="str">
        <f>IF(OR($H1197="",$H1197="sif",$H1197="PM"),"",VLOOKUP($H1197,[5]CU!$C$5:$J$255,8,FALSE))</f>
        <v>3. Dépenses de fonctionnement</v>
      </c>
      <c r="W1197" s="18" t="s">
        <v>96</v>
      </c>
      <c r="X1197" s="18" t="s">
        <v>1371</v>
      </c>
      <c r="Y1197" s="18" t="s">
        <v>677</v>
      </c>
      <c r="Z1197" s="19" t="str">
        <f>A1197 &amp; "-" &amp; VLOOKUP(A1197,[4]PROGRAMMES!$E$1:$F$7,2,FALSE)</f>
        <v>3-Expansion et réforme de l’ETFP</v>
      </c>
      <c r="AA1197" s="19" t="str">
        <f>B1197 &amp; "-" &amp; VLOOKUP(B1197,[4]SOUSPROGRAMMES!$E$1:$F$44,2,FALSE)</f>
        <v>36- Renforcement des capacités de pilotage et de gestion dans le cadre d’une gouvernance parteunariale multi niveaux</v>
      </c>
      <c r="AB1197" s="19" t="str">
        <f>C1197 &amp; "-" &amp; VLOOKUP(C1197,[4]RESULTATS!$E$1:$F$176,2,FALSE)</f>
        <v>367- Une loi cadre de l’ETFP est élaborée</v>
      </c>
      <c r="AC1197" s="20" t="str">
        <f>D1197 &amp; "-" &amp; VLOOKUP(D1197,[4]STRATEGIES!$E$1:$F$504,2,FALSE)</f>
        <v xml:space="preserve">3671-élaboration de la loi cadre avec une approche participative
</v>
      </c>
      <c r="AD1197" s="21" t="str">
        <f t="shared" si="191"/>
        <v xml:space="preserve">36711-Appui d'une expertise internationale pour la déFinition du contenu de la loi cadre sur la formation professionnelle </v>
      </c>
    </row>
    <row r="1198" spans="1:30" s="22" customFormat="1" ht="60" customHeight="1" x14ac:dyDescent="0.8">
      <c r="A1198" s="14">
        <v>3</v>
      </c>
      <c r="B1198" s="15">
        <v>36</v>
      </c>
      <c r="C1198" s="15">
        <v>367</v>
      </c>
      <c r="D1198" s="15">
        <v>3671</v>
      </c>
      <c r="E1198" s="14">
        <v>36712</v>
      </c>
      <c r="F1198" s="16" t="s">
        <v>1571</v>
      </c>
      <c r="G1198" s="21" t="s">
        <v>100</v>
      </c>
      <c r="H1198" s="17" t="s">
        <v>101</v>
      </c>
      <c r="I1198" s="56">
        <v>0</v>
      </c>
      <c r="J1198" s="56">
        <f>1*45</f>
        <v>45</v>
      </c>
      <c r="K1198" s="56"/>
      <c r="L1198" s="56"/>
      <c r="M1198" s="56">
        <f t="shared" si="197"/>
        <v>45</v>
      </c>
      <c r="N1198" s="56">
        <f>IF(OR(H1198="",H1198="sif",H1198="PM"),0,VLOOKUP(H1198,[5]CU!$C$4:$H$255,6,FALSE))</f>
        <v>2.651545</v>
      </c>
      <c r="O1198" s="56">
        <f t="shared" si="198"/>
        <v>0</v>
      </c>
      <c r="P1198" s="56">
        <f t="shared" si="198"/>
        <v>119.319525</v>
      </c>
      <c r="Q1198" s="56">
        <f t="shared" si="198"/>
        <v>0</v>
      </c>
      <c r="R1198" s="56">
        <f t="shared" si="198"/>
        <v>0</v>
      </c>
      <c r="S1198" s="53">
        <f>SUM(O1198:R1198)</f>
        <v>119.319525</v>
      </c>
      <c r="T1198" s="35" t="s">
        <v>118</v>
      </c>
      <c r="U1198" s="18" t="s">
        <v>1156</v>
      </c>
      <c r="V1198" s="19" t="str">
        <f>IF(OR($H1198="",$H1198="sif",$H1198="PM"),"",VLOOKUP($H1198,[5]CU!$C$5:$J$255,8,FALSE))</f>
        <v>3. Dépenses de fonctionnement</v>
      </c>
      <c r="W1198" s="18" t="s">
        <v>96</v>
      </c>
      <c r="X1198" s="18" t="s">
        <v>1371</v>
      </c>
      <c r="Y1198" s="18" t="s">
        <v>677</v>
      </c>
      <c r="Z1198" s="19" t="str">
        <f>A1198 &amp; "-" &amp; VLOOKUP(A1198,[4]PROGRAMMES!$E$1:$F$7,2,FALSE)</f>
        <v>3-Expansion et réforme de l’ETFP</v>
      </c>
      <c r="AA1198" s="19" t="str">
        <f>B1198 &amp; "-" &amp; VLOOKUP(B1198,[4]SOUSPROGRAMMES!$E$1:$F$44,2,FALSE)</f>
        <v>36- Renforcement des capacités de pilotage et de gestion dans le cadre d’une gouvernance parteunariale multi niveaux</v>
      </c>
      <c r="AB1198" s="19" t="str">
        <f>C1198 &amp; "-" &amp; VLOOKUP(C1198,[4]RESULTATS!$E$1:$F$176,2,FALSE)</f>
        <v>367- Une loi cadre de l’ETFP est élaborée</v>
      </c>
      <c r="AC1198" s="20" t="str">
        <f>D1198 &amp; "-" &amp; VLOOKUP(D1198,[4]STRATEGIES!$E$1:$F$504,2,FALSE)</f>
        <v xml:space="preserve">3671-élaboration de la loi cadre avec une approche participative
</v>
      </c>
      <c r="AD1198" s="21" t="str">
        <f t="shared" si="191"/>
        <v>36712-Appui à l'élaboration du projet de loi cadre de l'ETFP</v>
      </c>
    </row>
    <row r="1199" spans="1:30" s="22" customFormat="1" ht="60" customHeight="1" x14ac:dyDescent="0.8">
      <c r="A1199" s="14">
        <v>3</v>
      </c>
      <c r="B1199" s="15">
        <v>36</v>
      </c>
      <c r="C1199" s="15">
        <v>367</v>
      </c>
      <c r="D1199" s="15">
        <v>3671</v>
      </c>
      <c r="E1199" s="14">
        <v>36713</v>
      </c>
      <c r="F1199" s="16" t="s">
        <v>1572</v>
      </c>
      <c r="G1199" s="21" t="s">
        <v>37</v>
      </c>
      <c r="H1199" s="17" t="s">
        <v>38</v>
      </c>
      <c r="I1199" s="56">
        <v>0</v>
      </c>
      <c r="J1199" s="56">
        <f>30*2*2</f>
        <v>120</v>
      </c>
      <c r="K1199" s="56"/>
      <c r="L1199" s="56"/>
      <c r="M1199" s="56">
        <f t="shared" si="197"/>
        <v>120</v>
      </c>
      <c r="N1199" s="56">
        <f>IF(OR(H1199="",H1199="sif",H1199="PM"),0,VLOOKUP(H1199,[5]CU!$C$4:$H$255,6,FALSE))</f>
        <v>0.3133333333333333</v>
      </c>
      <c r="O1199" s="56">
        <f t="shared" si="198"/>
        <v>0</v>
      </c>
      <c r="P1199" s="56">
        <f t="shared" si="198"/>
        <v>37.599999999999994</v>
      </c>
      <c r="Q1199" s="56">
        <f t="shared" si="198"/>
        <v>0</v>
      </c>
      <c r="R1199" s="56">
        <f t="shared" si="198"/>
        <v>0</v>
      </c>
      <c r="S1199" s="53">
        <f>SUM(O1199:R1199)</f>
        <v>37.599999999999994</v>
      </c>
      <c r="T1199" s="35" t="s">
        <v>118</v>
      </c>
      <c r="U1199" s="18" t="s">
        <v>1156</v>
      </c>
      <c r="V1199" s="19" t="str">
        <f>IF(OR($H1199="",$H1199="sif",$H1199="PM"),"",VLOOKUP($H1199,[5]CU!$C$5:$J$255,8,FALSE))</f>
        <v>3. Formation</v>
      </c>
      <c r="W1199" s="18" t="s">
        <v>96</v>
      </c>
      <c r="X1199" s="19" t="s">
        <v>1573</v>
      </c>
      <c r="Y1199" s="18" t="s">
        <v>677</v>
      </c>
      <c r="Z1199" s="19" t="str">
        <f>A1199 &amp; "-" &amp; VLOOKUP(A1199,[4]PROGRAMMES!$E$1:$F$7,2,FALSE)</f>
        <v>3-Expansion et réforme de l’ETFP</v>
      </c>
      <c r="AA1199" s="19" t="str">
        <f>B1199 &amp; "-" &amp; VLOOKUP(B1199,[4]SOUSPROGRAMMES!$E$1:$F$44,2,FALSE)</f>
        <v>36- Renforcement des capacités de pilotage et de gestion dans le cadre d’une gouvernance parteunariale multi niveaux</v>
      </c>
      <c r="AB1199" s="19" t="str">
        <f>C1199 &amp; "-" &amp; VLOOKUP(C1199,[4]RESULTATS!$E$1:$F$176,2,FALSE)</f>
        <v>367- Une loi cadre de l’ETFP est élaborée</v>
      </c>
      <c r="AC1199" s="20" t="str">
        <f>D1199 &amp; "-" &amp; VLOOKUP(D1199,[4]STRATEGIES!$E$1:$F$504,2,FALSE)</f>
        <v xml:space="preserve">3671-élaboration de la loi cadre avec une approche participative
</v>
      </c>
      <c r="AD1199" s="21" t="str">
        <f t="shared" si="191"/>
        <v>36713-Concertation avec les acteurs</v>
      </c>
    </row>
    <row r="1200" spans="1:30" s="22" customFormat="1" ht="60" customHeight="1" x14ac:dyDescent="0.8">
      <c r="A1200" s="14">
        <v>3</v>
      </c>
      <c r="B1200" s="15">
        <v>36</v>
      </c>
      <c r="C1200" s="15">
        <v>367</v>
      </c>
      <c r="D1200" s="15">
        <v>3671</v>
      </c>
      <c r="E1200" s="14">
        <v>36714</v>
      </c>
      <c r="F1200" s="16" t="s">
        <v>1574</v>
      </c>
      <c r="G1200" s="21" t="s">
        <v>37</v>
      </c>
      <c r="H1200" s="17" t="s">
        <v>38</v>
      </c>
      <c r="I1200" s="56">
        <v>0</v>
      </c>
      <c r="J1200" s="56">
        <f>30*2</f>
        <v>60</v>
      </c>
      <c r="K1200" s="56"/>
      <c r="L1200" s="56"/>
      <c r="M1200" s="56">
        <f t="shared" si="197"/>
        <v>60</v>
      </c>
      <c r="N1200" s="56">
        <f>IF(OR(H1200="",H1200="sif",H1200="PM"),0,VLOOKUP(H1200,[5]CU!$C$4:$H$255,6,FALSE))</f>
        <v>0.3133333333333333</v>
      </c>
      <c r="O1200" s="56">
        <f t="shared" si="198"/>
        <v>0</v>
      </c>
      <c r="P1200" s="56">
        <f t="shared" si="198"/>
        <v>18.799999999999997</v>
      </c>
      <c r="Q1200" s="56">
        <f t="shared" si="198"/>
        <v>0</v>
      </c>
      <c r="R1200" s="56">
        <f t="shared" si="198"/>
        <v>0</v>
      </c>
      <c r="S1200" s="53">
        <f>SUM(O1200:R1200)</f>
        <v>18.799999999999997</v>
      </c>
      <c r="T1200" s="35" t="s">
        <v>118</v>
      </c>
      <c r="U1200" s="18" t="s">
        <v>1156</v>
      </c>
      <c r="V1200" s="19" t="str">
        <f>IF(OR($H1200="",$H1200="sif",$H1200="PM"),"",VLOOKUP($H1200,[5]CU!$C$5:$J$255,8,FALSE))</f>
        <v>3. Formation</v>
      </c>
      <c r="W1200" s="18" t="s">
        <v>96</v>
      </c>
      <c r="X1200" s="19" t="s">
        <v>1573</v>
      </c>
      <c r="Y1200" s="18" t="s">
        <v>677</v>
      </c>
      <c r="Z1200" s="19" t="str">
        <f>A1200 &amp; "-" &amp; VLOOKUP(A1200,[4]PROGRAMMES!$E$1:$F$7,2,FALSE)</f>
        <v>3-Expansion et réforme de l’ETFP</v>
      </c>
      <c r="AA1200" s="19" t="str">
        <f>B1200 &amp; "-" &amp; VLOOKUP(B1200,[4]SOUSPROGRAMMES!$E$1:$F$44,2,FALSE)</f>
        <v>36- Renforcement des capacités de pilotage et de gestion dans le cadre d’une gouvernance parteunariale multi niveaux</v>
      </c>
      <c r="AB1200" s="19" t="str">
        <f>C1200 &amp; "-" &amp; VLOOKUP(C1200,[4]RESULTATS!$E$1:$F$176,2,FALSE)</f>
        <v>367- Une loi cadre de l’ETFP est élaborée</v>
      </c>
      <c r="AC1200" s="20" t="str">
        <f>D1200 &amp; "-" &amp; VLOOKUP(D1200,[4]STRATEGIES!$E$1:$F$504,2,FALSE)</f>
        <v xml:space="preserve">3671-élaboration de la loi cadre avec une approche participative
</v>
      </c>
      <c r="AD1200" s="21" t="str">
        <f t="shared" si="191"/>
        <v>36714-Validation</v>
      </c>
    </row>
    <row r="1201" spans="1:30" s="22" customFormat="1" ht="60" hidden="1" customHeight="1" x14ac:dyDescent="0.8">
      <c r="A1201" s="14">
        <v>3</v>
      </c>
      <c r="B1201" s="15">
        <v>36</v>
      </c>
      <c r="C1201" s="15">
        <v>367</v>
      </c>
      <c r="D1201" s="15">
        <v>3671</v>
      </c>
      <c r="E1201" s="14">
        <v>36715</v>
      </c>
      <c r="F1201" s="16" t="s">
        <v>1575</v>
      </c>
      <c r="G1201" s="21" t="s">
        <v>88</v>
      </c>
      <c r="H1201" s="17" t="s">
        <v>55</v>
      </c>
      <c r="I1201" s="56">
        <v>0</v>
      </c>
      <c r="J1201" s="56"/>
      <c r="K1201" s="56">
        <v>1</v>
      </c>
      <c r="L1201" s="56"/>
      <c r="M1201" s="56">
        <f t="shared" si="197"/>
        <v>1</v>
      </c>
      <c r="N1201" s="56">
        <f>IF(OR(H1201="",H1201="sif",H1201="PM"),0,VLOOKUP(H1201,[5]CU!$C$4:$H$255,6,FALSE))</f>
        <v>0</v>
      </c>
      <c r="O1201" s="56">
        <f t="shared" si="198"/>
        <v>0</v>
      </c>
      <c r="P1201" s="56">
        <f t="shared" si="198"/>
        <v>0</v>
      </c>
      <c r="Q1201" s="56">
        <f t="shared" si="198"/>
        <v>0</v>
      </c>
      <c r="R1201" s="56">
        <f t="shared" si="198"/>
        <v>0</v>
      </c>
      <c r="S1201" s="53"/>
      <c r="T1201" s="35" t="s">
        <v>56</v>
      </c>
      <c r="U1201" s="18" t="s">
        <v>1156</v>
      </c>
      <c r="V1201" s="19" t="str">
        <f>IF(OR($H1201="",$H1201="sif",$H1201="PM"),"",VLOOKUP($H1201,[5]CU!$C$5:$J$255,8,FALSE))</f>
        <v/>
      </c>
      <c r="W1201" s="18" t="s">
        <v>96</v>
      </c>
      <c r="X1201" s="19" t="s">
        <v>1573</v>
      </c>
      <c r="Y1201" s="18" t="s">
        <v>677</v>
      </c>
      <c r="Z1201" s="19" t="str">
        <f>A1201 &amp; "-" &amp; VLOOKUP(A1201,[4]PROGRAMMES!$E$1:$F$7,2,FALSE)</f>
        <v>3-Expansion et réforme de l’ETFP</v>
      </c>
      <c r="AA1201" s="19" t="str">
        <f>B1201 &amp; "-" &amp; VLOOKUP(B1201,[4]SOUSPROGRAMMES!$E$1:$F$44,2,FALSE)</f>
        <v>36- Renforcement des capacités de pilotage et de gestion dans le cadre d’une gouvernance parteunariale multi niveaux</v>
      </c>
      <c r="AB1201" s="19" t="str">
        <f>C1201 &amp; "-" &amp; VLOOKUP(C1201,[4]RESULTATS!$E$1:$F$176,2,FALSE)</f>
        <v>367- Une loi cadre de l’ETFP est élaborée</v>
      </c>
      <c r="AC1201" s="20" t="str">
        <f>D1201 &amp; "-" &amp; VLOOKUP(D1201,[4]STRATEGIES!$E$1:$F$504,2,FALSE)</f>
        <v xml:space="preserve">3671-élaboration de la loi cadre avec une approche participative
</v>
      </c>
      <c r="AD1201" s="21" t="str">
        <f t="shared" si="191"/>
        <v>36715-Promulgation</v>
      </c>
    </row>
    <row r="1202" spans="1:30" s="22" customFormat="1" ht="60" customHeight="1" x14ac:dyDescent="0.8">
      <c r="A1202" s="14">
        <v>3</v>
      </c>
      <c r="B1202" s="15">
        <v>36</v>
      </c>
      <c r="C1202" s="15">
        <v>367</v>
      </c>
      <c r="D1202" s="15">
        <v>3671</v>
      </c>
      <c r="E1202" s="14">
        <v>36716</v>
      </c>
      <c r="F1202" s="16" t="s">
        <v>1576</v>
      </c>
      <c r="G1202" s="21" t="s">
        <v>44</v>
      </c>
      <c r="H1202" s="17" t="s">
        <v>816</v>
      </c>
      <c r="I1202" s="56">
        <v>0</v>
      </c>
      <c r="J1202" s="56"/>
      <c r="K1202" s="56">
        <f>60*20</f>
        <v>1200</v>
      </c>
      <c r="L1202" s="56"/>
      <c r="M1202" s="56">
        <f t="shared" si="197"/>
        <v>1200</v>
      </c>
      <c r="N1202" s="56">
        <f>IF(OR(H1202="",H1202="sif",H1202="PM"),0,VLOOKUP(H1202,[5]CU!$C$4:$H$255,6,FALSE))</f>
        <v>7.4999999999999997E-3</v>
      </c>
      <c r="O1202" s="56">
        <f t="shared" si="198"/>
        <v>0</v>
      </c>
      <c r="P1202" s="56">
        <f t="shared" si="198"/>
        <v>0</v>
      </c>
      <c r="Q1202" s="56">
        <f t="shared" si="198"/>
        <v>9</v>
      </c>
      <c r="R1202" s="56">
        <f t="shared" si="198"/>
        <v>0</v>
      </c>
      <c r="S1202" s="53">
        <f t="shared" ref="S1202:S1209" si="199">SUM(O1202:R1202)</f>
        <v>9</v>
      </c>
      <c r="T1202" s="35" t="s">
        <v>118</v>
      </c>
      <c r="U1202" s="18" t="s">
        <v>1156</v>
      </c>
      <c r="V1202" s="19" t="str">
        <f>IF(OR($H1202="",$H1202="sif",$H1202="PM"),"",VLOOKUP($H1202,[5]CU!$C$5:$J$255,8,FALSE))</f>
        <v>3. Dépenses de fonctionnement</v>
      </c>
      <c r="W1202" s="18" t="s">
        <v>521</v>
      </c>
      <c r="X1202" s="19" t="s">
        <v>1475</v>
      </c>
      <c r="Y1202" s="18" t="s">
        <v>677</v>
      </c>
      <c r="Z1202" s="19" t="str">
        <f>A1202 &amp; "-" &amp; VLOOKUP(A1202,[4]PROGRAMMES!$E$1:$F$7,2,FALSE)</f>
        <v>3-Expansion et réforme de l’ETFP</v>
      </c>
      <c r="AA1202" s="19" t="str">
        <f>B1202 &amp; "-" &amp; VLOOKUP(B1202,[4]SOUSPROGRAMMES!$E$1:$F$44,2,FALSE)</f>
        <v>36- Renforcement des capacités de pilotage et de gestion dans le cadre d’une gouvernance parteunariale multi niveaux</v>
      </c>
      <c r="AB1202" s="19" t="str">
        <f>C1202 &amp; "-" &amp; VLOOKUP(C1202,[4]RESULTATS!$E$1:$F$176,2,FALSE)</f>
        <v>367- Une loi cadre de l’ETFP est élaborée</v>
      </c>
      <c r="AC1202" s="20" t="str">
        <f>D1202 &amp; "-" &amp; VLOOKUP(D1202,[4]STRATEGIES!$E$1:$F$504,2,FALSE)</f>
        <v xml:space="preserve">3671-élaboration de la loi cadre avec une approche participative
</v>
      </c>
      <c r="AD1202" s="21" t="str">
        <f t="shared" si="191"/>
        <v>36716-Vulgarisation</v>
      </c>
    </row>
    <row r="1203" spans="1:30" s="22" customFormat="1" ht="60" customHeight="1" x14ac:dyDescent="0.8">
      <c r="A1203" s="14">
        <v>3</v>
      </c>
      <c r="B1203" s="15">
        <v>36</v>
      </c>
      <c r="C1203" s="15">
        <v>368</v>
      </c>
      <c r="D1203" s="15">
        <v>368</v>
      </c>
      <c r="E1203" s="14">
        <v>368</v>
      </c>
      <c r="F1203" s="16" t="s">
        <v>1577</v>
      </c>
      <c r="G1203" s="17"/>
      <c r="H1203" s="17"/>
      <c r="I1203" s="56">
        <v>0</v>
      </c>
      <c r="J1203" s="56"/>
      <c r="K1203" s="56"/>
      <c r="L1203" s="56"/>
      <c r="M1203" s="56"/>
      <c r="N1203" s="56"/>
      <c r="O1203" s="56"/>
      <c r="P1203" s="56"/>
      <c r="Q1203" s="56"/>
      <c r="R1203" s="56"/>
      <c r="S1203" s="53"/>
      <c r="T1203" s="33"/>
      <c r="U1203" s="18"/>
      <c r="V1203" s="19"/>
      <c r="W1203" s="18"/>
      <c r="X1203" s="18"/>
      <c r="Y1203" s="18" t="s">
        <v>677</v>
      </c>
      <c r="Z1203" s="19" t="str">
        <f>A1203 &amp; "-" &amp; VLOOKUP(A1203,[4]PROGRAMMES!$E$1:$F$7,2,FALSE)</f>
        <v>3-Expansion et réforme de l’ETFP</v>
      </c>
      <c r="AA1203" s="19" t="str">
        <f>B1203 &amp; "-" &amp; VLOOKUP(B1203,[4]SOUSPROGRAMMES!$E$1:$F$44,2,FALSE)</f>
        <v>36- Renforcement des capacités de pilotage et de gestion dans le cadre d’une gouvernance parteunariale multi niveaux</v>
      </c>
      <c r="AB1203" s="19" t="str">
        <f>C1203 &amp; "-" &amp; VLOOKUP(C1203,[4]RESULTATS!$E$1:$F$176,2,FALSE)</f>
        <v xml:space="preserve">368- Le cadre juridique et règlementaire est adapté </v>
      </c>
      <c r="AC1203" s="20" t="str">
        <f>D1203 &amp; "-" &amp; VLOOKUP(D1203,[4]STRATEGIES!$E$1:$F$504,2,FALSE)</f>
        <v xml:space="preserve">368- Le cadre juridique et règlementaire est adapté </v>
      </c>
      <c r="AD1203" s="21" t="str">
        <f t="shared" si="191"/>
        <v xml:space="preserve">368- Le cadre juridique et règlementaire est adapté </v>
      </c>
    </row>
    <row r="1204" spans="1:30" s="22" customFormat="1" ht="60" customHeight="1" x14ac:dyDescent="0.8">
      <c r="A1204" s="14">
        <v>3</v>
      </c>
      <c r="B1204" s="15">
        <v>36</v>
      </c>
      <c r="C1204" s="15">
        <v>368</v>
      </c>
      <c r="D1204" s="15">
        <v>3681</v>
      </c>
      <c r="E1204" s="14">
        <v>3681</v>
      </c>
      <c r="F1204" s="16" t="s">
        <v>1578</v>
      </c>
      <c r="G1204" s="17"/>
      <c r="H1204" s="17"/>
      <c r="I1204" s="56">
        <v>0</v>
      </c>
      <c r="J1204" s="56"/>
      <c r="K1204" s="56"/>
      <c r="L1204" s="56"/>
      <c r="M1204" s="56"/>
      <c r="N1204" s="56"/>
      <c r="O1204" s="56"/>
      <c r="P1204" s="56"/>
      <c r="Q1204" s="56"/>
      <c r="R1204" s="56"/>
      <c r="S1204" s="53"/>
      <c r="T1204" s="33"/>
      <c r="U1204" s="18"/>
      <c r="V1204" s="19"/>
      <c r="W1204" s="18"/>
      <c r="X1204" s="18"/>
      <c r="Y1204" s="18" t="s">
        <v>677</v>
      </c>
      <c r="Z1204" s="19" t="str">
        <f>A1204 &amp; "-" &amp; VLOOKUP(A1204,[4]PROGRAMMES!$E$1:$F$7,2,FALSE)</f>
        <v>3-Expansion et réforme de l’ETFP</v>
      </c>
      <c r="AA1204" s="19" t="str">
        <f>B1204 &amp; "-" &amp; VLOOKUP(B1204,[4]SOUSPROGRAMMES!$E$1:$F$44,2,FALSE)</f>
        <v>36- Renforcement des capacités de pilotage et de gestion dans le cadre d’une gouvernance parteunariale multi niveaux</v>
      </c>
      <c r="AB1204" s="19" t="str">
        <f>C1204 &amp; "-" &amp; VLOOKUP(C1204,[4]RESULTATS!$E$1:$F$176,2,FALSE)</f>
        <v xml:space="preserve">368- Le cadre juridique et règlementaire est adapté </v>
      </c>
      <c r="AC1204" s="20" t="str">
        <f>D1204 &amp; "-" &amp; VLOOKUP(D1204,[4]STRATEGIES!$E$1:$F$504,2,FALSE)</f>
        <v>3681-Revue du cadre existant et adaptation au nouveau cadre</v>
      </c>
      <c r="AD1204" s="21" t="str">
        <f t="shared" si="191"/>
        <v>3681-Revue du cadre existant et adaptation au nouveau cadre</v>
      </c>
    </row>
    <row r="1205" spans="1:30" s="22" customFormat="1" ht="60" hidden="1" customHeight="1" x14ac:dyDescent="0.8">
      <c r="A1205" s="14">
        <v>3</v>
      </c>
      <c r="B1205" s="15">
        <v>36</v>
      </c>
      <c r="C1205" s="15">
        <v>368</v>
      </c>
      <c r="D1205" s="15">
        <v>3681</v>
      </c>
      <c r="E1205" s="14">
        <v>36811</v>
      </c>
      <c r="F1205" s="16" t="s">
        <v>1579</v>
      </c>
      <c r="G1205" s="21" t="s">
        <v>1580</v>
      </c>
      <c r="H1205" s="17" t="s">
        <v>38</v>
      </c>
      <c r="I1205" s="56">
        <v>0</v>
      </c>
      <c r="J1205" s="56"/>
      <c r="K1205" s="56">
        <v>50</v>
      </c>
      <c r="L1205" s="56"/>
      <c r="M1205" s="56">
        <f t="shared" si="197"/>
        <v>50</v>
      </c>
      <c r="N1205" s="56">
        <f>IF(OR(H1205="",H1205="sif",H1205="PM"),0,VLOOKUP(H1205,[5]CU!$C$4:$H$255,6,FALSE))</f>
        <v>0.3133333333333333</v>
      </c>
      <c r="O1205" s="56">
        <f t="shared" si="198"/>
        <v>0</v>
      </c>
      <c r="P1205" s="56">
        <f t="shared" si="198"/>
        <v>0</v>
      </c>
      <c r="Q1205" s="56">
        <f t="shared" si="198"/>
        <v>15.666666666666664</v>
      </c>
      <c r="R1205" s="56">
        <f t="shared" si="198"/>
        <v>0</v>
      </c>
      <c r="S1205" s="53">
        <f t="shared" si="199"/>
        <v>15.666666666666664</v>
      </c>
      <c r="T1205" s="35" t="s">
        <v>169</v>
      </c>
      <c r="U1205" s="18" t="s">
        <v>1156</v>
      </c>
      <c r="V1205" s="19" t="str">
        <f>IF(OR($H1205="",$H1205="sif",$H1205="PM"),"",VLOOKUP($H1205,[5]CU!$C$5:$J$255,8,FALSE))</f>
        <v>3. Formation</v>
      </c>
      <c r="W1205" s="18" t="s">
        <v>96</v>
      </c>
      <c r="X1205" s="19" t="s">
        <v>1581</v>
      </c>
      <c r="Y1205" s="18" t="s">
        <v>677</v>
      </c>
      <c r="Z1205" s="19" t="str">
        <f>A1205 &amp; "-" &amp; VLOOKUP(A1205,[4]PROGRAMMES!$E$1:$F$7,2,FALSE)</f>
        <v>3-Expansion et réforme de l’ETFP</v>
      </c>
      <c r="AA1205" s="19" t="str">
        <f>B1205 &amp; "-" &amp; VLOOKUP(B1205,[4]SOUSPROGRAMMES!$E$1:$F$44,2,FALSE)</f>
        <v>36- Renforcement des capacités de pilotage et de gestion dans le cadre d’une gouvernance parteunariale multi niveaux</v>
      </c>
      <c r="AB1205" s="19" t="str">
        <f>C1205 &amp; "-" &amp; VLOOKUP(C1205,[4]RESULTATS!$E$1:$F$176,2,FALSE)</f>
        <v xml:space="preserve">368- Le cadre juridique et règlementaire est adapté </v>
      </c>
      <c r="AC1205" s="20" t="str">
        <f>D1205 &amp; "-" &amp; VLOOKUP(D1205,[4]STRATEGIES!$E$1:$F$504,2,FALSE)</f>
        <v>3681-Revue du cadre existant et adaptation au nouveau cadre</v>
      </c>
      <c r="AD1205" s="21" t="str">
        <f t="shared" si="191"/>
        <v>36811-Analyse de la cohérence des différents textes régissant l'ETFP avec la loi cadre</v>
      </c>
    </row>
    <row r="1206" spans="1:30" s="22" customFormat="1" ht="60" customHeight="1" x14ac:dyDescent="0.8">
      <c r="A1206" s="14">
        <v>3</v>
      </c>
      <c r="B1206" s="15">
        <v>36</v>
      </c>
      <c r="C1206" s="15">
        <v>368</v>
      </c>
      <c r="D1206" s="15">
        <v>3681</v>
      </c>
      <c r="E1206" s="14">
        <v>36812</v>
      </c>
      <c r="F1206" s="16" t="s">
        <v>1582</v>
      </c>
      <c r="G1206" s="21" t="s">
        <v>167</v>
      </c>
      <c r="H1206" s="17" t="s">
        <v>101</v>
      </c>
      <c r="I1206" s="56">
        <v>0</v>
      </c>
      <c r="J1206" s="56"/>
      <c r="K1206" s="56">
        <f>1*30</f>
        <v>30</v>
      </c>
      <c r="L1206" s="56">
        <f>1*30</f>
        <v>30</v>
      </c>
      <c r="M1206" s="56">
        <f t="shared" si="197"/>
        <v>60</v>
      </c>
      <c r="N1206" s="56">
        <f>IF(OR(H1206="",H1206="sif",H1206="PM"),0,VLOOKUP(H1206,[5]CU!$C$4:$H$255,6,FALSE))</f>
        <v>2.651545</v>
      </c>
      <c r="O1206" s="56">
        <f t="shared" si="198"/>
        <v>0</v>
      </c>
      <c r="P1206" s="56">
        <f t="shared" si="198"/>
        <v>0</v>
      </c>
      <c r="Q1206" s="56">
        <f t="shared" si="198"/>
        <v>79.546350000000004</v>
      </c>
      <c r="R1206" s="56">
        <f t="shared" si="198"/>
        <v>79.546350000000004</v>
      </c>
      <c r="S1206" s="53">
        <f t="shared" si="199"/>
        <v>159.09270000000001</v>
      </c>
      <c r="T1206" s="35" t="s">
        <v>118</v>
      </c>
      <c r="U1206" s="18" t="s">
        <v>1156</v>
      </c>
      <c r="V1206" s="19" t="str">
        <f>IF(OR($H1206="",$H1206="sif",$H1206="PM"),"",VLOOKUP($H1206,[5]CU!$C$5:$J$255,8,FALSE))</f>
        <v>3. Dépenses de fonctionnement</v>
      </c>
      <c r="W1206" s="18" t="s">
        <v>96</v>
      </c>
      <c r="X1206" s="18" t="s">
        <v>1334</v>
      </c>
      <c r="Y1206" s="18" t="s">
        <v>677</v>
      </c>
      <c r="Z1206" s="19" t="str">
        <f>A1206 &amp; "-" &amp; VLOOKUP(A1206,[4]PROGRAMMES!$E$1:$F$7,2,FALSE)</f>
        <v>3-Expansion et réforme de l’ETFP</v>
      </c>
      <c r="AA1206" s="19" t="str">
        <f>B1206 &amp; "-" &amp; VLOOKUP(B1206,[4]SOUSPROGRAMMES!$E$1:$F$44,2,FALSE)</f>
        <v>36- Renforcement des capacités de pilotage et de gestion dans le cadre d’une gouvernance parteunariale multi niveaux</v>
      </c>
      <c r="AB1206" s="19" t="str">
        <f>C1206 &amp; "-" &amp; VLOOKUP(C1206,[4]RESULTATS!$E$1:$F$176,2,FALSE)</f>
        <v xml:space="preserve">368- Le cadre juridique et règlementaire est adapté </v>
      </c>
      <c r="AC1206" s="20" t="str">
        <f>D1206 &amp; "-" &amp; VLOOKUP(D1206,[4]STRATEGIES!$E$1:$F$504,2,FALSE)</f>
        <v>3681-Revue du cadre existant et adaptation au nouveau cadre</v>
      </c>
      <c r="AD1206" s="21" t="str">
        <f t="shared" si="191"/>
        <v>36812-Mobilisation d'Expertise nationale</v>
      </c>
    </row>
    <row r="1207" spans="1:30" s="22" customFormat="1" ht="60" customHeight="1" x14ac:dyDescent="0.8">
      <c r="A1207" s="14">
        <v>3</v>
      </c>
      <c r="B1207" s="15">
        <v>36</v>
      </c>
      <c r="C1207" s="15">
        <v>368</v>
      </c>
      <c r="D1207" s="15">
        <v>3681</v>
      </c>
      <c r="E1207" s="14">
        <v>36813</v>
      </c>
      <c r="F1207" s="16" t="s">
        <v>1572</v>
      </c>
      <c r="G1207" s="21" t="s">
        <v>37</v>
      </c>
      <c r="H1207" s="17" t="s">
        <v>38</v>
      </c>
      <c r="I1207" s="56">
        <v>0</v>
      </c>
      <c r="J1207" s="56"/>
      <c r="K1207" s="56">
        <f>45*2</f>
        <v>90</v>
      </c>
      <c r="L1207" s="56">
        <f>45*2</f>
        <v>90</v>
      </c>
      <c r="M1207" s="56">
        <f t="shared" si="197"/>
        <v>180</v>
      </c>
      <c r="N1207" s="56">
        <f>IF(OR(H1207="",H1207="sif",H1207="PM"),0,VLOOKUP(H1207,[5]CU!$C$4:$H$255,6,FALSE))</f>
        <v>0.3133333333333333</v>
      </c>
      <c r="O1207" s="56">
        <f t="shared" si="198"/>
        <v>0</v>
      </c>
      <c r="P1207" s="56">
        <f t="shared" si="198"/>
        <v>0</v>
      </c>
      <c r="Q1207" s="56">
        <f t="shared" si="198"/>
        <v>28.199999999999996</v>
      </c>
      <c r="R1207" s="56">
        <f t="shared" si="198"/>
        <v>28.199999999999996</v>
      </c>
      <c r="S1207" s="53">
        <f t="shared" si="199"/>
        <v>56.399999999999991</v>
      </c>
      <c r="T1207" s="35" t="s">
        <v>118</v>
      </c>
      <c r="U1207" s="18" t="s">
        <v>1156</v>
      </c>
      <c r="V1207" s="19" t="str">
        <f>IF(OR($H1207="",$H1207="sif",$H1207="PM"),"",VLOOKUP($H1207,[5]CU!$C$5:$J$255,8,FALSE))</f>
        <v>3. Formation</v>
      </c>
      <c r="W1207" s="18" t="s">
        <v>96</v>
      </c>
      <c r="X1207" s="18" t="s">
        <v>1334</v>
      </c>
      <c r="Y1207" s="18" t="s">
        <v>677</v>
      </c>
      <c r="Z1207" s="19" t="str">
        <f>A1207 &amp; "-" &amp; VLOOKUP(A1207,[4]PROGRAMMES!$E$1:$F$7,2,FALSE)</f>
        <v>3-Expansion et réforme de l’ETFP</v>
      </c>
      <c r="AA1207" s="19" t="str">
        <f>B1207 &amp; "-" &amp; VLOOKUP(B1207,[4]SOUSPROGRAMMES!$E$1:$F$44,2,FALSE)</f>
        <v>36- Renforcement des capacités de pilotage et de gestion dans le cadre d’une gouvernance parteunariale multi niveaux</v>
      </c>
      <c r="AB1207" s="19" t="str">
        <f>C1207 &amp; "-" &amp; VLOOKUP(C1207,[4]RESULTATS!$E$1:$F$176,2,FALSE)</f>
        <v xml:space="preserve">368- Le cadre juridique et règlementaire est adapté </v>
      </c>
      <c r="AC1207" s="20" t="str">
        <f>D1207 &amp; "-" &amp; VLOOKUP(D1207,[4]STRATEGIES!$E$1:$F$504,2,FALSE)</f>
        <v>3681-Revue du cadre existant et adaptation au nouveau cadre</v>
      </c>
      <c r="AD1207" s="21" t="str">
        <f t="shared" si="191"/>
        <v>36813-Concertation avec les acteurs</v>
      </c>
    </row>
    <row r="1208" spans="1:30" s="22" customFormat="1" ht="60" customHeight="1" x14ac:dyDescent="0.8">
      <c r="A1208" s="14">
        <v>3</v>
      </c>
      <c r="B1208" s="15">
        <v>36</v>
      </c>
      <c r="C1208" s="15">
        <v>368</v>
      </c>
      <c r="D1208" s="15">
        <v>3681</v>
      </c>
      <c r="E1208" s="14">
        <v>36814</v>
      </c>
      <c r="F1208" s="16" t="s">
        <v>1583</v>
      </c>
      <c r="G1208" s="21" t="s">
        <v>37</v>
      </c>
      <c r="H1208" s="17" t="s">
        <v>66</v>
      </c>
      <c r="I1208" s="56">
        <v>0</v>
      </c>
      <c r="J1208" s="56"/>
      <c r="K1208" s="56">
        <f>15*5</f>
        <v>75</v>
      </c>
      <c r="L1208" s="56"/>
      <c r="M1208" s="56">
        <f t="shared" si="197"/>
        <v>75</v>
      </c>
      <c r="N1208" s="56">
        <f>IF(OR(H1208="",H1208="sif",H1208="PM"),0,VLOOKUP(H1208,[5]CU!$C$4:$H$255,6,FALSE))</f>
        <v>0.255</v>
      </c>
      <c r="O1208" s="56">
        <f t="shared" si="198"/>
        <v>0</v>
      </c>
      <c r="P1208" s="56">
        <f t="shared" si="198"/>
        <v>0</v>
      </c>
      <c r="Q1208" s="56">
        <f t="shared" si="198"/>
        <v>19.125</v>
      </c>
      <c r="R1208" s="56">
        <f t="shared" si="198"/>
        <v>0</v>
      </c>
      <c r="S1208" s="53">
        <f t="shared" si="199"/>
        <v>19.125</v>
      </c>
      <c r="T1208" s="35" t="s">
        <v>118</v>
      </c>
      <c r="U1208" s="18" t="s">
        <v>1156</v>
      </c>
      <c r="V1208" s="19" t="str">
        <f>IF(OR($H1208="",$H1208="sif",$H1208="PM"),"",VLOOKUP($H1208,[5]CU!$C$5:$J$255,8,FALSE))</f>
        <v>3. Dépenses de fonctionnement</v>
      </c>
      <c r="W1208" s="18" t="s">
        <v>96</v>
      </c>
      <c r="X1208" s="18" t="s">
        <v>1334</v>
      </c>
      <c r="Y1208" s="18" t="s">
        <v>677</v>
      </c>
      <c r="Z1208" s="19" t="str">
        <f>A1208 &amp; "-" &amp; VLOOKUP(A1208,[4]PROGRAMMES!$E$1:$F$7,2,FALSE)</f>
        <v>3-Expansion et réforme de l’ETFP</v>
      </c>
      <c r="AA1208" s="19" t="str">
        <f>B1208 &amp; "-" &amp; VLOOKUP(B1208,[4]SOUSPROGRAMMES!$E$1:$F$44,2,FALSE)</f>
        <v>36- Renforcement des capacités de pilotage et de gestion dans le cadre d’une gouvernance parteunariale multi niveaux</v>
      </c>
      <c r="AB1208" s="19" t="str">
        <f>C1208 &amp; "-" &amp; VLOOKUP(C1208,[4]RESULTATS!$E$1:$F$176,2,FALSE)</f>
        <v xml:space="preserve">368- Le cadre juridique et règlementaire est adapté </v>
      </c>
      <c r="AC1208" s="20" t="str">
        <f>D1208 &amp; "-" &amp; VLOOKUP(D1208,[4]STRATEGIES!$E$1:$F$504,2,FALSE)</f>
        <v>3681-Revue du cadre existant et adaptation au nouveau cadre</v>
      </c>
      <c r="AD1208" s="21" t="str">
        <f t="shared" si="191"/>
        <v>36814-Elaboration des projets de textes</v>
      </c>
    </row>
    <row r="1209" spans="1:30" s="22" customFormat="1" ht="60" customHeight="1" x14ac:dyDescent="0.8">
      <c r="A1209" s="14">
        <v>3</v>
      </c>
      <c r="B1209" s="15">
        <v>36</v>
      </c>
      <c r="C1209" s="15">
        <v>368</v>
      </c>
      <c r="D1209" s="15">
        <v>3681</v>
      </c>
      <c r="E1209" s="14">
        <v>36815</v>
      </c>
      <c r="F1209" s="16" t="s">
        <v>1584</v>
      </c>
      <c r="G1209" s="21" t="s">
        <v>37</v>
      </c>
      <c r="H1209" s="17" t="s">
        <v>38</v>
      </c>
      <c r="I1209" s="56">
        <v>0</v>
      </c>
      <c r="J1209" s="56"/>
      <c r="K1209" s="56">
        <f>30*3</f>
        <v>90</v>
      </c>
      <c r="L1209" s="56">
        <f>30*3</f>
        <v>90</v>
      </c>
      <c r="M1209" s="56">
        <f t="shared" si="197"/>
        <v>180</v>
      </c>
      <c r="N1209" s="56">
        <f>IF(OR(H1209="",H1209="sif",H1209="PM"),0,VLOOKUP(H1209,[5]CU!$C$4:$H$255,6,FALSE))</f>
        <v>0.3133333333333333</v>
      </c>
      <c r="O1209" s="56">
        <f t="shared" si="198"/>
        <v>0</v>
      </c>
      <c r="P1209" s="56">
        <f t="shared" si="198"/>
        <v>0</v>
      </c>
      <c r="Q1209" s="56">
        <f t="shared" si="198"/>
        <v>28.199999999999996</v>
      </c>
      <c r="R1209" s="56">
        <f t="shared" si="198"/>
        <v>28.199999999999996</v>
      </c>
      <c r="S1209" s="53">
        <f t="shared" si="199"/>
        <v>56.399999999999991</v>
      </c>
      <c r="T1209" s="35" t="s">
        <v>118</v>
      </c>
      <c r="U1209" s="18" t="s">
        <v>1156</v>
      </c>
      <c r="V1209" s="19" t="str">
        <f>IF(OR($H1209="",$H1209="sif",$H1209="PM"),"",VLOOKUP($H1209,[5]CU!$C$5:$J$255,8,FALSE))</f>
        <v>3. Formation</v>
      </c>
      <c r="W1209" s="18" t="s">
        <v>96</v>
      </c>
      <c r="X1209" s="18" t="s">
        <v>1334</v>
      </c>
      <c r="Y1209" s="18" t="s">
        <v>677</v>
      </c>
      <c r="Z1209" s="19" t="str">
        <f>A1209 &amp; "-" &amp; VLOOKUP(A1209,[4]PROGRAMMES!$E$1:$F$7,2,FALSE)</f>
        <v>3-Expansion et réforme de l’ETFP</v>
      </c>
      <c r="AA1209" s="19" t="str">
        <f>B1209 &amp; "-" &amp; VLOOKUP(B1209,[4]SOUSPROGRAMMES!$E$1:$F$44,2,FALSE)</f>
        <v>36- Renforcement des capacités de pilotage et de gestion dans le cadre d’une gouvernance parteunariale multi niveaux</v>
      </c>
      <c r="AB1209" s="19" t="str">
        <f>C1209 &amp; "-" &amp; VLOOKUP(C1209,[4]RESULTATS!$E$1:$F$176,2,FALSE)</f>
        <v xml:space="preserve">368- Le cadre juridique et règlementaire est adapté </v>
      </c>
      <c r="AC1209" s="20" t="str">
        <f>D1209 &amp; "-" &amp; VLOOKUP(D1209,[4]STRATEGIES!$E$1:$F$504,2,FALSE)</f>
        <v>3681-Revue du cadre existant et adaptation au nouveau cadre</v>
      </c>
      <c r="AD1209" s="21" t="str">
        <f t="shared" si="191"/>
        <v>36815-Validation des textes</v>
      </c>
    </row>
    <row r="1210" spans="1:30" s="22" customFormat="1" ht="60" hidden="1" customHeight="1" x14ac:dyDescent="0.8">
      <c r="A1210" s="14">
        <v>3</v>
      </c>
      <c r="B1210" s="15">
        <v>36</v>
      </c>
      <c r="C1210" s="15">
        <v>368</v>
      </c>
      <c r="D1210" s="15">
        <v>3681</v>
      </c>
      <c r="E1210" s="14">
        <v>36816</v>
      </c>
      <c r="F1210" s="16" t="s">
        <v>1575</v>
      </c>
      <c r="G1210" s="21" t="s">
        <v>37</v>
      </c>
      <c r="H1210" s="17" t="s">
        <v>55</v>
      </c>
      <c r="I1210" s="56">
        <v>0</v>
      </c>
      <c r="J1210" s="56"/>
      <c r="K1210" s="56"/>
      <c r="L1210" s="56"/>
      <c r="M1210" s="56"/>
      <c r="N1210" s="56">
        <f>IF(OR(H1210="",H1210="sif",H1210="PM"),0,VLOOKUP(H1210,[5]CU!$C$4:$H$255,6,FALSE))</f>
        <v>0</v>
      </c>
      <c r="O1210" s="56"/>
      <c r="P1210" s="56"/>
      <c r="Q1210" s="56"/>
      <c r="R1210" s="56"/>
      <c r="S1210" s="53"/>
      <c r="T1210" s="35" t="s">
        <v>56</v>
      </c>
      <c r="U1210" s="18" t="s">
        <v>1156</v>
      </c>
      <c r="V1210" s="19" t="str">
        <f>IF(OR($H1210="",$H1210="sif",$H1210="PM"),"",VLOOKUP($H1210,[5]CU!$C$5:$J$255,8,FALSE))</f>
        <v/>
      </c>
      <c r="W1210" s="18"/>
      <c r="X1210" s="18"/>
      <c r="Y1210" s="18" t="s">
        <v>677</v>
      </c>
      <c r="Z1210" s="19" t="str">
        <f>A1210 &amp; "-" &amp; VLOOKUP(A1210,[4]PROGRAMMES!$E$1:$F$7,2,FALSE)</f>
        <v>3-Expansion et réforme de l’ETFP</v>
      </c>
      <c r="AA1210" s="19" t="str">
        <f>B1210 &amp; "-" &amp; VLOOKUP(B1210,[4]SOUSPROGRAMMES!$E$1:$F$44,2,FALSE)</f>
        <v>36- Renforcement des capacités de pilotage et de gestion dans le cadre d’une gouvernance parteunariale multi niveaux</v>
      </c>
      <c r="AB1210" s="19" t="str">
        <f>C1210 &amp; "-" &amp; VLOOKUP(C1210,[4]RESULTATS!$E$1:$F$176,2,FALSE)</f>
        <v xml:space="preserve">368- Le cadre juridique et règlementaire est adapté </v>
      </c>
      <c r="AC1210" s="20" t="str">
        <f>D1210 &amp; "-" &amp; VLOOKUP(D1210,[4]STRATEGIES!$E$1:$F$504,2,FALSE)</f>
        <v>3681-Revue du cadre existant et adaptation au nouveau cadre</v>
      </c>
      <c r="AD1210" s="21" t="str">
        <f t="shared" si="191"/>
        <v>36816-Promulgation</v>
      </c>
    </row>
    <row r="1211" spans="1:30" s="22" customFormat="1" ht="60" customHeight="1" x14ac:dyDescent="0.8">
      <c r="A1211" s="14">
        <v>3</v>
      </c>
      <c r="B1211" s="15">
        <v>36</v>
      </c>
      <c r="C1211" s="15">
        <v>368</v>
      </c>
      <c r="D1211" s="15">
        <v>3681</v>
      </c>
      <c r="E1211" s="14">
        <v>36817</v>
      </c>
      <c r="F1211" s="16" t="s">
        <v>1576</v>
      </c>
      <c r="G1211" s="21" t="s">
        <v>44</v>
      </c>
      <c r="H1211" s="17" t="s">
        <v>816</v>
      </c>
      <c r="I1211" s="56">
        <v>0</v>
      </c>
      <c r="J1211" s="56"/>
      <c r="K1211" s="56">
        <f>100+60+58+20</f>
        <v>238</v>
      </c>
      <c r="L1211" s="56">
        <f>100+60+58+20</f>
        <v>238</v>
      </c>
      <c r="M1211" s="56">
        <f t="shared" ref="M1211:M1269" si="200">SUM(I1211:L1211)</f>
        <v>476</v>
      </c>
      <c r="N1211" s="56">
        <f>IF(OR(H1211="",H1211="sif",H1211="PM"),0,VLOOKUP(H1211,[5]CU!$C$4:$H$255,6,FALSE))</f>
        <v>7.4999999999999997E-3</v>
      </c>
      <c r="O1211" s="56">
        <f t="shared" ref="O1211:R1269" si="201">IFERROR($N1211*I1211,0)</f>
        <v>0</v>
      </c>
      <c r="P1211" s="56">
        <f t="shared" si="201"/>
        <v>0</v>
      </c>
      <c r="Q1211" s="56">
        <f t="shared" si="201"/>
        <v>1.7849999999999999</v>
      </c>
      <c r="R1211" s="56">
        <f t="shared" si="201"/>
        <v>1.7849999999999999</v>
      </c>
      <c r="S1211" s="53">
        <f>SUM(O1211:R1211)</f>
        <v>3.57</v>
      </c>
      <c r="T1211" s="35" t="s">
        <v>118</v>
      </c>
      <c r="U1211" s="18" t="s">
        <v>1156</v>
      </c>
      <c r="V1211" s="19" t="str">
        <f>IF(OR($H1211="",$H1211="sif",$H1211="PM"),"",VLOOKUP($H1211,[5]CU!$C$5:$J$255,8,FALSE))</f>
        <v>3. Dépenses de fonctionnement</v>
      </c>
      <c r="W1211" s="18" t="s">
        <v>521</v>
      </c>
      <c r="X1211" s="19" t="s">
        <v>1475</v>
      </c>
      <c r="Y1211" s="18" t="s">
        <v>677</v>
      </c>
      <c r="Z1211" s="19" t="str">
        <f>A1211 &amp; "-" &amp; VLOOKUP(A1211,[4]PROGRAMMES!$E$1:$F$7,2,FALSE)</f>
        <v>3-Expansion et réforme de l’ETFP</v>
      </c>
      <c r="AA1211" s="19" t="str">
        <f>B1211 &amp; "-" &amp; VLOOKUP(B1211,[4]SOUSPROGRAMMES!$E$1:$F$44,2,FALSE)</f>
        <v>36- Renforcement des capacités de pilotage et de gestion dans le cadre d’une gouvernance parteunariale multi niveaux</v>
      </c>
      <c r="AB1211" s="19" t="str">
        <f>C1211 &amp; "-" &amp; VLOOKUP(C1211,[4]RESULTATS!$E$1:$F$176,2,FALSE)</f>
        <v xml:space="preserve">368- Le cadre juridique et règlementaire est adapté </v>
      </c>
      <c r="AC1211" s="20" t="str">
        <f>D1211 &amp; "-" &amp; VLOOKUP(D1211,[4]STRATEGIES!$E$1:$F$504,2,FALSE)</f>
        <v>3681-Revue du cadre existant et adaptation au nouveau cadre</v>
      </c>
      <c r="AD1211" s="21" t="str">
        <f t="shared" si="191"/>
        <v>36817-Vulgarisation</v>
      </c>
    </row>
    <row r="1212" spans="1:30" s="22" customFormat="1" ht="60" customHeight="1" x14ac:dyDescent="0.8">
      <c r="A1212" s="14">
        <v>3</v>
      </c>
      <c r="B1212" s="15">
        <v>36</v>
      </c>
      <c r="C1212" s="15">
        <v>369</v>
      </c>
      <c r="D1212" s="15">
        <v>369</v>
      </c>
      <c r="E1212" s="14">
        <v>369</v>
      </c>
      <c r="F1212" s="16" t="s">
        <v>1585</v>
      </c>
      <c r="G1212" s="17"/>
      <c r="H1212" s="17"/>
      <c r="I1212" s="56">
        <v>0</v>
      </c>
      <c r="J1212" s="56"/>
      <c r="K1212" s="56"/>
      <c r="L1212" s="56"/>
      <c r="M1212" s="56"/>
      <c r="N1212" s="56"/>
      <c r="O1212" s="56"/>
      <c r="P1212" s="56"/>
      <c r="Q1212" s="56"/>
      <c r="R1212" s="56"/>
      <c r="S1212" s="53"/>
      <c r="T1212" s="33"/>
      <c r="U1212" s="18"/>
      <c r="V1212" s="19"/>
      <c r="W1212" s="18"/>
      <c r="X1212" s="18"/>
      <c r="Y1212" s="18" t="s">
        <v>677</v>
      </c>
      <c r="Z1212" s="19" t="str">
        <f>A1212 &amp; "-" &amp; VLOOKUP(A1212,[4]PROGRAMMES!$E$1:$F$7,2,FALSE)</f>
        <v>3-Expansion et réforme de l’ETFP</v>
      </c>
      <c r="AA1212" s="19" t="str">
        <f>B1212 &amp; "-" &amp; VLOOKUP(B1212,[4]SOUSPROGRAMMES!$E$1:$F$44,2,FALSE)</f>
        <v>36- Renforcement des capacités de pilotage et de gestion dans le cadre d’une gouvernance parteunariale multi niveaux</v>
      </c>
      <c r="AB1212" s="19" t="str">
        <f>C1212 &amp; "-" &amp; VLOOKUP(C1212,[4]RESULTATS!$E$1:$F$176,2,FALSE)</f>
        <v>369- Suivi et évaluation du programme reforme et expansion de l'ETFP est assuré</v>
      </c>
      <c r="AC1212" s="20" t="str">
        <f>D1212 &amp; "-" &amp; VLOOKUP(D1212,[4]STRATEGIES!$E$1:$F$504,2,FALSE)</f>
        <v>369- Suivi et évaluation du programme reforme et expansion de l'ETFP est assuré</v>
      </c>
      <c r="AD1212" s="21" t="str">
        <f t="shared" si="191"/>
        <v>369- Suivi et évaluation du programme reforme et expansion de l'ETFP est assuré</v>
      </c>
    </row>
    <row r="1213" spans="1:30" s="22" customFormat="1" ht="60" customHeight="1" x14ac:dyDescent="0.8">
      <c r="A1213" s="14">
        <v>3</v>
      </c>
      <c r="B1213" s="15">
        <v>36</v>
      </c>
      <c r="C1213" s="15">
        <v>369</v>
      </c>
      <c r="D1213" s="15">
        <v>3691</v>
      </c>
      <c r="E1213" s="14">
        <v>3691</v>
      </c>
      <c r="F1213" s="16" t="s">
        <v>1586</v>
      </c>
      <c r="G1213" s="17"/>
      <c r="H1213" s="17"/>
      <c r="I1213" s="56">
        <v>0</v>
      </c>
      <c r="J1213" s="56"/>
      <c r="K1213" s="56"/>
      <c r="L1213" s="56"/>
      <c r="M1213" s="56"/>
      <c r="N1213" s="56"/>
      <c r="O1213" s="56"/>
      <c r="P1213" s="56"/>
      <c r="Q1213" s="56"/>
      <c r="R1213" s="56"/>
      <c r="S1213" s="53"/>
      <c r="T1213" s="33"/>
      <c r="U1213" s="18"/>
      <c r="V1213" s="19"/>
      <c r="W1213" s="18"/>
      <c r="X1213" s="18"/>
      <c r="Y1213" s="18" t="s">
        <v>677</v>
      </c>
      <c r="Z1213" s="19" t="str">
        <f>A1213 &amp; "-" &amp; VLOOKUP(A1213,[4]PROGRAMMES!$E$1:$F$7,2,FALSE)</f>
        <v>3-Expansion et réforme de l’ETFP</v>
      </c>
      <c r="AA1213" s="19" t="str">
        <f>B1213 &amp; "-" &amp; VLOOKUP(B1213,[4]SOUSPROGRAMMES!$E$1:$F$44,2,FALSE)</f>
        <v>36- Renforcement des capacités de pilotage et de gestion dans le cadre d’une gouvernance parteunariale multi niveaux</v>
      </c>
      <c r="AB1213" s="19" t="str">
        <f>C1213 &amp; "-" &amp; VLOOKUP(C1213,[4]RESULTATS!$E$1:$F$176,2,FALSE)</f>
        <v>369- Suivi et évaluation du programme reforme et expansion de l'ETFP est assuré</v>
      </c>
      <c r="AC1213" s="20" t="str">
        <f>D1213 &amp; "-" &amp; VLOOKUP(D1213,[4]STRATEGIES!$E$1:$F$504,2,FALSE)</f>
        <v xml:space="preserve">3691-Mise en place d'un cadre de suivi-évaluation
</v>
      </c>
      <c r="AD1213" s="21" t="str">
        <f t="shared" si="191"/>
        <v xml:space="preserve">3691-Mise en place d'un cadre de suivi-évaluation
</v>
      </c>
    </row>
    <row r="1214" spans="1:30" s="22" customFormat="1" ht="60" hidden="1" customHeight="1" x14ac:dyDescent="0.8">
      <c r="A1214" s="14">
        <v>3</v>
      </c>
      <c r="B1214" s="15">
        <v>36</v>
      </c>
      <c r="C1214" s="15">
        <v>369</v>
      </c>
      <c r="D1214" s="15">
        <v>3691</v>
      </c>
      <c r="E1214" s="14">
        <v>36911</v>
      </c>
      <c r="F1214" s="16" t="s">
        <v>1587</v>
      </c>
      <c r="G1214" s="21" t="s">
        <v>1588</v>
      </c>
      <c r="H1214" s="17" t="s">
        <v>66</v>
      </c>
      <c r="I1214" s="56">
        <v>0</v>
      </c>
      <c r="J1214" s="56">
        <f>35*5</f>
        <v>175</v>
      </c>
      <c r="K1214" s="56"/>
      <c r="L1214" s="56"/>
      <c r="M1214" s="56">
        <f t="shared" si="200"/>
        <v>175</v>
      </c>
      <c r="N1214" s="56">
        <f>IF(OR(H1214="",H1214="sif",H1214="PM"),0,VLOOKUP(H1214,[5]CU!$C$4:$H$255,6,FALSE))</f>
        <v>0.255</v>
      </c>
      <c r="O1214" s="56">
        <f t="shared" si="201"/>
        <v>0</v>
      </c>
      <c r="P1214" s="56">
        <f t="shared" si="201"/>
        <v>44.625</v>
      </c>
      <c r="Q1214" s="56">
        <f t="shared" si="201"/>
        <v>0</v>
      </c>
      <c r="R1214" s="56">
        <f t="shared" si="201"/>
        <v>0</v>
      </c>
      <c r="S1214" s="53">
        <f>SUM(O1214:R1214)</f>
        <v>44.625</v>
      </c>
      <c r="T1214" s="35" t="s">
        <v>56</v>
      </c>
      <c r="U1214" s="18" t="s">
        <v>1156</v>
      </c>
      <c r="V1214" s="19" t="str">
        <f>IF(OR($H1214="",$H1214="sif",$H1214="PM"),"",VLOOKUP($H1214,[5]CU!$C$5:$J$255,8,FALSE))</f>
        <v>3. Dépenses de fonctionnement</v>
      </c>
      <c r="W1214" s="18" t="s">
        <v>96</v>
      </c>
      <c r="X1214" s="19" t="s">
        <v>1589</v>
      </c>
      <c r="Y1214" s="18" t="s">
        <v>677</v>
      </c>
      <c r="Z1214" s="19" t="str">
        <f>A1214 &amp; "-" &amp; VLOOKUP(A1214,[4]PROGRAMMES!$E$1:$F$7,2,FALSE)</f>
        <v>3-Expansion et réforme de l’ETFP</v>
      </c>
      <c r="AA1214" s="19" t="str">
        <f>B1214 &amp; "-" &amp; VLOOKUP(B1214,[4]SOUSPROGRAMMES!$E$1:$F$44,2,FALSE)</f>
        <v>36- Renforcement des capacités de pilotage et de gestion dans le cadre d’une gouvernance parteunariale multi niveaux</v>
      </c>
      <c r="AB1214" s="19" t="str">
        <f>C1214 &amp; "-" &amp; VLOOKUP(C1214,[4]RESULTATS!$E$1:$F$176,2,FALSE)</f>
        <v>369- Suivi et évaluation du programme reforme et expansion de l'ETFP est assuré</v>
      </c>
      <c r="AC1214" s="20" t="str">
        <f>D1214 &amp; "-" &amp; VLOOKUP(D1214,[4]STRATEGIES!$E$1:$F$504,2,FALSE)</f>
        <v xml:space="preserve">3691-Mise en place d'un cadre de suivi-évaluation
</v>
      </c>
      <c r="AD1214" s="21" t="str">
        <f t="shared" si="191"/>
        <v>36911-DéFinition du cadre partenarial de suivi évaluation de l'ETFP</v>
      </c>
    </row>
    <row r="1215" spans="1:30" s="22" customFormat="1" ht="60" hidden="1" customHeight="1" x14ac:dyDescent="0.8">
      <c r="A1215" s="14">
        <v>3</v>
      </c>
      <c r="B1215" s="15">
        <v>36</v>
      </c>
      <c r="C1215" s="15">
        <v>369</v>
      </c>
      <c r="D1215" s="15">
        <v>3691</v>
      </c>
      <c r="E1215" s="14">
        <v>36912</v>
      </c>
      <c r="F1215" s="16" t="s">
        <v>1590</v>
      </c>
      <c r="G1215" s="21" t="s">
        <v>836</v>
      </c>
      <c r="H1215" s="17" t="s">
        <v>55</v>
      </c>
      <c r="I1215" s="56">
        <v>0</v>
      </c>
      <c r="J1215" s="56">
        <v>1</v>
      </c>
      <c r="K1215" s="56">
        <v>1</v>
      </c>
      <c r="L1215" s="56">
        <v>1</v>
      </c>
      <c r="M1215" s="56">
        <f t="shared" si="200"/>
        <v>3</v>
      </c>
      <c r="N1215" s="56">
        <f>IF(OR(H1215="",H1215="sif",H1215="PM"),0,VLOOKUP(H1215,[5]CU!$C$4:$H$255,6,FALSE))</f>
        <v>0</v>
      </c>
      <c r="O1215" s="56">
        <f t="shared" si="201"/>
        <v>0</v>
      </c>
      <c r="P1215" s="56">
        <f t="shared" si="201"/>
        <v>0</v>
      </c>
      <c r="Q1215" s="56">
        <f t="shared" si="201"/>
        <v>0</v>
      </c>
      <c r="R1215" s="56">
        <f t="shared" si="201"/>
        <v>0</v>
      </c>
      <c r="S1215" s="53"/>
      <c r="T1215" s="35" t="s">
        <v>56</v>
      </c>
      <c r="U1215" s="18" t="s">
        <v>1156</v>
      </c>
      <c r="V1215" s="19" t="str">
        <f>IF(OR($H1215="",$H1215="sif",$H1215="PM"),"",VLOOKUP($H1215,[5]CU!$C$5:$J$255,8,FALSE))</f>
        <v/>
      </c>
      <c r="W1215" s="18" t="s">
        <v>96</v>
      </c>
      <c r="X1215" s="19" t="s">
        <v>1589</v>
      </c>
      <c r="Y1215" s="18" t="s">
        <v>677</v>
      </c>
      <c r="Z1215" s="19" t="str">
        <f>A1215 &amp; "-" &amp; VLOOKUP(A1215,[4]PROGRAMMES!$E$1:$F$7,2,FALSE)</f>
        <v>3-Expansion et réforme de l’ETFP</v>
      </c>
      <c r="AA1215" s="19" t="str">
        <f>B1215 &amp; "-" &amp; VLOOKUP(B1215,[4]SOUSPROGRAMMES!$E$1:$F$44,2,FALSE)</f>
        <v>36- Renforcement des capacités de pilotage et de gestion dans le cadre d’une gouvernance parteunariale multi niveaux</v>
      </c>
      <c r="AB1215" s="19" t="str">
        <f>C1215 &amp; "-" &amp; VLOOKUP(C1215,[4]RESULTATS!$E$1:$F$176,2,FALSE)</f>
        <v>369- Suivi et évaluation du programme reforme et expansion de l'ETFP est assuré</v>
      </c>
      <c r="AC1215" s="20" t="str">
        <f>D1215 &amp; "-" &amp; VLOOKUP(D1215,[4]STRATEGIES!$E$1:$F$504,2,FALSE)</f>
        <v xml:space="preserve">3691-Mise en place d'un cadre de suivi-évaluation
</v>
      </c>
      <c r="AD1215" s="21" t="str">
        <f t="shared" si="191"/>
        <v>36912-Evaluation régulière des performances de l'ETFP (à tous les niveaux)</v>
      </c>
    </row>
    <row r="1216" spans="1:30" s="22" customFormat="1" ht="60" hidden="1" customHeight="1" x14ac:dyDescent="0.8">
      <c r="A1216" s="14">
        <v>3</v>
      </c>
      <c r="B1216" s="15">
        <v>36</v>
      </c>
      <c r="C1216" s="15">
        <v>369</v>
      </c>
      <c r="D1216" s="15">
        <v>3691</v>
      </c>
      <c r="E1216" s="14">
        <v>36913</v>
      </c>
      <c r="F1216" s="16" t="s">
        <v>1591</v>
      </c>
      <c r="G1216" s="21" t="s">
        <v>1592</v>
      </c>
      <c r="H1216" s="17" t="s">
        <v>38</v>
      </c>
      <c r="I1216" s="56">
        <v>0</v>
      </c>
      <c r="J1216" s="56">
        <f>60*3</f>
        <v>180</v>
      </c>
      <c r="K1216" s="56">
        <f>60*3</f>
        <v>180</v>
      </c>
      <c r="L1216" s="56">
        <f>60*3</f>
        <v>180</v>
      </c>
      <c r="M1216" s="56">
        <f t="shared" si="200"/>
        <v>540</v>
      </c>
      <c r="N1216" s="56">
        <f>IF(OR(H1216="",H1216="sif",H1216="PM"),0,VLOOKUP(H1216,[5]CU!$C$4:$H$255,6,FALSE))</f>
        <v>0.3133333333333333</v>
      </c>
      <c r="O1216" s="56">
        <f t="shared" si="201"/>
        <v>0</v>
      </c>
      <c r="P1216" s="56">
        <f t="shared" si="201"/>
        <v>56.399999999999991</v>
      </c>
      <c r="Q1216" s="56">
        <f t="shared" si="201"/>
        <v>56.399999999999991</v>
      </c>
      <c r="R1216" s="56">
        <f t="shared" si="201"/>
        <v>56.399999999999991</v>
      </c>
      <c r="S1216" s="53">
        <f>SUM(O1216:R1216)</f>
        <v>169.2</v>
      </c>
      <c r="T1216" s="35" t="s">
        <v>56</v>
      </c>
      <c r="U1216" s="18" t="s">
        <v>1156</v>
      </c>
      <c r="V1216" s="19" t="str">
        <f>IF(OR($H1216="",$H1216="sif",$H1216="PM"),"",VLOOKUP($H1216,[5]CU!$C$5:$J$255,8,FALSE))</f>
        <v>3. Formation</v>
      </c>
      <c r="W1216" s="18" t="s">
        <v>96</v>
      </c>
      <c r="X1216" s="19" t="s">
        <v>1589</v>
      </c>
      <c r="Y1216" s="18" t="s">
        <v>677</v>
      </c>
      <c r="Z1216" s="19" t="str">
        <f>A1216 &amp; "-" &amp; VLOOKUP(A1216,[4]PROGRAMMES!$E$1:$F$7,2,FALSE)</f>
        <v>3-Expansion et réforme de l’ETFP</v>
      </c>
      <c r="AA1216" s="19" t="str">
        <f>B1216 &amp; "-" &amp; VLOOKUP(B1216,[4]SOUSPROGRAMMES!$E$1:$F$44,2,FALSE)</f>
        <v>36- Renforcement des capacités de pilotage et de gestion dans le cadre d’une gouvernance parteunariale multi niveaux</v>
      </c>
      <c r="AB1216" s="19" t="str">
        <f>C1216 &amp; "-" &amp; VLOOKUP(C1216,[4]RESULTATS!$E$1:$F$176,2,FALSE)</f>
        <v>369- Suivi et évaluation du programme reforme et expansion de l'ETFP est assuré</v>
      </c>
      <c r="AC1216" s="20" t="str">
        <f>D1216 &amp; "-" &amp; VLOOKUP(D1216,[4]STRATEGIES!$E$1:$F$504,2,FALSE)</f>
        <v xml:space="preserve">3691-Mise en place d'un cadre de suivi-évaluation
</v>
      </c>
      <c r="AD1216" s="21" t="str">
        <f t="shared" si="191"/>
        <v>36913-Partage des résultats des évaluations des performances de l'ETFP (à tous les niveaux)</v>
      </c>
    </row>
    <row r="1217" spans="1:30" s="22" customFormat="1" ht="60" hidden="1" customHeight="1" x14ac:dyDescent="0.8">
      <c r="A1217" s="14">
        <v>3</v>
      </c>
      <c r="B1217" s="15">
        <v>36</v>
      </c>
      <c r="C1217" s="15">
        <v>369</v>
      </c>
      <c r="D1217" s="15">
        <v>3691</v>
      </c>
      <c r="E1217" s="14">
        <v>36914</v>
      </c>
      <c r="F1217" s="16" t="s">
        <v>1593</v>
      </c>
      <c r="G1217" s="21" t="s">
        <v>298</v>
      </c>
      <c r="H1217" s="17" t="s">
        <v>66</v>
      </c>
      <c r="I1217" s="56">
        <v>0</v>
      </c>
      <c r="J1217" s="56">
        <f>10*5</f>
        <v>50</v>
      </c>
      <c r="K1217" s="56">
        <f>10*5</f>
        <v>50</v>
      </c>
      <c r="L1217" s="56">
        <f>10*5</f>
        <v>50</v>
      </c>
      <c r="M1217" s="56">
        <f t="shared" si="200"/>
        <v>150</v>
      </c>
      <c r="N1217" s="56">
        <f>IF(OR(H1217="",H1217="sif",H1217="PM"),0,VLOOKUP(H1217,[5]CU!$C$4:$H$255,6,FALSE))</f>
        <v>0.255</v>
      </c>
      <c r="O1217" s="56">
        <f t="shared" si="201"/>
        <v>0</v>
      </c>
      <c r="P1217" s="56">
        <f t="shared" si="201"/>
        <v>12.75</v>
      </c>
      <c r="Q1217" s="56">
        <f t="shared" si="201"/>
        <v>12.75</v>
      </c>
      <c r="R1217" s="56">
        <f t="shared" si="201"/>
        <v>12.75</v>
      </c>
      <c r="S1217" s="53">
        <f>SUM(O1217:R1217)</f>
        <v>38.25</v>
      </c>
      <c r="T1217" s="35" t="s">
        <v>56</v>
      </c>
      <c r="U1217" s="18" t="s">
        <v>1156</v>
      </c>
      <c r="V1217" s="19" t="str">
        <f>IF(OR($H1217="",$H1217="sif",$H1217="PM"),"",VLOOKUP($H1217,[5]CU!$C$5:$J$255,8,FALSE))</f>
        <v>3. Dépenses de fonctionnement</v>
      </c>
      <c r="W1217" s="18" t="s">
        <v>96</v>
      </c>
      <c r="X1217" s="19" t="s">
        <v>1589</v>
      </c>
      <c r="Y1217" s="18" t="s">
        <v>677</v>
      </c>
      <c r="Z1217" s="19" t="str">
        <f>A1217 &amp; "-" &amp; VLOOKUP(A1217,[4]PROGRAMMES!$E$1:$F$7,2,FALSE)</f>
        <v>3-Expansion et réforme de l’ETFP</v>
      </c>
      <c r="AA1217" s="19" t="str">
        <f>B1217 &amp; "-" &amp; VLOOKUP(B1217,[4]SOUSPROGRAMMES!$E$1:$F$44,2,FALSE)</f>
        <v>36- Renforcement des capacités de pilotage et de gestion dans le cadre d’une gouvernance parteunariale multi niveaux</v>
      </c>
      <c r="AB1217" s="19" t="str">
        <f>C1217 &amp; "-" &amp; VLOOKUP(C1217,[4]RESULTATS!$E$1:$F$176,2,FALSE)</f>
        <v>369- Suivi et évaluation du programme reforme et expansion de l'ETFP est assuré</v>
      </c>
      <c r="AC1217" s="20" t="str">
        <f>D1217 &amp; "-" &amp; VLOOKUP(D1217,[4]STRATEGIES!$E$1:$F$504,2,FALSE)</f>
        <v xml:space="preserve">3691-Mise en place d'un cadre de suivi-évaluation
</v>
      </c>
      <c r="AD1217" s="21" t="str">
        <f t="shared" si="191"/>
        <v>36914-Elaboration du rapport de performance de l'ETFP</v>
      </c>
    </row>
    <row r="1218" spans="1:30" s="22" customFormat="1" ht="60" hidden="1" customHeight="1" x14ac:dyDescent="0.8">
      <c r="A1218" s="14">
        <v>3</v>
      </c>
      <c r="B1218" s="15">
        <v>36</v>
      </c>
      <c r="C1218" s="15">
        <v>369</v>
      </c>
      <c r="D1218" s="15">
        <v>3691</v>
      </c>
      <c r="E1218" s="14">
        <v>36915</v>
      </c>
      <c r="F1218" s="16" t="s">
        <v>1594</v>
      </c>
      <c r="G1218" s="21" t="s">
        <v>298</v>
      </c>
      <c r="H1218" s="17" t="s">
        <v>38</v>
      </c>
      <c r="I1218" s="56">
        <v>0</v>
      </c>
      <c r="J1218" s="56">
        <f>60*1</f>
        <v>60</v>
      </c>
      <c r="K1218" s="56">
        <f>60*1</f>
        <v>60</v>
      </c>
      <c r="L1218" s="56">
        <f>60*1</f>
        <v>60</v>
      </c>
      <c r="M1218" s="56">
        <f t="shared" si="200"/>
        <v>180</v>
      </c>
      <c r="N1218" s="56">
        <f>IF(OR(H1218="",H1218="sif",H1218="PM"),0,VLOOKUP(H1218,[5]CU!$C$4:$H$255,6,FALSE))</f>
        <v>0.3133333333333333</v>
      </c>
      <c r="O1218" s="56">
        <f t="shared" si="201"/>
        <v>0</v>
      </c>
      <c r="P1218" s="56">
        <f t="shared" si="201"/>
        <v>18.799999999999997</v>
      </c>
      <c r="Q1218" s="56">
        <f t="shared" si="201"/>
        <v>18.799999999999997</v>
      </c>
      <c r="R1218" s="56">
        <f t="shared" si="201"/>
        <v>18.799999999999997</v>
      </c>
      <c r="S1218" s="53">
        <f>SUM(O1218:R1218)</f>
        <v>56.399999999999991</v>
      </c>
      <c r="T1218" s="35" t="s">
        <v>56</v>
      </c>
      <c r="U1218" s="18" t="s">
        <v>1156</v>
      </c>
      <c r="V1218" s="19" t="str">
        <f>IF(OR($H1218="",$H1218="sif",$H1218="PM"),"",VLOOKUP($H1218,[5]CU!$C$5:$J$255,8,FALSE))</f>
        <v>3. Formation</v>
      </c>
      <c r="W1218" s="18" t="s">
        <v>96</v>
      </c>
      <c r="X1218" s="19" t="s">
        <v>1589</v>
      </c>
      <c r="Y1218" s="18" t="s">
        <v>677</v>
      </c>
      <c r="Z1218" s="19" t="str">
        <f>A1218 &amp; "-" &amp; VLOOKUP(A1218,[4]PROGRAMMES!$E$1:$F$7,2,FALSE)</f>
        <v>3-Expansion et réforme de l’ETFP</v>
      </c>
      <c r="AA1218" s="19" t="str">
        <f>B1218 &amp; "-" &amp; VLOOKUP(B1218,[4]SOUSPROGRAMMES!$E$1:$F$44,2,FALSE)</f>
        <v>36- Renforcement des capacités de pilotage et de gestion dans le cadre d’une gouvernance parteunariale multi niveaux</v>
      </c>
      <c r="AB1218" s="19" t="str">
        <f>C1218 &amp; "-" &amp; VLOOKUP(C1218,[4]RESULTATS!$E$1:$F$176,2,FALSE)</f>
        <v>369- Suivi et évaluation du programme reforme et expansion de l'ETFP est assuré</v>
      </c>
      <c r="AC1218" s="20" t="str">
        <f>D1218 &amp; "-" &amp; VLOOKUP(D1218,[4]STRATEGIES!$E$1:$F$504,2,FALSE)</f>
        <v xml:space="preserve">3691-Mise en place d'un cadre de suivi-évaluation
</v>
      </c>
      <c r="AD1218" s="21" t="str">
        <f t="shared" si="191"/>
        <v>36915-Partage du rapport de performance</v>
      </c>
    </row>
    <row r="1219" spans="1:30" s="22" customFormat="1" ht="45" customHeight="1" x14ac:dyDescent="0.8">
      <c r="A1219" s="14">
        <v>4</v>
      </c>
      <c r="B1219" s="15">
        <v>4</v>
      </c>
      <c r="C1219" s="15">
        <v>4</v>
      </c>
      <c r="D1219" s="15">
        <v>4</v>
      </c>
      <c r="E1219" s="14">
        <v>4</v>
      </c>
      <c r="F1219" s="16" t="s">
        <v>1595</v>
      </c>
      <c r="G1219" s="17"/>
      <c r="H1219" s="17"/>
      <c r="I1219" s="56">
        <v>0</v>
      </c>
      <c r="J1219" s="56"/>
      <c r="K1219" s="56"/>
      <c r="L1219" s="56"/>
      <c r="M1219" s="56"/>
      <c r="N1219" s="56"/>
      <c r="O1219" s="56"/>
      <c r="P1219" s="56"/>
      <c r="Q1219" s="56"/>
      <c r="R1219" s="56"/>
      <c r="S1219" s="53"/>
      <c r="T1219" s="33"/>
      <c r="U1219" s="18"/>
      <c r="V1219" s="19"/>
      <c r="W1219" s="18"/>
      <c r="X1219" s="18"/>
      <c r="Y1219" s="18" t="s">
        <v>679</v>
      </c>
      <c r="Z1219" s="19" t="str">
        <f>A1219 &amp; "-" &amp; VLOOKUP(A1219,[4]PROGRAMMES!$E$1:$F$7,2,FALSE)</f>
        <v>4-Réforme de l’enseignement supérieur et la recherche scientifique et de l'innovation</v>
      </c>
      <c r="AA1219" s="19" t="str">
        <f>B1219 &amp; "-" &amp; VLOOKUP(B1219,[4]SOUSPROGRAMMES!$E$1:$F$44,2,FALSE)</f>
        <v>4-Réforme de l’enseignement supérieur et la recherche scientifique et de l'innovation</v>
      </c>
      <c r="AB1219" s="19" t="str">
        <f>C1219 &amp; "-" &amp; VLOOKUP(C1219,[4]RESULTATS!$E$1:$F$176,2,FALSE)</f>
        <v>4-Réforme de l’enseignement supérieur et la recherche scientifique et de l'innovation</v>
      </c>
      <c r="AC1219" s="20" t="str">
        <f>D1219 &amp; "-" &amp; VLOOKUP(D1219,[4]STRATEGIES!$E$1:$F$504,2,FALSE)</f>
        <v>4-Réforme de l’enseignement supérieur et la recherche scientifique et de l'innovation</v>
      </c>
      <c r="AD1219" s="21" t="str">
        <f t="shared" si="191"/>
        <v>4-Réforme de l’enseignement supérieur et la recherche scientifique et de l'innovation</v>
      </c>
    </row>
    <row r="1220" spans="1:30" s="22" customFormat="1" ht="45" customHeight="1" x14ac:dyDescent="0.8">
      <c r="A1220" s="14">
        <v>4</v>
      </c>
      <c r="B1220" s="15">
        <v>41</v>
      </c>
      <c r="C1220" s="15">
        <v>41</v>
      </c>
      <c r="D1220" s="15">
        <v>41</v>
      </c>
      <c r="E1220" s="14">
        <v>41</v>
      </c>
      <c r="F1220" s="16" t="s">
        <v>1596</v>
      </c>
      <c r="G1220" s="17"/>
      <c r="H1220" s="17"/>
      <c r="I1220" s="56">
        <v>0</v>
      </c>
      <c r="J1220" s="56"/>
      <c r="K1220" s="56"/>
      <c r="L1220" s="56"/>
      <c r="M1220" s="56"/>
      <c r="N1220" s="56"/>
      <c r="O1220" s="56"/>
      <c r="P1220" s="56"/>
      <c r="Q1220" s="56"/>
      <c r="R1220" s="56"/>
      <c r="S1220" s="53"/>
      <c r="T1220" s="33"/>
      <c r="U1220" s="18"/>
      <c r="V1220" s="19"/>
      <c r="W1220" s="18"/>
      <c r="X1220" s="18"/>
      <c r="Y1220" s="18" t="s">
        <v>679</v>
      </c>
      <c r="Z1220" s="19" t="str">
        <f>A1220 &amp; "-" &amp; VLOOKUP(A1220,[4]PROGRAMMES!$E$1:$F$7,2,FALSE)</f>
        <v>4-Réforme de l’enseignement supérieur et la recherche scientifique et de l'innovation</v>
      </c>
      <c r="AA1220" s="19" t="str">
        <f>B1220 &amp; "-" &amp; VLOOKUP(B1220,[4]SOUSPROGRAMMES!$E$1:$F$44,2,FALSE)</f>
        <v>41- Gouvernance et pilotage de l’enseignement supérieur et de la recherche scientifique</v>
      </c>
      <c r="AB1220" s="19" t="str">
        <f>C1220 &amp; "-" &amp; VLOOKUP(C1220,[4]RESULTATS!$E$1:$F$176,2,FALSE)</f>
        <v>41- Gouvernance et pilotage de l’enseignement supérieur et de la recherche scientifique</v>
      </c>
      <c r="AC1220" s="20" t="str">
        <f>D1220 &amp; "-" &amp; VLOOKUP(D1220,[4]STRATEGIES!$E$1:$F$504,2,FALSE)</f>
        <v>41- Gouvernance et pilotage de l’enseignement supérieur et de la recherche scientifique</v>
      </c>
      <c r="AD1220" s="21" t="str">
        <f t="shared" ref="AD1220:AD1283" si="202">E1220 &amp; "-" &amp; F1220</f>
        <v>41- Gouvernance et pilotage de l’enseignement supérieur et de la recherche scientifique</v>
      </c>
    </row>
    <row r="1221" spans="1:30" s="22" customFormat="1" ht="60" customHeight="1" x14ac:dyDescent="0.8">
      <c r="A1221" s="14">
        <v>4</v>
      </c>
      <c r="B1221" s="15">
        <v>41</v>
      </c>
      <c r="C1221" s="15">
        <v>411</v>
      </c>
      <c r="D1221" s="15">
        <v>411</v>
      </c>
      <c r="E1221" s="14">
        <v>411</v>
      </c>
      <c r="F1221" s="16" t="s">
        <v>1597</v>
      </c>
      <c r="G1221" s="17"/>
      <c r="H1221" s="17"/>
      <c r="I1221" s="56">
        <v>0</v>
      </c>
      <c r="J1221" s="56"/>
      <c r="K1221" s="56"/>
      <c r="L1221" s="56"/>
      <c r="M1221" s="56"/>
      <c r="N1221" s="56"/>
      <c r="O1221" s="56"/>
      <c r="P1221" s="56"/>
      <c r="Q1221" s="56"/>
      <c r="R1221" s="56"/>
      <c r="S1221" s="53"/>
      <c r="T1221" s="33"/>
      <c r="U1221" s="18"/>
      <c r="V1221" s="19"/>
      <c r="W1221" s="18"/>
      <c r="X1221" s="18"/>
      <c r="Y1221" s="18" t="s">
        <v>679</v>
      </c>
      <c r="Z1221" s="19" t="str">
        <f>A1221 &amp; "-" &amp; VLOOKUP(A1221,[4]PROGRAMMES!$E$1:$F$7,2,FALSE)</f>
        <v>4-Réforme de l’enseignement supérieur et la recherche scientifique et de l'innovation</v>
      </c>
      <c r="AA1221" s="19" t="str">
        <f>B1221 &amp; "-" &amp; VLOOKUP(B1221,[4]SOUSPROGRAMMES!$E$1:$F$44,2,FALSE)</f>
        <v>41- Gouvernance et pilotage de l’enseignement supérieur et de la recherche scientifique</v>
      </c>
      <c r="AB1221" s="19" t="str">
        <f>C1221 &amp; "-" &amp; VLOOKUP(C1221,[4]RESULTATS!$E$1:$F$176,2,FALSE)</f>
        <v xml:space="preserve">411- Les textes sont produits/révisés, les manuels de procédure de gestion sont élaborés afin de mieux situer les rôles et les responsabilités. </v>
      </c>
      <c r="AC1221" s="20" t="str">
        <f>D1221 &amp; "-" &amp; VLOOKUP(D1221,[4]STRATEGIES!$E$1:$F$504,2,FALSE)</f>
        <v xml:space="preserve">411- Les textes sont produits/révisés, les manuels de procédure de gestion sont élaborés afin de mieux situer les rôles et les responsabilités. </v>
      </c>
      <c r="AD1221" s="21" t="str">
        <f t="shared" si="202"/>
        <v xml:space="preserve">411- Les textes sont produits/révisés, les manuels de procédure de gestion sont élaborés aFin de mieux situer les rôles et les responsabilités. </v>
      </c>
    </row>
    <row r="1222" spans="1:30" s="22" customFormat="1" ht="60" customHeight="1" x14ac:dyDescent="0.8">
      <c r="A1222" s="14">
        <v>4</v>
      </c>
      <c r="B1222" s="15">
        <v>41</v>
      </c>
      <c r="C1222" s="15">
        <v>411</v>
      </c>
      <c r="D1222" s="15">
        <v>4111</v>
      </c>
      <c r="E1222" s="14">
        <v>4111</v>
      </c>
      <c r="F1222" s="16" t="s">
        <v>1598</v>
      </c>
      <c r="G1222" s="17"/>
      <c r="H1222" s="17"/>
      <c r="I1222" s="56">
        <v>0</v>
      </c>
      <c r="J1222" s="56"/>
      <c r="K1222" s="56"/>
      <c r="L1222" s="56"/>
      <c r="M1222" s="56"/>
      <c r="N1222" s="56"/>
      <c r="O1222" s="56"/>
      <c r="P1222" s="56"/>
      <c r="Q1222" s="56"/>
      <c r="R1222" s="56"/>
      <c r="S1222" s="53"/>
      <c r="T1222" s="33"/>
      <c r="U1222" s="18"/>
      <c r="V1222" s="19"/>
      <c r="W1222" s="18"/>
      <c r="X1222" s="18"/>
      <c r="Y1222" s="18" t="s">
        <v>679</v>
      </c>
      <c r="Z1222" s="19" t="str">
        <f>A1222 &amp; "-" &amp; VLOOKUP(A1222,[4]PROGRAMMES!$E$1:$F$7,2,FALSE)</f>
        <v>4-Réforme de l’enseignement supérieur et la recherche scientifique et de l'innovation</v>
      </c>
      <c r="AA1222" s="19" t="str">
        <f>B1222 &amp; "-" &amp; VLOOKUP(B1222,[4]SOUSPROGRAMMES!$E$1:$F$44,2,FALSE)</f>
        <v>41- Gouvernance et pilotage de l’enseignement supérieur et de la recherche scientifique</v>
      </c>
      <c r="AB1222" s="19" t="str">
        <f>C1222 &amp; "-" &amp; VLOOKUP(C1222,[4]RESULTATS!$E$1:$F$176,2,FALSE)</f>
        <v xml:space="preserve">411- Les textes sont produits/révisés, les manuels de procédure de gestion sont élaborés afin de mieux situer les rôles et les responsabilités. </v>
      </c>
      <c r="AC1222" s="20" t="str">
        <f>D1222 &amp; "-" &amp; VLOOKUP(D1222,[4]STRATEGIES!$E$1:$F$504,2,FALSE)</f>
        <v>4111-Production/révision des textes et de manuels de procédure</v>
      </c>
      <c r="AD1222" s="21" t="str">
        <f t="shared" si="202"/>
        <v>4111-Production/révision des textes et de manuels de procédure</v>
      </c>
    </row>
    <row r="1223" spans="1:30" s="22" customFormat="1" ht="60" customHeight="1" x14ac:dyDescent="0.8">
      <c r="A1223" s="14">
        <v>4</v>
      </c>
      <c r="B1223" s="15">
        <v>41</v>
      </c>
      <c r="C1223" s="15">
        <v>411</v>
      </c>
      <c r="D1223" s="15">
        <v>4111</v>
      </c>
      <c r="E1223" s="14">
        <v>41111</v>
      </c>
      <c r="F1223" s="16" t="s">
        <v>1599</v>
      </c>
      <c r="G1223" s="21" t="s">
        <v>88</v>
      </c>
      <c r="H1223" s="17" t="s">
        <v>55</v>
      </c>
      <c r="I1223" s="56">
        <v>0</v>
      </c>
      <c r="J1223" s="56">
        <v>1</v>
      </c>
      <c r="K1223" s="56">
        <v>1</v>
      </c>
      <c r="L1223" s="56">
        <v>1</v>
      </c>
      <c r="M1223" s="56">
        <f t="shared" si="200"/>
        <v>3</v>
      </c>
      <c r="N1223" s="56">
        <f>IF(OR(H1223="",H1223="sif",H1223="PM"),0,VLOOKUP(H1223,[5]CU!$C$4:$H$255,6,FALSE))</f>
        <v>0</v>
      </c>
      <c r="O1223" s="56">
        <f t="shared" si="201"/>
        <v>0</v>
      </c>
      <c r="P1223" s="56">
        <f t="shared" si="201"/>
        <v>0</v>
      </c>
      <c r="Q1223" s="56">
        <f t="shared" si="201"/>
        <v>0</v>
      </c>
      <c r="R1223" s="56">
        <f t="shared" si="201"/>
        <v>0</v>
      </c>
      <c r="S1223" s="53"/>
      <c r="T1223" s="35" t="s">
        <v>1304</v>
      </c>
      <c r="U1223" s="18" t="s">
        <v>1600</v>
      </c>
      <c r="V1223" s="19" t="str">
        <f>IF(OR($H1223="",$H1223="sif",$H1223="PM"),"",VLOOKUP($H1223,[5]CU!$C$5:$J$255,8,FALSE))</f>
        <v/>
      </c>
      <c r="W1223" s="18" t="s">
        <v>255</v>
      </c>
      <c r="X1223" s="18" t="s">
        <v>1601</v>
      </c>
      <c r="Y1223" s="18" t="s">
        <v>679</v>
      </c>
      <c r="Z1223" s="19" t="str">
        <f>A1223 &amp; "-" &amp; VLOOKUP(A1223,[4]PROGRAMMES!$E$1:$F$7,2,FALSE)</f>
        <v>4-Réforme de l’enseignement supérieur et la recherche scientifique et de l'innovation</v>
      </c>
      <c r="AA1223" s="19" t="str">
        <f>B1223 &amp; "-" &amp; VLOOKUP(B1223,[4]SOUSPROGRAMMES!$E$1:$F$44,2,FALSE)</f>
        <v>41- Gouvernance et pilotage de l’enseignement supérieur et de la recherche scientifique</v>
      </c>
      <c r="AB1223" s="19" t="str">
        <f>C1223 &amp; "-" &amp; VLOOKUP(C1223,[4]RESULTATS!$E$1:$F$176,2,FALSE)</f>
        <v xml:space="preserve">411- Les textes sont produits/révisés, les manuels de procédure de gestion sont élaborés afin de mieux situer les rôles et les responsabilités. </v>
      </c>
      <c r="AC1223" s="20" t="str">
        <f>D1223 &amp; "-" &amp; VLOOKUP(D1223,[4]STRATEGIES!$E$1:$F$504,2,FALSE)</f>
        <v>4111-Production/révision des textes et de manuels de procédure</v>
      </c>
      <c r="AD1223" s="21" t="str">
        <f t="shared" si="202"/>
        <v>41111-Identification des textes à réviser/produire et constitution des commissions</v>
      </c>
    </row>
    <row r="1224" spans="1:30" s="22" customFormat="1" ht="60" customHeight="1" x14ac:dyDescent="0.8">
      <c r="A1224" s="14">
        <v>4</v>
      </c>
      <c r="B1224" s="15">
        <v>41</v>
      </c>
      <c r="C1224" s="15">
        <v>411</v>
      </c>
      <c r="D1224" s="15">
        <v>4111</v>
      </c>
      <c r="E1224" s="14">
        <v>41112</v>
      </c>
      <c r="F1224" s="16" t="s">
        <v>1602</v>
      </c>
      <c r="G1224" s="21" t="s">
        <v>298</v>
      </c>
      <c r="H1224" s="17" t="s">
        <v>66</v>
      </c>
      <c r="I1224" s="56">
        <v>0</v>
      </c>
      <c r="J1224" s="56">
        <f>30*5*3</f>
        <v>450</v>
      </c>
      <c r="K1224" s="56"/>
      <c r="L1224" s="56"/>
      <c r="M1224" s="56">
        <f t="shared" si="200"/>
        <v>450</v>
      </c>
      <c r="N1224" s="56">
        <f>IF(OR(H1224="",H1224="sif",H1224="PM"),0,VLOOKUP(H1224,[5]CU!$C$4:$H$255,6,FALSE))</f>
        <v>0.255</v>
      </c>
      <c r="O1224" s="56">
        <f t="shared" si="201"/>
        <v>0</v>
      </c>
      <c r="P1224" s="56">
        <f t="shared" si="201"/>
        <v>114.75</v>
      </c>
      <c r="Q1224" s="56">
        <f t="shared" si="201"/>
        <v>0</v>
      </c>
      <c r="R1224" s="56">
        <f t="shared" si="201"/>
        <v>0</v>
      </c>
      <c r="S1224" s="53">
        <f>SUM(O1224:R1224)</f>
        <v>114.75</v>
      </c>
      <c r="T1224" s="35" t="s">
        <v>1304</v>
      </c>
      <c r="U1224" s="19" t="s">
        <v>1600</v>
      </c>
      <c r="V1224" s="19" t="str">
        <f>IF(OR($H1224="",$H1224="sif",$H1224="PM"),"",VLOOKUP($H1224,[5]CU!$C$5:$J$255,8,FALSE))</f>
        <v>3. Dépenses de fonctionnement</v>
      </c>
      <c r="W1224" s="19" t="s">
        <v>255</v>
      </c>
      <c r="X1224" s="19" t="s">
        <v>255</v>
      </c>
      <c r="Y1224" s="18" t="s">
        <v>679</v>
      </c>
      <c r="Z1224" s="19" t="str">
        <f>A1224 &amp; "-" &amp; VLOOKUP(A1224,[4]PROGRAMMES!$E$1:$F$7,2,FALSE)</f>
        <v>4-Réforme de l’enseignement supérieur et la recherche scientifique et de l'innovation</v>
      </c>
      <c r="AA1224" s="19" t="str">
        <f>B1224 &amp; "-" &amp; VLOOKUP(B1224,[4]SOUSPROGRAMMES!$E$1:$F$44,2,FALSE)</f>
        <v>41- Gouvernance et pilotage de l’enseignement supérieur et de la recherche scientifique</v>
      </c>
      <c r="AB1224" s="19" t="str">
        <f>C1224 &amp; "-" &amp; VLOOKUP(C1224,[4]RESULTATS!$E$1:$F$176,2,FALSE)</f>
        <v xml:space="preserve">411- Les textes sont produits/révisés, les manuels de procédure de gestion sont élaborés afin de mieux situer les rôles et les responsabilités. </v>
      </c>
      <c r="AC1224" s="20" t="str">
        <f>D1224 &amp; "-" &amp; VLOOKUP(D1224,[4]STRATEGIES!$E$1:$F$504,2,FALSE)</f>
        <v>4111-Production/révision des textes et de manuels de procédure</v>
      </c>
      <c r="AD1224" s="21" t="str">
        <f t="shared" si="202"/>
        <v>41112-Travaux des commissions pour la révision/production des textes (y compris l'obligation de publication de comptes Financiers)</v>
      </c>
    </row>
    <row r="1225" spans="1:30" s="22" customFormat="1" ht="60" customHeight="1" x14ac:dyDescent="0.8">
      <c r="A1225" s="14">
        <v>4</v>
      </c>
      <c r="B1225" s="15">
        <v>41</v>
      </c>
      <c r="C1225" s="15">
        <v>411</v>
      </c>
      <c r="D1225" s="15">
        <v>4111</v>
      </c>
      <c r="E1225" s="14">
        <v>41113</v>
      </c>
      <c r="F1225" s="16" t="s">
        <v>1603</v>
      </c>
      <c r="G1225" s="21" t="s">
        <v>167</v>
      </c>
      <c r="H1225" s="17" t="s">
        <v>101</v>
      </c>
      <c r="I1225" s="56">
        <v>0</v>
      </c>
      <c r="J1225" s="56">
        <f>2*30</f>
        <v>60</v>
      </c>
      <c r="K1225" s="56">
        <f>2*30</f>
        <v>60</v>
      </c>
      <c r="L1225" s="56">
        <f>3*30*1</f>
        <v>90</v>
      </c>
      <c r="M1225" s="56">
        <f t="shared" si="200"/>
        <v>210</v>
      </c>
      <c r="N1225" s="56">
        <f>IF(OR(H1225="",H1225="sif",H1225="PM"),0,VLOOKUP(H1225,[5]CU!$C$4:$H$255,6,FALSE))</f>
        <v>2.651545</v>
      </c>
      <c r="O1225" s="56">
        <f t="shared" si="201"/>
        <v>0</v>
      </c>
      <c r="P1225" s="56">
        <f t="shared" si="201"/>
        <v>159.09270000000001</v>
      </c>
      <c r="Q1225" s="56">
        <f t="shared" si="201"/>
        <v>159.09270000000001</v>
      </c>
      <c r="R1225" s="56">
        <f t="shared" si="201"/>
        <v>238.63905</v>
      </c>
      <c r="S1225" s="53">
        <f>SUM(O1225:R1225)</f>
        <v>556.82445000000007</v>
      </c>
      <c r="T1225" s="35" t="s">
        <v>1304</v>
      </c>
      <c r="U1225" s="19" t="s">
        <v>1600</v>
      </c>
      <c r="V1225" s="19" t="str">
        <f>IF(OR($H1225="",$H1225="sif",$H1225="PM"),"",VLOOKUP($H1225,[5]CU!$C$5:$J$255,8,FALSE))</f>
        <v>3. Dépenses de fonctionnement</v>
      </c>
      <c r="W1225" s="19" t="s">
        <v>255</v>
      </c>
      <c r="X1225" s="19" t="s">
        <v>96</v>
      </c>
      <c r="Y1225" s="18" t="s">
        <v>679</v>
      </c>
      <c r="Z1225" s="19" t="str">
        <f>A1225 &amp; "-" &amp; VLOOKUP(A1225,[4]PROGRAMMES!$E$1:$F$7,2,FALSE)</f>
        <v>4-Réforme de l’enseignement supérieur et la recherche scientifique et de l'innovation</v>
      </c>
      <c r="AA1225" s="19" t="str">
        <f>B1225 &amp; "-" &amp; VLOOKUP(B1225,[4]SOUSPROGRAMMES!$E$1:$F$44,2,FALSE)</f>
        <v>41- Gouvernance et pilotage de l’enseignement supérieur et de la recherche scientifique</v>
      </c>
      <c r="AB1225" s="19" t="str">
        <f>C1225 &amp; "-" &amp; VLOOKUP(C1225,[4]RESULTATS!$E$1:$F$176,2,FALSE)</f>
        <v xml:space="preserve">411- Les textes sont produits/révisés, les manuels de procédure de gestion sont élaborés afin de mieux situer les rôles et les responsabilités. </v>
      </c>
      <c r="AC1225" s="20" t="str">
        <f>D1225 &amp; "-" &amp; VLOOKUP(D1225,[4]STRATEGIES!$E$1:$F$504,2,FALSE)</f>
        <v>4111-Production/révision des textes et de manuels de procédure</v>
      </c>
      <c r="AD1225" s="21" t="str">
        <f t="shared" si="202"/>
        <v>41113-Recrutement des consultants pour l'élaboration des manuels de procédures</v>
      </c>
    </row>
    <row r="1226" spans="1:30" s="22" customFormat="1" ht="45" customHeight="1" x14ac:dyDescent="0.8">
      <c r="A1226" s="14">
        <v>4</v>
      </c>
      <c r="B1226" s="15">
        <v>41</v>
      </c>
      <c r="C1226" s="15">
        <v>412</v>
      </c>
      <c r="D1226" s="15">
        <v>412</v>
      </c>
      <c r="E1226" s="14">
        <v>412</v>
      </c>
      <c r="F1226" s="16" t="s">
        <v>1604</v>
      </c>
      <c r="G1226" s="17"/>
      <c r="H1226" s="17"/>
      <c r="I1226" s="56">
        <v>0</v>
      </c>
      <c r="J1226" s="56"/>
      <c r="K1226" s="56"/>
      <c r="L1226" s="56"/>
      <c r="M1226" s="56"/>
      <c r="N1226" s="56"/>
      <c r="O1226" s="56"/>
      <c r="P1226" s="56"/>
      <c r="Q1226" s="56"/>
      <c r="R1226" s="56"/>
      <c r="S1226" s="53"/>
      <c r="T1226" s="33"/>
      <c r="U1226" s="18"/>
      <c r="V1226" s="19"/>
      <c r="W1226" s="18"/>
      <c r="X1226" s="18"/>
      <c r="Y1226" s="18" t="s">
        <v>679</v>
      </c>
      <c r="Z1226" s="19" t="str">
        <f>A1226 &amp; "-" &amp; VLOOKUP(A1226,[4]PROGRAMMES!$E$1:$F$7,2,FALSE)</f>
        <v>4-Réforme de l’enseignement supérieur et la recherche scientifique et de l'innovation</v>
      </c>
      <c r="AA1226" s="19" t="str">
        <f>B1226 &amp; "-" &amp; VLOOKUP(B1226,[4]SOUSPROGRAMMES!$E$1:$F$44,2,FALSE)</f>
        <v>41- Gouvernance et pilotage de l’enseignement supérieur et de la recherche scientifique</v>
      </c>
      <c r="AB1226" s="19" t="str">
        <f>C1226 &amp; "-" &amp; VLOOKUP(C1226,[4]RESULTATS!$E$1:$F$176,2,FALSE)</f>
        <v>412- Les ateliers de partage des documents sont tenus</v>
      </c>
      <c r="AC1226" s="20" t="str">
        <f>D1226 &amp; "-" &amp; VLOOKUP(D1226,[4]STRATEGIES!$E$1:$F$504,2,FALSE)</f>
        <v>412- Les ateliers de partage des documents sont tenus</v>
      </c>
      <c r="AD1226" s="21" t="str">
        <f t="shared" si="202"/>
        <v>412- Les ateliers de partage des documents sont tenus</v>
      </c>
    </row>
    <row r="1227" spans="1:30" s="22" customFormat="1" ht="45" customHeight="1" x14ac:dyDescent="0.8">
      <c r="A1227" s="14">
        <v>4</v>
      </c>
      <c r="B1227" s="15">
        <v>41</v>
      </c>
      <c r="C1227" s="15">
        <v>412</v>
      </c>
      <c r="D1227" s="15">
        <v>4121</v>
      </c>
      <c r="E1227" s="14">
        <v>4121</v>
      </c>
      <c r="F1227" s="16" t="s">
        <v>1605</v>
      </c>
      <c r="G1227" s="17"/>
      <c r="H1227" s="17"/>
      <c r="I1227" s="56">
        <v>0</v>
      </c>
      <c r="J1227" s="56"/>
      <c r="K1227" s="56"/>
      <c r="L1227" s="56"/>
      <c r="M1227" s="56"/>
      <c r="N1227" s="56"/>
      <c r="O1227" s="56"/>
      <c r="P1227" s="56"/>
      <c r="Q1227" s="56"/>
      <c r="R1227" s="56"/>
      <c r="S1227" s="53"/>
      <c r="T1227" s="33"/>
      <c r="U1227" s="18"/>
      <c r="V1227" s="19"/>
      <c r="W1227" s="18"/>
      <c r="X1227" s="18"/>
      <c r="Y1227" s="18" t="s">
        <v>679</v>
      </c>
      <c r="Z1227" s="19" t="str">
        <f>A1227 &amp; "-" &amp; VLOOKUP(A1227,[4]PROGRAMMES!$E$1:$F$7,2,FALSE)</f>
        <v>4-Réforme de l’enseignement supérieur et la recherche scientifique et de l'innovation</v>
      </c>
      <c r="AA1227" s="19" t="str">
        <f>B1227 &amp; "-" &amp; VLOOKUP(B1227,[4]SOUSPROGRAMMES!$E$1:$F$44,2,FALSE)</f>
        <v>41- Gouvernance et pilotage de l’enseignement supérieur et de la recherche scientifique</v>
      </c>
      <c r="AB1227" s="19" t="str">
        <f>C1227 &amp; "-" &amp; VLOOKUP(C1227,[4]RESULTATS!$E$1:$F$176,2,FALSE)</f>
        <v>412- Les ateliers de partage des documents sont tenus</v>
      </c>
      <c r="AC1227" s="20" t="str">
        <f>D1227 &amp; "-" &amp; VLOOKUP(D1227,[4]STRATEGIES!$E$1:$F$504,2,FALSE)</f>
        <v>4121-Diffusion et partage des documents</v>
      </c>
      <c r="AD1227" s="21" t="str">
        <f t="shared" si="202"/>
        <v>4121-Diffusion et partage des documents</v>
      </c>
    </row>
    <row r="1228" spans="1:30" s="22" customFormat="1" ht="45" customHeight="1" x14ac:dyDescent="0.8">
      <c r="A1228" s="14">
        <v>4</v>
      </c>
      <c r="B1228" s="15">
        <v>41</v>
      </c>
      <c r="C1228" s="15">
        <v>412</v>
      </c>
      <c r="D1228" s="15">
        <v>4121</v>
      </c>
      <c r="E1228" s="14">
        <v>41211</v>
      </c>
      <c r="F1228" s="16" t="s">
        <v>1606</v>
      </c>
      <c r="G1228" s="21" t="s">
        <v>37</v>
      </c>
      <c r="H1228" s="17" t="s">
        <v>38</v>
      </c>
      <c r="I1228" s="56">
        <v>0</v>
      </c>
      <c r="J1228" s="56">
        <f>30*2*7</f>
        <v>420</v>
      </c>
      <c r="K1228" s="56">
        <f>30*2*7</f>
        <v>420</v>
      </c>
      <c r="L1228" s="56">
        <f>30*2*7</f>
        <v>420</v>
      </c>
      <c r="M1228" s="56">
        <f t="shared" si="200"/>
        <v>1260</v>
      </c>
      <c r="N1228" s="56">
        <f>IF(OR(H1228="",H1228="sif",H1228="PM"),0,VLOOKUP(H1228,[5]CU!$C$4:$H$255,6,FALSE))</f>
        <v>0.3133333333333333</v>
      </c>
      <c r="O1228" s="56">
        <f t="shared" si="201"/>
        <v>0</v>
      </c>
      <c r="P1228" s="56">
        <f t="shared" si="201"/>
        <v>131.6</v>
      </c>
      <c r="Q1228" s="56">
        <f t="shared" si="201"/>
        <v>131.6</v>
      </c>
      <c r="R1228" s="56">
        <f t="shared" si="201"/>
        <v>131.6</v>
      </c>
      <c r="S1228" s="53">
        <f>SUM(O1228:R1228)</f>
        <v>394.79999999999995</v>
      </c>
      <c r="T1228" s="35" t="s">
        <v>1304</v>
      </c>
      <c r="U1228" s="19" t="s">
        <v>1600</v>
      </c>
      <c r="V1228" s="19" t="str">
        <f>IF(OR($H1228="",$H1228="sif",$H1228="PM"),"",VLOOKUP($H1228,[5]CU!$C$5:$J$255,8,FALSE))</f>
        <v>3. Formation</v>
      </c>
      <c r="W1228" s="19" t="s">
        <v>255</v>
      </c>
      <c r="X1228" s="19" t="s">
        <v>1607</v>
      </c>
      <c r="Y1228" s="18" t="s">
        <v>679</v>
      </c>
      <c r="Z1228" s="19" t="str">
        <f>A1228 &amp; "-" &amp; VLOOKUP(A1228,[4]PROGRAMMES!$E$1:$F$7,2,FALSE)</f>
        <v>4-Réforme de l’enseignement supérieur et la recherche scientifique et de l'innovation</v>
      </c>
      <c r="AA1228" s="19" t="str">
        <f>B1228 &amp; "-" &amp; VLOOKUP(B1228,[4]SOUSPROGRAMMES!$E$1:$F$44,2,FALSE)</f>
        <v>41- Gouvernance et pilotage de l’enseignement supérieur et de la recherche scientifique</v>
      </c>
      <c r="AB1228" s="19" t="str">
        <f>C1228 &amp; "-" &amp; VLOOKUP(C1228,[4]RESULTATS!$E$1:$F$176,2,FALSE)</f>
        <v>412- Les ateliers de partage des documents sont tenus</v>
      </c>
      <c r="AC1228" s="20" t="str">
        <f>D1228 &amp; "-" &amp; VLOOKUP(D1228,[4]STRATEGIES!$E$1:$F$504,2,FALSE)</f>
        <v>4121-Diffusion et partage des documents</v>
      </c>
      <c r="AD1228" s="21" t="str">
        <f t="shared" si="202"/>
        <v>41211-Validation et partage des documents</v>
      </c>
    </row>
    <row r="1229" spans="1:30" s="22" customFormat="1" ht="45" customHeight="1" x14ac:dyDescent="0.8">
      <c r="A1229" s="14">
        <v>4</v>
      </c>
      <c r="B1229" s="15">
        <v>41</v>
      </c>
      <c r="C1229" s="15">
        <v>412</v>
      </c>
      <c r="D1229" s="15">
        <v>4121</v>
      </c>
      <c r="E1229" s="14">
        <v>41212</v>
      </c>
      <c r="F1229" s="16" t="s">
        <v>1608</v>
      </c>
      <c r="G1229" s="21" t="s">
        <v>44</v>
      </c>
      <c r="H1229" s="17" t="s">
        <v>816</v>
      </c>
      <c r="I1229" s="56">
        <v>0</v>
      </c>
      <c r="J1229" s="56">
        <f>1*7*50</f>
        <v>350</v>
      </c>
      <c r="K1229" s="56">
        <f>1*7*50</f>
        <v>350</v>
      </c>
      <c r="L1229" s="56">
        <f>1*7*50</f>
        <v>350</v>
      </c>
      <c r="M1229" s="56">
        <f t="shared" si="200"/>
        <v>1050</v>
      </c>
      <c r="N1229" s="56">
        <f>IF(OR(H1229="",H1229="sif",H1229="PM"),0,VLOOKUP(H1229,[5]CU!$C$4:$H$255,6,FALSE))</f>
        <v>7.4999999999999997E-3</v>
      </c>
      <c r="O1229" s="56">
        <f t="shared" si="201"/>
        <v>0</v>
      </c>
      <c r="P1229" s="56">
        <f t="shared" si="201"/>
        <v>2.625</v>
      </c>
      <c r="Q1229" s="56">
        <f t="shared" si="201"/>
        <v>2.625</v>
      </c>
      <c r="R1229" s="56">
        <f t="shared" si="201"/>
        <v>2.625</v>
      </c>
      <c r="S1229" s="53">
        <f>SUM(O1229:R1229)</f>
        <v>7.875</v>
      </c>
      <c r="T1229" s="35" t="s">
        <v>1304</v>
      </c>
      <c r="U1229" s="19" t="s">
        <v>1600</v>
      </c>
      <c r="V1229" s="19" t="str">
        <f>IF(OR($H1229="",$H1229="sif",$H1229="PM"),"",VLOOKUP($H1229,[5]CU!$C$5:$J$255,8,FALSE))</f>
        <v>3. Dépenses de fonctionnement</v>
      </c>
      <c r="W1229" s="19" t="s">
        <v>255</v>
      </c>
      <c r="X1229" s="19" t="s">
        <v>521</v>
      </c>
      <c r="Y1229" s="18" t="s">
        <v>679</v>
      </c>
      <c r="Z1229" s="19" t="str">
        <f>A1229 &amp; "-" &amp; VLOOKUP(A1229,[4]PROGRAMMES!$E$1:$F$7,2,FALSE)</f>
        <v>4-Réforme de l’enseignement supérieur et la recherche scientifique et de l'innovation</v>
      </c>
      <c r="AA1229" s="19" t="str">
        <f>B1229 &amp; "-" &amp; VLOOKUP(B1229,[4]SOUSPROGRAMMES!$E$1:$F$44,2,FALSE)</f>
        <v>41- Gouvernance et pilotage de l’enseignement supérieur et de la recherche scientifique</v>
      </c>
      <c r="AB1229" s="19" t="str">
        <f>C1229 &amp; "-" &amp; VLOOKUP(C1229,[4]RESULTATS!$E$1:$F$176,2,FALSE)</f>
        <v>412- Les ateliers de partage des documents sont tenus</v>
      </c>
      <c r="AC1229" s="20" t="str">
        <f>D1229 &amp; "-" &amp; VLOOKUP(D1229,[4]STRATEGIES!$E$1:$F$504,2,FALSE)</f>
        <v>4121-Diffusion et partage des documents</v>
      </c>
      <c r="AD1229" s="21" t="str">
        <f t="shared" si="202"/>
        <v>41212-Reproduction et diffusion</v>
      </c>
    </row>
    <row r="1230" spans="1:30" s="22" customFormat="1" ht="60" customHeight="1" x14ac:dyDescent="0.8">
      <c r="A1230" s="14">
        <v>4</v>
      </c>
      <c r="B1230" s="15">
        <v>41</v>
      </c>
      <c r="C1230" s="15">
        <v>413</v>
      </c>
      <c r="D1230" s="15">
        <v>413</v>
      </c>
      <c r="E1230" s="14">
        <v>413</v>
      </c>
      <c r="F1230" s="16" t="s">
        <v>1609</v>
      </c>
      <c r="G1230" s="17"/>
      <c r="H1230" s="17"/>
      <c r="I1230" s="56">
        <v>0</v>
      </c>
      <c r="J1230" s="56"/>
      <c r="K1230" s="56"/>
      <c r="L1230" s="56"/>
      <c r="M1230" s="56"/>
      <c r="N1230" s="56"/>
      <c r="O1230" s="56"/>
      <c r="P1230" s="56"/>
      <c r="Q1230" s="56"/>
      <c r="R1230" s="56"/>
      <c r="S1230" s="53"/>
      <c r="T1230" s="33"/>
      <c r="U1230" s="18"/>
      <c r="V1230" s="19"/>
      <c r="W1230" s="18"/>
      <c r="X1230" s="18"/>
      <c r="Y1230" s="18" t="s">
        <v>679</v>
      </c>
      <c r="Z1230" s="19" t="str">
        <f>A1230 &amp; "-" &amp; VLOOKUP(A1230,[4]PROGRAMMES!$E$1:$F$7,2,FALSE)</f>
        <v>4-Réforme de l’enseignement supérieur et la recherche scientifique et de l'innovation</v>
      </c>
      <c r="AA1230" s="19" t="str">
        <f>B1230 &amp; "-" &amp; VLOOKUP(B1230,[4]SOUSPROGRAMMES!$E$1:$F$44,2,FALSE)</f>
        <v>41- Gouvernance et pilotage de l’enseignement supérieur et de la recherche scientifique</v>
      </c>
      <c r="AB1230" s="19" t="str">
        <f>C1230 &amp; "-" &amp; VLOOKUP(C1230,[4]RESULTATS!$E$1:$F$176,2,FALSE)</f>
        <v>413- Un système d’information efficace et performant est mis en œuvre  afin de favoriser le reporting et la reddition des comptes</v>
      </c>
      <c r="AC1230" s="20" t="str">
        <f>D1230 &amp; "-" &amp; VLOOKUP(D1230,[4]STRATEGIES!$E$1:$F$504,2,FALSE)</f>
        <v>413- Un système d’information efficace et performant est mis en œuvre  afin de favoriser le reporting et la reddition des comptes</v>
      </c>
      <c r="AD1230" s="21" t="str">
        <f t="shared" si="202"/>
        <v>413- Un système d’information efficace et performant est mis en œuvre  aFin de favoriser le reporting et la reddition des comptes</v>
      </c>
    </row>
    <row r="1231" spans="1:30" s="22" customFormat="1" ht="60" customHeight="1" x14ac:dyDescent="0.8">
      <c r="A1231" s="14">
        <v>4</v>
      </c>
      <c r="B1231" s="15">
        <v>41</v>
      </c>
      <c r="C1231" s="15">
        <v>413</v>
      </c>
      <c r="D1231" s="15">
        <v>4131</v>
      </c>
      <c r="E1231" s="14">
        <v>4131</v>
      </c>
      <c r="F1231" s="16" t="s">
        <v>1610</v>
      </c>
      <c r="G1231" s="17"/>
      <c r="H1231" s="17"/>
      <c r="I1231" s="56">
        <v>0</v>
      </c>
      <c r="J1231" s="56"/>
      <c r="K1231" s="56"/>
      <c r="L1231" s="56"/>
      <c r="M1231" s="56"/>
      <c r="N1231" s="56"/>
      <c r="O1231" s="56"/>
      <c r="P1231" s="56"/>
      <c r="Q1231" s="56"/>
      <c r="R1231" s="56"/>
      <c r="S1231" s="53"/>
      <c r="T1231" s="33"/>
      <c r="U1231" s="18"/>
      <c r="V1231" s="19"/>
      <c r="W1231" s="18"/>
      <c r="X1231" s="18"/>
      <c r="Y1231" s="18" t="s">
        <v>679</v>
      </c>
      <c r="Z1231" s="19" t="str">
        <f>A1231 &amp; "-" &amp; VLOOKUP(A1231,[4]PROGRAMMES!$E$1:$F$7,2,FALSE)</f>
        <v>4-Réforme de l’enseignement supérieur et la recherche scientifique et de l'innovation</v>
      </c>
      <c r="AA1231" s="19" t="str">
        <f>B1231 &amp; "-" &amp; VLOOKUP(B1231,[4]SOUSPROGRAMMES!$E$1:$F$44,2,FALSE)</f>
        <v>41- Gouvernance et pilotage de l’enseignement supérieur et de la recherche scientifique</v>
      </c>
      <c r="AB1231" s="19" t="str">
        <f>C1231 &amp; "-" &amp; VLOOKUP(C1231,[4]RESULTATS!$E$1:$F$176,2,FALSE)</f>
        <v>413- Un système d’information efficace et performant est mis en œuvre  afin de favoriser le reporting et la reddition des comptes</v>
      </c>
      <c r="AC1231" s="20" t="str">
        <f>D1231 &amp; "-" &amp; VLOOKUP(D1231,[4]STRATEGIES!$E$1:$F$504,2,FALSE)</f>
        <v>4131-Diffusion des rapports financiers à l’interne et à l’externe</v>
      </c>
      <c r="AD1231" s="21" t="str">
        <f t="shared" si="202"/>
        <v>4131-Diffusion des rapports Financiers à l’interne et à l’externe</v>
      </c>
    </row>
    <row r="1232" spans="1:30" s="22" customFormat="1" ht="60" hidden="1" customHeight="1" x14ac:dyDescent="0.8">
      <c r="A1232" s="14">
        <v>4</v>
      </c>
      <c r="B1232" s="15">
        <v>41</v>
      </c>
      <c r="C1232" s="15">
        <v>413</v>
      </c>
      <c r="D1232" s="15">
        <v>4131</v>
      </c>
      <c r="E1232" s="14">
        <v>41311</v>
      </c>
      <c r="F1232" s="16" t="s">
        <v>1611</v>
      </c>
      <c r="G1232" s="21" t="s">
        <v>88</v>
      </c>
      <c r="H1232" s="17" t="s">
        <v>55</v>
      </c>
      <c r="I1232" s="56">
        <v>0</v>
      </c>
      <c r="J1232" s="56">
        <v>1</v>
      </c>
      <c r="K1232" s="56">
        <v>1</v>
      </c>
      <c r="L1232" s="56">
        <v>1</v>
      </c>
      <c r="M1232" s="56">
        <f t="shared" si="200"/>
        <v>3</v>
      </c>
      <c r="N1232" s="56">
        <f>IF(OR(H1232="",H1232="sif",H1232="PM"),0,VLOOKUP(H1232,[5]CU!$C$4:$H$255,6,FALSE))</f>
        <v>0</v>
      </c>
      <c r="O1232" s="56">
        <f t="shared" si="201"/>
        <v>0</v>
      </c>
      <c r="P1232" s="56">
        <f t="shared" si="201"/>
        <v>0</v>
      </c>
      <c r="Q1232" s="56">
        <f t="shared" si="201"/>
        <v>0</v>
      </c>
      <c r="R1232" s="56">
        <f t="shared" si="201"/>
        <v>0</v>
      </c>
      <c r="S1232" s="53"/>
      <c r="T1232" s="35" t="s">
        <v>56</v>
      </c>
      <c r="U1232" s="18" t="s">
        <v>1600</v>
      </c>
      <c r="V1232" s="19" t="str">
        <f>IF(OR($H1232="",$H1232="sif",$H1232="PM"),"",VLOOKUP($H1232,[5]CU!$C$5:$J$255,8,FALSE))</f>
        <v/>
      </c>
      <c r="W1232" s="18" t="s">
        <v>254</v>
      </c>
      <c r="X1232" s="18" t="s">
        <v>1612</v>
      </c>
      <c r="Y1232" s="18" t="s">
        <v>679</v>
      </c>
      <c r="Z1232" s="19" t="str">
        <f>A1232 &amp; "-" &amp; VLOOKUP(A1232,[4]PROGRAMMES!$E$1:$F$7,2,FALSE)</f>
        <v>4-Réforme de l’enseignement supérieur et la recherche scientifique et de l'innovation</v>
      </c>
      <c r="AA1232" s="19" t="str">
        <f>B1232 &amp; "-" &amp; VLOOKUP(B1232,[4]SOUSPROGRAMMES!$E$1:$F$44,2,FALSE)</f>
        <v>41- Gouvernance et pilotage de l’enseignement supérieur et de la recherche scientifique</v>
      </c>
      <c r="AB1232" s="19" t="str">
        <f>C1232 &amp; "-" &amp; VLOOKUP(C1232,[4]RESULTATS!$E$1:$F$176,2,FALSE)</f>
        <v>413- Un système d’information efficace et performant est mis en œuvre  afin de favoriser le reporting et la reddition des comptes</v>
      </c>
      <c r="AC1232" s="20" t="str">
        <f>D1232 &amp; "-" &amp; VLOOKUP(D1232,[4]STRATEGIES!$E$1:$F$504,2,FALSE)</f>
        <v>4131-Diffusion des rapports financiers à l’interne et à l’externe</v>
      </c>
      <c r="AD1232" s="21" t="str">
        <f t="shared" si="202"/>
        <v>41311-Mise en ligne de rapports Financiers des IES &amp; IRS</v>
      </c>
    </row>
    <row r="1233" spans="1:30" s="22" customFormat="1" ht="60" customHeight="1" x14ac:dyDescent="0.8">
      <c r="A1233" s="14">
        <v>4</v>
      </c>
      <c r="B1233" s="15">
        <v>41</v>
      </c>
      <c r="C1233" s="15">
        <v>413</v>
      </c>
      <c r="D1233" s="15">
        <v>4132</v>
      </c>
      <c r="E1233" s="14">
        <v>4132</v>
      </c>
      <c r="F1233" s="16" t="s">
        <v>1613</v>
      </c>
      <c r="G1233" s="17"/>
      <c r="H1233" s="17"/>
      <c r="I1233" s="56">
        <v>0</v>
      </c>
      <c r="J1233" s="56"/>
      <c r="K1233" s="56"/>
      <c r="L1233" s="56"/>
      <c r="M1233" s="56"/>
      <c r="N1233" s="56"/>
      <c r="O1233" s="56"/>
      <c r="P1233" s="56"/>
      <c r="Q1233" s="56"/>
      <c r="R1233" s="56"/>
      <c r="S1233" s="53"/>
      <c r="T1233" s="33"/>
      <c r="U1233" s="18"/>
      <c r="V1233" s="19"/>
      <c r="W1233" s="18"/>
      <c r="X1233" s="18"/>
      <c r="Y1233" s="18" t="s">
        <v>679</v>
      </c>
      <c r="Z1233" s="19" t="str">
        <f>A1233 &amp; "-" &amp; VLOOKUP(A1233,[4]PROGRAMMES!$E$1:$F$7,2,FALSE)</f>
        <v>4-Réforme de l’enseignement supérieur et la recherche scientifique et de l'innovation</v>
      </c>
      <c r="AA1233" s="19" t="str">
        <f>B1233 &amp; "-" &amp; VLOOKUP(B1233,[4]SOUSPROGRAMMES!$E$1:$F$44,2,FALSE)</f>
        <v>41- Gouvernance et pilotage de l’enseignement supérieur et de la recherche scientifique</v>
      </c>
      <c r="AB1233" s="19" t="str">
        <f>C1233 &amp; "-" &amp; VLOOKUP(C1233,[4]RESULTATS!$E$1:$F$176,2,FALSE)</f>
        <v>413- Un système d’information efficace et performant est mis en œuvre  afin de favoriser le reporting et la reddition des comptes</v>
      </c>
      <c r="AC1233" s="20" t="str">
        <f>D1233 &amp; "-" &amp; VLOOKUP(D1233,[4]STRATEGIES!$E$1:$F$504,2,FALSE)</f>
        <v>4132-Introduction et généralisation de la GAR</v>
      </c>
      <c r="AD1233" s="21" t="str">
        <f t="shared" si="202"/>
        <v>4132-Introduction et généralisation de la GAR</v>
      </c>
    </row>
    <row r="1234" spans="1:30" s="22" customFormat="1" ht="60" hidden="1" customHeight="1" x14ac:dyDescent="0.8">
      <c r="A1234" s="14">
        <v>4</v>
      </c>
      <c r="B1234" s="15">
        <v>41</v>
      </c>
      <c r="C1234" s="15">
        <v>413</v>
      </c>
      <c r="D1234" s="15">
        <v>4132</v>
      </c>
      <c r="E1234" s="14">
        <v>41321</v>
      </c>
      <c r="F1234" s="16" t="s">
        <v>1614</v>
      </c>
      <c r="G1234" s="21"/>
      <c r="H1234" s="17" t="s">
        <v>55</v>
      </c>
      <c r="I1234" s="56">
        <v>0</v>
      </c>
      <c r="J1234" s="56">
        <v>1</v>
      </c>
      <c r="K1234" s="56"/>
      <c r="L1234" s="56"/>
      <c r="M1234" s="56">
        <f t="shared" si="200"/>
        <v>1</v>
      </c>
      <c r="N1234" s="56">
        <f>IF(OR(H1234="",H1234="sif",H1234="PM"),0,VLOOKUP(H1234,[5]CU!$C$4:$H$255,6,FALSE))</f>
        <v>0</v>
      </c>
      <c r="O1234" s="56">
        <f t="shared" si="201"/>
        <v>0</v>
      </c>
      <c r="P1234" s="56">
        <f t="shared" si="201"/>
        <v>0</v>
      </c>
      <c r="Q1234" s="56">
        <f t="shared" si="201"/>
        <v>0</v>
      </c>
      <c r="R1234" s="56">
        <f t="shared" si="201"/>
        <v>0</v>
      </c>
      <c r="S1234" s="53"/>
      <c r="T1234" s="35" t="s">
        <v>56</v>
      </c>
      <c r="U1234" s="18" t="s">
        <v>1600</v>
      </c>
      <c r="V1234" s="19" t="str">
        <f>IF(OR($H1234="",$H1234="sif",$H1234="PM"),"",VLOOKUP($H1234,[5]CU!$C$5:$J$255,8,FALSE))</f>
        <v/>
      </c>
      <c r="W1234" s="18" t="s">
        <v>96</v>
      </c>
      <c r="X1234" s="18" t="s">
        <v>1607</v>
      </c>
      <c r="Y1234" s="18" t="s">
        <v>679</v>
      </c>
      <c r="Z1234" s="19" t="str">
        <f>A1234 &amp; "-" &amp; VLOOKUP(A1234,[4]PROGRAMMES!$E$1:$F$7,2,FALSE)</f>
        <v>4-Réforme de l’enseignement supérieur et la recherche scientifique et de l'innovation</v>
      </c>
      <c r="AA1234" s="19" t="str">
        <f>B1234 &amp; "-" &amp; VLOOKUP(B1234,[4]SOUSPROGRAMMES!$E$1:$F$44,2,FALSE)</f>
        <v>41- Gouvernance et pilotage de l’enseignement supérieur et de la recherche scientifique</v>
      </c>
      <c r="AB1234" s="19" t="str">
        <f>C1234 &amp; "-" &amp; VLOOKUP(C1234,[4]RESULTATS!$E$1:$F$176,2,FALSE)</f>
        <v>413- Un système d’information efficace et performant est mis en œuvre  afin de favoriser le reporting et la reddition des comptes</v>
      </c>
      <c r="AC1234" s="20" t="str">
        <f>D1234 &amp; "-" &amp; VLOOKUP(D1234,[4]STRATEGIES!$E$1:$F$504,2,FALSE)</f>
        <v>4132-Introduction et généralisation de la GAR</v>
      </c>
      <c r="AD1234" s="21" t="str">
        <f t="shared" si="202"/>
        <v>41321-Adoption des textes introduisant la GAR (voir activité 41112)</v>
      </c>
    </row>
    <row r="1235" spans="1:30" s="22" customFormat="1" ht="60" hidden="1" customHeight="1" x14ac:dyDescent="0.8">
      <c r="A1235" s="14">
        <v>4</v>
      </c>
      <c r="B1235" s="15">
        <v>41</v>
      </c>
      <c r="C1235" s="15">
        <v>413</v>
      </c>
      <c r="D1235" s="15">
        <v>4132</v>
      </c>
      <c r="E1235" s="14">
        <v>41322</v>
      </c>
      <c r="F1235" s="16" t="s">
        <v>1615</v>
      </c>
      <c r="G1235" s="21" t="s">
        <v>167</v>
      </c>
      <c r="H1235" s="17" t="s">
        <v>662</v>
      </c>
      <c r="I1235" s="56">
        <v>0</v>
      </c>
      <c r="J1235" s="56">
        <v>8</v>
      </c>
      <c r="K1235" s="56"/>
      <c r="L1235" s="56"/>
      <c r="M1235" s="56">
        <f t="shared" si="200"/>
        <v>8</v>
      </c>
      <c r="N1235" s="56">
        <f>IF(OR(H1235="",H1235="sif",H1235="PM"),0,VLOOKUP(H1235,[5]CU!$C$4:$H$255,6,FALSE))</f>
        <v>219.54797350000001</v>
      </c>
      <c r="O1235" s="56">
        <f t="shared" si="201"/>
        <v>0</v>
      </c>
      <c r="P1235" s="56">
        <f t="shared" si="201"/>
        <v>1756.3837880000001</v>
      </c>
      <c r="Q1235" s="56">
        <f t="shared" si="201"/>
        <v>0</v>
      </c>
      <c r="R1235" s="56">
        <f t="shared" si="201"/>
        <v>0</v>
      </c>
      <c r="S1235" s="53">
        <f t="shared" ref="S1235:S1241" si="203">SUM(O1235:R1235)</f>
        <v>1756.3837880000001</v>
      </c>
      <c r="T1235" s="35" t="s">
        <v>56</v>
      </c>
      <c r="U1235" s="19" t="s">
        <v>1600</v>
      </c>
      <c r="V1235" s="19" t="str">
        <f>IF(OR($H1235="",$H1235="sif",$H1235="PM"),"",VLOOKUP($H1235,[5]CU!$C$5:$J$255,8,FALSE))</f>
        <v>3. Dépenses de fonctionnement</v>
      </c>
      <c r="W1235" s="19" t="s">
        <v>96</v>
      </c>
      <c r="X1235" s="19" t="s">
        <v>750</v>
      </c>
      <c r="Y1235" s="18" t="s">
        <v>679</v>
      </c>
      <c r="Z1235" s="19" t="str">
        <f>A1235 &amp; "-" &amp; VLOOKUP(A1235,[4]PROGRAMMES!$E$1:$F$7,2,FALSE)</f>
        <v>4-Réforme de l’enseignement supérieur et la recherche scientifique et de l'innovation</v>
      </c>
      <c r="AA1235" s="19" t="str">
        <f>B1235 &amp; "-" &amp; VLOOKUP(B1235,[4]SOUSPROGRAMMES!$E$1:$F$44,2,FALSE)</f>
        <v>41- Gouvernance et pilotage de l’enseignement supérieur et de la recherche scientifique</v>
      </c>
      <c r="AB1235" s="19" t="str">
        <f>C1235 &amp; "-" &amp; VLOOKUP(C1235,[4]RESULTATS!$E$1:$F$176,2,FALSE)</f>
        <v>413- Un système d’information efficace et performant est mis en œuvre  afin de favoriser le reporting et la reddition des comptes</v>
      </c>
      <c r="AC1235" s="20" t="str">
        <f>D1235 &amp; "-" &amp; VLOOKUP(D1235,[4]STRATEGIES!$E$1:$F$504,2,FALSE)</f>
        <v>4132-Introduction et généralisation de la GAR</v>
      </c>
      <c r="AD1235" s="21" t="str">
        <f t="shared" si="202"/>
        <v>41322-Recrutement d'un cabinet de formation pour la production de support de formation</v>
      </c>
    </row>
    <row r="1236" spans="1:30" s="22" customFormat="1" ht="60" hidden="1" customHeight="1" x14ac:dyDescent="0.8">
      <c r="A1236" s="14">
        <v>4</v>
      </c>
      <c r="B1236" s="15">
        <v>41</v>
      </c>
      <c r="C1236" s="15">
        <v>413</v>
      </c>
      <c r="D1236" s="15">
        <v>4132</v>
      </c>
      <c r="E1236" s="14">
        <v>41323</v>
      </c>
      <c r="F1236" s="16" t="s">
        <v>1616</v>
      </c>
      <c r="G1236" s="21" t="s">
        <v>37</v>
      </c>
      <c r="H1236" s="17" t="s">
        <v>301</v>
      </c>
      <c r="I1236" s="56">
        <v>0</v>
      </c>
      <c r="J1236" s="56">
        <f>140*5*1</f>
        <v>700</v>
      </c>
      <c r="K1236" s="56">
        <f>60*5</f>
        <v>300</v>
      </c>
      <c r="L1236" s="56"/>
      <c r="M1236" s="56">
        <f t="shared" si="200"/>
        <v>1000</v>
      </c>
      <c r="N1236" s="56">
        <f>IF(OR(H1236="",H1236="sif",H1236="PM"),0,VLOOKUP(H1236,[5]CU!$C$4:$H$255,6,FALSE))</f>
        <v>0.67666666666666664</v>
      </c>
      <c r="O1236" s="56">
        <f t="shared" si="201"/>
        <v>0</v>
      </c>
      <c r="P1236" s="56">
        <f t="shared" si="201"/>
        <v>473.66666666666663</v>
      </c>
      <c r="Q1236" s="56">
        <f t="shared" si="201"/>
        <v>203</v>
      </c>
      <c r="R1236" s="56">
        <f t="shared" si="201"/>
        <v>0</v>
      </c>
      <c r="S1236" s="53">
        <f t="shared" si="203"/>
        <v>676.66666666666663</v>
      </c>
      <c r="T1236" s="35" t="s">
        <v>56</v>
      </c>
      <c r="U1236" s="19" t="s">
        <v>1600</v>
      </c>
      <c r="V1236" s="19" t="str">
        <f>IF(OR($H1236="",$H1236="sif",$H1236="PM"),"",VLOOKUP($H1236,[5]CU!$C$5:$J$255,8,FALSE))</f>
        <v>3. Formation</v>
      </c>
      <c r="W1236" s="19" t="s">
        <v>96</v>
      </c>
      <c r="X1236" s="19" t="s">
        <v>1607</v>
      </c>
      <c r="Y1236" s="18" t="s">
        <v>679</v>
      </c>
      <c r="Z1236" s="19" t="str">
        <f>A1236 &amp; "-" &amp; VLOOKUP(A1236,[4]PROGRAMMES!$E$1:$F$7,2,FALSE)</f>
        <v>4-Réforme de l’enseignement supérieur et la recherche scientifique et de l'innovation</v>
      </c>
      <c r="AA1236" s="19" t="str">
        <f>B1236 &amp; "-" &amp; VLOOKUP(B1236,[4]SOUSPROGRAMMES!$E$1:$F$44,2,FALSE)</f>
        <v>41- Gouvernance et pilotage de l’enseignement supérieur et de la recherche scientifique</v>
      </c>
      <c r="AB1236" s="19" t="str">
        <f>C1236 &amp; "-" &amp; VLOOKUP(C1236,[4]RESULTATS!$E$1:$F$176,2,FALSE)</f>
        <v>413- Un système d’information efficace et performant est mis en œuvre  afin de favoriser le reporting et la reddition des comptes</v>
      </c>
      <c r="AC1236" s="20" t="str">
        <f>D1236 &amp; "-" &amp; VLOOKUP(D1236,[4]STRATEGIES!$E$1:$F$504,2,FALSE)</f>
        <v>4132-Introduction et généralisation de la GAR</v>
      </c>
      <c r="AD1236" s="21" t="str">
        <f t="shared" si="202"/>
        <v>41323-Formation du personnel à la GAR</v>
      </c>
    </row>
    <row r="1237" spans="1:30" s="22" customFormat="1" ht="60" customHeight="1" x14ac:dyDescent="0.8">
      <c r="A1237" s="14">
        <v>4</v>
      </c>
      <c r="B1237" s="15">
        <v>41</v>
      </c>
      <c r="C1237" s="15">
        <v>413</v>
      </c>
      <c r="D1237" s="15">
        <v>4133</v>
      </c>
      <c r="E1237" s="14">
        <v>4133</v>
      </c>
      <c r="F1237" s="16" t="s">
        <v>1617</v>
      </c>
      <c r="G1237" s="17"/>
      <c r="H1237" s="17"/>
      <c r="I1237" s="56">
        <v>0</v>
      </c>
      <c r="J1237" s="56"/>
      <c r="K1237" s="56"/>
      <c r="L1237" s="56"/>
      <c r="M1237" s="56"/>
      <c r="N1237" s="56"/>
      <c r="O1237" s="56"/>
      <c r="P1237" s="56"/>
      <c r="Q1237" s="56"/>
      <c r="R1237" s="56"/>
      <c r="S1237" s="53"/>
      <c r="T1237" s="33"/>
      <c r="U1237" s="18"/>
      <c r="V1237" s="19"/>
      <c r="W1237" s="18"/>
      <c r="X1237" s="18"/>
      <c r="Y1237" s="18" t="s">
        <v>679</v>
      </c>
      <c r="Z1237" s="19" t="str">
        <f>A1237 &amp; "-" &amp; VLOOKUP(A1237,[4]PROGRAMMES!$E$1:$F$7,2,FALSE)</f>
        <v>4-Réforme de l’enseignement supérieur et la recherche scientifique et de l'innovation</v>
      </c>
      <c r="AA1237" s="19" t="str">
        <f>B1237 &amp; "-" &amp; VLOOKUP(B1237,[4]SOUSPROGRAMMES!$E$1:$F$44,2,FALSE)</f>
        <v>41- Gouvernance et pilotage de l’enseignement supérieur et de la recherche scientifique</v>
      </c>
      <c r="AB1237" s="19" t="str">
        <f>C1237 &amp; "-" &amp; VLOOKUP(C1237,[4]RESULTATS!$E$1:$F$176,2,FALSE)</f>
        <v>413- Un système d’information efficace et performant est mis en œuvre  afin de favoriser le reporting et la reddition des comptes</v>
      </c>
      <c r="AC1237" s="20" t="str">
        <f>D1237 &amp; "-" &amp; VLOOKUP(D1237,[4]STRATEGIES!$E$1:$F$504,2,FALSE)</f>
        <v>4133-Renforcement et modernisation de la production des données statistiques pour la gestion et le pilotage</v>
      </c>
      <c r="AD1237" s="21" t="str">
        <f t="shared" si="202"/>
        <v>4133-Renforcement et modernisation de la production des données statistiques pour la gestion et le pilotage</v>
      </c>
    </row>
    <row r="1238" spans="1:30" s="22" customFormat="1" ht="60" hidden="1" customHeight="1" x14ac:dyDescent="0.8">
      <c r="A1238" s="14">
        <v>4</v>
      </c>
      <c r="B1238" s="15">
        <v>41</v>
      </c>
      <c r="C1238" s="15">
        <v>413</v>
      </c>
      <c r="D1238" s="15">
        <v>4133</v>
      </c>
      <c r="E1238" s="14">
        <v>41331</v>
      </c>
      <c r="F1238" s="16" t="s">
        <v>1618</v>
      </c>
      <c r="G1238" s="21" t="s">
        <v>1619</v>
      </c>
      <c r="H1238" s="17" t="s">
        <v>1620</v>
      </c>
      <c r="I1238" s="56">
        <v>0</v>
      </c>
      <c r="J1238" s="56">
        <v>30</v>
      </c>
      <c r="K1238" s="56">
        <v>40</v>
      </c>
      <c r="L1238" s="56"/>
      <c r="M1238" s="56">
        <f t="shared" si="200"/>
        <v>70</v>
      </c>
      <c r="N1238" s="56">
        <f>IF(OR(H1238="",H1238="sif",H1238="PM"),0,VLOOKUP(H1238,[5]CU!$C$4:$H$255,6,FALSE))</f>
        <v>10.034934666666667</v>
      </c>
      <c r="O1238" s="56">
        <f t="shared" si="201"/>
        <v>0</v>
      </c>
      <c r="P1238" s="56">
        <f t="shared" si="201"/>
        <v>301.04804000000001</v>
      </c>
      <c r="Q1238" s="56">
        <f t="shared" si="201"/>
        <v>401.39738666666665</v>
      </c>
      <c r="R1238" s="56">
        <f t="shared" si="201"/>
        <v>0</v>
      </c>
      <c r="S1238" s="53">
        <f t="shared" si="203"/>
        <v>702.44542666666666</v>
      </c>
      <c r="T1238" s="35" t="s">
        <v>56</v>
      </c>
      <c r="U1238" s="18" t="s">
        <v>1600</v>
      </c>
      <c r="V1238" s="19" t="str">
        <f>IF(OR($H1238="",$H1238="sif",$H1238="PM"),"",VLOOKUP($H1238,[5]CU!$C$5:$J$255,8,FALSE))</f>
        <v>5. Investissement</v>
      </c>
      <c r="W1238" s="18" t="s">
        <v>96</v>
      </c>
      <c r="X1238" s="18" t="s">
        <v>521</v>
      </c>
      <c r="Y1238" s="18" t="s">
        <v>679</v>
      </c>
      <c r="Z1238" s="19" t="str">
        <f>A1238 &amp; "-" &amp; VLOOKUP(A1238,[4]PROGRAMMES!$E$1:$F$7,2,FALSE)</f>
        <v>4-Réforme de l’enseignement supérieur et la recherche scientifique et de l'innovation</v>
      </c>
      <c r="AA1238" s="19" t="str">
        <f>B1238 &amp; "-" &amp; VLOOKUP(B1238,[4]SOUSPROGRAMMES!$E$1:$F$44,2,FALSE)</f>
        <v>41- Gouvernance et pilotage de l’enseignement supérieur et de la recherche scientifique</v>
      </c>
      <c r="AB1238" s="19" t="str">
        <f>C1238 &amp; "-" &amp; VLOOKUP(C1238,[4]RESULTATS!$E$1:$F$176,2,FALSE)</f>
        <v>413- Un système d’information efficace et performant est mis en œuvre  afin de favoriser le reporting et la reddition des comptes</v>
      </c>
      <c r="AC1238" s="20" t="str">
        <f>D1238 &amp; "-" &amp; VLOOKUP(D1238,[4]STRATEGIES!$E$1:$F$504,2,FALSE)</f>
        <v>4133-Renforcement et modernisation de la production des données statistiques pour la gestion et le pilotage</v>
      </c>
      <c r="AD1238" s="21" t="str">
        <f t="shared" si="202"/>
        <v>41331-Acquisition du matériel informatique (ordinateurs de bureau)</v>
      </c>
    </row>
    <row r="1239" spans="1:30" s="22" customFormat="1" ht="60" hidden="1" customHeight="1" x14ac:dyDescent="0.8">
      <c r="A1239" s="14">
        <v>4</v>
      </c>
      <c r="B1239" s="15">
        <v>41</v>
      </c>
      <c r="C1239" s="15">
        <v>413</v>
      </c>
      <c r="D1239" s="15">
        <v>4133</v>
      </c>
      <c r="E1239" s="14">
        <v>41332</v>
      </c>
      <c r="F1239" s="16" t="s">
        <v>1621</v>
      </c>
      <c r="G1239" s="21" t="s">
        <v>1619</v>
      </c>
      <c r="H1239" s="17" t="s">
        <v>974</v>
      </c>
      <c r="I1239" s="56">
        <v>0</v>
      </c>
      <c r="J1239" s="56">
        <v>0</v>
      </c>
      <c r="K1239" s="56">
        <v>20</v>
      </c>
      <c r="L1239" s="56">
        <v>20</v>
      </c>
      <c r="M1239" s="56">
        <f t="shared" si="200"/>
        <v>40</v>
      </c>
      <c r="N1239" s="56">
        <f>IF(OR(H1239="",H1239="sif",H1239="PM"),0,VLOOKUP(H1239,[5]CU!$C$4:$H$255,6,FALSE))</f>
        <v>6.333333333333333</v>
      </c>
      <c r="O1239" s="56">
        <f t="shared" si="201"/>
        <v>0</v>
      </c>
      <c r="P1239" s="56">
        <f t="shared" si="201"/>
        <v>0</v>
      </c>
      <c r="Q1239" s="56">
        <f t="shared" si="201"/>
        <v>126.66666666666666</v>
      </c>
      <c r="R1239" s="56">
        <f t="shared" si="201"/>
        <v>126.66666666666666</v>
      </c>
      <c r="S1239" s="53">
        <f t="shared" si="203"/>
        <v>253.33333333333331</v>
      </c>
      <c r="T1239" s="35" t="s">
        <v>169</v>
      </c>
      <c r="U1239" s="18" t="s">
        <v>1600</v>
      </c>
      <c r="V1239" s="19" t="str">
        <f>IF(OR($H1239="",$H1239="sif",$H1239="PM"),"",VLOOKUP($H1239,[5]CU!$C$5:$J$255,8,FALSE))</f>
        <v>5. Investissement</v>
      </c>
      <c r="W1239" s="18" t="s">
        <v>96</v>
      </c>
      <c r="X1239" s="18" t="s">
        <v>521</v>
      </c>
      <c r="Y1239" s="18" t="s">
        <v>679</v>
      </c>
      <c r="Z1239" s="19" t="str">
        <f>A1239 &amp; "-" &amp; VLOOKUP(A1239,[4]PROGRAMMES!$E$1:$F$7,2,FALSE)</f>
        <v>4-Réforme de l’enseignement supérieur et la recherche scientifique et de l'innovation</v>
      </c>
      <c r="AA1239" s="19" t="str">
        <f>B1239 &amp; "-" &amp; VLOOKUP(B1239,[4]SOUSPROGRAMMES!$E$1:$F$44,2,FALSE)</f>
        <v>41- Gouvernance et pilotage de l’enseignement supérieur et de la recherche scientifique</v>
      </c>
      <c r="AB1239" s="19" t="str">
        <f>C1239 &amp; "-" &amp; VLOOKUP(C1239,[4]RESULTATS!$E$1:$F$176,2,FALSE)</f>
        <v>413- Un système d’information efficace et performant est mis en œuvre  afin de favoriser le reporting et la reddition des comptes</v>
      </c>
      <c r="AC1239" s="20" t="str">
        <f>D1239 &amp; "-" &amp; VLOOKUP(D1239,[4]STRATEGIES!$E$1:$F$504,2,FALSE)</f>
        <v>4133-Renforcement et modernisation de la production des données statistiques pour la gestion et le pilotage</v>
      </c>
      <c r="AD1239" s="21" t="str">
        <f t="shared" si="202"/>
        <v>41332-Acquisition du matériel informatique (portables)</v>
      </c>
    </row>
    <row r="1240" spans="1:30" s="22" customFormat="1" ht="60" hidden="1" customHeight="1" x14ac:dyDescent="0.8">
      <c r="A1240" s="14">
        <v>4</v>
      </c>
      <c r="B1240" s="15">
        <v>41</v>
      </c>
      <c r="C1240" s="15">
        <v>413</v>
      </c>
      <c r="D1240" s="15">
        <v>4133</v>
      </c>
      <c r="E1240" s="14">
        <v>41333</v>
      </c>
      <c r="F1240" s="16" t="s">
        <v>1622</v>
      </c>
      <c r="G1240" s="21" t="s">
        <v>167</v>
      </c>
      <c r="H1240" s="17" t="s">
        <v>101</v>
      </c>
      <c r="I1240" s="56">
        <v>0</v>
      </c>
      <c r="J1240" s="56">
        <v>60</v>
      </c>
      <c r="K1240" s="56"/>
      <c r="L1240" s="56"/>
      <c r="M1240" s="56">
        <f t="shared" si="200"/>
        <v>60</v>
      </c>
      <c r="N1240" s="56">
        <f>IF(OR(H1240="",H1240="sif",H1240="PM"),0,VLOOKUP(H1240,[5]CU!$C$4:$H$255,6,FALSE))</f>
        <v>2.651545</v>
      </c>
      <c r="O1240" s="56">
        <f t="shared" si="201"/>
        <v>0</v>
      </c>
      <c r="P1240" s="56">
        <f t="shared" si="201"/>
        <v>159.09270000000001</v>
      </c>
      <c r="Q1240" s="56">
        <f t="shared" si="201"/>
        <v>0</v>
      </c>
      <c r="R1240" s="56">
        <f t="shared" si="201"/>
        <v>0</v>
      </c>
      <c r="S1240" s="53">
        <f t="shared" si="203"/>
        <v>159.09270000000001</v>
      </c>
      <c r="T1240" s="35" t="s">
        <v>56</v>
      </c>
      <c r="U1240" s="18" t="s">
        <v>1600</v>
      </c>
      <c r="V1240" s="19" t="str">
        <f>IF(OR($H1240="",$H1240="sif",$H1240="PM"),"",VLOOKUP($H1240,[5]CU!$C$5:$J$255,8,FALSE))</f>
        <v>3. Dépenses de fonctionnement</v>
      </c>
      <c r="W1240" s="18" t="s">
        <v>96</v>
      </c>
      <c r="X1240" s="18" t="s">
        <v>750</v>
      </c>
      <c r="Y1240" s="18" t="s">
        <v>679</v>
      </c>
      <c r="Z1240" s="19" t="str">
        <f>A1240 &amp; "-" &amp; VLOOKUP(A1240,[4]PROGRAMMES!$E$1:$F$7,2,FALSE)</f>
        <v>4-Réforme de l’enseignement supérieur et la recherche scientifique et de l'innovation</v>
      </c>
      <c r="AA1240" s="19" t="str">
        <f>B1240 &amp; "-" &amp; VLOOKUP(B1240,[4]SOUSPROGRAMMES!$E$1:$F$44,2,FALSE)</f>
        <v>41- Gouvernance et pilotage de l’enseignement supérieur et de la recherche scientifique</v>
      </c>
      <c r="AB1240" s="19" t="str">
        <f>C1240 &amp; "-" &amp; VLOOKUP(C1240,[4]RESULTATS!$E$1:$F$176,2,FALSE)</f>
        <v>413- Un système d’information efficace et performant est mis en œuvre  afin de favoriser le reporting et la reddition des comptes</v>
      </c>
      <c r="AC1240" s="20" t="str">
        <f>D1240 &amp; "-" &amp; VLOOKUP(D1240,[4]STRATEGIES!$E$1:$F$504,2,FALSE)</f>
        <v>4133-Renforcement et modernisation de la production des données statistiques pour la gestion et le pilotage</v>
      </c>
      <c r="AD1240" s="21" t="str">
        <f t="shared" si="202"/>
        <v>41333-Développement d'une application pour la collecte et le traitement des données avec des interfaces dans les institutions</v>
      </c>
    </row>
    <row r="1241" spans="1:30" s="22" customFormat="1" ht="60" hidden="1" customHeight="1" x14ac:dyDescent="0.8">
      <c r="A1241" s="14">
        <v>4</v>
      </c>
      <c r="B1241" s="15">
        <v>41</v>
      </c>
      <c r="C1241" s="15">
        <v>413</v>
      </c>
      <c r="D1241" s="15">
        <v>4133</v>
      </c>
      <c r="E1241" s="14">
        <v>41334</v>
      </c>
      <c r="F1241" s="16" t="s">
        <v>1623</v>
      </c>
      <c r="G1241" s="21" t="s">
        <v>1619</v>
      </c>
      <c r="H1241" s="17" t="s">
        <v>1624</v>
      </c>
      <c r="I1241" s="56">
        <v>0</v>
      </c>
      <c r="J1241" s="56">
        <v>1</v>
      </c>
      <c r="K1241" s="56">
        <v>0</v>
      </c>
      <c r="L1241" s="56">
        <v>0</v>
      </c>
      <c r="M1241" s="56">
        <f t="shared" si="200"/>
        <v>1</v>
      </c>
      <c r="N1241" s="56">
        <f>IF(OR(H1241="",H1241="sif",H1241="PM"),0,VLOOKUP(H1241,[5]CU!$C$4:$H$255,6,FALSE))</f>
        <v>30</v>
      </c>
      <c r="O1241" s="56">
        <f t="shared" si="201"/>
        <v>0</v>
      </c>
      <c r="P1241" s="56">
        <f t="shared" si="201"/>
        <v>30</v>
      </c>
      <c r="Q1241" s="56">
        <f t="shared" si="201"/>
        <v>0</v>
      </c>
      <c r="R1241" s="56">
        <f t="shared" si="201"/>
        <v>0</v>
      </c>
      <c r="S1241" s="53">
        <f t="shared" si="203"/>
        <v>30</v>
      </c>
      <c r="T1241" s="35" t="s">
        <v>56</v>
      </c>
      <c r="U1241" s="19" t="s">
        <v>1600</v>
      </c>
      <c r="V1241" s="19" t="str">
        <f>IF(OR($H1241="",$H1241="sif",$H1241="PM"),"",VLOOKUP($H1241,[5]CU!$C$5:$J$255,8,FALSE))</f>
        <v>5. Investissement</v>
      </c>
      <c r="W1241" s="19" t="s">
        <v>96</v>
      </c>
      <c r="X1241" s="19" t="s">
        <v>521</v>
      </c>
      <c r="Y1241" s="18" t="s">
        <v>679</v>
      </c>
      <c r="Z1241" s="19" t="str">
        <f>A1241 &amp; "-" &amp; VLOOKUP(A1241,[4]PROGRAMMES!$E$1:$F$7,2,FALSE)</f>
        <v>4-Réforme de l’enseignement supérieur et la recherche scientifique et de l'innovation</v>
      </c>
      <c r="AA1241" s="19" t="str">
        <f>B1241 &amp; "-" &amp; VLOOKUP(B1241,[4]SOUSPROGRAMMES!$E$1:$F$44,2,FALSE)</f>
        <v>41- Gouvernance et pilotage de l’enseignement supérieur et de la recherche scientifique</v>
      </c>
      <c r="AB1241" s="19" t="str">
        <f>C1241 &amp; "-" &amp; VLOOKUP(C1241,[4]RESULTATS!$E$1:$F$176,2,FALSE)</f>
        <v>413- Un système d’information efficace et performant est mis en œuvre  afin de favoriser le reporting et la reddition des comptes</v>
      </c>
      <c r="AC1241" s="20" t="str">
        <f>D1241 &amp; "-" &amp; VLOOKUP(D1241,[4]STRATEGIES!$E$1:$F$504,2,FALSE)</f>
        <v>4133-Renforcement et modernisation de la production des données statistiques pour la gestion et le pilotage</v>
      </c>
      <c r="AD1241" s="21" t="str">
        <f t="shared" si="202"/>
        <v>41334-Acquisition du matériel informatique (serveur)</v>
      </c>
    </row>
    <row r="1242" spans="1:30" s="22" customFormat="1" ht="60" hidden="1" customHeight="1" x14ac:dyDescent="0.8">
      <c r="A1242" s="14">
        <v>4</v>
      </c>
      <c r="B1242" s="15">
        <v>41</v>
      </c>
      <c r="C1242" s="15">
        <v>413</v>
      </c>
      <c r="D1242" s="15">
        <v>4133</v>
      </c>
      <c r="E1242" s="14">
        <v>41335</v>
      </c>
      <c r="F1242" s="16" t="s">
        <v>1625</v>
      </c>
      <c r="G1242" s="21" t="s">
        <v>92</v>
      </c>
      <c r="H1242" s="17" t="s">
        <v>55</v>
      </c>
      <c r="I1242" s="56">
        <v>0</v>
      </c>
      <c r="J1242" s="56">
        <v>1</v>
      </c>
      <c r="K1242" s="56"/>
      <c r="L1242" s="56"/>
      <c r="M1242" s="56">
        <f t="shared" si="200"/>
        <v>1</v>
      </c>
      <c r="N1242" s="56">
        <f>IF(OR(H1242="",H1242="sif",H1242="PM"),0,VLOOKUP(H1242,[5]CU!$C$4:$H$255,6,FALSE))</f>
        <v>0</v>
      </c>
      <c r="O1242" s="56">
        <f t="shared" si="201"/>
        <v>0</v>
      </c>
      <c r="P1242" s="56">
        <f t="shared" si="201"/>
        <v>0</v>
      </c>
      <c r="Q1242" s="56">
        <f t="shared" si="201"/>
        <v>0</v>
      </c>
      <c r="R1242" s="56">
        <f t="shared" si="201"/>
        <v>0</v>
      </c>
      <c r="S1242" s="53"/>
      <c r="T1242" s="35" t="s">
        <v>56</v>
      </c>
      <c r="U1242" s="18" t="s">
        <v>1600</v>
      </c>
      <c r="V1242" s="19" t="str">
        <f>IF(OR($H1242="",$H1242="sif",$H1242="PM"),"",VLOOKUP($H1242,[5]CU!$C$5:$J$255,8,FALSE))</f>
        <v/>
      </c>
      <c r="W1242" s="18" t="s">
        <v>96</v>
      </c>
      <c r="X1242" s="18" t="s">
        <v>750</v>
      </c>
      <c r="Y1242" s="18" t="s">
        <v>679</v>
      </c>
      <c r="Z1242" s="19" t="str">
        <f>A1242 &amp; "-" &amp; VLOOKUP(A1242,[4]PROGRAMMES!$E$1:$F$7,2,FALSE)</f>
        <v>4-Réforme de l’enseignement supérieur et la recherche scientifique et de l'innovation</v>
      </c>
      <c r="AA1242" s="19" t="str">
        <f>B1242 &amp; "-" &amp; VLOOKUP(B1242,[4]SOUSPROGRAMMES!$E$1:$F$44,2,FALSE)</f>
        <v>41- Gouvernance et pilotage de l’enseignement supérieur et de la recherche scientifique</v>
      </c>
      <c r="AB1242" s="19" t="str">
        <f>C1242 &amp; "-" &amp; VLOOKUP(C1242,[4]RESULTATS!$E$1:$F$176,2,FALSE)</f>
        <v>413- Un système d’information efficace et performant est mis en œuvre  afin de favoriser le reporting et la reddition des comptes</v>
      </c>
      <c r="AC1242" s="20" t="str">
        <f>D1242 &amp; "-" &amp; VLOOKUP(D1242,[4]STRATEGIES!$E$1:$F$504,2,FALSE)</f>
        <v>4133-Renforcement et modernisation de la production des données statistiques pour la gestion et le pilotage</v>
      </c>
      <c r="AD1242" s="21" t="str">
        <f t="shared" si="202"/>
        <v>41335-Recrutement de consultants pour la modernisation des outils de collecte de données (pris en compte dans 41333)</v>
      </c>
    </row>
    <row r="1243" spans="1:30" s="22" customFormat="1" ht="60" hidden="1" customHeight="1" x14ac:dyDescent="0.8">
      <c r="A1243" s="14">
        <v>4</v>
      </c>
      <c r="B1243" s="15">
        <v>41</v>
      </c>
      <c r="C1243" s="15">
        <v>413</v>
      </c>
      <c r="D1243" s="15">
        <v>4133</v>
      </c>
      <c r="E1243" s="14">
        <v>41336</v>
      </c>
      <c r="F1243" s="16" t="s">
        <v>1626</v>
      </c>
      <c r="G1243" s="21" t="s">
        <v>37</v>
      </c>
      <c r="H1243" s="17" t="s">
        <v>301</v>
      </c>
      <c r="I1243" s="56">
        <v>0</v>
      </c>
      <c r="J1243" s="56">
        <f>(40+30)*3*1</f>
        <v>210</v>
      </c>
      <c r="K1243" s="56"/>
      <c r="L1243" s="56"/>
      <c r="M1243" s="56">
        <f t="shared" si="200"/>
        <v>210</v>
      </c>
      <c r="N1243" s="56">
        <f>IF(OR(H1243="",H1243="sif",H1243="PM"),0,VLOOKUP(H1243,[5]CU!$C$4:$H$255,6,FALSE))</f>
        <v>0.67666666666666664</v>
      </c>
      <c r="O1243" s="56">
        <f t="shared" si="201"/>
        <v>0</v>
      </c>
      <c r="P1243" s="56">
        <f t="shared" si="201"/>
        <v>142.1</v>
      </c>
      <c r="Q1243" s="56">
        <f t="shared" si="201"/>
        <v>0</v>
      </c>
      <c r="R1243" s="56">
        <f t="shared" si="201"/>
        <v>0</v>
      </c>
      <c r="S1243" s="53">
        <f>SUM(O1243:R1243)</f>
        <v>142.1</v>
      </c>
      <c r="T1243" s="35" t="s">
        <v>56</v>
      </c>
      <c r="U1243" s="18" t="s">
        <v>1600</v>
      </c>
      <c r="V1243" s="19" t="str">
        <f>IF(OR($H1243="",$H1243="sif",$H1243="PM"),"",VLOOKUP($H1243,[5]CU!$C$5:$J$255,8,FALSE))</f>
        <v>3. Formation</v>
      </c>
      <c r="W1243" s="18" t="s">
        <v>96</v>
      </c>
      <c r="X1243" s="18" t="s">
        <v>750</v>
      </c>
      <c r="Y1243" s="18" t="s">
        <v>679</v>
      </c>
      <c r="Z1243" s="19" t="str">
        <f>A1243 &amp; "-" &amp; VLOOKUP(A1243,[4]PROGRAMMES!$E$1:$F$7,2,FALSE)</f>
        <v>4-Réforme de l’enseignement supérieur et la recherche scientifique et de l'innovation</v>
      </c>
      <c r="AA1243" s="19" t="str">
        <f>B1243 &amp; "-" &amp; VLOOKUP(B1243,[4]SOUSPROGRAMMES!$E$1:$F$44,2,FALSE)</f>
        <v>41- Gouvernance et pilotage de l’enseignement supérieur et de la recherche scientifique</v>
      </c>
      <c r="AB1243" s="19" t="str">
        <f>C1243 &amp; "-" &amp; VLOOKUP(C1243,[4]RESULTATS!$E$1:$F$176,2,FALSE)</f>
        <v>413- Un système d’information efficace et performant est mis en œuvre  afin de favoriser le reporting et la reddition des comptes</v>
      </c>
      <c r="AC1243" s="20" t="str">
        <f>D1243 &amp; "-" &amp; VLOOKUP(D1243,[4]STRATEGIES!$E$1:$F$504,2,FALSE)</f>
        <v>4133-Renforcement et modernisation de la production des données statistiques pour la gestion et le pilotage</v>
      </c>
      <c r="AD1243" s="21" t="str">
        <f t="shared" si="202"/>
        <v>41336-Formation du personnel</v>
      </c>
    </row>
    <row r="1244" spans="1:30" s="22" customFormat="1" ht="45" customHeight="1" x14ac:dyDescent="0.8">
      <c r="A1244" s="14">
        <v>4</v>
      </c>
      <c r="B1244" s="15">
        <v>41</v>
      </c>
      <c r="C1244" s="15">
        <v>414</v>
      </c>
      <c r="D1244" s="15">
        <v>414</v>
      </c>
      <c r="E1244" s="14">
        <v>414</v>
      </c>
      <c r="F1244" s="16" t="s">
        <v>1627</v>
      </c>
      <c r="G1244" s="17"/>
      <c r="H1244" s="17"/>
      <c r="I1244" s="56">
        <v>0</v>
      </c>
      <c r="J1244" s="56"/>
      <c r="K1244" s="56"/>
      <c r="L1244" s="56"/>
      <c r="M1244" s="56"/>
      <c r="N1244" s="56"/>
      <c r="O1244" s="56"/>
      <c r="P1244" s="56"/>
      <c r="Q1244" s="56"/>
      <c r="R1244" s="56"/>
      <c r="S1244" s="53"/>
      <c r="T1244" s="33"/>
      <c r="U1244" s="18"/>
      <c r="V1244" s="19"/>
      <c r="W1244" s="18"/>
      <c r="X1244" s="18"/>
      <c r="Y1244" s="18" t="s">
        <v>679</v>
      </c>
      <c r="Z1244" s="19" t="str">
        <f>A1244 &amp; "-" &amp; VLOOKUP(A1244,[4]PROGRAMMES!$E$1:$F$7,2,FALSE)</f>
        <v>4-Réforme de l’enseignement supérieur et la recherche scientifique et de l'innovation</v>
      </c>
      <c r="AA1244" s="19" t="str">
        <f>B1244 &amp; "-" &amp; VLOOKUP(B1244,[4]SOUSPROGRAMMES!$E$1:$F$44,2,FALSE)</f>
        <v>41- Gouvernance et pilotage de l’enseignement supérieur et de la recherche scientifique</v>
      </c>
      <c r="AB1244" s="19" t="str">
        <f>C1244 &amp; "-" &amp; VLOOKUP(C1244,[4]RESULTATS!$E$1:$F$176,2,FALSE)</f>
        <v>414- Les capacités des personnels administratifs et d’appui sont renforcées</v>
      </c>
      <c r="AC1244" s="20" t="str">
        <f>D1244 &amp; "-" &amp; VLOOKUP(D1244,[4]STRATEGIES!$E$1:$F$504,2,FALSE)</f>
        <v>414- Les capacités des personnels administratifs et d’appui sont renforcées</v>
      </c>
      <c r="AD1244" s="21" t="str">
        <f t="shared" si="202"/>
        <v>414- Les capacités des personnels administratifs et d’appui sont renforcées</v>
      </c>
    </row>
    <row r="1245" spans="1:30" s="22" customFormat="1" ht="45" customHeight="1" x14ac:dyDescent="0.8">
      <c r="A1245" s="14">
        <v>4</v>
      </c>
      <c r="B1245" s="15">
        <v>41</v>
      </c>
      <c r="C1245" s="15">
        <v>414</v>
      </c>
      <c r="D1245" s="15">
        <v>4141</v>
      </c>
      <c r="E1245" s="14">
        <v>4141</v>
      </c>
      <c r="F1245" s="16" t="s">
        <v>1628</v>
      </c>
      <c r="G1245" s="17"/>
      <c r="H1245" s="17"/>
      <c r="I1245" s="56">
        <v>0</v>
      </c>
      <c r="J1245" s="56"/>
      <c r="K1245" s="56"/>
      <c r="L1245" s="56"/>
      <c r="M1245" s="56"/>
      <c r="N1245" s="56"/>
      <c r="O1245" s="56"/>
      <c r="P1245" s="56"/>
      <c r="Q1245" s="56"/>
      <c r="R1245" s="56"/>
      <c r="S1245" s="53"/>
      <c r="T1245" s="33"/>
      <c r="U1245" s="18"/>
      <c r="V1245" s="19"/>
      <c r="W1245" s="18"/>
      <c r="X1245" s="18"/>
      <c r="Y1245" s="18" t="s">
        <v>679</v>
      </c>
      <c r="Z1245" s="19" t="str">
        <f>A1245 &amp; "-" &amp; VLOOKUP(A1245,[4]PROGRAMMES!$E$1:$F$7,2,FALSE)</f>
        <v>4-Réforme de l’enseignement supérieur et la recherche scientifique et de l'innovation</v>
      </c>
      <c r="AA1245" s="19" t="str">
        <f>B1245 &amp; "-" &amp; VLOOKUP(B1245,[4]SOUSPROGRAMMES!$E$1:$F$44,2,FALSE)</f>
        <v>41- Gouvernance et pilotage de l’enseignement supérieur et de la recherche scientifique</v>
      </c>
      <c r="AB1245" s="19" t="str">
        <f>C1245 &amp; "-" &amp; VLOOKUP(C1245,[4]RESULTATS!$E$1:$F$176,2,FALSE)</f>
        <v>414- Les capacités des personnels administratifs et d’appui sont renforcées</v>
      </c>
      <c r="AC1245" s="20" t="str">
        <f>D1245 &amp; "-" &amp; VLOOKUP(D1245,[4]STRATEGIES!$E$1:$F$504,2,FALSE)</f>
        <v>4141-Renforcement des capacités des personnels à tous les niveaux du système dans des domaines pertinents</v>
      </c>
      <c r="AD1245" s="21" t="str">
        <f t="shared" si="202"/>
        <v>4141-Renforcement des capacités des personnels à tous les niveaux du système dans des domaines pertinents</v>
      </c>
    </row>
    <row r="1246" spans="1:30" s="22" customFormat="1" ht="45" hidden="1" customHeight="1" x14ac:dyDescent="0.8">
      <c r="A1246" s="14">
        <v>4</v>
      </c>
      <c r="B1246" s="15">
        <v>41</v>
      </c>
      <c r="C1246" s="15">
        <v>414</v>
      </c>
      <c r="D1246" s="15">
        <v>4141</v>
      </c>
      <c r="E1246" s="14">
        <v>41411</v>
      </c>
      <c r="F1246" s="16" t="s">
        <v>1629</v>
      </c>
      <c r="G1246" s="21" t="s">
        <v>88</v>
      </c>
      <c r="H1246" s="17" t="s">
        <v>55</v>
      </c>
      <c r="I1246" s="56">
        <v>0</v>
      </c>
      <c r="J1246" s="56">
        <v>1</v>
      </c>
      <c r="K1246" s="56"/>
      <c r="L1246" s="56"/>
      <c r="M1246" s="56">
        <f t="shared" si="200"/>
        <v>1</v>
      </c>
      <c r="N1246" s="56">
        <f>IF(OR(H1246="",H1246="sif",H1246="PM"),0,VLOOKUP(H1246,[5]CU!$C$4:$H$255,6,FALSE))</f>
        <v>0</v>
      </c>
      <c r="O1246" s="56">
        <f t="shared" si="201"/>
        <v>0</v>
      </c>
      <c r="P1246" s="56">
        <f t="shared" si="201"/>
        <v>0</v>
      </c>
      <c r="Q1246" s="56">
        <f t="shared" si="201"/>
        <v>0</v>
      </c>
      <c r="R1246" s="56">
        <f t="shared" si="201"/>
        <v>0</v>
      </c>
      <c r="S1246" s="53"/>
      <c r="T1246" s="35" t="s">
        <v>56</v>
      </c>
      <c r="U1246" s="18" t="s">
        <v>1600</v>
      </c>
      <c r="V1246" s="19" t="str">
        <f>IF(OR($H1246="",$H1246="sif",$H1246="PM"),"",VLOOKUP($H1246,[5]CU!$C$5:$J$255,8,FALSE))</f>
        <v/>
      </c>
      <c r="W1246" s="18" t="s">
        <v>142</v>
      </c>
      <c r="X1246" s="18" t="s">
        <v>1607</v>
      </c>
      <c r="Y1246" s="18" t="s">
        <v>679</v>
      </c>
      <c r="Z1246" s="19" t="str">
        <f>A1246 &amp; "-" &amp; VLOOKUP(A1246,[4]PROGRAMMES!$E$1:$F$7,2,FALSE)</f>
        <v>4-Réforme de l’enseignement supérieur et la recherche scientifique et de l'innovation</v>
      </c>
      <c r="AA1246" s="19" t="str">
        <f>B1246 &amp; "-" &amp; VLOOKUP(B1246,[4]SOUSPROGRAMMES!$E$1:$F$44,2,FALSE)</f>
        <v>41- Gouvernance et pilotage de l’enseignement supérieur et de la recherche scientifique</v>
      </c>
      <c r="AB1246" s="19" t="str">
        <f>C1246 &amp; "-" &amp; VLOOKUP(C1246,[4]RESULTATS!$E$1:$F$176,2,FALSE)</f>
        <v>414- Les capacités des personnels administratifs et d’appui sont renforcées</v>
      </c>
      <c r="AC1246" s="20" t="str">
        <f>D1246 &amp; "-" &amp; VLOOKUP(D1246,[4]STRATEGIES!$E$1:$F$504,2,FALSE)</f>
        <v>4141-Renforcement des capacités des personnels à tous les niveaux du système dans des domaines pertinents</v>
      </c>
      <c r="AD1246" s="21" t="str">
        <f t="shared" si="202"/>
        <v>41411-Identification de besoins de formation</v>
      </c>
    </row>
    <row r="1247" spans="1:30" s="22" customFormat="1" ht="45" hidden="1" customHeight="1" x14ac:dyDescent="0.8">
      <c r="A1247" s="14">
        <v>4</v>
      </c>
      <c r="B1247" s="15">
        <v>41</v>
      </c>
      <c r="C1247" s="15">
        <v>414</v>
      </c>
      <c r="D1247" s="15">
        <v>4141</v>
      </c>
      <c r="E1247" s="14">
        <v>41412</v>
      </c>
      <c r="F1247" s="16" t="s">
        <v>1630</v>
      </c>
      <c r="G1247" s="21" t="s">
        <v>167</v>
      </c>
      <c r="H1247" s="17" t="s">
        <v>101</v>
      </c>
      <c r="I1247" s="56">
        <v>0</v>
      </c>
      <c r="J1247" s="56">
        <f>2*15</f>
        <v>30</v>
      </c>
      <c r="K1247" s="56"/>
      <c r="L1247" s="56"/>
      <c r="M1247" s="56">
        <f t="shared" si="200"/>
        <v>30</v>
      </c>
      <c r="N1247" s="56">
        <f>IF(OR(H1247="",H1247="sif",H1247="PM"),0,VLOOKUP(H1247,[5]CU!$C$4:$H$255,6,FALSE))</f>
        <v>2.651545</v>
      </c>
      <c r="O1247" s="56">
        <f t="shared" si="201"/>
        <v>0</v>
      </c>
      <c r="P1247" s="56">
        <f t="shared" si="201"/>
        <v>79.546350000000004</v>
      </c>
      <c r="Q1247" s="56">
        <f t="shared" si="201"/>
        <v>0</v>
      </c>
      <c r="R1247" s="56">
        <f t="shared" si="201"/>
        <v>0</v>
      </c>
      <c r="S1247" s="53">
        <f>SUM(O1247:R1247)</f>
        <v>79.546350000000004</v>
      </c>
      <c r="T1247" s="35" t="s">
        <v>56</v>
      </c>
      <c r="U1247" s="18" t="s">
        <v>1600</v>
      </c>
      <c r="V1247" s="19" t="str">
        <f>IF(OR($H1247="",$H1247="sif",$H1247="PM"),"",VLOOKUP($H1247,[5]CU!$C$5:$J$255,8,FALSE))</f>
        <v>3. Dépenses de fonctionnement</v>
      </c>
      <c r="W1247" s="18" t="s">
        <v>142</v>
      </c>
      <c r="X1247" s="18" t="s">
        <v>750</v>
      </c>
      <c r="Y1247" s="18" t="s">
        <v>679</v>
      </c>
      <c r="Z1247" s="19" t="str">
        <f>A1247 &amp; "-" &amp; VLOOKUP(A1247,[4]PROGRAMMES!$E$1:$F$7,2,FALSE)</f>
        <v>4-Réforme de l’enseignement supérieur et la recherche scientifique et de l'innovation</v>
      </c>
      <c r="AA1247" s="19" t="str">
        <f>B1247 &amp; "-" &amp; VLOOKUP(B1247,[4]SOUSPROGRAMMES!$E$1:$F$44,2,FALSE)</f>
        <v>41- Gouvernance et pilotage de l’enseignement supérieur et de la recherche scientifique</v>
      </c>
      <c r="AB1247" s="19" t="str">
        <f>C1247 &amp; "-" &amp; VLOOKUP(C1247,[4]RESULTATS!$E$1:$F$176,2,FALSE)</f>
        <v>414- Les capacités des personnels administratifs et d’appui sont renforcées</v>
      </c>
      <c r="AC1247" s="20" t="str">
        <f>D1247 &amp; "-" &amp; VLOOKUP(D1247,[4]STRATEGIES!$E$1:$F$504,2,FALSE)</f>
        <v>4141-Renforcement des capacités des personnels à tous les niveaux du système dans des domaines pertinents</v>
      </c>
      <c r="AD1247" s="21" t="str">
        <f t="shared" si="202"/>
        <v>41412-Production de support de formation</v>
      </c>
    </row>
    <row r="1248" spans="1:30" s="22" customFormat="1" ht="45" hidden="1" customHeight="1" x14ac:dyDescent="0.8">
      <c r="A1248" s="14">
        <v>4</v>
      </c>
      <c r="B1248" s="15">
        <v>41</v>
      </c>
      <c r="C1248" s="15">
        <v>414</v>
      </c>
      <c r="D1248" s="15">
        <v>4141</v>
      </c>
      <c r="E1248" s="14">
        <v>41413</v>
      </c>
      <c r="F1248" s="16" t="s">
        <v>51</v>
      </c>
      <c r="G1248" s="21" t="s">
        <v>37</v>
      </c>
      <c r="H1248" s="17" t="s">
        <v>301</v>
      </c>
      <c r="I1248" s="56">
        <v>0</v>
      </c>
      <c r="J1248" s="56"/>
      <c r="K1248" s="56">
        <f>70*5*10</f>
        <v>3500</v>
      </c>
      <c r="L1248" s="56"/>
      <c r="M1248" s="56">
        <f t="shared" si="200"/>
        <v>3500</v>
      </c>
      <c r="N1248" s="56">
        <f>IF(OR(H1248="",H1248="sif",H1248="PM"),0,VLOOKUP(H1248,[5]CU!$C$4:$H$255,6,FALSE))</f>
        <v>0.67666666666666664</v>
      </c>
      <c r="O1248" s="56">
        <f t="shared" si="201"/>
        <v>0</v>
      </c>
      <c r="P1248" s="56">
        <f t="shared" si="201"/>
        <v>0</v>
      </c>
      <c r="Q1248" s="56">
        <f t="shared" si="201"/>
        <v>2368.333333333333</v>
      </c>
      <c r="R1248" s="56">
        <f t="shared" si="201"/>
        <v>0</v>
      </c>
      <c r="S1248" s="53">
        <f>SUM(O1248:R1248)</f>
        <v>2368.333333333333</v>
      </c>
      <c r="T1248" s="35" t="s">
        <v>169</v>
      </c>
      <c r="U1248" s="18" t="s">
        <v>1600</v>
      </c>
      <c r="V1248" s="19" t="str">
        <f>IF(OR($H1248="",$H1248="sif",$H1248="PM"),"",VLOOKUP($H1248,[5]CU!$C$5:$J$255,8,FALSE))</f>
        <v>3. Formation</v>
      </c>
      <c r="W1248" s="18" t="s">
        <v>142</v>
      </c>
      <c r="X1248" s="18" t="s">
        <v>750</v>
      </c>
      <c r="Y1248" s="18" t="s">
        <v>679</v>
      </c>
      <c r="Z1248" s="19" t="str">
        <f>A1248 &amp; "-" &amp; VLOOKUP(A1248,[4]PROGRAMMES!$E$1:$F$7,2,FALSE)</f>
        <v>4-Réforme de l’enseignement supérieur et la recherche scientifique et de l'innovation</v>
      </c>
      <c r="AA1248" s="19" t="str">
        <f>B1248 &amp; "-" &amp; VLOOKUP(B1248,[4]SOUSPROGRAMMES!$E$1:$F$44,2,FALSE)</f>
        <v>41- Gouvernance et pilotage de l’enseignement supérieur et de la recherche scientifique</v>
      </c>
      <c r="AB1248" s="19" t="str">
        <f>C1248 &amp; "-" &amp; VLOOKUP(C1248,[4]RESULTATS!$E$1:$F$176,2,FALSE)</f>
        <v>414- Les capacités des personnels administratifs et d’appui sont renforcées</v>
      </c>
      <c r="AC1248" s="20" t="str">
        <f>D1248 &amp; "-" &amp; VLOOKUP(D1248,[4]STRATEGIES!$E$1:$F$504,2,FALSE)</f>
        <v>4141-Renforcement des capacités des personnels à tous les niveaux du système dans des domaines pertinents</v>
      </c>
      <c r="AD1248" s="21" t="str">
        <f t="shared" si="202"/>
        <v>41413-Formation</v>
      </c>
    </row>
    <row r="1249" spans="1:30" s="22" customFormat="1" ht="45" customHeight="1" x14ac:dyDescent="0.8">
      <c r="A1249" s="14">
        <v>4</v>
      </c>
      <c r="B1249" s="15">
        <v>41</v>
      </c>
      <c r="C1249" s="15">
        <v>415</v>
      </c>
      <c r="D1249" s="15">
        <v>415</v>
      </c>
      <c r="E1249" s="14">
        <v>415</v>
      </c>
      <c r="F1249" s="16" t="s">
        <v>1631</v>
      </c>
      <c r="G1249" s="17"/>
      <c r="H1249" s="17"/>
      <c r="I1249" s="56">
        <v>0</v>
      </c>
      <c r="J1249" s="56"/>
      <c r="K1249" s="56"/>
      <c r="L1249" s="56"/>
      <c r="M1249" s="56"/>
      <c r="N1249" s="56"/>
      <c r="O1249" s="56"/>
      <c r="P1249" s="56"/>
      <c r="Q1249" s="56"/>
      <c r="R1249" s="56"/>
      <c r="S1249" s="53"/>
      <c r="T1249" s="33"/>
      <c r="U1249" s="18"/>
      <c r="V1249" s="19"/>
      <c r="W1249" s="18"/>
      <c r="X1249" s="18"/>
      <c r="Y1249" s="18" t="s">
        <v>679</v>
      </c>
      <c r="Z1249" s="19" t="str">
        <f>A1249 &amp; "-" &amp; VLOOKUP(A1249,[4]PROGRAMMES!$E$1:$F$7,2,FALSE)</f>
        <v>4-Réforme de l’enseignement supérieur et la recherche scientifique et de l'innovation</v>
      </c>
      <c r="AA1249" s="19" t="str">
        <f>B1249 &amp; "-" &amp; VLOOKUP(B1249,[4]SOUSPROGRAMMES!$E$1:$F$44,2,FALSE)</f>
        <v>41- Gouvernance et pilotage de l’enseignement supérieur et de la recherche scientifique</v>
      </c>
      <c r="AB1249" s="19" t="str">
        <f>C1249 &amp; "-" &amp; VLOOKUP(C1249,[4]RESULTATS!$E$1:$F$176,2,FALSE)</f>
        <v>415- L’évolution quantitative de l’enseignement supérieur est maitrisée</v>
      </c>
      <c r="AC1249" s="20" t="str">
        <f>D1249 &amp; "-" &amp; VLOOKUP(D1249,[4]STRATEGIES!$E$1:$F$504,2,FALSE)</f>
        <v>415- L’évolution quantitative de l’enseignement supérieur est maitrisée</v>
      </c>
      <c r="AD1249" s="21" t="str">
        <f t="shared" si="202"/>
        <v>415- L’évolution quantitative de l’enseignement supérieur est maitrisée</v>
      </c>
    </row>
    <row r="1250" spans="1:30" s="22" customFormat="1" ht="45" customHeight="1" x14ac:dyDescent="0.8">
      <c r="A1250" s="14">
        <v>4</v>
      </c>
      <c r="B1250" s="15">
        <v>41</v>
      </c>
      <c r="C1250" s="15">
        <v>415</v>
      </c>
      <c r="D1250" s="15">
        <v>4151</v>
      </c>
      <c r="E1250" s="14">
        <v>4151</v>
      </c>
      <c r="F1250" s="16" t="s">
        <v>1632</v>
      </c>
      <c r="G1250" s="17"/>
      <c r="H1250" s="17"/>
      <c r="I1250" s="56">
        <v>0</v>
      </c>
      <c r="J1250" s="56"/>
      <c r="K1250" s="56"/>
      <c r="L1250" s="56"/>
      <c r="M1250" s="56"/>
      <c r="N1250" s="56"/>
      <c r="O1250" s="56"/>
      <c r="P1250" s="56"/>
      <c r="Q1250" s="56"/>
      <c r="R1250" s="56"/>
      <c r="S1250" s="53"/>
      <c r="T1250" s="33"/>
      <c r="U1250" s="18"/>
      <c r="V1250" s="19"/>
      <c r="W1250" s="18"/>
      <c r="X1250" s="18"/>
      <c r="Y1250" s="18" t="s">
        <v>679</v>
      </c>
      <c r="Z1250" s="19" t="str">
        <f>A1250 &amp; "-" &amp; VLOOKUP(A1250,[4]PROGRAMMES!$E$1:$F$7,2,FALSE)</f>
        <v>4-Réforme de l’enseignement supérieur et la recherche scientifique et de l'innovation</v>
      </c>
      <c r="AA1250" s="19" t="str">
        <f>B1250 &amp; "-" &amp; VLOOKUP(B1250,[4]SOUSPROGRAMMES!$E$1:$F$44,2,FALSE)</f>
        <v>41- Gouvernance et pilotage de l’enseignement supérieur et de la recherche scientifique</v>
      </c>
      <c r="AB1250" s="19" t="str">
        <f>C1250 &amp; "-" &amp; VLOOKUP(C1250,[4]RESULTATS!$E$1:$F$176,2,FALSE)</f>
        <v>415- L’évolution quantitative de l’enseignement supérieur est maitrisée</v>
      </c>
      <c r="AC1250" s="20" t="str">
        <f>D1250 &amp; "-" &amp; VLOOKUP(D1250,[4]STRATEGIES!$E$1:$F$504,2,FALSE)</f>
        <v>4151-Recensement biométrique des étudiants</v>
      </c>
      <c r="AD1250" s="21" t="str">
        <f t="shared" si="202"/>
        <v>4151-Recensement biométrique des étudiants</v>
      </c>
    </row>
    <row r="1251" spans="1:30" s="22" customFormat="1" ht="45" hidden="1" customHeight="1" x14ac:dyDescent="0.8">
      <c r="A1251" s="14">
        <v>4</v>
      </c>
      <c r="B1251" s="15">
        <v>41</v>
      </c>
      <c r="C1251" s="15">
        <v>415</v>
      </c>
      <c r="D1251" s="15">
        <v>4151</v>
      </c>
      <c r="E1251" s="14">
        <v>41511</v>
      </c>
      <c r="F1251" s="16" t="s">
        <v>1633</v>
      </c>
      <c r="G1251" s="21" t="s">
        <v>159</v>
      </c>
      <c r="H1251" s="17"/>
      <c r="I1251" s="56">
        <v>0</v>
      </c>
      <c r="J1251" s="56"/>
      <c r="K1251" s="56"/>
      <c r="L1251" s="56"/>
      <c r="M1251" s="56">
        <f t="shared" si="200"/>
        <v>0</v>
      </c>
      <c r="N1251" s="56">
        <f>IF(OR(H1251="",H1251="sif",H1251="PM"),0,VLOOKUP(H1251,[5]CU!$C$4:$H$255,6,FALSE))</f>
        <v>0</v>
      </c>
      <c r="O1251" s="56">
        <f t="shared" si="201"/>
        <v>0</v>
      </c>
      <c r="P1251" s="56">
        <f t="shared" si="201"/>
        <v>0</v>
      </c>
      <c r="Q1251" s="56">
        <f t="shared" si="201"/>
        <v>0</v>
      </c>
      <c r="R1251" s="56">
        <f t="shared" si="201"/>
        <v>0</v>
      </c>
      <c r="S1251" s="53"/>
      <c r="T1251" s="35" t="s">
        <v>56</v>
      </c>
      <c r="U1251" s="18" t="s">
        <v>1600</v>
      </c>
      <c r="V1251" s="19" t="str">
        <f>IF(OR($H1251="",$H1251="sif",$H1251="PM"),"",VLOOKUP($H1251,[5]CU!$C$5:$J$255,8,FALSE))</f>
        <v/>
      </c>
      <c r="W1251" s="18" t="s">
        <v>254</v>
      </c>
      <c r="X1251" s="18" t="s">
        <v>1634</v>
      </c>
      <c r="Y1251" s="18" t="s">
        <v>679</v>
      </c>
      <c r="Z1251" s="19" t="str">
        <f>A1251 &amp; "-" &amp; VLOOKUP(A1251,[4]PROGRAMMES!$E$1:$F$7,2,FALSE)</f>
        <v>4-Réforme de l’enseignement supérieur et la recherche scientifique et de l'innovation</v>
      </c>
      <c r="AA1251" s="19" t="str">
        <f>B1251 &amp; "-" &amp; VLOOKUP(B1251,[4]SOUSPROGRAMMES!$E$1:$F$44,2,FALSE)</f>
        <v>41- Gouvernance et pilotage de l’enseignement supérieur et de la recherche scientifique</v>
      </c>
      <c r="AB1251" s="19" t="str">
        <f>C1251 &amp; "-" &amp; VLOOKUP(C1251,[4]RESULTATS!$E$1:$F$176,2,FALSE)</f>
        <v>415- L’évolution quantitative de l’enseignement supérieur est maitrisée</v>
      </c>
      <c r="AC1251" s="20" t="str">
        <f>D1251 &amp; "-" &amp; VLOOKUP(D1251,[4]STRATEGIES!$E$1:$F$504,2,FALSE)</f>
        <v>4151-Recensement biométrique des étudiants</v>
      </c>
      <c r="AD1251" s="21" t="str">
        <f t="shared" si="202"/>
        <v>41511-Constitution d'une commission chargée du recensement biométrique des étudiants</v>
      </c>
    </row>
    <row r="1252" spans="1:30" s="22" customFormat="1" ht="45" hidden="1" customHeight="1" x14ac:dyDescent="0.8">
      <c r="A1252" s="14">
        <v>4</v>
      </c>
      <c r="B1252" s="15">
        <v>41</v>
      </c>
      <c r="C1252" s="15">
        <v>415</v>
      </c>
      <c r="D1252" s="15">
        <v>4151</v>
      </c>
      <c r="E1252" s="14">
        <v>41512</v>
      </c>
      <c r="F1252" s="16" t="s">
        <v>1635</v>
      </c>
      <c r="G1252" s="21" t="s">
        <v>1636</v>
      </c>
      <c r="H1252" s="17" t="s">
        <v>1636</v>
      </c>
      <c r="I1252" s="56">
        <v>0</v>
      </c>
      <c r="J1252" s="56"/>
      <c r="K1252" s="56"/>
      <c r="L1252" s="56"/>
      <c r="M1252" s="56">
        <f t="shared" si="200"/>
        <v>0</v>
      </c>
      <c r="N1252" s="56">
        <f>IF(OR(H1252="",H1252="sif",H1252="PM"),0,VLOOKUP(H1252,[5]CU!$C$4:$H$255,6,FALSE))</f>
        <v>3</v>
      </c>
      <c r="O1252" s="56">
        <f t="shared" si="201"/>
        <v>0</v>
      </c>
      <c r="P1252" s="56">
        <f t="shared" si="201"/>
        <v>0</v>
      </c>
      <c r="Q1252" s="56">
        <f t="shared" si="201"/>
        <v>0</v>
      </c>
      <c r="R1252" s="56">
        <f t="shared" si="201"/>
        <v>0</v>
      </c>
      <c r="S1252" s="53">
        <f>SUM(O1252:R1252)</f>
        <v>0</v>
      </c>
      <c r="T1252" s="35" t="s">
        <v>56</v>
      </c>
      <c r="U1252" s="19" t="s">
        <v>1600</v>
      </c>
      <c r="V1252" s="19" t="str">
        <f>IF(OR($H1252="",$H1252="sif",$H1252="PM"),"",VLOOKUP($H1252,[5]CU!$C$5:$J$255,8,FALSE))</f>
        <v>5. Investissement</v>
      </c>
      <c r="W1252" s="19" t="s">
        <v>254</v>
      </c>
      <c r="X1252" s="19" t="s">
        <v>521</v>
      </c>
      <c r="Y1252" s="18" t="s">
        <v>679</v>
      </c>
      <c r="Z1252" s="19" t="str">
        <f>A1252 &amp; "-" &amp; VLOOKUP(A1252,[4]PROGRAMMES!$E$1:$F$7,2,FALSE)</f>
        <v>4-Réforme de l’enseignement supérieur et la recherche scientifique et de l'innovation</v>
      </c>
      <c r="AA1252" s="19" t="str">
        <f>B1252 &amp; "-" &amp; VLOOKUP(B1252,[4]SOUSPROGRAMMES!$E$1:$F$44,2,FALSE)</f>
        <v>41- Gouvernance et pilotage de l’enseignement supérieur et de la recherche scientifique</v>
      </c>
      <c r="AB1252" s="19" t="str">
        <f>C1252 &amp; "-" &amp; VLOOKUP(C1252,[4]RESULTATS!$E$1:$F$176,2,FALSE)</f>
        <v>415- L’évolution quantitative de l’enseignement supérieur est maitrisée</v>
      </c>
      <c r="AC1252" s="20" t="str">
        <f>D1252 &amp; "-" &amp; VLOOKUP(D1252,[4]STRATEGIES!$E$1:$F$504,2,FALSE)</f>
        <v>4151-Recensement biométrique des étudiants</v>
      </c>
      <c r="AD1252" s="21" t="str">
        <f t="shared" si="202"/>
        <v>41512-Acquisition de matériel informatique pour la collecte des données biométriques des étudiants</v>
      </c>
    </row>
    <row r="1253" spans="1:30" s="22" customFormat="1" ht="45" hidden="1" customHeight="1" x14ac:dyDescent="0.8">
      <c r="A1253" s="14">
        <v>4</v>
      </c>
      <c r="B1253" s="15">
        <v>41</v>
      </c>
      <c r="C1253" s="15">
        <v>415</v>
      </c>
      <c r="D1253" s="15">
        <v>4151</v>
      </c>
      <c r="E1253" s="14">
        <v>41513</v>
      </c>
      <c r="F1253" s="16" t="s">
        <v>1637</v>
      </c>
      <c r="G1253" s="21" t="s">
        <v>1638</v>
      </c>
      <c r="H1253" s="17" t="s">
        <v>1639</v>
      </c>
      <c r="I1253" s="56">
        <v>0</v>
      </c>
      <c r="J1253" s="56"/>
      <c r="K1253" s="56"/>
      <c r="L1253" s="56"/>
      <c r="M1253" s="56">
        <f t="shared" si="200"/>
        <v>0</v>
      </c>
      <c r="N1253" s="56">
        <f>IF(OR(H1253="",H1253="sif",H1253="PM"),0,VLOOKUP(H1253,[5]CU!$C$4:$H$255,6,FALSE))</f>
        <v>0.47249999999999998</v>
      </c>
      <c r="O1253" s="56">
        <f t="shared" si="201"/>
        <v>0</v>
      </c>
      <c r="P1253" s="56">
        <f t="shared" si="201"/>
        <v>0</v>
      </c>
      <c r="Q1253" s="56">
        <f t="shared" si="201"/>
        <v>0</v>
      </c>
      <c r="R1253" s="56">
        <f t="shared" si="201"/>
        <v>0</v>
      </c>
      <c r="S1253" s="53">
        <f>SUM(O1253:R1253)</f>
        <v>0</v>
      </c>
      <c r="T1253" s="35" t="s">
        <v>56</v>
      </c>
      <c r="U1253" s="19" t="s">
        <v>1600</v>
      </c>
      <c r="V1253" s="19" t="str">
        <f>IF(OR($H1253="",$H1253="sif",$H1253="PM"),"",VLOOKUP($H1253,[5]CU!$C$5:$J$255,8,FALSE))</f>
        <v>5. Investissement</v>
      </c>
      <c r="W1253" s="19"/>
      <c r="X1253" s="19"/>
      <c r="Y1253" s="18" t="s">
        <v>679</v>
      </c>
      <c r="Z1253" s="19" t="str">
        <f>A1253 &amp; "-" &amp; VLOOKUP(A1253,[4]PROGRAMMES!$E$1:$F$7,2,FALSE)</f>
        <v>4-Réforme de l’enseignement supérieur et la recherche scientifique et de l'innovation</v>
      </c>
      <c r="AA1253" s="19" t="str">
        <f>B1253 &amp; "-" &amp; VLOOKUP(B1253,[4]SOUSPROGRAMMES!$E$1:$F$44,2,FALSE)</f>
        <v>41- Gouvernance et pilotage de l’enseignement supérieur et de la recherche scientifique</v>
      </c>
      <c r="AB1253" s="19" t="str">
        <f>C1253 &amp; "-" &amp; VLOOKUP(C1253,[4]RESULTATS!$E$1:$F$176,2,FALSE)</f>
        <v>415- L’évolution quantitative de l’enseignement supérieur est maitrisée</v>
      </c>
      <c r="AC1253" s="20" t="str">
        <f>D1253 &amp; "-" &amp; VLOOKUP(D1253,[4]STRATEGIES!$E$1:$F$504,2,FALSE)</f>
        <v>4151-Recensement biométrique des étudiants</v>
      </c>
      <c r="AD1253" s="21" t="str">
        <f t="shared" si="202"/>
        <v xml:space="preserve">41513-Acquisition de lecteur d'empreintes </v>
      </c>
    </row>
    <row r="1254" spans="1:30" s="22" customFormat="1" ht="45" hidden="1" customHeight="1" x14ac:dyDescent="0.8">
      <c r="A1254" s="14">
        <v>4</v>
      </c>
      <c r="B1254" s="15">
        <v>41</v>
      </c>
      <c r="C1254" s="15">
        <v>415</v>
      </c>
      <c r="D1254" s="15">
        <v>4151</v>
      </c>
      <c r="E1254" s="14">
        <v>41514</v>
      </c>
      <c r="F1254" s="16" t="s">
        <v>1640</v>
      </c>
      <c r="G1254" s="21" t="s">
        <v>58</v>
      </c>
      <c r="H1254" s="17" t="s">
        <v>59</v>
      </c>
      <c r="I1254" s="56">
        <v>0</v>
      </c>
      <c r="J1254" s="56"/>
      <c r="K1254" s="56">
        <f>10*2*18*10</f>
        <v>3600</v>
      </c>
      <c r="L1254" s="56">
        <f>5*2*10*5</f>
        <v>500</v>
      </c>
      <c r="M1254" s="56">
        <f t="shared" si="200"/>
        <v>4100</v>
      </c>
      <c r="N1254" s="56">
        <f>IF(OR(H1254="",H1254="sif",H1254="PM"),0,VLOOKUP(H1254,[5]CU!$C$4:$H$255,6,FALSE))</f>
        <v>0.8177777777777776</v>
      </c>
      <c r="O1254" s="56">
        <f t="shared" si="201"/>
        <v>0</v>
      </c>
      <c r="P1254" s="56">
        <f t="shared" si="201"/>
        <v>0</v>
      </c>
      <c r="Q1254" s="56">
        <f t="shared" si="201"/>
        <v>2943.9999999999995</v>
      </c>
      <c r="R1254" s="56">
        <f t="shared" si="201"/>
        <v>408.8888888888888</v>
      </c>
      <c r="S1254" s="53">
        <f>SUM(O1254:R1254)</f>
        <v>3352.8888888888882</v>
      </c>
      <c r="T1254" s="35" t="s">
        <v>169</v>
      </c>
      <c r="U1254" s="18" t="s">
        <v>1600</v>
      </c>
      <c r="V1254" s="19" t="str">
        <f>IF(OR($H1254="",$H1254="sif",$H1254="PM"),"",VLOOKUP($H1254,[5]CU!$C$5:$J$255,8,FALSE))</f>
        <v>3. Dépenses de fonctionnement</v>
      </c>
      <c r="W1254" s="18" t="s">
        <v>254</v>
      </c>
      <c r="X1254" s="18" t="s">
        <v>1641</v>
      </c>
      <c r="Y1254" s="18" t="s">
        <v>679</v>
      </c>
      <c r="Z1254" s="19" t="str">
        <f>A1254 &amp; "-" &amp; VLOOKUP(A1254,[4]PROGRAMMES!$E$1:$F$7,2,FALSE)</f>
        <v>4-Réforme de l’enseignement supérieur et la recherche scientifique et de l'innovation</v>
      </c>
      <c r="AA1254" s="19" t="str">
        <f>B1254 &amp; "-" &amp; VLOOKUP(B1254,[4]SOUSPROGRAMMES!$E$1:$F$44,2,FALSE)</f>
        <v>41- Gouvernance et pilotage de l’enseignement supérieur et de la recherche scientifique</v>
      </c>
      <c r="AB1254" s="19" t="str">
        <f>C1254 &amp; "-" &amp; VLOOKUP(C1254,[4]RESULTATS!$E$1:$F$176,2,FALSE)</f>
        <v>415- L’évolution quantitative de l’enseignement supérieur est maitrisée</v>
      </c>
      <c r="AC1254" s="20" t="str">
        <f>D1254 &amp; "-" &amp; VLOOKUP(D1254,[4]STRATEGIES!$E$1:$F$504,2,FALSE)</f>
        <v>4151-Recensement biométrique des étudiants</v>
      </c>
      <c r="AD1254" s="21" t="str">
        <f t="shared" si="202"/>
        <v>41514-Mission de terrain</v>
      </c>
    </row>
    <row r="1255" spans="1:30" s="22" customFormat="1" ht="45" customHeight="1" x14ac:dyDescent="0.8">
      <c r="A1255" s="14">
        <v>4</v>
      </c>
      <c r="B1255" s="15">
        <v>41</v>
      </c>
      <c r="C1255" s="15">
        <v>415</v>
      </c>
      <c r="D1255" s="15">
        <v>4152</v>
      </c>
      <c r="E1255" s="14">
        <v>4152</v>
      </c>
      <c r="F1255" s="16" t="s">
        <v>1642</v>
      </c>
      <c r="G1255" s="17"/>
      <c r="H1255" s="17"/>
      <c r="I1255" s="56">
        <v>0</v>
      </c>
      <c r="J1255" s="56"/>
      <c r="K1255" s="56"/>
      <c r="L1255" s="56"/>
      <c r="M1255" s="56"/>
      <c r="N1255" s="56"/>
      <c r="O1255" s="56"/>
      <c r="P1255" s="56"/>
      <c r="Q1255" s="56"/>
      <c r="R1255" s="56"/>
      <c r="S1255" s="53"/>
      <c r="T1255" s="33"/>
      <c r="U1255" s="18"/>
      <c r="V1255" s="19"/>
      <c r="W1255" s="18"/>
      <c r="X1255" s="18"/>
      <c r="Y1255" s="18" t="s">
        <v>679</v>
      </c>
      <c r="Z1255" s="19" t="str">
        <f>A1255 &amp; "-" &amp; VLOOKUP(A1255,[4]PROGRAMMES!$E$1:$F$7,2,FALSE)</f>
        <v>4-Réforme de l’enseignement supérieur et la recherche scientifique et de l'innovation</v>
      </c>
      <c r="AA1255" s="19" t="str">
        <f>B1255 &amp; "-" &amp; VLOOKUP(B1255,[4]SOUSPROGRAMMES!$E$1:$F$44,2,FALSE)</f>
        <v>41- Gouvernance et pilotage de l’enseignement supérieur et de la recherche scientifique</v>
      </c>
      <c r="AB1255" s="19" t="str">
        <f>C1255 &amp; "-" &amp; VLOOKUP(C1255,[4]RESULTATS!$E$1:$F$176,2,FALSE)</f>
        <v>415- L’évolution quantitative de l’enseignement supérieur est maitrisée</v>
      </c>
      <c r="AC1255" s="20" t="str">
        <f>D1255 &amp; "-" &amp; VLOOKUP(D1255,[4]STRATEGIES!$E$1:$F$504,2,FALSE)</f>
        <v>4152-Pérennisation de l’orientation en ligne des bacheliers, à travers la plateforme « GUPOL »</v>
      </c>
      <c r="AD1255" s="21" t="str">
        <f t="shared" si="202"/>
        <v>4152-Pérennisation de l’orientation en ligne des bacheliers, à travers la plateforme « GUPOL »</v>
      </c>
    </row>
    <row r="1256" spans="1:30" s="22" customFormat="1" ht="45" hidden="1" customHeight="1" x14ac:dyDescent="0.8">
      <c r="A1256" s="14">
        <v>4</v>
      </c>
      <c r="B1256" s="15">
        <v>41</v>
      </c>
      <c r="C1256" s="15">
        <v>415</v>
      </c>
      <c r="D1256" s="15">
        <v>4152</v>
      </c>
      <c r="E1256" s="14">
        <v>41521</v>
      </c>
      <c r="F1256" s="16" t="s">
        <v>1643</v>
      </c>
      <c r="G1256" s="21" t="s">
        <v>167</v>
      </c>
      <c r="H1256" s="17" t="s">
        <v>101</v>
      </c>
      <c r="I1256" s="56">
        <v>0</v>
      </c>
      <c r="J1256" s="56"/>
      <c r="K1256" s="56"/>
      <c r="L1256" s="56"/>
      <c r="M1256" s="56">
        <f t="shared" si="200"/>
        <v>0</v>
      </c>
      <c r="N1256" s="56">
        <f>IF(OR(H1256="",H1256="sif",H1256="PM"),0,VLOOKUP(H1256,[5]CU!$C$4:$H$255,6,FALSE))</f>
        <v>2.651545</v>
      </c>
      <c r="O1256" s="56">
        <f t="shared" si="201"/>
        <v>0</v>
      </c>
      <c r="P1256" s="56">
        <f t="shared" si="201"/>
        <v>0</v>
      </c>
      <c r="Q1256" s="56">
        <f t="shared" si="201"/>
        <v>0</v>
      </c>
      <c r="R1256" s="56">
        <f t="shared" si="201"/>
        <v>0</v>
      </c>
      <c r="S1256" s="53">
        <f>SUM(O1256:R1256)</f>
        <v>0</v>
      </c>
      <c r="T1256" s="35" t="s">
        <v>56</v>
      </c>
      <c r="U1256" s="18" t="s">
        <v>1600</v>
      </c>
      <c r="V1256" s="19" t="str">
        <f>IF(OR($H1256="",$H1256="sif",$H1256="PM"),"",VLOOKUP($H1256,[5]CU!$C$5:$J$255,8,FALSE))</f>
        <v>3. Dépenses de fonctionnement</v>
      </c>
      <c r="W1256" s="18" t="s">
        <v>254</v>
      </c>
      <c r="X1256" s="18" t="s">
        <v>1641</v>
      </c>
      <c r="Y1256" s="18" t="s">
        <v>679</v>
      </c>
      <c r="Z1256" s="19" t="str">
        <f>A1256 &amp; "-" &amp; VLOOKUP(A1256,[4]PROGRAMMES!$E$1:$F$7,2,FALSE)</f>
        <v>4-Réforme de l’enseignement supérieur et la recherche scientifique et de l'innovation</v>
      </c>
      <c r="AA1256" s="19" t="str">
        <f>B1256 &amp; "-" &amp; VLOOKUP(B1256,[4]SOUSPROGRAMMES!$E$1:$F$44,2,FALSE)</f>
        <v>41- Gouvernance et pilotage de l’enseignement supérieur et de la recherche scientifique</v>
      </c>
      <c r="AB1256" s="19" t="str">
        <f>C1256 &amp; "-" &amp; VLOOKUP(C1256,[4]RESULTATS!$E$1:$F$176,2,FALSE)</f>
        <v>415- L’évolution quantitative de l’enseignement supérieur est maitrisée</v>
      </c>
      <c r="AC1256" s="20" t="str">
        <f>D1256 &amp; "-" &amp; VLOOKUP(D1256,[4]STRATEGIES!$E$1:$F$504,2,FALSE)</f>
        <v>4152-Pérennisation de l’orientation en ligne des bacheliers, à travers la plateforme « GUPOL »</v>
      </c>
      <c r="AD1256" s="21" t="str">
        <f t="shared" si="202"/>
        <v>41521-Amélioration de la plateforme GUPOL</v>
      </c>
    </row>
    <row r="1257" spans="1:30" s="22" customFormat="1" ht="45" hidden="1" customHeight="1" x14ac:dyDescent="0.8">
      <c r="A1257" s="14">
        <v>4</v>
      </c>
      <c r="B1257" s="15">
        <v>41</v>
      </c>
      <c r="C1257" s="15">
        <v>415</v>
      </c>
      <c r="D1257" s="15">
        <v>4152</v>
      </c>
      <c r="E1257" s="14">
        <v>41522</v>
      </c>
      <c r="F1257" s="16" t="s">
        <v>1644</v>
      </c>
      <c r="G1257" s="21" t="s">
        <v>1645</v>
      </c>
      <c r="H1257" s="17" t="s">
        <v>73</v>
      </c>
      <c r="I1257" s="56">
        <v>0</v>
      </c>
      <c r="J1257" s="56"/>
      <c r="K1257" s="56">
        <f>1*7*8</f>
        <v>56</v>
      </c>
      <c r="L1257" s="56">
        <f>1*7*7</f>
        <v>49</v>
      </c>
      <c r="M1257" s="56">
        <f t="shared" si="200"/>
        <v>105</v>
      </c>
      <c r="N1257" s="56">
        <f>IF(OR(H1257="",H1257="sif",H1257="PM"),0,VLOOKUP(H1257,[5]CU!$C$4:$H$255,6,FALSE))</f>
        <v>0.4</v>
      </c>
      <c r="O1257" s="56">
        <f t="shared" si="201"/>
        <v>0</v>
      </c>
      <c r="P1257" s="56">
        <f t="shared" si="201"/>
        <v>0</v>
      </c>
      <c r="Q1257" s="56">
        <f t="shared" si="201"/>
        <v>22.400000000000002</v>
      </c>
      <c r="R1257" s="56">
        <f t="shared" si="201"/>
        <v>19.600000000000001</v>
      </c>
      <c r="S1257" s="53">
        <f>SUM(O1257:R1257)</f>
        <v>42</v>
      </c>
      <c r="T1257" s="35" t="s">
        <v>169</v>
      </c>
      <c r="U1257" s="18" t="s">
        <v>1600</v>
      </c>
      <c r="V1257" s="19" t="str">
        <f>IF(OR($H1257="",$H1257="sif",$H1257="PM"),"",VLOOKUP($H1257,[5]CU!$C$5:$J$255,8,FALSE))</f>
        <v>3. Dépenses de fonctionnement</v>
      </c>
      <c r="W1257" s="18" t="s">
        <v>254</v>
      </c>
      <c r="X1257" s="18" t="s">
        <v>1612</v>
      </c>
      <c r="Y1257" s="18" t="s">
        <v>679</v>
      </c>
      <c r="Z1257" s="19" t="str">
        <f>A1257 &amp; "-" &amp; VLOOKUP(A1257,[4]PROGRAMMES!$E$1:$F$7,2,FALSE)</f>
        <v>4-Réforme de l’enseignement supérieur et la recherche scientifique et de l'innovation</v>
      </c>
      <c r="AA1257" s="19" t="str">
        <f>B1257 &amp; "-" &amp; VLOOKUP(B1257,[4]SOUSPROGRAMMES!$E$1:$F$44,2,FALSE)</f>
        <v>41- Gouvernance et pilotage de l’enseignement supérieur et de la recherche scientifique</v>
      </c>
      <c r="AB1257" s="19" t="str">
        <f>C1257 &amp; "-" &amp; VLOOKUP(C1257,[4]RESULTATS!$E$1:$F$176,2,FALSE)</f>
        <v>415- L’évolution quantitative de l’enseignement supérieur est maitrisée</v>
      </c>
      <c r="AC1257" s="20" t="str">
        <f>D1257 &amp; "-" &amp; VLOOKUP(D1257,[4]STRATEGIES!$E$1:$F$504,2,FALSE)</f>
        <v>4152-Pérennisation de l’orientation en ligne des bacheliers, à travers la plateforme « GUPOL »</v>
      </c>
      <c r="AD1257" s="21" t="str">
        <f t="shared" si="202"/>
        <v>41522-Campagnes de communication à destination de bacheliers</v>
      </c>
    </row>
    <row r="1258" spans="1:30" s="22" customFormat="1" ht="45" hidden="1" customHeight="1" x14ac:dyDescent="0.8">
      <c r="A1258" s="14">
        <v>4</v>
      </c>
      <c r="B1258" s="15">
        <v>41</v>
      </c>
      <c r="C1258" s="15">
        <v>415</v>
      </c>
      <c r="D1258" s="15">
        <v>4152</v>
      </c>
      <c r="E1258" s="14">
        <v>41523</v>
      </c>
      <c r="F1258" s="16" t="s">
        <v>1646</v>
      </c>
      <c r="G1258" s="21" t="s">
        <v>92</v>
      </c>
      <c r="H1258" s="17" t="s">
        <v>55</v>
      </c>
      <c r="I1258" s="56">
        <v>0</v>
      </c>
      <c r="J1258" s="56">
        <f>20*3*1</f>
        <v>60</v>
      </c>
      <c r="K1258" s="56">
        <f>20*3*1</f>
        <v>60</v>
      </c>
      <c r="L1258" s="56">
        <f>20*3*1</f>
        <v>60</v>
      </c>
      <c r="M1258" s="56">
        <f t="shared" si="200"/>
        <v>180</v>
      </c>
      <c r="N1258" s="56">
        <f>IF(OR(H1258="",H1258="sif",H1258="PM"),0,VLOOKUP(H1258,[5]CU!$C$4:$H$255,6,FALSE))</f>
        <v>0</v>
      </c>
      <c r="O1258" s="56">
        <f t="shared" si="201"/>
        <v>0</v>
      </c>
      <c r="P1258" s="56">
        <f t="shared" si="201"/>
        <v>0</v>
      </c>
      <c r="Q1258" s="56">
        <f t="shared" si="201"/>
        <v>0</v>
      </c>
      <c r="R1258" s="56">
        <f t="shared" si="201"/>
        <v>0</v>
      </c>
      <c r="S1258" s="53"/>
      <c r="T1258" s="35" t="s">
        <v>56</v>
      </c>
      <c r="U1258" s="18" t="s">
        <v>1600</v>
      </c>
      <c r="V1258" s="19" t="str">
        <f>IF(OR($H1258="",$H1258="sif",$H1258="PM"),"",VLOOKUP($H1258,[5]CU!$C$5:$J$255,8,FALSE))</f>
        <v/>
      </c>
      <c r="W1258" s="18" t="s">
        <v>255</v>
      </c>
      <c r="X1258" s="18" t="s">
        <v>1647</v>
      </c>
      <c r="Y1258" s="18" t="s">
        <v>679</v>
      </c>
      <c r="Z1258" s="19" t="str">
        <f>A1258 &amp; "-" &amp; VLOOKUP(A1258,[4]PROGRAMMES!$E$1:$F$7,2,FALSE)</f>
        <v>4-Réforme de l’enseignement supérieur et la recherche scientifique et de l'innovation</v>
      </c>
      <c r="AA1258" s="19" t="str">
        <f>B1258 &amp; "-" &amp; VLOOKUP(B1258,[4]SOUSPROGRAMMES!$E$1:$F$44,2,FALSE)</f>
        <v>41- Gouvernance et pilotage de l’enseignement supérieur et de la recherche scientifique</v>
      </c>
      <c r="AB1258" s="19" t="str">
        <f>C1258 &amp; "-" &amp; VLOOKUP(C1258,[4]RESULTATS!$E$1:$F$176,2,FALSE)</f>
        <v>415- L’évolution quantitative de l’enseignement supérieur est maitrisée</v>
      </c>
      <c r="AC1258" s="20" t="str">
        <f>D1258 &amp; "-" &amp; VLOOKUP(D1258,[4]STRATEGIES!$E$1:$F$504,2,FALSE)</f>
        <v>4152-Pérennisation de l’orientation en ligne des bacheliers, à travers la plateforme « GUPOL »</v>
      </c>
      <c r="AD1258" s="21" t="str">
        <f t="shared" si="202"/>
        <v>41523-Sessions de la commission d'orientation</v>
      </c>
    </row>
    <row r="1259" spans="1:30" s="22" customFormat="1" ht="45" customHeight="1" x14ac:dyDescent="0.8">
      <c r="A1259" s="14">
        <v>4</v>
      </c>
      <c r="B1259" s="15">
        <v>41</v>
      </c>
      <c r="C1259" s="15">
        <v>415</v>
      </c>
      <c r="D1259" s="15">
        <v>4153</v>
      </c>
      <c r="E1259" s="14">
        <v>4153</v>
      </c>
      <c r="F1259" s="16" t="s">
        <v>1648</v>
      </c>
      <c r="G1259" s="17"/>
      <c r="H1259" s="17"/>
      <c r="I1259" s="56">
        <v>0</v>
      </c>
      <c r="J1259" s="56"/>
      <c r="K1259" s="56"/>
      <c r="L1259" s="56"/>
      <c r="M1259" s="56"/>
      <c r="N1259" s="56"/>
      <c r="O1259" s="56"/>
      <c r="P1259" s="56"/>
      <c r="Q1259" s="56"/>
      <c r="R1259" s="56"/>
      <c r="S1259" s="53"/>
      <c r="T1259" s="33"/>
      <c r="U1259" s="18"/>
      <c r="V1259" s="19"/>
      <c r="W1259" s="18"/>
      <c r="X1259" s="18"/>
      <c r="Y1259" s="18" t="s">
        <v>679</v>
      </c>
      <c r="Z1259" s="19" t="str">
        <f>A1259 &amp; "-" &amp; VLOOKUP(A1259,[4]PROGRAMMES!$E$1:$F$7,2,FALSE)</f>
        <v>4-Réforme de l’enseignement supérieur et la recherche scientifique et de l'innovation</v>
      </c>
      <c r="AA1259" s="19" t="str">
        <f>B1259 &amp; "-" &amp; VLOOKUP(B1259,[4]SOUSPROGRAMMES!$E$1:$F$44,2,FALSE)</f>
        <v>41- Gouvernance et pilotage de l’enseignement supérieur et de la recherche scientifique</v>
      </c>
      <c r="AB1259" s="19" t="str">
        <f>C1259 &amp; "-" &amp; VLOOKUP(C1259,[4]RESULTATS!$E$1:$F$176,2,FALSE)</f>
        <v>415- L’évolution quantitative de l’enseignement supérieur est maitrisée</v>
      </c>
      <c r="AC1259" s="20" t="str">
        <f>D1259 &amp; "-" &amp; VLOOKUP(D1259,[4]STRATEGIES!$E$1:$F$504,2,FALSE)</f>
        <v>4153-Introduction de la politique d’octroi des bourses sur critères</v>
      </c>
      <c r="AD1259" s="21" t="str">
        <f t="shared" si="202"/>
        <v>4153-Introduction de la politique d’octroi des bourses sur critères</v>
      </c>
    </row>
    <row r="1260" spans="1:30" s="22" customFormat="1" ht="45" hidden="1" customHeight="1" x14ac:dyDescent="0.8">
      <c r="A1260" s="14">
        <v>4</v>
      </c>
      <c r="B1260" s="15">
        <v>41</v>
      </c>
      <c r="C1260" s="15">
        <v>415</v>
      </c>
      <c r="D1260" s="15">
        <v>4153</v>
      </c>
      <c r="E1260" s="14">
        <v>41531</v>
      </c>
      <c r="F1260" s="16" t="s">
        <v>1649</v>
      </c>
      <c r="G1260" s="21" t="s">
        <v>167</v>
      </c>
      <c r="H1260" s="17" t="s">
        <v>646</v>
      </c>
      <c r="I1260" s="56">
        <v>0</v>
      </c>
      <c r="J1260" s="56"/>
      <c r="K1260" s="56"/>
      <c r="L1260" s="56"/>
      <c r="M1260" s="56">
        <f t="shared" si="200"/>
        <v>0</v>
      </c>
      <c r="N1260" s="56">
        <f>IF(OR(H1260="",H1260="sif",H1260="PM"),0,VLOOKUP(H1260,[5]CU!$C$4:$H$255,6,FALSE))</f>
        <v>10.404797</v>
      </c>
      <c r="O1260" s="56">
        <f t="shared" si="201"/>
        <v>0</v>
      </c>
      <c r="P1260" s="56">
        <f t="shared" si="201"/>
        <v>0</v>
      </c>
      <c r="Q1260" s="56">
        <f t="shared" si="201"/>
        <v>0</v>
      </c>
      <c r="R1260" s="56">
        <f t="shared" si="201"/>
        <v>0</v>
      </c>
      <c r="S1260" s="53">
        <f>SUM(O1260:R1260)</f>
        <v>0</v>
      </c>
      <c r="T1260" s="35" t="s">
        <v>56</v>
      </c>
      <c r="U1260" s="18" t="s">
        <v>1600</v>
      </c>
      <c r="V1260" s="19" t="str">
        <f>IF(OR($H1260="",$H1260="sif",$H1260="PM"),"",VLOOKUP($H1260,[5]CU!$C$5:$J$255,8,FALSE))</f>
        <v>3. Dépenses de fonctionnement</v>
      </c>
      <c r="W1260" s="18" t="s">
        <v>255</v>
      </c>
      <c r="X1260" s="18" t="s">
        <v>1650</v>
      </c>
      <c r="Y1260" s="18" t="s">
        <v>679</v>
      </c>
      <c r="Z1260" s="19" t="str">
        <f>A1260 &amp; "-" &amp; VLOOKUP(A1260,[4]PROGRAMMES!$E$1:$F$7,2,FALSE)</f>
        <v>4-Réforme de l’enseignement supérieur et la recherche scientifique et de l'innovation</v>
      </c>
      <c r="AA1260" s="19" t="str">
        <f>B1260 &amp; "-" &amp; VLOOKUP(B1260,[4]SOUSPROGRAMMES!$E$1:$F$44,2,FALSE)</f>
        <v>41- Gouvernance et pilotage de l’enseignement supérieur et de la recherche scientifique</v>
      </c>
      <c r="AB1260" s="19" t="str">
        <f>C1260 &amp; "-" &amp; VLOOKUP(C1260,[4]RESULTATS!$E$1:$F$176,2,FALSE)</f>
        <v>415- L’évolution quantitative de l’enseignement supérieur est maitrisée</v>
      </c>
      <c r="AC1260" s="20" t="str">
        <f>D1260 &amp; "-" &amp; VLOOKUP(D1260,[4]STRATEGIES!$E$1:$F$504,2,FALSE)</f>
        <v>4153-Introduction de la politique d’octroi des bourses sur critères</v>
      </c>
      <c r="AD1260" s="21" t="str">
        <f t="shared" si="202"/>
        <v>41531-Réalisation d'une étude de faisabilité</v>
      </c>
    </row>
    <row r="1261" spans="1:30" s="22" customFormat="1" ht="45" hidden="1" customHeight="1" x14ac:dyDescent="0.8">
      <c r="A1261" s="14">
        <v>4</v>
      </c>
      <c r="B1261" s="15">
        <v>41</v>
      </c>
      <c r="C1261" s="15">
        <v>415</v>
      </c>
      <c r="D1261" s="15">
        <v>4153</v>
      </c>
      <c r="E1261" s="14">
        <v>41532</v>
      </c>
      <c r="F1261" s="16" t="s">
        <v>1651</v>
      </c>
      <c r="G1261" s="21" t="s">
        <v>88</v>
      </c>
      <c r="H1261" s="17" t="s">
        <v>55</v>
      </c>
      <c r="I1261" s="56">
        <v>0</v>
      </c>
      <c r="J1261" s="56">
        <v>1</v>
      </c>
      <c r="K1261" s="56"/>
      <c r="L1261" s="56"/>
      <c r="M1261" s="56">
        <f t="shared" si="200"/>
        <v>1</v>
      </c>
      <c r="N1261" s="56">
        <f>IF(OR(H1261="",H1261="sif",H1261="PM"),0,VLOOKUP(H1261,[5]CU!$C$4:$H$255,6,FALSE))</f>
        <v>0</v>
      </c>
      <c r="O1261" s="56">
        <f t="shared" si="201"/>
        <v>0</v>
      </c>
      <c r="P1261" s="56">
        <f t="shared" si="201"/>
        <v>0</v>
      </c>
      <c r="Q1261" s="56">
        <f t="shared" si="201"/>
        <v>0</v>
      </c>
      <c r="R1261" s="56">
        <f t="shared" si="201"/>
        <v>0</v>
      </c>
      <c r="S1261" s="53"/>
      <c r="T1261" s="35" t="s">
        <v>56</v>
      </c>
      <c r="U1261" s="18" t="s">
        <v>1600</v>
      </c>
      <c r="V1261" s="19" t="str">
        <f>IF(OR($H1261="",$H1261="sif",$H1261="PM"),"",VLOOKUP($H1261,[5]CU!$C$5:$J$255,8,FALSE))</f>
        <v/>
      </c>
      <c r="W1261" s="18" t="s">
        <v>255</v>
      </c>
      <c r="X1261" s="18" t="s">
        <v>1647</v>
      </c>
      <c r="Y1261" s="18" t="s">
        <v>679</v>
      </c>
      <c r="Z1261" s="19" t="str">
        <f>A1261 &amp; "-" &amp; VLOOKUP(A1261,[4]PROGRAMMES!$E$1:$F$7,2,FALSE)</f>
        <v>4-Réforme de l’enseignement supérieur et la recherche scientifique et de l'innovation</v>
      </c>
      <c r="AA1261" s="19" t="str">
        <f>B1261 &amp; "-" &amp; VLOOKUP(B1261,[4]SOUSPROGRAMMES!$E$1:$F$44,2,FALSE)</f>
        <v>41- Gouvernance et pilotage de l’enseignement supérieur et de la recherche scientifique</v>
      </c>
      <c r="AB1261" s="19" t="str">
        <f>C1261 &amp; "-" &amp; VLOOKUP(C1261,[4]RESULTATS!$E$1:$F$176,2,FALSE)</f>
        <v>415- L’évolution quantitative de l’enseignement supérieur est maitrisée</v>
      </c>
      <c r="AC1261" s="20" t="str">
        <f>D1261 &amp; "-" &amp; VLOOKUP(D1261,[4]STRATEGIES!$E$1:$F$504,2,FALSE)</f>
        <v>4153-Introduction de la politique d’octroi des bourses sur critères</v>
      </c>
      <c r="AD1261" s="21" t="str">
        <f t="shared" si="202"/>
        <v>41532-Adoption de la politique d'octroi des bourses sur critères</v>
      </c>
    </row>
    <row r="1262" spans="1:30" s="22" customFormat="1" ht="45" hidden="1" customHeight="1" x14ac:dyDescent="0.8">
      <c r="A1262" s="14">
        <v>4</v>
      </c>
      <c r="B1262" s="15">
        <v>41</v>
      </c>
      <c r="C1262" s="15">
        <v>415</v>
      </c>
      <c r="D1262" s="15">
        <v>4153</v>
      </c>
      <c r="E1262" s="14">
        <v>41533</v>
      </c>
      <c r="F1262" s="16" t="s">
        <v>1652</v>
      </c>
      <c r="G1262" s="21" t="s">
        <v>321</v>
      </c>
      <c r="H1262" s="17" t="s">
        <v>55</v>
      </c>
      <c r="I1262" s="56">
        <v>0</v>
      </c>
      <c r="J1262" s="56">
        <v>1</v>
      </c>
      <c r="K1262" s="56">
        <v>1</v>
      </c>
      <c r="L1262" s="56"/>
      <c r="M1262" s="56">
        <f t="shared" si="200"/>
        <v>2</v>
      </c>
      <c r="N1262" s="56">
        <f>IF(OR(H1262="",H1262="sif",H1262="PM"),0,VLOOKUP(H1262,[5]CU!$C$4:$H$255,6,FALSE))</f>
        <v>0</v>
      </c>
      <c r="O1262" s="56">
        <f t="shared" si="201"/>
        <v>0</v>
      </c>
      <c r="P1262" s="56">
        <f t="shared" si="201"/>
        <v>0</v>
      </c>
      <c r="Q1262" s="56">
        <f t="shared" si="201"/>
        <v>0</v>
      </c>
      <c r="R1262" s="56">
        <f t="shared" si="201"/>
        <v>0</v>
      </c>
      <c r="S1262" s="53"/>
      <c r="T1262" s="35" t="s">
        <v>56</v>
      </c>
      <c r="U1262" s="18" t="s">
        <v>1600</v>
      </c>
      <c r="V1262" s="19" t="str">
        <f>IF(OR($H1262="",$H1262="sif",$H1262="PM"),"",VLOOKUP($H1262,[5]CU!$C$5:$J$255,8,FALSE))</f>
        <v/>
      </c>
      <c r="W1262" s="18" t="s">
        <v>255</v>
      </c>
      <c r="X1262" s="18" t="s">
        <v>1647</v>
      </c>
      <c r="Y1262" s="18" t="s">
        <v>679</v>
      </c>
      <c r="Z1262" s="19" t="str">
        <f>A1262 &amp; "-" &amp; VLOOKUP(A1262,[4]PROGRAMMES!$E$1:$F$7,2,FALSE)</f>
        <v>4-Réforme de l’enseignement supérieur et la recherche scientifique et de l'innovation</v>
      </c>
      <c r="AA1262" s="19" t="str">
        <f>B1262 &amp; "-" &amp; VLOOKUP(B1262,[4]SOUSPROGRAMMES!$E$1:$F$44,2,FALSE)</f>
        <v>41- Gouvernance et pilotage de l’enseignement supérieur et de la recherche scientifique</v>
      </c>
      <c r="AB1262" s="19" t="str">
        <f>C1262 &amp; "-" &amp; VLOOKUP(C1262,[4]RESULTATS!$E$1:$F$176,2,FALSE)</f>
        <v>415- L’évolution quantitative de l’enseignement supérieur est maitrisée</v>
      </c>
      <c r="AC1262" s="20" t="str">
        <f>D1262 &amp; "-" &amp; VLOOKUP(D1262,[4]STRATEGIES!$E$1:$F$504,2,FALSE)</f>
        <v>4153-Introduction de la politique d’octroi des bourses sur critères</v>
      </c>
      <c r="AD1262" s="21" t="str">
        <f t="shared" si="202"/>
        <v>41533-Mise en place de la politique d'octroi des bourses sur critères au niveau national</v>
      </c>
    </row>
    <row r="1263" spans="1:30" s="22" customFormat="1" ht="45" hidden="1" customHeight="1" x14ac:dyDescent="0.8">
      <c r="A1263" s="14">
        <v>4</v>
      </c>
      <c r="B1263" s="15">
        <v>41</v>
      </c>
      <c r="C1263" s="15">
        <v>415</v>
      </c>
      <c r="D1263" s="15">
        <v>4153</v>
      </c>
      <c r="E1263" s="14">
        <v>41534</v>
      </c>
      <c r="F1263" s="16" t="s">
        <v>1653</v>
      </c>
      <c r="G1263" s="21" t="s">
        <v>321</v>
      </c>
      <c r="H1263" s="17" t="s">
        <v>55</v>
      </c>
      <c r="I1263" s="56">
        <v>0</v>
      </c>
      <c r="J1263" s="56">
        <v>1</v>
      </c>
      <c r="K1263" s="56">
        <v>1</v>
      </c>
      <c r="L1263" s="56"/>
      <c r="M1263" s="56">
        <f t="shared" si="200"/>
        <v>2</v>
      </c>
      <c r="N1263" s="56">
        <f>IF(OR(H1263="",H1263="sif",H1263="PM"),0,VLOOKUP(H1263,[5]CU!$C$4:$H$255,6,FALSE))</f>
        <v>0</v>
      </c>
      <c r="O1263" s="56">
        <f t="shared" si="201"/>
        <v>0</v>
      </c>
      <c r="P1263" s="56">
        <f t="shared" si="201"/>
        <v>0</v>
      </c>
      <c r="Q1263" s="56">
        <f t="shared" si="201"/>
        <v>0</v>
      </c>
      <c r="R1263" s="56">
        <f t="shared" si="201"/>
        <v>0</v>
      </c>
      <c r="S1263" s="53"/>
      <c r="T1263" s="35" t="s">
        <v>56</v>
      </c>
      <c r="U1263" s="18" t="s">
        <v>1600</v>
      </c>
      <c r="V1263" s="19" t="str">
        <f>IF(OR($H1263="",$H1263="sif",$H1263="PM"),"",VLOOKUP($H1263,[5]CU!$C$5:$J$255,8,FALSE))</f>
        <v/>
      </c>
      <c r="W1263" s="18" t="s">
        <v>255</v>
      </c>
      <c r="X1263" s="18" t="s">
        <v>1647</v>
      </c>
      <c r="Y1263" s="18" t="s">
        <v>679</v>
      </c>
      <c r="Z1263" s="19" t="str">
        <f>A1263 &amp; "-" &amp; VLOOKUP(A1263,[4]PROGRAMMES!$E$1:$F$7,2,FALSE)</f>
        <v>4-Réforme de l’enseignement supérieur et la recherche scientifique et de l'innovation</v>
      </c>
      <c r="AA1263" s="19" t="str">
        <f>B1263 &amp; "-" &amp; VLOOKUP(B1263,[4]SOUSPROGRAMMES!$E$1:$F$44,2,FALSE)</f>
        <v>41- Gouvernance et pilotage de l’enseignement supérieur et de la recherche scientifique</v>
      </c>
      <c r="AB1263" s="19" t="str">
        <f>C1263 &amp; "-" &amp; VLOOKUP(C1263,[4]RESULTATS!$E$1:$F$176,2,FALSE)</f>
        <v>415- L’évolution quantitative de l’enseignement supérieur est maitrisée</v>
      </c>
      <c r="AC1263" s="20" t="str">
        <f>D1263 &amp; "-" &amp; VLOOKUP(D1263,[4]STRATEGIES!$E$1:$F$504,2,FALSE)</f>
        <v>4153-Introduction de la politique d’octroi des bourses sur critères</v>
      </c>
      <c r="AD1263" s="21" t="str">
        <f t="shared" si="202"/>
        <v>41534-Mise en place de la politique d'octroi des bourses sur critères à l'étranger</v>
      </c>
    </row>
    <row r="1264" spans="1:30" s="22" customFormat="1" ht="45" hidden="1" customHeight="1" x14ac:dyDescent="0.8">
      <c r="A1264" s="14">
        <v>4</v>
      </c>
      <c r="B1264" s="15">
        <v>41</v>
      </c>
      <c r="C1264" s="15">
        <v>415</v>
      </c>
      <c r="D1264" s="15">
        <v>4153</v>
      </c>
      <c r="E1264" s="14">
        <v>41535</v>
      </c>
      <c r="F1264" s="16" t="s">
        <v>1654</v>
      </c>
      <c r="G1264" s="21" t="s">
        <v>1655</v>
      </c>
      <c r="H1264" s="17" t="s">
        <v>1656</v>
      </c>
      <c r="I1264" s="56">
        <v>0</v>
      </c>
      <c r="J1264" s="56">
        <v>0.819592066087932</v>
      </c>
      <c r="K1264" s="56">
        <v>0.86057166939232899</v>
      </c>
      <c r="L1264" s="56">
        <v>0.90360025286194501</v>
      </c>
      <c r="M1264" s="56">
        <f t="shared" si="200"/>
        <v>2.5837639883422061</v>
      </c>
      <c r="N1264" s="56">
        <f>IF(OR(H1264="",H1264="sif",H1264="PM"),0,VLOOKUP(H1264,[5]CU!$C$4:$H$255,6,FALSE))</f>
        <v>52229.201482749202</v>
      </c>
      <c r="O1264" s="56">
        <f t="shared" si="201"/>
        <v>0</v>
      </c>
      <c r="P1264" s="56">
        <f t="shared" si="201"/>
        <v>42806.639153369302</v>
      </c>
      <c r="Q1264" s="56">
        <f t="shared" si="201"/>
        <v>44946.971111037783</v>
      </c>
      <c r="R1264" s="56">
        <f t="shared" si="201"/>
        <v>47194.319666589654</v>
      </c>
      <c r="S1264" s="53">
        <f>SUM(O1264:R1264)</f>
        <v>134947.92993099673</v>
      </c>
      <c r="T1264" s="35" t="s">
        <v>56</v>
      </c>
      <c r="U1264" s="18" t="s">
        <v>1600</v>
      </c>
      <c r="V1264" s="19" t="str">
        <f>IF(OR($H1264="",$H1264="sif",$H1264="PM"),"",VLOOKUP($H1264,[5]CU!$C$5:$J$255,8,FALSE))</f>
        <v>4. Transferts et subventions</v>
      </c>
      <c r="W1264" s="18" t="s">
        <v>255</v>
      </c>
      <c r="X1264" s="18" t="s">
        <v>1647</v>
      </c>
      <c r="Y1264" s="18" t="s">
        <v>679</v>
      </c>
      <c r="Z1264" s="19" t="str">
        <f>A1264 &amp; "-" &amp; VLOOKUP(A1264,[4]PROGRAMMES!$E$1:$F$7,2,FALSE)</f>
        <v>4-Réforme de l’enseignement supérieur et la recherche scientifique et de l'innovation</v>
      </c>
      <c r="AA1264" s="19" t="str">
        <f>B1264 &amp; "-" &amp; VLOOKUP(B1264,[4]SOUSPROGRAMMES!$E$1:$F$44,2,FALSE)</f>
        <v>41- Gouvernance et pilotage de l’enseignement supérieur et de la recherche scientifique</v>
      </c>
      <c r="AB1264" s="19" t="str">
        <f>C1264 &amp; "-" &amp; VLOOKUP(C1264,[4]RESULTATS!$E$1:$F$176,2,FALSE)</f>
        <v>415- L’évolution quantitative de l’enseignement supérieur est maitrisée</v>
      </c>
      <c r="AC1264" s="20" t="str">
        <f>D1264 &amp; "-" &amp; VLOOKUP(D1264,[4]STRATEGIES!$E$1:$F$504,2,FALSE)</f>
        <v>4153-Introduction de la politique d’octroi des bourses sur critères</v>
      </c>
      <c r="AD1264" s="21" t="str">
        <f t="shared" si="202"/>
        <v xml:space="preserve">41535-Octroi des bourses nationales </v>
      </c>
    </row>
    <row r="1265" spans="1:30" s="22" customFormat="1" ht="45" hidden="1" customHeight="1" x14ac:dyDescent="0.8">
      <c r="A1265" s="14">
        <v>4</v>
      </c>
      <c r="B1265" s="15">
        <v>41</v>
      </c>
      <c r="C1265" s="15">
        <v>415</v>
      </c>
      <c r="D1265" s="15">
        <v>4153</v>
      </c>
      <c r="E1265" s="14">
        <v>41536</v>
      </c>
      <c r="F1265" s="16" t="s">
        <v>1657</v>
      </c>
      <c r="G1265" s="21" t="s">
        <v>1658</v>
      </c>
      <c r="H1265" s="17" t="s">
        <v>1659</v>
      </c>
      <c r="I1265" s="56">
        <v>0</v>
      </c>
      <c r="J1265" s="56">
        <v>1.0499955966152299</v>
      </c>
      <c r="K1265" s="56">
        <v>1.0392349721510801</v>
      </c>
      <c r="L1265" s="56">
        <v>1.0261856965719001</v>
      </c>
      <c r="M1265" s="56">
        <f t="shared" si="200"/>
        <v>3.1154162653382103</v>
      </c>
      <c r="N1265" s="56">
        <f>IF(OR(H1265="",H1265="sif",H1265="PM"),0,VLOOKUP(H1265,[5]CU!$C$4:$H$255,6,FALSE))</f>
        <v>61533.247835278897</v>
      </c>
      <c r="O1265" s="56">
        <f t="shared" si="201"/>
        <v>0</v>
      </c>
      <c r="P1265" s="56">
        <f t="shared" si="201"/>
        <v>64609.639272476466</v>
      </c>
      <c r="Q1265" s="56">
        <f t="shared" si="201"/>
        <v>63947.503100461574</v>
      </c>
      <c r="R1265" s="56">
        <f t="shared" si="201"/>
        <v>63144.538792177038</v>
      </c>
      <c r="S1265" s="53">
        <f>SUM(O1265:R1265)</f>
        <v>191701.68116511509</v>
      </c>
      <c r="T1265" s="35" t="s">
        <v>56</v>
      </c>
      <c r="U1265" s="18" t="s">
        <v>1600</v>
      </c>
      <c r="V1265" s="19" t="str">
        <f>IF(OR($H1265="",$H1265="sif",$H1265="PM"),"",VLOOKUP($H1265,[5]CU!$C$5:$J$255,8,FALSE))</f>
        <v>4. Transferts et subventions</v>
      </c>
      <c r="W1265" s="18" t="s">
        <v>255</v>
      </c>
      <c r="X1265" s="18" t="s">
        <v>1647</v>
      </c>
      <c r="Y1265" s="18" t="s">
        <v>679</v>
      </c>
      <c r="Z1265" s="19" t="str">
        <f>A1265 &amp; "-" &amp; VLOOKUP(A1265,[4]PROGRAMMES!$E$1:$F$7,2,FALSE)</f>
        <v>4-Réforme de l’enseignement supérieur et la recherche scientifique et de l'innovation</v>
      </c>
      <c r="AA1265" s="19" t="str">
        <f>B1265 &amp; "-" &amp; VLOOKUP(B1265,[4]SOUSPROGRAMMES!$E$1:$F$44,2,FALSE)</f>
        <v>41- Gouvernance et pilotage de l’enseignement supérieur et de la recherche scientifique</v>
      </c>
      <c r="AB1265" s="19" t="str">
        <f>C1265 &amp; "-" &amp; VLOOKUP(C1265,[4]RESULTATS!$E$1:$F$176,2,FALSE)</f>
        <v>415- L’évolution quantitative de l’enseignement supérieur est maitrisée</v>
      </c>
      <c r="AC1265" s="20" t="str">
        <f>D1265 &amp; "-" &amp; VLOOKUP(D1265,[4]STRATEGIES!$E$1:$F$504,2,FALSE)</f>
        <v>4153-Introduction de la politique d’octroi des bourses sur critères</v>
      </c>
      <c r="AD1265" s="21" t="str">
        <f t="shared" si="202"/>
        <v xml:space="preserve">41536-Octroi des bourses à l'étranger </v>
      </c>
    </row>
    <row r="1266" spans="1:30" s="22" customFormat="1" ht="45" hidden="1" customHeight="1" x14ac:dyDescent="0.8">
      <c r="A1266" s="14">
        <v>4</v>
      </c>
      <c r="B1266" s="15">
        <v>41</v>
      </c>
      <c r="C1266" s="15">
        <v>415</v>
      </c>
      <c r="D1266" s="15">
        <v>4153</v>
      </c>
      <c r="E1266" s="14">
        <v>41537</v>
      </c>
      <c r="F1266" s="16" t="s">
        <v>1660</v>
      </c>
      <c r="G1266" s="21" t="s">
        <v>1658</v>
      </c>
      <c r="H1266" s="17" t="s">
        <v>1661</v>
      </c>
      <c r="I1266" s="56">
        <v>0</v>
      </c>
      <c r="J1266" s="56">
        <v>0</v>
      </c>
      <c r="K1266" s="56">
        <v>0</v>
      </c>
      <c r="L1266" s="56">
        <v>0</v>
      </c>
      <c r="M1266" s="56">
        <f t="shared" si="200"/>
        <v>0</v>
      </c>
      <c r="N1266" s="56">
        <f>IF(OR(H1266="",H1266="sif",H1266="PM"),0,VLOOKUP(H1266,[5]CU!$C$4:$H$255,6,FALSE))</f>
        <v>91174.7</v>
      </c>
      <c r="O1266" s="56">
        <f t="shared" si="201"/>
        <v>0</v>
      </c>
      <c r="P1266" s="56">
        <f t="shared" si="201"/>
        <v>0</v>
      </c>
      <c r="Q1266" s="56">
        <f t="shared" si="201"/>
        <v>0</v>
      </c>
      <c r="R1266" s="56">
        <f t="shared" si="201"/>
        <v>0</v>
      </c>
      <c r="S1266" s="53">
        <f>SUM(O1266:R1266)</f>
        <v>0</v>
      </c>
      <c r="T1266" s="35" t="s">
        <v>56</v>
      </c>
      <c r="U1266" s="18" t="s">
        <v>1600</v>
      </c>
      <c r="V1266" s="19" t="str">
        <f>IF(OR($H1266="",$H1266="sif",$H1266="PM"),"",VLOOKUP($H1266,[5]CU!$C$5:$J$255,8,FALSE))</f>
        <v>4. Transferts et subventions</v>
      </c>
      <c r="W1266" s="18" t="s">
        <v>255</v>
      </c>
      <c r="X1266" s="18" t="s">
        <v>1647</v>
      </c>
      <c r="Y1266" s="18" t="s">
        <v>679</v>
      </c>
      <c r="Z1266" s="19" t="str">
        <f>A1266 &amp; "-" &amp; VLOOKUP(A1266,[4]PROGRAMMES!$E$1:$F$7,2,FALSE)</f>
        <v>4-Réforme de l’enseignement supérieur et la recherche scientifique et de l'innovation</v>
      </c>
      <c r="AA1266" s="19" t="str">
        <f>B1266 &amp; "-" &amp; VLOOKUP(B1266,[4]SOUSPROGRAMMES!$E$1:$F$44,2,FALSE)</f>
        <v>41- Gouvernance et pilotage de l’enseignement supérieur et de la recherche scientifique</v>
      </c>
      <c r="AB1266" s="19" t="str">
        <f>C1266 &amp; "-" &amp; VLOOKUP(C1266,[4]RESULTATS!$E$1:$F$176,2,FALSE)</f>
        <v>415- L’évolution quantitative de l’enseignement supérieur est maitrisée</v>
      </c>
      <c r="AC1266" s="20" t="str">
        <f>D1266 &amp; "-" &amp; VLOOKUP(D1266,[4]STRATEGIES!$E$1:$F$504,2,FALSE)</f>
        <v>4153-Introduction de la politique d’octroi des bourses sur critères</v>
      </c>
      <c r="AD1266" s="21" t="str">
        <f t="shared" si="202"/>
        <v>41537-Octroi des bourses pour les étudiants orientés dans les universités privés (Fin 2019)</v>
      </c>
    </row>
    <row r="1267" spans="1:30" s="22" customFormat="1" ht="45" customHeight="1" x14ac:dyDescent="0.8">
      <c r="A1267" s="14">
        <v>4</v>
      </c>
      <c r="B1267" s="15">
        <v>41</v>
      </c>
      <c r="C1267" s="15">
        <v>416</v>
      </c>
      <c r="D1267" s="15">
        <v>416</v>
      </c>
      <c r="E1267" s="14">
        <v>416</v>
      </c>
      <c r="F1267" s="16" t="s">
        <v>1662</v>
      </c>
      <c r="G1267" s="17"/>
      <c r="H1267" s="17"/>
      <c r="I1267" s="56">
        <v>0</v>
      </c>
      <c r="J1267" s="56"/>
      <c r="K1267" s="56"/>
      <c r="L1267" s="56"/>
      <c r="M1267" s="56"/>
      <c r="N1267" s="56"/>
      <c r="O1267" s="56"/>
      <c r="P1267" s="56"/>
      <c r="Q1267" s="56"/>
      <c r="R1267" s="56"/>
      <c r="S1267" s="53"/>
      <c r="T1267" s="33"/>
      <c r="U1267" s="18"/>
      <c r="V1267" s="19"/>
      <c r="W1267" s="18"/>
      <c r="X1267" s="18"/>
      <c r="Y1267" s="18" t="s">
        <v>679</v>
      </c>
      <c r="Z1267" s="19" t="str">
        <f>A1267 &amp; "-" &amp; VLOOKUP(A1267,[4]PROGRAMMES!$E$1:$F$7,2,FALSE)</f>
        <v>4-Réforme de l’enseignement supérieur et la recherche scientifique et de l'innovation</v>
      </c>
      <c r="AA1267" s="19" t="str">
        <f>B1267 &amp; "-" &amp; VLOOKUP(B1267,[4]SOUSPROGRAMMES!$E$1:$F$44,2,FALSE)</f>
        <v>41- Gouvernance et pilotage de l’enseignement supérieur et de la recherche scientifique</v>
      </c>
      <c r="AB1267" s="19" t="str">
        <f>C1267 &amp; "-" &amp; VLOOKUP(C1267,[4]RESULTATS!$E$1:$F$176,2,FALSE)</f>
        <v>416- Les organes de gouvernance sont fonctionnels</v>
      </c>
      <c r="AC1267" s="20" t="str">
        <f>D1267 &amp; "-" &amp; VLOOKUP(D1267,[4]STRATEGIES!$E$1:$F$504,2,FALSE)</f>
        <v>416- Les organes de gouvernance sont fonctionnels</v>
      </c>
      <c r="AD1267" s="21" t="str">
        <f t="shared" si="202"/>
        <v>416- Les organes de gouvernance sont fonctionnels</v>
      </c>
    </row>
    <row r="1268" spans="1:30" s="22" customFormat="1" ht="45" customHeight="1" x14ac:dyDescent="0.8">
      <c r="A1268" s="14">
        <v>4</v>
      </c>
      <c r="B1268" s="15">
        <v>41</v>
      </c>
      <c r="C1268" s="15">
        <v>416</v>
      </c>
      <c r="D1268" s="15">
        <v>4161</v>
      </c>
      <c r="E1268" s="14">
        <v>4161</v>
      </c>
      <c r="F1268" s="16" t="s">
        <v>1663</v>
      </c>
      <c r="G1268" s="17"/>
      <c r="H1268" s="17"/>
      <c r="I1268" s="56">
        <v>0</v>
      </c>
      <c r="J1268" s="56"/>
      <c r="K1268" s="56"/>
      <c r="L1268" s="56"/>
      <c r="M1268" s="56"/>
      <c r="N1268" s="56"/>
      <c r="O1268" s="56"/>
      <c r="P1268" s="56"/>
      <c r="Q1268" s="56"/>
      <c r="R1268" s="56"/>
      <c r="S1268" s="53"/>
      <c r="T1268" s="33"/>
      <c r="U1268" s="18"/>
      <c r="V1268" s="19"/>
      <c r="W1268" s="18"/>
      <c r="X1268" s="18"/>
      <c r="Y1268" s="18" t="s">
        <v>679</v>
      </c>
      <c r="Z1268" s="19" t="str">
        <f>A1268 &amp; "-" &amp; VLOOKUP(A1268,[4]PROGRAMMES!$E$1:$F$7,2,FALSE)</f>
        <v>4-Réforme de l’enseignement supérieur et la recherche scientifique et de l'innovation</v>
      </c>
      <c r="AA1268" s="19" t="str">
        <f>B1268 &amp; "-" &amp; VLOOKUP(B1268,[4]SOUSPROGRAMMES!$E$1:$F$44,2,FALSE)</f>
        <v>41- Gouvernance et pilotage de l’enseignement supérieur et de la recherche scientifique</v>
      </c>
      <c r="AB1268" s="19" t="str">
        <f>C1268 &amp; "-" &amp; VLOOKUP(C1268,[4]RESULTATS!$E$1:$F$176,2,FALSE)</f>
        <v>416- Les organes de gouvernance sont fonctionnels</v>
      </c>
      <c r="AC1268" s="20" t="str">
        <f>D1268 &amp; "-" &amp; VLOOKUP(D1268,[4]STRATEGIES!$E$1:$F$504,2,FALSE)</f>
        <v>4161-Organisation des Conseils/Comités</v>
      </c>
      <c r="AD1268" s="21" t="str">
        <f t="shared" si="202"/>
        <v>4161-Organisation des Conseils/Comités</v>
      </c>
    </row>
    <row r="1269" spans="1:30" s="22" customFormat="1" ht="45" hidden="1" customHeight="1" x14ac:dyDescent="0.8">
      <c r="A1269" s="14">
        <v>4</v>
      </c>
      <c r="B1269" s="15">
        <v>41</v>
      </c>
      <c r="C1269" s="15">
        <v>416</v>
      </c>
      <c r="D1269" s="15">
        <v>4161</v>
      </c>
      <c r="E1269" s="14">
        <v>41611</v>
      </c>
      <c r="F1269" s="16" t="s">
        <v>1664</v>
      </c>
      <c r="G1269" s="21" t="s">
        <v>92</v>
      </c>
      <c r="H1269" s="17" t="s">
        <v>55</v>
      </c>
      <c r="I1269" s="56">
        <v>0</v>
      </c>
      <c r="J1269" s="56"/>
      <c r="K1269" s="56">
        <v>1</v>
      </c>
      <c r="L1269" s="56">
        <v>1</v>
      </c>
      <c r="M1269" s="56">
        <f t="shared" si="200"/>
        <v>2</v>
      </c>
      <c r="N1269" s="56">
        <f>IF(OR(H1269="",H1269="sif",H1269="PM"),0,VLOOKUP(H1269,[5]CU!$C$4:$H$255,6,FALSE))</f>
        <v>0</v>
      </c>
      <c r="O1269" s="56">
        <f t="shared" si="201"/>
        <v>0</v>
      </c>
      <c r="P1269" s="56">
        <f t="shared" si="201"/>
        <v>0</v>
      </c>
      <c r="Q1269" s="56">
        <f t="shared" si="201"/>
        <v>0</v>
      </c>
      <c r="R1269" s="56">
        <f t="shared" si="201"/>
        <v>0</v>
      </c>
      <c r="S1269" s="53"/>
      <c r="T1269" s="35" t="s">
        <v>169</v>
      </c>
      <c r="U1269" s="18" t="s">
        <v>1600</v>
      </c>
      <c r="V1269" s="19" t="str">
        <f>IF(OR($H1269="",$H1269="sif",$H1269="PM"),"",VLOOKUP($H1269,[5]CU!$C$5:$J$255,8,FALSE))</f>
        <v/>
      </c>
      <c r="W1269" s="18" t="s">
        <v>255</v>
      </c>
      <c r="X1269" s="18" t="s">
        <v>1665</v>
      </c>
      <c r="Y1269" s="18" t="s">
        <v>679</v>
      </c>
      <c r="Z1269" s="19" t="str">
        <f>A1269 &amp; "-" &amp; VLOOKUP(A1269,[4]PROGRAMMES!$E$1:$F$7,2,FALSE)</f>
        <v>4-Réforme de l’enseignement supérieur et la recherche scientifique et de l'innovation</v>
      </c>
      <c r="AA1269" s="19" t="str">
        <f>B1269 &amp; "-" &amp; VLOOKUP(B1269,[4]SOUSPROGRAMMES!$E$1:$F$44,2,FALSE)</f>
        <v>41- Gouvernance et pilotage de l’enseignement supérieur et de la recherche scientifique</v>
      </c>
      <c r="AB1269" s="19" t="str">
        <f>C1269 &amp; "-" &amp; VLOOKUP(C1269,[4]RESULTATS!$E$1:$F$176,2,FALSE)</f>
        <v>416- Les organes de gouvernance sont fonctionnels</v>
      </c>
      <c r="AC1269" s="20" t="str">
        <f>D1269 &amp; "-" &amp; VLOOKUP(D1269,[4]STRATEGIES!$E$1:$F$504,2,FALSE)</f>
        <v>4161-Organisation des Conseils/Comités</v>
      </c>
      <c r="AD1269" s="21" t="str">
        <f t="shared" si="202"/>
        <v>41611-Tenue de conseils/comités (jetons de présence pris en charge dans les subventions des IES)</v>
      </c>
    </row>
    <row r="1270" spans="1:30" s="22" customFormat="1" ht="45" customHeight="1" x14ac:dyDescent="0.8">
      <c r="A1270" s="14">
        <v>4</v>
      </c>
      <c r="B1270" s="15">
        <v>41</v>
      </c>
      <c r="C1270" s="15">
        <v>416</v>
      </c>
      <c r="D1270" s="15">
        <v>4162</v>
      </c>
      <c r="E1270" s="14">
        <v>4162</v>
      </c>
      <c r="F1270" s="16" t="s">
        <v>1666</v>
      </c>
      <c r="G1270" s="17"/>
      <c r="H1270" s="17"/>
      <c r="I1270" s="56">
        <v>0</v>
      </c>
      <c r="J1270" s="56"/>
      <c r="K1270" s="56"/>
      <c r="L1270" s="56"/>
      <c r="M1270" s="56"/>
      <c r="N1270" s="56"/>
      <c r="O1270" s="56"/>
      <c r="P1270" s="56"/>
      <c r="Q1270" s="56"/>
      <c r="R1270" s="56"/>
      <c r="S1270" s="53"/>
      <c r="T1270" s="33"/>
      <c r="U1270" s="18"/>
      <c r="V1270" s="19"/>
      <c r="W1270" s="18"/>
      <c r="X1270" s="18"/>
      <c r="Y1270" s="18" t="s">
        <v>679</v>
      </c>
      <c r="Z1270" s="19" t="str">
        <f>A1270 &amp; "-" &amp; VLOOKUP(A1270,[4]PROGRAMMES!$E$1:$F$7,2,FALSE)</f>
        <v>4-Réforme de l’enseignement supérieur et la recherche scientifique et de l'innovation</v>
      </c>
      <c r="AA1270" s="19" t="str">
        <f>B1270 &amp; "-" &amp; VLOOKUP(B1270,[4]SOUSPROGRAMMES!$E$1:$F$44,2,FALSE)</f>
        <v>41- Gouvernance et pilotage de l’enseignement supérieur et de la recherche scientifique</v>
      </c>
      <c r="AB1270" s="19" t="str">
        <f>C1270 &amp; "-" &amp; VLOOKUP(C1270,[4]RESULTATS!$E$1:$F$176,2,FALSE)</f>
        <v>416- Les organes de gouvernance sont fonctionnels</v>
      </c>
      <c r="AC1270" s="20" t="str">
        <f>D1270 &amp; "-" &amp; VLOOKUP(D1270,[4]STRATEGIES!$E$1:$F$504,2,FALSE)</f>
        <v>4162-Mise en œuvre des textes de gouvernance</v>
      </c>
      <c r="AD1270" s="21" t="str">
        <f t="shared" si="202"/>
        <v>4162-Mise en œuvre des textes de gouvernance</v>
      </c>
    </row>
    <row r="1271" spans="1:30" s="22" customFormat="1" ht="45" hidden="1" customHeight="1" x14ac:dyDescent="0.8">
      <c r="A1271" s="14">
        <v>4</v>
      </c>
      <c r="B1271" s="15">
        <v>41</v>
      </c>
      <c r="C1271" s="15">
        <v>416</v>
      </c>
      <c r="D1271" s="15">
        <v>4162</v>
      </c>
      <c r="E1271" s="14">
        <v>41612</v>
      </c>
      <c r="F1271" s="16" t="s">
        <v>1667</v>
      </c>
      <c r="G1271" s="21" t="s">
        <v>321</v>
      </c>
      <c r="H1271" s="17" t="s">
        <v>55</v>
      </c>
      <c r="I1271" s="56">
        <v>0</v>
      </c>
      <c r="J1271" s="56">
        <v>1</v>
      </c>
      <c r="K1271" s="56">
        <v>1</v>
      </c>
      <c r="L1271" s="56">
        <v>1</v>
      </c>
      <c r="M1271" s="56"/>
      <c r="N1271" s="56">
        <f>IF(OR(H1271="",H1271="sif",H1271="PM"),0,VLOOKUP(H1271,[5]CU!$C$4:$H$255,6,FALSE))</f>
        <v>0</v>
      </c>
      <c r="O1271" s="56"/>
      <c r="P1271" s="56"/>
      <c r="Q1271" s="56"/>
      <c r="R1271" s="56"/>
      <c r="S1271" s="53"/>
      <c r="T1271" s="35" t="s">
        <v>56</v>
      </c>
      <c r="U1271" s="18" t="s">
        <v>1600</v>
      </c>
      <c r="V1271" s="19" t="str">
        <f>IF(OR($H1271="",$H1271="sif",$H1271="PM"),"",VLOOKUP($H1271,[5]CU!$C$5:$J$255,8,FALSE))</f>
        <v/>
      </c>
      <c r="W1271" s="18" t="s">
        <v>255</v>
      </c>
      <c r="X1271" s="18" t="s">
        <v>1665</v>
      </c>
      <c r="Y1271" s="18" t="s">
        <v>679</v>
      </c>
      <c r="Z1271" s="19" t="str">
        <f>A1271 &amp; "-" &amp; VLOOKUP(A1271,[4]PROGRAMMES!$E$1:$F$7,2,FALSE)</f>
        <v>4-Réforme de l’enseignement supérieur et la recherche scientifique et de l'innovation</v>
      </c>
      <c r="AA1271" s="19" t="str">
        <f>B1271 &amp; "-" &amp; VLOOKUP(B1271,[4]SOUSPROGRAMMES!$E$1:$F$44,2,FALSE)</f>
        <v>41- Gouvernance et pilotage de l’enseignement supérieur et de la recherche scientifique</v>
      </c>
      <c r="AB1271" s="19" t="str">
        <f>C1271 &amp; "-" &amp; VLOOKUP(C1271,[4]RESULTATS!$E$1:$F$176,2,FALSE)</f>
        <v>416- Les organes de gouvernance sont fonctionnels</v>
      </c>
      <c r="AC1271" s="20" t="str">
        <f>D1271 &amp; "-" &amp; VLOOKUP(D1271,[4]STRATEGIES!$E$1:$F$504,2,FALSE)</f>
        <v>4162-Mise en œuvre des textes de gouvernance</v>
      </c>
      <c r="AD1271" s="21" t="str">
        <f t="shared" si="202"/>
        <v xml:space="preserve">41612-Application des textes </v>
      </c>
    </row>
    <row r="1272" spans="1:30" s="22" customFormat="1" ht="45" customHeight="1" x14ac:dyDescent="0.8">
      <c r="A1272" s="14">
        <v>4</v>
      </c>
      <c r="B1272" s="15">
        <v>41</v>
      </c>
      <c r="C1272" s="15">
        <v>417</v>
      </c>
      <c r="D1272" s="15">
        <v>417</v>
      </c>
      <c r="E1272" s="14">
        <v>417</v>
      </c>
      <c r="F1272" s="16" t="s">
        <v>1668</v>
      </c>
      <c r="G1272" s="17"/>
      <c r="H1272" s="17"/>
      <c r="I1272" s="56">
        <v>0</v>
      </c>
      <c r="J1272" s="56"/>
      <c r="K1272" s="56"/>
      <c r="L1272" s="56"/>
      <c r="M1272" s="56"/>
      <c r="N1272" s="56"/>
      <c r="O1272" s="56"/>
      <c r="P1272" s="56"/>
      <c r="Q1272" s="56"/>
      <c r="R1272" s="56"/>
      <c r="S1272" s="53"/>
      <c r="T1272" s="33"/>
      <c r="U1272" s="18"/>
      <c r="V1272" s="19"/>
      <c r="W1272" s="18"/>
      <c r="X1272" s="18"/>
      <c r="Y1272" s="18" t="s">
        <v>679</v>
      </c>
      <c r="Z1272" s="19" t="str">
        <f>A1272 &amp; "-" &amp; VLOOKUP(A1272,[4]PROGRAMMES!$E$1:$F$7,2,FALSE)</f>
        <v>4-Réforme de l’enseignement supérieur et la recherche scientifique et de l'innovation</v>
      </c>
      <c r="AA1272" s="19" t="str">
        <f>B1272 &amp; "-" &amp; VLOOKUP(B1272,[4]SOUSPROGRAMMES!$E$1:$F$44,2,FALSE)</f>
        <v>41- Gouvernance et pilotage de l’enseignement supérieur et de la recherche scientifique</v>
      </c>
      <c r="AB1272" s="19" t="str">
        <f>C1272 &amp; "-" &amp; VLOOKUP(C1272,[4]RESULTATS!$E$1:$F$176,2,FALSE)</f>
        <v>417- L’autonomie des institutions est renforcée</v>
      </c>
      <c r="AC1272" s="20" t="str">
        <f>D1272 &amp; "-" &amp; VLOOKUP(D1272,[4]STRATEGIES!$E$1:$F$504,2,FALSE)</f>
        <v>417- L’autonomie des institutions est renforcée</v>
      </c>
      <c r="AD1272" s="21" t="str">
        <f t="shared" si="202"/>
        <v>417- L’autonomie des institutions est renforcée</v>
      </c>
    </row>
    <row r="1273" spans="1:30" s="22" customFormat="1" ht="45" customHeight="1" x14ac:dyDescent="0.8">
      <c r="A1273" s="14">
        <v>4</v>
      </c>
      <c r="B1273" s="15">
        <v>41</v>
      </c>
      <c r="C1273" s="15">
        <v>417</v>
      </c>
      <c r="D1273" s="15">
        <v>4171</v>
      </c>
      <c r="E1273" s="14">
        <v>4171</v>
      </c>
      <c r="F1273" s="16" t="s">
        <v>1669</v>
      </c>
      <c r="G1273" s="17"/>
      <c r="H1273" s="17"/>
      <c r="I1273" s="56">
        <v>0</v>
      </c>
      <c r="J1273" s="56"/>
      <c r="K1273" s="56"/>
      <c r="L1273" s="56"/>
      <c r="M1273" s="56"/>
      <c r="N1273" s="56"/>
      <c r="O1273" s="56"/>
      <c r="P1273" s="56"/>
      <c r="Q1273" s="56"/>
      <c r="R1273" s="56"/>
      <c r="S1273" s="53"/>
      <c r="T1273" s="33"/>
      <c r="U1273" s="18"/>
      <c r="V1273" s="19"/>
      <c r="W1273" s="18"/>
      <c r="X1273" s="18"/>
      <c r="Y1273" s="18" t="s">
        <v>679</v>
      </c>
      <c r="Z1273" s="19" t="str">
        <f>A1273 &amp; "-" &amp; VLOOKUP(A1273,[4]PROGRAMMES!$E$1:$F$7,2,FALSE)</f>
        <v>4-Réforme de l’enseignement supérieur et la recherche scientifique et de l'innovation</v>
      </c>
      <c r="AA1273" s="19" t="str">
        <f>B1273 &amp; "-" &amp; VLOOKUP(B1273,[4]SOUSPROGRAMMES!$E$1:$F$44,2,FALSE)</f>
        <v>41- Gouvernance et pilotage de l’enseignement supérieur et de la recherche scientifique</v>
      </c>
      <c r="AB1273" s="19" t="str">
        <f>C1273 &amp; "-" &amp; VLOOKUP(C1273,[4]RESULTATS!$E$1:$F$176,2,FALSE)</f>
        <v>417- L’autonomie des institutions est renforcée</v>
      </c>
      <c r="AC1273" s="20" t="str">
        <f>D1273 &amp; "-" &amp; VLOOKUP(D1273,[4]STRATEGIES!$E$1:$F$504,2,FALSE)</f>
        <v>4171-Renforcement des capacités en matière de gestion administrative et financière</v>
      </c>
      <c r="AD1273" s="21" t="str">
        <f t="shared" si="202"/>
        <v>4171-Renforcement des capacités en matière de gestion administrative et Financière</v>
      </c>
    </row>
    <row r="1274" spans="1:30" s="22" customFormat="1" ht="45" hidden="1" customHeight="1" x14ac:dyDescent="0.8">
      <c r="A1274" s="14">
        <v>4</v>
      </c>
      <c r="B1274" s="15">
        <v>41</v>
      </c>
      <c r="C1274" s="15">
        <v>417</v>
      </c>
      <c r="D1274" s="15">
        <v>4171</v>
      </c>
      <c r="E1274" s="14">
        <v>41711</v>
      </c>
      <c r="F1274" s="16" t="s">
        <v>1630</v>
      </c>
      <c r="G1274" s="21" t="s">
        <v>167</v>
      </c>
      <c r="H1274" s="17" t="s">
        <v>646</v>
      </c>
      <c r="I1274" s="56">
        <v>0</v>
      </c>
      <c r="J1274" s="56"/>
      <c r="K1274" s="56">
        <v>1000</v>
      </c>
      <c r="L1274" s="56">
        <v>400</v>
      </c>
      <c r="M1274" s="56">
        <f t="shared" ref="M1274:M1326" si="204">SUM(I1274:L1274)</f>
        <v>1400</v>
      </c>
      <c r="N1274" s="56">
        <f>IF(OR(H1274="",H1274="sif",H1274="PM"),0,VLOOKUP(H1274,[5]CU!$C$4:$H$255,6,FALSE))</f>
        <v>10.404797</v>
      </c>
      <c r="O1274" s="56">
        <f t="shared" ref="O1274:R1326" si="205">IFERROR($N1274*I1274,0)</f>
        <v>0</v>
      </c>
      <c r="P1274" s="56">
        <f t="shared" si="205"/>
        <v>0</v>
      </c>
      <c r="Q1274" s="56">
        <f t="shared" si="205"/>
        <v>10404.797</v>
      </c>
      <c r="R1274" s="56">
        <f t="shared" si="205"/>
        <v>4161.9188000000004</v>
      </c>
      <c r="S1274" s="53">
        <f t="shared" ref="S1274:S1285" si="206">SUM(O1274:R1274)</f>
        <v>14566.715800000002</v>
      </c>
      <c r="T1274" s="35" t="s">
        <v>169</v>
      </c>
      <c r="U1274" s="18" t="s">
        <v>1600</v>
      </c>
      <c r="V1274" s="19" t="str">
        <f>IF(OR($H1274="",$H1274="sif",$H1274="PM"),"",VLOOKUP($H1274,[5]CU!$C$5:$J$255,8,FALSE))</f>
        <v>3. Dépenses de fonctionnement</v>
      </c>
      <c r="W1274" s="18" t="s">
        <v>96</v>
      </c>
      <c r="X1274" s="18" t="s">
        <v>1650</v>
      </c>
      <c r="Y1274" s="18" t="s">
        <v>679</v>
      </c>
      <c r="Z1274" s="19" t="str">
        <f>A1274 &amp; "-" &amp; VLOOKUP(A1274,[4]PROGRAMMES!$E$1:$F$7,2,FALSE)</f>
        <v>4-Réforme de l’enseignement supérieur et la recherche scientifique et de l'innovation</v>
      </c>
      <c r="AA1274" s="19" t="str">
        <f>B1274 &amp; "-" &amp; VLOOKUP(B1274,[4]SOUSPROGRAMMES!$E$1:$F$44,2,FALSE)</f>
        <v>41- Gouvernance et pilotage de l’enseignement supérieur et de la recherche scientifique</v>
      </c>
      <c r="AB1274" s="19" t="str">
        <f>C1274 &amp; "-" &amp; VLOOKUP(C1274,[4]RESULTATS!$E$1:$F$176,2,FALSE)</f>
        <v>417- L’autonomie des institutions est renforcée</v>
      </c>
      <c r="AC1274" s="20" t="str">
        <f>D1274 &amp; "-" &amp; VLOOKUP(D1274,[4]STRATEGIES!$E$1:$F$504,2,FALSE)</f>
        <v>4171-Renforcement des capacités en matière de gestion administrative et financière</v>
      </c>
      <c r="AD1274" s="21" t="str">
        <f t="shared" si="202"/>
        <v>41711-Production de support de formation</v>
      </c>
    </row>
    <row r="1275" spans="1:30" s="22" customFormat="1" ht="45" hidden="1" customHeight="1" x14ac:dyDescent="0.8">
      <c r="A1275" s="14">
        <v>4</v>
      </c>
      <c r="B1275" s="15">
        <v>41</v>
      </c>
      <c r="C1275" s="15">
        <v>417</v>
      </c>
      <c r="D1275" s="15">
        <v>4171</v>
      </c>
      <c r="E1275" s="14">
        <v>41712</v>
      </c>
      <c r="F1275" s="16" t="s">
        <v>1670</v>
      </c>
      <c r="G1275" s="21" t="s">
        <v>37</v>
      </c>
      <c r="H1275" s="17" t="s">
        <v>301</v>
      </c>
      <c r="I1275" s="56">
        <v>0</v>
      </c>
      <c r="J1275" s="56"/>
      <c r="K1275" s="56">
        <f>50*5*5</f>
        <v>1250</v>
      </c>
      <c r="L1275" s="56">
        <f>45*5*5</f>
        <v>1125</v>
      </c>
      <c r="M1275" s="56">
        <f t="shared" si="204"/>
        <v>2375</v>
      </c>
      <c r="N1275" s="56">
        <f>IF(OR(H1275="",H1275="sif",H1275="PM"),0,VLOOKUP(H1275,[5]CU!$C$4:$H$255,6,FALSE))</f>
        <v>0.67666666666666664</v>
      </c>
      <c r="O1275" s="56">
        <f t="shared" si="205"/>
        <v>0</v>
      </c>
      <c r="P1275" s="56">
        <f t="shared" si="205"/>
        <v>0</v>
      </c>
      <c r="Q1275" s="56">
        <f t="shared" si="205"/>
        <v>845.83333333333326</v>
      </c>
      <c r="R1275" s="56">
        <f t="shared" si="205"/>
        <v>761.25</v>
      </c>
      <c r="S1275" s="53">
        <f t="shared" si="206"/>
        <v>1607.0833333333333</v>
      </c>
      <c r="T1275" s="35" t="s">
        <v>169</v>
      </c>
      <c r="U1275" s="19" t="s">
        <v>1600</v>
      </c>
      <c r="V1275" s="19" t="str">
        <f>IF(OR($H1275="",$H1275="sif",$H1275="PM"),"",VLOOKUP($H1275,[5]CU!$C$5:$J$255,8,FALSE))</f>
        <v>3. Formation</v>
      </c>
      <c r="W1275" s="19" t="s">
        <v>142</v>
      </c>
      <c r="X1275" s="19" t="s">
        <v>521</v>
      </c>
      <c r="Y1275" s="18" t="s">
        <v>679</v>
      </c>
      <c r="Z1275" s="19" t="str">
        <f>A1275 &amp; "-" &amp; VLOOKUP(A1275,[4]PROGRAMMES!$E$1:$F$7,2,FALSE)</f>
        <v>4-Réforme de l’enseignement supérieur et la recherche scientifique et de l'innovation</v>
      </c>
      <c r="AA1275" s="19" t="str">
        <f>B1275 &amp; "-" &amp; VLOOKUP(B1275,[4]SOUSPROGRAMMES!$E$1:$F$44,2,FALSE)</f>
        <v>41- Gouvernance et pilotage de l’enseignement supérieur et de la recherche scientifique</v>
      </c>
      <c r="AB1275" s="19" t="str">
        <f>C1275 &amp; "-" &amp; VLOOKUP(C1275,[4]RESULTATS!$E$1:$F$176,2,FALSE)</f>
        <v>417- L’autonomie des institutions est renforcée</v>
      </c>
      <c r="AC1275" s="20" t="str">
        <f>D1275 &amp; "-" &amp; VLOOKUP(D1275,[4]STRATEGIES!$E$1:$F$504,2,FALSE)</f>
        <v>4171-Renforcement des capacités en matière de gestion administrative et financière</v>
      </c>
      <c r="AD1275" s="21" t="str">
        <f t="shared" si="202"/>
        <v>41712-Formation du personnel en gestion administrative et Financière (GAF)</v>
      </c>
    </row>
    <row r="1276" spans="1:30" s="22" customFormat="1" ht="45" customHeight="1" x14ac:dyDescent="0.8">
      <c r="A1276" s="14">
        <v>4</v>
      </c>
      <c r="B1276" s="15">
        <v>41</v>
      </c>
      <c r="C1276" s="15">
        <v>418</v>
      </c>
      <c r="D1276" s="15">
        <v>418</v>
      </c>
      <c r="E1276" s="14">
        <v>418</v>
      </c>
      <c r="F1276" s="16" t="s">
        <v>1671</v>
      </c>
      <c r="G1276" s="17"/>
      <c r="H1276" s="17"/>
      <c r="I1276" s="56">
        <v>0</v>
      </c>
      <c r="J1276" s="56"/>
      <c r="K1276" s="56"/>
      <c r="L1276" s="56"/>
      <c r="M1276" s="56"/>
      <c r="N1276" s="56"/>
      <c r="O1276" s="56"/>
      <c r="P1276" s="56"/>
      <c r="Q1276" s="56"/>
      <c r="R1276" s="56"/>
      <c r="S1276" s="53"/>
      <c r="T1276" s="33"/>
      <c r="U1276" s="18"/>
      <c r="V1276" s="19"/>
      <c r="W1276" s="18"/>
      <c r="X1276" s="18"/>
      <c r="Y1276" s="18" t="s">
        <v>679</v>
      </c>
      <c r="Z1276" s="19" t="str">
        <f>A1276 &amp; "-" &amp; VLOOKUP(A1276,[4]PROGRAMMES!$E$1:$F$7,2,FALSE)</f>
        <v>4-Réforme de l’enseignement supérieur et la recherche scientifique et de l'innovation</v>
      </c>
      <c r="AA1276" s="19" t="str">
        <f>B1276 &amp; "-" &amp; VLOOKUP(B1276,[4]SOUSPROGRAMMES!$E$1:$F$44,2,FALSE)</f>
        <v>41- Gouvernance et pilotage de l’enseignement supérieur et de la recherche scientifique</v>
      </c>
      <c r="AB1276" s="19" t="str">
        <f>C1276 &amp; "-" &amp; VLOOKUP(C1276,[4]RESULTATS!$E$1:$F$176,2,FALSE)</f>
        <v>418- La mobilisation de ressources financières est accrue</v>
      </c>
      <c r="AC1276" s="20" t="str">
        <f>D1276 &amp; "-" &amp; VLOOKUP(D1276,[4]STRATEGIES!$E$1:$F$504,2,FALSE)</f>
        <v>418- La mobilisation de ressources financières est accrue</v>
      </c>
      <c r="AD1276" s="21" t="str">
        <f t="shared" si="202"/>
        <v>418- La mobilisation de ressources Financières est accrue</v>
      </c>
    </row>
    <row r="1277" spans="1:30" s="22" customFormat="1" ht="45" customHeight="1" x14ac:dyDescent="0.8">
      <c r="A1277" s="14">
        <v>4</v>
      </c>
      <c r="B1277" s="15">
        <v>41</v>
      </c>
      <c r="C1277" s="15">
        <v>418</v>
      </c>
      <c r="D1277" s="15">
        <v>4181</v>
      </c>
      <c r="E1277" s="14">
        <v>4181</v>
      </c>
      <c r="F1277" s="16" t="s">
        <v>1672</v>
      </c>
      <c r="G1277" s="17"/>
      <c r="H1277" s="17"/>
      <c r="I1277" s="56">
        <v>0</v>
      </c>
      <c r="J1277" s="56"/>
      <c r="K1277" s="56"/>
      <c r="L1277" s="56"/>
      <c r="M1277" s="56"/>
      <c r="N1277" s="56"/>
      <c r="O1277" s="56"/>
      <c r="P1277" s="56"/>
      <c r="Q1277" s="56"/>
      <c r="R1277" s="56"/>
      <c r="S1277" s="53"/>
      <c r="T1277" s="33"/>
      <c r="U1277" s="18"/>
      <c r="V1277" s="19"/>
      <c r="W1277" s="18"/>
      <c r="X1277" s="18"/>
      <c r="Y1277" s="18" t="s">
        <v>679</v>
      </c>
      <c r="Z1277" s="19" t="str">
        <f>A1277 &amp; "-" &amp; VLOOKUP(A1277,[4]PROGRAMMES!$E$1:$F$7,2,FALSE)</f>
        <v>4-Réforme de l’enseignement supérieur et la recherche scientifique et de l'innovation</v>
      </c>
      <c r="AA1277" s="19" t="str">
        <f>B1277 &amp; "-" &amp; VLOOKUP(B1277,[4]SOUSPROGRAMMES!$E$1:$F$44,2,FALSE)</f>
        <v>41- Gouvernance et pilotage de l’enseignement supérieur et de la recherche scientifique</v>
      </c>
      <c r="AB1277" s="19" t="str">
        <f>C1277 &amp; "-" &amp; VLOOKUP(C1277,[4]RESULTATS!$E$1:$F$176,2,FALSE)</f>
        <v>418- La mobilisation de ressources financières est accrue</v>
      </c>
      <c r="AC1277" s="20" t="str">
        <f>D1277 &amp; "-" &amp; VLOOKUP(D1277,[4]STRATEGIES!$E$1:$F$504,2,FALSE)</f>
        <v>4181-Développement de stratégies de coopération avec le secteur privé et à l’internationale pour mobiliser de ressources additionnelles</v>
      </c>
      <c r="AD1277" s="21" t="str">
        <f t="shared" si="202"/>
        <v>4181-Développement de stratégies de coopération avec le secteur privé et à l’internationale pour mobiliser de ressources additionnelles</v>
      </c>
    </row>
    <row r="1278" spans="1:30" s="22" customFormat="1" ht="45" hidden="1" customHeight="1" x14ac:dyDescent="0.8">
      <c r="A1278" s="14">
        <v>4</v>
      </c>
      <c r="B1278" s="15">
        <v>41</v>
      </c>
      <c r="C1278" s="15">
        <v>418</v>
      </c>
      <c r="D1278" s="15">
        <v>4181</v>
      </c>
      <c r="E1278" s="14">
        <v>41811</v>
      </c>
      <c r="F1278" s="16" t="s">
        <v>1673</v>
      </c>
      <c r="G1278" s="21" t="s">
        <v>167</v>
      </c>
      <c r="H1278" s="17" t="s">
        <v>646</v>
      </c>
      <c r="I1278" s="56">
        <v>0</v>
      </c>
      <c r="J1278" s="56">
        <f>1*30*1</f>
        <v>30</v>
      </c>
      <c r="K1278" s="56"/>
      <c r="L1278" s="56"/>
      <c r="M1278" s="56">
        <f t="shared" si="204"/>
        <v>30</v>
      </c>
      <c r="N1278" s="56">
        <f>IF(OR(H1278="",H1278="sif",H1278="PM"),0,VLOOKUP(H1278,[5]CU!$C$4:$H$255,6,FALSE))</f>
        <v>10.404797</v>
      </c>
      <c r="O1278" s="56">
        <f t="shared" si="205"/>
        <v>0</v>
      </c>
      <c r="P1278" s="56">
        <f t="shared" si="205"/>
        <v>312.14391000000001</v>
      </c>
      <c r="Q1278" s="56">
        <f t="shared" si="205"/>
        <v>0</v>
      </c>
      <c r="R1278" s="56">
        <f t="shared" si="205"/>
        <v>0</v>
      </c>
      <c r="S1278" s="53">
        <f t="shared" si="206"/>
        <v>312.14391000000001</v>
      </c>
      <c r="T1278" s="35" t="s">
        <v>56</v>
      </c>
      <c r="U1278" s="18" t="s">
        <v>1600</v>
      </c>
      <c r="V1278" s="19" t="str">
        <f>IF(OR($H1278="",$H1278="sif",$H1278="PM"),"",VLOOKUP($H1278,[5]CU!$C$5:$J$255,8,FALSE))</f>
        <v>3. Dépenses de fonctionnement</v>
      </c>
      <c r="W1278" s="18" t="s">
        <v>1665</v>
      </c>
      <c r="X1278" s="18" t="s">
        <v>1650</v>
      </c>
      <c r="Y1278" s="18" t="s">
        <v>679</v>
      </c>
      <c r="Z1278" s="19" t="str">
        <f>A1278 &amp; "-" &amp; VLOOKUP(A1278,[4]PROGRAMMES!$E$1:$F$7,2,FALSE)</f>
        <v>4-Réforme de l’enseignement supérieur et la recherche scientifique et de l'innovation</v>
      </c>
      <c r="AA1278" s="19" t="str">
        <f>B1278 &amp; "-" &amp; VLOOKUP(B1278,[4]SOUSPROGRAMMES!$E$1:$F$44,2,FALSE)</f>
        <v>41- Gouvernance et pilotage de l’enseignement supérieur et de la recherche scientifique</v>
      </c>
      <c r="AB1278" s="19" t="str">
        <f>C1278 &amp; "-" &amp; VLOOKUP(C1278,[4]RESULTATS!$E$1:$F$176,2,FALSE)</f>
        <v>418- La mobilisation de ressources financières est accrue</v>
      </c>
      <c r="AC1278" s="20" t="str">
        <f>D1278 &amp; "-" &amp; VLOOKUP(D1278,[4]STRATEGIES!$E$1:$F$504,2,FALSE)</f>
        <v>4181-Développement de stratégies de coopération avec le secteur privé et à l’internationale pour mobiliser de ressources additionnelles</v>
      </c>
      <c r="AD1278" s="21" t="str">
        <f t="shared" si="202"/>
        <v xml:space="preserve">41811-Elaboration d'une stratégie de mobilisation de ressources </v>
      </c>
    </row>
    <row r="1279" spans="1:30" s="22" customFormat="1" ht="60" hidden="1" customHeight="1" x14ac:dyDescent="0.8">
      <c r="A1279" s="14">
        <v>4</v>
      </c>
      <c r="B1279" s="15">
        <v>41</v>
      </c>
      <c r="C1279" s="15">
        <v>418</v>
      </c>
      <c r="D1279" s="15">
        <v>4181</v>
      </c>
      <c r="E1279" s="14">
        <v>41812</v>
      </c>
      <c r="F1279" s="16" t="s">
        <v>1674</v>
      </c>
      <c r="G1279" s="21" t="s">
        <v>1675</v>
      </c>
      <c r="H1279" s="17" t="s">
        <v>59</v>
      </c>
      <c r="I1279" s="56">
        <v>0</v>
      </c>
      <c r="J1279" s="56"/>
      <c r="K1279" s="56">
        <f>50*3*8</f>
        <v>1200</v>
      </c>
      <c r="L1279" s="56">
        <f>50*3*8</f>
        <v>1200</v>
      </c>
      <c r="M1279" s="56">
        <f t="shared" si="204"/>
        <v>2400</v>
      </c>
      <c r="N1279" s="56">
        <f>IF(OR(H1279="",H1279="sif",H1279="PM"),0,VLOOKUP(H1279,[5]CU!$C$4:$H$255,6,FALSE))</f>
        <v>0.8177777777777776</v>
      </c>
      <c r="O1279" s="56">
        <f t="shared" si="205"/>
        <v>0</v>
      </c>
      <c r="P1279" s="56">
        <f t="shared" si="205"/>
        <v>0</v>
      </c>
      <c r="Q1279" s="56">
        <f t="shared" si="205"/>
        <v>981.33333333333314</v>
      </c>
      <c r="R1279" s="56">
        <f t="shared" si="205"/>
        <v>981.33333333333314</v>
      </c>
      <c r="S1279" s="53">
        <f t="shared" si="206"/>
        <v>1962.6666666666663</v>
      </c>
      <c r="T1279" s="35" t="s">
        <v>169</v>
      </c>
      <c r="U1279" s="18" t="s">
        <v>1600</v>
      </c>
      <c r="V1279" s="19" t="str">
        <f>IF(OR($H1279="",$H1279="sif",$H1279="PM"),"",VLOOKUP($H1279,[5]CU!$C$5:$J$255,8,FALSE))</f>
        <v>3. Dépenses de fonctionnement</v>
      </c>
      <c r="W1279" s="18" t="s">
        <v>1665</v>
      </c>
      <c r="X1279" s="18" t="s">
        <v>1607</v>
      </c>
      <c r="Y1279" s="18" t="s">
        <v>679</v>
      </c>
      <c r="Z1279" s="19" t="str">
        <f>A1279 &amp; "-" &amp; VLOOKUP(A1279,[4]PROGRAMMES!$E$1:$F$7,2,FALSE)</f>
        <v>4-Réforme de l’enseignement supérieur et la recherche scientifique et de l'innovation</v>
      </c>
      <c r="AA1279" s="19" t="str">
        <f>B1279 &amp; "-" &amp; VLOOKUP(B1279,[4]SOUSPROGRAMMES!$E$1:$F$44,2,FALSE)</f>
        <v>41- Gouvernance et pilotage de l’enseignement supérieur et de la recherche scientifique</v>
      </c>
      <c r="AB1279" s="19" t="str">
        <f>C1279 &amp; "-" &amp; VLOOKUP(C1279,[4]RESULTATS!$E$1:$F$176,2,FALSE)</f>
        <v>418- La mobilisation de ressources financières est accrue</v>
      </c>
      <c r="AC1279" s="20" t="str">
        <f>D1279 &amp; "-" &amp; VLOOKUP(D1279,[4]STRATEGIES!$E$1:$F$504,2,FALSE)</f>
        <v>4181-Développement de stratégies de coopération avec le secteur privé et à l’internationale pour mobiliser de ressources additionnelles</v>
      </c>
      <c r="AD1279" s="21" t="str">
        <f t="shared" si="202"/>
        <v>41812-Diffusion de la stratégie de mobilisation de ressources</v>
      </c>
    </row>
    <row r="1280" spans="1:30" s="22" customFormat="1" ht="45" hidden="1" customHeight="1" x14ac:dyDescent="0.8">
      <c r="A1280" s="14">
        <v>4</v>
      </c>
      <c r="B1280" s="15">
        <v>41</v>
      </c>
      <c r="C1280" s="15">
        <v>418</v>
      </c>
      <c r="D1280" s="15">
        <v>4181</v>
      </c>
      <c r="E1280" s="14">
        <v>41813</v>
      </c>
      <c r="F1280" s="16" t="s">
        <v>1676</v>
      </c>
      <c r="G1280" s="21" t="s">
        <v>1677</v>
      </c>
      <c r="H1280" s="17" t="s">
        <v>295</v>
      </c>
      <c r="I1280" s="56">
        <v>0</v>
      </c>
      <c r="J1280" s="56"/>
      <c r="K1280" s="56">
        <f>5*6</f>
        <v>30</v>
      </c>
      <c r="L1280" s="56"/>
      <c r="M1280" s="56">
        <f t="shared" si="204"/>
        <v>30</v>
      </c>
      <c r="N1280" s="56">
        <f>IF(OR(H1280="",H1280="sif",H1280="PM"),0,VLOOKUP(H1280,[5]CU!$C$4:$H$255,6,FALSE))</f>
        <v>40.32</v>
      </c>
      <c r="O1280" s="56">
        <f t="shared" si="205"/>
        <v>0</v>
      </c>
      <c r="P1280" s="56">
        <f t="shared" si="205"/>
        <v>0</v>
      </c>
      <c r="Q1280" s="56">
        <f t="shared" si="205"/>
        <v>1209.5999999999999</v>
      </c>
      <c r="R1280" s="56">
        <f t="shared" si="205"/>
        <v>0</v>
      </c>
      <c r="S1280" s="53">
        <f t="shared" si="206"/>
        <v>1209.5999999999999</v>
      </c>
      <c r="T1280" s="35" t="s">
        <v>56</v>
      </c>
      <c r="U1280" s="18" t="s">
        <v>1600</v>
      </c>
      <c r="V1280" s="19" t="str">
        <f>IF(OR($H1280="",$H1280="sif",$H1280="PM"),"",VLOOKUP($H1280,[5]CU!$C$5:$J$255,8,FALSE))</f>
        <v>3. Formation</v>
      </c>
      <c r="W1280" s="18" t="s">
        <v>255</v>
      </c>
      <c r="X1280" s="18" t="s">
        <v>521</v>
      </c>
      <c r="Y1280" s="18" t="s">
        <v>679</v>
      </c>
      <c r="Z1280" s="19" t="str">
        <f>A1280 &amp; "-" &amp; VLOOKUP(A1280,[4]PROGRAMMES!$E$1:$F$7,2,FALSE)</f>
        <v>4-Réforme de l’enseignement supérieur et la recherche scientifique et de l'innovation</v>
      </c>
      <c r="AA1280" s="19" t="str">
        <f>B1280 &amp; "-" &amp; VLOOKUP(B1280,[4]SOUSPROGRAMMES!$E$1:$F$44,2,FALSE)</f>
        <v>41- Gouvernance et pilotage de l’enseignement supérieur et de la recherche scientifique</v>
      </c>
      <c r="AB1280" s="19" t="str">
        <f>C1280 &amp; "-" &amp; VLOOKUP(C1280,[4]RESULTATS!$E$1:$F$176,2,FALSE)</f>
        <v>418- La mobilisation de ressources financières est accrue</v>
      </c>
      <c r="AC1280" s="20" t="str">
        <f>D1280 &amp; "-" &amp; VLOOKUP(D1280,[4]STRATEGIES!$E$1:$F$504,2,FALSE)</f>
        <v>4181-Développement de stratégies de coopération avec le secteur privé et à l’internationale pour mobiliser de ressources additionnelles</v>
      </c>
      <c r="AD1280" s="21" t="str">
        <f t="shared" si="202"/>
        <v>41813-Mission pour la mobilisation de ressources</v>
      </c>
    </row>
    <row r="1281" spans="1:30" s="22" customFormat="1" ht="45" customHeight="1" x14ac:dyDescent="0.8">
      <c r="A1281" s="14">
        <v>4</v>
      </c>
      <c r="B1281" s="15">
        <v>41</v>
      </c>
      <c r="C1281" s="15">
        <v>419</v>
      </c>
      <c r="D1281" s="15">
        <v>419</v>
      </c>
      <c r="E1281" s="14">
        <v>419</v>
      </c>
      <c r="F1281" s="16" t="s">
        <v>1678</v>
      </c>
      <c r="G1281" s="17"/>
      <c r="H1281" s="17"/>
      <c r="I1281" s="56">
        <v>0</v>
      </c>
      <c r="J1281" s="56"/>
      <c r="K1281" s="56"/>
      <c r="L1281" s="56"/>
      <c r="M1281" s="56"/>
      <c r="N1281" s="56"/>
      <c r="O1281" s="56"/>
      <c r="P1281" s="56"/>
      <c r="Q1281" s="56"/>
      <c r="R1281" s="56"/>
      <c r="S1281" s="53"/>
      <c r="T1281" s="33"/>
      <c r="U1281" s="18"/>
      <c r="V1281" s="19"/>
      <c r="W1281" s="18"/>
      <c r="X1281" s="18"/>
      <c r="Y1281" s="18" t="s">
        <v>679</v>
      </c>
      <c r="Z1281" s="19" t="str">
        <f>A1281 &amp; "-" &amp; VLOOKUP(A1281,[4]PROGRAMMES!$E$1:$F$7,2,FALSE)</f>
        <v>4-Réforme de l’enseignement supérieur et la recherche scientifique et de l'innovation</v>
      </c>
      <c r="AA1281" s="19" t="str">
        <f>B1281 &amp; "-" &amp; VLOOKUP(B1281,[4]SOUSPROGRAMMES!$E$1:$F$44,2,FALSE)</f>
        <v>41- Gouvernance et pilotage de l’enseignement supérieur et de la recherche scientifique</v>
      </c>
      <c r="AB1281" s="19" t="str">
        <f>C1281 &amp; "-" &amp; VLOOKUP(C1281,[4]RESULTATS!$E$1:$F$176,2,FALSE)</f>
        <v>419- L’efficacité dans l’utilisation des fonds alloués aux institutions est améliorée</v>
      </c>
      <c r="AC1281" s="20" t="str">
        <f>D1281 &amp; "-" &amp; VLOOKUP(D1281,[4]STRATEGIES!$E$1:$F$504,2,FALSE)</f>
        <v>419- L’efficacité dans l’utilisation des fonds alloués aux institutions est améliorée</v>
      </c>
      <c r="AD1281" s="21" t="str">
        <f t="shared" si="202"/>
        <v>419- L’efficacité dans l’utilisation des fonds alloués aux institutions est améliorée</v>
      </c>
    </row>
    <row r="1282" spans="1:30" s="22" customFormat="1" ht="45" customHeight="1" x14ac:dyDescent="0.8">
      <c r="A1282" s="14">
        <v>4</v>
      </c>
      <c r="B1282" s="15">
        <v>41</v>
      </c>
      <c r="C1282" s="15">
        <v>419</v>
      </c>
      <c r="D1282" s="15">
        <v>4191</v>
      </c>
      <c r="E1282" s="14">
        <v>4191</v>
      </c>
      <c r="F1282" s="16" t="s">
        <v>1679</v>
      </c>
      <c r="G1282" s="17"/>
      <c r="H1282" s="17"/>
      <c r="I1282" s="56">
        <v>0</v>
      </c>
      <c r="J1282" s="56"/>
      <c r="K1282" s="56"/>
      <c r="L1282" s="56"/>
      <c r="M1282" s="56"/>
      <c r="N1282" s="56"/>
      <c r="O1282" s="56"/>
      <c r="P1282" s="56"/>
      <c r="Q1282" s="56"/>
      <c r="R1282" s="56"/>
      <c r="S1282" s="53"/>
      <c r="T1282" s="33"/>
      <c r="U1282" s="18"/>
      <c r="V1282" s="19"/>
      <c r="W1282" s="18"/>
      <c r="X1282" s="18"/>
      <c r="Y1282" s="18" t="s">
        <v>679</v>
      </c>
      <c r="Z1282" s="19" t="str">
        <f>A1282 &amp; "-" &amp; VLOOKUP(A1282,[4]PROGRAMMES!$E$1:$F$7,2,FALSE)</f>
        <v>4-Réforme de l’enseignement supérieur et la recherche scientifique et de l'innovation</v>
      </c>
      <c r="AA1282" s="19" t="str">
        <f>B1282 &amp; "-" &amp; VLOOKUP(B1282,[4]SOUSPROGRAMMES!$E$1:$F$44,2,FALSE)</f>
        <v>41- Gouvernance et pilotage de l’enseignement supérieur et de la recherche scientifique</v>
      </c>
      <c r="AB1282" s="19" t="str">
        <f>C1282 &amp; "-" &amp; VLOOKUP(C1282,[4]RESULTATS!$E$1:$F$176,2,FALSE)</f>
        <v>419- L’efficacité dans l’utilisation des fonds alloués aux institutions est améliorée</v>
      </c>
      <c r="AC1282" s="20" t="str">
        <f>D1282 &amp; "-" &amp; VLOOKUP(D1282,[4]STRATEGIES!$E$1:$F$504,2,FALSE)</f>
        <v>4191-Maîtrise de cycle de projets</v>
      </c>
      <c r="AD1282" s="21" t="str">
        <f t="shared" si="202"/>
        <v>4191-Maîtrise de cycle de projets</v>
      </c>
    </row>
    <row r="1283" spans="1:30" s="22" customFormat="1" ht="45" hidden="1" customHeight="1" x14ac:dyDescent="0.8">
      <c r="A1283" s="14">
        <v>4</v>
      </c>
      <c r="B1283" s="15">
        <v>41</v>
      </c>
      <c r="C1283" s="15">
        <v>419</v>
      </c>
      <c r="D1283" s="15">
        <v>4191</v>
      </c>
      <c r="E1283" s="14">
        <v>41911</v>
      </c>
      <c r="F1283" s="16" t="s">
        <v>1680</v>
      </c>
      <c r="G1283" s="21" t="s">
        <v>167</v>
      </c>
      <c r="H1283" s="17" t="s">
        <v>101</v>
      </c>
      <c r="I1283" s="56">
        <v>0</v>
      </c>
      <c r="J1283" s="56">
        <f>1*30*1</f>
        <v>30</v>
      </c>
      <c r="K1283" s="56"/>
      <c r="L1283" s="56"/>
      <c r="M1283" s="56">
        <f t="shared" si="204"/>
        <v>30</v>
      </c>
      <c r="N1283" s="56">
        <f>IF(OR(H1283="",H1283="sif",H1283="PM"),0,VLOOKUP(H1283,[5]CU!$C$4:$H$255,6,FALSE))</f>
        <v>2.651545</v>
      </c>
      <c r="O1283" s="56">
        <f t="shared" si="205"/>
        <v>0</v>
      </c>
      <c r="P1283" s="56">
        <f t="shared" si="205"/>
        <v>79.546350000000004</v>
      </c>
      <c r="Q1283" s="56">
        <f t="shared" si="205"/>
        <v>0</v>
      </c>
      <c r="R1283" s="56">
        <f t="shared" si="205"/>
        <v>0</v>
      </c>
      <c r="S1283" s="53">
        <f t="shared" si="206"/>
        <v>79.546350000000004</v>
      </c>
      <c r="T1283" s="35" t="s">
        <v>56</v>
      </c>
      <c r="U1283" s="18" t="s">
        <v>1600</v>
      </c>
      <c r="V1283" s="19" t="str">
        <f>IF(OR($H1283="",$H1283="sif",$H1283="PM"),"",VLOOKUP($H1283,[5]CU!$C$5:$J$255,8,FALSE))</f>
        <v>3. Dépenses de fonctionnement</v>
      </c>
      <c r="W1283" s="18" t="s">
        <v>96</v>
      </c>
      <c r="X1283" s="18" t="s">
        <v>1650</v>
      </c>
      <c r="Y1283" s="18" t="s">
        <v>679</v>
      </c>
      <c r="Z1283" s="19" t="str">
        <f>A1283 &amp; "-" &amp; VLOOKUP(A1283,[4]PROGRAMMES!$E$1:$F$7,2,FALSE)</f>
        <v>4-Réforme de l’enseignement supérieur et la recherche scientifique et de l'innovation</v>
      </c>
      <c r="AA1283" s="19" t="str">
        <f>B1283 &amp; "-" &amp; VLOOKUP(B1283,[4]SOUSPROGRAMMES!$E$1:$F$44,2,FALSE)</f>
        <v>41- Gouvernance et pilotage de l’enseignement supérieur et de la recherche scientifique</v>
      </c>
      <c r="AB1283" s="19" t="str">
        <f>C1283 &amp; "-" &amp; VLOOKUP(C1283,[4]RESULTATS!$E$1:$F$176,2,FALSE)</f>
        <v>419- L’efficacité dans l’utilisation des fonds alloués aux institutions est améliorée</v>
      </c>
      <c r="AC1283" s="20" t="str">
        <f>D1283 &amp; "-" &amp; VLOOKUP(D1283,[4]STRATEGIES!$E$1:$F$504,2,FALSE)</f>
        <v>4191-Maîtrise de cycle de projets</v>
      </c>
      <c r="AD1283" s="21" t="str">
        <f t="shared" si="202"/>
        <v>41911-Recrutement de consultant pour l'élaboration de support de formation et la formation</v>
      </c>
    </row>
    <row r="1284" spans="1:30" s="22" customFormat="1" ht="45" hidden="1" customHeight="1" x14ac:dyDescent="0.8">
      <c r="A1284" s="14">
        <v>4</v>
      </c>
      <c r="B1284" s="15">
        <v>41</v>
      </c>
      <c r="C1284" s="15">
        <v>419</v>
      </c>
      <c r="D1284" s="15">
        <v>4191</v>
      </c>
      <c r="E1284" s="14">
        <v>41912</v>
      </c>
      <c r="F1284" s="16" t="s">
        <v>1681</v>
      </c>
      <c r="G1284" s="21" t="s">
        <v>37</v>
      </c>
      <c r="H1284" s="17" t="s">
        <v>301</v>
      </c>
      <c r="I1284" s="56">
        <v>0</v>
      </c>
      <c r="J1284" s="56"/>
      <c r="K1284" s="56">
        <f>50*10*2</f>
        <v>1000</v>
      </c>
      <c r="L1284" s="56">
        <f>50*10*2</f>
        <v>1000</v>
      </c>
      <c r="M1284" s="56">
        <f t="shared" si="204"/>
        <v>2000</v>
      </c>
      <c r="N1284" s="56">
        <f>IF(OR(H1284="",H1284="sif",H1284="PM"),0,VLOOKUP(H1284,[5]CU!$C$4:$H$255,6,FALSE))</f>
        <v>0.67666666666666664</v>
      </c>
      <c r="O1284" s="56">
        <f t="shared" si="205"/>
        <v>0</v>
      </c>
      <c r="P1284" s="56">
        <f t="shared" si="205"/>
        <v>0</v>
      </c>
      <c r="Q1284" s="56">
        <f t="shared" si="205"/>
        <v>676.66666666666663</v>
      </c>
      <c r="R1284" s="56">
        <f t="shared" si="205"/>
        <v>676.66666666666663</v>
      </c>
      <c r="S1284" s="53">
        <f t="shared" si="206"/>
        <v>1353.3333333333333</v>
      </c>
      <c r="T1284" s="35" t="s">
        <v>169</v>
      </c>
      <c r="U1284" s="18" t="s">
        <v>1600</v>
      </c>
      <c r="V1284" s="19" t="str">
        <f>IF(OR($H1284="",$H1284="sif",$H1284="PM"),"",VLOOKUP($H1284,[5]CU!$C$5:$J$255,8,FALSE))</f>
        <v>3. Formation</v>
      </c>
      <c r="W1284" s="18" t="s">
        <v>142</v>
      </c>
      <c r="X1284" s="18" t="s">
        <v>1607</v>
      </c>
      <c r="Y1284" s="18" t="s">
        <v>679</v>
      </c>
      <c r="Z1284" s="19" t="str">
        <f>A1284 &amp; "-" &amp; VLOOKUP(A1284,[4]PROGRAMMES!$E$1:$F$7,2,FALSE)</f>
        <v>4-Réforme de l’enseignement supérieur et la recherche scientifique et de l'innovation</v>
      </c>
      <c r="AA1284" s="19" t="str">
        <f>B1284 &amp; "-" &amp; VLOOKUP(B1284,[4]SOUSPROGRAMMES!$E$1:$F$44,2,FALSE)</f>
        <v>41- Gouvernance et pilotage de l’enseignement supérieur et de la recherche scientifique</v>
      </c>
      <c r="AB1284" s="19" t="str">
        <f>C1284 &amp; "-" &amp; VLOOKUP(C1284,[4]RESULTATS!$E$1:$F$176,2,FALSE)</f>
        <v>419- L’efficacité dans l’utilisation des fonds alloués aux institutions est améliorée</v>
      </c>
      <c r="AC1284" s="20" t="str">
        <f>D1284 &amp; "-" &amp; VLOOKUP(D1284,[4]STRATEGIES!$E$1:$F$504,2,FALSE)</f>
        <v>4191-Maîtrise de cycle de projets</v>
      </c>
      <c r="AD1284" s="21" t="str">
        <f t="shared" ref="AD1284:AD1347" si="207">E1284 &amp; "-" &amp; F1284</f>
        <v>41912-Formation en conception et gestion de projet</v>
      </c>
    </row>
    <row r="1285" spans="1:30" s="22" customFormat="1" ht="45" hidden="1" customHeight="1" x14ac:dyDescent="0.8">
      <c r="A1285" s="14">
        <v>4</v>
      </c>
      <c r="B1285" s="15">
        <v>41</v>
      </c>
      <c r="C1285" s="15">
        <v>419</v>
      </c>
      <c r="D1285" s="15">
        <v>4191</v>
      </c>
      <c r="E1285" s="14">
        <v>41913</v>
      </c>
      <c r="F1285" s="16" t="s">
        <v>1682</v>
      </c>
      <c r="G1285" s="21" t="s">
        <v>167</v>
      </c>
      <c r="H1285" s="17" t="s">
        <v>662</v>
      </c>
      <c r="I1285" s="56">
        <v>0</v>
      </c>
      <c r="J1285" s="56"/>
      <c r="K1285" s="56">
        <v>10</v>
      </c>
      <c r="L1285" s="56">
        <v>10</v>
      </c>
      <c r="M1285" s="56">
        <f t="shared" si="204"/>
        <v>20</v>
      </c>
      <c r="N1285" s="56">
        <f>IF(OR(H1285="",H1285="sif",H1285="PM"),0,VLOOKUP(H1285,[5]CU!$C$4:$H$255,6,FALSE))</f>
        <v>219.54797350000001</v>
      </c>
      <c r="O1285" s="56">
        <f t="shared" si="205"/>
        <v>0</v>
      </c>
      <c r="P1285" s="56">
        <f t="shared" si="205"/>
        <v>0</v>
      </c>
      <c r="Q1285" s="56">
        <f t="shared" si="205"/>
        <v>2195.4797349999999</v>
      </c>
      <c r="R1285" s="56">
        <f t="shared" si="205"/>
        <v>2195.4797349999999</v>
      </c>
      <c r="S1285" s="53">
        <f t="shared" si="206"/>
        <v>4390.9594699999998</v>
      </c>
      <c r="T1285" s="35" t="s">
        <v>169</v>
      </c>
      <c r="U1285" s="18" t="s">
        <v>1600</v>
      </c>
      <c r="V1285" s="19" t="str">
        <f>IF(OR($H1285="",$H1285="sif",$H1285="PM"),"",VLOOKUP($H1285,[5]CU!$C$5:$J$255,8,FALSE))</f>
        <v>3. Dépenses de fonctionnement</v>
      </c>
      <c r="W1285" s="18" t="s">
        <v>96</v>
      </c>
      <c r="X1285" s="18" t="s">
        <v>750</v>
      </c>
      <c r="Y1285" s="18" t="s">
        <v>679</v>
      </c>
      <c r="Z1285" s="19" t="str">
        <f>A1285 &amp; "-" &amp; VLOOKUP(A1285,[4]PROGRAMMES!$E$1:$F$7,2,FALSE)</f>
        <v>4-Réforme de l’enseignement supérieur et la recherche scientifique et de l'innovation</v>
      </c>
      <c r="AA1285" s="19" t="str">
        <f>B1285 &amp; "-" &amp; VLOOKUP(B1285,[4]SOUSPROGRAMMES!$E$1:$F$44,2,FALSE)</f>
        <v>41- Gouvernance et pilotage de l’enseignement supérieur et de la recherche scientifique</v>
      </c>
      <c r="AB1285" s="19" t="str">
        <f>C1285 &amp; "-" &amp; VLOOKUP(C1285,[4]RESULTATS!$E$1:$F$176,2,FALSE)</f>
        <v>419- L’efficacité dans l’utilisation des fonds alloués aux institutions est améliorée</v>
      </c>
      <c r="AC1285" s="20" t="str">
        <f>D1285 &amp; "-" &amp; VLOOKUP(D1285,[4]STRATEGIES!$E$1:$F$504,2,FALSE)</f>
        <v>4191-Maîtrise de cycle de projets</v>
      </c>
      <c r="AD1285" s="21" t="str">
        <f t="shared" si="207"/>
        <v xml:space="preserve">41913-Appui technique aux institutions dans la conception et la gestion de projet </v>
      </c>
    </row>
    <row r="1286" spans="1:30" s="22" customFormat="1" ht="45" customHeight="1" x14ac:dyDescent="0.8">
      <c r="A1286" s="14">
        <v>4</v>
      </c>
      <c r="B1286" s="15">
        <v>41</v>
      </c>
      <c r="C1286" s="15">
        <v>419</v>
      </c>
      <c r="D1286" s="15">
        <v>4192</v>
      </c>
      <c r="E1286" s="14">
        <v>4192</v>
      </c>
      <c r="F1286" s="16" t="s">
        <v>1683</v>
      </c>
      <c r="G1286" s="17"/>
      <c r="H1286" s="17"/>
      <c r="I1286" s="56">
        <v>0</v>
      </c>
      <c r="J1286" s="56"/>
      <c r="K1286" s="56"/>
      <c r="L1286" s="56"/>
      <c r="M1286" s="56"/>
      <c r="N1286" s="56"/>
      <c r="O1286" s="56"/>
      <c r="P1286" s="56"/>
      <c r="Q1286" s="56"/>
      <c r="R1286" s="56"/>
      <c r="S1286" s="53"/>
      <c r="T1286" s="33"/>
      <c r="U1286" s="18"/>
      <c r="V1286" s="19"/>
      <c r="W1286" s="18"/>
      <c r="X1286" s="18"/>
      <c r="Y1286" s="18" t="s">
        <v>679</v>
      </c>
      <c r="Z1286" s="19" t="str">
        <f>A1286 &amp; "-" &amp; VLOOKUP(A1286,[4]PROGRAMMES!$E$1:$F$7,2,FALSE)</f>
        <v>4-Réforme de l’enseignement supérieur et la recherche scientifique et de l'innovation</v>
      </c>
      <c r="AA1286" s="19" t="str">
        <f>B1286 &amp; "-" &amp; VLOOKUP(B1286,[4]SOUSPROGRAMMES!$E$1:$F$44,2,FALSE)</f>
        <v>41- Gouvernance et pilotage de l’enseignement supérieur et de la recherche scientifique</v>
      </c>
      <c r="AB1286" s="19" t="str">
        <f>C1286 &amp; "-" &amp; VLOOKUP(C1286,[4]RESULTATS!$E$1:$F$176,2,FALSE)</f>
        <v>419- L’efficacité dans l’utilisation des fonds alloués aux institutions est améliorée</v>
      </c>
      <c r="AC1286" s="20" t="str">
        <f>D1286 &amp; "-" &amp; VLOOKUP(D1286,[4]STRATEGIES!$E$1:$F$504,2,FALSE)</f>
        <v>4192-Adoption de l'élaboration de projets d'établissements pluri-annuels</v>
      </c>
      <c r="AD1286" s="21" t="str">
        <f t="shared" si="207"/>
        <v>4192-Adoption de l'élaboration de projets d'établissements pluri-annuels</v>
      </c>
    </row>
    <row r="1287" spans="1:30" s="22" customFormat="1" ht="45" hidden="1" customHeight="1" x14ac:dyDescent="0.8">
      <c r="A1287" s="14">
        <v>4</v>
      </c>
      <c r="B1287" s="15">
        <v>41</v>
      </c>
      <c r="C1287" s="15">
        <v>419</v>
      </c>
      <c r="D1287" s="15">
        <v>4192</v>
      </c>
      <c r="E1287" s="14">
        <v>41921</v>
      </c>
      <c r="F1287" s="16" t="s">
        <v>1684</v>
      </c>
      <c r="G1287" s="21" t="s">
        <v>92</v>
      </c>
      <c r="H1287" s="17" t="s">
        <v>55</v>
      </c>
      <c r="I1287" s="56">
        <v>0</v>
      </c>
      <c r="J1287" s="56">
        <v>1</v>
      </c>
      <c r="K1287" s="56">
        <v>1</v>
      </c>
      <c r="L1287" s="56"/>
      <c r="M1287" s="56">
        <f t="shared" si="204"/>
        <v>2</v>
      </c>
      <c r="N1287" s="56">
        <f>IF(OR(H1287="",H1287="sif",H1287="PM"),0,VLOOKUP(H1287,[5]CU!$C$4:$H$255,6,FALSE))</f>
        <v>0</v>
      </c>
      <c r="O1287" s="56">
        <f t="shared" si="205"/>
        <v>0</v>
      </c>
      <c r="P1287" s="56">
        <f t="shared" si="205"/>
        <v>0</v>
      </c>
      <c r="Q1287" s="56">
        <f t="shared" si="205"/>
        <v>0</v>
      </c>
      <c r="R1287" s="56">
        <f t="shared" si="205"/>
        <v>0</v>
      </c>
      <c r="S1287" s="53"/>
      <c r="T1287" s="35" t="s">
        <v>56</v>
      </c>
      <c r="U1287" s="18" t="s">
        <v>1600</v>
      </c>
      <c r="V1287" s="19" t="str">
        <f>IF(OR($H1287="",$H1287="sif",$H1287="PM"),"",VLOOKUP($H1287,[5]CU!$C$5:$J$255,8,FALSE))</f>
        <v/>
      </c>
      <c r="W1287" s="18" t="s">
        <v>96</v>
      </c>
      <c r="X1287" s="18" t="s">
        <v>1650</v>
      </c>
      <c r="Y1287" s="18" t="s">
        <v>679</v>
      </c>
      <c r="Z1287" s="19" t="str">
        <f>A1287 &amp; "-" &amp; VLOOKUP(A1287,[4]PROGRAMMES!$E$1:$F$7,2,FALSE)</f>
        <v>4-Réforme de l’enseignement supérieur et la recherche scientifique et de l'innovation</v>
      </c>
      <c r="AA1287" s="19" t="str">
        <f>B1287 &amp; "-" &amp; VLOOKUP(B1287,[4]SOUSPROGRAMMES!$E$1:$F$44,2,FALSE)</f>
        <v>41- Gouvernance et pilotage de l’enseignement supérieur et de la recherche scientifique</v>
      </c>
      <c r="AB1287" s="19" t="str">
        <f>C1287 &amp; "-" &amp; VLOOKUP(C1287,[4]RESULTATS!$E$1:$F$176,2,FALSE)</f>
        <v>419- L’efficacité dans l’utilisation des fonds alloués aux institutions est améliorée</v>
      </c>
      <c r="AC1287" s="20" t="str">
        <f>D1287 &amp; "-" &amp; VLOOKUP(D1287,[4]STRATEGIES!$E$1:$F$504,2,FALSE)</f>
        <v>4192-Adoption de l'élaboration de projets d'établissements pluri-annuels</v>
      </c>
      <c r="AD1287" s="21" t="str">
        <f t="shared" si="207"/>
        <v>41921-Formations des institutions dans l'élaboration des projets d'établissement pris en compte dans activité 41913)</v>
      </c>
    </row>
    <row r="1288" spans="1:30" s="22" customFormat="1" ht="45" hidden="1" customHeight="1" x14ac:dyDescent="0.8">
      <c r="A1288" s="14">
        <v>4</v>
      </c>
      <c r="B1288" s="15">
        <v>41</v>
      </c>
      <c r="C1288" s="15">
        <v>419</v>
      </c>
      <c r="D1288" s="15">
        <v>4192</v>
      </c>
      <c r="E1288" s="14">
        <v>41922</v>
      </c>
      <c r="F1288" s="16" t="s">
        <v>1685</v>
      </c>
      <c r="G1288" s="21" t="s">
        <v>88</v>
      </c>
      <c r="H1288" s="17" t="s">
        <v>55</v>
      </c>
      <c r="I1288" s="56">
        <v>0</v>
      </c>
      <c r="J1288" s="56">
        <v>1</v>
      </c>
      <c r="K1288" s="56">
        <v>1</v>
      </c>
      <c r="L1288" s="56"/>
      <c r="M1288" s="56">
        <f t="shared" si="204"/>
        <v>2</v>
      </c>
      <c r="N1288" s="56">
        <f>IF(OR(H1288="",H1288="sif",H1288="PM"),0,VLOOKUP(H1288,[5]CU!$C$4:$H$255,6,FALSE))</f>
        <v>0</v>
      </c>
      <c r="O1288" s="56">
        <f t="shared" si="205"/>
        <v>0</v>
      </c>
      <c r="P1288" s="56">
        <f t="shared" si="205"/>
        <v>0</v>
      </c>
      <c r="Q1288" s="56">
        <f t="shared" si="205"/>
        <v>0</v>
      </c>
      <c r="R1288" s="56">
        <f t="shared" si="205"/>
        <v>0</v>
      </c>
      <c r="S1288" s="53"/>
      <c r="T1288" s="35" t="s">
        <v>56</v>
      </c>
      <c r="U1288" s="18" t="s">
        <v>1600</v>
      </c>
      <c r="V1288" s="19" t="str">
        <f>IF(OR($H1288="",$H1288="sif",$H1288="PM"),"",VLOOKUP($H1288,[5]CU!$C$5:$J$255,8,FALSE))</f>
        <v/>
      </c>
      <c r="W1288" s="18" t="s">
        <v>1607</v>
      </c>
      <c r="X1288" s="18" t="s">
        <v>1686</v>
      </c>
      <c r="Y1288" s="18" t="s">
        <v>679</v>
      </c>
      <c r="Z1288" s="19" t="str">
        <f>A1288 &amp; "-" &amp; VLOOKUP(A1288,[4]PROGRAMMES!$E$1:$F$7,2,FALSE)</f>
        <v>4-Réforme de l’enseignement supérieur et la recherche scientifique et de l'innovation</v>
      </c>
      <c r="AA1288" s="19" t="str">
        <f>B1288 &amp; "-" &amp; VLOOKUP(B1288,[4]SOUSPROGRAMMES!$E$1:$F$44,2,FALSE)</f>
        <v>41- Gouvernance et pilotage de l’enseignement supérieur et de la recherche scientifique</v>
      </c>
      <c r="AB1288" s="19" t="str">
        <f>C1288 &amp; "-" &amp; VLOOKUP(C1288,[4]RESULTATS!$E$1:$F$176,2,FALSE)</f>
        <v>419- L’efficacité dans l’utilisation des fonds alloués aux institutions est améliorée</v>
      </c>
      <c r="AC1288" s="20" t="str">
        <f>D1288 &amp; "-" &amp; VLOOKUP(D1288,[4]STRATEGIES!$E$1:$F$504,2,FALSE)</f>
        <v>4192-Adoption de l'élaboration de projets d'établissements pluri-annuels</v>
      </c>
      <c r="AD1288" s="21" t="str">
        <f t="shared" si="207"/>
        <v>41922-Elaboration et validation de projets d'établissement</v>
      </c>
    </row>
    <row r="1289" spans="1:30" s="22" customFormat="1" ht="60" customHeight="1" x14ac:dyDescent="0.8">
      <c r="A1289" s="14">
        <v>4</v>
      </c>
      <c r="B1289" s="15">
        <v>41</v>
      </c>
      <c r="C1289" s="15">
        <v>411</v>
      </c>
      <c r="D1289" s="15">
        <v>411</v>
      </c>
      <c r="E1289" s="14">
        <v>411</v>
      </c>
      <c r="F1289" s="16" t="s">
        <v>1597</v>
      </c>
      <c r="G1289" s="17"/>
      <c r="H1289" s="17"/>
      <c r="I1289" s="56">
        <v>0</v>
      </c>
      <c r="J1289" s="56"/>
      <c r="K1289" s="56"/>
      <c r="L1289" s="56"/>
      <c r="M1289" s="56"/>
      <c r="N1289" s="56"/>
      <c r="O1289" s="56"/>
      <c r="P1289" s="56"/>
      <c r="Q1289" s="56"/>
      <c r="R1289" s="56"/>
      <c r="S1289" s="53"/>
      <c r="T1289" s="33"/>
      <c r="U1289" s="18"/>
      <c r="V1289" s="19"/>
      <c r="W1289" s="18"/>
      <c r="X1289" s="18"/>
      <c r="Y1289" s="18" t="s">
        <v>679</v>
      </c>
      <c r="Z1289" s="19" t="str">
        <f>A1289 &amp; "-" &amp; VLOOKUP(A1289,[4]PROGRAMMES!$E$1:$F$7,2,FALSE)</f>
        <v>4-Réforme de l’enseignement supérieur et la recherche scientifique et de l'innovation</v>
      </c>
      <c r="AA1289" s="19" t="str">
        <f>B1289 &amp; "-" &amp; VLOOKUP(B1289,[4]SOUSPROGRAMMES!$E$1:$F$44,2,FALSE)</f>
        <v>41- Gouvernance et pilotage de l’enseignement supérieur et de la recherche scientifique</v>
      </c>
      <c r="AB1289" s="19" t="str">
        <f>C1289 &amp; "-" &amp; VLOOKUP(C1289,[4]RESULTATS!$E$1:$F$176,2,FALSE)</f>
        <v xml:space="preserve">411- Les textes sont produits/révisés, les manuels de procédure de gestion sont élaborés afin de mieux situer les rôles et les responsabilités. </v>
      </c>
      <c r="AC1289" s="20" t="str">
        <f>D1289 &amp; "-" &amp; VLOOKUP(D1289,[4]STRATEGIES!$E$1:$F$504,2,FALSE)</f>
        <v xml:space="preserve">411- Les textes sont produits/révisés, les manuels de procédure de gestion sont élaborés afin de mieux situer les rôles et les responsabilités. </v>
      </c>
      <c r="AD1289" s="21" t="str">
        <f t="shared" si="207"/>
        <v xml:space="preserve">411- Les textes sont produits/révisés, les manuels de procédure de gestion sont élaborés aFin de mieux situer les rôles et les responsabilités. </v>
      </c>
    </row>
    <row r="1290" spans="1:30" s="22" customFormat="1" ht="60" customHeight="1" x14ac:dyDescent="0.8">
      <c r="A1290" s="14">
        <v>4</v>
      </c>
      <c r="B1290" s="15">
        <v>41</v>
      </c>
      <c r="C1290" s="15">
        <v>411</v>
      </c>
      <c r="D1290" s="15">
        <v>4110</v>
      </c>
      <c r="E1290" s="14">
        <v>4110</v>
      </c>
      <c r="F1290" s="16" t="s">
        <v>1687</v>
      </c>
      <c r="G1290" s="17"/>
      <c r="H1290" s="17"/>
      <c r="I1290" s="56">
        <v>0</v>
      </c>
      <c r="J1290" s="56"/>
      <c r="K1290" s="56"/>
      <c r="L1290" s="56"/>
      <c r="M1290" s="56"/>
      <c r="N1290" s="56"/>
      <c r="O1290" s="56"/>
      <c r="P1290" s="56"/>
      <c r="Q1290" s="56"/>
      <c r="R1290" s="56"/>
      <c r="S1290" s="53"/>
      <c r="T1290" s="33"/>
      <c r="U1290" s="18"/>
      <c r="V1290" s="19"/>
      <c r="W1290" s="18"/>
      <c r="X1290" s="18"/>
      <c r="Y1290" s="18" t="s">
        <v>679</v>
      </c>
      <c r="Z1290" s="19" t="str">
        <f>A1290 &amp; "-" &amp; VLOOKUP(A1290,[4]PROGRAMMES!$E$1:$F$7,2,FALSE)</f>
        <v>4-Réforme de l’enseignement supérieur et la recherche scientifique et de l'innovation</v>
      </c>
      <c r="AA1290" s="19" t="str">
        <f>B1290 &amp; "-" &amp; VLOOKUP(B1290,[4]SOUSPROGRAMMES!$E$1:$F$44,2,FALSE)</f>
        <v>41- Gouvernance et pilotage de l’enseignement supérieur et de la recherche scientifique</v>
      </c>
      <c r="AB1290" s="19" t="str">
        <f>C1290 &amp; "-" &amp; VLOOKUP(C1290,[4]RESULTATS!$E$1:$F$176,2,FALSE)</f>
        <v xml:space="preserve">411- Les textes sont produits/révisés, les manuels de procédure de gestion sont élaborés afin de mieux situer les rôles et les responsabilités. </v>
      </c>
      <c r="AC1290" s="20" t="str">
        <f>D1290 &amp; "-" &amp; VLOOKUP(D1290,[4]STRATEGIES!$E$1:$F$504,2,FALSE)</f>
        <v>4110-Modernisation de l'administration</v>
      </c>
      <c r="AD1290" s="21" t="str">
        <f t="shared" si="207"/>
        <v>4110-Modernisation de l'administration</v>
      </c>
    </row>
    <row r="1291" spans="1:30" s="22" customFormat="1" ht="60" hidden="1" customHeight="1" x14ac:dyDescent="0.8">
      <c r="A1291" s="14">
        <v>4</v>
      </c>
      <c r="B1291" s="15">
        <v>41</v>
      </c>
      <c r="C1291" s="15">
        <v>411</v>
      </c>
      <c r="D1291" s="15">
        <v>4110</v>
      </c>
      <c r="E1291" s="14">
        <v>411011</v>
      </c>
      <c r="F1291" s="16" t="s">
        <v>1688</v>
      </c>
      <c r="G1291" s="21" t="s">
        <v>1689</v>
      </c>
      <c r="H1291" s="17" t="s">
        <v>1690</v>
      </c>
      <c r="I1291" s="56">
        <v>0</v>
      </c>
      <c r="J1291" s="56">
        <v>0.85321601597583097</v>
      </c>
      <c r="K1291" s="56">
        <v>0.91800764864125295</v>
      </c>
      <c r="L1291" s="56">
        <v>0.98693615820831004</v>
      </c>
      <c r="M1291" s="56">
        <f t="shared" si="204"/>
        <v>2.7581598228253941</v>
      </c>
      <c r="N1291" s="56">
        <f>IF(OR(H1291="",H1291="sif",H1291="PM"),0,VLOOKUP(H1291,[5]CU!$C$4:$H$255,6,FALSE))</f>
        <v>150012.51265991799</v>
      </c>
      <c r="O1291" s="56">
        <f t="shared" si="205"/>
        <v>0</v>
      </c>
      <c r="P1291" s="56">
        <f t="shared" si="205"/>
        <v>127993.07839821914</v>
      </c>
      <c r="Q1291" s="56">
        <f t="shared" si="205"/>
        <v>137712.6340136975</v>
      </c>
      <c r="R1291" s="56">
        <f t="shared" si="205"/>
        <v>148052.77292775494</v>
      </c>
      <c r="S1291" s="53">
        <f t="shared" ref="S1291:S1309" si="208">SUM(O1291:R1291)</f>
        <v>413758.48533967161</v>
      </c>
      <c r="T1291" s="35" t="s">
        <v>56</v>
      </c>
      <c r="U1291" s="18" t="s">
        <v>1600</v>
      </c>
      <c r="V1291" s="19" t="str">
        <f>IF(OR($H1291="",$H1291="sif",$H1291="PM"),"",VLOOKUP($H1291,[5]CU!$C$5:$J$255,8,FALSE))</f>
        <v>3. Dépenses de fonctionnement</v>
      </c>
      <c r="W1291" s="18"/>
      <c r="X1291" s="18"/>
      <c r="Y1291" s="18" t="s">
        <v>679</v>
      </c>
      <c r="Z1291" s="19" t="str">
        <f>A1291 &amp; "-" &amp; VLOOKUP(A1291,[4]PROGRAMMES!$E$1:$F$7,2,FALSE)</f>
        <v>4-Réforme de l’enseignement supérieur et la recherche scientifique et de l'innovation</v>
      </c>
      <c r="AA1291" s="19" t="str">
        <f>B1291 &amp; "-" &amp; VLOOKUP(B1291,[4]SOUSPROGRAMMES!$E$1:$F$44,2,FALSE)</f>
        <v>41- Gouvernance et pilotage de l’enseignement supérieur et de la recherche scientifique</v>
      </c>
      <c r="AB1291" s="19" t="str">
        <f>C1291 &amp; "-" &amp; VLOOKUP(C1291,[4]RESULTATS!$E$1:$F$176,2,FALSE)</f>
        <v xml:space="preserve">411- Les textes sont produits/révisés, les manuels de procédure de gestion sont élaborés afin de mieux situer les rôles et les responsabilités. </v>
      </c>
      <c r="AC1291" s="20" t="str">
        <f>D1291 &amp; "-" &amp; VLOOKUP(D1291,[4]STRATEGIES!$E$1:$F$504,2,FALSE)</f>
        <v>4110-Modernisation de l'administration</v>
      </c>
      <c r="AD1291" s="21" t="str">
        <f t="shared" si="207"/>
        <v>411011-Dotation des établissements en subvention de fonctionnement</v>
      </c>
    </row>
    <row r="1292" spans="1:30" s="22" customFormat="1" ht="45" customHeight="1" x14ac:dyDescent="0.8">
      <c r="A1292" s="14">
        <v>4</v>
      </c>
      <c r="B1292" s="15">
        <v>42</v>
      </c>
      <c r="C1292" s="15">
        <v>42</v>
      </c>
      <c r="D1292" s="15">
        <v>42</v>
      </c>
      <c r="E1292" s="14">
        <v>42</v>
      </c>
      <c r="F1292" s="16" t="s">
        <v>1691</v>
      </c>
      <c r="G1292" s="17"/>
      <c r="H1292" s="17"/>
      <c r="I1292" s="56">
        <v>0</v>
      </c>
      <c r="J1292" s="56"/>
      <c r="K1292" s="56"/>
      <c r="L1292" s="56"/>
      <c r="M1292" s="56"/>
      <c r="N1292" s="56"/>
      <c r="O1292" s="56"/>
      <c r="P1292" s="56"/>
      <c r="Q1292" s="56"/>
      <c r="R1292" s="56"/>
      <c r="S1292" s="53"/>
      <c r="T1292" s="33"/>
      <c r="U1292" s="18"/>
      <c r="V1292" s="19"/>
      <c r="W1292" s="18"/>
      <c r="X1292" s="18"/>
      <c r="Y1292" s="18" t="s">
        <v>679</v>
      </c>
      <c r="Z1292" s="19" t="str">
        <f>A1292 &amp; "-" &amp; VLOOKUP(A1292,[4]PROGRAMMES!$E$1:$F$7,2,FALSE)</f>
        <v>4-Réforme de l’enseignement supérieur et la recherche scientifique et de l'innovation</v>
      </c>
      <c r="AA1292" s="19" t="str">
        <f>B1292 &amp; "-" &amp; VLOOKUP(B1292,[4]SOUSPROGRAMMES!$E$1:$F$44,2,FALSE)</f>
        <v xml:space="preserve">42- Expansion de l’offre publique pour un système plus équitable en lien avec les priorités nationales </v>
      </c>
      <c r="AB1292" s="19" t="str">
        <f>C1292 &amp; "-" &amp; VLOOKUP(C1292,[4]RESULTATS!$E$1:$F$176,2,FALSE)</f>
        <v xml:space="preserve">42- Expansion de l’offre publique pour un système plus équitable en lien avec les priorités nationales </v>
      </c>
      <c r="AC1292" s="20" t="str">
        <f>D1292 &amp; "-" &amp; VLOOKUP(D1292,[4]STRATEGIES!$E$1:$F$504,2,FALSE)</f>
        <v xml:space="preserve">42- Expansion de l’offre publique pour un système plus équitable en lien avec les priorités nationales </v>
      </c>
      <c r="AD1292" s="21" t="str">
        <f t="shared" si="207"/>
        <v xml:space="preserve">42- Expansion de l’offre publique pour un système plus équitable en lien avec les priorités nationales </v>
      </c>
    </row>
    <row r="1293" spans="1:30" s="22" customFormat="1" ht="45" customHeight="1" x14ac:dyDescent="0.8">
      <c r="A1293" s="14">
        <v>4</v>
      </c>
      <c r="B1293" s="15">
        <v>42</v>
      </c>
      <c r="C1293" s="15">
        <v>421</v>
      </c>
      <c r="D1293" s="15">
        <v>421</v>
      </c>
      <c r="E1293" s="14">
        <v>421</v>
      </c>
      <c r="F1293" s="16" t="s">
        <v>1692</v>
      </c>
      <c r="G1293" s="17"/>
      <c r="H1293" s="17"/>
      <c r="I1293" s="56">
        <v>0</v>
      </c>
      <c r="J1293" s="56"/>
      <c r="K1293" s="56"/>
      <c r="L1293" s="56"/>
      <c r="M1293" s="56"/>
      <c r="N1293" s="56"/>
      <c r="O1293" s="56"/>
      <c r="P1293" s="56"/>
      <c r="Q1293" s="56"/>
      <c r="R1293" s="56"/>
      <c r="S1293" s="53"/>
      <c r="T1293" s="33"/>
      <c r="U1293" s="18"/>
      <c r="V1293" s="19"/>
      <c r="W1293" s="18"/>
      <c r="X1293" s="18"/>
      <c r="Y1293" s="18" t="s">
        <v>679</v>
      </c>
      <c r="Z1293" s="19" t="str">
        <f>A1293 &amp; "-" &amp; VLOOKUP(A1293,[4]PROGRAMMES!$E$1:$F$7,2,FALSE)</f>
        <v>4-Réforme de l’enseignement supérieur et la recherche scientifique et de l'innovation</v>
      </c>
      <c r="AA1293" s="19" t="str">
        <f>B1293 &amp; "-" &amp; VLOOKUP(B1293,[4]SOUSPROGRAMMES!$E$1:$F$44,2,FALSE)</f>
        <v xml:space="preserve">42- Expansion de l’offre publique pour un système plus équitable en lien avec les priorités nationales </v>
      </c>
      <c r="AB1293" s="19" t="str">
        <f>C1293 &amp; "-" &amp; VLOOKUP(C1293,[4]RESULTATS!$E$1:$F$176,2,FALSE)</f>
        <v>421- La capacité d’accueil en infrastructures, équipements et en enseignants des institutions est accrue</v>
      </c>
      <c r="AC1293" s="20" t="str">
        <f>D1293 &amp; "-" &amp; VLOOKUP(D1293,[4]STRATEGIES!$E$1:$F$504,2,FALSE)</f>
        <v>421- La capacité d’accueil en infrastructures, équipements et en enseignants des institutions est accrue</v>
      </c>
      <c r="AD1293" s="21" t="str">
        <f t="shared" si="207"/>
        <v>421- La capacité d’accueil en infrastructures, équipements et en enseignants des institutions est accrue</v>
      </c>
    </row>
    <row r="1294" spans="1:30" s="22" customFormat="1" ht="45" customHeight="1" x14ac:dyDescent="0.8">
      <c r="A1294" s="14">
        <v>4</v>
      </c>
      <c r="B1294" s="15">
        <v>42</v>
      </c>
      <c r="C1294" s="15">
        <v>421</v>
      </c>
      <c r="D1294" s="15">
        <v>4211</v>
      </c>
      <c r="E1294" s="14">
        <v>4211</v>
      </c>
      <c r="F1294" s="16" t="s">
        <v>1693</v>
      </c>
      <c r="G1294" s="17"/>
      <c r="H1294" s="17"/>
      <c r="I1294" s="56">
        <v>0</v>
      </c>
      <c r="J1294" s="56"/>
      <c r="K1294" s="56"/>
      <c r="L1294" s="56"/>
      <c r="M1294" s="56"/>
      <c r="N1294" s="56"/>
      <c r="O1294" s="56"/>
      <c r="P1294" s="56"/>
      <c r="Q1294" s="56"/>
      <c r="R1294" s="56"/>
      <c r="S1294" s="53"/>
      <c r="T1294" s="33"/>
      <c r="U1294" s="18"/>
      <c r="V1294" s="19"/>
      <c r="W1294" s="18"/>
      <c r="X1294" s="18"/>
      <c r="Y1294" s="18" t="s">
        <v>679</v>
      </c>
      <c r="Z1294" s="19" t="str">
        <f>A1294 &amp; "-" &amp; VLOOKUP(A1294,[4]PROGRAMMES!$E$1:$F$7,2,FALSE)</f>
        <v>4-Réforme de l’enseignement supérieur et la recherche scientifique et de l'innovation</v>
      </c>
      <c r="AA1294" s="19" t="str">
        <f>B1294 &amp; "-" &amp; VLOOKUP(B1294,[4]SOUSPROGRAMMES!$E$1:$F$44,2,FALSE)</f>
        <v xml:space="preserve">42- Expansion de l’offre publique pour un système plus équitable en lien avec les priorités nationales </v>
      </c>
      <c r="AB1294" s="19" t="str">
        <f>C1294 &amp; "-" &amp; VLOOKUP(C1294,[4]RESULTATS!$E$1:$F$176,2,FALSE)</f>
        <v>421- La capacité d’accueil en infrastructures, équipements et en enseignants des institutions est accrue</v>
      </c>
      <c r="AC1294" s="20" t="str">
        <f>D1294 &amp; "-" &amp; VLOOKUP(D1294,[4]STRATEGIES!$E$1:$F$504,2,FALSE)</f>
        <v>4211-Construction/rénovation et équipement de bâtiments administratifs, acquisition d'immobilisation et de matériels</v>
      </c>
      <c r="AD1294" s="21" t="str">
        <f t="shared" si="207"/>
        <v>4211-Construction/rénovation et équipement de bâtiments administratifs, acquisition d'immobilisation et de matériels</v>
      </c>
    </row>
    <row r="1295" spans="1:30" s="22" customFormat="1" ht="45" hidden="1" customHeight="1" x14ac:dyDescent="0.8">
      <c r="A1295" s="14">
        <v>4</v>
      </c>
      <c r="B1295" s="15">
        <v>42</v>
      </c>
      <c r="C1295" s="15">
        <v>421</v>
      </c>
      <c r="D1295" s="15">
        <v>4211</v>
      </c>
      <c r="E1295" s="14">
        <v>42111</v>
      </c>
      <c r="F1295" s="16" t="s">
        <v>1694</v>
      </c>
      <c r="G1295" s="21" t="s">
        <v>1282</v>
      </c>
      <c r="H1295" s="17" t="s">
        <v>1695</v>
      </c>
      <c r="I1295" s="56">
        <v>0</v>
      </c>
      <c r="J1295" s="56">
        <v>0.5</v>
      </c>
      <c r="K1295" s="56">
        <v>0.4</v>
      </c>
      <c r="L1295" s="56"/>
      <c r="M1295" s="56">
        <f t="shared" si="204"/>
        <v>0.9</v>
      </c>
      <c r="N1295" s="56">
        <f>IF(OR(H1295="",H1295="sif",H1295="PM"),0,VLOOKUP(H1295,[5]CU!$C$4:$H$255,6,FALSE))</f>
        <v>45000</v>
      </c>
      <c r="O1295" s="56">
        <f t="shared" si="205"/>
        <v>0</v>
      </c>
      <c r="P1295" s="56">
        <f t="shared" si="205"/>
        <v>22500</v>
      </c>
      <c r="Q1295" s="56">
        <f t="shared" si="205"/>
        <v>18000</v>
      </c>
      <c r="R1295" s="56">
        <f t="shared" si="205"/>
        <v>0</v>
      </c>
      <c r="S1295" s="53">
        <f t="shared" si="208"/>
        <v>40500</v>
      </c>
      <c r="T1295" s="35" t="s">
        <v>56</v>
      </c>
      <c r="U1295" s="18" t="s">
        <v>1696</v>
      </c>
      <c r="V1295" s="19" t="str">
        <f>IF(OR($H1295="",$H1295="sif",$H1295="PM"),"",VLOOKUP($H1295,[5]CU!$C$5:$J$255,8,FALSE))</f>
        <v>5. Investissement</v>
      </c>
      <c r="W1295" s="18" t="s">
        <v>254</v>
      </c>
      <c r="X1295" s="18" t="s">
        <v>521</v>
      </c>
      <c r="Y1295" s="18" t="s">
        <v>679</v>
      </c>
      <c r="Z1295" s="19" t="str">
        <f>A1295 &amp; "-" &amp; VLOOKUP(A1295,[4]PROGRAMMES!$E$1:$F$7,2,FALSE)</f>
        <v>4-Réforme de l’enseignement supérieur et la recherche scientifique et de l'innovation</v>
      </c>
      <c r="AA1295" s="19" t="str">
        <f>B1295 &amp; "-" &amp; VLOOKUP(B1295,[4]SOUSPROGRAMMES!$E$1:$F$44,2,FALSE)</f>
        <v xml:space="preserve">42- Expansion de l’offre publique pour un système plus équitable en lien avec les priorités nationales </v>
      </c>
      <c r="AB1295" s="19" t="str">
        <f>C1295 &amp; "-" &amp; VLOOKUP(C1295,[4]RESULTATS!$E$1:$F$176,2,FALSE)</f>
        <v>421- La capacité d’accueil en infrastructures, équipements et en enseignants des institutions est accrue</v>
      </c>
      <c r="AC1295" s="20" t="str">
        <f>D1295 &amp; "-" &amp; VLOOKUP(D1295,[4]STRATEGIES!$E$1:$F$504,2,FALSE)</f>
        <v>4211-Construction/rénovation et équipement de bâtiments administratifs, acquisition d'immobilisation et de matériels</v>
      </c>
      <c r="AD1295" s="21" t="str">
        <f t="shared" si="207"/>
        <v>42111-Construction de bâtiments à usage administratifs</v>
      </c>
    </row>
    <row r="1296" spans="1:30" s="22" customFormat="1" ht="45" hidden="1" customHeight="1" x14ac:dyDescent="0.8">
      <c r="A1296" s="14">
        <v>4</v>
      </c>
      <c r="B1296" s="15">
        <v>42</v>
      </c>
      <c r="C1296" s="15">
        <v>421</v>
      </c>
      <c r="D1296" s="15">
        <v>4211</v>
      </c>
      <c r="E1296" s="14">
        <v>42112</v>
      </c>
      <c r="F1296" s="16" t="s">
        <v>1697</v>
      </c>
      <c r="G1296" s="21" t="s">
        <v>1698</v>
      </c>
      <c r="H1296" s="17" t="s">
        <v>1699</v>
      </c>
      <c r="I1296" s="56">
        <v>0</v>
      </c>
      <c r="J1296" s="56">
        <v>0.6</v>
      </c>
      <c r="K1296" s="56"/>
      <c r="L1296" s="56"/>
      <c r="M1296" s="56">
        <f t="shared" si="204"/>
        <v>0.6</v>
      </c>
      <c r="N1296" s="56">
        <f>IF(OR(H1296="",H1296="sif",H1296="PM"),0,VLOOKUP(H1296,[5]CU!$C$4:$H$255,6,FALSE))</f>
        <v>51995.976000000002</v>
      </c>
      <c r="O1296" s="56">
        <f t="shared" si="205"/>
        <v>0</v>
      </c>
      <c r="P1296" s="56">
        <f t="shared" si="205"/>
        <v>31197.585599999999</v>
      </c>
      <c r="Q1296" s="56">
        <f t="shared" si="205"/>
        <v>0</v>
      </c>
      <c r="R1296" s="56">
        <f t="shared" si="205"/>
        <v>0</v>
      </c>
      <c r="S1296" s="53">
        <f t="shared" si="208"/>
        <v>31197.585599999999</v>
      </c>
      <c r="T1296" s="35" t="s">
        <v>56</v>
      </c>
      <c r="U1296" s="18" t="s">
        <v>1696</v>
      </c>
      <c r="V1296" s="19" t="str">
        <f>IF(OR($H1296="",$H1296="sif",$H1296="PM"),"",VLOOKUP($H1296,[5]CU!$C$5:$J$255,8,FALSE))</f>
        <v>5. Investissement</v>
      </c>
      <c r="W1296" s="18" t="s">
        <v>254</v>
      </c>
      <c r="X1296" s="18" t="s">
        <v>521</v>
      </c>
      <c r="Y1296" s="18" t="s">
        <v>679</v>
      </c>
      <c r="Z1296" s="19" t="str">
        <f>A1296 &amp; "-" &amp; VLOOKUP(A1296,[4]PROGRAMMES!$E$1:$F$7,2,FALSE)</f>
        <v>4-Réforme de l’enseignement supérieur et la recherche scientifique et de l'innovation</v>
      </c>
      <c r="AA1296" s="19" t="str">
        <f>B1296 &amp; "-" &amp; VLOOKUP(B1296,[4]SOUSPROGRAMMES!$E$1:$F$44,2,FALSE)</f>
        <v xml:space="preserve">42- Expansion de l’offre publique pour un système plus équitable en lien avec les priorités nationales </v>
      </c>
      <c r="AB1296" s="19" t="str">
        <f>C1296 &amp; "-" &amp; VLOOKUP(C1296,[4]RESULTATS!$E$1:$F$176,2,FALSE)</f>
        <v>421- La capacité d’accueil en infrastructures, équipements et en enseignants des institutions est accrue</v>
      </c>
      <c r="AC1296" s="20" t="str">
        <f>D1296 &amp; "-" &amp; VLOOKUP(D1296,[4]STRATEGIES!$E$1:$F$504,2,FALSE)</f>
        <v>4211-Construction/rénovation et équipement de bâtiments administratifs, acquisition d'immobilisation et de matériels</v>
      </c>
      <c r="AD1296" s="21" t="str">
        <f t="shared" si="207"/>
        <v>42112-acquisition de matériels transport (bus de transport pour étudiants)</v>
      </c>
    </row>
    <row r="1297" spans="1:30" s="22" customFormat="1" ht="45" hidden="1" customHeight="1" x14ac:dyDescent="0.8">
      <c r="A1297" s="14">
        <v>4</v>
      </c>
      <c r="B1297" s="15">
        <v>42</v>
      </c>
      <c r="C1297" s="15">
        <v>421</v>
      </c>
      <c r="D1297" s="15">
        <v>4211</v>
      </c>
      <c r="E1297" s="14">
        <v>42113</v>
      </c>
      <c r="F1297" s="16" t="s">
        <v>1700</v>
      </c>
      <c r="G1297" s="21" t="s">
        <v>1701</v>
      </c>
      <c r="H1297" s="17" t="s">
        <v>970</v>
      </c>
      <c r="I1297" s="56">
        <v>0</v>
      </c>
      <c r="J1297" s="56">
        <v>100</v>
      </c>
      <c r="K1297" s="56">
        <v>120</v>
      </c>
      <c r="L1297" s="56"/>
      <c r="M1297" s="56">
        <f t="shared" si="204"/>
        <v>220</v>
      </c>
      <c r="N1297" s="56">
        <f>IF(OR(H1297="",H1297="sif",H1297="PM"),0,VLOOKUP(H1297,[5]CU!$C$4:$H$255,6,FALSE))</f>
        <v>10.034934666666667</v>
      </c>
      <c r="O1297" s="56">
        <f t="shared" si="205"/>
        <v>0</v>
      </c>
      <c r="P1297" s="56">
        <f t="shared" si="205"/>
        <v>1003.4934666666667</v>
      </c>
      <c r="Q1297" s="56">
        <f t="shared" si="205"/>
        <v>1204.1921600000001</v>
      </c>
      <c r="R1297" s="56">
        <f t="shared" si="205"/>
        <v>0</v>
      </c>
      <c r="S1297" s="53">
        <f t="shared" si="208"/>
        <v>2207.6856266666668</v>
      </c>
      <c r="T1297" s="35" t="s">
        <v>56</v>
      </c>
      <c r="U1297" s="18" t="s">
        <v>1696</v>
      </c>
      <c r="V1297" s="19" t="str">
        <f>IF(OR($H1297="",$H1297="sif",$H1297="PM"),"",VLOOKUP($H1297,[5]CU!$C$5:$J$255,8,FALSE))</f>
        <v>5. Investissement</v>
      </c>
      <c r="W1297" s="18" t="s">
        <v>254</v>
      </c>
      <c r="X1297" s="18" t="s">
        <v>521</v>
      </c>
      <c r="Y1297" s="18" t="s">
        <v>679</v>
      </c>
      <c r="Z1297" s="19" t="str">
        <f>A1297 &amp; "-" &amp; VLOOKUP(A1297,[4]PROGRAMMES!$E$1:$F$7,2,FALSE)</f>
        <v>4-Réforme de l’enseignement supérieur et la recherche scientifique et de l'innovation</v>
      </c>
      <c r="AA1297" s="19" t="str">
        <f>B1297 &amp; "-" &amp; VLOOKUP(B1297,[4]SOUSPROGRAMMES!$E$1:$F$44,2,FALSE)</f>
        <v xml:space="preserve">42- Expansion de l’offre publique pour un système plus équitable en lien avec les priorités nationales </v>
      </c>
      <c r="AB1297" s="19" t="str">
        <f>C1297 &amp; "-" &amp; VLOOKUP(C1297,[4]RESULTATS!$E$1:$F$176,2,FALSE)</f>
        <v>421- La capacité d’accueil en infrastructures, équipements et en enseignants des institutions est accrue</v>
      </c>
      <c r="AC1297" s="20" t="str">
        <f>D1297 &amp; "-" &amp; VLOOKUP(D1297,[4]STRATEGIES!$E$1:$F$504,2,FALSE)</f>
        <v>4211-Construction/rénovation et équipement de bâtiments administratifs, acquisition d'immobilisation et de matériels</v>
      </c>
      <c r="AD1297" s="21" t="str">
        <f t="shared" si="207"/>
        <v>42113-acquisition de matériels informatique</v>
      </c>
    </row>
    <row r="1298" spans="1:30" s="22" customFormat="1" ht="60" customHeight="1" x14ac:dyDescent="0.8">
      <c r="A1298" s="14">
        <v>4</v>
      </c>
      <c r="B1298" s="15">
        <v>42</v>
      </c>
      <c r="C1298" s="15">
        <v>421</v>
      </c>
      <c r="D1298" s="15">
        <v>4212</v>
      </c>
      <c r="E1298" s="14">
        <v>4212</v>
      </c>
      <c r="F1298" s="16" t="s">
        <v>1702</v>
      </c>
      <c r="G1298" s="17"/>
      <c r="H1298" s="17"/>
      <c r="I1298" s="56">
        <v>0</v>
      </c>
      <c r="J1298" s="56"/>
      <c r="K1298" s="56"/>
      <c r="L1298" s="56"/>
      <c r="M1298" s="56"/>
      <c r="N1298" s="56"/>
      <c r="O1298" s="56"/>
      <c r="P1298" s="56"/>
      <c r="Q1298" s="56"/>
      <c r="R1298" s="56"/>
      <c r="S1298" s="53"/>
      <c r="T1298" s="33"/>
      <c r="U1298" s="18"/>
      <c r="V1298" s="19"/>
      <c r="W1298" s="18"/>
      <c r="X1298" s="18"/>
      <c r="Y1298" s="18" t="s">
        <v>679</v>
      </c>
      <c r="Z1298" s="19" t="str">
        <f>A1298 &amp; "-" &amp; VLOOKUP(A1298,[4]PROGRAMMES!$E$1:$F$7,2,FALSE)</f>
        <v>4-Réforme de l’enseignement supérieur et la recherche scientifique et de l'innovation</v>
      </c>
      <c r="AA1298" s="19" t="str">
        <f>B1298 &amp; "-" &amp; VLOOKUP(B1298,[4]SOUSPROGRAMMES!$E$1:$F$44,2,FALSE)</f>
        <v xml:space="preserve">42- Expansion de l’offre publique pour un système plus équitable en lien avec les priorités nationales </v>
      </c>
      <c r="AB1298" s="19" t="str">
        <f>C1298 &amp; "-" &amp; VLOOKUP(C1298,[4]RESULTATS!$E$1:$F$176,2,FALSE)</f>
        <v>421- La capacité d’accueil en infrastructures, équipements et en enseignants des institutions est accrue</v>
      </c>
      <c r="AC1298" s="20" t="str">
        <f>D1298 &amp; "-" &amp; VLOOKUP(D1298,[4]STRATEGIES!$E$1:$F$504,2,FALSE)</f>
        <v>4212-Construction/rénovation et équipement d’infrastructures à usage pédagogique, de recherche et œuvres universitaires, avec rampe d'accès et tenant compte de la prévention des catastrophes naturelles</v>
      </c>
      <c r="AD1298" s="21" t="str">
        <f t="shared" si="207"/>
        <v>4212-Construction/rénovation et équipement d’infrastructures à usage pédagogique, de recherche et œuvres universitaires, avec rampe d'accès et tenant compte de la prévention des catastrophes naturelles</v>
      </c>
    </row>
    <row r="1299" spans="1:30" s="22" customFormat="1" ht="45" hidden="1" customHeight="1" x14ac:dyDescent="0.8">
      <c r="A1299" s="14">
        <v>4</v>
      </c>
      <c r="B1299" s="15">
        <v>42</v>
      </c>
      <c r="C1299" s="15">
        <v>421</v>
      </c>
      <c r="D1299" s="15">
        <v>4212</v>
      </c>
      <c r="E1299" s="14">
        <v>42121</v>
      </c>
      <c r="F1299" s="16" t="s">
        <v>1703</v>
      </c>
      <c r="G1299" s="21" t="s">
        <v>167</v>
      </c>
      <c r="H1299" s="17" t="s">
        <v>1704</v>
      </c>
      <c r="I1299" s="56">
        <v>0</v>
      </c>
      <c r="J1299" s="56">
        <v>0.34585027321564399</v>
      </c>
      <c r="K1299" s="56">
        <v>0.34585027321564399</v>
      </c>
      <c r="L1299" s="56"/>
      <c r="M1299" s="56">
        <f t="shared" si="204"/>
        <v>0.69170054643128798</v>
      </c>
      <c r="N1299" s="56">
        <f>IF(OR(H1299="",H1299="sif",H1299="PM"),0,VLOOKUP(H1299,[5]CU!$C$4:$H$255,6,FALSE))</f>
        <v>10000</v>
      </c>
      <c r="O1299" s="56">
        <f t="shared" si="205"/>
        <v>0</v>
      </c>
      <c r="P1299" s="56">
        <f t="shared" si="205"/>
        <v>3458.5027321564398</v>
      </c>
      <c r="Q1299" s="56">
        <f t="shared" si="205"/>
        <v>3458.5027321564398</v>
      </c>
      <c r="R1299" s="56">
        <f t="shared" si="205"/>
        <v>0</v>
      </c>
      <c r="S1299" s="53">
        <f t="shared" si="208"/>
        <v>6917.0054643128797</v>
      </c>
      <c r="T1299" s="35" t="s">
        <v>56</v>
      </c>
      <c r="U1299" s="18" t="s">
        <v>1696</v>
      </c>
      <c r="V1299" s="19" t="str">
        <f>IF(OR($H1299="",$H1299="sif",$H1299="PM"),"",VLOOKUP($H1299,[5]CU!$C$5:$J$255,8,FALSE))</f>
        <v>5. Investissement</v>
      </c>
      <c r="W1299" s="18" t="s">
        <v>1705</v>
      </c>
      <c r="X1299" s="18" t="s">
        <v>750</v>
      </c>
      <c r="Y1299" s="18" t="s">
        <v>679</v>
      </c>
      <c r="Z1299" s="19" t="str">
        <f>A1299 &amp; "-" &amp; VLOOKUP(A1299,[4]PROGRAMMES!$E$1:$F$7,2,FALSE)</f>
        <v>4-Réforme de l’enseignement supérieur et la recherche scientifique et de l'innovation</v>
      </c>
      <c r="AA1299" s="19" t="str">
        <f>B1299 &amp; "-" &amp; VLOOKUP(B1299,[4]SOUSPROGRAMMES!$E$1:$F$44,2,FALSE)</f>
        <v xml:space="preserve">42- Expansion de l’offre publique pour un système plus équitable en lien avec les priorités nationales </v>
      </c>
      <c r="AB1299" s="19" t="str">
        <f>C1299 &amp; "-" &amp; VLOOKUP(C1299,[4]RESULTATS!$E$1:$F$176,2,FALSE)</f>
        <v>421- La capacité d’accueil en infrastructures, équipements et en enseignants des institutions est accrue</v>
      </c>
      <c r="AC1299" s="20" t="str">
        <f>D1299 &amp; "-" &amp; VLOOKUP(D1299,[4]STRATEGIES!$E$1:$F$504,2,FALSE)</f>
        <v>4212-Construction/rénovation et équipement d’infrastructures à usage pédagogique, de recherche et œuvres universitaires, avec rampe d'accès et tenant compte de la prévention des catastrophes naturelles</v>
      </c>
      <c r="AD1299" s="21" t="str">
        <f t="shared" si="207"/>
        <v>42121-Assistance validation des Etudes/Contrôle et supervision des travaux de réhabilitation et d'extension</v>
      </c>
    </row>
    <row r="1300" spans="1:30" s="22" customFormat="1" ht="45" hidden="1" customHeight="1" x14ac:dyDescent="0.8">
      <c r="A1300" s="14">
        <v>4</v>
      </c>
      <c r="B1300" s="15">
        <v>42</v>
      </c>
      <c r="C1300" s="15">
        <v>421</v>
      </c>
      <c r="D1300" s="15">
        <v>4212</v>
      </c>
      <c r="E1300" s="14">
        <v>42122</v>
      </c>
      <c r="F1300" s="16" t="s">
        <v>1706</v>
      </c>
      <c r="G1300" s="21" t="s">
        <v>1282</v>
      </c>
      <c r="H1300" s="17" t="s">
        <v>1707</v>
      </c>
      <c r="I1300" s="56">
        <v>0</v>
      </c>
      <c r="J1300" s="56">
        <v>4</v>
      </c>
      <c r="K1300" s="56">
        <v>4</v>
      </c>
      <c r="L1300" s="56">
        <v>4</v>
      </c>
      <c r="M1300" s="56">
        <f t="shared" si="204"/>
        <v>12</v>
      </c>
      <c r="N1300" s="56">
        <f>IF(OR(H1300="",H1300="sif",H1300="PM"),0,VLOOKUP(H1300,[5]CU!$C$4:$H$255,6,FALSE))</f>
        <v>10000</v>
      </c>
      <c r="O1300" s="56">
        <f t="shared" si="205"/>
        <v>0</v>
      </c>
      <c r="P1300" s="56">
        <f t="shared" si="205"/>
        <v>40000</v>
      </c>
      <c r="Q1300" s="56">
        <f t="shared" si="205"/>
        <v>40000</v>
      </c>
      <c r="R1300" s="56">
        <f t="shared" si="205"/>
        <v>40000</v>
      </c>
      <c r="S1300" s="53">
        <f t="shared" si="208"/>
        <v>120000</v>
      </c>
      <c r="T1300" s="35" t="s">
        <v>56</v>
      </c>
      <c r="U1300" s="18" t="s">
        <v>1696</v>
      </c>
      <c r="V1300" s="19" t="str">
        <f>IF(OR($H1300="",$H1300="sif",$H1300="PM"),"",VLOOKUP($H1300,[5]CU!$C$5:$J$255,8,FALSE))</f>
        <v>5. Investissement</v>
      </c>
      <c r="W1300" s="18" t="s">
        <v>1705</v>
      </c>
      <c r="X1300" s="18" t="s">
        <v>1705</v>
      </c>
      <c r="Y1300" s="18" t="s">
        <v>679</v>
      </c>
      <c r="Z1300" s="19" t="str">
        <f>A1300 &amp; "-" &amp; VLOOKUP(A1300,[4]PROGRAMMES!$E$1:$F$7,2,FALSE)</f>
        <v>4-Réforme de l’enseignement supérieur et la recherche scientifique et de l'innovation</v>
      </c>
      <c r="AA1300" s="19" t="str">
        <f>B1300 &amp; "-" &amp; VLOOKUP(B1300,[4]SOUSPROGRAMMES!$E$1:$F$44,2,FALSE)</f>
        <v xml:space="preserve">42- Expansion de l’offre publique pour un système plus équitable en lien avec les priorités nationales </v>
      </c>
      <c r="AB1300" s="19" t="str">
        <f>C1300 &amp; "-" &amp; VLOOKUP(C1300,[4]RESULTATS!$E$1:$F$176,2,FALSE)</f>
        <v>421- La capacité d’accueil en infrastructures, équipements et en enseignants des institutions est accrue</v>
      </c>
      <c r="AC1300" s="20" t="str">
        <f>D1300 &amp; "-" &amp; VLOOKUP(D1300,[4]STRATEGIES!$E$1:$F$504,2,FALSE)</f>
        <v>4212-Construction/rénovation et équipement d’infrastructures à usage pédagogique, de recherche et œuvres universitaires, avec rampe d'accès et tenant compte de la prévention des catastrophes naturelles</v>
      </c>
      <c r="AD1300" s="21" t="str">
        <f t="shared" si="207"/>
        <v>42122-Construction des amphis</v>
      </c>
    </row>
    <row r="1301" spans="1:30" s="22" customFormat="1" ht="45" hidden="1" customHeight="1" x14ac:dyDescent="0.8">
      <c r="A1301" s="14">
        <v>4</v>
      </c>
      <c r="B1301" s="15">
        <v>42</v>
      </c>
      <c r="C1301" s="15">
        <v>421</v>
      </c>
      <c r="D1301" s="15">
        <v>4212</v>
      </c>
      <c r="E1301" s="14">
        <v>42123</v>
      </c>
      <c r="F1301" s="16" t="s">
        <v>1708</v>
      </c>
      <c r="G1301" s="21" t="s">
        <v>1709</v>
      </c>
      <c r="H1301" s="17" t="s">
        <v>1710</v>
      </c>
      <c r="I1301" s="56">
        <v>0</v>
      </c>
      <c r="J1301" s="56">
        <v>0.40920889986346598</v>
      </c>
      <c r="K1301" s="56"/>
      <c r="L1301" s="56"/>
      <c r="M1301" s="56">
        <f t="shared" si="204"/>
        <v>0.40920889986346598</v>
      </c>
      <c r="N1301" s="56">
        <f>IF(OR(H1301="",H1301="sif",H1301="PM"),0,VLOOKUP(H1301,[5]CU!$C$4:$H$255,6,FALSE))</f>
        <v>47891</v>
      </c>
      <c r="O1301" s="56">
        <f t="shared" si="205"/>
        <v>0</v>
      </c>
      <c r="P1301" s="56">
        <f t="shared" si="205"/>
        <v>19597.423423361248</v>
      </c>
      <c r="Q1301" s="56">
        <f t="shared" si="205"/>
        <v>0</v>
      </c>
      <c r="R1301" s="56">
        <f t="shared" si="205"/>
        <v>0</v>
      </c>
      <c r="S1301" s="53">
        <f t="shared" si="208"/>
        <v>19597.423423361248</v>
      </c>
      <c r="T1301" s="35" t="s">
        <v>56</v>
      </c>
      <c r="U1301" s="18" t="s">
        <v>1696</v>
      </c>
      <c r="V1301" s="19" t="str">
        <f>IF(OR($H1301="",$H1301="sif",$H1301="PM"),"",VLOOKUP($H1301,[5]CU!$C$5:$J$255,8,FALSE))</f>
        <v>5. Investissement</v>
      </c>
      <c r="W1301" s="18" t="s">
        <v>1705</v>
      </c>
      <c r="X1301" s="18" t="s">
        <v>1711</v>
      </c>
      <c r="Y1301" s="18" t="s">
        <v>679</v>
      </c>
      <c r="Z1301" s="19" t="str">
        <f>A1301 &amp; "-" &amp; VLOOKUP(A1301,[4]PROGRAMMES!$E$1:$F$7,2,FALSE)</f>
        <v>4-Réforme de l’enseignement supérieur et la recherche scientifique et de l'innovation</v>
      </c>
      <c r="AA1301" s="19" t="str">
        <f>B1301 &amp; "-" &amp; VLOOKUP(B1301,[4]SOUSPROGRAMMES!$E$1:$F$44,2,FALSE)</f>
        <v xml:space="preserve">42- Expansion de l’offre publique pour un système plus équitable en lien avec les priorités nationales </v>
      </c>
      <c r="AB1301" s="19" t="str">
        <f>C1301 &amp; "-" &amp; VLOOKUP(C1301,[4]RESULTATS!$E$1:$F$176,2,FALSE)</f>
        <v>421- La capacité d’accueil en infrastructures, équipements et en enseignants des institutions est accrue</v>
      </c>
      <c r="AC1301" s="20" t="str">
        <f>D1301 &amp; "-" &amp; VLOOKUP(D1301,[4]STRATEGIES!$E$1:$F$504,2,FALSE)</f>
        <v>4212-Construction/rénovation et équipement d’infrastructures à usage pédagogique, de recherche et œuvres universitaires, avec rampe d'accès et tenant compte de la prévention des catastrophes naturelles</v>
      </c>
      <c r="AD1301" s="21" t="str">
        <f t="shared" si="207"/>
        <v>42123-Réhabilitation et équipement des infrastructures de l'UGAN Conakry</v>
      </c>
    </row>
    <row r="1302" spans="1:30" s="22" customFormat="1" ht="45" hidden="1" customHeight="1" x14ac:dyDescent="0.8">
      <c r="A1302" s="14">
        <v>4</v>
      </c>
      <c r="B1302" s="15">
        <v>42</v>
      </c>
      <c r="C1302" s="15">
        <v>421</v>
      </c>
      <c r="D1302" s="15">
        <v>4212</v>
      </c>
      <c r="E1302" s="14">
        <v>42124</v>
      </c>
      <c r="F1302" s="16" t="s">
        <v>1712</v>
      </c>
      <c r="G1302" s="21" t="s">
        <v>1713</v>
      </c>
      <c r="H1302" s="17" t="s">
        <v>1714</v>
      </c>
      <c r="I1302" s="56">
        <v>0</v>
      </c>
      <c r="J1302" s="56">
        <v>0.33333333333333298</v>
      </c>
      <c r="K1302" s="56">
        <v>0.33333333333333298</v>
      </c>
      <c r="L1302" s="56"/>
      <c r="M1302" s="56">
        <f t="shared" si="204"/>
        <v>0.66666666666666596</v>
      </c>
      <c r="N1302" s="56">
        <f>IF(OR(H1302="",H1302="sif",H1302="PM"),0,VLOOKUP(H1302,[5]CU!$C$4:$H$255,6,FALSE))</f>
        <v>7500</v>
      </c>
      <c r="O1302" s="56">
        <f t="shared" si="205"/>
        <v>0</v>
      </c>
      <c r="P1302" s="56">
        <f t="shared" si="205"/>
        <v>2499.9999999999973</v>
      </c>
      <c r="Q1302" s="56">
        <f t="shared" si="205"/>
        <v>2499.9999999999973</v>
      </c>
      <c r="R1302" s="56">
        <f t="shared" si="205"/>
        <v>0</v>
      </c>
      <c r="S1302" s="53">
        <f t="shared" si="208"/>
        <v>4999.9999999999945</v>
      </c>
      <c r="T1302" s="35" t="s">
        <v>56</v>
      </c>
      <c r="U1302" s="18" t="s">
        <v>1696</v>
      </c>
      <c r="V1302" s="19" t="str">
        <f>IF(OR($H1302="",$H1302="sif",$H1302="PM"),"",VLOOKUP($H1302,[5]CU!$C$5:$J$255,8,FALSE))</f>
        <v>5. Investissement</v>
      </c>
      <c r="W1302" s="18" t="s">
        <v>1705</v>
      </c>
      <c r="X1302" s="18" t="s">
        <v>521</v>
      </c>
      <c r="Y1302" s="18" t="s">
        <v>679</v>
      </c>
      <c r="Z1302" s="19" t="str">
        <f>A1302 &amp; "-" &amp; VLOOKUP(A1302,[4]PROGRAMMES!$E$1:$F$7,2,FALSE)</f>
        <v>4-Réforme de l’enseignement supérieur et la recherche scientifique et de l'innovation</v>
      </c>
      <c r="AA1302" s="19" t="str">
        <f>B1302 &amp; "-" &amp; VLOOKUP(B1302,[4]SOUSPROGRAMMES!$E$1:$F$44,2,FALSE)</f>
        <v xml:space="preserve">42- Expansion de l’offre publique pour un système plus équitable en lien avec les priorités nationales </v>
      </c>
      <c r="AB1302" s="19" t="str">
        <f>C1302 &amp; "-" &amp; VLOOKUP(C1302,[4]RESULTATS!$E$1:$F$176,2,FALSE)</f>
        <v>421- La capacité d’accueil en infrastructures, équipements et en enseignants des institutions est accrue</v>
      </c>
      <c r="AC1302" s="20" t="str">
        <f>D1302 &amp; "-" &amp; VLOOKUP(D1302,[4]STRATEGIES!$E$1:$F$504,2,FALSE)</f>
        <v>4212-Construction/rénovation et équipement d’infrastructures à usage pédagogique, de recherche et œuvres universitaires, avec rampe d'accès et tenant compte de la prévention des catastrophes naturelles</v>
      </c>
      <c r="AD1302" s="21" t="str">
        <f t="shared" si="207"/>
        <v>42124-Construction de l'annexe de Bordo de l'UJN/Kankan</v>
      </c>
    </row>
    <row r="1303" spans="1:30" s="22" customFormat="1" ht="45" hidden="1" customHeight="1" x14ac:dyDescent="0.8">
      <c r="A1303" s="14">
        <v>4</v>
      </c>
      <c r="B1303" s="15">
        <v>42</v>
      </c>
      <c r="C1303" s="15">
        <v>421</v>
      </c>
      <c r="D1303" s="15">
        <v>4212</v>
      </c>
      <c r="E1303" s="14">
        <v>42125</v>
      </c>
      <c r="F1303" s="16" t="s">
        <v>1715</v>
      </c>
      <c r="G1303" s="21" t="s">
        <v>103</v>
      </c>
      <c r="H1303" s="17" t="s">
        <v>1716</v>
      </c>
      <c r="I1303" s="56">
        <v>0</v>
      </c>
      <c r="J1303" s="56">
        <v>0.39999997236312401</v>
      </c>
      <c r="K1303" s="56">
        <v>0.39999997236312401</v>
      </c>
      <c r="L1303" s="56"/>
      <c r="M1303" s="56">
        <f t="shared" si="204"/>
        <v>0.79999994472624802</v>
      </c>
      <c r="N1303" s="56">
        <f>IF(OR(H1303="",H1303="sif",H1303="PM"),0,VLOOKUP(H1303,[5]CU!$C$4:$H$255,6,FALSE))</f>
        <v>361835</v>
      </c>
      <c r="O1303" s="56">
        <f t="shared" si="205"/>
        <v>0</v>
      </c>
      <c r="P1303" s="56">
        <f t="shared" si="205"/>
        <v>144733.99000001096</v>
      </c>
      <c r="Q1303" s="56">
        <f t="shared" si="205"/>
        <v>144733.99000001096</v>
      </c>
      <c r="R1303" s="56">
        <f t="shared" si="205"/>
        <v>0</v>
      </c>
      <c r="S1303" s="53">
        <f t="shared" si="208"/>
        <v>289467.98000002193</v>
      </c>
      <c r="T1303" s="35" t="s">
        <v>56</v>
      </c>
      <c r="U1303" s="18" t="s">
        <v>1696</v>
      </c>
      <c r="V1303" s="19" t="str">
        <f>IF(OR($H1303="",$H1303="sif",$H1303="PM"),"",VLOOKUP($H1303,[5]CU!$C$5:$J$255,8,FALSE))</f>
        <v>5. Investissement</v>
      </c>
      <c r="W1303" s="18" t="s">
        <v>1705</v>
      </c>
      <c r="X1303" s="18" t="s">
        <v>521</v>
      </c>
      <c r="Y1303" s="18" t="s">
        <v>679</v>
      </c>
      <c r="Z1303" s="19" t="str">
        <f>A1303 &amp; "-" &amp; VLOOKUP(A1303,[4]PROGRAMMES!$E$1:$F$7,2,FALSE)</f>
        <v>4-Réforme de l’enseignement supérieur et la recherche scientifique et de l'innovation</v>
      </c>
      <c r="AA1303" s="19" t="str">
        <f>B1303 &amp; "-" &amp; VLOOKUP(B1303,[4]SOUSPROGRAMMES!$E$1:$F$44,2,FALSE)</f>
        <v xml:space="preserve">42- Expansion de l’offre publique pour un système plus équitable en lien avec les priorités nationales </v>
      </c>
      <c r="AB1303" s="19" t="str">
        <f>C1303 &amp; "-" &amp; VLOOKUP(C1303,[4]RESULTATS!$E$1:$F$176,2,FALSE)</f>
        <v>421- La capacité d’accueil en infrastructures, équipements et en enseignants des institutions est accrue</v>
      </c>
      <c r="AC1303" s="20" t="str">
        <f>D1303 &amp; "-" &amp; VLOOKUP(D1303,[4]STRATEGIES!$E$1:$F$504,2,FALSE)</f>
        <v>4212-Construction/rénovation et équipement d’infrastructures à usage pédagogique, de recherche et œuvres universitaires, avec rampe d'accès et tenant compte de la prévention des catastrophes naturelles</v>
      </c>
      <c r="AD1303" s="21" t="str">
        <f t="shared" si="207"/>
        <v>42125-Réhabilitation et Extension des 4 universites</v>
      </c>
    </row>
    <row r="1304" spans="1:30" s="22" customFormat="1" ht="45" hidden="1" customHeight="1" x14ac:dyDescent="0.8">
      <c r="A1304" s="14">
        <v>4</v>
      </c>
      <c r="B1304" s="15">
        <v>42</v>
      </c>
      <c r="C1304" s="15">
        <v>421</v>
      </c>
      <c r="D1304" s="15">
        <v>4212</v>
      </c>
      <c r="E1304" s="14">
        <v>42126</v>
      </c>
      <c r="F1304" s="16" t="s">
        <v>1717</v>
      </c>
      <c r="G1304" s="21" t="s">
        <v>1282</v>
      </c>
      <c r="H1304" s="17" t="s">
        <v>1718</v>
      </c>
      <c r="I1304" s="56">
        <v>0</v>
      </c>
      <c r="J1304" s="56">
        <v>0.226638163058374</v>
      </c>
      <c r="K1304" s="56">
        <v>0.14243012163457</v>
      </c>
      <c r="L1304" s="56"/>
      <c r="M1304" s="56">
        <f t="shared" si="204"/>
        <v>0.369068284692944</v>
      </c>
      <c r="N1304" s="56">
        <f>IF(OR(H1304="",H1304="sif",H1304="PM"),0,VLOOKUP(H1304,[5]CU!$C$4:$H$255,6,FALSE))</f>
        <v>53078</v>
      </c>
      <c r="O1304" s="56">
        <f t="shared" si="205"/>
        <v>0</v>
      </c>
      <c r="P1304" s="56">
        <f t="shared" si="205"/>
        <v>12029.500418812375</v>
      </c>
      <c r="Q1304" s="56">
        <f t="shared" si="205"/>
        <v>7559.9059961197063</v>
      </c>
      <c r="R1304" s="56">
        <f t="shared" si="205"/>
        <v>0</v>
      </c>
      <c r="S1304" s="53">
        <f t="shared" si="208"/>
        <v>19589.40641493208</v>
      </c>
      <c r="T1304" s="35" t="s">
        <v>56</v>
      </c>
      <c r="U1304" s="18" t="s">
        <v>1696</v>
      </c>
      <c r="V1304" s="19" t="str">
        <f>IF(OR($H1304="",$H1304="sif",$H1304="PM"),"",VLOOKUP($H1304,[5]CU!$C$5:$J$255,8,FALSE))</f>
        <v>5. Investissement</v>
      </c>
      <c r="W1304" s="18"/>
      <c r="X1304" s="18"/>
      <c r="Y1304" s="18" t="s">
        <v>679</v>
      </c>
      <c r="Z1304" s="19" t="str">
        <f>A1304 &amp; "-" &amp; VLOOKUP(A1304,[4]PROGRAMMES!$E$1:$F$7,2,FALSE)</f>
        <v>4-Réforme de l’enseignement supérieur et la recherche scientifique et de l'innovation</v>
      </c>
      <c r="AA1304" s="19" t="str">
        <f>B1304 &amp; "-" &amp; VLOOKUP(B1304,[4]SOUSPROGRAMMES!$E$1:$F$44,2,FALSE)</f>
        <v xml:space="preserve">42- Expansion de l’offre publique pour un système plus équitable en lien avec les priorités nationales </v>
      </c>
      <c r="AB1304" s="19" t="str">
        <f>C1304 &amp; "-" &amp; VLOOKUP(C1304,[4]RESULTATS!$E$1:$F$176,2,FALSE)</f>
        <v>421- La capacité d’accueil en infrastructures, équipements et en enseignants des institutions est accrue</v>
      </c>
      <c r="AC1304" s="20" t="str">
        <f>D1304 &amp; "-" &amp; VLOOKUP(D1304,[4]STRATEGIES!$E$1:$F$504,2,FALSE)</f>
        <v>4212-Construction/rénovation et équipement d’infrastructures à usage pédagogique, de recherche et œuvres universitaires, avec rampe d'accès et tenant compte de la prévention des catastrophes naturelles</v>
      </c>
      <c r="AD1304" s="21" t="str">
        <f t="shared" si="207"/>
        <v>42126-Rehabilitation des ISAV-VGE/Faranah</v>
      </c>
    </row>
    <row r="1305" spans="1:30" s="22" customFormat="1" ht="45" customHeight="1" x14ac:dyDescent="0.8">
      <c r="A1305" s="14">
        <v>4</v>
      </c>
      <c r="B1305" s="15">
        <v>42</v>
      </c>
      <c r="C1305" s="15">
        <v>421</v>
      </c>
      <c r="D1305" s="15">
        <v>4213</v>
      </c>
      <c r="E1305" s="14">
        <v>4213</v>
      </c>
      <c r="F1305" s="16" t="s">
        <v>1719</v>
      </c>
      <c r="G1305" s="17"/>
      <c r="H1305" s="17"/>
      <c r="I1305" s="56">
        <v>0</v>
      </c>
      <c r="J1305" s="56"/>
      <c r="K1305" s="56"/>
      <c r="L1305" s="56"/>
      <c r="M1305" s="56"/>
      <c r="N1305" s="56"/>
      <c r="O1305" s="56"/>
      <c r="P1305" s="56"/>
      <c r="Q1305" s="56"/>
      <c r="R1305" s="56"/>
      <c r="S1305" s="53"/>
      <c r="T1305" s="33"/>
      <c r="U1305" s="18"/>
      <c r="V1305" s="19"/>
      <c r="W1305" s="18"/>
      <c r="X1305" s="18"/>
      <c r="Y1305" s="18" t="s">
        <v>679</v>
      </c>
      <c r="Z1305" s="19" t="str">
        <f>A1305 &amp; "-" &amp; VLOOKUP(A1305,[4]PROGRAMMES!$E$1:$F$7,2,FALSE)</f>
        <v>4-Réforme de l’enseignement supérieur et la recherche scientifique et de l'innovation</v>
      </c>
      <c r="AA1305" s="19" t="str">
        <f>B1305 &amp; "-" &amp; VLOOKUP(B1305,[4]SOUSPROGRAMMES!$E$1:$F$44,2,FALSE)</f>
        <v xml:space="preserve">42- Expansion de l’offre publique pour un système plus équitable en lien avec les priorités nationales </v>
      </c>
      <c r="AB1305" s="19" t="str">
        <f>C1305 &amp; "-" &amp; VLOOKUP(C1305,[4]RESULTATS!$E$1:$F$176,2,FALSE)</f>
        <v>421- La capacité d’accueil en infrastructures, équipements et en enseignants des institutions est accrue</v>
      </c>
      <c r="AC1305" s="20" t="str">
        <f>D1305 &amp; "-" &amp; VLOOKUP(D1305,[4]STRATEGIES!$E$1:$F$504,2,FALSE)</f>
        <v>4213-Recrutement de personnel enseignant en qualité suffisante</v>
      </c>
      <c r="AD1305" s="21" t="str">
        <f t="shared" si="207"/>
        <v>4213-Recrutement de personnel enseignant en qualité suffisante</v>
      </c>
    </row>
    <row r="1306" spans="1:30" s="22" customFormat="1" ht="60" hidden="1" customHeight="1" x14ac:dyDescent="0.8">
      <c r="A1306" s="14">
        <v>4</v>
      </c>
      <c r="B1306" s="15">
        <v>42</v>
      </c>
      <c r="C1306" s="15">
        <v>421</v>
      </c>
      <c r="D1306" s="15">
        <v>4213</v>
      </c>
      <c r="E1306" s="14">
        <v>42131</v>
      </c>
      <c r="F1306" s="16" t="s">
        <v>1720</v>
      </c>
      <c r="G1306" s="21" t="s">
        <v>1721</v>
      </c>
      <c r="H1306" s="17" t="s">
        <v>1722</v>
      </c>
      <c r="I1306" s="56">
        <v>0</v>
      </c>
      <c r="J1306" s="56">
        <v>0.88320448057453604</v>
      </c>
      <c r="K1306" s="56">
        <v>0.95865927517930405</v>
      </c>
      <c r="L1306" s="56">
        <v>1.0373675873190999</v>
      </c>
      <c r="M1306" s="56">
        <f t="shared" si="204"/>
        <v>2.8792313430729397</v>
      </c>
      <c r="N1306" s="56">
        <f>IF(OR(H1306="",H1306="sif",H1306="PM"),0,VLOOKUP(H1306,[5]CU!$C$4:$H$255,6,FALSE))</f>
        <v>255321.596485922</v>
      </c>
      <c r="O1306" s="56">
        <f t="shared" si="205"/>
        <v>0</v>
      </c>
      <c r="P1306" s="56">
        <f t="shared" si="205"/>
        <v>225501.17800381003</v>
      </c>
      <c r="Q1306" s="56">
        <f t="shared" si="205"/>
        <v>244766.41662481672</v>
      </c>
      <c r="R1306" s="56">
        <f t="shared" si="205"/>
        <v>264862.34853706171</v>
      </c>
      <c r="S1306" s="53">
        <f t="shared" si="208"/>
        <v>735129.94316568843</v>
      </c>
      <c r="T1306" s="35" t="s">
        <v>56</v>
      </c>
      <c r="U1306" s="18" t="s">
        <v>1696</v>
      </c>
      <c r="V1306" s="19" t="str">
        <f>IF(OR($H1306="",$H1306="sif",$H1306="PM"),"",VLOOKUP($H1306,[5]CU!$C$5:$J$255,8,FALSE))</f>
        <v>2. Personnel</v>
      </c>
      <c r="W1306" s="18" t="s">
        <v>1705</v>
      </c>
      <c r="X1306" s="18" t="s">
        <v>750</v>
      </c>
      <c r="Y1306" s="18" t="s">
        <v>679</v>
      </c>
      <c r="Z1306" s="19" t="str">
        <f>A1306 &amp; "-" &amp; VLOOKUP(A1306,[4]PROGRAMMES!$E$1:$F$7,2,FALSE)</f>
        <v>4-Réforme de l’enseignement supérieur et la recherche scientifique et de l'innovation</v>
      </c>
      <c r="AA1306" s="19" t="str">
        <f>B1306 &amp; "-" &amp; VLOOKUP(B1306,[4]SOUSPROGRAMMES!$E$1:$F$44,2,FALSE)</f>
        <v xml:space="preserve">42- Expansion de l’offre publique pour un système plus équitable en lien avec les priorités nationales </v>
      </c>
      <c r="AB1306" s="19" t="str">
        <f>C1306 &amp; "-" &amp; VLOOKUP(C1306,[4]RESULTATS!$E$1:$F$176,2,FALSE)</f>
        <v>421- La capacité d’accueil en infrastructures, équipements et en enseignants des institutions est accrue</v>
      </c>
      <c r="AC1306" s="20" t="str">
        <f>D1306 &amp; "-" &amp; VLOOKUP(D1306,[4]STRATEGIES!$E$1:$F$504,2,FALSE)</f>
        <v>4213-Recrutement de personnel enseignant en qualité suffisante</v>
      </c>
      <c r="AD1306" s="21" t="str">
        <f t="shared" si="207"/>
        <v>42131-Salaire du personnel des IES (enseignants et non enseignants)</v>
      </c>
    </row>
    <row r="1307" spans="1:30" s="22" customFormat="1" ht="60" customHeight="1" x14ac:dyDescent="0.8">
      <c r="A1307" s="14">
        <v>4</v>
      </c>
      <c r="B1307" s="15">
        <v>42</v>
      </c>
      <c r="C1307" s="15">
        <v>422</v>
      </c>
      <c r="D1307" s="15">
        <v>422</v>
      </c>
      <c r="E1307" s="14">
        <v>422</v>
      </c>
      <c r="F1307" s="16" t="s">
        <v>1723</v>
      </c>
      <c r="G1307" s="17"/>
      <c r="H1307" s="17"/>
      <c r="I1307" s="56">
        <v>0</v>
      </c>
      <c r="J1307" s="56"/>
      <c r="K1307" s="56"/>
      <c r="L1307" s="56"/>
      <c r="M1307" s="56"/>
      <c r="N1307" s="56"/>
      <c r="O1307" s="56"/>
      <c r="P1307" s="56"/>
      <c r="Q1307" s="56"/>
      <c r="R1307" s="56"/>
      <c r="S1307" s="53"/>
      <c r="T1307" s="33"/>
      <c r="U1307" s="18"/>
      <c r="V1307" s="19"/>
      <c r="W1307" s="18"/>
      <c r="X1307" s="18"/>
      <c r="Y1307" s="18" t="s">
        <v>679</v>
      </c>
      <c r="Z1307" s="19" t="str">
        <f>A1307 &amp; "-" &amp; VLOOKUP(A1307,[4]PROGRAMMES!$E$1:$F$7,2,FALSE)</f>
        <v>4-Réforme de l’enseignement supérieur et la recherche scientifique et de l'innovation</v>
      </c>
      <c r="AA1307" s="19" t="str">
        <f>B1307 &amp; "-" &amp; VLOOKUP(B1307,[4]SOUSPROGRAMMES!$E$1:$F$44,2,FALSE)</f>
        <v xml:space="preserve">42- Expansion de l’offre publique pour un système plus équitable en lien avec les priorités nationales </v>
      </c>
      <c r="AB1307" s="19" t="str">
        <f>C1307 &amp; "-" &amp; VLOOKUP(C1307,[4]RESULTATS!$E$1:$F$176,2,FALSE)</f>
        <v>422- Le nombre des effectifs orientés vers les filières techniques et scientifiques est considérablement augmenté</v>
      </c>
      <c r="AC1307" s="20" t="str">
        <f>D1307 &amp; "-" &amp; VLOOKUP(D1307,[4]STRATEGIES!$E$1:$F$504,2,FALSE)</f>
        <v>422- Le nombre des effectifs orientés vers les filières techniques et scientifiques est considérablement augmenté</v>
      </c>
      <c r="AD1307" s="21" t="str">
        <f t="shared" si="207"/>
        <v>422- Le nombre des effectifs orientés vers les filières techniques et scientifiques est considérablement augmenté</v>
      </c>
    </row>
    <row r="1308" spans="1:30" s="22" customFormat="1" ht="60" customHeight="1" x14ac:dyDescent="0.8">
      <c r="A1308" s="14">
        <v>4</v>
      </c>
      <c r="B1308" s="15">
        <v>42</v>
      </c>
      <c r="C1308" s="15">
        <v>422</v>
      </c>
      <c r="D1308" s="15">
        <v>4221</v>
      </c>
      <c r="E1308" s="14">
        <v>4221</v>
      </c>
      <c r="F1308" s="16" t="s">
        <v>1724</v>
      </c>
      <c r="G1308" s="17"/>
      <c r="H1308" s="17"/>
      <c r="I1308" s="56">
        <v>0</v>
      </c>
      <c r="J1308" s="56"/>
      <c r="K1308" s="56"/>
      <c r="L1308" s="56"/>
      <c r="M1308" s="56"/>
      <c r="N1308" s="56"/>
      <c r="O1308" s="56"/>
      <c r="P1308" s="56"/>
      <c r="Q1308" s="56"/>
      <c r="R1308" s="56"/>
      <c r="S1308" s="53"/>
      <c r="T1308" s="33"/>
      <c r="U1308" s="18"/>
      <c r="V1308" s="19"/>
      <c r="W1308" s="18"/>
      <c r="X1308" s="18"/>
      <c r="Y1308" s="18" t="s">
        <v>679</v>
      </c>
      <c r="Z1308" s="19" t="str">
        <f>A1308 &amp; "-" &amp; VLOOKUP(A1308,[4]PROGRAMMES!$E$1:$F$7,2,FALSE)</f>
        <v>4-Réforme de l’enseignement supérieur et la recherche scientifique et de l'innovation</v>
      </c>
      <c r="AA1308" s="19" t="str">
        <f>B1308 &amp; "-" &amp; VLOOKUP(B1308,[4]SOUSPROGRAMMES!$E$1:$F$44,2,FALSE)</f>
        <v xml:space="preserve">42- Expansion de l’offre publique pour un système plus équitable en lien avec les priorités nationales </v>
      </c>
      <c r="AB1308" s="19" t="str">
        <f>C1308 &amp; "-" &amp; VLOOKUP(C1308,[4]RESULTATS!$E$1:$F$176,2,FALSE)</f>
        <v>422- Le nombre des effectifs orientés vers les filières techniques et scientifiques est considérablement augmenté</v>
      </c>
      <c r="AC1308" s="20" t="str">
        <f>D1308 &amp; "-" &amp; VLOOKUP(D1308,[4]STRATEGIES!$E$1:$F$504,2,FALSE)</f>
        <v>4221-Renforcement de la formation binaire des enseignants du secondaire dans les sciences</v>
      </c>
      <c r="AD1308" s="21" t="str">
        <f t="shared" si="207"/>
        <v>4221-Renforcement de la formation binaire des enseignants du secondaire dans les sciences</v>
      </c>
    </row>
    <row r="1309" spans="1:30" s="22" customFormat="1" ht="60" hidden="1" customHeight="1" x14ac:dyDescent="0.8">
      <c r="A1309" s="14">
        <v>4</v>
      </c>
      <c r="B1309" s="15">
        <v>42</v>
      </c>
      <c r="C1309" s="15">
        <v>422</v>
      </c>
      <c r="D1309" s="15">
        <v>4221</v>
      </c>
      <c r="E1309" s="14">
        <v>42211</v>
      </c>
      <c r="F1309" s="16" t="s">
        <v>1725</v>
      </c>
      <c r="G1309" s="21" t="s">
        <v>167</v>
      </c>
      <c r="H1309" s="17" t="s">
        <v>646</v>
      </c>
      <c r="I1309" s="56">
        <v>0</v>
      </c>
      <c r="J1309" s="56"/>
      <c r="K1309" s="56">
        <f>25*10</f>
        <v>250</v>
      </c>
      <c r="L1309" s="56">
        <f>25*10</f>
        <v>250</v>
      </c>
      <c r="M1309" s="56">
        <f t="shared" si="204"/>
        <v>500</v>
      </c>
      <c r="N1309" s="56">
        <f>IF(OR(H1309="",H1309="sif",H1309="PM"),0,VLOOKUP(H1309,[5]CU!$C$4:$H$255,6,FALSE))</f>
        <v>10.404797</v>
      </c>
      <c r="O1309" s="56">
        <f t="shared" si="205"/>
        <v>0</v>
      </c>
      <c r="P1309" s="56">
        <f t="shared" si="205"/>
        <v>0</v>
      </c>
      <c r="Q1309" s="56">
        <f t="shared" si="205"/>
        <v>2601.1992500000001</v>
      </c>
      <c r="R1309" s="56">
        <f t="shared" si="205"/>
        <v>2601.1992500000001</v>
      </c>
      <c r="S1309" s="53">
        <f t="shared" si="208"/>
        <v>5202.3985000000002</v>
      </c>
      <c r="T1309" s="35" t="s">
        <v>169</v>
      </c>
      <c r="U1309" s="18" t="s">
        <v>1696</v>
      </c>
      <c r="V1309" s="19" t="str">
        <f>IF(OR($H1309="",$H1309="sif",$H1309="PM"),"",VLOOKUP($H1309,[5]CU!$C$5:$J$255,8,FALSE))</f>
        <v>3. Dépenses de fonctionnement</v>
      </c>
      <c r="W1309" s="18" t="s">
        <v>431</v>
      </c>
      <c r="X1309" s="18" t="s">
        <v>1650</v>
      </c>
      <c r="Y1309" s="18" t="s">
        <v>679</v>
      </c>
      <c r="Z1309" s="19" t="str">
        <f>A1309 &amp; "-" &amp; VLOOKUP(A1309,[4]PROGRAMMES!$E$1:$F$7,2,FALSE)</f>
        <v>4-Réforme de l’enseignement supérieur et la recherche scientifique et de l'innovation</v>
      </c>
      <c r="AA1309" s="19" t="str">
        <f>B1309 &amp; "-" &amp; VLOOKUP(B1309,[4]SOUSPROGRAMMES!$E$1:$F$44,2,FALSE)</f>
        <v xml:space="preserve">42- Expansion de l’offre publique pour un système plus équitable en lien avec les priorités nationales </v>
      </c>
      <c r="AB1309" s="19" t="str">
        <f>C1309 &amp; "-" &amp; VLOOKUP(C1309,[4]RESULTATS!$E$1:$F$176,2,FALSE)</f>
        <v>422- Le nombre des effectifs orientés vers les filières techniques et scientifiques est considérablement augmenté</v>
      </c>
      <c r="AC1309" s="20" t="str">
        <f>D1309 &amp; "-" &amp; VLOOKUP(D1309,[4]STRATEGIES!$E$1:$F$504,2,FALSE)</f>
        <v>4221-Renforcement de la formation binaire des enseignants du secondaire dans les sciences</v>
      </c>
      <c r="AD1309" s="21" t="str">
        <f t="shared" si="207"/>
        <v>42211-Révision de curricula pour renforcer les programmes de formation en sciences à l'ISSEG</v>
      </c>
    </row>
    <row r="1310" spans="1:30" s="22" customFormat="1" ht="60" customHeight="1" x14ac:dyDescent="0.8">
      <c r="A1310" s="14">
        <v>4</v>
      </c>
      <c r="B1310" s="15">
        <v>42</v>
      </c>
      <c r="C1310" s="15">
        <v>422</v>
      </c>
      <c r="D1310" s="15">
        <v>4222</v>
      </c>
      <c r="E1310" s="14">
        <v>4222</v>
      </c>
      <c r="F1310" s="16" t="s">
        <v>1726</v>
      </c>
      <c r="G1310" s="17"/>
      <c r="H1310" s="17"/>
      <c r="I1310" s="56">
        <v>0</v>
      </c>
      <c r="J1310" s="56"/>
      <c r="K1310" s="56"/>
      <c r="L1310" s="56"/>
      <c r="M1310" s="56"/>
      <c r="N1310" s="56"/>
      <c r="O1310" s="56"/>
      <c r="P1310" s="56"/>
      <c r="Q1310" s="56"/>
      <c r="R1310" s="56"/>
      <c r="S1310" s="53"/>
      <c r="T1310" s="33"/>
      <c r="U1310" s="18"/>
      <c r="V1310" s="19"/>
      <c r="W1310" s="18"/>
      <c r="X1310" s="18"/>
      <c r="Y1310" s="18" t="s">
        <v>679</v>
      </c>
      <c r="Z1310" s="19" t="str">
        <f>A1310 &amp; "-" &amp; VLOOKUP(A1310,[4]PROGRAMMES!$E$1:$F$7,2,FALSE)</f>
        <v>4-Réforme de l’enseignement supérieur et la recherche scientifique et de l'innovation</v>
      </c>
      <c r="AA1310" s="19" t="str">
        <f>B1310 &amp; "-" &amp; VLOOKUP(B1310,[4]SOUSPROGRAMMES!$E$1:$F$44,2,FALSE)</f>
        <v xml:space="preserve">42- Expansion de l’offre publique pour un système plus équitable en lien avec les priorités nationales </v>
      </c>
      <c r="AB1310" s="19" t="str">
        <f>C1310 &amp; "-" &amp; VLOOKUP(C1310,[4]RESULTATS!$E$1:$F$176,2,FALSE)</f>
        <v>422- Le nombre des effectifs orientés vers les filières techniques et scientifiques est considérablement augmenté</v>
      </c>
      <c r="AC1310" s="20" t="str">
        <f>D1310 &amp; "-" &amp; VLOOKUP(D1310,[4]STRATEGIES!$E$1:$F$504,2,FALSE)</f>
        <v>4222-Mise en place des mesures incitatives</v>
      </c>
      <c r="AD1310" s="21" t="str">
        <f t="shared" si="207"/>
        <v>4222-Mise en place des mesures incitatives</v>
      </c>
    </row>
    <row r="1311" spans="1:30" s="22" customFormat="1" ht="60" hidden="1" customHeight="1" x14ac:dyDescent="0.8">
      <c r="A1311" s="14">
        <v>4</v>
      </c>
      <c r="B1311" s="15">
        <v>42</v>
      </c>
      <c r="C1311" s="15">
        <v>422</v>
      </c>
      <c r="D1311" s="15">
        <v>4222</v>
      </c>
      <c r="E1311" s="14">
        <v>42221</v>
      </c>
      <c r="F1311" s="16" t="s">
        <v>1727</v>
      </c>
      <c r="G1311" s="21" t="s">
        <v>92</v>
      </c>
      <c r="H1311" s="17" t="s">
        <v>55</v>
      </c>
      <c r="I1311" s="56">
        <v>0</v>
      </c>
      <c r="J1311" s="56"/>
      <c r="K1311" s="56">
        <v>1</v>
      </c>
      <c r="L1311" s="56">
        <v>1</v>
      </c>
      <c r="M1311" s="56">
        <f t="shared" si="204"/>
        <v>2</v>
      </c>
      <c r="N1311" s="56">
        <f>IF(OR(H1311="",H1311="sif",H1311="PM"),0,VLOOKUP(H1311,[5]CU!$C$4:$H$255,6,FALSE))</f>
        <v>0</v>
      </c>
      <c r="O1311" s="56">
        <f t="shared" si="205"/>
        <v>0</v>
      </c>
      <c r="P1311" s="56">
        <f t="shared" si="205"/>
        <v>0</v>
      </c>
      <c r="Q1311" s="56">
        <f t="shared" si="205"/>
        <v>0</v>
      </c>
      <c r="R1311" s="56">
        <f t="shared" si="205"/>
        <v>0</v>
      </c>
      <c r="S1311" s="53"/>
      <c r="T1311" s="35" t="s">
        <v>56</v>
      </c>
      <c r="U1311" s="18" t="s">
        <v>1696</v>
      </c>
      <c r="V1311" s="19" t="str">
        <f>IF(OR($H1311="",$H1311="sif",$H1311="PM"),"",VLOOKUP($H1311,[5]CU!$C$5:$J$255,8,FALSE))</f>
        <v/>
      </c>
      <c r="W1311" s="18" t="s">
        <v>1728</v>
      </c>
      <c r="X1311" s="18" t="s">
        <v>521</v>
      </c>
      <c r="Y1311" s="18" t="s">
        <v>679</v>
      </c>
      <c r="Z1311" s="19" t="str">
        <f>A1311 &amp; "-" &amp; VLOOKUP(A1311,[4]PROGRAMMES!$E$1:$F$7,2,FALSE)</f>
        <v>4-Réforme de l’enseignement supérieur et la recherche scientifique et de l'innovation</v>
      </c>
      <c r="AA1311" s="19" t="str">
        <f>B1311 &amp; "-" &amp; VLOOKUP(B1311,[4]SOUSPROGRAMMES!$E$1:$F$44,2,FALSE)</f>
        <v xml:space="preserve">42- Expansion de l’offre publique pour un système plus équitable en lien avec les priorités nationales </v>
      </c>
      <c r="AB1311" s="19" t="str">
        <f>C1311 &amp; "-" &amp; VLOOKUP(C1311,[4]RESULTATS!$E$1:$F$176,2,FALSE)</f>
        <v>422- Le nombre des effectifs orientés vers les filières techniques et scientifiques est considérablement augmenté</v>
      </c>
      <c r="AC1311" s="20" t="str">
        <f>D1311 &amp; "-" &amp; VLOOKUP(D1311,[4]STRATEGIES!$E$1:$F$504,2,FALSE)</f>
        <v>4222-Mise en place des mesures incitatives</v>
      </c>
      <c r="AD1311" s="21" t="str">
        <f t="shared" si="207"/>
        <v>42221-Octroi de bourses incitatives (Pris en compte dans activité 41533)</v>
      </c>
    </row>
    <row r="1312" spans="1:30" s="22" customFormat="1" ht="60" hidden="1" customHeight="1" x14ac:dyDescent="0.8">
      <c r="A1312" s="14">
        <v>4</v>
      </c>
      <c r="B1312" s="15">
        <v>42</v>
      </c>
      <c r="C1312" s="15">
        <v>422</v>
      </c>
      <c r="D1312" s="15">
        <v>4222</v>
      </c>
      <c r="E1312" s="14">
        <v>42222</v>
      </c>
      <c r="F1312" s="16" t="s">
        <v>1729</v>
      </c>
      <c r="G1312" s="21" t="s">
        <v>54</v>
      </c>
      <c r="H1312" s="17" t="s">
        <v>55</v>
      </c>
      <c r="I1312" s="56">
        <v>0</v>
      </c>
      <c r="J1312" s="56">
        <v>1</v>
      </c>
      <c r="K1312" s="56"/>
      <c r="L1312" s="56"/>
      <c r="M1312" s="56">
        <f t="shared" si="204"/>
        <v>1</v>
      </c>
      <c r="N1312" s="56">
        <f>IF(OR(H1312="",H1312="sif",H1312="PM"),0,VLOOKUP(H1312,[5]CU!$C$4:$H$255,6,FALSE))</f>
        <v>0</v>
      </c>
      <c r="O1312" s="56">
        <f t="shared" si="205"/>
        <v>0</v>
      </c>
      <c r="P1312" s="56">
        <f t="shared" si="205"/>
        <v>0</v>
      </c>
      <c r="Q1312" s="56">
        <f t="shared" si="205"/>
        <v>0</v>
      </c>
      <c r="R1312" s="56">
        <f t="shared" si="205"/>
        <v>0</v>
      </c>
      <c r="S1312" s="53"/>
      <c r="T1312" s="35" t="s">
        <v>56</v>
      </c>
      <c r="U1312" s="18" t="s">
        <v>1696</v>
      </c>
      <c r="V1312" s="19" t="str">
        <f>IF(OR($H1312="",$H1312="sif",$H1312="PM"),"",VLOOKUP($H1312,[5]CU!$C$5:$J$255,8,FALSE))</f>
        <v/>
      </c>
      <c r="W1312" s="18" t="s">
        <v>255</v>
      </c>
      <c r="X1312" s="18" t="s">
        <v>142</v>
      </c>
      <c r="Y1312" s="18" t="s">
        <v>679</v>
      </c>
      <c r="Z1312" s="19" t="str">
        <f>A1312 &amp; "-" &amp; VLOOKUP(A1312,[4]PROGRAMMES!$E$1:$F$7,2,FALSE)</f>
        <v>4-Réforme de l’enseignement supérieur et la recherche scientifique et de l'innovation</v>
      </c>
      <c r="AA1312" s="19" t="str">
        <f>B1312 &amp; "-" &amp; VLOOKUP(B1312,[4]SOUSPROGRAMMES!$E$1:$F$44,2,FALSE)</f>
        <v xml:space="preserve">42- Expansion de l’offre publique pour un système plus équitable en lien avec les priorités nationales </v>
      </c>
      <c r="AB1312" s="19" t="str">
        <f>C1312 &amp; "-" &amp; VLOOKUP(C1312,[4]RESULTATS!$E$1:$F$176,2,FALSE)</f>
        <v>422- Le nombre des effectifs orientés vers les filières techniques et scientifiques est considérablement augmenté</v>
      </c>
      <c r="AC1312" s="20" t="str">
        <f>D1312 &amp; "-" &amp; VLOOKUP(D1312,[4]STRATEGIES!$E$1:$F$504,2,FALSE)</f>
        <v>4222-Mise en place des mesures incitatives</v>
      </c>
      <c r="AD1312" s="21" t="str">
        <f t="shared" si="207"/>
        <v>42222-Accès prioritaire aux logements universitaires</v>
      </c>
    </row>
    <row r="1313" spans="1:30" s="22" customFormat="1" ht="60" hidden="1" customHeight="1" x14ac:dyDescent="0.8">
      <c r="A1313" s="14">
        <v>4</v>
      </c>
      <c r="B1313" s="15">
        <v>42</v>
      </c>
      <c r="C1313" s="15">
        <v>422</v>
      </c>
      <c r="D1313" s="15">
        <v>4222</v>
      </c>
      <c r="E1313" s="14">
        <v>42223</v>
      </c>
      <c r="F1313" s="16" t="s">
        <v>1730</v>
      </c>
      <c r="G1313" s="21" t="s">
        <v>1731</v>
      </c>
      <c r="H1313" s="17" t="s">
        <v>1732</v>
      </c>
      <c r="I1313" s="56">
        <v>0</v>
      </c>
      <c r="J1313" s="56"/>
      <c r="K1313" s="56">
        <v>5000</v>
      </c>
      <c r="L1313" s="56">
        <v>5000</v>
      </c>
      <c r="M1313" s="56">
        <f t="shared" si="204"/>
        <v>10000</v>
      </c>
      <c r="N1313" s="56">
        <f>IF(OR(H1313="",H1313="sif",H1313="PM"),0,VLOOKUP(H1313,[5]CU!$C$4:$H$255,6,FALSE))</f>
        <v>0.3</v>
      </c>
      <c r="O1313" s="56">
        <f t="shared" si="205"/>
        <v>0</v>
      </c>
      <c r="P1313" s="56">
        <f t="shared" si="205"/>
        <v>0</v>
      </c>
      <c r="Q1313" s="56">
        <f t="shared" si="205"/>
        <v>1500</v>
      </c>
      <c r="R1313" s="56">
        <f t="shared" si="205"/>
        <v>1500</v>
      </c>
      <c r="S1313" s="53">
        <f>SUM(O1313:R1313)</f>
        <v>3000</v>
      </c>
      <c r="T1313" s="35" t="s">
        <v>169</v>
      </c>
      <c r="U1313" s="18" t="s">
        <v>1696</v>
      </c>
      <c r="V1313" s="19" t="str">
        <f>IF(OR($H1313="",$H1313="sif",$H1313="PM"),"",VLOOKUP($H1313,[5]CU!$C$5:$J$255,8,FALSE))</f>
        <v>4. Transferts et subventions</v>
      </c>
      <c r="W1313" s="18" t="s">
        <v>1733</v>
      </c>
      <c r="X1313" s="18" t="s">
        <v>1607</v>
      </c>
      <c r="Y1313" s="18" t="s">
        <v>679</v>
      </c>
      <c r="Z1313" s="19" t="str">
        <f>A1313 &amp; "-" &amp; VLOOKUP(A1313,[4]PROGRAMMES!$E$1:$F$7,2,FALSE)</f>
        <v>4-Réforme de l’enseignement supérieur et la recherche scientifique et de l'innovation</v>
      </c>
      <c r="AA1313" s="19" t="str">
        <f>B1313 &amp; "-" &amp; VLOOKUP(B1313,[4]SOUSPROGRAMMES!$E$1:$F$44,2,FALSE)</f>
        <v xml:space="preserve">42- Expansion de l’offre publique pour un système plus équitable en lien avec les priorités nationales </v>
      </c>
      <c r="AB1313" s="19" t="str">
        <f>C1313 &amp; "-" &amp; VLOOKUP(C1313,[4]RESULTATS!$E$1:$F$176,2,FALSE)</f>
        <v>422- Le nombre des effectifs orientés vers les filières techniques et scientifiques est considérablement augmenté</v>
      </c>
      <c r="AC1313" s="20" t="str">
        <f>D1313 &amp; "-" &amp; VLOOKUP(D1313,[4]STRATEGIES!$E$1:$F$504,2,FALSE)</f>
        <v>4222-Mise en place des mesures incitatives</v>
      </c>
      <c r="AD1313" s="21" t="str">
        <f t="shared" si="207"/>
        <v>42223-Appui à l'insertion (placement en stages)</v>
      </c>
    </row>
    <row r="1314" spans="1:30" s="22" customFormat="1" ht="60" customHeight="1" x14ac:dyDescent="0.8">
      <c r="A1314" s="14">
        <v>4</v>
      </c>
      <c r="B1314" s="15">
        <v>42</v>
      </c>
      <c r="C1314" s="15">
        <v>422</v>
      </c>
      <c r="D1314" s="15">
        <v>4223</v>
      </c>
      <c r="E1314" s="14">
        <v>4223</v>
      </c>
      <c r="F1314" s="16" t="s">
        <v>1734</v>
      </c>
      <c r="G1314" s="17"/>
      <c r="H1314" s="17"/>
      <c r="I1314" s="56">
        <v>0</v>
      </c>
      <c r="J1314" s="56"/>
      <c r="K1314" s="56"/>
      <c r="L1314" s="56"/>
      <c r="M1314" s="56"/>
      <c r="N1314" s="56"/>
      <c r="O1314" s="56"/>
      <c r="P1314" s="56"/>
      <c r="Q1314" s="56"/>
      <c r="R1314" s="56"/>
      <c r="S1314" s="53"/>
      <c r="T1314" s="33"/>
      <c r="U1314" s="18"/>
      <c r="V1314" s="19"/>
      <c r="W1314" s="18"/>
      <c r="X1314" s="18"/>
      <c r="Y1314" s="18" t="s">
        <v>679</v>
      </c>
      <c r="Z1314" s="19" t="str">
        <f>A1314 &amp; "-" &amp; VLOOKUP(A1314,[4]PROGRAMMES!$E$1:$F$7,2,FALSE)</f>
        <v>4-Réforme de l’enseignement supérieur et la recherche scientifique et de l'innovation</v>
      </c>
      <c r="AA1314" s="19" t="str">
        <f>B1314 &amp; "-" &amp; VLOOKUP(B1314,[4]SOUSPROGRAMMES!$E$1:$F$44,2,FALSE)</f>
        <v xml:space="preserve">42- Expansion de l’offre publique pour un système plus équitable en lien avec les priorités nationales </v>
      </c>
      <c r="AB1314" s="19" t="str">
        <f>C1314 &amp; "-" &amp; VLOOKUP(C1314,[4]RESULTATS!$E$1:$F$176,2,FALSE)</f>
        <v>422- Le nombre des effectifs orientés vers les filières techniques et scientifiques est considérablement augmenté</v>
      </c>
      <c r="AC1314" s="20" t="str">
        <f>D1314 &amp; "-" &amp; VLOOKUP(D1314,[4]STRATEGIES!$E$1:$F$504,2,FALSE)</f>
        <v>4223-Mise en place de classes préparatoires aux grandes écoles</v>
      </c>
      <c r="AD1314" s="21" t="str">
        <f t="shared" si="207"/>
        <v>4223-Mise en place de classes préparatoires aux grandes écoles</v>
      </c>
    </row>
    <row r="1315" spans="1:30" s="22" customFormat="1" ht="60" hidden="1" customHeight="1" x14ac:dyDescent="0.8">
      <c r="A1315" s="14">
        <v>4</v>
      </c>
      <c r="B1315" s="15">
        <v>42</v>
      </c>
      <c r="C1315" s="15">
        <v>422</v>
      </c>
      <c r="D1315" s="15">
        <v>4223</v>
      </c>
      <c r="E1315" s="14">
        <v>42231</v>
      </c>
      <c r="F1315" s="16" t="s">
        <v>1735</v>
      </c>
      <c r="G1315" s="21" t="s">
        <v>167</v>
      </c>
      <c r="H1315" s="17" t="s">
        <v>646</v>
      </c>
      <c r="I1315" s="56">
        <v>0</v>
      </c>
      <c r="J1315" s="56"/>
      <c r="K1315" s="56"/>
      <c r="L1315" s="56"/>
      <c r="M1315" s="56">
        <f t="shared" si="204"/>
        <v>0</v>
      </c>
      <c r="N1315" s="56">
        <f>IF(OR(H1315="",H1315="sif",H1315="PM"),0,VLOOKUP(H1315,[5]CU!$C$4:$H$255,6,FALSE))</f>
        <v>10.404797</v>
      </c>
      <c r="O1315" s="56">
        <f t="shared" si="205"/>
        <v>0</v>
      </c>
      <c r="P1315" s="56">
        <f t="shared" si="205"/>
        <v>0</v>
      </c>
      <c r="Q1315" s="56">
        <f t="shared" si="205"/>
        <v>0</v>
      </c>
      <c r="R1315" s="56">
        <f t="shared" si="205"/>
        <v>0</v>
      </c>
      <c r="S1315" s="53">
        <f>SUM(O1315:R1315)</f>
        <v>0</v>
      </c>
      <c r="T1315" s="35" t="s">
        <v>169</v>
      </c>
      <c r="U1315" s="18" t="s">
        <v>1696</v>
      </c>
      <c r="V1315" s="19" t="str">
        <f>IF(OR($H1315="",$H1315="sif",$H1315="PM"),"",VLOOKUP($H1315,[5]CU!$C$5:$J$255,8,FALSE))</f>
        <v>3. Dépenses de fonctionnement</v>
      </c>
      <c r="W1315" s="18" t="s">
        <v>254</v>
      </c>
      <c r="X1315" s="18" t="s">
        <v>1650</v>
      </c>
      <c r="Y1315" s="18" t="s">
        <v>679</v>
      </c>
      <c r="Z1315" s="19" t="str">
        <f>A1315 &amp; "-" &amp; VLOOKUP(A1315,[4]PROGRAMMES!$E$1:$F$7,2,FALSE)</f>
        <v>4-Réforme de l’enseignement supérieur et la recherche scientifique et de l'innovation</v>
      </c>
      <c r="AA1315" s="19" t="str">
        <f>B1315 &amp; "-" &amp; VLOOKUP(B1315,[4]SOUSPROGRAMMES!$E$1:$F$44,2,FALSE)</f>
        <v xml:space="preserve">42- Expansion de l’offre publique pour un système plus équitable en lien avec les priorités nationales </v>
      </c>
      <c r="AB1315" s="19" t="str">
        <f>C1315 &amp; "-" &amp; VLOOKUP(C1315,[4]RESULTATS!$E$1:$F$176,2,FALSE)</f>
        <v>422- Le nombre des effectifs orientés vers les filières techniques et scientifiques est considérablement augmenté</v>
      </c>
      <c r="AC1315" s="20" t="str">
        <f>D1315 &amp; "-" &amp; VLOOKUP(D1315,[4]STRATEGIES!$E$1:$F$504,2,FALSE)</f>
        <v>4223-Mise en place de classes préparatoires aux grandes écoles</v>
      </c>
      <c r="AD1315" s="21" t="str">
        <f t="shared" si="207"/>
        <v>42231-Recrutement d'une expertise technique pour l'étude globale sur la mise en place de classes préparatoires</v>
      </c>
    </row>
    <row r="1316" spans="1:30" s="22" customFormat="1" ht="45" customHeight="1" x14ac:dyDescent="0.8">
      <c r="A1316" s="14">
        <v>4</v>
      </c>
      <c r="B1316" s="15">
        <v>42</v>
      </c>
      <c r="C1316" s="15">
        <v>423</v>
      </c>
      <c r="D1316" s="15">
        <v>423</v>
      </c>
      <c r="E1316" s="14">
        <v>423</v>
      </c>
      <c r="F1316" s="16" t="s">
        <v>1736</v>
      </c>
      <c r="G1316" s="17"/>
      <c r="H1316" s="17"/>
      <c r="I1316" s="56">
        <v>0</v>
      </c>
      <c r="J1316" s="56"/>
      <c r="K1316" s="56"/>
      <c r="L1316" s="56"/>
      <c r="M1316" s="56"/>
      <c r="N1316" s="56"/>
      <c r="O1316" s="56"/>
      <c r="P1316" s="56"/>
      <c r="Q1316" s="56"/>
      <c r="R1316" s="56"/>
      <c r="S1316" s="53"/>
      <c r="T1316" s="33"/>
      <c r="U1316" s="18"/>
      <c r="V1316" s="19"/>
      <c r="W1316" s="18"/>
      <c r="X1316" s="18"/>
      <c r="Y1316" s="18" t="s">
        <v>679</v>
      </c>
      <c r="Z1316" s="19" t="str">
        <f>A1316 &amp; "-" &amp; VLOOKUP(A1316,[4]PROGRAMMES!$E$1:$F$7,2,FALSE)</f>
        <v>4-Réforme de l’enseignement supérieur et la recherche scientifique et de l'innovation</v>
      </c>
      <c r="AA1316" s="19" t="str">
        <f>B1316 &amp; "-" &amp; VLOOKUP(B1316,[4]SOUSPROGRAMMES!$E$1:$F$44,2,FALSE)</f>
        <v xml:space="preserve">42- Expansion de l’offre publique pour un système plus équitable en lien avec les priorités nationales </v>
      </c>
      <c r="AB1316" s="19" t="str">
        <f>C1316 &amp; "-" &amp; VLOOKUP(C1316,[4]RESULTATS!$E$1:$F$176,2,FALSE)</f>
        <v>423- La professionnalisation des filières est effective</v>
      </c>
      <c r="AC1316" s="20" t="str">
        <f>D1316 &amp; "-" &amp; VLOOKUP(D1316,[4]STRATEGIES!$E$1:$F$504,2,FALSE)</f>
        <v>423- La professionnalisation des filières est effective</v>
      </c>
      <c r="AD1316" s="21" t="str">
        <f t="shared" si="207"/>
        <v>423- La professionnalisation des filières est effective</v>
      </c>
    </row>
    <row r="1317" spans="1:30" s="22" customFormat="1" ht="45" customHeight="1" x14ac:dyDescent="0.8">
      <c r="A1317" s="14">
        <v>4</v>
      </c>
      <c r="B1317" s="15">
        <v>42</v>
      </c>
      <c r="C1317" s="15">
        <v>423</v>
      </c>
      <c r="D1317" s="15">
        <v>4231</v>
      </c>
      <c r="E1317" s="14">
        <v>4231</v>
      </c>
      <c r="F1317" s="16" t="s">
        <v>1737</v>
      </c>
      <c r="G1317" s="17"/>
      <c r="H1317" s="17"/>
      <c r="I1317" s="56">
        <v>0</v>
      </c>
      <c r="J1317" s="56"/>
      <c r="K1317" s="56"/>
      <c r="L1317" s="56"/>
      <c r="M1317" s="56"/>
      <c r="N1317" s="56"/>
      <c r="O1317" s="56"/>
      <c r="P1317" s="56"/>
      <c r="Q1317" s="56"/>
      <c r="R1317" s="56"/>
      <c r="S1317" s="53"/>
      <c r="T1317" s="33"/>
      <c r="U1317" s="18"/>
      <c r="V1317" s="19"/>
      <c r="W1317" s="18"/>
      <c r="X1317" s="18"/>
      <c r="Y1317" s="18" t="s">
        <v>679</v>
      </c>
      <c r="Z1317" s="19" t="str">
        <f>A1317 &amp; "-" &amp; VLOOKUP(A1317,[4]PROGRAMMES!$E$1:$F$7,2,FALSE)</f>
        <v>4-Réforme de l’enseignement supérieur et la recherche scientifique et de l'innovation</v>
      </c>
      <c r="AA1317" s="19" t="str">
        <f>B1317 &amp; "-" &amp; VLOOKUP(B1317,[4]SOUSPROGRAMMES!$E$1:$F$44,2,FALSE)</f>
        <v xml:space="preserve">42- Expansion de l’offre publique pour un système plus équitable en lien avec les priorités nationales </v>
      </c>
      <c r="AB1317" s="19" t="str">
        <f>C1317 &amp; "-" &amp; VLOOKUP(C1317,[4]RESULTATS!$E$1:$F$176,2,FALSE)</f>
        <v>423- La professionnalisation des filières est effective</v>
      </c>
      <c r="AC1317" s="20" t="str">
        <f>D1317 &amp; "-" &amp; VLOOKUP(D1317,[4]STRATEGIES!$E$1:$F$504,2,FALSE)</f>
        <v>4231-Révision et professionnalisation des programmes</v>
      </c>
      <c r="AD1317" s="21" t="str">
        <f t="shared" si="207"/>
        <v>4231-Révision et professionnalisation des programmes</v>
      </c>
    </row>
    <row r="1318" spans="1:30" s="22" customFormat="1" ht="45" hidden="1" customHeight="1" x14ac:dyDescent="0.8">
      <c r="A1318" s="14">
        <v>4</v>
      </c>
      <c r="B1318" s="15">
        <v>42</v>
      </c>
      <c r="C1318" s="15">
        <v>423</v>
      </c>
      <c r="D1318" s="15">
        <v>4231</v>
      </c>
      <c r="E1318" s="14">
        <v>42311</v>
      </c>
      <c r="F1318" s="16" t="s">
        <v>1738</v>
      </c>
      <c r="G1318" s="21" t="s">
        <v>1739</v>
      </c>
      <c r="H1318" s="17" t="s">
        <v>55</v>
      </c>
      <c r="I1318" s="56">
        <v>0</v>
      </c>
      <c r="J1318" s="56"/>
      <c r="K1318" s="56"/>
      <c r="L1318" s="56"/>
      <c r="M1318" s="56">
        <f t="shared" si="204"/>
        <v>0</v>
      </c>
      <c r="N1318" s="56">
        <f>IF(OR(H1318="",H1318="sif",H1318="PM"),0,VLOOKUP(H1318,[5]CU!$C$4:$H$255,6,FALSE))</f>
        <v>0</v>
      </c>
      <c r="O1318" s="56">
        <f t="shared" si="205"/>
        <v>0</v>
      </c>
      <c r="P1318" s="56">
        <f t="shared" si="205"/>
        <v>0</v>
      </c>
      <c r="Q1318" s="56">
        <f t="shared" si="205"/>
        <v>0</v>
      </c>
      <c r="R1318" s="56">
        <f t="shared" si="205"/>
        <v>0</v>
      </c>
      <c r="S1318" s="53"/>
      <c r="T1318" s="35" t="s">
        <v>169</v>
      </c>
      <c r="U1318" s="18" t="s">
        <v>1696</v>
      </c>
      <c r="V1318" s="19" t="str">
        <f>IF(OR($H1318="",$H1318="sif",$H1318="PM"),"",VLOOKUP($H1318,[5]CU!$C$5:$J$255,8,FALSE))</f>
        <v/>
      </c>
      <c r="W1318" s="18" t="s">
        <v>1647</v>
      </c>
      <c r="X1318" s="18" t="s">
        <v>1607</v>
      </c>
      <c r="Y1318" s="18" t="s">
        <v>679</v>
      </c>
      <c r="Z1318" s="19" t="str">
        <f>A1318 &amp; "-" &amp; VLOOKUP(A1318,[4]PROGRAMMES!$E$1:$F$7,2,FALSE)</f>
        <v>4-Réforme de l’enseignement supérieur et la recherche scientifique et de l'innovation</v>
      </c>
      <c r="AA1318" s="19" t="str">
        <f>B1318 &amp; "-" &amp; VLOOKUP(B1318,[4]SOUSPROGRAMMES!$E$1:$F$44,2,FALSE)</f>
        <v xml:space="preserve">42- Expansion de l’offre publique pour un système plus équitable en lien avec les priorités nationales </v>
      </c>
      <c r="AB1318" s="19" t="str">
        <f>C1318 &amp; "-" &amp; VLOOKUP(C1318,[4]RESULTATS!$E$1:$F$176,2,FALSE)</f>
        <v>423- La professionnalisation des filières est effective</v>
      </c>
      <c r="AC1318" s="20" t="str">
        <f>D1318 &amp; "-" &amp; VLOOKUP(D1318,[4]STRATEGIES!$E$1:$F$504,2,FALSE)</f>
        <v>4231-Révision et professionnalisation des programmes</v>
      </c>
      <c r="AD1318" s="21" t="str">
        <f t="shared" si="207"/>
        <v>42311-Identification des programmes à professionnaliser par les institutions</v>
      </c>
    </row>
    <row r="1319" spans="1:30" s="22" customFormat="1" ht="45" hidden="1" customHeight="1" x14ac:dyDescent="0.8">
      <c r="A1319" s="14">
        <v>4</v>
      </c>
      <c r="B1319" s="15">
        <v>42</v>
      </c>
      <c r="C1319" s="15">
        <v>423</v>
      </c>
      <c r="D1319" s="15">
        <v>4231</v>
      </c>
      <c r="E1319" s="14">
        <v>42312</v>
      </c>
      <c r="F1319" s="16" t="s">
        <v>1740</v>
      </c>
      <c r="G1319" s="21" t="s">
        <v>321</v>
      </c>
      <c r="H1319" s="17" t="s">
        <v>55</v>
      </c>
      <c r="I1319" s="56">
        <v>0</v>
      </c>
      <c r="J1319" s="56">
        <v>1</v>
      </c>
      <c r="K1319" s="56"/>
      <c r="L1319" s="56"/>
      <c r="M1319" s="56">
        <f t="shared" si="204"/>
        <v>1</v>
      </c>
      <c r="N1319" s="56">
        <f>IF(OR(H1319="",H1319="sif",H1319="PM"),0,VLOOKUP(H1319,[5]CU!$C$4:$H$255,6,FALSE))</f>
        <v>0</v>
      </c>
      <c r="O1319" s="56">
        <f t="shared" si="205"/>
        <v>0</v>
      </c>
      <c r="P1319" s="56">
        <f t="shared" si="205"/>
        <v>0</v>
      </c>
      <c r="Q1319" s="56">
        <f t="shared" si="205"/>
        <v>0</v>
      </c>
      <c r="R1319" s="56">
        <f t="shared" si="205"/>
        <v>0</v>
      </c>
      <c r="S1319" s="53"/>
      <c r="T1319" s="35" t="s">
        <v>56</v>
      </c>
      <c r="U1319" s="18" t="s">
        <v>1696</v>
      </c>
      <c r="V1319" s="19" t="str">
        <f>IF(OR($H1319="",$H1319="sif",$H1319="PM"),"",VLOOKUP($H1319,[5]CU!$C$5:$J$255,8,FALSE))</f>
        <v/>
      </c>
      <c r="W1319" s="18" t="s">
        <v>1647</v>
      </c>
      <c r="X1319" s="18" t="s">
        <v>1607</v>
      </c>
      <c r="Y1319" s="18" t="s">
        <v>679</v>
      </c>
      <c r="Z1319" s="19" t="str">
        <f>A1319 &amp; "-" &amp; VLOOKUP(A1319,[4]PROGRAMMES!$E$1:$F$7,2,FALSE)</f>
        <v>4-Réforme de l’enseignement supérieur et la recherche scientifique et de l'innovation</v>
      </c>
      <c r="AA1319" s="19" t="str">
        <f>B1319 &amp; "-" &amp; VLOOKUP(B1319,[4]SOUSPROGRAMMES!$E$1:$F$44,2,FALSE)</f>
        <v xml:space="preserve">42- Expansion de l’offre publique pour un système plus équitable en lien avec les priorités nationales </v>
      </c>
      <c r="AB1319" s="19" t="str">
        <f>C1319 &amp; "-" &amp; VLOOKUP(C1319,[4]RESULTATS!$E$1:$F$176,2,FALSE)</f>
        <v>423- La professionnalisation des filières est effective</v>
      </c>
      <c r="AC1319" s="20" t="str">
        <f>D1319 &amp; "-" &amp; VLOOKUP(D1319,[4]STRATEGIES!$E$1:$F$504,2,FALSE)</f>
        <v>4231-Révision et professionnalisation des programmes</v>
      </c>
      <c r="AD1319" s="21" t="str">
        <f t="shared" si="207"/>
        <v>42312-Constitution des commissions pour la révision/professionnalisation</v>
      </c>
    </row>
    <row r="1320" spans="1:30" s="22" customFormat="1" ht="60" hidden="1" customHeight="1" x14ac:dyDescent="0.8">
      <c r="A1320" s="14">
        <v>4</v>
      </c>
      <c r="B1320" s="15">
        <v>42</v>
      </c>
      <c r="C1320" s="15">
        <v>423</v>
      </c>
      <c r="D1320" s="15">
        <v>4231</v>
      </c>
      <c r="E1320" s="14">
        <v>42313</v>
      </c>
      <c r="F1320" s="16" t="s">
        <v>1741</v>
      </c>
      <c r="G1320" s="21" t="s">
        <v>1742</v>
      </c>
      <c r="H1320" s="17" t="s">
        <v>66</v>
      </c>
      <c r="I1320" s="56">
        <v>0</v>
      </c>
      <c r="J1320" s="56"/>
      <c r="K1320" s="56">
        <f>20*5*2</f>
        <v>200</v>
      </c>
      <c r="L1320" s="56"/>
      <c r="M1320" s="56">
        <f t="shared" si="204"/>
        <v>200</v>
      </c>
      <c r="N1320" s="56">
        <f>IF(OR(H1320="",H1320="sif",H1320="PM"),0,VLOOKUP(H1320,[5]CU!$C$4:$H$255,6,FALSE))</f>
        <v>0.255</v>
      </c>
      <c r="O1320" s="56">
        <f t="shared" si="205"/>
        <v>0</v>
      </c>
      <c r="P1320" s="56">
        <f t="shared" si="205"/>
        <v>0</v>
      </c>
      <c r="Q1320" s="56">
        <f t="shared" si="205"/>
        <v>51</v>
      </c>
      <c r="R1320" s="56">
        <f t="shared" si="205"/>
        <v>0</v>
      </c>
      <c r="S1320" s="53">
        <f>SUM(O1320:R1320)</f>
        <v>51</v>
      </c>
      <c r="T1320" s="35" t="s">
        <v>169</v>
      </c>
      <c r="U1320" s="18" t="s">
        <v>1696</v>
      </c>
      <c r="V1320" s="19" t="str">
        <f>IF(OR($H1320="",$H1320="sif",$H1320="PM"),"",VLOOKUP($H1320,[5]CU!$C$5:$J$255,8,FALSE))</f>
        <v>3. Dépenses de fonctionnement</v>
      </c>
      <c r="W1320" s="18" t="s">
        <v>1647</v>
      </c>
      <c r="X1320" s="18" t="s">
        <v>1607</v>
      </c>
      <c r="Y1320" s="18" t="s">
        <v>679</v>
      </c>
      <c r="Z1320" s="19" t="str">
        <f>A1320 &amp; "-" &amp; VLOOKUP(A1320,[4]PROGRAMMES!$E$1:$F$7,2,FALSE)</f>
        <v>4-Réforme de l’enseignement supérieur et la recherche scientifique et de l'innovation</v>
      </c>
      <c r="AA1320" s="19" t="str">
        <f>B1320 &amp; "-" &amp; VLOOKUP(B1320,[4]SOUSPROGRAMMES!$E$1:$F$44,2,FALSE)</f>
        <v xml:space="preserve">42- Expansion de l’offre publique pour un système plus équitable en lien avec les priorités nationales </v>
      </c>
      <c r="AB1320" s="19" t="str">
        <f>C1320 &amp; "-" &amp; VLOOKUP(C1320,[4]RESULTATS!$E$1:$F$176,2,FALSE)</f>
        <v>423- La professionnalisation des filières est effective</v>
      </c>
      <c r="AC1320" s="20" t="str">
        <f>D1320 &amp; "-" &amp; VLOOKUP(D1320,[4]STRATEGIES!$E$1:$F$504,2,FALSE)</f>
        <v>4231-Révision et professionnalisation des programmes</v>
      </c>
      <c r="AD1320" s="21" t="str">
        <f t="shared" si="207"/>
        <v>42313-Travaux de commissions</v>
      </c>
    </row>
    <row r="1321" spans="1:30" s="22" customFormat="1" ht="45" hidden="1" customHeight="1" x14ac:dyDescent="0.8">
      <c r="A1321" s="14">
        <v>4</v>
      </c>
      <c r="B1321" s="15">
        <v>42</v>
      </c>
      <c r="C1321" s="15">
        <v>423</v>
      </c>
      <c r="D1321" s="15">
        <v>4231</v>
      </c>
      <c r="E1321" s="14">
        <v>42314</v>
      </c>
      <c r="F1321" s="16" t="s">
        <v>1743</v>
      </c>
      <c r="G1321" s="21" t="s">
        <v>167</v>
      </c>
      <c r="H1321" s="17" t="s">
        <v>646</v>
      </c>
      <c r="I1321" s="56">
        <v>0</v>
      </c>
      <c r="J1321" s="56">
        <f>1*30*1</f>
        <v>30</v>
      </c>
      <c r="K1321" s="56"/>
      <c r="L1321" s="56"/>
      <c r="M1321" s="56">
        <f t="shared" si="204"/>
        <v>30</v>
      </c>
      <c r="N1321" s="56">
        <f>IF(OR(H1321="",H1321="sif",H1321="PM"),0,VLOOKUP(H1321,[5]CU!$C$4:$H$255,6,FALSE))</f>
        <v>10.404797</v>
      </c>
      <c r="O1321" s="56">
        <f t="shared" si="205"/>
        <v>0</v>
      </c>
      <c r="P1321" s="56">
        <f t="shared" si="205"/>
        <v>312.14391000000001</v>
      </c>
      <c r="Q1321" s="56">
        <f t="shared" si="205"/>
        <v>0</v>
      </c>
      <c r="R1321" s="56">
        <f t="shared" si="205"/>
        <v>0</v>
      </c>
      <c r="S1321" s="53">
        <f>SUM(O1321:R1321)</f>
        <v>312.14391000000001</v>
      </c>
      <c r="T1321" s="35" t="s">
        <v>56</v>
      </c>
      <c r="U1321" s="18" t="s">
        <v>1696</v>
      </c>
      <c r="V1321" s="19" t="str">
        <f>IF(OR($H1321="",$H1321="sif",$H1321="PM"),"",VLOOKUP($H1321,[5]CU!$C$5:$J$255,8,FALSE))</f>
        <v>3. Dépenses de fonctionnement</v>
      </c>
      <c r="W1321" s="18" t="s">
        <v>96</v>
      </c>
      <c r="X1321" s="18" t="s">
        <v>1650</v>
      </c>
      <c r="Y1321" s="18" t="s">
        <v>679</v>
      </c>
      <c r="Z1321" s="19" t="str">
        <f>A1321 &amp; "-" &amp; VLOOKUP(A1321,[4]PROGRAMMES!$E$1:$F$7,2,FALSE)</f>
        <v>4-Réforme de l’enseignement supérieur et la recherche scientifique et de l'innovation</v>
      </c>
      <c r="AA1321" s="19" t="str">
        <f>B1321 &amp; "-" &amp; VLOOKUP(B1321,[4]SOUSPROGRAMMES!$E$1:$F$44,2,FALSE)</f>
        <v xml:space="preserve">42- Expansion de l’offre publique pour un système plus équitable en lien avec les priorités nationales </v>
      </c>
      <c r="AB1321" s="19" t="str">
        <f>C1321 &amp; "-" &amp; VLOOKUP(C1321,[4]RESULTATS!$E$1:$F$176,2,FALSE)</f>
        <v>423- La professionnalisation des filières est effective</v>
      </c>
      <c r="AC1321" s="20" t="str">
        <f>D1321 &amp; "-" &amp; VLOOKUP(D1321,[4]STRATEGIES!$E$1:$F$504,2,FALSE)</f>
        <v>4231-Révision et professionnalisation des programmes</v>
      </c>
      <c r="AD1321" s="21" t="str">
        <f t="shared" si="207"/>
        <v>42314-Recrutement d'une expertise technique en ingénierie de la formation</v>
      </c>
    </row>
    <row r="1322" spans="1:30" s="22" customFormat="1" ht="75" customHeight="1" x14ac:dyDescent="0.8">
      <c r="A1322" s="14">
        <v>4</v>
      </c>
      <c r="B1322" s="15">
        <v>42</v>
      </c>
      <c r="C1322" s="15">
        <v>424</v>
      </c>
      <c r="D1322" s="15">
        <v>424</v>
      </c>
      <c r="E1322" s="14">
        <v>424</v>
      </c>
      <c r="F1322" s="16" t="s">
        <v>1744</v>
      </c>
      <c r="G1322" s="17"/>
      <c r="H1322" s="17"/>
      <c r="I1322" s="56">
        <v>0</v>
      </c>
      <c r="J1322" s="56"/>
      <c r="K1322" s="56"/>
      <c r="L1322" s="56"/>
      <c r="M1322" s="56"/>
      <c r="N1322" s="56"/>
      <c r="O1322" s="56"/>
      <c r="P1322" s="56"/>
      <c r="Q1322" s="56"/>
      <c r="R1322" s="56"/>
      <c r="S1322" s="53"/>
      <c r="T1322" s="33"/>
      <c r="U1322" s="18"/>
      <c r="V1322" s="19"/>
      <c r="W1322" s="18"/>
      <c r="X1322" s="18"/>
      <c r="Y1322" s="18" t="s">
        <v>679</v>
      </c>
      <c r="Z1322" s="19" t="str">
        <f>A1322 &amp; "-" &amp; VLOOKUP(A1322,[4]PROGRAMMES!$E$1:$F$7,2,FALSE)</f>
        <v>4-Réforme de l’enseignement supérieur et la recherche scientifique et de l'innovation</v>
      </c>
      <c r="AA1322" s="19" t="str">
        <f>B1322 &amp; "-" &amp; VLOOKUP(B1322,[4]SOUSPROGRAMMES!$E$1:$F$44,2,FALSE)</f>
        <v xml:space="preserve">42- Expansion de l’offre publique pour un système plus équitable en lien avec les priorités nationales </v>
      </c>
      <c r="AB1322" s="19" t="str">
        <f>C1322 &amp; "-" &amp; VLOOKUP(C1322,[4]RESULTATS!$E$1:$F$176,2,FALSE)</f>
        <v>424- Le nombre de filles, d’étudiants (es) handicapés (es) et ceux/celles issus (es) des couches défavorisées fréquentant les différentes formations est significativement augmenté</v>
      </c>
      <c r="AC1322" s="20" t="str">
        <f>D1322 &amp; "-" &amp; VLOOKUP(D1322,[4]STRATEGIES!$E$1:$F$504,2,FALSE)</f>
        <v>424- Le nombre de filles, d’étudiants (es) handicapés (es) et ceux/celles issus (es) des couches défavorisées fréquentant les différentes formations est significativement augmenté</v>
      </c>
      <c r="AD1322" s="21" t="str">
        <f t="shared" si="207"/>
        <v>424- Le nombre de filles, d’étudiants (es) handicapés (es) et ceux/celles issus (es) des couches défavorisées fréquentant les différentes formations est significativement augmenté</v>
      </c>
    </row>
    <row r="1323" spans="1:30" s="22" customFormat="1" ht="75" customHeight="1" x14ac:dyDescent="0.8">
      <c r="A1323" s="14">
        <v>4</v>
      </c>
      <c r="B1323" s="15">
        <v>42</v>
      </c>
      <c r="C1323" s="15">
        <v>424</v>
      </c>
      <c r="D1323" s="15">
        <v>4241</v>
      </c>
      <c r="E1323" s="14">
        <v>4241</v>
      </c>
      <c r="F1323" s="16" t="s">
        <v>1745</v>
      </c>
      <c r="G1323" s="17"/>
      <c r="H1323" s="17"/>
      <c r="I1323" s="56">
        <v>0</v>
      </c>
      <c r="J1323" s="56"/>
      <c r="K1323" s="56"/>
      <c r="L1323" s="56"/>
      <c r="M1323" s="56"/>
      <c r="N1323" s="56"/>
      <c r="O1323" s="56"/>
      <c r="P1323" s="56"/>
      <c r="Q1323" s="56"/>
      <c r="R1323" s="56"/>
      <c r="S1323" s="53"/>
      <c r="T1323" s="33"/>
      <c r="U1323" s="18"/>
      <c r="V1323" s="19"/>
      <c r="W1323" s="18"/>
      <c r="X1323" s="18"/>
      <c r="Y1323" s="18" t="s">
        <v>679</v>
      </c>
      <c r="Z1323" s="19" t="str">
        <f>A1323 &amp; "-" &amp; VLOOKUP(A1323,[4]PROGRAMMES!$E$1:$F$7,2,FALSE)</f>
        <v>4-Réforme de l’enseignement supérieur et la recherche scientifique et de l'innovation</v>
      </c>
      <c r="AA1323" s="19" t="str">
        <f>B1323 &amp; "-" &amp; VLOOKUP(B1323,[4]SOUSPROGRAMMES!$E$1:$F$44,2,FALSE)</f>
        <v xml:space="preserve">42- Expansion de l’offre publique pour un système plus équitable en lien avec les priorités nationales </v>
      </c>
      <c r="AB1323" s="19" t="str">
        <f>C1323 &amp; "-" &amp; VLOOKUP(C1323,[4]RESULTATS!$E$1:$F$176,2,FALSE)</f>
        <v>424- Le nombre de filles, d’étudiants (es) handicapés (es) et ceux/celles issus (es) des couches défavorisées fréquentant les différentes formations est significativement augmenté</v>
      </c>
      <c r="AC1323" s="20" t="str">
        <f>D1323 &amp; "-" &amp; VLOOKUP(D1323,[4]STRATEGIES!$E$1:$F$504,2,FALSE)</f>
        <v>4241-Mise en place d’un fonds pour la valorisation du rôle des étudiantes dans le supérieur</v>
      </c>
      <c r="AD1323" s="21" t="str">
        <f t="shared" si="207"/>
        <v>4241-Mise en place d’un fonds pour la valorisation du rôle des étudiantes dans le supérieur</v>
      </c>
    </row>
    <row r="1324" spans="1:30" s="22" customFormat="1" ht="75" hidden="1" customHeight="1" x14ac:dyDescent="0.8">
      <c r="A1324" s="14">
        <v>4</v>
      </c>
      <c r="B1324" s="15">
        <v>42</v>
      </c>
      <c r="C1324" s="15">
        <v>424</v>
      </c>
      <c r="D1324" s="15">
        <v>4241</v>
      </c>
      <c r="E1324" s="14">
        <v>42411</v>
      </c>
      <c r="F1324" s="16" t="s">
        <v>1746</v>
      </c>
      <c r="G1324" s="21" t="s">
        <v>826</v>
      </c>
      <c r="H1324" s="17" t="s">
        <v>55</v>
      </c>
      <c r="I1324" s="56">
        <v>0</v>
      </c>
      <c r="J1324" s="56"/>
      <c r="K1324" s="56"/>
      <c r="L1324" s="56"/>
      <c r="M1324" s="56">
        <f t="shared" si="204"/>
        <v>0</v>
      </c>
      <c r="N1324" s="56">
        <f>IF(OR(H1324="",H1324="sif",H1324="PM"),0,VLOOKUP(H1324,[5]CU!$C$4:$H$255,6,FALSE))</f>
        <v>0</v>
      </c>
      <c r="O1324" s="56">
        <f t="shared" si="205"/>
        <v>0</v>
      </c>
      <c r="P1324" s="56">
        <f t="shared" si="205"/>
        <v>0</v>
      </c>
      <c r="Q1324" s="56">
        <f t="shared" si="205"/>
        <v>0</v>
      </c>
      <c r="R1324" s="56">
        <f t="shared" si="205"/>
        <v>0</v>
      </c>
      <c r="S1324" s="53"/>
      <c r="T1324" s="35" t="s">
        <v>169</v>
      </c>
      <c r="U1324" s="18" t="s">
        <v>1696</v>
      </c>
      <c r="V1324" s="19" t="str">
        <f>IF(OR($H1324="",$H1324="sif",$H1324="PM"),"",VLOOKUP($H1324,[5]CU!$C$5:$J$255,8,FALSE))</f>
        <v/>
      </c>
      <c r="W1324" s="18" t="s">
        <v>255</v>
      </c>
      <c r="X1324" s="18" t="s">
        <v>173</v>
      </c>
      <c r="Y1324" s="18" t="s">
        <v>679</v>
      </c>
      <c r="Z1324" s="19" t="str">
        <f>A1324 &amp; "-" &amp; VLOOKUP(A1324,[4]PROGRAMMES!$E$1:$F$7,2,FALSE)</f>
        <v>4-Réforme de l’enseignement supérieur et la recherche scientifique et de l'innovation</v>
      </c>
      <c r="AA1324" s="19" t="str">
        <f>B1324 &amp; "-" &amp; VLOOKUP(B1324,[4]SOUSPROGRAMMES!$E$1:$F$44,2,FALSE)</f>
        <v xml:space="preserve">42- Expansion de l’offre publique pour un système plus équitable en lien avec les priorités nationales </v>
      </c>
      <c r="AB1324" s="19" t="str">
        <f>C1324 &amp; "-" &amp; VLOOKUP(C1324,[4]RESULTATS!$E$1:$F$176,2,FALSE)</f>
        <v>424- Le nombre de filles, d’étudiants (es) handicapés (es) et ceux/celles issus (es) des couches défavorisées fréquentant les différentes formations est significativement augmenté</v>
      </c>
      <c r="AC1324" s="20" t="str">
        <f>D1324 &amp; "-" &amp; VLOOKUP(D1324,[4]STRATEGIES!$E$1:$F$504,2,FALSE)</f>
        <v>4241-Mise en place d’un fonds pour la valorisation du rôle des étudiantes dans le supérieur</v>
      </c>
      <c r="AD1324" s="21" t="str">
        <f t="shared" si="207"/>
        <v>42411-Elaboration et adoption des textes / critères</v>
      </c>
    </row>
    <row r="1325" spans="1:30" s="22" customFormat="1" ht="75" hidden="1" customHeight="1" x14ac:dyDescent="0.8">
      <c r="A1325" s="14">
        <v>4</v>
      </c>
      <c r="B1325" s="15">
        <v>42</v>
      </c>
      <c r="C1325" s="15">
        <v>424</v>
      </c>
      <c r="D1325" s="15">
        <v>4241</v>
      </c>
      <c r="E1325" s="14">
        <v>42412</v>
      </c>
      <c r="F1325" s="16" t="s">
        <v>1747</v>
      </c>
      <c r="G1325" s="21" t="s">
        <v>321</v>
      </c>
      <c r="H1325" s="17" t="s">
        <v>55</v>
      </c>
      <c r="I1325" s="56">
        <v>0</v>
      </c>
      <c r="J1325" s="56">
        <v>1</v>
      </c>
      <c r="K1325" s="56"/>
      <c r="L1325" s="56"/>
      <c r="M1325" s="56">
        <f t="shared" si="204"/>
        <v>1</v>
      </c>
      <c r="N1325" s="56">
        <f>IF(OR(H1325="",H1325="sif",H1325="PM"),0,VLOOKUP(H1325,[5]CU!$C$4:$H$255,6,FALSE))</f>
        <v>0</v>
      </c>
      <c r="O1325" s="56">
        <f t="shared" si="205"/>
        <v>0</v>
      </c>
      <c r="P1325" s="56">
        <f t="shared" si="205"/>
        <v>0</v>
      </c>
      <c r="Q1325" s="56">
        <f t="shared" si="205"/>
        <v>0</v>
      </c>
      <c r="R1325" s="56">
        <f t="shared" si="205"/>
        <v>0</v>
      </c>
      <c r="S1325" s="53"/>
      <c r="T1325" s="35" t="s">
        <v>56</v>
      </c>
      <c r="U1325" s="18" t="s">
        <v>1696</v>
      </c>
      <c r="V1325" s="19" t="str">
        <f>IF(OR($H1325="",$H1325="sif",$H1325="PM"),"",VLOOKUP($H1325,[5]CU!$C$5:$J$255,8,FALSE))</f>
        <v/>
      </c>
      <c r="W1325" s="18" t="s">
        <v>173</v>
      </c>
      <c r="X1325" s="18" t="s">
        <v>521</v>
      </c>
      <c r="Y1325" s="18" t="s">
        <v>679</v>
      </c>
      <c r="Z1325" s="19" t="str">
        <f>A1325 &amp; "-" &amp; VLOOKUP(A1325,[4]PROGRAMMES!$E$1:$F$7,2,FALSE)</f>
        <v>4-Réforme de l’enseignement supérieur et la recherche scientifique et de l'innovation</v>
      </c>
      <c r="AA1325" s="19" t="str">
        <f>B1325 &amp; "-" &amp; VLOOKUP(B1325,[4]SOUSPROGRAMMES!$E$1:$F$44,2,FALSE)</f>
        <v xml:space="preserve">42- Expansion de l’offre publique pour un système plus équitable en lien avec les priorités nationales </v>
      </c>
      <c r="AB1325" s="19" t="str">
        <f>C1325 &amp; "-" &amp; VLOOKUP(C1325,[4]RESULTATS!$E$1:$F$176,2,FALSE)</f>
        <v>424- Le nombre de filles, d’étudiants (es) handicapés (es) et ceux/celles issus (es) des couches défavorisées fréquentant les différentes formations est significativement augmenté</v>
      </c>
      <c r="AC1325" s="20" t="str">
        <f>D1325 &amp; "-" &amp; VLOOKUP(D1325,[4]STRATEGIES!$E$1:$F$504,2,FALSE)</f>
        <v>4241-Mise en place d’un fonds pour la valorisation du rôle des étudiantes dans le supérieur</v>
      </c>
      <c r="AD1325" s="21" t="str">
        <f t="shared" si="207"/>
        <v>42412-Création d'un ligne budgétaire</v>
      </c>
    </row>
    <row r="1326" spans="1:30" s="22" customFormat="1" ht="75" hidden="1" customHeight="1" x14ac:dyDescent="0.8">
      <c r="A1326" s="14">
        <v>4</v>
      </c>
      <c r="B1326" s="15">
        <v>42</v>
      </c>
      <c r="C1326" s="15">
        <v>424</v>
      </c>
      <c r="D1326" s="15">
        <v>4241</v>
      </c>
      <c r="E1326" s="14">
        <v>42413</v>
      </c>
      <c r="F1326" s="16" t="s">
        <v>1748</v>
      </c>
      <c r="G1326" s="21" t="s">
        <v>321</v>
      </c>
      <c r="H1326" s="17" t="s">
        <v>1749</v>
      </c>
      <c r="I1326" s="56">
        <v>0</v>
      </c>
      <c r="J1326" s="56"/>
      <c r="K1326" s="56">
        <v>1</v>
      </c>
      <c r="L1326" s="56">
        <v>1</v>
      </c>
      <c r="M1326" s="56">
        <f t="shared" si="204"/>
        <v>2</v>
      </c>
      <c r="N1326" s="56">
        <f>IF(OR(H1326="",H1326="sif",H1326="PM"),0,VLOOKUP(H1326,[5]CU!$C$4:$H$255,6,FALSE))</f>
        <v>1000</v>
      </c>
      <c r="O1326" s="56">
        <f t="shared" si="205"/>
        <v>0</v>
      </c>
      <c r="P1326" s="56">
        <f t="shared" si="205"/>
        <v>0</v>
      </c>
      <c r="Q1326" s="56">
        <f t="shared" si="205"/>
        <v>1000</v>
      </c>
      <c r="R1326" s="56">
        <f t="shared" si="205"/>
        <v>1000</v>
      </c>
      <c r="S1326" s="53">
        <f>SUM(O1326:R1326)</f>
        <v>2000</v>
      </c>
      <c r="T1326" s="35" t="s">
        <v>56</v>
      </c>
      <c r="U1326" s="18" t="s">
        <v>1696</v>
      </c>
      <c r="V1326" s="19" t="str">
        <f>IF(OR($H1326="",$H1326="sif",$H1326="PM"),"",VLOOKUP($H1326,[5]CU!$C$5:$J$255,8,FALSE))</f>
        <v>4. Transferts et subventions</v>
      </c>
      <c r="W1326" s="18" t="s">
        <v>173</v>
      </c>
      <c r="X1326" s="18" t="s">
        <v>521</v>
      </c>
      <c r="Y1326" s="18" t="s">
        <v>679</v>
      </c>
      <c r="Z1326" s="19" t="str">
        <f>A1326 &amp; "-" &amp; VLOOKUP(A1326,[4]PROGRAMMES!$E$1:$F$7,2,FALSE)</f>
        <v>4-Réforme de l’enseignement supérieur et la recherche scientifique et de l'innovation</v>
      </c>
      <c r="AA1326" s="19" t="str">
        <f>B1326 &amp; "-" &amp; VLOOKUP(B1326,[4]SOUSPROGRAMMES!$E$1:$F$44,2,FALSE)</f>
        <v xml:space="preserve">42- Expansion de l’offre publique pour un système plus équitable en lien avec les priorités nationales </v>
      </c>
      <c r="AB1326" s="19" t="str">
        <f>C1326 &amp; "-" &amp; VLOOKUP(C1326,[4]RESULTATS!$E$1:$F$176,2,FALSE)</f>
        <v>424- Le nombre de filles, d’étudiants (es) handicapés (es) et ceux/celles issus (es) des couches défavorisées fréquentant les différentes formations est significativement augmenté</v>
      </c>
      <c r="AC1326" s="20" t="str">
        <f>D1326 &amp; "-" &amp; VLOOKUP(D1326,[4]STRATEGIES!$E$1:$F$504,2,FALSE)</f>
        <v>4241-Mise en place d’un fonds pour la valorisation du rôle des étudiantes dans le supérieur</v>
      </c>
      <c r="AD1326" s="21" t="str">
        <f t="shared" si="207"/>
        <v>42413-Mise en place de la ligne budgétaire</v>
      </c>
    </row>
    <row r="1327" spans="1:30" s="22" customFormat="1" ht="75" customHeight="1" x14ac:dyDescent="0.8">
      <c r="A1327" s="14">
        <v>4</v>
      </c>
      <c r="B1327" s="15">
        <v>42</v>
      </c>
      <c r="C1327" s="15">
        <v>424</v>
      </c>
      <c r="D1327" s="15">
        <v>4242</v>
      </c>
      <c r="E1327" s="14">
        <v>4242</v>
      </c>
      <c r="F1327" s="16" t="s">
        <v>1750</v>
      </c>
      <c r="G1327" s="17"/>
      <c r="H1327" s="17"/>
      <c r="I1327" s="56">
        <v>0</v>
      </c>
      <c r="J1327" s="56"/>
      <c r="K1327" s="56"/>
      <c r="L1327" s="56"/>
      <c r="M1327" s="56"/>
      <c r="N1327" s="56"/>
      <c r="O1327" s="56"/>
      <c r="P1327" s="56"/>
      <c r="Q1327" s="56"/>
      <c r="R1327" s="56"/>
      <c r="S1327" s="53"/>
      <c r="T1327" s="33"/>
      <c r="U1327" s="18"/>
      <c r="V1327" s="19"/>
      <c r="W1327" s="18"/>
      <c r="X1327" s="18"/>
      <c r="Y1327" s="18" t="s">
        <v>679</v>
      </c>
      <c r="Z1327" s="19" t="str">
        <f>A1327 &amp; "-" &amp; VLOOKUP(A1327,[4]PROGRAMMES!$E$1:$F$7,2,FALSE)</f>
        <v>4-Réforme de l’enseignement supérieur et la recherche scientifique et de l'innovation</v>
      </c>
      <c r="AA1327" s="19" t="str">
        <f>B1327 &amp; "-" &amp; VLOOKUP(B1327,[4]SOUSPROGRAMMES!$E$1:$F$44,2,FALSE)</f>
        <v xml:space="preserve">42- Expansion de l’offre publique pour un système plus équitable en lien avec les priorités nationales </v>
      </c>
      <c r="AB1327" s="19" t="str">
        <f>C1327 &amp; "-" &amp; VLOOKUP(C1327,[4]RESULTATS!$E$1:$F$176,2,FALSE)</f>
        <v>424- Le nombre de filles, d’étudiants (es) handicapés (es) et ceux/celles issus (es) des couches défavorisées fréquentant les différentes formations est significativement augmenté</v>
      </c>
      <c r="AC1327" s="20" t="str">
        <f>D1327 &amp; "-" &amp; VLOOKUP(D1327,[4]STRATEGIES!$E$1:$F$504,2,FALSE)</f>
        <v>4242-Mise en place d’infrastructures et équipements adaptés</v>
      </c>
      <c r="AD1327" s="21" t="str">
        <f t="shared" si="207"/>
        <v>4242-Mise en place d’infrastructures et équipements adaptés</v>
      </c>
    </row>
    <row r="1328" spans="1:30" s="22" customFormat="1" ht="75" hidden="1" customHeight="1" x14ac:dyDescent="0.8">
      <c r="A1328" s="14">
        <v>4</v>
      </c>
      <c r="B1328" s="15">
        <v>42</v>
      </c>
      <c r="C1328" s="15">
        <v>424</v>
      </c>
      <c r="D1328" s="15">
        <v>4242</v>
      </c>
      <c r="E1328" s="14">
        <v>42421</v>
      </c>
      <c r="F1328" s="16" t="s">
        <v>1751</v>
      </c>
      <c r="G1328" s="21" t="s">
        <v>92</v>
      </c>
      <c r="H1328" s="17" t="s">
        <v>55</v>
      </c>
      <c r="I1328" s="56">
        <v>0</v>
      </c>
      <c r="J1328" s="56"/>
      <c r="K1328" s="56"/>
      <c r="L1328" s="56"/>
      <c r="M1328" s="56"/>
      <c r="N1328" s="56">
        <f>IF(OR(H1328="",H1328="sif",H1328="PM"),0,VLOOKUP(H1328,[5]CU!$C$4:$H$255,6,FALSE))</f>
        <v>0</v>
      </c>
      <c r="O1328" s="56"/>
      <c r="P1328" s="56"/>
      <c r="Q1328" s="56"/>
      <c r="R1328" s="56"/>
      <c r="S1328" s="53"/>
      <c r="T1328" s="35" t="s">
        <v>56</v>
      </c>
      <c r="U1328" s="18" t="s">
        <v>1696</v>
      </c>
      <c r="V1328" s="19" t="str">
        <f>IF(OR($H1328="",$H1328="sif",$H1328="PM"),"",VLOOKUP($H1328,[5]CU!$C$5:$J$255,8,FALSE))</f>
        <v/>
      </c>
      <c r="W1328" s="18" t="s">
        <v>1705</v>
      </c>
      <c r="X1328" s="18" t="s">
        <v>521</v>
      </c>
      <c r="Y1328" s="18" t="s">
        <v>679</v>
      </c>
      <c r="Z1328" s="19" t="str">
        <f>A1328 &amp; "-" &amp; VLOOKUP(A1328,[4]PROGRAMMES!$E$1:$F$7,2,FALSE)</f>
        <v>4-Réforme de l’enseignement supérieur et la recherche scientifique et de l'innovation</v>
      </c>
      <c r="AA1328" s="19" t="str">
        <f>B1328 &amp; "-" &amp; VLOOKUP(B1328,[4]SOUSPROGRAMMES!$E$1:$F$44,2,FALSE)</f>
        <v xml:space="preserve">42- Expansion de l’offre publique pour un système plus équitable en lien avec les priorités nationales </v>
      </c>
      <c r="AB1328" s="19" t="str">
        <f>C1328 &amp; "-" &amp; VLOOKUP(C1328,[4]RESULTATS!$E$1:$F$176,2,FALSE)</f>
        <v>424- Le nombre de filles, d’étudiants (es) handicapés (es) et ceux/celles issus (es) des couches défavorisées fréquentant les différentes formations est significativement augmenté</v>
      </c>
      <c r="AC1328" s="20" t="str">
        <f>D1328 &amp; "-" &amp; VLOOKUP(D1328,[4]STRATEGIES!$E$1:$F$504,2,FALSE)</f>
        <v>4242-Mise en place d’infrastructures et équipements adaptés</v>
      </c>
      <c r="AD1328" s="21" t="str">
        <f t="shared" si="207"/>
        <v>42421-Construction de rampes d'accès (Pris en compte dans activités 52111 à 52116)</v>
      </c>
    </row>
    <row r="1329" spans="1:30" s="22" customFormat="1" ht="75" hidden="1" customHeight="1" x14ac:dyDescent="0.8">
      <c r="A1329" s="14">
        <v>4</v>
      </c>
      <c r="B1329" s="15">
        <v>42</v>
      </c>
      <c r="C1329" s="15">
        <v>424</v>
      </c>
      <c r="D1329" s="15">
        <v>4242</v>
      </c>
      <c r="E1329" s="14">
        <v>42422</v>
      </c>
      <c r="F1329" s="16" t="s">
        <v>1752</v>
      </c>
      <c r="G1329" s="21" t="s">
        <v>92</v>
      </c>
      <c r="H1329" s="17" t="s">
        <v>55</v>
      </c>
      <c r="I1329" s="56">
        <v>0</v>
      </c>
      <c r="J1329" s="56"/>
      <c r="K1329" s="56"/>
      <c r="L1329" s="56"/>
      <c r="M1329" s="56"/>
      <c r="N1329" s="56">
        <f>IF(OR(H1329="",H1329="sif",H1329="PM"),0,VLOOKUP(H1329,[5]CU!$C$4:$H$255,6,FALSE))</f>
        <v>0</v>
      </c>
      <c r="O1329" s="56"/>
      <c r="P1329" s="56"/>
      <c r="Q1329" s="56"/>
      <c r="R1329" s="56"/>
      <c r="S1329" s="53"/>
      <c r="T1329" s="35" t="s">
        <v>56</v>
      </c>
      <c r="U1329" s="18" t="s">
        <v>1696</v>
      </c>
      <c r="V1329" s="19" t="str">
        <f>IF(OR($H1329="",$H1329="sif",$H1329="PM"),"",VLOOKUP($H1329,[5]CU!$C$5:$J$255,8,FALSE))</f>
        <v/>
      </c>
      <c r="W1329" s="18" t="s">
        <v>1705</v>
      </c>
      <c r="X1329" s="18" t="s">
        <v>521</v>
      </c>
      <c r="Y1329" s="18" t="s">
        <v>679</v>
      </c>
      <c r="Z1329" s="19" t="str">
        <f>A1329 &amp; "-" &amp; VLOOKUP(A1329,[4]PROGRAMMES!$E$1:$F$7,2,FALSE)</f>
        <v>4-Réforme de l’enseignement supérieur et la recherche scientifique et de l'innovation</v>
      </c>
      <c r="AA1329" s="19" t="str">
        <f>B1329 &amp; "-" &amp; VLOOKUP(B1329,[4]SOUSPROGRAMMES!$E$1:$F$44,2,FALSE)</f>
        <v xml:space="preserve">42- Expansion de l’offre publique pour un système plus équitable en lien avec les priorités nationales </v>
      </c>
      <c r="AB1329" s="19" t="str">
        <f>C1329 &amp; "-" &amp; VLOOKUP(C1329,[4]RESULTATS!$E$1:$F$176,2,FALSE)</f>
        <v>424- Le nombre de filles, d’étudiants (es) handicapés (es) et ceux/celles issus (es) des couches défavorisées fréquentant les différentes formations est significativement augmenté</v>
      </c>
      <c r="AC1329" s="20" t="str">
        <f>D1329 &amp; "-" &amp; VLOOKUP(D1329,[4]STRATEGIES!$E$1:$F$504,2,FALSE)</f>
        <v>4242-Mise en place d’infrastructures et équipements adaptés</v>
      </c>
      <c r="AD1329" s="21" t="str">
        <f t="shared" si="207"/>
        <v>42422-Construction de toilettes adaptées (Pris en compte dans activités 52111 à 52116)</v>
      </c>
    </row>
    <row r="1330" spans="1:30" s="22" customFormat="1" ht="75" customHeight="1" x14ac:dyDescent="0.8">
      <c r="A1330" s="14">
        <v>4</v>
      </c>
      <c r="B1330" s="15">
        <v>42</v>
      </c>
      <c r="C1330" s="15">
        <v>424</v>
      </c>
      <c r="D1330" s="15">
        <v>4243</v>
      </c>
      <c r="E1330" s="14">
        <v>4243</v>
      </c>
      <c r="F1330" s="16" t="s">
        <v>1753</v>
      </c>
      <c r="G1330" s="17"/>
      <c r="H1330" s="17"/>
      <c r="I1330" s="56">
        <v>0</v>
      </c>
      <c r="J1330" s="56"/>
      <c r="K1330" s="56"/>
      <c r="L1330" s="56"/>
      <c r="M1330" s="56"/>
      <c r="N1330" s="56"/>
      <c r="O1330" s="56"/>
      <c r="P1330" s="56"/>
      <c r="Q1330" s="56"/>
      <c r="R1330" s="56"/>
      <c r="S1330" s="53"/>
      <c r="T1330" s="33"/>
      <c r="U1330" s="18"/>
      <c r="V1330" s="19"/>
      <c r="W1330" s="18"/>
      <c r="X1330" s="18"/>
      <c r="Y1330" s="18" t="s">
        <v>679</v>
      </c>
      <c r="Z1330" s="19" t="str">
        <f>A1330 &amp; "-" &amp; VLOOKUP(A1330,[4]PROGRAMMES!$E$1:$F$7,2,FALSE)</f>
        <v>4-Réforme de l’enseignement supérieur et la recherche scientifique et de l'innovation</v>
      </c>
      <c r="AA1330" s="19" t="str">
        <f>B1330 &amp; "-" &amp; VLOOKUP(B1330,[4]SOUSPROGRAMMES!$E$1:$F$44,2,FALSE)</f>
        <v xml:space="preserve">42- Expansion de l’offre publique pour un système plus équitable en lien avec les priorités nationales </v>
      </c>
      <c r="AB1330" s="19" t="str">
        <f>C1330 &amp; "-" &amp; VLOOKUP(C1330,[4]RESULTATS!$E$1:$F$176,2,FALSE)</f>
        <v>424- Le nombre de filles, d’étudiants (es) handicapés (es) et ceux/celles issus (es) des couches défavorisées fréquentant les différentes formations est significativement augmenté</v>
      </c>
      <c r="AC1330" s="20" t="str">
        <f>D1330 &amp; "-" &amp; VLOOKUP(D1330,[4]STRATEGIES!$E$1:$F$504,2,FALSE)</f>
        <v>4243-Instauration des mesures d’accompagnement</v>
      </c>
      <c r="AD1330" s="21" t="str">
        <f t="shared" si="207"/>
        <v>4243-Instauration des mesures d’accompagnement</v>
      </c>
    </row>
    <row r="1331" spans="1:30" s="22" customFormat="1" ht="75" hidden="1" customHeight="1" x14ac:dyDescent="0.8">
      <c r="A1331" s="14">
        <v>4</v>
      </c>
      <c r="B1331" s="15">
        <v>42</v>
      </c>
      <c r="C1331" s="15">
        <v>424</v>
      </c>
      <c r="D1331" s="15">
        <v>4243</v>
      </c>
      <c r="E1331" s="14">
        <v>42431</v>
      </c>
      <c r="F1331" s="16" t="s">
        <v>1754</v>
      </c>
      <c r="G1331" s="21" t="s">
        <v>92</v>
      </c>
      <c r="H1331" s="17" t="s">
        <v>55</v>
      </c>
      <c r="I1331" s="56">
        <v>0</v>
      </c>
      <c r="J1331" s="56">
        <v>1</v>
      </c>
      <c r="K1331" s="56"/>
      <c r="L1331" s="56"/>
      <c r="M1331" s="56">
        <f t="shared" ref="M1331:M1361" si="209">SUM(I1331:L1331)</f>
        <v>1</v>
      </c>
      <c r="N1331" s="56">
        <f>IF(OR(H1331="",H1331="sif",H1331="PM"),0,VLOOKUP(H1331,[5]CU!$C$4:$H$255,6,FALSE))</f>
        <v>0</v>
      </c>
      <c r="O1331" s="56">
        <f t="shared" ref="O1331:R1388" si="210">IFERROR($N1331*I1331,0)</f>
        <v>0</v>
      </c>
      <c r="P1331" s="56">
        <f t="shared" si="210"/>
        <v>0</v>
      </c>
      <c r="Q1331" s="56">
        <f t="shared" si="210"/>
        <v>0</v>
      </c>
      <c r="R1331" s="56">
        <f t="shared" si="210"/>
        <v>0</v>
      </c>
      <c r="S1331" s="53"/>
      <c r="T1331" s="35" t="s">
        <v>56</v>
      </c>
      <c r="U1331" s="18" t="s">
        <v>1696</v>
      </c>
      <c r="V1331" s="19" t="str">
        <f>IF(OR($H1331="",$H1331="sif",$H1331="PM"),"",VLOOKUP($H1331,[5]CU!$C$5:$J$255,8,FALSE))</f>
        <v/>
      </c>
      <c r="W1331" s="18" t="s">
        <v>173</v>
      </c>
      <c r="X1331" s="18" t="s">
        <v>1665</v>
      </c>
      <c r="Y1331" s="18" t="s">
        <v>679</v>
      </c>
      <c r="Z1331" s="19" t="str">
        <f>A1331 &amp; "-" &amp; VLOOKUP(A1331,[4]PROGRAMMES!$E$1:$F$7,2,FALSE)</f>
        <v>4-Réforme de l’enseignement supérieur et la recherche scientifique et de l'innovation</v>
      </c>
      <c r="AA1331" s="19" t="str">
        <f>B1331 &amp; "-" &amp; VLOOKUP(B1331,[4]SOUSPROGRAMMES!$E$1:$F$44,2,FALSE)</f>
        <v xml:space="preserve">42- Expansion de l’offre publique pour un système plus équitable en lien avec les priorités nationales </v>
      </c>
      <c r="AB1331" s="19" t="str">
        <f>C1331 &amp; "-" &amp; VLOOKUP(C1331,[4]RESULTATS!$E$1:$F$176,2,FALSE)</f>
        <v>424- Le nombre de filles, d’étudiants (es) handicapés (es) et ceux/celles issus (es) des couches défavorisées fréquentant les différentes formations est significativement augmenté</v>
      </c>
      <c r="AC1331" s="20" t="str">
        <f>D1331 &amp; "-" &amp; VLOOKUP(D1331,[4]STRATEGIES!$E$1:$F$504,2,FALSE)</f>
        <v>4243-Instauration des mesures d’accompagnement</v>
      </c>
      <c r="AD1331" s="21" t="str">
        <f t="shared" si="207"/>
        <v>42431-Elaboration et adoption des textes et des critères d'octroi des bourses pour les personnes avec handicap et les filles inscrites dans les STIM (pris en compte dans activité 41533)</v>
      </c>
    </row>
    <row r="1332" spans="1:30" s="22" customFormat="1" ht="75" hidden="1" customHeight="1" x14ac:dyDescent="0.8">
      <c r="A1332" s="14">
        <v>4</v>
      </c>
      <c r="B1332" s="15">
        <v>42</v>
      </c>
      <c r="C1332" s="15">
        <v>424</v>
      </c>
      <c r="D1332" s="15">
        <v>4243</v>
      </c>
      <c r="E1332" s="14">
        <v>42432</v>
      </c>
      <c r="F1332" s="16" t="s">
        <v>1755</v>
      </c>
      <c r="G1332" s="21" t="s">
        <v>92</v>
      </c>
      <c r="H1332" s="17" t="s">
        <v>55</v>
      </c>
      <c r="I1332" s="56">
        <v>0</v>
      </c>
      <c r="J1332" s="56"/>
      <c r="K1332" s="56">
        <v>1</v>
      </c>
      <c r="L1332" s="56">
        <v>1</v>
      </c>
      <c r="M1332" s="56">
        <f t="shared" si="209"/>
        <v>2</v>
      </c>
      <c r="N1332" s="56">
        <f>IF(OR(H1332="",H1332="sif",H1332="PM"),0,VLOOKUP(H1332,[5]CU!$C$4:$H$255,6,FALSE))</f>
        <v>0</v>
      </c>
      <c r="O1332" s="56">
        <f t="shared" si="210"/>
        <v>0</v>
      </c>
      <c r="P1332" s="56">
        <f t="shared" si="210"/>
        <v>0</v>
      </c>
      <c r="Q1332" s="56">
        <f t="shared" si="210"/>
        <v>0</v>
      </c>
      <c r="R1332" s="56">
        <f t="shared" si="210"/>
        <v>0</v>
      </c>
      <c r="S1332" s="53"/>
      <c r="T1332" s="35" t="s">
        <v>56</v>
      </c>
      <c r="U1332" s="18" t="s">
        <v>1696</v>
      </c>
      <c r="V1332" s="19" t="str">
        <f>IF(OR($H1332="",$H1332="sif",$H1332="PM"),"",VLOOKUP($H1332,[5]CU!$C$5:$J$255,8,FALSE))</f>
        <v/>
      </c>
      <c r="W1332" s="18" t="s">
        <v>255</v>
      </c>
      <c r="X1332" s="18" t="s">
        <v>142</v>
      </c>
      <c r="Y1332" s="18" t="s">
        <v>679</v>
      </c>
      <c r="Z1332" s="19" t="str">
        <f>A1332 &amp; "-" &amp; VLOOKUP(A1332,[4]PROGRAMMES!$E$1:$F$7,2,FALSE)</f>
        <v>4-Réforme de l’enseignement supérieur et la recherche scientifique et de l'innovation</v>
      </c>
      <c r="AA1332" s="19" t="str">
        <f>B1332 &amp; "-" &amp; VLOOKUP(B1332,[4]SOUSPROGRAMMES!$E$1:$F$44,2,FALSE)</f>
        <v xml:space="preserve">42- Expansion de l’offre publique pour un système plus équitable en lien avec les priorités nationales </v>
      </c>
      <c r="AB1332" s="19" t="str">
        <f>C1332 &amp; "-" &amp; VLOOKUP(C1332,[4]RESULTATS!$E$1:$F$176,2,FALSE)</f>
        <v>424- Le nombre de filles, d’étudiants (es) handicapés (es) et ceux/celles issus (es) des couches défavorisées fréquentant les différentes formations est significativement augmenté</v>
      </c>
      <c r="AC1332" s="20" t="str">
        <f>D1332 &amp; "-" &amp; VLOOKUP(D1332,[4]STRATEGIES!$E$1:$F$504,2,FALSE)</f>
        <v>4243-Instauration des mesures d’accompagnement</v>
      </c>
      <c r="AD1332" s="21" t="str">
        <f t="shared" si="207"/>
        <v>42432-Octroi des bourses (pris en compte dans activités 41533 et 41534)</v>
      </c>
    </row>
    <row r="1333" spans="1:30" s="22" customFormat="1" ht="45" customHeight="1" x14ac:dyDescent="0.8">
      <c r="A1333" s="14">
        <v>4</v>
      </c>
      <c r="B1333" s="15">
        <v>43</v>
      </c>
      <c r="C1333" s="15">
        <v>43</v>
      </c>
      <c r="D1333" s="15">
        <v>43</v>
      </c>
      <c r="E1333" s="14">
        <v>43</v>
      </c>
      <c r="F1333" s="16" t="s">
        <v>1756</v>
      </c>
      <c r="G1333" s="17"/>
      <c r="H1333" s="17"/>
      <c r="I1333" s="56">
        <v>0</v>
      </c>
      <c r="J1333" s="56"/>
      <c r="K1333" s="56"/>
      <c r="L1333" s="56"/>
      <c r="M1333" s="56"/>
      <c r="N1333" s="56"/>
      <c r="O1333" s="56"/>
      <c r="P1333" s="56"/>
      <c r="Q1333" s="56"/>
      <c r="R1333" s="56"/>
      <c r="S1333" s="53"/>
      <c r="T1333" s="33"/>
      <c r="U1333" s="18"/>
      <c r="V1333" s="19"/>
      <c r="W1333" s="18"/>
      <c r="X1333" s="18"/>
      <c r="Y1333" s="18" t="s">
        <v>679</v>
      </c>
      <c r="Z1333" s="19" t="str">
        <f>A1333 &amp; "-" &amp; VLOOKUP(A1333,[4]PROGRAMMES!$E$1:$F$7,2,FALSE)</f>
        <v>4-Réforme de l’enseignement supérieur et la recherche scientifique et de l'innovation</v>
      </c>
      <c r="AA1333" s="19" t="str">
        <f>B1333 &amp; "-" &amp; VLOOKUP(B1333,[4]SOUSPROGRAMMES!$E$1:$F$44,2,FALSE)</f>
        <v>43- Qualité de l’enseignement, de la formation et de la recherche scientifique</v>
      </c>
      <c r="AB1333" s="19" t="str">
        <f>C1333 &amp; "-" &amp; VLOOKUP(C1333,[4]RESULTATS!$E$1:$F$176,2,FALSE)</f>
        <v>43- Qualité de l’enseignement, de la formation et de la recherche scientifique</v>
      </c>
      <c r="AC1333" s="20" t="str">
        <f>D1333 &amp; "-" &amp; VLOOKUP(D1333,[4]STRATEGIES!$E$1:$F$504,2,FALSE)</f>
        <v>43- Qualité de l’enseignement, de la formation et de la recherche scientifique</v>
      </c>
      <c r="AD1333" s="21" t="str">
        <f t="shared" si="207"/>
        <v>43- Qualité de l’enseignement, de la formation et de la recherche scientifique</v>
      </c>
    </row>
    <row r="1334" spans="1:30" s="22" customFormat="1" ht="45" customHeight="1" x14ac:dyDescent="0.8">
      <c r="A1334" s="14">
        <v>4</v>
      </c>
      <c r="B1334" s="15">
        <v>43</v>
      </c>
      <c r="C1334" s="15">
        <v>431</v>
      </c>
      <c r="D1334" s="15">
        <v>431</v>
      </c>
      <c r="E1334" s="14">
        <v>431</v>
      </c>
      <c r="F1334" s="16" t="s">
        <v>1757</v>
      </c>
      <c r="G1334" s="17"/>
      <c r="H1334" s="17"/>
      <c r="I1334" s="56">
        <v>0</v>
      </c>
      <c r="J1334" s="56"/>
      <c r="K1334" s="56"/>
      <c r="L1334" s="56"/>
      <c r="M1334" s="56"/>
      <c r="N1334" s="56"/>
      <c r="O1334" s="56"/>
      <c r="P1334" s="56"/>
      <c r="Q1334" s="56"/>
      <c r="R1334" s="56"/>
      <c r="S1334" s="53"/>
      <c r="T1334" s="33"/>
      <c r="U1334" s="18"/>
      <c r="V1334" s="19"/>
      <c r="W1334" s="18"/>
      <c r="X1334" s="18"/>
      <c r="Y1334" s="18" t="s">
        <v>679</v>
      </c>
      <c r="Z1334" s="19" t="str">
        <f>A1334 &amp; "-" &amp; VLOOKUP(A1334,[4]PROGRAMMES!$E$1:$F$7,2,FALSE)</f>
        <v>4-Réforme de l’enseignement supérieur et la recherche scientifique et de l'innovation</v>
      </c>
      <c r="AA1334" s="19" t="str">
        <f>B1334 &amp; "-" &amp; VLOOKUP(B1334,[4]SOUSPROGRAMMES!$E$1:$F$44,2,FALSE)</f>
        <v>43- Qualité de l’enseignement, de la formation et de la recherche scientifique</v>
      </c>
      <c r="AB1334" s="19" t="str">
        <f>C1334 &amp; "-" &amp; VLOOKUP(C1334,[4]RESULTATS!$E$1:$F$176,2,FALSE)</f>
        <v>431- Le fonctionnement de l'ANAQ est renforcée</v>
      </c>
      <c r="AC1334" s="20" t="str">
        <f>D1334 &amp; "-" &amp; VLOOKUP(D1334,[4]STRATEGIES!$E$1:$F$504,2,FALSE)</f>
        <v>431- Le fonctionnement de l'ANAQ est renforcée</v>
      </c>
      <c r="AD1334" s="21" t="str">
        <f t="shared" si="207"/>
        <v>431- Le fonctionnement de l'ANAQ est renforcée</v>
      </c>
    </row>
    <row r="1335" spans="1:30" s="22" customFormat="1" ht="45" customHeight="1" x14ac:dyDescent="0.8">
      <c r="A1335" s="14">
        <v>4</v>
      </c>
      <c r="B1335" s="15">
        <v>43</v>
      </c>
      <c r="C1335" s="15">
        <v>431</v>
      </c>
      <c r="D1335" s="15">
        <v>4311</v>
      </c>
      <c r="E1335" s="14">
        <v>4311</v>
      </c>
      <c r="F1335" s="16" t="s">
        <v>1758</v>
      </c>
      <c r="G1335" s="17"/>
      <c r="H1335" s="17"/>
      <c r="I1335" s="56">
        <v>0</v>
      </c>
      <c r="J1335" s="56"/>
      <c r="K1335" s="56"/>
      <c r="L1335" s="56"/>
      <c r="M1335" s="56"/>
      <c r="N1335" s="56"/>
      <c r="O1335" s="56"/>
      <c r="P1335" s="56"/>
      <c r="Q1335" s="56"/>
      <c r="R1335" s="56"/>
      <c r="S1335" s="53"/>
      <c r="T1335" s="33"/>
      <c r="U1335" s="18"/>
      <c r="V1335" s="19"/>
      <c r="W1335" s="18"/>
      <c r="X1335" s="18"/>
      <c r="Y1335" s="18" t="s">
        <v>679</v>
      </c>
      <c r="Z1335" s="19" t="str">
        <f>A1335 &amp; "-" &amp; VLOOKUP(A1335,[4]PROGRAMMES!$E$1:$F$7,2,FALSE)</f>
        <v>4-Réforme de l’enseignement supérieur et la recherche scientifique et de l'innovation</v>
      </c>
      <c r="AA1335" s="19" t="str">
        <f>B1335 &amp; "-" &amp; VLOOKUP(B1335,[4]SOUSPROGRAMMES!$E$1:$F$44,2,FALSE)</f>
        <v>43- Qualité de l’enseignement, de la formation et de la recherche scientifique</v>
      </c>
      <c r="AB1335" s="19" t="str">
        <f>C1335 &amp; "-" &amp; VLOOKUP(C1335,[4]RESULTATS!$E$1:$F$176,2,FALSE)</f>
        <v>431- Le fonctionnement de l'ANAQ est renforcée</v>
      </c>
      <c r="AC1335" s="20" t="str">
        <f>D1335 &amp; "-" &amp; VLOOKUP(D1335,[4]STRATEGIES!$E$1:$F$504,2,FALSE)</f>
        <v>4311-Evaluation de la qualité de l’éducation et de la recherche dans les institutions d’enseignement supérieur et de recherche</v>
      </c>
      <c r="AD1335" s="21" t="str">
        <f t="shared" si="207"/>
        <v>4311-Evaluation de la qualité de l’éducation et de la recherche dans les institutions d’enseignement supérieur et de recherche</v>
      </c>
    </row>
    <row r="1336" spans="1:30" s="22" customFormat="1" ht="45" hidden="1" customHeight="1" x14ac:dyDescent="0.8">
      <c r="A1336" s="14">
        <v>4</v>
      </c>
      <c r="B1336" s="15">
        <v>43</v>
      </c>
      <c r="C1336" s="15">
        <v>431</v>
      </c>
      <c r="D1336" s="15">
        <v>4311</v>
      </c>
      <c r="E1336" s="14">
        <v>43111</v>
      </c>
      <c r="F1336" s="16" t="s">
        <v>1759</v>
      </c>
      <c r="G1336" s="21" t="s">
        <v>1035</v>
      </c>
      <c r="H1336" s="17" t="s">
        <v>1760</v>
      </c>
      <c r="I1336" s="56">
        <v>0</v>
      </c>
      <c r="J1336" s="56">
        <f>10*50%</f>
        <v>5</v>
      </c>
      <c r="K1336" s="56">
        <f>20*50%</f>
        <v>10</v>
      </c>
      <c r="L1336" s="56">
        <f>30*50%</f>
        <v>15</v>
      </c>
      <c r="M1336" s="56">
        <f>SUM(I1336:L1336)</f>
        <v>30</v>
      </c>
      <c r="N1336" s="56">
        <f>IF(OR(H1336="",H1336="sif",H1336="PM"),0,VLOOKUP(H1336,[5]CU!$C$4:$H$255,6,FALSE))</f>
        <v>57.6</v>
      </c>
      <c r="O1336" s="56">
        <f>IFERROR($N1336*I1336,0)</f>
        <v>0</v>
      </c>
      <c r="P1336" s="56">
        <f>IFERROR($N1336*J1336,0)</f>
        <v>288</v>
      </c>
      <c r="Q1336" s="56">
        <f>IFERROR($N1336*K1336,0)</f>
        <v>576</v>
      </c>
      <c r="R1336" s="56">
        <f>IFERROR($N1336*L1336,0)</f>
        <v>864</v>
      </c>
      <c r="S1336" s="53">
        <f t="shared" ref="S1336:S1342" si="211">SUM(O1336:R1336)</f>
        <v>1728</v>
      </c>
      <c r="T1336" s="35" t="s">
        <v>56</v>
      </c>
      <c r="U1336" s="19" t="s">
        <v>1696</v>
      </c>
      <c r="V1336" s="19" t="str">
        <f>IF(OR($H1336="",$H1336="sif",$H1336="PM"),"",VLOOKUP($H1336,[5]CU!$C$5:$J$255,8,FALSE))</f>
        <v>3. Dépenses de fonctionnement</v>
      </c>
      <c r="W1336" s="19" t="s">
        <v>1546</v>
      </c>
      <c r="X1336" s="19" t="s">
        <v>1650</v>
      </c>
      <c r="Y1336" s="18" t="s">
        <v>679</v>
      </c>
      <c r="Z1336" s="19" t="str">
        <f>A1336 &amp; "-" &amp; VLOOKUP(A1336,[4]PROGRAMMES!$E$1:$F$7,2,FALSE)</f>
        <v>4-Réforme de l’enseignement supérieur et la recherche scientifique et de l'innovation</v>
      </c>
      <c r="AA1336" s="19" t="str">
        <f>B1336 &amp; "-" &amp; VLOOKUP(B1336,[4]SOUSPROGRAMMES!$E$1:$F$44,2,FALSE)</f>
        <v>43- Qualité de l’enseignement, de la formation et de la recherche scientifique</v>
      </c>
      <c r="AB1336" s="19" t="str">
        <f>C1336 &amp; "-" &amp; VLOOKUP(C1336,[4]RESULTATS!$E$1:$F$176,2,FALSE)</f>
        <v>431- Le fonctionnement de l'ANAQ est renforcée</v>
      </c>
      <c r="AC1336" s="20" t="str">
        <f>D1336 &amp; "-" &amp; VLOOKUP(D1336,[4]STRATEGIES!$E$1:$F$504,2,FALSE)</f>
        <v>4311-Evaluation de la qualité de l’éducation et de la recherche dans les institutions d’enseignement supérieur et de recherche</v>
      </c>
      <c r="AD1336" s="21" t="str">
        <f t="shared" si="207"/>
        <v>43111-Accréditation de programmes par l'ANAQ</v>
      </c>
    </row>
    <row r="1337" spans="1:30" s="22" customFormat="1" ht="45" customHeight="1" x14ac:dyDescent="0.8">
      <c r="A1337" s="14">
        <v>4</v>
      </c>
      <c r="B1337" s="15">
        <v>43</v>
      </c>
      <c r="C1337" s="15">
        <v>431</v>
      </c>
      <c r="D1337" s="15">
        <v>4311</v>
      </c>
      <c r="E1337" s="14">
        <v>43111</v>
      </c>
      <c r="F1337" s="16" t="s">
        <v>1759</v>
      </c>
      <c r="G1337" s="21" t="s">
        <v>1035</v>
      </c>
      <c r="H1337" s="17" t="s">
        <v>1760</v>
      </c>
      <c r="I1337" s="56">
        <v>0</v>
      </c>
      <c r="J1337" s="56">
        <f>10*50%</f>
        <v>5</v>
      </c>
      <c r="K1337" s="56">
        <f>20*50%</f>
        <v>10</v>
      </c>
      <c r="L1337" s="56">
        <f>30*50%</f>
        <v>15</v>
      </c>
      <c r="M1337" s="56">
        <f t="shared" si="209"/>
        <v>30</v>
      </c>
      <c r="N1337" s="56">
        <f>IF(OR(H1337="",H1337="sif",H1337="PM"),0,VLOOKUP(H1337,[5]CU!$C$4:$H$255,6,FALSE))</f>
        <v>57.6</v>
      </c>
      <c r="O1337" s="56">
        <f t="shared" si="210"/>
        <v>0</v>
      </c>
      <c r="P1337" s="56">
        <f t="shared" si="210"/>
        <v>288</v>
      </c>
      <c r="Q1337" s="56">
        <f t="shared" si="210"/>
        <v>576</v>
      </c>
      <c r="R1337" s="56">
        <f t="shared" si="210"/>
        <v>864</v>
      </c>
      <c r="S1337" s="53">
        <f t="shared" si="211"/>
        <v>1728</v>
      </c>
      <c r="T1337" s="35" t="s">
        <v>39</v>
      </c>
      <c r="U1337" s="19" t="s">
        <v>1696</v>
      </c>
      <c r="V1337" s="19" t="str">
        <f>IF(OR($H1337="",$H1337="sif",$H1337="PM"),"",VLOOKUP($H1337,[5]CU!$C$5:$J$255,8,FALSE))</f>
        <v>3. Dépenses de fonctionnement</v>
      </c>
      <c r="W1337" s="19" t="s">
        <v>1546</v>
      </c>
      <c r="X1337" s="19" t="s">
        <v>1650</v>
      </c>
      <c r="Y1337" s="18" t="s">
        <v>679</v>
      </c>
      <c r="Z1337" s="19" t="str">
        <f>A1337 &amp; "-" &amp; VLOOKUP(A1337,[4]PROGRAMMES!$E$1:$F$7,2,FALSE)</f>
        <v>4-Réforme de l’enseignement supérieur et la recherche scientifique et de l'innovation</v>
      </c>
      <c r="AA1337" s="19" t="str">
        <f>B1337 &amp; "-" &amp; VLOOKUP(B1337,[4]SOUSPROGRAMMES!$E$1:$F$44,2,FALSE)</f>
        <v>43- Qualité de l’enseignement, de la formation et de la recherche scientifique</v>
      </c>
      <c r="AB1337" s="19" t="str">
        <f>C1337 &amp; "-" &amp; VLOOKUP(C1337,[4]RESULTATS!$E$1:$F$176,2,FALSE)</f>
        <v>431- Le fonctionnement de l'ANAQ est renforcée</v>
      </c>
      <c r="AC1337" s="20" t="str">
        <f>D1337 &amp; "-" &amp; VLOOKUP(D1337,[4]STRATEGIES!$E$1:$F$504,2,FALSE)</f>
        <v>4311-Evaluation de la qualité de l’éducation et de la recherche dans les institutions d’enseignement supérieur et de recherche</v>
      </c>
      <c r="AD1337" s="21" t="str">
        <f t="shared" si="207"/>
        <v>43111-Accréditation de programmes par l'ANAQ</v>
      </c>
    </row>
    <row r="1338" spans="1:30" s="22" customFormat="1" ht="45" customHeight="1" x14ac:dyDescent="0.8">
      <c r="A1338" s="14">
        <v>4</v>
      </c>
      <c r="B1338" s="15">
        <v>43</v>
      </c>
      <c r="C1338" s="15">
        <v>431</v>
      </c>
      <c r="D1338" s="15">
        <v>4311</v>
      </c>
      <c r="E1338" s="14">
        <v>43112</v>
      </c>
      <c r="F1338" s="16" t="s">
        <v>1761</v>
      </c>
      <c r="G1338" s="21" t="s">
        <v>167</v>
      </c>
      <c r="H1338" s="17" t="s">
        <v>646</v>
      </c>
      <c r="I1338" s="56">
        <v>0</v>
      </c>
      <c r="J1338" s="56">
        <f>(15*15)*70%</f>
        <v>157.5</v>
      </c>
      <c r="K1338" s="56"/>
      <c r="L1338" s="56"/>
      <c r="M1338" s="56">
        <f>SUM(I1338:L1338)</f>
        <v>157.5</v>
      </c>
      <c r="N1338" s="56">
        <f>IF(OR(H1338="",H1338="sif",H1338="PM"),0,VLOOKUP(H1338,[5]CU!$C$4:$H$255,6,FALSE))</f>
        <v>10.404797</v>
      </c>
      <c r="O1338" s="56">
        <f>IFERROR($N1338*I1338,0)</f>
        <v>0</v>
      </c>
      <c r="P1338" s="56">
        <f>IFERROR($N1338*J1338,0)</f>
        <v>1638.7555275</v>
      </c>
      <c r="Q1338" s="56">
        <f>IFERROR($N1338*K1338,0)</f>
        <v>0</v>
      </c>
      <c r="R1338" s="56">
        <f>IFERROR($N1338*L1338,0)</f>
        <v>0</v>
      </c>
      <c r="S1338" s="53">
        <f t="shared" si="211"/>
        <v>1638.7555275</v>
      </c>
      <c r="T1338" s="35" t="s">
        <v>1304</v>
      </c>
      <c r="U1338" s="19" t="s">
        <v>1696</v>
      </c>
      <c r="V1338" s="19" t="str">
        <f>IF(OR($H1338="",$H1338="sif",$H1338="PM"),"",VLOOKUP($H1338,[5]CU!$C$5:$J$255,8,FALSE))</f>
        <v>3. Dépenses de fonctionnement</v>
      </c>
      <c r="W1338" s="19" t="s">
        <v>1546</v>
      </c>
      <c r="X1338" s="19" t="s">
        <v>1650</v>
      </c>
      <c r="Y1338" s="18" t="s">
        <v>679</v>
      </c>
      <c r="Z1338" s="19" t="str">
        <f>A1338 &amp; "-" &amp; VLOOKUP(A1338,[4]PROGRAMMES!$E$1:$F$7,2,FALSE)</f>
        <v>4-Réforme de l’enseignement supérieur et la recherche scientifique et de l'innovation</v>
      </c>
      <c r="AA1338" s="19" t="str">
        <f>B1338 &amp; "-" &amp; VLOOKUP(B1338,[4]SOUSPROGRAMMES!$E$1:$F$44,2,FALSE)</f>
        <v>43- Qualité de l’enseignement, de la formation et de la recherche scientifique</v>
      </c>
      <c r="AB1338" s="19" t="str">
        <f>C1338 &amp; "-" &amp; VLOOKUP(C1338,[4]RESULTATS!$E$1:$F$176,2,FALSE)</f>
        <v>431- Le fonctionnement de l'ANAQ est renforcée</v>
      </c>
      <c r="AC1338" s="20" t="str">
        <f>D1338 &amp; "-" &amp; VLOOKUP(D1338,[4]STRATEGIES!$E$1:$F$504,2,FALSE)</f>
        <v>4311-Evaluation de la qualité de l’éducation et de la recherche dans les institutions d’enseignement supérieur et de recherche</v>
      </c>
      <c r="AD1338" s="21" t="str">
        <f t="shared" si="207"/>
        <v>43112-Recrutement par l'ANAQ de consultants pour l'évaluation des institutions</v>
      </c>
    </row>
    <row r="1339" spans="1:30" s="22" customFormat="1" ht="45" hidden="1" customHeight="1" x14ac:dyDescent="0.8">
      <c r="A1339" s="14">
        <v>4</v>
      </c>
      <c r="B1339" s="15">
        <v>43</v>
      </c>
      <c r="C1339" s="15">
        <v>431</v>
      </c>
      <c r="D1339" s="15">
        <v>4311</v>
      </c>
      <c r="E1339" s="14">
        <v>43112</v>
      </c>
      <c r="F1339" s="16" t="s">
        <v>1761</v>
      </c>
      <c r="G1339" s="21" t="s">
        <v>167</v>
      </c>
      <c r="H1339" s="17" t="s">
        <v>646</v>
      </c>
      <c r="I1339" s="56">
        <v>0</v>
      </c>
      <c r="J1339" s="56">
        <f>(15*15)*30%</f>
        <v>67.5</v>
      </c>
      <c r="K1339" s="56"/>
      <c r="L1339" s="56"/>
      <c r="M1339" s="56">
        <f t="shared" si="209"/>
        <v>67.5</v>
      </c>
      <c r="N1339" s="56">
        <f>IF(OR(H1339="",H1339="sif",H1339="PM"),0,VLOOKUP(H1339,[5]CU!$C$4:$H$255,6,FALSE))</f>
        <v>10.404797</v>
      </c>
      <c r="O1339" s="56">
        <f t="shared" si="210"/>
        <v>0</v>
      </c>
      <c r="P1339" s="56">
        <f t="shared" si="210"/>
        <v>702.32379750000007</v>
      </c>
      <c r="Q1339" s="56">
        <f t="shared" si="210"/>
        <v>0</v>
      </c>
      <c r="R1339" s="56">
        <f t="shared" si="210"/>
        <v>0</v>
      </c>
      <c r="S1339" s="53">
        <f t="shared" si="211"/>
        <v>702.32379750000007</v>
      </c>
      <c r="T1339" s="35" t="s">
        <v>56</v>
      </c>
      <c r="U1339" s="19" t="s">
        <v>1696</v>
      </c>
      <c r="V1339" s="19" t="str">
        <f>IF(OR($H1339="",$H1339="sif",$H1339="PM"),"",VLOOKUP($H1339,[5]CU!$C$5:$J$255,8,FALSE))</f>
        <v>3. Dépenses de fonctionnement</v>
      </c>
      <c r="W1339" s="19" t="s">
        <v>1546</v>
      </c>
      <c r="X1339" s="19" t="s">
        <v>1650</v>
      </c>
      <c r="Y1339" s="18" t="s">
        <v>679</v>
      </c>
      <c r="Z1339" s="19" t="str">
        <f>A1339 &amp; "-" &amp; VLOOKUP(A1339,[4]PROGRAMMES!$E$1:$F$7,2,FALSE)</f>
        <v>4-Réforme de l’enseignement supérieur et la recherche scientifique et de l'innovation</v>
      </c>
      <c r="AA1339" s="19" t="str">
        <f>B1339 &amp; "-" &amp; VLOOKUP(B1339,[4]SOUSPROGRAMMES!$E$1:$F$44,2,FALSE)</f>
        <v>43- Qualité de l’enseignement, de la formation et de la recherche scientifique</v>
      </c>
      <c r="AB1339" s="19" t="str">
        <f>C1339 &amp; "-" &amp; VLOOKUP(C1339,[4]RESULTATS!$E$1:$F$176,2,FALSE)</f>
        <v>431- Le fonctionnement de l'ANAQ est renforcée</v>
      </c>
      <c r="AC1339" s="20" t="str">
        <f>D1339 &amp; "-" &amp; VLOOKUP(D1339,[4]STRATEGIES!$E$1:$F$504,2,FALSE)</f>
        <v>4311-Evaluation de la qualité de l’éducation et de la recherche dans les institutions d’enseignement supérieur et de recherche</v>
      </c>
      <c r="AD1339" s="21" t="str">
        <f t="shared" si="207"/>
        <v>43112-Recrutement par l'ANAQ de consultants pour l'évaluation des institutions</v>
      </c>
    </row>
    <row r="1340" spans="1:30" s="22" customFormat="1" ht="45" hidden="1" customHeight="1" x14ac:dyDescent="0.8">
      <c r="A1340" s="14">
        <v>4</v>
      </c>
      <c r="B1340" s="15">
        <v>43</v>
      </c>
      <c r="C1340" s="15">
        <v>431</v>
      </c>
      <c r="D1340" s="15">
        <v>4311</v>
      </c>
      <c r="E1340" s="14">
        <v>43113</v>
      </c>
      <c r="F1340" s="16" t="s">
        <v>1762</v>
      </c>
      <c r="G1340" s="21" t="s">
        <v>1128</v>
      </c>
      <c r="H1340" s="17" t="s">
        <v>59</v>
      </c>
      <c r="I1340" s="56">
        <v>0</v>
      </c>
      <c r="J1340" s="56">
        <f>(2*5*2)*60%</f>
        <v>12</v>
      </c>
      <c r="K1340" s="56">
        <f>(3*3*5)*60%</f>
        <v>27</v>
      </c>
      <c r="L1340" s="56"/>
      <c r="M1340" s="56">
        <f>SUM(I1340:L1340)</f>
        <v>39</v>
      </c>
      <c r="N1340" s="56">
        <f>IF(OR(H1340="",H1340="sif",H1340="PM"),0,VLOOKUP(H1340,[5]CU!$C$4:$H$255,6,FALSE))</f>
        <v>0.8177777777777776</v>
      </c>
      <c r="O1340" s="56">
        <f>IFERROR($N1340*I1340,0)</f>
        <v>0</v>
      </c>
      <c r="P1340" s="56">
        <f>IFERROR($N1340*J1340,0)</f>
        <v>9.8133333333333308</v>
      </c>
      <c r="Q1340" s="56">
        <f>IFERROR($N1340*K1340,0)</f>
        <v>22.079999999999995</v>
      </c>
      <c r="R1340" s="56">
        <f>IFERROR($N1340*L1340,0)</f>
        <v>0</v>
      </c>
      <c r="S1340" s="53">
        <f t="shared" si="211"/>
        <v>31.893333333333324</v>
      </c>
      <c r="T1340" s="35" t="s">
        <v>56</v>
      </c>
      <c r="U1340" s="19" t="s">
        <v>1696</v>
      </c>
      <c r="V1340" s="19" t="str">
        <f>IF(OR($H1340="",$H1340="sif",$H1340="PM"),"",VLOOKUP($H1340,[5]CU!$C$5:$J$255,8,FALSE))</f>
        <v>3. Dépenses de fonctionnement</v>
      </c>
      <c r="W1340" s="19" t="s">
        <v>255</v>
      </c>
      <c r="X1340" s="19" t="s">
        <v>1546</v>
      </c>
      <c r="Y1340" s="18" t="s">
        <v>679</v>
      </c>
      <c r="Z1340" s="19" t="str">
        <f>A1340 &amp; "-" &amp; VLOOKUP(A1340,[4]PROGRAMMES!$E$1:$F$7,2,FALSE)</f>
        <v>4-Réforme de l’enseignement supérieur et la recherche scientifique et de l'innovation</v>
      </c>
      <c r="AA1340" s="19" t="str">
        <f>B1340 &amp; "-" &amp; VLOOKUP(B1340,[4]SOUSPROGRAMMES!$E$1:$F$44,2,FALSE)</f>
        <v>43- Qualité de l’enseignement, de la formation et de la recherche scientifique</v>
      </c>
      <c r="AB1340" s="19" t="str">
        <f>C1340 &amp; "-" &amp; VLOOKUP(C1340,[4]RESULTATS!$E$1:$F$176,2,FALSE)</f>
        <v>431- Le fonctionnement de l'ANAQ est renforcée</v>
      </c>
      <c r="AC1340" s="20" t="str">
        <f>D1340 &amp; "-" &amp; VLOOKUP(D1340,[4]STRATEGIES!$E$1:$F$504,2,FALSE)</f>
        <v>4311-Evaluation de la qualité de l’éducation et de la recherche dans les institutions d’enseignement supérieur et de recherche</v>
      </c>
      <c r="AD1340" s="21" t="str">
        <f t="shared" si="207"/>
        <v>43113-Réalisation de missions de sensibilisation sur l'assurance qualité</v>
      </c>
    </row>
    <row r="1341" spans="1:30" s="22" customFormat="1" ht="45" customHeight="1" x14ac:dyDescent="0.8">
      <c r="A1341" s="14">
        <v>4</v>
      </c>
      <c r="B1341" s="15">
        <v>43</v>
      </c>
      <c r="C1341" s="15">
        <v>431</v>
      </c>
      <c r="D1341" s="15">
        <v>4311</v>
      </c>
      <c r="E1341" s="14">
        <v>43113</v>
      </c>
      <c r="F1341" s="16" t="s">
        <v>1762</v>
      </c>
      <c r="G1341" s="21" t="s">
        <v>1128</v>
      </c>
      <c r="H1341" s="17" t="s">
        <v>59</v>
      </c>
      <c r="I1341" s="56">
        <v>0</v>
      </c>
      <c r="J1341" s="56">
        <f>(2*5*2)*40%</f>
        <v>8</v>
      </c>
      <c r="K1341" s="56">
        <f>(3*3*5)*40%</f>
        <v>18</v>
      </c>
      <c r="L1341" s="56"/>
      <c r="M1341" s="56">
        <f t="shared" si="209"/>
        <v>26</v>
      </c>
      <c r="N1341" s="56">
        <f>IF(OR(H1341="",H1341="sif",H1341="PM"),0,VLOOKUP(H1341,[5]CU!$C$4:$H$255,6,FALSE))</f>
        <v>0.8177777777777776</v>
      </c>
      <c r="O1341" s="56">
        <f t="shared" si="210"/>
        <v>0</v>
      </c>
      <c r="P1341" s="56">
        <f t="shared" si="210"/>
        <v>6.5422222222222208</v>
      </c>
      <c r="Q1341" s="56">
        <f t="shared" si="210"/>
        <v>14.719999999999997</v>
      </c>
      <c r="R1341" s="56">
        <f t="shared" si="210"/>
        <v>0</v>
      </c>
      <c r="S1341" s="53">
        <f t="shared" si="211"/>
        <v>21.262222222222217</v>
      </c>
      <c r="T1341" s="35" t="s">
        <v>39</v>
      </c>
      <c r="U1341" s="19" t="s">
        <v>1696</v>
      </c>
      <c r="V1341" s="19" t="str">
        <f>IF(OR($H1341="",$H1341="sif",$H1341="PM"),"",VLOOKUP($H1341,[5]CU!$C$5:$J$255,8,FALSE))</f>
        <v>3. Dépenses de fonctionnement</v>
      </c>
      <c r="W1341" s="19" t="s">
        <v>255</v>
      </c>
      <c r="X1341" s="19" t="s">
        <v>1546</v>
      </c>
      <c r="Y1341" s="18" t="s">
        <v>679</v>
      </c>
      <c r="Z1341" s="19" t="str">
        <f>A1341 &amp; "-" &amp; VLOOKUP(A1341,[4]PROGRAMMES!$E$1:$F$7,2,FALSE)</f>
        <v>4-Réforme de l’enseignement supérieur et la recherche scientifique et de l'innovation</v>
      </c>
      <c r="AA1341" s="19" t="str">
        <f>B1341 &amp; "-" &amp; VLOOKUP(B1341,[4]SOUSPROGRAMMES!$E$1:$F$44,2,FALSE)</f>
        <v>43- Qualité de l’enseignement, de la formation et de la recherche scientifique</v>
      </c>
      <c r="AB1341" s="19" t="str">
        <f>C1341 &amp; "-" &amp; VLOOKUP(C1341,[4]RESULTATS!$E$1:$F$176,2,FALSE)</f>
        <v>431- Le fonctionnement de l'ANAQ est renforcée</v>
      </c>
      <c r="AC1341" s="20" t="str">
        <f>D1341 &amp; "-" &amp; VLOOKUP(D1341,[4]STRATEGIES!$E$1:$F$504,2,FALSE)</f>
        <v>4311-Evaluation de la qualité de l’éducation et de la recherche dans les institutions d’enseignement supérieur et de recherche</v>
      </c>
      <c r="AD1341" s="21" t="str">
        <f t="shared" si="207"/>
        <v>43113-Réalisation de missions de sensibilisation sur l'assurance qualité</v>
      </c>
    </row>
    <row r="1342" spans="1:30" s="22" customFormat="1" ht="45" hidden="1" customHeight="1" x14ac:dyDescent="0.8">
      <c r="A1342" s="14">
        <v>4</v>
      </c>
      <c r="B1342" s="15">
        <v>43</v>
      </c>
      <c r="C1342" s="15">
        <v>431</v>
      </c>
      <c r="D1342" s="15">
        <v>4311</v>
      </c>
      <c r="E1342" s="14">
        <v>43114</v>
      </c>
      <c r="F1342" s="16" t="s">
        <v>1763</v>
      </c>
      <c r="G1342" s="21" t="s">
        <v>51</v>
      </c>
      <c r="H1342" s="17" t="s">
        <v>301</v>
      </c>
      <c r="I1342" s="56">
        <v>0</v>
      </c>
      <c r="J1342" s="56">
        <f>42*1*2</f>
        <v>84</v>
      </c>
      <c r="K1342" s="56"/>
      <c r="L1342" s="56"/>
      <c r="M1342" s="56">
        <f t="shared" si="209"/>
        <v>84</v>
      </c>
      <c r="N1342" s="56">
        <f>IF(OR(H1342="",H1342="sif",H1342="PM"),0,VLOOKUP(H1342,[5]CU!$C$4:$H$255,6,FALSE))</f>
        <v>0.67666666666666664</v>
      </c>
      <c r="O1342" s="56">
        <f t="shared" si="210"/>
        <v>0</v>
      </c>
      <c r="P1342" s="56">
        <f t="shared" si="210"/>
        <v>56.839999999999996</v>
      </c>
      <c r="Q1342" s="56">
        <f t="shared" si="210"/>
        <v>0</v>
      </c>
      <c r="R1342" s="56">
        <f t="shared" si="210"/>
        <v>0</v>
      </c>
      <c r="S1342" s="53">
        <f t="shared" si="211"/>
        <v>56.839999999999996</v>
      </c>
      <c r="T1342" s="35" t="s">
        <v>56</v>
      </c>
      <c r="U1342" s="19" t="s">
        <v>1696</v>
      </c>
      <c r="V1342" s="19" t="str">
        <f>IF(OR($H1342="",$H1342="sif",$H1342="PM"),"",VLOOKUP($H1342,[5]CU!$C$5:$J$255,8,FALSE))</f>
        <v>3. Formation</v>
      </c>
      <c r="W1342" s="19" t="s">
        <v>255</v>
      </c>
      <c r="X1342" s="19" t="s">
        <v>1546</v>
      </c>
      <c r="Y1342" s="18" t="s">
        <v>679</v>
      </c>
      <c r="Z1342" s="19" t="str">
        <f>A1342 &amp; "-" &amp; VLOOKUP(A1342,[4]PROGRAMMES!$E$1:$F$7,2,FALSE)</f>
        <v>4-Réforme de l’enseignement supérieur et la recherche scientifique et de l'innovation</v>
      </c>
      <c r="AA1342" s="19" t="str">
        <f>B1342 &amp; "-" &amp; VLOOKUP(B1342,[4]SOUSPROGRAMMES!$E$1:$F$44,2,FALSE)</f>
        <v>43- Qualité de l’enseignement, de la formation et de la recherche scientifique</v>
      </c>
      <c r="AB1342" s="19" t="str">
        <f>C1342 &amp; "-" &amp; VLOOKUP(C1342,[4]RESULTATS!$E$1:$F$176,2,FALSE)</f>
        <v>431- Le fonctionnement de l'ANAQ est renforcée</v>
      </c>
      <c r="AC1342" s="20" t="str">
        <f>D1342 &amp; "-" &amp; VLOOKUP(D1342,[4]STRATEGIES!$E$1:$F$504,2,FALSE)</f>
        <v>4311-Evaluation de la qualité de l’éducation et de la recherche dans les institutions d’enseignement supérieur et de recherche</v>
      </c>
      <c r="AD1342" s="21" t="str">
        <f t="shared" si="207"/>
        <v>43114-Formation des cadres des institutions en assurance qualité</v>
      </c>
    </row>
    <row r="1343" spans="1:30" s="22" customFormat="1" ht="45" customHeight="1" x14ac:dyDescent="0.8">
      <c r="A1343" s="14">
        <v>4</v>
      </c>
      <c r="B1343" s="15">
        <v>43</v>
      </c>
      <c r="C1343" s="15">
        <v>431</v>
      </c>
      <c r="D1343" s="15">
        <v>4312</v>
      </c>
      <c r="E1343" s="14">
        <v>4312</v>
      </c>
      <c r="F1343" s="16" t="s">
        <v>1764</v>
      </c>
      <c r="G1343" s="17"/>
      <c r="H1343" s="17"/>
      <c r="I1343" s="56">
        <v>0</v>
      </c>
      <c r="J1343" s="56"/>
      <c r="K1343" s="56"/>
      <c r="L1343" s="56"/>
      <c r="M1343" s="56"/>
      <c r="N1343" s="56"/>
      <c r="O1343" s="56"/>
      <c r="P1343" s="56"/>
      <c r="Q1343" s="56"/>
      <c r="R1343" s="56"/>
      <c r="S1343" s="53"/>
      <c r="T1343" s="33"/>
      <c r="U1343" s="18"/>
      <c r="V1343" s="19"/>
      <c r="W1343" s="18"/>
      <c r="X1343" s="18"/>
      <c r="Y1343" s="18" t="s">
        <v>679</v>
      </c>
      <c r="Z1343" s="19" t="str">
        <f>A1343 &amp; "-" &amp; VLOOKUP(A1343,[4]PROGRAMMES!$E$1:$F$7,2,FALSE)</f>
        <v>4-Réforme de l’enseignement supérieur et la recherche scientifique et de l'innovation</v>
      </c>
      <c r="AA1343" s="19" t="str">
        <f>B1343 &amp; "-" &amp; VLOOKUP(B1343,[4]SOUSPROGRAMMES!$E$1:$F$44,2,FALSE)</f>
        <v>43- Qualité de l’enseignement, de la formation et de la recherche scientifique</v>
      </c>
      <c r="AB1343" s="19" t="str">
        <f>C1343 &amp; "-" &amp; VLOOKUP(C1343,[4]RESULTATS!$E$1:$F$176,2,FALSE)</f>
        <v>431- Le fonctionnement de l'ANAQ est renforcée</v>
      </c>
      <c r="AC1343" s="20" t="str">
        <f>D1343 &amp; "-" &amp; VLOOKUP(D1343,[4]STRATEGIES!$E$1:$F$504,2,FALSE)</f>
        <v>4312-Accréditation des programmes de formation et des institutions</v>
      </c>
      <c r="AD1343" s="21" t="str">
        <f t="shared" si="207"/>
        <v>4312-Accréditation des programmes de formation et des institutions</v>
      </c>
    </row>
    <row r="1344" spans="1:30" s="22" customFormat="1" ht="45" customHeight="1" x14ac:dyDescent="0.8">
      <c r="A1344" s="14">
        <v>4</v>
      </c>
      <c r="B1344" s="15">
        <v>43</v>
      </c>
      <c r="C1344" s="15">
        <v>431</v>
      </c>
      <c r="D1344" s="15">
        <v>4312</v>
      </c>
      <c r="E1344" s="14">
        <v>43121</v>
      </c>
      <c r="F1344" s="16" t="s">
        <v>1765</v>
      </c>
      <c r="G1344" s="21" t="s">
        <v>167</v>
      </c>
      <c r="H1344" s="17" t="s">
        <v>646</v>
      </c>
      <c r="I1344" s="56">
        <v>0</v>
      </c>
      <c r="J1344" s="56">
        <v>150</v>
      </c>
      <c r="K1344" s="56"/>
      <c r="L1344" s="56">
        <f>10*20</f>
        <v>200</v>
      </c>
      <c r="M1344" s="56">
        <f t="shared" si="209"/>
        <v>350</v>
      </c>
      <c r="N1344" s="56">
        <f>IF(OR(H1344="",H1344="sif",H1344="PM"),0,VLOOKUP(H1344,[5]CU!$C$4:$H$255,6,FALSE))</f>
        <v>10.404797</v>
      </c>
      <c r="O1344" s="56">
        <f t="shared" si="210"/>
        <v>0</v>
      </c>
      <c r="P1344" s="56">
        <f t="shared" si="210"/>
        <v>1560.71955</v>
      </c>
      <c r="Q1344" s="56">
        <f t="shared" si="210"/>
        <v>0</v>
      </c>
      <c r="R1344" s="56">
        <f t="shared" si="210"/>
        <v>2080.9594000000002</v>
      </c>
      <c r="S1344" s="53">
        <f>SUM(O1344:R1344)</f>
        <v>3641.6789500000004</v>
      </c>
      <c r="T1344" s="35" t="s">
        <v>1304</v>
      </c>
      <c r="U1344" s="18" t="s">
        <v>1696</v>
      </c>
      <c r="V1344" s="19" t="str">
        <f>IF(OR($H1344="",$H1344="sif",$H1344="PM"),"",VLOOKUP($H1344,[5]CU!$C$5:$J$255,8,FALSE))</f>
        <v>3. Dépenses de fonctionnement</v>
      </c>
      <c r="W1344" s="18" t="s">
        <v>1546</v>
      </c>
      <c r="X1344" s="18" t="s">
        <v>521</v>
      </c>
      <c r="Y1344" s="18" t="s">
        <v>679</v>
      </c>
      <c r="Z1344" s="19" t="str">
        <f>A1344 &amp; "-" &amp; VLOOKUP(A1344,[4]PROGRAMMES!$E$1:$F$7,2,FALSE)</f>
        <v>4-Réforme de l’enseignement supérieur et la recherche scientifique et de l'innovation</v>
      </c>
      <c r="AA1344" s="19" t="str">
        <f>B1344 &amp; "-" &amp; VLOOKUP(B1344,[4]SOUSPROGRAMMES!$E$1:$F$44,2,FALSE)</f>
        <v>43- Qualité de l’enseignement, de la formation et de la recherche scientifique</v>
      </c>
      <c r="AB1344" s="19" t="str">
        <f>C1344 &amp; "-" &amp; VLOOKUP(C1344,[4]RESULTATS!$E$1:$F$176,2,FALSE)</f>
        <v>431- Le fonctionnement de l'ANAQ est renforcée</v>
      </c>
      <c r="AC1344" s="20" t="str">
        <f>D1344 &amp; "-" &amp; VLOOKUP(D1344,[4]STRATEGIES!$E$1:$F$504,2,FALSE)</f>
        <v>4312-Accréditation des programmes de formation et des institutions</v>
      </c>
      <c r="AD1344" s="21" t="str">
        <f t="shared" si="207"/>
        <v>43121-Recrutement par l'ANAQ de consultants pour l'accréditation des programmes</v>
      </c>
    </row>
    <row r="1345" spans="1:30" s="22" customFormat="1" ht="45" customHeight="1" x14ac:dyDescent="0.8">
      <c r="A1345" s="14">
        <v>4</v>
      </c>
      <c r="B1345" s="15">
        <v>43</v>
      </c>
      <c r="C1345" s="15">
        <v>432</v>
      </c>
      <c r="D1345" s="15">
        <v>432</v>
      </c>
      <c r="E1345" s="14">
        <v>432</v>
      </c>
      <c r="F1345" s="16" t="s">
        <v>1766</v>
      </c>
      <c r="G1345" s="17"/>
      <c r="H1345" s="17"/>
      <c r="I1345" s="56">
        <v>0</v>
      </c>
      <c r="J1345" s="56"/>
      <c r="K1345" s="56"/>
      <c r="L1345" s="56"/>
      <c r="M1345" s="56"/>
      <c r="N1345" s="56"/>
      <c r="O1345" s="56"/>
      <c r="P1345" s="56"/>
      <c r="Q1345" s="56"/>
      <c r="R1345" s="56"/>
      <c r="S1345" s="53"/>
      <c r="T1345" s="33"/>
      <c r="U1345" s="18"/>
      <c r="V1345" s="19"/>
      <c r="W1345" s="18"/>
      <c r="X1345" s="18"/>
      <c r="Y1345" s="18" t="s">
        <v>679</v>
      </c>
      <c r="Z1345" s="19" t="str">
        <f>A1345 &amp; "-" &amp; VLOOKUP(A1345,[4]PROGRAMMES!$E$1:$F$7,2,FALSE)</f>
        <v>4-Réforme de l’enseignement supérieur et la recherche scientifique et de l'innovation</v>
      </c>
      <c r="AA1345" s="19" t="str">
        <f>B1345 &amp; "-" &amp; VLOOKUP(B1345,[4]SOUSPROGRAMMES!$E$1:$F$44,2,FALSE)</f>
        <v>43- Qualité de l’enseignement, de la formation et de la recherche scientifique</v>
      </c>
      <c r="AB1345" s="19" t="str">
        <f>C1345 &amp; "-" &amp; VLOOKUP(C1345,[4]RESULTATS!$E$1:$F$176,2,FALSE)</f>
        <v>432- Les stages pour les étudiants sont renforcés et rendus obligatoires</v>
      </c>
      <c r="AC1345" s="20" t="str">
        <f>D1345 &amp; "-" &amp; VLOOKUP(D1345,[4]STRATEGIES!$E$1:$F$504,2,FALSE)</f>
        <v>432- Les stages pour les étudiants sont renforcés et rendus obligatoires</v>
      </c>
      <c r="AD1345" s="21" t="str">
        <f t="shared" si="207"/>
        <v>432- Les stages pour les étudiants sont renforcés et rendus obligatoires</v>
      </c>
    </row>
    <row r="1346" spans="1:30" s="22" customFormat="1" ht="45" customHeight="1" x14ac:dyDescent="0.8">
      <c r="A1346" s="14">
        <v>4</v>
      </c>
      <c r="B1346" s="15">
        <v>43</v>
      </c>
      <c r="C1346" s="15">
        <v>432</v>
      </c>
      <c r="D1346" s="15">
        <v>4321</v>
      </c>
      <c r="E1346" s="14">
        <v>4321</v>
      </c>
      <c r="F1346" s="16" t="s">
        <v>1767</v>
      </c>
      <c r="G1346" s="17"/>
      <c r="H1346" s="17"/>
      <c r="I1346" s="56">
        <v>0</v>
      </c>
      <c r="J1346" s="56"/>
      <c r="K1346" s="56"/>
      <c r="L1346" s="56"/>
      <c r="M1346" s="56"/>
      <c r="N1346" s="56"/>
      <c r="O1346" s="56"/>
      <c r="P1346" s="56"/>
      <c r="Q1346" s="56"/>
      <c r="R1346" s="56"/>
      <c r="S1346" s="53"/>
      <c r="T1346" s="33"/>
      <c r="U1346" s="18"/>
      <c r="V1346" s="19"/>
      <c r="W1346" s="18"/>
      <c r="X1346" s="18"/>
      <c r="Y1346" s="18" t="s">
        <v>679</v>
      </c>
      <c r="Z1346" s="19" t="str">
        <f>A1346 &amp; "-" &amp; VLOOKUP(A1346,[4]PROGRAMMES!$E$1:$F$7,2,FALSE)</f>
        <v>4-Réforme de l’enseignement supérieur et la recherche scientifique et de l'innovation</v>
      </c>
      <c r="AA1346" s="19" t="str">
        <f>B1346 &amp; "-" &amp; VLOOKUP(B1346,[4]SOUSPROGRAMMES!$E$1:$F$44,2,FALSE)</f>
        <v>43- Qualité de l’enseignement, de la formation et de la recherche scientifique</v>
      </c>
      <c r="AB1346" s="19" t="str">
        <f>C1346 &amp; "-" &amp; VLOOKUP(C1346,[4]RESULTATS!$E$1:$F$176,2,FALSE)</f>
        <v>432- Les stages pour les étudiants sont renforcés et rendus obligatoires</v>
      </c>
      <c r="AC1346" s="20" t="str">
        <f>D1346 &amp; "-" &amp; VLOOKUP(D1346,[4]STRATEGIES!$E$1:$F$504,2,FALSE)</f>
        <v>4321-Elaboration de plans de stages</v>
      </c>
      <c r="AD1346" s="21" t="str">
        <f t="shared" si="207"/>
        <v>4321-Elaboration de plans de stages</v>
      </c>
    </row>
    <row r="1347" spans="1:30" s="22" customFormat="1" ht="45" hidden="1" customHeight="1" x14ac:dyDescent="0.8">
      <c r="A1347" s="14">
        <v>4</v>
      </c>
      <c r="B1347" s="15">
        <v>43</v>
      </c>
      <c r="C1347" s="15">
        <v>432</v>
      </c>
      <c r="D1347" s="15">
        <v>4321</v>
      </c>
      <c r="E1347" s="14">
        <v>43211</v>
      </c>
      <c r="F1347" s="16" t="s">
        <v>1768</v>
      </c>
      <c r="G1347" s="21" t="s">
        <v>88</v>
      </c>
      <c r="H1347" s="17" t="s">
        <v>55</v>
      </c>
      <c r="I1347" s="56">
        <v>0</v>
      </c>
      <c r="J1347" s="56">
        <v>1</v>
      </c>
      <c r="K1347" s="56"/>
      <c r="L1347" s="56"/>
      <c r="M1347" s="56">
        <f t="shared" si="209"/>
        <v>1</v>
      </c>
      <c r="N1347" s="56">
        <f>IF(OR(H1347="",H1347="sif",H1347="PM"),0,VLOOKUP(H1347,[5]CU!$C$4:$H$255,6,FALSE))</f>
        <v>0</v>
      </c>
      <c r="O1347" s="56">
        <f t="shared" si="210"/>
        <v>0</v>
      </c>
      <c r="P1347" s="56">
        <f t="shared" si="210"/>
        <v>0</v>
      </c>
      <c r="Q1347" s="56">
        <f t="shared" si="210"/>
        <v>0</v>
      </c>
      <c r="R1347" s="56">
        <f t="shared" si="210"/>
        <v>0</v>
      </c>
      <c r="S1347" s="53"/>
      <c r="T1347" s="35" t="s">
        <v>56</v>
      </c>
      <c r="U1347" s="18" t="s">
        <v>1696</v>
      </c>
      <c r="V1347" s="19" t="str">
        <f>IF(OR($H1347="",$H1347="sif",$H1347="PM"),"",VLOOKUP($H1347,[5]CU!$C$5:$J$255,8,FALSE))</f>
        <v/>
      </c>
      <c r="W1347" s="18" t="s">
        <v>1546</v>
      </c>
      <c r="X1347" s="18" t="s">
        <v>1650</v>
      </c>
      <c r="Y1347" s="18" t="s">
        <v>679</v>
      </c>
      <c r="Z1347" s="19" t="str">
        <f>A1347 &amp; "-" &amp; VLOOKUP(A1347,[4]PROGRAMMES!$E$1:$F$7,2,FALSE)</f>
        <v>4-Réforme de l’enseignement supérieur et la recherche scientifique et de l'innovation</v>
      </c>
      <c r="AA1347" s="19" t="str">
        <f>B1347 &amp; "-" &amp; VLOOKUP(B1347,[4]SOUSPROGRAMMES!$E$1:$F$44,2,FALSE)</f>
        <v>43- Qualité de l’enseignement, de la formation et de la recherche scientifique</v>
      </c>
      <c r="AB1347" s="19" t="str">
        <f>C1347 &amp; "-" &amp; VLOOKUP(C1347,[4]RESULTATS!$E$1:$F$176,2,FALSE)</f>
        <v>432- Les stages pour les étudiants sont renforcés et rendus obligatoires</v>
      </c>
      <c r="AC1347" s="20" t="str">
        <f>D1347 &amp; "-" &amp; VLOOKUP(D1347,[4]STRATEGIES!$E$1:$F$504,2,FALSE)</f>
        <v>4321-Elaboration de plans de stages</v>
      </c>
      <c r="AD1347" s="21" t="str">
        <f t="shared" si="207"/>
        <v>43211-Identification des filières nécessitant des stages</v>
      </c>
    </row>
    <row r="1348" spans="1:30" s="22" customFormat="1" ht="45" customHeight="1" x14ac:dyDescent="0.8">
      <c r="A1348" s="14">
        <v>4</v>
      </c>
      <c r="B1348" s="15">
        <v>43</v>
      </c>
      <c r="C1348" s="15">
        <v>432</v>
      </c>
      <c r="D1348" s="15">
        <v>4322</v>
      </c>
      <c r="E1348" s="14">
        <v>4322</v>
      </c>
      <c r="F1348" s="16" t="s">
        <v>1769</v>
      </c>
      <c r="G1348" s="17"/>
      <c r="H1348" s="17"/>
      <c r="I1348" s="56">
        <v>0</v>
      </c>
      <c r="J1348" s="56"/>
      <c r="K1348" s="56"/>
      <c r="L1348" s="56"/>
      <c r="M1348" s="56"/>
      <c r="N1348" s="56"/>
      <c r="O1348" s="56"/>
      <c r="P1348" s="56"/>
      <c r="Q1348" s="56"/>
      <c r="R1348" s="56"/>
      <c r="S1348" s="53"/>
      <c r="T1348" s="33"/>
      <c r="U1348" s="18"/>
      <c r="V1348" s="19"/>
      <c r="W1348" s="18"/>
      <c r="X1348" s="18"/>
      <c r="Y1348" s="18" t="s">
        <v>679</v>
      </c>
      <c r="Z1348" s="19" t="str">
        <f>A1348 &amp; "-" &amp; VLOOKUP(A1348,[4]PROGRAMMES!$E$1:$F$7,2,FALSE)</f>
        <v>4-Réforme de l’enseignement supérieur et la recherche scientifique et de l'innovation</v>
      </c>
      <c r="AA1348" s="19" t="str">
        <f>B1348 &amp; "-" &amp; VLOOKUP(B1348,[4]SOUSPROGRAMMES!$E$1:$F$44,2,FALSE)</f>
        <v>43- Qualité de l’enseignement, de la formation et de la recherche scientifique</v>
      </c>
      <c r="AB1348" s="19" t="str">
        <f>C1348 &amp; "-" &amp; VLOOKUP(C1348,[4]RESULTATS!$E$1:$F$176,2,FALSE)</f>
        <v>432- Les stages pour les étudiants sont renforcés et rendus obligatoires</v>
      </c>
      <c r="AC1348" s="20" t="str">
        <f>D1348 &amp; "-" &amp; VLOOKUP(D1348,[4]STRATEGIES!$E$1:$F$504,2,FALSE)</f>
        <v>4322-Création des partenariats avec le secteur privé</v>
      </c>
      <c r="AD1348" s="21" t="str">
        <f t="shared" ref="AD1348:AD1411" si="212">E1348 &amp; "-" &amp; F1348</f>
        <v>4322-Création des partenariats avec le secteur privé</v>
      </c>
    </row>
    <row r="1349" spans="1:30" s="22" customFormat="1" ht="45" hidden="1" customHeight="1" x14ac:dyDescent="0.8">
      <c r="A1349" s="14">
        <v>4</v>
      </c>
      <c r="B1349" s="15">
        <v>43</v>
      </c>
      <c r="C1349" s="15">
        <v>432</v>
      </c>
      <c r="D1349" s="15">
        <v>4322</v>
      </c>
      <c r="E1349" s="14">
        <v>43221</v>
      </c>
      <c r="F1349" s="16" t="s">
        <v>1770</v>
      </c>
      <c r="G1349" s="21" t="s">
        <v>88</v>
      </c>
      <c r="H1349" s="17" t="s">
        <v>55</v>
      </c>
      <c r="I1349" s="56">
        <v>0</v>
      </c>
      <c r="J1349" s="56">
        <v>1</v>
      </c>
      <c r="K1349" s="56"/>
      <c r="L1349" s="56"/>
      <c r="M1349" s="56">
        <f t="shared" si="209"/>
        <v>1</v>
      </c>
      <c r="N1349" s="56">
        <f>IF(OR(H1349="",H1349="sif",H1349="PM"),0,VLOOKUP(H1349,[5]CU!$C$4:$H$255,6,FALSE))</f>
        <v>0</v>
      </c>
      <c r="O1349" s="56">
        <f t="shared" si="210"/>
        <v>0</v>
      </c>
      <c r="P1349" s="56">
        <f t="shared" si="210"/>
        <v>0</v>
      </c>
      <c r="Q1349" s="56">
        <f t="shared" si="210"/>
        <v>0</v>
      </c>
      <c r="R1349" s="56">
        <f t="shared" si="210"/>
        <v>0</v>
      </c>
      <c r="S1349" s="53"/>
      <c r="T1349" s="35" t="s">
        <v>56</v>
      </c>
      <c r="U1349" s="18" t="s">
        <v>1696</v>
      </c>
      <c r="V1349" s="19" t="str">
        <f>IF(OR($H1349="",$H1349="sif",$H1349="PM"),"",VLOOKUP($H1349,[5]CU!$C$5:$J$255,8,FALSE))</f>
        <v/>
      </c>
      <c r="W1349" s="18" t="s">
        <v>1665</v>
      </c>
      <c r="X1349" s="18" t="s">
        <v>1607</v>
      </c>
      <c r="Y1349" s="18" t="s">
        <v>679</v>
      </c>
      <c r="Z1349" s="19" t="str">
        <f>A1349 &amp; "-" &amp; VLOOKUP(A1349,[4]PROGRAMMES!$E$1:$F$7,2,FALSE)</f>
        <v>4-Réforme de l’enseignement supérieur et la recherche scientifique et de l'innovation</v>
      </c>
      <c r="AA1349" s="19" t="str">
        <f>B1349 &amp; "-" &amp; VLOOKUP(B1349,[4]SOUSPROGRAMMES!$E$1:$F$44,2,FALSE)</f>
        <v>43- Qualité de l’enseignement, de la formation et de la recherche scientifique</v>
      </c>
      <c r="AB1349" s="19" t="str">
        <f>C1349 &amp; "-" &amp; VLOOKUP(C1349,[4]RESULTATS!$E$1:$F$176,2,FALSE)</f>
        <v>432- Les stages pour les étudiants sont renforcés et rendus obligatoires</v>
      </c>
      <c r="AC1349" s="20" t="str">
        <f>D1349 &amp; "-" &amp; VLOOKUP(D1349,[4]STRATEGIES!$E$1:$F$504,2,FALSE)</f>
        <v>4322-Création des partenariats avec le secteur privé</v>
      </c>
      <c r="AD1349" s="21" t="str">
        <f t="shared" si="212"/>
        <v>43221-Identification des partenaires du secteur privé</v>
      </c>
    </row>
    <row r="1350" spans="1:30" s="22" customFormat="1" ht="45" hidden="1" customHeight="1" x14ac:dyDescent="0.8">
      <c r="A1350" s="14">
        <v>4</v>
      </c>
      <c r="B1350" s="15">
        <v>43</v>
      </c>
      <c r="C1350" s="15">
        <v>432</v>
      </c>
      <c r="D1350" s="15">
        <v>4322</v>
      </c>
      <c r="E1350" s="14">
        <v>43222</v>
      </c>
      <c r="F1350" s="16" t="s">
        <v>1771</v>
      </c>
      <c r="G1350" s="21" t="s">
        <v>1772</v>
      </c>
      <c r="H1350" s="17" t="s">
        <v>1773</v>
      </c>
      <c r="I1350" s="56">
        <v>0</v>
      </c>
      <c r="J1350" s="56">
        <v>15</v>
      </c>
      <c r="K1350" s="56">
        <v>20</v>
      </c>
      <c r="L1350" s="56">
        <v>20</v>
      </c>
      <c r="M1350" s="56">
        <f t="shared" si="209"/>
        <v>55</v>
      </c>
      <c r="N1350" s="56">
        <f>IF(OR(H1350="",H1350="sif",H1350="PM"),0,VLOOKUP(H1350,[5]CU!$C$4:$H$255,6,FALSE))</f>
        <v>50</v>
      </c>
      <c r="O1350" s="56">
        <f t="shared" si="210"/>
        <v>0</v>
      </c>
      <c r="P1350" s="56">
        <f t="shared" si="210"/>
        <v>750</v>
      </c>
      <c r="Q1350" s="56">
        <f t="shared" si="210"/>
        <v>1000</v>
      </c>
      <c r="R1350" s="56">
        <f t="shared" si="210"/>
        <v>1000</v>
      </c>
      <c r="S1350" s="53">
        <f>SUM(O1350:R1350)</f>
        <v>2750</v>
      </c>
      <c r="T1350" s="35" t="s">
        <v>56</v>
      </c>
      <c r="U1350" s="18" t="s">
        <v>1696</v>
      </c>
      <c r="V1350" s="19" t="str">
        <f>IF(OR($H1350="",$H1350="sif",$H1350="PM"),"",VLOOKUP($H1350,[5]CU!$C$5:$J$255,8,FALSE))</f>
        <v>3. Dépenses de fonctionnement</v>
      </c>
      <c r="W1350" s="18" t="s">
        <v>1665</v>
      </c>
      <c r="X1350" s="18" t="s">
        <v>1607</v>
      </c>
      <c r="Y1350" s="18" t="s">
        <v>679</v>
      </c>
      <c r="Z1350" s="19" t="str">
        <f>A1350 &amp; "-" &amp; VLOOKUP(A1350,[4]PROGRAMMES!$E$1:$F$7,2,FALSE)</f>
        <v>4-Réforme de l’enseignement supérieur et la recherche scientifique et de l'innovation</v>
      </c>
      <c r="AA1350" s="19" t="str">
        <f>B1350 &amp; "-" &amp; VLOOKUP(B1350,[4]SOUSPROGRAMMES!$E$1:$F$44,2,FALSE)</f>
        <v>43- Qualité de l’enseignement, de la formation et de la recherche scientifique</v>
      </c>
      <c r="AB1350" s="19" t="str">
        <f>C1350 &amp; "-" &amp; VLOOKUP(C1350,[4]RESULTATS!$E$1:$F$176,2,FALSE)</f>
        <v>432- Les stages pour les étudiants sont renforcés et rendus obligatoires</v>
      </c>
      <c r="AC1350" s="20" t="str">
        <f>D1350 &amp; "-" &amp; VLOOKUP(D1350,[4]STRATEGIES!$E$1:$F$504,2,FALSE)</f>
        <v>4322-Création des partenariats avec le secteur privé</v>
      </c>
      <c r="AD1350" s="21" t="str">
        <f t="shared" si="212"/>
        <v>43222-Mise en place de conventions avec les partenaires du secteur privé pour l'accompagnement des étudiants</v>
      </c>
    </row>
    <row r="1351" spans="1:30" s="22" customFormat="1" ht="90" customHeight="1" x14ac:dyDescent="0.8">
      <c r="A1351" s="14">
        <v>4</v>
      </c>
      <c r="B1351" s="15">
        <v>43</v>
      </c>
      <c r="C1351" s="15">
        <v>433</v>
      </c>
      <c r="D1351" s="15">
        <v>433</v>
      </c>
      <c r="E1351" s="14">
        <v>433</v>
      </c>
      <c r="F1351" s="16" t="s">
        <v>1774</v>
      </c>
      <c r="G1351" s="17"/>
      <c r="H1351" s="17"/>
      <c r="I1351" s="56">
        <v>0</v>
      </c>
      <c r="J1351" s="56"/>
      <c r="K1351" s="56"/>
      <c r="L1351" s="56"/>
      <c r="M1351" s="56"/>
      <c r="N1351" s="56"/>
      <c r="O1351" s="56"/>
      <c r="P1351" s="56"/>
      <c r="Q1351" s="56"/>
      <c r="R1351" s="56"/>
      <c r="S1351" s="53"/>
      <c r="T1351" s="33"/>
      <c r="U1351" s="18"/>
      <c r="V1351" s="19"/>
      <c r="W1351" s="18"/>
      <c r="X1351" s="18"/>
      <c r="Y1351" s="18" t="s">
        <v>679</v>
      </c>
      <c r="Z1351" s="19" t="str">
        <f>A1351 &amp; "-" &amp; VLOOKUP(A1351,[4]PROGRAMMES!$E$1:$F$7,2,FALSE)</f>
        <v>4-Réforme de l’enseignement supérieur et la recherche scientifique et de l'innovation</v>
      </c>
      <c r="AA1351" s="19" t="str">
        <f>B1351 &amp; "-" &amp; VLOOKUP(B1351,[4]SOUSPROGRAMMES!$E$1:$F$44,2,FALSE)</f>
        <v>43- Qualité de l’enseignement, de la formation et de la recherche scientifique</v>
      </c>
      <c r="AB1351" s="19" t="str">
        <f>C1351 &amp; "-" &amp; VLOOKUP(C1351,[4]RESULTATS!$E$1:$F$176,2,FALSE)</f>
        <v>433- La proportion des diplômés du supérieur ayant des compétences requises notamment en STIM (sciences, en technologies, en ingénierie et en mathématiques) est nettement augmentée</v>
      </c>
      <c r="AC1351" s="20" t="str">
        <f>D1351 &amp; "-" &amp; VLOOKUP(D1351,[4]STRATEGIES!$E$1:$F$504,2,FALSE)</f>
        <v>433- La proportion des diplômés du supérieur ayant des compétences requises notamment en STIM (sciences, en technologies, en ingénierie et en mathématiques) est nettement augmentée</v>
      </c>
      <c r="AD1351" s="21" t="str">
        <f t="shared" si="212"/>
        <v>433- La proportion des diplômés du supérieur ayant des compétences requises notamment en STIM (sciences, en technologies, en ingénierie et en mathématiques) est nettement augmentée</v>
      </c>
    </row>
    <row r="1352" spans="1:30" s="22" customFormat="1" ht="90" customHeight="1" x14ac:dyDescent="0.8">
      <c r="A1352" s="14">
        <v>4</v>
      </c>
      <c r="B1352" s="15">
        <v>43</v>
      </c>
      <c r="C1352" s="15">
        <v>433</v>
      </c>
      <c r="D1352" s="15">
        <v>4331</v>
      </c>
      <c r="E1352" s="14">
        <v>4331</v>
      </c>
      <c r="F1352" s="16" t="s">
        <v>1775</v>
      </c>
      <c r="G1352" s="17"/>
      <c r="H1352" s="17"/>
      <c r="I1352" s="56">
        <v>0</v>
      </c>
      <c r="J1352" s="56"/>
      <c r="K1352" s="56"/>
      <c r="L1352" s="56"/>
      <c r="M1352" s="56"/>
      <c r="N1352" s="56"/>
      <c r="O1352" s="56"/>
      <c r="P1352" s="56"/>
      <c r="Q1352" s="56"/>
      <c r="R1352" s="56"/>
      <c r="S1352" s="53"/>
      <c r="T1352" s="33"/>
      <c r="U1352" s="18"/>
      <c r="V1352" s="19"/>
      <c r="W1352" s="18"/>
      <c r="X1352" s="18"/>
      <c r="Y1352" s="18" t="s">
        <v>679</v>
      </c>
      <c r="Z1352" s="19" t="str">
        <f>A1352 &amp; "-" &amp; VLOOKUP(A1352,[4]PROGRAMMES!$E$1:$F$7,2,FALSE)</f>
        <v>4-Réforme de l’enseignement supérieur et la recherche scientifique et de l'innovation</v>
      </c>
      <c r="AA1352" s="19" t="str">
        <f>B1352 &amp; "-" &amp; VLOOKUP(B1352,[4]SOUSPROGRAMMES!$E$1:$F$44,2,FALSE)</f>
        <v>43- Qualité de l’enseignement, de la formation et de la recherche scientifique</v>
      </c>
      <c r="AB1352" s="19" t="str">
        <f>C1352 &amp; "-" &amp; VLOOKUP(C1352,[4]RESULTATS!$E$1:$F$176,2,FALSE)</f>
        <v>433- La proportion des diplômés du supérieur ayant des compétences requises notamment en STIM (sciences, en technologies, en ingénierie et en mathématiques) est nettement augmentée</v>
      </c>
      <c r="AC1352" s="20" t="str">
        <f>D1352 &amp; "-" &amp; VLOOKUP(D1352,[4]STRATEGIES!$E$1:$F$504,2,FALSE)</f>
        <v>4331-Réforme des formations en ingénierie</v>
      </c>
      <c r="AD1352" s="21" t="str">
        <f t="shared" si="212"/>
        <v>4331-Réforme des formations en ingénierie</v>
      </c>
    </row>
    <row r="1353" spans="1:30" s="22" customFormat="1" ht="90" hidden="1" customHeight="1" x14ac:dyDescent="0.8">
      <c r="A1353" s="14">
        <v>4</v>
      </c>
      <c r="B1353" s="15">
        <v>43</v>
      </c>
      <c r="C1353" s="15">
        <v>433</v>
      </c>
      <c r="D1353" s="15">
        <v>4331</v>
      </c>
      <c r="E1353" s="14">
        <v>43311</v>
      </c>
      <c r="F1353" s="16" t="s">
        <v>1776</v>
      </c>
      <c r="G1353" s="21" t="s">
        <v>88</v>
      </c>
      <c r="H1353" s="17" t="s">
        <v>55</v>
      </c>
      <c r="I1353" s="56">
        <v>0</v>
      </c>
      <c r="J1353" s="56"/>
      <c r="K1353" s="56">
        <v>1</v>
      </c>
      <c r="L1353" s="56"/>
      <c r="M1353" s="56">
        <f t="shared" si="209"/>
        <v>1</v>
      </c>
      <c r="N1353" s="56">
        <f>IF(OR(H1353="",H1353="sif",H1353="PM"),0,VLOOKUP(H1353,[5]CU!$C$4:$H$255,6,FALSE))</f>
        <v>0</v>
      </c>
      <c r="O1353" s="56">
        <f t="shared" si="210"/>
        <v>0</v>
      </c>
      <c r="P1353" s="56">
        <f t="shared" si="210"/>
        <v>0</v>
      </c>
      <c r="Q1353" s="56">
        <f t="shared" si="210"/>
        <v>0</v>
      </c>
      <c r="R1353" s="56">
        <f t="shared" si="210"/>
        <v>0</v>
      </c>
      <c r="S1353" s="53"/>
      <c r="T1353" s="35" t="s">
        <v>169</v>
      </c>
      <c r="U1353" s="18" t="s">
        <v>1696</v>
      </c>
      <c r="V1353" s="19" t="str">
        <f>IF(OR($H1353="",$H1353="sif",$H1353="PM"),"",VLOOKUP($H1353,[5]CU!$C$5:$J$255,8,FALSE))</f>
        <v/>
      </c>
      <c r="W1353" s="18" t="s">
        <v>1665</v>
      </c>
      <c r="X1353" s="18" t="s">
        <v>1607</v>
      </c>
      <c r="Y1353" s="18" t="s">
        <v>679</v>
      </c>
      <c r="Z1353" s="19" t="str">
        <f>A1353 &amp; "-" &amp; VLOOKUP(A1353,[4]PROGRAMMES!$E$1:$F$7,2,FALSE)</f>
        <v>4-Réforme de l’enseignement supérieur et la recherche scientifique et de l'innovation</v>
      </c>
      <c r="AA1353" s="19" t="str">
        <f>B1353 &amp; "-" &amp; VLOOKUP(B1353,[4]SOUSPROGRAMMES!$E$1:$F$44,2,FALSE)</f>
        <v>43- Qualité de l’enseignement, de la formation et de la recherche scientifique</v>
      </c>
      <c r="AB1353" s="19" t="str">
        <f>C1353 &amp; "-" &amp; VLOOKUP(C1353,[4]RESULTATS!$E$1:$F$176,2,FALSE)</f>
        <v>433- La proportion des diplômés du supérieur ayant des compétences requises notamment en STIM (sciences, en technologies, en ingénierie et en mathématiques) est nettement augmentée</v>
      </c>
      <c r="AC1353" s="20" t="str">
        <f>D1353 &amp; "-" &amp; VLOOKUP(D1353,[4]STRATEGIES!$E$1:$F$504,2,FALSE)</f>
        <v>4331-Réforme des formations en ingénierie</v>
      </c>
      <c r="AD1353" s="21" t="str">
        <f t="shared" si="212"/>
        <v>43311-Identification des programmes à réformer</v>
      </c>
    </row>
    <row r="1354" spans="1:30" s="22" customFormat="1" ht="90" hidden="1" customHeight="1" x14ac:dyDescent="0.8">
      <c r="A1354" s="14">
        <v>4</v>
      </c>
      <c r="B1354" s="15">
        <v>43</v>
      </c>
      <c r="C1354" s="15">
        <v>433</v>
      </c>
      <c r="D1354" s="15">
        <v>4331</v>
      </c>
      <c r="E1354" s="14">
        <v>43312</v>
      </c>
      <c r="F1354" s="16" t="s">
        <v>1777</v>
      </c>
      <c r="G1354" s="21" t="s">
        <v>321</v>
      </c>
      <c r="H1354" s="17" t="s">
        <v>55</v>
      </c>
      <c r="I1354" s="56">
        <v>0</v>
      </c>
      <c r="J1354" s="56"/>
      <c r="K1354" s="56">
        <v>1</v>
      </c>
      <c r="L1354" s="56"/>
      <c r="M1354" s="56">
        <f t="shared" si="209"/>
        <v>1</v>
      </c>
      <c r="N1354" s="56">
        <f>IF(OR(H1354="",H1354="sif",H1354="PM"),0,VLOOKUP(H1354,[5]CU!$C$4:$H$255,6,FALSE))</f>
        <v>0</v>
      </c>
      <c r="O1354" s="56">
        <f t="shared" si="210"/>
        <v>0</v>
      </c>
      <c r="P1354" s="56">
        <f t="shared" si="210"/>
        <v>0</v>
      </c>
      <c r="Q1354" s="56">
        <f t="shared" si="210"/>
        <v>0</v>
      </c>
      <c r="R1354" s="56">
        <f t="shared" si="210"/>
        <v>0</v>
      </c>
      <c r="S1354" s="53"/>
      <c r="T1354" s="35" t="s">
        <v>56</v>
      </c>
      <c r="U1354" s="18" t="s">
        <v>1696</v>
      </c>
      <c r="V1354" s="19" t="str">
        <f>IF(OR($H1354="",$H1354="sif",$H1354="PM"),"",VLOOKUP($H1354,[5]CU!$C$5:$J$255,8,FALSE))</f>
        <v/>
      </c>
      <c r="W1354" s="18" t="s">
        <v>1665</v>
      </c>
      <c r="X1354" s="18" t="s">
        <v>1607</v>
      </c>
      <c r="Y1354" s="18" t="s">
        <v>679</v>
      </c>
      <c r="Z1354" s="19" t="str">
        <f>A1354 &amp; "-" &amp; VLOOKUP(A1354,[4]PROGRAMMES!$E$1:$F$7,2,FALSE)</f>
        <v>4-Réforme de l’enseignement supérieur et la recherche scientifique et de l'innovation</v>
      </c>
      <c r="AA1354" s="19" t="str">
        <f>B1354 &amp; "-" &amp; VLOOKUP(B1354,[4]SOUSPROGRAMMES!$E$1:$F$44,2,FALSE)</f>
        <v>43- Qualité de l’enseignement, de la formation et de la recherche scientifique</v>
      </c>
      <c r="AB1354" s="19" t="str">
        <f>C1354 &amp; "-" &amp; VLOOKUP(C1354,[4]RESULTATS!$E$1:$F$176,2,FALSE)</f>
        <v>433- La proportion des diplômés du supérieur ayant des compétences requises notamment en STIM (sciences, en technologies, en ingénierie et en mathématiques) est nettement augmentée</v>
      </c>
      <c r="AC1354" s="20" t="str">
        <f>D1354 &amp; "-" &amp; VLOOKUP(D1354,[4]STRATEGIES!$E$1:$F$504,2,FALSE)</f>
        <v>4331-Réforme des formations en ingénierie</v>
      </c>
      <c r="AD1354" s="21" t="str">
        <f t="shared" si="212"/>
        <v>43312-Constitution des commissions pour la réforme</v>
      </c>
    </row>
    <row r="1355" spans="1:30" s="22" customFormat="1" ht="90" hidden="1" customHeight="1" x14ac:dyDescent="0.8">
      <c r="A1355" s="14">
        <v>4</v>
      </c>
      <c r="B1355" s="15">
        <v>43</v>
      </c>
      <c r="C1355" s="15">
        <v>433</v>
      </c>
      <c r="D1355" s="15">
        <v>4331</v>
      </c>
      <c r="E1355" s="14">
        <v>43313</v>
      </c>
      <c r="F1355" s="16" t="s">
        <v>1741</v>
      </c>
      <c r="G1355" s="21" t="s">
        <v>1778</v>
      </c>
      <c r="H1355" s="17" t="s">
        <v>66</v>
      </c>
      <c r="I1355" s="56">
        <v>0</v>
      </c>
      <c r="J1355" s="56"/>
      <c r="K1355" s="56">
        <f>40*7*1</f>
        <v>280</v>
      </c>
      <c r="L1355" s="56"/>
      <c r="M1355" s="56">
        <f t="shared" si="209"/>
        <v>280</v>
      </c>
      <c r="N1355" s="56">
        <f>IF(OR(H1355="",H1355="sif",H1355="PM"),0,VLOOKUP(H1355,[5]CU!$C$4:$H$255,6,FALSE))</f>
        <v>0.255</v>
      </c>
      <c r="O1355" s="56">
        <f t="shared" si="210"/>
        <v>0</v>
      </c>
      <c r="P1355" s="56">
        <f t="shared" si="210"/>
        <v>0</v>
      </c>
      <c r="Q1355" s="56">
        <f t="shared" si="210"/>
        <v>71.400000000000006</v>
      </c>
      <c r="R1355" s="56">
        <f t="shared" si="210"/>
        <v>0</v>
      </c>
      <c r="S1355" s="53">
        <f>SUM(O1355:R1355)</f>
        <v>71.400000000000006</v>
      </c>
      <c r="T1355" s="35" t="s">
        <v>169</v>
      </c>
      <c r="U1355" s="18" t="s">
        <v>1696</v>
      </c>
      <c r="V1355" s="19" t="str">
        <f>IF(OR($H1355="",$H1355="sif",$H1355="PM"),"",VLOOKUP($H1355,[5]CU!$C$5:$J$255,8,FALSE))</f>
        <v>3. Dépenses de fonctionnement</v>
      </c>
      <c r="W1355" s="18" t="s">
        <v>1665</v>
      </c>
      <c r="X1355" s="18" t="s">
        <v>521</v>
      </c>
      <c r="Y1355" s="18" t="s">
        <v>679</v>
      </c>
      <c r="Z1355" s="19" t="str">
        <f>A1355 &amp; "-" &amp; VLOOKUP(A1355,[4]PROGRAMMES!$E$1:$F$7,2,FALSE)</f>
        <v>4-Réforme de l’enseignement supérieur et la recherche scientifique et de l'innovation</v>
      </c>
      <c r="AA1355" s="19" t="str">
        <f>B1355 &amp; "-" &amp; VLOOKUP(B1355,[4]SOUSPROGRAMMES!$E$1:$F$44,2,FALSE)</f>
        <v>43- Qualité de l’enseignement, de la formation et de la recherche scientifique</v>
      </c>
      <c r="AB1355" s="19" t="str">
        <f>C1355 &amp; "-" &amp; VLOOKUP(C1355,[4]RESULTATS!$E$1:$F$176,2,FALSE)</f>
        <v>433- La proportion des diplômés du supérieur ayant des compétences requises notamment en STIM (sciences, en technologies, en ingénierie et en mathématiques) est nettement augmentée</v>
      </c>
      <c r="AC1355" s="20" t="str">
        <f>D1355 &amp; "-" &amp; VLOOKUP(D1355,[4]STRATEGIES!$E$1:$F$504,2,FALSE)</f>
        <v>4331-Réforme des formations en ingénierie</v>
      </c>
      <c r="AD1355" s="21" t="str">
        <f t="shared" si="212"/>
        <v>43313-Travaux de commissions</v>
      </c>
    </row>
    <row r="1356" spans="1:30" s="22" customFormat="1" ht="90" customHeight="1" x14ac:dyDescent="0.8">
      <c r="A1356" s="14">
        <v>4</v>
      </c>
      <c r="B1356" s="15">
        <v>43</v>
      </c>
      <c r="C1356" s="15">
        <v>433</v>
      </c>
      <c r="D1356" s="15">
        <v>4332</v>
      </c>
      <c r="E1356" s="14">
        <v>4332</v>
      </c>
      <c r="F1356" s="16" t="s">
        <v>1779</v>
      </c>
      <c r="G1356" s="17"/>
      <c r="H1356" s="17"/>
      <c r="I1356" s="56">
        <v>0</v>
      </c>
      <c r="J1356" s="56"/>
      <c r="K1356" s="56"/>
      <c r="L1356" s="56"/>
      <c r="M1356" s="56"/>
      <c r="N1356" s="56"/>
      <c r="O1356" s="56"/>
      <c r="P1356" s="56"/>
      <c r="Q1356" s="56"/>
      <c r="R1356" s="56"/>
      <c r="S1356" s="53"/>
      <c r="T1356" s="33"/>
      <c r="U1356" s="18"/>
      <c r="V1356" s="19"/>
      <c r="W1356" s="18"/>
      <c r="X1356" s="18"/>
      <c r="Y1356" s="18" t="s">
        <v>679</v>
      </c>
      <c r="Z1356" s="19" t="str">
        <f>A1356 &amp; "-" &amp; VLOOKUP(A1356,[4]PROGRAMMES!$E$1:$F$7,2,FALSE)</f>
        <v>4-Réforme de l’enseignement supérieur et la recherche scientifique et de l'innovation</v>
      </c>
      <c r="AA1356" s="19" t="str">
        <f>B1356 &amp; "-" &amp; VLOOKUP(B1356,[4]SOUSPROGRAMMES!$E$1:$F$44,2,FALSE)</f>
        <v>43- Qualité de l’enseignement, de la formation et de la recherche scientifique</v>
      </c>
      <c r="AB1356" s="19" t="str">
        <f>C1356 &amp; "-" &amp; VLOOKUP(C1356,[4]RESULTATS!$E$1:$F$176,2,FALSE)</f>
        <v>433- La proportion des diplômés du supérieur ayant des compétences requises notamment en STIM (sciences, en technologies, en ingénierie et en mathématiques) est nettement augmentée</v>
      </c>
      <c r="AC1356" s="20" t="str">
        <f>D1356 &amp; "-" &amp; VLOOKUP(D1356,[4]STRATEGIES!$E$1:$F$504,2,FALSE)</f>
        <v>4332-Rénovation et équipement de laboratoires et CDI</v>
      </c>
      <c r="AD1356" s="21" t="str">
        <f t="shared" si="212"/>
        <v>4332-Rénovation et équipement de laboratoires et CDI</v>
      </c>
    </row>
    <row r="1357" spans="1:30" s="22" customFormat="1" ht="90" hidden="1" customHeight="1" x14ac:dyDescent="0.8">
      <c r="A1357" s="14">
        <v>4</v>
      </c>
      <c r="B1357" s="15">
        <v>43</v>
      </c>
      <c r="C1357" s="15">
        <v>433</v>
      </c>
      <c r="D1357" s="15">
        <v>4332</v>
      </c>
      <c r="E1357" s="14">
        <v>43321</v>
      </c>
      <c r="F1357" s="16" t="s">
        <v>1780</v>
      </c>
      <c r="G1357" s="21" t="s">
        <v>88</v>
      </c>
      <c r="H1357" s="17" t="s">
        <v>55</v>
      </c>
      <c r="I1357" s="56">
        <v>0</v>
      </c>
      <c r="J1357" s="56">
        <v>1</v>
      </c>
      <c r="K1357" s="56"/>
      <c r="L1357" s="56"/>
      <c r="M1357" s="56">
        <f t="shared" si="209"/>
        <v>1</v>
      </c>
      <c r="N1357" s="56">
        <f>IF(OR(H1357="",H1357="sif",H1357="PM"),0,VLOOKUP(H1357,[5]CU!$C$4:$H$255,6,FALSE))</f>
        <v>0</v>
      </c>
      <c r="O1357" s="56">
        <f t="shared" si="210"/>
        <v>0</v>
      </c>
      <c r="P1357" s="56">
        <f t="shared" si="210"/>
        <v>0</v>
      </c>
      <c r="Q1357" s="56">
        <f t="shared" si="210"/>
        <v>0</v>
      </c>
      <c r="R1357" s="56">
        <f t="shared" si="210"/>
        <v>0</v>
      </c>
      <c r="S1357" s="53"/>
      <c r="T1357" s="35" t="s">
        <v>56</v>
      </c>
      <c r="U1357" s="18" t="s">
        <v>1696</v>
      </c>
      <c r="V1357" s="19" t="str">
        <f>IF(OR($H1357="",$H1357="sif",$H1357="PM"),"",VLOOKUP($H1357,[5]CU!$C$5:$J$255,8,FALSE))</f>
        <v/>
      </c>
      <c r="W1357" s="18" t="s">
        <v>1665</v>
      </c>
      <c r="X1357" s="18" t="s">
        <v>1607</v>
      </c>
      <c r="Y1357" s="18" t="s">
        <v>679</v>
      </c>
      <c r="Z1357" s="19" t="str">
        <f>A1357 &amp; "-" &amp; VLOOKUP(A1357,[4]PROGRAMMES!$E$1:$F$7,2,FALSE)</f>
        <v>4-Réforme de l’enseignement supérieur et la recherche scientifique et de l'innovation</v>
      </c>
      <c r="AA1357" s="19" t="str">
        <f>B1357 &amp; "-" &amp; VLOOKUP(B1357,[4]SOUSPROGRAMMES!$E$1:$F$44,2,FALSE)</f>
        <v>43- Qualité de l’enseignement, de la formation et de la recherche scientifique</v>
      </c>
      <c r="AB1357" s="19" t="str">
        <f>C1357 &amp; "-" &amp; VLOOKUP(C1357,[4]RESULTATS!$E$1:$F$176,2,FALSE)</f>
        <v>433- La proportion des diplômés du supérieur ayant des compétences requises notamment en STIM (sciences, en technologies, en ingénierie et en mathématiques) est nettement augmentée</v>
      </c>
      <c r="AC1357" s="20" t="str">
        <f>D1357 &amp; "-" &amp; VLOOKUP(D1357,[4]STRATEGIES!$E$1:$F$504,2,FALSE)</f>
        <v>4332-Rénovation et équipement de laboratoires et CDI</v>
      </c>
      <c r="AD1357" s="21" t="str">
        <f t="shared" si="212"/>
        <v>43321-Dénombrement des labos</v>
      </c>
    </row>
    <row r="1358" spans="1:30" s="22" customFormat="1" ht="90" hidden="1" customHeight="1" x14ac:dyDescent="0.8">
      <c r="A1358" s="14">
        <v>4</v>
      </c>
      <c r="B1358" s="15">
        <v>43</v>
      </c>
      <c r="C1358" s="15">
        <v>433</v>
      </c>
      <c r="D1358" s="15">
        <v>4332</v>
      </c>
      <c r="E1358" s="14">
        <v>43322</v>
      </c>
      <c r="F1358" s="16" t="s">
        <v>1781</v>
      </c>
      <c r="G1358" s="21" t="s">
        <v>92</v>
      </c>
      <c r="H1358" s="17" t="s">
        <v>55</v>
      </c>
      <c r="I1358" s="56">
        <v>0</v>
      </c>
      <c r="J1358" s="56">
        <v>1</v>
      </c>
      <c r="K1358" s="56">
        <v>1</v>
      </c>
      <c r="L1358" s="56"/>
      <c r="M1358" s="56">
        <f t="shared" si="209"/>
        <v>2</v>
      </c>
      <c r="N1358" s="56">
        <f>IF(OR(H1358="",H1358="sif",H1358="PM"),0,VLOOKUP(H1358,[5]CU!$C$4:$H$255,6,FALSE))</f>
        <v>0</v>
      </c>
      <c r="O1358" s="56">
        <f t="shared" si="210"/>
        <v>0</v>
      </c>
      <c r="P1358" s="56">
        <f t="shared" si="210"/>
        <v>0</v>
      </c>
      <c r="Q1358" s="56">
        <f t="shared" si="210"/>
        <v>0</v>
      </c>
      <c r="R1358" s="56">
        <f t="shared" si="210"/>
        <v>0</v>
      </c>
      <c r="S1358" s="53"/>
      <c r="T1358" s="35" t="s">
        <v>56</v>
      </c>
      <c r="U1358" s="18" t="s">
        <v>1696</v>
      </c>
      <c r="V1358" s="19" t="str">
        <f>IF(OR($H1358="",$H1358="sif",$H1358="PM"),"",VLOOKUP($H1358,[5]CU!$C$5:$J$255,8,FALSE))</f>
        <v/>
      </c>
      <c r="W1358" s="18" t="s">
        <v>1705</v>
      </c>
      <c r="X1358" s="18" t="s">
        <v>521</v>
      </c>
      <c r="Y1358" s="18" t="s">
        <v>679</v>
      </c>
      <c r="Z1358" s="19" t="str">
        <f>A1358 &amp; "-" &amp; VLOOKUP(A1358,[4]PROGRAMMES!$E$1:$F$7,2,FALSE)</f>
        <v>4-Réforme de l’enseignement supérieur et la recherche scientifique et de l'innovation</v>
      </c>
      <c r="AA1358" s="19" t="str">
        <f>B1358 &amp; "-" &amp; VLOOKUP(B1358,[4]SOUSPROGRAMMES!$E$1:$F$44,2,FALSE)</f>
        <v>43- Qualité de l’enseignement, de la formation et de la recherche scientifique</v>
      </c>
      <c r="AB1358" s="19" t="str">
        <f>C1358 &amp; "-" &amp; VLOOKUP(C1358,[4]RESULTATS!$E$1:$F$176,2,FALSE)</f>
        <v>433- La proportion des diplômés du supérieur ayant des compétences requises notamment en STIM (sciences, en technologies, en ingénierie et en mathématiques) est nettement augmentée</v>
      </c>
      <c r="AC1358" s="20" t="str">
        <f>D1358 &amp; "-" &amp; VLOOKUP(D1358,[4]STRATEGIES!$E$1:$F$504,2,FALSE)</f>
        <v>4332-Rénovation et équipement de laboratoires et CDI</v>
      </c>
      <c r="AD1358" s="21" t="str">
        <f t="shared" si="212"/>
        <v>43322-Rénovation et équipement des laboratoires (pris en compte dans activités 52112, 52113 52114 et 52116)</v>
      </c>
    </row>
    <row r="1359" spans="1:30" s="22" customFormat="1" ht="90" customHeight="1" x14ac:dyDescent="0.8">
      <c r="A1359" s="14">
        <v>4</v>
      </c>
      <c r="B1359" s="15">
        <v>43</v>
      </c>
      <c r="C1359" s="15">
        <v>433</v>
      </c>
      <c r="D1359" s="15">
        <v>4333</v>
      </c>
      <c r="E1359" s="14">
        <v>4333</v>
      </c>
      <c r="F1359" s="16" t="s">
        <v>1782</v>
      </c>
      <c r="G1359" s="17"/>
      <c r="H1359" s="17"/>
      <c r="I1359" s="56">
        <v>0</v>
      </c>
      <c r="J1359" s="56"/>
      <c r="K1359" s="56"/>
      <c r="L1359" s="56"/>
      <c r="M1359" s="56"/>
      <c r="N1359" s="56"/>
      <c r="O1359" s="56"/>
      <c r="P1359" s="56"/>
      <c r="Q1359" s="56"/>
      <c r="R1359" s="56"/>
      <c r="S1359" s="53"/>
      <c r="T1359" s="33"/>
      <c r="U1359" s="18"/>
      <c r="V1359" s="19"/>
      <c r="W1359" s="18"/>
      <c r="X1359" s="18"/>
      <c r="Y1359" s="18" t="s">
        <v>679</v>
      </c>
      <c r="Z1359" s="19" t="str">
        <f>A1359 &amp; "-" &amp; VLOOKUP(A1359,[4]PROGRAMMES!$E$1:$F$7,2,FALSE)</f>
        <v>4-Réforme de l’enseignement supérieur et la recherche scientifique et de l'innovation</v>
      </c>
      <c r="AA1359" s="19" t="str">
        <f>B1359 &amp; "-" &amp; VLOOKUP(B1359,[4]SOUSPROGRAMMES!$E$1:$F$44,2,FALSE)</f>
        <v>43- Qualité de l’enseignement, de la formation et de la recherche scientifique</v>
      </c>
      <c r="AB1359" s="19" t="str">
        <f>C1359 &amp; "-" &amp; VLOOKUP(C1359,[4]RESULTATS!$E$1:$F$176,2,FALSE)</f>
        <v>433- La proportion des diplômés du supérieur ayant des compétences requises notamment en STIM (sciences, en technologies, en ingénierie et en mathématiques) est nettement augmentée</v>
      </c>
      <c r="AC1359" s="20" t="str">
        <f>D1359 &amp; "-" &amp; VLOOKUP(D1359,[4]STRATEGIES!$E$1:$F$504,2,FALSE)</f>
        <v>4333-Mise en œuvre du projet stratégique « 1000 PhD et 5000 Masters »</v>
      </c>
      <c r="AD1359" s="21" t="str">
        <f t="shared" si="212"/>
        <v>4333-Mise en œuvre du projet stratégique « 1000 PhD et 5000 Masters »</v>
      </c>
    </row>
    <row r="1360" spans="1:30" s="22" customFormat="1" ht="90" hidden="1" customHeight="1" x14ac:dyDescent="0.8">
      <c r="A1360" s="14">
        <v>4</v>
      </c>
      <c r="B1360" s="15">
        <v>43</v>
      </c>
      <c r="C1360" s="15">
        <v>433</v>
      </c>
      <c r="D1360" s="15">
        <v>4333</v>
      </c>
      <c r="E1360" s="14">
        <v>43331</v>
      </c>
      <c r="F1360" s="16" t="s">
        <v>1783</v>
      </c>
      <c r="G1360" s="21" t="s">
        <v>88</v>
      </c>
      <c r="H1360" s="17" t="s">
        <v>55</v>
      </c>
      <c r="I1360" s="56">
        <v>0</v>
      </c>
      <c r="J1360" s="56">
        <v>1</v>
      </c>
      <c r="K1360" s="56">
        <v>1</v>
      </c>
      <c r="L1360" s="56">
        <v>1</v>
      </c>
      <c r="M1360" s="56">
        <f t="shared" si="209"/>
        <v>3</v>
      </c>
      <c r="N1360" s="56">
        <f>IF(OR(H1360="",H1360="sif",H1360="PM"),0,VLOOKUP(H1360,[5]CU!$C$4:$H$255,6,FALSE))</f>
        <v>0</v>
      </c>
      <c r="O1360" s="56">
        <f t="shared" si="210"/>
        <v>0</v>
      </c>
      <c r="P1360" s="56">
        <f t="shared" si="210"/>
        <v>0</v>
      </c>
      <c r="Q1360" s="56">
        <f t="shared" si="210"/>
        <v>0</v>
      </c>
      <c r="R1360" s="56">
        <f t="shared" si="210"/>
        <v>0</v>
      </c>
      <c r="S1360" s="53"/>
      <c r="T1360" s="35" t="s">
        <v>56</v>
      </c>
      <c r="U1360" s="18" t="s">
        <v>1696</v>
      </c>
      <c r="V1360" s="19" t="str">
        <f>IF(OR($H1360="",$H1360="sif",$H1360="PM"),"",VLOOKUP($H1360,[5]CU!$C$5:$J$255,8,FALSE))</f>
        <v/>
      </c>
      <c r="W1360" s="18" t="s">
        <v>255</v>
      </c>
      <c r="X1360" s="18" t="s">
        <v>1647</v>
      </c>
      <c r="Y1360" s="18" t="s">
        <v>679</v>
      </c>
      <c r="Z1360" s="19" t="str">
        <f>A1360 &amp; "-" &amp; VLOOKUP(A1360,[4]PROGRAMMES!$E$1:$F$7,2,FALSE)</f>
        <v>4-Réforme de l’enseignement supérieur et la recherche scientifique et de l'innovation</v>
      </c>
      <c r="AA1360" s="19" t="str">
        <f>B1360 &amp; "-" &amp; VLOOKUP(B1360,[4]SOUSPROGRAMMES!$E$1:$F$44,2,FALSE)</f>
        <v>43- Qualité de l’enseignement, de la formation et de la recherche scientifique</v>
      </c>
      <c r="AB1360" s="19" t="str">
        <f>C1360 &amp; "-" &amp; VLOOKUP(C1360,[4]RESULTATS!$E$1:$F$176,2,FALSE)</f>
        <v>433- La proportion des diplômés du supérieur ayant des compétences requises notamment en STIM (sciences, en technologies, en ingénierie et en mathématiques) est nettement augmentée</v>
      </c>
      <c r="AC1360" s="20" t="str">
        <f>D1360 &amp; "-" &amp; VLOOKUP(D1360,[4]STRATEGIES!$E$1:$F$504,2,FALSE)</f>
        <v>4333-Mise en œuvre du projet stratégique « 1000 PhD et 5000 Masters »</v>
      </c>
      <c r="AD1360" s="21" t="str">
        <f t="shared" si="212"/>
        <v>43331-Examen des dossiers des enseignants par la commission mise en place</v>
      </c>
    </row>
    <row r="1361" spans="1:30" s="22" customFormat="1" ht="90" hidden="1" customHeight="1" x14ac:dyDescent="0.8">
      <c r="A1361" s="14">
        <v>4</v>
      </c>
      <c r="B1361" s="15">
        <v>43</v>
      </c>
      <c r="C1361" s="15">
        <v>433</v>
      </c>
      <c r="D1361" s="15">
        <v>4333</v>
      </c>
      <c r="E1361" s="14">
        <v>43332</v>
      </c>
      <c r="F1361" s="16" t="s">
        <v>1784</v>
      </c>
      <c r="G1361" s="21" t="s">
        <v>92</v>
      </c>
      <c r="H1361" s="17" t="s">
        <v>55</v>
      </c>
      <c r="I1361" s="56">
        <v>0</v>
      </c>
      <c r="J1361" s="56">
        <v>400</v>
      </c>
      <c r="K1361" s="56">
        <v>400</v>
      </c>
      <c r="L1361" s="56">
        <v>500</v>
      </c>
      <c r="M1361" s="56">
        <f t="shared" si="209"/>
        <v>1300</v>
      </c>
      <c r="N1361" s="56">
        <f>IF(OR(H1361="",H1361="sif",H1361="PM"),0,VLOOKUP(H1361,[5]CU!$C$4:$H$255,6,FALSE))</f>
        <v>0</v>
      </c>
      <c r="O1361" s="56">
        <f t="shared" si="210"/>
        <v>0</v>
      </c>
      <c r="P1361" s="56">
        <f t="shared" si="210"/>
        <v>0</v>
      </c>
      <c r="Q1361" s="56">
        <f t="shared" si="210"/>
        <v>0</v>
      </c>
      <c r="R1361" s="56">
        <f t="shared" si="210"/>
        <v>0</v>
      </c>
      <c r="S1361" s="53"/>
      <c r="T1361" s="35" t="s">
        <v>56</v>
      </c>
      <c r="U1361" s="18" t="s">
        <v>1696</v>
      </c>
      <c r="V1361" s="19" t="str">
        <f>IF(OR($H1361="",$H1361="sif",$H1361="PM"),"",VLOOKUP($H1361,[5]CU!$C$5:$J$255,8,FALSE))</f>
        <v/>
      </c>
      <c r="W1361" s="18" t="s">
        <v>1665</v>
      </c>
      <c r="X1361" s="18" t="s">
        <v>521</v>
      </c>
      <c r="Y1361" s="18" t="s">
        <v>679</v>
      </c>
      <c r="Z1361" s="19" t="str">
        <f>A1361 &amp; "-" &amp; VLOOKUP(A1361,[4]PROGRAMMES!$E$1:$F$7,2,FALSE)</f>
        <v>4-Réforme de l’enseignement supérieur et la recherche scientifique et de l'innovation</v>
      </c>
      <c r="AA1361" s="19" t="str">
        <f>B1361 &amp; "-" &amp; VLOOKUP(B1361,[4]SOUSPROGRAMMES!$E$1:$F$44,2,FALSE)</f>
        <v>43- Qualité de l’enseignement, de la formation et de la recherche scientifique</v>
      </c>
      <c r="AB1361" s="19" t="str">
        <f>C1361 &amp; "-" &amp; VLOOKUP(C1361,[4]RESULTATS!$E$1:$F$176,2,FALSE)</f>
        <v>433- La proportion des diplômés du supérieur ayant des compétences requises notamment en STIM (sciences, en technologies, en ingénierie et en mathématiques) est nettement augmentée</v>
      </c>
      <c r="AC1361" s="20" t="str">
        <f>D1361 &amp; "-" &amp; VLOOKUP(D1361,[4]STRATEGIES!$E$1:$F$504,2,FALSE)</f>
        <v>4333-Mise en œuvre du projet stratégique « 1000 PhD et 5000 Masters »</v>
      </c>
      <c r="AD1361" s="21" t="str">
        <f t="shared" si="212"/>
        <v>43332-Financement des formations en master en Guinée (pris en compte dans subventions aux établissements)</v>
      </c>
    </row>
    <row r="1362" spans="1:30" s="22" customFormat="1" ht="90" hidden="1" customHeight="1" x14ac:dyDescent="0.8">
      <c r="A1362" s="14">
        <v>4</v>
      </c>
      <c r="B1362" s="15">
        <v>43</v>
      </c>
      <c r="C1362" s="15">
        <v>433</v>
      </c>
      <c r="D1362" s="15">
        <v>4333</v>
      </c>
      <c r="E1362" s="14">
        <v>43333</v>
      </c>
      <c r="F1362" s="16" t="s">
        <v>1785</v>
      </c>
      <c r="G1362" s="21" t="s">
        <v>92</v>
      </c>
      <c r="H1362" s="17" t="s">
        <v>55</v>
      </c>
      <c r="I1362" s="56">
        <v>0</v>
      </c>
      <c r="J1362" s="56">
        <v>50</v>
      </c>
      <c r="K1362" s="56">
        <v>100</v>
      </c>
      <c r="L1362" s="56">
        <v>100</v>
      </c>
      <c r="M1362" s="56">
        <v>150</v>
      </c>
      <c r="N1362" s="56">
        <f>IF(OR(H1362="",H1362="sif",H1362="PM"),0,VLOOKUP(H1362,[5]CU!$C$4:$H$255,6,FALSE))</f>
        <v>0</v>
      </c>
      <c r="O1362" s="56">
        <f t="shared" si="210"/>
        <v>0</v>
      </c>
      <c r="P1362" s="56">
        <f t="shared" si="210"/>
        <v>0</v>
      </c>
      <c r="Q1362" s="56">
        <f t="shared" si="210"/>
        <v>0</v>
      </c>
      <c r="R1362" s="56">
        <f t="shared" si="210"/>
        <v>0</v>
      </c>
      <c r="S1362" s="53"/>
      <c r="T1362" s="35" t="s">
        <v>56</v>
      </c>
      <c r="U1362" s="18" t="s">
        <v>1696</v>
      </c>
      <c r="V1362" s="19" t="str">
        <f>IF(OR($H1362="",$H1362="sif",$H1362="PM"),"",VLOOKUP($H1362,[5]CU!$C$5:$J$255,8,FALSE))</f>
        <v/>
      </c>
      <c r="W1362" s="18"/>
      <c r="X1362" s="18"/>
      <c r="Y1362" s="18" t="s">
        <v>679</v>
      </c>
      <c r="Z1362" s="19" t="str">
        <f>A1362 &amp; "-" &amp; VLOOKUP(A1362,[4]PROGRAMMES!$E$1:$F$7,2,FALSE)</f>
        <v>4-Réforme de l’enseignement supérieur et la recherche scientifique et de l'innovation</v>
      </c>
      <c r="AA1362" s="19" t="str">
        <f>B1362 &amp; "-" &amp; VLOOKUP(B1362,[4]SOUSPROGRAMMES!$E$1:$F$44,2,FALSE)</f>
        <v>43- Qualité de l’enseignement, de la formation et de la recherche scientifique</v>
      </c>
      <c r="AB1362" s="19" t="str">
        <f>C1362 &amp; "-" &amp; VLOOKUP(C1362,[4]RESULTATS!$E$1:$F$176,2,FALSE)</f>
        <v>433- La proportion des diplômés du supérieur ayant des compétences requises notamment en STIM (sciences, en technologies, en ingénierie et en mathématiques) est nettement augmentée</v>
      </c>
      <c r="AC1362" s="20" t="str">
        <f>D1362 &amp; "-" &amp; VLOOKUP(D1362,[4]STRATEGIES!$E$1:$F$504,2,FALSE)</f>
        <v>4333-Mise en œuvre du projet stratégique « 1000 PhD et 5000 Masters »</v>
      </c>
      <c r="AD1362" s="21" t="str">
        <f t="shared" si="212"/>
        <v>43333-Financement des formations en master à l'étranger (pris en compte dans activité 41536)</v>
      </c>
    </row>
    <row r="1363" spans="1:30" s="22" customFormat="1" ht="90" hidden="1" customHeight="1" x14ac:dyDescent="0.8">
      <c r="A1363" s="14">
        <v>4</v>
      </c>
      <c r="B1363" s="15">
        <v>43</v>
      </c>
      <c r="C1363" s="15">
        <v>433</v>
      </c>
      <c r="D1363" s="15">
        <v>4333</v>
      </c>
      <c r="E1363" s="14">
        <v>43334</v>
      </c>
      <c r="F1363" s="16" t="s">
        <v>1786</v>
      </c>
      <c r="G1363" s="21" t="s">
        <v>92</v>
      </c>
      <c r="H1363" s="17" t="s">
        <v>55</v>
      </c>
      <c r="I1363" s="56">
        <v>0</v>
      </c>
      <c r="J1363" s="56">
        <v>50</v>
      </c>
      <c r="K1363" s="56">
        <v>50</v>
      </c>
      <c r="L1363" s="56">
        <v>50</v>
      </c>
      <c r="M1363" s="56">
        <f t="shared" ref="M1363:M1388" si="213">SUM(I1363:L1363)</f>
        <v>150</v>
      </c>
      <c r="N1363" s="56">
        <f>IF(OR(H1363="",H1363="sif",H1363="PM"),0,VLOOKUP(H1363,[5]CU!$C$4:$H$255,6,FALSE))</f>
        <v>0</v>
      </c>
      <c r="O1363" s="56">
        <f t="shared" si="210"/>
        <v>0</v>
      </c>
      <c r="P1363" s="56">
        <f t="shared" si="210"/>
        <v>0</v>
      </c>
      <c r="Q1363" s="56">
        <f t="shared" si="210"/>
        <v>0</v>
      </c>
      <c r="R1363" s="56">
        <f t="shared" si="210"/>
        <v>0</v>
      </c>
      <c r="S1363" s="53"/>
      <c r="T1363" s="35" t="s">
        <v>56</v>
      </c>
      <c r="U1363" s="18" t="s">
        <v>1696</v>
      </c>
      <c r="V1363" s="19" t="str">
        <f>IF(OR($H1363="",$H1363="sif",$H1363="PM"),"",VLOOKUP($H1363,[5]CU!$C$5:$J$255,8,FALSE))</f>
        <v/>
      </c>
      <c r="W1363" s="18" t="s">
        <v>1665</v>
      </c>
      <c r="X1363" s="18" t="s">
        <v>521</v>
      </c>
      <c r="Y1363" s="18" t="s">
        <v>679</v>
      </c>
      <c r="Z1363" s="19" t="str">
        <f>A1363 &amp; "-" &amp; VLOOKUP(A1363,[4]PROGRAMMES!$E$1:$F$7,2,FALSE)</f>
        <v>4-Réforme de l’enseignement supérieur et la recherche scientifique et de l'innovation</v>
      </c>
      <c r="AA1363" s="19" t="str">
        <f>B1363 &amp; "-" &amp; VLOOKUP(B1363,[4]SOUSPROGRAMMES!$E$1:$F$44,2,FALSE)</f>
        <v>43- Qualité de l’enseignement, de la formation et de la recherche scientifique</v>
      </c>
      <c r="AB1363" s="19" t="str">
        <f>C1363 &amp; "-" &amp; VLOOKUP(C1363,[4]RESULTATS!$E$1:$F$176,2,FALSE)</f>
        <v>433- La proportion des diplômés du supérieur ayant des compétences requises notamment en STIM (sciences, en technologies, en ingénierie et en mathématiques) est nettement augmentée</v>
      </c>
      <c r="AC1363" s="20" t="str">
        <f>D1363 &amp; "-" &amp; VLOOKUP(D1363,[4]STRATEGIES!$E$1:$F$504,2,FALSE)</f>
        <v>4333-Mise en œuvre du projet stratégique « 1000 PhD et 5000 Masters »</v>
      </c>
      <c r="AD1363" s="21" t="str">
        <f t="shared" si="212"/>
        <v>43334-Financement des formations en Doctorat en Guinée (pris en compte dans subventions aux établissements)</v>
      </c>
    </row>
    <row r="1364" spans="1:30" s="22" customFormat="1" ht="90" hidden="1" customHeight="1" x14ac:dyDescent="0.8">
      <c r="A1364" s="14">
        <v>4</v>
      </c>
      <c r="B1364" s="15">
        <v>43</v>
      </c>
      <c r="C1364" s="15">
        <v>433</v>
      </c>
      <c r="D1364" s="15">
        <v>4333</v>
      </c>
      <c r="E1364" s="14">
        <v>43335</v>
      </c>
      <c r="F1364" s="16" t="s">
        <v>1787</v>
      </c>
      <c r="G1364" s="21" t="s">
        <v>436</v>
      </c>
      <c r="H1364" s="17" t="s">
        <v>1788</v>
      </c>
      <c r="I1364" s="56">
        <v>0</v>
      </c>
      <c r="J1364" s="56">
        <v>11</v>
      </c>
      <c r="K1364" s="56">
        <v>11</v>
      </c>
      <c r="L1364" s="56">
        <v>11</v>
      </c>
      <c r="M1364" s="56">
        <f t="shared" si="213"/>
        <v>33</v>
      </c>
      <c r="N1364" s="56">
        <f>IF(OR(H1364="",H1364="sif",H1364="PM"),0,VLOOKUP(H1364,[5]CU!$C$4:$H$255,6,FALSE))</f>
        <v>100</v>
      </c>
      <c r="O1364" s="56">
        <f t="shared" si="210"/>
        <v>0</v>
      </c>
      <c r="P1364" s="56">
        <f t="shared" si="210"/>
        <v>1100</v>
      </c>
      <c r="Q1364" s="56">
        <f t="shared" si="210"/>
        <v>1100</v>
      </c>
      <c r="R1364" s="56">
        <f t="shared" si="210"/>
        <v>1100</v>
      </c>
      <c r="S1364" s="53">
        <f>SUM(O1364:R1364)</f>
        <v>3300</v>
      </c>
      <c r="T1364" s="35" t="s">
        <v>56</v>
      </c>
      <c r="U1364" s="18" t="s">
        <v>1696</v>
      </c>
      <c r="V1364" s="19" t="str">
        <f>IF(OR($H1364="",$H1364="sif",$H1364="PM"),"",VLOOKUP($H1364,[5]CU!$C$5:$J$255,8,FALSE))</f>
        <v>3. Formation</v>
      </c>
      <c r="W1364" s="18"/>
      <c r="X1364" s="18"/>
      <c r="Y1364" s="18" t="s">
        <v>679</v>
      </c>
      <c r="Z1364" s="19" t="str">
        <f>A1364 &amp; "-" &amp; VLOOKUP(A1364,[4]PROGRAMMES!$E$1:$F$7,2,FALSE)</f>
        <v>4-Réforme de l’enseignement supérieur et la recherche scientifique et de l'innovation</v>
      </c>
      <c r="AA1364" s="19" t="str">
        <f>B1364 &amp; "-" &amp; VLOOKUP(B1364,[4]SOUSPROGRAMMES!$E$1:$F$44,2,FALSE)</f>
        <v>43- Qualité de l’enseignement, de la formation et de la recherche scientifique</v>
      </c>
      <c r="AB1364" s="19" t="str">
        <f>C1364 &amp; "-" &amp; VLOOKUP(C1364,[4]RESULTATS!$E$1:$F$176,2,FALSE)</f>
        <v>433- La proportion des diplômés du supérieur ayant des compétences requises notamment en STIM (sciences, en technologies, en ingénierie et en mathématiques) est nettement augmentée</v>
      </c>
      <c r="AC1364" s="20" t="str">
        <f>D1364 &amp; "-" &amp; VLOOKUP(D1364,[4]STRATEGIES!$E$1:$F$504,2,FALSE)</f>
        <v>4333-Mise en œuvre du projet stratégique « 1000 PhD et 5000 Masters »</v>
      </c>
      <c r="AD1364" s="21" t="str">
        <f t="shared" si="212"/>
        <v>43335-Financement des formations en Doctorat à l'étranger</v>
      </c>
    </row>
    <row r="1365" spans="1:30" s="22" customFormat="1" ht="90" customHeight="1" x14ac:dyDescent="0.8">
      <c r="A1365" s="14">
        <v>4</v>
      </c>
      <c r="B1365" s="15">
        <v>43</v>
      </c>
      <c r="C1365" s="15">
        <v>433</v>
      </c>
      <c r="D1365" s="15">
        <v>4334</v>
      </c>
      <c r="E1365" s="14">
        <v>4334</v>
      </c>
      <c r="F1365" s="16" t="s">
        <v>1789</v>
      </c>
      <c r="G1365" s="17"/>
      <c r="H1365" s="17"/>
      <c r="I1365" s="56">
        <v>0</v>
      </c>
      <c r="J1365" s="56"/>
      <c r="K1365" s="56"/>
      <c r="L1365" s="56"/>
      <c r="M1365" s="56"/>
      <c r="N1365" s="56"/>
      <c r="O1365" s="56"/>
      <c r="P1365" s="56"/>
      <c r="Q1365" s="56"/>
      <c r="R1365" s="56"/>
      <c r="S1365" s="53"/>
      <c r="T1365" s="33"/>
      <c r="U1365" s="18"/>
      <c r="V1365" s="19"/>
      <c r="W1365" s="18"/>
      <c r="X1365" s="18"/>
      <c r="Y1365" s="18" t="s">
        <v>679</v>
      </c>
      <c r="Z1365" s="19" t="str">
        <f>A1365 &amp; "-" &amp; VLOOKUP(A1365,[4]PROGRAMMES!$E$1:$F$7,2,FALSE)</f>
        <v>4-Réforme de l’enseignement supérieur et la recherche scientifique et de l'innovation</v>
      </c>
      <c r="AA1365" s="19" t="str">
        <f>B1365 &amp; "-" &amp; VLOOKUP(B1365,[4]SOUSPROGRAMMES!$E$1:$F$44,2,FALSE)</f>
        <v>43- Qualité de l’enseignement, de la formation et de la recherche scientifique</v>
      </c>
      <c r="AB1365" s="19" t="str">
        <f>C1365 &amp; "-" &amp; VLOOKUP(C1365,[4]RESULTATS!$E$1:$F$176,2,FALSE)</f>
        <v>433- La proportion des diplômés du supérieur ayant des compétences requises notamment en STIM (sciences, en technologies, en ingénierie et en mathématiques) est nettement augmentée</v>
      </c>
      <c r="AC1365" s="20" t="str">
        <f>D1365 &amp; "-" &amp; VLOOKUP(D1365,[4]STRATEGIES!$E$1:$F$504,2,FALSE)</f>
        <v>4334-Augmentation des publications de travaux de recherche</v>
      </c>
      <c r="AD1365" s="21" t="str">
        <f t="shared" si="212"/>
        <v>4334-Augmentation des publications de travaux de recherche</v>
      </c>
    </row>
    <row r="1366" spans="1:30" s="22" customFormat="1" ht="90" hidden="1" customHeight="1" x14ac:dyDescent="0.8">
      <c r="A1366" s="14">
        <v>4</v>
      </c>
      <c r="B1366" s="15">
        <v>43</v>
      </c>
      <c r="C1366" s="15">
        <v>433</v>
      </c>
      <c r="D1366" s="15">
        <v>4334</v>
      </c>
      <c r="E1366" s="14">
        <v>43341</v>
      </c>
      <c r="F1366" s="16" t="s">
        <v>1790</v>
      </c>
      <c r="G1366" s="21" t="s">
        <v>88</v>
      </c>
      <c r="H1366" s="17" t="s">
        <v>55</v>
      </c>
      <c r="I1366" s="56">
        <v>0</v>
      </c>
      <c r="J1366" s="56"/>
      <c r="K1366" s="56"/>
      <c r="L1366" s="56"/>
      <c r="M1366" s="56">
        <f t="shared" si="213"/>
        <v>0</v>
      </c>
      <c r="N1366" s="56">
        <f>IF(OR(H1366="",H1366="sif",H1366="PM"),0,VLOOKUP(H1366,[5]CU!$C$4:$H$255,6,FALSE))</f>
        <v>0</v>
      </c>
      <c r="O1366" s="56">
        <f t="shared" si="210"/>
        <v>0</v>
      </c>
      <c r="P1366" s="56">
        <f t="shared" si="210"/>
        <v>0</v>
      </c>
      <c r="Q1366" s="56">
        <f t="shared" si="210"/>
        <v>0</v>
      </c>
      <c r="R1366" s="56">
        <f t="shared" si="210"/>
        <v>0</v>
      </c>
      <c r="S1366" s="53"/>
      <c r="T1366" s="35" t="s">
        <v>169</v>
      </c>
      <c r="U1366" s="18" t="s">
        <v>1696</v>
      </c>
      <c r="V1366" s="19" t="str">
        <f>IF(OR($H1366="",$H1366="sif",$H1366="PM"),"",VLOOKUP($H1366,[5]CU!$C$5:$J$255,8,FALSE))</f>
        <v/>
      </c>
      <c r="W1366" s="18" t="s">
        <v>1791</v>
      </c>
      <c r="X1366" s="18" t="s">
        <v>521</v>
      </c>
      <c r="Y1366" s="18" t="s">
        <v>679</v>
      </c>
      <c r="Z1366" s="19" t="str">
        <f>A1366 &amp; "-" &amp; VLOOKUP(A1366,[4]PROGRAMMES!$E$1:$F$7,2,FALSE)</f>
        <v>4-Réforme de l’enseignement supérieur et la recherche scientifique et de l'innovation</v>
      </c>
      <c r="AA1366" s="19" t="str">
        <f>B1366 &amp; "-" &amp; VLOOKUP(B1366,[4]SOUSPROGRAMMES!$E$1:$F$44,2,FALSE)</f>
        <v>43- Qualité de l’enseignement, de la formation et de la recherche scientifique</v>
      </c>
      <c r="AB1366" s="19" t="str">
        <f>C1366 &amp; "-" &amp; VLOOKUP(C1366,[4]RESULTATS!$E$1:$F$176,2,FALSE)</f>
        <v>433- La proportion des diplômés du supérieur ayant des compétences requises notamment en STIM (sciences, en technologies, en ingénierie et en mathématiques) est nettement augmentée</v>
      </c>
      <c r="AC1366" s="20" t="str">
        <f>D1366 &amp; "-" &amp; VLOOKUP(D1366,[4]STRATEGIES!$E$1:$F$504,2,FALSE)</f>
        <v>4334-Augmentation des publications de travaux de recherche</v>
      </c>
      <c r="AD1366" s="21" t="str">
        <f t="shared" si="212"/>
        <v>43341-Elaboration des critères d'octroi des primes de recherche</v>
      </c>
    </row>
    <row r="1367" spans="1:30" s="22" customFormat="1" ht="90" hidden="1" customHeight="1" x14ac:dyDescent="0.8">
      <c r="A1367" s="14">
        <v>4</v>
      </c>
      <c r="B1367" s="15">
        <v>43</v>
      </c>
      <c r="C1367" s="15">
        <v>433</v>
      </c>
      <c r="D1367" s="15">
        <v>4334</v>
      </c>
      <c r="E1367" s="14">
        <v>43342</v>
      </c>
      <c r="F1367" s="16" t="s">
        <v>1792</v>
      </c>
      <c r="G1367" s="21" t="s">
        <v>88</v>
      </c>
      <c r="H1367" s="17" t="s">
        <v>55</v>
      </c>
      <c r="I1367" s="56">
        <v>0</v>
      </c>
      <c r="J1367" s="56">
        <v>1</v>
      </c>
      <c r="K1367" s="56">
        <v>1</v>
      </c>
      <c r="L1367" s="56">
        <v>1</v>
      </c>
      <c r="M1367" s="56">
        <f t="shared" si="213"/>
        <v>3</v>
      </c>
      <c r="N1367" s="56">
        <f>IF(OR(H1367="",H1367="sif",H1367="PM"),0,VLOOKUP(H1367,[5]CU!$C$4:$H$255,6,FALSE))</f>
        <v>0</v>
      </c>
      <c r="O1367" s="56">
        <f t="shared" si="210"/>
        <v>0</v>
      </c>
      <c r="P1367" s="56">
        <f t="shared" si="210"/>
        <v>0</v>
      </c>
      <c r="Q1367" s="56">
        <f t="shared" si="210"/>
        <v>0</v>
      </c>
      <c r="R1367" s="56">
        <f t="shared" si="210"/>
        <v>0</v>
      </c>
      <c r="S1367" s="53"/>
      <c r="T1367" s="35" t="s">
        <v>56</v>
      </c>
      <c r="U1367" s="18" t="s">
        <v>1696</v>
      </c>
      <c r="V1367" s="19" t="str">
        <f>IF(OR($H1367="",$H1367="sif",$H1367="PM"),"",VLOOKUP($H1367,[5]CU!$C$5:$J$255,8,FALSE))</f>
        <v/>
      </c>
      <c r="W1367" s="18" t="s">
        <v>1665</v>
      </c>
      <c r="X1367" s="18" t="s">
        <v>1607</v>
      </c>
      <c r="Y1367" s="18" t="s">
        <v>679</v>
      </c>
      <c r="Z1367" s="19" t="str">
        <f>A1367 &amp; "-" &amp; VLOOKUP(A1367,[4]PROGRAMMES!$E$1:$F$7,2,FALSE)</f>
        <v>4-Réforme de l’enseignement supérieur et la recherche scientifique et de l'innovation</v>
      </c>
      <c r="AA1367" s="19" t="str">
        <f>B1367 &amp; "-" &amp; VLOOKUP(B1367,[4]SOUSPROGRAMMES!$E$1:$F$44,2,FALSE)</f>
        <v>43- Qualité de l’enseignement, de la formation et de la recherche scientifique</v>
      </c>
      <c r="AB1367" s="19" t="str">
        <f>C1367 &amp; "-" &amp; VLOOKUP(C1367,[4]RESULTATS!$E$1:$F$176,2,FALSE)</f>
        <v>433- La proportion des diplômés du supérieur ayant des compétences requises notamment en STIM (sciences, en technologies, en ingénierie et en mathématiques) est nettement augmentée</v>
      </c>
      <c r="AC1367" s="20" t="str">
        <f>D1367 &amp; "-" &amp; VLOOKUP(D1367,[4]STRATEGIES!$E$1:$F$504,2,FALSE)</f>
        <v>4334-Augmentation des publications de travaux de recherche</v>
      </c>
      <c r="AD1367" s="21" t="str">
        <f t="shared" si="212"/>
        <v>43342-Elaboration d'un répertoire des publications</v>
      </c>
    </row>
    <row r="1368" spans="1:30" s="22" customFormat="1" ht="90" hidden="1" customHeight="1" x14ac:dyDescent="0.8">
      <c r="A1368" s="14">
        <v>4</v>
      </c>
      <c r="B1368" s="15">
        <v>43</v>
      </c>
      <c r="C1368" s="15">
        <v>433</v>
      </c>
      <c r="D1368" s="15">
        <v>4334</v>
      </c>
      <c r="E1368" s="14">
        <v>43343</v>
      </c>
      <c r="F1368" s="16" t="s">
        <v>1793</v>
      </c>
      <c r="G1368" s="21" t="s">
        <v>92</v>
      </c>
      <c r="H1368" s="17" t="s">
        <v>55</v>
      </c>
      <c r="I1368" s="56">
        <v>0</v>
      </c>
      <c r="J1368" s="56">
        <v>1</v>
      </c>
      <c r="K1368" s="56">
        <v>1</v>
      </c>
      <c r="L1368" s="56">
        <v>1</v>
      </c>
      <c r="M1368" s="56">
        <f t="shared" si="213"/>
        <v>3</v>
      </c>
      <c r="N1368" s="56">
        <f>IF(OR(H1368="",H1368="sif",H1368="PM"),0,VLOOKUP(H1368,[5]CU!$C$4:$H$255,6,FALSE))</f>
        <v>0</v>
      </c>
      <c r="O1368" s="56">
        <f t="shared" si="210"/>
        <v>0</v>
      </c>
      <c r="P1368" s="56">
        <f t="shared" si="210"/>
        <v>0</v>
      </c>
      <c r="Q1368" s="56">
        <f t="shared" si="210"/>
        <v>0</v>
      </c>
      <c r="R1368" s="56">
        <f t="shared" si="210"/>
        <v>0</v>
      </c>
      <c r="S1368" s="53"/>
      <c r="T1368" s="35" t="s">
        <v>56</v>
      </c>
      <c r="U1368" s="18" t="s">
        <v>1696</v>
      </c>
      <c r="V1368" s="19" t="str">
        <f>IF(OR($H1368="",$H1368="sif",$H1368="PM"),"",VLOOKUP($H1368,[5]CU!$C$5:$J$255,8,FALSE))</f>
        <v/>
      </c>
      <c r="W1368" s="18" t="s">
        <v>1665</v>
      </c>
      <c r="X1368" s="18" t="s">
        <v>521</v>
      </c>
      <c r="Y1368" s="18" t="s">
        <v>679</v>
      </c>
      <c r="Z1368" s="19" t="str">
        <f>A1368 &amp; "-" &amp; VLOOKUP(A1368,[4]PROGRAMMES!$E$1:$F$7,2,FALSE)</f>
        <v>4-Réforme de l’enseignement supérieur et la recherche scientifique et de l'innovation</v>
      </c>
      <c r="AA1368" s="19" t="str">
        <f>B1368 &amp; "-" &amp; VLOOKUP(B1368,[4]SOUSPROGRAMMES!$E$1:$F$44,2,FALSE)</f>
        <v>43- Qualité de l’enseignement, de la formation et de la recherche scientifique</v>
      </c>
      <c r="AB1368" s="19" t="str">
        <f>C1368 &amp; "-" &amp; VLOOKUP(C1368,[4]RESULTATS!$E$1:$F$176,2,FALSE)</f>
        <v>433- La proportion des diplômés du supérieur ayant des compétences requises notamment en STIM (sciences, en technologies, en ingénierie et en mathématiques) est nettement augmentée</v>
      </c>
      <c r="AC1368" s="20" t="str">
        <f>D1368 &amp; "-" &amp; VLOOKUP(D1368,[4]STRATEGIES!$E$1:$F$504,2,FALSE)</f>
        <v>4334-Augmentation des publications de travaux de recherche</v>
      </c>
      <c r="AD1368" s="21" t="str">
        <f t="shared" si="212"/>
        <v>43343-Paiement des primes de publications</v>
      </c>
    </row>
    <row r="1369" spans="1:30" s="22" customFormat="1" ht="90" customHeight="1" x14ac:dyDescent="0.8">
      <c r="A1369" s="14">
        <v>4</v>
      </c>
      <c r="B1369" s="15">
        <v>43</v>
      </c>
      <c r="C1369" s="15">
        <v>433</v>
      </c>
      <c r="D1369" s="15">
        <v>4335</v>
      </c>
      <c r="E1369" s="14">
        <v>4335</v>
      </c>
      <c r="F1369" s="16" t="s">
        <v>1794</v>
      </c>
      <c r="G1369" s="17"/>
      <c r="H1369" s="17"/>
      <c r="I1369" s="56">
        <v>0</v>
      </c>
      <c r="J1369" s="56"/>
      <c r="K1369" s="56"/>
      <c r="L1369" s="56"/>
      <c r="M1369" s="56"/>
      <c r="N1369" s="56"/>
      <c r="O1369" s="56"/>
      <c r="P1369" s="56"/>
      <c r="Q1369" s="56"/>
      <c r="R1369" s="56"/>
      <c r="S1369" s="53"/>
      <c r="T1369" s="33"/>
      <c r="U1369" s="18"/>
      <c r="V1369" s="19"/>
      <c r="W1369" s="18"/>
      <c r="X1369" s="18"/>
      <c r="Y1369" s="18" t="s">
        <v>679</v>
      </c>
      <c r="Z1369" s="19" t="str">
        <f>A1369 &amp; "-" &amp; VLOOKUP(A1369,[4]PROGRAMMES!$E$1:$F$7,2,FALSE)</f>
        <v>4-Réforme de l’enseignement supérieur et la recherche scientifique et de l'innovation</v>
      </c>
      <c r="AA1369" s="19" t="str">
        <f>B1369 &amp; "-" &amp; VLOOKUP(B1369,[4]SOUSPROGRAMMES!$E$1:$F$44,2,FALSE)</f>
        <v>43- Qualité de l’enseignement, de la formation et de la recherche scientifique</v>
      </c>
      <c r="AB1369" s="19" t="str">
        <f>C1369 &amp; "-" &amp; VLOOKUP(C1369,[4]RESULTATS!$E$1:$F$176,2,FALSE)</f>
        <v>433- La proportion des diplômés du supérieur ayant des compétences requises notamment en STIM (sciences, en technologies, en ingénierie et en mathématiques) est nettement augmentée</v>
      </c>
      <c r="AC1369" s="20" t="str">
        <f>D1369 &amp; "-" &amp; VLOOKUP(D1369,[4]STRATEGIES!$E$1:$F$504,2,FALSE)</f>
        <v>4335-Renforcement de l’encadrement des mémoires et thèses</v>
      </c>
      <c r="AD1369" s="21" t="str">
        <f t="shared" si="212"/>
        <v>4335-Renforcement de l’encadrement des mémoires et thèses</v>
      </c>
    </row>
    <row r="1370" spans="1:30" s="22" customFormat="1" ht="90" hidden="1" customHeight="1" x14ac:dyDescent="0.8">
      <c r="A1370" s="14">
        <v>4</v>
      </c>
      <c r="B1370" s="15">
        <v>43</v>
      </c>
      <c r="C1370" s="15">
        <v>433</v>
      </c>
      <c r="D1370" s="15">
        <v>4335</v>
      </c>
      <c r="E1370" s="14">
        <v>43351</v>
      </c>
      <c r="F1370" s="16" t="s">
        <v>1795</v>
      </c>
      <c r="G1370" s="21" t="s">
        <v>88</v>
      </c>
      <c r="H1370" s="17" t="s">
        <v>55</v>
      </c>
      <c r="I1370" s="56">
        <v>0</v>
      </c>
      <c r="J1370" s="56"/>
      <c r="K1370" s="56"/>
      <c r="L1370" s="56"/>
      <c r="M1370" s="56">
        <f t="shared" si="213"/>
        <v>0</v>
      </c>
      <c r="N1370" s="56">
        <f>IF(OR(H1370="",H1370="sif",H1370="PM"),0,VLOOKUP(H1370,[5]CU!$C$4:$H$255,6,FALSE))</f>
        <v>0</v>
      </c>
      <c r="O1370" s="56">
        <f t="shared" si="210"/>
        <v>0</v>
      </c>
      <c r="P1370" s="56">
        <f t="shared" si="210"/>
        <v>0</v>
      </c>
      <c r="Q1370" s="56">
        <f t="shared" si="210"/>
        <v>0</v>
      </c>
      <c r="R1370" s="56">
        <f t="shared" si="210"/>
        <v>0</v>
      </c>
      <c r="S1370" s="53"/>
      <c r="T1370" s="35" t="s">
        <v>56</v>
      </c>
      <c r="U1370" s="18" t="s">
        <v>1696</v>
      </c>
      <c r="V1370" s="19" t="str">
        <f>IF(OR($H1370="",$H1370="sif",$H1370="PM"),"",VLOOKUP($H1370,[5]CU!$C$5:$J$255,8,FALSE))</f>
        <v/>
      </c>
      <c r="W1370" s="18" t="s">
        <v>1647</v>
      </c>
      <c r="X1370" s="18" t="s">
        <v>521</v>
      </c>
      <c r="Y1370" s="18" t="s">
        <v>679</v>
      </c>
      <c r="Z1370" s="19" t="str">
        <f>A1370 &amp; "-" &amp; VLOOKUP(A1370,[4]PROGRAMMES!$E$1:$F$7,2,FALSE)</f>
        <v>4-Réforme de l’enseignement supérieur et la recherche scientifique et de l'innovation</v>
      </c>
      <c r="AA1370" s="19" t="str">
        <f>B1370 &amp; "-" &amp; VLOOKUP(B1370,[4]SOUSPROGRAMMES!$E$1:$F$44,2,FALSE)</f>
        <v>43- Qualité de l’enseignement, de la formation et de la recherche scientifique</v>
      </c>
      <c r="AB1370" s="19" t="str">
        <f>C1370 &amp; "-" &amp; VLOOKUP(C1370,[4]RESULTATS!$E$1:$F$176,2,FALSE)</f>
        <v>433- La proportion des diplômés du supérieur ayant des compétences requises notamment en STIM (sciences, en technologies, en ingénierie et en mathématiques) est nettement augmentée</v>
      </c>
      <c r="AC1370" s="20" t="str">
        <f>D1370 &amp; "-" &amp; VLOOKUP(D1370,[4]STRATEGIES!$E$1:$F$504,2,FALSE)</f>
        <v>4335-Renforcement de l’encadrement des mémoires et thèses</v>
      </c>
      <c r="AD1370" s="21" t="str">
        <f t="shared" si="212"/>
        <v>43351-Réactualisation des critères d'octroi des primes d'encadrement</v>
      </c>
    </row>
    <row r="1371" spans="1:30" s="22" customFormat="1" ht="90" hidden="1" customHeight="1" x14ac:dyDescent="0.8">
      <c r="A1371" s="14">
        <v>4</v>
      </c>
      <c r="B1371" s="15">
        <v>43</v>
      </c>
      <c r="C1371" s="15">
        <v>433</v>
      </c>
      <c r="D1371" s="15">
        <v>4335</v>
      </c>
      <c r="E1371" s="14">
        <v>43352</v>
      </c>
      <c r="F1371" s="16" t="s">
        <v>1796</v>
      </c>
      <c r="G1371" s="21" t="s">
        <v>88</v>
      </c>
      <c r="H1371" s="17" t="s">
        <v>55</v>
      </c>
      <c r="I1371" s="56">
        <v>0</v>
      </c>
      <c r="J1371" s="56">
        <v>1</v>
      </c>
      <c r="K1371" s="56">
        <v>1</v>
      </c>
      <c r="L1371" s="56">
        <v>1</v>
      </c>
      <c r="M1371" s="56">
        <f t="shared" si="213"/>
        <v>3</v>
      </c>
      <c r="N1371" s="56">
        <f>IF(OR(H1371="",H1371="sif",H1371="PM"),0,VLOOKUP(H1371,[5]CU!$C$4:$H$255,6,FALSE))</f>
        <v>0</v>
      </c>
      <c r="O1371" s="56">
        <f t="shared" si="210"/>
        <v>0</v>
      </c>
      <c r="P1371" s="56">
        <f t="shared" si="210"/>
        <v>0</v>
      </c>
      <c r="Q1371" s="56">
        <f t="shared" si="210"/>
        <v>0</v>
      </c>
      <c r="R1371" s="56">
        <f t="shared" si="210"/>
        <v>0</v>
      </c>
      <c r="S1371" s="53"/>
      <c r="T1371" s="35" t="s">
        <v>56</v>
      </c>
      <c r="U1371" s="18" t="s">
        <v>1696</v>
      </c>
      <c r="V1371" s="19" t="str">
        <f>IF(OR($H1371="",$H1371="sif",$H1371="PM"),"",VLOOKUP($H1371,[5]CU!$C$5:$J$255,8,FALSE))</f>
        <v/>
      </c>
      <c r="W1371" s="18" t="s">
        <v>1647</v>
      </c>
      <c r="X1371" s="18" t="s">
        <v>1607</v>
      </c>
      <c r="Y1371" s="18" t="s">
        <v>679</v>
      </c>
      <c r="Z1371" s="19" t="str">
        <f>A1371 &amp; "-" &amp; VLOOKUP(A1371,[4]PROGRAMMES!$E$1:$F$7,2,FALSE)</f>
        <v>4-Réforme de l’enseignement supérieur et la recherche scientifique et de l'innovation</v>
      </c>
      <c r="AA1371" s="19" t="str">
        <f>B1371 &amp; "-" &amp; VLOOKUP(B1371,[4]SOUSPROGRAMMES!$E$1:$F$44,2,FALSE)</f>
        <v>43- Qualité de l’enseignement, de la formation et de la recherche scientifique</v>
      </c>
      <c r="AB1371" s="19" t="str">
        <f>C1371 &amp; "-" &amp; VLOOKUP(C1371,[4]RESULTATS!$E$1:$F$176,2,FALSE)</f>
        <v>433- La proportion des diplômés du supérieur ayant des compétences requises notamment en STIM (sciences, en technologies, en ingénierie et en mathématiques) est nettement augmentée</v>
      </c>
      <c r="AC1371" s="20" t="str">
        <f>D1371 &amp; "-" &amp; VLOOKUP(D1371,[4]STRATEGIES!$E$1:$F$504,2,FALSE)</f>
        <v>4335-Renforcement de l’encadrement des mémoires et thèses</v>
      </c>
      <c r="AD1371" s="21" t="str">
        <f t="shared" si="212"/>
        <v xml:space="preserve">43352-Elaboration de la liste des mémoires et thèses par encadreur </v>
      </c>
    </row>
    <row r="1372" spans="1:30" s="22" customFormat="1" ht="90" hidden="1" customHeight="1" x14ac:dyDescent="0.8">
      <c r="A1372" s="14">
        <v>4</v>
      </c>
      <c r="B1372" s="15">
        <v>43</v>
      </c>
      <c r="C1372" s="15">
        <v>433</v>
      </c>
      <c r="D1372" s="15">
        <v>4335</v>
      </c>
      <c r="E1372" s="14">
        <v>43353</v>
      </c>
      <c r="F1372" s="16" t="s">
        <v>1797</v>
      </c>
      <c r="G1372" s="21" t="s">
        <v>92</v>
      </c>
      <c r="H1372" s="17" t="s">
        <v>55</v>
      </c>
      <c r="I1372" s="56">
        <v>0</v>
      </c>
      <c r="J1372" s="56">
        <v>1</v>
      </c>
      <c r="K1372" s="56">
        <v>1</v>
      </c>
      <c r="L1372" s="56">
        <v>1</v>
      </c>
      <c r="M1372" s="56">
        <f t="shared" si="213"/>
        <v>3</v>
      </c>
      <c r="N1372" s="56">
        <f>IF(OR(H1372="",H1372="sif",H1372="PM"),0,VLOOKUP(H1372,[5]CU!$C$4:$H$255,6,FALSE))</f>
        <v>0</v>
      </c>
      <c r="O1372" s="56">
        <f t="shared" si="210"/>
        <v>0</v>
      </c>
      <c r="P1372" s="56">
        <f t="shared" si="210"/>
        <v>0</v>
      </c>
      <c r="Q1372" s="56">
        <f t="shared" si="210"/>
        <v>0</v>
      </c>
      <c r="R1372" s="56">
        <f t="shared" si="210"/>
        <v>0</v>
      </c>
      <c r="S1372" s="53"/>
      <c r="T1372" s="35" t="s">
        <v>56</v>
      </c>
      <c r="U1372" s="18" t="s">
        <v>1696</v>
      </c>
      <c r="V1372" s="19" t="str">
        <f>IF(OR($H1372="",$H1372="sif",$H1372="PM"),"",VLOOKUP($H1372,[5]CU!$C$5:$J$255,8,FALSE))</f>
        <v/>
      </c>
      <c r="W1372" s="18" t="s">
        <v>1647</v>
      </c>
      <c r="X1372" s="18" t="s">
        <v>521</v>
      </c>
      <c r="Y1372" s="18" t="s">
        <v>679</v>
      </c>
      <c r="Z1372" s="19" t="str">
        <f>A1372 &amp; "-" &amp; VLOOKUP(A1372,[4]PROGRAMMES!$E$1:$F$7,2,FALSE)</f>
        <v>4-Réforme de l’enseignement supérieur et la recherche scientifique et de l'innovation</v>
      </c>
      <c r="AA1372" s="19" t="str">
        <f>B1372 &amp; "-" &amp; VLOOKUP(B1372,[4]SOUSPROGRAMMES!$E$1:$F$44,2,FALSE)</f>
        <v>43- Qualité de l’enseignement, de la formation et de la recherche scientifique</v>
      </c>
      <c r="AB1372" s="19" t="str">
        <f>C1372 &amp; "-" &amp; VLOOKUP(C1372,[4]RESULTATS!$E$1:$F$176,2,FALSE)</f>
        <v>433- La proportion des diplômés du supérieur ayant des compétences requises notamment en STIM (sciences, en technologies, en ingénierie et en mathématiques) est nettement augmentée</v>
      </c>
      <c r="AC1372" s="20" t="str">
        <f>D1372 &amp; "-" &amp; VLOOKUP(D1372,[4]STRATEGIES!$E$1:$F$504,2,FALSE)</f>
        <v>4335-Renforcement de l’encadrement des mémoires et thèses</v>
      </c>
      <c r="AD1372" s="21" t="str">
        <f t="shared" si="212"/>
        <v>43353-paiement des primes d'encadrement (pris en compte dans subvention des établissements)</v>
      </c>
    </row>
    <row r="1373" spans="1:30" s="22" customFormat="1" ht="45" customHeight="1" x14ac:dyDescent="0.8">
      <c r="A1373" s="14">
        <v>4</v>
      </c>
      <c r="B1373" s="15">
        <v>43</v>
      </c>
      <c r="C1373" s="15">
        <v>434</v>
      </c>
      <c r="D1373" s="15">
        <v>434</v>
      </c>
      <c r="E1373" s="14">
        <v>434</v>
      </c>
      <c r="F1373" s="16" t="s">
        <v>1798</v>
      </c>
      <c r="G1373" s="17"/>
      <c r="H1373" s="17"/>
      <c r="I1373" s="56">
        <v>0</v>
      </c>
      <c r="J1373" s="56"/>
      <c r="K1373" s="56"/>
      <c r="L1373" s="56"/>
      <c r="M1373" s="56"/>
      <c r="N1373" s="56"/>
      <c r="O1373" s="56"/>
      <c r="P1373" s="56"/>
      <c r="Q1373" s="56"/>
      <c r="R1373" s="56"/>
      <c r="S1373" s="53"/>
      <c r="T1373" s="33"/>
      <c r="U1373" s="18"/>
      <c r="V1373" s="19"/>
      <c r="W1373" s="18"/>
      <c r="X1373" s="18"/>
      <c r="Y1373" s="18" t="s">
        <v>679</v>
      </c>
      <c r="Z1373" s="19" t="str">
        <f>A1373 &amp; "-" &amp; VLOOKUP(A1373,[4]PROGRAMMES!$E$1:$F$7,2,FALSE)</f>
        <v>4-Réforme de l’enseignement supérieur et la recherche scientifique et de l'innovation</v>
      </c>
      <c r="AA1373" s="19" t="str">
        <f>B1373 &amp; "-" &amp; VLOOKUP(B1373,[4]SOUSPROGRAMMES!$E$1:$F$44,2,FALSE)</f>
        <v>43- Qualité de l’enseignement, de la formation et de la recherche scientifique</v>
      </c>
      <c r="AB1373" s="19" t="str">
        <f>C1373 &amp; "-" &amp; VLOOKUP(C1373,[4]RESULTATS!$E$1:$F$176,2,FALSE)</f>
        <v>434- Les structures d’accompagnement et de suivi des diplômés sur le marché du travail sont fonctionnelles</v>
      </c>
      <c r="AC1373" s="20" t="str">
        <f>D1373 &amp; "-" &amp; VLOOKUP(D1373,[4]STRATEGIES!$E$1:$F$504,2,FALSE)</f>
        <v>434- Les structures d’accompagnement et de suivi des diplômés sur le marché du travail sont fonctionnelles</v>
      </c>
      <c r="AD1373" s="21" t="str">
        <f t="shared" si="212"/>
        <v>434- Les structures d’accompagnement et de suivi des diplômés sur le marché du travail sont fonctionnelles</v>
      </c>
    </row>
    <row r="1374" spans="1:30" s="22" customFormat="1" ht="45" customHeight="1" x14ac:dyDescent="0.8">
      <c r="A1374" s="14">
        <v>4</v>
      </c>
      <c r="B1374" s="15">
        <v>43</v>
      </c>
      <c r="C1374" s="15">
        <v>434</v>
      </c>
      <c r="D1374" s="15">
        <v>4341</v>
      </c>
      <c r="E1374" s="14">
        <v>4341</v>
      </c>
      <c r="F1374" s="16" t="s">
        <v>1799</v>
      </c>
      <c r="G1374" s="17"/>
      <c r="H1374" s="17"/>
      <c r="I1374" s="56">
        <v>0</v>
      </c>
      <c r="J1374" s="56"/>
      <c r="K1374" s="56"/>
      <c r="L1374" s="56"/>
      <c r="M1374" s="56"/>
      <c r="N1374" s="56"/>
      <c r="O1374" s="56"/>
      <c r="P1374" s="56"/>
      <c r="Q1374" s="56"/>
      <c r="R1374" s="56"/>
      <c r="S1374" s="53"/>
      <c r="T1374" s="33"/>
      <c r="U1374" s="18"/>
      <c r="V1374" s="19"/>
      <c r="W1374" s="18"/>
      <c r="X1374" s="18"/>
      <c r="Y1374" s="18" t="s">
        <v>679</v>
      </c>
      <c r="Z1374" s="19" t="str">
        <f>A1374 &amp; "-" &amp; VLOOKUP(A1374,[4]PROGRAMMES!$E$1:$F$7,2,FALSE)</f>
        <v>4-Réforme de l’enseignement supérieur et la recherche scientifique et de l'innovation</v>
      </c>
      <c r="AA1374" s="19" t="str">
        <f>B1374 &amp; "-" &amp; VLOOKUP(B1374,[4]SOUSPROGRAMMES!$E$1:$F$44,2,FALSE)</f>
        <v>43- Qualité de l’enseignement, de la formation et de la recherche scientifique</v>
      </c>
      <c r="AB1374" s="19" t="str">
        <f>C1374 &amp; "-" &amp; VLOOKUP(C1374,[4]RESULTATS!$E$1:$F$176,2,FALSE)</f>
        <v>434- Les structures d’accompagnement et de suivi des diplômés sur le marché du travail sont fonctionnelles</v>
      </c>
      <c r="AC1374" s="20" t="str">
        <f>D1374 &amp; "-" &amp; VLOOKUP(D1374,[4]STRATEGIES!$E$1:$F$504,2,FALSE)</f>
        <v>4341-Création de structures d’accompagnement des étudiants diplômés</v>
      </c>
      <c r="AD1374" s="21" t="str">
        <f t="shared" si="212"/>
        <v>4341-Création de structures d’accompagnement des étudiants diplômés</v>
      </c>
    </row>
    <row r="1375" spans="1:30" s="22" customFormat="1" ht="45" hidden="1" customHeight="1" x14ac:dyDescent="0.8">
      <c r="A1375" s="14">
        <v>4</v>
      </c>
      <c r="B1375" s="15">
        <v>43</v>
      </c>
      <c r="C1375" s="15">
        <v>434</v>
      </c>
      <c r="D1375" s="15">
        <v>4341</v>
      </c>
      <c r="E1375" s="14">
        <v>43411</v>
      </c>
      <c r="F1375" s="16" t="s">
        <v>1800</v>
      </c>
      <c r="G1375" s="21" t="s">
        <v>88</v>
      </c>
      <c r="H1375" s="17" t="s">
        <v>55</v>
      </c>
      <c r="I1375" s="56">
        <v>0</v>
      </c>
      <c r="J1375" s="56">
        <v>1</v>
      </c>
      <c r="K1375" s="56"/>
      <c r="L1375" s="56"/>
      <c r="M1375" s="56">
        <f t="shared" si="213"/>
        <v>1</v>
      </c>
      <c r="N1375" s="56">
        <f>IF(OR(H1375="",H1375="sif",H1375="PM"),0,VLOOKUP(H1375,[5]CU!$C$4:$H$255,6,FALSE))</f>
        <v>0</v>
      </c>
      <c r="O1375" s="56">
        <f t="shared" si="210"/>
        <v>0</v>
      </c>
      <c r="P1375" s="56">
        <f t="shared" si="210"/>
        <v>0</v>
      </c>
      <c r="Q1375" s="56">
        <f t="shared" si="210"/>
        <v>0</v>
      </c>
      <c r="R1375" s="56">
        <f t="shared" si="210"/>
        <v>0</v>
      </c>
      <c r="S1375" s="53"/>
      <c r="T1375" s="35" t="s">
        <v>56</v>
      </c>
      <c r="U1375" s="18" t="s">
        <v>1696</v>
      </c>
      <c r="V1375" s="19" t="str">
        <f>IF(OR($H1375="",$H1375="sif",$H1375="PM"),"",VLOOKUP($H1375,[5]CU!$C$5:$J$255,8,FALSE))</f>
        <v/>
      </c>
      <c r="W1375" s="18" t="s">
        <v>255</v>
      </c>
      <c r="X1375" s="18" t="s">
        <v>1665</v>
      </c>
      <c r="Y1375" s="18" t="s">
        <v>679</v>
      </c>
      <c r="Z1375" s="19" t="str">
        <f>A1375 &amp; "-" &amp; VLOOKUP(A1375,[4]PROGRAMMES!$E$1:$F$7,2,FALSE)</f>
        <v>4-Réforme de l’enseignement supérieur et la recherche scientifique et de l'innovation</v>
      </c>
      <c r="AA1375" s="19" t="str">
        <f>B1375 &amp; "-" &amp; VLOOKUP(B1375,[4]SOUSPROGRAMMES!$E$1:$F$44,2,FALSE)</f>
        <v>43- Qualité de l’enseignement, de la formation et de la recherche scientifique</v>
      </c>
      <c r="AB1375" s="19" t="str">
        <f>C1375 &amp; "-" &amp; VLOOKUP(C1375,[4]RESULTATS!$E$1:$F$176,2,FALSE)</f>
        <v>434- Les structures d’accompagnement et de suivi des diplômés sur le marché du travail sont fonctionnelles</v>
      </c>
      <c r="AC1375" s="20" t="str">
        <f>D1375 &amp; "-" &amp; VLOOKUP(D1375,[4]STRATEGIES!$E$1:$F$504,2,FALSE)</f>
        <v>4341-Création de structures d’accompagnement des étudiants diplômés</v>
      </c>
      <c r="AD1375" s="21" t="str">
        <f t="shared" si="212"/>
        <v>43411-Elaboration/publication des actes de création des structures au niveau des institutions et au niveau central</v>
      </c>
    </row>
    <row r="1376" spans="1:30" s="22" customFormat="1" ht="45" hidden="1" customHeight="1" x14ac:dyDescent="0.8">
      <c r="A1376" s="14">
        <v>4</v>
      </c>
      <c r="B1376" s="15">
        <v>43</v>
      </c>
      <c r="C1376" s="15">
        <v>434</v>
      </c>
      <c r="D1376" s="15">
        <v>4341</v>
      </c>
      <c r="E1376" s="14">
        <v>43412</v>
      </c>
      <c r="F1376" s="16" t="s">
        <v>1801</v>
      </c>
      <c r="G1376" s="21" t="s">
        <v>321</v>
      </c>
      <c r="H1376" s="17" t="s">
        <v>55</v>
      </c>
      <c r="I1376" s="56">
        <v>0</v>
      </c>
      <c r="J1376" s="56">
        <v>1</v>
      </c>
      <c r="K1376" s="56"/>
      <c r="L1376" s="56"/>
      <c r="M1376" s="56">
        <f t="shared" si="213"/>
        <v>1</v>
      </c>
      <c r="N1376" s="56">
        <f>IF(OR(H1376="",H1376="sif",H1376="PM"),0,VLOOKUP(H1376,[5]CU!$C$4:$H$255,6,FALSE))</f>
        <v>0</v>
      </c>
      <c r="O1376" s="56">
        <f t="shared" si="210"/>
        <v>0</v>
      </c>
      <c r="P1376" s="56">
        <f t="shared" si="210"/>
        <v>0</v>
      </c>
      <c r="Q1376" s="56">
        <f t="shared" si="210"/>
        <v>0</v>
      </c>
      <c r="R1376" s="56">
        <f t="shared" si="210"/>
        <v>0</v>
      </c>
      <c r="S1376" s="53"/>
      <c r="T1376" s="35" t="s">
        <v>56</v>
      </c>
      <c r="U1376" s="18" t="s">
        <v>1696</v>
      </c>
      <c r="V1376" s="19" t="str">
        <f>IF(OR($H1376="",$H1376="sif",$H1376="PM"),"",VLOOKUP($H1376,[5]CU!$C$5:$J$255,8,FALSE))</f>
        <v/>
      </c>
      <c r="W1376" s="18" t="s">
        <v>255</v>
      </c>
      <c r="X1376" s="18" t="s">
        <v>142</v>
      </c>
      <c r="Y1376" s="18" t="s">
        <v>679</v>
      </c>
      <c r="Z1376" s="19" t="str">
        <f>A1376 &amp; "-" &amp; VLOOKUP(A1376,[4]PROGRAMMES!$E$1:$F$7,2,FALSE)</f>
        <v>4-Réforme de l’enseignement supérieur et la recherche scientifique et de l'innovation</v>
      </c>
      <c r="AA1376" s="19" t="str">
        <f>B1376 &amp; "-" &amp; VLOOKUP(B1376,[4]SOUSPROGRAMMES!$E$1:$F$44,2,FALSE)</f>
        <v>43- Qualité de l’enseignement, de la formation et de la recherche scientifique</v>
      </c>
      <c r="AB1376" s="19" t="str">
        <f>C1376 &amp; "-" &amp; VLOOKUP(C1376,[4]RESULTATS!$E$1:$F$176,2,FALSE)</f>
        <v>434- Les structures d’accompagnement et de suivi des diplômés sur le marché du travail sont fonctionnelles</v>
      </c>
      <c r="AC1376" s="20" t="str">
        <f>D1376 &amp; "-" &amp; VLOOKUP(D1376,[4]STRATEGIES!$E$1:$F$504,2,FALSE)</f>
        <v>4341-Création de structures d’accompagnement des étudiants diplômés</v>
      </c>
      <c r="AD1376" s="21" t="str">
        <f t="shared" si="212"/>
        <v>43412-Nomination des cadres dans les structures de suivi</v>
      </c>
    </row>
    <row r="1377" spans="1:30" s="22" customFormat="1" ht="45" hidden="1" customHeight="1" x14ac:dyDescent="0.8">
      <c r="A1377" s="14">
        <v>4</v>
      </c>
      <c r="B1377" s="15">
        <v>43</v>
      </c>
      <c r="C1377" s="15">
        <v>434</v>
      </c>
      <c r="D1377" s="15">
        <v>4341</v>
      </c>
      <c r="E1377" s="14">
        <v>43413</v>
      </c>
      <c r="F1377" s="16" t="s">
        <v>1802</v>
      </c>
      <c r="G1377" s="21" t="s">
        <v>92</v>
      </c>
      <c r="H1377" s="17" t="s">
        <v>55</v>
      </c>
      <c r="I1377" s="56">
        <v>0</v>
      </c>
      <c r="J1377" s="56"/>
      <c r="K1377" s="56">
        <v>1</v>
      </c>
      <c r="L1377" s="56">
        <v>1</v>
      </c>
      <c r="M1377" s="56">
        <f t="shared" si="213"/>
        <v>2</v>
      </c>
      <c r="N1377" s="56">
        <f>IF(OR(H1377="",H1377="sif",H1377="PM"),0,VLOOKUP(H1377,[5]CU!$C$4:$H$255,6,FALSE))</f>
        <v>0</v>
      </c>
      <c r="O1377" s="56">
        <f t="shared" si="210"/>
        <v>0</v>
      </c>
      <c r="P1377" s="56">
        <f t="shared" si="210"/>
        <v>0</v>
      </c>
      <c r="Q1377" s="56">
        <f t="shared" si="210"/>
        <v>0</v>
      </c>
      <c r="R1377" s="56">
        <f t="shared" si="210"/>
        <v>0</v>
      </c>
      <c r="S1377" s="53"/>
      <c r="T1377" s="35" t="s">
        <v>56</v>
      </c>
      <c r="U1377" s="18" t="s">
        <v>1696</v>
      </c>
      <c r="V1377" s="19" t="str">
        <f>IF(OR($H1377="",$H1377="sif",$H1377="PM"),"",VLOOKUP($H1377,[5]CU!$C$5:$J$255,8,FALSE))</f>
        <v/>
      </c>
      <c r="W1377" s="18" t="s">
        <v>1665</v>
      </c>
      <c r="X1377" s="18" t="s">
        <v>521</v>
      </c>
      <c r="Y1377" s="18" t="s">
        <v>679</v>
      </c>
      <c r="Z1377" s="19" t="str">
        <f>A1377 &amp; "-" &amp; VLOOKUP(A1377,[4]PROGRAMMES!$E$1:$F$7,2,FALSE)</f>
        <v>4-Réforme de l’enseignement supérieur et la recherche scientifique et de l'innovation</v>
      </c>
      <c r="AA1377" s="19" t="str">
        <f>B1377 &amp; "-" &amp; VLOOKUP(B1377,[4]SOUSPROGRAMMES!$E$1:$F$44,2,FALSE)</f>
        <v>43- Qualité de l’enseignement, de la formation et de la recherche scientifique</v>
      </c>
      <c r="AB1377" s="19" t="str">
        <f>C1377 &amp; "-" &amp; VLOOKUP(C1377,[4]RESULTATS!$E$1:$F$176,2,FALSE)</f>
        <v>434- Les structures d’accompagnement et de suivi des diplômés sur le marché du travail sont fonctionnelles</v>
      </c>
      <c r="AC1377" s="20" t="str">
        <f>D1377 &amp; "-" &amp; VLOOKUP(D1377,[4]STRATEGIES!$E$1:$F$504,2,FALSE)</f>
        <v>4341-Création de structures d’accompagnement des étudiants diplômés</v>
      </c>
      <c r="AD1377" s="21" t="str">
        <f t="shared" si="212"/>
        <v>43413-Opérationnalisation des structures (pris en compte dans les subventions des institutions)</v>
      </c>
    </row>
    <row r="1378" spans="1:30" s="22" customFormat="1" ht="45" customHeight="1" x14ac:dyDescent="0.8">
      <c r="A1378" s="14">
        <v>4</v>
      </c>
      <c r="B1378" s="15">
        <v>43</v>
      </c>
      <c r="C1378" s="15">
        <v>434</v>
      </c>
      <c r="D1378" s="15">
        <v>4342</v>
      </c>
      <c r="E1378" s="14">
        <v>4342</v>
      </c>
      <c r="F1378" s="16" t="s">
        <v>1803</v>
      </c>
      <c r="G1378" s="17"/>
      <c r="H1378" s="17"/>
      <c r="I1378" s="56">
        <v>0</v>
      </c>
      <c r="J1378" s="56"/>
      <c r="K1378" s="56"/>
      <c r="L1378" s="56"/>
      <c r="M1378" s="56"/>
      <c r="N1378" s="56"/>
      <c r="O1378" s="56"/>
      <c r="P1378" s="56"/>
      <c r="Q1378" s="56"/>
      <c r="R1378" s="56"/>
      <c r="S1378" s="53"/>
      <c r="T1378" s="33"/>
      <c r="U1378" s="18"/>
      <c r="V1378" s="19"/>
      <c r="W1378" s="18"/>
      <c r="X1378" s="18"/>
      <c r="Y1378" s="18" t="s">
        <v>679</v>
      </c>
      <c r="Z1378" s="19" t="str">
        <f>A1378 &amp; "-" &amp; VLOOKUP(A1378,[4]PROGRAMMES!$E$1:$F$7,2,FALSE)</f>
        <v>4-Réforme de l’enseignement supérieur et la recherche scientifique et de l'innovation</v>
      </c>
      <c r="AA1378" s="19" t="str">
        <f>B1378 &amp; "-" &amp; VLOOKUP(B1378,[4]SOUSPROGRAMMES!$E$1:$F$44,2,FALSE)</f>
        <v>43- Qualité de l’enseignement, de la formation et de la recherche scientifique</v>
      </c>
      <c r="AB1378" s="19" t="str">
        <f>C1378 &amp; "-" &amp; VLOOKUP(C1378,[4]RESULTATS!$E$1:$F$176,2,FALSE)</f>
        <v>434- Les structures d’accompagnement et de suivi des diplômés sur le marché du travail sont fonctionnelles</v>
      </c>
      <c r="AC1378" s="20" t="str">
        <f>D1378 &amp; "-" &amp; VLOOKUP(D1378,[4]STRATEGIES!$E$1:$F$504,2,FALSE)</f>
        <v>4342-Pérennisation du forum des étudiants de Guinée (FEG)</v>
      </c>
      <c r="AD1378" s="21" t="str">
        <f t="shared" si="212"/>
        <v>4342-Pérennisation du forum des étudiants de Guinée (FEG)</v>
      </c>
    </row>
    <row r="1379" spans="1:30" s="22" customFormat="1" ht="45" hidden="1" customHeight="1" x14ac:dyDescent="0.8">
      <c r="A1379" s="14">
        <v>4</v>
      </c>
      <c r="B1379" s="15">
        <v>43</v>
      </c>
      <c r="C1379" s="15">
        <v>434</v>
      </c>
      <c r="D1379" s="15">
        <v>4342</v>
      </c>
      <c r="E1379" s="14">
        <v>43421</v>
      </c>
      <c r="F1379" s="16" t="s">
        <v>1804</v>
      </c>
      <c r="G1379" s="21" t="s">
        <v>321</v>
      </c>
      <c r="H1379" s="17" t="s">
        <v>55</v>
      </c>
      <c r="I1379" s="56">
        <v>0</v>
      </c>
      <c r="J1379" s="56"/>
      <c r="K1379" s="56"/>
      <c r="L1379" s="56"/>
      <c r="M1379" s="56">
        <f t="shared" si="213"/>
        <v>0</v>
      </c>
      <c r="N1379" s="56">
        <f>IF(OR(H1379="",H1379="sif",H1379="PM"),0,VLOOKUP(H1379,[5]CU!$C$4:$H$255,6,FALSE))</f>
        <v>0</v>
      </c>
      <c r="O1379" s="56">
        <f t="shared" si="210"/>
        <v>0</v>
      </c>
      <c r="P1379" s="56">
        <f t="shared" si="210"/>
        <v>0</v>
      </c>
      <c r="Q1379" s="56">
        <f t="shared" si="210"/>
        <v>0</v>
      </c>
      <c r="R1379" s="56">
        <f t="shared" si="210"/>
        <v>0</v>
      </c>
      <c r="S1379" s="53"/>
      <c r="T1379" s="35" t="s">
        <v>56</v>
      </c>
      <c r="U1379" s="18" t="s">
        <v>1696</v>
      </c>
      <c r="V1379" s="19" t="str">
        <f>IF(OR($H1379="",$H1379="sif",$H1379="PM"),"",VLOOKUP($H1379,[5]CU!$C$5:$J$255,8,FALSE))</f>
        <v/>
      </c>
      <c r="W1379" s="18" t="s">
        <v>254</v>
      </c>
      <c r="X1379" s="18" t="s">
        <v>254</v>
      </c>
      <c r="Y1379" s="18" t="s">
        <v>679</v>
      </c>
      <c r="Z1379" s="19" t="str">
        <f>A1379 &amp; "-" &amp; VLOOKUP(A1379,[4]PROGRAMMES!$E$1:$F$7,2,FALSE)</f>
        <v>4-Réforme de l’enseignement supérieur et la recherche scientifique et de l'innovation</v>
      </c>
      <c r="AA1379" s="19" t="str">
        <f>B1379 &amp; "-" &amp; VLOOKUP(B1379,[4]SOUSPROGRAMMES!$E$1:$F$44,2,FALSE)</f>
        <v>43- Qualité de l’enseignement, de la formation et de la recherche scientifique</v>
      </c>
      <c r="AB1379" s="19" t="str">
        <f>C1379 &amp; "-" &amp; VLOOKUP(C1379,[4]RESULTATS!$E$1:$F$176,2,FALSE)</f>
        <v>434- Les structures d’accompagnement et de suivi des diplômés sur le marché du travail sont fonctionnelles</v>
      </c>
      <c r="AC1379" s="20" t="str">
        <f>D1379 &amp; "-" &amp; VLOOKUP(D1379,[4]STRATEGIES!$E$1:$F$504,2,FALSE)</f>
        <v>4342-Pérennisation du forum des étudiants de Guinée (FEG)</v>
      </c>
      <c r="AD1379" s="21" t="str">
        <f t="shared" si="212"/>
        <v>43421-Mise en place des cadres de concertations du FEG</v>
      </c>
    </row>
    <row r="1380" spans="1:30" s="22" customFormat="1" ht="45" hidden="1" customHeight="1" x14ac:dyDescent="0.8">
      <c r="A1380" s="14">
        <v>4</v>
      </c>
      <c r="B1380" s="15">
        <v>43</v>
      </c>
      <c r="C1380" s="15">
        <v>434</v>
      </c>
      <c r="D1380" s="15">
        <v>4342</v>
      </c>
      <c r="E1380" s="14">
        <v>43422</v>
      </c>
      <c r="F1380" s="16" t="s">
        <v>1805</v>
      </c>
      <c r="G1380" s="21" t="s">
        <v>1806</v>
      </c>
      <c r="H1380" s="17" t="s">
        <v>1807</v>
      </c>
      <c r="I1380" s="56">
        <v>0</v>
      </c>
      <c r="J1380" s="56">
        <v>1</v>
      </c>
      <c r="K1380" s="56">
        <v>1</v>
      </c>
      <c r="L1380" s="56">
        <v>1</v>
      </c>
      <c r="M1380" s="56">
        <f t="shared" si="213"/>
        <v>3</v>
      </c>
      <c r="N1380" s="56">
        <f>IF(OR(H1380="",H1380="sif",H1380="PM"),0,VLOOKUP(H1380,[5]CU!$C$4:$H$255,6,FALSE))</f>
        <v>500</v>
      </c>
      <c r="O1380" s="56">
        <f t="shared" si="210"/>
        <v>0</v>
      </c>
      <c r="P1380" s="56">
        <f t="shared" si="210"/>
        <v>500</v>
      </c>
      <c r="Q1380" s="56">
        <f t="shared" si="210"/>
        <v>500</v>
      </c>
      <c r="R1380" s="56">
        <f t="shared" si="210"/>
        <v>500</v>
      </c>
      <c r="S1380" s="53">
        <f>SUM(O1380:R1380)</f>
        <v>1500</v>
      </c>
      <c r="T1380" s="35" t="s">
        <v>56</v>
      </c>
      <c r="U1380" s="18" t="s">
        <v>1696</v>
      </c>
      <c r="V1380" s="19" t="str">
        <f>IF(OR($H1380="",$H1380="sif",$H1380="PM"),"",VLOOKUP($H1380,[5]CU!$C$5:$J$255,8,FALSE))</f>
        <v>3. Dépenses de fonctionnement</v>
      </c>
      <c r="W1380" s="18" t="s">
        <v>254</v>
      </c>
      <c r="X1380" s="18" t="s">
        <v>254</v>
      </c>
      <c r="Y1380" s="18" t="s">
        <v>679</v>
      </c>
      <c r="Z1380" s="19" t="str">
        <f>A1380 &amp; "-" &amp; VLOOKUP(A1380,[4]PROGRAMMES!$E$1:$F$7,2,FALSE)</f>
        <v>4-Réforme de l’enseignement supérieur et la recherche scientifique et de l'innovation</v>
      </c>
      <c r="AA1380" s="19" t="str">
        <f>B1380 &amp; "-" &amp; VLOOKUP(B1380,[4]SOUSPROGRAMMES!$E$1:$F$44,2,FALSE)</f>
        <v>43- Qualité de l’enseignement, de la formation et de la recherche scientifique</v>
      </c>
      <c r="AB1380" s="19" t="str">
        <f>C1380 &amp; "-" &amp; VLOOKUP(C1380,[4]RESULTATS!$E$1:$F$176,2,FALSE)</f>
        <v>434- Les structures d’accompagnement et de suivi des diplômés sur le marché du travail sont fonctionnelles</v>
      </c>
      <c r="AC1380" s="20" t="str">
        <f>D1380 &amp; "-" &amp; VLOOKUP(D1380,[4]STRATEGIES!$E$1:$F$504,2,FALSE)</f>
        <v>4342-Pérennisation du forum des étudiants de Guinée (FEG)</v>
      </c>
      <c r="AD1380" s="21" t="str">
        <f t="shared" si="212"/>
        <v>43422-Opérationnalisation des cadres de concertation</v>
      </c>
    </row>
    <row r="1381" spans="1:30" s="22" customFormat="1" ht="45" customHeight="1" x14ac:dyDescent="0.8">
      <c r="A1381" s="14">
        <v>4</v>
      </c>
      <c r="B1381" s="15">
        <v>43</v>
      </c>
      <c r="C1381" s="15">
        <v>434</v>
      </c>
      <c r="D1381" s="15">
        <v>4343</v>
      </c>
      <c r="E1381" s="14">
        <v>4343</v>
      </c>
      <c r="F1381" s="16" t="s">
        <v>1808</v>
      </c>
      <c r="G1381" s="17"/>
      <c r="H1381" s="17"/>
      <c r="I1381" s="56">
        <v>0</v>
      </c>
      <c r="J1381" s="56"/>
      <c r="K1381" s="56"/>
      <c r="L1381" s="56"/>
      <c r="M1381" s="56"/>
      <c r="N1381" s="56"/>
      <c r="O1381" s="56"/>
      <c r="P1381" s="56"/>
      <c r="Q1381" s="56"/>
      <c r="R1381" s="56"/>
      <c r="S1381" s="53"/>
      <c r="T1381" s="33"/>
      <c r="U1381" s="18"/>
      <c r="V1381" s="19"/>
      <c r="W1381" s="18"/>
      <c r="X1381" s="18"/>
      <c r="Y1381" s="18" t="s">
        <v>679</v>
      </c>
      <c r="Z1381" s="19" t="str">
        <f>A1381 &amp; "-" &amp; VLOOKUP(A1381,[4]PROGRAMMES!$E$1:$F$7,2,FALSE)</f>
        <v>4-Réforme de l’enseignement supérieur et la recherche scientifique et de l'innovation</v>
      </c>
      <c r="AA1381" s="19" t="str">
        <f>B1381 &amp; "-" &amp; VLOOKUP(B1381,[4]SOUSPROGRAMMES!$E$1:$F$44,2,FALSE)</f>
        <v>43- Qualité de l’enseignement, de la formation et de la recherche scientifique</v>
      </c>
      <c r="AB1381" s="19" t="str">
        <f>C1381 &amp; "-" &amp; VLOOKUP(C1381,[4]RESULTATS!$E$1:$F$176,2,FALSE)</f>
        <v>434- Les structures d’accompagnement et de suivi des diplômés sur le marché du travail sont fonctionnelles</v>
      </c>
      <c r="AC1381" s="20" t="str">
        <f>D1381 &amp; "-" &amp; VLOOKUP(D1381,[4]STRATEGIES!$E$1:$F$504,2,FALSE)</f>
        <v>4343-Création des incubateurs dans les institutions</v>
      </c>
      <c r="AD1381" s="21" t="str">
        <f t="shared" si="212"/>
        <v>4343-Création des incubateurs dans les institutions</v>
      </c>
    </row>
    <row r="1382" spans="1:30" s="22" customFormat="1" ht="45" hidden="1" customHeight="1" x14ac:dyDescent="0.8">
      <c r="A1382" s="14">
        <v>4</v>
      </c>
      <c r="B1382" s="15">
        <v>43</v>
      </c>
      <c r="C1382" s="15">
        <v>434</v>
      </c>
      <c r="D1382" s="15">
        <v>4343</v>
      </c>
      <c r="E1382" s="14">
        <v>43431</v>
      </c>
      <c r="F1382" s="16" t="s">
        <v>1809</v>
      </c>
      <c r="G1382" s="21" t="s">
        <v>167</v>
      </c>
      <c r="H1382" s="17" t="s">
        <v>646</v>
      </c>
      <c r="I1382" s="56">
        <v>0</v>
      </c>
      <c r="J1382" s="56">
        <f>2*15</f>
        <v>30</v>
      </c>
      <c r="K1382" s="56"/>
      <c r="L1382" s="56">
        <f>2*15</f>
        <v>30</v>
      </c>
      <c r="M1382" s="56">
        <f t="shared" si="213"/>
        <v>60</v>
      </c>
      <c r="N1382" s="56">
        <f>IF(OR(H1382="",H1382="sif",H1382="PM"),0,VLOOKUP(H1382,[5]CU!$C$4:$H$255,6,FALSE))</f>
        <v>10.404797</v>
      </c>
      <c r="O1382" s="56">
        <f t="shared" si="210"/>
        <v>0</v>
      </c>
      <c r="P1382" s="56">
        <f t="shared" si="210"/>
        <v>312.14391000000001</v>
      </c>
      <c r="Q1382" s="56">
        <f t="shared" si="210"/>
        <v>0</v>
      </c>
      <c r="R1382" s="56">
        <f t="shared" si="210"/>
        <v>312.14391000000001</v>
      </c>
      <c r="S1382" s="53">
        <f>SUM(O1382:R1382)</f>
        <v>624.28782000000001</v>
      </c>
      <c r="T1382" s="35" t="s">
        <v>56</v>
      </c>
      <c r="U1382" s="18" t="s">
        <v>1696</v>
      </c>
      <c r="V1382" s="19" t="str">
        <f>IF(OR($H1382="",$H1382="sif",$H1382="PM"),"",VLOOKUP($H1382,[5]CU!$C$5:$J$255,8,FALSE))</f>
        <v>3. Dépenses de fonctionnement</v>
      </c>
      <c r="W1382" s="18" t="s">
        <v>1665</v>
      </c>
      <c r="X1382" s="18" t="s">
        <v>1607</v>
      </c>
      <c r="Y1382" s="18" t="s">
        <v>679</v>
      </c>
      <c r="Z1382" s="19" t="str">
        <f>A1382 &amp; "-" &amp; VLOOKUP(A1382,[4]PROGRAMMES!$E$1:$F$7,2,FALSE)</f>
        <v>4-Réforme de l’enseignement supérieur et la recherche scientifique et de l'innovation</v>
      </c>
      <c r="AA1382" s="19" t="str">
        <f>B1382 &amp; "-" &amp; VLOOKUP(B1382,[4]SOUSPROGRAMMES!$E$1:$F$44,2,FALSE)</f>
        <v>43- Qualité de l’enseignement, de la formation et de la recherche scientifique</v>
      </c>
      <c r="AB1382" s="19" t="str">
        <f>C1382 &amp; "-" &amp; VLOOKUP(C1382,[4]RESULTATS!$E$1:$F$176,2,FALSE)</f>
        <v>434- Les structures d’accompagnement et de suivi des diplômés sur le marché du travail sont fonctionnelles</v>
      </c>
      <c r="AC1382" s="20" t="str">
        <f>D1382 &amp; "-" &amp; VLOOKUP(D1382,[4]STRATEGIES!$E$1:$F$504,2,FALSE)</f>
        <v>4343-Création des incubateurs dans les institutions</v>
      </c>
      <c r="AD1382" s="21" t="str">
        <f t="shared" si="212"/>
        <v>43431-Réalisation d'études de faisabilité pour la création d'incubateurs</v>
      </c>
    </row>
    <row r="1383" spans="1:30" s="22" customFormat="1" ht="45" hidden="1" customHeight="1" x14ac:dyDescent="0.8">
      <c r="A1383" s="14">
        <v>4</v>
      </c>
      <c r="B1383" s="15">
        <v>43</v>
      </c>
      <c r="C1383" s="15">
        <v>434</v>
      </c>
      <c r="D1383" s="15">
        <v>4343</v>
      </c>
      <c r="E1383" s="14">
        <v>43432</v>
      </c>
      <c r="F1383" s="16" t="s">
        <v>1810</v>
      </c>
      <c r="G1383" s="21" t="s">
        <v>1811</v>
      </c>
      <c r="H1383" s="17" t="s">
        <v>1812</v>
      </c>
      <c r="I1383" s="56">
        <v>0</v>
      </c>
      <c r="J1383" s="56"/>
      <c r="K1383" s="56">
        <v>1</v>
      </c>
      <c r="L1383" s="56">
        <v>1</v>
      </c>
      <c r="M1383" s="56">
        <f t="shared" si="213"/>
        <v>2</v>
      </c>
      <c r="N1383" s="56">
        <f>IF(OR(H1383="",H1383="sif",H1383="PM"),0,VLOOKUP(H1383,[5]CU!$C$4:$H$255,6,FALSE))</f>
        <v>1000</v>
      </c>
      <c r="O1383" s="56">
        <f t="shared" si="210"/>
        <v>0</v>
      </c>
      <c r="P1383" s="56">
        <f t="shared" si="210"/>
        <v>0</v>
      </c>
      <c r="Q1383" s="56">
        <f t="shared" si="210"/>
        <v>1000</v>
      </c>
      <c r="R1383" s="56">
        <f t="shared" si="210"/>
        <v>1000</v>
      </c>
      <c r="S1383" s="53">
        <f>SUM(O1383:R1383)</f>
        <v>2000</v>
      </c>
      <c r="T1383" s="35" t="s">
        <v>56</v>
      </c>
      <c r="U1383" s="18" t="s">
        <v>1696</v>
      </c>
      <c r="V1383" s="19" t="str">
        <f>IF(OR($H1383="",$H1383="sif",$H1383="PM"),"",VLOOKUP($H1383,[5]CU!$C$5:$J$255,8,FALSE))</f>
        <v>4. Transferts et subventions</v>
      </c>
      <c r="W1383" s="18" t="s">
        <v>96</v>
      </c>
      <c r="X1383" s="18" t="s">
        <v>521</v>
      </c>
      <c r="Y1383" s="18" t="s">
        <v>679</v>
      </c>
      <c r="Z1383" s="19" t="str">
        <f>A1383 &amp; "-" &amp; VLOOKUP(A1383,[4]PROGRAMMES!$E$1:$F$7,2,FALSE)</f>
        <v>4-Réforme de l’enseignement supérieur et la recherche scientifique et de l'innovation</v>
      </c>
      <c r="AA1383" s="19" t="str">
        <f>B1383 &amp; "-" &amp; VLOOKUP(B1383,[4]SOUSPROGRAMMES!$E$1:$F$44,2,FALSE)</f>
        <v>43- Qualité de l’enseignement, de la formation et de la recherche scientifique</v>
      </c>
      <c r="AB1383" s="19" t="str">
        <f>C1383 &amp; "-" &amp; VLOOKUP(C1383,[4]RESULTATS!$E$1:$F$176,2,FALSE)</f>
        <v>434- Les structures d’accompagnement et de suivi des diplômés sur le marché du travail sont fonctionnelles</v>
      </c>
      <c r="AC1383" s="20" t="str">
        <f>D1383 &amp; "-" &amp; VLOOKUP(D1383,[4]STRATEGIES!$E$1:$F$504,2,FALSE)</f>
        <v>4343-Création des incubateurs dans les institutions</v>
      </c>
      <c r="AD1383" s="21" t="str">
        <f t="shared" si="212"/>
        <v>43432-Création de projets</v>
      </c>
    </row>
    <row r="1384" spans="1:30" s="22" customFormat="1" ht="45" customHeight="1" x14ac:dyDescent="0.8">
      <c r="A1384" s="14">
        <v>4</v>
      </c>
      <c r="B1384" s="15">
        <v>43</v>
      </c>
      <c r="C1384" s="15">
        <v>435</v>
      </c>
      <c r="D1384" s="15">
        <v>435</v>
      </c>
      <c r="E1384" s="14">
        <v>435</v>
      </c>
      <c r="F1384" s="16" t="s">
        <v>1813</v>
      </c>
      <c r="G1384" s="17"/>
      <c r="H1384" s="17"/>
      <c r="I1384" s="56">
        <v>0</v>
      </c>
      <c r="J1384" s="56"/>
      <c r="K1384" s="56"/>
      <c r="L1384" s="56"/>
      <c r="M1384" s="56"/>
      <c r="N1384" s="56"/>
      <c r="O1384" s="56"/>
      <c r="P1384" s="56"/>
      <c r="Q1384" s="56"/>
      <c r="R1384" s="56"/>
      <c r="S1384" s="53"/>
      <c r="T1384" s="33"/>
      <c r="U1384" s="18"/>
      <c r="V1384" s="19"/>
      <c r="W1384" s="18"/>
      <c r="X1384" s="18"/>
      <c r="Y1384" s="18" t="s">
        <v>679</v>
      </c>
      <c r="Z1384" s="19" t="str">
        <f>A1384 &amp; "-" &amp; VLOOKUP(A1384,[4]PROGRAMMES!$E$1:$F$7,2,FALSE)</f>
        <v>4-Réforme de l’enseignement supérieur et la recherche scientifique et de l'innovation</v>
      </c>
      <c r="AA1384" s="19" t="str">
        <f>B1384 &amp; "-" &amp; VLOOKUP(B1384,[4]SOUSPROGRAMMES!$E$1:$F$44,2,FALSE)</f>
        <v>43- Qualité de l’enseignement, de la formation et de la recherche scientifique</v>
      </c>
      <c r="AB1384" s="19" t="str">
        <f>C1384 &amp; "-" &amp; VLOOKUP(C1384,[4]RESULTATS!$E$1:$F$176,2,FALSE)</f>
        <v>435- L’utilisation des TICE dans l’enseignement supérieur et la recherche scientifique est améliorée</v>
      </c>
      <c r="AC1384" s="20" t="str">
        <f>D1384 &amp; "-" &amp; VLOOKUP(D1384,[4]STRATEGIES!$E$1:$F$504,2,FALSE)</f>
        <v>435- L’utilisation des TICE dans l’enseignement supérieur et la recherche scientifique est améliorée</v>
      </c>
      <c r="AD1384" s="21" t="str">
        <f t="shared" si="212"/>
        <v>435- L’utilisation des TICE dans l’enseignement supérieur et la recherche scientifique est améliorée</v>
      </c>
    </row>
    <row r="1385" spans="1:30" s="22" customFormat="1" ht="45" customHeight="1" x14ac:dyDescent="0.8">
      <c r="A1385" s="14">
        <v>4</v>
      </c>
      <c r="B1385" s="15">
        <v>43</v>
      </c>
      <c r="C1385" s="15">
        <v>435</v>
      </c>
      <c r="D1385" s="15">
        <v>4351</v>
      </c>
      <c r="E1385" s="14">
        <v>4351</v>
      </c>
      <c r="F1385" s="16" t="s">
        <v>1814</v>
      </c>
      <c r="G1385" s="17"/>
      <c r="H1385" s="17"/>
      <c r="I1385" s="56">
        <v>0</v>
      </c>
      <c r="J1385" s="56"/>
      <c r="K1385" s="56"/>
      <c r="L1385" s="56"/>
      <c r="M1385" s="56"/>
      <c r="N1385" s="56"/>
      <c r="O1385" s="56"/>
      <c r="P1385" s="56"/>
      <c r="Q1385" s="56"/>
      <c r="R1385" s="56"/>
      <c r="S1385" s="53"/>
      <c r="T1385" s="33"/>
      <c r="U1385" s="18"/>
      <c r="V1385" s="19"/>
      <c r="W1385" s="18"/>
      <c r="X1385" s="18"/>
      <c r="Y1385" s="18" t="s">
        <v>679</v>
      </c>
      <c r="Z1385" s="19" t="str">
        <f>A1385 &amp; "-" &amp; VLOOKUP(A1385,[4]PROGRAMMES!$E$1:$F$7,2,FALSE)</f>
        <v>4-Réforme de l’enseignement supérieur et la recherche scientifique et de l'innovation</v>
      </c>
      <c r="AA1385" s="19" t="str">
        <f>B1385 &amp; "-" &amp; VLOOKUP(B1385,[4]SOUSPROGRAMMES!$E$1:$F$44,2,FALSE)</f>
        <v>43- Qualité de l’enseignement, de la formation et de la recherche scientifique</v>
      </c>
      <c r="AB1385" s="19" t="str">
        <f>C1385 &amp; "-" &amp; VLOOKUP(C1385,[4]RESULTATS!$E$1:$F$176,2,FALSE)</f>
        <v>435- L’utilisation des TICE dans l’enseignement supérieur et la recherche scientifique est améliorée</v>
      </c>
      <c r="AC1385" s="20" t="str">
        <f>D1385 &amp; "-" &amp; VLOOKUP(D1385,[4]STRATEGIES!$E$1:$F$504,2,FALSE)</f>
        <v>4351-Amélioration de la connectivité à internet (infrastructures de réseaux et bande passante) dans toutes les institutions</v>
      </c>
      <c r="AD1385" s="21" t="str">
        <f t="shared" si="212"/>
        <v>4351-Amélioration de la connectivité à internet (infrastructures de réseaux et bande passante) dans toutes les institutions</v>
      </c>
    </row>
    <row r="1386" spans="1:30" s="22" customFormat="1" ht="45" hidden="1" customHeight="1" x14ac:dyDescent="0.8">
      <c r="A1386" s="14">
        <v>4</v>
      </c>
      <c r="B1386" s="15">
        <v>43</v>
      </c>
      <c r="C1386" s="15">
        <v>435</v>
      </c>
      <c r="D1386" s="15">
        <v>4351</v>
      </c>
      <c r="E1386" s="14">
        <v>43511</v>
      </c>
      <c r="F1386" s="16" t="s">
        <v>1815</v>
      </c>
      <c r="G1386" s="21" t="s">
        <v>92</v>
      </c>
      <c r="H1386" s="17" t="s">
        <v>55</v>
      </c>
      <c r="I1386" s="56">
        <v>0</v>
      </c>
      <c r="J1386" s="56"/>
      <c r="K1386" s="56"/>
      <c r="L1386" s="56"/>
      <c r="M1386" s="56">
        <f t="shared" si="213"/>
        <v>0</v>
      </c>
      <c r="N1386" s="56">
        <f>IF(OR(H1386="",H1386="sif",H1386="PM"),0,VLOOKUP(H1386,[5]CU!$C$4:$H$255,6,FALSE))</f>
        <v>0</v>
      </c>
      <c r="O1386" s="56">
        <f t="shared" si="210"/>
        <v>0</v>
      </c>
      <c r="P1386" s="56">
        <f t="shared" si="210"/>
        <v>0</v>
      </c>
      <c r="Q1386" s="56">
        <f t="shared" si="210"/>
        <v>0</v>
      </c>
      <c r="R1386" s="56">
        <f t="shared" si="210"/>
        <v>0</v>
      </c>
      <c r="S1386" s="53"/>
      <c r="T1386" s="35" t="s">
        <v>56</v>
      </c>
      <c r="U1386" s="18" t="s">
        <v>1696</v>
      </c>
      <c r="V1386" s="19" t="str">
        <f>IF(OR($H1386="",$H1386="sif",$H1386="PM"),"",VLOOKUP($H1386,[5]CU!$C$5:$J$255,8,FALSE))</f>
        <v/>
      </c>
      <c r="W1386" s="18" t="s">
        <v>1816</v>
      </c>
      <c r="X1386" s="18" t="s">
        <v>1650</v>
      </c>
      <c r="Y1386" s="18" t="s">
        <v>679</v>
      </c>
      <c r="Z1386" s="19" t="str">
        <f>A1386 &amp; "-" &amp; VLOOKUP(A1386,[4]PROGRAMMES!$E$1:$F$7,2,FALSE)</f>
        <v>4-Réforme de l’enseignement supérieur et la recherche scientifique et de l'innovation</v>
      </c>
      <c r="AA1386" s="19" t="str">
        <f>B1386 &amp; "-" &amp; VLOOKUP(B1386,[4]SOUSPROGRAMMES!$E$1:$F$44,2,FALSE)</f>
        <v>43- Qualité de l’enseignement, de la formation et de la recherche scientifique</v>
      </c>
      <c r="AB1386" s="19" t="str">
        <f>C1386 &amp; "-" &amp; VLOOKUP(C1386,[4]RESULTATS!$E$1:$F$176,2,FALSE)</f>
        <v>435- L’utilisation des TICE dans l’enseignement supérieur et la recherche scientifique est améliorée</v>
      </c>
      <c r="AC1386" s="20" t="str">
        <f>D1386 &amp; "-" &amp; VLOOKUP(D1386,[4]STRATEGIES!$E$1:$F$504,2,FALSE)</f>
        <v>4351-Amélioration de la connectivité à internet (infrastructures de réseaux et bande passante) dans toutes les institutions</v>
      </c>
      <c r="AD1386" s="21" t="str">
        <f t="shared" si="212"/>
        <v>43511-Etude d'identification des besoins techniques (pris en compte dans étude sur le schéma directeur en cours)</v>
      </c>
    </row>
    <row r="1387" spans="1:30" s="22" customFormat="1" ht="45" hidden="1" customHeight="1" x14ac:dyDescent="0.8">
      <c r="A1387" s="14">
        <v>4</v>
      </c>
      <c r="B1387" s="15">
        <v>43</v>
      </c>
      <c r="C1387" s="15">
        <v>435</v>
      </c>
      <c r="D1387" s="15">
        <v>4351</v>
      </c>
      <c r="E1387" s="14">
        <v>43512</v>
      </c>
      <c r="F1387" s="16" t="s">
        <v>1817</v>
      </c>
      <c r="G1387" s="21" t="s">
        <v>1619</v>
      </c>
      <c r="H1387" s="17" t="s">
        <v>1818</v>
      </c>
      <c r="I1387" s="56">
        <v>0</v>
      </c>
      <c r="J1387" s="56">
        <f t="shared" ref="J1387:L1388" si="214">2*50%</f>
        <v>1</v>
      </c>
      <c r="K1387" s="56">
        <f t="shared" si="214"/>
        <v>1</v>
      </c>
      <c r="L1387" s="56">
        <f t="shared" si="214"/>
        <v>1</v>
      </c>
      <c r="M1387" s="56">
        <f>SUM(I1387:L1387)</f>
        <v>3</v>
      </c>
      <c r="N1387" s="56">
        <f>IF(OR(H1387="",H1387="sif",H1387="PM"),0,VLOOKUP(H1387,[5]CU!$C$4:$H$255,6,FALSE))</f>
        <v>400</v>
      </c>
      <c r="O1387" s="56">
        <f>IFERROR($N1387*I1387,0)</f>
        <v>0</v>
      </c>
      <c r="P1387" s="56">
        <f>IFERROR($N1387*J1387,0)</f>
        <v>400</v>
      </c>
      <c r="Q1387" s="56">
        <f>IFERROR($N1387*K1387,0)</f>
        <v>400</v>
      </c>
      <c r="R1387" s="56">
        <f>IFERROR($N1387*L1387,0)</f>
        <v>400</v>
      </c>
      <c r="S1387" s="53">
        <f>SUM(O1387:R1387)</f>
        <v>1200</v>
      </c>
      <c r="T1387" s="35" t="s">
        <v>56</v>
      </c>
      <c r="U1387" s="19" t="s">
        <v>1696</v>
      </c>
      <c r="V1387" s="19" t="str">
        <f>IF(OR($H1387="",$H1387="sif",$H1387="PM"),"",VLOOKUP($H1387,[5]CU!$C$5:$J$255,8,FALSE))</f>
        <v>5. Investissement</v>
      </c>
      <c r="W1387" s="19" t="s">
        <v>1819</v>
      </c>
      <c r="X1387" s="19" t="s">
        <v>521</v>
      </c>
      <c r="Y1387" s="18" t="s">
        <v>679</v>
      </c>
      <c r="Z1387" s="19" t="str">
        <f>A1387 &amp; "-" &amp; VLOOKUP(A1387,[4]PROGRAMMES!$E$1:$F$7,2,FALSE)</f>
        <v>4-Réforme de l’enseignement supérieur et la recherche scientifique et de l'innovation</v>
      </c>
      <c r="AA1387" s="19" t="str">
        <f>B1387 &amp; "-" &amp; VLOOKUP(B1387,[4]SOUSPROGRAMMES!$E$1:$F$44,2,FALSE)</f>
        <v>43- Qualité de l’enseignement, de la formation et de la recherche scientifique</v>
      </c>
      <c r="AB1387" s="19" t="str">
        <f>C1387 &amp; "-" &amp; VLOOKUP(C1387,[4]RESULTATS!$E$1:$F$176,2,FALSE)</f>
        <v>435- L’utilisation des TICE dans l’enseignement supérieur et la recherche scientifique est améliorée</v>
      </c>
      <c r="AC1387" s="20" t="str">
        <f>D1387 &amp; "-" &amp; VLOOKUP(D1387,[4]STRATEGIES!$E$1:$F$504,2,FALSE)</f>
        <v>4351-Amélioration de la connectivité à internet (infrastructures de réseaux et bande passante) dans toutes les institutions</v>
      </c>
      <c r="AD1387" s="21" t="str">
        <f t="shared" si="212"/>
        <v>43512-Acquisition d'équipement informatiques pour la mise en œuvre progressive du schéma directeur</v>
      </c>
    </row>
    <row r="1388" spans="1:30" s="22" customFormat="1" ht="45" customHeight="1" x14ac:dyDescent="0.8">
      <c r="A1388" s="14">
        <v>4</v>
      </c>
      <c r="B1388" s="15">
        <v>43</v>
      </c>
      <c r="C1388" s="15">
        <v>435</v>
      </c>
      <c r="D1388" s="15">
        <v>4351</v>
      </c>
      <c r="E1388" s="14">
        <v>43512</v>
      </c>
      <c r="F1388" s="16" t="s">
        <v>1817</v>
      </c>
      <c r="G1388" s="21" t="s">
        <v>1619</v>
      </c>
      <c r="H1388" s="17" t="s">
        <v>1818</v>
      </c>
      <c r="I1388" s="56">
        <v>0</v>
      </c>
      <c r="J1388" s="56">
        <f t="shared" si="214"/>
        <v>1</v>
      </c>
      <c r="K1388" s="56">
        <f t="shared" si="214"/>
        <v>1</v>
      </c>
      <c r="L1388" s="56">
        <f t="shared" si="214"/>
        <v>1</v>
      </c>
      <c r="M1388" s="56">
        <f t="shared" si="213"/>
        <v>3</v>
      </c>
      <c r="N1388" s="56">
        <f>IF(OR(H1388="",H1388="sif",H1388="PM"),0,VLOOKUP(H1388,[5]CU!$C$4:$H$255,6,FALSE))</f>
        <v>400</v>
      </c>
      <c r="O1388" s="56">
        <f t="shared" si="210"/>
        <v>0</v>
      </c>
      <c r="P1388" s="56">
        <f t="shared" si="210"/>
        <v>400</v>
      </c>
      <c r="Q1388" s="56">
        <f t="shared" si="210"/>
        <v>400</v>
      </c>
      <c r="R1388" s="56">
        <f t="shared" si="210"/>
        <v>400</v>
      </c>
      <c r="S1388" s="53">
        <f>SUM(O1388:R1388)</f>
        <v>1200</v>
      </c>
      <c r="T1388" s="35" t="s">
        <v>39</v>
      </c>
      <c r="U1388" s="19" t="s">
        <v>1696</v>
      </c>
      <c r="V1388" s="19" t="str">
        <f>IF(OR($H1388="",$H1388="sif",$H1388="PM"),"",VLOOKUP($H1388,[5]CU!$C$5:$J$255,8,FALSE))</f>
        <v>5. Investissement</v>
      </c>
      <c r="W1388" s="19" t="s">
        <v>1819</v>
      </c>
      <c r="X1388" s="19" t="s">
        <v>521</v>
      </c>
      <c r="Y1388" s="18" t="s">
        <v>679</v>
      </c>
      <c r="Z1388" s="19" t="str">
        <f>A1388 &amp; "-" &amp; VLOOKUP(A1388,[4]PROGRAMMES!$E$1:$F$7,2,FALSE)</f>
        <v>4-Réforme de l’enseignement supérieur et la recherche scientifique et de l'innovation</v>
      </c>
      <c r="AA1388" s="19" t="str">
        <f>B1388 &amp; "-" &amp; VLOOKUP(B1388,[4]SOUSPROGRAMMES!$E$1:$F$44,2,FALSE)</f>
        <v>43- Qualité de l’enseignement, de la formation et de la recherche scientifique</v>
      </c>
      <c r="AB1388" s="19" t="str">
        <f>C1388 &amp; "-" &amp; VLOOKUP(C1388,[4]RESULTATS!$E$1:$F$176,2,FALSE)</f>
        <v>435- L’utilisation des TICE dans l’enseignement supérieur et la recherche scientifique est améliorée</v>
      </c>
      <c r="AC1388" s="20" t="str">
        <f>D1388 &amp; "-" &amp; VLOOKUP(D1388,[4]STRATEGIES!$E$1:$F$504,2,FALSE)</f>
        <v>4351-Amélioration de la connectivité à internet (infrastructures de réseaux et bande passante) dans toutes les institutions</v>
      </c>
      <c r="AD1388" s="21" t="str">
        <f t="shared" si="212"/>
        <v>43512-Acquisition d'équipement informatiques pour la mise en œuvre progressive du schéma directeur</v>
      </c>
    </row>
    <row r="1389" spans="1:30" s="22" customFormat="1" ht="45" customHeight="1" x14ac:dyDescent="0.8">
      <c r="A1389" s="14">
        <v>4</v>
      </c>
      <c r="B1389" s="15">
        <v>43</v>
      </c>
      <c r="C1389" s="15">
        <v>435</v>
      </c>
      <c r="D1389" s="15">
        <v>4352</v>
      </c>
      <c r="E1389" s="14">
        <v>4352</v>
      </c>
      <c r="F1389" s="16" t="s">
        <v>1820</v>
      </c>
      <c r="G1389" s="17"/>
      <c r="H1389" s="17"/>
      <c r="I1389" s="56">
        <v>0</v>
      </c>
      <c r="J1389" s="56"/>
      <c r="K1389" s="56"/>
      <c r="L1389" s="56"/>
      <c r="M1389" s="56"/>
      <c r="N1389" s="56"/>
      <c r="O1389" s="56"/>
      <c r="P1389" s="56"/>
      <c r="Q1389" s="56"/>
      <c r="R1389" s="56"/>
      <c r="S1389" s="53"/>
      <c r="T1389" s="33"/>
      <c r="U1389" s="18"/>
      <c r="V1389" s="19"/>
      <c r="W1389" s="18"/>
      <c r="X1389" s="18"/>
      <c r="Y1389" s="18" t="s">
        <v>679</v>
      </c>
      <c r="Z1389" s="19" t="str">
        <f>A1389 &amp; "-" &amp; VLOOKUP(A1389,[4]PROGRAMMES!$E$1:$F$7,2,FALSE)</f>
        <v>4-Réforme de l’enseignement supérieur et la recherche scientifique et de l'innovation</v>
      </c>
      <c r="AA1389" s="19" t="str">
        <f>B1389 &amp; "-" &amp; VLOOKUP(B1389,[4]SOUSPROGRAMMES!$E$1:$F$44,2,FALSE)</f>
        <v>43- Qualité de l’enseignement, de la formation et de la recherche scientifique</v>
      </c>
      <c r="AB1389" s="19" t="str">
        <f>C1389 &amp; "-" &amp; VLOOKUP(C1389,[4]RESULTATS!$E$1:$F$176,2,FALSE)</f>
        <v>435- L’utilisation des TICE dans l’enseignement supérieur et la recherche scientifique est améliorée</v>
      </c>
      <c r="AC1389" s="20" t="str">
        <f>D1389 &amp; "-" &amp; VLOOKUP(D1389,[4]STRATEGIES!$E$1:$F$504,2,FALSE)</f>
        <v>4352-Renforcement des capacités des ressources humaines nécessaire pour prendre en charge l’utilisation des TICE</v>
      </c>
      <c r="AD1389" s="21" t="str">
        <f t="shared" si="212"/>
        <v>4352-Renforcement des capacités des ressources humaines nécessaire pour prendre en charge l’utilisation des TICE</v>
      </c>
    </row>
    <row r="1390" spans="1:30" s="22" customFormat="1" ht="45" hidden="1" customHeight="1" x14ac:dyDescent="0.8">
      <c r="A1390" s="14">
        <v>4</v>
      </c>
      <c r="B1390" s="15">
        <v>43</v>
      </c>
      <c r="C1390" s="15">
        <v>435</v>
      </c>
      <c r="D1390" s="15">
        <v>4352</v>
      </c>
      <c r="E1390" s="14">
        <v>43521</v>
      </c>
      <c r="F1390" s="16" t="s">
        <v>1821</v>
      </c>
      <c r="G1390" s="21" t="s">
        <v>321</v>
      </c>
      <c r="H1390" s="17" t="s">
        <v>55</v>
      </c>
      <c r="I1390" s="56">
        <v>0</v>
      </c>
      <c r="J1390" s="56"/>
      <c r="K1390" s="56"/>
      <c r="L1390" s="56"/>
      <c r="M1390" s="56"/>
      <c r="N1390" s="56">
        <f>IF(OR(H1390="",H1390="sif",H1390="PM"),0,VLOOKUP(H1390,[5]CU!$C$4:$H$255,6,FALSE))</f>
        <v>0</v>
      </c>
      <c r="O1390" s="56"/>
      <c r="P1390" s="56"/>
      <c r="Q1390" s="56"/>
      <c r="R1390" s="56"/>
      <c r="S1390" s="53"/>
      <c r="T1390" s="35" t="s">
        <v>56</v>
      </c>
      <c r="U1390" s="18" t="s">
        <v>1696</v>
      </c>
      <c r="V1390" s="19" t="str">
        <f>IF(OR($H1390="",$H1390="sif",$H1390="PM"),"",VLOOKUP($H1390,[5]CU!$C$5:$J$255,8,FALSE))</f>
        <v/>
      </c>
      <c r="W1390" s="18" t="s">
        <v>255</v>
      </c>
      <c r="X1390" s="18" t="s">
        <v>142</v>
      </c>
      <c r="Y1390" s="18" t="s">
        <v>679</v>
      </c>
      <c r="Z1390" s="19" t="str">
        <f>A1390 &amp; "-" &amp; VLOOKUP(A1390,[4]PROGRAMMES!$E$1:$F$7,2,FALSE)</f>
        <v>4-Réforme de l’enseignement supérieur et la recherche scientifique et de l'innovation</v>
      </c>
      <c r="AA1390" s="19" t="str">
        <f>B1390 &amp; "-" &amp; VLOOKUP(B1390,[4]SOUSPROGRAMMES!$E$1:$F$44,2,FALSE)</f>
        <v>43- Qualité de l’enseignement, de la formation et de la recherche scientifique</v>
      </c>
      <c r="AB1390" s="19" t="str">
        <f>C1390 &amp; "-" &amp; VLOOKUP(C1390,[4]RESULTATS!$E$1:$F$176,2,FALSE)</f>
        <v>435- L’utilisation des TICE dans l’enseignement supérieur et la recherche scientifique est améliorée</v>
      </c>
      <c r="AC1390" s="20" t="str">
        <f>D1390 &amp; "-" &amp; VLOOKUP(D1390,[4]STRATEGIES!$E$1:$F$504,2,FALSE)</f>
        <v>4352-Renforcement des capacités des ressources humaines nécessaire pour prendre en charge l’utilisation des TICE</v>
      </c>
      <c r="AD1390" s="21" t="str">
        <f t="shared" si="212"/>
        <v>43521-Nomination des cadres en charge des TICE</v>
      </c>
    </row>
    <row r="1391" spans="1:30" s="22" customFormat="1" ht="45" hidden="1" customHeight="1" x14ac:dyDescent="0.8">
      <c r="A1391" s="14">
        <v>4</v>
      </c>
      <c r="B1391" s="15">
        <v>43</v>
      </c>
      <c r="C1391" s="15">
        <v>435</v>
      </c>
      <c r="D1391" s="15">
        <v>4352</v>
      </c>
      <c r="E1391" s="14">
        <v>43522</v>
      </c>
      <c r="F1391" s="16" t="s">
        <v>1822</v>
      </c>
      <c r="G1391" s="21" t="s">
        <v>167</v>
      </c>
      <c r="H1391" s="17" t="s">
        <v>101</v>
      </c>
      <c r="I1391" s="56">
        <v>0</v>
      </c>
      <c r="J1391" s="56"/>
      <c r="K1391" s="56"/>
      <c r="L1391" s="56"/>
      <c r="M1391" s="56">
        <f t="shared" ref="M1391:M1453" si="215">SUM(I1391:L1391)</f>
        <v>0</v>
      </c>
      <c r="N1391" s="56">
        <f>IF(OR(H1391="",H1391="sif",H1391="PM"),0,VLOOKUP(H1391,[5]CU!$C$4:$H$255,6,FALSE))</f>
        <v>2.651545</v>
      </c>
      <c r="O1391" s="56">
        <f t="shared" ref="O1391:R1453" si="216">IFERROR($N1391*I1391,0)</f>
        <v>0</v>
      </c>
      <c r="P1391" s="56">
        <f t="shared" si="216"/>
        <v>0</v>
      </c>
      <c r="Q1391" s="56">
        <f t="shared" si="216"/>
        <v>0</v>
      </c>
      <c r="R1391" s="56">
        <f t="shared" si="216"/>
        <v>0</v>
      </c>
      <c r="S1391" s="53">
        <f>SUM(O1391:R1391)</f>
        <v>0</v>
      </c>
      <c r="T1391" s="35" t="s">
        <v>56</v>
      </c>
      <c r="U1391" s="18" t="s">
        <v>1696</v>
      </c>
      <c r="V1391" s="19" t="str">
        <f>IF(OR($H1391="",$H1391="sif",$H1391="PM"),"",VLOOKUP($H1391,[5]CU!$C$5:$J$255,8,FALSE))</f>
        <v>3. Dépenses de fonctionnement</v>
      </c>
      <c r="W1391" s="18" t="s">
        <v>1816</v>
      </c>
      <c r="X1391" s="18" t="s">
        <v>1650</v>
      </c>
      <c r="Y1391" s="18" t="s">
        <v>679</v>
      </c>
      <c r="Z1391" s="19" t="str">
        <f>A1391 &amp; "-" &amp; VLOOKUP(A1391,[4]PROGRAMMES!$E$1:$F$7,2,FALSE)</f>
        <v>4-Réforme de l’enseignement supérieur et la recherche scientifique et de l'innovation</v>
      </c>
      <c r="AA1391" s="19" t="str">
        <f>B1391 &amp; "-" &amp; VLOOKUP(B1391,[4]SOUSPROGRAMMES!$E$1:$F$44,2,FALSE)</f>
        <v>43- Qualité de l’enseignement, de la formation et de la recherche scientifique</v>
      </c>
      <c r="AB1391" s="19" t="str">
        <f>C1391 &amp; "-" &amp; VLOOKUP(C1391,[4]RESULTATS!$E$1:$F$176,2,FALSE)</f>
        <v>435- L’utilisation des TICE dans l’enseignement supérieur et la recherche scientifique est améliorée</v>
      </c>
      <c r="AC1391" s="20" t="str">
        <f>D1391 &amp; "-" &amp; VLOOKUP(D1391,[4]STRATEGIES!$E$1:$F$504,2,FALSE)</f>
        <v>4352-Renforcement des capacités des ressources humaines nécessaire pour prendre en charge l’utilisation des TICE</v>
      </c>
      <c r="AD1391" s="21" t="str">
        <f t="shared" si="212"/>
        <v>43522-Accompagnement des Institutions (formation)</v>
      </c>
    </row>
    <row r="1392" spans="1:30" s="22" customFormat="1" ht="45" hidden="1" customHeight="1" x14ac:dyDescent="0.8">
      <c r="A1392" s="14">
        <v>4</v>
      </c>
      <c r="B1392" s="15">
        <v>43</v>
      </c>
      <c r="C1392" s="15">
        <v>435</v>
      </c>
      <c r="D1392" s="15">
        <v>4352</v>
      </c>
      <c r="E1392" s="14">
        <v>43523</v>
      </c>
      <c r="F1392" s="16" t="s">
        <v>1823</v>
      </c>
      <c r="G1392" s="21" t="s">
        <v>167</v>
      </c>
      <c r="H1392" s="17" t="s">
        <v>101</v>
      </c>
      <c r="I1392" s="56">
        <v>0</v>
      </c>
      <c r="J1392" s="56"/>
      <c r="K1392" s="56"/>
      <c r="L1392" s="56">
        <f>1*30*1</f>
        <v>30</v>
      </c>
      <c r="M1392" s="56">
        <f t="shared" si="215"/>
        <v>30</v>
      </c>
      <c r="N1392" s="56">
        <f>IF(OR(H1392="",H1392="sif",H1392="PM"),0,VLOOKUP(H1392,[5]CU!$C$4:$H$255,6,FALSE))</f>
        <v>2.651545</v>
      </c>
      <c r="O1392" s="56">
        <f t="shared" si="216"/>
        <v>0</v>
      </c>
      <c r="P1392" s="56">
        <f t="shared" si="216"/>
        <v>0</v>
      </c>
      <c r="Q1392" s="56">
        <f t="shared" si="216"/>
        <v>0</v>
      </c>
      <c r="R1392" s="56">
        <f t="shared" si="216"/>
        <v>79.546350000000004</v>
      </c>
      <c r="S1392" s="53">
        <f>SUM(O1392:R1392)</f>
        <v>79.546350000000004</v>
      </c>
      <c r="T1392" s="35" t="s">
        <v>56</v>
      </c>
      <c r="U1392" s="18" t="s">
        <v>1696</v>
      </c>
      <c r="V1392" s="19" t="str">
        <f>IF(OR($H1392="",$H1392="sif",$H1392="PM"),"",VLOOKUP($H1392,[5]CU!$C$5:$J$255,8,FALSE))</f>
        <v>3. Dépenses de fonctionnement</v>
      </c>
      <c r="W1392" s="18" t="s">
        <v>1816</v>
      </c>
      <c r="X1392" s="18" t="s">
        <v>1650</v>
      </c>
      <c r="Y1392" s="18" t="s">
        <v>679</v>
      </c>
      <c r="Z1392" s="19" t="str">
        <f>A1392 &amp; "-" &amp; VLOOKUP(A1392,[4]PROGRAMMES!$E$1:$F$7,2,FALSE)</f>
        <v>4-Réforme de l’enseignement supérieur et la recherche scientifique et de l'innovation</v>
      </c>
      <c r="AA1392" s="19" t="str">
        <f>B1392 &amp; "-" &amp; VLOOKUP(B1392,[4]SOUSPROGRAMMES!$E$1:$F$44,2,FALSE)</f>
        <v>43- Qualité de l’enseignement, de la formation et de la recherche scientifique</v>
      </c>
      <c r="AB1392" s="19" t="str">
        <f>C1392 &amp; "-" &amp; VLOOKUP(C1392,[4]RESULTATS!$E$1:$F$176,2,FALSE)</f>
        <v>435- L’utilisation des TICE dans l’enseignement supérieur et la recherche scientifique est améliorée</v>
      </c>
      <c r="AC1392" s="20" t="str">
        <f>D1392 &amp; "-" &amp; VLOOKUP(D1392,[4]STRATEGIES!$E$1:$F$504,2,FALSE)</f>
        <v>4352-Renforcement des capacités des ressources humaines nécessaire pour prendre en charge l’utilisation des TICE</v>
      </c>
      <c r="AD1392" s="21" t="str">
        <f t="shared" si="212"/>
        <v>43523-Accompagnement des Institutions (maintenance)</v>
      </c>
    </row>
    <row r="1393" spans="1:30" s="22" customFormat="1" ht="45" customHeight="1" x14ac:dyDescent="0.8">
      <c r="A1393" s="14">
        <v>4</v>
      </c>
      <c r="B1393" s="15">
        <v>43</v>
      </c>
      <c r="C1393" s="15">
        <v>435</v>
      </c>
      <c r="D1393" s="15">
        <v>4353</v>
      </c>
      <c r="E1393" s="14">
        <v>4353</v>
      </c>
      <c r="F1393" s="16" t="s">
        <v>1824</v>
      </c>
      <c r="G1393" s="17"/>
      <c r="H1393" s="17"/>
      <c r="I1393" s="56">
        <v>0</v>
      </c>
      <c r="J1393" s="56"/>
      <c r="K1393" s="56"/>
      <c r="L1393" s="56"/>
      <c r="M1393" s="56"/>
      <c r="N1393" s="56"/>
      <c r="O1393" s="56"/>
      <c r="P1393" s="56"/>
      <c r="Q1393" s="56"/>
      <c r="R1393" s="56"/>
      <c r="S1393" s="53"/>
      <c r="T1393" s="33"/>
      <c r="U1393" s="18"/>
      <c r="V1393" s="19"/>
      <c r="W1393" s="18"/>
      <c r="X1393" s="18"/>
      <c r="Y1393" s="18" t="s">
        <v>679</v>
      </c>
      <c r="Z1393" s="19" t="str">
        <f>A1393 &amp; "-" &amp; VLOOKUP(A1393,[4]PROGRAMMES!$E$1:$F$7,2,FALSE)</f>
        <v>4-Réforme de l’enseignement supérieur et la recherche scientifique et de l'innovation</v>
      </c>
      <c r="AA1393" s="19" t="str">
        <f>B1393 &amp; "-" &amp; VLOOKUP(B1393,[4]SOUSPROGRAMMES!$E$1:$F$44,2,FALSE)</f>
        <v>43- Qualité de l’enseignement, de la formation et de la recherche scientifique</v>
      </c>
      <c r="AB1393" s="19" t="str">
        <f>C1393 &amp; "-" &amp; VLOOKUP(C1393,[4]RESULTATS!$E$1:$F$176,2,FALSE)</f>
        <v>435- L’utilisation des TICE dans l’enseignement supérieur et la recherche scientifique est améliorée</v>
      </c>
      <c r="AC1393" s="20" t="str">
        <f>D1393 &amp; "-" &amp; VLOOKUP(D1393,[4]STRATEGIES!$E$1:$F$504,2,FALSE)</f>
        <v>4353-Renforcement de l’usage pédagogique des applications informatiques et de l’Internet (formation à distance, espaces numériques, télé-enseignement)</v>
      </c>
      <c r="AD1393" s="21" t="str">
        <f t="shared" si="212"/>
        <v>4353-Renforcement de l’usage pédagogique des applications informatiques et de l’Internet (formation à distance, espaces numériques, télé-enseignement)</v>
      </c>
    </row>
    <row r="1394" spans="1:30" s="22" customFormat="1" ht="45" hidden="1" customHeight="1" x14ac:dyDescent="0.8">
      <c r="A1394" s="14">
        <v>4</v>
      </c>
      <c r="B1394" s="15">
        <v>43</v>
      </c>
      <c r="C1394" s="15">
        <v>435</v>
      </c>
      <c r="D1394" s="15">
        <v>4353</v>
      </c>
      <c r="E1394" s="14">
        <v>43531</v>
      </c>
      <c r="F1394" s="16" t="s">
        <v>1825</v>
      </c>
      <c r="G1394" s="21" t="s">
        <v>1619</v>
      </c>
      <c r="H1394" s="17" t="s">
        <v>974</v>
      </c>
      <c r="I1394" s="56">
        <v>0</v>
      </c>
      <c r="J1394" s="56">
        <f>5</f>
        <v>5</v>
      </c>
      <c r="K1394" s="56"/>
      <c r="L1394" s="56">
        <f>5</f>
        <v>5</v>
      </c>
      <c r="M1394" s="56">
        <f t="shared" si="215"/>
        <v>10</v>
      </c>
      <c r="N1394" s="56">
        <f>IF(OR(H1394="",H1394="sif",H1394="PM"),0,VLOOKUP(H1394,[5]CU!$C$4:$H$255,6,FALSE))</f>
        <v>6.333333333333333</v>
      </c>
      <c r="O1394" s="56">
        <f t="shared" si="216"/>
        <v>0</v>
      </c>
      <c r="P1394" s="56">
        <f t="shared" si="216"/>
        <v>31.666666666666664</v>
      </c>
      <c r="Q1394" s="56">
        <f t="shared" si="216"/>
        <v>0</v>
      </c>
      <c r="R1394" s="56">
        <f t="shared" si="216"/>
        <v>31.666666666666664</v>
      </c>
      <c r="S1394" s="53">
        <f>SUM(O1394:R1394)</f>
        <v>63.333333333333329</v>
      </c>
      <c r="T1394" s="35" t="s">
        <v>56</v>
      </c>
      <c r="U1394" s="18" t="s">
        <v>1696</v>
      </c>
      <c r="V1394" s="19" t="str">
        <f>IF(OR($H1394="",$H1394="sif",$H1394="PM"),"",VLOOKUP($H1394,[5]CU!$C$5:$J$255,8,FALSE))</f>
        <v>5. Investissement</v>
      </c>
      <c r="W1394" s="18" t="s">
        <v>1665</v>
      </c>
      <c r="X1394" s="18" t="s">
        <v>521</v>
      </c>
      <c r="Y1394" s="18" t="s">
        <v>679</v>
      </c>
      <c r="Z1394" s="19" t="str">
        <f>A1394 &amp; "-" &amp; VLOOKUP(A1394,[4]PROGRAMMES!$E$1:$F$7,2,FALSE)</f>
        <v>4-Réforme de l’enseignement supérieur et la recherche scientifique et de l'innovation</v>
      </c>
      <c r="AA1394" s="19" t="str">
        <f>B1394 &amp; "-" &amp; VLOOKUP(B1394,[4]SOUSPROGRAMMES!$E$1:$F$44,2,FALSE)</f>
        <v>43- Qualité de l’enseignement, de la formation et de la recherche scientifique</v>
      </c>
      <c r="AB1394" s="19" t="str">
        <f>C1394 &amp; "-" &amp; VLOOKUP(C1394,[4]RESULTATS!$E$1:$F$176,2,FALSE)</f>
        <v>435- L’utilisation des TICE dans l’enseignement supérieur et la recherche scientifique est améliorée</v>
      </c>
      <c r="AC1394" s="20" t="str">
        <f>D1394 &amp; "-" &amp; VLOOKUP(D1394,[4]STRATEGIES!$E$1:$F$504,2,FALSE)</f>
        <v>4353-Renforcement de l’usage pédagogique des applications informatiques et de l’Internet (formation à distance, espaces numériques, télé-enseignement)</v>
      </c>
      <c r="AD1394" s="21" t="str">
        <f t="shared" si="212"/>
        <v>43531-Dotation d'outils informatiques aux institutions</v>
      </c>
    </row>
    <row r="1395" spans="1:30" s="22" customFormat="1" ht="45" hidden="1" customHeight="1" x14ac:dyDescent="0.8">
      <c r="A1395" s="14">
        <v>4</v>
      </c>
      <c r="B1395" s="15">
        <v>43</v>
      </c>
      <c r="C1395" s="15">
        <v>435</v>
      </c>
      <c r="D1395" s="15">
        <v>4353</v>
      </c>
      <c r="E1395" s="14">
        <v>43532</v>
      </c>
      <c r="F1395" s="16" t="s">
        <v>1826</v>
      </c>
      <c r="G1395" s="21" t="s">
        <v>1619</v>
      </c>
      <c r="H1395" s="17" t="s">
        <v>1827</v>
      </c>
      <c r="I1395" s="56">
        <v>0</v>
      </c>
      <c r="J1395" s="56">
        <f>5*18</f>
        <v>90</v>
      </c>
      <c r="K1395" s="56"/>
      <c r="L1395" s="56">
        <f>5*18</f>
        <v>90</v>
      </c>
      <c r="M1395" s="56">
        <f t="shared" si="215"/>
        <v>180</v>
      </c>
      <c r="N1395" s="56">
        <f>IF(OR(H1395="",H1395="sif",H1395="PM"),0,VLOOKUP(H1395,[5]CU!$C$4:$H$255,6,FALSE))</f>
        <v>5.25</v>
      </c>
      <c r="O1395" s="56">
        <f t="shared" si="216"/>
        <v>0</v>
      </c>
      <c r="P1395" s="56">
        <f t="shared" si="216"/>
        <v>472.5</v>
      </c>
      <c r="Q1395" s="56">
        <f t="shared" si="216"/>
        <v>0</v>
      </c>
      <c r="R1395" s="56">
        <f t="shared" si="216"/>
        <v>472.5</v>
      </c>
      <c r="S1395" s="53">
        <f>SUM(O1395:R1395)</f>
        <v>945</v>
      </c>
      <c r="T1395" s="35" t="s">
        <v>56</v>
      </c>
      <c r="U1395" s="18" t="s">
        <v>1696</v>
      </c>
      <c r="V1395" s="19" t="str">
        <f>IF(OR($H1395="",$H1395="sif",$H1395="PM"),"",VLOOKUP($H1395,[5]CU!$C$5:$J$255,8,FALSE))</f>
        <v>5. Investissement</v>
      </c>
      <c r="W1395" s="18" t="s">
        <v>1665</v>
      </c>
      <c r="X1395" s="18" t="s">
        <v>521</v>
      </c>
      <c r="Y1395" s="18" t="s">
        <v>679</v>
      </c>
      <c r="Z1395" s="19" t="str">
        <f>A1395 &amp; "-" &amp; VLOOKUP(A1395,[4]PROGRAMMES!$E$1:$F$7,2,FALSE)</f>
        <v>4-Réforme de l’enseignement supérieur et la recherche scientifique et de l'innovation</v>
      </c>
      <c r="AA1395" s="19" t="str">
        <f>B1395 &amp; "-" &amp; VLOOKUP(B1395,[4]SOUSPROGRAMMES!$E$1:$F$44,2,FALSE)</f>
        <v>43- Qualité de l’enseignement, de la formation et de la recherche scientifique</v>
      </c>
      <c r="AB1395" s="19" t="str">
        <f>C1395 &amp; "-" &amp; VLOOKUP(C1395,[4]RESULTATS!$E$1:$F$176,2,FALSE)</f>
        <v>435- L’utilisation des TICE dans l’enseignement supérieur et la recherche scientifique est améliorée</v>
      </c>
      <c r="AC1395" s="20" t="str">
        <f>D1395 &amp; "-" &amp; VLOOKUP(D1395,[4]STRATEGIES!$E$1:$F$504,2,FALSE)</f>
        <v>4353-Renforcement de l’usage pédagogique des applications informatiques et de l’Internet (formation à distance, espaces numériques, télé-enseignement)</v>
      </c>
      <c r="AD1395" s="21" t="str">
        <f t="shared" si="212"/>
        <v>43532-Equipement de salles de classe en vidéo projecteurs</v>
      </c>
    </row>
    <row r="1396" spans="1:30" s="22" customFormat="1" ht="45" hidden="1" customHeight="1" x14ac:dyDescent="0.8">
      <c r="A1396" s="14">
        <v>4</v>
      </c>
      <c r="B1396" s="15">
        <v>43</v>
      </c>
      <c r="C1396" s="15">
        <v>435</v>
      </c>
      <c r="D1396" s="15">
        <v>4353</v>
      </c>
      <c r="E1396" s="14">
        <v>43533</v>
      </c>
      <c r="F1396" s="16" t="s">
        <v>1828</v>
      </c>
      <c r="G1396" s="21" t="s">
        <v>92</v>
      </c>
      <c r="H1396" s="17" t="s">
        <v>55</v>
      </c>
      <c r="I1396" s="56">
        <v>0</v>
      </c>
      <c r="J1396" s="56">
        <v>1</v>
      </c>
      <c r="K1396" s="56">
        <v>1</v>
      </c>
      <c r="L1396" s="56"/>
      <c r="M1396" s="56">
        <f t="shared" si="215"/>
        <v>2</v>
      </c>
      <c r="N1396" s="56">
        <f>IF(OR(H1396="",H1396="sif",H1396="PM"),0,VLOOKUP(H1396,[5]CU!$C$4:$H$255,6,FALSE))</f>
        <v>0</v>
      </c>
      <c r="O1396" s="56">
        <f t="shared" si="216"/>
        <v>0</v>
      </c>
      <c r="P1396" s="56">
        <f t="shared" si="216"/>
        <v>0</v>
      </c>
      <c r="Q1396" s="56">
        <f t="shared" si="216"/>
        <v>0</v>
      </c>
      <c r="R1396" s="56">
        <f t="shared" si="216"/>
        <v>0</v>
      </c>
      <c r="S1396" s="53"/>
      <c r="T1396" s="35" t="s">
        <v>56</v>
      </c>
      <c r="U1396" s="18" t="s">
        <v>1696</v>
      </c>
      <c r="V1396" s="19" t="str">
        <f>IF(OR($H1396="",$H1396="sif",$H1396="PM"),"",VLOOKUP($H1396,[5]CU!$C$5:$J$255,8,FALSE))</f>
        <v/>
      </c>
      <c r="W1396" s="18" t="s">
        <v>1705</v>
      </c>
      <c r="X1396" s="18" t="s">
        <v>521</v>
      </c>
      <c r="Y1396" s="18" t="s">
        <v>679</v>
      </c>
      <c r="Z1396" s="19" t="str">
        <f>A1396 &amp; "-" &amp; VLOOKUP(A1396,[4]PROGRAMMES!$E$1:$F$7,2,FALSE)</f>
        <v>4-Réforme de l’enseignement supérieur et la recherche scientifique et de l'innovation</v>
      </c>
      <c r="AA1396" s="19" t="str">
        <f>B1396 &amp; "-" &amp; VLOOKUP(B1396,[4]SOUSPROGRAMMES!$E$1:$F$44,2,FALSE)</f>
        <v>43- Qualité de l’enseignement, de la formation et de la recherche scientifique</v>
      </c>
      <c r="AB1396" s="19" t="str">
        <f>C1396 &amp; "-" &amp; VLOOKUP(C1396,[4]RESULTATS!$E$1:$F$176,2,FALSE)</f>
        <v>435- L’utilisation des TICE dans l’enseignement supérieur et la recherche scientifique est améliorée</v>
      </c>
      <c r="AC1396" s="20" t="str">
        <f>D1396 &amp; "-" &amp; VLOOKUP(D1396,[4]STRATEGIES!$E$1:$F$504,2,FALSE)</f>
        <v>4353-Renforcement de l’usage pédagogique des applications informatiques et de l’Internet (formation à distance, espaces numériques, télé-enseignement)</v>
      </c>
      <c r="AD1396" s="21" t="str">
        <f t="shared" si="212"/>
        <v>43533-Constructions de laboratoires informatiques (pris en compte dans activités 52112, 52113 52114 et 52116)</v>
      </c>
    </row>
    <row r="1397" spans="1:30" s="22" customFormat="1" ht="45" hidden="1" customHeight="1" x14ac:dyDescent="0.8">
      <c r="A1397" s="14">
        <v>4</v>
      </c>
      <c r="B1397" s="15">
        <v>43</v>
      </c>
      <c r="C1397" s="15">
        <v>435</v>
      </c>
      <c r="D1397" s="15">
        <v>4353</v>
      </c>
      <c r="E1397" s="14">
        <v>43534</v>
      </c>
      <c r="F1397" s="16" t="s">
        <v>1829</v>
      </c>
      <c r="G1397" s="21" t="s">
        <v>1701</v>
      </c>
      <c r="H1397" s="17" t="s">
        <v>972</v>
      </c>
      <c r="I1397" s="56">
        <v>0</v>
      </c>
      <c r="J1397" s="56">
        <f>25*18</f>
        <v>450</v>
      </c>
      <c r="K1397" s="56"/>
      <c r="L1397" s="56">
        <f>25*18</f>
        <v>450</v>
      </c>
      <c r="M1397" s="56">
        <f t="shared" si="215"/>
        <v>900</v>
      </c>
      <c r="N1397" s="56">
        <f>IF(OR(H1397="",H1397="sif",H1397="PM"),0,VLOOKUP(H1397,[5]CU!$C$4:$H$255,6,FALSE))</f>
        <v>5</v>
      </c>
      <c r="O1397" s="56">
        <f t="shared" si="216"/>
        <v>0</v>
      </c>
      <c r="P1397" s="56">
        <f t="shared" si="216"/>
        <v>2250</v>
      </c>
      <c r="Q1397" s="56">
        <f t="shared" si="216"/>
        <v>0</v>
      </c>
      <c r="R1397" s="56">
        <f t="shared" si="216"/>
        <v>2250</v>
      </c>
      <c r="S1397" s="53">
        <f>SUM(O1397:R1397)</f>
        <v>4500</v>
      </c>
      <c r="T1397" s="35" t="s">
        <v>56</v>
      </c>
      <c r="U1397" s="18" t="s">
        <v>1696</v>
      </c>
      <c r="V1397" s="19" t="str">
        <f>IF(OR($H1397="",$H1397="sif",$H1397="PM"),"",VLOOKUP($H1397,[5]CU!$C$5:$J$255,8,FALSE))</f>
        <v>5. Investissement</v>
      </c>
      <c r="W1397" s="18" t="s">
        <v>1830</v>
      </c>
      <c r="X1397" s="18" t="s">
        <v>521</v>
      </c>
      <c r="Y1397" s="18" t="s">
        <v>679</v>
      </c>
      <c r="Z1397" s="19" t="str">
        <f>A1397 &amp; "-" &amp; VLOOKUP(A1397,[4]PROGRAMMES!$E$1:$F$7,2,FALSE)</f>
        <v>4-Réforme de l’enseignement supérieur et la recherche scientifique et de l'innovation</v>
      </c>
      <c r="AA1397" s="19" t="str">
        <f>B1397 &amp; "-" &amp; VLOOKUP(B1397,[4]SOUSPROGRAMMES!$E$1:$F$44,2,FALSE)</f>
        <v>43- Qualité de l’enseignement, de la formation et de la recherche scientifique</v>
      </c>
      <c r="AB1397" s="19" t="str">
        <f>C1397 &amp; "-" &amp; VLOOKUP(C1397,[4]RESULTATS!$E$1:$F$176,2,FALSE)</f>
        <v>435- L’utilisation des TICE dans l’enseignement supérieur et la recherche scientifique est améliorée</v>
      </c>
      <c r="AC1397" s="20" t="str">
        <f>D1397 &amp; "-" &amp; VLOOKUP(D1397,[4]STRATEGIES!$E$1:$F$504,2,FALSE)</f>
        <v>4353-Renforcement de l’usage pédagogique des applications informatiques et de l’Internet (formation à distance, espaces numériques, télé-enseignement)</v>
      </c>
      <c r="AD1397" s="21" t="str">
        <f t="shared" si="212"/>
        <v>43534-Equipement de laboratoires informatiques</v>
      </c>
    </row>
    <row r="1398" spans="1:30" s="22" customFormat="1" ht="45" hidden="1" customHeight="1" x14ac:dyDescent="0.8">
      <c r="A1398" s="14">
        <v>4</v>
      </c>
      <c r="B1398" s="15">
        <v>43</v>
      </c>
      <c r="C1398" s="15">
        <v>435</v>
      </c>
      <c r="D1398" s="15">
        <v>4353</v>
      </c>
      <c r="E1398" s="14">
        <v>43535</v>
      </c>
      <c r="F1398" s="16" t="s">
        <v>1831</v>
      </c>
      <c r="G1398" s="21" t="s">
        <v>1832</v>
      </c>
      <c r="H1398" s="17" t="s">
        <v>1833</v>
      </c>
      <c r="I1398" s="56">
        <v>0</v>
      </c>
      <c r="J1398" s="56">
        <v>0.95409043386778303</v>
      </c>
      <c r="K1398" s="56">
        <v>0.99951934348543303</v>
      </c>
      <c r="L1398" s="56">
        <v>1.0463902226467801</v>
      </c>
      <c r="M1398" s="56">
        <f t="shared" si="215"/>
        <v>2.9999999999999964</v>
      </c>
      <c r="N1398" s="56">
        <f>IF(OR(H1398="",H1398="sif",H1398="PM"),0,VLOOKUP(H1398,[5]CU!$C$4:$H$255,6,FALSE))</f>
        <v>2273.9312719097802</v>
      </c>
      <c r="O1398" s="56">
        <f t="shared" si="216"/>
        <v>0</v>
      </c>
      <c r="P1398" s="56">
        <f t="shared" si="216"/>
        <v>2169.5360738019217</v>
      </c>
      <c r="Q1398" s="56">
        <f t="shared" si="216"/>
        <v>2272.8382920302593</v>
      </c>
      <c r="R1398" s="56">
        <f t="shared" si="216"/>
        <v>2379.4194498971506</v>
      </c>
      <c r="S1398" s="53">
        <f>SUM(O1398:R1398)</f>
        <v>6821.793815729332</v>
      </c>
      <c r="T1398" s="35" t="s">
        <v>56</v>
      </c>
      <c r="U1398" s="18" t="s">
        <v>1696</v>
      </c>
      <c r="V1398" s="19" t="str">
        <f>IF(OR($H1398="",$H1398="sif",$H1398="PM"),"",VLOOKUP($H1398,[5]CU!$C$5:$J$255,8,FALSE))</f>
        <v>3. Dépenses de fonctionnement</v>
      </c>
      <c r="W1398" s="18" t="s">
        <v>1830</v>
      </c>
      <c r="X1398" s="18" t="s">
        <v>521</v>
      </c>
      <c r="Y1398" s="18" t="s">
        <v>679</v>
      </c>
      <c r="Z1398" s="19" t="str">
        <f>A1398 &amp; "-" &amp; VLOOKUP(A1398,[4]PROGRAMMES!$E$1:$F$7,2,FALSE)</f>
        <v>4-Réforme de l’enseignement supérieur et la recherche scientifique et de l'innovation</v>
      </c>
      <c r="AA1398" s="19" t="str">
        <f>B1398 &amp; "-" &amp; VLOOKUP(B1398,[4]SOUSPROGRAMMES!$E$1:$F$44,2,FALSE)</f>
        <v>43- Qualité de l’enseignement, de la formation et de la recherche scientifique</v>
      </c>
      <c r="AB1398" s="19" t="str">
        <f>C1398 &amp; "-" &amp; VLOOKUP(C1398,[4]RESULTATS!$E$1:$F$176,2,FALSE)</f>
        <v>435- L’utilisation des TICE dans l’enseignement supérieur et la recherche scientifique est améliorée</v>
      </c>
      <c r="AC1398" s="20" t="str">
        <f>D1398 &amp; "-" &amp; VLOOKUP(D1398,[4]STRATEGIES!$E$1:$F$504,2,FALSE)</f>
        <v>4353-Renforcement de l’usage pédagogique des applications informatiques et de l’Internet (formation à distance, espaces numériques, télé-enseignement)</v>
      </c>
      <c r="AD1398" s="21" t="str">
        <f t="shared" si="212"/>
        <v>43535-Dotation pour le fonctionnement des formations à distance</v>
      </c>
    </row>
    <row r="1399" spans="1:30" s="22" customFormat="1" ht="45" customHeight="1" x14ac:dyDescent="0.8">
      <c r="A1399" s="14">
        <v>4</v>
      </c>
      <c r="B1399" s="15">
        <v>43</v>
      </c>
      <c r="C1399" s="15">
        <v>436</v>
      </c>
      <c r="D1399" s="15">
        <v>436</v>
      </c>
      <c r="E1399" s="14">
        <v>436</v>
      </c>
      <c r="F1399" s="16" t="s">
        <v>1834</v>
      </c>
      <c r="G1399" s="17"/>
      <c r="H1399" s="17"/>
      <c r="I1399" s="56">
        <v>0</v>
      </c>
      <c r="J1399" s="56"/>
      <c r="K1399" s="56"/>
      <c r="L1399" s="56"/>
      <c r="M1399" s="56"/>
      <c r="N1399" s="56"/>
      <c r="O1399" s="56"/>
      <c r="P1399" s="56"/>
      <c r="Q1399" s="56"/>
      <c r="R1399" s="56"/>
      <c r="S1399" s="53"/>
      <c r="T1399" s="33"/>
      <c r="U1399" s="18"/>
      <c r="V1399" s="19"/>
      <c r="W1399" s="18"/>
      <c r="X1399" s="18"/>
      <c r="Y1399" s="18" t="s">
        <v>679</v>
      </c>
      <c r="Z1399" s="19" t="str">
        <f>A1399 &amp; "-" &amp; VLOOKUP(A1399,[4]PROGRAMMES!$E$1:$F$7,2,FALSE)</f>
        <v>4-Réforme de l’enseignement supérieur et la recherche scientifique et de l'innovation</v>
      </c>
      <c r="AA1399" s="19" t="str">
        <f>B1399 &amp; "-" &amp; VLOOKUP(B1399,[4]SOUSPROGRAMMES!$E$1:$F$44,2,FALSE)</f>
        <v>43- Qualité de l’enseignement, de la formation et de la recherche scientifique</v>
      </c>
      <c r="AB1399" s="19" t="str">
        <f>C1399 &amp; "-" &amp; VLOOKUP(C1399,[4]RESULTATS!$E$1:$F$176,2,FALSE)</f>
        <v>436- Une politique nationale de la recherche scientifique et de l’innovation est adoptée</v>
      </c>
      <c r="AC1399" s="20" t="str">
        <f>D1399 &amp; "-" &amp; VLOOKUP(D1399,[4]STRATEGIES!$E$1:$F$504,2,FALSE)</f>
        <v>436- Une politique nationale de la recherche scientifique et de l’innovation est adoptée</v>
      </c>
      <c r="AD1399" s="21" t="str">
        <f t="shared" si="212"/>
        <v>436- Une politique nationale de la recherche scientifique et de l’innovation est adoptée</v>
      </c>
    </row>
    <row r="1400" spans="1:30" s="22" customFormat="1" ht="45" customHeight="1" x14ac:dyDescent="0.8">
      <c r="A1400" s="14">
        <v>4</v>
      </c>
      <c r="B1400" s="15">
        <v>43</v>
      </c>
      <c r="C1400" s="15">
        <v>436</v>
      </c>
      <c r="D1400" s="15">
        <v>4361</v>
      </c>
      <c r="E1400" s="14">
        <v>4361</v>
      </c>
      <c r="F1400" s="16" t="s">
        <v>1835</v>
      </c>
      <c r="G1400" s="17"/>
      <c r="H1400" s="17"/>
      <c r="I1400" s="56">
        <v>0</v>
      </c>
      <c r="J1400" s="56"/>
      <c r="K1400" s="56"/>
      <c r="L1400" s="56"/>
      <c r="M1400" s="56"/>
      <c r="N1400" s="56"/>
      <c r="O1400" s="56"/>
      <c r="P1400" s="56"/>
      <c r="Q1400" s="56"/>
      <c r="R1400" s="56"/>
      <c r="S1400" s="53"/>
      <c r="T1400" s="33"/>
      <c r="U1400" s="18"/>
      <c r="V1400" s="19"/>
      <c r="W1400" s="18"/>
      <c r="X1400" s="18"/>
      <c r="Y1400" s="18" t="s">
        <v>679</v>
      </c>
      <c r="Z1400" s="19" t="str">
        <f>A1400 &amp; "-" &amp; VLOOKUP(A1400,[4]PROGRAMMES!$E$1:$F$7,2,FALSE)</f>
        <v>4-Réforme de l’enseignement supérieur et la recherche scientifique et de l'innovation</v>
      </c>
      <c r="AA1400" s="19" t="str">
        <f>B1400 &amp; "-" &amp; VLOOKUP(B1400,[4]SOUSPROGRAMMES!$E$1:$F$44,2,FALSE)</f>
        <v>43- Qualité de l’enseignement, de la formation et de la recherche scientifique</v>
      </c>
      <c r="AB1400" s="19" t="str">
        <f>C1400 &amp; "-" &amp; VLOOKUP(C1400,[4]RESULTATS!$E$1:$F$176,2,FALSE)</f>
        <v>436- Une politique nationale de la recherche scientifique et de l’innovation est adoptée</v>
      </c>
      <c r="AC1400" s="20" t="str">
        <f>D1400 &amp; "-" &amp; VLOOKUP(D1400,[4]STRATEGIES!$E$1:$F$504,2,FALSE)</f>
        <v>4361-Elaboration et adoption de la politique nationale de la recherche et de l’innovation technologique </v>
      </c>
      <c r="AD1400" s="21" t="str">
        <f t="shared" si="212"/>
        <v>4361-Elaboration et adoption de la politique nationale de la recherche et de l’innovation technologique </v>
      </c>
    </row>
    <row r="1401" spans="1:30" s="22" customFormat="1" ht="45" hidden="1" customHeight="1" x14ac:dyDescent="0.8">
      <c r="A1401" s="14">
        <v>4</v>
      </c>
      <c r="B1401" s="15">
        <v>43</v>
      </c>
      <c r="C1401" s="15">
        <v>436</v>
      </c>
      <c r="D1401" s="15">
        <v>4361</v>
      </c>
      <c r="E1401" s="14">
        <v>43611</v>
      </c>
      <c r="F1401" s="16" t="s">
        <v>1836</v>
      </c>
      <c r="G1401" s="21" t="s">
        <v>88</v>
      </c>
      <c r="H1401" s="17" t="s">
        <v>55</v>
      </c>
      <c r="I1401" s="56">
        <v>0</v>
      </c>
      <c r="J1401" s="56"/>
      <c r="K1401" s="56"/>
      <c r="L1401" s="56"/>
      <c r="M1401" s="56">
        <f t="shared" si="215"/>
        <v>0</v>
      </c>
      <c r="N1401" s="56">
        <f>IF(OR(H1401="",H1401="sif",H1401="PM"),0,VLOOKUP(H1401,[5]CU!$C$4:$H$255,6,FALSE))</f>
        <v>0</v>
      </c>
      <c r="O1401" s="56">
        <f t="shared" si="216"/>
        <v>0</v>
      </c>
      <c r="P1401" s="56">
        <f t="shared" si="216"/>
        <v>0</v>
      </c>
      <c r="Q1401" s="56">
        <f t="shared" si="216"/>
        <v>0</v>
      </c>
      <c r="R1401" s="56">
        <f t="shared" si="216"/>
        <v>0</v>
      </c>
      <c r="S1401" s="53"/>
      <c r="T1401" s="35" t="s">
        <v>56</v>
      </c>
      <c r="U1401" s="18" t="s">
        <v>1696</v>
      </c>
      <c r="V1401" s="19" t="str">
        <f>IF(OR($H1401="",$H1401="sif",$H1401="PM"),"",VLOOKUP($H1401,[5]CU!$C$5:$J$255,8,FALSE))</f>
        <v/>
      </c>
      <c r="W1401" s="18" t="s">
        <v>255</v>
      </c>
      <c r="X1401" s="18" t="s">
        <v>1791</v>
      </c>
      <c r="Y1401" s="18" t="s">
        <v>679</v>
      </c>
      <c r="Z1401" s="19" t="str">
        <f>A1401 &amp; "-" &amp; VLOOKUP(A1401,[4]PROGRAMMES!$E$1:$F$7,2,FALSE)</f>
        <v>4-Réforme de l’enseignement supérieur et la recherche scientifique et de l'innovation</v>
      </c>
      <c r="AA1401" s="19" t="str">
        <f>B1401 &amp; "-" &amp; VLOOKUP(B1401,[4]SOUSPROGRAMMES!$E$1:$F$44,2,FALSE)</f>
        <v>43- Qualité de l’enseignement, de la formation et de la recherche scientifique</v>
      </c>
      <c r="AB1401" s="19" t="str">
        <f>C1401 &amp; "-" &amp; VLOOKUP(C1401,[4]RESULTATS!$E$1:$F$176,2,FALSE)</f>
        <v>436- Une politique nationale de la recherche scientifique et de l’innovation est adoptée</v>
      </c>
      <c r="AC1401" s="20" t="str">
        <f>D1401 &amp; "-" &amp; VLOOKUP(D1401,[4]STRATEGIES!$E$1:$F$504,2,FALSE)</f>
        <v>4361-Elaboration et adoption de la politique nationale de la recherche et de l’innovation technologique </v>
      </c>
      <c r="AD1401" s="21" t="str">
        <f t="shared" si="212"/>
        <v>43611-Rédaction du document de politique</v>
      </c>
    </row>
    <row r="1402" spans="1:30" s="22" customFormat="1" ht="45" hidden="1" customHeight="1" x14ac:dyDescent="0.8">
      <c r="A1402" s="14">
        <v>4</v>
      </c>
      <c r="B1402" s="15">
        <v>43</v>
      </c>
      <c r="C1402" s="15">
        <v>436</v>
      </c>
      <c r="D1402" s="15">
        <v>4361</v>
      </c>
      <c r="E1402" s="14">
        <v>43612</v>
      </c>
      <c r="F1402" s="16" t="s">
        <v>1837</v>
      </c>
      <c r="G1402" s="21" t="s">
        <v>37</v>
      </c>
      <c r="H1402" s="17" t="s">
        <v>38</v>
      </c>
      <c r="I1402" s="56">
        <v>0</v>
      </c>
      <c r="J1402" s="56"/>
      <c r="K1402" s="56"/>
      <c r="L1402" s="56"/>
      <c r="M1402" s="56">
        <f t="shared" si="215"/>
        <v>0</v>
      </c>
      <c r="N1402" s="56">
        <f>IF(OR(H1402="",H1402="sif",H1402="PM"),0,VLOOKUP(H1402,[5]CU!$C$4:$H$255,6,FALSE))</f>
        <v>0.3133333333333333</v>
      </c>
      <c r="O1402" s="56">
        <f t="shared" si="216"/>
        <v>0</v>
      </c>
      <c r="P1402" s="56">
        <f t="shared" si="216"/>
        <v>0</v>
      </c>
      <c r="Q1402" s="56">
        <f t="shared" si="216"/>
        <v>0</v>
      </c>
      <c r="R1402" s="56">
        <f t="shared" si="216"/>
        <v>0</v>
      </c>
      <c r="S1402" s="53">
        <f>SUM(O1402:R1402)</f>
        <v>0</v>
      </c>
      <c r="T1402" s="35" t="s">
        <v>56</v>
      </c>
      <c r="U1402" s="18" t="s">
        <v>1696</v>
      </c>
      <c r="V1402" s="19" t="str">
        <f>IF(OR($H1402="",$H1402="sif",$H1402="PM"),"",VLOOKUP($H1402,[5]CU!$C$5:$J$255,8,FALSE))</f>
        <v>3. Formation</v>
      </c>
      <c r="W1402" s="18" t="s">
        <v>255</v>
      </c>
      <c r="X1402" s="18" t="s">
        <v>1791</v>
      </c>
      <c r="Y1402" s="18" t="s">
        <v>679</v>
      </c>
      <c r="Z1402" s="19" t="str">
        <f>A1402 &amp; "-" &amp; VLOOKUP(A1402,[4]PROGRAMMES!$E$1:$F$7,2,FALSE)</f>
        <v>4-Réforme de l’enseignement supérieur et la recherche scientifique et de l'innovation</v>
      </c>
      <c r="AA1402" s="19" t="str">
        <f>B1402 &amp; "-" &amp; VLOOKUP(B1402,[4]SOUSPROGRAMMES!$E$1:$F$44,2,FALSE)</f>
        <v>43- Qualité de l’enseignement, de la formation et de la recherche scientifique</v>
      </c>
      <c r="AB1402" s="19" t="str">
        <f>C1402 &amp; "-" &amp; VLOOKUP(C1402,[4]RESULTATS!$E$1:$F$176,2,FALSE)</f>
        <v>436- Une politique nationale de la recherche scientifique et de l’innovation est adoptée</v>
      </c>
      <c r="AC1402" s="20" t="str">
        <f>D1402 &amp; "-" &amp; VLOOKUP(D1402,[4]STRATEGIES!$E$1:$F$504,2,FALSE)</f>
        <v>4361-Elaboration et adoption de la politique nationale de la recherche et de l’innovation technologique </v>
      </c>
      <c r="AD1402" s="21" t="str">
        <f t="shared" si="212"/>
        <v>43612-Partage et validation du document de politique</v>
      </c>
    </row>
    <row r="1403" spans="1:30" s="22" customFormat="1" ht="45" hidden="1" customHeight="1" x14ac:dyDescent="0.8">
      <c r="A1403" s="14">
        <v>4</v>
      </c>
      <c r="B1403" s="15">
        <v>43</v>
      </c>
      <c r="C1403" s="15">
        <v>436</v>
      </c>
      <c r="D1403" s="15">
        <v>4361</v>
      </c>
      <c r="E1403" s="14">
        <v>43613</v>
      </c>
      <c r="F1403" s="16" t="s">
        <v>1838</v>
      </c>
      <c r="G1403" s="21" t="s">
        <v>1839</v>
      </c>
      <c r="H1403" s="17" t="s">
        <v>1840</v>
      </c>
      <c r="I1403" s="56">
        <v>0</v>
      </c>
      <c r="J1403" s="56">
        <v>0.94</v>
      </c>
      <c r="K1403" s="56">
        <v>1.08</v>
      </c>
      <c r="L1403" s="56">
        <v>1.24</v>
      </c>
      <c r="M1403" s="56">
        <f t="shared" si="215"/>
        <v>3.26</v>
      </c>
      <c r="N1403" s="56">
        <f>IF(OR(H1403="",H1403="sif",H1403="PM"),0,VLOOKUP(H1403,[5]CU!$C$4:$H$255,6,FALSE))</f>
        <v>50737.009102769</v>
      </c>
      <c r="O1403" s="56">
        <f t="shared" si="216"/>
        <v>0</v>
      </c>
      <c r="P1403" s="56">
        <f t="shared" si="216"/>
        <v>47692.788556602856</v>
      </c>
      <c r="Q1403" s="56">
        <f t="shared" si="216"/>
        <v>54795.969830990522</v>
      </c>
      <c r="R1403" s="56">
        <f t="shared" si="216"/>
        <v>62913.891287433558</v>
      </c>
      <c r="S1403" s="53">
        <f>SUM(O1403:R1403)</f>
        <v>165402.64967502694</v>
      </c>
      <c r="T1403" s="35" t="s">
        <v>56</v>
      </c>
      <c r="U1403" s="18" t="s">
        <v>1696</v>
      </c>
      <c r="V1403" s="19" t="str">
        <f>IF(OR($H1403="",$H1403="sif",$H1403="PM"),"",VLOOKUP($H1403,[5]CU!$C$5:$J$255,8,FALSE))</f>
        <v>3. Dépenses de fonctionnement</v>
      </c>
      <c r="W1403" s="18" t="s">
        <v>1647</v>
      </c>
      <c r="X1403" s="18" t="s">
        <v>1728</v>
      </c>
      <c r="Y1403" s="18" t="s">
        <v>679</v>
      </c>
      <c r="Z1403" s="19" t="str">
        <f>A1403 &amp; "-" &amp; VLOOKUP(A1403,[4]PROGRAMMES!$E$1:$F$7,2,FALSE)</f>
        <v>4-Réforme de l’enseignement supérieur et la recherche scientifique et de l'innovation</v>
      </c>
      <c r="AA1403" s="19" t="str">
        <f>B1403 &amp; "-" &amp; VLOOKUP(B1403,[4]SOUSPROGRAMMES!$E$1:$F$44,2,FALSE)</f>
        <v>43- Qualité de l’enseignement, de la formation et de la recherche scientifique</v>
      </c>
      <c r="AB1403" s="19" t="str">
        <f>C1403 &amp; "-" &amp; VLOOKUP(C1403,[4]RESULTATS!$E$1:$F$176,2,FALSE)</f>
        <v>436- Une politique nationale de la recherche scientifique et de l’innovation est adoptée</v>
      </c>
      <c r="AC1403" s="20" t="str">
        <f>D1403 &amp; "-" &amp; VLOOKUP(D1403,[4]STRATEGIES!$E$1:$F$504,2,FALSE)</f>
        <v>4361-Elaboration et adoption de la politique nationale de la recherche et de l’innovation technologique </v>
      </c>
      <c r="AD1403" s="21" t="str">
        <f t="shared" si="212"/>
        <v xml:space="preserve">43613-Mise en œuvre des activités de recherche scientifiques dans les IES </v>
      </c>
    </row>
    <row r="1404" spans="1:30" s="22" customFormat="1" ht="45" customHeight="1" x14ac:dyDescent="0.8">
      <c r="A1404" s="14">
        <v>4</v>
      </c>
      <c r="B1404" s="15">
        <v>43</v>
      </c>
      <c r="C1404" s="15">
        <v>437</v>
      </c>
      <c r="D1404" s="15">
        <v>437</v>
      </c>
      <c r="E1404" s="14">
        <v>437</v>
      </c>
      <c r="F1404" s="16" t="s">
        <v>1841</v>
      </c>
      <c r="G1404" s="17"/>
      <c r="H1404" s="17"/>
      <c r="I1404" s="56">
        <v>0</v>
      </c>
      <c r="J1404" s="56"/>
      <c r="K1404" s="56"/>
      <c r="L1404" s="56"/>
      <c r="M1404" s="56"/>
      <c r="N1404" s="56"/>
      <c r="O1404" s="56"/>
      <c r="P1404" s="56"/>
      <c r="Q1404" s="56"/>
      <c r="R1404" s="56"/>
      <c r="S1404" s="53"/>
      <c r="T1404" s="33"/>
      <c r="U1404" s="18"/>
      <c r="V1404" s="19"/>
      <c r="W1404" s="18"/>
      <c r="X1404" s="18"/>
      <c r="Y1404" s="18" t="s">
        <v>679</v>
      </c>
      <c r="Z1404" s="19" t="str">
        <f>A1404 &amp; "-" &amp; VLOOKUP(A1404,[4]PROGRAMMES!$E$1:$F$7,2,FALSE)</f>
        <v>4-Réforme de l’enseignement supérieur et la recherche scientifique et de l'innovation</v>
      </c>
      <c r="AA1404" s="19" t="str">
        <f>B1404 &amp; "-" &amp; VLOOKUP(B1404,[4]SOUSPROGRAMMES!$E$1:$F$44,2,FALSE)</f>
        <v>43- Qualité de l’enseignement, de la formation et de la recherche scientifique</v>
      </c>
      <c r="AB1404" s="19" t="str">
        <f>C1404 &amp; "-" &amp; VLOOKUP(C1404,[4]RESULTATS!$E$1:$F$176,2,FALSE)</f>
        <v>437- Des financements adéquats sont alloués au programme de recherche scientifique et de l’innovation</v>
      </c>
      <c r="AC1404" s="20" t="str">
        <f>D1404 &amp; "-" &amp; VLOOKUP(D1404,[4]STRATEGIES!$E$1:$F$504,2,FALSE)</f>
        <v>437- Des financements adéquats sont alloués au programme de recherche scientifique et de l’innovation</v>
      </c>
      <c r="AD1404" s="21" t="str">
        <f t="shared" si="212"/>
        <v>437- Des Financements adéquats sont alloués au programme de recherche scientifique et de l’innovation</v>
      </c>
    </row>
    <row r="1405" spans="1:30" s="22" customFormat="1" ht="45" customHeight="1" x14ac:dyDescent="0.8">
      <c r="A1405" s="14">
        <v>4</v>
      </c>
      <c r="B1405" s="15">
        <v>43</v>
      </c>
      <c r="C1405" s="15">
        <v>437</v>
      </c>
      <c r="D1405" s="15">
        <v>4371</v>
      </c>
      <c r="E1405" s="14">
        <v>4371</v>
      </c>
      <c r="F1405" s="16" t="s">
        <v>1842</v>
      </c>
      <c r="G1405" s="17"/>
      <c r="H1405" s="17"/>
      <c r="I1405" s="56">
        <v>0</v>
      </c>
      <c r="J1405" s="56"/>
      <c r="K1405" s="56"/>
      <c r="L1405" s="56"/>
      <c r="M1405" s="56"/>
      <c r="N1405" s="56"/>
      <c r="O1405" s="56"/>
      <c r="P1405" s="56"/>
      <c r="Q1405" s="56"/>
      <c r="R1405" s="56"/>
      <c r="S1405" s="53"/>
      <c r="T1405" s="33"/>
      <c r="U1405" s="18"/>
      <c r="V1405" s="19"/>
      <c r="W1405" s="18"/>
      <c r="X1405" s="18"/>
      <c r="Y1405" s="18" t="s">
        <v>679</v>
      </c>
      <c r="Z1405" s="19" t="str">
        <f>A1405 &amp; "-" &amp; VLOOKUP(A1405,[4]PROGRAMMES!$E$1:$F$7,2,FALSE)</f>
        <v>4-Réforme de l’enseignement supérieur et la recherche scientifique et de l'innovation</v>
      </c>
      <c r="AA1405" s="19" t="str">
        <f>B1405 &amp; "-" &amp; VLOOKUP(B1405,[4]SOUSPROGRAMMES!$E$1:$F$44,2,FALSE)</f>
        <v>43- Qualité de l’enseignement, de la formation et de la recherche scientifique</v>
      </c>
      <c r="AB1405" s="19" t="str">
        <f>C1405 &amp; "-" &amp; VLOOKUP(C1405,[4]RESULTATS!$E$1:$F$176,2,FALSE)</f>
        <v>437- Des financements adéquats sont alloués au programme de recherche scientifique et de l’innovation</v>
      </c>
      <c r="AC1405" s="20" t="str">
        <f>D1405 &amp; "-" &amp; VLOOKUP(D1405,[4]STRATEGIES!$E$1:$F$504,2,FALSE)</f>
        <v>4371-Création d’un fonds de recherche et d’innovation technologique en partenariat avec le secteur privé</v>
      </c>
      <c r="AD1405" s="21" t="str">
        <f t="shared" si="212"/>
        <v>4371-Création d’un fonds de recherche et d’innovation technologique en partenariat avec le secteur privé</v>
      </c>
    </row>
    <row r="1406" spans="1:30" s="22" customFormat="1" ht="45" hidden="1" customHeight="1" x14ac:dyDescent="0.8">
      <c r="A1406" s="14">
        <v>4</v>
      </c>
      <c r="B1406" s="15">
        <v>43</v>
      </c>
      <c r="C1406" s="15">
        <v>437</v>
      </c>
      <c r="D1406" s="15">
        <v>4371</v>
      </c>
      <c r="E1406" s="14">
        <v>43711</v>
      </c>
      <c r="F1406" s="16" t="s">
        <v>1843</v>
      </c>
      <c r="G1406" s="21" t="s">
        <v>826</v>
      </c>
      <c r="H1406" s="17" t="s">
        <v>55</v>
      </c>
      <c r="I1406" s="56">
        <v>0</v>
      </c>
      <c r="J1406" s="56">
        <v>1</v>
      </c>
      <c r="K1406" s="56"/>
      <c r="L1406" s="56"/>
      <c r="M1406" s="56">
        <f t="shared" si="215"/>
        <v>1</v>
      </c>
      <c r="N1406" s="56">
        <f>IF(OR(H1406="",H1406="sif",H1406="PM"),0,VLOOKUP(H1406,[5]CU!$C$4:$H$255,6,FALSE))</f>
        <v>0</v>
      </c>
      <c r="O1406" s="56">
        <f t="shared" si="216"/>
        <v>0</v>
      </c>
      <c r="P1406" s="56">
        <f t="shared" si="216"/>
        <v>0</v>
      </c>
      <c r="Q1406" s="56">
        <f t="shared" si="216"/>
        <v>0</v>
      </c>
      <c r="R1406" s="56">
        <f t="shared" si="216"/>
        <v>0</v>
      </c>
      <c r="S1406" s="53"/>
      <c r="T1406" s="35" t="s">
        <v>56</v>
      </c>
      <c r="U1406" s="18" t="s">
        <v>1696</v>
      </c>
      <c r="V1406" s="19" t="str">
        <f>IF(OR($H1406="",$H1406="sif",$H1406="PM"),"",VLOOKUP($H1406,[5]CU!$C$5:$J$255,8,FALSE))</f>
        <v/>
      </c>
      <c r="W1406" s="18" t="s">
        <v>1791</v>
      </c>
      <c r="X1406" s="18" t="s">
        <v>1844</v>
      </c>
      <c r="Y1406" s="18" t="s">
        <v>679</v>
      </c>
      <c r="Z1406" s="19" t="str">
        <f>A1406 &amp; "-" &amp; VLOOKUP(A1406,[4]PROGRAMMES!$E$1:$F$7,2,FALSE)</f>
        <v>4-Réforme de l’enseignement supérieur et la recherche scientifique et de l'innovation</v>
      </c>
      <c r="AA1406" s="19" t="str">
        <f>B1406 &amp; "-" &amp; VLOOKUP(B1406,[4]SOUSPROGRAMMES!$E$1:$F$44,2,FALSE)</f>
        <v>43- Qualité de l’enseignement, de la formation et de la recherche scientifique</v>
      </c>
      <c r="AB1406" s="19" t="str">
        <f>C1406 &amp; "-" &amp; VLOOKUP(C1406,[4]RESULTATS!$E$1:$F$176,2,FALSE)</f>
        <v>437- Des financements adéquats sont alloués au programme de recherche scientifique et de l’innovation</v>
      </c>
      <c r="AC1406" s="20" t="str">
        <f>D1406 &amp; "-" &amp; VLOOKUP(D1406,[4]STRATEGIES!$E$1:$F$504,2,FALSE)</f>
        <v>4371-Création d’un fonds de recherche et d’innovation technologique en partenariat avec le secteur privé</v>
      </c>
      <c r="AD1406" s="21" t="str">
        <f t="shared" si="212"/>
        <v>43711-Elaboration et adoption des textes relatifs au fonds</v>
      </c>
    </row>
    <row r="1407" spans="1:30" s="22" customFormat="1" ht="45" hidden="1" customHeight="1" x14ac:dyDescent="0.8">
      <c r="A1407" s="14">
        <v>4</v>
      </c>
      <c r="B1407" s="15">
        <v>43</v>
      </c>
      <c r="C1407" s="15">
        <v>437</v>
      </c>
      <c r="D1407" s="15">
        <v>4371</v>
      </c>
      <c r="E1407" s="14">
        <v>43712</v>
      </c>
      <c r="F1407" s="16" t="s">
        <v>1845</v>
      </c>
      <c r="G1407" s="21" t="s">
        <v>159</v>
      </c>
      <c r="H1407" s="17" t="s">
        <v>55</v>
      </c>
      <c r="I1407" s="56">
        <v>0</v>
      </c>
      <c r="J1407" s="56"/>
      <c r="K1407" s="56">
        <v>1</v>
      </c>
      <c r="L1407" s="56">
        <v>1</v>
      </c>
      <c r="M1407" s="56">
        <f t="shared" si="215"/>
        <v>2</v>
      </c>
      <c r="N1407" s="56">
        <f>IF(OR(H1407="",H1407="sif",H1407="PM"),0,VLOOKUP(H1407,[5]CU!$C$4:$H$255,6,FALSE))</f>
        <v>0</v>
      </c>
      <c r="O1407" s="56">
        <f t="shared" si="216"/>
        <v>0</v>
      </c>
      <c r="P1407" s="56">
        <f t="shared" si="216"/>
        <v>0</v>
      </c>
      <c r="Q1407" s="56">
        <f t="shared" si="216"/>
        <v>0</v>
      </c>
      <c r="R1407" s="56">
        <f t="shared" si="216"/>
        <v>0</v>
      </c>
      <c r="S1407" s="53"/>
      <c r="T1407" s="35" t="s">
        <v>56</v>
      </c>
      <c r="U1407" s="18" t="s">
        <v>1696</v>
      </c>
      <c r="V1407" s="19" t="str">
        <f>IF(OR($H1407="",$H1407="sif",$H1407="PM"),"",VLOOKUP($H1407,[5]CU!$C$5:$J$255,8,FALSE))</f>
        <v/>
      </c>
      <c r="W1407" s="18" t="s">
        <v>1791</v>
      </c>
      <c r="X1407" s="18" t="s">
        <v>521</v>
      </c>
      <c r="Y1407" s="18" t="s">
        <v>679</v>
      </c>
      <c r="Z1407" s="19" t="str">
        <f>A1407 &amp; "-" &amp; VLOOKUP(A1407,[4]PROGRAMMES!$E$1:$F$7,2,FALSE)</f>
        <v>4-Réforme de l’enseignement supérieur et la recherche scientifique et de l'innovation</v>
      </c>
      <c r="AA1407" s="19" t="str">
        <f>B1407 &amp; "-" &amp; VLOOKUP(B1407,[4]SOUSPROGRAMMES!$E$1:$F$44,2,FALSE)</f>
        <v>43- Qualité de l’enseignement, de la formation et de la recherche scientifique</v>
      </c>
      <c r="AB1407" s="19" t="str">
        <f>C1407 &amp; "-" &amp; VLOOKUP(C1407,[4]RESULTATS!$E$1:$F$176,2,FALSE)</f>
        <v>437- Des financements adéquats sont alloués au programme de recherche scientifique et de l’innovation</v>
      </c>
      <c r="AC1407" s="20" t="str">
        <f>D1407 &amp; "-" &amp; VLOOKUP(D1407,[4]STRATEGIES!$E$1:$F$504,2,FALSE)</f>
        <v>4371-Création d’un fonds de recherche et d’innovation technologique en partenariat avec le secteur privé</v>
      </c>
      <c r="AD1407" s="21" t="str">
        <f t="shared" si="212"/>
        <v>43712-Financement du fonds (Fonds privés)</v>
      </c>
    </row>
    <row r="1408" spans="1:30" s="22" customFormat="1" ht="75" customHeight="1" x14ac:dyDescent="0.8">
      <c r="A1408" s="14">
        <v>4</v>
      </c>
      <c r="B1408" s="15">
        <v>43</v>
      </c>
      <c r="C1408" s="15">
        <v>438</v>
      </c>
      <c r="D1408" s="15">
        <v>438</v>
      </c>
      <c r="E1408" s="14">
        <v>438</v>
      </c>
      <c r="F1408" s="16" t="s">
        <v>1846</v>
      </c>
      <c r="G1408" s="17"/>
      <c r="H1408" s="17"/>
      <c r="I1408" s="56">
        <v>0</v>
      </c>
      <c r="J1408" s="56"/>
      <c r="K1408" s="56"/>
      <c r="L1408" s="56"/>
      <c r="M1408" s="56"/>
      <c r="N1408" s="56"/>
      <c r="O1408" s="56"/>
      <c r="P1408" s="56"/>
      <c r="Q1408" s="56"/>
      <c r="R1408" s="56"/>
      <c r="S1408" s="53"/>
      <c r="T1408" s="33"/>
      <c r="U1408" s="18"/>
      <c r="V1408" s="19"/>
      <c r="W1408" s="18"/>
      <c r="X1408" s="18"/>
      <c r="Y1408" s="18" t="s">
        <v>679</v>
      </c>
      <c r="Z1408" s="19" t="str">
        <f>A1408 &amp; "-" &amp; VLOOKUP(A1408,[4]PROGRAMMES!$E$1:$F$7,2,FALSE)</f>
        <v>4-Réforme de l’enseignement supérieur et la recherche scientifique et de l'innovation</v>
      </c>
      <c r="AA1408" s="19" t="str">
        <f>B1408 &amp; "-" &amp; VLOOKUP(B1408,[4]SOUSPROGRAMMES!$E$1:$F$44,2,FALSE)</f>
        <v>43- Qualité de l’enseignement, de la formation et de la recherche scientifique</v>
      </c>
      <c r="AB1408" s="19" t="str">
        <f>C1408 &amp; "-" &amp; VLOOKUP(C1408,[4]RESULTATS!$E$1:$F$176,2,FALSE)</f>
        <v>438- Le niveau de productions scientifiques en quantité et qualité est amélioré et les résultats de la recherche scientifique et de l’innovation sont mieux capitalisés et valorisés</v>
      </c>
      <c r="AC1408" s="20" t="str">
        <f>D1408 &amp; "-" &amp; VLOOKUP(D1408,[4]STRATEGIES!$E$1:$F$504,2,FALSE)</f>
        <v>438- Le niveau de productions scientifiques en quantité et qualité est amélioré et les résultats de la recherche scientifique et de l’innovation sont mieux capitalisés et valorisés</v>
      </c>
      <c r="AD1408" s="21" t="str">
        <f t="shared" si="212"/>
        <v>438- Le niveau de productions scientifiques en quantité et qualité est amélioré et les résultats de la recherche scientifique et de l’innovation sont mieux capitalisés et valorisés</v>
      </c>
    </row>
    <row r="1409" spans="1:30" s="22" customFormat="1" ht="75" customHeight="1" x14ac:dyDescent="0.8">
      <c r="A1409" s="14">
        <v>4</v>
      </c>
      <c r="B1409" s="15">
        <v>43</v>
      </c>
      <c r="C1409" s="15">
        <v>438</v>
      </c>
      <c r="D1409" s="15">
        <v>4381</v>
      </c>
      <c r="E1409" s="14">
        <v>4381</v>
      </c>
      <c r="F1409" s="16" t="s">
        <v>1847</v>
      </c>
      <c r="G1409" s="17"/>
      <c r="H1409" s="17"/>
      <c r="I1409" s="56">
        <v>0</v>
      </c>
      <c r="J1409" s="56"/>
      <c r="K1409" s="56"/>
      <c r="L1409" s="56"/>
      <c r="M1409" s="56"/>
      <c r="N1409" s="56"/>
      <c r="O1409" s="56"/>
      <c r="P1409" s="56"/>
      <c r="Q1409" s="56"/>
      <c r="R1409" s="56"/>
      <c r="S1409" s="53"/>
      <c r="T1409" s="33"/>
      <c r="U1409" s="18"/>
      <c r="V1409" s="19"/>
      <c r="W1409" s="18"/>
      <c r="X1409" s="18"/>
      <c r="Y1409" s="18" t="s">
        <v>679</v>
      </c>
      <c r="Z1409" s="19" t="str">
        <f>A1409 &amp; "-" &amp; VLOOKUP(A1409,[4]PROGRAMMES!$E$1:$F$7,2,FALSE)</f>
        <v>4-Réforme de l’enseignement supérieur et la recherche scientifique et de l'innovation</v>
      </c>
      <c r="AA1409" s="19" t="str">
        <f>B1409 &amp; "-" &amp; VLOOKUP(B1409,[4]SOUSPROGRAMMES!$E$1:$F$44,2,FALSE)</f>
        <v>43- Qualité de l’enseignement, de la formation et de la recherche scientifique</v>
      </c>
      <c r="AB1409" s="19" t="str">
        <f>C1409 &amp; "-" &amp; VLOOKUP(C1409,[4]RESULTATS!$E$1:$F$176,2,FALSE)</f>
        <v>438- Le niveau de productions scientifiques en quantité et qualité est amélioré et les résultats de la recherche scientifique et de l’innovation sont mieux capitalisés et valorisés</v>
      </c>
      <c r="AC1409" s="20" t="str">
        <f>D1409 &amp; "-" &amp; VLOOKUP(D1409,[4]STRATEGIES!$E$1:$F$504,2,FALSE)</f>
        <v>4381-Création de l’académie des sciences de Guinée</v>
      </c>
      <c r="AD1409" s="21" t="str">
        <f t="shared" si="212"/>
        <v>4381-Création de l’académie des sciences de Guinée</v>
      </c>
    </row>
    <row r="1410" spans="1:30" s="22" customFormat="1" ht="75" hidden="1" customHeight="1" x14ac:dyDescent="0.8">
      <c r="A1410" s="14">
        <v>4</v>
      </c>
      <c r="B1410" s="15">
        <v>43</v>
      </c>
      <c r="C1410" s="15">
        <v>438</v>
      </c>
      <c r="D1410" s="15">
        <v>4381</v>
      </c>
      <c r="E1410" s="14">
        <v>43811</v>
      </c>
      <c r="F1410" s="16" t="s">
        <v>1848</v>
      </c>
      <c r="G1410" s="21" t="s">
        <v>826</v>
      </c>
      <c r="H1410" s="17" t="s">
        <v>55</v>
      </c>
      <c r="I1410" s="56">
        <v>0</v>
      </c>
      <c r="J1410" s="56">
        <v>1</v>
      </c>
      <c r="K1410" s="56"/>
      <c r="L1410" s="56"/>
      <c r="M1410" s="56">
        <f t="shared" si="215"/>
        <v>1</v>
      </c>
      <c r="N1410" s="56">
        <f>IF(OR(H1410="",H1410="sif",H1410="PM"),0,VLOOKUP(H1410,[5]CU!$C$4:$H$255,6,FALSE))</f>
        <v>0</v>
      </c>
      <c r="O1410" s="56">
        <f t="shared" si="216"/>
        <v>0</v>
      </c>
      <c r="P1410" s="56">
        <f t="shared" si="216"/>
        <v>0</v>
      </c>
      <c r="Q1410" s="56">
        <f t="shared" si="216"/>
        <v>0</v>
      </c>
      <c r="R1410" s="56">
        <f t="shared" si="216"/>
        <v>0</v>
      </c>
      <c r="S1410" s="53"/>
      <c r="T1410" s="35" t="s">
        <v>56</v>
      </c>
      <c r="U1410" s="18" t="s">
        <v>1696</v>
      </c>
      <c r="V1410" s="19" t="str">
        <f>IF(OR($H1410="",$H1410="sif",$H1410="PM"),"",VLOOKUP($H1410,[5]CU!$C$5:$J$255,8,FALSE))</f>
        <v/>
      </c>
      <c r="W1410" s="18" t="s">
        <v>255</v>
      </c>
      <c r="X1410" s="18" t="s">
        <v>1791</v>
      </c>
      <c r="Y1410" s="18" t="s">
        <v>679</v>
      </c>
      <c r="Z1410" s="19" t="str">
        <f>A1410 &amp; "-" &amp; VLOOKUP(A1410,[4]PROGRAMMES!$E$1:$F$7,2,FALSE)</f>
        <v>4-Réforme de l’enseignement supérieur et la recherche scientifique et de l'innovation</v>
      </c>
      <c r="AA1410" s="19" t="str">
        <f>B1410 &amp; "-" &amp; VLOOKUP(B1410,[4]SOUSPROGRAMMES!$E$1:$F$44,2,FALSE)</f>
        <v>43- Qualité de l’enseignement, de la formation et de la recherche scientifique</v>
      </c>
      <c r="AB1410" s="19" t="str">
        <f>C1410 &amp; "-" &amp; VLOOKUP(C1410,[4]RESULTATS!$E$1:$F$176,2,FALSE)</f>
        <v>438- Le niveau de productions scientifiques en quantité et qualité est amélioré et les résultats de la recherche scientifique et de l’innovation sont mieux capitalisés et valorisés</v>
      </c>
      <c r="AC1410" s="20" t="str">
        <f>D1410 &amp; "-" &amp; VLOOKUP(D1410,[4]STRATEGIES!$E$1:$F$504,2,FALSE)</f>
        <v>4381-Création de l’académie des sciences de Guinée</v>
      </c>
      <c r="AD1410" s="21" t="str">
        <f t="shared" si="212"/>
        <v>43811-Elaboration des textes</v>
      </c>
    </row>
    <row r="1411" spans="1:30" s="22" customFormat="1" ht="75" hidden="1" customHeight="1" x14ac:dyDescent="0.8">
      <c r="A1411" s="14">
        <v>4</v>
      </c>
      <c r="B1411" s="15">
        <v>43</v>
      </c>
      <c r="C1411" s="15">
        <v>438</v>
      </c>
      <c r="D1411" s="15">
        <v>4381</v>
      </c>
      <c r="E1411" s="14">
        <v>43812</v>
      </c>
      <c r="F1411" s="16" t="s">
        <v>1849</v>
      </c>
      <c r="G1411" s="21" t="s">
        <v>298</v>
      </c>
      <c r="H1411" s="17" t="s">
        <v>38</v>
      </c>
      <c r="I1411" s="56">
        <v>0</v>
      </c>
      <c r="J1411" s="56">
        <f>50*3*1</f>
        <v>150</v>
      </c>
      <c r="K1411" s="56"/>
      <c r="L1411" s="56"/>
      <c r="M1411" s="56">
        <f t="shared" si="215"/>
        <v>150</v>
      </c>
      <c r="N1411" s="56">
        <f>IF(OR(H1411="",H1411="sif",H1411="PM"),0,VLOOKUP(H1411,[5]CU!$C$4:$H$255,6,FALSE))</f>
        <v>0.3133333333333333</v>
      </c>
      <c r="O1411" s="56">
        <f t="shared" si="216"/>
        <v>0</v>
      </c>
      <c r="P1411" s="56">
        <f t="shared" si="216"/>
        <v>46.999999999999993</v>
      </c>
      <c r="Q1411" s="56">
        <f t="shared" si="216"/>
        <v>0</v>
      </c>
      <c r="R1411" s="56">
        <f t="shared" si="216"/>
        <v>0</v>
      </c>
      <c r="S1411" s="53">
        <f>SUM(O1411:R1411)</f>
        <v>46.999999999999993</v>
      </c>
      <c r="T1411" s="35" t="s">
        <v>56</v>
      </c>
      <c r="U1411" s="18" t="s">
        <v>1696</v>
      </c>
      <c r="V1411" s="19" t="str">
        <f>IF(OR($H1411="",$H1411="sif",$H1411="PM"),"",VLOOKUP($H1411,[5]CU!$C$5:$J$255,8,FALSE))</f>
        <v>3. Formation</v>
      </c>
      <c r="W1411" s="18" t="s">
        <v>255</v>
      </c>
      <c r="X1411" s="18" t="s">
        <v>1791</v>
      </c>
      <c r="Y1411" s="18" t="s">
        <v>679</v>
      </c>
      <c r="Z1411" s="19" t="str">
        <f>A1411 &amp; "-" &amp; VLOOKUP(A1411,[4]PROGRAMMES!$E$1:$F$7,2,FALSE)</f>
        <v>4-Réforme de l’enseignement supérieur et la recherche scientifique et de l'innovation</v>
      </c>
      <c r="AA1411" s="19" t="str">
        <f>B1411 &amp; "-" &amp; VLOOKUP(B1411,[4]SOUSPROGRAMMES!$E$1:$F$44,2,FALSE)</f>
        <v>43- Qualité de l’enseignement, de la formation et de la recherche scientifique</v>
      </c>
      <c r="AB1411" s="19" t="str">
        <f>C1411 &amp; "-" &amp; VLOOKUP(C1411,[4]RESULTATS!$E$1:$F$176,2,FALSE)</f>
        <v>438- Le niveau de productions scientifiques en quantité et qualité est amélioré et les résultats de la recherche scientifique et de l’innovation sont mieux capitalisés et valorisés</v>
      </c>
      <c r="AC1411" s="20" t="str">
        <f>D1411 &amp; "-" &amp; VLOOKUP(D1411,[4]STRATEGIES!$E$1:$F$504,2,FALSE)</f>
        <v>4381-Création de l’académie des sciences de Guinée</v>
      </c>
      <c r="AD1411" s="21" t="str">
        <f t="shared" si="212"/>
        <v>43812-Validation et adoption des textes</v>
      </c>
    </row>
    <row r="1412" spans="1:30" s="22" customFormat="1" ht="75" customHeight="1" x14ac:dyDescent="0.8">
      <c r="A1412" s="14">
        <v>4</v>
      </c>
      <c r="B1412" s="15">
        <v>43</v>
      </c>
      <c r="C1412" s="15">
        <v>438</v>
      </c>
      <c r="D1412" s="15">
        <v>4382</v>
      </c>
      <c r="E1412" s="14">
        <v>4382</v>
      </c>
      <c r="F1412" s="16" t="s">
        <v>1850</v>
      </c>
      <c r="G1412" s="17"/>
      <c r="H1412" s="17"/>
      <c r="I1412" s="56">
        <v>0</v>
      </c>
      <c r="J1412" s="56"/>
      <c r="K1412" s="56"/>
      <c r="L1412" s="56"/>
      <c r="M1412" s="56"/>
      <c r="N1412" s="56"/>
      <c r="O1412" s="56"/>
      <c r="P1412" s="56"/>
      <c r="Q1412" s="56"/>
      <c r="R1412" s="56"/>
      <c r="S1412" s="53"/>
      <c r="T1412" s="33"/>
      <c r="U1412" s="18"/>
      <c r="V1412" s="19"/>
      <c r="W1412" s="18"/>
      <c r="X1412" s="18"/>
      <c r="Y1412" s="18" t="s">
        <v>679</v>
      </c>
      <c r="Z1412" s="19" t="str">
        <f>A1412 &amp; "-" &amp; VLOOKUP(A1412,[4]PROGRAMMES!$E$1:$F$7,2,FALSE)</f>
        <v>4-Réforme de l’enseignement supérieur et la recherche scientifique et de l'innovation</v>
      </c>
      <c r="AA1412" s="19" t="str">
        <f>B1412 &amp; "-" &amp; VLOOKUP(B1412,[4]SOUSPROGRAMMES!$E$1:$F$44,2,FALSE)</f>
        <v>43- Qualité de l’enseignement, de la formation et de la recherche scientifique</v>
      </c>
      <c r="AB1412" s="19" t="str">
        <f>C1412 &amp; "-" &amp; VLOOKUP(C1412,[4]RESULTATS!$E$1:$F$176,2,FALSE)</f>
        <v>438- Le niveau de productions scientifiques en quantité et qualité est amélioré et les résultats de la recherche scientifique et de l’innovation sont mieux capitalisés et valorisés</v>
      </c>
      <c r="AC1412" s="20" t="str">
        <f>D1412 &amp; "-" &amp; VLOOKUP(D1412,[4]STRATEGIES!$E$1:$F$504,2,FALSE)</f>
        <v>4382-Organisation des journées scientifiques dans les institutions</v>
      </c>
      <c r="AD1412" s="21" t="str">
        <f t="shared" ref="AD1412:AD1475" si="217">E1412 &amp; "-" &amp; F1412</f>
        <v>4382-Organisation des journées scientifiques dans les institutions</v>
      </c>
    </row>
    <row r="1413" spans="1:30" s="22" customFormat="1" ht="75" hidden="1" customHeight="1" x14ac:dyDescent="0.8">
      <c r="A1413" s="14">
        <v>4</v>
      </c>
      <c r="B1413" s="15">
        <v>43</v>
      </c>
      <c r="C1413" s="15">
        <v>438</v>
      </c>
      <c r="D1413" s="15">
        <v>4382</v>
      </c>
      <c r="E1413" s="14">
        <v>43821</v>
      </c>
      <c r="F1413" s="16" t="s">
        <v>1851</v>
      </c>
      <c r="G1413" s="21" t="s">
        <v>88</v>
      </c>
      <c r="H1413" s="17" t="s">
        <v>55</v>
      </c>
      <c r="I1413" s="56">
        <v>0</v>
      </c>
      <c r="J1413" s="56"/>
      <c r="K1413" s="56">
        <v>1</v>
      </c>
      <c r="L1413" s="56">
        <v>1</v>
      </c>
      <c r="M1413" s="56">
        <f t="shared" si="215"/>
        <v>2</v>
      </c>
      <c r="N1413" s="56">
        <f>IF(OR(H1413="",H1413="sif",H1413="PM"),0,VLOOKUP(H1413,[5]CU!$C$4:$H$255,6,FALSE))</f>
        <v>0</v>
      </c>
      <c r="O1413" s="56">
        <f t="shared" si="216"/>
        <v>0</v>
      </c>
      <c r="P1413" s="56">
        <f t="shared" si="216"/>
        <v>0</v>
      </c>
      <c r="Q1413" s="56">
        <f t="shared" si="216"/>
        <v>0</v>
      </c>
      <c r="R1413" s="56">
        <f t="shared" si="216"/>
        <v>0</v>
      </c>
      <c r="S1413" s="53"/>
      <c r="T1413" s="35" t="s">
        <v>56</v>
      </c>
      <c r="U1413" s="18" t="s">
        <v>1696</v>
      </c>
      <c r="V1413" s="19" t="str">
        <f>IF(OR($H1413="",$H1413="sif",$H1413="PM"),"",VLOOKUP($H1413,[5]CU!$C$5:$J$255,8,FALSE))</f>
        <v/>
      </c>
      <c r="W1413" s="18" t="s">
        <v>1852</v>
      </c>
      <c r="X1413" s="18" t="s">
        <v>1607</v>
      </c>
      <c r="Y1413" s="18" t="s">
        <v>679</v>
      </c>
      <c r="Z1413" s="19" t="str">
        <f>A1413 &amp; "-" &amp; VLOOKUP(A1413,[4]PROGRAMMES!$E$1:$F$7,2,FALSE)</f>
        <v>4-Réforme de l’enseignement supérieur et la recherche scientifique et de l'innovation</v>
      </c>
      <c r="AA1413" s="19" t="str">
        <f>B1413 &amp; "-" &amp; VLOOKUP(B1413,[4]SOUSPROGRAMMES!$E$1:$F$44,2,FALSE)</f>
        <v>43- Qualité de l’enseignement, de la formation et de la recherche scientifique</v>
      </c>
      <c r="AB1413" s="19" t="str">
        <f>C1413 &amp; "-" &amp; VLOOKUP(C1413,[4]RESULTATS!$E$1:$F$176,2,FALSE)</f>
        <v>438- Le niveau de productions scientifiques en quantité et qualité est amélioré et les résultats de la recherche scientifique et de l’innovation sont mieux capitalisés et valorisés</v>
      </c>
      <c r="AC1413" s="20" t="str">
        <f>D1413 &amp; "-" &amp; VLOOKUP(D1413,[4]STRATEGIES!$E$1:$F$504,2,FALSE)</f>
        <v>4382-Organisation des journées scientifiques dans les institutions</v>
      </c>
      <c r="AD1413" s="21" t="str">
        <f t="shared" si="217"/>
        <v>43821-Planification des activités des journées scientifiques dans les institutions</v>
      </c>
    </row>
    <row r="1414" spans="1:30" s="22" customFormat="1" ht="75" hidden="1" customHeight="1" x14ac:dyDescent="0.8">
      <c r="A1414" s="14">
        <v>4</v>
      </c>
      <c r="B1414" s="15">
        <v>43</v>
      </c>
      <c r="C1414" s="15">
        <v>438</v>
      </c>
      <c r="D1414" s="15">
        <v>4382</v>
      </c>
      <c r="E1414" s="14">
        <v>43822</v>
      </c>
      <c r="F1414" s="16" t="s">
        <v>1853</v>
      </c>
      <c r="G1414" s="21" t="s">
        <v>1854</v>
      </c>
      <c r="H1414" s="17" t="s">
        <v>55</v>
      </c>
      <c r="I1414" s="56">
        <v>0</v>
      </c>
      <c r="J1414" s="56"/>
      <c r="K1414" s="56">
        <v>1</v>
      </c>
      <c r="L1414" s="56">
        <v>1</v>
      </c>
      <c r="M1414" s="56">
        <f t="shared" si="215"/>
        <v>2</v>
      </c>
      <c r="N1414" s="56">
        <f>IF(OR(H1414="",H1414="sif",H1414="PM"),0,VLOOKUP(H1414,[5]CU!$C$4:$H$255,6,FALSE))</f>
        <v>0</v>
      </c>
      <c r="O1414" s="56">
        <f t="shared" si="216"/>
        <v>0</v>
      </c>
      <c r="P1414" s="56">
        <f t="shared" si="216"/>
        <v>0</v>
      </c>
      <c r="Q1414" s="56">
        <f t="shared" si="216"/>
        <v>0</v>
      </c>
      <c r="R1414" s="56">
        <f t="shared" si="216"/>
        <v>0</v>
      </c>
      <c r="S1414" s="53"/>
      <c r="T1414" s="35" t="s">
        <v>56</v>
      </c>
      <c r="U1414" s="18" t="s">
        <v>1696</v>
      </c>
      <c r="V1414" s="19" t="str">
        <f>IF(OR($H1414="",$H1414="sif",$H1414="PM"),"",VLOOKUP($H1414,[5]CU!$C$5:$J$255,8,FALSE))</f>
        <v/>
      </c>
      <c r="W1414" s="18" t="s">
        <v>1665</v>
      </c>
      <c r="X1414" s="18" t="s">
        <v>521</v>
      </c>
      <c r="Y1414" s="18" t="s">
        <v>679</v>
      </c>
      <c r="Z1414" s="19" t="str">
        <f>A1414 &amp; "-" &amp; VLOOKUP(A1414,[4]PROGRAMMES!$E$1:$F$7,2,FALSE)</f>
        <v>4-Réforme de l’enseignement supérieur et la recherche scientifique et de l'innovation</v>
      </c>
      <c r="AA1414" s="19" t="str">
        <f>B1414 &amp; "-" &amp; VLOOKUP(B1414,[4]SOUSPROGRAMMES!$E$1:$F$44,2,FALSE)</f>
        <v>43- Qualité de l’enseignement, de la formation et de la recherche scientifique</v>
      </c>
      <c r="AB1414" s="19" t="str">
        <f>C1414 &amp; "-" &amp; VLOOKUP(C1414,[4]RESULTATS!$E$1:$F$176,2,FALSE)</f>
        <v>438- Le niveau de productions scientifiques en quantité et qualité est amélioré et les résultats de la recherche scientifique et de l’innovation sont mieux capitalisés et valorisés</v>
      </c>
      <c r="AC1414" s="20" t="str">
        <f>D1414 &amp; "-" &amp; VLOOKUP(D1414,[4]STRATEGIES!$E$1:$F$504,2,FALSE)</f>
        <v>4382-Organisation des journées scientifiques dans les institutions</v>
      </c>
      <c r="AD1414" s="21" t="str">
        <f t="shared" si="217"/>
        <v>43822-Financement des activités (Fin privé)</v>
      </c>
    </row>
    <row r="1415" spans="1:30" s="22" customFormat="1" ht="75" customHeight="1" x14ac:dyDescent="0.8">
      <c r="A1415" s="14">
        <v>4</v>
      </c>
      <c r="B1415" s="15">
        <v>43</v>
      </c>
      <c r="C1415" s="15">
        <v>438</v>
      </c>
      <c r="D1415" s="15">
        <v>4383</v>
      </c>
      <c r="E1415" s="14">
        <v>4383</v>
      </c>
      <c r="F1415" s="16" t="s">
        <v>1855</v>
      </c>
      <c r="G1415" s="17"/>
      <c r="H1415" s="17"/>
      <c r="I1415" s="56">
        <v>0</v>
      </c>
      <c r="J1415" s="56"/>
      <c r="K1415" s="56"/>
      <c r="L1415" s="56"/>
      <c r="M1415" s="56"/>
      <c r="N1415" s="56"/>
      <c r="O1415" s="56"/>
      <c r="P1415" s="56"/>
      <c r="Q1415" s="56"/>
      <c r="R1415" s="56"/>
      <c r="S1415" s="53"/>
      <c r="T1415" s="33"/>
      <c r="U1415" s="18"/>
      <c r="V1415" s="19"/>
      <c r="W1415" s="18"/>
      <c r="X1415" s="18"/>
      <c r="Y1415" s="18" t="s">
        <v>679</v>
      </c>
      <c r="Z1415" s="19" t="str">
        <f>A1415 &amp; "-" &amp; VLOOKUP(A1415,[4]PROGRAMMES!$E$1:$F$7,2,FALSE)</f>
        <v>4-Réforme de l’enseignement supérieur et la recherche scientifique et de l'innovation</v>
      </c>
      <c r="AA1415" s="19" t="str">
        <f>B1415 &amp; "-" &amp; VLOOKUP(B1415,[4]SOUSPROGRAMMES!$E$1:$F$44,2,FALSE)</f>
        <v>43- Qualité de l’enseignement, de la formation et de la recherche scientifique</v>
      </c>
      <c r="AB1415" s="19" t="str">
        <f>C1415 &amp; "-" &amp; VLOOKUP(C1415,[4]RESULTATS!$E$1:$F$176,2,FALSE)</f>
        <v>438- Le niveau de productions scientifiques en quantité et qualité est amélioré et les résultats de la recherche scientifique et de l’innovation sont mieux capitalisés et valorisés</v>
      </c>
      <c r="AC1415" s="20" t="str">
        <f>D1415 &amp; "-" &amp; VLOOKUP(D1415,[4]STRATEGIES!$E$1:$F$504,2,FALSE)</f>
        <v>4383-Renforcement des capacités du personnel</v>
      </c>
      <c r="AD1415" s="21" t="str">
        <f t="shared" si="217"/>
        <v>4383-Renforcement des capacités du personnel</v>
      </c>
    </row>
    <row r="1416" spans="1:30" s="22" customFormat="1" ht="75" hidden="1" customHeight="1" x14ac:dyDescent="0.8">
      <c r="A1416" s="14">
        <v>4</v>
      </c>
      <c r="B1416" s="15">
        <v>43</v>
      </c>
      <c r="C1416" s="15">
        <v>438</v>
      </c>
      <c r="D1416" s="15">
        <v>4383</v>
      </c>
      <c r="E1416" s="14">
        <v>43831</v>
      </c>
      <c r="F1416" s="16" t="s">
        <v>1856</v>
      </c>
      <c r="G1416" s="21" t="s">
        <v>88</v>
      </c>
      <c r="H1416" s="17" t="s">
        <v>55</v>
      </c>
      <c r="I1416" s="56">
        <v>0</v>
      </c>
      <c r="J1416" s="56">
        <v>1</v>
      </c>
      <c r="K1416" s="56">
        <v>1</v>
      </c>
      <c r="L1416" s="56">
        <v>1</v>
      </c>
      <c r="M1416" s="56">
        <f t="shared" si="215"/>
        <v>3</v>
      </c>
      <c r="N1416" s="56">
        <f>IF(OR(H1416="",H1416="sif",H1416="PM"),0,VLOOKUP(H1416,[5]CU!$C$4:$H$255,6,FALSE))</f>
        <v>0</v>
      </c>
      <c r="O1416" s="56">
        <f t="shared" si="216"/>
        <v>0</v>
      </c>
      <c r="P1416" s="56">
        <f t="shared" si="216"/>
        <v>0</v>
      </c>
      <c r="Q1416" s="56">
        <f t="shared" si="216"/>
        <v>0</v>
      </c>
      <c r="R1416" s="56">
        <f t="shared" si="216"/>
        <v>0</v>
      </c>
      <c r="S1416" s="53"/>
      <c r="T1416" s="35" t="s">
        <v>56</v>
      </c>
      <c r="U1416" s="18" t="s">
        <v>1696</v>
      </c>
      <c r="V1416" s="19" t="str">
        <f>IF(OR($H1416="",$H1416="sif",$H1416="PM"),"",VLOOKUP($H1416,[5]CU!$C$5:$J$255,8,FALSE))</f>
        <v/>
      </c>
      <c r="W1416" s="18" t="s">
        <v>1665</v>
      </c>
      <c r="X1416" s="18" t="s">
        <v>1607</v>
      </c>
      <c r="Y1416" s="18" t="s">
        <v>679</v>
      </c>
      <c r="Z1416" s="19" t="str">
        <f>A1416 &amp; "-" &amp; VLOOKUP(A1416,[4]PROGRAMMES!$E$1:$F$7,2,FALSE)</f>
        <v>4-Réforme de l’enseignement supérieur et la recherche scientifique et de l'innovation</v>
      </c>
      <c r="AA1416" s="19" t="str">
        <f>B1416 &amp; "-" &amp; VLOOKUP(B1416,[4]SOUSPROGRAMMES!$E$1:$F$44,2,FALSE)</f>
        <v>43- Qualité de l’enseignement, de la formation et de la recherche scientifique</v>
      </c>
      <c r="AB1416" s="19" t="str">
        <f>C1416 &amp; "-" &amp; VLOOKUP(C1416,[4]RESULTATS!$E$1:$F$176,2,FALSE)</f>
        <v>438- Le niveau de productions scientifiques en quantité et qualité est amélioré et les résultats de la recherche scientifique et de l’innovation sont mieux capitalisés et valorisés</v>
      </c>
      <c r="AC1416" s="20" t="str">
        <f>D1416 &amp; "-" &amp; VLOOKUP(D1416,[4]STRATEGIES!$E$1:$F$504,2,FALSE)</f>
        <v>4383-Renforcement des capacités du personnel</v>
      </c>
      <c r="AD1416" s="21" t="str">
        <f t="shared" si="217"/>
        <v>43831-Identification des personnels à former</v>
      </c>
    </row>
    <row r="1417" spans="1:30" s="22" customFormat="1" ht="75" hidden="1" customHeight="1" x14ac:dyDescent="0.8">
      <c r="A1417" s="14">
        <v>4</v>
      </c>
      <c r="B1417" s="15">
        <v>43</v>
      </c>
      <c r="C1417" s="15">
        <v>438</v>
      </c>
      <c r="D1417" s="15">
        <v>4383</v>
      </c>
      <c r="E1417" s="14">
        <v>43832</v>
      </c>
      <c r="F1417" s="16" t="s">
        <v>1857</v>
      </c>
      <c r="G1417" s="21" t="s">
        <v>37</v>
      </c>
      <c r="H1417" s="17" t="s">
        <v>301</v>
      </c>
      <c r="I1417" s="56">
        <v>0</v>
      </c>
      <c r="J1417" s="56">
        <f>50*3*1</f>
        <v>150</v>
      </c>
      <c r="K1417" s="56">
        <f>50*3*1</f>
        <v>150</v>
      </c>
      <c r="L1417" s="56">
        <f>50*3*1</f>
        <v>150</v>
      </c>
      <c r="M1417" s="56">
        <f t="shared" si="215"/>
        <v>450</v>
      </c>
      <c r="N1417" s="56">
        <f>IF(OR(H1417="",H1417="sif",H1417="PM"),0,VLOOKUP(H1417,[5]CU!$C$4:$H$255,6,FALSE))</f>
        <v>0.67666666666666664</v>
      </c>
      <c r="O1417" s="56">
        <f t="shared" si="216"/>
        <v>0</v>
      </c>
      <c r="P1417" s="56">
        <f t="shared" si="216"/>
        <v>101.5</v>
      </c>
      <c r="Q1417" s="56">
        <f t="shared" si="216"/>
        <v>101.5</v>
      </c>
      <c r="R1417" s="56">
        <f t="shared" si="216"/>
        <v>101.5</v>
      </c>
      <c r="S1417" s="53">
        <f>SUM(O1417:R1417)</f>
        <v>304.5</v>
      </c>
      <c r="T1417" s="35" t="s">
        <v>56</v>
      </c>
      <c r="U1417" s="18" t="s">
        <v>1696</v>
      </c>
      <c r="V1417" s="19" t="str">
        <f>IF(OR($H1417="",$H1417="sif",$H1417="PM"),"",VLOOKUP($H1417,[5]CU!$C$5:$J$255,8,FALSE))</f>
        <v>3. Formation</v>
      </c>
      <c r="W1417" s="18" t="s">
        <v>1665</v>
      </c>
      <c r="X1417" s="18" t="s">
        <v>1607</v>
      </c>
      <c r="Y1417" s="18" t="s">
        <v>679</v>
      </c>
      <c r="Z1417" s="19" t="str">
        <f>A1417 &amp; "-" &amp; VLOOKUP(A1417,[4]PROGRAMMES!$E$1:$F$7,2,FALSE)</f>
        <v>4-Réforme de l’enseignement supérieur et la recherche scientifique et de l'innovation</v>
      </c>
      <c r="AA1417" s="19" t="str">
        <f>B1417 &amp; "-" &amp; VLOOKUP(B1417,[4]SOUSPROGRAMMES!$E$1:$F$44,2,FALSE)</f>
        <v>43- Qualité de l’enseignement, de la formation et de la recherche scientifique</v>
      </c>
      <c r="AB1417" s="19" t="str">
        <f>C1417 &amp; "-" &amp; VLOOKUP(C1417,[4]RESULTATS!$E$1:$F$176,2,FALSE)</f>
        <v>438- Le niveau de productions scientifiques en quantité et qualité est amélioré et les résultats de la recherche scientifique et de l’innovation sont mieux capitalisés et valorisés</v>
      </c>
      <c r="AC1417" s="20" t="str">
        <f>D1417 &amp; "-" &amp; VLOOKUP(D1417,[4]STRATEGIES!$E$1:$F$504,2,FALSE)</f>
        <v>4383-Renforcement des capacités du personnel</v>
      </c>
      <c r="AD1417" s="21" t="str">
        <f t="shared" si="217"/>
        <v>43832-Organisation des formations</v>
      </c>
    </row>
    <row r="1418" spans="1:30" s="22" customFormat="1" ht="75" customHeight="1" x14ac:dyDescent="0.8">
      <c r="A1418" s="14">
        <v>4</v>
      </c>
      <c r="B1418" s="15">
        <v>43</v>
      </c>
      <c r="C1418" s="15">
        <v>438</v>
      </c>
      <c r="D1418" s="15">
        <v>4384</v>
      </c>
      <c r="E1418" s="14">
        <v>4384</v>
      </c>
      <c r="F1418" s="16" t="s">
        <v>1858</v>
      </c>
      <c r="G1418" s="17"/>
      <c r="H1418" s="17"/>
      <c r="I1418" s="56">
        <v>0</v>
      </c>
      <c r="J1418" s="56"/>
      <c r="K1418" s="56"/>
      <c r="L1418" s="56"/>
      <c r="M1418" s="56"/>
      <c r="N1418" s="56"/>
      <c r="O1418" s="56"/>
      <c r="P1418" s="56"/>
      <c r="Q1418" s="56"/>
      <c r="R1418" s="56"/>
      <c r="S1418" s="53"/>
      <c r="T1418" s="33"/>
      <c r="U1418" s="18"/>
      <c r="V1418" s="19"/>
      <c r="W1418" s="18"/>
      <c r="X1418" s="18"/>
      <c r="Y1418" s="18" t="s">
        <v>679</v>
      </c>
      <c r="Z1418" s="19" t="str">
        <f>A1418 &amp; "-" &amp; VLOOKUP(A1418,[4]PROGRAMMES!$E$1:$F$7,2,FALSE)</f>
        <v>4-Réforme de l’enseignement supérieur et la recherche scientifique et de l'innovation</v>
      </c>
      <c r="AA1418" s="19" t="str">
        <f>B1418 &amp; "-" &amp; VLOOKUP(B1418,[4]SOUSPROGRAMMES!$E$1:$F$44,2,FALSE)</f>
        <v>43- Qualité de l’enseignement, de la formation et de la recherche scientifique</v>
      </c>
      <c r="AB1418" s="19" t="str">
        <f>C1418 &amp; "-" &amp; VLOOKUP(C1418,[4]RESULTATS!$E$1:$F$176,2,FALSE)</f>
        <v>438- Le niveau de productions scientifiques en quantité et qualité est amélioré et les résultats de la recherche scientifique et de l’innovation sont mieux capitalisés et valorisés</v>
      </c>
      <c r="AC1418" s="20" t="str">
        <f>D1418 &amp; "-" &amp; VLOOKUP(D1418,[4]STRATEGIES!$E$1:$F$504,2,FALSE)</f>
        <v>4384-Renforcement des moyens mis à la disposition des instituts de recherche</v>
      </c>
      <c r="AD1418" s="21" t="str">
        <f t="shared" si="217"/>
        <v>4384-Renforcement des moyens mis à la disposition des instituts de recherche</v>
      </c>
    </row>
    <row r="1419" spans="1:30" s="22" customFormat="1" ht="76.25" hidden="1" x14ac:dyDescent="0.8">
      <c r="A1419" s="14">
        <v>4</v>
      </c>
      <c r="B1419" s="15">
        <v>43</v>
      </c>
      <c r="C1419" s="15">
        <v>438</v>
      </c>
      <c r="D1419" s="15">
        <v>4384</v>
      </c>
      <c r="E1419" s="14">
        <v>43841</v>
      </c>
      <c r="F1419" s="16" t="s">
        <v>1859</v>
      </c>
      <c r="G1419" s="21" t="s">
        <v>1860</v>
      </c>
      <c r="H1419" s="17" t="s">
        <v>1840</v>
      </c>
      <c r="I1419" s="56">
        <v>0</v>
      </c>
      <c r="J1419" s="56">
        <v>0.95046241647964902</v>
      </c>
      <c r="K1419" s="56">
        <v>1.0930317789516</v>
      </c>
      <c r="L1419" s="56">
        <v>1.2569865457943401</v>
      </c>
      <c r="M1419" s="56">
        <f t="shared" si="215"/>
        <v>3.3004807412255888</v>
      </c>
      <c r="N1419" s="56">
        <f>IF(OR(H1419="",H1419="sif",H1419="PM"),0,VLOOKUP(H1419,[5]CU!$C$4:$H$255,6,FALSE))</f>
        <v>50737.009102769</v>
      </c>
      <c r="O1419" s="56">
        <f t="shared" si="216"/>
        <v>0</v>
      </c>
      <c r="P1419" s="56">
        <f t="shared" si="216"/>
        <v>48223.620276767775</v>
      </c>
      <c r="Q1419" s="56">
        <f t="shared" si="216"/>
        <v>55457.163318283121</v>
      </c>
      <c r="R1419" s="56">
        <f t="shared" si="216"/>
        <v>63775.737816025598</v>
      </c>
      <c r="S1419" s="53">
        <f>SUM(O1419:R1419)</f>
        <v>167456.52141107648</v>
      </c>
      <c r="T1419" s="35" t="s">
        <v>56</v>
      </c>
      <c r="U1419" s="18" t="s">
        <v>1696</v>
      </c>
      <c r="V1419" s="19" t="str">
        <f>IF(OR($H1419="",$H1419="sif",$H1419="PM"),"",VLOOKUP($H1419,[5]CU!$C$5:$J$255,8,FALSE))</f>
        <v>3. Dépenses de fonctionnement</v>
      </c>
      <c r="W1419" s="18" t="s">
        <v>1665</v>
      </c>
      <c r="X1419" s="18" t="s">
        <v>1607</v>
      </c>
      <c r="Y1419" s="18" t="s">
        <v>679</v>
      </c>
      <c r="Z1419" s="19" t="str">
        <f>A1419 &amp; "-" &amp; VLOOKUP(A1419,[4]PROGRAMMES!$E$1:$F$7,2,FALSE)</f>
        <v>4-Réforme de l’enseignement supérieur et la recherche scientifique et de l'innovation</v>
      </c>
      <c r="AA1419" s="19" t="str">
        <f>B1419 &amp; "-" &amp; VLOOKUP(B1419,[4]SOUSPROGRAMMES!$E$1:$F$44,2,FALSE)</f>
        <v>43- Qualité de l’enseignement, de la formation et de la recherche scientifique</v>
      </c>
      <c r="AB1419" s="19" t="str">
        <f>C1419 &amp; "-" &amp; VLOOKUP(C1419,[4]RESULTATS!$E$1:$F$176,2,FALSE)</f>
        <v>438- Le niveau de productions scientifiques en quantité et qualité est amélioré et les résultats de la recherche scientifique et de l’innovation sont mieux capitalisés et valorisés</v>
      </c>
      <c r="AC1419" s="20" t="str">
        <f>D1419 &amp; "-" &amp; VLOOKUP(D1419,[4]STRATEGIES!$E$1:$F$504,2,FALSE)</f>
        <v>4384-Renforcement des moyens mis à la disposition des instituts de recherche</v>
      </c>
      <c r="AD1419" s="21" t="str">
        <f t="shared" si="217"/>
        <v>43841-Dotation des IRS en moyens adéquats</v>
      </c>
    </row>
    <row r="1420" spans="1:30" s="22" customFormat="1" ht="45" customHeight="1" x14ac:dyDescent="0.8">
      <c r="A1420" s="14">
        <v>4</v>
      </c>
      <c r="B1420" s="15">
        <v>44</v>
      </c>
      <c r="C1420" s="15">
        <v>44</v>
      </c>
      <c r="D1420" s="15">
        <v>44</v>
      </c>
      <c r="E1420" s="14">
        <v>44</v>
      </c>
      <c r="F1420" s="16" t="s">
        <v>1861</v>
      </c>
      <c r="G1420" s="17"/>
      <c r="H1420" s="17"/>
      <c r="I1420" s="56">
        <v>0</v>
      </c>
      <c r="J1420" s="56"/>
      <c r="K1420" s="56"/>
      <c r="L1420" s="56"/>
      <c r="M1420" s="56"/>
      <c r="N1420" s="56"/>
      <c r="O1420" s="56"/>
      <c r="P1420" s="56"/>
      <c r="Q1420" s="56"/>
      <c r="R1420" s="56"/>
      <c r="S1420" s="53"/>
      <c r="T1420" s="33"/>
      <c r="U1420" s="18"/>
      <c r="V1420" s="19"/>
      <c r="W1420" s="18"/>
      <c r="X1420" s="18"/>
      <c r="Y1420" s="18" t="s">
        <v>679</v>
      </c>
      <c r="Z1420" s="19" t="str">
        <f>A1420 &amp; "-" &amp; VLOOKUP(A1420,[4]PROGRAMMES!$E$1:$F$7,2,FALSE)</f>
        <v>4-Réforme de l’enseignement supérieur et la recherche scientifique et de l'innovation</v>
      </c>
      <c r="AA1420" s="19" t="str">
        <f>B1420 &amp; "-" &amp; VLOOKUP(B1420,[4]SOUSPROGRAMMES!$E$1:$F$44,2,FALSE)</f>
        <v>44- Conditions de vie du personnel enseignant et de recherche (à reporter dans le programme gouvernance)</v>
      </c>
      <c r="AB1420" s="19" t="str">
        <f>C1420 &amp; "-" &amp; VLOOKUP(C1420,[4]RESULTATS!$E$1:$F$176,2,FALSE)</f>
        <v>44- Conditions de vie du personnel enseignant et de recherche (à reporter dans le programme gouvernance)</v>
      </c>
      <c r="AC1420" s="20" t="str">
        <f>D1420 &amp; "-" &amp; VLOOKUP(D1420,[4]STRATEGIES!$E$1:$F$504,2,FALSE)</f>
        <v>44- Conditions de vie du personnel enseignant et de recherche (à reporter dans le programme gouvernance)</v>
      </c>
      <c r="AD1420" s="21" t="str">
        <f t="shared" si="217"/>
        <v>44- Conditions de vie du personnel enseignant et de recherche (à reporter dans le programme gouvernance)</v>
      </c>
    </row>
    <row r="1421" spans="1:30" s="22" customFormat="1" ht="45" customHeight="1" x14ac:dyDescent="0.8">
      <c r="A1421" s="14">
        <v>4</v>
      </c>
      <c r="B1421" s="15">
        <v>44</v>
      </c>
      <c r="C1421" s="15">
        <v>441</v>
      </c>
      <c r="D1421" s="15">
        <v>441</v>
      </c>
      <c r="E1421" s="14">
        <v>441</v>
      </c>
      <c r="F1421" s="16" t="s">
        <v>1862</v>
      </c>
      <c r="G1421" s="17"/>
      <c r="H1421" s="17"/>
      <c r="I1421" s="56">
        <v>0</v>
      </c>
      <c r="J1421" s="56"/>
      <c r="K1421" s="56"/>
      <c r="L1421" s="56"/>
      <c r="M1421" s="56"/>
      <c r="N1421" s="56"/>
      <c r="O1421" s="56"/>
      <c r="P1421" s="56"/>
      <c r="Q1421" s="56"/>
      <c r="R1421" s="56"/>
      <c r="S1421" s="53"/>
      <c r="T1421" s="33"/>
      <c r="U1421" s="18"/>
      <c r="V1421" s="19"/>
      <c r="W1421" s="18"/>
      <c r="X1421" s="18"/>
      <c r="Y1421" s="18" t="s">
        <v>679</v>
      </c>
      <c r="Z1421" s="19" t="str">
        <f>A1421 &amp; "-" &amp; VLOOKUP(A1421,[4]PROGRAMMES!$E$1:$F$7,2,FALSE)</f>
        <v>4-Réforme de l’enseignement supérieur et la recherche scientifique et de l'innovation</v>
      </c>
      <c r="AA1421" s="19" t="str">
        <f>B1421 &amp; "-" &amp; VLOOKUP(B1421,[4]SOUSPROGRAMMES!$E$1:$F$44,2,FALSE)</f>
        <v>44- Conditions de vie du personnel enseignant et de recherche (à reporter dans le programme gouvernance)</v>
      </c>
      <c r="AB1421" s="19" t="str">
        <f>C1421 &amp; "-" &amp; VLOOKUP(C1421,[4]RESULTATS!$E$1:$F$176,2,FALSE)</f>
        <v>441- L’attractivité du métier d’enseignant-chercheur est relevée</v>
      </c>
      <c r="AC1421" s="20" t="str">
        <f>D1421 &amp; "-" &amp; VLOOKUP(D1421,[4]STRATEGIES!$E$1:$F$504,2,FALSE)</f>
        <v>441- L’attractivité du métier d’enseignant-chercheur est relevée</v>
      </c>
      <c r="AD1421" s="21" t="str">
        <f t="shared" si="217"/>
        <v>441- L’attractivité du métier d’enseignant-chercheur est relevée</v>
      </c>
    </row>
    <row r="1422" spans="1:30" s="22" customFormat="1" ht="45" customHeight="1" x14ac:dyDescent="0.8">
      <c r="A1422" s="14">
        <v>4</v>
      </c>
      <c r="B1422" s="15">
        <v>44</v>
      </c>
      <c r="C1422" s="15">
        <v>441</v>
      </c>
      <c r="D1422" s="15">
        <v>4411</v>
      </c>
      <c r="E1422" s="14">
        <v>4411</v>
      </c>
      <c r="F1422" s="16" t="s">
        <v>1863</v>
      </c>
      <c r="G1422" s="17"/>
      <c r="H1422" s="17"/>
      <c r="I1422" s="56">
        <v>0</v>
      </c>
      <c r="J1422" s="56"/>
      <c r="K1422" s="56"/>
      <c r="L1422" s="56"/>
      <c r="M1422" s="56"/>
      <c r="N1422" s="56"/>
      <c r="O1422" s="56"/>
      <c r="P1422" s="56"/>
      <c r="Q1422" s="56"/>
      <c r="R1422" s="56"/>
      <c r="S1422" s="53"/>
      <c r="T1422" s="33"/>
      <c r="U1422" s="18"/>
      <c r="V1422" s="19"/>
      <c r="W1422" s="18"/>
      <c r="X1422" s="18"/>
      <c r="Y1422" s="18" t="s">
        <v>679</v>
      </c>
      <c r="Z1422" s="19" t="str">
        <f>A1422 &amp; "-" &amp; VLOOKUP(A1422,[4]PROGRAMMES!$E$1:$F$7,2,FALSE)</f>
        <v>4-Réforme de l’enseignement supérieur et la recherche scientifique et de l'innovation</v>
      </c>
      <c r="AA1422" s="19" t="str">
        <f>B1422 &amp; "-" &amp; VLOOKUP(B1422,[4]SOUSPROGRAMMES!$E$1:$F$44,2,FALSE)</f>
        <v>44- Conditions de vie du personnel enseignant et de recherche (à reporter dans le programme gouvernance)</v>
      </c>
      <c r="AB1422" s="19" t="str">
        <f>C1422 &amp; "-" &amp; VLOOKUP(C1422,[4]RESULTATS!$E$1:$F$176,2,FALSE)</f>
        <v>441- L’attractivité du métier d’enseignant-chercheur est relevée</v>
      </c>
      <c r="AC1422" s="20" t="str">
        <f>D1422 &amp; "-" &amp; VLOOKUP(D1422,[4]STRATEGIES!$E$1:$F$504,2,FALSE)</f>
        <v>4411-Augmentation des primes allouées aux grades académiques</v>
      </c>
      <c r="AD1422" s="21" t="str">
        <f t="shared" si="217"/>
        <v>4411-Augmentation des primes allouées aux grades académiques</v>
      </c>
    </row>
    <row r="1423" spans="1:30" s="22" customFormat="1" ht="45" hidden="1" customHeight="1" x14ac:dyDescent="0.8">
      <c r="A1423" s="14">
        <v>4</v>
      </c>
      <c r="B1423" s="15">
        <v>44</v>
      </c>
      <c r="C1423" s="15">
        <v>441</v>
      </c>
      <c r="D1423" s="15">
        <v>4411</v>
      </c>
      <c r="E1423" s="14">
        <v>44111</v>
      </c>
      <c r="F1423" s="16" t="s">
        <v>1864</v>
      </c>
      <c r="G1423" s="21" t="s">
        <v>92</v>
      </c>
      <c r="H1423" s="17" t="s">
        <v>55</v>
      </c>
      <c r="I1423" s="56">
        <v>0</v>
      </c>
      <c r="J1423" s="56"/>
      <c r="K1423" s="56">
        <v>1</v>
      </c>
      <c r="L1423" s="56"/>
      <c r="M1423" s="56">
        <f t="shared" si="215"/>
        <v>1</v>
      </c>
      <c r="N1423" s="56">
        <f>IF(OR(H1423="",H1423="sif",H1423="PM"),0,VLOOKUP(H1423,[5]CU!$C$4:$H$255,6,FALSE))</f>
        <v>0</v>
      </c>
      <c r="O1423" s="56">
        <f t="shared" si="216"/>
        <v>0</v>
      </c>
      <c r="P1423" s="56">
        <f t="shared" si="216"/>
        <v>0</v>
      </c>
      <c r="Q1423" s="56">
        <f t="shared" si="216"/>
        <v>0</v>
      </c>
      <c r="R1423" s="56">
        <f t="shared" si="216"/>
        <v>0</v>
      </c>
      <c r="S1423" s="53"/>
      <c r="T1423" s="35" t="s">
        <v>56</v>
      </c>
      <c r="U1423" s="18" t="s">
        <v>1600</v>
      </c>
      <c r="V1423" s="19" t="str">
        <f>IF(OR($H1423="",$H1423="sif",$H1423="PM"),"",VLOOKUP($H1423,[5]CU!$C$5:$J$255,8,FALSE))</f>
        <v/>
      </c>
      <c r="W1423" s="18"/>
      <c r="X1423" s="18"/>
      <c r="Y1423" s="18" t="s">
        <v>679</v>
      </c>
      <c r="Z1423" s="19" t="str">
        <f>A1423 &amp; "-" &amp; VLOOKUP(A1423,[4]PROGRAMMES!$E$1:$F$7,2,FALSE)</f>
        <v>4-Réforme de l’enseignement supérieur et la recherche scientifique et de l'innovation</v>
      </c>
      <c r="AA1423" s="19" t="str">
        <f>B1423 &amp; "-" &amp; VLOOKUP(B1423,[4]SOUSPROGRAMMES!$E$1:$F$44,2,FALSE)</f>
        <v>44- Conditions de vie du personnel enseignant et de recherche (à reporter dans le programme gouvernance)</v>
      </c>
      <c r="AB1423" s="19" t="str">
        <f>C1423 &amp; "-" &amp; VLOOKUP(C1423,[4]RESULTATS!$E$1:$F$176,2,FALSE)</f>
        <v>441- L’attractivité du métier d’enseignant-chercheur est relevée</v>
      </c>
      <c r="AC1423" s="20" t="str">
        <f>D1423 &amp; "-" &amp; VLOOKUP(D1423,[4]STRATEGIES!$E$1:$F$504,2,FALSE)</f>
        <v>4411-Augmentation des primes allouées aux grades académiques</v>
      </c>
      <c r="AD1423" s="21" t="str">
        <f t="shared" si="217"/>
        <v>44111-Octroi de primes aux Professeurs/DR (dans salaires enseignants supérieur)</v>
      </c>
    </row>
    <row r="1424" spans="1:30" s="22" customFormat="1" ht="45" hidden="1" customHeight="1" x14ac:dyDescent="0.8">
      <c r="A1424" s="14">
        <v>4</v>
      </c>
      <c r="B1424" s="15">
        <v>44</v>
      </c>
      <c r="C1424" s="15">
        <v>441</v>
      </c>
      <c r="D1424" s="15">
        <v>4411</v>
      </c>
      <c r="E1424" s="14">
        <v>44112</v>
      </c>
      <c r="F1424" s="16" t="s">
        <v>1865</v>
      </c>
      <c r="G1424" s="21" t="s">
        <v>92</v>
      </c>
      <c r="H1424" s="17" t="s">
        <v>55</v>
      </c>
      <c r="I1424" s="56">
        <v>0</v>
      </c>
      <c r="J1424" s="56"/>
      <c r="K1424" s="56">
        <v>1</v>
      </c>
      <c r="L1424" s="56"/>
      <c r="M1424" s="56">
        <f t="shared" si="215"/>
        <v>1</v>
      </c>
      <c r="N1424" s="56">
        <f>IF(OR(H1424="",H1424="sif",H1424="PM"),0,VLOOKUP(H1424,[5]CU!$C$4:$H$255,6,FALSE))</f>
        <v>0</v>
      </c>
      <c r="O1424" s="56">
        <f t="shared" si="216"/>
        <v>0</v>
      </c>
      <c r="P1424" s="56">
        <f t="shared" si="216"/>
        <v>0</v>
      </c>
      <c r="Q1424" s="56">
        <f t="shared" si="216"/>
        <v>0</v>
      </c>
      <c r="R1424" s="56">
        <f t="shared" si="216"/>
        <v>0</v>
      </c>
      <c r="S1424" s="53"/>
      <c r="T1424" s="35" t="s">
        <v>56</v>
      </c>
      <c r="U1424" s="18" t="s">
        <v>1600</v>
      </c>
      <c r="V1424" s="19" t="str">
        <f>IF(OR($H1424="",$H1424="sif",$H1424="PM"),"",VLOOKUP($H1424,[5]CU!$C$5:$J$255,8,FALSE))</f>
        <v/>
      </c>
      <c r="W1424" s="18"/>
      <c r="X1424" s="18"/>
      <c r="Y1424" s="18" t="s">
        <v>679</v>
      </c>
      <c r="Z1424" s="19" t="str">
        <f>A1424 &amp; "-" &amp; VLOOKUP(A1424,[4]PROGRAMMES!$E$1:$F$7,2,FALSE)</f>
        <v>4-Réforme de l’enseignement supérieur et la recherche scientifique et de l'innovation</v>
      </c>
      <c r="AA1424" s="19" t="str">
        <f>B1424 &amp; "-" &amp; VLOOKUP(B1424,[4]SOUSPROGRAMMES!$E$1:$F$44,2,FALSE)</f>
        <v>44- Conditions de vie du personnel enseignant et de recherche (à reporter dans le programme gouvernance)</v>
      </c>
      <c r="AB1424" s="19" t="str">
        <f>C1424 &amp; "-" &amp; VLOOKUP(C1424,[4]RESULTATS!$E$1:$F$176,2,FALSE)</f>
        <v>441- L’attractivité du métier d’enseignant-chercheur est relevée</v>
      </c>
      <c r="AC1424" s="20" t="str">
        <f>D1424 &amp; "-" &amp; VLOOKUP(D1424,[4]STRATEGIES!$E$1:$F$504,2,FALSE)</f>
        <v>4411-Augmentation des primes allouées aux grades académiques</v>
      </c>
      <c r="AD1424" s="21" t="str">
        <f t="shared" si="217"/>
        <v>44112-Octroi de primes aux Maitres de conférence/MR (dans salaires enseignants supérieur)</v>
      </c>
    </row>
    <row r="1425" spans="1:30" s="22" customFormat="1" ht="45" hidden="1" customHeight="1" x14ac:dyDescent="0.8">
      <c r="A1425" s="14">
        <v>4</v>
      </c>
      <c r="B1425" s="15">
        <v>44</v>
      </c>
      <c r="C1425" s="15">
        <v>441</v>
      </c>
      <c r="D1425" s="15">
        <v>4411</v>
      </c>
      <c r="E1425" s="14">
        <v>44113</v>
      </c>
      <c r="F1425" s="16" t="s">
        <v>1866</v>
      </c>
      <c r="G1425" s="21" t="s">
        <v>92</v>
      </c>
      <c r="H1425" s="17" t="s">
        <v>55</v>
      </c>
      <c r="I1425" s="56">
        <v>0</v>
      </c>
      <c r="J1425" s="56"/>
      <c r="K1425" s="56">
        <v>1</v>
      </c>
      <c r="L1425" s="56"/>
      <c r="M1425" s="56">
        <f t="shared" si="215"/>
        <v>1</v>
      </c>
      <c r="N1425" s="56">
        <f>IF(OR(H1425="",H1425="sif",H1425="PM"),0,VLOOKUP(H1425,[5]CU!$C$4:$H$255,6,FALSE))</f>
        <v>0</v>
      </c>
      <c r="O1425" s="56">
        <f t="shared" si="216"/>
        <v>0</v>
      </c>
      <c r="P1425" s="56">
        <f t="shared" si="216"/>
        <v>0</v>
      </c>
      <c r="Q1425" s="56">
        <f t="shared" si="216"/>
        <v>0</v>
      </c>
      <c r="R1425" s="56">
        <f t="shared" si="216"/>
        <v>0</v>
      </c>
      <c r="S1425" s="53"/>
      <c r="T1425" s="35" t="s">
        <v>56</v>
      </c>
      <c r="U1425" s="18" t="s">
        <v>1600</v>
      </c>
      <c r="V1425" s="19" t="str">
        <f>IF(OR($H1425="",$H1425="sif",$H1425="PM"),"",VLOOKUP($H1425,[5]CU!$C$5:$J$255,8,FALSE))</f>
        <v/>
      </c>
      <c r="W1425" s="18"/>
      <c r="X1425" s="18"/>
      <c r="Y1425" s="18" t="s">
        <v>679</v>
      </c>
      <c r="Z1425" s="19" t="str">
        <f>A1425 &amp; "-" &amp; VLOOKUP(A1425,[4]PROGRAMMES!$E$1:$F$7,2,FALSE)</f>
        <v>4-Réforme de l’enseignement supérieur et la recherche scientifique et de l'innovation</v>
      </c>
      <c r="AA1425" s="19" t="str">
        <f>B1425 &amp; "-" &amp; VLOOKUP(B1425,[4]SOUSPROGRAMMES!$E$1:$F$44,2,FALSE)</f>
        <v>44- Conditions de vie du personnel enseignant et de recherche (à reporter dans le programme gouvernance)</v>
      </c>
      <c r="AB1425" s="19" t="str">
        <f>C1425 &amp; "-" &amp; VLOOKUP(C1425,[4]RESULTATS!$E$1:$F$176,2,FALSE)</f>
        <v>441- L’attractivité du métier d’enseignant-chercheur est relevée</v>
      </c>
      <c r="AC1425" s="20" t="str">
        <f>D1425 &amp; "-" &amp; VLOOKUP(D1425,[4]STRATEGIES!$E$1:$F$504,2,FALSE)</f>
        <v>4411-Augmentation des primes allouées aux grades académiques</v>
      </c>
      <c r="AD1425" s="21" t="str">
        <f t="shared" si="217"/>
        <v>44113-Octroi de primes aux maitres assistants/AR(dans salaires enseignants supérieur)</v>
      </c>
    </row>
    <row r="1426" spans="1:30" s="22" customFormat="1" ht="45" hidden="1" customHeight="1" x14ac:dyDescent="0.8">
      <c r="A1426" s="14">
        <v>4</v>
      </c>
      <c r="B1426" s="15">
        <v>44</v>
      </c>
      <c r="C1426" s="15">
        <v>441</v>
      </c>
      <c r="D1426" s="15">
        <v>4411</v>
      </c>
      <c r="E1426" s="14">
        <v>44114</v>
      </c>
      <c r="F1426" s="16" t="s">
        <v>1867</v>
      </c>
      <c r="G1426" s="21" t="s">
        <v>92</v>
      </c>
      <c r="H1426" s="17" t="s">
        <v>55</v>
      </c>
      <c r="I1426" s="56">
        <v>0</v>
      </c>
      <c r="J1426" s="56"/>
      <c r="K1426" s="56">
        <v>1</v>
      </c>
      <c r="L1426" s="56"/>
      <c r="M1426" s="56">
        <f t="shared" si="215"/>
        <v>1</v>
      </c>
      <c r="N1426" s="56">
        <f>IF(OR(H1426="",H1426="sif",H1426="PM"),0,VLOOKUP(H1426,[5]CU!$C$4:$H$255,6,FALSE))</f>
        <v>0</v>
      </c>
      <c r="O1426" s="56">
        <f t="shared" si="216"/>
        <v>0</v>
      </c>
      <c r="P1426" s="56">
        <f t="shared" si="216"/>
        <v>0</v>
      </c>
      <c r="Q1426" s="56">
        <f t="shared" si="216"/>
        <v>0</v>
      </c>
      <c r="R1426" s="56">
        <f t="shared" si="216"/>
        <v>0</v>
      </c>
      <c r="S1426" s="53"/>
      <c r="T1426" s="35" t="s">
        <v>56</v>
      </c>
      <c r="U1426" s="18" t="s">
        <v>1600</v>
      </c>
      <c r="V1426" s="19" t="str">
        <f>IF(OR($H1426="",$H1426="sif",$H1426="PM"),"",VLOOKUP($H1426,[5]CU!$C$5:$J$255,8,FALSE))</f>
        <v/>
      </c>
      <c r="W1426" s="18"/>
      <c r="X1426" s="18"/>
      <c r="Y1426" s="18" t="s">
        <v>679</v>
      </c>
      <c r="Z1426" s="19" t="str">
        <f>A1426 &amp; "-" &amp; VLOOKUP(A1426,[4]PROGRAMMES!$E$1:$F$7,2,FALSE)</f>
        <v>4-Réforme de l’enseignement supérieur et la recherche scientifique et de l'innovation</v>
      </c>
      <c r="AA1426" s="19" t="str">
        <f>B1426 &amp; "-" &amp; VLOOKUP(B1426,[4]SOUSPROGRAMMES!$E$1:$F$44,2,FALSE)</f>
        <v>44- Conditions de vie du personnel enseignant et de recherche (à reporter dans le programme gouvernance)</v>
      </c>
      <c r="AB1426" s="19" t="str">
        <f>C1426 &amp; "-" &amp; VLOOKUP(C1426,[4]RESULTATS!$E$1:$F$176,2,FALSE)</f>
        <v>441- L’attractivité du métier d’enseignant-chercheur est relevée</v>
      </c>
      <c r="AC1426" s="20" t="str">
        <f>D1426 &amp; "-" &amp; VLOOKUP(D1426,[4]STRATEGIES!$E$1:$F$504,2,FALSE)</f>
        <v>4411-Augmentation des primes allouées aux grades académiques</v>
      </c>
      <c r="AD1426" s="21" t="str">
        <f t="shared" si="217"/>
        <v>44114-Octroi de primes aux assistants/CR(dans salaires enseignants supérieur)</v>
      </c>
    </row>
    <row r="1427" spans="1:30" s="22" customFormat="1" ht="15" customHeight="1" x14ac:dyDescent="0.8">
      <c r="A1427" s="14">
        <v>5</v>
      </c>
      <c r="B1427" s="15">
        <v>5</v>
      </c>
      <c r="C1427" s="15">
        <v>5</v>
      </c>
      <c r="D1427" s="15">
        <v>5</v>
      </c>
      <c r="E1427" s="14">
        <v>5</v>
      </c>
      <c r="F1427" s="16" t="s">
        <v>1868</v>
      </c>
      <c r="G1427" s="17"/>
      <c r="H1427" s="17"/>
      <c r="I1427" s="56">
        <v>0</v>
      </c>
      <c r="J1427" s="56"/>
      <c r="K1427" s="56"/>
      <c r="L1427" s="56"/>
      <c r="M1427" s="56"/>
      <c r="N1427" s="56"/>
      <c r="O1427" s="56"/>
      <c r="P1427" s="56"/>
      <c r="Q1427" s="56"/>
      <c r="R1427" s="56"/>
      <c r="S1427" s="53"/>
      <c r="T1427" s="33"/>
      <c r="U1427" s="18"/>
      <c r="V1427" s="19"/>
      <c r="W1427" s="18"/>
      <c r="X1427" s="18"/>
      <c r="Y1427" s="18"/>
      <c r="Z1427" s="19" t="str">
        <f>A1427 &amp; "-" &amp; VLOOKUP(A1427,[4]PROGRAMMES!$E$1:$F$7,2,FALSE)</f>
        <v>5-Gouvernance et pilotage du secteur</v>
      </c>
      <c r="AA1427" s="19" t="str">
        <f>B1427 &amp; "-" &amp; VLOOKUP(B1427,[4]SOUSPROGRAMMES!$E$1:$F$44,2,FALSE)</f>
        <v>5-Gouvernance et pilotage du secteur</v>
      </c>
      <c r="AB1427" s="19" t="str">
        <f>C1427 &amp; "-" &amp; VLOOKUP(C1427,[4]RESULTATS!$E$1:$F$176,2,FALSE)</f>
        <v>5-Gouvernance et pilotage du secteur</v>
      </c>
      <c r="AC1427" s="20" t="str">
        <f>D1427 &amp; "-" &amp; VLOOKUP(D1427,[4]STRATEGIES!$E$1:$F$504,2,FALSE)</f>
        <v>5-Gouvernance et pilotage du secteur</v>
      </c>
      <c r="AD1427" s="21" t="str">
        <f t="shared" si="217"/>
        <v>5-Gouvernance et pilotage du secteur</v>
      </c>
    </row>
    <row r="1428" spans="1:30" s="22" customFormat="1" ht="30" customHeight="1" x14ac:dyDescent="0.8">
      <c r="A1428" s="14">
        <v>5</v>
      </c>
      <c r="B1428" s="15">
        <v>51</v>
      </c>
      <c r="C1428" s="15">
        <v>51</v>
      </c>
      <c r="D1428" s="15">
        <v>51</v>
      </c>
      <c r="E1428" s="14">
        <v>51</v>
      </c>
      <c r="F1428" s="16" t="s">
        <v>1869</v>
      </c>
      <c r="G1428" s="17"/>
      <c r="H1428" s="17"/>
      <c r="I1428" s="56">
        <v>0</v>
      </c>
      <c r="J1428" s="56"/>
      <c r="K1428" s="56"/>
      <c r="L1428" s="56"/>
      <c r="M1428" s="56"/>
      <c r="N1428" s="56"/>
      <c r="O1428" s="56"/>
      <c r="P1428" s="56"/>
      <c r="Q1428" s="56"/>
      <c r="R1428" s="56"/>
      <c r="S1428" s="53"/>
      <c r="T1428" s="33"/>
      <c r="U1428" s="18"/>
      <c r="V1428" s="19"/>
      <c r="W1428" s="18"/>
      <c r="X1428" s="18"/>
      <c r="Y1428" s="18"/>
      <c r="Z1428" s="19" t="str">
        <f>A1428 &amp; "-" &amp; VLOOKUP(A1428,[4]PROGRAMMES!$E$1:$F$7,2,FALSE)</f>
        <v>5-Gouvernance et pilotage du secteur</v>
      </c>
      <c r="AA1428" s="19" t="str">
        <f>B1428 &amp; "-" &amp; VLOOKUP(B1428,[4]SOUSPROGRAMMES!$E$1:$F$44,2,FALSE)</f>
        <v>51-Gestion des flux (mécanismes, orientations, et passerelles)</v>
      </c>
      <c r="AB1428" s="19" t="str">
        <f>C1428 &amp; "-" &amp; VLOOKUP(C1428,[4]RESULTATS!$E$1:$F$176,2,FALSE)</f>
        <v>51-Gestion des flux (mécanismes, orientations, et passerelles)</v>
      </c>
      <c r="AC1428" s="20" t="str">
        <f>D1428 &amp; "-" &amp; VLOOKUP(D1428,[4]STRATEGIES!$E$1:$F$504,2,FALSE)</f>
        <v>51-Gestion des flux (mécanismes, orientations, et passerelles)</v>
      </c>
      <c r="AD1428" s="21" t="str">
        <f t="shared" si="217"/>
        <v>51-Gestion des flux (mécanismes, orientations, et passerelles)</v>
      </c>
    </row>
    <row r="1429" spans="1:30" s="22" customFormat="1" ht="45" customHeight="1" x14ac:dyDescent="0.8">
      <c r="A1429" s="14">
        <v>5</v>
      </c>
      <c r="B1429" s="15">
        <v>51</v>
      </c>
      <c r="C1429" s="15">
        <v>511</v>
      </c>
      <c r="D1429" s="15">
        <v>511</v>
      </c>
      <c r="E1429" s="14">
        <v>511</v>
      </c>
      <c r="F1429" s="16" t="s">
        <v>1870</v>
      </c>
      <c r="G1429" s="17"/>
      <c r="H1429" s="17"/>
      <c r="I1429" s="56">
        <v>0</v>
      </c>
      <c r="J1429" s="56"/>
      <c r="K1429" s="56"/>
      <c r="L1429" s="56"/>
      <c r="M1429" s="56"/>
      <c r="N1429" s="56"/>
      <c r="O1429" s="56"/>
      <c r="P1429" s="56"/>
      <c r="Q1429" s="56"/>
      <c r="R1429" s="56"/>
      <c r="S1429" s="53"/>
      <c r="T1429" s="33"/>
      <c r="U1429" s="18"/>
      <c r="V1429" s="19"/>
      <c r="W1429" s="18"/>
      <c r="X1429" s="18"/>
      <c r="Y1429" s="18"/>
      <c r="Z1429" s="19" t="str">
        <f>A1429 &amp; "-" &amp; VLOOKUP(A1429,[4]PROGRAMMES!$E$1:$F$7,2,FALSE)</f>
        <v>5-Gouvernance et pilotage du secteur</v>
      </c>
      <c r="AA1429" s="19" t="str">
        <f>B1429 &amp; "-" &amp; VLOOKUP(B1429,[4]SOUSPROGRAMMES!$E$1:$F$44,2,FALSE)</f>
        <v>51-Gestion des flux (mécanismes, orientations, et passerelles)</v>
      </c>
      <c r="AB1429" s="19" t="str">
        <f>C1429 &amp; "-" &amp; VLOOKUP(C1429,[4]RESULTATS!$E$1:$F$176,2,FALSE)</f>
        <v>511-Les acteurs se sont appropriés les textes règlementaires et les manuels de procédure définissant la gestion des flux</v>
      </c>
      <c r="AC1429" s="20" t="str">
        <f>D1429 &amp; "-" &amp; VLOOKUP(D1429,[4]STRATEGIES!$E$1:$F$504,2,FALSE)</f>
        <v>511-Les acteurs se sont appropriés les textes règlementaires et les manuels de procédure définissant la gestion des flux</v>
      </c>
      <c r="AD1429" s="21" t="str">
        <f t="shared" si="217"/>
        <v>511-Les acteurs se sont appropriés les textes règlementaires et les manuels de procédure définissant la gestion des flux</v>
      </c>
    </row>
    <row r="1430" spans="1:30" s="22" customFormat="1" ht="45" customHeight="1" x14ac:dyDescent="0.8">
      <c r="A1430" s="14">
        <v>5</v>
      </c>
      <c r="B1430" s="15">
        <v>51</v>
      </c>
      <c r="C1430" s="15">
        <v>511</v>
      </c>
      <c r="D1430" s="15">
        <v>5111</v>
      </c>
      <c r="E1430" s="14">
        <v>5111</v>
      </c>
      <c r="F1430" s="16" t="s">
        <v>1871</v>
      </c>
      <c r="G1430" s="17"/>
      <c r="H1430" s="17"/>
      <c r="I1430" s="56">
        <v>0</v>
      </c>
      <c r="J1430" s="56"/>
      <c r="K1430" s="56"/>
      <c r="L1430" s="56"/>
      <c r="M1430" s="56"/>
      <c r="N1430" s="56"/>
      <c r="O1430" s="56"/>
      <c r="P1430" s="56"/>
      <c r="Q1430" s="56"/>
      <c r="R1430" s="56"/>
      <c r="S1430" s="53"/>
      <c r="T1430" s="33"/>
      <c r="U1430" s="18"/>
      <c r="V1430" s="19"/>
      <c r="W1430" s="18"/>
      <c r="X1430" s="18"/>
      <c r="Y1430" s="18"/>
      <c r="Z1430" s="19" t="str">
        <f>A1430 &amp; "-" &amp; VLOOKUP(A1430,[4]PROGRAMMES!$E$1:$F$7,2,FALSE)</f>
        <v>5-Gouvernance et pilotage du secteur</v>
      </c>
      <c r="AA1430" s="19" t="str">
        <f>B1430 &amp; "-" &amp; VLOOKUP(B1430,[4]SOUSPROGRAMMES!$E$1:$F$44,2,FALSE)</f>
        <v>51-Gestion des flux (mécanismes, orientations, et passerelles)</v>
      </c>
      <c r="AB1430" s="19" t="str">
        <f>C1430 &amp; "-" &amp; VLOOKUP(C1430,[4]RESULTATS!$E$1:$F$176,2,FALSE)</f>
        <v>511-Les acteurs se sont appropriés les textes règlementaires et les manuels de procédure définissant la gestion des flux</v>
      </c>
      <c r="AC1430" s="20" t="str">
        <f>D1430 &amp; "-" &amp; VLOOKUP(D1430,[4]STRATEGIES!$E$1:$F$504,2,FALSE)</f>
        <v>5111-Élaboration et validation des textes et des manuels de procédures</v>
      </c>
      <c r="AD1430" s="21" t="str">
        <f t="shared" si="217"/>
        <v>5111-Élaboration et validation des textes et des manuels de procédures</v>
      </c>
    </row>
    <row r="1431" spans="1:30" s="22" customFormat="1" ht="45" hidden="1" customHeight="1" x14ac:dyDescent="0.8">
      <c r="A1431" s="14">
        <v>5</v>
      </c>
      <c r="B1431" s="15">
        <v>51</v>
      </c>
      <c r="C1431" s="15">
        <v>511</v>
      </c>
      <c r="D1431" s="15">
        <v>5111</v>
      </c>
      <c r="E1431" s="14">
        <v>51111</v>
      </c>
      <c r="F1431" s="16" t="s">
        <v>1872</v>
      </c>
      <c r="G1431" s="21" t="s">
        <v>88</v>
      </c>
      <c r="H1431" s="17" t="s">
        <v>55</v>
      </c>
      <c r="I1431" s="56">
        <v>0</v>
      </c>
      <c r="J1431" s="56">
        <v>1</v>
      </c>
      <c r="K1431" s="56">
        <v>0</v>
      </c>
      <c r="L1431" s="56">
        <v>0</v>
      </c>
      <c r="M1431" s="56">
        <f t="shared" si="215"/>
        <v>1</v>
      </c>
      <c r="N1431" s="56">
        <f>IF(OR(H1431="",H1431="sif",H1431="PM"),0,VLOOKUP(H1431,[5]CU!$C$4:$H$255,6,FALSE))</f>
        <v>0</v>
      </c>
      <c r="O1431" s="56">
        <f t="shared" si="216"/>
        <v>0</v>
      </c>
      <c r="P1431" s="56">
        <f t="shared" si="216"/>
        <v>0</v>
      </c>
      <c r="Q1431" s="56">
        <f t="shared" si="216"/>
        <v>0</v>
      </c>
      <c r="R1431" s="56">
        <f t="shared" si="216"/>
        <v>0</v>
      </c>
      <c r="S1431" s="53"/>
      <c r="T1431" s="35" t="s">
        <v>56</v>
      </c>
      <c r="U1431" s="18" t="s">
        <v>1873</v>
      </c>
      <c r="V1431" s="19" t="str">
        <f>IF(OR($H1431="",$H1431="sif",$H1431="PM"),"",VLOOKUP($H1431,[5]CU!$C$5:$J$255,8,FALSE))</f>
        <v/>
      </c>
      <c r="W1431" s="18" t="s">
        <v>1874</v>
      </c>
      <c r="X1431" s="18" t="s">
        <v>1875</v>
      </c>
      <c r="Y1431" s="19" t="s">
        <v>32</v>
      </c>
      <c r="Z1431" s="19" t="str">
        <f>A1431 &amp; "-" &amp; VLOOKUP(A1431,[4]PROGRAMMES!$E$1:$F$7,2,FALSE)</f>
        <v>5-Gouvernance et pilotage du secteur</v>
      </c>
      <c r="AA1431" s="19" t="str">
        <f>B1431 &amp; "-" &amp; VLOOKUP(B1431,[4]SOUSPROGRAMMES!$E$1:$F$44,2,FALSE)</f>
        <v>51-Gestion des flux (mécanismes, orientations, et passerelles)</v>
      </c>
      <c r="AB1431" s="19" t="str">
        <f>C1431 &amp; "-" &amp; VLOOKUP(C1431,[4]RESULTATS!$E$1:$F$176,2,FALSE)</f>
        <v>511-Les acteurs se sont appropriés les textes règlementaires et les manuels de procédure définissant la gestion des flux</v>
      </c>
      <c r="AC1431" s="20" t="str">
        <f>D1431 &amp; "-" &amp; VLOOKUP(D1431,[4]STRATEGIES!$E$1:$F$504,2,FALSE)</f>
        <v>5111-Élaboration et validation des textes et des manuels de procédures</v>
      </c>
      <c r="AD1431" s="21" t="str">
        <f t="shared" si="217"/>
        <v>51111-Constitution d'une commission nationale chargée de réviser les textes</v>
      </c>
    </row>
    <row r="1432" spans="1:30" s="22" customFormat="1" ht="45" hidden="1" customHeight="1" x14ac:dyDescent="0.8">
      <c r="A1432" s="14">
        <v>5</v>
      </c>
      <c r="B1432" s="15">
        <v>51</v>
      </c>
      <c r="C1432" s="15">
        <v>511</v>
      </c>
      <c r="D1432" s="15">
        <v>5111</v>
      </c>
      <c r="E1432" s="14">
        <v>51112</v>
      </c>
      <c r="F1432" s="16" t="s">
        <v>1876</v>
      </c>
      <c r="G1432" s="21" t="s">
        <v>447</v>
      </c>
      <c r="H1432" s="17" t="s">
        <v>66</v>
      </c>
      <c r="I1432" s="56">
        <v>0</v>
      </c>
      <c r="J1432" s="56">
        <f>20*7*1</f>
        <v>140</v>
      </c>
      <c r="K1432" s="56">
        <f>0*35*7</f>
        <v>0</v>
      </c>
      <c r="L1432" s="56">
        <f>0*35*7</f>
        <v>0</v>
      </c>
      <c r="M1432" s="56">
        <f t="shared" si="215"/>
        <v>140</v>
      </c>
      <c r="N1432" s="56">
        <f>IF(OR(H1432="",H1432="sif",H1432="PM"),0,VLOOKUP(H1432,[5]CU!$C$4:$H$255,6,FALSE))</f>
        <v>0.255</v>
      </c>
      <c r="O1432" s="56">
        <f t="shared" si="216"/>
        <v>0</v>
      </c>
      <c r="P1432" s="56">
        <f t="shared" si="216"/>
        <v>35.700000000000003</v>
      </c>
      <c r="Q1432" s="56">
        <f t="shared" si="216"/>
        <v>0</v>
      </c>
      <c r="R1432" s="56">
        <f t="shared" si="216"/>
        <v>0</v>
      </c>
      <c r="S1432" s="53">
        <f>SUM(O1432:R1432)</f>
        <v>35.700000000000003</v>
      </c>
      <c r="T1432" s="35" t="s">
        <v>56</v>
      </c>
      <c r="U1432" s="18" t="s">
        <v>1873</v>
      </c>
      <c r="V1432" s="19" t="str">
        <f>IF(OR($H1432="",$H1432="sif",$H1432="PM"),"",VLOOKUP($H1432,[5]CU!$C$5:$J$255,8,FALSE))</f>
        <v>3. Dépenses de fonctionnement</v>
      </c>
      <c r="W1432" s="18" t="s">
        <v>1877</v>
      </c>
      <c r="X1432" s="18" t="s">
        <v>1091</v>
      </c>
      <c r="Y1432" s="19" t="s">
        <v>32</v>
      </c>
      <c r="Z1432" s="19" t="str">
        <f>A1432 &amp; "-" &amp; VLOOKUP(A1432,[4]PROGRAMMES!$E$1:$F$7,2,FALSE)</f>
        <v>5-Gouvernance et pilotage du secteur</v>
      </c>
      <c r="AA1432" s="19" t="str">
        <f>B1432 &amp; "-" &amp; VLOOKUP(B1432,[4]SOUSPROGRAMMES!$E$1:$F$44,2,FALSE)</f>
        <v>51-Gestion des flux (mécanismes, orientations, et passerelles)</v>
      </c>
      <c r="AB1432" s="19" t="str">
        <f>C1432 &amp; "-" &amp; VLOOKUP(C1432,[4]RESULTATS!$E$1:$F$176,2,FALSE)</f>
        <v>511-Les acteurs se sont appropriés les textes règlementaires et les manuels de procédure définissant la gestion des flux</v>
      </c>
      <c r="AC1432" s="20" t="str">
        <f>D1432 &amp; "-" &amp; VLOOKUP(D1432,[4]STRATEGIES!$E$1:$F$504,2,FALSE)</f>
        <v>5111-Élaboration et validation des textes et des manuels de procédures</v>
      </c>
      <c r="AD1432" s="21" t="str">
        <f t="shared" si="217"/>
        <v xml:space="preserve">51112-Organisation d'un atelier pour l'élaboration des projets de textes </v>
      </c>
    </row>
    <row r="1433" spans="1:30" s="22" customFormat="1" ht="45" hidden="1" customHeight="1" x14ac:dyDescent="0.8">
      <c r="A1433" s="14">
        <v>5</v>
      </c>
      <c r="B1433" s="15">
        <v>51</v>
      </c>
      <c r="C1433" s="15">
        <v>511</v>
      </c>
      <c r="D1433" s="15">
        <v>5111</v>
      </c>
      <c r="E1433" s="14">
        <v>51113</v>
      </c>
      <c r="F1433" s="16" t="s">
        <v>1584</v>
      </c>
      <c r="G1433" s="21" t="s">
        <v>37</v>
      </c>
      <c r="H1433" s="17" t="s">
        <v>38</v>
      </c>
      <c r="I1433" s="56">
        <v>0</v>
      </c>
      <c r="J1433" s="56">
        <f>60*1*1</f>
        <v>60</v>
      </c>
      <c r="K1433" s="56">
        <f>0*3*60</f>
        <v>0</v>
      </c>
      <c r="L1433" s="56">
        <f>0*3*60</f>
        <v>0</v>
      </c>
      <c r="M1433" s="56">
        <f t="shared" si="215"/>
        <v>60</v>
      </c>
      <c r="N1433" s="56">
        <f>IF(OR(H1433="",H1433="sif",H1433="PM"),0,VLOOKUP(H1433,[5]CU!$C$4:$H$255,6,FALSE))</f>
        <v>0.3133333333333333</v>
      </c>
      <c r="O1433" s="56">
        <f t="shared" si="216"/>
        <v>0</v>
      </c>
      <c r="P1433" s="56">
        <f t="shared" si="216"/>
        <v>18.799999999999997</v>
      </c>
      <c r="Q1433" s="56">
        <f t="shared" si="216"/>
        <v>0</v>
      </c>
      <c r="R1433" s="56">
        <f t="shared" si="216"/>
        <v>0</v>
      </c>
      <c r="S1433" s="53">
        <f>SUM(O1433:R1433)</f>
        <v>18.799999999999997</v>
      </c>
      <c r="T1433" s="35" t="s">
        <v>56</v>
      </c>
      <c r="U1433" s="18" t="s">
        <v>1873</v>
      </c>
      <c r="V1433" s="19" t="str">
        <f>IF(OR($H1433="",$H1433="sif",$H1433="PM"),"",VLOOKUP($H1433,[5]CU!$C$5:$J$255,8,FALSE))</f>
        <v>3. Formation</v>
      </c>
      <c r="W1433" s="18" t="s">
        <v>255</v>
      </c>
      <c r="X1433" s="18" t="s">
        <v>1091</v>
      </c>
      <c r="Y1433" s="19" t="s">
        <v>32</v>
      </c>
      <c r="Z1433" s="19" t="str">
        <f>A1433 &amp; "-" &amp; VLOOKUP(A1433,[4]PROGRAMMES!$E$1:$F$7,2,FALSE)</f>
        <v>5-Gouvernance et pilotage du secteur</v>
      </c>
      <c r="AA1433" s="19" t="str">
        <f>B1433 &amp; "-" &amp; VLOOKUP(B1433,[4]SOUSPROGRAMMES!$E$1:$F$44,2,FALSE)</f>
        <v>51-Gestion des flux (mécanismes, orientations, et passerelles)</v>
      </c>
      <c r="AB1433" s="19" t="str">
        <f>C1433 &amp; "-" &amp; VLOOKUP(C1433,[4]RESULTATS!$E$1:$F$176,2,FALSE)</f>
        <v>511-Les acteurs se sont appropriés les textes règlementaires et les manuels de procédure définissant la gestion des flux</v>
      </c>
      <c r="AC1433" s="20" t="str">
        <f>D1433 &amp; "-" &amp; VLOOKUP(D1433,[4]STRATEGIES!$E$1:$F$504,2,FALSE)</f>
        <v>5111-Élaboration et validation des textes et des manuels de procédures</v>
      </c>
      <c r="AD1433" s="21" t="str">
        <f t="shared" si="217"/>
        <v>51113-Validation des textes</v>
      </c>
    </row>
    <row r="1434" spans="1:30" s="22" customFormat="1" ht="45" hidden="1" customHeight="1" x14ac:dyDescent="0.8">
      <c r="A1434" s="14">
        <v>5</v>
      </c>
      <c r="B1434" s="15">
        <v>51</v>
      </c>
      <c r="C1434" s="15">
        <v>511</v>
      </c>
      <c r="D1434" s="15">
        <v>5111</v>
      </c>
      <c r="E1434" s="14">
        <v>51114</v>
      </c>
      <c r="F1434" s="16" t="s">
        <v>1878</v>
      </c>
      <c r="G1434" s="21" t="s">
        <v>1879</v>
      </c>
      <c r="H1434" s="17" t="s">
        <v>55</v>
      </c>
      <c r="I1434" s="56">
        <v>0</v>
      </c>
      <c r="J1434" s="56">
        <v>1</v>
      </c>
      <c r="K1434" s="56">
        <v>0</v>
      </c>
      <c r="L1434" s="56">
        <v>0</v>
      </c>
      <c r="M1434" s="56">
        <f t="shared" si="215"/>
        <v>1</v>
      </c>
      <c r="N1434" s="56">
        <f>IF(OR(H1434="",H1434="sif",H1434="PM"),0,VLOOKUP(H1434,[5]CU!$C$4:$H$255,6,FALSE))</f>
        <v>0</v>
      </c>
      <c r="O1434" s="56">
        <f t="shared" si="216"/>
        <v>0</v>
      </c>
      <c r="P1434" s="56">
        <f t="shared" si="216"/>
        <v>0</v>
      </c>
      <c r="Q1434" s="56">
        <f t="shared" si="216"/>
        <v>0</v>
      </c>
      <c r="R1434" s="56">
        <f t="shared" si="216"/>
        <v>0</v>
      </c>
      <c r="S1434" s="53"/>
      <c r="T1434" s="35" t="s">
        <v>56</v>
      </c>
      <c r="U1434" s="18" t="s">
        <v>1873</v>
      </c>
      <c r="V1434" s="19" t="str">
        <f>IF(OR($H1434="",$H1434="sif",$H1434="PM"),"",VLOOKUP($H1434,[5]CU!$C$5:$J$255,8,FALSE))</f>
        <v/>
      </c>
      <c r="W1434" s="18" t="s">
        <v>255</v>
      </c>
      <c r="X1434" s="18" t="s">
        <v>1091</v>
      </c>
      <c r="Y1434" s="19" t="s">
        <v>32</v>
      </c>
      <c r="Z1434" s="19" t="str">
        <f>A1434 &amp; "-" &amp; VLOOKUP(A1434,[4]PROGRAMMES!$E$1:$F$7,2,FALSE)</f>
        <v>5-Gouvernance et pilotage du secteur</v>
      </c>
      <c r="AA1434" s="19" t="str">
        <f>B1434 &amp; "-" &amp; VLOOKUP(B1434,[4]SOUSPROGRAMMES!$E$1:$F$44,2,FALSE)</f>
        <v>51-Gestion des flux (mécanismes, orientations, et passerelles)</v>
      </c>
      <c r="AB1434" s="19" t="str">
        <f>C1434 &amp; "-" &amp; VLOOKUP(C1434,[4]RESULTATS!$E$1:$F$176,2,FALSE)</f>
        <v>511-Les acteurs se sont appropriés les textes règlementaires et les manuels de procédure définissant la gestion des flux</v>
      </c>
      <c r="AC1434" s="20" t="str">
        <f>D1434 &amp; "-" &amp; VLOOKUP(D1434,[4]STRATEGIES!$E$1:$F$504,2,FALSE)</f>
        <v>5111-Élaboration et validation des textes et des manuels de procédures</v>
      </c>
      <c r="AD1434" s="21" t="str">
        <f t="shared" si="217"/>
        <v>51114-Adoption des textes</v>
      </c>
    </row>
    <row r="1435" spans="1:30" s="22" customFormat="1" ht="45" customHeight="1" x14ac:dyDescent="0.8">
      <c r="A1435" s="14">
        <v>5</v>
      </c>
      <c r="B1435" s="15">
        <v>51</v>
      </c>
      <c r="C1435" s="15">
        <v>511</v>
      </c>
      <c r="D1435" s="15">
        <v>5112</v>
      </c>
      <c r="E1435" s="14">
        <v>5112</v>
      </c>
      <c r="F1435" s="16" t="s">
        <v>1880</v>
      </c>
      <c r="G1435" s="17"/>
      <c r="H1435" s="17"/>
      <c r="I1435" s="56">
        <v>0</v>
      </c>
      <c r="J1435" s="56"/>
      <c r="K1435" s="56"/>
      <c r="L1435" s="56"/>
      <c r="M1435" s="56"/>
      <c r="N1435" s="56"/>
      <c r="O1435" s="56"/>
      <c r="P1435" s="56"/>
      <c r="Q1435" s="56"/>
      <c r="R1435" s="56"/>
      <c r="S1435" s="53"/>
      <c r="T1435" s="33"/>
      <c r="U1435" s="18"/>
      <c r="V1435" s="19"/>
      <c r="W1435" s="18"/>
      <c r="X1435" s="18"/>
      <c r="Y1435" s="18"/>
      <c r="Z1435" s="19" t="str">
        <f>A1435 &amp; "-" &amp; VLOOKUP(A1435,[4]PROGRAMMES!$E$1:$F$7,2,FALSE)</f>
        <v>5-Gouvernance et pilotage du secteur</v>
      </c>
      <c r="AA1435" s="19" t="str">
        <f>B1435 &amp; "-" &amp; VLOOKUP(B1435,[4]SOUSPROGRAMMES!$E$1:$F$44,2,FALSE)</f>
        <v>51-Gestion des flux (mécanismes, orientations, et passerelles)</v>
      </c>
      <c r="AB1435" s="19" t="str">
        <f>C1435 &amp; "-" &amp; VLOOKUP(C1435,[4]RESULTATS!$E$1:$F$176,2,FALSE)</f>
        <v>511-Les acteurs se sont appropriés les textes règlementaires et les manuels de procédure définissant la gestion des flux</v>
      </c>
      <c r="AC1435" s="20" t="str">
        <f>D1435 &amp; "-" &amp; VLOOKUP(D1435,[4]STRATEGIES!$E$1:$F$504,2,FALSE)</f>
        <v>5112-Formation des acteurs de mise en œuvre des textes et des manuels de procédures</v>
      </c>
      <c r="AD1435" s="21" t="str">
        <f t="shared" si="217"/>
        <v>5112-Formation des acteurs de mise en œuvre des textes et des manuels de procédures</v>
      </c>
    </row>
    <row r="1436" spans="1:30" s="22" customFormat="1" ht="45" hidden="1" customHeight="1" x14ac:dyDescent="0.8">
      <c r="A1436" s="14">
        <v>5</v>
      </c>
      <c r="B1436" s="15">
        <v>51</v>
      </c>
      <c r="C1436" s="15">
        <v>511</v>
      </c>
      <c r="D1436" s="15">
        <v>5112</v>
      </c>
      <c r="E1436" s="14">
        <v>51121</v>
      </c>
      <c r="F1436" s="16" t="s">
        <v>1881</v>
      </c>
      <c r="G1436" s="21" t="s">
        <v>37</v>
      </c>
      <c r="H1436" s="17" t="s">
        <v>301</v>
      </c>
      <c r="I1436" s="56">
        <v>0</v>
      </c>
      <c r="J1436" s="56"/>
      <c r="K1436" s="56">
        <f>50*3*8</f>
        <v>1200</v>
      </c>
      <c r="L1436" s="56"/>
      <c r="M1436" s="56">
        <f t="shared" si="215"/>
        <v>1200</v>
      </c>
      <c r="N1436" s="56">
        <f>IF(OR(H1436="",H1436="sif",H1436="PM"),0,VLOOKUP(H1436,[5]CU!$C$4:$H$255,6,FALSE))</f>
        <v>0.67666666666666664</v>
      </c>
      <c r="O1436" s="56">
        <f t="shared" si="216"/>
        <v>0</v>
      </c>
      <c r="P1436" s="56">
        <f t="shared" si="216"/>
        <v>0</v>
      </c>
      <c r="Q1436" s="56">
        <f t="shared" si="216"/>
        <v>812</v>
      </c>
      <c r="R1436" s="56">
        <f t="shared" si="216"/>
        <v>0</v>
      </c>
      <c r="S1436" s="53">
        <f>SUM(O1436:R1436)</f>
        <v>812</v>
      </c>
      <c r="T1436" s="35" t="s">
        <v>56</v>
      </c>
      <c r="U1436" s="18" t="s">
        <v>1873</v>
      </c>
      <c r="V1436" s="19" t="str">
        <f>IF(OR($H1436="",$H1436="sif",$H1436="PM"),"",VLOOKUP($H1436,[5]CU!$C$5:$J$255,8,FALSE))</f>
        <v>3. Formation</v>
      </c>
      <c r="W1436" s="18" t="s">
        <v>1091</v>
      </c>
      <c r="X1436" s="18" t="s">
        <v>1091</v>
      </c>
      <c r="Y1436" s="19" t="s">
        <v>32</v>
      </c>
      <c r="Z1436" s="19" t="str">
        <f>A1436 &amp; "-" &amp; VLOOKUP(A1436,[4]PROGRAMMES!$E$1:$F$7,2,FALSE)</f>
        <v>5-Gouvernance et pilotage du secteur</v>
      </c>
      <c r="AA1436" s="19" t="str">
        <f>B1436 &amp; "-" &amp; VLOOKUP(B1436,[4]SOUSPROGRAMMES!$E$1:$F$44,2,FALSE)</f>
        <v>51-Gestion des flux (mécanismes, orientations, et passerelles)</v>
      </c>
      <c r="AB1436" s="19" t="str">
        <f>C1436 &amp; "-" &amp; VLOOKUP(C1436,[4]RESULTATS!$E$1:$F$176,2,FALSE)</f>
        <v>511-Les acteurs se sont appropriés les textes règlementaires et les manuels de procédure définissant la gestion des flux</v>
      </c>
      <c r="AC1436" s="20" t="str">
        <f>D1436 &amp; "-" &amp; VLOOKUP(D1436,[4]STRATEGIES!$E$1:$F$504,2,FALSE)</f>
        <v>5112-Formation des acteurs de mise en œuvre des textes et des manuels de procédures</v>
      </c>
      <c r="AD1436" s="21" t="str">
        <f t="shared" si="217"/>
        <v>51121-Organisation de sessions de formations des acteurs de mise en œuvre et diffusion des nouveaux textes (SNECSO, IRE, DPE/DCE/Etablissements)</v>
      </c>
    </row>
    <row r="1437" spans="1:30" s="22" customFormat="1" ht="45" customHeight="1" x14ac:dyDescent="0.8">
      <c r="A1437" s="14">
        <v>5</v>
      </c>
      <c r="B1437" s="15">
        <v>51</v>
      </c>
      <c r="C1437" s="15">
        <v>511</v>
      </c>
      <c r="D1437" s="15">
        <v>5113</v>
      </c>
      <c r="E1437" s="14">
        <v>5113</v>
      </c>
      <c r="F1437" s="16" t="s">
        <v>1882</v>
      </c>
      <c r="G1437" s="17"/>
      <c r="H1437" s="17"/>
      <c r="I1437" s="56">
        <v>0</v>
      </c>
      <c r="J1437" s="56"/>
      <c r="K1437" s="56"/>
      <c r="L1437" s="56"/>
      <c r="M1437" s="56"/>
      <c r="N1437" s="56"/>
      <c r="O1437" s="56"/>
      <c r="P1437" s="56"/>
      <c r="Q1437" s="56"/>
      <c r="R1437" s="56"/>
      <c r="S1437" s="53"/>
      <c r="T1437" s="33"/>
      <c r="U1437" s="18"/>
      <c r="V1437" s="19"/>
      <c r="W1437" s="18"/>
      <c r="X1437" s="18"/>
      <c r="Y1437" s="18"/>
      <c r="Z1437" s="19" t="str">
        <f>A1437 &amp; "-" &amp; VLOOKUP(A1437,[4]PROGRAMMES!$E$1:$F$7,2,FALSE)</f>
        <v>5-Gouvernance et pilotage du secteur</v>
      </c>
      <c r="AA1437" s="19" t="str">
        <f>B1437 &amp; "-" &amp; VLOOKUP(B1437,[4]SOUSPROGRAMMES!$E$1:$F$44,2,FALSE)</f>
        <v>51-Gestion des flux (mécanismes, orientations, et passerelles)</v>
      </c>
      <c r="AB1437" s="19" t="str">
        <f>C1437 &amp; "-" &amp; VLOOKUP(C1437,[4]RESULTATS!$E$1:$F$176,2,FALSE)</f>
        <v>511-Les acteurs se sont appropriés les textes règlementaires et les manuels de procédure définissant la gestion des flux</v>
      </c>
      <c r="AC1437" s="20" t="str">
        <f>D1437 &amp; "-" &amp; VLOOKUP(D1437,[4]STRATEGIES!$E$1:$F$504,2,FALSE)</f>
        <v>5113-Suivi de la mise en œuvre des textes et manuels de procédures</v>
      </c>
      <c r="AD1437" s="21" t="str">
        <f t="shared" si="217"/>
        <v>5113-Suivi de la mise en œuvre des textes et manuels de procédures</v>
      </c>
    </row>
    <row r="1438" spans="1:30" s="22" customFormat="1" ht="45" hidden="1" customHeight="1" x14ac:dyDescent="0.8">
      <c r="A1438" s="14">
        <v>5</v>
      </c>
      <c r="B1438" s="15">
        <v>51</v>
      </c>
      <c r="C1438" s="15">
        <v>511</v>
      </c>
      <c r="D1438" s="15">
        <v>5113</v>
      </c>
      <c r="E1438" s="14">
        <v>51131</v>
      </c>
      <c r="F1438" s="16" t="s">
        <v>1883</v>
      </c>
      <c r="G1438" s="21" t="s">
        <v>321</v>
      </c>
      <c r="H1438" s="17" t="s">
        <v>55</v>
      </c>
      <c r="I1438" s="56">
        <v>0</v>
      </c>
      <c r="J1438" s="56">
        <v>0</v>
      </c>
      <c r="K1438" s="56">
        <v>1</v>
      </c>
      <c r="L1438" s="56">
        <v>0</v>
      </c>
      <c r="M1438" s="56">
        <f t="shared" si="215"/>
        <v>1</v>
      </c>
      <c r="N1438" s="56">
        <f>IF(OR(H1438="",H1438="sif",H1438="PM"),0,VLOOKUP(H1438,[5]CU!$C$4:$H$255,6,FALSE))</f>
        <v>0</v>
      </c>
      <c r="O1438" s="56">
        <f t="shared" si="216"/>
        <v>0</v>
      </c>
      <c r="P1438" s="56">
        <f t="shared" si="216"/>
        <v>0</v>
      </c>
      <c r="Q1438" s="56">
        <f t="shared" si="216"/>
        <v>0</v>
      </c>
      <c r="R1438" s="56">
        <f t="shared" si="216"/>
        <v>0</v>
      </c>
      <c r="S1438" s="53"/>
      <c r="T1438" s="35" t="s">
        <v>56</v>
      </c>
      <c r="U1438" s="18" t="s">
        <v>1873</v>
      </c>
      <c r="V1438" s="19" t="str">
        <f>IF(OR($H1438="",$H1438="sif",$H1438="PM"),"",VLOOKUP($H1438,[5]CU!$C$5:$J$255,8,FALSE))</f>
        <v/>
      </c>
      <c r="W1438" s="18" t="s">
        <v>254</v>
      </c>
      <c r="X1438" s="18" t="s">
        <v>255</v>
      </c>
      <c r="Y1438" s="19" t="s">
        <v>32</v>
      </c>
      <c r="Z1438" s="19" t="str">
        <f>A1438 &amp; "-" &amp; VLOOKUP(A1438,[4]PROGRAMMES!$E$1:$F$7,2,FALSE)</f>
        <v>5-Gouvernance et pilotage du secteur</v>
      </c>
      <c r="AA1438" s="19" t="str">
        <f>B1438 &amp; "-" &amp; VLOOKUP(B1438,[4]SOUSPROGRAMMES!$E$1:$F$44,2,FALSE)</f>
        <v>51-Gestion des flux (mécanismes, orientations, et passerelles)</v>
      </c>
      <c r="AB1438" s="19" t="str">
        <f>C1438 &amp; "-" &amp; VLOOKUP(C1438,[4]RESULTATS!$E$1:$F$176,2,FALSE)</f>
        <v>511-Les acteurs se sont appropriés les textes règlementaires et les manuels de procédure définissant la gestion des flux</v>
      </c>
      <c r="AC1438" s="20" t="str">
        <f>D1438 &amp; "-" &amp; VLOOKUP(D1438,[4]STRATEGIES!$E$1:$F$504,2,FALSE)</f>
        <v>5113-Suivi de la mise en œuvre des textes et manuels de procédures</v>
      </c>
      <c r="AD1438" s="21" t="str">
        <f t="shared" si="217"/>
        <v>51131-Mise en place d'une commission nationale d'orientation</v>
      </c>
    </row>
    <row r="1439" spans="1:30" s="22" customFormat="1" ht="45" hidden="1" customHeight="1" x14ac:dyDescent="0.8">
      <c r="A1439" s="14">
        <v>5</v>
      </c>
      <c r="B1439" s="15">
        <v>51</v>
      </c>
      <c r="C1439" s="15">
        <v>511</v>
      </c>
      <c r="D1439" s="15">
        <v>5113</v>
      </c>
      <c r="E1439" s="14">
        <v>51132</v>
      </c>
      <c r="F1439" s="16" t="s">
        <v>1884</v>
      </c>
      <c r="G1439" s="21" t="s">
        <v>37</v>
      </c>
      <c r="H1439" s="17" t="s">
        <v>66</v>
      </c>
      <c r="I1439" s="56">
        <v>0</v>
      </c>
      <c r="J1439" s="56">
        <f t="shared" ref="J1439:L1441" si="218">20*3</f>
        <v>60</v>
      </c>
      <c r="K1439" s="56">
        <f t="shared" si="218"/>
        <v>60</v>
      </c>
      <c r="L1439" s="56">
        <f t="shared" si="218"/>
        <v>60</v>
      </c>
      <c r="M1439" s="56">
        <f t="shared" si="215"/>
        <v>180</v>
      </c>
      <c r="N1439" s="56">
        <f>IF(OR(H1439="",H1439="sif",H1439="PM"),0,VLOOKUP(H1439,[5]CU!$C$4:$H$255,6,FALSE))</f>
        <v>0.255</v>
      </c>
      <c r="O1439" s="56">
        <f t="shared" si="216"/>
        <v>0</v>
      </c>
      <c r="P1439" s="56">
        <f t="shared" si="216"/>
        <v>15.3</v>
      </c>
      <c r="Q1439" s="56">
        <f t="shared" si="216"/>
        <v>15.3</v>
      </c>
      <c r="R1439" s="56">
        <f t="shared" si="216"/>
        <v>15.3</v>
      </c>
      <c r="S1439" s="53">
        <f>SUM(O1439:R1439)</f>
        <v>45.900000000000006</v>
      </c>
      <c r="T1439" s="35" t="s">
        <v>56</v>
      </c>
      <c r="U1439" s="18" t="s">
        <v>1873</v>
      </c>
      <c r="V1439" s="19" t="str">
        <f>IF(OR($H1439="",$H1439="sif",$H1439="PM"),"",VLOOKUP($H1439,[5]CU!$C$5:$J$255,8,FALSE))</f>
        <v>3. Dépenses de fonctionnement</v>
      </c>
      <c r="W1439" s="18" t="s">
        <v>255</v>
      </c>
      <c r="X1439" s="18" t="s">
        <v>1091</v>
      </c>
      <c r="Y1439" s="19" t="s">
        <v>32</v>
      </c>
      <c r="Z1439" s="19" t="str">
        <f>A1439 &amp; "-" &amp; VLOOKUP(A1439,[4]PROGRAMMES!$E$1:$F$7,2,FALSE)</f>
        <v>5-Gouvernance et pilotage du secteur</v>
      </c>
      <c r="AA1439" s="19" t="str">
        <f>B1439 &amp; "-" &amp; VLOOKUP(B1439,[4]SOUSPROGRAMMES!$E$1:$F$44,2,FALSE)</f>
        <v>51-Gestion des flux (mécanismes, orientations, et passerelles)</v>
      </c>
      <c r="AB1439" s="19" t="str">
        <f>C1439 &amp; "-" &amp; VLOOKUP(C1439,[4]RESULTATS!$E$1:$F$176,2,FALSE)</f>
        <v>511-Les acteurs se sont appropriés les textes règlementaires et les manuels de procédure définissant la gestion des flux</v>
      </c>
      <c r="AC1439" s="20" t="str">
        <f>D1439 &amp; "-" &amp; VLOOKUP(D1439,[4]STRATEGIES!$E$1:$F$504,2,FALSE)</f>
        <v>5113-Suivi de la mise en œuvre des textes et manuels de procédures</v>
      </c>
      <c r="AD1439" s="21" t="str">
        <f t="shared" si="217"/>
        <v>51132-Mise en œuvre des nouveaux textes (organisation des réunions de la sous-commission d'orientation du MENA)</v>
      </c>
    </row>
    <row r="1440" spans="1:30" s="22" customFormat="1" ht="45" hidden="1" customHeight="1" x14ac:dyDescent="0.8">
      <c r="A1440" s="14">
        <v>5</v>
      </c>
      <c r="B1440" s="15">
        <v>51</v>
      </c>
      <c r="C1440" s="15">
        <v>511</v>
      </c>
      <c r="D1440" s="15">
        <v>5113</v>
      </c>
      <c r="E1440" s="14">
        <v>51133</v>
      </c>
      <c r="F1440" s="16" t="s">
        <v>1885</v>
      </c>
      <c r="G1440" s="21" t="s">
        <v>37</v>
      </c>
      <c r="H1440" s="17" t="s">
        <v>66</v>
      </c>
      <c r="I1440" s="56">
        <v>0</v>
      </c>
      <c r="J1440" s="56">
        <f t="shared" si="218"/>
        <v>60</v>
      </c>
      <c r="K1440" s="56">
        <f t="shared" si="218"/>
        <v>60</v>
      </c>
      <c r="L1440" s="56">
        <f t="shared" si="218"/>
        <v>60</v>
      </c>
      <c r="M1440" s="56">
        <f t="shared" si="215"/>
        <v>180</v>
      </c>
      <c r="N1440" s="56">
        <f>IF(OR(H1440="",H1440="sif",H1440="PM"),0,VLOOKUP(H1440,[5]CU!$C$4:$H$255,6,FALSE))</f>
        <v>0.255</v>
      </c>
      <c r="O1440" s="56">
        <f t="shared" si="216"/>
        <v>0</v>
      </c>
      <c r="P1440" s="56">
        <f t="shared" si="216"/>
        <v>15.3</v>
      </c>
      <c r="Q1440" s="56">
        <f t="shared" si="216"/>
        <v>15.3</v>
      </c>
      <c r="R1440" s="56">
        <f t="shared" si="216"/>
        <v>15.3</v>
      </c>
      <c r="S1440" s="53">
        <f>SUM(O1440:R1440)</f>
        <v>45.900000000000006</v>
      </c>
      <c r="T1440" s="35" t="s">
        <v>56</v>
      </c>
      <c r="U1440" s="18" t="s">
        <v>1873</v>
      </c>
      <c r="V1440" s="19" t="str">
        <f>IF(OR($H1440="",$H1440="sif",$H1440="PM"),"",VLOOKUP($H1440,[5]CU!$C$5:$J$255,8,FALSE))</f>
        <v>3. Dépenses de fonctionnement</v>
      </c>
      <c r="W1440" s="18" t="s">
        <v>255</v>
      </c>
      <c r="X1440" s="18" t="s">
        <v>255</v>
      </c>
      <c r="Y1440" s="18" t="s">
        <v>679</v>
      </c>
      <c r="Z1440" s="19" t="str">
        <f>A1440 &amp; "-" &amp; VLOOKUP(A1440,[4]PROGRAMMES!$E$1:$F$7,2,FALSE)</f>
        <v>5-Gouvernance et pilotage du secteur</v>
      </c>
      <c r="AA1440" s="19" t="str">
        <f>B1440 &amp; "-" &amp; VLOOKUP(B1440,[4]SOUSPROGRAMMES!$E$1:$F$44,2,FALSE)</f>
        <v>51-Gestion des flux (mécanismes, orientations, et passerelles)</v>
      </c>
      <c r="AB1440" s="19" t="str">
        <f>C1440 &amp; "-" &amp; VLOOKUP(C1440,[4]RESULTATS!$E$1:$F$176,2,FALSE)</f>
        <v>511-Les acteurs se sont appropriés les textes règlementaires et les manuels de procédure définissant la gestion des flux</v>
      </c>
      <c r="AC1440" s="20" t="str">
        <f>D1440 &amp; "-" &amp; VLOOKUP(D1440,[4]STRATEGIES!$E$1:$F$504,2,FALSE)</f>
        <v>5113-Suivi de la mise en œuvre des textes et manuels de procédures</v>
      </c>
      <c r="AD1440" s="21" t="str">
        <f t="shared" si="217"/>
        <v>51133-Mise en œuvre des nouveaux textes (organisation des réunions de la sous-commission d'orientation du MESRS)</v>
      </c>
    </row>
    <row r="1441" spans="1:30" s="22" customFormat="1" ht="45" hidden="1" customHeight="1" x14ac:dyDescent="0.8">
      <c r="A1441" s="14">
        <v>5</v>
      </c>
      <c r="B1441" s="15">
        <v>51</v>
      </c>
      <c r="C1441" s="15">
        <v>511</v>
      </c>
      <c r="D1441" s="15">
        <v>5113</v>
      </c>
      <c r="E1441" s="14">
        <v>51134</v>
      </c>
      <c r="F1441" s="16" t="s">
        <v>1886</v>
      </c>
      <c r="G1441" s="21" t="s">
        <v>37</v>
      </c>
      <c r="H1441" s="17" t="s">
        <v>66</v>
      </c>
      <c r="I1441" s="56">
        <v>0</v>
      </c>
      <c r="J1441" s="56">
        <f t="shared" si="218"/>
        <v>60</v>
      </c>
      <c r="K1441" s="56">
        <f t="shared" si="218"/>
        <v>60</v>
      </c>
      <c r="L1441" s="56">
        <f t="shared" si="218"/>
        <v>60</v>
      </c>
      <c r="M1441" s="56">
        <f t="shared" si="215"/>
        <v>180</v>
      </c>
      <c r="N1441" s="56">
        <f>IF(OR(H1441="",H1441="sif",H1441="PM"),0,VLOOKUP(H1441,[5]CU!$C$4:$H$255,6,FALSE))</f>
        <v>0.255</v>
      </c>
      <c r="O1441" s="56">
        <f t="shared" si="216"/>
        <v>0</v>
      </c>
      <c r="P1441" s="56">
        <f t="shared" si="216"/>
        <v>15.3</v>
      </c>
      <c r="Q1441" s="56">
        <f t="shared" si="216"/>
        <v>15.3</v>
      </c>
      <c r="R1441" s="56">
        <f t="shared" si="216"/>
        <v>15.3</v>
      </c>
      <c r="S1441" s="53">
        <f>SUM(O1441:R1441)</f>
        <v>45.900000000000006</v>
      </c>
      <c r="T1441" s="35" t="s">
        <v>56</v>
      </c>
      <c r="U1441" s="18" t="s">
        <v>1873</v>
      </c>
      <c r="V1441" s="19" t="str">
        <f>IF(OR($H1441="",$H1441="sif",$H1441="PM"),"",VLOOKUP($H1441,[5]CU!$C$5:$J$255,8,FALSE))</f>
        <v>3. Dépenses de fonctionnement</v>
      </c>
      <c r="W1441" s="18" t="s">
        <v>255</v>
      </c>
      <c r="X1441" s="18" t="s">
        <v>1887</v>
      </c>
      <c r="Y1441" s="18" t="s">
        <v>677</v>
      </c>
      <c r="Z1441" s="19" t="str">
        <f>A1441 &amp; "-" &amp; VLOOKUP(A1441,[4]PROGRAMMES!$E$1:$F$7,2,FALSE)</f>
        <v>5-Gouvernance et pilotage du secteur</v>
      </c>
      <c r="AA1441" s="19" t="str">
        <f>B1441 &amp; "-" &amp; VLOOKUP(B1441,[4]SOUSPROGRAMMES!$E$1:$F$44,2,FALSE)</f>
        <v>51-Gestion des flux (mécanismes, orientations, et passerelles)</v>
      </c>
      <c r="AB1441" s="19" t="str">
        <f>C1441 &amp; "-" &amp; VLOOKUP(C1441,[4]RESULTATS!$E$1:$F$176,2,FALSE)</f>
        <v>511-Les acteurs se sont appropriés les textes règlementaires et les manuels de procédure définissant la gestion des flux</v>
      </c>
      <c r="AC1441" s="20" t="str">
        <f>D1441 &amp; "-" &amp; VLOOKUP(D1441,[4]STRATEGIES!$E$1:$F$504,2,FALSE)</f>
        <v>5113-Suivi de la mise en œuvre des textes et manuels de procédures</v>
      </c>
      <c r="AD1441" s="21" t="str">
        <f t="shared" si="217"/>
        <v>51134-Mise en œuvre des nouveaux textes (organisation des réunions de la sous-commission d'orientation du METFP)</v>
      </c>
    </row>
    <row r="1442" spans="1:30" s="22" customFormat="1" ht="45" hidden="1" customHeight="1" x14ac:dyDescent="0.8">
      <c r="A1442" s="14">
        <v>5</v>
      </c>
      <c r="B1442" s="15">
        <v>51</v>
      </c>
      <c r="C1442" s="15">
        <v>511</v>
      </c>
      <c r="D1442" s="15">
        <v>5113</v>
      </c>
      <c r="E1442" s="14">
        <v>51135</v>
      </c>
      <c r="F1442" s="16" t="s">
        <v>1888</v>
      </c>
      <c r="G1442" s="21" t="s">
        <v>321</v>
      </c>
      <c r="H1442" s="17" t="s">
        <v>55</v>
      </c>
      <c r="I1442" s="56">
        <v>0</v>
      </c>
      <c r="J1442" s="56">
        <v>0</v>
      </c>
      <c r="K1442" s="56"/>
      <c r="L1442" s="56">
        <f>15*3*2</f>
        <v>90</v>
      </c>
      <c r="M1442" s="56">
        <f t="shared" si="215"/>
        <v>90</v>
      </c>
      <c r="N1442" s="56">
        <f>IF(OR(H1442="",H1442="sif",H1442="PM"),0,VLOOKUP(H1442,[5]CU!$C$4:$H$255,6,FALSE))</f>
        <v>0</v>
      </c>
      <c r="O1442" s="56">
        <f t="shared" si="216"/>
        <v>0</v>
      </c>
      <c r="P1442" s="56">
        <f t="shared" si="216"/>
        <v>0</v>
      </c>
      <c r="Q1442" s="56">
        <f t="shared" si="216"/>
        <v>0</v>
      </c>
      <c r="R1442" s="56">
        <f t="shared" si="216"/>
        <v>0</v>
      </c>
      <c r="S1442" s="53"/>
      <c r="T1442" s="35" t="s">
        <v>56</v>
      </c>
      <c r="U1442" s="18" t="s">
        <v>1873</v>
      </c>
      <c r="V1442" s="19" t="str">
        <f>IF(OR($H1442="",$H1442="sif",$H1442="PM"),"",VLOOKUP($H1442,[5]CU!$C$5:$J$255,8,FALSE))</f>
        <v/>
      </c>
      <c r="W1442" s="18" t="s">
        <v>1889</v>
      </c>
      <c r="X1442" s="18" t="s">
        <v>1890</v>
      </c>
      <c r="Y1442" s="19" t="s">
        <v>32</v>
      </c>
      <c r="Z1442" s="19" t="str">
        <f>A1442 &amp; "-" &amp; VLOOKUP(A1442,[4]PROGRAMMES!$E$1:$F$7,2,FALSE)</f>
        <v>5-Gouvernance et pilotage du secteur</v>
      </c>
      <c r="AA1442" s="19" t="str">
        <f>B1442 &amp; "-" &amp; VLOOKUP(B1442,[4]SOUSPROGRAMMES!$E$1:$F$44,2,FALSE)</f>
        <v>51-Gestion des flux (mécanismes, orientations, et passerelles)</v>
      </c>
      <c r="AB1442" s="19" t="str">
        <f>C1442 &amp; "-" &amp; VLOOKUP(C1442,[4]RESULTATS!$E$1:$F$176,2,FALSE)</f>
        <v>511-Les acteurs se sont appropriés les textes règlementaires et les manuels de procédure définissant la gestion des flux</v>
      </c>
      <c r="AC1442" s="20" t="str">
        <f>D1442 &amp; "-" &amp; VLOOKUP(D1442,[4]STRATEGIES!$E$1:$F$504,2,FALSE)</f>
        <v>5113-Suivi de la mise en œuvre des textes et manuels de procédures</v>
      </c>
      <c r="AD1442" s="21" t="str">
        <f t="shared" si="217"/>
        <v>51135-Organisation des sessions de la commission nationale d'orientation (CNO)</v>
      </c>
    </row>
    <row r="1443" spans="1:30" s="22" customFormat="1" ht="60" customHeight="1" x14ac:dyDescent="0.8">
      <c r="A1443" s="14">
        <v>5</v>
      </c>
      <c r="B1443" s="15">
        <v>51</v>
      </c>
      <c r="C1443" s="15">
        <v>512</v>
      </c>
      <c r="D1443" s="15">
        <v>512</v>
      </c>
      <c r="E1443" s="14">
        <v>512</v>
      </c>
      <c r="F1443" s="16" t="s">
        <v>1891</v>
      </c>
      <c r="G1443" s="17"/>
      <c r="H1443" s="17"/>
      <c r="I1443" s="56">
        <v>0</v>
      </c>
      <c r="J1443" s="56"/>
      <c r="K1443" s="56"/>
      <c r="L1443" s="56"/>
      <c r="M1443" s="56"/>
      <c r="N1443" s="56"/>
      <c r="O1443" s="56"/>
      <c r="P1443" s="56"/>
      <c r="Q1443" s="56"/>
      <c r="R1443" s="56"/>
      <c r="S1443" s="53"/>
      <c r="T1443" s="33"/>
      <c r="U1443" s="18"/>
      <c r="V1443" s="19"/>
      <c r="W1443" s="18"/>
      <c r="X1443" s="18"/>
      <c r="Y1443" s="18"/>
      <c r="Z1443" s="19" t="str">
        <f>A1443 &amp; "-" &amp; VLOOKUP(A1443,[4]PROGRAMMES!$E$1:$F$7,2,FALSE)</f>
        <v>5-Gouvernance et pilotage du secteur</v>
      </c>
      <c r="AA1443" s="19" t="str">
        <f>B1443 &amp; "-" &amp; VLOOKUP(B1443,[4]SOUSPROGRAMMES!$E$1:$F$44,2,FALSE)</f>
        <v>51-Gestion des flux (mécanismes, orientations, et passerelles)</v>
      </c>
      <c r="AB1443" s="19" t="str">
        <f>C1443 &amp; "-" &amp; VLOOKUP(C1443,[4]RESULTATS!$E$1:$F$176,2,FALSE)</f>
        <v>512-Les acteurs concernés (conseillers et enseignants, parents et communautés) contribuent au respect des normes d'orientation</v>
      </c>
      <c r="AC1443" s="20" t="str">
        <f>D1443 &amp; "-" &amp; VLOOKUP(D1443,[4]STRATEGIES!$E$1:$F$504,2,FALSE)</f>
        <v>512-Les acteurs concernés (conseillers et enseignants, parents et communautés) contribuent au respect des normes d'orientation</v>
      </c>
      <c r="AD1443" s="21" t="str">
        <f t="shared" si="217"/>
        <v>512-Les acteurs concernés (conseillers et enseignants, parents et communautés) contribuent au respect des normes d'orientation</v>
      </c>
    </row>
    <row r="1444" spans="1:30" s="22" customFormat="1" ht="60" customHeight="1" x14ac:dyDescent="0.8">
      <c r="A1444" s="14">
        <v>5</v>
      </c>
      <c r="B1444" s="15">
        <v>51</v>
      </c>
      <c r="C1444" s="15">
        <v>512</v>
      </c>
      <c r="D1444" s="15">
        <v>5121</v>
      </c>
      <c r="E1444" s="14">
        <v>5121</v>
      </c>
      <c r="F1444" s="16" t="s">
        <v>1892</v>
      </c>
      <c r="G1444" s="17"/>
      <c r="H1444" s="17"/>
      <c r="I1444" s="56">
        <v>0</v>
      </c>
      <c r="J1444" s="56"/>
      <c r="K1444" s="56"/>
      <c r="L1444" s="56"/>
      <c r="M1444" s="56"/>
      <c r="N1444" s="56"/>
      <c r="O1444" s="56"/>
      <c r="P1444" s="56"/>
      <c r="Q1444" s="56"/>
      <c r="R1444" s="56"/>
      <c r="S1444" s="53"/>
      <c r="T1444" s="33"/>
      <c r="U1444" s="18"/>
      <c r="V1444" s="19"/>
      <c r="W1444" s="18"/>
      <c r="X1444" s="18"/>
      <c r="Y1444" s="18"/>
      <c r="Z1444" s="19" t="str">
        <f>A1444 &amp; "-" &amp; VLOOKUP(A1444,[4]PROGRAMMES!$E$1:$F$7,2,FALSE)</f>
        <v>5-Gouvernance et pilotage du secteur</v>
      </c>
      <c r="AA1444" s="19" t="str">
        <f>B1444 &amp; "-" &amp; VLOOKUP(B1444,[4]SOUSPROGRAMMES!$E$1:$F$44,2,FALSE)</f>
        <v>51-Gestion des flux (mécanismes, orientations, et passerelles)</v>
      </c>
      <c r="AB1444" s="19" t="str">
        <f>C1444 &amp; "-" &amp; VLOOKUP(C1444,[4]RESULTATS!$E$1:$F$176,2,FALSE)</f>
        <v>512-Les acteurs concernés (conseillers et enseignants, parents et communautés) contribuent au respect des normes d'orientation</v>
      </c>
      <c r="AC1444" s="20" t="str">
        <f>D1444 &amp; "-" &amp; VLOOKUP(D1444,[4]STRATEGIES!$E$1:$F$504,2,FALSE)</f>
        <v>5121-Evaluation des compétences des conseillers à l’orientation</v>
      </c>
      <c r="AD1444" s="21" t="str">
        <f t="shared" si="217"/>
        <v>5121-Evaluation des compétences des conseillers à l’orientation</v>
      </c>
    </row>
    <row r="1445" spans="1:30" s="22" customFormat="1" ht="60" hidden="1" customHeight="1" x14ac:dyDescent="0.8">
      <c r="A1445" s="14">
        <v>5</v>
      </c>
      <c r="B1445" s="15">
        <v>51</v>
      </c>
      <c r="C1445" s="15">
        <v>512</v>
      </c>
      <c r="D1445" s="15">
        <v>5121</v>
      </c>
      <c r="E1445" s="14">
        <v>51211</v>
      </c>
      <c r="F1445" s="16" t="s">
        <v>1893</v>
      </c>
      <c r="G1445" s="21" t="s">
        <v>37</v>
      </c>
      <c r="H1445" s="17" t="s">
        <v>38</v>
      </c>
      <c r="I1445" s="56">
        <v>0</v>
      </c>
      <c r="J1445" s="56"/>
      <c r="K1445" s="56">
        <f>30*3</f>
        <v>90</v>
      </c>
      <c r="L1445" s="56">
        <v>0</v>
      </c>
      <c r="M1445" s="56">
        <f t="shared" si="215"/>
        <v>90</v>
      </c>
      <c r="N1445" s="56">
        <f>IF(OR(H1445="",H1445="sif",H1445="PM"),0,VLOOKUP(H1445,[5]CU!$C$4:$H$255,6,FALSE))</f>
        <v>0.3133333333333333</v>
      </c>
      <c r="O1445" s="56">
        <f t="shared" si="216"/>
        <v>0</v>
      </c>
      <c r="P1445" s="56">
        <f t="shared" si="216"/>
        <v>0</v>
      </c>
      <c r="Q1445" s="56">
        <f t="shared" si="216"/>
        <v>28.199999999999996</v>
      </c>
      <c r="R1445" s="56">
        <f t="shared" si="216"/>
        <v>0</v>
      </c>
      <c r="S1445" s="53">
        <f>SUM(O1445:R1445)</f>
        <v>28.199999999999996</v>
      </c>
      <c r="T1445" s="35" t="s">
        <v>56</v>
      </c>
      <c r="U1445" s="18" t="s">
        <v>1873</v>
      </c>
      <c r="V1445" s="19" t="str">
        <f>IF(OR($H1445="",$H1445="sif",$H1445="PM"),"",VLOOKUP($H1445,[5]CU!$C$5:$J$255,8,FALSE))</f>
        <v>3. Formation</v>
      </c>
      <c r="W1445" s="18" t="s">
        <v>255</v>
      </c>
      <c r="X1445" s="18" t="s">
        <v>1894</v>
      </c>
      <c r="Y1445" s="19" t="s">
        <v>32</v>
      </c>
      <c r="Z1445" s="19" t="str">
        <f>A1445 &amp; "-" &amp; VLOOKUP(A1445,[4]PROGRAMMES!$E$1:$F$7,2,FALSE)</f>
        <v>5-Gouvernance et pilotage du secteur</v>
      </c>
      <c r="AA1445" s="19" t="str">
        <f>B1445 &amp; "-" &amp; VLOOKUP(B1445,[4]SOUSPROGRAMMES!$E$1:$F$44,2,FALSE)</f>
        <v>51-Gestion des flux (mécanismes, orientations, et passerelles)</v>
      </c>
      <c r="AB1445" s="19" t="str">
        <f>C1445 &amp; "-" &amp; VLOOKUP(C1445,[4]RESULTATS!$E$1:$F$176,2,FALSE)</f>
        <v>512-Les acteurs concernés (conseillers et enseignants, parents et communautés) contribuent au respect des normes d'orientation</v>
      </c>
      <c r="AC1445" s="20" t="str">
        <f>D1445 &amp; "-" &amp; VLOOKUP(D1445,[4]STRATEGIES!$E$1:$F$504,2,FALSE)</f>
        <v>5121-Evaluation des compétences des conseillers à l’orientation</v>
      </c>
      <c r="AD1445" s="21" t="str">
        <f t="shared" si="217"/>
        <v>51211-Elaboration des guides et matériels pour l'orientation</v>
      </c>
    </row>
    <row r="1446" spans="1:30" s="22" customFormat="1" ht="60" hidden="1" customHeight="1" x14ac:dyDescent="0.8">
      <c r="A1446" s="14">
        <v>5</v>
      </c>
      <c r="B1446" s="15">
        <v>51</v>
      </c>
      <c r="C1446" s="15">
        <v>512</v>
      </c>
      <c r="D1446" s="15">
        <v>5121</v>
      </c>
      <c r="E1446" s="14">
        <v>51212</v>
      </c>
      <c r="F1446" s="16" t="s">
        <v>1895</v>
      </c>
      <c r="G1446" s="21" t="s">
        <v>44</v>
      </c>
      <c r="H1446" s="17" t="s">
        <v>452</v>
      </c>
      <c r="I1446" s="56">
        <v>0</v>
      </c>
      <c r="J1446" s="56">
        <f>(1800*3)*1.1</f>
        <v>5940.0000000000009</v>
      </c>
      <c r="K1446" s="56">
        <f>J1446*0.2</f>
        <v>1188.0000000000002</v>
      </c>
      <c r="L1446" s="56">
        <f>J1446*0.15</f>
        <v>891.00000000000011</v>
      </c>
      <c r="M1446" s="56">
        <f t="shared" si="215"/>
        <v>8019.0000000000009</v>
      </c>
      <c r="N1446" s="56">
        <f>IF(OR(H1446="",H1446="sif",H1446="PM"),0,VLOOKUP(H1446,[5]CU!$C$4:$H$255,6,FALSE))</f>
        <v>7.4999999999999997E-3</v>
      </c>
      <c r="O1446" s="56">
        <f t="shared" si="216"/>
        <v>0</v>
      </c>
      <c r="P1446" s="56">
        <f t="shared" si="216"/>
        <v>44.550000000000004</v>
      </c>
      <c r="Q1446" s="56">
        <f t="shared" si="216"/>
        <v>8.9100000000000019</v>
      </c>
      <c r="R1446" s="56">
        <f t="shared" si="216"/>
        <v>6.682500000000001</v>
      </c>
      <c r="S1446" s="53">
        <f>SUM(O1446:R1446)</f>
        <v>60.142500000000013</v>
      </c>
      <c r="T1446" s="35" t="s">
        <v>56</v>
      </c>
      <c r="U1446" s="18" t="s">
        <v>1873</v>
      </c>
      <c r="V1446" s="19" t="str">
        <f>IF(OR($H1446="",$H1446="sif",$H1446="PM"),"",VLOOKUP($H1446,[5]CU!$C$5:$J$255,8,FALSE))</f>
        <v>3. Dépenses de fonctionnement</v>
      </c>
      <c r="W1446" s="18" t="s">
        <v>398</v>
      </c>
      <c r="X1446" s="18" t="s">
        <v>398</v>
      </c>
      <c r="Y1446" s="19" t="s">
        <v>32</v>
      </c>
      <c r="Z1446" s="19" t="str">
        <f>A1446 &amp; "-" &amp; VLOOKUP(A1446,[4]PROGRAMMES!$E$1:$F$7,2,FALSE)</f>
        <v>5-Gouvernance et pilotage du secteur</v>
      </c>
      <c r="AA1446" s="19" t="str">
        <f>B1446 &amp; "-" &amp; VLOOKUP(B1446,[4]SOUSPROGRAMMES!$E$1:$F$44,2,FALSE)</f>
        <v>51-Gestion des flux (mécanismes, orientations, et passerelles)</v>
      </c>
      <c r="AB1446" s="19" t="str">
        <f>C1446 &amp; "-" &amp; VLOOKUP(C1446,[4]RESULTATS!$E$1:$F$176,2,FALSE)</f>
        <v>512-Les acteurs concernés (conseillers et enseignants, parents et communautés) contribuent au respect des normes d'orientation</v>
      </c>
      <c r="AC1446" s="20" t="str">
        <f>D1446 &amp; "-" &amp; VLOOKUP(D1446,[4]STRATEGIES!$E$1:$F$504,2,FALSE)</f>
        <v>5121-Evaluation des compétences des conseillers à l’orientation</v>
      </c>
      <c r="AD1446" s="21" t="str">
        <f t="shared" si="217"/>
        <v>51212-Reproduction des guides et matériels</v>
      </c>
    </row>
    <row r="1447" spans="1:30" s="22" customFormat="1" ht="60" hidden="1" customHeight="1" x14ac:dyDescent="0.8">
      <c r="A1447" s="14">
        <v>5</v>
      </c>
      <c r="B1447" s="15">
        <v>51</v>
      </c>
      <c r="C1447" s="15">
        <v>512</v>
      </c>
      <c r="D1447" s="15">
        <v>5121</v>
      </c>
      <c r="E1447" s="14">
        <v>51213</v>
      </c>
      <c r="F1447" s="16" t="s">
        <v>1896</v>
      </c>
      <c r="G1447" s="21" t="s">
        <v>37</v>
      </c>
      <c r="H1447" s="17" t="s">
        <v>301</v>
      </c>
      <c r="I1447" s="56">
        <v>0</v>
      </c>
      <c r="J1447" s="56"/>
      <c r="K1447" s="56">
        <f>(1800)/4*2</f>
        <v>900</v>
      </c>
      <c r="L1447" s="56">
        <f>(1800)/4*2</f>
        <v>900</v>
      </c>
      <c r="M1447" s="56">
        <f t="shared" si="215"/>
        <v>1800</v>
      </c>
      <c r="N1447" s="56">
        <f>IF(OR(H1447="",H1447="sif",H1447="PM"),0,VLOOKUP(H1447,[5]CU!$C$4:$H$255,6,FALSE))</f>
        <v>0.67666666666666664</v>
      </c>
      <c r="O1447" s="56">
        <f t="shared" si="216"/>
        <v>0</v>
      </c>
      <c r="P1447" s="56">
        <f t="shared" si="216"/>
        <v>0</v>
      </c>
      <c r="Q1447" s="56">
        <f t="shared" si="216"/>
        <v>609</v>
      </c>
      <c r="R1447" s="56">
        <f t="shared" si="216"/>
        <v>609</v>
      </c>
      <c r="S1447" s="53">
        <f>SUM(O1447:R1447)</f>
        <v>1218</v>
      </c>
      <c r="T1447" s="35" t="s">
        <v>56</v>
      </c>
      <c r="U1447" s="18" t="s">
        <v>1873</v>
      </c>
      <c r="V1447" s="19" t="str">
        <f>IF(OR($H1447="",$H1447="sif",$H1447="PM"),"",VLOOKUP($H1447,[5]CU!$C$5:$J$255,8,FALSE))</f>
        <v>3. Formation</v>
      </c>
      <c r="W1447" s="18" t="s">
        <v>398</v>
      </c>
      <c r="X1447" s="18" t="s">
        <v>398</v>
      </c>
      <c r="Y1447" s="19" t="s">
        <v>32</v>
      </c>
      <c r="Z1447" s="19" t="str">
        <f>A1447 &amp; "-" &amp; VLOOKUP(A1447,[4]PROGRAMMES!$E$1:$F$7,2,FALSE)</f>
        <v>5-Gouvernance et pilotage du secteur</v>
      </c>
      <c r="AA1447" s="19" t="str">
        <f>B1447 &amp; "-" &amp; VLOOKUP(B1447,[4]SOUSPROGRAMMES!$E$1:$F$44,2,FALSE)</f>
        <v>51-Gestion des flux (mécanismes, orientations, et passerelles)</v>
      </c>
      <c r="AB1447" s="19" t="str">
        <f>C1447 &amp; "-" &amp; VLOOKUP(C1447,[4]RESULTATS!$E$1:$F$176,2,FALSE)</f>
        <v>512-Les acteurs concernés (conseillers et enseignants, parents et communautés) contribuent au respect des normes d'orientation</v>
      </c>
      <c r="AC1447" s="20" t="str">
        <f>D1447 &amp; "-" &amp; VLOOKUP(D1447,[4]STRATEGIES!$E$1:$F$504,2,FALSE)</f>
        <v>5121-Evaluation des compétences des conseillers à l’orientation</v>
      </c>
      <c r="AD1447" s="21" t="str">
        <f t="shared" si="217"/>
        <v>51213-Formation des conseillers à l'orientions à l'utilisation des guides et matériels (y compris la mise à disposition des guides et matériels)</v>
      </c>
    </row>
    <row r="1448" spans="1:30" s="22" customFormat="1" ht="60" hidden="1" customHeight="1" x14ac:dyDescent="0.8">
      <c r="A1448" s="14">
        <v>5</v>
      </c>
      <c r="B1448" s="15">
        <v>51</v>
      </c>
      <c r="C1448" s="15">
        <v>512</v>
      </c>
      <c r="D1448" s="15">
        <v>5121</v>
      </c>
      <c r="E1448" s="14">
        <v>51214</v>
      </c>
      <c r="F1448" s="16" t="s">
        <v>1897</v>
      </c>
      <c r="G1448" s="21" t="s">
        <v>92</v>
      </c>
      <c r="H1448" s="17" t="s">
        <v>55</v>
      </c>
      <c r="I1448" s="56">
        <v>0</v>
      </c>
      <c r="J1448" s="56">
        <v>1</v>
      </c>
      <c r="K1448" s="56">
        <v>1</v>
      </c>
      <c r="L1448" s="56">
        <v>1</v>
      </c>
      <c r="M1448" s="56">
        <f t="shared" si="215"/>
        <v>3</v>
      </c>
      <c r="N1448" s="56">
        <f>IF(OR(H1448="",H1448="sif",H1448="PM"),0,VLOOKUP(H1448,[5]CU!$C$4:$H$255,6,FALSE))</f>
        <v>0</v>
      </c>
      <c r="O1448" s="56">
        <f t="shared" si="216"/>
        <v>0</v>
      </c>
      <c r="P1448" s="56">
        <f t="shared" si="216"/>
        <v>0</v>
      </c>
      <c r="Q1448" s="56">
        <f t="shared" si="216"/>
        <v>0</v>
      </c>
      <c r="R1448" s="56">
        <f t="shared" si="216"/>
        <v>0</v>
      </c>
      <c r="S1448" s="53"/>
      <c r="T1448" s="35" t="s">
        <v>56</v>
      </c>
      <c r="U1448" s="18" t="s">
        <v>1873</v>
      </c>
      <c r="V1448" s="19" t="str">
        <f>IF(OR($H1448="",$H1448="sif",$H1448="PM"),"",VLOOKUP($H1448,[5]CU!$C$5:$J$255,8,FALSE))</f>
        <v/>
      </c>
      <c r="W1448" s="18" t="s">
        <v>273</v>
      </c>
      <c r="X1448" s="18" t="s">
        <v>179</v>
      </c>
      <c r="Y1448" s="19" t="s">
        <v>32</v>
      </c>
      <c r="Z1448" s="19" t="str">
        <f>A1448 &amp; "-" &amp; VLOOKUP(A1448,[4]PROGRAMMES!$E$1:$F$7,2,FALSE)</f>
        <v>5-Gouvernance et pilotage du secteur</v>
      </c>
      <c r="AA1448" s="19" t="str">
        <f>B1448 &amp; "-" &amp; VLOOKUP(B1448,[4]SOUSPROGRAMMES!$E$1:$F$44,2,FALSE)</f>
        <v>51-Gestion des flux (mécanismes, orientations, et passerelles)</v>
      </c>
      <c r="AB1448" s="19" t="str">
        <f>C1448 &amp; "-" &amp; VLOOKUP(C1448,[4]RESULTATS!$E$1:$F$176,2,FALSE)</f>
        <v>512-Les acteurs concernés (conseillers et enseignants, parents et communautés) contribuent au respect des normes d'orientation</v>
      </c>
      <c r="AC1448" s="20" t="str">
        <f>D1448 &amp; "-" &amp; VLOOKUP(D1448,[4]STRATEGIES!$E$1:$F$504,2,FALSE)</f>
        <v>5121-Evaluation des compétences des conseillers à l’orientation</v>
      </c>
      <c r="AD1448" s="21" t="str">
        <f t="shared" si="217"/>
        <v>51214-Suivi de l'application des textes d'orientation (pris en compte dans les activités des inspections)</v>
      </c>
    </row>
    <row r="1449" spans="1:30" s="22" customFormat="1" ht="30" customHeight="1" x14ac:dyDescent="0.8">
      <c r="A1449" s="14">
        <v>5</v>
      </c>
      <c r="B1449" s="15">
        <v>51</v>
      </c>
      <c r="C1449" s="15">
        <v>513</v>
      </c>
      <c r="D1449" s="15">
        <v>513</v>
      </c>
      <c r="E1449" s="14">
        <v>513</v>
      </c>
      <c r="F1449" s="16" t="s">
        <v>1898</v>
      </c>
      <c r="G1449" s="17"/>
      <c r="H1449" s="17"/>
      <c r="I1449" s="56">
        <v>0</v>
      </c>
      <c r="J1449" s="56"/>
      <c r="K1449" s="56"/>
      <c r="L1449" s="56"/>
      <c r="M1449" s="56"/>
      <c r="N1449" s="56"/>
      <c r="O1449" s="56"/>
      <c r="P1449" s="56"/>
      <c r="Q1449" s="56"/>
      <c r="R1449" s="56"/>
      <c r="S1449" s="53"/>
      <c r="T1449" s="33"/>
      <c r="U1449" s="18"/>
      <c r="V1449" s="19"/>
      <c r="W1449" s="18"/>
      <c r="X1449" s="18"/>
      <c r="Y1449" s="18"/>
      <c r="Z1449" s="19" t="str">
        <f>A1449 &amp; "-" &amp; VLOOKUP(A1449,[4]PROGRAMMES!$E$1:$F$7,2,FALSE)</f>
        <v>5-Gouvernance et pilotage du secteur</v>
      </c>
      <c r="AA1449" s="19" t="str">
        <f>B1449 &amp; "-" &amp; VLOOKUP(B1449,[4]SOUSPROGRAMMES!$E$1:$F$44,2,FALSE)</f>
        <v>51-Gestion des flux (mécanismes, orientations, et passerelles)</v>
      </c>
      <c r="AB1449" s="19" t="str">
        <f>C1449 &amp; "-" &amp; VLOOKUP(C1449,[4]RESULTATS!$E$1:$F$176,2,FALSE)</f>
        <v>513- Le logiciel d'immatriculation et de suivi des élèves est amélioré et utilisé</v>
      </c>
      <c r="AC1449" s="20" t="str">
        <f>D1449 &amp; "-" &amp; VLOOKUP(D1449,[4]STRATEGIES!$E$1:$F$504,2,FALSE)</f>
        <v>513- Le logiciel d'immatriculation et de suivi des élèves est amélioré et utilisé</v>
      </c>
      <c r="AD1449" s="21" t="str">
        <f t="shared" si="217"/>
        <v>513- Le logiciel d'immatriculation et de suivi des élèves est amélioré et utilisé</v>
      </c>
    </row>
    <row r="1450" spans="1:30" s="22" customFormat="1" ht="30" customHeight="1" x14ac:dyDescent="0.8">
      <c r="A1450" s="14">
        <v>5</v>
      </c>
      <c r="B1450" s="15">
        <v>51</v>
      </c>
      <c r="C1450" s="15">
        <v>513</v>
      </c>
      <c r="D1450" s="15">
        <v>5131</v>
      </c>
      <c r="E1450" s="14">
        <v>5131</v>
      </c>
      <c r="F1450" s="16" t="s">
        <v>1899</v>
      </c>
      <c r="G1450" s="17"/>
      <c r="H1450" s="17"/>
      <c r="I1450" s="56">
        <v>0</v>
      </c>
      <c r="J1450" s="56"/>
      <c r="K1450" s="56"/>
      <c r="L1450" s="56"/>
      <c r="M1450" s="56"/>
      <c r="N1450" s="56"/>
      <c r="O1450" s="56"/>
      <c r="P1450" s="56"/>
      <c r="Q1450" s="56"/>
      <c r="R1450" s="56"/>
      <c r="S1450" s="53"/>
      <c r="T1450" s="33"/>
      <c r="U1450" s="18"/>
      <c r="V1450" s="19"/>
      <c r="W1450" s="18"/>
      <c r="X1450" s="18"/>
      <c r="Y1450" s="18"/>
      <c r="Z1450" s="19" t="str">
        <f>A1450 &amp; "-" &amp; VLOOKUP(A1450,[4]PROGRAMMES!$E$1:$F$7,2,FALSE)</f>
        <v>5-Gouvernance et pilotage du secteur</v>
      </c>
      <c r="AA1450" s="19" t="str">
        <f>B1450 &amp; "-" &amp; VLOOKUP(B1450,[4]SOUSPROGRAMMES!$E$1:$F$44,2,FALSE)</f>
        <v>51-Gestion des flux (mécanismes, orientations, et passerelles)</v>
      </c>
      <c r="AB1450" s="19" t="str">
        <f>C1450 &amp; "-" &amp; VLOOKUP(C1450,[4]RESULTATS!$E$1:$F$176,2,FALSE)</f>
        <v>513- Le logiciel d'immatriculation et de suivi des élèves est amélioré et utilisé</v>
      </c>
      <c r="AC1450" s="20" t="str">
        <f>D1450 &amp; "-" &amp; VLOOKUP(D1450,[4]STRATEGIES!$E$1:$F$504,2,FALSE)</f>
        <v>5131-Amélioration du logiciel d'immatriculation et de suivi des élèves</v>
      </c>
      <c r="AD1450" s="21" t="str">
        <f t="shared" si="217"/>
        <v>5131-Amélioration du logiciel d'immatriculation et de suivi des élèves</v>
      </c>
    </row>
    <row r="1451" spans="1:30" s="22" customFormat="1" ht="30" customHeight="1" x14ac:dyDescent="0.8">
      <c r="A1451" s="14">
        <v>5</v>
      </c>
      <c r="B1451" s="15">
        <v>51</v>
      </c>
      <c r="C1451" s="15">
        <v>513</v>
      </c>
      <c r="D1451" s="15">
        <v>5131</v>
      </c>
      <c r="E1451" s="14">
        <v>51311</v>
      </c>
      <c r="F1451" s="16" t="s">
        <v>1900</v>
      </c>
      <c r="G1451" s="21" t="s">
        <v>37</v>
      </c>
      <c r="H1451" s="17" t="s">
        <v>66</v>
      </c>
      <c r="I1451" s="56">
        <v>0</v>
      </c>
      <c r="J1451" s="56"/>
      <c r="K1451" s="56"/>
      <c r="L1451" s="56"/>
      <c r="M1451" s="56">
        <f t="shared" si="215"/>
        <v>0</v>
      </c>
      <c r="N1451" s="56">
        <f>IF(OR(H1451="",H1451="sif",H1451="PM"),0,VLOOKUP(H1451,[5]CU!$C$4:$H$255,6,FALSE))</f>
        <v>0.255</v>
      </c>
      <c r="O1451" s="56">
        <f t="shared" si="216"/>
        <v>0</v>
      </c>
      <c r="P1451" s="56">
        <f t="shared" si="216"/>
        <v>0</v>
      </c>
      <c r="Q1451" s="56">
        <f t="shared" si="216"/>
        <v>0</v>
      </c>
      <c r="R1451" s="56">
        <f t="shared" si="216"/>
        <v>0</v>
      </c>
      <c r="S1451" s="53">
        <f>SUM(O1451:R1451)</f>
        <v>0</v>
      </c>
      <c r="T1451" s="35" t="s">
        <v>118</v>
      </c>
      <c r="U1451" s="18" t="s">
        <v>1873</v>
      </c>
      <c r="V1451" s="19" t="str">
        <f>IF(OR($H1451="",$H1451="sif",$H1451="PM"),"",VLOOKUP($H1451,[5]CU!$C$5:$J$255,8,FALSE))</f>
        <v>3. Dépenses de fonctionnement</v>
      </c>
      <c r="W1451" s="18" t="s">
        <v>398</v>
      </c>
      <c r="X1451" s="18" t="s">
        <v>398</v>
      </c>
      <c r="Y1451" s="19" t="s">
        <v>32</v>
      </c>
      <c r="Z1451" s="19" t="str">
        <f>A1451 &amp; "-" &amp; VLOOKUP(A1451,[4]PROGRAMMES!$E$1:$F$7,2,FALSE)</f>
        <v>5-Gouvernance et pilotage du secteur</v>
      </c>
      <c r="AA1451" s="19" t="str">
        <f>B1451 &amp; "-" &amp; VLOOKUP(B1451,[4]SOUSPROGRAMMES!$E$1:$F$44,2,FALSE)</f>
        <v>51-Gestion des flux (mécanismes, orientations, et passerelles)</v>
      </c>
      <c r="AB1451" s="19" t="str">
        <f>C1451 &amp; "-" &amp; VLOOKUP(C1451,[4]RESULTATS!$E$1:$F$176,2,FALSE)</f>
        <v>513- Le logiciel d'immatriculation et de suivi des élèves est amélioré et utilisé</v>
      </c>
      <c r="AC1451" s="20" t="str">
        <f>D1451 &amp; "-" &amp; VLOOKUP(D1451,[4]STRATEGIES!$E$1:$F$504,2,FALSE)</f>
        <v>5131-Amélioration du logiciel d'immatriculation et de suivi des élèves</v>
      </c>
      <c r="AD1451" s="21" t="str">
        <f t="shared" si="217"/>
        <v>51311-Actualisation des outils d'immatriculation et de suivi des élèves</v>
      </c>
    </row>
    <row r="1452" spans="1:30" s="22" customFormat="1" ht="30" customHeight="1" x14ac:dyDescent="0.8">
      <c r="A1452" s="14">
        <v>5</v>
      </c>
      <c r="B1452" s="15">
        <v>51</v>
      </c>
      <c r="C1452" s="15">
        <v>513</v>
      </c>
      <c r="D1452" s="15">
        <v>5131</v>
      </c>
      <c r="E1452" s="14">
        <v>51312</v>
      </c>
      <c r="F1452" s="16" t="s">
        <v>1901</v>
      </c>
      <c r="G1452" s="21" t="s">
        <v>37</v>
      </c>
      <c r="H1452" s="17" t="s">
        <v>38</v>
      </c>
      <c r="I1452" s="56">
        <v>0</v>
      </c>
      <c r="J1452" s="56">
        <f>50*2*1</f>
        <v>100</v>
      </c>
      <c r="K1452" s="56"/>
      <c r="L1452" s="56"/>
      <c r="M1452" s="56">
        <f t="shared" si="215"/>
        <v>100</v>
      </c>
      <c r="N1452" s="56">
        <f>IF(OR(H1452="",H1452="sif",H1452="PM"),0,VLOOKUP(H1452,[5]CU!$C$4:$H$255,6,FALSE))</f>
        <v>0.3133333333333333</v>
      </c>
      <c r="O1452" s="56">
        <f t="shared" si="216"/>
        <v>0</v>
      </c>
      <c r="P1452" s="56">
        <f t="shared" si="216"/>
        <v>31.333333333333329</v>
      </c>
      <c r="Q1452" s="56">
        <f t="shared" si="216"/>
        <v>0</v>
      </c>
      <c r="R1452" s="56">
        <f t="shared" si="216"/>
        <v>0</v>
      </c>
      <c r="S1452" s="53">
        <f>SUM(O1452:R1452)</f>
        <v>31.333333333333329</v>
      </c>
      <c r="T1452" s="35" t="s">
        <v>118</v>
      </c>
      <c r="U1452" s="18" t="s">
        <v>1873</v>
      </c>
      <c r="V1452" s="19" t="str">
        <f>IF(OR($H1452="",$H1452="sif",$H1452="PM"),"",VLOOKUP($H1452,[5]CU!$C$5:$J$255,8,FALSE))</f>
        <v>3. Formation</v>
      </c>
      <c r="W1452" s="18" t="s">
        <v>398</v>
      </c>
      <c r="X1452" s="18" t="s">
        <v>398</v>
      </c>
      <c r="Y1452" s="19" t="s">
        <v>32</v>
      </c>
      <c r="Z1452" s="19" t="str">
        <f>A1452 &amp; "-" &amp; VLOOKUP(A1452,[4]PROGRAMMES!$E$1:$F$7,2,FALSE)</f>
        <v>5-Gouvernance et pilotage du secteur</v>
      </c>
      <c r="AA1452" s="19" t="str">
        <f>B1452 &amp; "-" &amp; VLOOKUP(B1452,[4]SOUSPROGRAMMES!$E$1:$F$44,2,FALSE)</f>
        <v>51-Gestion des flux (mécanismes, orientations, et passerelles)</v>
      </c>
      <c r="AB1452" s="19" t="str">
        <f>C1452 &amp; "-" &amp; VLOOKUP(C1452,[4]RESULTATS!$E$1:$F$176,2,FALSE)</f>
        <v>513- Le logiciel d'immatriculation et de suivi des élèves est amélioré et utilisé</v>
      </c>
      <c r="AC1452" s="20" t="str">
        <f>D1452 &amp; "-" &amp; VLOOKUP(D1452,[4]STRATEGIES!$E$1:$F$504,2,FALSE)</f>
        <v>5131-Amélioration du logiciel d'immatriculation et de suivi des élèves</v>
      </c>
      <c r="AD1452" s="21" t="str">
        <f t="shared" si="217"/>
        <v>51312-Validation des outils d'immatriculation et de suivi des élèves</v>
      </c>
    </row>
    <row r="1453" spans="1:30" s="22" customFormat="1" ht="30" customHeight="1" x14ac:dyDescent="0.8">
      <c r="A1453" s="14">
        <v>5</v>
      </c>
      <c r="B1453" s="15">
        <v>51</v>
      </c>
      <c r="C1453" s="15">
        <v>513</v>
      </c>
      <c r="D1453" s="15">
        <v>5131</v>
      </c>
      <c r="E1453" s="14">
        <v>51313</v>
      </c>
      <c r="F1453" s="16" t="s">
        <v>1902</v>
      </c>
      <c r="G1453" s="21" t="s">
        <v>37</v>
      </c>
      <c r="H1453" s="17" t="s">
        <v>38</v>
      </c>
      <c r="I1453" s="56">
        <v>0</v>
      </c>
      <c r="J1453" s="56">
        <f>25*4*8</f>
        <v>800</v>
      </c>
      <c r="K1453" s="56"/>
      <c r="L1453" s="56"/>
      <c r="M1453" s="56">
        <f t="shared" si="215"/>
        <v>800</v>
      </c>
      <c r="N1453" s="56">
        <f>IF(OR(H1453="",H1453="sif",H1453="PM"),0,VLOOKUP(H1453,[5]CU!$C$4:$H$255,6,FALSE))</f>
        <v>0.3133333333333333</v>
      </c>
      <c r="O1453" s="56">
        <f t="shared" si="216"/>
        <v>0</v>
      </c>
      <c r="P1453" s="56">
        <f t="shared" si="216"/>
        <v>250.66666666666663</v>
      </c>
      <c r="Q1453" s="56">
        <f t="shared" si="216"/>
        <v>0</v>
      </c>
      <c r="R1453" s="56">
        <f t="shared" si="216"/>
        <v>0</v>
      </c>
      <c r="S1453" s="53">
        <f>SUM(O1453:R1453)</f>
        <v>250.66666666666663</v>
      </c>
      <c r="T1453" s="35" t="s">
        <v>118</v>
      </c>
      <c r="U1453" s="18" t="s">
        <v>1873</v>
      </c>
      <c r="V1453" s="19" t="str">
        <f>IF(OR($H1453="",$H1453="sif",$H1453="PM"),"",VLOOKUP($H1453,[5]CU!$C$5:$J$255,8,FALSE))</f>
        <v>3. Formation</v>
      </c>
      <c r="W1453" s="18" t="s">
        <v>398</v>
      </c>
      <c r="X1453" s="18" t="s">
        <v>398</v>
      </c>
      <c r="Y1453" s="19" t="s">
        <v>32</v>
      </c>
      <c r="Z1453" s="19" t="str">
        <f>A1453 &amp; "-" &amp; VLOOKUP(A1453,[4]PROGRAMMES!$E$1:$F$7,2,FALSE)</f>
        <v>5-Gouvernance et pilotage du secteur</v>
      </c>
      <c r="AA1453" s="19" t="str">
        <f>B1453 &amp; "-" &amp; VLOOKUP(B1453,[4]SOUSPROGRAMMES!$E$1:$F$44,2,FALSE)</f>
        <v>51-Gestion des flux (mécanismes, orientations, et passerelles)</v>
      </c>
      <c r="AB1453" s="19" t="str">
        <f>C1453 &amp; "-" &amp; VLOOKUP(C1453,[4]RESULTATS!$E$1:$F$176,2,FALSE)</f>
        <v>513- Le logiciel d'immatriculation et de suivi des élèves est amélioré et utilisé</v>
      </c>
      <c r="AC1453" s="20" t="str">
        <f>D1453 &amp; "-" &amp; VLOOKUP(D1453,[4]STRATEGIES!$E$1:$F$504,2,FALSE)</f>
        <v>5131-Amélioration du logiciel d'immatriculation et de suivi des élèves</v>
      </c>
      <c r="AD1453" s="21" t="str">
        <f t="shared" si="217"/>
        <v>51313-Formation des cadres des structures déconcentrées à l'utilisation des outils d'immatriculation et de suivi des élèves</v>
      </c>
    </row>
    <row r="1454" spans="1:30" s="22" customFormat="1" ht="45" hidden="1" customHeight="1" x14ac:dyDescent="0.8">
      <c r="A1454" s="14">
        <v>5</v>
      </c>
      <c r="B1454" s="15">
        <v>51</v>
      </c>
      <c r="C1454" s="15">
        <v>513</v>
      </c>
      <c r="D1454" s="15">
        <v>5131</v>
      </c>
      <c r="E1454" s="14">
        <v>51314</v>
      </c>
      <c r="F1454" s="16" t="s">
        <v>1903</v>
      </c>
      <c r="G1454" s="21" t="s">
        <v>92</v>
      </c>
      <c r="H1454" s="17" t="s">
        <v>55</v>
      </c>
      <c r="I1454" s="56">
        <v>0</v>
      </c>
      <c r="J1454" s="56"/>
      <c r="K1454" s="56"/>
      <c r="L1454" s="56"/>
      <c r="M1454" s="56"/>
      <c r="N1454" s="56">
        <f>IF(OR(H1454="",H1454="sif",H1454="PM"),0,VLOOKUP(H1454,[5]CU!$C$4:$H$255,6,FALSE))</f>
        <v>0</v>
      </c>
      <c r="O1454" s="56"/>
      <c r="P1454" s="56"/>
      <c r="Q1454" s="56"/>
      <c r="R1454" s="56"/>
      <c r="S1454" s="53"/>
      <c r="T1454" s="35" t="s">
        <v>56</v>
      </c>
      <c r="U1454" s="18" t="s">
        <v>1873</v>
      </c>
      <c r="V1454" s="19" t="str">
        <f>IF(OR($H1454="",$H1454="sif",$H1454="PM"),"",VLOOKUP($H1454,[5]CU!$C$5:$J$255,8,FALSE))</f>
        <v/>
      </c>
      <c r="W1454" s="18" t="s">
        <v>398</v>
      </c>
      <c r="X1454" s="18" t="s">
        <v>398</v>
      </c>
      <c r="Y1454" s="19" t="s">
        <v>32</v>
      </c>
      <c r="Z1454" s="19" t="str">
        <f>A1454 &amp; "-" &amp; VLOOKUP(A1454,[4]PROGRAMMES!$E$1:$F$7,2,FALSE)</f>
        <v>5-Gouvernance et pilotage du secteur</v>
      </c>
      <c r="AA1454" s="19" t="str">
        <f>B1454 &amp; "-" &amp; VLOOKUP(B1454,[4]SOUSPROGRAMMES!$E$1:$F$44,2,FALSE)</f>
        <v>51-Gestion des flux (mécanismes, orientations, et passerelles)</v>
      </c>
      <c r="AB1454" s="19" t="str">
        <f>C1454 &amp; "-" &amp; VLOOKUP(C1454,[4]RESULTATS!$E$1:$F$176,2,FALSE)</f>
        <v>513- Le logiciel d'immatriculation et de suivi des élèves est amélioré et utilisé</v>
      </c>
      <c r="AC1454" s="20" t="str">
        <f>D1454 &amp; "-" &amp; VLOOKUP(D1454,[4]STRATEGIES!$E$1:$F$504,2,FALSE)</f>
        <v>5131-Amélioration du logiciel d'immatriculation et de suivi des élèves</v>
      </c>
      <c r="AD1454" s="21" t="str">
        <f t="shared" si="217"/>
        <v>51314-Installation de la base de données d'immatriculation des élèves au niveau des établissements (pris en charge dans les budgets des DPE/DCE)</v>
      </c>
    </row>
    <row r="1455" spans="1:30" s="22" customFormat="1" ht="30" customHeight="1" x14ac:dyDescent="0.8">
      <c r="A1455" s="14">
        <v>5</v>
      </c>
      <c r="B1455" s="15">
        <v>51</v>
      </c>
      <c r="C1455" s="15">
        <v>513</v>
      </c>
      <c r="D1455" s="15">
        <v>5131</v>
      </c>
      <c r="E1455" s="14">
        <v>51315</v>
      </c>
      <c r="F1455" s="16" t="s">
        <v>1904</v>
      </c>
      <c r="G1455" s="21" t="s">
        <v>1905</v>
      </c>
      <c r="H1455" s="17" t="s">
        <v>1906</v>
      </c>
      <c r="I1455" s="56">
        <v>0</v>
      </c>
      <c r="J1455" s="56">
        <f>750000/50</f>
        <v>15000</v>
      </c>
      <c r="K1455" s="56">
        <f>(J1455/3)*1.05</f>
        <v>5250</v>
      </c>
      <c r="L1455" s="56">
        <f>(K1455)*1.05</f>
        <v>5512.5</v>
      </c>
      <c r="M1455" s="56">
        <f t="shared" ref="M1455:M1500" si="219">SUM(I1455:L1455)</f>
        <v>25762.5</v>
      </c>
      <c r="N1455" s="56">
        <f>IF(OR(H1455="",H1455="sif",H1455="PM"),0,VLOOKUP(H1455,[5]CU!$C$4:$H$255,6,FALSE))</f>
        <v>0.01</v>
      </c>
      <c r="O1455" s="56">
        <f t="shared" ref="O1455:R1491" si="220">IFERROR($N1455*I1455,0)</f>
        <v>0</v>
      </c>
      <c r="P1455" s="56">
        <f t="shared" si="220"/>
        <v>150</v>
      </c>
      <c r="Q1455" s="56">
        <f t="shared" si="220"/>
        <v>52.5</v>
      </c>
      <c r="R1455" s="56">
        <f t="shared" si="220"/>
        <v>55.125</v>
      </c>
      <c r="S1455" s="53">
        <f>SUM(O1455:R1455)</f>
        <v>257.625</v>
      </c>
      <c r="T1455" s="35" t="s">
        <v>118</v>
      </c>
      <c r="U1455" s="18" t="s">
        <v>1873</v>
      </c>
      <c r="V1455" s="19" t="str">
        <f>IF(OR($H1455="",$H1455="sif",$H1455="PM"),"",VLOOKUP($H1455,[5]CU!$C$5:$J$255,8,FALSE))</f>
        <v>3. Dépenses de fonctionnement</v>
      </c>
      <c r="W1455" s="18" t="s">
        <v>398</v>
      </c>
      <c r="X1455" s="18" t="s">
        <v>398</v>
      </c>
      <c r="Y1455" s="19" t="s">
        <v>32</v>
      </c>
      <c r="Z1455" s="19" t="str">
        <f>A1455 &amp; "-" &amp; VLOOKUP(A1455,[4]PROGRAMMES!$E$1:$F$7,2,FALSE)</f>
        <v>5-Gouvernance et pilotage du secteur</v>
      </c>
      <c r="AA1455" s="19" t="str">
        <f>B1455 &amp; "-" &amp; VLOOKUP(B1455,[4]SOUSPROGRAMMES!$E$1:$F$44,2,FALSE)</f>
        <v>51-Gestion des flux (mécanismes, orientations, et passerelles)</v>
      </c>
      <c r="AB1455" s="19" t="str">
        <f>C1455 &amp; "-" &amp; VLOOKUP(C1455,[4]RESULTATS!$E$1:$F$176,2,FALSE)</f>
        <v>513- Le logiciel d'immatriculation et de suivi des élèves est amélioré et utilisé</v>
      </c>
      <c r="AC1455" s="20" t="str">
        <f>D1455 &amp; "-" &amp; VLOOKUP(D1455,[4]STRATEGIES!$E$1:$F$504,2,FALSE)</f>
        <v>5131-Amélioration du logiciel d'immatriculation et de suivi des élèves</v>
      </c>
      <c r="AD1455" s="21" t="str">
        <f t="shared" si="217"/>
        <v>51315-Saisie de la liste des élèves à immatriculer (par classe de 50 élèves en moyenne)</v>
      </c>
    </row>
    <row r="1456" spans="1:30" s="22" customFormat="1" ht="30" hidden="1" customHeight="1" x14ac:dyDescent="0.8">
      <c r="A1456" s="14">
        <v>5</v>
      </c>
      <c r="B1456" s="15">
        <v>51</v>
      </c>
      <c r="C1456" s="15">
        <v>513</v>
      </c>
      <c r="D1456" s="15">
        <v>5131</v>
      </c>
      <c r="E1456" s="14">
        <v>51316</v>
      </c>
      <c r="F1456" s="16" t="s">
        <v>1907</v>
      </c>
      <c r="G1456" s="21" t="s">
        <v>92</v>
      </c>
      <c r="H1456" s="17" t="s">
        <v>55</v>
      </c>
      <c r="I1456" s="56">
        <v>0</v>
      </c>
      <c r="J1456" s="56">
        <v>1</v>
      </c>
      <c r="K1456" s="56">
        <v>1</v>
      </c>
      <c r="L1456" s="56">
        <v>1</v>
      </c>
      <c r="M1456" s="56">
        <f t="shared" si="219"/>
        <v>3</v>
      </c>
      <c r="N1456" s="56">
        <f>IF(OR(H1456="",H1456="sif",H1456="PM"),0,VLOOKUP(H1456,[5]CU!$C$4:$H$255,6,FALSE))</f>
        <v>0</v>
      </c>
      <c r="O1456" s="56">
        <f t="shared" si="220"/>
        <v>0</v>
      </c>
      <c r="P1456" s="56">
        <f t="shared" si="220"/>
        <v>0</v>
      </c>
      <c r="Q1456" s="56">
        <f t="shared" si="220"/>
        <v>0</v>
      </c>
      <c r="R1456" s="56">
        <f t="shared" si="220"/>
        <v>0</v>
      </c>
      <c r="S1456" s="53"/>
      <c r="T1456" s="35" t="s">
        <v>56</v>
      </c>
      <c r="U1456" s="18" t="s">
        <v>1873</v>
      </c>
      <c r="V1456" s="19" t="str">
        <f>IF(OR($H1456="",$H1456="sif",$H1456="PM"),"",VLOOKUP($H1456,[5]CU!$C$5:$J$255,8,FALSE))</f>
        <v/>
      </c>
      <c r="W1456" s="18" t="s">
        <v>398</v>
      </c>
      <c r="X1456" s="18" t="s">
        <v>398</v>
      </c>
      <c r="Y1456" s="19" t="s">
        <v>32</v>
      </c>
      <c r="Z1456" s="19" t="str">
        <f>A1456 &amp; "-" &amp; VLOOKUP(A1456,[4]PROGRAMMES!$E$1:$F$7,2,FALSE)</f>
        <v>5-Gouvernance et pilotage du secteur</v>
      </c>
      <c r="AA1456" s="19" t="str">
        <f>B1456 &amp; "-" &amp; VLOOKUP(B1456,[4]SOUSPROGRAMMES!$E$1:$F$44,2,FALSE)</f>
        <v>51-Gestion des flux (mécanismes, orientations, et passerelles)</v>
      </c>
      <c r="AB1456" s="19" t="str">
        <f>C1456 &amp; "-" &amp; VLOOKUP(C1456,[4]RESULTATS!$E$1:$F$176,2,FALSE)</f>
        <v>513- Le logiciel d'immatriculation et de suivi des élèves est amélioré et utilisé</v>
      </c>
      <c r="AC1456" s="20" t="str">
        <f>D1456 &amp; "-" &amp; VLOOKUP(D1456,[4]STRATEGIES!$E$1:$F$504,2,FALSE)</f>
        <v>5131-Amélioration du logiciel d'immatriculation et de suivi des élèves</v>
      </c>
      <c r="AD1456" s="21" t="str">
        <f t="shared" si="217"/>
        <v>51316-Consolidation des bases de données d'immatriculation des élèves au niveau des DPE/DCE et IRE</v>
      </c>
    </row>
    <row r="1457" spans="1:30" s="22" customFormat="1" ht="30" hidden="1" customHeight="1" x14ac:dyDescent="0.8">
      <c r="A1457" s="14">
        <v>5</v>
      </c>
      <c r="B1457" s="15">
        <v>51</v>
      </c>
      <c r="C1457" s="15">
        <v>513</v>
      </c>
      <c r="D1457" s="15">
        <v>5131</v>
      </c>
      <c r="E1457" s="14">
        <v>51317</v>
      </c>
      <c r="F1457" s="16" t="s">
        <v>1908</v>
      </c>
      <c r="G1457" s="21" t="s">
        <v>92</v>
      </c>
      <c r="H1457" s="17" t="s">
        <v>55</v>
      </c>
      <c r="I1457" s="56">
        <v>0</v>
      </c>
      <c r="J1457" s="56">
        <v>1</v>
      </c>
      <c r="K1457" s="56">
        <v>1</v>
      </c>
      <c r="L1457" s="56">
        <v>1</v>
      </c>
      <c r="M1457" s="56">
        <f t="shared" si="219"/>
        <v>3</v>
      </c>
      <c r="N1457" s="56">
        <f>IF(OR(H1457="",H1457="sif",H1457="PM"),0,VLOOKUP(H1457,[5]CU!$C$4:$H$255,6,FALSE))</f>
        <v>0</v>
      </c>
      <c r="O1457" s="56">
        <f t="shared" si="220"/>
        <v>0</v>
      </c>
      <c r="P1457" s="56">
        <f t="shared" si="220"/>
        <v>0</v>
      </c>
      <c r="Q1457" s="56">
        <f t="shared" si="220"/>
        <v>0</v>
      </c>
      <c r="R1457" s="56">
        <f t="shared" si="220"/>
        <v>0</v>
      </c>
      <c r="S1457" s="53"/>
      <c r="T1457" s="35" t="s">
        <v>56</v>
      </c>
      <c r="U1457" s="18" t="s">
        <v>1873</v>
      </c>
      <c r="V1457" s="19" t="str">
        <f>IF(OR($H1457="",$H1457="sif",$H1457="PM"),"",VLOOKUP($H1457,[5]CU!$C$5:$J$255,8,FALSE))</f>
        <v/>
      </c>
      <c r="W1457" s="18" t="s">
        <v>398</v>
      </c>
      <c r="X1457" s="18" t="s">
        <v>398</v>
      </c>
      <c r="Y1457" s="19" t="s">
        <v>32</v>
      </c>
      <c r="Z1457" s="19" t="str">
        <f>A1457 &amp; "-" &amp; VLOOKUP(A1457,[4]PROGRAMMES!$E$1:$F$7,2,FALSE)</f>
        <v>5-Gouvernance et pilotage du secteur</v>
      </c>
      <c r="AA1457" s="19" t="str">
        <f>B1457 &amp; "-" &amp; VLOOKUP(B1457,[4]SOUSPROGRAMMES!$E$1:$F$44,2,FALSE)</f>
        <v>51-Gestion des flux (mécanismes, orientations, et passerelles)</v>
      </c>
      <c r="AB1457" s="19" t="str">
        <f>C1457 &amp; "-" &amp; VLOOKUP(C1457,[4]RESULTATS!$E$1:$F$176,2,FALSE)</f>
        <v>513- Le logiciel d'immatriculation et de suivi des élèves est amélioré et utilisé</v>
      </c>
      <c r="AC1457" s="20" t="str">
        <f>D1457 &amp; "-" &amp; VLOOKUP(D1457,[4]STRATEGIES!$E$1:$F$504,2,FALSE)</f>
        <v>5131-Amélioration du logiciel d'immatriculation et de suivi des élèves</v>
      </c>
      <c r="AD1457" s="21" t="str">
        <f t="shared" si="217"/>
        <v>51317-Consolidation des bases de données d'immatriculation des élèves au niveau national</v>
      </c>
    </row>
    <row r="1458" spans="1:30" s="22" customFormat="1" ht="30" hidden="1" customHeight="1" x14ac:dyDescent="0.8">
      <c r="A1458" s="14">
        <v>5</v>
      </c>
      <c r="B1458" s="15">
        <v>51</v>
      </c>
      <c r="C1458" s="15">
        <v>513</v>
      </c>
      <c r="D1458" s="15">
        <v>5131</v>
      </c>
      <c r="E1458" s="14">
        <v>51318</v>
      </c>
      <c r="F1458" s="16" t="s">
        <v>1909</v>
      </c>
      <c r="G1458" s="21" t="s">
        <v>92</v>
      </c>
      <c r="H1458" s="17" t="s">
        <v>55</v>
      </c>
      <c r="I1458" s="56">
        <v>0</v>
      </c>
      <c r="J1458" s="56">
        <v>1</v>
      </c>
      <c r="K1458" s="56">
        <v>1</v>
      </c>
      <c r="L1458" s="56">
        <v>1</v>
      </c>
      <c r="M1458" s="56">
        <f t="shared" si="219"/>
        <v>3</v>
      </c>
      <c r="N1458" s="56">
        <f>IF(OR(H1458="",H1458="sif",H1458="PM"),0,VLOOKUP(H1458,[5]CU!$C$4:$H$255,6,FALSE))</f>
        <v>0</v>
      </c>
      <c r="O1458" s="56">
        <f t="shared" si="220"/>
        <v>0</v>
      </c>
      <c r="P1458" s="56">
        <f t="shared" si="220"/>
        <v>0</v>
      </c>
      <c r="Q1458" s="56">
        <f t="shared" si="220"/>
        <v>0</v>
      </c>
      <c r="R1458" s="56">
        <f t="shared" si="220"/>
        <v>0</v>
      </c>
      <c r="S1458" s="53"/>
      <c r="T1458" s="35" t="s">
        <v>56</v>
      </c>
      <c r="U1458" s="18" t="s">
        <v>1873</v>
      </c>
      <c r="V1458" s="19" t="str">
        <f>IF(OR($H1458="",$H1458="sif",$H1458="PM"),"",VLOOKUP($H1458,[5]CU!$C$5:$J$255,8,FALSE))</f>
        <v/>
      </c>
      <c r="W1458" s="18" t="s">
        <v>398</v>
      </c>
      <c r="X1458" s="18" t="s">
        <v>398</v>
      </c>
      <c r="Y1458" s="19" t="s">
        <v>32</v>
      </c>
      <c r="Z1458" s="19" t="str">
        <f>A1458 &amp; "-" &amp; VLOOKUP(A1458,[4]PROGRAMMES!$E$1:$F$7,2,FALSE)</f>
        <v>5-Gouvernance et pilotage du secteur</v>
      </c>
      <c r="AA1458" s="19" t="str">
        <f>B1458 &amp; "-" &amp; VLOOKUP(B1458,[4]SOUSPROGRAMMES!$E$1:$F$44,2,FALSE)</f>
        <v>51-Gestion des flux (mécanismes, orientations, et passerelles)</v>
      </c>
      <c r="AB1458" s="19" t="str">
        <f>C1458 &amp; "-" &amp; VLOOKUP(C1458,[4]RESULTATS!$E$1:$F$176,2,FALSE)</f>
        <v>513- Le logiciel d'immatriculation et de suivi des élèves est amélioré et utilisé</v>
      </c>
      <c r="AC1458" s="20" t="str">
        <f>D1458 &amp; "-" &amp; VLOOKUP(D1458,[4]STRATEGIES!$E$1:$F$504,2,FALSE)</f>
        <v>5131-Amélioration du logiciel d'immatriculation et de suivi des élèves</v>
      </c>
      <c r="AD1458" s="21" t="str">
        <f t="shared" si="217"/>
        <v>51318-Génération des matricules au niveau national</v>
      </c>
    </row>
    <row r="1459" spans="1:30" s="22" customFormat="1" ht="30" hidden="1" customHeight="1" x14ac:dyDescent="0.8">
      <c r="A1459" s="14">
        <v>5</v>
      </c>
      <c r="B1459" s="15">
        <v>51</v>
      </c>
      <c r="C1459" s="15">
        <v>513</v>
      </c>
      <c r="D1459" s="15">
        <v>5131</v>
      </c>
      <c r="E1459" s="14">
        <v>51319</v>
      </c>
      <c r="F1459" s="16" t="s">
        <v>1910</v>
      </c>
      <c r="G1459" s="21" t="s">
        <v>92</v>
      </c>
      <c r="H1459" s="17" t="s">
        <v>55</v>
      </c>
      <c r="I1459" s="56">
        <v>0</v>
      </c>
      <c r="J1459" s="56">
        <v>1</v>
      </c>
      <c r="K1459" s="56">
        <v>1</v>
      </c>
      <c r="L1459" s="56">
        <v>1</v>
      </c>
      <c r="M1459" s="56">
        <f t="shared" si="219"/>
        <v>3</v>
      </c>
      <c r="N1459" s="56">
        <f>IF(OR(H1459="",H1459="sif",H1459="PM"),0,VLOOKUP(H1459,[5]CU!$C$4:$H$255,6,FALSE))</f>
        <v>0</v>
      </c>
      <c r="O1459" s="56">
        <f t="shared" si="220"/>
        <v>0</v>
      </c>
      <c r="P1459" s="56">
        <f t="shared" si="220"/>
        <v>0</v>
      </c>
      <c r="Q1459" s="56">
        <f t="shared" si="220"/>
        <v>0</v>
      </c>
      <c r="R1459" s="56">
        <f t="shared" si="220"/>
        <v>0</v>
      </c>
      <c r="S1459" s="53"/>
      <c r="T1459" s="35" t="s">
        <v>56</v>
      </c>
      <c r="U1459" s="18" t="s">
        <v>1873</v>
      </c>
      <c r="V1459" s="19" t="str">
        <f>IF(OR($H1459="",$H1459="sif",$H1459="PM"),"",VLOOKUP($H1459,[5]CU!$C$5:$J$255,8,FALSE))</f>
        <v/>
      </c>
      <c r="W1459" s="18" t="s">
        <v>398</v>
      </c>
      <c r="X1459" s="18" t="s">
        <v>398</v>
      </c>
      <c r="Y1459" s="19" t="s">
        <v>32</v>
      </c>
      <c r="Z1459" s="19" t="str">
        <f>A1459 &amp; "-" &amp; VLOOKUP(A1459,[4]PROGRAMMES!$E$1:$F$7,2,FALSE)</f>
        <v>5-Gouvernance et pilotage du secteur</v>
      </c>
      <c r="AA1459" s="19" t="str">
        <f>B1459 &amp; "-" &amp; VLOOKUP(B1459,[4]SOUSPROGRAMMES!$E$1:$F$44,2,FALSE)</f>
        <v>51-Gestion des flux (mécanismes, orientations, et passerelles)</v>
      </c>
      <c r="AB1459" s="19" t="str">
        <f>C1459 &amp; "-" &amp; VLOOKUP(C1459,[4]RESULTATS!$E$1:$F$176,2,FALSE)</f>
        <v>513- Le logiciel d'immatriculation et de suivi des élèves est amélioré et utilisé</v>
      </c>
      <c r="AC1459" s="20" t="str">
        <f>D1459 &amp; "-" &amp; VLOOKUP(D1459,[4]STRATEGIES!$E$1:$F$504,2,FALSE)</f>
        <v>5131-Amélioration du logiciel d'immatriculation et de suivi des élèves</v>
      </c>
      <c r="AD1459" s="21" t="str">
        <f t="shared" si="217"/>
        <v>51319-Transmission des matricules aux IRE, DPE/DCE et établissements</v>
      </c>
    </row>
    <row r="1460" spans="1:30" s="22" customFormat="1" ht="30" hidden="1" customHeight="1" x14ac:dyDescent="0.8">
      <c r="A1460" s="14">
        <v>5</v>
      </c>
      <c r="B1460" s="15">
        <v>51</v>
      </c>
      <c r="C1460" s="15">
        <v>513</v>
      </c>
      <c r="D1460" s="15">
        <v>5131</v>
      </c>
      <c r="E1460" s="14">
        <v>513110</v>
      </c>
      <c r="F1460" s="16" t="s">
        <v>1911</v>
      </c>
      <c r="G1460" s="21" t="s">
        <v>92</v>
      </c>
      <c r="H1460" s="17" t="s">
        <v>55</v>
      </c>
      <c r="I1460" s="56">
        <v>0</v>
      </c>
      <c r="J1460" s="56">
        <v>1</v>
      </c>
      <c r="K1460" s="56">
        <v>1</v>
      </c>
      <c r="L1460" s="56">
        <v>1</v>
      </c>
      <c r="M1460" s="56">
        <f t="shared" si="219"/>
        <v>3</v>
      </c>
      <c r="N1460" s="56">
        <f>IF(OR(H1460="",H1460="sif",H1460="PM"),0,VLOOKUP(H1460,[5]CU!$C$4:$H$255,6,FALSE))</f>
        <v>0</v>
      </c>
      <c r="O1460" s="56">
        <f t="shared" si="220"/>
        <v>0</v>
      </c>
      <c r="P1460" s="56">
        <f t="shared" si="220"/>
        <v>0</v>
      </c>
      <c r="Q1460" s="56">
        <f t="shared" si="220"/>
        <v>0</v>
      </c>
      <c r="R1460" s="56">
        <f t="shared" si="220"/>
        <v>0</v>
      </c>
      <c r="S1460" s="53"/>
      <c r="T1460" s="35" t="s">
        <v>56</v>
      </c>
      <c r="U1460" s="18" t="s">
        <v>1873</v>
      </c>
      <c r="V1460" s="19" t="str">
        <f>IF(OR($H1460="",$H1460="sif",$H1460="PM"),"",VLOOKUP($H1460,[5]CU!$C$5:$J$255,8,FALSE))</f>
        <v/>
      </c>
      <c r="W1460" s="18" t="s">
        <v>398</v>
      </c>
      <c r="X1460" s="18" t="s">
        <v>398</v>
      </c>
      <c r="Y1460" s="19" t="s">
        <v>32</v>
      </c>
      <c r="Z1460" s="19" t="str">
        <f>A1460 &amp; "-" &amp; VLOOKUP(A1460,[4]PROGRAMMES!$E$1:$F$7,2,FALSE)</f>
        <v>5-Gouvernance et pilotage du secteur</v>
      </c>
      <c r="AA1460" s="19" t="str">
        <f>B1460 &amp; "-" &amp; VLOOKUP(B1460,[4]SOUSPROGRAMMES!$E$1:$F$44,2,FALSE)</f>
        <v>51-Gestion des flux (mécanismes, orientations, et passerelles)</v>
      </c>
      <c r="AB1460" s="19" t="str">
        <f>C1460 &amp; "-" &amp; VLOOKUP(C1460,[4]RESULTATS!$E$1:$F$176,2,FALSE)</f>
        <v>513- Le logiciel d'immatriculation et de suivi des élèves est amélioré et utilisé</v>
      </c>
      <c r="AC1460" s="20" t="str">
        <f>D1460 &amp; "-" &amp; VLOOKUP(D1460,[4]STRATEGIES!$E$1:$F$504,2,FALSE)</f>
        <v>5131-Amélioration du logiciel d'immatriculation et de suivi des élèves</v>
      </c>
      <c r="AD1460" s="21" t="str">
        <f t="shared" si="217"/>
        <v>513110-Impression et affichages des matricules des élèves (pris en charge dans les budgets des établissements)</v>
      </c>
    </row>
    <row r="1461" spans="1:30" s="22" customFormat="1" ht="30" customHeight="1" x14ac:dyDescent="0.8">
      <c r="A1461" s="14">
        <v>5</v>
      </c>
      <c r="B1461" s="15">
        <v>51</v>
      </c>
      <c r="C1461" s="15">
        <v>513</v>
      </c>
      <c r="D1461" s="15">
        <v>5132</v>
      </c>
      <c r="E1461" s="14">
        <v>5132</v>
      </c>
      <c r="F1461" s="16" t="s">
        <v>1912</v>
      </c>
      <c r="G1461" s="17"/>
      <c r="H1461" s="17"/>
      <c r="I1461" s="56">
        <v>0</v>
      </c>
      <c r="J1461" s="56"/>
      <c r="K1461" s="56"/>
      <c r="L1461" s="56"/>
      <c r="M1461" s="56"/>
      <c r="N1461" s="56"/>
      <c r="O1461" s="56"/>
      <c r="P1461" s="56"/>
      <c r="Q1461" s="56"/>
      <c r="R1461" s="56"/>
      <c r="S1461" s="53"/>
      <c r="T1461" s="33"/>
      <c r="U1461" s="18"/>
      <c r="V1461" s="19"/>
      <c r="W1461" s="18"/>
      <c r="X1461" s="18"/>
      <c r="Y1461" s="18"/>
      <c r="Z1461" s="19" t="str">
        <f>A1461 &amp; "-" &amp; VLOOKUP(A1461,[4]PROGRAMMES!$E$1:$F$7,2,FALSE)</f>
        <v>5-Gouvernance et pilotage du secteur</v>
      </c>
      <c r="AA1461" s="19" t="str">
        <f>B1461 &amp; "-" &amp; VLOOKUP(B1461,[4]SOUSPROGRAMMES!$E$1:$F$44,2,FALSE)</f>
        <v>51-Gestion des flux (mécanismes, orientations, et passerelles)</v>
      </c>
      <c r="AB1461" s="19" t="str">
        <f>C1461 &amp; "-" &amp; VLOOKUP(C1461,[4]RESULTATS!$E$1:$F$176,2,FALSE)</f>
        <v>513- Le logiciel d'immatriculation et de suivi des élèves est amélioré et utilisé</v>
      </c>
      <c r="AC1461" s="20" t="str">
        <f>D1461 &amp; "-" &amp; VLOOKUP(D1461,[4]STRATEGIES!$E$1:$F$504,2,FALSE)</f>
        <v>5132-Sensibilisation des élèves, des parents et de la communauté sur l'importance de l’ETFP</v>
      </c>
      <c r="AD1461" s="21" t="str">
        <f t="shared" si="217"/>
        <v>5132-Sensibilisation des élèves, des parents et de la communauté sur l'importance de l’ETFP</v>
      </c>
    </row>
    <row r="1462" spans="1:30" s="22" customFormat="1" ht="30" customHeight="1" x14ac:dyDescent="0.8">
      <c r="A1462" s="14">
        <v>5</v>
      </c>
      <c r="B1462" s="15">
        <v>51</v>
      </c>
      <c r="C1462" s="15">
        <v>513</v>
      </c>
      <c r="D1462" s="15">
        <v>5132</v>
      </c>
      <c r="E1462" s="14">
        <v>51321</v>
      </c>
      <c r="F1462" s="16" t="s">
        <v>1913</v>
      </c>
      <c r="G1462" s="21" t="s">
        <v>37</v>
      </c>
      <c r="H1462" s="17" t="s">
        <v>66</v>
      </c>
      <c r="I1462" s="56">
        <v>0</v>
      </c>
      <c r="J1462" s="56">
        <f>25*5</f>
        <v>125</v>
      </c>
      <c r="K1462" s="56">
        <v>0</v>
      </c>
      <c r="L1462" s="56">
        <v>0</v>
      </c>
      <c r="M1462" s="56">
        <f t="shared" si="219"/>
        <v>125</v>
      </c>
      <c r="N1462" s="56">
        <f>IF(OR(H1462="",H1462="sif",H1462="PM"),0,VLOOKUP(H1462,[5]CU!$C$4:$H$255,6,FALSE))</f>
        <v>0.255</v>
      </c>
      <c r="O1462" s="56">
        <f t="shared" si="220"/>
        <v>0</v>
      </c>
      <c r="P1462" s="56">
        <f t="shared" si="220"/>
        <v>31.875</v>
      </c>
      <c r="Q1462" s="56">
        <f t="shared" si="220"/>
        <v>0</v>
      </c>
      <c r="R1462" s="56">
        <f t="shared" si="220"/>
        <v>0</v>
      </c>
      <c r="S1462" s="53">
        <f>SUM(O1462:R1462)</f>
        <v>31.875</v>
      </c>
      <c r="T1462" s="35" t="s">
        <v>118</v>
      </c>
      <c r="U1462" s="18" t="s">
        <v>1873</v>
      </c>
      <c r="V1462" s="19" t="str">
        <f>IF(OR($H1462="",$H1462="sif",$H1462="PM"),"",VLOOKUP($H1462,[5]CU!$C$5:$J$255,8,FALSE))</f>
        <v>3. Dépenses de fonctionnement</v>
      </c>
      <c r="W1462" s="18" t="s">
        <v>1914</v>
      </c>
      <c r="X1462" s="18" t="s">
        <v>1914</v>
      </c>
      <c r="Y1462" s="19" t="s">
        <v>32</v>
      </c>
      <c r="Z1462" s="19" t="str">
        <f>A1462 &amp; "-" &amp; VLOOKUP(A1462,[4]PROGRAMMES!$E$1:$F$7,2,FALSE)</f>
        <v>5-Gouvernance et pilotage du secteur</v>
      </c>
      <c r="AA1462" s="19" t="str">
        <f>B1462 &amp; "-" &amp; VLOOKUP(B1462,[4]SOUSPROGRAMMES!$E$1:$F$44,2,FALSE)</f>
        <v>51-Gestion des flux (mécanismes, orientations, et passerelles)</v>
      </c>
      <c r="AB1462" s="19" t="str">
        <f>C1462 &amp; "-" &amp; VLOOKUP(C1462,[4]RESULTATS!$E$1:$F$176,2,FALSE)</f>
        <v>513- Le logiciel d'immatriculation et de suivi des élèves est amélioré et utilisé</v>
      </c>
      <c r="AC1462" s="20" t="str">
        <f>D1462 &amp; "-" &amp; VLOOKUP(D1462,[4]STRATEGIES!$E$1:$F$504,2,FALSE)</f>
        <v>5132-Sensibilisation des élèves, des parents et de la communauté sur l'importance de l’ETFP</v>
      </c>
      <c r="AD1462" s="21" t="str">
        <f t="shared" si="217"/>
        <v>51321-Elaboration d'une stratégie de sensibilisation</v>
      </c>
    </row>
    <row r="1463" spans="1:30" s="22" customFormat="1" ht="60" customHeight="1" x14ac:dyDescent="0.8">
      <c r="A1463" s="14">
        <v>5</v>
      </c>
      <c r="B1463" s="15">
        <v>51</v>
      </c>
      <c r="C1463" s="15">
        <v>513</v>
      </c>
      <c r="D1463" s="15">
        <v>5132</v>
      </c>
      <c r="E1463" s="14">
        <v>51322</v>
      </c>
      <c r="F1463" s="16" t="s">
        <v>1915</v>
      </c>
      <c r="G1463" s="21" t="s">
        <v>1916</v>
      </c>
      <c r="H1463" s="17" t="s">
        <v>76</v>
      </c>
      <c r="I1463" s="56">
        <v>0</v>
      </c>
      <c r="J1463" s="56">
        <v>2</v>
      </c>
      <c r="K1463" s="56">
        <v>2</v>
      </c>
      <c r="L1463" s="56">
        <v>2</v>
      </c>
      <c r="M1463" s="56">
        <f t="shared" si="219"/>
        <v>6</v>
      </c>
      <c r="N1463" s="56">
        <f>IF(OR(H1463="",H1463="sif",H1463="PM"),0,VLOOKUP(H1463,[5]CU!$C$4:$H$255,6,FALSE))</f>
        <v>45.936799999999998</v>
      </c>
      <c r="O1463" s="56">
        <f t="shared" si="220"/>
        <v>0</v>
      </c>
      <c r="P1463" s="56">
        <f t="shared" si="220"/>
        <v>91.873599999999996</v>
      </c>
      <c r="Q1463" s="56">
        <f t="shared" si="220"/>
        <v>91.873599999999996</v>
      </c>
      <c r="R1463" s="56">
        <f t="shared" si="220"/>
        <v>91.873599999999996</v>
      </c>
      <c r="S1463" s="53">
        <f>SUM(O1463:R1463)</f>
        <v>275.62079999999997</v>
      </c>
      <c r="T1463" s="35" t="s">
        <v>118</v>
      </c>
      <c r="U1463" s="18" t="s">
        <v>1873</v>
      </c>
      <c r="V1463" s="19" t="str">
        <f>IF(OR($H1463="",$H1463="sif",$H1463="PM"),"",VLOOKUP($H1463,[5]CU!$C$5:$J$255,8,FALSE))</f>
        <v>3. Dépenses de fonctionnement</v>
      </c>
      <c r="W1463" s="18" t="s">
        <v>1914</v>
      </c>
      <c r="X1463" s="18" t="s">
        <v>1914</v>
      </c>
      <c r="Y1463" s="19" t="s">
        <v>32</v>
      </c>
      <c r="Z1463" s="19" t="str">
        <f>A1463 &amp; "-" &amp; VLOOKUP(A1463,[4]PROGRAMMES!$E$1:$F$7,2,FALSE)</f>
        <v>5-Gouvernance et pilotage du secteur</v>
      </c>
      <c r="AA1463" s="19" t="str">
        <f>B1463 &amp; "-" &amp; VLOOKUP(B1463,[4]SOUSPROGRAMMES!$E$1:$F$44,2,FALSE)</f>
        <v>51-Gestion des flux (mécanismes, orientations, et passerelles)</v>
      </c>
      <c r="AB1463" s="19" t="str">
        <f>C1463 &amp; "-" &amp; VLOOKUP(C1463,[4]RESULTATS!$E$1:$F$176,2,FALSE)</f>
        <v>513- Le logiciel d'immatriculation et de suivi des élèves est amélioré et utilisé</v>
      </c>
      <c r="AC1463" s="20" t="str">
        <f>D1463 &amp; "-" &amp; VLOOKUP(D1463,[4]STRATEGIES!$E$1:$F$504,2,FALSE)</f>
        <v>5132-Sensibilisation des élèves, des parents et de la communauté sur l'importance de l’ETFP</v>
      </c>
      <c r="AD1463" s="21" t="str">
        <f t="shared" si="217"/>
        <v>51322-Campagnes de sensibilisation des enseignants</v>
      </c>
    </row>
    <row r="1464" spans="1:30" s="22" customFormat="1" ht="30" customHeight="1" x14ac:dyDescent="0.8">
      <c r="A1464" s="14">
        <v>5</v>
      </c>
      <c r="B1464" s="15">
        <v>51</v>
      </c>
      <c r="C1464" s="15">
        <v>513</v>
      </c>
      <c r="D1464" s="15">
        <v>5132</v>
      </c>
      <c r="E1464" s="14">
        <v>51323</v>
      </c>
      <c r="F1464" s="16" t="s">
        <v>1917</v>
      </c>
      <c r="G1464" s="21" t="s">
        <v>1918</v>
      </c>
      <c r="H1464" s="17" t="s">
        <v>1919</v>
      </c>
      <c r="I1464" s="56">
        <v>0</v>
      </c>
      <c r="J1464" s="56">
        <f>(1*12)+(1*12)</f>
        <v>24</v>
      </c>
      <c r="K1464" s="56">
        <v>12</v>
      </c>
      <c r="L1464" s="56">
        <v>12</v>
      </c>
      <c r="M1464" s="56">
        <f t="shared" si="219"/>
        <v>48</v>
      </c>
      <c r="N1464" s="56">
        <f>IF(OR(H1464="",H1464="sif",H1464="PM"),0,VLOOKUP(H1464,[5]CU!$C$4:$H$255,6,FALSE))</f>
        <v>1.5</v>
      </c>
      <c r="O1464" s="56">
        <f t="shared" si="220"/>
        <v>0</v>
      </c>
      <c r="P1464" s="56">
        <f t="shared" si="220"/>
        <v>36</v>
      </c>
      <c r="Q1464" s="56">
        <f t="shared" si="220"/>
        <v>18</v>
      </c>
      <c r="R1464" s="56">
        <f t="shared" si="220"/>
        <v>18</v>
      </c>
      <c r="S1464" s="53">
        <f>SUM(O1464:R1464)</f>
        <v>72</v>
      </c>
      <c r="T1464" s="35" t="s">
        <v>118</v>
      </c>
      <c r="U1464" s="18" t="s">
        <v>1873</v>
      </c>
      <c r="V1464" s="19" t="str">
        <f>IF(OR($H1464="",$H1464="sif",$H1464="PM"),"",VLOOKUP($H1464,[5]CU!$C$5:$J$255,8,FALSE))</f>
        <v>3. Dépenses de fonctionnement</v>
      </c>
      <c r="W1464" s="18" t="s">
        <v>1914</v>
      </c>
      <c r="X1464" s="18" t="s">
        <v>1920</v>
      </c>
      <c r="Y1464" s="19" t="s">
        <v>32</v>
      </c>
      <c r="Z1464" s="19" t="str">
        <f>A1464 &amp; "-" &amp; VLOOKUP(A1464,[4]PROGRAMMES!$E$1:$F$7,2,FALSE)</f>
        <v>5-Gouvernance et pilotage du secteur</v>
      </c>
      <c r="AA1464" s="19" t="str">
        <f>B1464 &amp; "-" &amp; VLOOKUP(B1464,[4]SOUSPROGRAMMES!$E$1:$F$44,2,FALSE)</f>
        <v>51-Gestion des flux (mécanismes, orientations, et passerelles)</v>
      </c>
      <c r="AB1464" s="19" t="str">
        <f>C1464 &amp; "-" &amp; VLOOKUP(C1464,[4]RESULTATS!$E$1:$F$176,2,FALSE)</f>
        <v>513- Le logiciel d'immatriculation et de suivi des élèves est amélioré et utilisé</v>
      </c>
      <c r="AC1464" s="20" t="str">
        <f>D1464 &amp; "-" &amp; VLOOKUP(D1464,[4]STRATEGIES!$E$1:$F$504,2,FALSE)</f>
        <v>5132-Sensibilisation des élèves, des parents et de la communauté sur l'importance de l’ETFP</v>
      </c>
      <c r="AD1464" s="21" t="str">
        <f t="shared" si="217"/>
        <v>51323-Emissions à la radio et à la télé</v>
      </c>
    </row>
    <row r="1465" spans="1:30" s="22" customFormat="1" ht="30" customHeight="1" x14ac:dyDescent="0.8">
      <c r="A1465" s="14">
        <v>5</v>
      </c>
      <c r="B1465" s="15">
        <v>51</v>
      </c>
      <c r="C1465" s="15">
        <v>513</v>
      </c>
      <c r="D1465" s="15">
        <v>5132</v>
      </c>
      <c r="E1465" s="14">
        <v>51324</v>
      </c>
      <c r="F1465" s="16" t="s">
        <v>1921</v>
      </c>
      <c r="G1465" s="21" t="s">
        <v>1922</v>
      </c>
      <c r="H1465" s="17" t="s">
        <v>73</v>
      </c>
      <c r="I1465" s="56">
        <v>0</v>
      </c>
      <c r="J1465" s="56">
        <f>38*2*15</f>
        <v>1140</v>
      </c>
      <c r="K1465" s="56">
        <f>38*2*15</f>
        <v>1140</v>
      </c>
      <c r="L1465" s="56">
        <f>38*2*15</f>
        <v>1140</v>
      </c>
      <c r="M1465" s="56">
        <f t="shared" si="219"/>
        <v>3420</v>
      </c>
      <c r="N1465" s="56">
        <f>IF(OR(H1465="",H1465="sif",H1465="PM"),0,VLOOKUP(H1465,[5]CU!$C$4:$H$255,6,FALSE))</f>
        <v>0.4</v>
      </c>
      <c r="O1465" s="56">
        <f t="shared" si="220"/>
        <v>0</v>
      </c>
      <c r="P1465" s="56">
        <f t="shared" si="220"/>
        <v>456</v>
      </c>
      <c r="Q1465" s="56">
        <f t="shared" si="220"/>
        <v>456</v>
      </c>
      <c r="R1465" s="56">
        <f t="shared" si="220"/>
        <v>456</v>
      </c>
      <c r="S1465" s="53">
        <f>SUM(O1465:R1465)</f>
        <v>1368</v>
      </c>
      <c r="T1465" s="35" t="s">
        <v>118</v>
      </c>
      <c r="U1465" s="18" t="s">
        <v>1873</v>
      </c>
      <c r="V1465" s="19" t="str">
        <f>IF(OR($H1465="",$H1465="sif",$H1465="PM"),"",VLOOKUP($H1465,[5]CU!$C$5:$J$255,8,FALSE))</f>
        <v>3. Dépenses de fonctionnement</v>
      </c>
      <c r="W1465" s="18" t="s">
        <v>1914</v>
      </c>
      <c r="X1465" s="18" t="s">
        <v>1920</v>
      </c>
      <c r="Y1465" s="19" t="s">
        <v>32</v>
      </c>
      <c r="Z1465" s="19" t="str">
        <f>A1465 &amp; "-" &amp; VLOOKUP(A1465,[4]PROGRAMMES!$E$1:$F$7,2,FALSE)</f>
        <v>5-Gouvernance et pilotage du secteur</v>
      </c>
      <c r="AA1465" s="19" t="str">
        <f>B1465 &amp; "-" &amp; VLOOKUP(B1465,[4]SOUSPROGRAMMES!$E$1:$F$44,2,FALSE)</f>
        <v>51-Gestion des flux (mécanismes, orientations, et passerelles)</v>
      </c>
      <c r="AB1465" s="19" t="str">
        <f>C1465 &amp; "-" &amp; VLOOKUP(C1465,[4]RESULTATS!$E$1:$F$176,2,FALSE)</f>
        <v>513- Le logiciel d'immatriculation et de suivi des élèves est amélioré et utilisé</v>
      </c>
      <c r="AC1465" s="20" t="str">
        <f>D1465 &amp; "-" &amp; VLOOKUP(D1465,[4]STRATEGIES!$E$1:$F$504,2,FALSE)</f>
        <v>5132-Sensibilisation des élèves, des parents et de la communauté sur l'importance de l’ETFP</v>
      </c>
      <c r="AD1465" s="21" t="str">
        <f t="shared" si="217"/>
        <v>51324-sensibilisation à l'importance de l'ETFP</v>
      </c>
    </row>
    <row r="1466" spans="1:30" s="22" customFormat="1" ht="60" customHeight="1" x14ac:dyDescent="0.8">
      <c r="A1466" s="14">
        <v>5</v>
      </c>
      <c r="B1466" s="15">
        <v>52</v>
      </c>
      <c r="C1466" s="15">
        <v>52</v>
      </c>
      <c r="D1466" s="15">
        <v>52</v>
      </c>
      <c r="E1466" s="14">
        <v>52</v>
      </c>
      <c r="F1466" s="16" t="s">
        <v>1923</v>
      </c>
      <c r="G1466" s="17"/>
      <c r="H1466" s="17"/>
      <c r="I1466" s="56">
        <v>0</v>
      </c>
      <c r="J1466" s="56"/>
      <c r="K1466" s="56"/>
      <c r="L1466" s="56"/>
      <c r="M1466" s="56"/>
      <c r="N1466" s="56"/>
      <c r="O1466" s="56"/>
      <c r="P1466" s="56"/>
      <c r="Q1466" s="56"/>
      <c r="R1466" s="56"/>
      <c r="S1466" s="53"/>
      <c r="T1466" s="33"/>
      <c r="U1466" s="18"/>
      <c r="V1466" s="19"/>
      <c r="W1466" s="18"/>
      <c r="X1466" s="18"/>
      <c r="Y1466" s="18"/>
      <c r="Z1466" s="19" t="str">
        <f>A1466 &amp; "-" &amp; VLOOKUP(A1466,[4]PROGRAMMES!$E$1:$F$7,2,FALSE)</f>
        <v>5-Gouvernance et pilotage du secteur</v>
      </c>
      <c r="AA1466" s="19" t="str">
        <f>B1466 &amp; "-" &amp; VLOOKUP(B1466,[4]SOUSPROGRAMMES!$E$1:$F$44,2,FALSE)</f>
        <v>52-Déconcentration, décentralisation, et partenariats (implication des communautés et des autres parties prenantes)</v>
      </c>
      <c r="AB1466" s="19" t="str">
        <f>C1466 &amp; "-" &amp; VLOOKUP(C1466,[4]RESULTATS!$E$1:$F$176,2,FALSE)</f>
        <v>52-Déconcentration, décentralisation, et partenariats (implication des communautés et des autres parties prenantes)</v>
      </c>
      <c r="AC1466" s="20" t="str">
        <f>D1466 &amp; "-" &amp; VLOOKUP(D1466,[4]STRATEGIES!$E$1:$F$504,2,FALSE)</f>
        <v>52-Déconcentration, décentralisation, et partenariats (implication des communautés et des autres parties prenantes)</v>
      </c>
      <c r="AD1466" s="21" t="str">
        <f t="shared" si="217"/>
        <v>52-Déconcentration, décentralisation, et partenariats (implication des communautés et des autres parties prenantes)</v>
      </c>
    </row>
    <row r="1467" spans="1:30" s="22" customFormat="1" ht="60" customHeight="1" x14ac:dyDescent="0.8">
      <c r="A1467" s="14">
        <v>5</v>
      </c>
      <c r="B1467" s="15">
        <v>52</v>
      </c>
      <c r="C1467" s="15">
        <v>521</v>
      </c>
      <c r="D1467" s="15">
        <v>521</v>
      </c>
      <c r="E1467" s="14">
        <v>521</v>
      </c>
      <c r="F1467" s="16" t="s">
        <v>1924</v>
      </c>
      <c r="G1467" s="17"/>
      <c r="H1467" s="17"/>
      <c r="I1467" s="56">
        <v>0</v>
      </c>
      <c r="J1467" s="56"/>
      <c r="K1467" s="56"/>
      <c r="L1467" s="56"/>
      <c r="M1467" s="56"/>
      <c r="N1467" s="56"/>
      <c r="O1467" s="56"/>
      <c r="P1467" s="56"/>
      <c r="Q1467" s="56"/>
      <c r="R1467" s="56"/>
      <c r="S1467" s="53"/>
      <c r="T1467" s="33"/>
      <c r="U1467" s="18"/>
      <c r="V1467" s="19"/>
      <c r="W1467" s="18"/>
      <c r="X1467" s="18"/>
      <c r="Y1467" s="18"/>
      <c r="Z1467" s="19" t="str">
        <f>A1467 &amp; "-" &amp; VLOOKUP(A1467,[4]PROGRAMMES!$E$1:$F$7,2,FALSE)</f>
        <v>5-Gouvernance et pilotage du secteur</v>
      </c>
      <c r="AA1467" s="19" t="str">
        <f>B1467 &amp; "-" &amp; VLOOKUP(B1467,[4]SOUSPROGRAMMES!$E$1:$F$44,2,FALSE)</f>
        <v>52-Déconcentration, décentralisation, et partenariats (implication des communautés et des autres parties prenantes)</v>
      </c>
      <c r="AB1467" s="19" t="str">
        <f>C1467 &amp; "-" &amp; VLOOKUP(C1467,[4]RESULTATS!$E$1:$F$176,2,FALSE)</f>
        <v>521-Les rôles et responsabilités des acteurs sont clairement définis</v>
      </c>
      <c r="AC1467" s="20" t="str">
        <f>D1467 &amp; "-" &amp; VLOOKUP(D1467,[4]STRATEGIES!$E$1:$F$504,2,FALSE)</f>
        <v>521-Les rôles et responsabilités des acteurs sont clairement définis</v>
      </c>
      <c r="AD1467" s="21" t="str">
        <f t="shared" si="217"/>
        <v>521-Les rôles et responsabilités des acteurs sont clairement déFinis</v>
      </c>
    </row>
    <row r="1468" spans="1:30" s="22" customFormat="1" ht="60" customHeight="1" x14ac:dyDescent="0.8">
      <c r="A1468" s="14">
        <v>5</v>
      </c>
      <c r="B1468" s="15">
        <v>52</v>
      </c>
      <c r="C1468" s="15">
        <v>521</v>
      </c>
      <c r="D1468" s="15">
        <v>5211</v>
      </c>
      <c r="E1468" s="14">
        <v>5211</v>
      </c>
      <c r="F1468" s="16" t="s">
        <v>1925</v>
      </c>
      <c r="G1468" s="17"/>
      <c r="H1468" s="17"/>
      <c r="I1468" s="56">
        <v>0</v>
      </c>
      <c r="J1468" s="56"/>
      <c r="K1468" s="56"/>
      <c r="L1468" s="56"/>
      <c r="M1468" s="56"/>
      <c r="N1468" s="56"/>
      <c r="O1468" s="56"/>
      <c r="P1468" s="56"/>
      <c r="Q1468" s="56"/>
      <c r="R1468" s="56"/>
      <c r="S1468" s="53"/>
      <c r="T1468" s="33"/>
      <c r="U1468" s="18"/>
      <c r="V1468" s="19"/>
      <c r="W1468" s="18"/>
      <c r="X1468" s="18"/>
      <c r="Y1468" s="18"/>
      <c r="Z1468" s="19" t="str">
        <f>A1468 &amp; "-" &amp; VLOOKUP(A1468,[4]PROGRAMMES!$E$1:$F$7,2,FALSE)</f>
        <v>5-Gouvernance et pilotage du secteur</v>
      </c>
      <c r="AA1468" s="19" t="str">
        <f>B1468 &amp; "-" &amp; VLOOKUP(B1468,[4]SOUSPROGRAMMES!$E$1:$F$44,2,FALSE)</f>
        <v>52-Déconcentration, décentralisation, et partenariats (implication des communautés et des autres parties prenantes)</v>
      </c>
      <c r="AB1468" s="19" t="str">
        <f>C1468 &amp; "-" &amp; VLOOKUP(C1468,[4]RESULTATS!$E$1:$F$176,2,FALSE)</f>
        <v>521-Les rôles et responsabilités des acteurs sont clairement définis</v>
      </c>
      <c r="AC1468" s="20" t="str">
        <f>D1468 &amp; "-" &amp; VLOOKUP(D1468,[4]STRATEGIES!$E$1:$F$504,2,FALSE)</f>
        <v>5211-Production de manuels de procédures pour les différents acteurs (rôles et responsabilités)</v>
      </c>
      <c r="AD1468" s="21" t="str">
        <f t="shared" si="217"/>
        <v>5211-Production de manuels de procédures pour les différents acteurs (rôles et responsabilités)</v>
      </c>
    </row>
    <row r="1469" spans="1:30" s="22" customFormat="1" ht="60" hidden="1" customHeight="1" x14ac:dyDescent="0.8">
      <c r="A1469" s="14">
        <v>5</v>
      </c>
      <c r="B1469" s="15">
        <v>52</v>
      </c>
      <c r="C1469" s="15">
        <v>521</v>
      </c>
      <c r="D1469" s="15">
        <v>5211</v>
      </c>
      <c r="E1469" s="14">
        <v>52111</v>
      </c>
      <c r="F1469" s="16" t="s">
        <v>1926</v>
      </c>
      <c r="G1469" s="21" t="s">
        <v>88</v>
      </c>
      <c r="H1469" s="17" t="s">
        <v>55</v>
      </c>
      <c r="I1469" s="56">
        <v>0</v>
      </c>
      <c r="J1469" s="56">
        <v>1</v>
      </c>
      <c r="K1469" s="56">
        <v>0</v>
      </c>
      <c r="L1469" s="56">
        <v>0</v>
      </c>
      <c r="M1469" s="56">
        <f t="shared" si="219"/>
        <v>1</v>
      </c>
      <c r="N1469" s="56">
        <f>IF(OR(H1469="",H1469="sif",H1469="PM"),0,VLOOKUP(H1469,[5]CU!$C$4:$H$255,6,FALSE))</f>
        <v>0</v>
      </c>
      <c r="O1469" s="56">
        <f t="shared" si="220"/>
        <v>0</v>
      </c>
      <c r="P1469" s="56">
        <f t="shared" si="220"/>
        <v>0</v>
      </c>
      <c r="Q1469" s="56">
        <f t="shared" si="220"/>
        <v>0</v>
      </c>
      <c r="R1469" s="56">
        <f t="shared" si="220"/>
        <v>0</v>
      </c>
      <c r="S1469" s="53"/>
      <c r="T1469" s="35" t="s">
        <v>56</v>
      </c>
      <c r="U1469" s="18" t="s">
        <v>1873</v>
      </c>
      <c r="V1469" s="19" t="str">
        <f>IF(OR($H1469="",$H1469="sif",$H1469="PM"),"",VLOOKUP($H1469,[5]CU!$C$5:$J$255,8,FALSE))</f>
        <v/>
      </c>
      <c r="W1469" s="18" t="s">
        <v>255</v>
      </c>
      <c r="X1469" s="18" t="s">
        <v>192</v>
      </c>
      <c r="Y1469" s="19" t="s">
        <v>32</v>
      </c>
      <c r="Z1469" s="19" t="str">
        <f>A1469 &amp; "-" &amp; VLOOKUP(A1469,[4]PROGRAMMES!$E$1:$F$7,2,FALSE)</f>
        <v>5-Gouvernance et pilotage du secteur</v>
      </c>
      <c r="AA1469" s="19" t="str">
        <f>B1469 &amp; "-" &amp; VLOOKUP(B1469,[4]SOUSPROGRAMMES!$E$1:$F$44,2,FALSE)</f>
        <v>52-Déconcentration, décentralisation, et partenariats (implication des communautés et des autres parties prenantes)</v>
      </c>
      <c r="AB1469" s="19" t="str">
        <f>C1469 &amp; "-" &amp; VLOOKUP(C1469,[4]RESULTATS!$E$1:$F$176,2,FALSE)</f>
        <v>521-Les rôles et responsabilités des acteurs sont clairement définis</v>
      </c>
      <c r="AC1469" s="20" t="str">
        <f>D1469 &amp; "-" &amp; VLOOKUP(D1469,[4]STRATEGIES!$E$1:$F$504,2,FALSE)</f>
        <v>5211-Production de manuels de procédures pour les différents acteurs (rôles et responsabilités)</v>
      </c>
      <c r="AD1469" s="21" t="str">
        <f t="shared" si="217"/>
        <v>52111-Mise en place d'une équipe chargée d'élaborer une feuille de route sur la décentralisation de l'éducation</v>
      </c>
    </row>
    <row r="1470" spans="1:30" s="22" customFormat="1" ht="60" hidden="1" customHeight="1" x14ac:dyDescent="0.8">
      <c r="A1470" s="14">
        <v>5</v>
      </c>
      <c r="B1470" s="15">
        <v>52</v>
      </c>
      <c r="C1470" s="15">
        <v>521</v>
      </c>
      <c r="D1470" s="15">
        <v>5211</v>
      </c>
      <c r="E1470" s="14">
        <v>52112</v>
      </c>
      <c r="F1470" s="16" t="s">
        <v>1927</v>
      </c>
      <c r="G1470" s="21" t="s">
        <v>1928</v>
      </c>
      <c r="H1470" s="17" t="s">
        <v>55</v>
      </c>
      <c r="I1470" s="56">
        <v>0</v>
      </c>
      <c r="J1470" s="56">
        <v>1</v>
      </c>
      <c r="K1470" s="56">
        <v>0</v>
      </c>
      <c r="L1470" s="56">
        <v>0</v>
      </c>
      <c r="M1470" s="56">
        <f t="shared" si="219"/>
        <v>1</v>
      </c>
      <c r="N1470" s="56">
        <f>IF(OR(H1470="",H1470="sif",H1470="PM"),0,VLOOKUP(H1470,[5]CU!$C$4:$H$255,6,FALSE))</f>
        <v>0</v>
      </c>
      <c r="O1470" s="56">
        <f t="shared" si="220"/>
        <v>0</v>
      </c>
      <c r="P1470" s="56">
        <f t="shared" si="220"/>
        <v>0</v>
      </c>
      <c r="Q1470" s="56">
        <f t="shared" si="220"/>
        <v>0</v>
      </c>
      <c r="R1470" s="56">
        <f t="shared" si="220"/>
        <v>0</v>
      </c>
      <c r="S1470" s="53"/>
      <c r="T1470" s="35" t="s">
        <v>56</v>
      </c>
      <c r="U1470" s="18" t="s">
        <v>1873</v>
      </c>
      <c r="V1470" s="19" t="str">
        <f>IF(OR($H1470="",$H1470="sif",$H1470="PM"),"",VLOOKUP($H1470,[5]CU!$C$5:$J$255,8,FALSE))</f>
        <v/>
      </c>
      <c r="W1470" s="18" t="s">
        <v>255</v>
      </c>
      <c r="X1470" s="18" t="s">
        <v>192</v>
      </c>
      <c r="Y1470" s="19" t="s">
        <v>32</v>
      </c>
      <c r="Z1470" s="19" t="str">
        <f>A1470 &amp; "-" &amp; VLOOKUP(A1470,[4]PROGRAMMES!$E$1:$F$7,2,FALSE)</f>
        <v>5-Gouvernance et pilotage du secteur</v>
      </c>
      <c r="AA1470" s="19" t="str">
        <f>B1470 &amp; "-" &amp; VLOOKUP(B1470,[4]SOUSPROGRAMMES!$E$1:$F$44,2,FALSE)</f>
        <v>52-Déconcentration, décentralisation, et partenariats (implication des communautés et des autres parties prenantes)</v>
      </c>
      <c r="AB1470" s="19" t="str">
        <f>C1470 &amp; "-" &amp; VLOOKUP(C1470,[4]RESULTATS!$E$1:$F$176,2,FALSE)</f>
        <v>521-Les rôles et responsabilités des acteurs sont clairement définis</v>
      </c>
      <c r="AC1470" s="20" t="str">
        <f>D1470 &amp; "-" &amp; VLOOKUP(D1470,[4]STRATEGIES!$E$1:$F$504,2,FALSE)</f>
        <v>5211-Production de manuels de procédures pour les différents acteurs (rôles et responsabilités)</v>
      </c>
      <c r="AD1470" s="21" t="str">
        <f t="shared" si="217"/>
        <v xml:space="preserve">52112-Indentification des rôles et responsabilités des services déconcentrés de l'éducation en lien avec le code des collectivités territoriales </v>
      </c>
    </row>
    <row r="1471" spans="1:30" s="22" customFormat="1" ht="60" customHeight="1" x14ac:dyDescent="0.8">
      <c r="A1471" s="14">
        <v>5</v>
      </c>
      <c r="B1471" s="15">
        <v>52</v>
      </c>
      <c r="C1471" s="15">
        <v>521</v>
      </c>
      <c r="D1471" s="15">
        <v>5211</v>
      </c>
      <c r="E1471" s="14">
        <v>52113</v>
      </c>
      <c r="F1471" s="16" t="s">
        <v>1929</v>
      </c>
      <c r="G1471" s="21" t="s">
        <v>1930</v>
      </c>
      <c r="H1471" s="17" t="s">
        <v>66</v>
      </c>
      <c r="I1471" s="56">
        <v>0</v>
      </c>
      <c r="J1471" s="56">
        <f>15*3</f>
        <v>45</v>
      </c>
      <c r="K1471" s="56">
        <v>0</v>
      </c>
      <c r="L1471" s="56">
        <v>0</v>
      </c>
      <c r="M1471" s="56">
        <f t="shared" si="219"/>
        <v>45</v>
      </c>
      <c r="N1471" s="56">
        <f>IF(OR(H1471="",H1471="sif",H1471="PM"),0,VLOOKUP(H1471,[5]CU!$C$4:$H$255,6,FALSE))</f>
        <v>0.255</v>
      </c>
      <c r="O1471" s="56">
        <f t="shared" si="220"/>
        <v>0</v>
      </c>
      <c r="P1471" s="56">
        <f t="shared" si="220"/>
        <v>11.475</v>
      </c>
      <c r="Q1471" s="56">
        <f t="shared" si="220"/>
        <v>0</v>
      </c>
      <c r="R1471" s="56">
        <f t="shared" si="220"/>
        <v>0</v>
      </c>
      <c r="S1471" s="53">
        <f>SUM(O1471:R1471)</f>
        <v>11.475</v>
      </c>
      <c r="T1471" s="35" t="s">
        <v>118</v>
      </c>
      <c r="U1471" s="18" t="s">
        <v>1873</v>
      </c>
      <c r="V1471" s="19" t="str">
        <f>IF(OR($H1471="",$H1471="sif",$H1471="PM"),"",VLOOKUP($H1471,[5]CU!$C$5:$J$255,8,FALSE))</f>
        <v>3. Dépenses de fonctionnement</v>
      </c>
      <c r="W1471" s="18" t="s">
        <v>192</v>
      </c>
      <c r="X1471" s="18" t="s">
        <v>192</v>
      </c>
      <c r="Y1471" s="19" t="s">
        <v>32</v>
      </c>
      <c r="Z1471" s="19" t="str">
        <f>A1471 &amp; "-" &amp; VLOOKUP(A1471,[4]PROGRAMMES!$E$1:$F$7,2,FALSE)</f>
        <v>5-Gouvernance et pilotage du secteur</v>
      </c>
      <c r="AA1471" s="19" t="str">
        <f>B1471 &amp; "-" &amp; VLOOKUP(B1471,[4]SOUSPROGRAMMES!$E$1:$F$44,2,FALSE)</f>
        <v>52-Déconcentration, décentralisation, et partenariats (implication des communautés et des autres parties prenantes)</v>
      </c>
      <c r="AB1471" s="19" t="str">
        <f>C1471 &amp; "-" &amp; VLOOKUP(C1471,[4]RESULTATS!$E$1:$F$176,2,FALSE)</f>
        <v>521-Les rôles et responsabilités des acteurs sont clairement définis</v>
      </c>
      <c r="AC1471" s="20" t="str">
        <f>D1471 &amp; "-" &amp; VLOOKUP(D1471,[4]STRATEGIES!$E$1:$F$504,2,FALSE)</f>
        <v>5211-Production de manuels de procédures pour les différents acteurs (rôles et responsabilités)</v>
      </c>
      <c r="AD1471" s="21" t="str">
        <f t="shared" si="217"/>
        <v>52113-Elaboration de manuels sur les rôles et responsabilités des structures déconcentrées et les rapports avec les collectivités territoriales</v>
      </c>
    </row>
    <row r="1472" spans="1:30" s="22" customFormat="1" ht="60" customHeight="1" x14ac:dyDescent="0.8">
      <c r="A1472" s="14">
        <v>5</v>
      </c>
      <c r="B1472" s="15">
        <v>52</v>
      </c>
      <c r="C1472" s="15">
        <v>521</v>
      </c>
      <c r="D1472" s="15">
        <v>5211</v>
      </c>
      <c r="E1472" s="14">
        <v>52114</v>
      </c>
      <c r="F1472" s="16" t="s">
        <v>1931</v>
      </c>
      <c r="G1472" s="21" t="s">
        <v>44</v>
      </c>
      <c r="H1472" s="17" t="s">
        <v>452</v>
      </c>
      <c r="I1472" s="56">
        <v>0</v>
      </c>
      <c r="J1472" s="56">
        <f>((8*8)+(38*7)+427)*1.05</f>
        <v>794.85</v>
      </c>
      <c r="K1472" s="56"/>
      <c r="L1472" s="56">
        <f>J1472*0.1</f>
        <v>79.485000000000014</v>
      </c>
      <c r="M1472" s="56">
        <f t="shared" si="219"/>
        <v>874.33500000000004</v>
      </c>
      <c r="N1472" s="56">
        <f>IF(OR(H1472="",H1472="sif",H1472="PM"),0,VLOOKUP(H1472,[5]CU!$C$4:$H$255,6,FALSE))</f>
        <v>7.4999999999999997E-3</v>
      </c>
      <c r="O1472" s="56">
        <f t="shared" si="220"/>
        <v>0</v>
      </c>
      <c r="P1472" s="56">
        <f t="shared" si="220"/>
        <v>5.9613750000000003</v>
      </c>
      <c r="Q1472" s="56">
        <f t="shared" si="220"/>
        <v>0</v>
      </c>
      <c r="R1472" s="56">
        <f t="shared" si="220"/>
        <v>0.5961375000000001</v>
      </c>
      <c r="S1472" s="53">
        <f>SUM(O1472:R1472)</f>
        <v>6.5575125000000005</v>
      </c>
      <c r="T1472" s="35" t="s">
        <v>118</v>
      </c>
      <c r="U1472" s="18" t="s">
        <v>1873</v>
      </c>
      <c r="V1472" s="19" t="str">
        <f>IF(OR($H1472="",$H1472="sif",$H1472="PM"),"",VLOOKUP($H1472,[5]CU!$C$5:$J$255,8,FALSE))</f>
        <v>3. Dépenses de fonctionnement</v>
      </c>
      <c r="W1472" s="18" t="s">
        <v>192</v>
      </c>
      <c r="X1472" s="18" t="s">
        <v>192</v>
      </c>
      <c r="Y1472" s="19" t="s">
        <v>32</v>
      </c>
      <c r="Z1472" s="19" t="str">
        <f>A1472 &amp; "-" &amp; VLOOKUP(A1472,[4]PROGRAMMES!$E$1:$F$7,2,FALSE)</f>
        <v>5-Gouvernance et pilotage du secteur</v>
      </c>
      <c r="AA1472" s="19" t="str">
        <f>B1472 &amp; "-" &amp; VLOOKUP(B1472,[4]SOUSPROGRAMMES!$E$1:$F$44,2,FALSE)</f>
        <v>52-Déconcentration, décentralisation, et partenariats (implication des communautés et des autres parties prenantes)</v>
      </c>
      <c r="AB1472" s="19" t="str">
        <f>C1472 &amp; "-" &amp; VLOOKUP(C1472,[4]RESULTATS!$E$1:$F$176,2,FALSE)</f>
        <v>521-Les rôles et responsabilités des acteurs sont clairement définis</v>
      </c>
      <c r="AC1472" s="20" t="str">
        <f>D1472 &amp; "-" &amp; VLOOKUP(D1472,[4]STRATEGIES!$E$1:$F$504,2,FALSE)</f>
        <v>5211-Production de manuels de procédures pour les différents acteurs (rôles et responsabilités)</v>
      </c>
      <c r="AD1472" s="21" t="str">
        <f t="shared" si="217"/>
        <v>52114-Reproduction des manuels sur les rôles et responsabilités des structures déconcentrées</v>
      </c>
    </row>
    <row r="1473" spans="1:30" s="22" customFormat="1" ht="60" customHeight="1" x14ac:dyDescent="0.8">
      <c r="A1473" s="14">
        <v>5</v>
      </c>
      <c r="B1473" s="15">
        <v>52</v>
      </c>
      <c r="C1473" s="15">
        <v>521</v>
      </c>
      <c r="D1473" s="15">
        <v>5211</v>
      </c>
      <c r="E1473" s="14">
        <v>52115</v>
      </c>
      <c r="F1473" s="16" t="s">
        <v>1932</v>
      </c>
      <c r="G1473" s="21" t="s">
        <v>37</v>
      </c>
      <c r="H1473" s="17" t="s">
        <v>301</v>
      </c>
      <c r="I1473" s="56">
        <v>0</v>
      </c>
      <c r="J1473" s="56"/>
      <c r="K1473" s="56">
        <f>30*3*9</f>
        <v>810</v>
      </c>
      <c r="L1473" s="56"/>
      <c r="M1473" s="56">
        <f t="shared" si="219"/>
        <v>810</v>
      </c>
      <c r="N1473" s="56">
        <f>IF(OR(H1473="",H1473="sif",H1473="PM"),0,VLOOKUP(H1473,[5]CU!$C$4:$H$255,6,FALSE))</f>
        <v>0.67666666666666664</v>
      </c>
      <c r="O1473" s="56">
        <f t="shared" si="220"/>
        <v>0</v>
      </c>
      <c r="P1473" s="56">
        <f t="shared" si="220"/>
        <v>0</v>
      </c>
      <c r="Q1473" s="56">
        <f t="shared" si="220"/>
        <v>548.1</v>
      </c>
      <c r="R1473" s="56">
        <f t="shared" si="220"/>
        <v>0</v>
      </c>
      <c r="S1473" s="53">
        <f>SUM(O1473:R1473)</f>
        <v>548.1</v>
      </c>
      <c r="T1473" s="35" t="s">
        <v>118</v>
      </c>
      <c r="U1473" s="18" t="s">
        <v>1873</v>
      </c>
      <c r="V1473" s="19" t="str">
        <f>IF(OR($H1473="",$H1473="sif",$H1473="PM"),"",VLOOKUP($H1473,[5]CU!$C$5:$J$255,8,FALSE))</f>
        <v>3. Formation</v>
      </c>
      <c r="W1473" s="18" t="s">
        <v>192</v>
      </c>
      <c r="X1473" s="18" t="s">
        <v>192</v>
      </c>
      <c r="Y1473" s="19" t="s">
        <v>32</v>
      </c>
      <c r="Z1473" s="19" t="str">
        <f>A1473 &amp; "-" &amp; VLOOKUP(A1473,[4]PROGRAMMES!$E$1:$F$7,2,FALSE)</f>
        <v>5-Gouvernance et pilotage du secteur</v>
      </c>
      <c r="AA1473" s="19" t="str">
        <f>B1473 &amp; "-" &amp; VLOOKUP(B1473,[4]SOUSPROGRAMMES!$E$1:$F$44,2,FALSE)</f>
        <v>52-Déconcentration, décentralisation, et partenariats (implication des communautés et des autres parties prenantes)</v>
      </c>
      <c r="AB1473" s="19" t="str">
        <f>C1473 &amp; "-" &amp; VLOOKUP(C1473,[4]RESULTATS!$E$1:$F$176,2,FALSE)</f>
        <v>521-Les rôles et responsabilités des acteurs sont clairement définis</v>
      </c>
      <c r="AC1473" s="20" t="str">
        <f>D1473 &amp; "-" &amp; VLOOKUP(D1473,[4]STRATEGIES!$E$1:$F$504,2,FALSE)</f>
        <v>5211-Production de manuels de procédures pour les différents acteurs (rôles et responsabilités)</v>
      </c>
      <c r="AD1473" s="21" t="str">
        <f t="shared" si="217"/>
        <v>52115-Formation des acteurs et diffusion des manuels</v>
      </c>
    </row>
    <row r="1474" spans="1:30" s="22" customFormat="1" ht="60" customHeight="1" x14ac:dyDescent="0.8">
      <c r="A1474" s="14">
        <v>5</v>
      </c>
      <c r="B1474" s="15">
        <v>52</v>
      </c>
      <c r="C1474" s="15">
        <v>522</v>
      </c>
      <c r="D1474" s="15">
        <v>522</v>
      </c>
      <c r="E1474" s="14">
        <v>522</v>
      </c>
      <c r="F1474" s="16" t="s">
        <v>1933</v>
      </c>
      <c r="G1474" s="17"/>
      <c r="H1474" s="17"/>
      <c r="I1474" s="56">
        <v>0</v>
      </c>
      <c r="J1474" s="56"/>
      <c r="K1474" s="56"/>
      <c r="L1474" s="56"/>
      <c r="M1474" s="56"/>
      <c r="N1474" s="56"/>
      <c r="O1474" s="56"/>
      <c r="P1474" s="56"/>
      <c r="Q1474" s="56"/>
      <c r="R1474" s="56"/>
      <c r="S1474" s="53"/>
      <c r="T1474" s="33"/>
      <c r="U1474" s="18"/>
      <c r="V1474" s="19"/>
      <c r="W1474" s="18"/>
      <c r="X1474" s="18"/>
      <c r="Y1474" s="18"/>
      <c r="Z1474" s="19" t="str">
        <f>A1474 &amp; "-" &amp; VLOOKUP(A1474,[4]PROGRAMMES!$E$1:$F$7,2,FALSE)</f>
        <v>5-Gouvernance et pilotage du secteur</v>
      </c>
      <c r="AA1474" s="19" t="str">
        <f>B1474 &amp; "-" &amp; VLOOKUP(B1474,[4]SOUSPROGRAMMES!$E$1:$F$44,2,FALSE)</f>
        <v>52-Déconcentration, décentralisation, et partenariats (implication des communautés et des autres parties prenantes)</v>
      </c>
      <c r="AB1474" s="19" t="str">
        <f>C1474 &amp; "-" &amp; VLOOKUP(C1474,[4]RESULTATS!$E$1:$F$176,2,FALSE)</f>
        <v>522-Les acteurs ont les compétences et les ressources nécessaires pour exercer leurs missions</v>
      </c>
      <c r="AC1474" s="20" t="str">
        <f>D1474 &amp; "-" &amp; VLOOKUP(D1474,[4]STRATEGIES!$E$1:$F$504,2,FALSE)</f>
        <v>522-Les acteurs ont les compétences et les ressources nécessaires pour exercer leurs missions</v>
      </c>
      <c r="AD1474" s="21" t="str">
        <f t="shared" si="217"/>
        <v>522-Les acteurs ont les compétences et les ressources nécessaires pour exercer leurs missions</v>
      </c>
    </row>
    <row r="1475" spans="1:30" s="22" customFormat="1" ht="60" customHeight="1" x14ac:dyDescent="0.8">
      <c r="A1475" s="14">
        <v>5</v>
      </c>
      <c r="B1475" s="15">
        <v>52</v>
      </c>
      <c r="C1475" s="15">
        <v>522</v>
      </c>
      <c r="D1475" s="15">
        <v>5221</v>
      </c>
      <c r="E1475" s="14">
        <v>5221</v>
      </c>
      <c r="F1475" s="16" t="s">
        <v>1934</v>
      </c>
      <c r="G1475" s="17"/>
      <c r="H1475" s="17"/>
      <c r="I1475" s="56">
        <v>0</v>
      </c>
      <c r="J1475" s="56"/>
      <c r="K1475" s="56"/>
      <c r="L1475" s="56"/>
      <c r="M1475" s="56"/>
      <c r="N1475" s="56"/>
      <c r="O1475" s="56"/>
      <c r="P1475" s="56"/>
      <c r="Q1475" s="56"/>
      <c r="R1475" s="56"/>
      <c r="S1475" s="53"/>
      <c r="T1475" s="33"/>
      <c r="U1475" s="18"/>
      <c r="V1475" s="19"/>
      <c r="W1475" s="18"/>
      <c r="X1475" s="18"/>
      <c r="Y1475" s="18"/>
      <c r="Z1475" s="19" t="str">
        <f>A1475 &amp; "-" &amp; VLOOKUP(A1475,[4]PROGRAMMES!$E$1:$F$7,2,FALSE)</f>
        <v>5-Gouvernance et pilotage du secteur</v>
      </c>
      <c r="AA1475" s="19" t="str">
        <f>B1475 &amp; "-" &amp; VLOOKUP(B1475,[4]SOUSPROGRAMMES!$E$1:$F$44,2,FALSE)</f>
        <v>52-Déconcentration, décentralisation, et partenariats (implication des communautés et des autres parties prenantes)</v>
      </c>
      <c r="AB1475" s="19" t="str">
        <f>C1475 &amp; "-" &amp; VLOOKUP(C1475,[4]RESULTATS!$E$1:$F$176,2,FALSE)</f>
        <v>522-Les acteurs ont les compétences et les ressources nécessaires pour exercer leurs missions</v>
      </c>
      <c r="AC1475" s="20" t="str">
        <f>D1475 &amp; "-" &amp; VLOOKUP(D1475,[4]STRATEGIES!$E$1:$F$504,2,FALSE)</f>
        <v>5221-Renforcement des compétences des structures aux différents niveaux sur la programmation, planification et l’exécution budgétaire (formation, outils, guide, suivi régulier…)</v>
      </c>
      <c r="AD1475" s="21" t="str">
        <f t="shared" si="217"/>
        <v>5221-Renforcement des compétences des structures aux différents niveaux sur la programmation, planification et l’exécution budgétaire (formation, outils, guide, suivi régulier…)</v>
      </c>
    </row>
    <row r="1476" spans="1:30" s="22" customFormat="1" ht="75" hidden="1" customHeight="1" x14ac:dyDescent="0.8">
      <c r="A1476" s="14">
        <v>5</v>
      </c>
      <c r="B1476" s="15">
        <v>52</v>
      </c>
      <c r="C1476" s="15">
        <v>522</v>
      </c>
      <c r="D1476" s="15">
        <v>5221</v>
      </c>
      <c r="E1476" s="14">
        <v>52211</v>
      </c>
      <c r="F1476" s="16" t="s">
        <v>1935</v>
      </c>
      <c r="G1476" s="21" t="s">
        <v>321</v>
      </c>
      <c r="H1476" s="17" t="s">
        <v>55</v>
      </c>
      <c r="I1476" s="56">
        <v>0</v>
      </c>
      <c r="J1476" s="56">
        <v>1</v>
      </c>
      <c r="K1476" s="56">
        <v>0</v>
      </c>
      <c r="L1476" s="56">
        <v>0</v>
      </c>
      <c r="M1476" s="56">
        <f t="shared" si="219"/>
        <v>1</v>
      </c>
      <c r="N1476" s="56">
        <f>IF(OR(H1476="",H1476="sif",H1476="PM"),0,VLOOKUP(H1476,[5]CU!$C$4:$H$255,6,FALSE))</f>
        <v>0</v>
      </c>
      <c r="O1476" s="56">
        <f t="shared" si="220"/>
        <v>0</v>
      </c>
      <c r="P1476" s="56">
        <f t="shared" si="220"/>
        <v>0</v>
      </c>
      <c r="Q1476" s="56">
        <f t="shared" si="220"/>
        <v>0</v>
      </c>
      <c r="R1476" s="56">
        <f t="shared" si="220"/>
        <v>0</v>
      </c>
      <c r="S1476" s="53"/>
      <c r="T1476" s="35" t="s">
        <v>56</v>
      </c>
      <c r="U1476" s="18" t="s">
        <v>1873</v>
      </c>
      <c r="V1476" s="19" t="str">
        <f>IF(OR($H1476="",$H1476="sif",$H1476="PM"),"",VLOOKUP($H1476,[5]CU!$C$5:$J$255,8,FALSE))</f>
        <v/>
      </c>
      <c r="W1476" s="18" t="s">
        <v>1936</v>
      </c>
      <c r="X1476" s="18" t="s">
        <v>1936</v>
      </c>
      <c r="Y1476" s="19" t="s">
        <v>32</v>
      </c>
      <c r="Z1476" s="19" t="str">
        <f>A1476 &amp; "-" &amp; VLOOKUP(A1476,[4]PROGRAMMES!$E$1:$F$7,2,FALSE)</f>
        <v>5-Gouvernance et pilotage du secteur</v>
      </c>
      <c r="AA1476" s="19" t="str">
        <f>B1476 &amp; "-" &amp; VLOOKUP(B1476,[4]SOUSPROGRAMMES!$E$1:$F$44,2,FALSE)</f>
        <v>52-Déconcentration, décentralisation, et partenariats (implication des communautés et des autres parties prenantes)</v>
      </c>
      <c r="AB1476" s="19" t="str">
        <f>C1476 &amp; "-" &amp; VLOOKUP(C1476,[4]RESULTATS!$E$1:$F$176,2,FALSE)</f>
        <v>522-Les acteurs ont les compétences et les ressources nécessaires pour exercer leurs missions</v>
      </c>
      <c r="AC1476" s="20" t="str">
        <f>D1476 &amp; "-" &amp; VLOOKUP(D1476,[4]STRATEGIES!$E$1:$F$504,2,FALSE)</f>
        <v>5221-Renforcement des compétences des structures aux différents niveaux sur la programmation, planification et l’exécution budgétaire (formation, outils, guide, suivi régulier…)</v>
      </c>
      <c r="AD1476" s="21" t="str">
        <f t="shared" ref="AD1476:AD1539" si="221">E1476 &amp; "-" &amp; F1476</f>
        <v>52211-Mise en place d'un dispositif de renforcement des capacités des structures en charge de la programmation, planification et exécution budgétaire en collaboration avec les services du Ministère des Finances (élaboration d'outils de formation, de guides et organisation des formations)</v>
      </c>
    </row>
    <row r="1477" spans="1:30" s="22" customFormat="1" ht="60" customHeight="1" x14ac:dyDescent="0.8">
      <c r="A1477" s="14">
        <v>5</v>
      </c>
      <c r="B1477" s="15">
        <v>52</v>
      </c>
      <c r="C1477" s="15">
        <v>522</v>
      </c>
      <c r="D1477" s="15">
        <v>5221</v>
      </c>
      <c r="E1477" s="14">
        <v>52212</v>
      </c>
      <c r="F1477" s="16" t="s">
        <v>1937</v>
      </c>
      <c r="G1477" s="21" t="s">
        <v>315</v>
      </c>
      <c r="H1477" s="17" t="s">
        <v>66</v>
      </c>
      <c r="I1477" s="56">
        <v>0</v>
      </c>
      <c r="J1477" s="56">
        <f>15*5</f>
        <v>75</v>
      </c>
      <c r="K1477" s="56">
        <v>0</v>
      </c>
      <c r="L1477" s="56">
        <v>0</v>
      </c>
      <c r="M1477" s="56">
        <f t="shared" si="219"/>
        <v>75</v>
      </c>
      <c r="N1477" s="56">
        <f>IF(OR(H1477="",H1477="sif",H1477="PM"),0,VLOOKUP(H1477,[5]CU!$C$4:$H$255,6,FALSE))</f>
        <v>0.255</v>
      </c>
      <c r="O1477" s="56">
        <f t="shared" si="220"/>
        <v>0</v>
      </c>
      <c r="P1477" s="56">
        <f t="shared" si="220"/>
        <v>19.125</v>
      </c>
      <c r="Q1477" s="56">
        <f t="shared" si="220"/>
        <v>0</v>
      </c>
      <c r="R1477" s="56">
        <f t="shared" si="220"/>
        <v>0</v>
      </c>
      <c r="S1477" s="53">
        <f t="shared" ref="S1477:S1484" si="222">SUM(O1477:R1477)</f>
        <v>19.125</v>
      </c>
      <c r="T1477" s="35" t="s">
        <v>118</v>
      </c>
      <c r="U1477" s="18" t="s">
        <v>1873</v>
      </c>
      <c r="V1477" s="19" t="str">
        <f>IF(OR($H1477="",$H1477="sif",$H1477="PM"),"",VLOOKUP($H1477,[5]CU!$C$5:$J$255,8,FALSE))</f>
        <v>3. Dépenses de fonctionnement</v>
      </c>
      <c r="W1477" s="18" t="s">
        <v>1936</v>
      </c>
      <c r="X1477" s="18" t="s">
        <v>1936</v>
      </c>
      <c r="Y1477" s="19" t="s">
        <v>32</v>
      </c>
      <c r="Z1477" s="19" t="str">
        <f>A1477 &amp; "-" &amp; VLOOKUP(A1477,[4]PROGRAMMES!$E$1:$F$7,2,FALSE)</f>
        <v>5-Gouvernance et pilotage du secteur</v>
      </c>
      <c r="AA1477" s="19" t="str">
        <f>B1477 &amp; "-" &amp; VLOOKUP(B1477,[4]SOUSPROGRAMMES!$E$1:$F$44,2,FALSE)</f>
        <v>52-Déconcentration, décentralisation, et partenariats (implication des communautés et des autres parties prenantes)</v>
      </c>
      <c r="AB1477" s="19" t="str">
        <f>C1477 &amp; "-" &amp; VLOOKUP(C1477,[4]RESULTATS!$E$1:$F$176,2,FALSE)</f>
        <v>522-Les acteurs ont les compétences et les ressources nécessaires pour exercer leurs missions</v>
      </c>
      <c r="AC1477" s="20" t="str">
        <f>D1477 &amp; "-" &amp; VLOOKUP(D1477,[4]STRATEGIES!$E$1:$F$504,2,FALSE)</f>
        <v>5221-Renforcement des compétences des structures aux différents niveaux sur la programmation, planification et l’exécution budgétaire (formation, outils, guide, suivi régulier…)</v>
      </c>
      <c r="AD1477" s="21" t="str">
        <f t="shared" si="221"/>
        <v xml:space="preserve">52212-Elaboration des guides d'utilisation des outils de planification et de programmation budgétaire </v>
      </c>
    </row>
    <row r="1478" spans="1:30" s="22" customFormat="1" ht="60" hidden="1" customHeight="1" x14ac:dyDescent="0.8">
      <c r="A1478" s="14">
        <v>5</v>
      </c>
      <c r="B1478" s="15">
        <v>52</v>
      </c>
      <c r="C1478" s="15">
        <v>522</v>
      </c>
      <c r="D1478" s="15">
        <v>5221</v>
      </c>
      <c r="E1478" s="14">
        <v>52213</v>
      </c>
      <c r="F1478" s="16" t="s">
        <v>1938</v>
      </c>
      <c r="G1478" s="21" t="s">
        <v>315</v>
      </c>
      <c r="H1478" s="17" t="s">
        <v>66</v>
      </c>
      <c r="I1478" s="56">
        <v>0</v>
      </c>
      <c r="J1478" s="56"/>
      <c r="K1478" s="56"/>
      <c r="L1478" s="56"/>
      <c r="M1478" s="56">
        <f>SUM(I1478:L1478)</f>
        <v>0</v>
      </c>
      <c r="N1478" s="56">
        <f>IF(OR(H1478="",H1478="sif",H1478="PM"),0,VLOOKUP(H1478,[5]CU!$C$4:$H$255,6,FALSE))</f>
        <v>0.255</v>
      </c>
      <c r="O1478" s="56">
        <f>IFERROR($N1478*I1478,0)</f>
        <v>0</v>
      </c>
      <c r="P1478" s="56">
        <f>IFERROR($N1478*J1478,0)</f>
        <v>0</v>
      </c>
      <c r="Q1478" s="56">
        <f>IFERROR($N1478*K1478,0)</f>
        <v>0</v>
      </c>
      <c r="R1478" s="56">
        <f>IFERROR($N1478*L1478,0)</f>
        <v>0</v>
      </c>
      <c r="S1478" s="53">
        <f>SUM(O1478:R1478)</f>
        <v>0</v>
      </c>
      <c r="T1478" s="35" t="s">
        <v>178</v>
      </c>
      <c r="U1478" s="18" t="s">
        <v>1873</v>
      </c>
      <c r="V1478" s="19" t="str">
        <f>IF(OR($H1478="",$H1478="sif",$H1478="PM"),"",VLOOKUP($H1478,[5]CU!$C$5:$J$255,8,FALSE))</f>
        <v>3. Dépenses de fonctionnement</v>
      </c>
      <c r="W1478" s="19" t="s">
        <v>1939</v>
      </c>
      <c r="X1478" s="19" t="s">
        <v>1939</v>
      </c>
      <c r="Y1478" s="19" t="s">
        <v>32</v>
      </c>
      <c r="Z1478" s="19" t="str">
        <f>A1478 &amp; "-" &amp; VLOOKUP(A1478,[4]PROGRAMMES!$E$1:$F$7,2,FALSE)</f>
        <v>5-Gouvernance et pilotage du secteur</v>
      </c>
      <c r="AA1478" s="19" t="str">
        <f>B1478 &amp; "-" &amp; VLOOKUP(B1478,[4]SOUSPROGRAMMES!$E$1:$F$44,2,FALSE)</f>
        <v>52-Déconcentration, décentralisation, et partenariats (implication des communautés et des autres parties prenantes)</v>
      </c>
      <c r="AB1478" s="19" t="str">
        <f>C1478 &amp; "-" &amp; VLOOKUP(C1478,[4]RESULTATS!$E$1:$F$176,2,FALSE)</f>
        <v>522-Les acteurs ont les compétences et les ressources nécessaires pour exercer leurs missions</v>
      </c>
      <c r="AC1478" s="20" t="str">
        <f>D1478 &amp; "-" &amp; VLOOKUP(D1478,[4]STRATEGIES!$E$1:$F$504,2,FALSE)</f>
        <v>5221-Renforcement des compétences des structures aux différents niveaux sur la programmation, planification et l’exécution budgétaire (formation, outils, guide, suivi régulier…)</v>
      </c>
      <c r="AD1478" s="21" t="str">
        <f t="shared" si="221"/>
        <v>52213-Formation action sur la planification et l'exécution budgétaire</v>
      </c>
    </row>
    <row r="1479" spans="1:30" ht="60" hidden="1" customHeight="1" x14ac:dyDescent="0.8">
      <c r="A1479" s="25">
        <v>5</v>
      </c>
      <c r="B1479" s="16">
        <v>52</v>
      </c>
      <c r="C1479" s="16">
        <v>522</v>
      </c>
      <c r="D1479" s="16">
        <v>5221</v>
      </c>
      <c r="E1479" s="25">
        <v>52213</v>
      </c>
      <c r="F1479" s="16" t="s">
        <v>1940</v>
      </c>
      <c r="G1479" s="21" t="s">
        <v>315</v>
      </c>
      <c r="H1479" s="21" t="s">
        <v>66</v>
      </c>
      <c r="I1479" s="56">
        <v>0</v>
      </c>
      <c r="J1479" s="57">
        <f>(15+8+38)*3</f>
        <v>183</v>
      </c>
      <c r="K1479" s="57"/>
      <c r="L1479" s="57"/>
      <c r="M1479" s="57">
        <f t="shared" si="219"/>
        <v>183</v>
      </c>
      <c r="N1479" s="57">
        <f>IF(OR(H1479="",H1479="sif",H1479="PM"),0,VLOOKUP(H1479,[5]CU!$C$4:$H$255,6,FALSE))</f>
        <v>0.255</v>
      </c>
      <c r="O1479" s="57">
        <f t="shared" si="220"/>
        <v>0</v>
      </c>
      <c r="P1479" s="57">
        <f t="shared" si="220"/>
        <v>46.664999999999999</v>
      </c>
      <c r="Q1479" s="57">
        <f t="shared" si="220"/>
        <v>0</v>
      </c>
      <c r="R1479" s="57">
        <f t="shared" si="220"/>
        <v>0</v>
      </c>
      <c r="S1479" s="60">
        <f t="shared" si="222"/>
        <v>46.664999999999999</v>
      </c>
      <c r="T1479" s="38" t="s">
        <v>56</v>
      </c>
      <c r="U1479" s="19" t="s">
        <v>1873</v>
      </c>
      <c r="V1479" s="19" t="str">
        <f>IF(OR($H1479="",$H1479="sif",$H1479="PM"),"",VLOOKUP($H1479,[5]CU!$C$5:$J$255,8,FALSE))</f>
        <v>3. Dépenses de fonctionnement</v>
      </c>
      <c r="W1479" s="19" t="s">
        <v>1939</v>
      </c>
      <c r="X1479" s="19" t="s">
        <v>1939</v>
      </c>
      <c r="Y1479" s="19" t="s">
        <v>32</v>
      </c>
      <c r="Z1479" s="19" t="str">
        <f>A1479 &amp; "-" &amp; VLOOKUP(A1479,[4]PROGRAMMES!$E$1:$F$7,2,FALSE)</f>
        <v>5-Gouvernance et pilotage du secteur</v>
      </c>
      <c r="AA1479" s="19" t="str">
        <f>B1479 &amp; "-" &amp; VLOOKUP(B1479,[4]SOUSPROGRAMMES!$E$1:$F$44,2,FALSE)</f>
        <v>52-Déconcentration, décentralisation, et partenariats (implication des communautés et des autres parties prenantes)</v>
      </c>
      <c r="AB1479" s="19" t="str">
        <f>C1479 &amp; "-" &amp; VLOOKUP(C1479,[4]RESULTATS!$E$1:$F$176,2,FALSE)</f>
        <v>522-Les acteurs ont les compétences et les ressources nécessaires pour exercer leurs missions</v>
      </c>
      <c r="AC1479" s="20" t="str">
        <f>D1479 &amp; "-" &amp; VLOOKUP(D1479,[4]STRATEGIES!$E$1:$F$504,2,FALSE)</f>
        <v>5221-Renforcement des compétences des structures aux différents niveaux sur la programmation, planification et l’exécution budgétaire (formation, outils, guide, suivi régulier…)</v>
      </c>
      <c r="AD1479" s="21" t="str">
        <f t="shared" si="221"/>
        <v>52213-Formation action sur la programation et l'exécution budgétaire</v>
      </c>
    </row>
    <row r="1480" spans="1:30" s="22" customFormat="1" ht="60" hidden="1" customHeight="1" x14ac:dyDescent="0.8">
      <c r="A1480" s="14">
        <v>5</v>
      </c>
      <c r="B1480" s="15">
        <v>52</v>
      </c>
      <c r="C1480" s="15">
        <v>522</v>
      </c>
      <c r="D1480" s="15">
        <v>5221</v>
      </c>
      <c r="E1480" s="14">
        <v>52214</v>
      </c>
      <c r="F1480" s="16" t="s">
        <v>1941</v>
      </c>
      <c r="G1480" s="21" t="s">
        <v>1942</v>
      </c>
      <c r="H1480" s="17" t="s">
        <v>452</v>
      </c>
      <c r="I1480" s="56">
        <v>0</v>
      </c>
      <c r="J1480" s="56">
        <f>(46*4)*1.1</f>
        <v>202.4</v>
      </c>
      <c r="K1480" s="56">
        <v>0</v>
      </c>
      <c r="L1480" s="56">
        <v>0</v>
      </c>
      <c r="M1480" s="56">
        <f t="shared" si="219"/>
        <v>202.4</v>
      </c>
      <c r="N1480" s="56">
        <f>IF(OR(H1480="",H1480="sif",H1480="PM"),0,VLOOKUP(H1480,[5]CU!$C$4:$H$255,6,FALSE))</f>
        <v>7.4999999999999997E-3</v>
      </c>
      <c r="O1480" s="56">
        <f t="shared" si="220"/>
        <v>0</v>
      </c>
      <c r="P1480" s="56">
        <f t="shared" si="220"/>
        <v>1.518</v>
      </c>
      <c r="Q1480" s="56">
        <f t="shared" si="220"/>
        <v>0</v>
      </c>
      <c r="R1480" s="56">
        <f t="shared" si="220"/>
        <v>0</v>
      </c>
      <c r="S1480" s="53">
        <f t="shared" si="222"/>
        <v>1.518</v>
      </c>
      <c r="T1480" s="35" t="s">
        <v>56</v>
      </c>
      <c r="U1480" s="18" t="s">
        <v>1873</v>
      </c>
      <c r="V1480" s="19" t="str">
        <f>IF(OR($H1480="",$H1480="sif",$H1480="PM"),"",VLOOKUP($H1480,[5]CU!$C$5:$J$255,8,FALSE))</f>
        <v>3. Dépenses de fonctionnement</v>
      </c>
      <c r="W1480" s="19" t="s">
        <v>1939</v>
      </c>
      <c r="X1480" s="19" t="s">
        <v>1939</v>
      </c>
      <c r="Y1480" s="19" t="s">
        <v>32</v>
      </c>
      <c r="Z1480" s="19" t="str">
        <f>A1480 &amp; "-" &amp; VLOOKUP(A1480,[4]PROGRAMMES!$E$1:$F$7,2,FALSE)</f>
        <v>5-Gouvernance et pilotage du secteur</v>
      </c>
      <c r="AA1480" s="19" t="str">
        <f>B1480 &amp; "-" &amp; VLOOKUP(B1480,[4]SOUSPROGRAMMES!$E$1:$F$44,2,FALSE)</f>
        <v>52-Déconcentration, décentralisation, et partenariats (implication des communautés et des autres parties prenantes)</v>
      </c>
      <c r="AB1480" s="19" t="str">
        <f>C1480 &amp; "-" &amp; VLOOKUP(C1480,[4]RESULTATS!$E$1:$F$176,2,FALSE)</f>
        <v>522-Les acteurs ont les compétences et les ressources nécessaires pour exercer leurs missions</v>
      </c>
      <c r="AC1480" s="20" t="str">
        <f>D1480 &amp; "-" &amp; VLOOKUP(D1480,[4]STRATEGIES!$E$1:$F$504,2,FALSE)</f>
        <v>5221-Renforcement des compétences des structures aux différents niveaux sur la programmation, planification et l’exécution budgétaire (formation, outils, guide, suivi régulier…)</v>
      </c>
      <c r="AD1480" s="21" t="str">
        <f t="shared" si="221"/>
        <v>52214-Reproduction des guides d'utilisation des outils de planification et de programmation budgétaire</v>
      </c>
    </row>
    <row r="1481" spans="1:30" s="22" customFormat="1" ht="60" hidden="1" customHeight="1" x14ac:dyDescent="0.8">
      <c r="A1481" s="14">
        <v>5</v>
      </c>
      <c r="B1481" s="15">
        <v>52</v>
      </c>
      <c r="C1481" s="15">
        <v>522</v>
      </c>
      <c r="D1481" s="15">
        <v>5221</v>
      </c>
      <c r="E1481" s="14">
        <v>52215</v>
      </c>
      <c r="F1481" s="16" t="s">
        <v>1943</v>
      </c>
      <c r="G1481" s="21" t="s">
        <v>1017</v>
      </c>
      <c r="H1481" s="17" t="s">
        <v>59</v>
      </c>
      <c r="I1481" s="56">
        <v>0</v>
      </c>
      <c r="J1481" s="56">
        <f>4*9*5</f>
        <v>180</v>
      </c>
      <c r="K1481" s="56">
        <f>4*9*5</f>
        <v>180</v>
      </c>
      <c r="L1481" s="56">
        <f>4*9*5</f>
        <v>180</v>
      </c>
      <c r="M1481" s="56">
        <f t="shared" si="219"/>
        <v>540</v>
      </c>
      <c r="N1481" s="56">
        <f>IF(OR(H1481="",H1481="sif",H1481="PM"),0,VLOOKUP(H1481,[5]CU!$C$4:$H$255,6,FALSE))</f>
        <v>0.8177777777777776</v>
      </c>
      <c r="O1481" s="56">
        <f t="shared" si="220"/>
        <v>0</v>
      </c>
      <c r="P1481" s="56">
        <f t="shared" si="220"/>
        <v>147.19999999999996</v>
      </c>
      <c r="Q1481" s="56">
        <f t="shared" si="220"/>
        <v>147.19999999999996</v>
      </c>
      <c r="R1481" s="56">
        <f t="shared" si="220"/>
        <v>147.19999999999996</v>
      </c>
      <c r="S1481" s="53">
        <f t="shared" si="222"/>
        <v>441.59999999999991</v>
      </c>
      <c r="T1481" s="35" t="s">
        <v>56</v>
      </c>
      <c r="U1481" s="18" t="s">
        <v>1873</v>
      </c>
      <c r="V1481" s="19" t="str">
        <f>IF(OR($H1481="",$H1481="sif",$H1481="PM"),"",VLOOKUP($H1481,[5]CU!$C$5:$J$255,8,FALSE))</f>
        <v>3. Dépenses de fonctionnement</v>
      </c>
      <c r="W1481" s="19" t="s">
        <v>1939</v>
      </c>
      <c r="X1481" s="19" t="s">
        <v>1939</v>
      </c>
      <c r="Y1481" s="19" t="s">
        <v>32</v>
      </c>
      <c r="Z1481" s="19" t="str">
        <f>A1481 &amp; "-" &amp; VLOOKUP(A1481,[4]PROGRAMMES!$E$1:$F$7,2,FALSE)</f>
        <v>5-Gouvernance et pilotage du secteur</v>
      </c>
      <c r="AA1481" s="19" t="str">
        <f>B1481 &amp; "-" &amp; VLOOKUP(B1481,[4]SOUSPROGRAMMES!$E$1:$F$44,2,FALSE)</f>
        <v>52-Déconcentration, décentralisation, et partenariats (implication des communautés et des autres parties prenantes)</v>
      </c>
      <c r="AB1481" s="19" t="str">
        <f>C1481 &amp; "-" &amp; VLOOKUP(C1481,[4]RESULTATS!$E$1:$F$176,2,FALSE)</f>
        <v>522-Les acteurs ont les compétences et les ressources nécessaires pour exercer leurs missions</v>
      </c>
      <c r="AC1481" s="20" t="str">
        <f>D1481 &amp; "-" &amp; VLOOKUP(D1481,[4]STRATEGIES!$E$1:$F$504,2,FALSE)</f>
        <v>5221-Renforcement des compétences des structures aux différents niveaux sur la programmation, planification et l’exécution budgétaire (formation, outils, guide, suivi régulier…)</v>
      </c>
      <c r="AD1481" s="21" t="str">
        <f t="shared" si="221"/>
        <v>52215-Suivi de l'utilisation des guides de planification et de programmation budgétaire</v>
      </c>
    </row>
    <row r="1482" spans="1:30" s="22" customFormat="1" ht="60" customHeight="1" x14ac:dyDescent="0.8">
      <c r="A1482" s="14">
        <v>5</v>
      </c>
      <c r="B1482" s="15">
        <v>52</v>
      </c>
      <c r="C1482" s="15">
        <v>522</v>
      </c>
      <c r="D1482" s="15">
        <v>5222</v>
      </c>
      <c r="E1482" s="14">
        <v>5222</v>
      </c>
      <c r="F1482" s="16" t="s">
        <v>1944</v>
      </c>
      <c r="G1482" s="17"/>
      <c r="H1482" s="17"/>
      <c r="I1482" s="56">
        <v>0</v>
      </c>
      <c r="J1482" s="56"/>
      <c r="K1482" s="56"/>
      <c r="L1482" s="56"/>
      <c r="M1482" s="56"/>
      <c r="N1482" s="56"/>
      <c r="O1482" s="56"/>
      <c r="P1482" s="56"/>
      <c r="Q1482" s="56"/>
      <c r="R1482" s="56"/>
      <c r="S1482" s="53"/>
      <c r="T1482" s="33"/>
      <c r="U1482" s="18"/>
      <c r="V1482" s="19" t="s">
        <v>1945</v>
      </c>
      <c r="W1482" s="19" t="s">
        <v>1939</v>
      </c>
      <c r="X1482" s="19" t="s">
        <v>1939</v>
      </c>
      <c r="Y1482" s="18"/>
      <c r="Z1482" s="19" t="str">
        <f>A1482 &amp; "-" &amp; VLOOKUP(A1482,[4]PROGRAMMES!$E$1:$F$7,2,FALSE)</f>
        <v>5-Gouvernance et pilotage du secteur</v>
      </c>
      <c r="AA1482" s="19" t="str">
        <f>B1482 &amp; "-" &amp; VLOOKUP(B1482,[4]SOUSPROGRAMMES!$E$1:$F$44,2,FALSE)</f>
        <v>52-Déconcentration, décentralisation, et partenariats (implication des communautés et des autres parties prenantes)</v>
      </c>
      <c r="AB1482" s="19" t="str">
        <f>C1482 &amp; "-" &amp; VLOOKUP(C1482,[4]RESULTATS!$E$1:$F$176,2,FALSE)</f>
        <v>522-Les acteurs ont les compétences et les ressources nécessaires pour exercer leurs missions</v>
      </c>
      <c r="AC1482" s="20" t="str">
        <f>D1482 &amp; "-" &amp; VLOOKUP(D1482,[4]STRATEGIES!$E$1:$F$504,2,FALSE)</f>
        <v>5222-Renforcement des rôles des structures déconcentrées dans la préparation du budget de l’état pour l’éducation</v>
      </c>
      <c r="AD1482" s="21" t="str">
        <f t="shared" si="221"/>
        <v>5222-Renforcement des rôles des structures déconcentrées dans la préparation du budget de l’état pour l’éducation</v>
      </c>
    </row>
    <row r="1483" spans="1:30" s="22" customFormat="1" ht="60" customHeight="1" x14ac:dyDescent="0.8">
      <c r="A1483" s="14">
        <v>5</v>
      </c>
      <c r="B1483" s="15">
        <v>52</v>
      </c>
      <c r="C1483" s="15">
        <v>522</v>
      </c>
      <c r="D1483" s="15">
        <v>5222</v>
      </c>
      <c r="E1483" s="14">
        <v>52221</v>
      </c>
      <c r="F1483" s="16" t="s">
        <v>1946</v>
      </c>
      <c r="G1483" s="21" t="s">
        <v>315</v>
      </c>
      <c r="H1483" s="17" t="s">
        <v>66</v>
      </c>
      <c r="I1483" s="56">
        <v>0</v>
      </c>
      <c r="J1483" s="53">
        <f>4*2*96</f>
        <v>768</v>
      </c>
      <c r="K1483" s="53">
        <f>4*2*96</f>
        <v>768</v>
      </c>
      <c r="L1483" s="53">
        <f>4*2*98</f>
        <v>784</v>
      </c>
      <c r="M1483" s="53">
        <f>SUM(I1483:L1483)</f>
        <v>2320</v>
      </c>
      <c r="N1483" s="53">
        <f>IF(OR(H1483="",H1483="sif",H1483="PM"),0,VLOOKUP(H1483,[5]CU!$C$4:$H$255,6,FALSE))</f>
        <v>0.255</v>
      </c>
      <c r="O1483" s="53">
        <f>IFERROR($N1483*I1483,0)</f>
        <v>0</v>
      </c>
      <c r="P1483" s="53">
        <f>IFERROR($N1483*J1483,0)</f>
        <v>195.84</v>
      </c>
      <c r="Q1483" s="53">
        <f>IFERROR($N1483*K1483,0)</f>
        <v>195.84</v>
      </c>
      <c r="R1483" s="53">
        <f>IFERROR($N1483*L1483,0)</f>
        <v>199.92000000000002</v>
      </c>
      <c r="S1483" s="53">
        <f t="shared" si="222"/>
        <v>591.6</v>
      </c>
      <c r="T1483" s="35" t="s">
        <v>67</v>
      </c>
      <c r="U1483" s="18" t="s">
        <v>1873</v>
      </c>
      <c r="V1483" s="19" t="str">
        <f>IF(OR($H1483="",$H1483="sif",$H1483="PM"),"",VLOOKUP($H1483,[5]CU!$C$5:$J$255,8,FALSE))</f>
        <v>3. Dépenses de fonctionnement</v>
      </c>
      <c r="W1483" s="18" t="s">
        <v>96</v>
      </c>
      <c r="X1483" s="18" t="s">
        <v>193</v>
      </c>
      <c r="Y1483" s="19" t="s">
        <v>32</v>
      </c>
      <c r="Z1483" s="19" t="str">
        <f>A1483 &amp; "-" &amp; VLOOKUP(A1483,[4]PROGRAMMES!$E$1:$F$7,2,FALSE)</f>
        <v>5-Gouvernance et pilotage du secteur</v>
      </c>
      <c r="AA1483" s="19" t="str">
        <f>B1483 &amp; "-" &amp; VLOOKUP(B1483,[4]SOUSPROGRAMMES!$E$1:$F$44,2,FALSE)</f>
        <v>52-Déconcentration, décentralisation, et partenariats (implication des communautés et des autres parties prenantes)</v>
      </c>
      <c r="AB1483" s="19" t="str">
        <f>C1483 &amp; "-" &amp; VLOOKUP(C1483,[4]RESULTATS!$E$1:$F$176,2,FALSE)</f>
        <v>522-Les acteurs ont les compétences et les ressources nécessaires pour exercer leurs missions</v>
      </c>
      <c r="AC1483" s="20" t="str">
        <f>D1483 &amp; "-" &amp; VLOOKUP(D1483,[4]STRATEGIES!$E$1:$F$504,2,FALSE)</f>
        <v>5222-Renforcement des rôles des structures déconcentrées dans la préparation du budget de l’état pour l’éducation</v>
      </c>
      <c r="AD1483" s="21" t="str">
        <f t="shared" si="221"/>
        <v xml:space="preserve">52221-Appui à l'organisation des sessions sous préfectorales de préparation du budget </v>
      </c>
    </row>
    <row r="1484" spans="1:30" s="22" customFormat="1" ht="60" hidden="1" customHeight="1" x14ac:dyDescent="0.8">
      <c r="A1484" s="14">
        <v>5</v>
      </c>
      <c r="B1484" s="15">
        <v>52</v>
      </c>
      <c r="C1484" s="15">
        <v>522</v>
      </c>
      <c r="D1484" s="15">
        <v>5222</v>
      </c>
      <c r="E1484" s="14">
        <v>52221</v>
      </c>
      <c r="F1484" s="16" t="s">
        <v>1946</v>
      </c>
      <c r="G1484" s="21" t="s">
        <v>315</v>
      </c>
      <c r="H1484" s="17" t="s">
        <v>66</v>
      </c>
      <c r="I1484" s="56">
        <v>0</v>
      </c>
      <c r="J1484" s="56">
        <f>4*2*426-J1483</f>
        <v>2640</v>
      </c>
      <c r="K1484" s="56">
        <f>4*2*426-K1483</f>
        <v>2640</v>
      </c>
      <c r="L1484" s="56">
        <f>4*2*426-L1483</f>
        <v>2624</v>
      </c>
      <c r="M1484" s="56">
        <f t="shared" si="219"/>
        <v>7904</v>
      </c>
      <c r="N1484" s="56">
        <f>IF(OR(H1484="",H1484="sif",H1484="PM"),0,VLOOKUP(H1484,[5]CU!$C$4:$H$255,6,FALSE))</f>
        <v>0.255</v>
      </c>
      <c r="O1484" s="56">
        <f t="shared" si="220"/>
        <v>0</v>
      </c>
      <c r="P1484" s="56">
        <f t="shared" si="220"/>
        <v>673.2</v>
      </c>
      <c r="Q1484" s="56">
        <f t="shared" si="220"/>
        <v>673.2</v>
      </c>
      <c r="R1484" s="56">
        <f t="shared" si="220"/>
        <v>669.12</v>
      </c>
      <c r="S1484" s="53">
        <f t="shared" si="222"/>
        <v>2015.52</v>
      </c>
      <c r="T1484" s="35" t="s">
        <v>56</v>
      </c>
      <c r="U1484" s="18" t="s">
        <v>1873</v>
      </c>
      <c r="V1484" s="19" t="str">
        <f>IF(OR($H1484="",$H1484="sif",$H1484="PM"),"",VLOOKUP($H1484,[5]CU!$C$5:$J$255,8,FALSE))</f>
        <v>3. Dépenses de fonctionnement</v>
      </c>
      <c r="W1484" s="18" t="s">
        <v>96</v>
      </c>
      <c r="X1484" s="18" t="s">
        <v>193</v>
      </c>
      <c r="Y1484" s="19" t="s">
        <v>32</v>
      </c>
      <c r="Z1484" s="19" t="str">
        <f>A1484 &amp; "-" &amp; VLOOKUP(A1484,[4]PROGRAMMES!$E$1:$F$7,2,FALSE)</f>
        <v>5-Gouvernance et pilotage du secteur</v>
      </c>
      <c r="AA1484" s="19" t="str">
        <f>B1484 &amp; "-" &amp; VLOOKUP(B1484,[4]SOUSPROGRAMMES!$E$1:$F$44,2,FALSE)</f>
        <v>52-Déconcentration, décentralisation, et partenariats (implication des communautés et des autres parties prenantes)</v>
      </c>
      <c r="AB1484" s="19" t="str">
        <f>C1484 &amp; "-" &amp; VLOOKUP(C1484,[4]RESULTATS!$E$1:$F$176,2,FALSE)</f>
        <v>522-Les acteurs ont les compétences et les ressources nécessaires pour exercer leurs missions</v>
      </c>
      <c r="AC1484" s="20" t="str">
        <f>D1484 &amp; "-" &amp; VLOOKUP(D1484,[4]STRATEGIES!$E$1:$F$504,2,FALSE)</f>
        <v>5222-Renforcement des rôles des structures déconcentrées dans la préparation du budget de l’état pour l’éducation</v>
      </c>
      <c r="AD1484" s="21" t="str">
        <f t="shared" si="221"/>
        <v xml:space="preserve">52221-Appui à l'organisation des sessions sous préfectorales de préparation du budget </v>
      </c>
    </row>
    <row r="1485" spans="1:30" s="22" customFormat="1" ht="60" hidden="1" customHeight="1" x14ac:dyDescent="0.8">
      <c r="A1485" s="14">
        <v>5</v>
      </c>
      <c r="B1485" s="15">
        <v>52</v>
      </c>
      <c r="C1485" s="15">
        <v>522</v>
      </c>
      <c r="D1485" s="15">
        <v>5222</v>
      </c>
      <c r="E1485" s="14">
        <v>52222</v>
      </c>
      <c r="F1485" s="16" t="s">
        <v>1947</v>
      </c>
      <c r="G1485" s="21" t="s">
        <v>92</v>
      </c>
      <c r="H1485" s="17" t="s">
        <v>55</v>
      </c>
      <c r="I1485" s="56">
        <v>0</v>
      </c>
      <c r="J1485" s="56"/>
      <c r="K1485" s="56">
        <v>1</v>
      </c>
      <c r="L1485" s="56">
        <v>1</v>
      </c>
      <c r="M1485" s="56">
        <f t="shared" si="219"/>
        <v>2</v>
      </c>
      <c r="N1485" s="56">
        <f>IF(OR(H1485="",H1485="sif",H1485="PM"),0,VLOOKUP(H1485,[5]CU!$C$4:$H$255,6,FALSE))</f>
        <v>0</v>
      </c>
      <c r="O1485" s="56">
        <f t="shared" si="220"/>
        <v>0</v>
      </c>
      <c r="P1485" s="56">
        <f t="shared" si="220"/>
        <v>0</v>
      </c>
      <c r="Q1485" s="56">
        <f t="shared" si="220"/>
        <v>0</v>
      </c>
      <c r="R1485" s="56">
        <f t="shared" si="220"/>
        <v>0</v>
      </c>
      <c r="S1485" s="53"/>
      <c r="T1485" s="35" t="s">
        <v>56</v>
      </c>
      <c r="U1485" s="18" t="s">
        <v>1873</v>
      </c>
      <c r="V1485" s="19" t="s">
        <v>1945</v>
      </c>
      <c r="W1485" s="18" t="s">
        <v>96</v>
      </c>
      <c r="X1485" s="18" t="s">
        <v>193</v>
      </c>
      <c r="Y1485" s="19" t="s">
        <v>32</v>
      </c>
      <c r="Z1485" s="19" t="str">
        <f>A1485 &amp; "-" &amp; VLOOKUP(A1485,[4]PROGRAMMES!$E$1:$F$7,2,FALSE)</f>
        <v>5-Gouvernance et pilotage du secteur</v>
      </c>
      <c r="AA1485" s="19" t="str">
        <f>B1485 &amp; "-" &amp; VLOOKUP(B1485,[4]SOUSPROGRAMMES!$E$1:$F$44,2,FALSE)</f>
        <v>52-Déconcentration, décentralisation, et partenariats (implication des communautés et des autres parties prenantes)</v>
      </c>
      <c r="AB1485" s="19" t="str">
        <f>C1485 &amp; "-" &amp; VLOOKUP(C1485,[4]RESULTATS!$E$1:$F$176,2,FALSE)</f>
        <v>522-Les acteurs ont les compétences et les ressources nécessaires pour exercer leurs missions</v>
      </c>
      <c r="AC1485" s="20" t="str">
        <f>D1485 &amp; "-" &amp; VLOOKUP(D1485,[4]STRATEGIES!$E$1:$F$504,2,FALSE)</f>
        <v>5222-Renforcement des rôles des structures déconcentrées dans la préparation du budget de l’état pour l’éducation</v>
      </c>
      <c r="AD1485" s="21" t="str">
        <f t="shared" si="221"/>
        <v>52222-Organisation des sessions sous préfectorales de préparation du budget (pris en compte dans budget DSEE)</v>
      </c>
    </row>
    <row r="1486" spans="1:30" s="22" customFormat="1" ht="60" hidden="1" customHeight="1" x14ac:dyDescent="0.8">
      <c r="A1486" s="14">
        <v>5</v>
      </c>
      <c r="B1486" s="15">
        <v>52</v>
      </c>
      <c r="C1486" s="15">
        <v>522</v>
      </c>
      <c r="D1486" s="15">
        <v>5222</v>
      </c>
      <c r="E1486" s="14">
        <v>52223</v>
      </c>
      <c r="F1486" s="16" t="s">
        <v>1948</v>
      </c>
      <c r="G1486" s="21" t="s">
        <v>92</v>
      </c>
      <c r="H1486" s="17" t="s">
        <v>55</v>
      </c>
      <c r="I1486" s="56">
        <v>0</v>
      </c>
      <c r="J1486" s="56">
        <v>1</v>
      </c>
      <c r="K1486" s="56">
        <v>1</v>
      </c>
      <c r="L1486" s="56">
        <v>1</v>
      </c>
      <c r="M1486" s="56">
        <f t="shared" si="219"/>
        <v>3</v>
      </c>
      <c r="N1486" s="56">
        <f>IF(OR(H1486="",H1486="sif",H1486="PM"),0,VLOOKUP(H1486,[5]CU!$C$4:$H$255,6,FALSE))</f>
        <v>0</v>
      </c>
      <c r="O1486" s="56">
        <f t="shared" si="220"/>
        <v>0</v>
      </c>
      <c r="P1486" s="56">
        <f t="shared" si="220"/>
        <v>0</v>
      </c>
      <c r="Q1486" s="56">
        <f t="shared" si="220"/>
        <v>0</v>
      </c>
      <c r="R1486" s="56">
        <f t="shared" si="220"/>
        <v>0</v>
      </c>
      <c r="S1486" s="53"/>
      <c r="T1486" s="35" t="s">
        <v>56</v>
      </c>
      <c r="U1486" s="18" t="s">
        <v>1873</v>
      </c>
      <c r="V1486" s="19" t="str">
        <f>IF(OR($H1486="",$H1486="sif",$H1486="PM"),"",VLOOKUP($H1486,[5]CU!$C$5:$J$255,8,FALSE))</f>
        <v/>
      </c>
      <c r="W1486" s="18" t="s">
        <v>96</v>
      </c>
      <c r="X1486" s="18" t="s">
        <v>1949</v>
      </c>
      <c r="Y1486" s="19" t="s">
        <v>32</v>
      </c>
      <c r="Z1486" s="19" t="str">
        <f>A1486 &amp; "-" &amp; VLOOKUP(A1486,[4]PROGRAMMES!$E$1:$F$7,2,FALSE)</f>
        <v>5-Gouvernance et pilotage du secteur</v>
      </c>
      <c r="AA1486" s="19" t="str">
        <f>B1486 &amp; "-" &amp; VLOOKUP(B1486,[4]SOUSPROGRAMMES!$E$1:$F$44,2,FALSE)</f>
        <v>52-Déconcentration, décentralisation, et partenariats (implication des communautés et des autres parties prenantes)</v>
      </c>
      <c r="AB1486" s="19" t="str">
        <f>C1486 &amp; "-" &amp; VLOOKUP(C1486,[4]RESULTATS!$E$1:$F$176,2,FALSE)</f>
        <v>522-Les acteurs ont les compétences et les ressources nécessaires pour exercer leurs missions</v>
      </c>
      <c r="AC1486" s="20" t="str">
        <f>D1486 &amp; "-" &amp; VLOOKUP(D1486,[4]STRATEGIES!$E$1:$F$504,2,FALSE)</f>
        <v>5222-Renforcement des rôles des structures déconcentrées dans la préparation du budget de l’état pour l’éducation</v>
      </c>
      <c r="AD1486" s="21" t="str">
        <f t="shared" si="221"/>
        <v>52223-Organisation des sessions préfectorales sur la préparation du budget (pris en compte dans budget DPE/DCE)</v>
      </c>
    </row>
    <row r="1487" spans="1:30" s="22" customFormat="1" ht="60" hidden="1" customHeight="1" x14ac:dyDescent="0.8">
      <c r="A1487" s="14">
        <v>5</v>
      </c>
      <c r="B1487" s="15">
        <v>52</v>
      </c>
      <c r="C1487" s="15">
        <v>522</v>
      </c>
      <c r="D1487" s="15">
        <v>5222</v>
      </c>
      <c r="E1487" s="14">
        <v>52224</v>
      </c>
      <c r="F1487" s="16" t="s">
        <v>1950</v>
      </c>
      <c r="G1487" s="21" t="s">
        <v>92</v>
      </c>
      <c r="H1487" s="17" t="s">
        <v>55</v>
      </c>
      <c r="I1487" s="56">
        <v>0</v>
      </c>
      <c r="J1487" s="56">
        <v>1</v>
      </c>
      <c r="K1487" s="56">
        <v>1</v>
      </c>
      <c r="L1487" s="56">
        <v>1</v>
      </c>
      <c r="M1487" s="56">
        <f t="shared" si="219"/>
        <v>3</v>
      </c>
      <c r="N1487" s="56">
        <f>IF(OR(H1487="",H1487="sif",H1487="PM"),0,VLOOKUP(H1487,[5]CU!$C$4:$H$255,6,FALSE))</f>
        <v>0</v>
      </c>
      <c r="O1487" s="56">
        <f t="shared" si="220"/>
        <v>0</v>
      </c>
      <c r="P1487" s="56">
        <f t="shared" si="220"/>
        <v>0</v>
      </c>
      <c r="Q1487" s="56">
        <f t="shared" si="220"/>
        <v>0</v>
      </c>
      <c r="R1487" s="56">
        <f t="shared" si="220"/>
        <v>0</v>
      </c>
      <c r="S1487" s="53"/>
      <c r="T1487" s="35" t="s">
        <v>56</v>
      </c>
      <c r="U1487" s="18" t="s">
        <v>1873</v>
      </c>
      <c r="V1487" s="19" t="s">
        <v>1945</v>
      </c>
      <c r="W1487" s="18" t="s">
        <v>96</v>
      </c>
      <c r="X1487" s="18" t="s">
        <v>282</v>
      </c>
      <c r="Y1487" s="19" t="s">
        <v>32</v>
      </c>
      <c r="Z1487" s="19" t="str">
        <f>A1487 &amp; "-" &amp; VLOOKUP(A1487,[4]PROGRAMMES!$E$1:$F$7,2,FALSE)</f>
        <v>5-Gouvernance et pilotage du secteur</v>
      </c>
      <c r="AA1487" s="19" t="str">
        <f>B1487 &amp; "-" &amp; VLOOKUP(B1487,[4]SOUSPROGRAMMES!$E$1:$F$44,2,FALSE)</f>
        <v>52-Déconcentration, décentralisation, et partenariats (implication des communautés et des autres parties prenantes)</v>
      </c>
      <c r="AB1487" s="19" t="str">
        <f>C1487 &amp; "-" &amp; VLOOKUP(C1487,[4]RESULTATS!$E$1:$F$176,2,FALSE)</f>
        <v>522-Les acteurs ont les compétences et les ressources nécessaires pour exercer leurs missions</v>
      </c>
      <c r="AC1487" s="20" t="str">
        <f>D1487 &amp; "-" &amp; VLOOKUP(D1487,[4]STRATEGIES!$E$1:$F$504,2,FALSE)</f>
        <v>5222-Renforcement des rôles des structures déconcentrées dans la préparation du budget de l’état pour l’éducation</v>
      </c>
      <c r="AD1487" s="21" t="str">
        <f t="shared" si="221"/>
        <v>52224-Organisation des sessions régionales sur la préparation du budget (pris en compte dans budget IRE)</v>
      </c>
    </row>
    <row r="1488" spans="1:30" s="22" customFormat="1" ht="60" hidden="1" customHeight="1" x14ac:dyDescent="0.8">
      <c r="A1488" s="14">
        <v>5</v>
      </c>
      <c r="B1488" s="15">
        <v>52</v>
      </c>
      <c r="C1488" s="15">
        <v>522</v>
      </c>
      <c r="D1488" s="15">
        <v>5222</v>
      </c>
      <c r="E1488" s="14">
        <v>52225</v>
      </c>
      <c r="F1488" s="16" t="s">
        <v>1951</v>
      </c>
      <c r="G1488" s="21" t="s">
        <v>92</v>
      </c>
      <c r="H1488" s="17" t="s">
        <v>55</v>
      </c>
      <c r="I1488" s="56">
        <v>0</v>
      </c>
      <c r="J1488" s="56">
        <v>1</v>
      </c>
      <c r="K1488" s="56">
        <v>1</v>
      </c>
      <c r="L1488" s="56">
        <v>1</v>
      </c>
      <c r="M1488" s="56">
        <f t="shared" si="219"/>
        <v>3</v>
      </c>
      <c r="N1488" s="56">
        <f>IF(OR(H1488="",H1488="sif",H1488="PM"),0,VLOOKUP(H1488,[5]CU!$C$4:$H$255,6,FALSE))</f>
        <v>0</v>
      </c>
      <c r="O1488" s="56">
        <f t="shared" si="220"/>
        <v>0</v>
      </c>
      <c r="P1488" s="56">
        <f t="shared" si="220"/>
        <v>0</v>
      </c>
      <c r="Q1488" s="56">
        <f t="shared" si="220"/>
        <v>0</v>
      </c>
      <c r="R1488" s="56">
        <f t="shared" si="220"/>
        <v>0</v>
      </c>
      <c r="S1488" s="53"/>
      <c r="T1488" s="35" t="s">
        <v>56</v>
      </c>
      <c r="U1488" s="18" t="s">
        <v>1873</v>
      </c>
      <c r="V1488" s="19" t="s">
        <v>1945</v>
      </c>
      <c r="W1488" s="18" t="s">
        <v>96</v>
      </c>
      <c r="X1488" s="18" t="s">
        <v>1952</v>
      </c>
      <c r="Y1488" s="19" t="s">
        <v>32</v>
      </c>
      <c r="Z1488" s="19" t="str">
        <f>A1488 &amp; "-" &amp; VLOOKUP(A1488,[4]PROGRAMMES!$E$1:$F$7,2,FALSE)</f>
        <v>5-Gouvernance et pilotage du secteur</v>
      </c>
      <c r="AA1488" s="19" t="str">
        <f>B1488 &amp; "-" &amp; VLOOKUP(B1488,[4]SOUSPROGRAMMES!$E$1:$F$44,2,FALSE)</f>
        <v>52-Déconcentration, décentralisation, et partenariats (implication des communautés et des autres parties prenantes)</v>
      </c>
      <c r="AB1488" s="19" t="str">
        <f>C1488 &amp; "-" &amp; VLOOKUP(C1488,[4]RESULTATS!$E$1:$F$176,2,FALSE)</f>
        <v>522-Les acteurs ont les compétences et les ressources nécessaires pour exercer leurs missions</v>
      </c>
      <c r="AC1488" s="20" t="str">
        <f>D1488 &amp; "-" &amp; VLOOKUP(D1488,[4]STRATEGIES!$E$1:$F$504,2,FALSE)</f>
        <v>5222-Renforcement des rôles des structures déconcentrées dans la préparation du budget de l’état pour l’éducation</v>
      </c>
      <c r="AD1488" s="21" t="str">
        <f t="shared" si="221"/>
        <v>52225-Organisation des sessions nationale de préparation du budget (pris en compte dans budget DAF)</v>
      </c>
    </row>
    <row r="1489" spans="1:30" s="22" customFormat="1" ht="60" customHeight="1" x14ac:dyDescent="0.8">
      <c r="A1489" s="14">
        <v>5</v>
      </c>
      <c r="B1489" s="15">
        <v>52</v>
      </c>
      <c r="C1489" s="15">
        <v>522</v>
      </c>
      <c r="D1489" s="15">
        <v>5223</v>
      </c>
      <c r="E1489" s="14">
        <v>5223</v>
      </c>
      <c r="F1489" s="16" t="s">
        <v>1953</v>
      </c>
      <c r="G1489" s="17"/>
      <c r="H1489" s="17"/>
      <c r="I1489" s="56">
        <v>0</v>
      </c>
      <c r="J1489" s="56"/>
      <c r="K1489" s="56"/>
      <c r="L1489" s="56"/>
      <c r="M1489" s="56"/>
      <c r="N1489" s="56"/>
      <c r="O1489" s="56"/>
      <c r="P1489" s="56"/>
      <c r="Q1489" s="56"/>
      <c r="R1489" s="56"/>
      <c r="S1489" s="53"/>
      <c r="T1489" s="33"/>
      <c r="U1489" s="18"/>
      <c r="V1489" s="19" t="s">
        <v>1945</v>
      </c>
      <c r="W1489" s="18"/>
      <c r="X1489" s="18"/>
      <c r="Y1489" s="18"/>
      <c r="Z1489" s="19" t="str">
        <f>A1489 &amp; "-" &amp; VLOOKUP(A1489,[4]PROGRAMMES!$E$1:$F$7,2,FALSE)</f>
        <v>5-Gouvernance et pilotage du secteur</v>
      </c>
      <c r="AA1489" s="19" t="str">
        <f>B1489 &amp; "-" &amp; VLOOKUP(B1489,[4]SOUSPROGRAMMES!$E$1:$F$44,2,FALSE)</f>
        <v>52-Déconcentration, décentralisation, et partenariats (implication des communautés et des autres parties prenantes)</v>
      </c>
      <c r="AB1489" s="19" t="str">
        <f>C1489 &amp; "-" &amp; VLOOKUP(C1489,[4]RESULTATS!$E$1:$F$176,2,FALSE)</f>
        <v>522-Les acteurs ont les compétences et les ressources nécessaires pour exercer leurs missions</v>
      </c>
      <c r="AC1489" s="20" t="str">
        <f>D1489 &amp; "-" &amp; VLOOKUP(D1489,[4]STRATEGIES!$E$1:$F$504,2,FALSE)</f>
        <v>5223-Suivi régulier de l’application des textes et procédures d’exécution budgétaire</v>
      </c>
      <c r="AD1489" s="21" t="str">
        <f t="shared" si="221"/>
        <v>5223-Suivi régulier de l’application des textes et procédures d’exécution budgétaire</v>
      </c>
    </row>
    <row r="1490" spans="1:30" s="22" customFormat="1" ht="60" customHeight="1" x14ac:dyDescent="0.8">
      <c r="A1490" s="14">
        <v>5</v>
      </c>
      <c r="B1490" s="15">
        <v>52</v>
      </c>
      <c r="C1490" s="15">
        <v>522</v>
      </c>
      <c r="D1490" s="15">
        <v>5223</v>
      </c>
      <c r="E1490" s="14">
        <v>52231</v>
      </c>
      <c r="F1490" s="16" t="s">
        <v>1954</v>
      </c>
      <c r="G1490" s="21" t="s">
        <v>1017</v>
      </c>
      <c r="H1490" s="17" t="s">
        <v>59</v>
      </c>
      <c r="I1490" s="56">
        <v>0</v>
      </c>
      <c r="J1490" s="56">
        <f>4*9*5</f>
        <v>180</v>
      </c>
      <c r="K1490" s="56">
        <f>4*9*5</f>
        <v>180</v>
      </c>
      <c r="L1490" s="56">
        <f>4*9*5</f>
        <v>180</v>
      </c>
      <c r="M1490" s="56">
        <f t="shared" si="219"/>
        <v>540</v>
      </c>
      <c r="N1490" s="56">
        <f>IF(OR(H1490="",H1490="sif",H1490="PM"),0,VLOOKUP(H1490,[5]CU!$C$4:$H$255,6,FALSE))</f>
        <v>0.8177777777777776</v>
      </c>
      <c r="O1490" s="56">
        <f t="shared" si="220"/>
        <v>0</v>
      </c>
      <c r="P1490" s="56">
        <f t="shared" si="220"/>
        <v>147.19999999999996</v>
      </c>
      <c r="Q1490" s="56">
        <f t="shared" si="220"/>
        <v>147.19999999999996</v>
      </c>
      <c r="R1490" s="56">
        <f t="shared" si="220"/>
        <v>147.19999999999996</v>
      </c>
      <c r="S1490" s="53">
        <f>SUM(O1490:R1490)</f>
        <v>441.59999999999991</v>
      </c>
      <c r="T1490" s="35" t="s">
        <v>118</v>
      </c>
      <c r="U1490" s="18" t="s">
        <v>1873</v>
      </c>
      <c r="V1490" s="19" t="s">
        <v>1945</v>
      </c>
      <c r="W1490" s="18" t="s">
        <v>1955</v>
      </c>
      <c r="X1490" s="18" t="s">
        <v>1955</v>
      </c>
      <c r="Y1490" s="19" t="s">
        <v>32</v>
      </c>
      <c r="Z1490" s="19" t="str">
        <f>A1490 &amp; "-" &amp; VLOOKUP(A1490,[4]PROGRAMMES!$E$1:$F$7,2,FALSE)</f>
        <v>5-Gouvernance et pilotage du secteur</v>
      </c>
      <c r="AA1490" s="19" t="str">
        <f>B1490 &amp; "-" &amp; VLOOKUP(B1490,[4]SOUSPROGRAMMES!$E$1:$F$44,2,FALSE)</f>
        <v>52-Déconcentration, décentralisation, et partenariats (implication des communautés et des autres parties prenantes)</v>
      </c>
      <c r="AB1490" s="19" t="str">
        <f>C1490 &amp; "-" &amp; VLOOKUP(C1490,[4]RESULTATS!$E$1:$F$176,2,FALSE)</f>
        <v>522-Les acteurs ont les compétences et les ressources nécessaires pour exercer leurs missions</v>
      </c>
      <c r="AC1490" s="20" t="str">
        <f>D1490 &amp; "-" &amp; VLOOKUP(D1490,[4]STRATEGIES!$E$1:$F$504,2,FALSE)</f>
        <v>5223-Suivi régulier de l’application des textes et procédures d’exécution budgétaire</v>
      </c>
      <c r="AD1490" s="21" t="str">
        <f t="shared" si="221"/>
        <v>52231-Organisation de missions d'audit des ressources mises à la disposition des structures déconcentrées</v>
      </c>
    </row>
    <row r="1491" spans="1:30" s="22" customFormat="1" ht="45" hidden="1" customHeight="1" x14ac:dyDescent="0.8">
      <c r="A1491" s="14">
        <v>5</v>
      </c>
      <c r="B1491" s="15">
        <v>52</v>
      </c>
      <c r="C1491" s="15">
        <v>522</v>
      </c>
      <c r="D1491" s="15">
        <v>5223</v>
      </c>
      <c r="E1491" s="14">
        <v>52232</v>
      </c>
      <c r="F1491" s="16" t="s">
        <v>1956</v>
      </c>
      <c r="G1491" s="21" t="s">
        <v>88</v>
      </c>
      <c r="H1491" s="17" t="s">
        <v>55</v>
      </c>
      <c r="I1491" s="56">
        <v>0</v>
      </c>
      <c r="J1491" s="56">
        <v>1</v>
      </c>
      <c r="K1491" s="56">
        <v>1</v>
      </c>
      <c r="L1491" s="56">
        <v>1</v>
      </c>
      <c r="M1491" s="56">
        <f t="shared" si="219"/>
        <v>3</v>
      </c>
      <c r="N1491" s="56">
        <f>IF(OR(H1491="",H1491="sif",H1491="PM"),0,VLOOKUP(H1491,[5]CU!$C$4:$H$255,6,FALSE))</f>
        <v>0</v>
      </c>
      <c r="O1491" s="56">
        <f t="shared" si="220"/>
        <v>0</v>
      </c>
      <c r="P1491" s="56">
        <f t="shared" si="220"/>
        <v>0</v>
      </c>
      <c r="Q1491" s="56">
        <f t="shared" si="220"/>
        <v>0</v>
      </c>
      <c r="R1491" s="56">
        <f t="shared" si="220"/>
        <v>0</v>
      </c>
      <c r="S1491" s="53"/>
      <c r="T1491" s="35" t="s">
        <v>56</v>
      </c>
      <c r="U1491" s="18" t="s">
        <v>1873</v>
      </c>
      <c r="V1491" s="19" t="s">
        <v>1945</v>
      </c>
      <c r="W1491" s="18" t="s">
        <v>1955</v>
      </c>
      <c r="X1491" s="18" t="s">
        <v>1955</v>
      </c>
      <c r="Y1491" s="19" t="s">
        <v>32</v>
      </c>
      <c r="Z1491" s="19" t="str">
        <f>A1491 &amp; "-" &amp; VLOOKUP(A1491,[4]PROGRAMMES!$E$1:$F$7,2,FALSE)</f>
        <v>5-Gouvernance et pilotage du secteur</v>
      </c>
      <c r="AA1491" s="18" t="str">
        <f>B1491 &amp; "-" &amp; VLOOKUP(B1491,[4]SOUSPROGRAMMES!$E$1:$F$44,2,FALSE)</f>
        <v>52-Déconcentration, décentralisation, et partenariats (implication des communautés et des autres parties prenantes)</v>
      </c>
      <c r="AB1491" s="19" t="str">
        <f>C1491 &amp; "-" &amp; VLOOKUP(C1491,[4]RESULTATS!$E$1:$F$176,2,FALSE)</f>
        <v>522-Les acteurs ont les compétences et les ressources nécessaires pour exercer leurs missions</v>
      </c>
      <c r="AC1491" s="20" t="str">
        <f>D1491 &amp; "-" &amp; VLOOKUP(D1491,[4]STRATEGIES!$E$1:$F$504,2,FALSE)</f>
        <v>5223-Suivi régulier de l’application des textes et procédures d’exécution budgétaire</v>
      </c>
      <c r="AD1491" s="21" t="str">
        <f t="shared" si="221"/>
        <v>52232-Mise en œuvre des recommandations issues des missions d'audit</v>
      </c>
    </row>
    <row r="1492" spans="1:30" ht="45" customHeight="1" x14ac:dyDescent="0.8">
      <c r="A1492" s="25">
        <v>5</v>
      </c>
      <c r="B1492" s="16">
        <v>53</v>
      </c>
      <c r="C1492" s="16">
        <v>53</v>
      </c>
      <c r="D1492" s="16">
        <v>53</v>
      </c>
      <c r="E1492" s="25">
        <v>53</v>
      </c>
      <c r="F1492" s="16" t="s">
        <v>1957</v>
      </c>
      <c r="G1492" s="21"/>
      <c r="H1492" s="21"/>
      <c r="I1492" s="56">
        <v>0</v>
      </c>
      <c r="J1492" s="57"/>
      <c r="K1492" s="57"/>
      <c r="L1492" s="57"/>
      <c r="M1492" s="57"/>
      <c r="N1492" s="57"/>
      <c r="O1492" s="57"/>
      <c r="P1492" s="57"/>
      <c r="Q1492" s="57"/>
      <c r="R1492" s="57"/>
      <c r="S1492" s="60"/>
      <c r="T1492" s="36"/>
      <c r="U1492" s="19"/>
      <c r="V1492" s="19" t="s">
        <v>1945</v>
      </c>
      <c r="W1492" s="19"/>
      <c r="X1492" s="19"/>
      <c r="Y1492" s="19"/>
      <c r="Z1492" s="19" t="str">
        <f>A1492 &amp; "-" &amp; VLOOKUP(A1492,[4]PROGRAMMES!$E$1:$F$7,2,FALSE)</f>
        <v>5-Gouvernance et pilotage du secteur</v>
      </c>
      <c r="AA1492" s="19" t="str">
        <f>B1492 &amp; "-" &amp; VLOOKUP(B1492,[4]SOUSPROGRAMMES!$E$1:$F$44,2,FALSE)</f>
        <v xml:space="preserve">53- Systèmes d’information pour la gestion de l'éducation (collecte, analyse, diffusion, et utilisation des informations) </v>
      </c>
      <c r="AB1492" s="19" t="str">
        <f>C1492 &amp; "-" &amp; VLOOKUP(C1492,[4]RESULTATS!$E$1:$F$176,2,FALSE)</f>
        <v xml:space="preserve">53- Systèmes d’information pour la gestion de l'éducation (collecte, analyse, diffusion, et utilisation des informations) </v>
      </c>
      <c r="AC1492" s="20" t="str">
        <f>D1492 &amp; "-" &amp; VLOOKUP(D1492,[4]STRATEGIES!$E$1:$F$504,2,FALSE)</f>
        <v xml:space="preserve">53- Systèmes d’information pour la gestion de l'éducation (collecte, analyse, diffusion, et utilisation des informations) </v>
      </c>
      <c r="AD1492" s="21" t="str">
        <f t="shared" si="221"/>
        <v xml:space="preserve">53- Systèmes d’information pour la gestion de l'éducation (collecte, analyse, diffusion, et utilisation des informations) </v>
      </c>
    </row>
    <row r="1493" spans="1:30" ht="60" customHeight="1" x14ac:dyDescent="0.8">
      <c r="A1493" s="25">
        <v>5</v>
      </c>
      <c r="B1493" s="16">
        <v>53</v>
      </c>
      <c r="C1493" s="16">
        <v>531</v>
      </c>
      <c r="D1493" s="16">
        <v>531</v>
      </c>
      <c r="E1493" s="25">
        <v>531</v>
      </c>
      <c r="F1493" s="16" t="s">
        <v>1958</v>
      </c>
      <c r="G1493" s="21"/>
      <c r="H1493" s="21"/>
      <c r="I1493" s="56">
        <v>0</v>
      </c>
      <c r="J1493" s="57"/>
      <c r="K1493" s="57"/>
      <c r="L1493" s="57"/>
      <c r="M1493" s="57"/>
      <c r="N1493" s="57"/>
      <c r="O1493" s="57"/>
      <c r="P1493" s="57"/>
      <c r="Q1493" s="57"/>
      <c r="R1493" s="57"/>
      <c r="S1493" s="60"/>
      <c r="T1493" s="36"/>
      <c r="U1493" s="19"/>
      <c r="V1493" s="19" t="s">
        <v>1945</v>
      </c>
      <c r="W1493" s="19"/>
      <c r="X1493" s="19"/>
      <c r="Y1493" s="19"/>
      <c r="Z1493" s="19" t="str">
        <f>A1493 &amp; "-" &amp; VLOOKUP(A1493,[4]PROGRAMMES!$E$1:$F$7,2,FALSE)</f>
        <v>5-Gouvernance et pilotage du secteur</v>
      </c>
      <c r="AA1493" s="19" t="str">
        <f>B1493 &amp; "-" &amp; VLOOKUP(B1493,[4]SOUSPROGRAMMES!$E$1:$F$44,2,FALSE)</f>
        <v xml:space="preserve">53- Systèmes d’information pour la gestion de l'éducation (collecte, analyse, diffusion, et utilisation des informations) </v>
      </c>
      <c r="AB1493" s="19" t="str">
        <f>C1493 &amp; "-" &amp; VLOOKUP(C1493,[4]RESULTATS!$E$1:$F$176,2,FALSE)</f>
        <v>531- La production des données permet d’offrir aux différents acteurs et utilisateurs à tous les niveaux l’information dont ils ont besoin</v>
      </c>
      <c r="AC1493" s="20" t="str">
        <f>D1493 &amp; "-" &amp; VLOOKUP(D1493,[4]STRATEGIES!$E$1:$F$504,2,FALSE)</f>
        <v>531- La production des données permet d’offrir aux différents acteurs et utilisateurs à tous les niveaux l’information dont ils ont besoin</v>
      </c>
      <c r="AD1493" s="21" t="str">
        <f t="shared" si="221"/>
        <v>531- La production des données permet d’offrir aux différents acteurs et utilisateurs à tous les niveaux l’information dont ils ont besoin</v>
      </c>
    </row>
    <row r="1494" spans="1:30" ht="60" customHeight="1" x14ac:dyDescent="0.8">
      <c r="A1494" s="25">
        <v>5</v>
      </c>
      <c r="B1494" s="16">
        <v>53</v>
      </c>
      <c r="C1494" s="16">
        <v>531</v>
      </c>
      <c r="D1494" s="16">
        <v>5311</v>
      </c>
      <c r="E1494" s="25">
        <v>5311</v>
      </c>
      <c r="F1494" s="16" t="s">
        <v>1959</v>
      </c>
      <c r="G1494" s="21"/>
      <c r="H1494" s="21"/>
      <c r="I1494" s="56">
        <v>0</v>
      </c>
      <c r="J1494" s="57"/>
      <c r="K1494" s="57"/>
      <c r="L1494" s="57"/>
      <c r="M1494" s="57"/>
      <c r="N1494" s="57"/>
      <c r="O1494" s="57"/>
      <c r="P1494" s="57"/>
      <c r="Q1494" s="57"/>
      <c r="R1494" s="57"/>
      <c r="S1494" s="60"/>
      <c r="T1494" s="36"/>
      <c r="U1494" s="19"/>
      <c r="V1494" s="19" t="s">
        <v>1945</v>
      </c>
      <c r="W1494" s="19"/>
      <c r="X1494" s="19"/>
      <c r="Y1494" s="19"/>
      <c r="Z1494" s="19" t="str">
        <f>A1494 &amp; "-" &amp; VLOOKUP(A1494,[4]PROGRAMMES!$E$1:$F$7,2,FALSE)</f>
        <v>5-Gouvernance et pilotage du secteur</v>
      </c>
      <c r="AA1494" s="19" t="str">
        <f>B1494 &amp; "-" &amp; VLOOKUP(B1494,[4]SOUSPROGRAMMES!$E$1:$F$44,2,FALSE)</f>
        <v xml:space="preserve">53- Systèmes d’information pour la gestion de l'éducation (collecte, analyse, diffusion, et utilisation des informations) </v>
      </c>
      <c r="AB1494" s="19" t="str">
        <f>C1494 &amp; "-" &amp; VLOOKUP(C1494,[4]RESULTATS!$E$1:$F$176,2,FALSE)</f>
        <v>531- La production des données permet d’offrir aux différents acteurs et utilisateurs à tous les niveaux l’information dont ils ont besoin</v>
      </c>
      <c r="AC1494" s="20" t="str">
        <f>D1494 &amp; "-" &amp; VLOOKUP(D1494,[4]STRATEGIES!$E$1:$F$504,2,FALSE)</f>
        <v>5311-Organisation de la collecte classique</v>
      </c>
      <c r="AD1494" s="21" t="str">
        <f t="shared" si="221"/>
        <v>5311-Organisation de la collecte classique</v>
      </c>
    </row>
    <row r="1495" spans="1:30" ht="60" hidden="1" customHeight="1" x14ac:dyDescent="0.8">
      <c r="A1495" s="25">
        <v>5</v>
      </c>
      <c r="B1495" s="16">
        <v>53</v>
      </c>
      <c r="C1495" s="16">
        <v>531</v>
      </c>
      <c r="D1495" s="16">
        <v>5311</v>
      </c>
      <c r="E1495" s="25">
        <v>53111</v>
      </c>
      <c r="F1495" s="16" t="s">
        <v>1960</v>
      </c>
      <c r="G1495" s="21" t="s">
        <v>88</v>
      </c>
      <c r="H1495" s="21" t="s">
        <v>55</v>
      </c>
      <c r="I1495" s="56">
        <v>0</v>
      </c>
      <c r="J1495" s="57">
        <v>0</v>
      </c>
      <c r="K1495" s="57">
        <v>0</v>
      </c>
      <c r="L1495" s="57">
        <v>0</v>
      </c>
      <c r="M1495" s="57">
        <f t="shared" si="219"/>
        <v>0</v>
      </c>
      <c r="N1495" s="57">
        <f>IF(OR(H1495="",H1495="sif",H1495="PM"),0,VLOOKUP(H1495,[5]CU!$C$4:$H$255,6,FALSE))</f>
        <v>0</v>
      </c>
      <c r="O1495" s="57"/>
      <c r="P1495" s="57"/>
      <c r="Q1495" s="57"/>
      <c r="R1495" s="57"/>
      <c r="S1495" s="60"/>
      <c r="T1495" s="38" t="s">
        <v>56</v>
      </c>
      <c r="U1495" s="19" t="s">
        <v>1873</v>
      </c>
      <c r="V1495" s="19" t="s">
        <v>1945</v>
      </c>
      <c r="W1495" s="19" t="s">
        <v>96</v>
      </c>
      <c r="X1495" s="19" t="s">
        <v>96</v>
      </c>
      <c r="Y1495" s="19" t="s">
        <v>32</v>
      </c>
      <c r="Z1495" s="19" t="str">
        <f>A1495 &amp; "-" &amp; VLOOKUP(A1495,[4]PROGRAMMES!$E$1:$F$7,2,FALSE)</f>
        <v>5-Gouvernance et pilotage du secteur</v>
      </c>
      <c r="AA1495" s="19" t="str">
        <f>B1495 &amp; "-" &amp; VLOOKUP(B1495,[4]SOUSPROGRAMMES!$E$1:$F$44,2,FALSE)</f>
        <v xml:space="preserve">53- Systèmes d’information pour la gestion de l'éducation (collecte, analyse, diffusion, et utilisation des informations) </v>
      </c>
      <c r="AB1495" s="19" t="str">
        <f>C1495 &amp; "-" &amp; VLOOKUP(C1495,[4]RESULTATS!$E$1:$F$176,2,FALSE)</f>
        <v>531- La production des données permet d’offrir aux différents acteurs et utilisateurs à tous les niveaux l’information dont ils ont besoin</v>
      </c>
      <c r="AC1495" s="20" t="str">
        <f>D1495 &amp; "-" &amp; VLOOKUP(D1495,[4]STRATEGIES!$E$1:$F$504,2,FALSE)</f>
        <v>5311-Organisation de la collecte classique</v>
      </c>
      <c r="AD1495" s="21" t="str">
        <f t="shared" si="221"/>
        <v>53111-Révision des outils de collecte en tenant compte de l'éducation inclusive, les catastrophes naturelles/crises, santé sexuelle, enseignement coranique etc……</v>
      </c>
    </row>
    <row r="1496" spans="1:30" ht="60" hidden="1" customHeight="1" x14ac:dyDescent="0.8">
      <c r="A1496" s="25">
        <v>5</v>
      </c>
      <c r="B1496" s="16">
        <v>53</v>
      </c>
      <c r="C1496" s="16">
        <v>531</v>
      </c>
      <c r="D1496" s="16">
        <v>5311</v>
      </c>
      <c r="E1496" s="25">
        <v>53112</v>
      </c>
      <c r="F1496" s="16" t="s">
        <v>1960</v>
      </c>
      <c r="G1496" s="21" t="s">
        <v>88</v>
      </c>
      <c r="H1496" s="21" t="s">
        <v>55</v>
      </c>
      <c r="I1496" s="56">
        <v>0</v>
      </c>
      <c r="J1496" s="57">
        <v>0</v>
      </c>
      <c r="K1496" s="57">
        <v>0</v>
      </c>
      <c r="L1496" s="57">
        <v>0</v>
      </c>
      <c r="M1496" s="57">
        <f t="shared" si="219"/>
        <v>0</v>
      </c>
      <c r="N1496" s="57">
        <f>IF(OR(H1496="",H1496="sif",H1496="PM"),0,VLOOKUP(H1496,[5]CU!$C$4:$H$255,6,FALSE))</f>
        <v>0</v>
      </c>
      <c r="O1496" s="57"/>
      <c r="P1496" s="57"/>
      <c r="Q1496" s="57"/>
      <c r="R1496" s="57"/>
      <c r="S1496" s="60"/>
      <c r="T1496" s="38" t="s">
        <v>56</v>
      </c>
      <c r="U1496" s="19" t="s">
        <v>1873</v>
      </c>
      <c r="V1496" s="19" t="s">
        <v>1945</v>
      </c>
      <c r="W1496" s="19" t="s">
        <v>96</v>
      </c>
      <c r="X1496" s="19" t="s">
        <v>96</v>
      </c>
      <c r="Y1496" s="19" t="s">
        <v>679</v>
      </c>
      <c r="Z1496" s="19" t="str">
        <f>A1496 &amp; "-" &amp; VLOOKUP(A1496,[4]PROGRAMMES!$E$1:$F$7,2,FALSE)</f>
        <v>5-Gouvernance et pilotage du secteur</v>
      </c>
      <c r="AA1496" s="19" t="str">
        <f>B1496 &amp; "-" &amp; VLOOKUP(B1496,[4]SOUSPROGRAMMES!$E$1:$F$44,2,FALSE)</f>
        <v xml:space="preserve">53- Systèmes d’information pour la gestion de l'éducation (collecte, analyse, diffusion, et utilisation des informations) </v>
      </c>
      <c r="AB1496" s="19" t="str">
        <f>C1496 &amp; "-" &amp; VLOOKUP(C1496,[4]RESULTATS!$E$1:$F$176,2,FALSE)</f>
        <v>531- La production des données permet d’offrir aux différents acteurs et utilisateurs à tous les niveaux l’information dont ils ont besoin</v>
      </c>
      <c r="AC1496" s="20" t="str">
        <f>D1496 &amp; "-" &amp; VLOOKUP(D1496,[4]STRATEGIES!$E$1:$F$504,2,FALSE)</f>
        <v>5311-Organisation de la collecte classique</v>
      </c>
      <c r="AD1496" s="21" t="str">
        <f t="shared" si="221"/>
        <v>53112-Révision des outils de collecte en tenant compte de l'éducation inclusive, les catastrophes naturelles/crises, santé sexuelle, enseignement coranique etc……</v>
      </c>
    </row>
    <row r="1497" spans="1:30" ht="60" hidden="1" customHeight="1" x14ac:dyDescent="0.8">
      <c r="A1497" s="25">
        <v>5</v>
      </c>
      <c r="B1497" s="16">
        <v>53</v>
      </c>
      <c r="C1497" s="16">
        <v>531</v>
      </c>
      <c r="D1497" s="16">
        <v>5311</v>
      </c>
      <c r="E1497" s="25">
        <v>53113</v>
      </c>
      <c r="F1497" s="16" t="s">
        <v>1960</v>
      </c>
      <c r="G1497" s="21" t="s">
        <v>88</v>
      </c>
      <c r="H1497" s="17" t="s">
        <v>55</v>
      </c>
      <c r="I1497" s="56">
        <v>0</v>
      </c>
      <c r="J1497" s="57">
        <v>0</v>
      </c>
      <c r="K1497" s="57">
        <v>0</v>
      </c>
      <c r="L1497" s="57">
        <v>0</v>
      </c>
      <c r="M1497" s="57">
        <f t="shared" si="219"/>
        <v>0</v>
      </c>
      <c r="N1497" s="57">
        <f>IF(OR(H1497="",H1497="sif",H1497="PM"),0,VLOOKUP(H1497,[5]CU!$C$4:$H$255,6,FALSE))</f>
        <v>0</v>
      </c>
      <c r="O1497" s="57">
        <f t="shared" ref="O1497:R1532" si="223">IFERROR($N1497*I1497,0)</f>
        <v>0</v>
      </c>
      <c r="P1497" s="57">
        <f t="shared" si="223"/>
        <v>0</v>
      </c>
      <c r="Q1497" s="57">
        <f t="shared" si="223"/>
        <v>0</v>
      </c>
      <c r="R1497" s="57">
        <f t="shared" si="223"/>
        <v>0</v>
      </c>
      <c r="S1497" s="60"/>
      <c r="T1497" s="38" t="s">
        <v>56</v>
      </c>
      <c r="U1497" s="19" t="s">
        <v>1873</v>
      </c>
      <c r="V1497" s="19" t="s">
        <v>1945</v>
      </c>
      <c r="W1497" s="19" t="s">
        <v>96</v>
      </c>
      <c r="X1497" s="19" t="s">
        <v>96</v>
      </c>
      <c r="Y1497" s="19" t="s">
        <v>677</v>
      </c>
      <c r="Z1497" s="19" t="str">
        <f>A1497 &amp; "-" &amp; VLOOKUP(A1497,[4]PROGRAMMES!$E$1:$F$7,2,FALSE)</f>
        <v>5-Gouvernance et pilotage du secteur</v>
      </c>
      <c r="AA1497" s="19" t="str">
        <f>B1497 &amp; "-" &amp; VLOOKUP(B1497,[4]SOUSPROGRAMMES!$E$1:$F$44,2,FALSE)</f>
        <v xml:space="preserve">53- Systèmes d’information pour la gestion de l'éducation (collecte, analyse, diffusion, et utilisation des informations) </v>
      </c>
      <c r="AB1497" s="19" t="str">
        <f>C1497 &amp; "-" &amp; VLOOKUP(C1497,[4]RESULTATS!$E$1:$F$176,2,FALSE)</f>
        <v>531- La production des données permet d’offrir aux différents acteurs et utilisateurs à tous les niveaux l’information dont ils ont besoin</v>
      </c>
      <c r="AC1497" s="20" t="str">
        <f>D1497 &amp; "-" &amp; VLOOKUP(D1497,[4]STRATEGIES!$E$1:$F$504,2,FALSE)</f>
        <v>5311-Organisation de la collecte classique</v>
      </c>
      <c r="AD1497" s="21" t="str">
        <f t="shared" si="221"/>
        <v>53113-Révision des outils de collecte en tenant compte de l'éducation inclusive, les catastrophes naturelles/crises, santé sexuelle, enseignement coranique etc……</v>
      </c>
    </row>
    <row r="1498" spans="1:30" ht="60" hidden="1" customHeight="1" x14ac:dyDescent="0.8">
      <c r="A1498" s="25">
        <v>5</v>
      </c>
      <c r="B1498" s="16">
        <v>53</v>
      </c>
      <c r="C1498" s="16">
        <v>531</v>
      </c>
      <c r="D1498" s="16">
        <v>5311</v>
      </c>
      <c r="E1498" s="25">
        <v>53114</v>
      </c>
      <c r="F1498" s="16" t="s">
        <v>1961</v>
      </c>
      <c r="G1498" s="21" t="s">
        <v>1962</v>
      </c>
      <c r="H1498" s="21" t="s">
        <v>452</v>
      </c>
      <c r="I1498" s="56">
        <v>0</v>
      </c>
      <c r="J1498" s="57">
        <f>(ROUND(I1498*(1+5%),0))*76.8%</f>
        <v>0</v>
      </c>
      <c r="K1498" s="57">
        <f>(ROUND(J1498*(1+5%),0))*76.8%</f>
        <v>0</v>
      </c>
      <c r="L1498" s="57">
        <f>(ROUND(K1498*(1+5%),0))*76.8%</f>
        <v>0</v>
      </c>
      <c r="M1498" s="57">
        <f>SUM(I1498:L1498)</f>
        <v>0</v>
      </c>
      <c r="N1498" s="57">
        <f>IF(OR(H1498="",H1498="sif",H1498="PM"),0,VLOOKUP(H1498,[5]CU!$C$4:$H$255,6,FALSE))</f>
        <v>7.4999999999999997E-3</v>
      </c>
      <c r="O1498" s="57">
        <f>IFERROR($N1498*I1498,0)</f>
        <v>0</v>
      </c>
      <c r="P1498" s="57">
        <f>IFERROR($N1498*J1498,0)</f>
        <v>0</v>
      </c>
      <c r="Q1498" s="57">
        <f>IFERROR($N1498*K1498,0)</f>
        <v>0</v>
      </c>
      <c r="R1498" s="57">
        <f>IFERROR($N1498*L1498,0)</f>
        <v>0</v>
      </c>
      <c r="S1498" s="60">
        <f>SUM(O1498:R1498)</f>
        <v>0</v>
      </c>
      <c r="T1498" s="38" t="s">
        <v>56</v>
      </c>
      <c r="U1498" s="19" t="s">
        <v>1873</v>
      </c>
      <c r="V1498" s="19" t="str">
        <f>IF(OR($H1498="",$H1498="sif",$H1498="PM"),"",VLOOKUP($H1498,[5]CU!$C$5:$J$255,8,FALSE))</f>
        <v>3. Dépenses de fonctionnement</v>
      </c>
      <c r="W1498" s="19" t="s">
        <v>96</v>
      </c>
      <c r="X1498" s="19" t="s">
        <v>1963</v>
      </c>
      <c r="Y1498" s="19" t="s">
        <v>32</v>
      </c>
      <c r="Z1498" s="19" t="str">
        <f>A1498 &amp; "-" &amp; VLOOKUP(A1498,[4]PROGRAMMES!$E$1:$F$7,2,FALSE)</f>
        <v>5-Gouvernance et pilotage du secteur</v>
      </c>
      <c r="AA1498" s="19" t="str">
        <f>B1498 &amp; "-" &amp; VLOOKUP(B1498,[4]SOUSPROGRAMMES!$E$1:$F$44,2,FALSE)</f>
        <v xml:space="preserve">53- Systèmes d’information pour la gestion de l'éducation (collecte, analyse, diffusion, et utilisation des informations) </v>
      </c>
      <c r="AB1498" s="19" t="str">
        <f>C1498 &amp; "-" &amp; VLOOKUP(C1498,[4]RESULTATS!$E$1:$F$176,2,FALSE)</f>
        <v>531- La production des données permet d’offrir aux différents acteurs et utilisateurs à tous les niveaux l’information dont ils ont besoin</v>
      </c>
      <c r="AC1498" s="20" t="str">
        <f>D1498 &amp; "-" &amp; VLOOKUP(D1498,[4]STRATEGIES!$E$1:$F$504,2,FALSE)</f>
        <v>5311-Organisation de la collecte classique</v>
      </c>
      <c r="AD1498" s="21" t="str">
        <f t="shared" si="221"/>
        <v>53114-Impression des fiches de collecte (MENA)</v>
      </c>
    </row>
    <row r="1499" spans="1:30" ht="60" customHeight="1" x14ac:dyDescent="0.8">
      <c r="A1499" s="25">
        <v>5</v>
      </c>
      <c r="B1499" s="16">
        <v>53</v>
      </c>
      <c r="C1499" s="16">
        <v>531</v>
      </c>
      <c r="D1499" s="16">
        <v>5311</v>
      </c>
      <c r="E1499" s="25">
        <v>53114</v>
      </c>
      <c r="F1499" s="16" t="s">
        <v>1961</v>
      </c>
      <c r="G1499" s="21" t="s">
        <v>1962</v>
      </c>
      <c r="H1499" s="21" t="s">
        <v>452</v>
      </c>
      <c r="I1499" s="56">
        <v>0</v>
      </c>
      <c r="J1499" s="57">
        <f>(ROUND(I1498*(1+5%),0))*23.2%</f>
        <v>0</v>
      </c>
      <c r="K1499" s="57">
        <f>(ROUND(J1498*(1+5%),0))*23.2%</f>
        <v>0</v>
      </c>
      <c r="L1499" s="57">
        <f>(ROUND(K1498*(1+5%),0))*23.2%</f>
        <v>0</v>
      </c>
      <c r="M1499" s="57">
        <f t="shared" si="219"/>
        <v>0</v>
      </c>
      <c r="N1499" s="57">
        <f>IF(OR(H1499="",H1499="sif",H1499="PM"),0,VLOOKUP(H1499,[5]CU!$C$4:$H$255,6,FALSE))</f>
        <v>7.4999999999999997E-3</v>
      </c>
      <c r="O1499" s="57">
        <f t="shared" si="223"/>
        <v>0</v>
      </c>
      <c r="P1499" s="57">
        <f t="shared" si="223"/>
        <v>0</v>
      </c>
      <c r="Q1499" s="57">
        <f t="shared" si="223"/>
        <v>0</v>
      </c>
      <c r="R1499" s="57">
        <f t="shared" si="223"/>
        <v>0</v>
      </c>
      <c r="S1499" s="60">
        <f t="shared" ref="S1499:S1532" si="224">SUM(O1499:R1499)</f>
        <v>0</v>
      </c>
      <c r="T1499" s="38" t="s">
        <v>118</v>
      </c>
      <c r="U1499" s="19" t="s">
        <v>1873</v>
      </c>
      <c r="V1499" s="19" t="str">
        <f>IF(OR($H1499="",$H1499="sif",$H1499="PM"),"",VLOOKUP($H1499,[5]CU!$C$5:$J$255,8,FALSE))</f>
        <v>3. Dépenses de fonctionnement</v>
      </c>
      <c r="W1499" s="19" t="s">
        <v>96</v>
      </c>
      <c r="X1499" s="19" t="s">
        <v>1963</v>
      </c>
      <c r="Y1499" s="19" t="s">
        <v>32</v>
      </c>
      <c r="Z1499" s="19" t="str">
        <f>A1499 &amp; "-" &amp; VLOOKUP(A1499,[4]PROGRAMMES!$E$1:$F$7,2,FALSE)</f>
        <v>5-Gouvernance et pilotage du secteur</v>
      </c>
      <c r="AA1499" s="19" t="str">
        <f>B1499 &amp; "-" &amp; VLOOKUP(B1499,[4]SOUSPROGRAMMES!$E$1:$F$44,2,FALSE)</f>
        <v xml:space="preserve">53- Systèmes d’information pour la gestion de l'éducation (collecte, analyse, diffusion, et utilisation des informations) </v>
      </c>
      <c r="AB1499" s="19" t="str">
        <f>C1499 &amp; "-" &amp; VLOOKUP(C1499,[4]RESULTATS!$E$1:$F$176,2,FALSE)</f>
        <v>531- La production des données permet d’offrir aux différents acteurs et utilisateurs à tous les niveaux l’information dont ils ont besoin</v>
      </c>
      <c r="AC1499" s="20" t="str">
        <f>D1499 &amp; "-" &amp; VLOOKUP(D1499,[4]STRATEGIES!$E$1:$F$504,2,FALSE)</f>
        <v>5311-Organisation de la collecte classique</v>
      </c>
      <c r="AD1499" s="21" t="str">
        <f t="shared" si="221"/>
        <v>53114-Impression des fiches de collecte (MENA)</v>
      </c>
    </row>
    <row r="1500" spans="1:30" s="22" customFormat="1" ht="60" hidden="1" customHeight="1" x14ac:dyDescent="0.8">
      <c r="A1500" s="14">
        <v>5</v>
      </c>
      <c r="B1500" s="15">
        <v>53</v>
      </c>
      <c r="C1500" s="15">
        <v>531</v>
      </c>
      <c r="D1500" s="15">
        <v>5311</v>
      </c>
      <c r="E1500" s="14">
        <v>53115</v>
      </c>
      <c r="F1500" s="16" t="s">
        <v>1964</v>
      </c>
      <c r="G1500" s="21" t="s">
        <v>1962</v>
      </c>
      <c r="H1500" s="17" t="s">
        <v>452</v>
      </c>
      <c r="I1500" s="56">
        <v>0</v>
      </c>
      <c r="J1500" s="56">
        <f>(400/2)*2</f>
        <v>400</v>
      </c>
      <c r="K1500" s="56">
        <f>(400/2)*2</f>
        <v>400</v>
      </c>
      <c r="L1500" s="56">
        <f>(400/2)*2</f>
        <v>400</v>
      </c>
      <c r="M1500" s="56">
        <f t="shared" si="219"/>
        <v>1200</v>
      </c>
      <c r="N1500" s="56">
        <f>IF(OR(H1500="",H1500="sif",H1500="PM"),0,VLOOKUP(H1500,[5]CU!$C$4:$H$255,6,FALSE))</f>
        <v>7.4999999999999997E-3</v>
      </c>
      <c r="O1500" s="56">
        <f t="shared" si="223"/>
        <v>0</v>
      </c>
      <c r="P1500" s="56">
        <f t="shared" si="223"/>
        <v>3</v>
      </c>
      <c r="Q1500" s="56">
        <f t="shared" si="223"/>
        <v>3</v>
      </c>
      <c r="R1500" s="56">
        <f t="shared" si="223"/>
        <v>3</v>
      </c>
      <c r="S1500" s="53">
        <f t="shared" si="224"/>
        <v>9</v>
      </c>
      <c r="T1500" s="35" t="s">
        <v>56</v>
      </c>
      <c r="U1500" s="18" t="s">
        <v>1873</v>
      </c>
      <c r="V1500" s="19" t="str">
        <f>IF(OR($H1500="",$H1500="sif",$H1500="PM"),"",VLOOKUP($H1500,[5]CU!$C$5:$J$255,8,FALSE))</f>
        <v>3. Dépenses de fonctionnement</v>
      </c>
      <c r="W1500" s="18" t="s">
        <v>96</v>
      </c>
      <c r="X1500" s="18" t="s">
        <v>1963</v>
      </c>
      <c r="Y1500" s="18" t="s">
        <v>679</v>
      </c>
      <c r="Z1500" s="19" t="str">
        <f>A1500 &amp; "-" &amp; VLOOKUP(A1500,[4]PROGRAMMES!$E$1:$F$7,2,FALSE)</f>
        <v>5-Gouvernance et pilotage du secteur</v>
      </c>
      <c r="AA1500" s="19" t="str">
        <f>B1500 &amp; "-" &amp; VLOOKUP(B1500,[4]SOUSPROGRAMMES!$E$1:$F$44,2,FALSE)</f>
        <v xml:space="preserve">53- Systèmes d’information pour la gestion de l'éducation (collecte, analyse, diffusion, et utilisation des informations) </v>
      </c>
      <c r="AB1500" s="19" t="str">
        <f>C1500 &amp; "-" &amp; VLOOKUP(C1500,[4]RESULTATS!$E$1:$F$176,2,FALSE)</f>
        <v>531- La production des données permet d’offrir aux différents acteurs et utilisateurs à tous les niveaux l’information dont ils ont besoin</v>
      </c>
      <c r="AC1500" s="20" t="str">
        <f>D1500 &amp; "-" &amp; VLOOKUP(D1500,[4]STRATEGIES!$E$1:$F$504,2,FALSE)</f>
        <v>5311-Organisation de la collecte classique</v>
      </c>
      <c r="AD1500" s="21" t="str">
        <f t="shared" si="221"/>
        <v>53115-Impression des fiches de collecte (MESRS)</v>
      </c>
    </row>
    <row r="1501" spans="1:30" s="22" customFormat="1" ht="60" hidden="1" customHeight="1" x14ac:dyDescent="0.8">
      <c r="A1501" s="14">
        <v>5</v>
      </c>
      <c r="B1501" s="15">
        <v>53</v>
      </c>
      <c r="C1501" s="15">
        <v>531</v>
      </c>
      <c r="D1501" s="15">
        <v>5311</v>
      </c>
      <c r="E1501" s="14">
        <v>53116</v>
      </c>
      <c r="F1501" s="16" t="s">
        <v>1965</v>
      </c>
      <c r="G1501" s="21" t="s">
        <v>1962</v>
      </c>
      <c r="H1501" s="17" t="s">
        <v>452</v>
      </c>
      <c r="I1501" s="56">
        <v>0</v>
      </c>
      <c r="J1501" s="56">
        <f>(150/2)*2</f>
        <v>150</v>
      </c>
      <c r="K1501" s="56">
        <f>(150/2)*2</f>
        <v>150</v>
      </c>
      <c r="L1501" s="56">
        <f>(150/2)*2</f>
        <v>150</v>
      </c>
      <c r="M1501" s="56">
        <f t="shared" ref="M1501:M1532" si="225">SUM(I1501:L1501)</f>
        <v>450</v>
      </c>
      <c r="N1501" s="56">
        <f>IF(OR(H1501="",H1501="sif",H1501="PM"),0,VLOOKUP(H1501,[5]CU!$C$4:$H$255,6,FALSE))</f>
        <v>7.4999999999999997E-3</v>
      </c>
      <c r="O1501" s="56">
        <f t="shared" si="223"/>
        <v>0</v>
      </c>
      <c r="P1501" s="56">
        <f t="shared" si="223"/>
        <v>1.125</v>
      </c>
      <c r="Q1501" s="56">
        <f t="shared" si="223"/>
        <v>1.125</v>
      </c>
      <c r="R1501" s="56">
        <f t="shared" si="223"/>
        <v>1.125</v>
      </c>
      <c r="S1501" s="53">
        <f t="shared" si="224"/>
        <v>3.375</v>
      </c>
      <c r="T1501" s="35" t="s">
        <v>56</v>
      </c>
      <c r="U1501" s="18" t="s">
        <v>1873</v>
      </c>
      <c r="V1501" s="19" t="str">
        <f>IF(OR($H1501="",$H1501="sif",$H1501="PM"),"",VLOOKUP($H1501,[5]CU!$C$5:$J$255,8,FALSE))</f>
        <v>3. Dépenses de fonctionnement</v>
      </c>
      <c r="W1501" s="18" t="s">
        <v>96</v>
      </c>
      <c r="X1501" s="18" t="s">
        <v>1963</v>
      </c>
      <c r="Y1501" s="18" t="s">
        <v>677</v>
      </c>
      <c r="Z1501" s="19" t="str">
        <f>A1501 &amp; "-" &amp; VLOOKUP(A1501,[4]PROGRAMMES!$E$1:$F$7,2,FALSE)</f>
        <v>5-Gouvernance et pilotage du secteur</v>
      </c>
      <c r="AA1501" s="19" t="str">
        <f>B1501 &amp; "-" &amp; VLOOKUP(B1501,[4]SOUSPROGRAMMES!$E$1:$F$44,2,FALSE)</f>
        <v xml:space="preserve">53- Systèmes d’information pour la gestion de l'éducation (collecte, analyse, diffusion, et utilisation des informations) </v>
      </c>
      <c r="AB1501" s="19" t="str">
        <f>C1501 &amp; "-" &amp; VLOOKUP(C1501,[4]RESULTATS!$E$1:$F$176,2,FALSE)</f>
        <v>531- La production des données permet d’offrir aux différents acteurs et utilisateurs à tous les niveaux l’information dont ils ont besoin</v>
      </c>
      <c r="AC1501" s="20" t="str">
        <f>D1501 &amp; "-" &amp; VLOOKUP(D1501,[4]STRATEGIES!$E$1:$F$504,2,FALSE)</f>
        <v>5311-Organisation de la collecte classique</v>
      </c>
      <c r="AD1501" s="21" t="str">
        <f t="shared" si="221"/>
        <v>53116-Impression des fiches de collecte (METFP)</v>
      </c>
    </row>
    <row r="1502" spans="1:30" s="22" customFormat="1" ht="60" hidden="1" customHeight="1" x14ac:dyDescent="0.8">
      <c r="A1502" s="14">
        <v>5</v>
      </c>
      <c r="B1502" s="15">
        <v>53</v>
      </c>
      <c r="C1502" s="15">
        <v>531</v>
      </c>
      <c r="D1502" s="15">
        <v>5311</v>
      </c>
      <c r="E1502" s="14">
        <v>53117</v>
      </c>
      <c r="F1502" s="16" t="s">
        <v>1966</v>
      </c>
      <c r="G1502" s="21" t="s">
        <v>315</v>
      </c>
      <c r="H1502" s="17" t="s">
        <v>301</v>
      </c>
      <c r="I1502" s="56">
        <v>0</v>
      </c>
      <c r="J1502" s="56">
        <f>((2*46+8)*2)*75%</f>
        <v>150</v>
      </c>
      <c r="K1502" s="56">
        <f>((2*46+8)*2)*75%</f>
        <v>150</v>
      </c>
      <c r="L1502" s="56">
        <f>((2*46+8)*2)*75%</f>
        <v>150</v>
      </c>
      <c r="M1502" s="56">
        <f>SUM(I1502:L1502)</f>
        <v>450</v>
      </c>
      <c r="N1502" s="56">
        <f>IF(OR(H1502="",H1502="sif",H1502="PM"),0,VLOOKUP(H1502,[5]CU!$C$4:$H$255,6,FALSE))</f>
        <v>0.67666666666666664</v>
      </c>
      <c r="O1502" s="56">
        <f>IFERROR($N1502*I1502,0)</f>
        <v>0</v>
      </c>
      <c r="P1502" s="56">
        <f>IFERROR($N1502*J1502,0)</f>
        <v>101.5</v>
      </c>
      <c r="Q1502" s="56">
        <f>IFERROR($N1502*K1502,0)</f>
        <v>101.5</v>
      </c>
      <c r="R1502" s="56">
        <f>IFERROR($N1502*L1502,0)</f>
        <v>101.5</v>
      </c>
      <c r="S1502" s="53">
        <f>SUM(O1502:R1502)</f>
        <v>304.5</v>
      </c>
      <c r="T1502" s="35" t="s">
        <v>56</v>
      </c>
      <c r="U1502" s="18" t="s">
        <v>1873</v>
      </c>
      <c r="V1502" s="19" t="str">
        <f>IF(OR($H1502="",$H1502="sif",$H1502="PM"),"",VLOOKUP($H1502,[5]CU!$C$5:$J$255,8,FALSE))</f>
        <v>3. Formation</v>
      </c>
      <c r="W1502" s="18" t="s">
        <v>96</v>
      </c>
      <c r="X1502" s="18" t="s">
        <v>96</v>
      </c>
      <c r="Y1502" s="19" t="s">
        <v>32</v>
      </c>
      <c r="Z1502" s="19" t="str">
        <f>A1502 &amp; "-" &amp; VLOOKUP(A1502,[4]PROGRAMMES!$E$1:$F$7,2,FALSE)</f>
        <v>5-Gouvernance et pilotage du secteur</v>
      </c>
      <c r="AA1502" s="19" t="str">
        <f>B1502 &amp; "-" &amp; VLOOKUP(B1502,[4]SOUSPROGRAMMES!$E$1:$F$44,2,FALSE)</f>
        <v xml:space="preserve">53- Systèmes d’information pour la gestion de l'éducation (collecte, analyse, diffusion, et utilisation des informations) </v>
      </c>
      <c r="AB1502" s="19" t="str">
        <f>C1502 &amp; "-" &amp; VLOOKUP(C1502,[4]RESULTATS!$E$1:$F$176,2,FALSE)</f>
        <v>531- La production des données permet d’offrir aux différents acteurs et utilisateurs à tous les niveaux l’information dont ils ont besoin</v>
      </c>
      <c r="AC1502" s="20" t="str">
        <f>D1502 &amp; "-" &amp; VLOOKUP(D1502,[4]STRATEGIES!$E$1:$F$504,2,FALSE)</f>
        <v>5311-Organisation de la collecte classique</v>
      </c>
      <c r="AD1502" s="21" t="str">
        <f t="shared" si="221"/>
        <v>53117-Lancement de la campagne de la collecte et distribution des fiches de collecte</v>
      </c>
    </row>
    <row r="1503" spans="1:30" s="22" customFormat="1" ht="60" customHeight="1" x14ac:dyDescent="0.8">
      <c r="A1503" s="14">
        <v>5</v>
      </c>
      <c r="B1503" s="15">
        <v>53</v>
      </c>
      <c r="C1503" s="15">
        <v>531</v>
      </c>
      <c r="D1503" s="15">
        <v>5311</v>
      </c>
      <c r="E1503" s="14">
        <v>53117</v>
      </c>
      <c r="F1503" s="16" t="s">
        <v>1966</v>
      </c>
      <c r="G1503" s="21" t="s">
        <v>315</v>
      </c>
      <c r="H1503" s="17" t="s">
        <v>301</v>
      </c>
      <c r="I1503" s="56">
        <v>0</v>
      </c>
      <c r="J1503" s="56">
        <f>((2*46+8)*2)*25%</f>
        <v>50</v>
      </c>
      <c r="K1503" s="56">
        <f>((2*46+8)*2)*25%</f>
        <v>50</v>
      </c>
      <c r="L1503" s="56">
        <f>((2*46+8)*2)*25%</f>
        <v>50</v>
      </c>
      <c r="M1503" s="56">
        <f t="shared" si="225"/>
        <v>150</v>
      </c>
      <c r="N1503" s="56">
        <f>IF(OR(H1503="",H1503="sif",H1503="PM"),0,VLOOKUP(H1503,[5]CU!$C$4:$H$255,6,FALSE))</f>
        <v>0.67666666666666664</v>
      </c>
      <c r="O1503" s="56">
        <f t="shared" si="223"/>
        <v>0</v>
      </c>
      <c r="P1503" s="56">
        <f t="shared" si="223"/>
        <v>33.833333333333329</v>
      </c>
      <c r="Q1503" s="56">
        <f t="shared" si="223"/>
        <v>33.833333333333329</v>
      </c>
      <c r="R1503" s="56">
        <f t="shared" si="223"/>
        <v>33.833333333333329</v>
      </c>
      <c r="S1503" s="53">
        <f t="shared" si="224"/>
        <v>101.49999999999999</v>
      </c>
      <c r="T1503" s="35" t="s">
        <v>118</v>
      </c>
      <c r="U1503" s="18" t="s">
        <v>1873</v>
      </c>
      <c r="V1503" s="19" t="str">
        <f>IF(OR($H1503="",$H1503="sif",$H1503="PM"),"",VLOOKUP($H1503,[5]CU!$C$5:$J$255,8,FALSE))</f>
        <v>3. Formation</v>
      </c>
      <c r="W1503" s="18" t="s">
        <v>96</v>
      </c>
      <c r="X1503" s="18" t="s">
        <v>96</v>
      </c>
      <c r="Y1503" s="19" t="s">
        <v>32</v>
      </c>
      <c r="Z1503" s="19" t="str">
        <f>A1503 &amp; "-" &amp; VLOOKUP(A1503,[4]PROGRAMMES!$E$1:$F$7,2,FALSE)</f>
        <v>5-Gouvernance et pilotage du secteur</v>
      </c>
      <c r="AA1503" s="19" t="str">
        <f>B1503 &amp; "-" &amp; VLOOKUP(B1503,[4]SOUSPROGRAMMES!$E$1:$F$44,2,FALSE)</f>
        <v xml:space="preserve">53- Systèmes d’information pour la gestion de l'éducation (collecte, analyse, diffusion, et utilisation des informations) </v>
      </c>
      <c r="AB1503" s="19" t="str">
        <f>C1503 &amp; "-" &amp; VLOOKUP(C1503,[4]RESULTATS!$E$1:$F$176,2,FALSE)</f>
        <v>531- La production des données permet d’offrir aux différents acteurs et utilisateurs à tous les niveaux l’information dont ils ont besoin</v>
      </c>
      <c r="AC1503" s="20" t="str">
        <f>D1503 &amp; "-" &amp; VLOOKUP(D1503,[4]STRATEGIES!$E$1:$F$504,2,FALSE)</f>
        <v>5311-Organisation de la collecte classique</v>
      </c>
      <c r="AD1503" s="21" t="str">
        <f t="shared" si="221"/>
        <v>53117-Lancement de la campagne de la collecte et distribution des fiches de collecte</v>
      </c>
    </row>
    <row r="1504" spans="1:30" s="22" customFormat="1" ht="60" hidden="1" customHeight="1" x14ac:dyDescent="0.8">
      <c r="A1504" s="14">
        <v>5</v>
      </c>
      <c r="B1504" s="15">
        <v>53</v>
      </c>
      <c r="C1504" s="15">
        <v>531</v>
      </c>
      <c r="D1504" s="15">
        <v>5311</v>
      </c>
      <c r="E1504" s="14">
        <v>53118</v>
      </c>
      <c r="F1504" s="16" t="s">
        <v>1966</v>
      </c>
      <c r="G1504" s="21" t="s">
        <v>315</v>
      </c>
      <c r="H1504" s="17" t="s">
        <v>38</v>
      </c>
      <c r="I1504" s="56">
        <v>0</v>
      </c>
      <c r="J1504" s="56">
        <f>(50*1)*75%</f>
        <v>37.5</v>
      </c>
      <c r="K1504" s="56">
        <f>(50*1)*75%</f>
        <v>37.5</v>
      </c>
      <c r="L1504" s="56">
        <f>(50*1)*75%</f>
        <v>37.5</v>
      </c>
      <c r="M1504" s="56">
        <f>SUM(I1504:L1504)</f>
        <v>112.5</v>
      </c>
      <c r="N1504" s="56">
        <f>IF(OR(H1504="",H1504="sif",H1504="PM"),0,VLOOKUP(H1504,[5]CU!$C$4:$H$255,6,FALSE))</f>
        <v>0.3133333333333333</v>
      </c>
      <c r="O1504" s="56">
        <f>IFERROR($N1504*I1504,0)</f>
        <v>0</v>
      </c>
      <c r="P1504" s="56">
        <f>IFERROR($N1504*J1504,0)</f>
        <v>11.749999999999998</v>
      </c>
      <c r="Q1504" s="56">
        <f>IFERROR($N1504*K1504,0)</f>
        <v>11.749999999999998</v>
      </c>
      <c r="R1504" s="56">
        <f>IFERROR($N1504*L1504,0)</f>
        <v>11.749999999999998</v>
      </c>
      <c r="S1504" s="53">
        <f>SUM(O1504:R1504)</f>
        <v>35.249999999999993</v>
      </c>
      <c r="T1504" s="35" t="s">
        <v>56</v>
      </c>
      <c r="U1504" s="18" t="s">
        <v>1873</v>
      </c>
      <c r="V1504" s="19" t="str">
        <f>IF(OR($H1504="",$H1504="sif",$H1504="PM"),"",VLOOKUP($H1504,[5]CU!$C$5:$J$255,8,FALSE))</f>
        <v>3. Formation</v>
      </c>
      <c r="W1504" s="18" t="s">
        <v>96</v>
      </c>
      <c r="X1504" s="18" t="s">
        <v>96</v>
      </c>
      <c r="Y1504" s="18" t="s">
        <v>679</v>
      </c>
      <c r="Z1504" s="19" t="str">
        <f>A1504 &amp; "-" &amp; VLOOKUP(A1504,[4]PROGRAMMES!$E$1:$F$7,2,FALSE)</f>
        <v>5-Gouvernance et pilotage du secteur</v>
      </c>
      <c r="AA1504" s="19" t="str">
        <f>B1504 &amp; "-" &amp; VLOOKUP(B1504,[4]SOUSPROGRAMMES!$E$1:$F$44,2,FALSE)</f>
        <v xml:space="preserve">53- Systèmes d’information pour la gestion de l'éducation (collecte, analyse, diffusion, et utilisation des informations) </v>
      </c>
      <c r="AB1504" s="19" t="str">
        <f>C1504 &amp; "-" &amp; VLOOKUP(C1504,[4]RESULTATS!$E$1:$F$176,2,FALSE)</f>
        <v>531- La production des données permet d’offrir aux différents acteurs et utilisateurs à tous les niveaux l’information dont ils ont besoin</v>
      </c>
      <c r="AC1504" s="20" t="str">
        <f>D1504 &amp; "-" &amp; VLOOKUP(D1504,[4]STRATEGIES!$E$1:$F$504,2,FALSE)</f>
        <v>5311-Organisation de la collecte classique</v>
      </c>
      <c r="AD1504" s="21" t="str">
        <f t="shared" si="221"/>
        <v>53118-Lancement de la campagne de la collecte et distribution des fiches de collecte</v>
      </c>
    </row>
    <row r="1505" spans="1:30" s="22" customFormat="1" ht="60" customHeight="1" x14ac:dyDescent="0.8">
      <c r="A1505" s="14">
        <v>5</v>
      </c>
      <c r="B1505" s="15">
        <v>53</v>
      </c>
      <c r="C1505" s="15">
        <v>531</v>
      </c>
      <c r="D1505" s="15">
        <v>5311</v>
      </c>
      <c r="E1505" s="14">
        <v>53118</v>
      </c>
      <c r="F1505" s="16" t="s">
        <v>1966</v>
      </c>
      <c r="G1505" s="21" t="s">
        <v>315</v>
      </c>
      <c r="H1505" s="17" t="s">
        <v>38</v>
      </c>
      <c r="I1505" s="56">
        <v>0</v>
      </c>
      <c r="J1505" s="56">
        <f>(50*1)*25%</f>
        <v>12.5</v>
      </c>
      <c r="K1505" s="56">
        <f>(50*1)*25%</f>
        <v>12.5</v>
      </c>
      <c r="L1505" s="56">
        <f>(50*1)*25%</f>
        <v>12.5</v>
      </c>
      <c r="M1505" s="56">
        <f t="shared" si="225"/>
        <v>37.5</v>
      </c>
      <c r="N1505" s="56">
        <f>IF(OR(H1505="",H1505="sif",H1505="PM"),0,VLOOKUP(H1505,[5]CU!$C$4:$H$255,6,FALSE))</f>
        <v>0.3133333333333333</v>
      </c>
      <c r="O1505" s="56">
        <f t="shared" si="223"/>
        <v>0</v>
      </c>
      <c r="P1505" s="56">
        <f t="shared" si="223"/>
        <v>3.9166666666666661</v>
      </c>
      <c r="Q1505" s="56">
        <f t="shared" si="223"/>
        <v>3.9166666666666661</v>
      </c>
      <c r="R1505" s="56">
        <f t="shared" si="223"/>
        <v>3.9166666666666661</v>
      </c>
      <c r="S1505" s="53">
        <f t="shared" si="224"/>
        <v>11.749999999999998</v>
      </c>
      <c r="T1505" s="35" t="s">
        <v>118</v>
      </c>
      <c r="U1505" s="18" t="s">
        <v>1873</v>
      </c>
      <c r="V1505" s="19" t="str">
        <f>IF(OR($H1505="",$H1505="sif",$H1505="PM"),"",VLOOKUP($H1505,[5]CU!$C$5:$J$255,8,FALSE))</f>
        <v>3. Formation</v>
      </c>
      <c r="W1505" s="18" t="s">
        <v>96</v>
      </c>
      <c r="X1505" s="18" t="s">
        <v>96</v>
      </c>
      <c r="Y1505" s="18" t="s">
        <v>679</v>
      </c>
      <c r="Z1505" s="19" t="str">
        <f>A1505 &amp; "-" &amp; VLOOKUP(A1505,[4]PROGRAMMES!$E$1:$F$7,2,FALSE)</f>
        <v>5-Gouvernance et pilotage du secteur</v>
      </c>
      <c r="AA1505" s="19" t="str">
        <f>B1505 &amp; "-" &amp; VLOOKUP(B1505,[4]SOUSPROGRAMMES!$E$1:$F$44,2,FALSE)</f>
        <v xml:space="preserve">53- Systèmes d’information pour la gestion de l'éducation (collecte, analyse, diffusion, et utilisation des informations) </v>
      </c>
      <c r="AB1505" s="19" t="str">
        <f>C1505 &amp; "-" &amp; VLOOKUP(C1505,[4]RESULTATS!$E$1:$F$176,2,FALSE)</f>
        <v>531- La production des données permet d’offrir aux différents acteurs et utilisateurs à tous les niveaux l’information dont ils ont besoin</v>
      </c>
      <c r="AC1505" s="20" t="str">
        <f>D1505 &amp; "-" &amp; VLOOKUP(D1505,[4]STRATEGIES!$E$1:$F$504,2,FALSE)</f>
        <v>5311-Organisation de la collecte classique</v>
      </c>
      <c r="AD1505" s="21" t="str">
        <f t="shared" si="221"/>
        <v>53118-Lancement de la campagne de la collecte et distribution des fiches de collecte</v>
      </c>
    </row>
    <row r="1506" spans="1:30" s="22" customFormat="1" ht="60" hidden="1" customHeight="1" x14ac:dyDescent="0.8">
      <c r="A1506" s="14">
        <v>5</v>
      </c>
      <c r="B1506" s="15">
        <v>53</v>
      </c>
      <c r="C1506" s="15">
        <v>531</v>
      </c>
      <c r="D1506" s="15">
        <v>5311</v>
      </c>
      <c r="E1506" s="14">
        <v>53119</v>
      </c>
      <c r="F1506" s="16" t="s">
        <v>1966</v>
      </c>
      <c r="G1506" s="21" t="s">
        <v>315</v>
      </c>
      <c r="H1506" s="17" t="s">
        <v>38</v>
      </c>
      <c r="I1506" s="56">
        <v>0</v>
      </c>
      <c r="J1506" s="56">
        <f>(50*1)*75%</f>
        <v>37.5</v>
      </c>
      <c r="K1506" s="56">
        <f>(50*1)*75%</f>
        <v>37.5</v>
      </c>
      <c r="L1506" s="56">
        <f>(50*1)*75%</f>
        <v>37.5</v>
      </c>
      <c r="M1506" s="56">
        <f>SUM(I1506:L1506)</f>
        <v>112.5</v>
      </c>
      <c r="N1506" s="56">
        <f>IF(OR(H1506="",H1506="sif",H1506="PM"),0,VLOOKUP(H1506,[5]CU!$C$4:$H$255,6,FALSE))</f>
        <v>0.3133333333333333</v>
      </c>
      <c r="O1506" s="56">
        <f>IFERROR($N1506*I1506,0)</f>
        <v>0</v>
      </c>
      <c r="P1506" s="56">
        <f>IFERROR($N1506*J1506,0)</f>
        <v>11.749999999999998</v>
      </c>
      <c r="Q1506" s="56">
        <f>IFERROR($N1506*K1506,0)</f>
        <v>11.749999999999998</v>
      </c>
      <c r="R1506" s="56">
        <f>IFERROR($N1506*L1506,0)</f>
        <v>11.749999999999998</v>
      </c>
      <c r="S1506" s="53">
        <f>SUM(O1506:R1506)</f>
        <v>35.249999999999993</v>
      </c>
      <c r="T1506" s="35" t="s">
        <v>56</v>
      </c>
      <c r="U1506" s="18" t="s">
        <v>1873</v>
      </c>
      <c r="V1506" s="19" t="str">
        <f>IF(OR($H1506="",$H1506="sif",$H1506="PM"),"",VLOOKUP($H1506,[5]CU!$C$5:$J$255,8,FALSE))</f>
        <v>3. Formation</v>
      </c>
      <c r="W1506" s="18" t="s">
        <v>96</v>
      </c>
      <c r="X1506" s="18" t="s">
        <v>96</v>
      </c>
      <c r="Y1506" s="18" t="s">
        <v>677</v>
      </c>
      <c r="Z1506" s="19" t="str">
        <f>A1506 &amp; "-" &amp; VLOOKUP(A1506,[4]PROGRAMMES!$E$1:$F$7,2,FALSE)</f>
        <v>5-Gouvernance et pilotage du secteur</v>
      </c>
      <c r="AA1506" s="19" t="str">
        <f>B1506 &amp; "-" &amp; VLOOKUP(B1506,[4]SOUSPROGRAMMES!$E$1:$F$44,2,FALSE)</f>
        <v xml:space="preserve">53- Systèmes d’information pour la gestion de l'éducation (collecte, analyse, diffusion, et utilisation des informations) </v>
      </c>
      <c r="AB1506" s="19" t="str">
        <f>C1506 &amp; "-" &amp; VLOOKUP(C1506,[4]RESULTATS!$E$1:$F$176,2,FALSE)</f>
        <v>531- La production des données permet d’offrir aux différents acteurs et utilisateurs à tous les niveaux l’information dont ils ont besoin</v>
      </c>
      <c r="AC1506" s="20" t="str">
        <f>D1506 &amp; "-" &amp; VLOOKUP(D1506,[4]STRATEGIES!$E$1:$F$504,2,FALSE)</f>
        <v>5311-Organisation de la collecte classique</v>
      </c>
      <c r="AD1506" s="21" t="str">
        <f t="shared" si="221"/>
        <v>53119-Lancement de la campagne de la collecte et distribution des fiches de collecte</v>
      </c>
    </row>
    <row r="1507" spans="1:30" s="22" customFormat="1" ht="60" customHeight="1" x14ac:dyDescent="0.8">
      <c r="A1507" s="14">
        <v>5</v>
      </c>
      <c r="B1507" s="15">
        <v>53</v>
      </c>
      <c r="C1507" s="15">
        <v>531</v>
      </c>
      <c r="D1507" s="15">
        <v>5311</v>
      </c>
      <c r="E1507" s="14">
        <v>53119</v>
      </c>
      <c r="F1507" s="16" t="s">
        <v>1966</v>
      </c>
      <c r="G1507" s="21" t="s">
        <v>315</v>
      </c>
      <c r="H1507" s="17" t="s">
        <v>38</v>
      </c>
      <c r="I1507" s="56">
        <v>0</v>
      </c>
      <c r="J1507" s="56">
        <f>(50*1)*25%</f>
        <v>12.5</v>
      </c>
      <c r="K1507" s="56">
        <f>(50*1)*25%</f>
        <v>12.5</v>
      </c>
      <c r="L1507" s="56">
        <f>(50*1)*25%</f>
        <v>12.5</v>
      </c>
      <c r="M1507" s="56">
        <f t="shared" si="225"/>
        <v>37.5</v>
      </c>
      <c r="N1507" s="56">
        <f>IF(OR(H1507="",H1507="sif",H1507="PM"),0,VLOOKUP(H1507,[5]CU!$C$4:$H$255,6,FALSE))</f>
        <v>0.3133333333333333</v>
      </c>
      <c r="O1507" s="56">
        <f t="shared" si="223"/>
        <v>0</v>
      </c>
      <c r="P1507" s="56">
        <f t="shared" si="223"/>
        <v>3.9166666666666661</v>
      </c>
      <c r="Q1507" s="56">
        <f t="shared" si="223"/>
        <v>3.9166666666666661</v>
      </c>
      <c r="R1507" s="56">
        <f t="shared" si="223"/>
        <v>3.9166666666666661</v>
      </c>
      <c r="S1507" s="53">
        <f t="shared" si="224"/>
        <v>11.749999999999998</v>
      </c>
      <c r="T1507" s="35" t="s">
        <v>118</v>
      </c>
      <c r="U1507" s="18" t="s">
        <v>1873</v>
      </c>
      <c r="V1507" s="19" t="str">
        <f>IF(OR($H1507="",$H1507="sif",$H1507="PM"),"",VLOOKUP($H1507,[5]CU!$C$5:$J$255,8,FALSE))</f>
        <v>3. Formation</v>
      </c>
      <c r="W1507" s="18" t="s">
        <v>96</v>
      </c>
      <c r="X1507" s="18" t="s">
        <v>96</v>
      </c>
      <c r="Y1507" s="18" t="s">
        <v>677</v>
      </c>
      <c r="Z1507" s="19" t="str">
        <f>A1507 &amp; "-" &amp; VLOOKUP(A1507,[4]PROGRAMMES!$E$1:$F$7,2,FALSE)</f>
        <v>5-Gouvernance et pilotage du secteur</v>
      </c>
      <c r="AA1507" s="19" t="str">
        <f>B1507 &amp; "-" &amp; VLOOKUP(B1507,[4]SOUSPROGRAMMES!$E$1:$F$44,2,FALSE)</f>
        <v xml:space="preserve">53- Systèmes d’information pour la gestion de l'éducation (collecte, analyse, diffusion, et utilisation des informations) </v>
      </c>
      <c r="AB1507" s="19" t="str">
        <f>C1507 &amp; "-" &amp; VLOOKUP(C1507,[4]RESULTATS!$E$1:$F$176,2,FALSE)</f>
        <v>531- La production des données permet d’offrir aux différents acteurs et utilisateurs à tous les niveaux l’information dont ils ont besoin</v>
      </c>
      <c r="AC1507" s="20" t="str">
        <f>D1507 &amp; "-" &amp; VLOOKUP(D1507,[4]STRATEGIES!$E$1:$F$504,2,FALSE)</f>
        <v>5311-Organisation de la collecte classique</v>
      </c>
      <c r="AD1507" s="21" t="str">
        <f t="shared" si="221"/>
        <v>53119-Lancement de la campagne de la collecte et distribution des fiches de collecte</v>
      </c>
    </row>
    <row r="1508" spans="1:30" s="22" customFormat="1" ht="60" customHeight="1" x14ac:dyDescent="0.8">
      <c r="A1508" s="14">
        <v>5</v>
      </c>
      <c r="B1508" s="15">
        <v>53</v>
      </c>
      <c r="C1508" s="15">
        <v>531</v>
      </c>
      <c r="D1508" s="15">
        <v>5311</v>
      </c>
      <c r="E1508" s="14">
        <v>531110</v>
      </c>
      <c r="F1508" s="16" t="s">
        <v>1967</v>
      </c>
      <c r="G1508" s="21" t="s">
        <v>1968</v>
      </c>
      <c r="H1508" s="17" t="s">
        <v>1969</v>
      </c>
      <c r="I1508" s="56">
        <v>0</v>
      </c>
      <c r="J1508" s="56">
        <f>(J1498)</f>
        <v>0</v>
      </c>
      <c r="K1508" s="56">
        <f>(K1498)</f>
        <v>0</v>
      </c>
      <c r="L1508" s="56">
        <f>(L1498)*111.04%</f>
        <v>0</v>
      </c>
      <c r="M1508" s="56">
        <f t="shared" si="225"/>
        <v>0</v>
      </c>
      <c r="N1508" s="56">
        <f>IF(OR(H1508="",H1508="sif",H1508="PM"),0,VLOOKUP(H1508,[5]CU!$C$4:$H$255,6,FALSE))</f>
        <v>9.4999999999999998E-3</v>
      </c>
      <c r="O1508" s="56">
        <f t="shared" si="223"/>
        <v>0</v>
      </c>
      <c r="P1508" s="56">
        <f t="shared" si="223"/>
        <v>0</v>
      </c>
      <c r="Q1508" s="56">
        <f t="shared" si="223"/>
        <v>0</v>
      </c>
      <c r="R1508" s="56">
        <f t="shared" si="223"/>
        <v>0</v>
      </c>
      <c r="S1508" s="53">
        <f t="shared" si="224"/>
        <v>0</v>
      </c>
      <c r="T1508" s="35" t="s">
        <v>118</v>
      </c>
      <c r="U1508" s="18" t="s">
        <v>1873</v>
      </c>
      <c r="V1508" s="19" t="str">
        <f>IF(OR($H1508="",$H1508="sif",$H1508="PM"),"",VLOOKUP($H1508,[5]CU!$C$5:$J$255,8,FALSE))</f>
        <v>3. Dépenses de fonctionnement</v>
      </c>
      <c r="W1508" s="18" t="s">
        <v>96</v>
      </c>
      <c r="X1508" s="18" t="s">
        <v>96</v>
      </c>
      <c r="Y1508" s="19" t="s">
        <v>32</v>
      </c>
      <c r="Z1508" s="19" t="str">
        <f>A1508 &amp; "-" &amp; VLOOKUP(A1508,[4]PROGRAMMES!$E$1:$F$7,2,FALSE)</f>
        <v>5-Gouvernance et pilotage du secteur</v>
      </c>
      <c r="AA1508" s="19" t="str">
        <f>B1508 &amp; "-" &amp; VLOOKUP(B1508,[4]SOUSPROGRAMMES!$E$1:$F$44,2,FALSE)</f>
        <v xml:space="preserve">53- Systèmes d’information pour la gestion de l'éducation (collecte, analyse, diffusion, et utilisation des informations) </v>
      </c>
      <c r="AB1508" s="19" t="str">
        <f>C1508 &amp; "-" &amp; VLOOKUP(C1508,[4]RESULTATS!$E$1:$F$176,2,FALSE)</f>
        <v>531- La production des données permet d’offrir aux différents acteurs et utilisateurs à tous les niveaux l’information dont ils ont besoin</v>
      </c>
      <c r="AC1508" s="20" t="str">
        <f>D1508 &amp; "-" &amp; VLOOKUP(D1508,[4]STRATEGIES!$E$1:$F$504,2,FALSE)</f>
        <v>5311-Organisation de la collecte classique</v>
      </c>
      <c r="AD1508" s="21" t="str">
        <f t="shared" si="221"/>
        <v>531110-Collecte de données</v>
      </c>
    </row>
    <row r="1509" spans="1:30" s="22" customFormat="1" ht="60" hidden="1" customHeight="1" x14ac:dyDescent="0.8">
      <c r="A1509" s="14">
        <v>5</v>
      </c>
      <c r="B1509" s="15">
        <v>53</v>
      </c>
      <c r="C1509" s="15">
        <v>531</v>
      </c>
      <c r="D1509" s="15">
        <v>5311</v>
      </c>
      <c r="E1509" s="14">
        <v>531111</v>
      </c>
      <c r="F1509" s="16" t="s">
        <v>1967</v>
      </c>
      <c r="G1509" s="21" t="s">
        <v>1970</v>
      </c>
      <c r="H1509" s="17" t="s">
        <v>59</v>
      </c>
      <c r="I1509" s="56">
        <v>0</v>
      </c>
      <c r="J1509" s="56">
        <f>(2*10*12)*75%</f>
        <v>180</v>
      </c>
      <c r="K1509" s="56">
        <f>(2*10*12)*75%</f>
        <v>180</v>
      </c>
      <c r="L1509" s="56">
        <f>(2*10*12)*75%</f>
        <v>180</v>
      </c>
      <c r="M1509" s="56">
        <f>SUM(I1509:L1509)</f>
        <v>540</v>
      </c>
      <c r="N1509" s="56">
        <f>IF(OR(H1509="",H1509="sif",H1509="PM"),0,VLOOKUP(H1509,[5]CU!$C$4:$H$255,6,FALSE))</f>
        <v>0.8177777777777776</v>
      </c>
      <c r="O1509" s="56">
        <f>IFERROR($N1509*I1509,0)</f>
        <v>0</v>
      </c>
      <c r="P1509" s="56">
        <f>IFERROR($N1509*J1509,0)</f>
        <v>147.19999999999996</v>
      </c>
      <c r="Q1509" s="56">
        <f>IFERROR($N1509*K1509,0)</f>
        <v>147.19999999999996</v>
      </c>
      <c r="R1509" s="56">
        <f>IFERROR($N1509*L1509,0)</f>
        <v>147.19999999999996</v>
      </c>
      <c r="S1509" s="53">
        <f>SUM(O1509:R1509)</f>
        <v>441.59999999999991</v>
      </c>
      <c r="T1509" s="35" t="s">
        <v>56</v>
      </c>
      <c r="U1509" s="18" t="s">
        <v>1873</v>
      </c>
      <c r="V1509" s="19" t="str">
        <f>IF(OR($H1509="",$H1509="sif",$H1509="PM"),"",VLOOKUP($H1509,[5]CU!$C$5:$J$255,8,FALSE))</f>
        <v>3. Dépenses de fonctionnement</v>
      </c>
      <c r="W1509" s="18" t="s">
        <v>96</v>
      </c>
      <c r="X1509" s="18" t="s">
        <v>96</v>
      </c>
      <c r="Y1509" s="18" t="s">
        <v>679</v>
      </c>
      <c r="Z1509" s="19" t="str">
        <f>A1509 &amp; "-" &amp; VLOOKUP(A1509,[4]PROGRAMMES!$E$1:$F$7,2,FALSE)</f>
        <v>5-Gouvernance et pilotage du secteur</v>
      </c>
      <c r="AA1509" s="19" t="str">
        <f>B1509 &amp; "-" &amp; VLOOKUP(B1509,[4]SOUSPROGRAMMES!$E$1:$F$44,2,FALSE)</f>
        <v xml:space="preserve">53- Systèmes d’information pour la gestion de l'éducation (collecte, analyse, diffusion, et utilisation des informations) </v>
      </c>
      <c r="AB1509" s="19" t="str">
        <f>C1509 &amp; "-" &amp; VLOOKUP(C1509,[4]RESULTATS!$E$1:$F$176,2,FALSE)</f>
        <v>531- La production des données permet d’offrir aux différents acteurs et utilisateurs à tous les niveaux l’information dont ils ont besoin</v>
      </c>
      <c r="AC1509" s="20" t="str">
        <f>D1509 &amp; "-" &amp; VLOOKUP(D1509,[4]STRATEGIES!$E$1:$F$504,2,FALSE)</f>
        <v>5311-Organisation de la collecte classique</v>
      </c>
      <c r="AD1509" s="21" t="str">
        <f t="shared" si="221"/>
        <v>531111-Collecte de données</v>
      </c>
    </row>
    <row r="1510" spans="1:30" s="22" customFormat="1" ht="60" customHeight="1" x14ac:dyDescent="0.8">
      <c r="A1510" s="14">
        <v>5</v>
      </c>
      <c r="B1510" s="15">
        <v>53</v>
      </c>
      <c r="C1510" s="15">
        <v>531</v>
      </c>
      <c r="D1510" s="15">
        <v>5311</v>
      </c>
      <c r="E1510" s="14">
        <v>531111</v>
      </c>
      <c r="F1510" s="16" t="s">
        <v>1967</v>
      </c>
      <c r="G1510" s="21" t="s">
        <v>1970</v>
      </c>
      <c r="H1510" s="17" t="s">
        <v>59</v>
      </c>
      <c r="I1510" s="56">
        <v>0</v>
      </c>
      <c r="J1510" s="56">
        <f>(2*10*12)*25%</f>
        <v>60</v>
      </c>
      <c r="K1510" s="56">
        <f>(2*10*12)*25%</f>
        <v>60</v>
      </c>
      <c r="L1510" s="56">
        <f>(2*10*12)*25%</f>
        <v>60</v>
      </c>
      <c r="M1510" s="56">
        <f t="shared" si="225"/>
        <v>180</v>
      </c>
      <c r="N1510" s="56">
        <f>IF(OR(H1510="",H1510="sif",H1510="PM"),0,VLOOKUP(H1510,[5]CU!$C$4:$H$255,6,FALSE))</f>
        <v>0.8177777777777776</v>
      </c>
      <c r="O1510" s="56">
        <f t="shared" si="223"/>
        <v>0</v>
      </c>
      <c r="P1510" s="56">
        <f t="shared" si="223"/>
        <v>49.066666666666656</v>
      </c>
      <c r="Q1510" s="56">
        <f t="shared" si="223"/>
        <v>49.066666666666656</v>
      </c>
      <c r="R1510" s="56">
        <f t="shared" si="223"/>
        <v>49.066666666666656</v>
      </c>
      <c r="S1510" s="53">
        <f t="shared" si="224"/>
        <v>147.19999999999996</v>
      </c>
      <c r="T1510" s="35" t="s">
        <v>118</v>
      </c>
      <c r="U1510" s="18" t="s">
        <v>1873</v>
      </c>
      <c r="V1510" s="19" t="str">
        <f>IF(OR($H1510="",$H1510="sif",$H1510="PM"),"",VLOOKUP($H1510,[5]CU!$C$5:$J$255,8,FALSE))</f>
        <v>3. Dépenses de fonctionnement</v>
      </c>
      <c r="W1510" s="18" t="s">
        <v>96</v>
      </c>
      <c r="X1510" s="18" t="s">
        <v>96</v>
      </c>
      <c r="Y1510" s="18" t="s">
        <v>679</v>
      </c>
      <c r="Z1510" s="19" t="str">
        <f>A1510 &amp; "-" &amp; VLOOKUP(A1510,[4]PROGRAMMES!$E$1:$F$7,2,FALSE)</f>
        <v>5-Gouvernance et pilotage du secteur</v>
      </c>
      <c r="AA1510" s="19" t="str">
        <f>B1510 &amp; "-" &amp; VLOOKUP(B1510,[4]SOUSPROGRAMMES!$E$1:$F$44,2,FALSE)</f>
        <v xml:space="preserve">53- Systèmes d’information pour la gestion de l'éducation (collecte, analyse, diffusion, et utilisation des informations) </v>
      </c>
      <c r="AB1510" s="19" t="str">
        <f>C1510 &amp; "-" &amp; VLOOKUP(C1510,[4]RESULTATS!$E$1:$F$176,2,FALSE)</f>
        <v>531- La production des données permet d’offrir aux différents acteurs et utilisateurs à tous les niveaux l’information dont ils ont besoin</v>
      </c>
      <c r="AC1510" s="20" t="str">
        <f>D1510 &amp; "-" &amp; VLOOKUP(D1510,[4]STRATEGIES!$E$1:$F$504,2,FALSE)</f>
        <v>5311-Organisation de la collecte classique</v>
      </c>
      <c r="AD1510" s="21" t="str">
        <f t="shared" si="221"/>
        <v>531111-Collecte de données</v>
      </c>
    </row>
    <row r="1511" spans="1:30" s="22" customFormat="1" ht="45" customHeight="1" x14ac:dyDescent="0.8">
      <c r="A1511" s="14">
        <v>5</v>
      </c>
      <c r="B1511" s="15">
        <v>53</v>
      </c>
      <c r="C1511" s="15">
        <v>53</v>
      </c>
      <c r="D1511" s="15">
        <v>53</v>
      </c>
      <c r="E1511" s="14">
        <v>53</v>
      </c>
      <c r="F1511" s="16" t="s">
        <v>1957</v>
      </c>
      <c r="G1511" s="17"/>
      <c r="H1511" s="17"/>
      <c r="I1511" s="56">
        <v>0</v>
      </c>
      <c r="J1511" s="56"/>
      <c r="K1511" s="56"/>
      <c r="L1511" s="56"/>
      <c r="M1511" s="56"/>
      <c r="N1511" s="56"/>
      <c r="O1511" s="56"/>
      <c r="P1511" s="56"/>
      <c r="Q1511" s="56"/>
      <c r="R1511" s="56"/>
      <c r="S1511" s="53"/>
      <c r="T1511" s="33"/>
      <c r="U1511" s="18"/>
      <c r="V1511" s="19"/>
      <c r="W1511" s="18"/>
      <c r="X1511" s="18"/>
      <c r="Y1511" s="18"/>
      <c r="Z1511" s="19" t="str">
        <f>A1511 &amp; "-" &amp; VLOOKUP(A1511,[4]PROGRAMMES!$E$1:$F$7,2,FALSE)</f>
        <v>5-Gouvernance et pilotage du secteur</v>
      </c>
      <c r="AA1511" s="19" t="str">
        <f>B1511 &amp; "-" &amp; VLOOKUP(B1511,[4]SOUSPROGRAMMES!$E$1:$F$44,2,FALSE)</f>
        <v xml:space="preserve">53- Systèmes d’information pour la gestion de l'éducation (collecte, analyse, diffusion, et utilisation des informations) </v>
      </c>
      <c r="AB1511" s="19" t="str">
        <f>C1511 &amp; "-" &amp; VLOOKUP(C1511,[4]RESULTATS!$E$1:$F$176,2,FALSE)</f>
        <v xml:space="preserve">53- Systèmes d’information pour la gestion de l'éducation (collecte, analyse, diffusion, et utilisation des informations) </v>
      </c>
      <c r="AC1511" s="20" t="str">
        <f>D1511 &amp; "-" &amp; VLOOKUP(D1511,[4]STRATEGIES!$E$1:$F$504,2,FALSE)</f>
        <v xml:space="preserve">53- Systèmes d’information pour la gestion de l'éducation (collecte, analyse, diffusion, et utilisation des informations) </v>
      </c>
      <c r="AD1511" s="21" t="str">
        <f t="shared" si="221"/>
        <v xml:space="preserve">53- Systèmes d’information pour la gestion de l'éducation (collecte, analyse, diffusion, et utilisation des informations) </v>
      </c>
    </row>
    <row r="1512" spans="1:30" s="22" customFormat="1" ht="60" customHeight="1" x14ac:dyDescent="0.8">
      <c r="A1512" s="14">
        <v>5</v>
      </c>
      <c r="B1512" s="15">
        <v>53</v>
      </c>
      <c r="C1512" s="15">
        <v>531</v>
      </c>
      <c r="D1512" s="15">
        <v>531</v>
      </c>
      <c r="E1512" s="14">
        <v>531</v>
      </c>
      <c r="F1512" s="16" t="s">
        <v>1958</v>
      </c>
      <c r="G1512" s="17"/>
      <c r="H1512" s="17"/>
      <c r="I1512" s="56">
        <v>0</v>
      </c>
      <c r="J1512" s="56"/>
      <c r="K1512" s="56"/>
      <c r="L1512" s="56"/>
      <c r="M1512" s="56"/>
      <c r="N1512" s="56"/>
      <c r="O1512" s="56"/>
      <c r="P1512" s="56"/>
      <c r="Q1512" s="56"/>
      <c r="R1512" s="56"/>
      <c r="S1512" s="53"/>
      <c r="T1512" s="33"/>
      <c r="U1512" s="18"/>
      <c r="V1512" s="19"/>
      <c r="W1512" s="18"/>
      <c r="X1512" s="18"/>
      <c r="Y1512" s="18"/>
      <c r="Z1512" s="19" t="str">
        <f>A1512 &amp; "-" &amp; VLOOKUP(A1512,[4]PROGRAMMES!$E$1:$F$7,2,FALSE)</f>
        <v>5-Gouvernance et pilotage du secteur</v>
      </c>
      <c r="AA1512" s="19" t="str">
        <f>B1512 &amp; "-" &amp; VLOOKUP(B1512,[4]SOUSPROGRAMMES!$E$1:$F$44,2,FALSE)</f>
        <v xml:space="preserve">53- Systèmes d’information pour la gestion de l'éducation (collecte, analyse, diffusion, et utilisation des informations) </v>
      </c>
      <c r="AB1512" s="19" t="str">
        <f>C1512 &amp; "-" &amp; VLOOKUP(C1512,[4]RESULTATS!$E$1:$F$176,2,FALSE)</f>
        <v>531- La production des données permet d’offrir aux différents acteurs et utilisateurs à tous les niveaux l’information dont ils ont besoin</v>
      </c>
      <c r="AC1512" s="20" t="str">
        <f>D1512 &amp; "-" &amp; VLOOKUP(D1512,[4]STRATEGIES!$E$1:$F$504,2,FALSE)</f>
        <v>531- La production des données permet d’offrir aux différents acteurs et utilisateurs à tous les niveaux l’information dont ils ont besoin</v>
      </c>
      <c r="AD1512" s="21" t="str">
        <f t="shared" si="221"/>
        <v>531- La production des données permet d’offrir aux différents acteurs et utilisateurs à tous les niveaux l’information dont ils ont besoin</v>
      </c>
    </row>
    <row r="1513" spans="1:30" s="22" customFormat="1" ht="60" customHeight="1" x14ac:dyDescent="0.8">
      <c r="A1513" s="14">
        <v>5</v>
      </c>
      <c r="B1513" s="15">
        <v>53</v>
      </c>
      <c r="C1513" s="15">
        <v>531</v>
      </c>
      <c r="D1513" s="15">
        <v>5311</v>
      </c>
      <c r="E1513" s="14">
        <v>5311</v>
      </c>
      <c r="F1513" s="16" t="s">
        <v>1959</v>
      </c>
      <c r="G1513" s="17"/>
      <c r="H1513" s="17"/>
      <c r="I1513" s="56">
        <v>0</v>
      </c>
      <c r="J1513" s="56"/>
      <c r="K1513" s="56"/>
      <c r="L1513" s="56"/>
      <c r="M1513" s="56"/>
      <c r="N1513" s="56"/>
      <c r="O1513" s="56"/>
      <c r="P1513" s="56"/>
      <c r="Q1513" s="56"/>
      <c r="R1513" s="56"/>
      <c r="S1513" s="53"/>
      <c r="T1513" s="33"/>
      <c r="U1513" s="18"/>
      <c r="V1513" s="19"/>
      <c r="W1513" s="18"/>
      <c r="X1513" s="18"/>
      <c r="Y1513" s="18"/>
      <c r="Z1513" s="19" t="str">
        <f>A1513 &amp; "-" &amp; VLOOKUP(A1513,[4]PROGRAMMES!$E$1:$F$7,2,FALSE)</f>
        <v>5-Gouvernance et pilotage du secteur</v>
      </c>
      <c r="AA1513" s="19" t="str">
        <f>B1513 &amp; "-" &amp; VLOOKUP(B1513,[4]SOUSPROGRAMMES!$E$1:$F$44,2,FALSE)</f>
        <v xml:space="preserve">53- Systèmes d’information pour la gestion de l'éducation (collecte, analyse, diffusion, et utilisation des informations) </v>
      </c>
      <c r="AB1513" s="19" t="str">
        <f>C1513 &amp; "-" &amp; VLOOKUP(C1513,[4]RESULTATS!$E$1:$F$176,2,FALSE)</f>
        <v>531- La production des données permet d’offrir aux différents acteurs et utilisateurs à tous les niveaux l’information dont ils ont besoin</v>
      </c>
      <c r="AC1513" s="20" t="str">
        <f>D1513 &amp; "-" &amp; VLOOKUP(D1513,[4]STRATEGIES!$E$1:$F$504,2,FALSE)</f>
        <v>5311-Organisation de la collecte classique</v>
      </c>
      <c r="AD1513" s="21" t="str">
        <f t="shared" si="221"/>
        <v>5311-Organisation de la collecte classique</v>
      </c>
    </row>
    <row r="1514" spans="1:30" s="22" customFormat="1" ht="60" customHeight="1" x14ac:dyDescent="0.8">
      <c r="A1514" s="14">
        <v>5</v>
      </c>
      <c r="B1514" s="15">
        <v>53</v>
      </c>
      <c r="C1514" s="15">
        <v>531</v>
      </c>
      <c r="D1514" s="15">
        <v>5311</v>
      </c>
      <c r="E1514" s="14">
        <v>531112</v>
      </c>
      <c r="F1514" s="16" t="s">
        <v>1967</v>
      </c>
      <c r="G1514" s="21" t="s">
        <v>1970</v>
      </c>
      <c r="H1514" s="17" t="s">
        <v>59</v>
      </c>
      <c r="I1514" s="56">
        <v>0</v>
      </c>
      <c r="J1514" s="56"/>
      <c r="K1514" s="56"/>
      <c r="L1514" s="56"/>
      <c r="M1514" s="56">
        <f>SUM(I1514:L1514)</f>
        <v>0</v>
      </c>
      <c r="N1514" s="56">
        <f>IF(OR(H1514="",H1514="sif",H1514="PM"),0,VLOOKUP(H1514,[5]CU!$C$4:$H$255,6,FALSE))</f>
        <v>0.8177777777777776</v>
      </c>
      <c r="O1514" s="56">
        <f>IFERROR($N1514*I1514,0)</f>
        <v>0</v>
      </c>
      <c r="P1514" s="56">
        <f>IFERROR($N1514*J1514,0)</f>
        <v>0</v>
      </c>
      <c r="Q1514" s="56">
        <f>IFERROR($N1514*K1514,0)</f>
        <v>0</v>
      </c>
      <c r="R1514" s="56">
        <f>IFERROR($N1514*L1514,0)</f>
        <v>0</v>
      </c>
      <c r="S1514" s="53">
        <f>SUM(O1514:R1514)</f>
        <v>0</v>
      </c>
      <c r="T1514" s="35" t="s">
        <v>1971</v>
      </c>
      <c r="U1514" s="18" t="s">
        <v>1873</v>
      </c>
      <c r="V1514" s="19" t="str">
        <f>IF(OR($H1514="",$H1514="sif",$H1514="PM"),"",VLOOKUP($H1514,[5]CU!$C$5:$J$255,8,FALSE))</f>
        <v>3. Dépenses de fonctionnement</v>
      </c>
      <c r="W1514" s="18" t="s">
        <v>96</v>
      </c>
      <c r="X1514" s="18" t="s">
        <v>96</v>
      </c>
      <c r="Y1514" s="18" t="s">
        <v>677</v>
      </c>
      <c r="Z1514" s="19" t="str">
        <f>A1514 &amp; "-" &amp; VLOOKUP(A1514,[4]PROGRAMMES!$E$1:$F$7,2,FALSE)</f>
        <v>5-Gouvernance et pilotage du secteur</v>
      </c>
      <c r="AA1514" s="19" t="str">
        <f>B1514 &amp; "-" &amp; VLOOKUP(B1514,[4]SOUSPROGRAMMES!$E$1:$F$44,2,FALSE)</f>
        <v xml:space="preserve">53- Systèmes d’information pour la gestion de l'éducation (collecte, analyse, diffusion, et utilisation des informations) </v>
      </c>
      <c r="AB1514" s="19" t="str">
        <f>C1514 &amp; "-" &amp; VLOOKUP(C1514,[4]RESULTATS!$E$1:$F$176,2,FALSE)</f>
        <v>531- La production des données permet d’offrir aux différents acteurs et utilisateurs à tous les niveaux l’information dont ils ont besoin</v>
      </c>
      <c r="AC1514" s="20" t="str">
        <f>D1514 &amp; "-" &amp; VLOOKUP(D1514,[4]STRATEGIES!$E$1:$F$504,2,FALSE)</f>
        <v>5311-Organisation de la collecte classique</v>
      </c>
      <c r="AD1514" s="21" t="str">
        <f t="shared" si="221"/>
        <v>531112-Collecte de données</v>
      </c>
    </row>
    <row r="1515" spans="1:30" ht="60" hidden="1" customHeight="1" x14ac:dyDescent="0.8">
      <c r="A1515" s="25">
        <v>5</v>
      </c>
      <c r="B1515" s="16">
        <v>53</v>
      </c>
      <c r="C1515" s="16">
        <v>531</v>
      </c>
      <c r="D1515" s="16">
        <v>5311</v>
      </c>
      <c r="E1515" s="25">
        <v>531112</v>
      </c>
      <c r="F1515" s="16" t="s">
        <v>1967</v>
      </c>
      <c r="G1515" s="21" t="s">
        <v>1970</v>
      </c>
      <c r="H1515" s="21" t="s">
        <v>59</v>
      </c>
      <c r="I1515" s="56">
        <v>0</v>
      </c>
      <c r="J1515" s="57">
        <f>2*10*6</f>
        <v>120</v>
      </c>
      <c r="K1515" s="57">
        <f>2*10*6</f>
        <v>120</v>
      </c>
      <c r="L1515" s="57">
        <f>2*10*6</f>
        <v>120</v>
      </c>
      <c r="M1515" s="57">
        <f t="shared" si="225"/>
        <v>360</v>
      </c>
      <c r="N1515" s="57">
        <f>IF(OR(H1515="",H1515="sif",H1515="PM"),0,VLOOKUP(H1515,[5]CU!$C$4:$H$255,6,FALSE))</f>
        <v>0.8177777777777776</v>
      </c>
      <c r="O1515" s="57">
        <f t="shared" si="223"/>
        <v>0</v>
      </c>
      <c r="P1515" s="57">
        <f t="shared" si="223"/>
        <v>98.133333333333312</v>
      </c>
      <c r="Q1515" s="57">
        <f t="shared" si="223"/>
        <v>98.133333333333312</v>
      </c>
      <c r="R1515" s="57">
        <f t="shared" si="223"/>
        <v>98.133333333333312</v>
      </c>
      <c r="S1515" s="60">
        <f t="shared" si="224"/>
        <v>294.39999999999992</v>
      </c>
      <c r="T1515" s="38" t="s">
        <v>169</v>
      </c>
      <c r="U1515" s="19" t="s">
        <v>1873</v>
      </c>
      <c r="V1515" s="19" t="str">
        <f>IF(OR($H1515="",$H1515="sif",$H1515="PM"),"",VLOOKUP($H1515,[5]CU!$C$5:$J$255,8,FALSE))</f>
        <v>3. Dépenses de fonctionnement</v>
      </c>
      <c r="W1515" s="19" t="s">
        <v>96</v>
      </c>
      <c r="X1515" s="19" t="s">
        <v>96</v>
      </c>
      <c r="Y1515" s="19" t="s">
        <v>677</v>
      </c>
      <c r="Z1515" s="19" t="str">
        <f>A1515 &amp; "-" &amp; VLOOKUP(A1515,[4]PROGRAMMES!$E$1:$F$7,2,FALSE)</f>
        <v>5-Gouvernance et pilotage du secteur</v>
      </c>
      <c r="AA1515" s="19" t="str">
        <f>B1515 &amp; "-" &amp; VLOOKUP(B1515,[4]SOUSPROGRAMMES!$E$1:$F$44,2,FALSE)</f>
        <v xml:space="preserve">53- Systèmes d’information pour la gestion de l'éducation (collecte, analyse, diffusion, et utilisation des informations) </v>
      </c>
      <c r="AB1515" s="19" t="str">
        <f>C1515 &amp; "-" &amp; VLOOKUP(C1515,[4]RESULTATS!$E$1:$F$176,2,FALSE)</f>
        <v>531- La production des données permet d’offrir aux différents acteurs et utilisateurs à tous les niveaux l’information dont ils ont besoin</v>
      </c>
      <c r="AC1515" s="20" t="str">
        <f>D1515 &amp; "-" &amp; VLOOKUP(D1515,[4]STRATEGIES!$E$1:$F$504,2,FALSE)</f>
        <v>5311-Organisation de la collecte classique</v>
      </c>
      <c r="AD1515" s="21" t="str">
        <f t="shared" si="221"/>
        <v>531112-Collecte de données</v>
      </c>
    </row>
    <row r="1516" spans="1:30" s="22" customFormat="1" ht="60" hidden="1" customHeight="1" x14ac:dyDescent="0.8">
      <c r="A1516" s="14">
        <v>5</v>
      </c>
      <c r="B1516" s="15">
        <v>53</v>
      </c>
      <c r="C1516" s="15">
        <v>531</v>
      </c>
      <c r="D1516" s="15">
        <v>5311</v>
      </c>
      <c r="E1516" s="14">
        <v>531113</v>
      </c>
      <c r="F1516" s="16" t="s">
        <v>1972</v>
      </c>
      <c r="G1516" s="21" t="s">
        <v>1973</v>
      </c>
      <c r="H1516" s="17" t="s">
        <v>1974</v>
      </c>
      <c r="I1516" s="56">
        <v>0</v>
      </c>
      <c r="J1516" s="56">
        <f>1*46</f>
        <v>46</v>
      </c>
      <c r="K1516" s="56">
        <f>K1517</f>
        <v>0</v>
      </c>
      <c r="L1516" s="56">
        <f>L1517</f>
        <v>0</v>
      </c>
      <c r="M1516" s="56">
        <f t="shared" si="225"/>
        <v>46</v>
      </c>
      <c r="N1516" s="56">
        <f>IF(OR(H1516="",H1516="sif",H1516="PM"),0,VLOOKUP(H1516,[5]CU!$C$4:$H$255,6,FALSE))</f>
        <v>57</v>
      </c>
      <c r="O1516" s="56">
        <f t="shared" si="223"/>
        <v>0</v>
      </c>
      <c r="P1516" s="56">
        <f t="shared" si="223"/>
        <v>2622</v>
      </c>
      <c r="Q1516" s="56">
        <f t="shared" si="223"/>
        <v>0</v>
      </c>
      <c r="R1516" s="56">
        <f t="shared" si="223"/>
        <v>0</v>
      </c>
      <c r="S1516" s="53">
        <f t="shared" si="224"/>
        <v>2622</v>
      </c>
      <c r="T1516" s="35" t="s">
        <v>56</v>
      </c>
      <c r="U1516" s="18" t="s">
        <v>1873</v>
      </c>
      <c r="V1516" s="19" t="str">
        <f>IF(OR($H1516="",$H1516="sif",$H1516="PM"),"",VLOOKUP($H1516,[5]CU!$C$5:$J$255,8,FALSE))</f>
        <v>5. Investissement</v>
      </c>
      <c r="W1516" s="18" t="s">
        <v>96</v>
      </c>
      <c r="X1516" s="18" t="s">
        <v>521</v>
      </c>
      <c r="Y1516" s="19" t="s">
        <v>32</v>
      </c>
      <c r="Z1516" s="19" t="str">
        <f>A1516 &amp; "-" &amp; VLOOKUP(A1516,[4]PROGRAMMES!$E$1:$F$7,2,FALSE)</f>
        <v>5-Gouvernance et pilotage du secteur</v>
      </c>
      <c r="AA1516" s="19" t="str">
        <f>B1516 &amp; "-" &amp; VLOOKUP(B1516,[4]SOUSPROGRAMMES!$E$1:$F$44,2,FALSE)</f>
        <v xml:space="preserve">53- Systèmes d’information pour la gestion de l'éducation (collecte, analyse, diffusion, et utilisation des informations) </v>
      </c>
      <c r="AB1516" s="19" t="str">
        <f>C1516 &amp; "-" &amp; VLOOKUP(C1516,[4]RESULTATS!$E$1:$F$176,2,FALSE)</f>
        <v>531- La production des données permet d’offrir aux différents acteurs et utilisateurs à tous les niveaux l’information dont ils ont besoin</v>
      </c>
      <c r="AC1516" s="20" t="str">
        <f>D1516 &amp; "-" &amp; VLOOKUP(D1516,[4]STRATEGIES!$E$1:$F$504,2,FALSE)</f>
        <v>5311-Organisation de la collecte classique</v>
      </c>
      <c r="AD1516" s="21" t="str">
        <f t="shared" si="221"/>
        <v>531113-Mise en place d'installation en ennergie solaire dans les IRE et DPE/DCE</v>
      </c>
    </row>
    <row r="1517" spans="1:30" s="22" customFormat="1" ht="60" customHeight="1" x14ac:dyDescent="0.8">
      <c r="A1517" s="14">
        <v>5</v>
      </c>
      <c r="B1517" s="15">
        <v>53</v>
      </c>
      <c r="C1517" s="15">
        <v>531</v>
      </c>
      <c r="D1517" s="15">
        <v>5311</v>
      </c>
      <c r="E1517" s="14">
        <v>531114</v>
      </c>
      <c r="F1517" s="16" t="s">
        <v>1975</v>
      </c>
      <c r="G1517" s="21" t="s">
        <v>1239</v>
      </c>
      <c r="H1517" s="17" t="s">
        <v>974</v>
      </c>
      <c r="I1517" s="56">
        <v>0</v>
      </c>
      <c r="J1517" s="56">
        <f>38+8+10</f>
        <v>56</v>
      </c>
      <c r="K1517" s="56">
        <v>0</v>
      </c>
      <c r="L1517" s="56">
        <v>0</v>
      </c>
      <c r="M1517" s="56">
        <f t="shared" si="225"/>
        <v>56</v>
      </c>
      <c r="N1517" s="56">
        <f>IF(OR(H1517="",H1517="sif",H1517="PM"),0,VLOOKUP(H1517,[5]CU!$C$4:$H$255,6,FALSE))</f>
        <v>6.333333333333333</v>
      </c>
      <c r="O1517" s="56">
        <f t="shared" si="223"/>
        <v>0</v>
      </c>
      <c r="P1517" s="56">
        <f t="shared" si="223"/>
        <v>354.66666666666663</v>
      </c>
      <c r="Q1517" s="56">
        <f t="shared" si="223"/>
        <v>0</v>
      </c>
      <c r="R1517" s="56">
        <f t="shared" si="223"/>
        <v>0</v>
      </c>
      <c r="S1517" s="53">
        <f t="shared" si="224"/>
        <v>354.66666666666663</v>
      </c>
      <c r="T1517" s="35" t="s">
        <v>39</v>
      </c>
      <c r="U1517" s="19" t="s">
        <v>1873</v>
      </c>
      <c r="V1517" s="19" t="str">
        <f>IF(OR($H1517="",$H1517="sif",$H1517="PM"),"",VLOOKUP($H1517,[5]CU!$C$5:$J$255,8,FALSE))</f>
        <v>5. Investissement</v>
      </c>
      <c r="W1517" s="19" t="s">
        <v>96</v>
      </c>
      <c r="X1517" s="19" t="s">
        <v>1976</v>
      </c>
      <c r="Y1517" s="19" t="s">
        <v>32</v>
      </c>
      <c r="Z1517" s="19" t="str">
        <f>A1517 &amp; "-" &amp; VLOOKUP(A1517,[4]PROGRAMMES!$E$1:$F$7,2,FALSE)</f>
        <v>5-Gouvernance et pilotage du secteur</v>
      </c>
      <c r="AA1517" s="19" t="str">
        <f>B1517 &amp; "-" &amp; VLOOKUP(B1517,[4]SOUSPROGRAMMES!$E$1:$F$44,2,FALSE)</f>
        <v xml:space="preserve">53- Systèmes d’information pour la gestion de l'éducation (collecte, analyse, diffusion, et utilisation des informations) </v>
      </c>
      <c r="AB1517" s="19" t="str">
        <f>C1517 &amp; "-" &amp; VLOOKUP(C1517,[4]RESULTATS!$E$1:$F$176,2,FALSE)</f>
        <v>531- La production des données permet d’offrir aux différents acteurs et utilisateurs à tous les niveaux l’information dont ils ont besoin</v>
      </c>
      <c r="AC1517" s="20" t="str">
        <f>D1517 &amp; "-" &amp; VLOOKUP(D1517,[4]STRATEGIES!$E$1:$F$504,2,FALSE)</f>
        <v>5311-Organisation de la collecte classique</v>
      </c>
      <c r="AD1517" s="21" t="str">
        <f t="shared" si="221"/>
        <v>531114-Acquisition d'ordinateurs</v>
      </c>
    </row>
    <row r="1518" spans="1:30" s="22" customFormat="1" ht="60" customHeight="1" x14ac:dyDescent="0.8">
      <c r="A1518" s="14">
        <v>5</v>
      </c>
      <c r="B1518" s="15">
        <v>53</v>
      </c>
      <c r="C1518" s="15">
        <v>531</v>
      </c>
      <c r="D1518" s="15">
        <v>5311</v>
      </c>
      <c r="E1518" s="14">
        <v>531115</v>
      </c>
      <c r="F1518" s="16" t="s">
        <v>1977</v>
      </c>
      <c r="G1518" s="21" t="s">
        <v>1905</v>
      </c>
      <c r="H1518" s="17" t="s">
        <v>1906</v>
      </c>
      <c r="I1518" s="56">
        <v>1</v>
      </c>
      <c r="J1518" s="53">
        <f>I1518*1.05</f>
        <v>1.05</v>
      </c>
      <c r="K1518" s="53">
        <f>J1518*1.05</f>
        <v>1.1025</v>
      </c>
      <c r="L1518" s="53">
        <f>K1518*1.05</f>
        <v>1.1576250000000001</v>
      </c>
      <c r="M1518" s="53">
        <f t="shared" si="225"/>
        <v>4.3101250000000002</v>
      </c>
      <c r="N1518" s="53">
        <f>IF(OR(H1518="",H1518="sif",H1518="PM"),0,VLOOKUP(H1518,[5]CU!$C$4:$H$255,6,FALSE))</f>
        <v>0.01</v>
      </c>
      <c r="O1518" s="53">
        <f t="shared" si="223"/>
        <v>0.01</v>
      </c>
      <c r="P1518" s="53">
        <f t="shared" si="223"/>
        <v>1.0500000000000001E-2</v>
      </c>
      <c r="Q1518" s="53">
        <f t="shared" si="223"/>
        <v>1.1025E-2</v>
      </c>
      <c r="R1518" s="53">
        <f t="shared" si="223"/>
        <v>1.1576250000000001E-2</v>
      </c>
      <c r="S1518" s="53">
        <f t="shared" si="224"/>
        <v>4.3101250000000001E-2</v>
      </c>
      <c r="T1518" s="35" t="s">
        <v>67</v>
      </c>
      <c r="U1518" s="18" t="s">
        <v>1873</v>
      </c>
      <c r="V1518" s="19" t="str">
        <f>IF(OR($H1518="",$H1518="sif",$H1518="PM"),"",VLOOKUP($H1518,[5]CU!$C$5:$J$255,8,FALSE))</f>
        <v>3. Dépenses de fonctionnement</v>
      </c>
      <c r="W1518" s="18" t="s">
        <v>96</v>
      </c>
      <c r="X1518" s="18" t="s">
        <v>96</v>
      </c>
      <c r="Y1518" s="19" t="s">
        <v>32</v>
      </c>
      <c r="Z1518" s="19" t="str">
        <f>A1518 &amp; "-" &amp; VLOOKUP(A1518,[4]PROGRAMMES!$E$1:$F$7,2,FALSE)</f>
        <v>5-Gouvernance et pilotage du secteur</v>
      </c>
      <c r="AA1518" s="19" t="str">
        <f>B1518 &amp; "-" &amp; VLOOKUP(B1518,[4]SOUSPROGRAMMES!$E$1:$F$44,2,FALSE)</f>
        <v xml:space="preserve">53- Systèmes d’information pour la gestion de l'éducation (collecte, analyse, diffusion, et utilisation des informations) </v>
      </c>
      <c r="AB1518" s="19" t="str">
        <f>C1518 &amp; "-" &amp; VLOOKUP(C1518,[4]RESULTATS!$E$1:$F$176,2,FALSE)</f>
        <v>531- La production des données permet d’offrir aux différents acteurs et utilisateurs à tous les niveaux l’information dont ils ont besoin</v>
      </c>
      <c r="AC1518" s="20" t="str">
        <f>D1518 &amp; "-" &amp; VLOOKUP(D1518,[4]STRATEGIES!$E$1:$F$504,2,FALSE)</f>
        <v>5311-Organisation de la collecte classique</v>
      </c>
      <c r="AD1518" s="21" t="str">
        <f t="shared" si="221"/>
        <v>531115-Saisie de données (pour le préscolaire et les NAFA et l'alpha)</v>
      </c>
    </row>
    <row r="1519" spans="1:30" s="22" customFormat="1" ht="61" hidden="1" x14ac:dyDescent="0.8">
      <c r="A1519" s="14">
        <v>5</v>
      </c>
      <c r="B1519" s="15">
        <v>53</v>
      </c>
      <c r="C1519" s="15">
        <v>531</v>
      </c>
      <c r="D1519" s="15">
        <v>5311</v>
      </c>
      <c r="E1519" s="14">
        <v>531116</v>
      </c>
      <c r="F1519" s="16" t="s">
        <v>1978</v>
      </c>
      <c r="G1519" s="21" t="s">
        <v>1979</v>
      </c>
      <c r="H1519" s="17" t="s">
        <v>66</v>
      </c>
      <c r="I1519" s="56">
        <v>0</v>
      </c>
      <c r="J1519" s="56">
        <f>(25*10)*75%</f>
        <v>187.5</v>
      </c>
      <c r="K1519" s="56">
        <f>(25*10)*75%</f>
        <v>187.5</v>
      </c>
      <c r="L1519" s="56">
        <f>(25*10)*75%</f>
        <v>187.5</v>
      </c>
      <c r="M1519" s="56">
        <f>SUM(I1519:L1519)</f>
        <v>562.5</v>
      </c>
      <c r="N1519" s="56">
        <f>IF(OR(H1519="",H1519="sif",H1519="PM"),0,VLOOKUP(H1519,[5]CU!$C$4:$H$255,6,FALSE))</f>
        <v>0.255</v>
      </c>
      <c r="O1519" s="56">
        <f>IFERROR($N1519*I1519,0)</f>
        <v>0</v>
      </c>
      <c r="P1519" s="56">
        <f>IFERROR($N1519*J1519,0)</f>
        <v>47.8125</v>
      </c>
      <c r="Q1519" s="56">
        <f>IFERROR($N1519*K1519,0)</f>
        <v>47.8125</v>
      </c>
      <c r="R1519" s="56">
        <f>IFERROR($N1519*L1519,0)</f>
        <v>47.8125</v>
      </c>
      <c r="S1519" s="53">
        <f>SUM(O1519:R1519)</f>
        <v>143.4375</v>
      </c>
      <c r="T1519" s="35" t="s">
        <v>56</v>
      </c>
      <c r="U1519" s="18" t="s">
        <v>1873</v>
      </c>
      <c r="V1519" s="19" t="str">
        <f>IF(OR($H1519="",$H1519="sif",$H1519="PM"),"",VLOOKUP($H1519,[5]CU!$C$5:$J$255,8,FALSE))</f>
        <v>3. Dépenses de fonctionnement</v>
      </c>
      <c r="W1519" s="18" t="s">
        <v>96</v>
      </c>
      <c r="X1519" s="18" t="s">
        <v>96</v>
      </c>
      <c r="Y1519" s="18" t="s">
        <v>679</v>
      </c>
      <c r="Z1519" s="19" t="str">
        <f>A1519 &amp; "-" &amp; VLOOKUP(A1519,[4]PROGRAMMES!$E$1:$F$7,2,FALSE)</f>
        <v>5-Gouvernance et pilotage du secteur</v>
      </c>
      <c r="AA1519" s="19" t="str">
        <f>B1519 &amp; "-" &amp; VLOOKUP(B1519,[4]SOUSPROGRAMMES!$E$1:$F$44,2,FALSE)</f>
        <v xml:space="preserve">53- Systèmes d’information pour la gestion de l'éducation (collecte, analyse, diffusion, et utilisation des informations) </v>
      </c>
      <c r="AB1519" s="19" t="str">
        <f>C1519 &amp; "-" &amp; VLOOKUP(C1519,[4]RESULTATS!$E$1:$F$176,2,FALSE)</f>
        <v>531- La production des données permet d’offrir aux différents acteurs et utilisateurs à tous les niveaux l’information dont ils ont besoin</v>
      </c>
      <c r="AC1519" s="20" t="str">
        <f>D1519 &amp; "-" &amp; VLOOKUP(D1519,[4]STRATEGIES!$E$1:$F$504,2,FALSE)</f>
        <v>5311-Organisation de la collecte classique</v>
      </c>
      <c r="AD1519" s="21" t="str">
        <f t="shared" si="221"/>
        <v>531116-Saisie de données du supérieur</v>
      </c>
    </row>
    <row r="1520" spans="1:30" s="22" customFormat="1" ht="61" x14ac:dyDescent="0.8">
      <c r="A1520" s="14">
        <v>5</v>
      </c>
      <c r="B1520" s="15">
        <v>53</v>
      </c>
      <c r="C1520" s="15">
        <v>531</v>
      </c>
      <c r="D1520" s="15">
        <v>5311</v>
      </c>
      <c r="E1520" s="14">
        <v>531116</v>
      </c>
      <c r="F1520" s="16" t="s">
        <v>1978</v>
      </c>
      <c r="G1520" s="21" t="s">
        <v>1979</v>
      </c>
      <c r="H1520" s="17" t="s">
        <v>66</v>
      </c>
      <c r="I1520" s="56">
        <v>0</v>
      </c>
      <c r="J1520" s="56">
        <f>(25*10)*25%</f>
        <v>62.5</v>
      </c>
      <c r="K1520" s="56">
        <f>(25*10)*25%</f>
        <v>62.5</v>
      </c>
      <c r="L1520" s="56">
        <f>(25*10)*25%</f>
        <v>62.5</v>
      </c>
      <c r="M1520" s="56">
        <f t="shared" si="225"/>
        <v>187.5</v>
      </c>
      <c r="N1520" s="56">
        <f>IF(OR(H1520="",H1520="sif",H1520="PM"),0,VLOOKUP(H1520,[5]CU!$C$4:$H$255,6,FALSE))</f>
        <v>0.255</v>
      </c>
      <c r="O1520" s="56">
        <f t="shared" si="223"/>
        <v>0</v>
      </c>
      <c r="P1520" s="56">
        <f t="shared" si="223"/>
        <v>15.9375</v>
      </c>
      <c r="Q1520" s="56">
        <f t="shared" si="223"/>
        <v>15.9375</v>
      </c>
      <c r="R1520" s="56">
        <f t="shared" si="223"/>
        <v>15.9375</v>
      </c>
      <c r="S1520" s="53">
        <f t="shared" si="224"/>
        <v>47.8125</v>
      </c>
      <c r="T1520" s="35" t="s">
        <v>118</v>
      </c>
      <c r="U1520" s="18" t="s">
        <v>1873</v>
      </c>
      <c r="V1520" s="19" t="str">
        <f>IF(OR($H1520="",$H1520="sif",$H1520="PM"),"",VLOOKUP($H1520,[5]CU!$C$5:$J$255,8,FALSE))</f>
        <v>3. Dépenses de fonctionnement</v>
      </c>
      <c r="W1520" s="18" t="s">
        <v>96</v>
      </c>
      <c r="X1520" s="18" t="s">
        <v>96</v>
      </c>
      <c r="Y1520" s="18" t="s">
        <v>679</v>
      </c>
      <c r="Z1520" s="19" t="str">
        <f>A1520 &amp; "-" &amp; VLOOKUP(A1520,[4]PROGRAMMES!$E$1:$F$7,2,FALSE)</f>
        <v>5-Gouvernance et pilotage du secteur</v>
      </c>
      <c r="AA1520" s="19" t="str">
        <f>B1520 &amp; "-" &amp; VLOOKUP(B1520,[4]SOUSPROGRAMMES!$E$1:$F$44,2,FALSE)</f>
        <v xml:space="preserve">53- Systèmes d’information pour la gestion de l'éducation (collecte, analyse, diffusion, et utilisation des informations) </v>
      </c>
      <c r="AB1520" s="19" t="str">
        <f>C1520 &amp; "-" &amp; VLOOKUP(C1520,[4]RESULTATS!$E$1:$F$176,2,FALSE)</f>
        <v>531- La production des données permet d’offrir aux différents acteurs et utilisateurs à tous les niveaux l’information dont ils ont besoin</v>
      </c>
      <c r="AC1520" s="20" t="str">
        <f>D1520 &amp; "-" &amp; VLOOKUP(D1520,[4]STRATEGIES!$E$1:$F$504,2,FALSE)</f>
        <v>5311-Organisation de la collecte classique</v>
      </c>
      <c r="AD1520" s="21" t="str">
        <f t="shared" si="221"/>
        <v>531116-Saisie de données du supérieur</v>
      </c>
    </row>
    <row r="1521" spans="1:30" s="22" customFormat="1" ht="61" hidden="1" x14ac:dyDescent="0.8">
      <c r="A1521" s="14">
        <v>5</v>
      </c>
      <c r="B1521" s="15">
        <v>53</v>
      </c>
      <c r="C1521" s="15">
        <v>531</v>
      </c>
      <c r="D1521" s="15">
        <v>5311</v>
      </c>
      <c r="E1521" s="14">
        <v>531117</v>
      </c>
      <c r="F1521" s="16" t="s">
        <v>1980</v>
      </c>
      <c r="G1521" s="21" t="s">
        <v>1979</v>
      </c>
      <c r="H1521" s="17" t="s">
        <v>66</v>
      </c>
      <c r="I1521" s="56">
        <v>0</v>
      </c>
      <c r="J1521" s="56">
        <f>(15*10)*75%</f>
        <v>112.5</v>
      </c>
      <c r="K1521" s="56">
        <f>(15*10)*75%</f>
        <v>112.5</v>
      </c>
      <c r="L1521" s="56">
        <f>(15*10)*75%</f>
        <v>112.5</v>
      </c>
      <c r="M1521" s="56">
        <f>SUM(I1521:L1521)</f>
        <v>337.5</v>
      </c>
      <c r="N1521" s="56">
        <f>IF(OR(H1521="",H1521="sif",H1521="PM"),0,VLOOKUP(H1521,[5]CU!$C$4:$H$255,6,FALSE))</f>
        <v>0.255</v>
      </c>
      <c r="O1521" s="56">
        <f>IFERROR($N1521*I1521,0)</f>
        <v>0</v>
      </c>
      <c r="P1521" s="56">
        <f>IFERROR($N1521*J1521,0)</f>
        <v>28.6875</v>
      </c>
      <c r="Q1521" s="56">
        <f>IFERROR($N1521*K1521,0)</f>
        <v>28.6875</v>
      </c>
      <c r="R1521" s="56">
        <f>IFERROR($N1521*L1521,0)</f>
        <v>28.6875</v>
      </c>
      <c r="S1521" s="53">
        <f>SUM(O1521:R1521)</f>
        <v>86.0625</v>
      </c>
      <c r="T1521" s="35" t="s">
        <v>56</v>
      </c>
      <c r="U1521" s="18" t="s">
        <v>1873</v>
      </c>
      <c r="V1521" s="19" t="str">
        <f>IF(OR($H1521="",$H1521="sif",$H1521="PM"),"",VLOOKUP($H1521,[5]CU!$C$5:$J$255,8,FALSE))</f>
        <v>3. Dépenses de fonctionnement</v>
      </c>
      <c r="W1521" s="18" t="s">
        <v>96</v>
      </c>
      <c r="X1521" s="18" t="s">
        <v>96</v>
      </c>
      <c r="Y1521" s="18" t="s">
        <v>677</v>
      </c>
      <c r="Z1521" s="19" t="str">
        <f>A1521 &amp; "-" &amp; VLOOKUP(A1521,[4]PROGRAMMES!$E$1:$F$7,2,FALSE)</f>
        <v>5-Gouvernance et pilotage du secteur</v>
      </c>
      <c r="AA1521" s="19" t="str">
        <f>B1521 &amp; "-" &amp; VLOOKUP(B1521,[4]SOUSPROGRAMMES!$E$1:$F$44,2,FALSE)</f>
        <v xml:space="preserve">53- Systèmes d’information pour la gestion de l'éducation (collecte, analyse, diffusion, et utilisation des informations) </v>
      </c>
      <c r="AB1521" s="19" t="str">
        <f>C1521 &amp; "-" &amp; VLOOKUP(C1521,[4]RESULTATS!$E$1:$F$176,2,FALSE)</f>
        <v>531- La production des données permet d’offrir aux différents acteurs et utilisateurs à tous les niveaux l’information dont ils ont besoin</v>
      </c>
      <c r="AC1521" s="20" t="str">
        <f>D1521 &amp; "-" &amp; VLOOKUP(D1521,[4]STRATEGIES!$E$1:$F$504,2,FALSE)</f>
        <v>5311-Organisation de la collecte classique</v>
      </c>
      <c r="AD1521" s="21" t="str">
        <f t="shared" si="221"/>
        <v>531117-Saisie de données de l'ETFP</v>
      </c>
    </row>
    <row r="1522" spans="1:30" s="22" customFormat="1" ht="61" x14ac:dyDescent="0.8">
      <c r="A1522" s="14">
        <v>5</v>
      </c>
      <c r="B1522" s="15">
        <v>53</v>
      </c>
      <c r="C1522" s="15">
        <v>531</v>
      </c>
      <c r="D1522" s="15">
        <v>5311</v>
      </c>
      <c r="E1522" s="14">
        <v>531117</v>
      </c>
      <c r="F1522" s="16" t="s">
        <v>1980</v>
      </c>
      <c r="G1522" s="21" t="s">
        <v>1979</v>
      </c>
      <c r="H1522" s="17" t="s">
        <v>66</v>
      </c>
      <c r="I1522" s="56">
        <v>0</v>
      </c>
      <c r="J1522" s="56">
        <f>(15*10)*25%</f>
        <v>37.5</v>
      </c>
      <c r="K1522" s="56">
        <f>(15*10)*25%</f>
        <v>37.5</v>
      </c>
      <c r="L1522" s="56">
        <f>(15*10)*25%</f>
        <v>37.5</v>
      </c>
      <c r="M1522" s="56">
        <f t="shared" si="225"/>
        <v>112.5</v>
      </c>
      <c r="N1522" s="56">
        <f>IF(OR(H1522="",H1522="sif",H1522="PM"),0,VLOOKUP(H1522,[5]CU!$C$4:$H$255,6,FALSE))</f>
        <v>0.255</v>
      </c>
      <c r="O1522" s="56">
        <f t="shared" si="223"/>
        <v>0</v>
      </c>
      <c r="P1522" s="56">
        <f t="shared" si="223"/>
        <v>9.5625</v>
      </c>
      <c r="Q1522" s="56">
        <f t="shared" si="223"/>
        <v>9.5625</v>
      </c>
      <c r="R1522" s="56">
        <f t="shared" si="223"/>
        <v>9.5625</v>
      </c>
      <c r="S1522" s="53">
        <f t="shared" si="224"/>
        <v>28.6875</v>
      </c>
      <c r="T1522" s="35" t="s">
        <v>118</v>
      </c>
      <c r="U1522" s="18" t="s">
        <v>1873</v>
      </c>
      <c r="V1522" s="19" t="str">
        <f>IF(OR($H1522="",$H1522="sif",$H1522="PM"),"",VLOOKUP($H1522,[5]CU!$C$5:$J$255,8,FALSE))</f>
        <v>3. Dépenses de fonctionnement</v>
      </c>
      <c r="W1522" s="18" t="s">
        <v>96</v>
      </c>
      <c r="X1522" s="18" t="s">
        <v>96</v>
      </c>
      <c r="Y1522" s="18" t="s">
        <v>677</v>
      </c>
      <c r="Z1522" s="19" t="str">
        <f>A1522 &amp; "-" &amp; VLOOKUP(A1522,[4]PROGRAMMES!$E$1:$F$7,2,FALSE)</f>
        <v>5-Gouvernance et pilotage du secteur</v>
      </c>
      <c r="AA1522" s="19" t="str">
        <f>B1522 &amp; "-" &amp; VLOOKUP(B1522,[4]SOUSPROGRAMMES!$E$1:$F$44,2,FALSE)</f>
        <v xml:space="preserve">53- Systèmes d’information pour la gestion de l'éducation (collecte, analyse, diffusion, et utilisation des informations) </v>
      </c>
      <c r="AB1522" s="19" t="str">
        <f>C1522 &amp; "-" &amp; VLOOKUP(C1522,[4]RESULTATS!$E$1:$F$176,2,FALSE)</f>
        <v>531- La production des données permet d’offrir aux différents acteurs et utilisateurs à tous les niveaux l’information dont ils ont besoin</v>
      </c>
      <c r="AC1522" s="20" t="str">
        <f>D1522 &amp; "-" &amp; VLOOKUP(D1522,[4]STRATEGIES!$E$1:$F$504,2,FALSE)</f>
        <v>5311-Organisation de la collecte classique</v>
      </c>
      <c r="AD1522" s="21" t="str">
        <f t="shared" si="221"/>
        <v>531117-Saisie de données de l'ETFP</v>
      </c>
    </row>
    <row r="1523" spans="1:30" s="22" customFormat="1" ht="61" x14ac:dyDescent="0.8">
      <c r="A1523" s="14">
        <v>5</v>
      </c>
      <c r="B1523" s="15">
        <v>53</v>
      </c>
      <c r="C1523" s="15">
        <v>531</v>
      </c>
      <c r="D1523" s="15">
        <v>5311</v>
      </c>
      <c r="E1523" s="14">
        <v>531118</v>
      </c>
      <c r="F1523" s="16" t="s">
        <v>1981</v>
      </c>
      <c r="G1523" s="21" t="s">
        <v>1017</v>
      </c>
      <c r="H1523" s="17" t="s">
        <v>59</v>
      </c>
      <c r="I1523" s="56">
        <v>0</v>
      </c>
      <c r="J1523" s="56"/>
      <c r="K1523" s="56"/>
      <c r="L1523" s="56"/>
      <c r="M1523" s="56">
        <f>SUM(I1523:L1523)</f>
        <v>0</v>
      </c>
      <c r="N1523" s="56">
        <f>IF(OR(H1523="",H1523="sif",H1523="PM"),0,VLOOKUP(H1523,[5]CU!$C$4:$H$255,6,FALSE))</f>
        <v>0.8177777777777776</v>
      </c>
      <c r="O1523" s="56">
        <f>IFERROR($N1523*I1523,0)</f>
        <v>0</v>
      </c>
      <c r="P1523" s="56">
        <f>IFERROR($N1523*J1523,0)</f>
        <v>0</v>
      </c>
      <c r="Q1523" s="56">
        <f>IFERROR($N1523*K1523,0)</f>
        <v>0</v>
      </c>
      <c r="R1523" s="56">
        <f>IFERROR($N1523*L1523,0)</f>
        <v>0</v>
      </c>
      <c r="S1523" s="53">
        <f>SUM(O1523:R1523)</f>
        <v>0</v>
      </c>
      <c r="T1523" s="35" t="s">
        <v>118</v>
      </c>
      <c r="U1523" s="18" t="s">
        <v>1873</v>
      </c>
      <c r="V1523" s="19" t="str">
        <f>IF(OR($H1523="",$H1523="sif",$H1523="PM"),"",VLOOKUP($H1523,[5]CU!$C$5:$J$255,8,FALSE))</f>
        <v>3. Dépenses de fonctionnement</v>
      </c>
      <c r="W1523" s="18" t="s">
        <v>96</v>
      </c>
      <c r="X1523" s="18" t="s">
        <v>96</v>
      </c>
      <c r="Y1523" s="19" t="s">
        <v>32</v>
      </c>
      <c r="Z1523" s="19" t="str">
        <f>A1523 &amp; "-" &amp; VLOOKUP(A1523,[4]PROGRAMMES!$E$1:$F$7,2,FALSE)</f>
        <v>5-Gouvernance et pilotage du secteur</v>
      </c>
      <c r="AA1523" s="19" t="str">
        <f>B1523 &amp; "-" &amp; VLOOKUP(B1523,[4]SOUSPROGRAMMES!$E$1:$F$44,2,FALSE)</f>
        <v xml:space="preserve">53- Systèmes d’information pour la gestion de l'éducation (collecte, analyse, diffusion, et utilisation des informations) </v>
      </c>
      <c r="AB1523" s="19" t="str">
        <f>C1523 &amp; "-" &amp; VLOOKUP(C1523,[4]RESULTATS!$E$1:$F$176,2,FALSE)</f>
        <v>531- La production des données permet d’offrir aux différents acteurs et utilisateurs à tous les niveaux l’information dont ils ont besoin</v>
      </c>
      <c r="AC1523" s="20" t="str">
        <f>D1523 &amp; "-" &amp; VLOOKUP(D1523,[4]STRATEGIES!$E$1:$F$504,2,FALSE)</f>
        <v>5311-Organisation de la collecte classique</v>
      </c>
      <c r="AD1523" s="21" t="str">
        <f t="shared" si="221"/>
        <v>531118-Suivi et contrôle de la collecte</v>
      </c>
    </row>
    <row r="1524" spans="1:30" ht="61" hidden="1" x14ac:dyDescent="0.8">
      <c r="A1524" s="25">
        <v>5</v>
      </c>
      <c r="B1524" s="16">
        <v>53</v>
      </c>
      <c r="C1524" s="16">
        <v>531</v>
      </c>
      <c r="D1524" s="16">
        <v>5311</v>
      </c>
      <c r="E1524" s="25">
        <v>531118</v>
      </c>
      <c r="F1524" s="16" t="s">
        <v>1981</v>
      </c>
      <c r="G1524" s="21" t="s">
        <v>1017</v>
      </c>
      <c r="H1524" s="21" t="s">
        <v>59</v>
      </c>
      <c r="I1524" s="56">
        <v>0</v>
      </c>
      <c r="J1524" s="57">
        <f>(4*10)*4</f>
        <v>160</v>
      </c>
      <c r="K1524" s="57">
        <f>(4*10)*4</f>
        <v>160</v>
      </c>
      <c r="L1524" s="57">
        <f>(4*10)*4</f>
        <v>160</v>
      </c>
      <c r="M1524" s="57">
        <f t="shared" si="225"/>
        <v>480</v>
      </c>
      <c r="N1524" s="57">
        <f>IF(OR(H1524="",H1524="sif",H1524="PM"),0,VLOOKUP(H1524,[5]CU!$C$4:$H$255,6,FALSE))</f>
        <v>0.8177777777777776</v>
      </c>
      <c r="O1524" s="57">
        <f t="shared" si="223"/>
        <v>0</v>
      </c>
      <c r="P1524" s="57">
        <f t="shared" si="223"/>
        <v>130.84444444444441</v>
      </c>
      <c r="Q1524" s="57">
        <f t="shared" si="223"/>
        <v>130.84444444444441</v>
      </c>
      <c r="R1524" s="57">
        <f t="shared" si="223"/>
        <v>130.84444444444441</v>
      </c>
      <c r="S1524" s="60">
        <f t="shared" si="224"/>
        <v>392.53333333333319</v>
      </c>
      <c r="T1524" s="38" t="s">
        <v>169</v>
      </c>
      <c r="U1524" s="19" t="s">
        <v>1873</v>
      </c>
      <c r="V1524" s="19" t="str">
        <f>IF(OR($H1524="",$H1524="sif",$H1524="PM"),"",VLOOKUP($H1524,[5]CU!$C$5:$J$255,8,FALSE))</f>
        <v>3. Dépenses de fonctionnement</v>
      </c>
      <c r="W1524" s="19" t="s">
        <v>96</v>
      </c>
      <c r="X1524" s="19" t="s">
        <v>96</v>
      </c>
      <c r="Y1524" s="19" t="s">
        <v>32</v>
      </c>
      <c r="Z1524" s="19" t="str">
        <f>A1524 &amp; "-" &amp; VLOOKUP(A1524,[4]PROGRAMMES!$E$1:$F$7,2,FALSE)</f>
        <v>5-Gouvernance et pilotage du secteur</v>
      </c>
      <c r="AA1524" s="19" t="str">
        <f>B1524 &amp; "-" &amp; VLOOKUP(B1524,[4]SOUSPROGRAMMES!$E$1:$F$44,2,FALSE)</f>
        <v xml:space="preserve">53- Systèmes d’information pour la gestion de l'éducation (collecte, analyse, diffusion, et utilisation des informations) </v>
      </c>
      <c r="AB1524" s="19" t="str">
        <f>C1524 &amp; "-" &amp; VLOOKUP(C1524,[4]RESULTATS!$E$1:$F$176,2,FALSE)</f>
        <v>531- La production des données permet d’offrir aux différents acteurs et utilisateurs à tous les niveaux l’information dont ils ont besoin</v>
      </c>
      <c r="AC1524" s="20" t="str">
        <f>D1524 &amp; "-" &amp; VLOOKUP(D1524,[4]STRATEGIES!$E$1:$F$504,2,FALSE)</f>
        <v>5311-Organisation de la collecte classique</v>
      </c>
      <c r="AD1524" s="21" t="str">
        <f t="shared" si="221"/>
        <v>531118-Suivi et contrôle de la collecte</v>
      </c>
    </row>
    <row r="1525" spans="1:30" s="22" customFormat="1" ht="61" hidden="1" x14ac:dyDescent="0.8">
      <c r="A1525" s="14">
        <v>5</v>
      </c>
      <c r="B1525" s="15">
        <v>53</v>
      </c>
      <c r="C1525" s="15">
        <v>531</v>
      </c>
      <c r="D1525" s="15">
        <v>5311</v>
      </c>
      <c r="E1525" s="14">
        <v>531119</v>
      </c>
      <c r="F1525" s="16" t="s">
        <v>1981</v>
      </c>
      <c r="G1525" s="21" t="s">
        <v>1017</v>
      </c>
      <c r="H1525" s="17" t="s">
        <v>59</v>
      </c>
      <c r="I1525" s="56">
        <v>0</v>
      </c>
      <c r="J1525" s="56">
        <f>(4*10)</f>
        <v>40</v>
      </c>
      <c r="K1525" s="56">
        <f>(4*10)</f>
        <v>40</v>
      </c>
      <c r="L1525" s="56">
        <f>(4*10)</f>
        <v>40</v>
      </c>
      <c r="M1525" s="56">
        <f t="shared" si="225"/>
        <v>120</v>
      </c>
      <c r="N1525" s="56">
        <f>IF(OR(H1525="",H1525="sif",H1525="PM"),0,VLOOKUP(H1525,[5]CU!$C$4:$H$255,6,FALSE))</f>
        <v>0.8177777777777776</v>
      </c>
      <c r="O1525" s="56">
        <f t="shared" si="223"/>
        <v>0</v>
      </c>
      <c r="P1525" s="56">
        <f t="shared" si="223"/>
        <v>32.711111111111101</v>
      </c>
      <c r="Q1525" s="56">
        <f t="shared" si="223"/>
        <v>32.711111111111101</v>
      </c>
      <c r="R1525" s="56">
        <f t="shared" si="223"/>
        <v>32.711111111111101</v>
      </c>
      <c r="S1525" s="53">
        <f t="shared" si="224"/>
        <v>98.133333333333297</v>
      </c>
      <c r="T1525" s="35" t="s">
        <v>56</v>
      </c>
      <c r="U1525" s="18" t="s">
        <v>1873</v>
      </c>
      <c r="V1525" s="19" t="str">
        <f>IF(OR($H1525="",$H1525="sif",$H1525="PM"),"",VLOOKUP($H1525,[5]CU!$C$5:$J$255,8,FALSE))</f>
        <v>3. Dépenses de fonctionnement</v>
      </c>
      <c r="W1525" s="18" t="s">
        <v>96</v>
      </c>
      <c r="X1525" s="18" t="s">
        <v>96</v>
      </c>
      <c r="Y1525" s="18" t="s">
        <v>679</v>
      </c>
      <c r="Z1525" s="19" t="str">
        <f>A1525 &amp; "-" &amp; VLOOKUP(A1525,[4]PROGRAMMES!$E$1:$F$7,2,FALSE)</f>
        <v>5-Gouvernance et pilotage du secteur</v>
      </c>
      <c r="AA1525" s="19" t="str">
        <f>B1525 &amp; "-" &amp; VLOOKUP(B1525,[4]SOUSPROGRAMMES!$E$1:$F$44,2,FALSE)</f>
        <v xml:space="preserve">53- Systèmes d’information pour la gestion de l'éducation (collecte, analyse, diffusion, et utilisation des informations) </v>
      </c>
      <c r="AB1525" s="19" t="str">
        <f>C1525 &amp; "-" &amp; VLOOKUP(C1525,[4]RESULTATS!$E$1:$F$176,2,FALSE)</f>
        <v>531- La production des données permet d’offrir aux différents acteurs et utilisateurs à tous les niveaux l’information dont ils ont besoin</v>
      </c>
      <c r="AC1525" s="20" t="str">
        <f>D1525 &amp; "-" &amp; VLOOKUP(D1525,[4]STRATEGIES!$E$1:$F$504,2,FALSE)</f>
        <v>5311-Organisation de la collecte classique</v>
      </c>
      <c r="AD1525" s="21" t="str">
        <f t="shared" si="221"/>
        <v>531119-Suivi et contrôle de la collecte</v>
      </c>
    </row>
    <row r="1526" spans="1:30" s="22" customFormat="1" ht="61" hidden="1" x14ac:dyDescent="0.8">
      <c r="A1526" s="14">
        <v>5</v>
      </c>
      <c r="B1526" s="15">
        <v>53</v>
      </c>
      <c r="C1526" s="15">
        <v>531</v>
      </c>
      <c r="D1526" s="15">
        <v>5311</v>
      </c>
      <c r="E1526" s="14">
        <v>531120</v>
      </c>
      <c r="F1526" s="16" t="s">
        <v>1981</v>
      </c>
      <c r="G1526" s="21" t="s">
        <v>1017</v>
      </c>
      <c r="H1526" s="17" t="s">
        <v>59</v>
      </c>
      <c r="I1526" s="56">
        <v>0</v>
      </c>
      <c r="J1526" s="56">
        <f>(4*7)*4</f>
        <v>112</v>
      </c>
      <c r="K1526" s="56">
        <f>(4*7)*4</f>
        <v>112</v>
      </c>
      <c r="L1526" s="56">
        <f>(4*7)*4</f>
        <v>112</v>
      </c>
      <c r="M1526" s="56">
        <f t="shared" si="225"/>
        <v>336</v>
      </c>
      <c r="N1526" s="56">
        <f>IF(OR(H1526="",H1526="sif",H1526="PM"),0,VLOOKUP(H1526,[5]CU!$C$4:$H$255,6,FALSE))</f>
        <v>0.8177777777777776</v>
      </c>
      <c r="O1526" s="56">
        <f t="shared" si="223"/>
        <v>0</v>
      </c>
      <c r="P1526" s="56">
        <f t="shared" si="223"/>
        <v>91.59111111111109</v>
      </c>
      <c r="Q1526" s="56">
        <f t="shared" si="223"/>
        <v>91.59111111111109</v>
      </c>
      <c r="R1526" s="56">
        <f t="shared" si="223"/>
        <v>91.59111111111109</v>
      </c>
      <c r="S1526" s="53">
        <f t="shared" si="224"/>
        <v>274.77333333333326</v>
      </c>
      <c r="T1526" s="35" t="s">
        <v>56</v>
      </c>
      <c r="U1526" s="18" t="s">
        <v>1873</v>
      </c>
      <c r="V1526" s="19" t="str">
        <f>IF(OR($H1526="",$H1526="sif",$H1526="PM"),"",VLOOKUP($H1526,[5]CU!$C$5:$J$255,8,FALSE))</f>
        <v>3. Dépenses de fonctionnement</v>
      </c>
      <c r="W1526" s="18" t="s">
        <v>96</v>
      </c>
      <c r="X1526" s="18" t="s">
        <v>96</v>
      </c>
      <c r="Y1526" s="18" t="s">
        <v>677</v>
      </c>
      <c r="Z1526" s="19" t="str">
        <f>A1526 &amp; "-" &amp; VLOOKUP(A1526,[4]PROGRAMMES!$E$1:$F$7,2,FALSE)</f>
        <v>5-Gouvernance et pilotage du secteur</v>
      </c>
      <c r="AA1526" s="19" t="str">
        <f>B1526 &amp; "-" &amp; VLOOKUP(B1526,[4]SOUSPROGRAMMES!$E$1:$F$44,2,FALSE)</f>
        <v xml:space="preserve">53- Systèmes d’information pour la gestion de l'éducation (collecte, analyse, diffusion, et utilisation des informations) </v>
      </c>
      <c r="AB1526" s="19" t="str">
        <f>C1526 &amp; "-" &amp; VLOOKUP(C1526,[4]RESULTATS!$E$1:$F$176,2,FALSE)</f>
        <v>531- La production des données permet d’offrir aux différents acteurs et utilisateurs à tous les niveaux l’information dont ils ont besoin</v>
      </c>
      <c r="AC1526" s="20" t="str">
        <f>D1526 &amp; "-" &amp; VLOOKUP(D1526,[4]STRATEGIES!$E$1:$F$504,2,FALSE)</f>
        <v>5311-Organisation de la collecte classique</v>
      </c>
      <c r="AD1526" s="21" t="str">
        <f t="shared" si="221"/>
        <v>531120-Suivi et contrôle de la collecte</v>
      </c>
    </row>
    <row r="1527" spans="1:30" s="22" customFormat="1" ht="60" customHeight="1" x14ac:dyDescent="0.8">
      <c r="A1527" s="14">
        <v>5</v>
      </c>
      <c r="B1527" s="15">
        <v>53</v>
      </c>
      <c r="C1527" s="15">
        <v>531</v>
      </c>
      <c r="D1527" s="15">
        <v>5311</v>
      </c>
      <c r="E1527" s="14">
        <v>531121</v>
      </c>
      <c r="F1527" s="16" t="s">
        <v>1982</v>
      </c>
      <c r="G1527" s="21" t="s">
        <v>315</v>
      </c>
      <c r="H1527" s="17" t="s">
        <v>66</v>
      </c>
      <c r="I1527" s="56">
        <v>0</v>
      </c>
      <c r="J1527" s="56"/>
      <c r="K1527" s="56"/>
      <c r="L1527" s="56"/>
      <c r="M1527" s="56">
        <f>SUM(I1527:L1527)</f>
        <v>0</v>
      </c>
      <c r="N1527" s="56">
        <f>IF(OR(H1527="",H1527="sif",H1527="PM"),0,VLOOKUP(H1527,[5]CU!$C$4:$H$255,6,FALSE))</f>
        <v>0.255</v>
      </c>
      <c r="O1527" s="56">
        <f>IFERROR($N1527*I1527,0)</f>
        <v>0</v>
      </c>
      <c r="P1527" s="56">
        <f>IFERROR($N1527*J1527,0)</f>
        <v>0</v>
      </c>
      <c r="Q1527" s="56">
        <f>IFERROR($N1527*K1527,0)</f>
        <v>0</v>
      </c>
      <c r="R1527" s="56">
        <f>IFERROR($N1527*L1527,0)</f>
        <v>0</v>
      </c>
      <c r="S1527" s="53">
        <f>SUM(O1527:R1527)</f>
        <v>0</v>
      </c>
      <c r="T1527" s="35" t="s">
        <v>118</v>
      </c>
      <c r="U1527" s="18" t="s">
        <v>1873</v>
      </c>
      <c r="V1527" s="19" t="str">
        <f>IF(OR($H1527="",$H1527="sif",$H1527="PM"),"",VLOOKUP($H1527,[5]CU!$C$5:$J$255,8,FALSE))</f>
        <v>3. Dépenses de fonctionnement</v>
      </c>
      <c r="W1527" s="18" t="s">
        <v>96</v>
      </c>
      <c r="X1527" s="18" t="s">
        <v>96</v>
      </c>
      <c r="Y1527" s="19" t="s">
        <v>32</v>
      </c>
      <c r="Z1527" s="19" t="str">
        <f>A1527 &amp; "-" &amp; VLOOKUP(A1527,[4]PROGRAMMES!$E$1:$F$7,2,FALSE)</f>
        <v>5-Gouvernance et pilotage du secteur</v>
      </c>
      <c r="AA1527" s="19" t="str">
        <f>B1527 &amp; "-" &amp; VLOOKUP(B1527,[4]SOUSPROGRAMMES!$E$1:$F$44,2,FALSE)</f>
        <v xml:space="preserve">53- Systèmes d’information pour la gestion de l'éducation (collecte, analyse, diffusion, et utilisation des informations) </v>
      </c>
      <c r="AB1527" s="19" t="str">
        <f>C1527 &amp; "-" &amp; VLOOKUP(C1527,[4]RESULTATS!$E$1:$F$176,2,FALSE)</f>
        <v>531- La production des données permet d’offrir aux différents acteurs et utilisateurs à tous les niveaux l’information dont ils ont besoin</v>
      </c>
      <c r="AC1527" s="20" t="str">
        <f>D1527 &amp; "-" &amp; VLOOKUP(D1527,[4]STRATEGIES!$E$1:$F$504,2,FALSE)</f>
        <v>5311-Organisation de la collecte classique</v>
      </c>
      <c r="AD1527" s="21" t="str">
        <f t="shared" si="221"/>
        <v>531121-Ateliers régionaux d'apurement, validation et fusion</v>
      </c>
    </row>
    <row r="1528" spans="1:30" ht="60" hidden="1" customHeight="1" x14ac:dyDescent="0.8">
      <c r="A1528" s="25">
        <v>5</v>
      </c>
      <c r="B1528" s="16">
        <v>53</v>
      </c>
      <c r="C1528" s="16">
        <v>531</v>
      </c>
      <c r="D1528" s="16">
        <v>5311</v>
      </c>
      <c r="E1528" s="25">
        <v>531121</v>
      </c>
      <c r="F1528" s="16" t="s">
        <v>1982</v>
      </c>
      <c r="G1528" s="21" t="s">
        <v>315</v>
      </c>
      <c r="H1528" s="21" t="s">
        <v>66</v>
      </c>
      <c r="I1528" s="56">
        <v>0</v>
      </c>
      <c r="J1528" s="57">
        <f>(46*2+15)*3</f>
        <v>321</v>
      </c>
      <c r="K1528" s="57">
        <f t="shared" ref="K1528:L1528" si="226">(46*2+15)*3</f>
        <v>321</v>
      </c>
      <c r="L1528" s="57">
        <f t="shared" si="226"/>
        <v>321</v>
      </c>
      <c r="M1528" s="57">
        <f t="shared" si="225"/>
        <v>963</v>
      </c>
      <c r="N1528" s="57">
        <f>IF(OR(H1528="",H1528="sif",H1528="PM"),0,VLOOKUP(H1528,[5]CU!$C$4:$H$255,6,FALSE))</f>
        <v>0.255</v>
      </c>
      <c r="O1528" s="57">
        <f t="shared" si="223"/>
        <v>0</v>
      </c>
      <c r="P1528" s="57">
        <f t="shared" si="223"/>
        <v>81.855000000000004</v>
      </c>
      <c r="Q1528" s="57">
        <f t="shared" si="223"/>
        <v>81.855000000000004</v>
      </c>
      <c r="R1528" s="57">
        <f t="shared" si="223"/>
        <v>81.855000000000004</v>
      </c>
      <c r="S1528" s="60">
        <f t="shared" si="224"/>
        <v>245.565</v>
      </c>
      <c r="T1528" s="38" t="s">
        <v>169</v>
      </c>
      <c r="U1528" s="19" t="s">
        <v>1873</v>
      </c>
      <c r="V1528" s="19" t="str">
        <f>IF(OR($H1528="",$H1528="sif",$H1528="PM"),"",VLOOKUP($H1528,[5]CU!$C$5:$J$255,8,FALSE))</f>
        <v>3. Dépenses de fonctionnement</v>
      </c>
      <c r="W1528" s="19" t="s">
        <v>96</v>
      </c>
      <c r="X1528" s="19" t="s">
        <v>96</v>
      </c>
      <c r="Y1528" s="19" t="s">
        <v>32</v>
      </c>
      <c r="Z1528" s="19" t="str">
        <f>A1528 &amp; "-" &amp; VLOOKUP(A1528,[4]PROGRAMMES!$E$1:$F$7,2,FALSE)</f>
        <v>5-Gouvernance et pilotage du secteur</v>
      </c>
      <c r="AA1528" s="19" t="str">
        <f>B1528 &amp; "-" &amp; VLOOKUP(B1528,[4]SOUSPROGRAMMES!$E$1:$F$44,2,FALSE)</f>
        <v xml:space="preserve">53- Systèmes d’information pour la gestion de l'éducation (collecte, analyse, diffusion, et utilisation des informations) </v>
      </c>
      <c r="AB1528" s="19" t="str">
        <f>C1528 &amp; "-" &amp; VLOOKUP(C1528,[4]RESULTATS!$E$1:$F$176,2,FALSE)</f>
        <v>531- La production des données permet d’offrir aux différents acteurs et utilisateurs à tous les niveaux l’information dont ils ont besoin</v>
      </c>
      <c r="AC1528" s="20" t="str">
        <f>D1528 &amp; "-" &amp; VLOOKUP(D1528,[4]STRATEGIES!$E$1:$F$504,2,FALSE)</f>
        <v>5311-Organisation de la collecte classique</v>
      </c>
      <c r="AD1528" s="21" t="str">
        <f t="shared" si="221"/>
        <v>531121-Ateliers régionaux d'apurement, validation et fusion</v>
      </c>
    </row>
    <row r="1529" spans="1:30" s="22" customFormat="1" ht="60" customHeight="1" x14ac:dyDescent="0.8">
      <c r="A1529" s="14">
        <v>5</v>
      </c>
      <c r="B1529" s="15">
        <v>53</v>
      </c>
      <c r="C1529" s="15">
        <v>531</v>
      </c>
      <c r="D1529" s="15">
        <v>5311</v>
      </c>
      <c r="E1529" s="14">
        <v>531122</v>
      </c>
      <c r="F1529" s="16" t="s">
        <v>1983</v>
      </c>
      <c r="G1529" s="21" t="s">
        <v>315</v>
      </c>
      <c r="H1529" s="17" t="s">
        <v>66</v>
      </c>
      <c r="I1529" s="56">
        <v>0</v>
      </c>
      <c r="J1529" s="56"/>
      <c r="K1529" s="56"/>
      <c r="L1529" s="56"/>
      <c r="M1529" s="56">
        <f>SUM(I1529:L1529)</f>
        <v>0</v>
      </c>
      <c r="N1529" s="56">
        <f>IF(OR(H1529="",H1529="sif",H1529="PM"),0,VLOOKUP(H1529,[5]CU!$C$4:$H$255,6,FALSE))</f>
        <v>0.255</v>
      </c>
      <c r="O1529" s="56">
        <f>IFERROR($N1529*I1529,0)</f>
        <v>0</v>
      </c>
      <c r="P1529" s="56">
        <f>IFERROR($N1529*J1529,0)</f>
        <v>0</v>
      </c>
      <c r="Q1529" s="56">
        <f>IFERROR($N1529*K1529,0)</f>
        <v>0</v>
      </c>
      <c r="R1529" s="56">
        <f>IFERROR($N1529*L1529,0)</f>
        <v>0</v>
      </c>
      <c r="S1529" s="53">
        <f>SUM(O1529:R1529)</f>
        <v>0</v>
      </c>
      <c r="T1529" s="35" t="s">
        <v>118</v>
      </c>
      <c r="U1529" s="18" t="s">
        <v>1873</v>
      </c>
      <c r="V1529" s="19" t="str">
        <f>IF(OR($H1529="",$H1529="sif",$H1529="PM"),"",VLOOKUP($H1529,[5]CU!$C$5:$J$255,8,FALSE))</f>
        <v>3. Dépenses de fonctionnement</v>
      </c>
      <c r="W1529" s="18" t="s">
        <v>96</v>
      </c>
      <c r="X1529" s="18" t="s">
        <v>96</v>
      </c>
      <c r="Y1529" s="19" t="s">
        <v>32</v>
      </c>
      <c r="Z1529" s="19" t="str">
        <f>A1529 &amp; "-" &amp; VLOOKUP(A1529,[4]PROGRAMMES!$E$1:$F$7,2,FALSE)</f>
        <v>5-Gouvernance et pilotage du secteur</v>
      </c>
      <c r="AA1529" s="19" t="str">
        <f>B1529 &amp; "-" &amp; VLOOKUP(B1529,[4]SOUSPROGRAMMES!$E$1:$F$44,2,FALSE)</f>
        <v xml:space="preserve">53- Systèmes d’information pour la gestion de l'éducation (collecte, analyse, diffusion, et utilisation des informations) </v>
      </c>
      <c r="AB1529" s="19" t="str">
        <f>C1529 &amp; "-" &amp; VLOOKUP(C1529,[4]RESULTATS!$E$1:$F$176,2,FALSE)</f>
        <v>531- La production des données permet d’offrir aux différents acteurs et utilisateurs à tous les niveaux l’information dont ils ont besoin</v>
      </c>
      <c r="AC1529" s="20" t="str">
        <f>D1529 &amp; "-" &amp; VLOOKUP(D1529,[4]STRATEGIES!$E$1:$F$504,2,FALSE)</f>
        <v>5311-Organisation de la collecte classique</v>
      </c>
      <c r="AD1529" s="21" t="str">
        <f t="shared" si="221"/>
        <v>531122-Elaboration des rapports d'analyse et dépliants au niveau national (MENA)</v>
      </c>
    </row>
    <row r="1530" spans="1:30" ht="60" hidden="1" customHeight="1" x14ac:dyDescent="0.8">
      <c r="A1530" s="25">
        <v>5</v>
      </c>
      <c r="B1530" s="16">
        <v>53</v>
      </c>
      <c r="C1530" s="16">
        <v>531</v>
      </c>
      <c r="D1530" s="16">
        <v>5311</v>
      </c>
      <c r="E1530" s="25">
        <v>531122</v>
      </c>
      <c r="F1530" s="16" t="s">
        <v>1983</v>
      </c>
      <c r="G1530" s="21" t="s">
        <v>315</v>
      </c>
      <c r="H1530" s="21" t="s">
        <v>66</v>
      </c>
      <c r="I1530" s="56">
        <v>0</v>
      </c>
      <c r="J1530" s="57">
        <f t="shared" ref="J1530:K1532" si="227">20*5</f>
        <v>100</v>
      </c>
      <c r="K1530" s="57">
        <f t="shared" si="227"/>
        <v>100</v>
      </c>
      <c r="L1530" s="57">
        <f>20*5</f>
        <v>100</v>
      </c>
      <c r="M1530" s="57">
        <f t="shared" si="225"/>
        <v>300</v>
      </c>
      <c r="N1530" s="57">
        <f>IF(OR(H1530="",H1530="sif",H1530="PM"),0,VLOOKUP(H1530,[5]CU!$C$4:$H$255,6,FALSE))</f>
        <v>0.255</v>
      </c>
      <c r="O1530" s="57">
        <f t="shared" si="223"/>
        <v>0</v>
      </c>
      <c r="P1530" s="57">
        <f t="shared" si="223"/>
        <v>25.5</v>
      </c>
      <c r="Q1530" s="57">
        <f t="shared" si="223"/>
        <v>25.5</v>
      </c>
      <c r="R1530" s="57">
        <f t="shared" si="223"/>
        <v>25.5</v>
      </c>
      <c r="S1530" s="60">
        <f t="shared" si="224"/>
        <v>76.5</v>
      </c>
      <c r="T1530" s="38" t="s">
        <v>169</v>
      </c>
      <c r="U1530" s="19" t="s">
        <v>1873</v>
      </c>
      <c r="V1530" s="19" t="str">
        <f>IF(OR($H1530="",$H1530="sif",$H1530="PM"),"",VLOOKUP($H1530,[5]CU!$C$5:$J$255,8,FALSE))</f>
        <v>3. Dépenses de fonctionnement</v>
      </c>
      <c r="W1530" s="19" t="s">
        <v>96</v>
      </c>
      <c r="X1530" s="19" t="s">
        <v>96</v>
      </c>
      <c r="Y1530" s="19" t="s">
        <v>32</v>
      </c>
      <c r="Z1530" s="19" t="str">
        <f>A1530 &amp; "-" &amp; VLOOKUP(A1530,[4]PROGRAMMES!$E$1:$F$7,2,FALSE)</f>
        <v>5-Gouvernance et pilotage du secteur</v>
      </c>
      <c r="AA1530" s="19" t="str">
        <f>B1530 &amp; "-" &amp; VLOOKUP(B1530,[4]SOUSPROGRAMMES!$E$1:$F$44,2,FALSE)</f>
        <v xml:space="preserve">53- Systèmes d’information pour la gestion de l'éducation (collecte, analyse, diffusion, et utilisation des informations) </v>
      </c>
      <c r="AB1530" s="19" t="str">
        <f>C1530 &amp; "-" &amp; VLOOKUP(C1530,[4]RESULTATS!$E$1:$F$176,2,FALSE)</f>
        <v>531- La production des données permet d’offrir aux différents acteurs et utilisateurs à tous les niveaux l’information dont ils ont besoin</v>
      </c>
      <c r="AC1530" s="20" t="str">
        <f>D1530 &amp; "-" &amp; VLOOKUP(D1530,[4]STRATEGIES!$E$1:$F$504,2,FALSE)</f>
        <v>5311-Organisation de la collecte classique</v>
      </c>
      <c r="AD1530" s="21" t="str">
        <f t="shared" si="221"/>
        <v>531122-Elaboration des rapports d'analyse et dépliants au niveau national (MENA)</v>
      </c>
    </row>
    <row r="1531" spans="1:30" s="22" customFormat="1" ht="60" hidden="1" customHeight="1" x14ac:dyDescent="0.8">
      <c r="A1531" s="14">
        <v>5</v>
      </c>
      <c r="B1531" s="15">
        <v>53</v>
      </c>
      <c r="C1531" s="15">
        <v>531</v>
      </c>
      <c r="D1531" s="15">
        <v>5311</v>
      </c>
      <c r="E1531" s="14">
        <v>531123</v>
      </c>
      <c r="F1531" s="16" t="s">
        <v>1984</v>
      </c>
      <c r="G1531" s="21" t="s">
        <v>315</v>
      </c>
      <c r="H1531" s="17" t="s">
        <v>66</v>
      </c>
      <c r="I1531" s="56">
        <v>0</v>
      </c>
      <c r="J1531" s="56">
        <f t="shared" si="227"/>
        <v>100</v>
      </c>
      <c r="K1531" s="56">
        <f t="shared" si="227"/>
        <v>100</v>
      </c>
      <c r="L1531" s="56">
        <f>20*5</f>
        <v>100</v>
      </c>
      <c r="M1531" s="56">
        <f t="shared" si="225"/>
        <v>300</v>
      </c>
      <c r="N1531" s="56">
        <f>IF(OR(H1531="",H1531="sif",H1531="PM"),0,VLOOKUP(H1531,[5]CU!$C$4:$H$255,6,FALSE))</f>
        <v>0.255</v>
      </c>
      <c r="O1531" s="56">
        <f t="shared" si="223"/>
        <v>0</v>
      </c>
      <c r="P1531" s="56">
        <f t="shared" si="223"/>
        <v>25.5</v>
      </c>
      <c r="Q1531" s="56">
        <f t="shared" si="223"/>
        <v>25.5</v>
      </c>
      <c r="R1531" s="56">
        <f t="shared" si="223"/>
        <v>25.5</v>
      </c>
      <c r="S1531" s="53">
        <f t="shared" si="224"/>
        <v>76.5</v>
      </c>
      <c r="T1531" s="35" t="s">
        <v>56</v>
      </c>
      <c r="U1531" s="18" t="s">
        <v>1873</v>
      </c>
      <c r="V1531" s="19" t="str">
        <f>IF(OR($H1531="",$H1531="sif",$H1531="PM"),"",VLOOKUP($H1531,[5]CU!$C$5:$J$255,8,FALSE))</f>
        <v>3. Dépenses de fonctionnement</v>
      </c>
      <c r="W1531" s="18" t="s">
        <v>96</v>
      </c>
      <c r="X1531" s="18" t="s">
        <v>96</v>
      </c>
      <c r="Y1531" s="18" t="s">
        <v>679</v>
      </c>
      <c r="Z1531" s="19" t="str">
        <f>A1531 &amp; "-" &amp; VLOOKUP(A1531,[4]PROGRAMMES!$E$1:$F$7,2,FALSE)</f>
        <v>5-Gouvernance et pilotage du secteur</v>
      </c>
      <c r="AA1531" s="19" t="str">
        <f>B1531 &amp; "-" &amp; VLOOKUP(B1531,[4]SOUSPROGRAMMES!$E$1:$F$44,2,FALSE)</f>
        <v xml:space="preserve">53- Systèmes d’information pour la gestion de l'éducation (collecte, analyse, diffusion, et utilisation des informations) </v>
      </c>
      <c r="AB1531" s="19" t="str">
        <f>C1531 &amp; "-" &amp; VLOOKUP(C1531,[4]RESULTATS!$E$1:$F$176,2,FALSE)</f>
        <v>531- La production des données permet d’offrir aux différents acteurs et utilisateurs à tous les niveaux l’information dont ils ont besoin</v>
      </c>
      <c r="AC1531" s="20" t="str">
        <f>D1531 &amp; "-" &amp; VLOOKUP(D1531,[4]STRATEGIES!$E$1:$F$504,2,FALSE)</f>
        <v>5311-Organisation de la collecte classique</v>
      </c>
      <c r="AD1531" s="21" t="str">
        <f t="shared" si="221"/>
        <v>531123-Elaboration des rapports d'analyse et dépliants au niveau national (METFP)</v>
      </c>
    </row>
    <row r="1532" spans="1:30" s="22" customFormat="1" ht="60" hidden="1" customHeight="1" x14ac:dyDescent="0.8">
      <c r="A1532" s="14">
        <v>5</v>
      </c>
      <c r="B1532" s="15">
        <v>53</v>
      </c>
      <c r="C1532" s="15">
        <v>531</v>
      </c>
      <c r="D1532" s="15">
        <v>5311</v>
      </c>
      <c r="E1532" s="14">
        <v>531124</v>
      </c>
      <c r="F1532" s="16" t="s">
        <v>1985</v>
      </c>
      <c r="G1532" s="21" t="s">
        <v>315</v>
      </c>
      <c r="H1532" s="17" t="s">
        <v>66</v>
      </c>
      <c r="I1532" s="56">
        <v>0</v>
      </c>
      <c r="J1532" s="56">
        <f t="shared" si="227"/>
        <v>100</v>
      </c>
      <c r="K1532" s="56">
        <f t="shared" si="227"/>
        <v>100</v>
      </c>
      <c r="L1532" s="56">
        <f>20*5</f>
        <v>100</v>
      </c>
      <c r="M1532" s="56">
        <f t="shared" si="225"/>
        <v>300</v>
      </c>
      <c r="N1532" s="56">
        <f>IF(OR(H1532="",H1532="sif",H1532="PM"),0,VLOOKUP(H1532,[5]CU!$C$4:$H$255,6,FALSE))</f>
        <v>0.255</v>
      </c>
      <c r="O1532" s="56">
        <f t="shared" si="223"/>
        <v>0</v>
      </c>
      <c r="P1532" s="56">
        <f t="shared" si="223"/>
        <v>25.5</v>
      </c>
      <c r="Q1532" s="56">
        <f t="shared" si="223"/>
        <v>25.5</v>
      </c>
      <c r="R1532" s="56">
        <f t="shared" si="223"/>
        <v>25.5</v>
      </c>
      <c r="S1532" s="53">
        <f t="shared" si="224"/>
        <v>76.5</v>
      </c>
      <c r="T1532" s="35" t="s">
        <v>56</v>
      </c>
      <c r="U1532" s="18" t="s">
        <v>1873</v>
      </c>
      <c r="V1532" s="19" t="str">
        <f>IF(OR($H1532="",$H1532="sif",$H1532="PM"),"",VLOOKUP($H1532,[5]CU!$C$5:$J$255,8,FALSE))</f>
        <v>3. Dépenses de fonctionnement</v>
      </c>
      <c r="W1532" s="18" t="s">
        <v>96</v>
      </c>
      <c r="X1532" s="18" t="s">
        <v>96</v>
      </c>
      <c r="Y1532" s="18" t="s">
        <v>677</v>
      </c>
      <c r="Z1532" s="19" t="str">
        <f>A1532 &amp; "-" &amp; VLOOKUP(A1532,[4]PROGRAMMES!$E$1:$F$7,2,FALSE)</f>
        <v>5-Gouvernance et pilotage du secteur</v>
      </c>
      <c r="AA1532" s="19" t="str">
        <f>B1532 &amp; "-" &amp; VLOOKUP(B1532,[4]SOUSPROGRAMMES!$E$1:$F$44,2,FALSE)</f>
        <v xml:space="preserve">53- Systèmes d’information pour la gestion de l'éducation (collecte, analyse, diffusion, et utilisation des informations) </v>
      </c>
      <c r="AB1532" s="19" t="str">
        <f>C1532 &amp; "-" &amp; VLOOKUP(C1532,[4]RESULTATS!$E$1:$F$176,2,FALSE)</f>
        <v>531- La production des données permet d’offrir aux différents acteurs et utilisateurs à tous les niveaux l’information dont ils ont besoin</v>
      </c>
      <c r="AC1532" s="20" t="str">
        <f>D1532 &amp; "-" &amp; VLOOKUP(D1532,[4]STRATEGIES!$E$1:$F$504,2,FALSE)</f>
        <v>5311-Organisation de la collecte classique</v>
      </c>
      <c r="AD1532" s="21" t="str">
        <f t="shared" si="221"/>
        <v>531124-Elaboration des rapports d'analyse et dépliants au niveau national (MESRS)</v>
      </c>
    </row>
    <row r="1533" spans="1:30" s="22" customFormat="1" ht="61" hidden="1" x14ac:dyDescent="0.8">
      <c r="A1533" s="14">
        <v>5</v>
      </c>
      <c r="B1533" s="15">
        <v>53</v>
      </c>
      <c r="C1533" s="15">
        <v>531</v>
      </c>
      <c r="D1533" s="15">
        <v>5311</v>
      </c>
      <c r="E1533" s="14">
        <v>531125</v>
      </c>
      <c r="F1533" s="16" t="s">
        <v>1986</v>
      </c>
      <c r="G1533" s="21" t="s">
        <v>159</v>
      </c>
      <c r="H1533" s="17" t="s">
        <v>55</v>
      </c>
      <c r="I1533" s="56">
        <v>0</v>
      </c>
      <c r="J1533" s="56"/>
      <c r="K1533" s="56"/>
      <c r="L1533" s="56"/>
      <c r="M1533" s="56"/>
      <c r="N1533" s="56">
        <f>IF(OR(H1533="",H1533="sif",H1533="PM"),0,VLOOKUP(H1533,[5]CU!$C$4:$H$255,6,FALSE))</f>
        <v>0</v>
      </c>
      <c r="O1533" s="56"/>
      <c r="P1533" s="56"/>
      <c r="Q1533" s="56"/>
      <c r="R1533" s="56"/>
      <c r="S1533" s="53"/>
      <c r="T1533" s="35" t="s">
        <v>56</v>
      </c>
      <c r="U1533" s="18" t="s">
        <v>1873</v>
      </c>
      <c r="V1533" s="19" t="str">
        <f>IF(OR($H1533="",$H1533="sif",$H1533="PM"),"",VLOOKUP($H1533,[5]CU!$C$5:$J$255,8,FALSE))</f>
        <v/>
      </c>
      <c r="W1533" s="18" t="s">
        <v>96</v>
      </c>
      <c r="X1533" s="18" t="s">
        <v>96</v>
      </c>
      <c r="Y1533" s="19" t="s">
        <v>32</v>
      </c>
      <c r="Z1533" s="19" t="str">
        <f>A1533 &amp; "-" &amp; VLOOKUP(A1533,[4]PROGRAMMES!$E$1:$F$7,2,FALSE)</f>
        <v>5-Gouvernance et pilotage du secteur</v>
      </c>
      <c r="AA1533" s="19" t="str">
        <f>B1533 &amp; "-" &amp; VLOOKUP(B1533,[4]SOUSPROGRAMMES!$E$1:$F$44,2,FALSE)</f>
        <v xml:space="preserve">53- Systèmes d’information pour la gestion de l'éducation (collecte, analyse, diffusion, et utilisation des informations) </v>
      </c>
      <c r="AB1533" s="19" t="str">
        <f>C1533 &amp; "-" &amp; VLOOKUP(C1533,[4]RESULTATS!$E$1:$F$176,2,FALSE)</f>
        <v>531- La production des données permet d’offrir aux différents acteurs et utilisateurs à tous les niveaux l’information dont ils ont besoin</v>
      </c>
      <c r="AC1533" s="20" t="str">
        <f>D1533 &amp; "-" &amp; VLOOKUP(D1533,[4]STRATEGIES!$E$1:$F$504,2,FALSE)</f>
        <v>5311-Organisation de la collecte classique</v>
      </c>
      <c r="AD1533" s="21" t="str">
        <f t="shared" si="221"/>
        <v>531125-Elaboration des rapports d'analyse et dépliants au niveau déconcentré (pris en charge dans les subventions)</v>
      </c>
    </row>
    <row r="1534" spans="1:30" s="22" customFormat="1" ht="61" x14ac:dyDescent="0.8">
      <c r="A1534" s="14">
        <v>5</v>
      </c>
      <c r="B1534" s="15">
        <v>53</v>
      </c>
      <c r="C1534" s="15">
        <v>531</v>
      </c>
      <c r="D1534" s="15">
        <v>5312</v>
      </c>
      <c r="E1534" s="14">
        <v>5312</v>
      </c>
      <c r="F1534" s="16" t="s">
        <v>1987</v>
      </c>
      <c r="G1534" s="17"/>
      <c r="H1534" s="17"/>
      <c r="I1534" s="56">
        <v>0</v>
      </c>
      <c r="J1534" s="56"/>
      <c r="K1534" s="56"/>
      <c r="L1534" s="56"/>
      <c r="M1534" s="56"/>
      <c r="N1534" s="56"/>
      <c r="O1534" s="56"/>
      <c r="P1534" s="56"/>
      <c r="Q1534" s="56"/>
      <c r="R1534" s="56"/>
      <c r="S1534" s="53"/>
      <c r="T1534" s="33"/>
      <c r="U1534" s="18"/>
      <c r="V1534" s="19"/>
      <c r="W1534" s="18"/>
      <c r="X1534" s="18"/>
      <c r="Y1534" s="18"/>
      <c r="Z1534" s="19" t="str">
        <f>A1534 &amp; "-" &amp; VLOOKUP(A1534,[4]PROGRAMMES!$E$1:$F$7,2,FALSE)</f>
        <v>5-Gouvernance et pilotage du secteur</v>
      </c>
      <c r="AA1534" s="19" t="str">
        <f>B1534 &amp; "-" &amp; VLOOKUP(B1534,[4]SOUSPROGRAMMES!$E$1:$F$44,2,FALSE)</f>
        <v xml:space="preserve">53- Systèmes d’information pour la gestion de l'éducation (collecte, analyse, diffusion, et utilisation des informations) </v>
      </c>
      <c r="AB1534" s="19" t="str">
        <f>C1534 &amp; "-" &amp; VLOOKUP(C1534,[4]RESULTATS!$E$1:$F$176,2,FALSE)</f>
        <v>531- La production des données permet d’offrir aux différents acteurs et utilisateurs à tous les niveaux l’information dont ils ont besoin</v>
      </c>
      <c r="AC1534" s="20" t="str">
        <f>D1534 &amp; "-" &amp; VLOOKUP(D1534,[4]STRATEGIES!$E$1:$F$504,2,FALSE)</f>
        <v>5312-Mise à l’échelle de la numérisation de la collecte de données</v>
      </c>
      <c r="AD1534" s="21" t="str">
        <f t="shared" si="221"/>
        <v>5312-Mise à l’échelle de la numérisation de la collecte de données</v>
      </c>
    </row>
    <row r="1535" spans="1:30" s="22" customFormat="1" ht="61" x14ac:dyDescent="0.8">
      <c r="A1535" s="14">
        <v>5</v>
      </c>
      <c r="B1535" s="15">
        <v>53</v>
      </c>
      <c r="C1535" s="15">
        <v>531</v>
      </c>
      <c r="D1535" s="15">
        <v>5312</v>
      </c>
      <c r="E1535" s="14">
        <v>53121</v>
      </c>
      <c r="F1535" s="16" t="s">
        <v>1988</v>
      </c>
      <c r="G1535" s="21" t="s">
        <v>167</v>
      </c>
      <c r="H1535" s="17" t="s">
        <v>101</v>
      </c>
      <c r="I1535" s="56">
        <v>0</v>
      </c>
      <c r="J1535" s="53">
        <f>(1*45)*79.62%</f>
        <v>35.829000000000001</v>
      </c>
      <c r="K1535" s="53">
        <f>0*79.62%</f>
        <v>0</v>
      </c>
      <c r="L1535" s="53">
        <f>0*79.62%</f>
        <v>0</v>
      </c>
      <c r="M1535" s="53">
        <f>SUM(I1535:L1535)</f>
        <v>35.829000000000001</v>
      </c>
      <c r="N1535" s="53">
        <f>IF(OR(H1535="",H1535="sif",H1535="PM"),0,VLOOKUP(H1535,[5]CU!$C$4:$H$255,6,FALSE))</f>
        <v>2.651545</v>
      </c>
      <c r="O1535" s="53">
        <f>IFERROR($N1535*I1535,0)</f>
        <v>0</v>
      </c>
      <c r="P1535" s="53">
        <f>IFERROR($N1535*J1535,0)</f>
        <v>95.002205805000003</v>
      </c>
      <c r="Q1535" s="53">
        <f>IFERROR($N1535*K1535,0)</f>
        <v>0</v>
      </c>
      <c r="R1535" s="53">
        <f>IFERROR($N1535*L1535,0)</f>
        <v>0</v>
      </c>
      <c r="S1535" s="53">
        <f>SUM(O1535:R1535)</f>
        <v>95.002205805000003</v>
      </c>
      <c r="T1535" s="35" t="s">
        <v>67</v>
      </c>
      <c r="U1535" s="18" t="s">
        <v>1873</v>
      </c>
      <c r="V1535" s="19" t="str">
        <f>IF(OR($H1535="",$H1535="sif",$H1535="PM"),"",VLOOKUP($H1535,[5]CU!$C$5:$J$255,8,FALSE))</f>
        <v>3. Dépenses de fonctionnement</v>
      </c>
      <c r="W1535" s="18" t="s">
        <v>96</v>
      </c>
      <c r="X1535" s="18" t="s">
        <v>96</v>
      </c>
      <c r="Y1535" s="19" t="s">
        <v>32</v>
      </c>
      <c r="Z1535" s="19" t="str">
        <f>A1535 &amp; "-" &amp; VLOOKUP(A1535,[4]PROGRAMMES!$E$1:$F$7,2,FALSE)</f>
        <v>5-Gouvernance et pilotage du secteur</v>
      </c>
      <c r="AA1535" s="19" t="str">
        <f>B1535 &amp; "-" &amp; VLOOKUP(B1535,[4]SOUSPROGRAMMES!$E$1:$F$44,2,FALSE)</f>
        <v xml:space="preserve">53- Systèmes d’information pour la gestion de l'éducation (collecte, analyse, diffusion, et utilisation des informations) </v>
      </c>
      <c r="AB1535" s="19" t="str">
        <f>C1535 &amp; "-" &amp; VLOOKUP(C1535,[4]RESULTATS!$E$1:$F$176,2,FALSE)</f>
        <v>531- La production des données permet d’offrir aux différents acteurs et utilisateurs à tous les niveaux l’information dont ils ont besoin</v>
      </c>
      <c r="AC1535" s="20" t="str">
        <f>D1535 &amp; "-" &amp; VLOOKUP(D1535,[4]STRATEGIES!$E$1:$F$504,2,FALSE)</f>
        <v>5312-Mise à l’échelle de la numérisation de la collecte de données</v>
      </c>
      <c r="AD1535" s="21" t="str">
        <f t="shared" si="221"/>
        <v>53121-Recrutement d'une expertise technique pour développer le logiciel de collecte numérique</v>
      </c>
    </row>
    <row r="1536" spans="1:30" s="22" customFormat="1" ht="61" x14ac:dyDescent="0.8">
      <c r="A1536" s="14">
        <v>5</v>
      </c>
      <c r="B1536" s="15">
        <v>53</v>
      </c>
      <c r="C1536" s="15">
        <v>531</v>
      </c>
      <c r="D1536" s="15">
        <v>5312</v>
      </c>
      <c r="E1536" s="14">
        <v>53121</v>
      </c>
      <c r="F1536" s="16" t="s">
        <v>1988</v>
      </c>
      <c r="G1536" s="21" t="s">
        <v>167</v>
      </c>
      <c r="H1536" s="17" t="s">
        <v>101</v>
      </c>
      <c r="I1536" s="56">
        <v>0</v>
      </c>
      <c r="J1536" s="56">
        <f>(1*45)*20.38%</f>
        <v>9.1709999999999994</v>
      </c>
      <c r="K1536" s="56">
        <f>0*20.38%</f>
        <v>0</v>
      </c>
      <c r="L1536" s="56">
        <f>0*20.38%</f>
        <v>0</v>
      </c>
      <c r="M1536" s="56">
        <f t="shared" ref="M1536:M1543" si="228">SUM(I1536:L1536)</f>
        <v>9.1709999999999994</v>
      </c>
      <c r="N1536" s="56">
        <f>IF(OR(H1536="",H1536="sif",H1536="PM"),0,VLOOKUP(H1536,[5]CU!$C$4:$H$255,6,FALSE))</f>
        <v>2.651545</v>
      </c>
      <c r="O1536" s="56">
        <f t="shared" ref="O1536:R1562" si="229">IFERROR($N1536*I1536,0)</f>
        <v>0</v>
      </c>
      <c r="P1536" s="56">
        <f t="shared" si="229"/>
        <v>24.317319195</v>
      </c>
      <c r="Q1536" s="56">
        <f t="shared" si="229"/>
        <v>0</v>
      </c>
      <c r="R1536" s="56">
        <f t="shared" si="229"/>
        <v>0</v>
      </c>
      <c r="S1536" s="53">
        <f t="shared" ref="S1536:S1562" si="230">SUM(O1536:R1536)</f>
        <v>24.317319195</v>
      </c>
      <c r="T1536" s="35" t="s">
        <v>118</v>
      </c>
      <c r="U1536" s="18" t="s">
        <v>1873</v>
      </c>
      <c r="V1536" s="19" t="str">
        <f>IF(OR($H1536="",$H1536="sif",$H1536="PM"),"",VLOOKUP($H1536,[5]CU!$C$5:$J$255,8,FALSE))</f>
        <v>3. Dépenses de fonctionnement</v>
      </c>
      <c r="W1536" s="18" t="s">
        <v>96</v>
      </c>
      <c r="X1536" s="18" t="s">
        <v>96</v>
      </c>
      <c r="Y1536" s="19" t="s">
        <v>32</v>
      </c>
      <c r="Z1536" s="19" t="str">
        <f>A1536 &amp; "-" &amp; VLOOKUP(A1536,[4]PROGRAMMES!$E$1:$F$7,2,FALSE)</f>
        <v>5-Gouvernance et pilotage du secteur</v>
      </c>
      <c r="AA1536" s="19" t="str">
        <f>B1536 &amp; "-" &amp; VLOOKUP(B1536,[4]SOUSPROGRAMMES!$E$1:$F$44,2,FALSE)</f>
        <v xml:space="preserve">53- Systèmes d’information pour la gestion de l'éducation (collecte, analyse, diffusion, et utilisation des informations) </v>
      </c>
      <c r="AB1536" s="19" t="str">
        <f>C1536 &amp; "-" &amp; VLOOKUP(C1536,[4]RESULTATS!$E$1:$F$176,2,FALSE)</f>
        <v>531- La production des données permet d’offrir aux différents acteurs et utilisateurs à tous les niveaux l’information dont ils ont besoin</v>
      </c>
      <c r="AC1536" s="20" t="str">
        <f>D1536 &amp; "-" &amp; VLOOKUP(D1536,[4]STRATEGIES!$E$1:$F$504,2,FALSE)</f>
        <v>5312-Mise à l’échelle de la numérisation de la collecte de données</v>
      </c>
      <c r="AD1536" s="21" t="str">
        <f t="shared" si="221"/>
        <v>53121-Recrutement d'une expertise technique pour développer le logiciel de collecte numérique</v>
      </c>
    </row>
    <row r="1537" spans="1:30" s="22" customFormat="1" ht="61" x14ac:dyDescent="0.8">
      <c r="A1537" s="14">
        <v>5</v>
      </c>
      <c r="B1537" s="15">
        <v>53</v>
      </c>
      <c r="C1537" s="15">
        <v>531</v>
      </c>
      <c r="D1537" s="15">
        <v>5312</v>
      </c>
      <c r="E1537" s="14">
        <v>53122</v>
      </c>
      <c r="F1537" s="16" t="s">
        <v>1989</v>
      </c>
      <c r="G1537" s="21" t="s">
        <v>1239</v>
      </c>
      <c r="H1537" s="17" t="s">
        <v>1636</v>
      </c>
      <c r="I1537" s="56">
        <v>0</v>
      </c>
      <c r="J1537" s="56">
        <f>1*8000+1*20+423*1.5</f>
        <v>8654.5</v>
      </c>
      <c r="K1537" s="56">
        <v>0</v>
      </c>
      <c r="L1537" s="56">
        <v>0</v>
      </c>
      <c r="M1537" s="56">
        <f t="shared" si="228"/>
        <v>8654.5</v>
      </c>
      <c r="N1537" s="56">
        <f>IF(OR(H1537="",H1537="sif",H1537="PM"),0,VLOOKUP(H1537,[5]CU!$C$4:$H$255,6,FALSE))</f>
        <v>3</v>
      </c>
      <c r="O1537" s="56">
        <f t="shared" si="229"/>
        <v>0</v>
      </c>
      <c r="P1537" s="56">
        <f t="shared" si="229"/>
        <v>25963.5</v>
      </c>
      <c r="Q1537" s="56">
        <f t="shared" si="229"/>
        <v>0</v>
      </c>
      <c r="R1537" s="56">
        <f t="shared" si="229"/>
        <v>0</v>
      </c>
      <c r="S1537" s="53">
        <f t="shared" si="230"/>
        <v>25963.5</v>
      </c>
      <c r="T1537" s="35" t="s">
        <v>39</v>
      </c>
      <c r="U1537" s="19" t="s">
        <v>1873</v>
      </c>
      <c r="V1537" s="19" t="str">
        <f>IF(OR($H1537="",$H1537="sif",$H1537="PM"),"",VLOOKUP($H1537,[5]CU!$C$5:$J$255,8,FALSE))</f>
        <v>5. Investissement</v>
      </c>
      <c r="W1537" s="19" t="s">
        <v>96</v>
      </c>
      <c r="X1537" s="19" t="s">
        <v>1976</v>
      </c>
      <c r="Y1537" s="19" t="s">
        <v>32</v>
      </c>
      <c r="Z1537" s="19" t="str">
        <f>A1537 &amp; "-" &amp; VLOOKUP(A1537,[4]PROGRAMMES!$E$1:$F$7,2,FALSE)</f>
        <v>5-Gouvernance et pilotage du secteur</v>
      </c>
      <c r="AA1537" s="19" t="str">
        <f>B1537 &amp; "-" &amp; VLOOKUP(B1537,[4]SOUSPROGRAMMES!$E$1:$F$44,2,FALSE)</f>
        <v xml:space="preserve">53- Systèmes d’information pour la gestion de l'éducation (collecte, analyse, diffusion, et utilisation des informations) </v>
      </c>
      <c r="AB1537" s="19" t="str">
        <f>C1537 &amp; "-" &amp; VLOOKUP(C1537,[4]RESULTATS!$E$1:$F$176,2,FALSE)</f>
        <v>531- La production des données permet d’offrir aux différents acteurs et utilisateurs à tous les niveaux l’information dont ils ont besoin</v>
      </c>
      <c r="AC1537" s="20" t="str">
        <f>D1537 &amp; "-" &amp; VLOOKUP(D1537,[4]STRATEGIES!$E$1:$F$504,2,FALSE)</f>
        <v>5312-Mise à l’échelle de la numérisation de la collecte de données</v>
      </c>
      <c r="AD1537" s="21" t="str">
        <f t="shared" si="221"/>
        <v>53122-Acquisition de tablettes pour la collecte</v>
      </c>
    </row>
    <row r="1538" spans="1:30" s="22" customFormat="1" ht="61" x14ac:dyDescent="0.8">
      <c r="A1538" s="14">
        <v>5</v>
      </c>
      <c r="B1538" s="15">
        <v>53</v>
      </c>
      <c r="C1538" s="15">
        <v>531</v>
      </c>
      <c r="D1538" s="15">
        <v>5312</v>
      </c>
      <c r="E1538" s="14">
        <v>53123</v>
      </c>
      <c r="F1538" s="16" t="s">
        <v>1990</v>
      </c>
      <c r="G1538" s="21" t="s">
        <v>1991</v>
      </c>
      <c r="H1538" s="17" t="s">
        <v>1992</v>
      </c>
      <c r="I1538" s="56">
        <v>0</v>
      </c>
      <c r="J1538" s="56">
        <f>J1537</f>
        <v>8654.5</v>
      </c>
      <c r="K1538" s="56">
        <f>K1537</f>
        <v>0</v>
      </c>
      <c r="L1538" s="56">
        <f>L1537</f>
        <v>0</v>
      </c>
      <c r="M1538" s="56">
        <f t="shared" si="228"/>
        <v>8654.5</v>
      </c>
      <c r="N1538" s="56">
        <f>IF(OR(H1538="",H1538="sif",H1538="PM"),0,VLOOKUP(H1538,[5]CU!$C$4:$H$255,6,FALSE))</f>
        <v>0.52500000000000002</v>
      </c>
      <c r="O1538" s="56">
        <f t="shared" si="229"/>
        <v>0</v>
      </c>
      <c r="P1538" s="56">
        <f t="shared" si="229"/>
        <v>4543.6125000000002</v>
      </c>
      <c r="Q1538" s="56">
        <f t="shared" si="229"/>
        <v>0</v>
      </c>
      <c r="R1538" s="56">
        <f t="shared" si="229"/>
        <v>0</v>
      </c>
      <c r="S1538" s="53">
        <f t="shared" si="230"/>
        <v>4543.6125000000002</v>
      </c>
      <c r="T1538" s="35" t="s">
        <v>39</v>
      </c>
      <c r="U1538" s="19" t="s">
        <v>1873</v>
      </c>
      <c r="V1538" s="19" t="str">
        <f>IF(OR($H1538="",$H1538="sif",$H1538="PM"),"",VLOOKUP($H1538,[5]CU!$C$5:$J$255,8,FALSE))</f>
        <v>3. Dépenses de fonctionnement</v>
      </c>
      <c r="W1538" s="19" t="s">
        <v>96</v>
      </c>
      <c r="X1538" s="19" t="s">
        <v>521</v>
      </c>
      <c r="Y1538" s="19" t="s">
        <v>32</v>
      </c>
      <c r="Z1538" s="19" t="str">
        <f>A1538 &amp; "-" &amp; VLOOKUP(A1538,[4]PROGRAMMES!$E$1:$F$7,2,FALSE)</f>
        <v>5-Gouvernance et pilotage du secteur</v>
      </c>
      <c r="AA1538" s="19" t="str">
        <f>B1538 &amp; "-" &amp; VLOOKUP(B1538,[4]SOUSPROGRAMMES!$E$1:$F$44,2,FALSE)</f>
        <v xml:space="preserve">53- Systèmes d’information pour la gestion de l'éducation (collecte, analyse, diffusion, et utilisation des informations) </v>
      </c>
      <c r="AB1538" s="19" t="str">
        <f>C1538 &amp; "-" &amp; VLOOKUP(C1538,[4]RESULTATS!$E$1:$F$176,2,FALSE)</f>
        <v>531- La production des données permet d’offrir aux différents acteurs et utilisateurs à tous les niveaux l’information dont ils ont besoin</v>
      </c>
      <c r="AC1538" s="20" t="str">
        <f>D1538 &amp; "-" &amp; VLOOKUP(D1538,[4]STRATEGIES!$E$1:$F$504,2,FALSE)</f>
        <v>5312-Mise à l’échelle de la numérisation de la collecte de données</v>
      </c>
      <c r="AD1538" s="21" t="str">
        <f t="shared" si="221"/>
        <v>53123-Acquisition de chargeurs solaires</v>
      </c>
    </row>
    <row r="1539" spans="1:30" s="22" customFormat="1" ht="61" hidden="1" x14ac:dyDescent="0.8">
      <c r="A1539" s="14">
        <v>5</v>
      </c>
      <c r="B1539" s="15">
        <v>53</v>
      </c>
      <c r="C1539" s="15">
        <v>531</v>
      </c>
      <c r="D1539" s="15">
        <v>5312</v>
      </c>
      <c r="E1539" s="14">
        <v>53124</v>
      </c>
      <c r="F1539" s="16" t="s">
        <v>1993</v>
      </c>
      <c r="G1539" s="21" t="s">
        <v>1239</v>
      </c>
      <c r="H1539" s="17" t="s">
        <v>1994</v>
      </c>
      <c r="I1539" s="56">
        <v>0</v>
      </c>
      <c r="J1539" s="56">
        <v>1</v>
      </c>
      <c r="K1539" s="56">
        <v>1</v>
      </c>
      <c r="L1539" s="56">
        <v>1</v>
      </c>
      <c r="M1539" s="56">
        <f t="shared" si="228"/>
        <v>3</v>
      </c>
      <c r="N1539" s="56">
        <f>IF(OR(H1539="",H1539="sif",H1539="PM"),0,VLOOKUP(H1539,[5]CU!$C$4:$H$255,6,FALSE))</f>
        <v>40</v>
      </c>
      <c r="O1539" s="56">
        <f t="shared" si="229"/>
        <v>0</v>
      </c>
      <c r="P1539" s="56">
        <f t="shared" si="229"/>
        <v>40</v>
      </c>
      <c r="Q1539" s="56">
        <f t="shared" si="229"/>
        <v>40</v>
      </c>
      <c r="R1539" s="56">
        <f t="shared" si="229"/>
        <v>40</v>
      </c>
      <c r="S1539" s="53">
        <f t="shared" si="230"/>
        <v>120</v>
      </c>
      <c r="T1539" s="35" t="s">
        <v>56</v>
      </c>
      <c r="U1539" s="18" t="s">
        <v>1873</v>
      </c>
      <c r="V1539" s="19" t="str">
        <f>IF(OR($H1539="",$H1539="sif",$H1539="PM"),"",VLOOKUP($H1539,[5]CU!$C$5:$J$255,8,FALSE))</f>
        <v>3. Dépenses de fonctionnement</v>
      </c>
      <c r="W1539" s="18" t="s">
        <v>96</v>
      </c>
      <c r="X1539" s="18" t="s">
        <v>521</v>
      </c>
      <c r="Y1539" s="19" t="s">
        <v>32</v>
      </c>
      <c r="Z1539" s="19" t="str">
        <f>A1539 &amp; "-" &amp; VLOOKUP(A1539,[4]PROGRAMMES!$E$1:$F$7,2,FALSE)</f>
        <v>5-Gouvernance et pilotage du secteur</v>
      </c>
      <c r="AA1539" s="19" t="str">
        <f>B1539 &amp; "-" &amp; VLOOKUP(B1539,[4]SOUSPROGRAMMES!$E$1:$F$44,2,FALSE)</f>
        <v xml:space="preserve">53- Systèmes d’information pour la gestion de l'éducation (collecte, analyse, diffusion, et utilisation des informations) </v>
      </c>
      <c r="AB1539" s="19" t="str">
        <f>C1539 &amp; "-" &amp; VLOOKUP(C1539,[4]RESULTATS!$E$1:$F$176,2,FALSE)</f>
        <v>531- La production des données permet d’offrir aux différents acteurs et utilisateurs à tous les niveaux l’information dont ils ont besoin</v>
      </c>
      <c r="AC1539" s="20" t="str">
        <f>D1539 &amp; "-" &amp; VLOOKUP(D1539,[4]STRATEGIES!$E$1:$F$504,2,FALSE)</f>
        <v>5312-Mise à l’échelle de la numérisation de la collecte de données</v>
      </c>
      <c r="AD1539" s="21" t="str">
        <f t="shared" si="221"/>
        <v>53124-Hébergement du site du BSD</v>
      </c>
    </row>
    <row r="1540" spans="1:30" s="22" customFormat="1" ht="61" hidden="1" x14ac:dyDescent="0.8">
      <c r="A1540" s="14">
        <v>5</v>
      </c>
      <c r="B1540" s="15">
        <v>53</v>
      </c>
      <c r="C1540" s="15">
        <v>531</v>
      </c>
      <c r="D1540" s="15">
        <v>5312</v>
      </c>
      <c r="E1540" s="14">
        <v>53125</v>
      </c>
      <c r="F1540" s="16" t="s">
        <v>1995</v>
      </c>
      <c r="G1540" s="21" t="s">
        <v>1996</v>
      </c>
      <c r="H1540" s="17" t="s">
        <v>1997</v>
      </c>
      <c r="I1540" s="56">
        <v>0</v>
      </c>
      <c r="J1540" s="56">
        <v>1</v>
      </c>
      <c r="K1540" s="56">
        <f>J1540</f>
        <v>1</v>
      </c>
      <c r="L1540" s="56">
        <f>K1540</f>
        <v>1</v>
      </c>
      <c r="M1540" s="56">
        <f t="shared" si="228"/>
        <v>3</v>
      </c>
      <c r="N1540" s="56">
        <f>IF(OR(H1540="",H1540="sif",H1540="PM"),0,VLOOKUP(H1540,[5]CU!$C$4:$H$255,6,FALSE))</f>
        <v>24</v>
      </c>
      <c r="O1540" s="56">
        <f t="shared" si="229"/>
        <v>0</v>
      </c>
      <c r="P1540" s="56">
        <f t="shared" si="229"/>
        <v>24</v>
      </c>
      <c r="Q1540" s="56">
        <f t="shared" si="229"/>
        <v>24</v>
      </c>
      <c r="R1540" s="56">
        <f t="shared" si="229"/>
        <v>24</v>
      </c>
      <c r="S1540" s="53">
        <f t="shared" si="230"/>
        <v>72</v>
      </c>
      <c r="T1540" s="35" t="s">
        <v>56</v>
      </c>
      <c r="U1540" s="18" t="s">
        <v>1873</v>
      </c>
      <c r="V1540" s="19" t="str">
        <f>IF(OR($H1540="",$H1540="sif",$H1540="PM"),"",VLOOKUP($H1540,[5]CU!$C$5:$J$255,8,FALSE))</f>
        <v>3. Dépenses de fonctionnement</v>
      </c>
      <c r="W1540" s="18" t="s">
        <v>96</v>
      </c>
      <c r="X1540" s="18" t="s">
        <v>521</v>
      </c>
      <c r="Y1540" s="19" t="s">
        <v>32</v>
      </c>
      <c r="Z1540" s="19" t="str">
        <f>A1540 &amp; "-" &amp; VLOOKUP(A1540,[4]PROGRAMMES!$E$1:$F$7,2,FALSE)</f>
        <v>5-Gouvernance et pilotage du secteur</v>
      </c>
      <c r="AA1540" s="19" t="str">
        <f>B1540 &amp; "-" &amp; VLOOKUP(B1540,[4]SOUSPROGRAMMES!$E$1:$F$44,2,FALSE)</f>
        <v xml:space="preserve">53- Systèmes d’information pour la gestion de l'éducation (collecte, analyse, diffusion, et utilisation des informations) </v>
      </c>
      <c r="AB1540" s="19" t="str">
        <f>C1540 &amp; "-" &amp; VLOOKUP(C1540,[4]RESULTATS!$E$1:$F$176,2,FALSE)</f>
        <v>531- La production des données permet d’offrir aux différents acteurs et utilisateurs à tous les niveaux l’information dont ils ont besoin</v>
      </c>
      <c r="AC1540" s="20" t="str">
        <f>D1540 &amp; "-" &amp; VLOOKUP(D1540,[4]STRATEGIES!$E$1:$F$504,2,FALSE)</f>
        <v>5312-Mise à l’échelle de la numérisation de la collecte de données</v>
      </c>
      <c r="AD1540" s="21" t="str">
        <f t="shared" ref="AD1540:AD1603" si="231">E1540 &amp; "-" &amp; F1540</f>
        <v>53125-Abonnement internet pour le BSD</v>
      </c>
    </row>
    <row r="1541" spans="1:30" s="22" customFormat="1" ht="61" x14ac:dyDescent="0.8">
      <c r="A1541" s="14">
        <v>5</v>
      </c>
      <c r="B1541" s="15">
        <v>53</v>
      </c>
      <c r="C1541" s="15">
        <v>531</v>
      </c>
      <c r="D1541" s="15">
        <v>5312</v>
      </c>
      <c r="E1541" s="14">
        <v>53126</v>
      </c>
      <c r="F1541" s="16" t="s">
        <v>1998</v>
      </c>
      <c r="G1541" s="21" t="s">
        <v>1239</v>
      </c>
      <c r="H1541" s="17" t="s">
        <v>1624</v>
      </c>
      <c r="I1541" s="56">
        <v>0</v>
      </c>
      <c r="J1541" s="56">
        <v>1</v>
      </c>
      <c r="K1541" s="56">
        <v>0</v>
      </c>
      <c r="L1541" s="56">
        <v>0</v>
      </c>
      <c r="M1541" s="56">
        <f t="shared" si="228"/>
        <v>1</v>
      </c>
      <c r="N1541" s="56">
        <f>IF(OR(H1541="",H1541="sif",H1541="PM"),0,VLOOKUP(H1541,[5]CU!$C$4:$H$255,6,FALSE))</f>
        <v>30</v>
      </c>
      <c r="O1541" s="56">
        <f t="shared" si="229"/>
        <v>0</v>
      </c>
      <c r="P1541" s="56">
        <f t="shared" si="229"/>
        <v>30</v>
      </c>
      <c r="Q1541" s="56">
        <f t="shared" si="229"/>
        <v>0</v>
      </c>
      <c r="R1541" s="56">
        <f t="shared" si="229"/>
        <v>0</v>
      </c>
      <c r="S1541" s="53">
        <f t="shared" si="230"/>
        <v>30</v>
      </c>
      <c r="T1541" s="35" t="s">
        <v>39</v>
      </c>
      <c r="U1541" s="19" t="s">
        <v>1873</v>
      </c>
      <c r="V1541" s="19" t="str">
        <f>IF(OR($H1541="",$H1541="sif",$H1541="PM"),"",VLOOKUP($H1541,[5]CU!$C$5:$J$255,8,FALSE))</f>
        <v>5. Investissement</v>
      </c>
      <c r="W1541" s="19" t="s">
        <v>96</v>
      </c>
      <c r="X1541" s="19" t="s">
        <v>521</v>
      </c>
      <c r="Y1541" s="19" t="s">
        <v>32</v>
      </c>
      <c r="Z1541" s="19" t="str">
        <f>A1541 &amp; "-" &amp; VLOOKUP(A1541,[4]PROGRAMMES!$E$1:$F$7,2,FALSE)</f>
        <v>5-Gouvernance et pilotage du secteur</v>
      </c>
      <c r="AA1541" s="19" t="str">
        <f>B1541 &amp; "-" &amp; VLOOKUP(B1541,[4]SOUSPROGRAMMES!$E$1:$F$44,2,FALSE)</f>
        <v xml:space="preserve">53- Systèmes d’information pour la gestion de l'éducation (collecte, analyse, diffusion, et utilisation des informations) </v>
      </c>
      <c r="AB1541" s="19" t="str">
        <f>C1541 &amp; "-" &amp; VLOOKUP(C1541,[4]RESULTATS!$E$1:$F$176,2,FALSE)</f>
        <v>531- La production des données permet d’offrir aux différents acteurs et utilisateurs à tous les niveaux l’information dont ils ont besoin</v>
      </c>
      <c r="AC1541" s="20" t="str">
        <f>D1541 &amp; "-" &amp; VLOOKUP(D1541,[4]STRATEGIES!$E$1:$F$504,2,FALSE)</f>
        <v>5312-Mise à l’échelle de la numérisation de la collecte de données</v>
      </c>
      <c r="AD1541" s="21" t="str">
        <f t="shared" si="231"/>
        <v>53126-Acquisition d'un serveur pour le stockage des données du BSD</v>
      </c>
    </row>
    <row r="1542" spans="1:30" s="22" customFormat="1" ht="61" hidden="1" x14ac:dyDescent="0.8">
      <c r="A1542" s="14">
        <v>5</v>
      </c>
      <c r="B1542" s="15">
        <v>53</v>
      </c>
      <c r="C1542" s="15">
        <v>531</v>
      </c>
      <c r="D1542" s="15">
        <v>5312</v>
      </c>
      <c r="E1542" s="14">
        <v>53127</v>
      </c>
      <c r="F1542" s="16" t="s">
        <v>1999</v>
      </c>
      <c r="G1542" s="21" t="s">
        <v>1239</v>
      </c>
      <c r="H1542" s="17" t="s">
        <v>1997</v>
      </c>
      <c r="I1542" s="56">
        <v>0</v>
      </c>
      <c r="J1542" s="56">
        <v>8</v>
      </c>
      <c r="K1542" s="56">
        <v>38</v>
      </c>
      <c r="L1542" s="56">
        <v>46</v>
      </c>
      <c r="M1542" s="56">
        <f t="shared" si="228"/>
        <v>92</v>
      </c>
      <c r="N1542" s="56">
        <f>IF(OR(H1542="",H1542="sif",H1542="PM"),0,VLOOKUP(H1542,[5]CU!$C$4:$H$255,6,FALSE))</f>
        <v>24</v>
      </c>
      <c r="O1542" s="56">
        <f t="shared" si="229"/>
        <v>0</v>
      </c>
      <c r="P1542" s="56">
        <f t="shared" si="229"/>
        <v>192</v>
      </c>
      <c r="Q1542" s="56">
        <f t="shared" si="229"/>
        <v>912</v>
      </c>
      <c r="R1542" s="56">
        <f t="shared" si="229"/>
        <v>1104</v>
      </c>
      <c r="S1542" s="53">
        <f t="shared" si="230"/>
        <v>2208</v>
      </c>
      <c r="T1542" s="35" t="s">
        <v>56</v>
      </c>
      <c r="U1542" s="18" t="s">
        <v>1873</v>
      </c>
      <c r="V1542" s="19" t="str">
        <f>IF(OR($H1542="",$H1542="sif",$H1542="PM"),"",VLOOKUP($H1542,[5]CU!$C$5:$J$255,8,FALSE))</f>
        <v>3. Dépenses de fonctionnement</v>
      </c>
      <c r="W1542" s="18" t="s">
        <v>96</v>
      </c>
      <c r="X1542" s="18" t="s">
        <v>521</v>
      </c>
      <c r="Y1542" s="19" t="s">
        <v>32</v>
      </c>
      <c r="Z1542" s="19" t="str">
        <f>A1542 &amp; "-" &amp; VLOOKUP(A1542,[4]PROGRAMMES!$E$1:$F$7,2,FALSE)</f>
        <v>5-Gouvernance et pilotage du secteur</v>
      </c>
      <c r="AA1542" s="19" t="str">
        <f>B1542 &amp; "-" &amp; VLOOKUP(B1542,[4]SOUSPROGRAMMES!$E$1:$F$44,2,FALSE)</f>
        <v xml:space="preserve">53- Systèmes d’information pour la gestion de l'éducation (collecte, analyse, diffusion, et utilisation des informations) </v>
      </c>
      <c r="AB1542" s="19" t="str">
        <f>C1542 &amp; "-" &amp; VLOOKUP(C1542,[4]RESULTATS!$E$1:$F$176,2,FALSE)</f>
        <v>531- La production des données permet d’offrir aux différents acteurs et utilisateurs à tous les niveaux l’information dont ils ont besoin</v>
      </c>
      <c r="AC1542" s="20" t="str">
        <f>D1542 &amp; "-" &amp; VLOOKUP(D1542,[4]STRATEGIES!$E$1:$F$504,2,FALSE)</f>
        <v>5312-Mise à l’échelle de la numérisation de la collecte de données</v>
      </c>
      <c r="AD1542" s="21" t="str">
        <f t="shared" si="231"/>
        <v xml:space="preserve">53127-Forfait internet pour le IRE, DPE/DCE et </v>
      </c>
    </row>
    <row r="1543" spans="1:30" s="22" customFormat="1" ht="61" x14ac:dyDescent="0.8">
      <c r="A1543" s="14">
        <v>5</v>
      </c>
      <c r="B1543" s="15">
        <v>53</v>
      </c>
      <c r="C1543" s="15">
        <v>531</v>
      </c>
      <c r="D1543" s="15">
        <v>5312</v>
      </c>
      <c r="E1543" s="14">
        <v>53128</v>
      </c>
      <c r="F1543" s="16" t="s">
        <v>2000</v>
      </c>
      <c r="G1543" s="21" t="s">
        <v>1017</v>
      </c>
      <c r="H1543" s="17" t="s">
        <v>59</v>
      </c>
      <c r="I1543" s="56">
        <v>0</v>
      </c>
      <c r="J1543" s="56">
        <f>1*10*10</f>
        <v>100</v>
      </c>
      <c r="K1543" s="56">
        <v>0</v>
      </c>
      <c r="L1543" s="56">
        <v>0</v>
      </c>
      <c r="M1543" s="56">
        <f t="shared" si="228"/>
        <v>100</v>
      </c>
      <c r="N1543" s="56">
        <f>IF(OR(H1543="",H1543="sif",H1543="PM"),0,VLOOKUP(H1543,[5]CU!$C$4:$H$255,6,FALSE))</f>
        <v>0.8177777777777776</v>
      </c>
      <c r="O1543" s="56">
        <f t="shared" si="229"/>
        <v>0</v>
      </c>
      <c r="P1543" s="56">
        <f t="shared" si="229"/>
        <v>81.777777777777757</v>
      </c>
      <c r="Q1543" s="56">
        <f t="shared" si="229"/>
        <v>0</v>
      </c>
      <c r="R1543" s="56">
        <f t="shared" si="229"/>
        <v>0</v>
      </c>
      <c r="S1543" s="53">
        <f t="shared" si="230"/>
        <v>81.777777777777757</v>
      </c>
      <c r="T1543" s="35" t="s">
        <v>39</v>
      </c>
      <c r="U1543" s="19" t="s">
        <v>1873</v>
      </c>
      <c r="V1543" s="19" t="str">
        <f>IF(OR($H1543="",$H1543="sif",$H1543="PM"),"",VLOOKUP($H1543,[5]CU!$C$5:$J$255,8,FALSE))</f>
        <v>3. Dépenses de fonctionnement</v>
      </c>
      <c r="W1543" s="19" t="s">
        <v>96</v>
      </c>
      <c r="X1543" s="19" t="s">
        <v>96</v>
      </c>
      <c r="Y1543" s="19" t="s">
        <v>32</v>
      </c>
      <c r="Z1543" s="19" t="str">
        <f>A1543 &amp; "-" &amp; VLOOKUP(A1543,[4]PROGRAMMES!$E$1:$F$7,2,FALSE)</f>
        <v>5-Gouvernance et pilotage du secteur</v>
      </c>
      <c r="AA1543" s="19" t="str">
        <f>B1543 &amp; "-" &amp; VLOOKUP(B1543,[4]SOUSPROGRAMMES!$E$1:$F$44,2,FALSE)</f>
        <v xml:space="preserve">53- Systèmes d’information pour la gestion de l'éducation (collecte, analyse, diffusion, et utilisation des informations) </v>
      </c>
      <c r="AB1543" s="19" t="str">
        <f>C1543 &amp; "-" &amp; VLOOKUP(C1543,[4]RESULTATS!$E$1:$F$176,2,FALSE)</f>
        <v>531- La production des données permet d’offrir aux différents acteurs et utilisateurs à tous les niveaux l’information dont ils ont besoin</v>
      </c>
      <c r="AC1543" s="20" t="str">
        <f>D1543 &amp; "-" &amp; VLOOKUP(D1543,[4]STRATEGIES!$E$1:$F$504,2,FALSE)</f>
        <v>5312-Mise à l’échelle de la numérisation de la collecte de données</v>
      </c>
      <c r="AD1543" s="21" t="str">
        <f t="shared" si="231"/>
        <v>53128-Test des outils de collecte</v>
      </c>
    </row>
    <row r="1544" spans="1:30" s="22" customFormat="1" ht="61" x14ac:dyDescent="0.8">
      <c r="A1544" s="14">
        <v>5</v>
      </c>
      <c r="B1544" s="15">
        <v>53</v>
      </c>
      <c r="C1544" s="15">
        <v>531</v>
      </c>
      <c r="D1544" s="15">
        <v>5312</v>
      </c>
      <c r="E1544" s="14">
        <v>53129</v>
      </c>
      <c r="F1544" s="16" t="s">
        <v>2001</v>
      </c>
      <c r="G1544" s="21" t="s">
        <v>37</v>
      </c>
      <c r="H1544" s="17" t="s">
        <v>38</v>
      </c>
      <c r="I1544" s="56">
        <v>0</v>
      </c>
      <c r="J1544" s="56"/>
      <c r="K1544" s="56"/>
      <c r="L1544" s="56"/>
      <c r="M1544" s="56">
        <f>SUM(I1544:L1544)</f>
        <v>0</v>
      </c>
      <c r="N1544" s="56">
        <f>IF(OR(H1544="",H1544="sif",H1544="PM"),0,VLOOKUP(H1544,[5]CU!$C$4:$H$255,6,FALSE))</f>
        <v>0.3133333333333333</v>
      </c>
      <c r="O1544" s="56">
        <f>IFERROR($N1544*I1544,0)</f>
        <v>0</v>
      </c>
      <c r="P1544" s="56">
        <f>IFERROR($N1544*J1544,0)</f>
        <v>0</v>
      </c>
      <c r="Q1544" s="56">
        <f>IFERROR($N1544*K1544,0)</f>
        <v>0</v>
      </c>
      <c r="R1544" s="56">
        <f>IFERROR($N1544*L1544,0)</f>
        <v>0</v>
      </c>
      <c r="S1544" s="53">
        <f>SUM(O1544:R1544)</f>
        <v>0</v>
      </c>
      <c r="T1544" s="35" t="s">
        <v>118</v>
      </c>
      <c r="U1544" s="19" t="s">
        <v>1873</v>
      </c>
      <c r="V1544" s="19" t="str">
        <f>IF(OR($H1544="",$H1544="sif",$H1544="PM"),"",VLOOKUP($H1544,[5]CU!$C$5:$J$255,8,FALSE))</f>
        <v>3. Formation</v>
      </c>
      <c r="W1544" s="19" t="s">
        <v>96</v>
      </c>
      <c r="X1544" s="19" t="s">
        <v>96</v>
      </c>
      <c r="Y1544" s="19" t="s">
        <v>32</v>
      </c>
      <c r="Z1544" s="19" t="str">
        <f>A1544 &amp; "-" &amp; VLOOKUP(A1544,[4]PROGRAMMES!$E$1:$F$7,2,FALSE)</f>
        <v>5-Gouvernance et pilotage du secteur</v>
      </c>
      <c r="AA1544" s="19" t="str">
        <f>B1544 &amp; "-" &amp; VLOOKUP(B1544,[4]SOUSPROGRAMMES!$E$1:$F$44,2,FALSE)</f>
        <v xml:space="preserve">53- Systèmes d’information pour la gestion de l'éducation (collecte, analyse, diffusion, et utilisation des informations) </v>
      </c>
      <c r="AB1544" s="19" t="str">
        <f>C1544 &amp; "-" &amp; VLOOKUP(C1544,[4]RESULTATS!$E$1:$F$176,2,FALSE)</f>
        <v>531- La production des données permet d’offrir aux différents acteurs et utilisateurs à tous les niveaux l’information dont ils ont besoin</v>
      </c>
      <c r="AC1544" s="20" t="str">
        <f>D1544 &amp; "-" &amp; VLOOKUP(D1544,[4]STRATEGIES!$E$1:$F$504,2,FALSE)</f>
        <v>5312-Mise à l’échelle de la numérisation de la collecte de données</v>
      </c>
      <c r="AD1544" s="21" t="str">
        <f t="shared" si="231"/>
        <v>53129-Initiation des cadres du BSD au niveau déconcentré à l'utilisation de l'application de collecte numérique</v>
      </c>
    </row>
    <row r="1545" spans="1:30" ht="61" hidden="1" x14ac:dyDescent="0.8">
      <c r="A1545" s="25">
        <v>5</v>
      </c>
      <c r="B1545" s="16">
        <v>53</v>
      </c>
      <c r="C1545" s="16">
        <v>531</v>
      </c>
      <c r="D1545" s="16">
        <v>5312</v>
      </c>
      <c r="E1545" s="25">
        <v>53129</v>
      </c>
      <c r="F1545" s="16" t="s">
        <v>2001</v>
      </c>
      <c r="G1545" s="21" t="s">
        <v>37</v>
      </c>
      <c r="H1545" s="21" t="s">
        <v>38</v>
      </c>
      <c r="I1545" s="56">
        <v>0</v>
      </c>
      <c r="J1545" s="57">
        <f>(46+8)*3*1</f>
        <v>162</v>
      </c>
      <c r="K1545" s="57">
        <f>(46+8)*3*1</f>
        <v>162</v>
      </c>
      <c r="L1545" s="57">
        <f>(46+8)*3*1</f>
        <v>162</v>
      </c>
      <c r="M1545" s="57">
        <f>SUM(I1545:L1545)</f>
        <v>486</v>
      </c>
      <c r="N1545" s="57">
        <f>IF(OR(H1545="",H1545="sif",H1545="PM"),0,VLOOKUP(H1545,[5]CU!$C$4:$H$255,6,FALSE))</f>
        <v>0.3133333333333333</v>
      </c>
      <c r="O1545" s="57">
        <f t="shared" si="229"/>
        <v>0</v>
      </c>
      <c r="P1545" s="57">
        <f t="shared" si="229"/>
        <v>50.759999999999991</v>
      </c>
      <c r="Q1545" s="57">
        <f t="shared" si="229"/>
        <v>50.759999999999991</v>
      </c>
      <c r="R1545" s="57">
        <f t="shared" si="229"/>
        <v>50.759999999999991</v>
      </c>
      <c r="S1545" s="60">
        <f t="shared" si="230"/>
        <v>152.27999999999997</v>
      </c>
      <c r="T1545" s="38" t="s">
        <v>56</v>
      </c>
      <c r="U1545" s="19" t="s">
        <v>1873</v>
      </c>
      <c r="V1545" s="19" t="str">
        <f>IF(OR($H1545="",$H1545="sif",$H1545="PM"),"",VLOOKUP($H1545,[5]CU!$C$5:$J$255,8,FALSE))</f>
        <v>3. Formation</v>
      </c>
      <c r="W1545" s="19" t="s">
        <v>96</v>
      </c>
      <c r="X1545" s="19" t="s">
        <v>96</v>
      </c>
      <c r="Y1545" s="19" t="s">
        <v>32</v>
      </c>
      <c r="Z1545" s="19" t="str">
        <f>A1545 &amp; "-" &amp; VLOOKUP(A1545,[4]PROGRAMMES!$E$1:$F$7,2,FALSE)</f>
        <v>5-Gouvernance et pilotage du secteur</v>
      </c>
      <c r="AA1545" s="19" t="str">
        <f>B1545 &amp; "-" &amp; VLOOKUP(B1545,[4]SOUSPROGRAMMES!$E$1:$F$44,2,FALSE)</f>
        <v xml:space="preserve">53- Systèmes d’information pour la gestion de l'éducation (collecte, analyse, diffusion, et utilisation des informations) </v>
      </c>
      <c r="AB1545" s="19" t="str">
        <f>C1545 &amp; "-" &amp; VLOOKUP(C1545,[4]RESULTATS!$E$1:$F$176,2,FALSE)</f>
        <v>531- La production des données permet d’offrir aux différents acteurs et utilisateurs à tous les niveaux l’information dont ils ont besoin</v>
      </c>
      <c r="AC1545" s="20" t="str">
        <f>D1545 &amp; "-" &amp; VLOOKUP(D1545,[4]STRATEGIES!$E$1:$F$504,2,FALSE)</f>
        <v>5312-Mise à l’échelle de la numérisation de la collecte de données</v>
      </c>
      <c r="AD1545" s="21" t="str">
        <f t="shared" si="231"/>
        <v>53129-Initiation des cadres du BSD au niveau déconcentré à l'utilisation de l'application de collecte numérique</v>
      </c>
    </row>
    <row r="1546" spans="1:30" s="22" customFormat="1" ht="61" x14ac:dyDescent="0.8">
      <c r="A1546" s="14">
        <v>5</v>
      </c>
      <c r="B1546" s="15">
        <v>53</v>
      </c>
      <c r="C1546" s="15">
        <v>531</v>
      </c>
      <c r="D1546" s="15">
        <v>5312</v>
      </c>
      <c r="E1546" s="14">
        <v>531210</v>
      </c>
      <c r="F1546" s="16" t="s">
        <v>2002</v>
      </c>
      <c r="G1546" s="21" t="s">
        <v>436</v>
      </c>
      <c r="H1546" s="17" t="s">
        <v>52</v>
      </c>
      <c r="I1546" s="56">
        <v>0</v>
      </c>
      <c r="J1546" s="56">
        <f>((427+8655)*1)*50%</f>
        <v>4541</v>
      </c>
      <c r="K1546" s="56">
        <f>((427+8655)*10%)*50%</f>
        <v>454.1</v>
      </c>
      <c r="L1546" s="56">
        <f>((427+8655)*10%)*50%</f>
        <v>454.1</v>
      </c>
      <c r="M1546" s="56">
        <f>SUM(I1546:L1546)</f>
        <v>5449.2000000000007</v>
      </c>
      <c r="N1546" s="56">
        <f>IF(OR(H1546="",H1546="sif",H1546="PM"),0,VLOOKUP(H1546,[5]CU!$C$4:$H$255,6,FALSE))</f>
        <v>1.5</v>
      </c>
      <c r="O1546" s="56">
        <f>IFERROR($N1546*I1546,0)</f>
        <v>0</v>
      </c>
      <c r="P1546" s="56">
        <f>IFERROR($N1546*J1546,0)</f>
        <v>6811.5</v>
      </c>
      <c r="Q1546" s="56">
        <f>IFERROR($N1546*K1546,0)</f>
        <v>681.15000000000009</v>
      </c>
      <c r="R1546" s="56">
        <f>IFERROR($N1546*L1546,0)</f>
        <v>681.15000000000009</v>
      </c>
      <c r="S1546" s="53">
        <f>SUM(O1546:R1546)</f>
        <v>8173.7999999999993</v>
      </c>
      <c r="T1546" s="35" t="s">
        <v>39</v>
      </c>
      <c r="U1546" s="19" t="s">
        <v>1873</v>
      </c>
      <c r="V1546" s="19" t="str">
        <f>IF(OR($H1546="",$H1546="sif",$H1546="PM"),"",VLOOKUP($H1546,[5]CU!$C$5:$J$255,8,FALSE))</f>
        <v>3. Formation</v>
      </c>
      <c r="W1546" s="19" t="s">
        <v>96</v>
      </c>
      <c r="X1546" s="19" t="s">
        <v>96</v>
      </c>
      <c r="Y1546" s="19" t="s">
        <v>32</v>
      </c>
      <c r="Z1546" s="19" t="str">
        <f>A1546 &amp; "-" &amp; VLOOKUP(A1546,[4]PROGRAMMES!$E$1:$F$7,2,FALSE)</f>
        <v>5-Gouvernance et pilotage du secteur</v>
      </c>
      <c r="AA1546" s="19" t="str">
        <f>B1546 &amp; "-" &amp; VLOOKUP(B1546,[4]SOUSPROGRAMMES!$E$1:$F$44,2,FALSE)</f>
        <v xml:space="preserve">53- Systèmes d’information pour la gestion de l'éducation (collecte, analyse, diffusion, et utilisation des informations) </v>
      </c>
      <c r="AB1546" s="19" t="str">
        <f>C1546 &amp; "-" &amp; VLOOKUP(C1546,[4]RESULTATS!$E$1:$F$176,2,FALSE)</f>
        <v>531- La production des données permet d’offrir aux différents acteurs et utilisateurs à tous les niveaux l’information dont ils ont besoin</v>
      </c>
      <c r="AC1546" s="20" t="str">
        <f>D1546 &amp; "-" &amp; VLOOKUP(D1546,[4]STRATEGIES!$E$1:$F$504,2,FALSE)</f>
        <v>5312-Mise à l’échelle de la numérisation de la collecte de données</v>
      </c>
      <c r="AD1546" s="21" t="str">
        <f t="shared" si="231"/>
        <v>531210-Initiation des DSEE et DE à l'utilisation de l'application de collecte numérique</v>
      </c>
    </row>
    <row r="1547" spans="1:30" s="22" customFormat="1" ht="61" x14ac:dyDescent="0.8">
      <c r="A1547" s="14">
        <v>5</v>
      </c>
      <c r="B1547" s="15">
        <v>53</v>
      </c>
      <c r="C1547" s="15">
        <v>531</v>
      </c>
      <c r="D1547" s="15">
        <v>5312</v>
      </c>
      <c r="E1547" s="14">
        <v>531210</v>
      </c>
      <c r="F1547" s="16" t="s">
        <v>2002</v>
      </c>
      <c r="G1547" s="21" t="s">
        <v>436</v>
      </c>
      <c r="H1547" s="17" t="s">
        <v>52</v>
      </c>
      <c r="I1547" s="56">
        <v>0</v>
      </c>
      <c r="J1547" s="56">
        <f>((427+8655)*1)*50%</f>
        <v>4541</v>
      </c>
      <c r="K1547" s="56">
        <f>((427+8655)*10%)*50%</f>
        <v>454.1</v>
      </c>
      <c r="L1547" s="56">
        <f>((427+8655)*10%)*50%</f>
        <v>454.1</v>
      </c>
      <c r="M1547" s="56">
        <f t="shared" ref="M1547:M1562" si="232">SUM(I1547:L1547)</f>
        <v>5449.2000000000007</v>
      </c>
      <c r="N1547" s="56">
        <f>IF(OR(H1547="",H1547="sif",H1547="PM"),0,VLOOKUP(H1547,[5]CU!$C$4:$H$255,6,FALSE))</f>
        <v>1.5</v>
      </c>
      <c r="O1547" s="56">
        <f t="shared" si="229"/>
        <v>0</v>
      </c>
      <c r="P1547" s="56">
        <f t="shared" si="229"/>
        <v>6811.5</v>
      </c>
      <c r="Q1547" s="56">
        <f t="shared" si="229"/>
        <v>681.15000000000009</v>
      </c>
      <c r="R1547" s="56">
        <f t="shared" si="229"/>
        <v>681.15000000000009</v>
      </c>
      <c r="S1547" s="53">
        <f t="shared" si="230"/>
        <v>8173.7999999999993</v>
      </c>
      <c r="T1547" s="35" t="s">
        <v>118</v>
      </c>
      <c r="U1547" s="19" t="s">
        <v>1873</v>
      </c>
      <c r="V1547" s="19" t="str">
        <f>IF(OR($H1547="",$H1547="sif",$H1547="PM"),"",VLOOKUP($H1547,[5]CU!$C$5:$J$255,8,FALSE))</f>
        <v>3. Formation</v>
      </c>
      <c r="W1547" s="19" t="s">
        <v>96</v>
      </c>
      <c r="X1547" s="19" t="s">
        <v>96</v>
      </c>
      <c r="Y1547" s="19" t="s">
        <v>32</v>
      </c>
      <c r="Z1547" s="19" t="str">
        <f>A1547 &amp; "-" &amp; VLOOKUP(A1547,[4]PROGRAMMES!$E$1:$F$7,2,FALSE)</f>
        <v>5-Gouvernance et pilotage du secteur</v>
      </c>
      <c r="AA1547" s="19" t="str">
        <f>B1547 &amp; "-" &amp; VLOOKUP(B1547,[4]SOUSPROGRAMMES!$E$1:$F$44,2,FALSE)</f>
        <v xml:space="preserve">53- Systèmes d’information pour la gestion de l'éducation (collecte, analyse, diffusion, et utilisation des informations) </v>
      </c>
      <c r="AB1547" s="19" t="str">
        <f>C1547 &amp; "-" &amp; VLOOKUP(C1547,[4]RESULTATS!$E$1:$F$176,2,FALSE)</f>
        <v>531- La production des données permet d’offrir aux différents acteurs et utilisateurs à tous les niveaux l’information dont ils ont besoin</v>
      </c>
      <c r="AC1547" s="20" t="str">
        <f>D1547 &amp; "-" &amp; VLOOKUP(D1547,[4]STRATEGIES!$E$1:$F$504,2,FALSE)</f>
        <v>5312-Mise à l’échelle de la numérisation de la collecte de données</v>
      </c>
      <c r="AD1547" s="21" t="str">
        <f t="shared" si="231"/>
        <v>531210-Initiation des DSEE et DE à l'utilisation de l'application de collecte numérique</v>
      </c>
    </row>
    <row r="1548" spans="1:30" s="22" customFormat="1" ht="61" x14ac:dyDescent="0.8">
      <c r="A1548" s="14">
        <v>5</v>
      </c>
      <c r="B1548" s="15">
        <v>53</v>
      </c>
      <c r="C1548" s="15">
        <v>531</v>
      </c>
      <c r="D1548" s="15">
        <v>5312</v>
      </c>
      <c r="E1548" s="14">
        <v>531211</v>
      </c>
      <c r="F1548" s="16" t="s">
        <v>2003</v>
      </c>
      <c r="G1548" s="21" t="s">
        <v>1017</v>
      </c>
      <c r="H1548" s="17" t="s">
        <v>59</v>
      </c>
      <c r="I1548" s="56">
        <v>0</v>
      </c>
      <c r="J1548" s="56">
        <f>1*20*10</f>
        <v>200</v>
      </c>
      <c r="K1548" s="56">
        <f>1*20*10</f>
        <v>200</v>
      </c>
      <c r="L1548" s="56">
        <f>1*20*10</f>
        <v>200</v>
      </c>
      <c r="M1548" s="56">
        <f t="shared" si="232"/>
        <v>600</v>
      </c>
      <c r="N1548" s="56">
        <f>IF(OR(H1548="",H1548="sif",H1548="PM"),0,VLOOKUP(H1548,[5]CU!$C$4:$H$255,6,FALSE))</f>
        <v>0.8177777777777776</v>
      </c>
      <c r="O1548" s="56">
        <f t="shared" si="229"/>
        <v>0</v>
      </c>
      <c r="P1548" s="56">
        <f t="shared" si="229"/>
        <v>163.55555555555551</v>
      </c>
      <c r="Q1548" s="56">
        <f t="shared" si="229"/>
        <v>163.55555555555551</v>
      </c>
      <c r="R1548" s="56">
        <f t="shared" si="229"/>
        <v>163.55555555555551</v>
      </c>
      <c r="S1548" s="53">
        <f t="shared" si="230"/>
        <v>490.66666666666652</v>
      </c>
      <c r="T1548" s="35" t="s">
        <v>39</v>
      </c>
      <c r="U1548" s="19" t="s">
        <v>1873</v>
      </c>
      <c r="V1548" s="19" t="str">
        <f>IF(OR($H1548="",$H1548="sif",$H1548="PM"),"",VLOOKUP($H1548,[5]CU!$C$5:$J$255,8,FALSE))</f>
        <v>3. Dépenses de fonctionnement</v>
      </c>
      <c r="W1548" s="19" t="s">
        <v>96</v>
      </c>
      <c r="X1548" s="19" t="s">
        <v>96</v>
      </c>
      <c r="Y1548" s="19" t="s">
        <v>32</v>
      </c>
      <c r="Z1548" s="19" t="str">
        <f>A1548 &amp; "-" &amp; VLOOKUP(A1548,[4]PROGRAMMES!$E$1:$F$7,2,FALSE)</f>
        <v>5-Gouvernance et pilotage du secteur</v>
      </c>
      <c r="AA1548" s="19" t="str">
        <f>B1548 &amp; "-" &amp; VLOOKUP(B1548,[4]SOUSPROGRAMMES!$E$1:$F$44,2,FALSE)</f>
        <v xml:space="preserve">53- Systèmes d’information pour la gestion de l'éducation (collecte, analyse, diffusion, et utilisation des informations) </v>
      </c>
      <c r="AB1548" s="19" t="str">
        <f>C1548 &amp; "-" &amp; VLOOKUP(C1548,[4]RESULTATS!$E$1:$F$176,2,FALSE)</f>
        <v>531- La production des données permet d’offrir aux différents acteurs et utilisateurs à tous les niveaux l’information dont ils ont besoin</v>
      </c>
      <c r="AC1548" s="20" t="str">
        <f>D1548 &amp; "-" &amp; VLOOKUP(D1548,[4]STRATEGIES!$E$1:$F$504,2,FALSE)</f>
        <v>5312-Mise à l’échelle de la numérisation de la collecte de données</v>
      </c>
      <c r="AD1548" s="21" t="str">
        <f t="shared" si="231"/>
        <v xml:space="preserve">531211-Organisation de la supervision de la collecte des données </v>
      </c>
    </row>
    <row r="1549" spans="1:30" s="22" customFormat="1" ht="61" x14ac:dyDescent="0.8">
      <c r="A1549" s="14">
        <v>5</v>
      </c>
      <c r="B1549" s="15">
        <v>53</v>
      </c>
      <c r="C1549" s="15">
        <v>531</v>
      </c>
      <c r="D1549" s="15">
        <v>5312</v>
      </c>
      <c r="E1549" s="14">
        <v>531212</v>
      </c>
      <c r="F1549" s="16" t="s">
        <v>2004</v>
      </c>
      <c r="G1549" s="21" t="s">
        <v>315</v>
      </c>
      <c r="H1549" s="17" t="s">
        <v>66</v>
      </c>
      <c r="I1549" s="56">
        <v>0</v>
      </c>
      <c r="J1549" s="56">
        <f>1*J1545*5</f>
        <v>810</v>
      </c>
      <c r="K1549" s="56">
        <f>1*K1545*5</f>
        <v>810</v>
      </c>
      <c r="L1549" s="56">
        <f>1*L1545*5</f>
        <v>810</v>
      </c>
      <c r="M1549" s="56">
        <f t="shared" si="232"/>
        <v>2430</v>
      </c>
      <c r="N1549" s="56">
        <f>IF(OR(H1549="",H1549="sif",H1549="PM"),0,VLOOKUP(H1549,[5]CU!$C$4:$H$255,6,FALSE))</f>
        <v>0.255</v>
      </c>
      <c r="O1549" s="56">
        <f t="shared" si="229"/>
        <v>0</v>
      </c>
      <c r="P1549" s="56">
        <f t="shared" si="229"/>
        <v>206.55</v>
      </c>
      <c r="Q1549" s="56">
        <f t="shared" si="229"/>
        <v>206.55</v>
      </c>
      <c r="R1549" s="56">
        <f t="shared" si="229"/>
        <v>206.55</v>
      </c>
      <c r="S1549" s="53">
        <f t="shared" si="230"/>
        <v>619.65000000000009</v>
      </c>
      <c r="T1549" s="35" t="s">
        <v>39</v>
      </c>
      <c r="U1549" s="19" t="s">
        <v>1873</v>
      </c>
      <c r="V1549" s="19" t="str">
        <f>IF(OR($H1549="",$H1549="sif",$H1549="PM"),"",VLOOKUP($H1549,[5]CU!$C$5:$J$255,8,FALSE))</f>
        <v>3. Dépenses de fonctionnement</v>
      </c>
      <c r="W1549" s="19" t="s">
        <v>96</v>
      </c>
      <c r="X1549" s="19" t="s">
        <v>96</v>
      </c>
      <c r="Y1549" s="19" t="s">
        <v>32</v>
      </c>
      <c r="Z1549" s="19" t="str">
        <f>A1549 &amp; "-" &amp; VLOOKUP(A1549,[4]PROGRAMMES!$E$1:$F$7,2,FALSE)</f>
        <v>5-Gouvernance et pilotage du secteur</v>
      </c>
      <c r="AA1549" s="19" t="str">
        <f>B1549 &amp; "-" &amp; VLOOKUP(B1549,[4]SOUSPROGRAMMES!$E$1:$F$44,2,FALSE)</f>
        <v xml:space="preserve">53- Systèmes d’information pour la gestion de l'éducation (collecte, analyse, diffusion, et utilisation des informations) </v>
      </c>
      <c r="AB1549" s="19" t="str">
        <f>C1549 &amp; "-" &amp; VLOOKUP(C1549,[4]RESULTATS!$E$1:$F$176,2,FALSE)</f>
        <v>531- La production des données permet d’offrir aux différents acteurs et utilisateurs à tous les niveaux l’information dont ils ont besoin</v>
      </c>
      <c r="AC1549" s="20" t="str">
        <f>D1549 &amp; "-" &amp; VLOOKUP(D1549,[4]STRATEGIES!$E$1:$F$504,2,FALSE)</f>
        <v>5312-Mise à l’échelle de la numérisation de la collecte de données</v>
      </c>
      <c r="AD1549" s="21" t="str">
        <f t="shared" si="231"/>
        <v xml:space="preserve">531212-Apurement et migration des données collectées et saisies dans accès </v>
      </c>
    </row>
    <row r="1550" spans="1:30" s="22" customFormat="1" ht="61" x14ac:dyDescent="0.8">
      <c r="A1550" s="14">
        <v>5</v>
      </c>
      <c r="B1550" s="15">
        <v>53</v>
      </c>
      <c r="C1550" s="15">
        <v>531</v>
      </c>
      <c r="D1550" s="15">
        <v>5313</v>
      </c>
      <c r="E1550" s="14">
        <v>5313</v>
      </c>
      <c r="F1550" s="16" t="s">
        <v>2005</v>
      </c>
      <c r="G1550" s="17"/>
      <c r="H1550" s="17"/>
      <c r="I1550" s="56">
        <v>0</v>
      </c>
      <c r="J1550" s="56"/>
      <c r="K1550" s="56"/>
      <c r="L1550" s="56"/>
      <c r="M1550" s="56"/>
      <c r="N1550" s="56"/>
      <c r="O1550" s="56"/>
      <c r="P1550" s="56"/>
      <c r="Q1550" s="56"/>
      <c r="R1550" s="56"/>
      <c r="S1550" s="53"/>
      <c r="T1550" s="33"/>
      <c r="U1550" s="18"/>
      <c r="V1550" s="19"/>
      <c r="W1550" s="18"/>
      <c r="X1550" s="18"/>
      <c r="Y1550" s="18"/>
      <c r="Z1550" s="19" t="str">
        <f>A1550 &amp; "-" &amp; VLOOKUP(A1550,[4]PROGRAMMES!$E$1:$F$7,2,FALSE)</f>
        <v>5-Gouvernance et pilotage du secteur</v>
      </c>
      <c r="AA1550" s="19" t="str">
        <f>B1550 &amp; "-" &amp; VLOOKUP(B1550,[4]SOUSPROGRAMMES!$E$1:$F$44,2,FALSE)</f>
        <v xml:space="preserve">53- Systèmes d’information pour la gestion de l'éducation (collecte, analyse, diffusion, et utilisation des informations) </v>
      </c>
      <c r="AB1550" s="19" t="str">
        <f>C1550 &amp; "-" &amp; VLOOKUP(C1550,[4]RESULTATS!$E$1:$F$176,2,FALSE)</f>
        <v>531- La production des données permet d’offrir aux différents acteurs et utilisateurs à tous les niveaux l’information dont ils ont besoin</v>
      </c>
      <c r="AC1550" s="20" t="str">
        <f>D1550 &amp; "-" &amp; VLOOKUP(D1550,[4]STRATEGIES!$E$1:$F$504,2,FALSE)</f>
        <v>5313-Promotion de l’utilisation des données par les acteurs y compris les bénéficiaires concernés (dépliants, réunions d’échange, …)</v>
      </c>
      <c r="AD1550" s="21" t="str">
        <f t="shared" si="231"/>
        <v>5313-Promotion de l’utilisation des données par les acteurs y compris les bénéficiaires concernés (dépliants, réunions d’échange, …)</v>
      </c>
    </row>
    <row r="1551" spans="1:30" s="22" customFormat="1" ht="61" hidden="1" x14ac:dyDescent="0.8">
      <c r="A1551" s="14">
        <v>5</v>
      </c>
      <c r="B1551" s="15">
        <v>53</v>
      </c>
      <c r="C1551" s="15">
        <v>531</v>
      </c>
      <c r="D1551" s="15">
        <v>5313</v>
      </c>
      <c r="E1551" s="14">
        <v>53131</v>
      </c>
      <c r="F1551" s="16" t="s">
        <v>2006</v>
      </c>
      <c r="G1551" s="21" t="s">
        <v>44</v>
      </c>
      <c r="H1551" s="17" t="s">
        <v>2007</v>
      </c>
      <c r="I1551" s="56">
        <v>0</v>
      </c>
      <c r="J1551" s="56"/>
      <c r="K1551" s="56"/>
      <c r="L1551" s="56"/>
      <c r="M1551" s="56">
        <f>SUM(I1551:L1551)</f>
        <v>0</v>
      </c>
      <c r="N1551" s="56">
        <f>IF(OR(H1551="",H1551="sif",H1551="PM"),0,VLOOKUP(H1551,[5]CU!$C$4:$H$255,6,FALSE))</f>
        <v>0.38500000000000001</v>
      </c>
      <c r="O1551" s="56">
        <f>IFERROR($N1551*I1551,0)</f>
        <v>0</v>
      </c>
      <c r="P1551" s="56">
        <f>IFERROR($N1551*J1551,0)</f>
        <v>0</v>
      </c>
      <c r="Q1551" s="56">
        <f>IFERROR($N1551*K1551,0)</f>
        <v>0</v>
      </c>
      <c r="R1551" s="56">
        <f>IFERROR($N1551*L1551,0)</f>
        <v>0</v>
      </c>
      <c r="S1551" s="53">
        <f>SUM(O1551:R1551)</f>
        <v>0</v>
      </c>
      <c r="T1551" s="35" t="s">
        <v>178</v>
      </c>
      <c r="U1551" s="18" t="s">
        <v>1873</v>
      </c>
      <c r="V1551" s="19" t="str">
        <f>IF(OR($H1551="",$H1551="sif",$H1551="PM"),"",VLOOKUP($H1551,[5]CU!$C$5:$J$255,8,FALSE))</f>
        <v>3. Dépenses de fonctionnement</v>
      </c>
      <c r="W1551" s="18" t="s">
        <v>96</v>
      </c>
      <c r="X1551" s="18" t="s">
        <v>1963</v>
      </c>
      <c r="Y1551" s="19" t="s">
        <v>32</v>
      </c>
      <c r="Z1551" s="19" t="str">
        <f>A1551 &amp; "-" &amp; VLOOKUP(A1551,[4]PROGRAMMES!$E$1:$F$7,2,FALSE)</f>
        <v>5-Gouvernance et pilotage du secteur</v>
      </c>
      <c r="AA1551" s="19" t="str">
        <f>B1551 &amp; "-" &amp; VLOOKUP(B1551,[4]SOUSPROGRAMMES!$E$1:$F$44,2,FALSE)</f>
        <v xml:space="preserve">53- Systèmes d’information pour la gestion de l'éducation (collecte, analyse, diffusion, et utilisation des informations) </v>
      </c>
      <c r="AB1551" s="19" t="str">
        <f>C1551 &amp; "-" &amp; VLOOKUP(C1551,[4]RESULTATS!$E$1:$F$176,2,FALSE)</f>
        <v>531- La production des données permet d’offrir aux différents acteurs et utilisateurs à tous les niveaux l’information dont ils ont besoin</v>
      </c>
      <c r="AC1551" s="20" t="str">
        <f>D1551 &amp; "-" &amp; VLOOKUP(D1551,[4]STRATEGIES!$E$1:$F$504,2,FALSE)</f>
        <v>5313-Promotion de l’utilisation des données par les acteurs y compris les bénéficiaires concernés (dépliants, réunions d’échange, …)</v>
      </c>
      <c r="AD1551" s="21" t="str">
        <f t="shared" si="231"/>
        <v>53131-Impression des annuaires statistiques et dépliants (niveau central et déconcentré)</v>
      </c>
    </row>
    <row r="1552" spans="1:30" s="22" customFormat="1" ht="61" hidden="1" x14ac:dyDescent="0.8">
      <c r="A1552" s="14">
        <v>5</v>
      </c>
      <c r="B1552" s="15">
        <v>53</v>
      </c>
      <c r="C1552" s="15">
        <v>531</v>
      </c>
      <c r="D1552" s="15">
        <v>5313</v>
      </c>
      <c r="E1552" s="14">
        <v>53131</v>
      </c>
      <c r="F1552" s="16" t="s">
        <v>2006</v>
      </c>
      <c r="G1552" s="21" t="s">
        <v>44</v>
      </c>
      <c r="H1552" s="17" t="s">
        <v>2007</v>
      </c>
      <c r="I1552" s="56">
        <v>0</v>
      </c>
      <c r="J1552" s="56">
        <v>100</v>
      </c>
      <c r="K1552" s="56">
        <v>100</v>
      </c>
      <c r="L1552" s="56">
        <v>100</v>
      </c>
      <c r="M1552" s="56">
        <f t="shared" si="232"/>
        <v>300</v>
      </c>
      <c r="N1552" s="56">
        <f>IF(OR(H1552="",H1552="sif",H1552="PM"),0,VLOOKUP(H1552,[5]CU!$C$4:$H$255,6,FALSE))</f>
        <v>0.38500000000000001</v>
      </c>
      <c r="O1552" s="56">
        <f t="shared" si="229"/>
        <v>0</v>
      </c>
      <c r="P1552" s="56">
        <f t="shared" si="229"/>
        <v>38.5</v>
      </c>
      <c r="Q1552" s="56">
        <f t="shared" si="229"/>
        <v>38.5</v>
      </c>
      <c r="R1552" s="56">
        <f t="shared" si="229"/>
        <v>38.5</v>
      </c>
      <c r="S1552" s="53">
        <f t="shared" si="230"/>
        <v>115.5</v>
      </c>
      <c r="T1552" s="35" t="s">
        <v>56</v>
      </c>
      <c r="U1552" s="18" t="s">
        <v>1873</v>
      </c>
      <c r="V1552" s="19" t="str">
        <f>IF(OR($H1552="",$H1552="sif",$H1552="PM"),"",VLOOKUP($H1552,[5]CU!$C$5:$J$255,8,FALSE))</f>
        <v>3. Dépenses de fonctionnement</v>
      </c>
      <c r="W1552" s="18" t="s">
        <v>96</v>
      </c>
      <c r="X1552" s="18" t="s">
        <v>1963</v>
      </c>
      <c r="Y1552" s="19" t="s">
        <v>32</v>
      </c>
      <c r="Z1552" s="19" t="str">
        <f>A1552 &amp; "-" &amp; VLOOKUP(A1552,[4]PROGRAMMES!$E$1:$F$7,2,FALSE)</f>
        <v>5-Gouvernance et pilotage du secteur</v>
      </c>
      <c r="AA1552" s="19" t="str">
        <f>B1552 &amp; "-" &amp; VLOOKUP(B1552,[4]SOUSPROGRAMMES!$E$1:$F$44,2,FALSE)</f>
        <v xml:space="preserve">53- Systèmes d’information pour la gestion de l'éducation (collecte, analyse, diffusion, et utilisation des informations) </v>
      </c>
      <c r="AB1552" s="19" t="str">
        <f>C1552 &amp; "-" &amp; VLOOKUP(C1552,[4]RESULTATS!$E$1:$F$176,2,FALSE)</f>
        <v>531- La production des données permet d’offrir aux différents acteurs et utilisateurs à tous les niveaux l’information dont ils ont besoin</v>
      </c>
      <c r="AC1552" s="20" t="str">
        <f>D1552 &amp; "-" &amp; VLOOKUP(D1552,[4]STRATEGIES!$E$1:$F$504,2,FALSE)</f>
        <v>5313-Promotion de l’utilisation des données par les acteurs y compris les bénéficiaires concernés (dépliants, réunions d’échange, …)</v>
      </c>
      <c r="AD1552" s="21" t="str">
        <f t="shared" si="231"/>
        <v>53131-Impression des annuaires statistiques et dépliants (niveau central et déconcentré)</v>
      </c>
    </row>
    <row r="1553" spans="1:30" s="22" customFormat="1" ht="61" hidden="1" x14ac:dyDescent="0.8">
      <c r="A1553" s="14">
        <v>5</v>
      </c>
      <c r="B1553" s="15">
        <v>53</v>
      </c>
      <c r="C1553" s="15">
        <v>531</v>
      </c>
      <c r="D1553" s="15">
        <v>5313</v>
      </c>
      <c r="E1553" s="14">
        <v>53132</v>
      </c>
      <c r="F1553" s="16" t="s">
        <v>2008</v>
      </c>
      <c r="G1553" s="21" t="s">
        <v>44</v>
      </c>
      <c r="H1553" s="17" t="s">
        <v>2007</v>
      </c>
      <c r="I1553" s="56">
        <v>0</v>
      </c>
      <c r="J1553" s="56"/>
      <c r="K1553" s="56"/>
      <c r="L1553" s="56"/>
      <c r="M1553" s="56">
        <f>SUM(I1553:L1553)</f>
        <v>0</v>
      </c>
      <c r="N1553" s="56">
        <f>IF(OR(H1553="",H1553="sif",H1553="PM"),0,VLOOKUP(H1553,[5]CU!$C$4:$H$255,6,FALSE))</f>
        <v>0.38500000000000001</v>
      </c>
      <c r="O1553" s="56">
        <f>IFERROR($N1553*I1553,0)</f>
        <v>0</v>
      </c>
      <c r="P1553" s="56">
        <f>IFERROR($N1553*J1553,0)</f>
        <v>0</v>
      </c>
      <c r="Q1553" s="56">
        <f>IFERROR($N1553*K1553,0)</f>
        <v>0</v>
      </c>
      <c r="R1553" s="56">
        <f>IFERROR($N1553*L1553,0)</f>
        <v>0</v>
      </c>
      <c r="S1553" s="53">
        <f>SUM(O1553:R1553)</f>
        <v>0</v>
      </c>
      <c r="T1553" s="35" t="s">
        <v>178</v>
      </c>
      <c r="U1553" s="18" t="s">
        <v>1873</v>
      </c>
      <c r="V1553" s="19" t="str">
        <f>IF(OR($H1553="",$H1553="sif",$H1553="PM"),"",VLOOKUP($H1553,[5]CU!$C$5:$J$255,8,FALSE))</f>
        <v>3. Dépenses de fonctionnement</v>
      </c>
      <c r="W1553" s="18" t="s">
        <v>96</v>
      </c>
      <c r="X1553" s="18" t="s">
        <v>1963</v>
      </c>
      <c r="Y1553" s="18" t="s">
        <v>679</v>
      </c>
      <c r="Z1553" s="19" t="str">
        <f>A1553 &amp; "-" &amp; VLOOKUP(A1553,[4]PROGRAMMES!$E$1:$F$7,2,FALSE)</f>
        <v>5-Gouvernance et pilotage du secteur</v>
      </c>
      <c r="AA1553" s="19" t="str">
        <f>B1553 &amp; "-" &amp; VLOOKUP(B1553,[4]SOUSPROGRAMMES!$E$1:$F$44,2,FALSE)</f>
        <v xml:space="preserve">53- Systèmes d’information pour la gestion de l'éducation (collecte, analyse, diffusion, et utilisation des informations) </v>
      </c>
      <c r="AB1553" s="19" t="str">
        <f>C1553 &amp; "-" &amp; VLOOKUP(C1553,[4]RESULTATS!$E$1:$F$176,2,FALSE)</f>
        <v>531- La production des données permet d’offrir aux différents acteurs et utilisateurs à tous les niveaux l’information dont ils ont besoin</v>
      </c>
      <c r="AC1553" s="20" t="str">
        <f>D1553 &amp; "-" &amp; VLOOKUP(D1553,[4]STRATEGIES!$E$1:$F$504,2,FALSE)</f>
        <v>5313-Promotion de l’utilisation des données par les acteurs y compris les bénéficiaires concernés (dépliants, réunions d’échange, …)</v>
      </c>
      <c r="AD1553" s="21" t="str">
        <f t="shared" si="231"/>
        <v>53132-Impression des annuaires statistiques et dépliants (Supérieur)</v>
      </c>
    </row>
    <row r="1554" spans="1:30" s="22" customFormat="1" ht="61" hidden="1" x14ac:dyDescent="0.8">
      <c r="A1554" s="14">
        <v>5</v>
      </c>
      <c r="B1554" s="15">
        <v>53</v>
      </c>
      <c r="C1554" s="15">
        <v>531</v>
      </c>
      <c r="D1554" s="15">
        <v>5313</v>
      </c>
      <c r="E1554" s="14">
        <v>53132</v>
      </c>
      <c r="F1554" s="16" t="s">
        <v>2008</v>
      </c>
      <c r="G1554" s="21" t="s">
        <v>44</v>
      </c>
      <c r="H1554" s="17" t="s">
        <v>2007</v>
      </c>
      <c r="I1554" s="56">
        <v>0</v>
      </c>
      <c r="J1554" s="56">
        <v>100</v>
      </c>
      <c r="K1554" s="56">
        <v>100</v>
      </c>
      <c r="L1554" s="56">
        <v>100</v>
      </c>
      <c r="M1554" s="56">
        <f t="shared" si="232"/>
        <v>300</v>
      </c>
      <c r="N1554" s="56">
        <f>IF(OR(H1554="",H1554="sif",H1554="PM"),0,VLOOKUP(H1554,[5]CU!$C$4:$H$255,6,FALSE))</f>
        <v>0.38500000000000001</v>
      </c>
      <c r="O1554" s="56">
        <f t="shared" si="229"/>
        <v>0</v>
      </c>
      <c r="P1554" s="56">
        <f t="shared" si="229"/>
        <v>38.5</v>
      </c>
      <c r="Q1554" s="56">
        <f t="shared" si="229"/>
        <v>38.5</v>
      </c>
      <c r="R1554" s="56">
        <f t="shared" si="229"/>
        <v>38.5</v>
      </c>
      <c r="S1554" s="53">
        <f t="shared" si="230"/>
        <v>115.5</v>
      </c>
      <c r="T1554" s="35" t="s">
        <v>56</v>
      </c>
      <c r="U1554" s="18" t="s">
        <v>1873</v>
      </c>
      <c r="V1554" s="19" t="str">
        <f>IF(OR($H1554="",$H1554="sif",$H1554="PM"),"",VLOOKUP($H1554,[5]CU!$C$5:$J$255,8,FALSE))</f>
        <v>3. Dépenses de fonctionnement</v>
      </c>
      <c r="W1554" s="18" t="s">
        <v>96</v>
      </c>
      <c r="X1554" s="18" t="s">
        <v>1963</v>
      </c>
      <c r="Y1554" s="18" t="s">
        <v>679</v>
      </c>
      <c r="Z1554" s="19" t="str">
        <f>A1554 &amp; "-" &amp; VLOOKUP(A1554,[4]PROGRAMMES!$E$1:$F$7,2,FALSE)</f>
        <v>5-Gouvernance et pilotage du secteur</v>
      </c>
      <c r="AA1554" s="19" t="str">
        <f>B1554 &amp; "-" &amp; VLOOKUP(B1554,[4]SOUSPROGRAMMES!$E$1:$F$44,2,FALSE)</f>
        <v xml:space="preserve">53- Systèmes d’information pour la gestion de l'éducation (collecte, analyse, diffusion, et utilisation des informations) </v>
      </c>
      <c r="AB1554" s="19" t="str">
        <f>C1554 &amp; "-" &amp; VLOOKUP(C1554,[4]RESULTATS!$E$1:$F$176,2,FALSE)</f>
        <v>531- La production des données permet d’offrir aux différents acteurs et utilisateurs à tous les niveaux l’information dont ils ont besoin</v>
      </c>
      <c r="AC1554" s="20" t="str">
        <f>D1554 &amp; "-" &amp; VLOOKUP(D1554,[4]STRATEGIES!$E$1:$F$504,2,FALSE)</f>
        <v>5313-Promotion de l’utilisation des données par les acteurs y compris les bénéficiaires concernés (dépliants, réunions d’échange, …)</v>
      </c>
      <c r="AD1554" s="21" t="str">
        <f t="shared" si="231"/>
        <v>53132-Impression des annuaires statistiques et dépliants (Supérieur)</v>
      </c>
    </row>
    <row r="1555" spans="1:30" s="22" customFormat="1" ht="61" hidden="1" x14ac:dyDescent="0.8">
      <c r="A1555" s="14">
        <v>5</v>
      </c>
      <c r="B1555" s="15">
        <v>53</v>
      </c>
      <c r="C1555" s="15">
        <v>531</v>
      </c>
      <c r="D1555" s="15">
        <v>5313</v>
      </c>
      <c r="E1555" s="14">
        <v>53133</v>
      </c>
      <c r="F1555" s="16" t="s">
        <v>2009</v>
      </c>
      <c r="G1555" s="21" t="s">
        <v>44</v>
      </c>
      <c r="H1555" s="17" t="s">
        <v>2007</v>
      </c>
      <c r="I1555" s="56">
        <v>0</v>
      </c>
      <c r="J1555" s="56"/>
      <c r="K1555" s="56"/>
      <c r="L1555" s="56"/>
      <c r="M1555" s="56">
        <f>SUM(I1555:L1555)</f>
        <v>0</v>
      </c>
      <c r="N1555" s="56">
        <f>IF(OR(H1555="",H1555="sif",H1555="PM"),0,VLOOKUP(H1555,[5]CU!$C$4:$H$255,6,FALSE))</f>
        <v>0.38500000000000001</v>
      </c>
      <c r="O1555" s="56">
        <f>IFERROR($N1555*I1555,0)</f>
        <v>0</v>
      </c>
      <c r="P1555" s="56">
        <f>IFERROR($N1555*J1555,0)</f>
        <v>0</v>
      </c>
      <c r="Q1555" s="56">
        <f>IFERROR($N1555*K1555,0)</f>
        <v>0</v>
      </c>
      <c r="R1555" s="56">
        <f>IFERROR($N1555*L1555,0)</f>
        <v>0</v>
      </c>
      <c r="S1555" s="53">
        <f>SUM(O1555:R1555)</f>
        <v>0</v>
      </c>
      <c r="T1555" s="35" t="s">
        <v>178</v>
      </c>
      <c r="U1555" s="18" t="s">
        <v>1873</v>
      </c>
      <c r="V1555" s="19" t="str">
        <f>IF(OR($H1555="",$H1555="sif",$H1555="PM"),"",VLOOKUP($H1555,[5]CU!$C$5:$J$255,8,FALSE))</f>
        <v>3. Dépenses de fonctionnement</v>
      </c>
      <c r="W1555" s="18" t="s">
        <v>96</v>
      </c>
      <c r="X1555" s="18" t="s">
        <v>1963</v>
      </c>
      <c r="Y1555" s="18" t="s">
        <v>677</v>
      </c>
      <c r="Z1555" s="19" t="str">
        <f>A1555 &amp; "-" &amp; VLOOKUP(A1555,[4]PROGRAMMES!$E$1:$F$7,2,FALSE)</f>
        <v>5-Gouvernance et pilotage du secteur</v>
      </c>
      <c r="AA1555" s="19" t="str">
        <f>B1555 &amp; "-" &amp; VLOOKUP(B1555,[4]SOUSPROGRAMMES!$E$1:$F$44,2,FALSE)</f>
        <v xml:space="preserve">53- Systèmes d’information pour la gestion de l'éducation (collecte, analyse, diffusion, et utilisation des informations) </v>
      </c>
      <c r="AB1555" s="19" t="str">
        <f>C1555 &amp; "-" &amp; VLOOKUP(C1555,[4]RESULTATS!$E$1:$F$176,2,FALSE)</f>
        <v>531- La production des données permet d’offrir aux différents acteurs et utilisateurs à tous les niveaux l’information dont ils ont besoin</v>
      </c>
      <c r="AC1555" s="20" t="str">
        <f>D1555 &amp; "-" &amp; VLOOKUP(D1555,[4]STRATEGIES!$E$1:$F$504,2,FALSE)</f>
        <v>5313-Promotion de l’utilisation des données par les acteurs y compris les bénéficiaires concernés (dépliants, réunions d’échange, …)</v>
      </c>
      <c r="AD1555" s="21" t="str">
        <f t="shared" si="231"/>
        <v>53133-Impression des annuaires statistiques et dépliants (niveau central et déconcentré ETFP)</v>
      </c>
    </row>
    <row r="1556" spans="1:30" s="22" customFormat="1" ht="61" hidden="1" x14ac:dyDescent="0.8">
      <c r="A1556" s="14">
        <v>5</v>
      </c>
      <c r="B1556" s="15">
        <v>53</v>
      </c>
      <c r="C1556" s="15">
        <v>531</v>
      </c>
      <c r="D1556" s="15">
        <v>5313</v>
      </c>
      <c r="E1556" s="14">
        <v>53133</v>
      </c>
      <c r="F1556" s="16" t="s">
        <v>2009</v>
      </c>
      <c r="G1556" s="21" t="s">
        <v>44</v>
      </c>
      <c r="H1556" s="17" t="s">
        <v>2007</v>
      </c>
      <c r="I1556" s="56">
        <v>0</v>
      </c>
      <c r="J1556" s="56">
        <v>100</v>
      </c>
      <c r="K1556" s="56">
        <v>100</v>
      </c>
      <c r="L1556" s="56">
        <v>100</v>
      </c>
      <c r="M1556" s="56">
        <f t="shared" si="232"/>
        <v>300</v>
      </c>
      <c r="N1556" s="56">
        <f>IF(OR(H1556="",H1556="sif",H1556="PM"),0,VLOOKUP(H1556,[5]CU!$C$4:$H$255,6,FALSE))</f>
        <v>0.38500000000000001</v>
      </c>
      <c r="O1556" s="56">
        <f t="shared" si="229"/>
        <v>0</v>
      </c>
      <c r="P1556" s="56">
        <f t="shared" si="229"/>
        <v>38.5</v>
      </c>
      <c r="Q1556" s="56">
        <f t="shared" si="229"/>
        <v>38.5</v>
      </c>
      <c r="R1556" s="56">
        <f t="shared" si="229"/>
        <v>38.5</v>
      </c>
      <c r="S1556" s="53">
        <f t="shared" si="230"/>
        <v>115.5</v>
      </c>
      <c r="T1556" s="35" t="s">
        <v>56</v>
      </c>
      <c r="U1556" s="18" t="s">
        <v>1873</v>
      </c>
      <c r="V1556" s="19" t="str">
        <f>IF(OR($H1556="",$H1556="sif",$H1556="PM"),"",VLOOKUP($H1556,[5]CU!$C$5:$J$255,8,FALSE))</f>
        <v>3. Dépenses de fonctionnement</v>
      </c>
      <c r="W1556" s="18" t="s">
        <v>96</v>
      </c>
      <c r="X1556" s="18" t="s">
        <v>1963</v>
      </c>
      <c r="Y1556" s="18" t="s">
        <v>677</v>
      </c>
      <c r="Z1556" s="19" t="str">
        <f>A1556 &amp; "-" &amp; VLOOKUP(A1556,[4]PROGRAMMES!$E$1:$F$7,2,FALSE)</f>
        <v>5-Gouvernance et pilotage du secteur</v>
      </c>
      <c r="AA1556" s="19" t="str">
        <f>B1556 &amp; "-" &amp; VLOOKUP(B1556,[4]SOUSPROGRAMMES!$E$1:$F$44,2,FALSE)</f>
        <v xml:space="preserve">53- Systèmes d’information pour la gestion de l'éducation (collecte, analyse, diffusion, et utilisation des informations) </v>
      </c>
      <c r="AB1556" s="19" t="str">
        <f>C1556 &amp; "-" &amp; VLOOKUP(C1556,[4]RESULTATS!$E$1:$F$176,2,FALSE)</f>
        <v>531- La production des données permet d’offrir aux différents acteurs et utilisateurs à tous les niveaux l’information dont ils ont besoin</v>
      </c>
      <c r="AC1556" s="20" t="str">
        <f>D1556 &amp; "-" &amp; VLOOKUP(D1556,[4]STRATEGIES!$E$1:$F$504,2,FALSE)</f>
        <v>5313-Promotion de l’utilisation des données par les acteurs y compris les bénéficiaires concernés (dépliants, réunions d’échange, …)</v>
      </c>
      <c r="AD1556" s="21" t="str">
        <f t="shared" si="231"/>
        <v>53133-Impression des annuaires statistiques et dépliants (niveau central et déconcentré ETFP)</v>
      </c>
    </row>
    <row r="1557" spans="1:30" s="22" customFormat="1" ht="61" hidden="1" x14ac:dyDescent="0.8">
      <c r="A1557" s="14">
        <v>5</v>
      </c>
      <c r="B1557" s="15">
        <v>53</v>
      </c>
      <c r="C1557" s="15">
        <v>531</v>
      </c>
      <c r="D1557" s="15">
        <v>5313</v>
      </c>
      <c r="E1557" s="14">
        <v>53134</v>
      </c>
      <c r="F1557" s="16" t="s">
        <v>2010</v>
      </c>
      <c r="G1557" s="21" t="s">
        <v>315</v>
      </c>
      <c r="H1557" s="17" t="s">
        <v>38</v>
      </c>
      <c r="I1557" s="56">
        <v>0</v>
      </c>
      <c r="J1557" s="56"/>
      <c r="K1557" s="56"/>
      <c r="L1557" s="56"/>
      <c r="M1557" s="56">
        <f>SUM(I1557:L1557)</f>
        <v>0</v>
      </c>
      <c r="N1557" s="56">
        <f>IF(OR(H1557="",H1557="sif",H1557="PM"),0,VLOOKUP(H1557,[5]CU!$C$4:$H$255,6,FALSE))</f>
        <v>0.3133333333333333</v>
      </c>
      <c r="O1557" s="56">
        <f>IFERROR($N1557*I1557,0)</f>
        <v>0</v>
      </c>
      <c r="P1557" s="56">
        <f>IFERROR($N1557*J1557,0)</f>
        <v>0</v>
      </c>
      <c r="Q1557" s="56">
        <f>IFERROR($N1557*K1557,0)</f>
        <v>0</v>
      </c>
      <c r="R1557" s="56">
        <f>IFERROR($N1557*L1557,0)</f>
        <v>0</v>
      </c>
      <c r="S1557" s="53">
        <f>SUM(O1557:R1557)</f>
        <v>0</v>
      </c>
      <c r="T1557" s="35" t="s">
        <v>178</v>
      </c>
      <c r="U1557" s="18" t="s">
        <v>1873</v>
      </c>
      <c r="V1557" s="19" t="str">
        <f>IF(OR($H1557="",$H1557="sif",$H1557="PM"),"",VLOOKUP($H1557,[5]CU!$C$5:$J$255,8,FALSE))</f>
        <v>3. Formation</v>
      </c>
      <c r="W1557" s="18" t="s">
        <v>96</v>
      </c>
      <c r="X1557" s="18" t="s">
        <v>96</v>
      </c>
      <c r="Y1557" s="19" t="s">
        <v>32</v>
      </c>
      <c r="Z1557" s="19" t="str">
        <f>A1557 &amp; "-" &amp; VLOOKUP(A1557,[4]PROGRAMMES!$E$1:$F$7,2,FALSE)</f>
        <v>5-Gouvernance et pilotage du secteur</v>
      </c>
      <c r="AA1557" s="19" t="str">
        <f>B1557 &amp; "-" &amp; VLOOKUP(B1557,[4]SOUSPROGRAMMES!$E$1:$F$44,2,FALSE)</f>
        <v xml:space="preserve">53- Systèmes d’information pour la gestion de l'éducation (collecte, analyse, diffusion, et utilisation des informations) </v>
      </c>
      <c r="AB1557" s="19" t="str">
        <f>C1557 &amp; "-" &amp; VLOOKUP(C1557,[4]RESULTATS!$E$1:$F$176,2,FALSE)</f>
        <v>531- La production des données permet d’offrir aux différents acteurs et utilisateurs à tous les niveaux l’information dont ils ont besoin</v>
      </c>
      <c r="AC1557" s="20" t="str">
        <f>D1557 &amp; "-" &amp; VLOOKUP(D1557,[4]STRATEGIES!$E$1:$F$504,2,FALSE)</f>
        <v>5313-Promotion de l’utilisation des données par les acteurs y compris les bénéficiaires concernés (dépliants, réunions d’échange, …)</v>
      </c>
      <c r="AD1557" s="21" t="str">
        <f t="shared" si="231"/>
        <v>53134-Partage des données avec les acteurs et partenaires du MENA</v>
      </c>
    </row>
    <row r="1558" spans="1:30" s="22" customFormat="1" ht="61" hidden="1" x14ac:dyDescent="0.8">
      <c r="A1558" s="14">
        <v>5</v>
      </c>
      <c r="B1558" s="15">
        <v>53</v>
      </c>
      <c r="C1558" s="15">
        <v>531</v>
      </c>
      <c r="D1558" s="15">
        <v>5313</v>
      </c>
      <c r="E1558" s="14">
        <v>53134</v>
      </c>
      <c r="F1558" s="16" t="s">
        <v>2010</v>
      </c>
      <c r="G1558" s="21" t="s">
        <v>315</v>
      </c>
      <c r="H1558" s="17" t="s">
        <v>38</v>
      </c>
      <c r="I1558" s="56">
        <v>0</v>
      </c>
      <c r="J1558" s="56">
        <f t="shared" ref="J1558:L1561" si="233">50*1</f>
        <v>50</v>
      </c>
      <c r="K1558" s="56">
        <f t="shared" si="233"/>
        <v>50</v>
      </c>
      <c r="L1558" s="56">
        <f t="shared" si="233"/>
        <v>50</v>
      </c>
      <c r="M1558" s="56">
        <f t="shared" si="232"/>
        <v>150</v>
      </c>
      <c r="N1558" s="56">
        <f>IF(OR(H1558="",H1558="sif",H1558="PM"),0,VLOOKUP(H1558,[5]CU!$C$4:$H$255,6,FALSE))</f>
        <v>0.3133333333333333</v>
      </c>
      <c r="O1558" s="56">
        <f t="shared" si="229"/>
        <v>0</v>
      </c>
      <c r="P1558" s="56">
        <f t="shared" si="229"/>
        <v>15.666666666666664</v>
      </c>
      <c r="Q1558" s="56">
        <f t="shared" si="229"/>
        <v>15.666666666666664</v>
      </c>
      <c r="R1558" s="56">
        <f t="shared" si="229"/>
        <v>15.666666666666664</v>
      </c>
      <c r="S1558" s="53">
        <f t="shared" si="230"/>
        <v>46.999999999999993</v>
      </c>
      <c r="T1558" s="35" t="s">
        <v>56</v>
      </c>
      <c r="U1558" s="18" t="s">
        <v>1873</v>
      </c>
      <c r="V1558" s="19" t="str">
        <f>IF(OR($H1558="",$H1558="sif",$H1558="PM"),"",VLOOKUP($H1558,[5]CU!$C$5:$J$255,8,FALSE))</f>
        <v>3. Formation</v>
      </c>
      <c r="W1558" s="18" t="s">
        <v>96</v>
      </c>
      <c r="X1558" s="18" t="s">
        <v>96</v>
      </c>
      <c r="Y1558" s="19" t="s">
        <v>32</v>
      </c>
      <c r="Z1558" s="19" t="str">
        <f>A1558 &amp; "-" &amp; VLOOKUP(A1558,[4]PROGRAMMES!$E$1:$F$7,2,FALSE)</f>
        <v>5-Gouvernance et pilotage du secteur</v>
      </c>
      <c r="AA1558" s="19" t="str">
        <f>B1558 &amp; "-" &amp; VLOOKUP(B1558,[4]SOUSPROGRAMMES!$E$1:$F$44,2,FALSE)</f>
        <v xml:space="preserve">53- Systèmes d’information pour la gestion de l'éducation (collecte, analyse, diffusion, et utilisation des informations) </v>
      </c>
      <c r="AB1558" s="19" t="str">
        <f>C1558 &amp; "-" &amp; VLOOKUP(C1558,[4]RESULTATS!$E$1:$F$176,2,FALSE)</f>
        <v>531- La production des données permet d’offrir aux différents acteurs et utilisateurs à tous les niveaux l’information dont ils ont besoin</v>
      </c>
      <c r="AC1558" s="20" t="str">
        <f>D1558 &amp; "-" &amp; VLOOKUP(D1558,[4]STRATEGIES!$E$1:$F$504,2,FALSE)</f>
        <v>5313-Promotion de l’utilisation des données par les acteurs y compris les bénéficiaires concernés (dépliants, réunions d’échange, …)</v>
      </c>
      <c r="AD1558" s="21" t="str">
        <f t="shared" si="231"/>
        <v>53134-Partage des données avec les acteurs et partenaires du MENA</v>
      </c>
    </row>
    <row r="1559" spans="1:30" s="22" customFormat="1" ht="61" hidden="1" x14ac:dyDescent="0.8">
      <c r="A1559" s="14">
        <v>5</v>
      </c>
      <c r="B1559" s="15">
        <v>53</v>
      </c>
      <c r="C1559" s="15">
        <v>531</v>
      </c>
      <c r="D1559" s="15">
        <v>5313</v>
      </c>
      <c r="E1559" s="14">
        <v>53135</v>
      </c>
      <c r="F1559" s="16" t="s">
        <v>2011</v>
      </c>
      <c r="G1559" s="21" t="s">
        <v>315</v>
      </c>
      <c r="H1559" s="17" t="s">
        <v>38</v>
      </c>
      <c r="I1559" s="56">
        <v>0</v>
      </c>
      <c r="J1559" s="56"/>
      <c r="K1559" s="56"/>
      <c r="L1559" s="56"/>
      <c r="M1559" s="56">
        <f>SUM(I1559:L1559)</f>
        <v>0</v>
      </c>
      <c r="N1559" s="56">
        <f>IF(OR(H1559="",H1559="sif",H1559="PM"),0,VLOOKUP(H1559,[5]CU!$C$4:$H$255,6,FALSE))</f>
        <v>0.3133333333333333</v>
      </c>
      <c r="O1559" s="56">
        <f>IFERROR($N1559*I1559,0)</f>
        <v>0</v>
      </c>
      <c r="P1559" s="56">
        <f>IFERROR($N1559*J1559,0)</f>
        <v>0</v>
      </c>
      <c r="Q1559" s="56">
        <f>IFERROR($N1559*K1559,0)</f>
        <v>0</v>
      </c>
      <c r="R1559" s="56">
        <f>IFERROR($N1559*L1559,0)</f>
        <v>0</v>
      </c>
      <c r="S1559" s="53">
        <f>SUM(O1559:R1559)</f>
        <v>0</v>
      </c>
      <c r="T1559" s="35" t="s">
        <v>178</v>
      </c>
      <c r="U1559" s="18" t="s">
        <v>1873</v>
      </c>
      <c r="V1559" s="19" t="str">
        <f>IF(OR($H1559="",$H1559="sif",$H1559="PM"),"",VLOOKUP($H1559,[5]CU!$C$5:$J$255,8,FALSE))</f>
        <v>3. Formation</v>
      </c>
      <c r="W1559" s="18" t="s">
        <v>96</v>
      </c>
      <c r="X1559" s="18" t="s">
        <v>96</v>
      </c>
      <c r="Y1559" s="18" t="s">
        <v>679</v>
      </c>
      <c r="Z1559" s="19" t="str">
        <f>A1559 &amp; "-" &amp; VLOOKUP(A1559,[4]PROGRAMMES!$E$1:$F$7,2,FALSE)</f>
        <v>5-Gouvernance et pilotage du secteur</v>
      </c>
      <c r="AA1559" s="19" t="str">
        <f>B1559 &amp; "-" &amp; VLOOKUP(B1559,[4]SOUSPROGRAMMES!$E$1:$F$44,2,FALSE)</f>
        <v xml:space="preserve">53- Systèmes d’information pour la gestion de l'éducation (collecte, analyse, diffusion, et utilisation des informations) </v>
      </c>
      <c r="AB1559" s="19" t="str">
        <f>C1559 &amp; "-" &amp; VLOOKUP(C1559,[4]RESULTATS!$E$1:$F$176,2,FALSE)</f>
        <v>531- La production des données permet d’offrir aux différents acteurs et utilisateurs à tous les niveaux l’information dont ils ont besoin</v>
      </c>
      <c r="AC1559" s="20" t="str">
        <f>D1559 &amp; "-" &amp; VLOOKUP(D1559,[4]STRATEGIES!$E$1:$F$504,2,FALSE)</f>
        <v>5313-Promotion de l’utilisation des données par les acteurs y compris les bénéficiaires concernés (dépliants, réunions d’échange, …)</v>
      </c>
      <c r="AD1559" s="21" t="str">
        <f t="shared" si="231"/>
        <v>53135-Partage des données avec les acteurs et partenaires du MESRS</v>
      </c>
    </row>
    <row r="1560" spans="1:30" s="22" customFormat="1" ht="61" hidden="1" x14ac:dyDescent="0.8">
      <c r="A1560" s="14">
        <v>5</v>
      </c>
      <c r="B1560" s="15">
        <v>53</v>
      </c>
      <c r="C1560" s="15">
        <v>531</v>
      </c>
      <c r="D1560" s="15">
        <v>5313</v>
      </c>
      <c r="E1560" s="14">
        <v>53135</v>
      </c>
      <c r="F1560" s="16" t="s">
        <v>2011</v>
      </c>
      <c r="G1560" s="21" t="s">
        <v>315</v>
      </c>
      <c r="H1560" s="17" t="s">
        <v>38</v>
      </c>
      <c r="I1560" s="56">
        <v>0</v>
      </c>
      <c r="J1560" s="56">
        <f t="shared" si="233"/>
        <v>50</v>
      </c>
      <c r="K1560" s="56">
        <f t="shared" si="233"/>
        <v>50</v>
      </c>
      <c r="L1560" s="56">
        <f t="shared" si="233"/>
        <v>50</v>
      </c>
      <c r="M1560" s="56">
        <f t="shared" si="232"/>
        <v>150</v>
      </c>
      <c r="N1560" s="56">
        <f>IF(OR(H1560="",H1560="sif",H1560="PM"),0,VLOOKUP(H1560,[5]CU!$C$4:$H$255,6,FALSE))</f>
        <v>0.3133333333333333</v>
      </c>
      <c r="O1560" s="56">
        <f t="shared" si="229"/>
        <v>0</v>
      </c>
      <c r="P1560" s="56">
        <f t="shared" si="229"/>
        <v>15.666666666666664</v>
      </c>
      <c r="Q1560" s="56">
        <f t="shared" si="229"/>
        <v>15.666666666666664</v>
      </c>
      <c r="R1560" s="56">
        <f t="shared" si="229"/>
        <v>15.666666666666664</v>
      </c>
      <c r="S1560" s="53">
        <f t="shared" si="230"/>
        <v>46.999999999999993</v>
      </c>
      <c r="T1560" s="35" t="s">
        <v>56</v>
      </c>
      <c r="U1560" s="18" t="s">
        <v>1873</v>
      </c>
      <c r="V1560" s="19" t="str">
        <f>IF(OR($H1560="",$H1560="sif",$H1560="PM"),"",VLOOKUP($H1560,[5]CU!$C$5:$J$255,8,FALSE))</f>
        <v>3. Formation</v>
      </c>
      <c r="W1560" s="18" t="s">
        <v>96</v>
      </c>
      <c r="X1560" s="18" t="s">
        <v>96</v>
      </c>
      <c r="Y1560" s="18" t="s">
        <v>679</v>
      </c>
      <c r="Z1560" s="19" t="str">
        <f>A1560 &amp; "-" &amp; VLOOKUP(A1560,[4]PROGRAMMES!$E$1:$F$7,2,FALSE)</f>
        <v>5-Gouvernance et pilotage du secteur</v>
      </c>
      <c r="AA1560" s="19" t="str">
        <f>B1560 &amp; "-" &amp; VLOOKUP(B1560,[4]SOUSPROGRAMMES!$E$1:$F$44,2,FALSE)</f>
        <v xml:space="preserve">53- Systèmes d’information pour la gestion de l'éducation (collecte, analyse, diffusion, et utilisation des informations) </v>
      </c>
      <c r="AB1560" s="19" t="str">
        <f>C1560 &amp; "-" &amp; VLOOKUP(C1560,[4]RESULTATS!$E$1:$F$176,2,FALSE)</f>
        <v>531- La production des données permet d’offrir aux différents acteurs et utilisateurs à tous les niveaux l’information dont ils ont besoin</v>
      </c>
      <c r="AC1560" s="20" t="str">
        <f>D1560 &amp; "-" &amp; VLOOKUP(D1560,[4]STRATEGIES!$E$1:$F$504,2,FALSE)</f>
        <v>5313-Promotion de l’utilisation des données par les acteurs y compris les bénéficiaires concernés (dépliants, réunions d’échange, …)</v>
      </c>
      <c r="AD1560" s="21" t="str">
        <f t="shared" si="231"/>
        <v>53135-Partage des données avec les acteurs et partenaires du MESRS</v>
      </c>
    </row>
    <row r="1561" spans="1:30" s="22" customFormat="1" ht="61" hidden="1" x14ac:dyDescent="0.8">
      <c r="A1561" s="14">
        <v>5</v>
      </c>
      <c r="B1561" s="15">
        <v>53</v>
      </c>
      <c r="C1561" s="15">
        <v>531</v>
      </c>
      <c r="D1561" s="15">
        <v>5313</v>
      </c>
      <c r="E1561" s="14">
        <v>53136</v>
      </c>
      <c r="F1561" s="16" t="s">
        <v>2012</v>
      </c>
      <c r="G1561" s="21" t="s">
        <v>315</v>
      </c>
      <c r="H1561" s="17" t="s">
        <v>38</v>
      </c>
      <c r="I1561" s="56">
        <v>0</v>
      </c>
      <c r="J1561" s="56">
        <f t="shared" si="233"/>
        <v>50</v>
      </c>
      <c r="K1561" s="56">
        <f t="shared" si="233"/>
        <v>50</v>
      </c>
      <c r="L1561" s="56">
        <f t="shared" si="233"/>
        <v>50</v>
      </c>
      <c r="M1561" s="56">
        <f>SUM(I1561:L1561)</f>
        <v>150</v>
      </c>
      <c r="N1561" s="56">
        <f>IF(OR(H1561="",H1561="sif",H1561="PM"),0,VLOOKUP(H1561,[5]CU!$C$4:$H$255,6,FALSE))</f>
        <v>0.3133333333333333</v>
      </c>
      <c r="O1561" s="56">
        <f>IFERROR($N1561*I1561,0)</f>
        <v>0</v>
      </c>
      <c r="P1561" s="56">
        <f>IFERROR($N1561*J1561,0)</f>
        <v>15.666666666666664</v>
      </c>
      <c r="Q1561" s="56">
        <f>IFERROR($N1561*K1561,0)</f>
        <v>15.666666666666664</v>
      </c>
      <c r="R1561" s="56">
        <f>IFERROR($N1561*L1561,0)</f>
        <v>15.666666666666664</v>
      </c>
      <c r="S1561" s="53">
        <f>SUM(O1561:R1561)</f>
        <v>46.999999999999993</v>
      </c>
      <c r="T1561" s="35" t="s">
        <v>56</v>
      </c>
      <c r="U1561" s="18" t="s">
        <v>1873</v>
      </c>
      <c r="V1561" s="19" t="str">
        <f>IF(OR($H1561="",$H1561="sif",$H1561="PM"),"",VLOOKUP($H1561,[5]CU!$C$5:$J$255,8,FALSE))</f>
        <v>3. Formation</v>
      </c>
      <c r="W1561" s="18" t="s">
        <v>96</v>
      </c>
      <c r="X1561" s="18" t="s">
        <v>96</v>
      </c>
      <c r="Y1561" s="18" t="s">
        <v>677</v>
      </c>
      <c r="Z1561" s="19" t="str">
        <f>A1561 &amp; "-" &amp; VLOOKUP(A1561,[4]PROGRAMMES!$E$1:$F$7,2,FALSE)</f>
        <v>5-Gouvernance et pilotage du secteur</v>
      </c>
      <c r="AA1561" s="19" t="str">
        <f>B1561 &amp; "-" &amp; VLOOKUP(B1561,[4]SOUSPROGRAMMES!$E$1:$F$44,2,FALSE)</f>
        <v xml:space="preserve">53- Systèmes d’information pour la gestion de l'éducation (collecte, analyse, diffusion, et utilisation des informations) </v>
      </c>
      <c r="AB1561" s="19" t="str">
        <f>C1561 &amp; "-" &amp; VLOOKUP(C1561,[4]RESULTATS!$E$1:$F$176,2,FALSE)</f>
        <v>531- La production des données permet d’offrir aux différents acteurs et utilisateurs à tous les niveaux l’information dont ils ont besoin</v>
      </c>
      <c r="AC1561" s="20" t="str">
        <f>D1561 &amp; "-" &amp; VLOOKUP(D1561,[4]STRATEGIES!$E$1:$F$504,2,FALSE)</f>
        <v>5313-Promotion de l’utilisation des données par les acteurs y compris les bénéficiaires concernés (dépliants, réunions d’échange, …)</v>
      </c>
      <c r="AD1561" s="21" t="str">
        <f t="shared" si="231"/>
        <v>53136-Partage des données avec les acteurs et partenaires du METFP</v>
      </c>
    </row>
    <row r="1562" spans="1:30" s="22" customFormat="1" ht="61" hidden="1" x14ac:dyDescent="0.8">
      <c r="A1562" s="14">
        <v>5</v>
      </c>
      <c r="B1562" s="15">
        <v>53</v>
      </c>
      <c r="C1562" s="15">
        <v>531</v>
      </c>
      <c r="D1562" s="15">
        <v>5313</v>
      </c>
      <c r="E1562" s="14">
        <v>53136</v>
      </c>
      <c r="F1562" s="16" t="s">
        <v>2012</v>
      </c>
      <c r="G1562" s="21" t="s">
        <v>315</v>
      </c>
      <c r="H1562" s="17" t="s">
        <v>38</v>
      </c>
      <c r="I1562" s="56">
        <v>0</v>
      </c>
      <c r="J1562" s="56"/>
      <c r="K1562" s="56"/>
      <c r="L1562" s="56"/>
      <c r="M1562" s="56">
        <f t="shared" si="232"/>
        <v>0</v>
      </c>
      <c r="N1562" s="56">
        <f>IF(OR(H1562="",H1562="sif",H1562="PM"),0,VLOOKUP(H1562,[5]CU!$C$4:$H$255,6,FALSE))</f>
        <v>0.3133333333333333</v>
      </c>
      <c r="O1562" s="56">
        <f t="shared" si="229"/>
        <v>0</v>
      </c>
      <c r="P1562" s="56">
        <f t="shared" si="229"/>
        <v>0</v>
      </c>
      <c r="Q1562" s="56">
        <f t="shared" si="229"/>
        <v>0</v>
      </c>
      <c r="R1562" s="56">
        <f t="shared" si="229"/>
        <v>0</v>
      </c>
      <c r="S1562" s="53">
        <f t="shared" si="230"/>
        <v>0</v>
      </c>
      <c r="T1562" s="35" t="s">
        <v>178</v>
      </c>
      <c r="U1562" s="18" t="s">
        <v>1873</v>
      </c>
      <c r="V1562" s="19" t="str">
        <f>IF(OR($H1562="",$H1562="sif",$H1562="PM"),"",VLOOKUP($H1562,[5]CU!$C$5:$J$255,8,FALSE))</f>
        <v>3. Formation</v>
      </c>
      <c r="W1562" s="18" t="s">
        <v>96</v>
      </c>
      <c r="X1562" s="18" t="s">
        <v>96</v>
      </c>
      <c r="Y1562" s="18" t="s">
        <v>677</v>
      </c>
      <c r="Z1562" s="19" t="str">
        <f>A1562 &amp; "-" &amp; VLOOKUP(A1562,[4]PROGRAMMES!$E$1:$F$7,2,FALSE)</f>
        <v>5-Gouvernance et pilotage du secteur</v>
      </c>
      <c r="AA1562" s="19" t="str">
        <f>B1562 &amp; "-" &amp; VLOOKUP(B1562,[4]SOUSPROGRAMMES!$E$1:$F$44,2,FALSE)</f>
        <v xml:space="preserve">53- Systèmes d’information pour la gestion de l'éducation (collecte, analyse, diffusion, et utilisation des informations) </v>
      </c>
      <c r="AB1562" s="19" t="str">
        <f>C1562 &amp; "-" &amp; VLOOKUP(C1562,[4]RESULTATS!$E$1:$F$176,2,FALSE)</f>
        <v>531- La production des données permet d’offrir aux différents acteurs et utilisateurs à tous les niveaux l’information dont ils ont besoin</v>
      </c>
      <c r="AC1562" s="20" t="str">
        <f>D1562 &amp; "-" &amp; VLOOKUP(D1562,[4]STRATEGIES!$E$1:$F$504,2,FALSE)</f>
        <v>5313-Promotion de l’utilisation des données par les acteurs y compris les bénéficiaires concernés (dépliants, réunions d’échange, …)</v>
      </c>
      <c r="AD1562" s="21" t="str">
        <f t="shared" si="231"/>
        <v>53136-Partage des données avec les acteurs et partenaires du METFP</v>
      </c>
    </row>
    <row r="1563" spans="1:30" s="22" customFormat="1" ht="61" hidden="1" x14ac:dyDescent="0.8">
      <c r="A1563" s="14">
        <v>5</v>
      </c>
      <c r="B1563" s="15">
        <v>53</v>
      </c>
      <c r="C1563" s="15">
        <v>531</v>
      </c>
      <c r="D1563" s="15">
        <v>5313</v>
      </c>
      <c r="E1563" s="14">
        <v>53137</v>
      </c>
      <c r="F1563" s="16" t="s">
        <v>2013</v>
      </c>
      <c r="G1563" s="21" t="s">
        <v>88</v>
      </c>
      <c r="H1563" s="17" t="s">
        <v>55</v>
      </c>
      <c r="I1563" s="56">
        <v>0</v>
      </c>
      <c r="J1563" s="56">
        <v>0</v>
      </c>
      <c r="K1563" s="56">
        <v>0</v>
      </c>
      <c r="L1563" s="56">
        <v>0</v>
      </c>
      <c r="M1563" s="56"/>
      <c r="N1563" s="56">
        <f>IF(OR(H1563="",H1563="sif",H1563="PM"),0,VLOOKUP(H1563,[5]CU!$C$4:$H$255,6,FALSE))</f>
        <v>0</v>
      </c>
      <c r="O1563" s="56"/>
      <c r="P1563" s="56"/>
      <c r="Q1563" s="56"/>
      <c r="R1563" s="56"/>
      <c r="S1563" s="53"/>
      <c r="T1563" s="35" t="s">
        <v>56</v>
      </c>
      <c r="U1563" s="18" t="s">
        <v>1873</v>
      </c>
      <c r="V1563" s="19" t="str">
        <f>IF(OR($H1563="",$H1563="sif",$H1563="PM"),"",VLOOKUP($H1563,[5]CU!$C$5:$J$255,8,FALSE))</f>
        <v/>
      </c>
      <c r="W1563" s="18" t="s">
        <v>96</v>
      </c>
      <c r="X1563" s="18" t="s">
        <v>96</v>
      </c>
      <c r="Y1563" s="19" t="s">
        <v>32</v>
      </c>
      <c r="Z1563" s="19" t="str">
        <f>A1563 &amp; "-" &amp; VLOOKUP(A1563,[4]PROGRAMMES!$E$1:$F$7,2,FALSE)</f>
        <v>5-Gouvernance et pilotage du secteur</v>
      </c>
      <c r="AA1563" s="19" t="str">
        <f>B1563 &amp; "-" &amp; VLOOKUP(B1563,[4]SOUSPROGRAMMES!$E$1:$F$44,2,FALSE)</f>
        <v xml:space="preserve">53- Systèmes d’information pour la gestion de l'éducation (collecte, analyse, diffusion, et utilisation des informations) </v>
      </c>
      <c r="AB1563" s="19" t="str">
        <f>C1563 &amp; "-" &amp; VLOOKUP(C1563,[4]RESULTATS!$E$1:$F$176,2,FALSE)</f>
        <v>531- La production des données permet d’offrir aux différents acteurs et utilisateurs à tous les niveaux l’information dont ils ont besoin</v>
      </c>
      <c r="AC1563" s="20" t="str">
        <f>D1563 &amp; "-" &amp; VLOOKUP(D1563,[4]STRATEGIES!$E$1:$F$504,2,FALSE)</f>
        <v>5313-Promotion de l’utilisation des données par les acteurs y compris les bénéficiaires concernés (dépliants, réunions d’échange, …)</v>
      </c>
      <c r="AD1563" s="21" t="str">
        <f t="shared" si="231"/>
        <v>53137-Partage des annuaires, rapports d'analyse et dépliants sur le site web du MENA</v>
      </c>
    </row>
    <row r="1564" spans="1:30" s="22" customFormat="1" ht="61" hidden="1" x14ac:dyDescent="0.8">
      <c r="A1564" s="14">
        <v>5</v>
      </c>
      <c r="B1564" s="15">
        <v>53</v>
      </c>
      <c r="C1564" s="15">
        <v>531</v>
      </c>
      <c r="D1564" s="15">
        <v>5313</v>
      </c>
      <c r="E1564" s="14">
        <v>53138</v>
      </c>
      <c r="F1564" s="16" t="s">
        <v>2014</v>
      </c>
      <c r="G1564" s="21" t="s">
        <v>88</v>
      </c>
      <c r="H1564" s="17" t="s">
        <v>55</v>
      </c>
      <c r="I1564" s="56">
        <v>0</v>
      </c>
      <c r="J1564" s="56">
        <v>0</v>
      </c>
      <c r="K1564" s="56">
        <v>0</v>
      </c>
      <c r="L1564" s="56">
        <v>0</v>
      </c>
      <c r="M1564" s="56"/>
      <c r="N1564" s="56">
        <f>IF(OR(H1564="",H1564="sif",H1564="PM"),0,VLOOKUP(H1564,[5]CU!$C$4:$H$255,6,FALSE))</f>
        <v>0</v>
      </c>
      <c r="O1564" s="56"/>
      <c r="P1564" s="56"/>
      <c r="Q1564" s="56"/>
      <c r="R1564" s="56"/>
      <c r="S1564" s="53"/>
      <c r="T1564" s="35" t="s">
        <v>56</v>
      </c>
      <c r="U1564" s="18" t="s">
        <v>1873</v>
      </c>
      <c r="V1564" s="19" t="str">
        <f>IF(OR($H1564="",$H1564="sif",$H1564="PM"),"",VLOOKUP($H1564,[5]CU!$C$5:$J$255,8,FALSE))</f>
        <v/>
      </c>
      <c r="W1564" s="18" t="s">
        <v>96</v>
      </c>
      <c r="X1564" s="18" t="s">
        <v>96</v>
      </c>
      <c r="Y1564" s="18" t="s">
        <v>679</v>
      </c>
      <c r="Z1564" s="19" t="str">
        <f>A1564 &amp; "-" &amp; VLOOKUP(A1564,[4]PROGRAMMES!$E$1:$F$7,2,FALSE)</f>
        <v>5-Gouvernance et pilotage du secteur</v>
      </c>
      <c r="AA1564" s="19" t="str">
        <f>B1564 &amp; "-" &amp; VLOOKUP(B1564,[4]SOUSPROGRAMMES!$E$1:$F$44,2,FALSE)</f>
        <v xml:space="preserve">53- Systèmes d’information pour la gestion de l'éducation (collecte, analyse, diffusion, et utilisation des informations) </v>
      </c>
      <c r="AB1564" s="19" t="str">
        <f>C1564 &amp; "-" &amp; VLOOKUP(C1564,[4]RESULTATS!$E$1:$F$176,2,FALSE)</f>
        <v>531- La production des données permet d’offrir aux différents acteurs et utilisateurs à tous les niveaux l’information dont ils ont besoin</v>
      </c>
      <c r="AC1564" s="20" t="str">
        <f>D1564 &amp; "-" &amp; VLOOKUP(D1564,[4]STRATEGIES!$E$1:$F$504,2,FALSE)</f>
        <v>5313-Promotion de l’utilisation des données par les acteurs y compris les bénéficiaires concernés (dépliants, réunions d’échange, …)</v>
      </c>
      <c r="AD1564" s="21" t="str">
        <f t="shared" si="231"/>
        <v>53138-Partage des annuaires, rapports d'analyse et dépliants sur le site web du MESRS</v>
      </c>
    </row>
    <row r="1565" spans="1:30" s="22" customFormat="1" ht="61" hidden="1" x14ac:dyDescent="0.8">
      <c r="A1565" s="14">
        <v>5</v>
      </c>
      <c r="B1565" s="15">
        <v>53</v>
      </c>
      <c r="C1565" s="15">
        <v>531</v>
      </c>
      <c r="D1565" s="15">
        <v>5313</v>
      </c>
      <c r="E1565" s="14">
        <v>53139</v>
      </c>
      <c r="F1565" s="16" t="s">
        <v>2015</v>
      </c>
      <c r="G1565" s="21" t="s">
        <v>88</v>
      </c>
      <c r="H1565" s="17" t="s">
        <v>55</v>
      </c>
      <c r="I1565" s="56">
        <v>0</v>
      </c>
      <c r="J1565" s="56">
        <v>0</v>
      </c>
      <c r="K1565" s="56">
        <v>0</v>
      </c>
      <c r="L1565" s="56">
        <v>0</v>
      </c>
      <c r="M1565" s="56"/>
      <c r="N1565" s="56">
        <f>IF(OR(H1565="",H1565="sif",H1565="PM"),0,VLOOKUP(H1565,[5]CU!$C$4:$H$255,6,FALSE))</f>
        <v>0</v>
      </c>
      <c r="O1565" s="56"/>
      <c r="P1565" s="56"/>
      <c r="Q1565" s="56"/>
      <c r="R1565" s="56"/>
      <c r="S1565" s="53"/>
      <c r="T1565" s="35" t="s">
        <v>56</v>
      </c>
      <c r="U1565" s="18" t="s">
        <v>1873</v>
      </c>
      <c r="V1565" s="19" t="str">
        <f>IF(OR($H1565="",$H1565="sif",$H1565="PM"),"",VLOOKUP($H1565,[5]CU!$C$5:$J$255,8,FALSE))</f>
        <v/>
      </c>
      <c r="W1565" s="18" t="s">
        <v>96</v>
      </c>
      <c r="X1565" s="18" t="s">
        <v>96</v>
      </c>
      <c r="Y1565" s="18" t="s">
        <v>677</v>
      </c>
      <c r="Z1565" s="19" t="str">
        <f>A1565 &amp; "-" &amp; VLOOKUP(A1565,[4]PROGRAMMES!$E$1:$F$7,2,FALSE)</f>
        <v>5-Gouvernance et pilotage du secteur</v>
      </c>
      <c r="AA1565" s="19" t="str">
        <f>B1565 &amp; "-" &amp; VLOOKUP(B1565,[4]SOUSPROGRAMMES!$E$1:$F$44,2,FALSE)</f>
        <v xml:space="preserve">53- Systèmes d’information pour la gestion de l'éducation (collecte, analyse, diffusion, et utilisation des informations) </v>
      </c>
      <c r="AB1565" s="19" t="str">
        <f>C1565 &amp; "-" &amp; VLOOKUP(C1565,[4]RESULTATS!$E$1:$F$176,2,FALSE)</f>
        <v>531- La production des données permet d’offrir aux différents acteurs et utilisateurs à tous les niveaux l’information dont ils ont besoin</v>
      </c>
      <c r="AC1565" s="20" t="str">
        <f>D1565 &amp; "-" &amp; VLOOKUP(D1565,[4]STRATEGIES!$E$1:$F$504,2,FALSE)</f>
        <v>5313-Promotion de l’utilisation des données par les acteurs y compris les bénéficiaires concernés (dépliants, réunions d’échange, …)</v>
      </c>
      <c r="AD1565" s="21" t="str">
        <f t="shared" si="231"/>
        <v>53139-Partage des annuaires, rapports d'analyse et dépliants sur le site web du METFP</v>
      </c>
    </row>
    <row r="1566" spans="1:30" s="22" customFormat="1" ht="61" hidden="1" x14ac:dyDescent="0.8">
      <c r="A1566" s="14">
        <v>5</v>
      </c>
      <c r="B1566" s="15">
        <v>53</v>
      </c>
      <c r="C1566" s="15">
        <v>531</v>
      </c>
      <c r="D1566" s="15">
        <v>5313</v>
      </c>
      <c r="E1566" s="14">
        <v>531310</v>
      </c>
      <c r="F1566" s="16" t="s">
        <v>2016</v>
      </c>
      <c r="G1566" s="21" t="s">
        <v>88</v>
      </c>
      <c r="H1566" s="17" t="s">
        <v>55</v>
      </c>
      <c r="I1566" s="56">
        <v>0</v>
      </c>
      <c r="J1566" s="56">
        <v>0</v>
      </c>
      <c r="K1566" s="56">
        <v>0</v>
      </c>
      <c r="L1566" s="56">
        <v>0</v>
      </c>
      <c r="M1566" s="56"/>
      <c r="N1566" s="56">
        <f>IF(OR(H1566="",H1566="sif",H1566="PM"),0,VLOOKUP(H1566,[5]CU!$C$4:$H$255,6,FALSE))</f>
        <v>0</v>
      </c>
      <c r="O1566" s="56"/>
      <c r="P1566" s="56"/>
      <c r="Q1566" s="56"/>
      <c r="R1566" s="56"/>
      <c r="S1566" s="53"/>
      <c r="T1566" s="35" t="s">
        <v>56</v>
      </c>
      <c r="U1566" s="18" t="s">
        <v>1873</v>
      </c>
      <c r="V1566" s="19" t="str">
        <f>IF(OR($H1566="",$H1566="sif",$H1566="PM"),"",VLOOKUP($H1566,[5]CU!$C$5:$J$255,8,FALSE))</f>
        <v/>
      </c>
      <c r="W1566" s="18" t="s">
        <v>96</v>
      </c>
      <c r="X1566" s="18" t="s">
        <v>96</v>
      </c>
      <c r="Y1566" s="19" t="s">
        <v>32</v>
      </c>
      <c r="Z1566" s="19" t="str">
        <f>A1566 &amp; "-" &amp; VLOOKUP(A1566,[4]PROGRAMMES!$E$1:$F$7,2,FALSE)</f>
        <v>5-Gouvernance et pilotage du secteur</v>
      </c>
      <c r="AA1566" s="19" t="str">
        <f>B1566 &amp; "-" &amp; VLOOKUP(B1566,[4]SOUSPROGRAMMES!$E$1:$F$44,2,FALSE)</f>
        <v xml:space="preserve">53- Systèmes d’information pour la gestion de l'éducation (collecte, analyse, diffusion, et utilisation des informations) </v>
      </c>
      <c r="AB1566" s="19" t="str">
        <f>C1566 &amp; "-" &amp; VLOOKUP(C1566,[4]RESULTATS!$E$1:$F$176,2,FALSE)</f>
        <v>531- La production des données permet d’offrir aux différents acteurs et utilisateurs à tous les niveaux l’information dont ils ont besoin</v>
      </c>
      <c r="AC1566" s="20" t="str">
        <f>D1566 &amp; "-" &amp; VLOOKUP(D1566,[4]STRATEGIES!$E$1:$F$504,2,FALSE)</f>
        <v>5313-Promotion de l’utilisation des données par les acteurs y compris les bénéficiaires concernés (dépliants, réunions d’échange, …)</v>
      </c>
      <c r="AD1566" s="21" t="str">
        <f t="shared" si="231"/>
        <v>531310-Mise à jour des questionnaires internationaux (ISU, UNESCO, ISESCO, …)</v>
      </c>
    </row>
    <row r="1567" spans="1:30" s="22" customFormat="1" ht="61" hidden="1" x14ac:dyDescent="0.8">
      <c r="A1567" s="14">
        <v>5</v>
      </c>
      <c r="B1567" s="15">
        <v>53</v>
      </c>
      <c r="C1567" s="15">
        <v>531</v>
      </c>
      <c r="D1567" s="15">
        <v>5313</v>
      </c>
      <c r="E1567" s="14">
        <v>531311</v>
      </c>
      <c r="F1567" s="16" t="s">
        <v>2017</v>
      </c>
      <c r="G1567" s="21" t="s">
        <v>88</v>
      </c>
      <c r="H1567" s="17" t="s">
        <v>55</v>
      </c>
      <c r="I1567" s="56">
        <v>0</v>
      </c>
      <c r="J1567" s="56">
        <v>0</v>
      </c>
      <c r="K1567" s="56">
        <v>0</v>
      </c>
      <c r="L1567" s="56">
        <v>0</v>
      </c>
      <c r="M1567" s="56"/>
      <c r="N1567" s="56">
        <f>IF(OR(H1567="",H1567="sif",H1567="PM"),0,VLOOKUP(H1567,[5]CU!$C$4:$H$255,6,FALSE))</f>
        <v>0</v>
      </c>
      <c r="O1567" s="56"/>
      <c r="P1567" s="56"/>
      <c r="Q1567" s="56"/>
      <c r="R1567" s="56"/>
      <c r="S1567" s="53"/>
      <c r="T1567" s="35" t="s">
        <v>56</v>
      </c>
      <c r="U1567" s="18" t="s">
        <v>1873</v>
      </c>
      <c r="V1567" s="19" t="str">
        <f>IF(OR($H1567="",$H1567="sif",$H1567="PM"),"",VLOOKUP($H1567,[5]CU!$C$5:$J$255,8,FALSE))</f>
        <v/>
      </c>
      <c r="W1567" s="18" t="s">
        <v>96</v>
      </c>
      <c r="X1567" s="18" t="s">
        <v>96</v>
      </c>
      <c r="Y1567" s="18" t="s">
        <v>679</v>
      </c>
      <c r="Z1567" s="19" t="str">
        <f>A1567 &amp; "-" &amp; VLOOKUP(A1567,[4]PROGRAMMES!$E$1:$F$7,2,FALSE)</f>
        <v>5-Gouvernance et pilotage du secteur</v>
      </c>
      <c r="AA1567" s="19" t="str">
        <f>B1567 &amp; "-" &amp; VLOOKUP(B1567,[4]SOUSPROGRAMMES!$E$1:$F$44,2,FALSE)</f>
        <v xml:space="preserve">53- Systèmes d’information pour la gestion de l'éducation (collecte, analyse, diffusion, et utilisation des informations) </v>
      </c>
      <c r="AB1567" s="19" t="str">
        <f>C1567 &amp; "-" &amp; VLOOKUP(C1567,[4]RESULTATS!$E$1:$F$176,2,FALSE)</f>
        <v>531- La production des données permet d’offrir aux différents acteurs et utilisateurs à tous les niveaux l’information dont ils ont besoin</v>
      </c>
      <c r="AC1567" s="20" t="str">
        <f>D1567 &amp; "-" &amp; VLOOKUP(D1567,[4]STRATEGIES!$E$1:$F$504,2,FALSE)</f>
        <v>5313-Promotion de l’utilisation des données par les acteurs y compris les bénéficiaires concernés (dépliants, réunions d’échange, …)</v>
      </c>
      <c r="AD1567" s="21" t="str">
        <f t="shared" si="231"/>
        <v>531311-Mise à jour des questionnaires internationaux (ISU, UNESCO, ISESCO,)</v>
      </c>
    </row>
    <row r="1568" spans="1:30" s="22" customFormat="1" ht="61" hidden="1" x14ac:dyDescent="0.8">
      <c r="A1568" s="14">
        <v>5</v>
      </c>
      <c r="B1568" s="15">
        <v>53</v>
      </c>
      <c r="C1568" s="15">
        <v>531</v>
      </c>
      <c r="D1568" s="15">
        <v>5313</v>
      </c>
      <c r="E1568" s="14">
        <v>531312</v>
      </c>
      <c r="F1568" s="16" t="s">
        <v>2017</v>
      </c>
      <c r="G1568" s="21" t="s">
        <v>88</v>
      </c>
      <c r="H1568" s="17" t="s">
        <v>55</v>
      </c>
      <c r="I1568" s="56">
        <v>0</v>
      </c>
      <c r="J1568" s="56">
        <v>0</v>
      </c>
      <c r="K1568" s="56">
        <v>0</v>
      </c>
      <c r="L1568" s="56">
        <v>0</v>
      </c>
      <c r="M1568" s="56"/>
      <c r="N1568" s="56">
        <f>IF(OR(H1568="",H1568="sif",H1568="PM"),0,VLOOKUP(H1568,[5]CU!$C$4:$H$255,6,FALSE))</f>
        <v>0</v>
      </c>
      <c r="O1568" s="56"/>
      <c r="P1568" s="56"/>
      <c r="Q1568" s="56"/>
      <c r="R1568" s="56"/>
      <c r="S1568" s="53"/>
      <c r="T1568" s="35" t="s">
        <v>56</v>
      </c>
      <c r="U1568" s="18" t="s">
        <v>1873</v>
      </c>
      <c r="V1568" s="19" t="str">
        <f>IF(OR($H1568="",$H1568="sif",$H1568="PM"),"",VLOOKUP($H1568,[5]CU!$C$5:$J$255,8,FALSE))</f>
        <v/>
      </c>
      <c r="W1568" s="18" t="s">
        <v>96</v>
      </c>
      <c r="X1568" s="18" t="s">
        <v>96</v>
      </c>
      <c r="Y1568" s="18" t="s">
        <v>677</v>
      </c>
      <c r="Z1568" s="19" t="str">
        <f>A1568 &amp; "-" &amp; VLOOKUP(A1568,[4]PROGRAMMES!$E$1:$F$7,2,FALSE)</f>
        <v>5-Gouvernance et pilotage du secteur</v>
      </c>
      <c r="AA1568" s="19" t="str">
        <f>B1568 &amp; "-" &amp; VLOOKUP(B1568,[4]SOUSPROGRAMMES!$E$1:$F$44,2,FALSE)</f>
        <v xml:space="preserve">53- Systèmes d’information pour la gestion de l'éducation (collecte, analyse, diffusion, et utilisation des informations) </v>
      </c>
      <c r="AB1568" s="19" t="str">
        <f>C1568 &amp; "-" &amp; VLOOKUP(C1568,[4]RESULTATS!$E$1:$F$176,2,FALSE)</f>
        <v>531- La production des données permet d’offrir aux différents acteurs et utilisateurs à tous les niveaux l’information dont ils ont besoin</v>
      </c>
      <c r="AC1568" s="20" t="str">
        <f>D1568 &amp; "-" &amp; VLOOKUP(D1568,[4]STRATEGIES!$E$1:$F$504,2,FALSE)</f>
        <v>5313-Promotion de l’utilisation des données par les acteurs y compris les bénéficiaires concernés (dépliants, réunions d’échange, …)</v>
      </c>
      <c r="AD1568" s="21" t="str">
        <f t="shared" si="231"/>
        <v>531312-Mise à jour des questionnaires internationaux (ISU, UNESCO, ISESCO,)</v>
      </c>
    </row>
    <row r="1569" spans="1:30" s="22" customFormat="1" ht="61" x14ac:dyDescent="0.8">
      <c r="A1569" s="14">
        <v>5</v>
      </c>
      <c r="B1569" s="15">
        <v>53</v>
      </c>
      <c r="C1569" s="15">
        <v>531</v>
      </c>
      <c r="D1569" s="15">
        <v>5313</v>
      </c>
      <c r="E1569" s="14">
        <v>531313</v>
      </c>
      <c r="F1569" s="16" t="s">
        <v>2018</v>
      </c>
      <c r="G1569" s="21" t="s">
        <v>436</v>
      </c>
      <c r="H1569" s="17" t="s">
        <v>52</v>
      </c>
      <c r="I1569" s="56">
        <v>0</v>
      </c>
      <c r="J1569" s="53">
        <v>72</v>
      </c>
      <c r="K1569" s="53">
        <v>72</v>
      </c>
      <c r="L1569" s="53">
        <v>78</v>
      </c>
      <c r="M1569" s="53">
        <f>SUM(I1569:L1569)</f>
        <v>222</v>
      </c>
      <c r="N1569" s="53">
        <f>IF(OR(H1569="",H1569="sif",H1569="PM"),0,VLOOKUP(H1569,[5]CU!$C$4:$H$255,6,FALSE))</f>
        <v>1.5</v>
      </c>
      <c r="O1569" s="53">
        <f t="shared" ref="O1569:R1570" si="234">IFERROR($N1569*I1569,0)</f>
        <v>0</v>
      </c>
      <c r="P1569" s="53">
        <f t="shared" si="234"/>
        <v>108</v>
      </c>
      <c r="Q1569" s="53">
        <f t="shared" si="234"/>
        <v>108</v>
      </c>
      <c r="R1569" s="53">
        <f t="shared" si="234"/>
        <v>117</v>
      </c>
      <c r="S1569" s="53">
        <f>SUM(O1569:R1569)</f>
        <v>333</v>
      </c>
      <c r="T1569" s="35" t="s">
        <v>67</v>
      </c>
      <c r="U1569" s="19" t="s">
        <v>1873</v>
      </c>
      <c r="V1569" s="19" t="str">
        <f>IF(OR($H1569="",$H1569="sif",$H1569="PM"),"",VLOOKUP($H1569,[5]CU!$C$5:$J$255,8,FALSE))</f>
        <v>3. Formation</v>
      </c>
      <c r="W1569" s="19" t="s">
        <v>96</v>
      </c>
      <c r="X1569" s="19" t="s">
        <v>96</v>
      </c>
      <c r="Y1569" s="19" t="s">
        <v>32</v>
      </c>
      <c r="Z1569" s="19" t="str">
        <f>A1569 &amp; "-" &amp; VLOOKUP(A1569,[4]PROGRAMMES!$E$1:$F$7,2,FALSE)</f>
        <v>5-Gouvernance et pilotage du secteur</v>
      </c>
      <c r="AA1569" s="19" t="str">
        <f>B1569 &amp; "-" &amp; VLOOKUP(B1569,[4]SOUSPROGRAMMES!$E$1:$F$44,2,FALSE)</f>
        <v xml:space="preserve">53- Systèmes d’information pour la gestion de l'éducation (collecte, analyse, diffusion, et utilisation des informations) </v>
      </c>
      <c r="AB1569" s="19" t="str">
        <f>C1569 &amp; "-" &amp; VLOOKUP(C1569,[4]RESULTATS!$E$1:$F$176,2,FALSE)</f>
        <v>531- La production des données permet d’offrir aux différents acteurs et utilisateurs à tous les niveaux l’information dont ils ont besoin</v>
      </c>
      <c r="AC1569" s="20" t="str">
        <f>D1569 &amp; "-" &amp; VLOOKUP(D1569,[4]STRATEGIES!$E$1:$F$504,2,FALSE)</f>
        <v>5313-Promotion de l’utilisation des données par les acteurs y compris les bénéficiaires concernés (dépliants, réunions d’échange, …)</v>
      </c>
      <c r="AD1569" s="21" t="str">
        <f t="shared" si="231"/>
        <v>531313-Appui à l'utilisation des données par les écoles pour le suivi et monitoring des indicateurs</v>
      </c>
    </row>
    <row r="1570" spans="1:30" s="22" customFormat="1" ht="61" x14ac:dyDescent="0.8">
      <c r="A1570" s="14">
        <v>5</v>
      </c>
      <c r="B1570" s="15">
        <v>53</v>
      </c>
      <c r="C1570" s="15">
        <v>531</v>
      </c>
      <c r="D1570" s="15">
        <v>5313</v>
      </c>
      <c r="E1570" s="14">
        <v>531313</v>
      </c>
      <c r="F1570" s="16" t="s">
        <v>2018</v>
      </c>
      <c r="G1570" s="21" t="s">
        <v>436</v>
      </c>
      <c r="H1570" s="17" t="s">
        <v>52</v>
      </c>
      <c r="I1570" s="56">
        <v>0</v>
      </c>
      <c r="J1570" s="56">
        <f>100*5-J1569</f>
        <v>428</v>
      </c>
      <c r="K1570" s="56">
        <f>150*6-K1569</f>
        <v>828</v>
      </c>
      <c r="L1570" s="56">
        <f>200*6-L1569</f>
        <v>1122</v>
      </c>
      <c r="M1570" s="56">
        <f>SUM(I1570:L1570)</f>
        <v>2378</v>
      </c>
      <c r="N1570" s="56">
        <f>IF(OR(H1570="",H1570="sif",H1570="PM"),0,VLOOKUP(H1570,[5]CU!$C$4:$H$255,6,FALSE))</f>
        <v>1.5</v>
      </c>
      <c r="O1570" s="56">
        <f t="shared" si="234"/>
        <v>0</v>
      </c>
      <c r="P1570" s="56">
        <f t="shared" si="234"/>
        <v>642</v>
      </c>
      <c r="Q1570" s="56">
        <f t="shared" si="234"/>
        <v>1242</v>
      </c>
      <c r="R1570" s="56">
        <f t="shared" si="234"/>
        <v>1683</v>
      </c>
      <c r="S1570" s="53">
        <f>SUM(O1570:R1570)</f>
        <v>3567</v>
      </c>
      <c r="T1570" s="35" t="s">
        <v>39</v>
      </c>
      <c r="U1570" s="19" t="s">
        <v>1873</v>
      </c>
      <c r="V1570" s="19" t="str">
        <f>IF(OR($H1570="",$H1570="sif",$H1570="PM"),"",VLOOKUP($H1570,[5]CU!$C$5:$J$255,8,FALSE))</f>
        <v>3. Formation</v>
      </c>
      <c r="W1570" s="19" t="s">
        <v>96</v>
      </c>
      <c r="X1570" s="19" t="s">
        <v>96</v>
      </c>
      <c r="Y1570" s="19" t="s">
        <v>677</v>
      </c>
      <c r="Z1570" s="19" t="str">
        <f>A1570 &amp; "-" &amp; VLOOKUP(A1570,[4]PROGRAMMES!$E$1:$F$7,2,FALSE)</f>
        <v>5-Gouvernance et pilotage du secteur</v>
      </c>
      <c r="AA1570" s="19" t="str">
        <f>B1570 &amp; "-" &amp; VLOOKUP(B1570,[4]SOUSPROGRAMMES!$E$1:$F$44,2,FALSE)</f>
        <v xml:space="preserve">53- Systèmes d’information pour la gestion de l'éducation (collecte, analyse, diffusion, et utilisation des informations) </v>
      </c>
      <c r="AB1570" s="19" t="str">
        <f>C1570 &amp; "-" &amp; VLOOKUP(C1570,[4]RESULTATS!$E$1:$F$176,2,FALSE)</f>
        <v>531- La production des données permet d’offrir aux différents acteurs et utilisateurs à tous les niveaux l’information dont ils ont besoin</v>
      </c>
      <c r="AC1570" s="20" t="str">
        <f>D1570 &amp; "-" &amp; VLOOKUP(D1570,[4]STRATEGIES!$E$1:$F$504,2,FALSE)</f>
        <v>5313-Promotion de l’utilisation des données par les acteurs y compris les bénéficiaires concernés (dépliants, réunions d’échange, …)</v>
      </c>
      <c r="AD1570" s="21" t="str">
        <f t="shared" si="231"/>
        <v>531313-Appui à l'utilisation des données par les écoles pour le suivi et monitoring des indicateurs</v>
      </c>
    </row>
    <row r="1571" spans="1:30" s="22" customFormat="1" ht="61" x14ac:dyDescent="0.8">
      <c r="A1571" s="14">
        <v>5</v>
      </c>
      <c r="B1571" s="15">
        <v>53</v>
      </c>
      <c r="C1571" s="15">
        <v>532</v>
      </c>
      <c r="D1571" s="15">
        <v>532</v>
      </c>
      <c r="E1571" s="14">
        <v>532</v>
      </c>
      <c r="F1571" s="16" t="s">
        <v>2019</v>
      </c>
      <c r="G1571" s="17"/>
      <c r="H1571" s="17"/>
      <c r="I1571" s="56">
        <v>0</v>
      </c>
      <c r="J1571" s="56"/>
      <c r="K1571" s="56"/>
      <c r="L1571" s="56"/>
      <c r="M1571" s="56"/>
      <c r="N1571" s="56"/>
      <c r="O1571" s="56"/>
      <c r="P1571" s="56"/>
      <c r="Q1571" s="56"/>
      <c r="R1571" s="56"/>
      <c r="S1571" s="53"/>
      <c r="T1571" s="33"/>
      <c r="U1571" s="18"/>
      <c r="V1571" s="19"/>
      <c r="W1571" s="18"/>
      <c r="X1571" s="18"/>
      <c r="Y1571" s="18"/>
      <c r="Z1571" s="19" t="str">
        <f>A1571 &amp; "-" &amp; VLOOKUP(A1571,[4]PROGRAMMES!$E$1:$F$7,2,FALSE)</f>
        <v>5-Gouvernance et pilotage du secteur</v>
      </c>
      <c r="AA1571" s="19" t="str">
        <f>B1571 &amp; "-" &amp; VLOOKUP(B1571,[4]SOUSPROGRAMMES!$E$1:$F$44,2,FALSE)</f>
        <v xml:space="preserve">53- Systèmes d’information pour la gestion de l'éducation (collecte, analyse, diffusion, et utilisation des informations) </v>
      </c>
      <c r="AB1571" s="19" t="str">
        <f>C1571 &amp; "-" &amp; VLOOKUP(C1571,[4]RESULTATS!$E$1:$F$176,2,FALSE)</f>
        <v>532- Le Système d'Informations et de Gestion de l'Education est intégré et est utilisé pour la prise de décision</v>
      </c>
      <c r="AC1571" s="20" t="str">
        <f>D1571 &amp; "-" &amp; VLOOKUP(D1571,[4]STRATEGIES!$E$1:$F$504,2,FALSE)</f>
        <v>532- Le Système d'Informations et de Gestion de l'Education est intégré et est utilisé pour la prise de décision</v>
      </c>
      <c r="AD1571" s="21" t="str">
        <f t="shared" si="231"/>
        <v>532- Le Système d'Informations et de Gestion de l'Education est intégré et est utilisé pour la prise de décision</v>
      </c>
    </row>
    <row r="1572" spans="1:30" s="22" customFormat="1" ht="61" x14ac:dyDescent="0.8">
      <c r="A1572" s="14">
        <v>5</v>
      </c>
      <c r="B1572" s="15">
        <v>53</v>
      </c>
      <c r="C1572" s="15">
        <v>532</v>
      </c>
      <c r="D1572" s="15">
        <v>5321</v>
      </c>
      <c r="E1572" s="14">
        <v>5321</v>
      </c>
      <c r="F1572" s="16" t="s">
        <v>2020</v>
      </c>
      <c r="G1572" s="17"/>
      <c r="H1572" s="17"/>
      <c r="I1572" s="56">
        <v>0</v>
      </c>
      <c r="J1572" s="56"/>
      <c r="K1572" s="56"/>
      <c r="L1572" s="56"/>
      <c r="M1572" s="56"/>
      <c r="N1572" s="56"/>
      <c r="O1572" s="56"/>
      <c r="P1572" s="56"/>
      <c r="Q1572" s="56"/>
      <c r="R1572" s="56"/>
      <c r="S1572" s="53"/>
      <c r="T1572" s="33"/>
      <c r="U1572" s="18"/>
      <c r="V1572" s="19"/>
      <c r="W1572" s="18"/>
      <c r="X1572" s="18"/>
      <c r="Y1572" s="18"/>
      <c r="Z1572" s="19" t="str">
        <f>A1572 &amp; "-" &amp; VLOOKUP(A1572,[4]PROGRAMMES!$E$1:$F$7,2,FALSE)</f>
        <v>5-Gouvernance et pilotage du secteur</v>
      </c>
      <c r="AA1572" s="19" t="str">
        <f>B1572 &amp; "-" &amp; VLOOKUP(B1572,[4]SOUSPROGRAMMES!$E$1:$F$44,2,FALSE)</f>
        <v xml:space="preserve">53- Systèmes d’information pour la gestion de l'éducation (collecte, analyse, diffusion, et utilisation des informations) </v>
      </c>
      <c r="AB1572" s="19" t="str">
        <f>C1572 &amp; "-" &amp; VLOOKUP(C1572,[4]RESULTATS!$E$1:$F$176,2,FALSE)</f>
        <v>532- Le Système d'Informations et de Gestion de l'Education est intégré et est utilisé pour la prise de décision</v>
      </c>
      <c r="AC1572" s="20" t="str">
        <f>D1572 &amp; "-" &amp; VLOOKUP(D1572,[4]STRATEGIES!$E$1:$F$504,2,FALSE)</f>
        <v>5321-Intégration des Systèmes d'Informations et de Gestion de l'Education</v>
      </c>
      <c r="AD1572" s="21" t="str">
        <f t="shared" si="231"/>
        <v>5321-Intégration des Systèmes d'Informations et de Gestion de l'Education</v>
      </c>
    </row>
    <row r="1573" spans="1:30" s="22" customFormat="1" ht="61" hidden="1" x14ac:dyDescent="0.8">
      <c r="A1573" s="14">
        <v>5</v>
      </c>
      <c r="B1573" s="15">
        <v>53</v>
      </c>
      <c r="C1573" s="15">
        <v>532</v>
      </c>
      <c r="D1573" s="15">
        <v>5321</v>
      </c>
      <c r="E1573" s="14">
        <v>53211</v>
      </c>
      <c r="F1573" s="16" t="s">
        <v>2021</v>
      </c>
      <c r="G1573" s="21" t="s">
        <v>88</v>
      </c>
      <c r="H1573" s="17" t="s">
        <v>55</v>
      </c>
      <c r="I1573" s="56">
        <v>0</v>
      </c>
      <c r="J1573" s="56">
        <v>1</v>
      </c>
      <c r="K1573" s="56">
        <v>0</v>
      </c>
      <c r="L1573" s="56">
        <v>0</v>
      </c>
      <c r="M1573" s="56">
        <f t="shared" ref="M1573:M1584" si="235">SUM(I1573:L1573)</f>
        <v>1</v>
      </c>
      <c r="N1573" s="56">
        <f>IF(OR(H1573="",H1573="sif",H1573="PM"),0,VLOOKUP(H1573,[5]CU!$C$4:$H$255,6,FALSE))</f>
        <v>0</v>
      </c>
      <c r="O1573" s="56">
        <f t="shared" ref="O1573:R1584" si="236">IFERROR($N1573*I1573,0)</f>
        <v>0</v>
      </c>
      <c r="P1573" s="56">
        <f t="shared" si="236"/>
        <v>0</v>
      </c>
      <c r="Q1573" s="56">
        <f t="shared" si="236"/>
        <v>0</v>
      </c>
      <c r="R1573" s="56">
        <f t="shared" si="236"/>
        <v>0</v>
      </c>
      <c r="S1573" s="53"/>
      <c r="T1573" s="35" t="s">
        <v>56</v>
      </c>
      <c r="U1573" s="18" t="s">
        <v>1873</v>
      </c>
      <c r="V1573" s="19" t="str">
        <f>IF(OR($H1573="",$H1573="sif",$H1573="PM"),"",VLOOKUP($H1573,[5]CU!$C$5:$J$255,8,FALSE))</f>
        <v/>
      </c>
      <c r="W1573" s="18" t="s">
        <v>96</v>
      </c>
      <c r="X1573" s="18" t="s">
        <v>96</v>
      </c>
      <c r="Y1573" s="19" t="s">
        <v>32</v>
      </c>
      <c r="Z1573" s="19" t="str">
        <f>A1573 &amp; "-" &amp; VLOOKUP(A1573,[4]PROGRAMMES!$E$1:$F$7,2,FALSE)</f>
        <v>5-Gouvernance et pilotage du secteur</v>
      </c>
      <c r="AA1573" s="19" t="str">
        <f>B1573 &amp; "-" &amp; VLOOKUP(B1573,[4]SOUSPROGRAMMES!$E$1:$F$44,2,FALSE)</f>
        <v xml:space="preserve">53- Systèmes d’information pour la gestion de l'éducation (collecte, analyse, diffusion, et utilisation des informations) </v>
      </c>
      <c r="AB1573" s="19" t="str">
        <f>C1573 &amp; "-" &amp; VLOOKUP(C1573,[4]RESULTATS!$E$1:$F$176,2,FALSE)</f>
        <v>532- Le Système d'Informations et de Gestion de l'Education est intégré et est utilisé pour la prise de décision</v>
      </c>
      <c r="AC1573" s="20" t="str">
        <f>D1573 &amp; "-" &amp; VLOOKUP(D1573,[4]STRATEGIES!$E$1:$F$504,2,FALSE)</f>
        <v>5321-Intégration des Systèmes d'Informations et de Gestion de l'Education</v>
      </c>
      <c r="AD1573" s="21" t="str">
        <f t="shared" si="231"/>
        <v xml:space="preserve">53211-Elaboration des TDR pour l'élaboration du schéma directeur du SIGE </v>
      </c>
    </row>
    <row r="1574" spans="1:30" s="22" customFormat="1" ht="61" hidden="1" x14ac:dyDescent="0.8">
      <c r="A1574" s="14">
        <v>5</v>
      </c>
      <c r="B1574" s="15">
        <v>53</v>
      </c>
      <c r="C1574" s="15">
        <v>532</v>
      </c>
      <c r="D1574" s="15">
        <v>5321</v>
      </c>
      <c r="E1574" s="14">
        <v>53212</v>
      </c>
      <c r="F1574" s="16" t="s">
        <v>2022</v>
      </c>
      <c r="G1574" s="21" t="s">
        <v>92</v>
      </c>
      <c r="H1574" s="17" t="s">
        <v>55</v>
      </c>
      <c r="I1574" s="56">
        <v>0</v>
      </c>
      <c r="J1574" s="56">
        <v>1</v>
      </c>
      <c r="K1574" s="56">
        <v>1</v>
      </c>
      <c r="L1574" s="56">
        <v>0</v>
      </c>
      <c r="M1574" s="56">
        <f t="shared" si="235"/>
        <v>2</v>
      </c>
      <c r="N1574" s="56">
        <f>IF(OR(H1574="",H1574="sif",H1574="PM"),0,VLOOKUP(H1574,[5]CU!$C$4:$H$255,6,FALSE))</f>
        <v>0</v>
      </c>
      <c r="O1574" s="56">
        <f t="shared" si="236"/>
        <v>0</v>
      </c>
      <c r="P1574" s="56">
        <f t="shared" si="236"/>
        <v>0</v>
      </c>
      <c r="Q1574" s="56">
        <f t="shared" si="236"/>
        <v>0</v>
      </c>
      <c r="R1574" s="56">
        <f t="shared" si="236"/>
        <v>0</v>
      </c>
      <c r="S1574" s="53"/>
      <c r="T1574" s="35" t="s">
        <v>56</v>
      </c>
      <c r="U1574" s="18" t="s">
        <v>1873</v>
      </c>
      <c r="V1574" s="19" t="str">
        <f>IF(OR($H1574="",$H1574="sif",$H1574="PM"),"",VLOOKUP($H1574,[5]CU!$C$5:$J$255,8,FALSE))</f>
        <v/>
      </c>
      <c r="W1574" s="18" t="s">
        <v>96</v>
      </c>
      <c r="X1574" s="18" t="s">
        <v>1976</v>
      </c>
      <c r="Y1574" s="19" t="s">
        <v>32</v>
      </c>
      <c r="Z1574" s="19" t="str">
        <f>A1574 &amp; "-" &amp; VLOOKUP(A1574,[4]PROGRAMMES!$E$1:$F$7,2,FALSE)</f>
        <v>5-Gouvernance et pilotage du secteur</v>
      </c>
      <c r="AA1574" s="19" t="str">
        <f>B1574 &amp; "-" &amp; VLOOKUP(B1574,[4]SOUSPROGRAMMES!$E$1:$F$44,2,FALSE)</f>
        <v xml:space="preserve">53- Systèmes d’information pour la gestion de l'éducation (collecte, analyse, diffusion, et utilisation des informations) </v>
      </c>
      <c r="AB1574" s="19" t="str">
        <f>C1574 &amp; "-" &amp; VLOOKUP(C1574,[4]RESULTATS!$E$1:$F$176,2,FALSE)</f>
        <v>532- Le Système d'Informations et de Gestion de l'Education est intégré et est utilisé pour la prise de décision</v>
      </c>
      <c r="AC1574" s="20" t="str">
        <f>D1574 &amp; "-" &amp; VLOOKUP(D1574,[4]STRATEGIES!$E$1:$F$504,2,FALSE)</f>
        <v>5321-Intégration des Systèmes d'Informations et de Gestion de l'Education</v>
      </c>
      <c r="AD1574" s="21" t="str">
        <f t="shared" si="231"/>
        <v>53212-Appui à l'identification des besoins, élaboration d'un cahier de charges et déFinition d'un schéma directeur pour la collecte numérique (pris en compte par l'assistance technique activité 541212)</v>
      </c>
    </row>
    <row r="1575" spans="1:30" s="22" customFormat="1" ht="61" x14ac:dyDescent="0.8">
      <c r="A1575" s="14">
        <v>5</v>
      </c>
      <c r="B1575" s="15">
        <v>53</v>
      </c>
      <c r="C1575" s="15">
        <v>532</v>
      </c>
      <c r="D1575" s="15">
        <v>5321</v>
      </c>
      <c r="E1575" s="14">
        <v>53213</v>
      </c>
      <c r="F1575" s="16" t="s">
        <v>2023</v>
      </c>
      <c r="G1575" s="21" t="s">
        <v>298</v>
      </c>
      <c r="H1575" s="17" t="s">
        <v>38</v>
      </c>
      <c r="I1575" s="56">
        <v>0</v>
      </c>
      <c r="J1575" s="56">
        <f>25*1</f>
        <v>25</v>
      </c>
      <c r="K1575" s="56"/>
      <c r="L1575" s="56"/>
      <c r="M1575" s="56">
        <f t="shared" si="235"/>
        <v>25</v>
      </c>
      <c r="N1575" s="56">
        <f>IF(OR(H1575="",H1575="sif",H1575="PM"),0,VLOOKUP(H1575,[5]CU!$C$4:$H$255,6,FALSE))</f>
        <v>0.3133333333333333</v>
      </c>
      <c r="O1575" s="56">
        <f t="shared" si="236"/>
        <v>0</v>
      </c>
      <c r="P1575" s="56">
        <f t="shared" si="236"/>
        <v>7.8333333333333321</v>
      </c>
      <c r="Q1575" s="56">
        <f t="shared" si="236"/>
        <v>0</v>
      </c>
      <c r="R1575" s="56">
        <f t="shared" si="236"/>
        <v>0</v>
      </c>
      <c r="S1575" s="53">
        <f>SUM(O1575:R1575)</f>
        <v>7.8333333333333321</v>
      </c>
      <c r="T1575" s="35" t="s">
        <v>39</v>
      </c>
      <c r="U1575" s="19" t="s">
        <v>1873</v>
      </c>
      <c r="V1575" s="19" t="str">
        <f>IF(OR($H1575="",$H1575="sif",$H1575="PM"),"",VLOOKUP($H1575,[5]CU!$C$5:$J$255,8,FALSE))</f>
        <v>3. Formation</v>
      </c>
      <c r="W1575" s="19" t="s">
        <v>96</v>
      </c>
      <c r="X1575" s="19" t="s">
        <v>1976</v>
      </c>
      <c r="Y1575" s="19" t="s">
        <v>32</v>
      </c>
      <c r="Z1575" s="19" t="str">
        <f>A1575 &amp; "-" &amp; VLOOKUP(A1575,[4]PROGRAMMES!$E$1:$F$7,2,FALSE)</f>
        <v>5-Gouvernance et pilotage du secteur</v>
      </c>
      <c r="AA1575" s="19" t="str">
        <f>B1575 &amp; "-" &amp; VLOOKUP(B1575,[4]SOUSPROGRAMMES!$E$1:$F$44,2,FALSE)</f>
        <v xml:space="preserve">53- Systèmes d’information pour la gestion de l'éducation (collecte, analyse, diffusion, et utilisation des informations) </v>
      </c>
      <c r="AB1575" s="19" t="str">
        <f>C1575 &amp; "-" &amp; VLOOKUP(C1575,[4]RESULTATS!$E$1:$F$176,2,FALSE)</f>
        <v>532- Le Système d'Informations et de Gestion de l'Education est intégré et est utilisé pour la prise de décision</v>
      </c>
      <c r="AC1575" s="20" t="str">
        <f>D1575 &amp; "-" &amp; VLOOKUP(D1575,[4]STRATEGIES!$E$1:$F$504,2,FALSE)</f>
        <v>5321-Intégration des Systèmes d'Informations et de Gestion de l'Education</v>
      </c>
      <c r="AD1575" s="21" t="str">
        <f t="shared" si="231"/>
        <v>53213-Validation du schéma directeur</v>
      </c>
    </row>
    <row r="1576" spans="1:30" s="22" customFormat="1" ht="61" hidden="1" x14ac:dyDescent="0.8">
      <c r="A1576" s="14">
        <v>5</v>
      </c>
      <c r="B1576" s="15">
        <v>53</v>
      </c>
      <c r="C1576" s="15">
        <v>532</v>
      </c>
      <c r="D1576" s="15">
        <v>5321</v>
      </c>
      <c r="E1576" s="14">
        <v>53214</v>
      </c>
      <c r="F1576" s="16" t="s">
        <v>2024</v>
      </c>
      <c r="G1576" s="21" t="s">
        <v>92</v>
      </c>
      <c r="H1576" s="17" t="s">
        <v>55</v>
      </c>
      <c r="I1576" s="56">
        <v>0</v>
      </c>
      <c r="J1576" s="56"/>
      <c r="K1576" s="56">
        <v>1</v>
      </c>
      <c r="L1576" s="56">
        <v>1</v>
      </c>
      <c r="M1576" s="56">
        <f t="shared" si="235"/>
        <v>2</v>
      </c>
      <c r="N1576" s="56">
        <f>IF(OR(H1576="",H1576="sif",H1576="PM"),0,VLOOKUP(H1576,[5]CU!$C$4:$H$255,6,FALSE))</f>
        <v>0</v>
      </c>
      <c r="O1576" s="56">
        <f t="shared" si="236"/>
        <v>0</v>
      </c>
      <c r="P1576" s="56">
        <f t="shared" si="236"/>
        <v>0</v>
      </c>
      <c r="Q1576" s="56">
        <f t="shared" si="236"/>
        <v>0</v>
      </c>
      <c r="R1576" s="56">
        <f t="shared" si="236"/>
        <v>0</v>
      </c>
      <c r="S1576" s="53"/>
      <c r="T1576" s="35" t="s">
        <v>56</v>
      </c>
      <c r="U1576" s="18" t="s">
        <v>1873</v>
      </c>
      <c r="V1576" s="19" t="str">
        <f>IF(OR($H1576="",$H1576="sif",$H1576="PM"),"",VLOOKUP($H1576,[5]CU!$C$5:$J$255,8,FALSE))</f>
        <v/>
      </c>
      <c r="W1576" s="18" t="s">
        <v>96</v>
      </c>
      <c r="X1576" s="18" t="s">
        <v>96</v>
      </c>
      <c r="Y1576" s="19" t="s">
        <v>32</v>
      </c>
      <c r="Z1576" s="19" t="str">
        <f>A1576 &amp; "-" &amp; VLOOKUP(A1576,[4]PROGRAMMES!$E$1:$F$7,2,FALSE)</f>
        <v>5-Gouvernance et pilotage du secteur</v>
      </c>
      <c r="AA1576" s="19" t="str">
        <f>B1576 &amp; "-" &amp; VLOOKUP(B1576,[4]SOUSPROGRAMMES!$E$1:$F$44,2,FALSE)</f>
        <v xml:space="preserve">53- Systèmes d’information pour la gestion de l'éducation (collecte, analyse, diffusion, et utilisation des informations) </v>
      </c>
      <c r="AB1576" s="19" t="str">
        <f>C1576 &amp; "-" &amp; VLOOKUP(C1576,[4]RESULTATS!$E$1:$F$176,2,FALSE)</f>
        <v>532- Le Système d'Informations et de Gestion de l'Education est intégré et est utilisé pour la prise de décision</v>
      </c>
      <c r="AC1576" s="20" t="str">
        <f>D1576 &amp; "-" &amp; VLOOKUP(D1576,[4]STRATEGIES!$E$1:$F$504,2,FALSE)</f>
        <v>5321-Intégration des Systèmes d'Informations et de Gestion de l'Education</v>
      </c>
      <c r="AD1576" s="21" t="str">
        <f t="shared" si="231"/>
        <v>53214-Mise en œuvre du schéma directeur (analyse de la structure des bases de données, développement de la nouvelle architecture et migration des données vers la nouvelle plateforme) (pris en compte par l'assistance technique activité 541212)</v>
      </c>
    </row>
    <row r="1577" spans="1:30" s="22" customFormat="1" ht="61" x14ac:dyDescent="0.8">
      <c r="A1577" s="14">
        <v>5</v>
      </c>
      <c r="B1577" s="15">
        <v>53</v>
      </c>
      <c r="C1577" s="15">
        <v>532</v>
      </c>
      <c r="D1577" s="15">
        <v>5321</v>
      </c>
      <c r="E1577" s="14">
        <v>53215</v>
      </c>
      <c r="F1577" s="16" t="s">
        <v>2025</v>
      </c>
      <c r="G1577" s="21" t="s">
        <v>298</v>
      </c>
      <c r="H1577" s="17" t="s">
        <v>66</v>
      </c>
      <c r="I1577" s="56">
        <v>0</v>
      </c>
      <c r="J1577" s="56">
        <f>12*10</f>
        <v>120</v>
      </c>
      <c r="K1577" s="56"/>
      <c r="L1577" s="56"/>
      <c r="M1577" s="56">
        <f t="shared" si="235"/>
        <v>120</v>
      </c>
      <c r="N1577" s="56">
        <f>IF(OR(H1577="",H1577="sif",H1577="PM"),0,VLOOKUP(H1577,[5]CU!$C$4:$H$255,6,FALSE))</f>
        <v>0.255</v>
      </c>
      <c r="O1577" s="56">
        <f t="shared" si="236"/>
        <v>0</v>
      </c>
      <c r="P1577" s="56">
        <f t="shared" si="236"/>
        <v>30.6</v>
      </c>
      <c r="Q1577" s="56">
        <f t="shared" si="236"/>
        <v>0</v>
      </c>
      <c r="R1577" s="56">
        <f t="shared" si="236"/>
        <v>0</v>
      </c>
      <c r="S1577" s="53">
        <f>SUM(O1577:R1577)</f>
        <v>30.6</v>
      </c>
      <c r="T1577" s="35" t="s">
        <v>39</v>
      </c>
      <c r="U1577" s="19" t="s">
        <v>1873</v>
      </c>
      <c r="V1577" s="19" t="str">
        <f>IF(OR($H1577="",$H1577="sif",$H1577="PM"),"",VLOOKUP($H1577,[5]CU!$C$5:$J$255,8,FALSE))</f>
        <v>3. Dépenses de fonctionnement</v>
      </c>
      <c r="W1577" s="19" t="s">
        <v>142</v>
      </c>
      <c r="X1577" s="19" t="s">
        <v>142</v>
      </c>
      <c r="Y1577" s="19" t="s">
        <v>32</v>
      </c>
      <c r="Z1577" s="19" t="str">
        <f>A1577 &amp; "-" &amp; VLOOKUP(A1577,[4]PROGRAMMES!$E$1:$F$7,2,FALSE)</f>
        <v>5-Gouvernance et pilotage du secteur</v>
      </c>
      <c r="AA1577" s="19" t="str">
        <f>B1577 &amp; "-" &amp; VLOOKUP(B1577,[4]SOUSPROGRAMMES!$E$1:$F$44,2,FALSE)</f>
        <v xml:space="preserve">53- Systèmes d’information pour la gestion de l'éducation (collecte, analyse, diffusion, et utilisation des informations) </v>
      </c>
      <c r="AB1577" s="19" t="str">
        <f>C1577 &amp; "-" &amp; VLOOKUP(C1577,[4]RESULTATS!$E$1:$F$176,2,FALSE)</f>
        <v>532- Le Système d'Informations et de Gestion de l'Education est intégré et est utilisé pour la prise de décision</v>
      </c>
      <c r="AC1577" s="20" t="str">
        <f>D1577 &amp; "-" &amp; VLOOKUP(D1577,[4]STRATEGIES!$E$1:$F$504,2,FALSE)</f>
        <v>5321-Intégration des Systèmes d'Informations et de Gestion de l'Education</v>
      </c>
      <c r="AD1577" s="21" t="str">
        <f t="shared" si="231"/>
        <v xml:space="preserve">53215-Identification et correction des incohérences sur les données du BSD et de la GRH </v>
      </c>
    </row>
    <row r="1578" spans="1:30" s="22" customFormat="1" ht="61" hidden="1" x14ac:dyDescent="0.8">
      <c r="A1578" s="14">
        <v>5</v>
      </c>
      <c r="B1578" s="15">
        <v>53</v>
      </c>
      <c r="C1578" s="15">
        <v>532</v>
      </c>
      <c r="D1578" s="15">
        <v>5321</v>
      </c>
      <c r="E1578" s="14">
        <v>53216</v>
      </c>
      <c r="F1578" s="16" t="s">
        <v>2026</v>
      </c>
      <c r="G1578" s="21" t="s">
        <v>92</v>
      </c>
      <c r="H1578" s="17" t="s">
        <v>55</v>
      </c>
      <c r="I1578" s="56">
        <v>0</v>
      </c>
      <c r="J1578" s="56">
        <v>1</v>
      </c>
      <c r="K1578" s="56"/>
      <c r="L1578" s="56"/>
      <c r="M1578" s="56">
        <f t="shared" si="235"/>
        <v>1</v>
      </c>
      <c r="N1578" s="56">
        <f>IF(OR(H1578="",H1578="sif",H1578="PM"),0,VLOOKUP(H1578,[5]CU!$C$4:$H$255,6,FALSE))</f>
        <v>0</v>
      </c>
      <c r="O1578" s="56">
        <f t="shared" si="236"/>
        <v>0</v>
      </c>
      <c r="P1578" s="56">
        <f t="shared" si="236"/>
        <v>0</v>
      </c>
      <c r="Q1578" s="56">
        <f t="shared" si="236"/>
        <v>0</v>
      </c>
      <c r="R1578" s="56">
        <f t="shared" si="236"/>
        <v>0</v>
      </c>
      <c r="S1578" s="53"/>
      <c r="T1578" s="35" t="s">
        <v>56</v>
      </c>
      <c r="U1578" s="18" t="s">
        <v>1873</v>
      </c>
      <c r="V1578" s="19" t="str">
        <f>IF(OR($H1578="",$H1578="sif",$H1578="PM"),"",VLOOKUP($H1578,[5]CU!$C$5:$J$255,8,FALSE))</f>
        <v/>
      </c>
      <c r="W1578" s="18" t="s">
        <v>142</v>
      </c>
      <c r="X1578" s="18" t="s">
        <v>142</v>
      </c>
      <c r="Y1578" s="19" t="s">
        <v>32</v>
      </c>
      <c r="Z1578" s="19" t="str">
        <f>A1578 &amp; "-" &amp; VLOOKUP(A1578,[4]PROGRAMMES!$E$1:$F$7,2,FALSE)</f>
        <v>5-Gouvernance et pilotage du secteur</v>
      </c>
      <c r="AA1578" s="19" t="str">
        <f>B1578 &amp; "-" &amp; VLOOKUP(B1578,[4]SOUSPROGRAMMES!$E$1:$F$44,2,FALSE)</f>
        <v xml:space="preserve">53- Systèmes d’information pour la gestion de l'éducation (collecte, analyse, diffusion, et utilisation des informations) </v>
      </c>
      <c r="AB1578" s="19" t="str">
        <f>C1578 &amp; "-" &amp; VLOOKUP(C1578,[4]RESULTATS!$E$1:$F$176,2,FALSE)</f>
        <v>532- Le Système d'Informations et de Gestion de l'Education est intégré et est utilisé pour la prise de décision</v>
      </c>
      <c r="AC1578" s="20" t="str">
        <f>D1578 &amp; "-" &amp; VLOOKUP(D1578,[4]STRATEGIES!$E$1:$F$504,2,FALSE)</f>
        <v>5321-Intégration des Systèmes d'Informations et de Gestion de l'Education</v>
      </c>
      <c r="AD1578" s="21" t="str">
        <f t="shared" si="231"/>
        <v>53216-Collecte et intégration des données complémentaires (voir sous-programme GRH)</v>
      </c>
    </row>
    <row r="1579" spans="1:30" s="22" customFormat="1" ht="61" x14ac:dyDescent="0.8">
      <c r="A1579" s="14">
        <v>5</v>
      </c>
      <c r="B1579" s="15">
        <v>53</v>
      </c>
      <c r="C1579" s="15">
        <v>532</v>
      </c>
      <c r="D1579" s="15">
        <v>5322</v>
      </c>
      <c r="E1579" s="14">
        <v>5322</v>
      </c>
      <c r="F1579" s="16" t="s">
        <v>2027</v>
      </c>
      <c r="G1579" s="17"/>
      <c r="H1579" s="17"/>
      <c r="I1579" s="56">
        <v>0</v>
      </c>
      <c r="J1579" s="56"/>
      <c r="K1579" s="56"/>
      <c r="L1579" s="56"/>
      <c r="M1579" s="56"/>
      <c r="N1579" s="56"/>
      <c r="O1579" s="56"/>
      <c r="P1579" s="56"/>
      <c r="Q1579" s="56"/>
      <c r="R1579" s="56"/>
      <c r="S1579" s="53"/>
      <c r="T1579" s="33"/>
      <c r="U1579" s="18"/>
      <c r="V1579" s="19"/>
      <c r="W1579" s="18"/>
      <c r="X1579" s="18"/>
      <c r="Y1579" s="18"/>
      <c r="Z1579" s="19" t="str">
        <f>A1579 &amp; "-" &amp; VLOOKUP(A1579,[4]PROGRAMMES!$E$1:$F$7,2,FALSE)</f>
        <v>5-Gouvernance et pilotage du secteur</v>
      </c>
      <c r="AA1579" s="19" t="str">
        <f>B1579 &amp; "-" &amp; VLOOKUP(B1579,[4]SOUSPROGRAMMES!$E$1:$F$44,2,FALSE)</f>
        <v xml:space="preserve">53- Systèmes d’information pour la gestion de l'éducation (collecte, analyse, diffusion, et utilisation des informations) </v>
      </c>
      <c r="AB1579" s="19" t="str">
        <f>C1579 &amp; "-" &amp; VLOOKUP(C1579,[4]RESULTATS!$E$1:$F$176,2,FALSE)</f>
        <v>532- Le Système d'Informations et de Gestion de l'Education est intégré et est utilisé pour la prise de décision</v>
      </c>
      <c r="AC1579" s="20" t="str">
        <f>D1579 &amp; "-" &amp; VLOOKUP(D1579,[4]STRATEGIES!$E$1:$F$504,2,FALSE)</f>
        <v>5322-Mise en place et actualisation d’un site web pour chaque Département ministériel</v>
      </c>
      <c r="AD1579" s="21" t="str">
        <f t="shared" si="231"/>
        <v>5322-Mise en place et actualisation d’un site web pour chaque Département ministériel</v>
      </c>
    </row>
    <row r="1580" spans="1:30" s="22" customFormat="1" ht="61" x14ac:dyDescent="0.8">
      <c r="A1580" s="14">
        <v>5</v>
      </c>
      <c r="B1580" s="15">
        <v>53</v>
      </c>
      <c r="C1580" s="15">
        <v>532</v>
      </c>
      <c r="D1580" s="15">
        <v>5322</v>
      </c>
      <c r="E1580" s="14">
        <v>53221</v>
      </c>
      <c r="F1580" s="16" t="s">
        <v>2028</v>
      </c>
      <c r="G1580" s="21" t="s">
        <v>167</v>
      </c>
      <c r="H1580" s="17" t="s">
        <v>101</v>
      </c>
      <c r="I1580" s="56">
        <v>0</v>
      </c>
      <c r="J1580" s="56">
        <f>1*45</f>
        <v>45</v>
      </c>
      <c r="K1580" s="56">
        <v>0</v>
      </c>
      <c r="L1580" s="56">
        <v>0</v>
      </c>
      <c r="M1580" s="56">
        <f t="shared" si="235"/>
        <v>45</v>
      </c>
      <c r="N1580" s="56">
        <f>IF(OR(H1580="",H1580="sif",H1580="PM"),0,VLOOKUP(H1580,[5]CU!$C$4:$H$255,6,FALSE))</f>
        <v>2.651545</v>
      </c>
      <c r="O1580" s="56">
        <f t="shared" si="236"/>
        <v>0</v>
      </c>
      <c r="P1580" s="56">
        <f t="shared" si="236"/>
        <v>119.319525</v>
      </c>
      <c r="Q1580" s="56">
        <f t="shared" si="236"/>
        <v>0</v>
      </c>
      <c r="R1580" s="56">
        <f t="shared" si="236"/>
        <v>0</v>
      </c>
      <c r="S1580" s="53">
        <f>SUM(O1580:R1580)</f>
        <v>119.319525</v>
      </c>
      <c r="T1580" s="35" t="s">
        <v>39</v>
      </c>
      <c r="U1580" s="19" t="s">
        <v>1873</v>
      </c>
      <c r="V1580" s="19" t="str">
        <f>IF(OR($H1580="",$H1580="sif",$H1580="PM"),"",VLOOKUP($H1580,[5]CU!$C$5:$J$255,8,FALSE))</f>
        <v>3. Dépenses de fonctionnement</v>
      </c>
      <c r="W1580" s="19" t="s">
        <v>2029</v>
      </c>
      <c r="X1580" s="19" t="s">
        <v>2029</v>
      </c>
      <c r="Y1580" s="19" t="s">
        <v>32</v>
      </c>
      <c r="Z1580" s="19" t="str">
        <f>A1580 &amp; "-" &amp; VLOOKUP(A1580,[4]PROGRAMMES!$E$1:$F$7,2,FALSE)</f>
        <v>5-Gouvernance et pilotage du secteur</v>
      </c>
      <c r="AA1580" s="19" t="str">
        <f>B1580 &amp; "-" &amp; VLOOKUP(B1580,[4]SOUSPROGRAMMES!$E$1:$F$44,2,FALSE)</f>
        <v xml:space="preserve">53- Systèmes d’information pour la gestion de l'éducation (collecte, analyse, diffusion, et utilisation des informations) </v>
      </c>
      <c r="AB1580" s="19" t="str">
        <f>C1580 &amp; "-" &amp; VLOOKUP(C1580,[4]RESULTATS!$E$1:$F$176,2,FALSE)</f>
        <v>532- Le Système d'Informations et de Gestion de l'Education est intégré et est utilisé pour la prise de décision</v>
      </c>
      <c r="AC1580" s="20" t="str">
        <f>D1580 &amp; "-" &amp; VLOOKUP(D1580,[4]STRATEGIES!$E$1:$F$504,2,FALSE)</f>
        <v>5322-Mise en place et actualisation d’un site web pour chaque Département ministériel</v>
      </c>
      <c r="AD1580" s="21" t="str">
        <f t="shared" si="231"/>
        <v>53221-Développement d'un site web du MENA</v>
      </c>
    </row>
    <row r="1581" spans="1:30" s="22" customFormat="1" ht="61" x14ac:dyDescent="0.8">
      <c r="A1581" s="14">
        <v>5</v>
      </c>
      <c r="B1581" s="15">
        <v>53</v>
      </c>
      <c r="C1581" s="15">
        <v>532</v>
      </c>
      <c r="D1581" s="15">
        <v>5322</v>
      </c>
      <c r="E1581" s="14">
        <v>53222</v>
      </c>
      <c r="F1581" s="16" t="s">
        <v>2030</v>
      </c>
      <c r="G1581" s="21" t="s">
        <v>37</v>
      </c>
      <c r="H1581" s="17" t="s">
        <v>38</v>
      </c>
      <c r="I1581" s="56">
        <v>0</v>
      </c>
      <c r="J1581" s="56">
        <f>15*5</f>
        <v>75</v>
      </c>
      <c r="K1581" s="56"/>
      <c r="L1581" s="56">
        <f>1*45</f>
        <v>45</v>
      </c>
      <c r="M1581" s="56">
        <f t="shared" si="235"/>
        <v>120</v>
      </c>
      <c r="N1581" s="56">
        <f>IF(OR(H1581="",H1581="sif",H1581="PM"),0,VLOOKUP(H1581,[5]CU!$C$4:$H$255,6,FALSE))</f>
        <v>0.3133333333333333</v>
      </c>
      <c r="O1581" s="56">
        <f t="shared" si="236"/>
        <v>0</v>
      </c>
      <c r="P1581" s="56">
        <f t="shared" si="236"/>
        <v>23.499999999999996</v>
      </c>
      <c r="Q1581" s="56">
        <f t="shared" si="236"/>
        <v>0</v>
      </c>
      <c r="R1581" s="56">
        <f t="shared" si="236"/>
        <v>14.099999999999998</v>
      </c>
      <c r="S1581" s="53">
        <f>SUM(O1581:R1581)</f>
        <v>37.599999999999994</v>
      </c>
      <c r="T1581" s="35" t="s">
        <v>39</v>
      </c>
      <c r="U1581" s="19" t="s">
        <v>1873</v>
      </c>
      <c r="V1581" s="19" t="str">
        <f>IF(OR($H1581="",$H1581="sif",$H1581="PM"),"",VLOOKUP($H1581,[5]CU!$C$5:$J$255,8,FALSE))</f>
        <v>3. Formation</v>
      </c>
      <c r="W1581" s="19" t="s">
        <v>2029</v>
      </c>
      <c r="X1581" s="19" t="s">
        <v>2029</v>
      </c>
      <c r="Y1581" s="19" t="s">
        <v>32</v>
      </c>
      <c r="Z1581" s="19" t="str">
        <f>A1581 &amp; "-" &amp; VLOOKUP(A1581,[4]PROGRAMMES!$E$1:$F$7,2,FALSE)</f>
        <v>5-Gouvernance et pilotage du secteur</v>
      </c>
      <c r="AA1581" s="19" t="str">
        <f>B1581 &amp; "-" &amp; VLOOKUP(B1581,[4]SOUSPROGRAMMES!$E$1:$F$44,2,FALSE)</f>
        <v xml:space="preserve">53- Systèmes d’information pour la gestion de l'éducation (collecte, analyse, diffusion, et utilisation des informations) </v>
      </c>
      <c r="AB1581" s="19" t="str">
        <f>C1581 &amp; "-" &amp; VLOOKUP(C1581,[4]RESULTATS!$E$1:$F$176,2,FALSE)</f>
        <v>532- Le Système d'Informations et de Gestion de l'Education est intégré et est utilisé pour la prise de décision</v>
      </c>
      <c r="AC1581" s="20" t="str">
        <f>D1581 &amp; "-" &amp; VLOOKUP(D1581,[4]STRATEGIES!$E$1:$F$504,2,FALSE)</f>
        <v>5322-Mise en place et actualisation d’un site web pour chaque Département ministériel</v>
      </c>
      <c r="AD1581" s="21" t="str">
        <f t="shared" si="231"/>
        <v>53222-Formation des cadres du BSD/MENA à l'administration du site web</v>
      </c>
    </row>
    <row r="1582" spans="1:30" s="22" customFormat="1" ht="61" hidden="1" x14ac:dyDescent="0.8">
      <c r="A1582" s="14">
        <v>5</v>
      </c>
      <c r="B1582" s="15">
        <v>53</v>
      </c>
      <c r="C1582" s="15">
        <v>532</v>
      </c>
      <c r="D1582" s="15">
        <v>5322</v>
      </c>
      <c r="E1582" s="14">
        <v>53223</v>
      </c>
      <c r="F1582" s="16" t="s">
        <v>2031</v>
      </c>
      <c r="G1582" s="21" t="s">
        <v>88</v>
      </c>
      <c r="H1582" s="17" t="s">
        <v>55</v>
      </c>
      <c r="I1582" s="56">
        <v>0</v>
      </c>
      <c r="J1582" s="56">
        <v>1</v>
      </c>
      <c r="K1582" s="56">
        <v>1</v>
      </c>
      <c r="L1582" s="56">
        <v>1</v>
      </c>
      <c r="M1582" s="56">
        <f t="shared" si="235"/>
        <v>3</v>
      </c>
      <c r="N1582" s="56">
        <f>IF(OR(H1582="",H1582="sif",H1582="PM"),0,VLOOKUP(H1582,[5]CU!$C$4:$H$255,6,FALSE))</f>
        <v>0</v>
      </c>
      <c r="O1582" s="56">
        <f t="shared" si="236"/>
        <v>0</v>
      </c>
      <c r="P1582" s="56">
        <f t="shared" si="236"/>
        <v>0</v>
      </c>
      <c r="Q1582" s="56">
        <f t="shared" si="236"/>
        <v>0</v>
      </c>
      <c r="R1582" s="56">
        <f t="shared" si="236"/>
        <v>0</v>
      </c>
      <c r="S1582" s="53"/>
      <c r="T1582" s="35" t="s">
        <v>56</v>
      </c>
      <c r="U1582" s="18" t="s">
        <v>1873</v>
      </c>
      <c r="V1582" s="19" t="str">
        <f>IF(OR($H1582="",$H1582="sif",$H1582="PM"),"",VLOOKUP($H1582,[5]CU!$C$5:$J$255,8,FALSE))</f>
        <v/>
      </c>
      <c r="W1582" s="18" t="s">
        <v>2029</v>
      </c>
      <c r="X1582" s="18" t="s">
        <v>2029</v>
      </c>
      <c r="Y1582" s="19" t="s">
        <v>32</v>
      </c>
      <c r="Z1582" s="19" t="str">
        <f>A1582 &amp; "-" &amp; VLOOKUP(A1582,[4]PROGRAMMES!$E$1:$F$7,2,FALSE)</f>
        <v>5-Gouvernance et pilotage du secteur</v>
      </c>
      <c r="AA1582" s="19" t="str">
        <f>B1582 &amp; "-" &amp; VLOOKUP(B1582,[4]SOUSPROGRAMMES!$E$1:$F$44,2,FALSE)</f>
        <v xml:space="preserve">53- Systèmes d’information pour la gestion de l'éducation (collecte, analyse, diffusion, et utilisation des informations) </v>
      </c>
      <c r="AB1582" s="19" t="str">
        <f>C1582 &amp; "-" &amp; VLOOKUP(C1582,[4]RESULTATS!$E$1:$F$176,2,FALSE)</f>
        <v>532- Le Système d'Informations et de Gestion de l'Education est intégré et est utilisé pour la prise de décision</v>
      </c>
      <c r="AC1582" s="20" t="str">
        <f>D1582 &amp; "-" &amp; VLOOKUP(D1582,[4]STRATEGIES!$E$1:$F$504,2,FALSE)</f>
        <v>5322-Mise en place et actualisation d’un site web pour chaque Département ministériel</v>
      </c>
      <c r="AD1582" s="21" t="str">
        <f t="shared" si="231"/>
        <v>53223-Mise à jour du sites web du MENA</v>
      </c>
    </row>
    <row r="1583" spans="1:30" s="22" customFormat="1" ht="61" hidden="1" x14ac:dyDescent="0.8">
      <c r="A1583" s="14">
        <v>5</v>
      </c>
      <c r="B1583" s="15">
        <v>53</v>
      </c>
      <c r="C1583" s="15">
        <v>532</v>
      </c>
      <c r="D1583" s="15">
        <v>5322</v>
      </c>
      <c r="E1583" s="14">
        <v>53224</v>
      </c>
      <c r="F1583" s="16" t="s">
        <v>2032</v>
      </c>
      <c r="G1583" s="21" t="s">
        <v>88</v>
      </c>
      <c r="H1583" s="17" t="s">
        <v>55</v>
      </c>
      <c r="I1583" s="56">
        <v>0</v>
      </c>
      <c r="J1583" s="56">
        <v>1</v>
      </c>
      <c r="K1583" s="56">
        <v>1</v>
      </c>
      <c r="L1583" s="56">
        <v>1</v>
      </c>
      <c r="M1583" s="56">
        <f t="shared" si="235"/>
        <v>3</v>
      </c>
      <c r="N1583" s="56">
        <f>IF(OR(H1583="",H1583="sif",H1583="PM"),0,VLOOKUP(H1583,[5]CU!$C$4:$H$255,6,FALSE))</f>
        <v>0</v>
      </c>
      <c r="O1583" s="56">
        <f t="shared" si="236"/>
        <v>0</v>
      </c>
      <c r="P1583" s="56">
        <f t="shared" si="236"/>
        <v>0</v>
      </c>
      <c r="Q1583" s="56">
        <f t="shared" si="236"/>
        <v>0</v>
      </c>
      <c r="R1583" s="56">
        <f t="shared" si="236"/>
        <v>0</v>
      </c>
      <c r="S1583" s="53"/>
      <c r="T1583" s="35" t="s">
        <v>56</v>
      </c>
      <c r="U1583" s="18" t="s">
        <v>1873</v>
      </c>
      <c r="V1583" s="19" t="str">
        <f>IF(OR($H1583="",$H1583="sif",$H1583="PM"),"",VLOOKUP($H1583,[5]CU!$C$5:$J$255,8,FALSE))</f>
        <v/>
      </c>
      <c r="W1583" s="18" t="s">
        <v>2029</v>
      </c>
      <c r="X1583" s="18" t="s">
        <v>2029</v>
      </c>
      <c r="Y1583" s="18" t="s">
        <v>679</v>
      </c>
      <c r="Z1583" s="19" t="str">
        <f>A1583 &amp; "-" &amp; VLOOKUP(A1583,[4]PROGRAMMES!$E$1:$F$7,2,FALSE)</f>
        <v>5-Gouvernance et pilotage du secteur</v>
      </c>
      <c r="AA1583" s="19" t="str">
        <f>B1583 &amp; "-" &amp; VLOOKUP(B1583,[4]SOUSPROGRAMMES!$E$1:$F$44,2,FALSE)</f>
        <v xml:space="preserve">53- Systèmes d’information pour la gestion de l'éducation (collecte, analyse, diffusion, et utilisation des informations) </v>
      </c>
      <c r="AB1583" s="19" t="str">
        <f>C1583 &amp; "-" &amp; VLOOKUP(C1583,[4]RESULTATS!$E$1:$F$176,2,FALSE)</f>
        <v>532- Le Système d'Informations et de Gestion de l'Education est intégré et est utilisé pour la prise de décision</v>
      </c>
      <c r="AC1583" s="20" t="str">
        <f>D1583 &amp; "-" &amp; VLOOKUP(D1583,[4]STRATEGIES!$E$1:$F$504,2,FALSE)</f>
        <v>5322-Mise en place et actualisation d’un site web pour chaque Département ministériel</v>
      </c>
      <c r="AD1583" s="21" t="str">
        <f t="shared" si="231"/>
        <v>53224-Mise à jour du sites web du MESRS</v>
      </c>
    </row>
    <row r="1584" spans="1:30" s="22" customFormat="1" ht="61" hidden="1" x14ac:dyDescent="0.8">
      <c r="A1584" s="14">
        <v>5</v>
      </c>
      <c r="B1584" s="15">
        <v>53</v>
      </c>
      <c r="C1584" s="15">
        <v>532</v>
      </c>
      <c r="D1584" s="15">
        <v>5322</v>
      </c>
      <c r="E1584" s="14">
        <v>53225</v>
      </c>
      <c r="F1584" s="16" t="s">
        <v>2033</v>
      </c>
      <c r="G1584" s="21" t="s">
        <v>88</v>
      </c>
      <c r="H1584" s="17" t="s">
        <v>55</v>
      </c>
      <c r="I1584" s="56">
        <v>0</v>
      </c>
      <c r="J1584" s="56">
        <v>1</v>
      </c>
      <c r="K1584" s="56">
        <v>1</v>
      </c>
      <c r="L1584" s="56">
        <v>1</v>
      </c>
      <c r="M1584" s="56">
        <f t="shared" si="235"/>
        <v>3</v>
      </c>
      <c r="N1584" s="56">
        <f>IF(OR(H1584="",H1584="sif",H1584="PM"),0,VLOOKUP(H1584,[5]CU!$C$4:$H$255,6,FALSE))</f>
        <v>0</v>
      </c>
      <c r="O1584" s="56">
        <f t="shared" si="236"/>
        <v>0</v>
      </c>
      <c r="P1584" s="56">
        <f t="shared" si="236"/>
        <v>0</v>
      </c>
      <c r="Q1584" s="56">
        <f t="shared" si="236"/>
        <v>0</v>
      </c>
      <c r="R1584" s="56">
        <f t="shared" si="236"/>
        <v>0</v>
      </c>
      <c r="S1584" s="53"/>
      <c r="T1584" s="35" t="s">
        <v>56</v>
      </c>
      <c r="U1584" s="18" t="s">
        <v>1873</v>
      </c>
      <c r="V1584" s="19" t="str">
        <f>IF(OR($H1584="",$H1584="sif",$H1584="PM"),"",VLOOKUP($H1584,[5]CU!$C$5:$J$255,8,FALSE))</f>
        <v/>
      </c>
      <c r="W1584" s="18" t="s">
        <v>2029</v>
      </c>
      <c r="X1584" s="18" t="s">
        <v>2029</v>
      </c>
      <c r="Y1584" s="18" t="s">
        <v>677</v>
      </c>
      <c r="Z1584" s="19" t="str">
        <f>A1584 &amp; "-" &amp; VLOOKUP(A1584,[4]PROGRAMMES!$E$1:$F$7,2,FALSE)</f>
        <v>5-Gouvernance et pilotage du secteur</v>
      </c>
      <c r="AA1584" s="19" t="str">
        <f>B1584 &amp; "-" &amp; VLOOKUP(B1584,[4]SOUSPROGRAMMES!$E$1:$F$44,2,FALSE)</f>
        <v xml:space="preserve">53- Systèmes d’information pour la gestion de l'éducation (collecte, analyse, diffusion, et utilisation des informations) </v>
      </c>
      <c r="AB1584" s="19" t="str">
        <f>C1584 &amp; "-" &amp; VLOOKUP(C1584,[4]RESULTATS!$E$1:$F$176,2,FALSE)</f>
        <v>532- Le Système d'Informations et de Gestion de l'Education est intégré et est utilisé pour la prise de décision</v>
      </c>
      <c r="AC1584" s="20" t="str">
        <f>D1584 &amp; "-" &amp; VLOOKUP(D1584,[4]STRATEGIES!$E$1:$F$504,2,FALSE)</f>
        <v>5322-Mise en place et actualisation d’un site web pour chaque Département ministériel</v>
      </c>
      <c r="AD1584" s="21" t="str">
        <f t="shared" si="231"/>
        <v>53225-Mise à jour du sites web du METFP</v>
      </c>
    </row>
    <row r="1585" spans="1:30" s="22" customFormat="1" ht="60" customHeight="1" x14ac:dyDescent="0.8">
      <c r="A1585" s="14">
        <v>5</v>
      </c>
      <c r="B1585" s="15">
        <v>53</v>
      </c>
      <c r="C1585" s="15">
        <v>532</v>
      </c>
      <c r="D1585" s="15">
        <v>5323</v>
      </c>
      <c r="E1585" s="14">
        <v>5323</v>
      </c>
      <c r="F1585" s="16" t="s">
        <v>2034</v>
      </c>
      <c r="G1585" s="17"/>
      <c r="H1585" s="17"/>
      <c r="I1585" s="56">
        <v>0</v>
      </c>
      <c r="J1585" s="56"/>
      <c r="K1585" s="56"/>
      <c r="L1585" s="56"/>
      <c r="M1585" s="56"/>
      <c r="N1585" s="56"/>
      <c r="O1585" s="56"/>
      <c r="P1585" s="56"/>
      <c r="Q1585" s="56"/>
      <c r="R1585" s="56"/>
      <c r="S1585" s="53"/>
      <c r="T1585" s="33"/>
      <c r="U1585" s="18"/>
      <c r="V1585" s="19"/>
      <c r="W1585" s="18"/>
      <c r="X1585" s="18"/>
      <c r="Y1585" s="18"/>
      <c r="Z1585" s="19" t="str">
        <f>A1585 &amp; "-" &amp; VLOOKUP(A1585,[4]PROGRAMMES!$E$1:$F$7,2,FALSE)</f>
        <v>5-Gouvernance et pilotage du secteur</v>
      </c>
      <c r="AA1585" s="19" t="str">
        <f>B1585 &amp; "-" &amp; VLOOKUP(B1585,[4]SOUSPROGRAMMES!$E$1:$F$44,2,FALSE)</f>
        <v xml:space="preserve">53- Systèmes d’information pour la gestion de l'éducation (collecte, analyse, diffusion, et utilisation des informations) </v>
      </c>
      <c r="AB1585" s="19" t="str">
        <f>C1585 &amp; "-" &amp; VLOOKUP(C1585,[4]RESULTATS!$E$1:$F$176,2,FALSE)</f>
        <v>532- Le Système d'Informations et de Gestion de l'Education est intégré et est utilisé pour la prise de décision</v>
      </c>
      <c r="AC1585" s="20" t="str">
        <f>D1585 &amp; "-" &amp; VLOOKUP(D1585,[4]STRATEGIES!$E$1:$F$504,2,FALSE)</f>
        <v>5323-Renforcement des capacités des structures du secteur de l’éducation aux techniques de production des données, à l’exploitation des bases de données ; et aux techniques d’élaboration d’un rapport d’analyse</v>
      </c>
      <c r="AD1585" s="21" t="str">
        <f t="shared" si="231"/>
        <v>5323-Renforcement des capacités des structures du secteur de l’éducation aux techniques de production des données, à l’exploitation des bases de données ; et aux techniques d’élaboration d’un rapport d’analyse</v>
      </c>
    </row>
    <row r="1586" spans="1:30" s="22" customFormat="1" ht="45" hidden="1" customHeight="1" x14ac:dyDescent="0.8">
      <c r="A1586" s="14">
        <v>5</v>
      </c>
      <c r="B1586" s="15">
        <v>53</v>
      </c>
      <c r="C1586" s="15">
        <v>532</v>
      </c>
      <c r="D1586" s="15">
        <v>5323</v>
      </c>
      <c r="E1586" s="14">
        <v>53231</v>
      </c>
      <c r="F1586" s="16" t="s">
        <v>2035</v>
      </c>
      <c r="G1586" s="21" t="s">
        <v>92</v>
      </c>
      <c r="H1586" s="17" t="s">
        <v>55</v>
      </c>
      <c r="I1586" s="56">
        <v>0</v>
      </c>
      <c r="J1586" s="56"/>
      <c r="K1586" s="56"/>
      <c r="L1586" s="56"/>
      <c r="M1586" s="56"/>
      <c r="N1586" s="56">
        <f>IF(OR(H1586="",H1586="sif",H1586="PM"),0,VLOOKUP(H1586,[5]CU!$C$4:$H$255,6,FALSE))</f>
        <v>0</v>
      </c>
      <c r="O1586" s="56"/>
      <c r="P1586" s="56"/>
      <c r="Q1586" s="56"/>
      <c r="R1586" s="56"/>
      <c r="S1586" s="53"/>
      <c r="T1586" s="35" t="s">
        <v>56</v>
      </c>
      <c r="U1586" s="18" t="s">
        <v>1873</v>
      </c>
      <c r="V1586" s="19" t="str">
        <f>IF(OR($H1586="",$H1586="sif",$H1586="PM"),"",VLOOKUP($H1586,[5]CU!$C$5:$J$255,8,FALSE))</f>
        <v/>
      </c>
      <c r="W1586" s="18" t="s">
        <v>521</v>
      </c>
      <c r="X1586" s="18" t="s">
        <v>521</v>
      </c>
      <c r="Y1586" s="19" t="s">
        <v>32</v>
      </c>
      <c r="Z1586" s="19" t="str">
        <f>A1586 &amp; "-" &amp; VLOOKUP(A1586,[4]PROGRAMMES!$E$1:$F$7,2,FALSE)</f>
        <v>5-Gouvernance et pilotage du secteur</v>
      </c>
      <c r="AA1586" s="19" t="str">
        <f>B1586 &amp; "-" &amp; VLOOKUP(B1586,[4]SOUSPROGRAMMES!$E$1:$F$44,2,FALSE)</f>
        <v xml:space="preserve">53- Systèmes d’information pour la gestion de l'éducation (collecte, analyse, diffusion, et utilisation des informations) </v>
      </c>
      <c r="AB1586" s="19" t="str">
        <f>C1586 &amp; "-" &amp; VLOOKUP(C1586,[4]RESULTATS!$E$1:$F$176,2,FALSE)</f>
        <v>532- Le Système d'Informations et de Gestion de l'Education est intégré et est utilisé pour la prise de décision</v>
      </c>
      <c r="AC1586" s="20" t="str">
        <f>D1586 &amp; "-" &amp; VLOOKUP(D1586,[4]STRATEGIES!$E$1:$F$504,2,FALSE)</f>
        <v>5323-Renforcement des capacités des structures du secteur de l’éducation aux techniques de production des données, à l’exploitation des bases de données ; et aux techniques d’élaboration d’un rapport d’analyse</v>
      </c>
      <c r="AD1586" s="21" t="str">
        <f t="shared" si="231"/>
        <v>53231-Acquisition de matériels roulants pour la collecte des données (voir activité 56226 et 57315)</v>
      </c>
    </row>
    <row r="1587" spans="1:30" s="22" customFormat="1" ht="45" hidden="1" customHeight="1" x14ac:dyDescent="0.8">
      <c r="A1587" s="14">
        <v>5</v>
      </c>
      <c r="B1587" s="15">
        <v>53</v>
      </c>
      <c r="C1587" s="15">
        <v>532</v>
      </c>
      <c r="D1587" s="15">
        <v>5323</v>
      </c>
      <c r="E1587" s="14">
        <v>53232</v>
      </c>
      <c r="F1587" s="16" t="s">
        <v>2036</v>
      </c>
      <c r="G1587" s="21" t="s">
        <v>92</v>
      </c>
      <c r="H1587" s="17" t="s">
        <v>55</v>
      </c>
      <c r="I1587" s="56">
        <v>0</v>
      </c>
      <c r="J1587" s="56"/>
      <c r="K1587" s="56">
        <v>0</v>
      </c>
      <c r="L1587" s="56">
        <v>0</v>
      </c>
      <c r="M1587" s="56">
        <f t="shared" ref="M1587:M1603" si="237">SUM(I1587:L1587)</f>
        <v>0</v>
      </c>
      <c r="N1587" s="56">
        <f>IF(OR(H1587="",H1587="sif",H1587="PM"),0,VLOOKUP(H1587,[5]CU!$C$4:$H$255,6,FALSE))</f>
        <v>0</v>
      </c>
      <c r="O1587" s="56"/>
      <c r="P1587" s="56"/>
      <c r="Q1587" s="56"/>
      <c r="R1587" s="56"/>
      <c r="S1587" s="53"/>
      <c r="T1587" s="35" t="s">
        <v>56</v>
      </c>
      <c r="U1587" s="18" t="s">
        <v>1873</v>
      </c>
      <c r="V1587" s="19" t="str">
        <f>IF(OR($H1587="",$H1587="sif",$H1587="PM"),"",VLOOKUP($H1587,[5]CU!$C$5:$J$255,8,FALSE))</f>
        <v/>
      </c>
      <c r="W1587" s="18" t="s">
        <v>521</v>
      </c>
      <c r="X1587" s="18" t="s">
        <v>521</v>
      </c>
      <c r="Y1587" s="19" t="s">
        <v>32</v>
      </c>
      <c r="Z1587" s="19" t="str">
        <f>A1587 &amp; "-" &amp; VLOOKUP(A1587,[4]PROGRAMMES!$E$1:$F$7,2,FALSE)</f>
        <v>5-Gouvernance et pilotage du secteur</v>
      </c>
      <c r="AA1587" s="19" t="str">
        <f>B1587 &amp; "-" &amp; VLOOKUP(B1587,[4]SOUSPROGRAMMES!$E$1:$F$44,2,FALSE)</f>
        <v xml:space="preserve">53- Systèmes d’information pour la gestion de l'éducation (collecte, analyse, diffusion, et utilisation des informations) </v>
      </c>
      <c r="AB1587" s="19" t="str">
        <f>C1587 &amp; "-" &amp; VLOOKUP(C1587,[4]RESULTATS!$E$1:$F$176,2,FALSE)</f>
        <v>532- Le Système d'Informations et de Gestion de l'Education est intégré et est utilisé pour la prise de décision</v>
      </c>
      <c r="AC1587" s="20" t="str">
        <f>D1587 &amp; "-" &amp; VLOOKUP(D1587,[4]STRATEGIES!$E$1:$F$504,2,FALSE)</f>
        <v>5323-Renforcement des capacités des structures du secteur de l’éducation aux techniques de production des données, à l’exploitation des bases de données ; et aux techniques d’élaboration d’un rapport d’analyse</v>
      </c>
      <c r="AD1587" s="21" t="str">
        <f t="shared" si="231"/>
        <v>53232-Acquisition de matériels roulants pour la supervision de la collecte (voir 57314)</v>
      </c>
    </row>
    <row r="1588" spans="1:30" s="22" customFormat="1" ht="45" customHeight="1" x14ac:dyDescent="0.8">
      <c r="A1588" s="14">
        <v>5</v>
      </c>
      <c r="B1588" s="15">
        <v>53</v>
      </c>
      <c r="C1588" s="15">
        <v>532</v>
      </c>
      <c r="D1588" s="15">
        <v>5323</v>
      </c>
      <c r="E1588" s="14">
        <v>53233</v>
      </c>
      <c r="F1588" s="16" t="s">
        <v>2037</v>
      </c>
      <c r="G1588" s="21" t="s">
        <v>315</v>
      </c>
      <c r="H1588" s="17" t="s">
        <v>301</v>
      </c>
      <c r="I1588" s="56">
        <v>0</v>
      </c>
      <c r="J1588" s="56">
        <f>((92+20)*3)*33.34%</f>
        <v>112.0224</v>
      </c>
      <c r="K1588" s="56">
        <f>((92+20)*3)*33.34%</f>
        <v>112.0224</v>
      </c>
      <c r="L1588" s="56">
        <f>((92+20)*3)*33.34%</f>
        <v>112.0224</v>
      </c>
      <c r="M1588" s="56">
        <f>SUM(I1588:L1588)</f>
        <v>336.06720000000001</v>
      </c>
      <c r="N1588" s="56">
        <f>IF(OR(H1588="",H1588="sif",H1588="PM"),0,VLOOKUP(H1588,[5]CU!$C$4:$H$255,6,FALSE))</f>
        <v>0.67666666666666664</v>
      </c>
      <c r="O1588" s="56">
        <f>IFERROR($N1588*I1588,0)</f>
        <v>0</v>
      </c>
      <c r="P1588" s="56">
        <f>IFERROR($N1588*J1588,0)</f>
        <v>75.801823999999996</v>
      </c>
      <c r="Q1588" s="56">
        <f>IFERROR($N1588*K1588,0)</f>
        <v>75.801823999999996</v>
      </c>
      <c r="R1588" s="56">
        <f>IFERROR($N1588*L1588,0)</f>
        <v>75.801823999999996</v>
      </c>
      <c r="S1588" s="56">
        <f>SUM(O1588:R1588)</f>
        <v>227.40547199999997</v>
      </c>
      <c r="T1588" s="35" t="s">
        <v>39</v>
      </c>
      <c r="U1588" s="19" t="s">
        <v>1873</v>
      </c>
      <c r="V1588" s="19" t="str">
        <f>IF(OR($H1588="",$H1588="sif",$H1588="PM"),"",VLOOKUP($H1588,[5]CU!$C$5:$J$255,8,FALSE))</f>
        <v>3. Formation</v>
      </c>
      <c r="W1588" s="19" t="s">
        <v>96</v>
      </c>
      <c r="X1588" s="19" t="s">
        <v>96</v>
      </c>
      <c r="Y1588" s="19" t="s">
        <v>32</v>
      </c>
      <c r="Z1588" s="19" t="str">
        <f>A1588 &amp; "-" &amp; VLOOKUP(A1588,[4]PROGRAMMES!$E$1:$F$7,2,FALSE)</f>
        <v>5-Gouvernance et pilotage du secteur</v>
      </c>
      <c r="AA1588" s="19" t="str">
        <f>B1588 &amp; "-" &amp; VLOOKUP(B1588,[4]SOUSPROGRAMMES!$E$1:$F$44,2,FALSE)</f>
        <v xml:space="preserve">53- Systèmes d’information pour la gestion de l'éducation (collecte, analyse, diffusion, et utilisation des informations) </v>
      </c>
      <c r="AB1588" s="19" t="str">
        <f>C1588 &amp; "-" &amp; VLOOKUP(C1588,[4]RESULTATS!$E$1:$F$176,2,FALSE)</f>
        <v>532- Le Système d'Informations et de Gestion de l'Education est intégré et est utilisé pour la prise de décision</v>
      </c>
      <c r="AC1588" s="20" t="str">
        <f>D1588 &amp; "-" &amp; VLOOKUP(D1588,[4]STRATEGIES!$E$1:$F$504,2,FALSE)</f>
        <v>5323-Renforcement des capacités des structures du secteur de l’éducation aux techniques de production des données, à l’exploitation des bases de données ; et aux techniques d’élaboration d’un rapport d’analyse</v>
      </c>
      <c r="AD1588" s="21" t="str">
        <f t="shared" si="231"/>
        <v>53233-Organisation de sessions de formation des cadres chargés de la collecte et du traitement des données des structures centrales et déconcentrées</v>
      </c>
    </row>
    <row r="1589" spans="1:30" s="22" customFormat="1" ht="45" customHeight="1" x14ac:dyDescent="0.8">
      <c r="A1589" s="14">
        <v>5</v>
      </c>
      <c r="B1589" s="15">
        <v>53</v>
      </c>
      <c r="C1589" s="15">
        <v>532</v>
      </c>
      <c r="D1589" s="15">
        <v>5323</v>
      </c>
      <c r="E1589" s="14">
        <v>53233</v>
      </c>
      <c r="F1589" s="16" t="s">
        <v>2037</v>
      </c>
      <c r="G1589" s="21" t="s">
        <v>315</v>
      </c>
      <c r="H1589" s="17" t="s">
        <v>301</v>
      </c>
      <c r="I1589" s="56">
        <v>0</v>
      </c>
      <c r="J1589" s="56">
        <f>((92+20)*3)*66.66%</f>
        <v>223.9776</v>
      </c>
      <c r="K1589" s="56">
        <f>((92+20)*3)*66.66%</f>
        <v>223.9776</v>
      </c>
      <c r="L1589" s="56">
        <f>((92+20)*3)*66.66%</f>
        <v>223.9776</v>
      </c>
      <c r="M1589" s="56">
        <f>SUM(I1589:L1589)</f>
        <v>671.93280000000004</v>
      </c>
      <c r="N1589" s="56">
        <f>IF(OR(H1589="",H1589="sif",H1589="PM"),0,VLOOKUP(H1589,[5]CU!$C$4:$H$255,6,FALSE))</f>
        <v>0.67666666666666664</v>
      </c>
      <c r="O1589" s="56">
        <f t="shared" ref="O1589:R1603" si="238">IFERROR($N1589*I1589,0)</f>
        <v>0</v>
      </c>
      <c r="P1589" s="56">
        <f t="shared" si="238"/>
        <v>151.558176</v>
      </c>
      <c r="Q1589" s="56">
        <f t="shared" si="238"/>
        <v>151.558176</v>
      </c>
      <c r="R1589" s="56">
        <f t="shared" si="238"/>
        <v>151.558176</v>
      </c>
      <c r="S1589" s="56">
        <f>SUM(O1589:R1589)</f>
        <v>454.67452800000001</v>
      </c>
      <c r="T1589" s="35" t="s">
        <v>118</v>
      </c>
      <c r="U1589" s="19" t="s">
        <v>1873</v>
      </c>
      <c r="V1589" s="19" t="str">
        <f>IF(OR($H1589="",$H1589="sif",$H1589="PM"),"",VLOOKUP($H1589,[5]CU!$C$5:$J$255,8,FALSE))</f>
        <v>3. Formation</v>
      </c>
      <c r="W1589" s="19" t="s">
        <v>96</v>
      </c>
      <c r="X1589" s="19" t="s">
        <v>96</v>
      </c>
      <c r="Y1589" s="19" t="s">
        <v>32</v>
      </c>
      <c r="Z1589" s="19" t="str">
        <f>A1589 &amp; "-" &amp; VLOOKUP(A1589,[4]PROGRAMMES!$E$1:$F$7,2,FALSE)</f>
        <v>5-Gouvernance et pilotage du secteur</v>
      </c>
      <c r="AA1589" s="19" t="str">
        <f>B1589 &amp; "-" &amp; VLOOKUP(B1589,[4]SOUSPROGRAMMES!$E$1:$F$44,2,FALSE)</f>
        <v xml:space="preserve">53- Systèmes d’information pour la gestion de l'éducation (collecte, analyse, diffusion, et utilisation des informations) </v>
      </c>
      <c r="AB1589" s="19" t="str">
        <f>C1589 &amp; "-" &amp; VLOOKUP(C1589,[4]RESULTATS!$E$1:$F$176,2,FALSE)</f>
        <v>532- Le Système d'Informations et de Gestion de l'Education est intégré et est utilisé pour la prise de décision</v>
      </c>
      <c r="AC1589" s="20" t="str">
        <f>D1589 &amp; "-" &amp; VLOOKUP(D1589,[4]STRATEGIES!$E$1:$F$504,2,FALSE)</f>
        <v>5323-Renforcement des capacités des structures du secteur de l’éducation aux techniques de production des données, à l’exploitation des bases de données ; et aux techniques d’élaboration d’un rapport d’analyse</v>
      </c>
      <c r="AD1589" s="21" t="str">
        <f t="shared" si="231"/>
        <v>53233-Organisation de sessions de formation des cadres chargés de la collecte et du traitement des données des structures centrales et déconcentrées</v>
      </c>
    </row>
    <row r="1590" spans="1:30" s="22" customFormat="1" ht="45" customHeight="1" x14ac:dyDescent="0.8">
      <c r="A1590" s="14">
        <v>5</v>
      </c>
      <c r="B1590" s="15">
        <v>53</v>
      </c>
      <c r="C1590" s="15">
        <v>532</v>
      </c>
      <c r="D1590" s="15">
        <v>5323</v>
      </c>
      <c r="E1590" s="14">
        <v>53234</v>
      </c>
      <c r="F1590" s="16" t="s">
        <v>2038</v>
      </c>
      <c r="G1590" s="21" t="s">
        <v>1239</v>
      </c>
      <c r="H1590" s="17" t="s">
        <v>970</v>
      </c>
      <c r="I1590" s="56">
        <v>0</v>
      </c>
      <c r="J1590" s="56">
        <f>270/3</f>
        <v>90</v>
      </c>
      <c r="K1590" s="56"/>
      <c r="L1590" s="56"/>
      <c r="M1590" s="56">
        <f>SUM(I1590:L1590)</f>
        <v>90</v>
      </c>
      <c r="N1590" s="56">
        <f>IF(OR(H1590="",H1590="sif",H1590="PM"),0,VLOOKUP(H1590,[5]CU!$C$4:$H$255,6,FALSE))</f>
        <v>10.034934666666667</v>
      </c>
      <c r="O1590" s="56">
        <f t="shared" si="238"/>
        <v>0</v>
      </c>
      <c r="P1590" s="56">
        <f t="shared" si="238"/>
        <v>903.14412000000004</v>
      </c>
      <c r="Q1590" s="56">
        <f t="shared" si="238"/>
        <v>0</v>
      </c>
      <c r="R1590" s="56">
        <f t="shared" si="238"/>
        <v>0</v>
      </c>
      <c r="S1590" s="56">
        <f>SUM(O1590:R1590)</f>
        <v>903.14412000000004</v>
      </c>
      <c r="T1590" s="35" t="s">
        <v>39</v>
      </c>
      <c r="U1590" s="19" t="s">
        <v>1873</v>
      </c>
      <c r="V1590" s="19" t="str">
        <f>IF(OR($H1590="",$H1590="sif",$H1590="PM"),"",VLOOKUP($H1590,[5]CU!$C$5:$J$255,8,FALSE))</f>
        <v>5. Investissement</v>
      </c>
      <c r="W1590" s="19" t="s">
        <v>521</v>
      </c>
      <c r="X1590" s="19" t="s">
        <v>521</v>
      </c>
      <c r="Y1590" s="19" t="s">
        <v>32</v>
      </c>
      <c r="Z1590" s="19" t="str">
        <f>A1590 &amp; "-" &amp; VLOOKUP(A1590,[4]PROGRAMMES!$E$1:$F$7,2,FALSE)</f>
        <v>5-Gouvernance et pilotage du secteur</v>
      </c>
      <c r="AA1590" s="19" t="str">
        <f>B1590 &amp; "-" &amp; VLOOKUP(B1590,[4]SOUSPROGRAMMES!$E$1:$F$44,2,FALSE)</f>
        <v xml:space="preserve">53- Systèmes d’information pour la gestion de l'éducation (collecte, analyse, diffusion, et utilisation des informations) </v>
      </c>
      <c r="AB1590" s="19" t="str">
        <f>C1590 &amp; "-" &amp; VLOOKUP(C1590,[4]RESULTATS!$E$1:$F$176,2,FALSE)</f>
        <v>532- Le Système d'Informations et de Gestion de l'Education est intégré et est utilisé pour la prise de décision</v>
      </c>
      <c r="AC1590" s="20" t="str">
        <f>D1590 &amp; "-" &amp; VLOOKUP(D1590,[4]STRATEGIES!$E$1:$F$504,2,FALSE)</f>
        <v>5323-Renforcement des capacités des structures du secteur de l’éducation aux techniques de production des données, à l’exploitation des bases de données ; et aux techniques d’élaboration d’un rapport d’analyse</v>
      </c>
      <c r="AD1590" s="21" t="str">
        <f t="shared" si="231"/>
        <v>53234-Acquisition de matériels informatiques et accessoires (ordinateurs fixes)</v>
      </c>
    </row>
    <row r="1591" spans="1:30" ht="45" hidden="1" customHeight="1" x14ac:dyDescent="0.8">
      <c r="A1591" s="25">
        <v>5</v>
      </c>
      <c r="B1591" s="16">
        <v>53</v>
      </c>
      <c r="C1591" s="16">
        <v>532</v>
      </c>
      <c r="D1591" s="16">
        <v>5323</v>
      </c>
      <c r="E1591" s="25">
        <v>53234</v>
      </c>
      <c r="F1591" s="16" t="s">
        <v>2038</v>
      </c>
      <c r="G1591" s="21" t="s">
        <v>1239</v>
      </c>
      <c r="H1591" s="21" t="s">
        <v>970</v>
      </c>
      <c r="I1591" s="56">
        <v>0</v>
      </c>
      <c r="J1591" s="57">
        <v>50</v>
      </c>
      <c r="K1591" s="57"/>
      <c r="L1591" s="57"/>
      <c r="M1591" s="57">
        <f>SUM(I1591:L1591)</f>
        <v>50</v>
      </c>
      <c r="N1591" s="57">
        <f>IF(OR(H1591="",H1591="sif",H1591="PM"),0,VLOOKUP(H1591,[5]CU!$C$4:$H$255,6,FALSE))</f>
        <v>10.034934666666667</v>
      </c>
      <c r="O1591" s="57">
        <f t="shared" si="238"/>
        <v>0</v>
      </c>
      <c r="P1591" s="57">
        <f t="shared" si="238"/>
        <v>501.74673333333334</v>
      </c>
      <c r="Q1591" s="57">
        <f t="shared" si="238"/>
        <v>0</v>
      </c>
      <c r="R1591" s="57">
        <f t="shared" si="238"/>
        <v>0</v>
      </c>
      <c r="S1591" s="57">
        <f>SUM(O1591:R1591)</f>
        <v>501.74673333333334</v>
      </c>
      <c r="T1591" s="38" t="s">
        <v>56</v>
      </c>
      <c r="U1591" s="19" t="s">
        <v>1873</v>
      </c>
      <c r="V1591" s="19" t="str">
        <f>IF(OR($H1591="",$H1591="sif",$H1591="PM"),"",VLOOKUP($H1591,[5]CU!$C$5:$J$255,8,FALSE))</f>
        <v>5. Investissement</v>
      </c>
      <c r="W1591" s="19" t="s">
        <v>521</v>
      </c>
      <c r="X1591" s="19" t="s">
        <v>521</v>
      </c>
      <c r="Y1591" s="19" t="s">
        <v>32</v>
      </c>
      <c r="Z1591" s="19" t="str">
        <f>A1591 &amp; "-" &amp; VLOOKUP(A1591,[4]PROGRAMMES!$E$1:$F$7,2,FALSE)</f>
        <v>5-Gouvernance et pilotage du secteur</v>
      </c>
      <c r="AA1591" s="19" t="str">
        <f>B1591 &amp; "-" &amp; VLOOKUP(B1591,[4]SOUSPROGRAMMES!$E$1:$F$44,2,FALSE)</f>
        <v xml:space="preserve">53- Systèmes d’information pour la gestion de l'éducation (collecte, analyse, diffusion, et utilisation des informations) </v>
      </c>
      <c r="AB1591" s="19" t="str">
        <f>C1591 &amp; "-" &amp; VLOOKUP(C1591,[4]RESULTATS!$E$1:$F$176,2,FALSE)</f>
        <v>532- Le Système d'Informations et de Gestion de l'Education est intégré et est utilisé pour la prise de décision</v>
      </c>
      <c r="AC1591" s="20" t="str">
        <f>D1591 &amp; "-" &amp; VLOOKUP(D1591,[4]STRATEGIES!$E$1:$F$504,2,FALSE)</f>
        <v>5323-Renforcement des capacités des structures du secteur de l’éducation aux techniques de production des données, à l’exploitation des bases de données ; et aux techniques d’élaboration d’un rapport d’analyse</v>
      </c>
      <c r="AD1591" s="21" t="str">
        <f t="shared" si="231"/>
        <v>53234-Acquisition de matériels informatiques et accessoires (ordinateurs fixes)</v>
      </c>
    </row>
    <row r="1592" spans="1:30" s="22" customFormat="1" ht="45" customHeight="1" x14ac:dyDescent="0.8">
      <c r="A1592" s="14">
        <v>5</v>
      </c>
      <c r="B1592" s="15">
        <v>53</v>
      </c>
      <c r="C1592" s="15">
        <v>532</v>
      </c>
      <c r="D1592" s="15">
        <v>5323</v>
      </c>
      <c r="E1592" s="14">
        <v>53235</v>
      </c>
      <c r="F1592" s="16" t="s">
        <v>2039</v>
      </c>
      <c r="G1592" s="21" t="s">
        <v>1239</v>
      </c>
      <c r="H1592" s="17" t="s">
        <v>974</v>
      </c>
      <c r="I1592" s="56">
        <v>0</v>
      </c>
      <c r="J1592" s="56">
        <f>366/3</f>
        <v>122</v>
      </c>
      <c r="K1592" s="56"/>
      <c r="L1592" s="56"/>
      <c r="M1592" s="56">
        <f>SUM(I1592:L1592)</f>
        <v>122</v>
      </c>
      <c r="N1592" s="56">
        <f>IF(OR(H1592="",H1592="sif",H1592="PM"),0,VLOOKUP(H1592,[5]CU!$C$4:$H$255,6,FALSE))</f>
        <v>6.333333333333333</v>
      </c>
      <c r="O1592" s="56">
        <f t="shared" si="238"/>
        <v>0</v>
      </c>
      <c r="P1592" s="56">
        <f t="shared" si="238"/>
        <v>772.66666666666663</v>
      </c>
      <c r="Q1592" s="56">
        <f t="shared" si="238"/>
        <v>0</v>
      </c>
      <c r="R1592" s="56">
        <f t="shared" si="238"/>
        <v>0</v>
      </c>
      <c r="S1592" s="56">
        <f>SUM(O1592:R1592)</f>
        <v>772.66666666666663</v>
      </c>
      <c r="T1592" s="35" t="s">
        <v>39</v>
      </c>
      <c r="U1592" s="19" t="s">
        <v>1873</v>
      </c>
      <c r="V1592" s="19" t="str">
        <f>IF(OR($H1592="",$H1592="sif",$H1592="PM"),"",VLOOKUP($H1592,[5]CU!$C$5:$J$255,8,FALSE))</f>
        <v>5. Investissement</v>
      </c>
      <c r="W1592" s="19" t="s">
        <v>521</v>
      </c>
      <c r="X1592" s="19" t="s">
        <v>521</v>
      </c>
      <c r="Y1592" s="19" t="s">
        <v>32</v>
      </c>
      <c r="Z1592" s="19" t="str">
        <f>A1592 &amp; "-" &amp; VLOOKUP(A1592,[4]PROGRAMMES!$E$1:$F$7,2,FALSE)</f>
        <v>5-Gouvernance et pilotage du secteur</v>
      </c>
      <c r="AA1592" s="19" t="str">
        <f>B1592 &amp; "-" &amp; VLOOKUP(B1592,[4]SOUSPROGRAMMES!$E$1:$F$44,2,FALSE)</f>
        <v xml:space="preserve">53- Systèmes d’information pour la gestion de l'éducation (collecte, analyse, diffusion, et utilisation des informations) </v>
      </c>
      <c r="AB1592" s="19" t="str">
        <f>C1592 &amp; "-" &amp; VLOOKUP(C1592,[4]RESULTATS!$E$1:$F$176,2,FALSE)</f>
        <v>532- Le Système d'Informations et de Gestion de l'Education est intégré et est utilisé pour la prise de décision</v>
      </c>
      <c r="AC1592" s="20" t="str">
        <f>D1592 &amp; "-" &amp; VLOOKUP(D1592,[4]STRATEGIES!$E$1:$F$504,2,FALSE)</f>
        <v>5323-Renforcement des capacités des structures du secteur de l’éducation aux techniques de production des données, à l’exploitation des bases de données ; et aux techniques d’élaboration d’un rapport d’analyse</v>
      </c>
      <c r="AD1592" s="21" t="str">
        <f t="shared" si="231"/>
        <v>53235-Acquisition de matériels informatiques et accessoires (ordinateurs portables)</v>
      </c>
    </row>
    <row r="1593" spans="1:30" ht="45" hidden="1" customHeight="1" x14ac:dyDescent="0.8">
      <c r="A1593" s="25">
        <v>5</v>
      </c>
      <c r="B1593" s="16">
        <v>53</v>
      </c>
      <c r="C1593" s="16">
        <v>532</v>
      </c>
      <c r="D1593" s="16">
        <v>5323</v>
      </c>
      <c r="E1593" s="25">
        <v>53235</v>
      </c>
      <c r="F1593" s="16" t="s">
        <v>2039</v>
      </c>
      <c r="G1593" s="21" t="s">
        <v>1239</v>
      </c>
      <c r="H1593" s="21" t="s">
        <v>974</v>
      </c>
      <c r="I1593" s="56">
        <v>0</v>
      </c>
      <c r="J1593" s="57">
        <v>50</v>
      </c>
      <c r="K1593" s="57"/>
      <c r="L1593" s="57"/>
      <c r="M1593" s="57">
        <f t="shared" si="237"/>
        <v>50</v>
      </c>
      <c r="N1593" s="57">
        <f>IF(OR(H1593="",H1593="sif",H1593="PM"),0,VLOOKUP(H1593,[5]CU!$C$4:$H$255,6,FALSE))</f>
        <v>6.333333333333333</v>
      </c>
      <c r="O1593" s="57">
        <f t="shared" si="238"/>
        <v>0</v>
      </c>
      <c r="P1593" s="57">
        <f t="shared" si="238"/>
        <v>316.66666666666663</v>
      </c>
      <c r="Q1593" s="57">
        <f t="shared" si="238"/>
        <v>0</v>
      </c>
      <c r="R1593" s="57">
        <f t="shared" si="238"/>
        <v>0</v>
      </c>
      <c r="S1593" s="57">
        <f t="shared" ref="S1593:S1602" si="239">SUM(O1593:R1593)</f>
        <v>316.66666666666663</v>
      </c>
      <c r="T1593" s="38" t="s">
        <v>169</v>
      </c>
      <c r="U1593" s="19" t="s">
        <v>1873</v>
      </c>
      <c r="V1593" s="19" t="str">
        <f>IF(OR($H1593="",$H1593="sif",$H1593="PM"),"",VLOOKUP($H1593,[5]CU!$C$5:$J$255,8,FALSE))</f>
        <v>5. Investissement</v>
      </c>
      <c r="W1593" s="19" t="s">
        <v>521</v>
      </c>
      <c r="X1593" s="19" t="s">
        <v>521</v>
      </c>
      <c r="Y1593" s="19" t="s">
        <v>32</v>
      </c>
      <c r="Z1593" s="19" t="str">
        <f>A1593 &amp; "-" &amp; VLOOKUP(A1593,[4]PROGRAMMES!$E$1:$F$7,2,FALSE)</f>
        <v>5-Gouvernance et pilotage du secteur</v>
      </c>
      <c r="AA1593" s="19" t="str">
        <f>B1593 &amp; "-" &amp; VLOOKUP(B1593,[4]SOUSPROGRAMMES!$E$1:$F$44,2,FALSE)</f>
        <v xml:space="preserve">53- Systèmes d’information pour la gestion de l'éducation (collecte, analyse, diffusion, et utilisation des informations) </v>
      </c>
      <c r="AB1593" s="19" t="str">
        <f>C1593 &amp; "-" &amp; VLOOKUP(C1593,[4]RESULTATS!$E$1:$F$176,2,FALSE)</f>
        <v>532- Le Système d'Informations et de Gestion de l'Education est intégré et est utilisé pour la prise de décision</v>
      </c>
      <c r="AC1593" s="20" t="str">
        <f>D1593 &amp; "-" &amp; VLOOKUP(D1593,[4]STRATEGIES!$E$1:$F$504,2,FALSE)</f>
        <v>5323-Renforcement des capacités des structures du secteur de l’éducation aux techniques de production des données, à l’exploitation des bases de données ; et aux techniques d’élaboration d’un rapport d’analyse</v>
      </c>
      <c r="AD1593" s="21" t="str">
        <f t="shared" si="231"/>
        <v>53235-Acquisition de matériels informatiques et accessoires (ordinateurs portables)</v>
      </c>
    </row>
    <row r="1594" spans="1:30" s="22" customFormat="1" ht="45" customHeight="1" x14ac:dyDescent="0.8">
      <c r="A1594" s="14">
        <v>5</v>
      </c>
      <c r="B1594" s="15">
        <v>53</v>
      </c>
      <c r="C1594" s="15">
        <v>532</v>
      </c>
      <c r="D1594" s="15">
        <v>5323</v>
      </c>
      <c r="E1594" s="14">
        <v>53236</v>
      </c>
      <c r="F1594" s="16" t="s">
        <v>2040</v>
      </c>
      <c r="G1594" s="21" t="s">
        <v>315</v>
      </c>
      <c r="H1594" s="17" t="s">
        <v>301</v>
      </c>
      <c r="I1594" s="56">
        <v>0</v>
      </c>
      <c r="J1594" s="56"/>
      <c r="K1594" s="56">
        <f>20*6*1</f>
        <v>120</v>
      </c>
      <c r="L1594" s="56"/>
      <c r="M1594" s="56">
        <f t="shared" si="237"/>
        <v>120</v>
      </c>
      <c r="N1594" s="56">
        <f>IF(OR(H1594="",H1594="sif",H1594="PM"),0,VLOOKUP(H1594,[5]CU!$C$4:$H$255,6,FALSE))</f>
        <v>0.67666666666666664</v>
      </c>
      <c r="O1594" s="56">
        <f t="shared" si="238"/>
        <v>0</v>
      </c>
      <c r="P1594" s="56">
        <f t="shared" si="238"/>
        <v>0</v>
      </c>
      <c r="Q1594" s="56">
        <f t="shared" si="238"/>
        <v>81.2</v>
      </c>
      <c r="R1594" s="56">
        <f t="shared" si="238"/>
        <v>0</v>
      </c>
      <c r="S1594" s="56">
        <f t="shared" si="239"/>
        <v>81.2</v>
      </c>
      <c r="T1594" s="35" t="s">
        <v>39</v>
      </c>
      <c r="U1594" s="19" t="s">
        <v>1873</v>
      </c>
      <c r="V1594" s="19" t="str">
        <f>IF(OR($H1594="",$H1594="sif",$H1594="PM"),"",VLOOKUP($H1594,[5]CU!$C$5:$J$255,8,FALSE))</f>
        <v>3. Formation</v>
      </c>
      <c r="W1594" s="19" t="s">
        <v>96</v>
      </c>
      <c r="X1594" s="19" t="s">
        <v>2041</v>
      </c>
      <c r="Y1594" s="19" t="s">
        <v>32</v>
      </c>
      <c r="Z1594" s="19" t="str">
        <f>A1594 &amp; "-" &amp; VLOOKUP(A1594,[4]PROGRAMMES!$E$1:$F$7,2,FALSE)</f>
        <v>5-Gouvernance et pilotage du secteur</v>
      </c>
      <c r="AA1594" s="19" t="str">
        <f>B1594 &amp; "-" &amp; VLOOKUP(B1594,[4]SOUSPROGRAMMES!$E$1:$F$44,2,FALSE)</f>
        <v xml:space="preserve">53- Systèmes d’information pour la gestion de l'éducation (collecte, analyse, diffusion, et utilisation des informations) </v>
      </c>
      <c r="AB1594" s="19" t="str">
        <f>C1594 &amp; "-" &amp; VLOOKUP(C1594,[4]RESULTATS!$E$1:$F$176,2,FALSE)</f>
        <v>532- Le Système d'Informations et de Gestion de l'Education est intégré et est utilisé pour la prise de décision</v>
      </c>
      <c r="AC1594" s="20" t="str">
        <f>D1594 &amp; "-" &amp; VLOOKUP(D1594,[4]STRATEGIES!$E$1:$F$504,2,FALSE)</f>
        <v>5323-Renforcement des capacités des structures du secteur de l’éducation aux techniques de production des données, à l’exploitation des bases de données ; et aux techniques d’élaboration d’un rapport d’analyse</v>
      </c>
      <c r="AD1594" s="21" t="str">
        <f t="shared" si="231"/>
        <v xml:space="preserve">53236-Formation des formateurs à l'exploitation des données intégrées (gestionnaires des ressources humaines et cadres du BSD) </v>
      </c>
    </row>
    <row r="1595" spans="1:30" s="22" customFormat="1" ht="45" customHeight="1" x14ac:dyDescent="0.8">
      <c r="A1595" s="14">
        <v>5</v>
      </c>
      <c r="B1595" s="15">
        <v>53</v>
      </c>
      <c r="C1595" s="15">
        <v>532</v>
      </c>
      <c r="D1595" s="15">
        <v>5323</v>
      </c>
      <c r="E1595" s="14">
        <v>53237</v>
      </c>
      <c r="F1595" s="16" t="s">
        <v>2042</v>
      </c>
      <c r="G1595" s="21" t="s">
        <v>315</v>
      </c>
      <c r="H1595" s="17" t="s">
        <v>301</v>
      </c>
      <c r="I1595" s="56">
        <v>0</v>
      </c>
      <c r="J1595" s="56"/>
      <c r="K1595" s="56"/>
      <c r="L1595" s="56">
        <f>25*5*8</f>
        <v>1000</v>
      </c>
      <c r="M1595" s="56">
        <f t="shared" si="237"/>
        <v>1000</v>
      </c>
      <c r="N1595" s="56">
        <f>IF(OR(H1595="",H1595="sif",H1595="PM"),0,VLOOKUP(H1595,[5]CU!$C$4:$H$255,6,FALSE))</f>
        <v>0.67666666666666664</v>
      </c>
      <c r="O1595" s="56">
        <f t="shared" si="238"/>
        <v>0</v>
      </c>
      <c r="P1595" s="56">
        <f t="shared" si="238"/>
        <v>0</v>
      </c>
      <c r="Q1595" s="56">
        <f t="shared" si="238"/>
        <v>0</v>
      </c>
      <c r="R1595" s="56">
        <f t="shared" si="238"/>
        <v>676.66666666666663</v>
      </c>
      <c r="S1595" s="56">
        <f t="shared" si="239"/>
        <v>676.66666666666663</v>
      </c>
      <c r="T1595" s="35" t="s">
        <v>39</v>
      </c>
      <c r="U1595" s="19" t="s">
        <v>1873</v>
      </c>
      <c r="V1595" s="19" t="str">
        <f>IF(OR($H1595="",$H1595="sif",$H1595="PM"),"",VLOOKUP($H1595,[5]CU!$C$5:$J$255,8,FALSE))</f>
        <v>3. Formation</v>
      </c>
      <c r="W1595" s="19" t="s">
        <v>96</v>
      </c>
      <c r="X1595" s="19" t="s">
        <v>2041</v>
      </c>
      <c r="Y1595" s="19" t="s">
        <v>32</v>
      </c>
      <c r="Z1595" s="19" t="str">
        <f>A1595 &amp; "-" &amp; VLOOKUP(A1595,[4]PROGRAMMES!$E$1:$F$7,2,FALSE)</f>
        <v>5-Gouvernance et pilotage du secteur</v>
      </c>
      <c r="AA1595" s="19" t="str">
        <f>B1595 &amp; "-" &amp; VLOOKUP(B1595,[4]SOUSPROGRAMMES!$E$1:$F$44,2,FALSE)</f>
        <v xml:space="preserve">53- Systèmes d’information pour la gestion de l'éducation (collecte, analyse, diffusion, et utilisation des informations) </v>
      </c>
      <c r="AB1595" s="19" t="str">
        <f>C1595 &amp; "-" &amp; VLOOKUP(C1595,[4]RESULTATS!$E$1:$F$176,2,FALSE)</f>
        <v>532- Le Système d'Informations et de Gestion de l'Education est intégré et est utilisé pour la prise de décision</v>
      </c>
      <c r="AC1595" s="20" t="str">
        <f>D1595 &amp; "-" &amp; VLOOKUP(D1595,[4]STRATEGIES!$E$1:$F$504,2,FALSE)</f>
        <v>5323-Renforcement des capacités des structures du secteur de l’éducation aux techniques de production des données, à l’exploitation des bases de données ; et aux techniques d’élaboration d’un rapport d’analyse</v>
      </c>
      <c r="AD1595" s="21" t="str">
        <f t="shared" si="231"/>
        <v>53237-Formation des gestionnaires des ressources humaines et des cadres du BSD à l'exploitation des données intégrées (IRE et DPE/DCE)</v>
      </c>
    </row>
    <row r="1596" spans="1:30" s="22" customFormat="1" ht="61" x14ac:dyDescent="0.8">
      <c r="A1596" s="14">
        <v>5</v>
      </c>
      <c r="B1596" s="15">
        <v>53</v>
      </c>
      <c r="C1596" s="15">
        <v>533</v>
      </c>
      <c r="D1596" s="15">
        <v>533</v>
      </c>
      <c r="E1596" s="14">
        <v>533</v>
      </c>
      <c r="F1596" s="16" t="s">
        <v>2043</v>
      </c>
      <c r="G1596" s="17"/>
      <c r="H1596" s="17"/>
      <c r="I1596" s="56">
        <v>0</v>
      </c>
      <c r="J1596" s="56"/>
      <c r="K1596" s="56"/>
      <c r="L1596" s="56"/>
      <c r="M1596" s="56"/>
      <c r="N1596" s="56"/>
      <c r="O1596" s="56"/>
      <c r="P1596" s="56"/>
      <c r="Q1596" s="56"/>
      <c r="R1596" s="56"/>
      <c r="S1596" s="56"/>
      <c r="T1596" s="33"/>
      <c r="U1596" s="18"/>
      <c r="V1596" s="19"/>
      <c r="W1596" s="18"/>
      <c r="X1596" s="18"/>
      <c r="Y1596" s="18"/>
      <c r="Z1596" s="19" t="str">
        <f>A1596 &amp; "-" &amp; VLOOKUP(A1596,[4]PROGRAMMES!$E$1:$F$7,2,FALSE)</f>
        <v>5-Gouvernance et pilotage du secteur</v>
      </c>
      <c r="AA1596" s="19" t="str">
        <f>B1596 &amp; "-" &amp; VLOOKUP(B1596,[4]SOUSPROGRAMMES!$E$1:$F$44,2,FALSE)</f>
        <v xml:space="preserve">53- Systèmes d’information pour la gestion de l'éducation (collecte, analyse, diffusion, et utilisation des informations) </v>
      </c>
      <c r="AB1596" s="19" t="str">
        <f>C1596 &amp; "-" &amp; VLOOKUP(C1596,[4]RESULTATS!$E$1:$F$176,2,FALSE)</f>
        <v>533- Le développement de la carte scolaire permet une meilleure planification et gestion du réseau des écoles, établissements/institutions  et de réduire les disparités</v>
      </c>
      <c r="AC1596" s="20" t="str">
        <f>D1596 &amp; "-" &amp; VLOOKUP(D1596,[4]STRATEGIES!$E$1:$F$504,2,FALSE)</f>
        <v>533- Le développement de la carte scolaire permet une meilleure planification et gestion du réseau des écoles, établissements/institutions  et de réduire les disparités</v>
      </c>
      <c r="AD1596" s="21" t="str">
        <f t="shared" si="231"/>
        <v>533- Le développement de la carte scolaire permet une meilleure planification et gestion du réseau des écoles, établissements/institutions  et de réduire les disparités</v>
      </c>
    </row>
    <row r="1597" spans="1:30" s="22" customFormat="1" ht="61" x14ac:dyDescent="0.8">
      <c r="A1597" s="14">
        <v>5</v>
      </c>
      <c r="B1597" s="15">
        <v>53</v>
      </c>
      <c r="C1597" s="15">
        <v>533</v>
      </c>
      <c r="D1597" s="15">
        <v>5331</v>
      </c>
      <c r="E1597" s="14">
        <v>5331</v>
      </c>
      <c r="F1597" s="16" t="s">
        <v>2044</v>
      </c>
      <c r="G1597" s="17"/>
      <c r="H1597" s="17"/>
      <c r="I1597" s="56">
        <v>0</v>
      </c>
      <c r="J1597" s="56"/>
      <c r="K1597" s="56"/>
      <c r="L1597" s="56"/>
      <c r="M1597" s="56"/>
      <c r="N1597" s="56"/>
      <c r="O1597" s="56"/>
      <c r="P1597" s="56"/>
      <c r="Q1597" s="56"/>
      <c r="R1597" s="56"/>
      <c r="S1597" s="56"/>
      <c r="T1597" s="33"/>
      <c r="U1597" s="18"/>
      <c r="V1597" s="19"/>
      <c r="W1597" s="18"/>
      <c r="X1597" s="18"/>
      <c r="Y1597" s="18"/>
      <c r="Z1597" s="19" t="str">
        <f>A1597 &amp; "-" &amp; VLOOKUP(A1597,[4]PROGRAMMES!$E$1:$F$7,2,FALSE)</f>
        <v>5-Gouvernance et pilotage du secteur</v>
      </c>
      <c r="AA1597" s="19" t="str">
        <f>B1597 &amp; "-" &amp; VLOOKUP(B1597,[4]SOUSPROGRAMMES!$E$1:$F$44,2,FALSE)</f>
        <v xml:space="preserve">53- Systèmes d’information pour la gestion de l'éducation (collecte, analyse, diffusion, et utilisation des informations) </v>
      </c>
      <c r="AB1597" s="19" t="str">
        <f>C1597 &amp; "-" &amp; VLOOKUP(C1597,[4]RESULTATS!$E$1:$F$176,2,FALSE)</f>
        <v>533- Le développement de la carte scolaire permet une meilleure planification et gestion du réseau des écoles, établissements/institutions  et de réduire les disparités</v>
      </c>
      <c r="AC1597" s="20" t="str">
        <f>D1597 &amp; "-" &amp; VLOOKUP(D1597,[4]STRATEGIES!$E$1:$F$504,2,FALSE)</f>
        <v>5331-Géoréférencement des écoles, établissements, et institutions, et des localités sans école</v>
      </c>
      <c r="AD1597" s="21" t="str">
        <f t="shared" si="231"/>
        <v>5331-Géoréférencement des écoles, établissements, et institutions, et des localités sans école</v>
      </c>
    </row>
    <row r="1598" spans="1:30" s="22" customFormat="1" ht="61" x14ac:dyDescent="0.8">
      <c r="A1598" s="14">
        <v>5</v>
      </c>
      <c r="B1598" s="15">
        <v>53</v>
      </c>
      <c r="C1598" s="15">
        <v>533</v>
      </c>
      <c r="D1598" s="15">
        <v>5331</v>
      </c>
      <c r="E1598" s="14">
        <v>53311</v>
      </c>
      <c r="F1598" s="16" t="s">
        <v>2045</v>
      </c>
      <c r="G1598" s="21" t="s">
        <v>1017</v>
      </c>
      <c r="H1598" s="17" t="s">
        <v>59</v>
      </c>
      <c r="I1598" s="56">
        <v>0</v>
      </c>
      <c r="J1598" s="56">
        <f>2*46*5</f>
        <v>460</v>
      </c>
      <c r="K1598" s="56">
        <f>2*46*5</f>
        <v>460</v>
      </c>
      <c r="L1598" s="56">
        <f>2*46*5</f>
        <v>460</v>
      </c>
      <c r="M1598" s="56">
        <f t="shared" si="237"/>
        <v>1380</v>
      </c>
      <c r="N1598" s="56">
        <f>IF(OR(H1598="",H1598="sif",H1598="PM"),0,VLOOKUP(H1598,[5]CU!$C$4:$H$255,6,FALSE))</f>
        <v>0.8177777777777776</v>
      </c>
      <c r="O1598" s="56">
        <f t="shared" si="238"/>
        <v>0</v>
      </c>
      <c r="P1598" s="56">
        <f t="shared" si="238"/>
        <v>376.17777777777769</v>
      </c>
      <c r="Q1598" s="56">
        <f t="shared" si="238"/>
        <v>376.17777777777769</v>
      </c>
      <c r="R1598" s="56">
        <f t="shared" si="238"/>
        <v>376.17777777777769</v>
      </c>
      <c r="S1598" s="56">
        <f t="shared" si="239"/>
        <v>1128.5333333333331</v>
      </c>
      <c r="T1598" s="35" t="s">
        <v>39</v>
      </c>
      <c r="U1598" s="19" t="s">
        <v>1873</v>
      </c>
      <c r="V1598" s="19" t="str">
        <f>IF(OR($H1598="",$H1598="sif",$H1598="PM"),"",VLOOKUP($H1598,[5]CU!$C$5:$J$255,8,FALSE))</f>
        <v>3. Dépenses de fonctionnement</v>
      </c>
      <c r="W1598" s="19" t="s">
        <v>96</v>
      </c>
      <c r="X1598" s="19" t="s">
        <v>96</v>
      </c>
      <c r="Y1598" s="19" t="s">
        <v>32</v>
      </c>
      <c r="Z1598" s="19" t="str">
        <f>A1598 &amp; "-" &amp; VLOOKUP(A1598,[4]PROGRAMMES!$E$1:$F$7,2,FALSE)</f>
        <v>5-Gouvernance et pilotage du secteur</v>
      </c>
      <c r="AA1598" s="19" t="str">
        <f>B1598 &amp; "-" &amp; VLOOKUP(B1598,[4]SOUSPROGRAMMES!$E$1:$F$44,2,FALSE)</f>
        <v xml:space="preserve">53- Systèmes d’information pour la gestion de l'éducation (collecte, analyse, diffusion, et utilisation des informations) </v>
      </c>
      <c r="AB1598" s="19" t="str">
        <f>C1598 &amp; "-" &amp; VLOOKUP(C1598,[4]RESULTATS!$E$1:$F$176,2,FALSE)</f>
        <v>533- Le développement de la carte scolaire permet une meilleure planification et gestion du réseau des écoles, établissements/institutions  et de réduire les disparités</v>
      </c>
      <c r="AC1598" s="20" t="str">
        <f>D1598 &amp; "-" &amp; VLOOKUP(D1598,[4]STRATEGIES!$E$1:$F$504,2,FALSE)</f>
        <v>5331-Géoréférencement des écoles, établissements, et institutions, et des localités sans école</v>
      </c>
      <c r="AD1598" s="21" t="str">
        <f t="shared" si="231"/>
        <v>53311-Géo référencement des nouvelles écoles et leur environnement</v>
      </c>
    </row>
    <row r="1599" spans="1:30" s="22" customFormat="1" ht="61" hidden="1" x14ac:dyDescent="0.8">
      <c r="A1599" s="14">
        <v>5</v>
      </c>
      <c r="B1599" s="15">
        <v>53</v>
      </c>
      <c r="C1599" s="15">
        <v>533</v>
      </c>
      <c r="D1599" s="15">
        <v>5331</v>
      </c>
      <c r="E1599" s="14">
        <v>53312</v>
      </c>
      <c r="F1599" s="16" t="s">
        <v>2046</v>
      </c>
      <c r="G1599" s="21" t="s">
        <v>315</v>
      </c>
      <c r="H1599" s="17" t="s">
        <v>301</v>
      </c>
      <c r="I1599" s="56">
        <v>0</v>
      </c>
      <c r="J1599" s="56"/>
      <c r="K1599" s="56"/>
      <c r="L1599" s="56"/>
      <c r="M1599" s="56">
        <f>SUM(I1599:L1599)</f>
        <v>0</v>
      </c>
      <c r="N1599" s="56">
        <f>IF(OR(H1599="",H1599="sif",H1599="PM"),0,VLOOKUP(H1599,[5]CU!$C$4:$H$255,6,FALSE))</f>
        <v>0.67666666666666664</v>
      </c>
      <c r="O1599" s="56">
        <f>IFERROR($N1599*I1599,0)</f>
        <v>0</v>
      </c>
      <c r="P1599" s="56">
        <f>IFERROR($N1599*J1599,0)</f>
        <v>0</v>
      </c>
      <c r="Q1599" s="56">
        <f>IFERROR($N1599*K1599,0)</f>
        <v>0</v>
      </c>
      <c r="R1599" s="56">
        <f>IFERROR($N1599*L1599,0)</f>
        <v>0</v>
      </c>
      <c r="S1599" s="56">
        <f>SUM(O1599:R1599)</f>
        <v>0</v>
      </c>
      <c r="T1599" s="35" t="s">
        <v>178</v>
      </c>
      <c r="U1599" s="19" t="s">
        <v>1873</v>
      </c>
      <c r="V1599" s="19" t="str">
        <f>IF(OR($H1599="",$H1599="sif",$H1599="PM"),"",VLOOKUP($H1599,[5]CU!$C$5:$J$255,8,FALSE))</f>
        <v>3. Formation</v>
      </c>
      <c r="W1599" s="19" t="s">
        <v>96</v>
      </c>
      <c r="X1599" s="19" t="s">
        <v>96</v>
      </c>
      <c r="Y1599" s="19" t="s">
        <v>32</v>
      </c>
      <c r="Z1599" s="19" t="str">
        <f>A1599 &amp; "-" &amp; VLOOKUP(A1599,[4]PROGRAMMES!$E$1:$F$7,2,FALSE)</f>
        <v>5-Gouvernance et pilotage du secteur</v>
      </c>
      <c r="AA1599" s="19" t="str">
        <f>B1599 &amp; "-" &amp; VLOOKUP(B1599,[4]SOUSPROGRAMMES!$E$1:$F$44,2,FALSE)</f>
        <v xml:space="preserve">53- Systèmes d’information pour la gestion de l'éducation (collecte, analyse, diffusion, et utilisation des informations) </v>
      </c>
      <c r="AB1599" s="19" t="str">
        <f>C1599 &amp; "-" &amp; VLOOKUP(C1599,[4]RESULTATS!$E$1:$F$176,2,FALSE)</f>
        <v>533- Le développement de la carte scolaire permet une meilleure planification et gestion du réseau des écoles, établissements/institutions  et de réduire les disparités</v>
      </c>
      <c r="AC1599" s="20" t="str">
        <f>D1599 &amp; "-" &amp; VLOOKUP(D1599,[4]STRATEGIES!$E$1:$F$504,2,FALSE)</f>
        <v>5331-Géoréférencement des écoles, établissements, et institutions, et des localités sans école</v>
      </c>
      <c r="AD1599" s="21" t="str">
        <f t="shared" si="231"/>
        <v>53312-Organisation de la formation des cadres des structures centrales et déconcentrées en utilisation en données géo référencées</v>
      </c>
    </row>
    <row r="1600" spans="1:30" s="22" customFormat="1" ht="61" x14ac:dyDescent="0.8">
      <c r="A1600" s="14">
        <v>5</v>
      </c>
      <c r="B1600" s="15">
        <v>53</v>
      </c>
      <c r="C1600" s="15">
        <v>533</v>
      </c>
      <c r="D1600" s="15">
        <v>5331</v>
      </c>
      <c r="E1600" s="14">
        <v>53312</v>
      </c>
      <c r="F1600" s="16" t="s">
        <v>2046</v>
      </c>
      <c r="G1600" s="21" t="s">
        <v>315</v>
      </c>
      <c r="H1600" s="17" t="s">
        <v>301</v>
      </c>
      <c r="I1600" s="56">
        <v>0</v>
      </c>
      <c r="J1600" s="56">
        <f>(2*46+10)*5</f>
        <v>510</v>
      </c>
      <c r="K1600" s="56">
        <f>(2*46+10)*5</f>
        <v>510</v>
      </c>
      <c r="L1600" s="56">
        <f>(2*46+10)*5</f>
        <v>510</v>
      </c>
      <c r="M1600" s="56">
        <f t="shared" si="237"/>
        <v>1530</v>
      </c>
      <c r="N1600" s="56">
        <f>IF(OR(H1600="",H1600="sif",H1600="PM"),0,VLOOKUP(H1600,[5]CU!$C$4:$H$255,6,FALSE))</f>
        <v>0.67666666666666664</v>
      </c>
      <c r="O1600" s="56">
        <f t="shared" si="238"/>
        <v>0</v>
      </c>
      <c r="P1600" s="56">
        <f t="shared" si="238"/>
        <v>345.09999999999997</v>
      </c>
      <c r="Q1600" s="56">
        <f t="shared" si="238"/>
        <v>345.09999999999997</v>
      </c>
      <c r="R1600" s="56">
        <f t="shared" si="238"/>
        <v>345.09999999999997</v>
      </c>
      <c r="S1600" s="56">
        <f t="shared" si="239"/>
        <v>1035.3</v>
      </c>
      <c r="T1600" s="35" t="s">
        <v>39</v>
      </c>
      <c r="U1600" s="19" t="s">
        <v>1873</v>
      </c>
      <c r="V1600" s="19" t="str">
        <f>IF(OR($H1600="",$H1600="sif",$H1600="PM"),"",VLOOKUP($H1600,[5]CU!$C$5:$J$255,8,FALSE))</f>
        <v>3. Formation</v>
      </c>
      <c r="W1600" s="19" t="s">
        <v>96</v>
      </c>
      <c r="X1600" s="19" t="s">
        <v>96</v>
      </c>
      <c r="Y1600" s="19" t="s">
        <v>32</v>
      </c>
      <c r="Z1600" s="19" t="str">
        <f>A1600 &amp; "-" &amp; VLOOKUP(A1600,[4]PROGRAMMES!$E$1:$F$7,2,FALSE)</f>
        <v>5-Gouvernance et pilotage du secteur</v>
      </c>
      <c r="AA1600" s="19" t="str">
        <f>B1600 &amp; "-" &amp; VLOOKUP(B1600,[4]SOUSPROGRAMMES!$E$1:$F$44,2,FALSE)</f>
        <v xml:space="preserve">53- Systèmes d’information pour la gestion de l'éducation (collecte, analyse, diffusion, et utilisation des informations) </v>
      </c>
      <c r="AB1600" s="19" t="str">
        <f>C1600 &amp; "-" &amp; VLOOKUP(C1600,[4]RESULTATS!$E$1:$F$176,2,FALSE)</f>
        <v>533- Le développement de la carte scolaire permet une meilleure planification et gestion du réseau des écoles, établissements/institutions  et de réduire les disparités</v>
      </c>
      <c r="AC1600" s="20" t="str">
        <f>D1600 &amp; "-" &amp; VLOOKUP(D1600,[4]STRATEGIES!$E$1:$F$504,2,FALSE)</f>
        <v>5331-Géoréférencement des écoles, établissements, et institutions, et des localités sans école</v>
      </c>
      <c r="AD1600" s="21" t="str">
        <f t="shared" si="231"/>
        <v>53312-Organisation de la formation des cadres des structures centrales et déconcentrées en utilisation en données géo référencées</v>
      </c>
    </row>
    <row r="1601" spans="1:30" s="22" customFormat="1" ht="61" x14ac:dyDescent="0.8">
      <c r="A1601" s="14">
        <v>5</v>
      </c>
      <c r="B1601" s="15">
        <v>53</v>
      </c>
      <c r="C1601" s="15">
        <v>533</v>
      </c>
      <c r="D1601" s="15">
        <v>5332</v>
      </c>
      <c r="E1601" s="14">
        <v>5332</v>
      </c>
      <c r="F1601" s="16" t="s">
        <v>2047</v>
      </c>
      <c r="G1601" s="17"/>
      <c r="H1601" s="17"/>
      <c r="I1601" s="56">
        <v>0</v>
      </c>
      <c r="J1601" s="56"/>
      <c r="K1601" s="56"/>
      <c r="L1601" s="56"/>
      <c r="M1601" s="56"/>
      <c r="N1601" s="56"/>
      <c r="O1601" s="56"/>
      <c r="P1601" s="56"/>
      <c r="Q1601" s="56"/>
      <c r="R1601" s="56"/>
      <c r="S1601" s="56"/>
      <c r="T1601" s="33"/>
      <c r="U1601" s="18"/>
      <c r="V1601" s="19"/>
      <c r="W1601" s="18"/>
      <c r="X1601" s="18"/>
      <c r="Y1601" s="18"/>
      <c r="Z1601" s="19" t="str">
        <f>A1601 &amp; "-" &amp; VLOOKUP(A1601,[4]PROGRAMMES!$E$1:$F$7,2,FALSE)</f>
        <v>5-Gouvernance et pilotage du secteur</v>
      </c>
      <c r="AA1601" s="19" t="str">
        <f>B1601 &amp; "-" &amp; VLOOKUP(B1601,[4]SOUSPROGRAMMES!$E$1:$F$44,2,FALSE)</f>
        <v xml:space="preserve">53- Systèmes d’information pour la gestion de l'éducation (collecte, analyse, diffusion, et utilisation des informations) </v>
      </c>
      <c r="AB1601" s="19" t="str">
        <f>C1601 &amp; "-" &amp; VLOOKUP(C1601,[4]RESULTATS!$E$1:$F$176,2,FALSE)</f>
        <v>533- Le développement de la carte scolaire permet une meilleure planification et gestion du réseau des écoles, établissements/institutions  et de réduire les disparités</v>
      </c>
      <c r="AC1601" s="20" t="str">
        <f>D1601 &amp; "-" &amp; VLOOKUP(D1601,[4]STRATEGIES!$E$1:$F$504,2,FALSE)</f>
        <v>5332-Identification des sites de construction scolaire</v>
      </c>
      <c r="AD1601" s="21" t="str">
        <f t="shared" si="231"/>
        <v>5332-Identification des sites de construction scolaire</v>
      </c>
    </row>
    <row r="1602" spans="1:30" s="22" customFormat="1" ht="61" x14ac:dyDescent="0.8">
      <c r="A1602" s="14">
        <v>5</v>
      </c>
      <c r="B1602" s="15">
        <v>53</v>
      </c>
      <c r="C1602" s="15">
        <v>533</v>
      </c>
      <c r="D1602" s="15">
        <v>5332</v>
      </c>
      <c r="E1602" s="14">
        <v>53321</v>
      </c>
      <c r="F1602" s="16" t="s">
        <v>2048</v>
      </c>
      <c r="G1602" s="21" t="s">
        <v>315</v>
      </c>
      <c r="H1602" s="17" t="s">
        <v>38</v>
      </c>
      <c r="I1602" s="56">
        <v>0</v>
      </c>
      <c r="J1602" s="56">
        <f>30*3*1</f>
        <v>90</v>
      </c>
      <c r="K1602" s="56"/>
      <c r="L1602" s="56"/>
      <c r="M1602" s="56">
        <f t="shared" si="237"/>
        <v>90</v>
      </c>
      <c r="N1602" s="56">
        <f>IF(OR(H1602="",H1602="sif",H1602="PM"),0,VLOOKUP(H1602,[5]CU!$C$4:$H$255,6,FALSE))</f>
        <v>0.3133333333333333</v>
      </c>
      <c r="O1602" s="56">
        <f t="shared" si="238"/>
        <v>0</v>
      </c>
      <c r="P1602" s="56">
        <f t="shared" si="238"/>
        <v>28.199999999999996</v>
      </c>
      <c r="Q1602" s="56">
        <f t="shared" si="238"/>
        <v>0</v>
      </c>
      <c r="R1602" s="56">
        <f t="shared" si="238"/>
        <v>0</v>
      </c>
      <c r="S1602" s="56">
        <f t="shared" si="239"/>
        <v>28.199999999999996</v>
      </c>
      <c r="T1602" s="35" t="s">
        <v>39</v>
      </c>
      <c r="U1602" s="19" t="s">
        <v>1873</v>
      </c>
      <c r="V1602" s="19" t="str">
        <f>IF(OR($H1602="",$H1602="sif",$H1602="PM"),"",VLOOKUP($H1602,[5]CU!$C$5:$J$255,8,FALSE))</f>
        <v>3. Formation</v>
      </c>
      <c r="W1602" s="19" t="s">
        <v>96</v>
      </c>
      <c r="X1602" s="19" t="s">
        <v>96</v>
      </c>
      <c r="Y1602" s="19" t="s">
        <v>32</v>
      </c>
      <c r="Z1602" s="19" t="str">
        <f>A1602 &amp; "-" &amp; VLOOKUP(A1602,[4]PROGRAMMES!$E$1:$F$7,2,FALSE)</f>
        <v>5-Gouvernance et pilotage du secteur</v>
      </c>
      <c r="AA1602" s="19" t="str">
        <f>B1602 &amp; "-" &amp; VLOOKUP(B1602,[4]SOUSPROGRAMMES!$E$1:$F$44,2,FALSE)</f>
        <v xml:space="preserve">53- Systèmes d’information pour la gestion de l'éducation (collecte, analyse, diffusion, et utilisation des informations) </v>
      </c>
      <c r="AB1602" s="19" t="str">
        <f>C1602 &amp; "-" &amp; VLOOKUP(C1602,[4]RESULTATS!$E$1:$F$176,2,FALSE)</f>
        <v>533- Le développement de la carte scolaire permet une meilleure planification et gestion du réseau des écoles, établissements/institutions  et de réduire les disparités</v>
      </c>
      <c r="AC1602" s="20" t="str">
        <f>D1602 &amp; "-" &amp; VLOOKUP(D1602,[4]STRATEGIES!$E$1:$F$504,2,FALSE)</f>
        <v>5332-Identification des sites de construction scolaire</v>
      </c>
      <c r="AD1602" s="21" t="str">
        <f t="shared" si="231"/>
        <v>53321-RedéFinition des critères de la carte scolaire</v>
      </c>
    </row>
    <row r="1603" spans="1:30" s="22" customFormat="1" ht="61" hidden="1" x14ac:dyDescent="0.8">
      <c r="A1603" s="14">
        <v>5</v>
      </c>
      <c r="B1603" s="15">
        <v>53</v>
      </c>
      <c r="C1603" s="15">
        <v>533</v>
      </c>
      <c r="D1603" s="15">
        <v>5332</v>
      </c>
      <c r="E1603" s="14">
        <v>53322</v>
      </c>
      <c r="F1603" s="16" t="s">
        <v>2049</v>
      </c>
      <c r="G1603" s="21" t="s">
        <v>2050</v>
      </c>
      <c r="H1603" s="17" t="s">
        <v>55</v>
      </c>
      <c r="I1603" s="56">
        <v>0</v>
      </c>
      <c r="J1603" s="56">
        <v>1</v>
      </c>
      <c r="K1603" s="56">
        <v>1</v>
      </c>
      <c r="L1603" s="56">
        <v>1</v>
      </c>
      <c r="M1603" s="56">
        <f t="shared" si="237"/>
        <v>3</v>
      </c>
      <c r="N1603" s="56">
        <f>IF(OR(H1603="",H1603="sif",H1603="PM"),0,VLOOKUP(H1603,[5]CU!$C$4:$H$255,6,FALSE))</f>
        <v>0</v>
      </c>
      <c r="O1603" s="56">
        <f t="shared" si="238"/>
        <v>0</v>
      </c>
      <c r="P1603" s="56">
        <f t="shared" si="238"/>
        <v>0</v>
      </c>
      <c r="Q1603" s="56">
        <f t="shared" si="238"/>
        <v>0</v>
      </c>
      <c r="R1603" s="56">
        <f t="shared" si="238"/>
        <v>0</v>
      </c>
      <c r="S1603" s="56"/>
      <c r="T1603" s="35" t="s">
        <v>56</v>
      </c>
      <c r="U1603" s="18" t="s">
        <v>1873</v>
      </c>
      <c r="V1603" s="19" t="str">
        <f>IF(OR($H1603="",$H1603="sif",$H1603="PM"),"",VLOOKUP($H1603,[5]CU!$C$5:$J$255,8,FALSE))</f>
        <v/>
      </c>
      <c r="W1603" s="18" t="s">
        <v>96</v>
      </c>
      <c r="X1603" s="18" t="s">
        <v>96</v>
      </c>
      <c r="Y1603" s="19" t="s">
        <v>32</v>
      </c>
      <c r="Z1603" s="19" t="str">
        <f>A1603 &amp; "-" &amp; VLOOKUP(A1603,[4]PROGRAMMES!$E$1:$F$7,2,FALSE)</f>
        <v>5-Gouvernance et pilotage du secteur</v>
      </c>
      <c r="AA1603" s="19" t="str">
        <f>B1603 &amp; "-" &amp; VLOOKUP(B1603,[4]SOUSPROGRAMMES!$E$1:$F$44,2,FALSE)</f>
        <v xml:space="preserve">53- Systèmes d’information pour la gestion de l'éducation (collecte, analyse, diffusion, et utilisation des informations) </v>
      </c>
      <c r="AB1603" s="19" t="str">
        <f>C1603 &amp; "-" &amp; VLOOKUP(C1603,[4]RESULTATS!$E$1:$F$176,2,FALSE)</f>
        <v>533- Le développement de la carte scolaire permet une meilleure planification et gestion du réseau des écoles, établissements/institutions  et de réduire les disparités</v>
      </c>
      <c r="AC1603" s="20" t="str">
        <f>D1603 &amp; "-" &amp; VLOOKUP(D1603,[4]STRATEGIES!$E$1:$F$504,2,FALSE)</f>
        <v>5332-Identification des sites de construction scolaire</v>
      </c>
      <c r="AD1603" s="21" t="str">
        <f t="shared" si="231"/>
        <v>53322-Constitution et actualisation d'une base de données des sites de construction</v>
      </c>
    </row>
    <row r="1604" spans="1:30" s="22" customFormat="1" ht="61" x14ac:dyDescent="0.8">
      <c r="A1604" s="14">
        <v>5</v>
      </c>
      <c r="B1604" s="15">
        <v>53</v>
      </c>
      <c r="C1604" s="15">
        <v>534</v>
      </c>
      <c r="D1604" s="15">
        <v>534</v>
      </c>
      <c r="E1604" s="14">
        <v>534</v>
      </c>
      <c r="F1604" s="16" t="s">
        <v>2051</v>
      </c>
      <c r="G1604" s="17"/>
      <c r="H1604" s="17"/>
      <c r="I1604" s="56">
        <v>0</v>
      </c>
      <c r="J1604" s="56"/>
      <c r="K1604" s="56"/>
      <c r="L1604" s="56"/>
      <c r="M1604" s="56"/>
      <c r="N1604" s="56"/>
      <c r="O1604" s="56"/>
      <c r="P1604" s="56"/>
      <c r="Q1604" s="56"/>
      <c r="R1604" s="56"/>
      <c r="S1604" s="56"/>
      <c r="T1604" s="33"/>
      <c r="U1604" s="18"/>
      <c r="V1604" s="19"/>
      <c r="W1604" s="18"/>
      <c r="X1604" s="18"/>
      <c r="Y1604" s="18"/>
      <c r="Z1604" s="19" t="str">
        <f>A1604 &amp; "-" &amp; VLOOKUP(A1604,[4]PROGRAMMES!$E$1:$F$7,2,FALSE)</f>
        <v>5-Gouvernance et pilotage du secteur</v>
      </c>
      <c r="AA1604" s="19" t="str">
        <f>B1604 &amp; "-" &amp; VLOOKUP(B1604,[4]SOUSPROGRAMMES!$E$1:$F$44,2,FALSE)</f>
        <v xml:space="preserve">53- Systèmes d’information pour la gestion de l'éducation (collecte, analyse, diffusion, et utilisation des informations) </v>
      </c>
      <c r="AB1604" s="19" t="str">
        <f>C1604 &amp; "-" &amp; VLOOKUP(C1604,[4]RESULTATS!$E$1:$F$176,2,FALSE)</f>
        <v>534- Les données sont utilisées pour un meilleur pilotage du système/ les activités sont planifiées sur la base d’indicateurs de performance</v>
      </c>
      <c r="AC1604" s="20" t="str">
        <f>D1604 &amp; "-" &amp; VLOOKUP(D1604,[4]STRATEGIES!$E$1:$F$504,2,FALSE)</f>
        <v>534- Les données sont utilisées pour un meilleur pilotage du système/ les activités sont planifiées sur la base d’indicateurs de performance</v>
      </c>
      <c r="AD1604" s="21" t="str">
        <f t="shared" ref="AD1604:AD1667" si="240">E1604 &amp; "-" &amp; F1604</f>
        <v>534- Les données sont utilisées pour un meilleur pilotage du système/ les activités sont planifiées sur la base d’indicateurs de performance</v>
      </c>
    </row>
    <row r="1605" spans="1:30" s="22" customFormat="1" ht="61" x14ac:dyDescent="0.8">
      <c r="A1605" s="14">
        <v>5</v>
      </c>
      <c r="B1605" s="15">
        <v>53</v>
      </c>
      <c r="C1605" s="15">
        <v>534</v>
      </c>
      <c r="D1605" s="15">
        <v>5341</v>
      </c>
      <c r="E1605" s="14">
        <v>5341</v>
      </c>
      <c r="F1605" s="16" t="s">
        <v>2052</v>
      </c>
      <c r="G1605" s="17"/>
      <c r="H1605" s="17"/>
      <c r="I1605" s="56">
        <v>0</v>
      </c>
      <c r="J1605" s="56"/>
      <c r="K1605" s="56"/>
      <c r="L1605" s="56"/>
      <c r="M1605" s="56"/>
      <c r="N1605" s="56"/>
      <c r="O1605" s="56"/>
      <c r="P1605" s="56"/>
      <c r="Q1605" s="56"/>
      <c r="R1605" s="56"/>
      <c r="S1605" s="56"/>
      <c r="T1605" s="33"/>
      <c r="U1605" s="18"/>
      <c r="V1605" s="19"/>
      <c r="W1605" s="18"/>
      <c r="X1605" s="18"/>
      <c r="Y1605" s="18"/>
      <c r="Z1605" s="19" t="str">
        <f>A1605 &amp; "-" &amp; VLOOKUP(A1605,[4]PROGRAMMES!$E$1:$F$7,2,FALSE)</f>
        <v>5-Gouvernance et pilotage du secteur</v>
      </c>
      <c r="AA1605" s="19" t="str">
        <f>B1605 &amp; "-" &amp; VLOOKUP(B1605,[4]SOUSPROGRAMMES!$E$1:$F$44,2,FALSE)</f>
        <v xml:space="preserve">53- Systèmes d’information pour la gestion de l'éducation (collecte, analyse, diffusion, et utilisation des informations) </v>
      </c>
      <c r="AB1605" s="19" t="str">
        <f>C1605 &amp; "-" &amp; VLOOKUP(C1605,[4]RESULTATS!$E$1:$F$176,2,FALSE)</f>
        <v>534- Les données sont utilisées pour un meilleur pilotage du système/ les activités sont planifiées sur la base d’indicateurs de performance</v>
      </c>
      <c r="AC1605" s="20" t="str">
        <f>D1605 &amp; "-" &amp; VLOOKUP(D1605,[4]STRATEGIES!$E$1:$F$504,2,FALSE)</f>
        <v>5341-Appui aux sessions de pilotage et suivi de la mise en œuvre des recommandations</v>
      </c>
      <c r="AD1605" s="21" t="str">
        <f t="shared" si="240"/>
        <v>5341-Appui aux sessions de pilotage et suivi de la mise en œuvre des recommandations</v>
      </c>
    </row>
    <row r="1606" spans="1:30" s="22" customFormat="1" ht="61" hidden="1" x14ac:dyDescent="0.8">
      <c r="A1606" s="14">
        <v>5</v>
      </c>
      <c r="B1606" s="15">
        <v>53</v>
      </c>
      <c r="C1606" s="15">
        <v>534</v>
      </c>
      <c r="D1606" s="15">
        <v>5341</v>
      </c>
      <c r="E1606" s="14">
        <v>53411</v>
      </c>
      <c r="F1606" s="16" t="s">
        <v>2053</v>
      </c>
      <c r="G1606" s="21" t="s">
        <v>88</v>
      </c>
      <c r="H1606" s="17" t="s">
        <v>55</v>
      </c>
      <c r="I1606" s="56">
        <v>0</v>
      </c>
      <c r="J1606" s="56">
        <v>0</v>
      </c>
      <c r="K1606" s="56">
        <v>0</v>
      </c>
      <c r="L1606" s="56">
        <v>0</v>
      </c>
      <c r="M1606" s="56"/>
      <c r="N1606" s="56">
        <f>IF(OR(H1606="",H1606="sif",H1606="PM"),0,VLOOKUP(H1606,[5]CU!$C$4:$H$255,6,FALSE))</f>
        <v>0</v>
      </c>
      <c r="O1606" s="56"/>
      <c r="P1606" s="56"/>
      <c r="Q1606" s="56"/>
      <c r="R1606" s="56"/>
      <c r="S1606" s="56"/>
      <c r="T1606" s="35" t="s">
        <v>56</v>
      </c>
      <c r="U1606" s="18" t="s">
        <v>1873</v>
      </c>
      <c r="V1606" s="19" t="str">
        <f>IF(OR($H1606="",$H1606="sif",$H1606="PM"),"",VLOOKUP($H1606,[5]CU!$C$5:$J$255,8,FALSE))</f>
        <v/>
      </c>
      <c r="W1606" s="18" t="s">
        <v>96</v>
      </c>
      <c r="X1606" s="18" t="s">
        <v>96</v>
      </c>
      <c r="Y1606" s="19" t="s">
        <v>32</v>
      </c>
      <c r="Z1606" s="19" t="str">
        <f>A1606 &amp; "-" &amp; VLOOKUP(A1606,[4]PROGRAMMES!$E$1:$F$7,2,FALSE)</f>
        <v>5-Gouvernance et pilotage du secteur</v>
      </c>
      <c r="AA1606" s="19" t="str">
        <f>B1606 &amp; "-" &amp; VLOOKUP(B1606,[4]SOUSPROGRAMMES!$E$1:$F$44,2,FALSE)</f>
        <v xml:space="preserve">53- Systèmes d’information pour la gestion de l'éducation (collecte, analyse, diffusion, et utilisation des informations) </v>
      </c>
      <c r="AB1606" s="19" t="str">
        <f>C1606 &amp; "-" &amp; VLOOKUP(C1606,[4]RESULTATS!$E$1:$F$176,2,FALSE)</f>
        <v>534- Les données sont utilisées pour un meilleur pilotage du système/ les activités sont planifiées sur la base d’indicateurs de performance</v>
      </c>
      <c r="AC1606" s="20" t="str">
        <f>D1606 &amp; "-" &amp; VLOOKUP(D1606,[4]STRATEGIES!$E$1:$F$504,2,FALSE)</f>
        <v>5341-Appui aux sessions de pilotage et suivi de la mise en œuvre des recommandations</v>
      </c>
      <c r="AD1606" s="21" t="str">
        <f t="shared" si="240"/>
        <v>53411-Mise à disposition de chaque structure du MENA de données statistiques pour son pilotage</v>
      </c>
    </row>
    <row r="1607" spans="1:30" s="22" customFormat="1" ht="60" hidden="1" customHeight="1" x14ac:dyDescent="0.8">
      <c r="A1607" s="14">
        <v>5</v>
      </c>
      <c r="B1607" s="15">
        <v>53</v>
      </c>
      <c r="C1607" s="15">
        <v>534</v>
      </c>
      <c r="D1607" s="15">
        <v>5341</v>
      </c>
      <c r="E1607" s="14">
        <v>53412</v>
      </c>
      <c r="F1607" s="16" t="s">
        <v>2054</v>
      </c>
      <c r="G1607" s="21" t="s">
        <v>88</v>
      </c>
      <c r="H1607" s="17" t="s">
        <v>55</v>
      </c>
      <c r="I1607" s="56">
        <v>0</v>
      </c>
      <c r="J1607" s="56">
        <v>0</v>
      </c>
      <c r="K1607" s="56">
        <v>0</v>
      </c>
      <c r="L1607" s="56">
        <v>0</v>
      </c>
      <c r="M1607" s="56"/>
      <c r="N1607" s="56">
        <f>IF(OR(H1607="",H1607="sif",H1607="PM"),0,VLOOKUP(H1607,[5]CU!$C$4:$H$255,6,FALSE))</f>
        <v>0</v>
      </c>
      <c r="O1607" s="56"/>
      <c r="P1607" s="56"/>
      <c r="Q1607" s="56"/>
      <c r="R1607" s="56"/>
      <c r="S1607" s="56"/>
      <c r="T1607" s="35" t="s">
        <v>56</v>
      </c>
      <c r="U1607" s="18" t="s">
        <v>1873</v>
      </c>
      <c r="V1607" s="19" t="str">
        <f>IF(OR($H1607="",$H1607="sif",$H1607="PM"),"",VLOOKUP($H1607,[5]CU!$C$5:$J$255,8,FALSE))</f>
        <v/>
      </c>
      <c r="W1607" s="18" t="s">
        <v>96</v>
      </c>
      <c r="X1607" s="18" t="s">
        <v>96</v>
      </c>
      <c r="Y1607" s="18" t="s">
        <v>677</v>
      </c>
      <c r="Z1607" s="19" t="str">
        <f>A1607 &amp; "-" &amp; VLOOKUP(A1607,[4]PROGRAMMES!$E$1:$F$7,2,FALSE)</f>
        <v>5-Gouvernance et pilotage du secteur</v>
      </c>
      <c r="AA1607" s="19" t="str">
        <f>B1607 &amp; "-" &amp; VLOOKUP(B1607,[4]SOUSPROGRAMMES!$E$1:$F$44,2,FALSE)</f>
        <v xml:space="preserve">53- Systèmes d’information pour la gestion de l'éducation (collecte, analyse, diffusion, et utilisation des informations) </v>
      </c>
      <c r="AB1607" s="19" t="str">
        <f>C1607 &amp; "-" &amp; VLOOKUP(C1607,[4]RESULTATS!$E$1:$F$176,2,FALSE)</f>
        <v>534- Les données sont utilisées pour un meilleur pilotage du système/ les activités sont planifiées sur la base d’indicateurs de performance</v>
      </c>
      <c r="AC1607" s="20" t="str">
        <f>D1607 &amp; "-" &amp; VLOOKUP(D1607,[4]STRATEGIES!$E$1:$F$504,2,FALSE)</f>
        <v>5341-Appui aux sessions de pilotage et suivi de la mise en œuvre des recommandations</v>
      </c>
      <c r="AD1607" s="21" t="str">
        <f t="shared" si="240"/>
        <v>53412-Mise à disposition de chaque structure du METFP de données statistiques pour son pilotage</v>
      </c>
    </row>
    <row r="1608" spans="1:30" s="22" customFormat="1" ht="60" customHeight="1" x14ac:dyDescent="0.8">
      <c r="A1608" s="14">
        <v>5</v>
      </c>
      <c r="B1608" s="15">
        <v>53</v>
      </c>
      <c r="C1608" s="15">
        <v>534</v>
      </c>
      <c r="D1608" s="15">
        <v>5341</v>
      </c>
      <c r="E1608" s="14">
        <v>53414</v>
      </c>
      <c r="F1608" s="16" t="s">
        <v>2055</v>
      </c>
      <c r="G1608" s="21" t="s">
        <v>2056</v>
      </c>
      <c r="H1608" s="17" t="s">
        <v>73</v>
      </c>
      <c r="I1608" s="56">
        <v>0</v>
      </c>
      <c r="J1608" s="56">
        <f t="shared" ref="J1608:L1609" si="241">3*3</f>
        <v>9</v>
      </c>
      <c r="K1608" s="56">
        <f t="shared" si="241"/>
        <v>9</v>
      </c>
      <c r="L1608" s="56">
        <f t="shared" si="241"/>
        <v>9</v>
      </c>
      <c r="M1608" s="56">
        <f>SUM(I1608:L1608)</f>
        <v>27</v>
      </c>
      <c r="N1608" s="56">
        <f>IF(OR(H1608="",H1608="sif",H1608="PM"),0,VLOOKUP(H1608,[5]CU!$C$4:$H$255,6,FALSE))</f>
        <v>0.4</v>
      </c>
      <c r="O1608" s="56">
        <f t="shared" ref="O1608:R1616" si="242">IFERROR($N1608*I1608,0)</f>
        <v>0</v>
      </c>
      <c r="P1608" s="56">
        <f t="shared" si="242"/>
        <v>3.6</v>
      </c>
      <c r="Q1608" s="56">
        <f t="shared" si="242"/>
        <v>3.6</v>
      </c>
      <c r="R1608" s="56">
        <f t="shared" si="242"/>
        <v>3.6</v>
      </c>
      <c r="S1608" s="56">
        <f t="shared" ref="S1608:S1616" si="243">SUM(O1608:R1608)</f>
        <v>10.8</v>
      </c>
      <c r="T1608" s="35" t="s">
        <v>118</v>
      </c>
      <c r="U1608" s="18" t="s">
        <v>1873</v>
      </c>
      <c r="V1608" s="19" t="str">
        <f>IF(OR($H1608="",$H1608="sif",$H1608="PM"),"",VLOOKUP($H1608,[5]CU!$C$5:$J$255,8,FALSE))</f>
        <v>3. Dépenses de fonctionnement</v>
      </c>
      <c r="W1608" s="18" t="s">
        <v>96</v>
      </c>
      <c r="X1608" s="18" t="s">
        <v>2057</v>
      </c>
      <c r="Y1608" s="19" t="s">
        <v>32</v>
      </c>
      <c r="Z1608" s="19" t="str">
        <f>A1608 &amp; "-" &amp; VLOOKUP(A1608,[4]PROGRAMMES!$E$1:$F$7,2,FALSE)</f>
        <v>5-Gouvernance et pilotage du secteur</v>
      </c>
      <c r="AA1608" s="19" t="str">
        <f>B1608 &amp; "-" &amp; VLOOKUP(B1608,[4]SOUSPROGRAMMES!$E$1:$F$44,2,FALSE)</f>
        <v xml:space="preserve">53- Systèmes d’information pour la gestion de l'éducation (collecte, analyse, diffusion, et utilisation des informations) </v>
      </c>
      <c r="AB1608" s="19" t="str">
        <f>C1608 &amp; "-" &amp; VLOOKUP(C1608,[4]RESULTATS!$E$1:$F$176,2,FALSE)</f>
        <v>534- Les données sont utilisées pour un meilleur pilotage du système/ les activités sont planifiées sur la base d’indicateurs de performance</v>
      </c>
      <c r="AC1608" s="20" t="str">
        <f>D1608 &amp; "-" &amp; VLOOKUP(D1608,[4]STRATEGIES!$E$1:$F$504,2,FALSE)</f>
        <v>5341-Appui aux sessions de pilotage et suivi de la mise en œuvre des recommandations</v>
      </c>
      <c r="AD1608" s="21" t="str">
        <f t="shared" si="240"/>
        <v>53414-Diffusion des recommandations par des canaux de communication (radio, TV, Meeting, etc.</v>
      </c>
    </row>
    <row r="1609" spans="1:30" s="22" customFormat="1" ht="60" customHeight="1" x14ac:dyDescent="0.8">
      <c r="A1609" s="14">
        <v>5</v>
      </c>
      <c r="B1609" s="15">
        <v>53</v>
      </c>
      <c r="C1609" s="15">
        <v>534</v>
      </c>
      <c r="D1609" s="15">
        <v>5341</v>
      </c>
      <c r="E1609" s="14">
        <v>53415</v>
      </c>
      <c r="F1609" s="16" t="s">
        <v>2055</v>
      </c>
      <c r="G1609" s="21" t="s">
        <v>2056</v>
      </c>
      <c r="H1609" s="17" t="s">
        <v>73</v>
      </c>
      <c r="I1609" s="56">
        <v>0</v>
      </c>
      <c r="J1609" s="56">
        <f t="shared" si="241"/>
        <v>9</v>
      </c>
      <c r="K1609" s="56">
        <f t="shared" si="241"/>
        <v>9</v>
      </c>
      <c r="L1609" s="56">
        <f t="shared" si="241"/>
        <v>9</v>
      </c>
      <c r="M1609" s="56">
        <f>SUM(I1609:L1609)</f>
        <v>27</v>
      </c>
      <c r="N1609" s="56">
        <f>IF(OR(H1609="",H1609="sif",H1609="PM"),0,VLOOKUP(H1609,[5]CU!$C$4:$H$255,6,FALSE))</f>
        <v>0.4</v>
      </c>
      <c r="O1609" s="56">
        <f t="shared" si="242"/>
        <v>0</v>
      </c>
      <c r="P1609" s="56">
        <f t="shared" si="242"/>
        <v>3.6</v>
      </c>
      <c r="Q1609" s="56">
        <f t="shared" si="242"/>
        <v>3.6</v>
      </c>
      <c r="R1609" s="56">
        <f t="shared" si="242"/>
        <v>3.6</v>
      </c>
      <c r="S1609" s="56">
        <f t="shared" si="243"/>
        <v>10.8</v>
      </c>
      <c r="T1609" s="35" t="s">
        <v>39</v>
      </c>
      <c r="U1609" s="19" t="s">
        <v>1873</v>
      </c>
      <c r="V1609" s="19" t="str">
        <f>IF(OR($H1609="",$H1609="sif",$H1609="PM"),"",VLOOKUP($H1609,[5]CU!$C$5:$J$255,8,FALSE))</f>
        <v>3. Dépenses de fonctionnement</v>
      </c>
      <c r="W1609" s="19" t="s">
        <v>96</v>
      </c>
      <c r="X1609" s="19" t="s">
        <v>2057</v>
      </c>
      <c r="Y1609" s="19" t="s">
        <v>677</v>
      </c>
      <c r="Z1609" s="19" t="str">
        <f>A1609 &amp; "-" &amp; VLOOKUP(A1609,[4]PROGRAMMES!$E$1:$F$7,2,FALSE)</f>
        <v>5-Gouvernance et pilotage du secteur</v>
      </c>
      <c r="AA1609" s="19" t="str">
        <f>B1609 &amp; "-" &amp; VLOOKUP(B1609,[4]SOUSPROGRAMMES!$E$1:$F$44,2,FALSE)</f>
        <v xml:space="preserve">53- Systèmes d’information pour la gestion de l'éducation (collecte, analyse, diffusion, et utilisation des informations) </v>
      </c>
      <c r="AB1609" s="19" t="str">
        <f>C1609 &amp; "-" &amp; VLOOKUP(C1609,[4]RESULTATS!$E$1:$F$176,2,FALSE)</f>
        <v>534- Les données sont utilisées pour un meilleur pilotage du système/ les activités sont planifiées sur la base d’indicateurs de performance</v>
      </c>
      <c r="AC1609" s="20" t="str">
        <f>D1609 &amp; "-" &amp; VLOOKUP(D1609,[4]STRATEGIES!$E$1:$F$504,2,FALSE)</f>
        <v>5341-Appui aux sessions de pilotage et suivi de la mise en œuvre des recommandations</v>
      </c>
      <c r="AD1609" s="21" t="str">
        <f t="shared" si="240"/>
        <v>53415-Diffusion des recommandations par des canaux de communication (radio, TV, Meeting, etc.</v>
      </c>
    </row>
    <row r="1610" spans="1:30" s="22" customFormat="1" ht="60" customHeight="1" x14ac:dyDescent="0.8">
      <c r="A1610" s="14">
        <v>5</v>
      </c>
      <c r="B1610" s="15">
        <v>53</v>
      </c>
      <c r="C1610" s="15">
        <v>534</v>
      </c>
      <c r="D1610" s="15">
        <v>5341</v>
      </c>
      <c r="E1610" s="14">
        <v>53417</v>
      </c>
      <c r="F1610" s="16" t="s">
        <v>2058</v>
      </c>
      <c r="G1610" s="21" t="s">
        <v>1017</v>
      </c>
      <c r="H1610" s="17" t="s">
        <v>59</v>
      </c>
      <c r="I1610" s="56">
        <v>0</v>
      </c>
      <c r="J1610" s="56">
        <f>2*8*5</f>
        <v>80</v>
      </c>
      <c r="K1610" s="56">
        <f>2*8*5</f>
        <v>80</v>
      </c>
      <c r="L1610" s="56">
        <f>2*8*5</f>
        <v>80</v>
      </c>
      <c r="M1610" s="56">
        <f>SUM(I1610:L1610)</f>
        <v>240</v>
      </c>
      <c r="N1610" s="56">
        <f>IF(OR(H1610="",H1610="sif",H1610="PM"),0,VLOOKUP(H1610,[5]CU!$C$4:$H$255,6,FALSE))</f>
        <v>0.8177777777777776</v>
      </c>
      <c r="O1610" s="56">
        <f t="shared" si="242"/>
        <v>0</v>
      </c>
      <c r="P1610" s="56">
        <f t="shared" si="242"/>
        <v>65.422222222222203</v>
      </c>
      <c r="Q1610" s="56">
        <f t="shared" si="242"/>
        <v>65.422222222222203</v>
      </c>
      <c r="R1610" s="56">
        <f t="shared" si="242"/>
        <v>65.422222222222203</v>
      </c>
      <c r="S1610" s="56">
        <f t="shared" si="243"/>
        <v>196.26666666666659</v>
      </c>
      <c r="T1610" s="35" t="s">
        <v>39</v>
      </c>
      <c r="U1610" s="19" t="s">
        <v>1873</v>
      </c>
      <c r="V1610" s="19" t="str">
        <f>IF(OR($H1610="",$H1610="sif",$H1610="PM"),"",VLOOKUP($H1610,[5]CU!$C$5:$J$255,8,FALSE))</f>
        <v>3. Dépenses de fonctionnement</v>
      </c>
      <c r="W1610" s="19" t="s">
        <v>273</v>
      </c>
      <c r="X1610" s="19" t="s">
        <v>273</v>
      </c>
      <c r="Y1610" s="19" t="s">
        <v>32</v>
      </c>
      <c r="Z1610" s="19" t="str">
        <f>A1610 &amp; "-" &amp; VLOOKUP(A1610,[4]PROGRAMMES!$E$1:$F$7,2,FALSE)</f>
        <v>5-Gouvernance et pilotage du secteur</v>
      </c>
      <c r="AA1610" s="19" t="str">
        <f>B1610 &amp; "-" &amp; VLOOKUP(B1610,[4]SOUSPROGRAMMES!$E$1:$F$44,2,FALSE)</f>
        <v xml:space="preserve">53- Systèmes d’information pour la gestion de l'éducation (collecte, analyse, diffusion, et utilisation des informations) </v>
      </c>
      <c r="AB1610" s="19" t="str">
        <f>C1610 &amp; "-" &amp; VLOOKUP(C1610,[4]RESULTATS!$E$1:$F$176,2,FALSE)</f>
        <v>534- Les données sont utilisées pour un meilleur pilotage du système/ les activités sont planifiées sur la base d’indicateurs de performance</v>
      </c>
      <c r="AC1610" s="20" t="str">
        <f>D1610 &amp; "-" &amp; VLOOKUP(D1610,[4]STRATEGIES!$E$1:$F$504,2,FALSE)</f>
        <v>5341-Appui aux sessions de pilotage et suivi de la mise en œuvre des recommandations</v>
      </c>
      <c r="AD1610" s="21" t="str">
        <f t="shared" si="240"/>
        <v>53417-Evaluation de la mise en œuvre des recommandations des sessions de pilotage aux différents niveaux (IRE, DPE/DCE, DSEE)</v>
      </c>
    </row>
    <row r="1611" spans="1:30" s="22" customFormat="1" ht="60" customHeight="1" x14ac:dyDescent="0.8">
      <c r="A1611" s="14">
        <v>5</v>
      </c>
      <c r="B1611" s="15">
        <v>53</v>
      </c>
      <c r="C1611" s="15">
        <v>534</v>
      </c>
      <c r="D1611" s="15">
        <v>5341</v>
      </c>
      <c r="E1611" s="14">
        <v>53418</v>
      </c>
      <c r="F1611" s="16" t="s">
        <v>2059</v>
      </c>
      <c r="G1611" s="21" t="s">
        <v>1017</v>
      </c>
      <c r="H1611" s="17" t="s">
        <v>59</v>
      </c>
      <c r="I1611" s="56">
        <v>0</v>
      </c>
      <c r="J1611" s="56">
        <f>2*10</f>
        <v>20</v>
      </c>
      <c r="K1611" s="56">
        <f>2*10</f>
        <v>20</v>
      </c>
      <c r="L1611" s="56">
        <f>2*10</f>
        <v>20</v>
      </c>
      <c r="M1611" s="56">
        <f>2*10</f>
        <v>20</v>
      </c>
      <c r="N1611" s="56">
        <f>IF(OR(H1611="",H1611="sif",H1611="PM"),0,VLOOKUP(H1611,[5]CU!$C$4:$H$255,6,FALSE))</f>
        <v>0.8177777777777776</v>
      </c>
      <c r="O1611" s="56">
        <f t="shared" si="242"/>
        <v>0</v>
      </c>
      <c r="P1611" s="56">
        <f t="shared" si="242"/>
        <v>16.355555555555551</v>
      </c>
      <c r="Q1611" s="56">
        <f t="shared" si="242"/>
        <v>16.355555555555551</v>
      </c>
      <c r="R1611" s="56">
        <f t="shared" si="242"/>
        <v>16.355555555555551</v>
      </c>
      <c r="S1611" s="56">
        <f t="shared" si="243"/>
        <v>49.066666666666649</v>
      </c>
      <c r="T1611" s="35" t="s">
        <v>39</v>
      </c>
      <c r="U1611" s="19" t="s">
        <v>1873</v>
      </c>
      <c r="V1611" s="19" t="str">
        <f>IF(OR($H1611="",$H1611="sif",$H1611="PM"),"",VLOOKUP($H1611,[5]CU!$C$5:$J$255,8,FALSE))</f>
        <v>3. Dépenses de fonctionnement</v>
      </c>
      <c r="W1611" s="19" t="s">
        <v>273</v>
      </c>
      <c r="X1611" s="19" t="s">
        <v>273</v>
      </c>
      <c r="Y1611" s="19" t="s">
        <v>679</v>
      </c>
      <c r="Z1611" s="19" t="str">
        <f>A1611 &amp; "-" &amp; VLOOKUP(A1611,[4]PROGRAMMES!$E$1:$F$7,2,FALSE)</f>
        <v>5-Gouvernance et pilotage du secteur</v>
      </c>
      <c r="AA1611" s="19" t="str">
        <f>B1611 &amp; "-" &amp; VLOOKUP(B1611,[4]SOUSPROGRAMMES!$E$1:$F$44,2,FALSE)</f>
        <v xml:space="preserve">53- Systèmes d’information pour la gestion de l'éducation (collecte, analyse, diffusion, et utilisation des informations) </v>
      </c>
      <c r="AB1611" s="19" t="str">
        <f>C1611 &amp; "-" &amp; VLOOKUP(C1611,[4]RESULTATS!$E$1:$F$176,2,FALSE)</f>
        <v>534- Les données sont utilisées pour un meilleur pilotage du système/ les activités sont planifiées sur la base d’indicateurs de performance</v>
      </c>
      <c r="AC1611" s="20" t="str">
        <f>D1611 &amp; "-" &amp; VLOOKUP(D1611,[4]STRATEGIES!$E$1:$F$504,2,FALSE)</f>
        <v>5341-Appui aux sessions de pilotage et suivi de la mise en œuvre des recommandations</v>
      </c>
      <c r="AD1611" s="21" t="str">
        <f t="shared" si="240"/>
        <v xml:space="preserve">53418-Evaluation de la mise en œuvre des recommandations des sessions de pilotage aux différents niveaux </v>
      </c>
    </row>
    <row r="1612" spans="1:30" s="22" customFormat="1" ht="60" customHeight="1" x14ac:dyDescent="0.8">
      <c r="A1612" s="14">
        <v>5</v>
      </c>
      <c r="B1612" s="15">
        <v>53</v>
      </c>
      <c r="C1612" s="15">
        <v>534</v>
      </c>
      <c r="D1612" s="15">
        <v>5341</v>
      </c>
      <c r="E1612" s="14">
        <v>53419</v>
      </c>
      <c r="F1612" s="16" t="s">
        <v>2059</v>
      </c>
      <c r="G1612" s="21" t="s">
        <v>1017</v>
      </c>
      <c r="H1612" s="17" t="s">
        <v>59</v>
      </c>
      <c r="I1612" s="56">
        <v>0</v>
      </c>
      <c r="J1612" s="56">
        <f>2*5*5</f>
        <v>50</v>
      </c>
      <c r="K1612" s="56">
        <f>2*5*5</f>
        <v>50</v>
      </c>
      <c r="L1612" s="56">
        <f>2*5*5</f>
        <v>50</v>
      </c>
      <c r="M1612" s="56">
        <f>2*5*5</f>
        <v>50</v>
      </c>
      <c r="N1612" s="56">
        <f>IF(OR(H1612="",H1612="sif",H1612="PM"),0,VLOOKUP(H1612,[5]CU!$C$4:$H$255,6,FALSE))</f>
        <v>0.8177777777777776</v>
      </c>
      <c r="O1612" s="56">
        <f t="shared" si="242"/>
        <v>0</v>
      </c>
      <c r="P1612" s="56">
        <f t="shared" si="242"/>
        <v>40.888888888888879</v>
      </c>
      <c r="Q1612" s="56">
        <f t="shared" si="242"/>
        <v>40.888888888888879</v>
      </c>
      <c r="R1612" s="56">
        <f t="shared" si="242"/>
        <v>40.888888888888879</v>
      </c>
      <c r="S1612" s="56">
        <f t="shared" si="243"/>
        <v>122.66666666666663</v>
      </c>
      <c r="T1612" s="35" t="s">
        <v>39</v>
      </c>
      <c r="U1612" s="19" t="s">
        <v>1873</v>
      </c>
      <c r="V1612" s="19" t="str">
        <f>IF(OR($H1612="",$H1612="sif",$H1612="PM"),"",VLOOKUP($H1612,[5]CU!$C$5:$J$255,8,FALSE))</f>
        <v>3. Dépenses de fonctionnement</v>
      </c>
      <c r="W1612" s="19" t="s">
        <v>273</v>
      </c>
      <c r="X1612" s="19" t="s">
        <v>273</v>
      </c>
      <c r="Y1612" s="19" t="s">
        <v>677</v>
      </c>
      <c r="Z1612" s="19" t="str">
        <f>A1612 &amp; "-" &amp; VLOOKUP(A1612,[4]PROGRAMMES!$E$1:$F$7,2,FALSE)</f>
        <v>5-Gouvernance et pilotage du secteur</v>
      </c>
      <c r="AA1612" s="19" t="str">
        <f>B1612 &amp; "-" &amp; VLOOKUP(B1612,[4]SOUSPROGRAMMES!$E$1:$F$44,2,FALSE)</f>
        <v xml:space="preserve">53- Systèmes d’information pour la gestion de l'éducation (collecte, analyse, diffusion, et utilisation des informations) </v>
      </c>
      <c r="AB1612" s="19" t="str">
        <f>C1612 &amp; "-" &amp; VLOOKUP(C1612,[4]RESULTATS!$E$1:$F$176,2,FALSE)</f>
        <v>534- Les données sont utilisées pour un meilleur pilotage du système/ les activités sont planifiées sur la base d’indicateurs de performance</v>
      </c>
      <c r="AC1612" s="20" t="str">
        <f>D1612 &amp; "-" &amp; VLOOKUP(D1612,[4]STRATEGIES!$E$1:$F$504,2,FALSE)</f>
        <v>5341-Appui aux sessions de pilotage et suivi de la mise en œuvre des recommandations</v>
      </c>
      <c r="AD1612" s="21" t="str">
        <f t="shared" si="240"/>
        <v xml:space="preserve">53419-Evaluation de la mise en œuvre des recommandations des sessions de pilotage aux différents niveaux </v>
      </c>
    </row>
    <row r="1613" spans="1:30" s="22" customFormat="1" ht="30" customHeight="1" x14ac:dyDescent="0.8">
      <c r="A1613" s="14">
        <v>5</v>
      </c>
      <c r="B1613" s="15">
        <v>54</v>
      </c>
      <c r="C1613" s="15">
        <v>54</v>
      </c>
      <c r="D1613" s="15">
        <v>54</v>
      </c>
      <c r="E1613" s="14">
        <v>54</v>
      </c>
      <c r="F1613" s="16" t="s">
        <v>2060</v>
      </c>
      <c r="G1613" s="17"/>
      <c r="H1613" s="17"/>
      <c r="I1613" s="56">
        <v>0</v>
      </c>
      <c r="J1613" s="56"/>
      <c r="K1613" s="56"/>
      <c r="L1613" s="56"/>
      <c r="M1613" s="56"/>
      <c r="N1613" s="56"/>
      <c r="O1613" s="56"/>
      <c r="P1613" s="56"/>
      <c r="Q1613" s="56"/>
      <c r="R1613" s="56"/>
      <c r="S1613" s="56"/>
      <c r="T1613" s="33"/>
      <c r="U1613" s="18"/>
      <c r="V1613" s="19"/>
      <c r="W1613" s="18"/>
      <c r="X1613" s="18"/>
      <c r="Y1613" s="18"/>
      <c r="Z1613" s="19" t="str">
        <f>A1613 &amp; "-" &amp; VLOOKUP(A1613,[4]PROGRAMMES!$E$1:$F$7,2,FALSE)</f>
        <v>5-Gouvernance et pilotage du secteur</v>
      </c>
      <c r="AA1613" s="19" t="str">
        <f>B1613 &amp; "-" &amp; VLOOKUP(B1613,[4]SOUSPROGRAMMES!$E$1:$F$44,2,FALSE)</f>
        <v>54- Conception de plans de développement et gestion de projets</v>
      </c>
      <c r="AB1613" s="19" t="str">
        <f>C1613 &amp; "-" &amp; VLOOKUP(C1613,[4]RESULTATS!$E$1:$F$176,2,FALSE)</f>
        <v>54- Conception de plans de développement et gestion de projets</v>
      </c>
      <c r="AC1613" s="20" t="str">
        <f>D1613 &amp; "-" &amp; VLOOKUP(D1613,[4]STRATEGIES!$E$1:$F$504,2,FALSE)</f>
        <v>54- Conception de plans de développement et gestion de projets</v>
      </c>
      <c r="AD1613" s="21" t="str">
        <f t="shared" si="240"/>
        <v>54- Conception de plans de développement et gestion de projets</v>
      </c>
    </row>
    <row r="1614" spans="1:30" s="22" customFormat="1" ht="60" customHeight="1" x14ac:dyDescent="0.8">
      <c r="A1614" s="14">
        <v>5</v>
      </c>
      <c r="B1614" s="15">
        <v>54</v>
      </c>
      <c r="C1614" s="15">
        <v>541</v>
      </c>
      <c r="D1614" s="15">
        <v>541</v>
      </c>
      <c r="E1614" s="14">
        <v>541</v>
      </c>
      <c r="F1614" s="16" t="s">
        <v>2061</v>
      </c>
      <c r="G1614" s="17"/>
      <c r="H1614" s="17"/>
      <c r="I1614" s="56">
        <v>0</v>
      </c>
      <c r="J1614" s="56"/>
      <c r="K1614" s="56"/>
      <c r="L1614" s="56"/>
      <c r="M1614" s="56"/>
      <c r="N1614" s="56"/>
      <c r="O1614" s="56"/>
      <c r="P1614" s="56"/>
      <c r="Q1614" s="56"/>
      <c r="R1614" s="56"/>
      <c r="S1614" s="56"/>
      <c r="T1614" s="33"/>
      <c r="U1614" s="18"/>
      <c r="V1614" s="19"/>
      <c r="W1614" s="18"/>
      <c r="X1614" s="18"/>
      <c r="Y1614" s="18"/>
      <c r="Z1614" s="19" t="str">
        <f>A1614 &amp; "-" &amp; VLOOKUP(A1614,[4]PROGRAMMES!$E$1:$F$7,2,FALSE)</f>
        <v>5-Gouvernance et pilotage du secteur</v>
      </c>
      <c r="AA1614" s="19" t="str">
        <f>B1614 &amp; "-" &amp; VLOOKUP(B1614,[4]SOUSPROGRAMMES!$E$1:$F$44,2,FALSE)</f>
        <v>54- Conception de plans de développement et gestion de projets</v>
      </c>
      <c r="AB1614" s="19" t="str">
        <f>C1614 &amp; "-" &amp; VLOOKUP(C1614,[4]RESULTATS!$E$1:$F$176,2,FALSE)</f>
        <v>541- Les BSD ont les compétences nécessaires à la conception, l’élaboration, le suivi et l’évaluation des projets et plans de dévéloppement</v>
      </c>
      <c r="AC1614" s="20" t="str">
        <f>D1614 &amp; "-" &amp; VLOOKUP(D1614,[4]STRATEGIES!$E$1:$F$504,2,FALSE)</f>
        <v>541- Les BSD ont les compétences nécessaires à la conception, l’élaboration, le suivi et l’évaluation des projets et plans de dévéloppement</v>
      </c>
      <c r="AD1614" s="21" t="str">
        <f t="shared" si="240"/>
        <v>541- Les BSD ont les compétences nécessaires à la conception, l’élaboration, le suivi et l’évaluation des projets et plans de dévéloppement</v>
      </c>
    </row>
    <row r="1615" spans="1:30" s="22" customFormat="1" ht="60" customHeight="1" x14ac:dyDescent="0.8">
      <c r="A1615" s="14">
        <v>5</v>
      </c>
      <c r="B1615" s="15">
        <v>54</v>
      </c>
      <c r="C1615" s="15">
        <v>541</v>
      </c>
      <c r="D1615" s="15">
        <v>5411</v>
      </c>
      <c r="E1615" s="14">
        <v>5411</v>
      </c>
      <c r="F1615" s="16" t="s">
        <v>2062</v>
      </c>
      <c r="G1615" s="17"/>
      <c r="H1615" s="17"/>
      <c r="I1615" s="56">
        <v>0</v>
      </c>
      <c r="J1615" s="56"/>
      <c r="K1615" s="56"/>
      <c r="L1615" s="56"/>
      <c r="M1615" s="56"/>
      <c r="N1615" s="56"/>
      <c r="O1615" s="56"/>
      <c r="P1615" s="56"/>
      <c r="Q1615" s="56"/>
      <c r="R1615" s="56"/>
      <c r="S1615" s="56"/>
      <c r="T1615" s="33"/>
      <c r="U1615" s="18"/>
      <c r="V1615" s="19"/>
      <c r="W1615" s="18"/>
      <c r="X1615" s="18"/>
      <c r="Y1615" s="18"/>
      <c r="Z1615" s="19" t="str">
        <f>A1615 &amp; "-" &amp; VLOOKUP(A1615,[4]PROGRAMMES!$E$1:$F$7,2,FALSE)</f>
        <v>5-Gouvernance et pilotage du secteur</v>
      </c>
      <c r="AA1615" s="19" t="str">
        <f>B1615 &amp; "-" &amp; VLOOKUP(B1615,[4]SOUSPROGRAMMES!$E$1:$F$44,2,FALSE)</f>
        <v>54- Conception de plans de développement et gestion de projets</v>
      </c>
      <c r="AB1615" s="19" t="str">
        <f>C1615 &amp; "-" &amp; VLOOKUP(C1615,[4]RESULTATS!$E$1:$F$176,2,FALSE)</f>
        <v>541- Les BSD ont les compétences nécessaires à la conception, l’élaboration, le suivi et l’évaluation des projets et plans de dévéloppement</v>
      </c>
      <c r="AC1615" s="20" t="str">
        <f>D1615 &amp; "-" &amp; VLOOKUP(D1615,[4]STRATEGIES!$E$1:$F$504,2,FALSE)</f>
        <v>5411-Analyse du fonctionnement et des résultats des BSD dans ce domaine</v>
      </c>
      <c r="AD1615" s="21" t="str">
        <f t="shared" si="240"/>
        <v>5411-Analyse du fonctionnement et des résultats des BSD dans ce domaine</v>
      </c>
    </row>
    <row r="1616" spans="1:30" s="22" customFormat="1" ht="60" customHeight="1" x14ac:dyDescent="0.8">
      <c r="A1616" s="14">
        <v>5</v>
      </c>
      <c r="B1616" s="15">
        <v>54</v>
      </c>
      <c r="C1616" s="15">
        <v>541</v>
      </c>
      <c r="D1616" s="15">
        <v>5411</v>
      </c>
      <c r="E1616" s="14">
        <v>54111</v>
      </c>
      <c r="F1616" s="16" t="s">
        <v>2063</v>
      </c>
      <c r="G1616" s="21" t="s">
        <v>100</v>
      </c>
      <c r="H1616" s="17" t="s">
        <v>646</v>
      </c>
      <c r="I1616" s="56">
        <v>0</v>
      </c>
      <c r="J1616" s="56">
        <f>2*15*3</f>
        <v>90</v>
      </c>
      <c r="K1616" s="56"/>
      <c r="L1616" s="56"/>
      <c r="M1616" s="56">
        <f>SUM(I1616:L1616)</f>
        <v>90</v>
      </c>
      <c r="N1616" s="56">
        <f>IF(OR(H1616="",H1616="sif",H1616="PM"),0,VLOOKUP(H1616,[5]CU!$C$4:$H$255,6,FALSE))</f>
        <v>10.404797</v>
      </c>
      <c r="O1616" s="56">
        <f t="shared" si="242"/>
        <v>0</v>
      </c>
      <c r="P1616" s="56">
        <f t="shared" si="242"/>
        <v>936.43173000000002</v>
      </c>
      <c r="Q1616" s="56">
        <f t="shared" si="242"/>
        <v>0</v>
      </c>
      <c r="R1616" s="56">
        <f t="shared" si="242"/>
        <v>0</v>
      </c>
      <c r="S1616" s="56">
        <f t="shared" si="243"/>
        <v>936.43173000000002</v>
      </c>
      <c r="T1616" s="35" t="s">
        <v>39</v>
      </c>
      <c r="U1616" s="19" t="s">
        <v>1873</v>
      </c>
      <c r="V1616" s="19" t="str">
        <f>IF(OR($H1616="",$H1616="sif",$H1616="PM"),"",VLOOKUP($H1616,[5]CU!$C$5:$J$255,8,FALSE))</f>
        <v>3. Dépenses de fonctionnement</v>
      </c>
      <c r="W1616" s="19" t="s">
        <v>96</v>
      </c>
      <c r="X1616" s="19" t="s">
        <v>96</v>
      </c>
      <c r="Y1616" s="19" t="s">
        <v>32</v>
      </c>
      <c r="Z1616" s="19" t="str">
        <f>A1616 &amp; "-" &amp; VLOOKUP(A1616,[4]PROGRAMMES!$E$1:$F$7,2,FALSE)</f>
        <v>5-Gouvernance et pilotage du secteur</v>
      </c>
      <c r="AA1616" s="19" t="str">
        <f>B1616 &amp; "-" &amp; VLOOKUP(B1616,[4]SOUSPROGRAMMES!$E$1:$F$44,2,FALSE)</f>
        <v>54- Conception de plans de développement et gestion de projets</v>
      </c>
      <c r="AB1616" s="19" t="str">
        <f>C1616 &amp; "-" &amp; VLOOKUP(C1616,[4]RESULTATS!$E$1:$F$176,2,FALSE)</f>
        <v>541- Les BSD ont les compétences nécessaires à la conception, l’élaboration, le suivi et l’évaluation des projets et plans de dévéloppement</v>
      </c>
      <c r="AC1616" s="20" t="str">
        <f>D1616 &amp; "-" &amp; VLOOKUP(D1616,[4]STRATEGIES!$E$1:$F$504,2,FALSE)</f>
        <v>5411-Analyse du fonctionnement et des résultats des BSD dans ce domaine</v>
      </c>
      <c r="AD1616" s="21" t="str">
        <f t="shared" si="240"/>
        <v>54111-DéFinition des tâches et des profils des BSD et de l'adéquation des profils disponibles aux missions (BSD MENA, MESRS, METFP)</v>
      </c>
    </row>
    <row r="1617" spans="1:30" s="22" customFormat="1" ht="60" hidden="1" customHeight="1" x14ac:dyDescent="0.8">
      <c r="A1617" s="14">
        <v>5</v>
      </c>
      <c r="B1617" s="15">
        <v>54</v>
      </c>
      <c r="C1617" s="15">
        <v>541</v>
      </c>
      <c r="D1617" s="15">
        <v>5411</v>
      </c>
      <c r="E1617" s="14">
        <v>54112</v>
      </c>
      <c r="F1617" s="16" t="s">
        <v>2064</v>
      </c>
      <c r="G1617" s="21" t="s">
        <v>2065</v>
      </c>
      <c r="H1617" s="17" t="s">
        <v>55</v>
      </c>
      <c r="I1617" s="56">
        <v>0</v>
      </c>
      <c r="J1617" s="56"/>
      <c r="K1617" s="56"/>
      <c r="L1617" s="56"/>
      <c r="M1617" s="56"/>
      <c r="N1617" s="56">
        <f>IF(OR(H1617="",H1617="sif",H1617="PM"),0,VLOOKUP(H1617,[5]CU!$C$4:$H$255,6,FALSE))</f>
        <v>0</v>
      </c>
      <c r="O1617" s="56"/>
      <c r="P1617" s="56"/>
      <c r="Q1617" s="56"/>
      <c r="R1617" s="56"/>
      <c r="S1617" s="56"/>
      <c r="T1617" s="35" t="s">
        <v>56</v>
      </c>
      <c r="U1617" s="18" t="s">
        <v>1873</v>
      </c>
      <c r="V1617" s="19" t="str">
        <f>IF(OR($H1617="",$H1617="sif",$H1617="PM"),"",VLOOKUP($H1617,[5]CU!$C$5:$J$255,8,FALSE))</f>
        <v/>
      </c>
      <c r="W1617" s="18" t="s">
        <v>96</v>
      </c>
      <c r="X1617" s="18" t="s">
        <v>96</v>
      </c>
      <c r="Y1617" s="18" t="s">
        <v>2066</v>
      </c>
      <c r="Z1617" s="19" t="str">
        <f>A1617 &amp; "-" &amp; VLOOKUP(A1617,[4]PROGRAMMES!$E$1:$F$7,2,FALSE)</f>
        <v>5-Gouvernance et pilotage du secteur</v>
      </c>
      <c r="AA1617" s="19" t="str">
        <f>B1617 &amp; "-" &amp; VLOOKUP(B1617,[4]SOUSPROGRAMMES!$E$1:$F$44,2,FALSE)</f>
        <v>54- Conception de plans de développement et gestion de projets</v>
      </c>
      <c r="AB1617" s="19" t="str">
        <f>C1617 &amp; "-" &amp; VLOOKUP(C1617,[4]RESULTATS!$E$1:$F$176,2,FALSE)</f>
        <v>541- Les BSD ont les compétences nécessaires à la conception, l’élaboration, le suivi et l’évaluation des projets et plans de dévéloppement</v>
      </c>
      <c r="AC1617" s="20" t="str">
        <f>D1617 &amp; "-" &amp; VLOOKUP(D1617,[4]STRATEGIES!$E$1:$F$504,2,FALSE)</f>
        <v>5411-Analyse du fonctionnement et des résultats des BSD dans ce domaine</v>
      </c>
      <c r="AD1617" s="21" t="str">
        <f t="shared" si="240"/>
        <v>54112-Elaboration d'un plan de renforcement des capacités et d'un plan de recrutement ou de redéploiement pour les 3 BSD (pris en compte dans activité 54111)</v>
      </c>
    </row>
    <row r="1618" spans="1:30" s="22" customFormat="1" ht="60" hidden="1" customHeight="1" x14ac:dyDescent="0.8">
      <c r="A1618" s="14">
        <v>5</v>
      </c>
      <c r="B1618" s="15">
        <v>54</v>
      </c>
      <c r="C1618" s="15">
        <v>541</v>
      </c>
      <c r="D1618" s="15">
        <v>5411</v>
      </c>
      <c r="E1618" s="14">
        <v>54113</v>
      </c>
      <c r="F1618" s="16" t="s">
        <v>2067</v>
      </c>
      <c r="G1618" s="21" t="s">
        <v>92</v>
      </c>
      <c r="H1618" s="17" t="s">
        <v>55</v>
      </c>
      <c r="I1618" s="56">
        <v>0</v>
      </c>
      <c r="J1618" s="56"/>
      <c r="K1618" s="56"/>
      <c r="L1618" s="56"/>
      <c r="M1618" s="56"/>
      <c r="N1618" s="56">
        <f>IF(OR(H1618="",H1618="sif",H1618="PM"),0,VLOOKUP(H1618,[5]CU!$C$4:$H$255,6,FALSE))</f>
        <v>0</v>
      </c>
      <c r="O1618" s="56"/>
      <c r="P1618" s="56"/>
      <c r="Q1618" s="56"/>
      <c r="R1618" s="56"/>
      <c r="S1618" s="56"/>
      <c r="T1618" s="35" t="s">
        <v>56</v>
      </c>
      <c r="U1618" s="18" t="s">
        <v>1873</v>
      </c>
      <c r="V1618" s="19" t="str">
        <f>IF(OR($H1618="",$H1618="sif",$H1618="PM"),"",VLOOKUP($H1618,[5]CU!$C$5:$J$255,8,FALSE))</f>
        <v/>
      </c>
      <c r="W1618" s="18" t="s">
        <v>96</v>
      </c>
      <c r="X1618" s="18" t="s">
        <v>96</v>
      </c>
      <c r="Y1618" s="19" t="s">
        <v>32</v>
      </c>
      <c r="Z1618" s="19" t="str">
        <f>A1618 &amp; "-" &amp; VLOOKUP(A1618,[4]PROGRAMMES!$E$1:$F$7,2,FALSE)</f>
        <v>5-Gouvernance et pilotage du secteur</v>
      </c>
      <c r="AA1618" s="19" t="str">
        <f>B1618 &amp; "-" &amp; VLOOKUP(B1618,[4]SOUSPROGRAMMES!$E$1:$F$44,2,FALSE)</f>
        <v>54- Conception de plans de développement et gestion de projets</v>
      </c>
      <c r="AB1618" s="19" t="str">
        <f>C1618 &amp; "-" &amp; VLOOKUP(C1618,[4]RESULTATS!$E$1:$F$176,2,FALSE)</f>
        <v>541- Les BSD ont les compétences nécessaires à la conception, l’élaboration, le suivi et l’évaluation des projets et plans de dévéloppement</v>
      </c>
      <c r="AC1618" s="20" t="str">
        <f>D1618 &amp; "-" &amp; VLOOKUP(D1618,[4]STRATEGIES!$E$1:$F$504,2,FALSE)</f>
        <v>5411-Analyse du fonctionnement et des résultats des BSD dans ce domaine</v>
      </c>
      <c r="AD1618" s="21" t="str">
        <f t="shared" si="240"/>
        <v>54113-Elaboration d'un manuel de procédures et d'un guide décrivant la mise en œuvre des tâches par service des 3 BSD (divisions, sections, etc.) (pris en compte dans activité 54111)</v>
      </c>
    </row>
    <row r="1619" spans="1:30" s="22" customFormat="1" ht="60" customHeight="1" x14ac:dyDescent="0.8">
      <c r="A1619" s="14">
        <v>5</v>
      </c>
      <c r="B1619" s="15">
        <v>54</v>
      </c>
      <c r="C1619" s="15">
        <v>541</v>
      </c>
      <c r="D1619" s="15">
        <v>5412</v>
      </c>
      <c r="E1619" s="14">
        <v>5412</v>
      </c>
      <c r="F1619" s="16" t="s">
        <v>2068</v>
      </c>
      <c r="G1619" s="17"/>
      <c r="H1619" s="17"/>
      <c r="I1619" s="56">
        <v>0</v>
      </c>
      <c r="J1619" s="56"/>
      <c r="K1619" s="56"/>
      <c r="L1619" s="56"/>
      <c r="M1619" s="56"/>
      <c r="N1619" s="56"/>
      <c r="O1619" s="56"/>
      <c r="P1619" s="56"/>
      <c r="Q1619" s="56"/>
      <c r="R1619" s="56"/>
      <c r="S1619" s="56"/>
      <c r="T1619" s="33"/>
      <c r="U1619" s="18"/>
      <c r="V1619" s="19"/>
      <c r="W1619" s="18"/>
      <c r="X1619" s="18"/>
      <c r="Y1619" s="18"/>
      <c r="Z1619" s="19" t="str">
        <f>A1619 &amp; "-" &amp; VLOOKUP(A1619,[4]PROGRAMMES!$E$1:$F$7,2,FALSE)</f>
        <v>5-Gouvernance et pilotage du secteur</v>
      </c>
      <c r="AA1619" s="19" t="str">
        <f>B1619 &amp; "-" &amp; VLOOKUP(B1619,[4]SOUSPROGRAMMES!$E$1:$F$44,2,FALSE)</f>
        <v>54- Conception de plans de développement et gestion de projets</v>
      </c>
      <c r="AB1619" s="19" t="str">
        <f>C1619 &amp; "-" &amp; VLOOKUP(C1619,[4]RESULTATS!$E$1:$F$176,2,FALSE)</f>
        <v>541- Les BSD ont les compétences nécessaires à la conception, l’élaboration, le suivi et l’évaluation des projets et plans de dévéloppement</v>
      </c>
      <c r="AC1619" s="20" t="str">
        <f>D1619 &amp; "-" &amp; VLOOKUP(D1619,[4]STRATEGIES!$E$1:$F$504,2,FALSE)</f>
        <v>5412-Renforcement des capacités des BSD</v>
      </c>
      <c r="AD1619" s="21" t="str">
        <f t="shared" si="240"/>
        <v>5412-Renforcement des capacités des BSD</v>
      </c>
    </row>
    <row r="1620" spans="1:30" s="22" customFormat="1" ht="60" customHeight="1" x14ac:dyDescent="0.8">
      <c r="A1620" s="14">
        <v>5</v>
      </c>
      <c r="B1620" s="15">
        <v>54</v>
      </c>
      <c r="C1620" s="15">
        <v>541</v>
      </c>
      <c r="D1620" s="15">
        <v>5412</v>
      </c>
      <c r="E1620" s="14">
        <v>54121</v>
      </c>
      <c r="F1620" s="16" t="s">
        <v>2069</v>
      </c>
      <c r="G1620" s="21" t="s">
        <v>2070</v>
      </c>
      <c r="H1620" s="17" t="s">
        <v>2071</v>
      </c>
      <c r="I1620" s="56">
        <v>0</v>
      </c>
      <c r="J1620" s="56">
        <f>(5*2)*33.34%</f>
        <v>3.3340000000000005</v>
      </c>
      <c r="K1620" s="56"/>
      <c r="L1620" s="56"/>
      <c r="M1620" s="56">
        <f>SUM(I1620:L1620)</f>
        <v>3.3340000000000005</v>
      </c>
      <c r="N1620" s="56">
        <f>IF(OR(H1620="",H1620="sif",H1620="PM"),0,VLOOKUP(H1620,[5]CU!$C$4:$H$255,6,FALSE))</f>
        <v>40.32</v>
      </c>
      <c r="O1620" s="56">
        <f>IFERROR($N1620*I1620,0)</f>
        <v>0</v>
      </c>
      <c r="P1620" s="56">
        <f>IFERROR($N1620*J1620,0)</f>
        <v>134.42688000000001</v>
      </c>
      <c r="Q1620" s="56">
        <f>IFERROR($N1620*K1620,0)</f>
        <v>0</v>
      </c>
      <c r="R1620" s="56">
        <f>IFERROR($N1620*L1620,0)</f>
        <v>0</v>
      </c>
      <c r="S1620" s="56">
        <f>SUM(O1620:R1620)</f>
        <v>134.42688000000001</v>
      </c>
      <c r="T1620" s="35" t="s">
        <v>39</v>
      </c>
      <c r="U1620" s="19" t="s">
        <v>1873</v>
      </c>
      <c r="V1620" s="19" t="str">
        <f>IF(OR($H1620="",$H1620="sif",$H1620="PM"),"",VLOOKUP($H1620,[5]CU!$C$5:$J$255,8,FALSE))</f>
        <v>3. Formation</v>
      </c>
      <c r="W1620" s="19" t="s">
        <v>96</v>
      </c>
      <c r="X1620" s="19" t="s">
        <v>96</v>
      </c>
      <c r="Y1620" s="19" t="s">
        <v>32</v>
      </c>
      <c r="Z1620" s="19" t="str">
        <f>A1620 &amp; "-" &amp; VLOOKUP(A1620,[4]PROGRAMMES!$E$1:$F$7,2,FALSE)</f>
        <v>5-Gouvernance et pilotage du secteur</v>
      </c>
      <c r="AA1620" s="19" t="str">
        <f>B1620 &amp; "-" &amp; VLOOKUP(B1620,[4]SOUSPROGRAMMES!$E$1:$F$44,2,FALSE)</f>
        <v>54- Conception de plans de développement et gestion de projets</v>
      </c>
      <c r="AB1620" s="19" t="str">
        <f>C1620 &amp; "-" &amp; VLOOKUP(C1620,[4]RESULTATS!$E$1:$F$176,2,FALSE)</f>
        <v>541- Les BSD ont les compétences nécessaires à la conception, l’élaboration, le suivi et l’évaluation des projets et plans de dévéloppement</v>
      </c>
      <c r="AC1620" s="20" t="str">
        <f>D1620 &amp; "-" &amp; VLOOKUP(D1620,[4]STRATEGIES!$E$1:$F$504,2,FALSE)</f>
        <v>5412-Renforcement des capacités des BSD</v>
      </c>
      <c r="AD1620" s="21" t="str">
        <f t="shared" si="240"/>
        <v>54121-Partage d'expérience avec des services de planification de la sous-région (MENA, MESRS, METFP)</v>
      </c>
    </row>
    <row r="1621" spans="1:30" s="22" customFormat="1" ht="60" customHeight="1" x14ac:dyDescent="0.8">
      <c r="A1621" s="14">
        <v>5</v>
      </c>
      <c r="B1621" s="15">
        <v>54</v>
      </c>
      <c r="C1621" s="15">
        <v>541</v>
      </c>
      <c r="D1621" s="15">
        <v>5412</v>
      </c>
      <c r="E1621" s="14">
        <v>54121</v>
      </c>
      <c r="F1621" s="16" t="s">
        <v>2069</v>
      </c>
      <c r="G1621" s="21" t="s">
        <v>2070</v>
      </c>
      <c r="H1621" s="17" t="s">
        <v>2071</v>
      </c>
      <c r="I1621" s="56">
        <v>0</v>
      </c>
      <c r="J1621" s="56">
        <f>(5*2)*66.66%</f>
        <v>6.6659999999999995</v>
      </c>
      <c r="K1621" s="56"/>
      <c r="L1621" s="56"/>
      <c r="M1621" s="56">
        <f t="shared" ref="M1621:M1633" si="244">SUM(I1621:L1621)</f>
        <v>6.6659999999999995</v>
      </c>
      <c r="N1621" s="56">
        <f>IF(OR(H1621="",H1621="sif",H1621="PM"),0,VLOOKUP(H1621,[5]CU!$C$4:$H$255,6,FALSE))</f>
        <v>40.32</v>
      </c>
      <c r="O1621" s="56">
        <f t="shared" ref="O1621:R1633" si="245">IFERROR($N1621*I1621,0)</f>
        <v>0</v>
      </c>
      <c r="P1621" s="56">
        <f t="shared" si="245"/>
        <v>268.77312000000001</v>
      </c>
      <c r="Q1621" s="56">
        <f t="shared" si="245"/>
        <v>0</v>
      </c>
      <c r="R1621" s="56">
        <f t="shared" si="245"/>
        <v>0</v>
      </c>
      <c r="S1621" s="56">
        <f t="shared" ref="S1621:S1633" si="246">SUM(O1621:R1621)</f>
        <v>268.77312000000001</v>
      </c>
      <c r="T1621" s="35" t="s">
        <v>118</v>
      </c>
      <c r="U1621" s="19" t="s">
        <v>1873</v>
      </c>
      <c r="V1621" s="19" t="str">
        <f>IF(OR($H1621="",$H1621="sif",$H1621="PM"),"",VLOOKUP($H1621,[5]CU!$C$5:$J$255,8,FALSE))</f>
        <v>3. Formation</v>
      </c>
      <c r="W1621" s="19" t="s">
        <v>96</v>
      </c>
      <c r="X1621" s="19" t="s">
        <v>96</v>
      </c>
      <c r="Y1621" s="19" t="s">
        <v>32</v>
      </c>
      <c r="Z1621" s="19" t="str">
        <f>A1621 &amp; "-" &amp; VLOOKUP(A1621,[4]PROGRAMMES!$E$1:$F$7,2,FALSE)</f>
        <v>5-Gouvernance et pilotage du secteur</v>
      </c>
      <c r="AA1621" s="19" t="str">
        <f>B1621 &amp; "-" &amp; VLOOKUP(B1621,[4]SOUSPROGRAMMES!$E$1:$F$44,2,FALSE)</f>
        <v>54- Conception de plans de développement et gestion de projets</v>
      </c>
      <c r="AB1621" s="19" t="str">
        <f>C1621 &amp; "-" &amp; VLOOKUP(C1621,[4]RESULTATS!$E$1:$F$176,2,FALSE)</f>
        <v>541- Les BSD ont les compétences nécessaires à la conception, l’élaboration, le suivi et l’évaluation des projets et plans de dévéloppement</v>
      </c>
      <c r="AC1621" s="20" t="str">
        <f>D1621 &amp; "-" &amp; VLOOKUP(D1621,[4]STRATEGIES!$E$1:$F$504,2,FALSE)</f>
        <v>5412-Renforcement des capacités des BSD</v>
      </c>
      <c r="AD1621" s="21" t="str">
        <f t="shared" si="240"/>
        <v>54121-Partage d'expérience avec des services de planification de la sous-région (MENA, MESRS, METFP)</v>
      </c>
    </row>
    <row r="1622" spans="1:30" s="22" customFormat="1" ht="60" customHeight="1" x14ac:dyDescent="0.8">
      <c r="A1622" s="14">
        <v>5</v>
      </c>
      <c r="B1622" s="15">
        <v>54</v>
      </c>
      <c r="C1622" s="15">
        <v>541</v>
      </c>
      <c r="D1622" s="15">
        <v>5412</v>
      </c>
      <c r="E1622" s="14">
        <v>54122</v>
      </c>
      <c r="F1622" s="16" t="s">
        <v>2072</v>
      </c>
      <c r="G1622" s="21" t="s">
        <v>2073</v>
      </c>
      <c r="H1622" s="17" t="s">
        <v>2074</v>
      </c>
      <c r="I1622" s="56">
        <v>0</v>
      </c>
      <c r="J1622" s="56">
        <f>10</f>
        <v>10</v>
      </c>
      <c r="K1622" s="56">
        <v>8</v>
      </c>
      <c r="L1622" s="56">
        <v>38</v>
      </c>
      <c r="M1622" s="56">
        <f t="shared" si="244"/>
        <v>56</v>
      </c>
      <c r="N1622" s="56">
        <f>IF(OR(H1622="",H1622="sif",H1622="PM"),0,VLOOKUP(H1622,[5]CU!$C$4:$H$255,6,FALSE))</f>
        <v>10.5</v>
      </c>
      <c r="O1622" s="56">
        <f t="shared" si="245"/>
        <v>0</v>
      </c>
      <c r="P1622" s="56">
        <f t="shared" si="245"/>
        <v>105</v>
      </c>
      <c r="Q1622" s="56">
        <f t="shared" si="245"/>
        <v>84</v>
      </c>
      <c r="R1622" s="56">
        <f t="shared" si="245"/>
        <v>399</v>
      </c>
      <c r="S1622" s="56">
        <f t="shared" si="246"/>
        <v>588</v>
      </c>
      <c r="T1622" s="35" t="s">
        <v>118</v>
      </c>
      <c r="U1622" s="18" t="s">
        <v>1873</v>
      </c>
      <c r="V1622" s="19" t="str">
        <f>IF(OR($H1622="",$H1622="sif",$H1622="PM"),"",VLOOKUP($H1622,[5]CU!$C$5:$J$255,8,FALSE))</f>
        <v>5. Investissement</v>
      </c>
      <c r="W1622" s="18" t="s">
        <v>96</v>
      </c>
      <c r="X1622" s="18" t="s">
        <v>96</v>
      </c>
      <c r="Y1622" s="19" t="s">
        <v>32</v>
      </c>
      <c r="Z1622" s="19" t="str">
        <f>A1622 &amp; "-" &amp; VLOOKUP(A1622,[4]PROGRAMMES!$E$1:$F$7,2,FALSE)</f>
        <v>5-Gouvernance et pilotage du secteur</v>
      </c>
      <c r="AA1622" s="19" t="str">
        <f>B1622 &amp; "-" &amp; VLOOKUP(B1622,[4]SOUSPROGRAMMES!$E$1:$F$44,2,FALSE)</f>
        <v>54- Conception de plans de développement et gestion de projets</v>
      </c>
      <c r="AB1622" s="19" t="str">
        <f>C1622 &amp; "-" &amp; VLOOKUP(C1622,[4]RESULTATS!$E$1:$F$176,2,FALSE)</f>
        <v>541- Les BSD ont les compétences nécessaires à la conception, l’élaboration, le suivi et l’évaluation des projets et plans de dévéloppement</v>
      </c>
      <c r="AC1622" s="20" t="str">
        <f>D1622 &amp; "-" &amp; VLOOKUP(D1622,[4]STRATEGIES!$E$1:$F$504,2,FALSE)</f>
        <v>5412-Renforcement des capacités des BSD</v>
      </c>
      <c r="AD1622" s="21" t="str">
        <f t="shared" si="240"/>
        <v>54122-Dotation du BSD MENA en logiciels de gestion de projets</v>
      </c>
    </row>
    <row r="1623" spans="1:30" s="22" customFormat="1" ht="60" customHeight="1" x14ac:dyDescent="0.8">
      <c r="A1623" s="14">
        <v>5</v>
      </c>
      <c r="B1623" s="15">
        <v>54</v>
      </c>
      <c r="C1623" s="15">
        <v>541</v>
      </c>
      <c r="D1623" s="15">
        <v>5412</v>
      </c>
      <c r="E1623" s="14">
        <v>54123</v>
      </c>
      <c r="F1623" s="16" t="s">
        <v>2075</v>
      </c>
      <c r="G1623" s="21" t="s">
        <v>2073</v>
      </c>
      <c r="H1623" s="17" t="s">
        <v>2074</v>
      </c>
      <c r="I1623" s="56">
        <v>0</v>
      </c>
      <c r="J1623" s="56">
        <f>10</f>
        <v>10</v>
      </c>
      <c r="K1623" s="56"/>
      <c r="L1623" s="56"/>
      <c r="M1623" s="56">
        <f t="shared" si="244"/>
        <v>10</v>
      </c>
      <c r="N1623" s="56">
        <f>IF(OR(H1623="",H1623="sif",H1623="PM"),0,VLOOKUP(H1623,[5]CU!$C$4:$H$255,6,FALSE))</f>
        <v>10.5</v>
      </c>
      <c r="O1623" s="56">
        <f t="shared" si="245"/>
        <v>0</v>
      </c>
      <c r="P1623" s="56">
        <f t="shared" si="245"/>
        <v>105</v>
      </c>
      <c r="Q1623" s="56">
        <f t="shared" si="245"/>
        <v>0</v>
      </c>
      <c r="R1623" s="56">
        <f t="shared" si="245"/>
        <v>0</v>
      </c>
      <c r="S1623" s="56">
        <f t="shared" si="246"/>
        <v>105</v>
      </c>
      <c r="T1623" s="35" t="s">
        <v>39</v>
      </c>
      <c r="U1623" s="19" t="s">
        <v>1873</v>
      </c>
      <c r="V1623" s="19" t="str">
        <f>IF(OR($H1623="",$H1623="sif",$H1623="PM"),"",VLOOKUP($H1623,[5]CU!$C$5:$J$255,8,FALSE))</f>
        <v>5. Investissement</v>
      </c>
      <c r="W1623" s="19" t="s">
        <v>96</v>
      </c>
      <c r="X1623" s="19" t="s">
        <v>96</v>
      </c>
      <c r="Y1623" s="19" t="s">
        <v>679</v>
      </c>
      <c r="Z1623" s="19" t="str">
        <f>A1623 &amp; "-" &amp; VLOOKUP(A1623,[4]PROGRAMMES!$E$1:$F$7,2,FALSE)</f>
        <v>5-Gouvernance et pilotage du secteur</v>
      </c>
      <c r="AA1623" s="19" t="str">
        <f>B1623 &amp; "-" &amp; VLOOKUP(B1623,[4]SOUSPROGRAMMES!$E$1:$F$44,2,FALSE)</f>
        <v>54- Conception de plans de développement et gestion de projets</v>
      </c>
      <c r="AB1623" s="19" t="str">
        <f>C1623 &amp; "-" &amp; VLOOKUP(C1623,[4]RESULTATS!$E$1:$F$176,2,FALSE)</f>
        <v>541- Les BSD ont les compétences nécessaires à la conception, l’élaboration, le suivi et l’évaluation des projets et plans de dévéloppement</v>
      </c>
      <c r="AC1623" s="20" t="str">
        <f>D1623 &amp; "-" &amp; VLOOKUP(D1623,[4]STRATEGIES!$E$1:$F$504,2,FALSE)</f>
        <v>5412-Renforcement des capacités des BSD</v>
      </c>
      <c r="AD1623" s="21" t="str">
        <f t="shared" si="240"/>
        <v>54123-Dotation du BSD MESRS en logiciels de gestion de projets</v>
      </c>
    </row>
    <row r="1624" spans="1:30" s="22" customFormat="1" ht="60" customHeight="1" x14ac:dyDescent="0.8">
      <c r="A1624" s="14">
        <v>5</v>
      </c>
      <c r="B1624" s="15">
        <v>54</v>
      </c>
      <c r="C1624" s="15">
        <v>541</v>
      </c>
      <c r="D1624" s="15">
        <v>5412</v>
      </c>
      <c r="E1624" s="14">
        <v>54124</v>
      </c>
      <c r="F1624" s="16" t="s">
        <v>2076</v>
      </c>
      <c r="G1624" s="21" t="s">
        <v>2073</v>
      </c>
      <c r="H1624" s="17" t="s">
        <v>2074</v>
      </c>
      <c r="I1624" s="56">
        <v>0</v>
      </c>
      <c r="J1624" s="56">
        <f>10</f>
        <v>10</v>
      </c>
      <c r="K1624" s="56">
        <v>8</v>
      </c>
      <c r="L1624" s="56"/>
      <c r="M1624" s="56">
        <f t="shared" si="244"/>
        <v>18</v>
      </c>
      <c r="N1624" s="56">
        <f>IF(OR(H1624="",H1624="sif",H1624="PM"),0,VLOOKUP(H1624,[5]CU!$C$4:$H$255,6,FALSE))</f>
        <v>10.5</v>
      </c>
      <c r="O1624" s="56">
        <f t="shared" si="245"/>
        <v>0</v>
      </c>
      <c r="P1624" s="56">
        <f t="shared" si="245"/>
        <v>105</v>
      </c>
      <c r="Q1624" s="56">
        <f t="shared" si="245"/>
        <v>84</v>
      </c>
      <c r="R1624" s="56">
        <f t="shared" si="245"/>
        <v>0</v>
      </c>
      <c r="S1624" s="56">
        <f t="shared" si="246"/>
        <v>189</v>
      </c>
      <c r="T1624" s="35" t="s">
        <v>39</v>
      </c>
      <c r="U1624" s="19" t="s">
        <v>1873</v>
      </c>
      <c r="V1624" s="19" t="str">
        <f>IF(OR($H1624="",$H1624="sif",$H1624="PM"),"",VLOOKUP($H1624,[5]CU!$C$5:$J$255,8,FALSE))</f>
        <v>5. Investissement</v>
      </c>
      <c r="W1624" s="19" t="s">
        <v>96</v>
      </c>
      <c r="X1624" s="19" t="s">
        <v>96</v>
      </c>
      <c r="Y1624" s="19" t="s">
        <v>677</v>
      </c>
      <c r="Z1624" s="19" t="str">
        <f>A1624 &amp; "-" &amp; VLOOKUP(A1624,[4]PROGRAMMES!$E$1:$F$7,2,FALSE)</f>
        <v>5-Gouvernance et pilotage du secteur</v>
      </c>
      <c r="AA1624" s="19" t="str">
        <f>B1624 &amp; "-" &amp; VLOOKUP(B1624,[4]SOUSPROGRAMMES!$E$1:$F$44,2,FALSE)</f>
        <v>54- Conception de plans de développement et gestion de projets</v>
      </c>
      <c r="AB1624" s="19" t="str">
        <f>C1624 &amp; "-" &amp; VLOOKUP(C1624,[4]RESULTATS!$E$1:$F$176,2,FALSE)</f>
        <v>541- Les BSD ont les compétences nécessaires à la conception, l’élaboration, le suivi et l’évaluation des projets et plans de dévéloppement</v>
      </c>
      <c r="AC1624" s="20" t="str">
        <f>D1624 &amp; "-" &amp; VLOOKUP(D1624,[4]STRATEGIES!$E$1:$F$504,2,FALSE)</f>
        <v>5412-Renforcement des capacités des BSD</v>
      </c>
      <c r="AD1624" s="21" t="str">
        <f t="shared" si="240"/>
        <v>54124-Dotation du BSD METFP en logiciels de gestion de projets</v>
      </c>
    </row>
    <row r="1625" spans="1:30" s="22" customFormat="1" ht="60" customHeight="1" x14ac:dyDescent="0.8">
      <c r="A1625" s="14">
        <v>5</v>
      </c>
      <c r="B1625" s="15">
        <v>54</v>
      </c>
      <c r="C1625" s="15">
        <v>541</v>
      </c>
      <c r="D1625" s="15">
        <v>5412</v>
      </c>
      <c r="E1625" s="14">
        <v>54125</v>
      </c>
      <c r="F1625" s="16" t="s">
        <v>2077</v>
      </c>
      <c r="G1625" s="21" t="s">
        <v>315</v>
      </c>
      <c r="H1625" s="17" t="s">
        <v>301</v>
      </c>
      <c r="I1625" s="56">
        <v>0</v>
      </c>
      <c r="J1625" s="56">
        <f>30*5</f>
        <v>150</v>
      </c>
      <c r="K1625" s="56">
        <f>15*5</f>
        <v>75</v>
      </c>
      <c r="L1625" s="56">
        <f>15*5</f>
        <v>75</v>
      </c>
      <c r="M1625" s="56">
        <f t="shared" si="244"/>
        <v>300</v>
      </c>
      <c r="N1625" s="56">
        <f>IF(OR(H1625="",H1625="sif",H1625="PM"),0,VLOOKUP(H1625,[5]CU!$C$4:$H$255,6,FALSE))</f>
        <v>0.67666666666666664</v>
      </c>
      <c r="O1625" s="56">
        <f t="shared" si="245"/>
        <v>0</v>
      </c>
      <c r="P1625" s="56">
        <f t="shared" si="245"/>
        <v>101.5</v>
      </c>
      <c r="Q1625" s="56">
        <f t="shared" si="245"/>
        <v>50.75</v>
      </c>
      <c r="R1625" s="56">
        <f t="shared" si="245"/>
        <v>50.75</v>
      </c>
      <c r="S1625" s="56">
        <f t="shared" si="246"/>
        <v>203</v>
      </c>
      <c r="T1625" s="35" t="s">
        <v>39</v>
      </c>
      <c r="U1625" s="19" t="s">
        <v>1873</v>
      </c>
      <c r="V1625" s="19" t="str">
        <f>IF(OR($H1625="",$H1625="sif",$H1625="PM"),"",VLOOKUP($H1625,[5]CU!$C$5:$J$255,8,FALSE))</f>
        <v>3. Formation</v>
      </c>
      <c r="W1625" s="19" t="s">
        <v>96</v>
      </c>
      <c r="X1625" s="19" t="s">
        <v>96</v>
      </c>
      <c r="Y1625" s="19" t="s">
        <v>32</v>
      </c>
      <c r="Z1625" s="19" t="str">
        <f>A1625 &amp; "-" &amp; VLOOKUP(A1625,[4]PROGRAMMES!$E$1:$F$7,2,FALSE)</f>
        <v>5-Gouvernance et pilotage du secteur</v>
      </c>
      <c r="AA1625" s="19" t="str">
        <f>B1625 &amp; "-" &amp; VLOOKUP(B1625,[4]SOUSPROGRAMMES!$E$1:$F$44,2,FALSE)</f>
        <v>54- Conception de plans de développement et gestion de projets</v>
      </c>
      <c r="AB1625" s="19" t="str">
        <f>C1625 &amp; "-" &amp; VLOOKUP(C1625,[4]RESULTATS!$E$1:$F$176,2,FALSE)</f>
        <v>541- Les BSD ont les compétences nécessaires à la conception, l’élaboration, le suivi et l’évaluation des projets et plans de dévéloppement</v>
      </c>
      <c r="AC1625" s="20" t="str">
        <f>D1625 &amp; "-" &amp; VLOOKUP(D1625,[4]STRATEGIES!$E$1:$F$504,2,FALSE)</f>
        <v>5412-Renforcement des capacités des BSD</v>
      </c>
      <c r="AD1625" s="21" t="str">
        <f t="shared" si="240"/>
        <v>54125-Mise en œuvre progressive du plan de formation des BSD (Formation des BSD et démembrements sur les logiciels de gestion des Projets éducatifs y compris BSD MESRS et METFP°</v>
      </c>
    </row>
    <row r="1626" spans="1:30" s="22" customFormat="1" ht="60" customHeight="1" x14ac:dyDescent="0.8">
      <c r="A1626" s="14">
        <v>5</v>
      </c>
      <c r="B1626" s="15">
        <v>54</v>
      </c>
      <c r="C1626" s="15">
        <v>541</v>
      </c>
      <c r="D1626" s="15">
        <v>5412</v>
      </c>
      <c r="E1626" s="14">
        <v>54126</v>
      </c>
      <c r="F1626" s="16" t="s">
        <v>2078</v>
      </c>
      <c r="G1626" s="21" t="s">
        <v>315</v>
      </c>
      <c r="H1626" s="17" t="s">
        <v>301</v>
      </c>
      <c r="I1626" s="56">
        <v>0</v>
      </c>
      <c r="J1626" s="56">
        <f>((2*46+20)*5)*50%</f>
        <v>280</v>
      </c>
      <c r="K1626" s="56">
        <f>((2*46+20)*5)*50%</f>
        <v>280</v>
      </c>
      <c r="L1626" s="56"/>
      <c r="M1626" s="56">
        <f>SUM(I1626:L1626)</f>
        <v>560</v>
      </c>
      <c r="N1626" s="56">
        <f>IF(OR(H1626="",H1626="sif",H1626="PM"),0,VLOOKUP(H1626,[5]CU!$C$4:$H$255,6,FALSE))</f>
        <v>0.67666666666666664</v>
      </c>
      <c r="O1626" s="56">
        <f>IFERROR($N1626*I1626,0)</f>
        <v>0</v>
      </c>
      <c r="P1626" s="56">
        <f>IFERROR($N1626*J1626,0)</f>
        <v>189.46666666666667</v>
      </c>
      <c r="Q1626" s="56">
        <f>IFERROR($N1626*K1626,0)</f>
        <v>189.46666666666667</v>
      </c>
      <c r="R1626" s="56">
        <f>IFERROR($N1626*L1626,0)</f>
        <v>0</v>
      </c>
      <c r="S1626" s="56">
        <f>SUM(O1626:R1626)</f>
        <v>378.93333333333334</v>
      </c>
      <c r="T1626" s="35" t="s">
        <v>39</v>
      </c>
      <c r="U1626" s="19" t="s">
        <v>1873</v>
      </c>
      <c r="V1626" s="19" t="str">
        <f>IF(OR($H1626="",$H1626="sif",$H1626="PM"),"",VLOOKUP($H1626,[5]CU!$C$5:$J$255,8,FALSE))</f>
        <v>3. Formation</v>
      </c>
      <c r="W1626" s="19" t="s">
        <v>96</v>
      </c>
      <c r="X1626" s="19" t="s">
        <v>96</v>
      </c>
      <c r="Y1626" s="19" t="s">
        <v>32</v>
      </c>
      <c r="Z1626" s="19" t="str">
        <f>A1626 &amp; "-" &amp; VLOOKUP(A1626,[4]PROGRAMMES!$E$1:$F$7,2,FALSE)</f>
        <v>5-Gouvernance et pilotage du secteur</v>
      </c>
      <c r="AA1626" s="19" t="str">
        <f>B1626 &amp; "-" &amp; VLOOKUP(B1626,[4]SOUSPROGRAMMES!$E$1:$F$44,2,FALSE)</f>
        <v>54- Conception de plans de développement et gestion de projets</v>
      </c>
      <c r="AB1626" s="19" t="str">
        <f>C1626 &amp; "-" &amp; VLOOKUP(C1626,[4]RESULTATS!$E$1:$F$176,2,FALSE)</f>
        <v>541- Les BSD ont les compétences nécessaires à la conception, l’élaboration, le suivi et l’évaluation des projets et plans de dévéloppement</v>
      </c>
      <c r="AC1626" s="20" t="str">
        <f>D1626 &amp; "-" &amp; VLOOKUP(D1626,[4]STRATEGIES!$E$1:$F$504,2,FALSE)</f>
        <v>5412-Renforcement des capacités des BSD</v>
      </c>
      <c r="AD1626" s="21" t="str">
        <f t="shared" si="240"/>
        <v>54126-Mise en œuvre progressive du plan de formation des BSD (Formation des BSD à l'exploitation des bases de données à l'aide requêtes (niveau central et déconcentré) y compris BSD MESRS et METFP</v>
      </c>
    </row>
    <row r="1627" spans="1:30" s="22" customFormat="1" ht="60" customHeight="1" x14ac:dyDescent="0.8">
      <c r="A1627" s="14">
        <v>5</v>
      </c>
      <c r="B1627" s="15">
        <v>54</v>
      </c>
      <c r="C1627" s="15">
        <v>541</v>
      </c>
      <c r="D1627" s="15">
        <v>5412</v>
      </c>
      <c r="E1627" s="14">
        <v>54126</v>
      </c>
      <c r="F1627" s="16" t="s">
        <v>2078</v>
      </c>
      <c r="G1627" s="21" t="s">
        <v>315</v>
      </c>
      <c r="H1627" s="17" t="s">
        <v>301</v>
      </c>
      <c r="I1627" s="56">
        <v>0</v>
      </c>
      <c r="J1627" s="56">
        <f>((2*46+20)*5)*50%</f>
        <v>280</v>
      </c>
      <c r="K1627" s="56">
        <f>((2*46+20)*5)*50%</f>
        <v>280</v>
      </c>
      <c r="L1627" s="56"/>
      <c r="M1627" s="56">
        <f t="shared" si="244"/>
        <v>560</v>
      </c>
      <c r="N1627" s="56">
        <f>IF(OR(H1627="",H1627="sif",H1627="PM"),0,VLOOKUP(H1627,[5]CU!$C$4:$H$255,6,FALSE))</f>
        <v>0.67666666666666664</v>
      </c>
      <c r="O1627" s="56">
        <f t="shared" si="245"/>
        <v>0</v>
      </c>
      <c r="P1627" s="56">
        <f t="shared" si="245"/>
        <v>189.46666666666667</v>
      </c>
      <c r="Q1627" s="56">
        <f t="shared" si="245"/>
        <v>189.46666666666667</v>
      </c>
      <c r="R1627" s="56">
        <f t="shared" si="245"/>
        <v>0</v>
      </c>
      <c r="S1627" s="56">
        <f t="shared" si="246"/>
        <v>378.93333333333334</v>
      </c>
      <c r="T1627" s="35" t="s">
        <v>118</v>
      </c>
      <c r="U1627" s="19" t="s">
        <v>1873</v>
      </c>
      <c r="V1627" s="19" t="str">
        <f>IF(OR($H1627="",$H1627="sif",$H1627="PM"),"",VLOOKUP($H1627,[5]CU!$C$5:$J$255,8,FALSE))</f>
        <v>3. Formation</v>
      </c>
      <c r="W1627" s="19" t="s">
        <v>96</v>
      </c>
      <c r="X1627" s="19" t="s">
        <v>96</v>
      </c>
      <c r="Y1627" s="19" t="s">
        <v>32</v>
      </c>
      <c r="Z1627" s="19" t="str">
        <f>A1627 &amp; "-" &amp; VLOOKUP(A1627,[4]PROGRAMMES!$E$1:$F$7,2,FALSE)</f>
        <v>5-Gouvernance et pilotage du secteur</v>
      </c>
      <c r="AA1627" s="19" t="str">
        <f>B1627 &amp; "-" &amp; VLOOKUP(B1627,[4]SOUSPROGRAMMES!$E$1:$F$44,2,FALSE)</f>
        <v>54- Conception de plans de développement et gestion de projets</v>
      </c>
      <c r="AB1627" s="19" t="str">
        <f>C1627 &amp; "-" &amp; VLOOKUP(C1627,[4]RESULTATS!$E$1:$F$176,2,FALSE)</f>
        <v>541- Les BSD ont les compétences nécessaires à la conception, l’élaboration, le suivi et l’évaluation des projets et plans de dévéloppement</v>
      </c>
      <c r="AC1627" s="20" t="str">
        <f>D1627 &amp; "-" &amp; VLOOKUP(D1627,[4]STRATEGIES!$E$1:$F$504,2,FALSE)</f>
        <v>5412-Renforcement des capacités des BSD</v>
      </c>
      <c r="AD1627" s="21" t="str">
        <f t="shared" si="240"/>
        <v>54126-Mise en œuvre progressive du plan de formation des BSD (Formation des BSD à l'exploitation des bases de données à l'aide requêtes (niveau central et déconcentré) y compris BSD MESRS et METFP</v>
      </c>
    </row>
    <row r="1628" spans="1:30" s="22" customFormat="1" ht="60" customHeight="1" x14ac:dyDescent="0.8">
      <c r="A1628" s="14">
        <v>5</v>
      </c>
      <c r="B1628" s="15">
        <v>54</v>
      </c>
      <c r="C1628" s="15">
        <v>541</v>
      </c>
      <c r="D1628" s="15">
        <v>5412</v>
      </c>
      <c r="E1628" s="14">
        <v>54127</v>
      </c>
      <c r="F1628" s="16" t="s">
        <v>2079</v>
      </c>
      <c r="G1628" s="21" t="s">
        <v>315</v>
      </c>
      <c r="H1628" s="17" t="s">
        <v>301</v>
      </c>
      <c r="I1628" s="56">
        <v>0</v>
      </c>
      <c r="J1628" s="56">
        <f>((2*46+10)*5)*50%</f>
        <v>255</v>
      </c>
      <c r="K1628" s="56">
        <f>((2*46+10)*5)*50%</f>
        <v>255</v>
      </c>
      <c r="L1628" s="56"/>
      <c r="M1628" s="56">
        <f>SUM(I1628:L1628)</f>
        <v>510</v>
      </c>
      <c r="N1628" s="56">
        <f>IF(OR(H1628="",H1628="sif",H1628="PM"),0,VLOOKUP(H1628,[5]CU!$C$4:$H$255,6,FALSE))</f>
        <v>0.67666666666666664</v>
      </c>
      <c r="O1628" s="56">
        <f>IFERROR($N1628*I1628,0)</f>
        <v>0</v>
      </c>
      <c r="P1628" s="56">
        <f>IFERROR($N1628*J1628,0)</f>
        <v>172.54999999999998</v>
      </c>
      <c r="Q1628" s="56">
        <f>IFERROR($N1628*K1628,0)</f>
        <v>172.54999999999998</v>
      </c>
      <c r="R1628" s="56">
        <f>IFERROR($N1628*L1628,0)</f>
        <v>0</v>
      </c>
      <c r="S1628" s="56">
        <f>SUM(O1628:R1628)</f>
        <v>345.09999999999997</v>
      </c>
      <c r="T1628" s="35" t="s">
        <v>39</v>
      </c>
      <c r="U1628" s="19" t="s">
        <v>1873</v>
      </c>
      <c r="V1628" s="19" t="str">
        <f>IF(OR($H1628="",$H1628="sif",$H1628="PM"),"",VLOOKUP($H1628,[5]CU!$C$5:$J$255,8,FALSE))</f>
        <v>3. Formation</v>
      </c>
      <c r="W1628" s="19" t="s">
        <v>96</v>
      </c>
      <c r="X1628" s="19" t="s">
        <v>96</v>
      </c>
      <c r="Y1628" s="19" t="s">
        <v>32</v>
      </c>
      <c r="Z1628" s="19" t="str">
        <f>A1628 &amp; "-" &amp; VLOOKUP(A1628,[4]PROGRAMMES!$E$1:$F$7,2,FALSE)</f>
        <v>5-Gouvernance et pilotage du secteur</v>
      </c>
      <c r="AA1628" s="19" t="str">
        <f>B1628 &amp; "-" &amp; VLOOKUP(B1628,[4]SOUSPROGRAMMES!$E$1:$F$44,2,FALSE)</f>
        <v>54- Conception de plans de développement et gestion de projets</v>
      </c>
      <c r="AB1628" s="19" t="str">
        <f>C1628 &amp; "-" &amp; VLOOKUP(C1628,[4]RESULTATS!$E$1:$F$176,2,FALSE)</f>
        <v>541- Les BSD ont les compétences nécessaires à la conception, l’élaboration, le suivi et l’évaluation des projets et plans de dévéloppement</v>
      </c>
      <c r="AC1628" s="20" t="str">
        <f>D1628 &amp; "-" &amp; VLOOKUP(D1628,[4]STRATEGIES!$E$1:$F$504,2,FALSE)</f>
        <v>5412-Renforcement des capacités des BSD</v>
      </c>
      <c r="AD1628" s="21" t="str">
        <f t="shared" si="240"/>
        <v>54127-Mise en œuvre progressive du plan de formation des BSD (Formation des BSD à l'utilisation des outils d'analyse multidimensionnels (niveau central et déconcentré)</v>
      </c>
    </row>
    <row r="1629" spans="1:30" s="22" customFormat="1" ht="60" customHeight="1" x14ac:dyDescent="0.8">
      <c r="A1629" s="14">
        <v>5</v>
      </c>
      <c r="B1629" s="15">
        <v>54</v>
      </c>
      <c r="C1629" s="15">
        <v>541</v>
      </c>
      <c r="D1629" s="15">
        <v>5412</v>
      </c>
      <c r="E1629" s="14">
        <v>54127</v>
      </c>
      <c r="F1629" s="16" t="s">
        <v>2079</v>
      </c>
      <c r="G1629" s="21" t="s">
        <v>315</v>
      </c>
      <c r="H1629" s="17" t="s">
        <v>301</v>
      </c>
      <c r="I1629" s="56">
        <v>0</v>
      </c>
      <c r="J1629" s="56">
        <f>((2*46+10)*5)*50%</f>
        <v>255</v>
      </c>
      <c r="K1629" s="56">
        <f>((2*46+10)*5)*50%</f>
        <v>255</v>
      </c>
      <c r="L1629" s="56"/>
      <c r="M1629" s="56">
        <f t="shared" si="244"/>
        <v>510</v>
      </c>
      <c r="N1629" s="56">
        <f>IF(OR(H1629="",H1629="sif",H1629="PM"),0,VLOOKUP(H1629,[5]CU!$C$4:$H$255,6,FALSE))</f>
        <v>0.67666666666666664</v>
      </c>
      <c r="O1629" s="56">
        <f t="shared" si="245"/>
        <v>0</v>
      </c>
      <c r="P1629" s="56">
        <f t="shared" si="245"/>
        <v>172.54999999999998</v>
      </c>
      <c r="Q1629" s="56">
        <f t="shared" si="245"/>
        <v>172.54999999999998</v>
      </c>
      <c r="R1629" s="56">
        <f t="shared" si="245"/>
        <v>0</v>
      </c>
      <c r="S1629" s="56">
        <f t="shared" si="246"/>
        <v>345.09999999999997</v>
      </c>
      <c r="T1629" s="35" t="s">
        <v>118</v>
      </c>
      <c r="U1629" s="19" t="s">
        <v>1873</v>
      </c>
      <c r="V1629" s="19" t="str">
        <f>IF(OR($H1629="",$H1629="sif",$H1629="PM"),"",VLOOKUP($H1629,[5]CU!$C$5:$J$255,8,FALSE))</f>
        <v>3. Formation</v>
      </c>
      <c r="W1629" s="19" t="s">
        <v>96</v>
      </c>
      <c r="X1629" s="19" t="s">
        <v>96</v>
      </c>
      <c r="Y1629" s="19" t="s">
        <v>32</v>
      </c>
      <c r="Z1629" s="19" t="str">
        <f>A1629 &amp; "-" &amp; VLOOKUP(A1629,[4]PROGRAMMES!$E$1:$F$7,2,FALSE)</f>
        <v>5-Gouvernance et pilotage du secteur</v>
      </c>
      <c r="AA1629" s="19" t="str">
        <f>B1629 &amp; "-" &amp; VLOOKUP(B1629,[4]SOUSPROGRAMMES!$E$1:$F$44,2,FALSE)</f>
        <v>54- Conception de plans de développement et gestion de projets</v>
      </c>
      <c r="AB1629" s="19" t="str">
        <f>C1629 &amp; "-" &amp; VLOOKUP(C1629,[4]RESULTATS!$E$1:$F$176,2,FALSE)</f>
        <v>541- Les BSD ont les compétences nécessaires à la conception, l’élaboration, le suivi et l’évaluation des projets et plans de dévéloppement</v>
      </c>
      <c r="AC1629" s="20" t="str">
        <f>D1629 &amp; "-" &amp; VLOOKUP(D1629,[4]STRATEGIES!$E$1:$F$504,2,FALSE)</f>
        <v>5412-Renforcement des capacités des BSD</v>
      </c>
      <c r="AD1629" s="21" t="str">
        <f t="shared" si="240"/>
        <v>54127-Mise en œuvre progressive du plan de formation des BSD (Formation des BSD à l'utilisation des outils d'analyse multidimensionnels (niveau central et déconcentré)</v>
      </c>
    </row>
    <row r="1630" spans="1:30" s="22" customFormat="1" ht="60" customHeight="1" x14ac:dyDescent="0.8">
      <c r="A1630" s="14">
        <v>5</v>
      </c>
      <c r="B1630" s="15">
        <v>54</v>
      </c>
      <c r="C1630" s="15">
        <v>541</v>
      </c>
      <c r="D1630" s="15">
        <v>5412</v>
      </c>
      <c r="E1630" s="14">
        <v>54128</v>
      </c>
      <c r="F1630" s="16" t="s">
        <v>2080</v>
      </c>
      <c r="G1630" s="21" t="s">
        <v>315</v>
      </c>
      <c r="H1630" s="17" t="s">
        <v>301</v>
      </c>
      <c r="I1630" s="56">
        <v>0</v>
      </c>
      <c r="J1630" s="56">
        <f>(30*10)*50%</f>
        <v>150</v>
      </c>
      <c r="K1630" s="56">
        <f>(46*10)*50%</f>
        <v>230</v>
      </c>
      <c r="L1630" s="56"/>
      <c r="M1630" s="56">
        <f>SUM(I1630:L1630)</f>
        <v>380</v>
      </c>
      <c r="N1630" s="56">
        <f>IF(OR(H1630="",H1630="sif",H1630="PM"),0,VLOOKUP(H1630,[5]CU!$C$4:$H$255,6,FALSE))</f>
        <v>0.67666666666666664</v>
      </c>
      <c r="O1630" s="56">
        <f>IFERROR($N1630*I1630,0)</f>
        <v>0</v>
      </c>
      <c r="P1630" s="56">
        <f>IFERROR($N1630*J1630,0)</f>
        <v>101.5</v>
      </c>
      <c r="Q1630" s="56">
        <f>IFERROR($N1630*K1630,0)</f>
        <v>155.63333333333333</v>
      </c>
      <c r="R1630" s="56">
        <f>IFERROR($N1630*L1630,0)</f>
        <v>0</v>
      </c>
      <c r="S1630" s="56">
        <f>SUM(O1630:R1630)</f>
        <v>257.13333333333333</v>
      </c>
      <c r="T1630" s="35" t="s">
        <v>39</v>
      </c>
      <c r="U1630" s="19" t="s">
        <v>1873</v>
      </c>
      <c r="V1630" s="19" t="str">
        <f>IF(OR($H1630="",$H1630="sif",$H1630="PM"),"",VLOOKUP($H1630,[5]CU!$C$5:$J$255,8,FALSE))</f>
        <v>3. Formation</v>
      </c>
      <c r="W1630" s="19" t="s">
        <v>96</v>
      </c>
      <c r="X1630" s="19" t="s">
        <v>764</v>
      </c>
      <c r="Y1630" s="19" t="s">
        <v>32</v>
      </c>
      <c r="Z1630" s="19" t="str">
        <f>A1630 &amp; "-" &amp; VLOOKUP(A1630,[4]PROGRAMMES!$E$1:$F$7,2,FALSE)</f>
        <v>5-Gouvernance et pilotage du secteur</v>
      </c>
      <c r="AA1630" s="19" t="str">
        <f>B1630 &amp; "-" &amp; VLOOKUP(B1630,[4]SOUSPROGRAMMES!$E$1:$F$44,2,FALSE)</f>
        <v>54- Conception de plans de développement et gestion de projets</v>
      </c>
      <c r="AB1630" s="19" t="str">
        <f>C1630 &amp; "-" &amp; VLOOKUP(C1630,[4]RESULTATS!$E$1:$F$176,2,FALSE)</f>
        <v>541- Les BSD ont les compétences nécessaires à la conception, l’élaboration, le suivi et l’évaluation des projets et plans de dévéloppement</v>
      </c>
      <c r="AC1630" s="20" t="str">
        <f>D1630 &amp; "-" &amp; VLOOKUP(D1630,[4]STRATEGIES!$E$1:$F$504,2,FALSE)</f>
        <v>5412-Renforcement des capacités des BSD</v>
      </c>
      <c r="AD1630" s="21" t="str">
        <f t="shared" si="240"/>
        <v>54128-Mise en œuvre progressive du plan de formation des BSD (Formation des BSD à aux logiciels d'analyse statistique (SPSS, STATA, CS Pro) y compris BSD MESRS et METFP</v>
      </c>
    </row>
    <row r="1631" spans="1:30" s="22" customFormat="1" ht="60" customHeight="1" x14ac:dyDescent="0.8">
      <c r="A1631" s="14">
        <v>5</v>
      </c>
      <c r="B1631" s="15">
        <v>54</v>
      </c>
      <c r="C1631" s="15">
        <v>541</v>
      </c>
      <c r="D1631" s="15">
        <v>5412</v>
      </c>
      <c r="E1631" s="14">
        <v>54128</v>
      </c>
      <c r="F1631" s="16" t="s">
        <v>2080</v>
      </c>
      <c r="G1631" s="21" t="s">
        <v>315</v>
      </c>
      <c r="H1631" s="17" t="s">
        <v>301</v>
      </c>
      <c r="I1631" s="56">
        <v>0</v>
      </c>
      <c r="J1631" s="56">
        <f>(30*10)*50%</f>
        <v>150</v>
      </c>
      <c r="K1631" s="56">
        <f>(46*10)*50%</f>
        <v>230</v>
      </c>
      <c r="L1631" s="56"/>
      <c r="M1631" s="56">
        <f t="shared" si="244"/>
        <v>380</v>
      </c>
      <c r="N1631" s="56">
        <f>IF(OR(H1631="",H1631="sif",H1631="PM"),0,VLOOKUP(H1631,[5]CU!$C$4:$H$255,6,FALSE))</f>
        <v>0.67666666666666664</v>
      </c>
      <c r="O1631" s="56">
        <f t="shared" si="245"/>
        <v>0</v>
      </c>
      <c r="P1631" s="56">
        <f t="shared" si="245"/>
        <v>101.5</v>
      </c>
      <c r="Q1631" s="56">
        <f t="shared" si="245"/>
        <v>155.63333333333333</v>
      </c>
      <c r="R1631" s="56">
        <f t="shared" si="245"/>
        <v>0</v>
      </c>
      <c r="S1631" s="56">
        <f t="shared" si="246"/>
        <v>257.13333333333333</v>
      </c>
      <c r="T1631" s="35" t="s">
        <v>118</v>
      </c>
      <c r="U1631" s="19" t="s">
        <v>1873</v>
      </c>
      <c r="V1631" s="19" t="str">
        <f>IF(OR($H1631="",$H1631="sif",$H1631="PM"),"",VLOOKUP($H1631,[5]CU!$C$5:$J$255,8,FALSE))</f>
        <v>3. Formation</v>
      </c>
      <c r="W1631" s="19" t="s">
        <v>96</v>
      </c>
      <c r="X1631" s="19" t="s">
        <v>764</v>
      </c>
      <c r="Y1631" s="19" t="s">
        <v>32</v>
      </c>
      <c r="Z1631" s="19" t="str">
        <f>A1631 &amp; "-" &amp; VLOOKUP(A1631,[4]PROGRAMMES!$E$1:$F$7,2,FALSE)</f>
        <v>5-Gouvernance et pilotage du secteur</v>
      </c>
      <c r="AA1631" s="19" t="str">
        <f>B1631 &amp; "-" &amp; VLOOKUP(B1631,[4]SOUSPROGRAMMES!$E$1:$F$44,2,FALSE)</f>
        <v>54- Conception de plans de développement et gestion de projets</v>
      </c>
      <c r="AB1631" s="19" t="str">
        <f>C1631 &amp; "-" &amp; VLOOKUP(C1631,[4]RESULTATS!$E$1:$F$176,2,FALSE)</f>
        <v>541- Les BSD ont les compétences nécessaires à la conception, l’élaboration, le suivi et l’évaluation des projets et plans de dévéloppement</v>
      </c>
      <c r="AC1631" s="20" t="str">
        <f>D1631 &amp; "-" &amp; VLOOKUP(D1631,[4]STRATEGIES!$E$1:$F$504,2,FALSE)</f>
        <v>5412-Renforcement des capacités des BSD</v>
      </c>
      <c r="AD1631" s="21" t="str">
        <f t="shared" si="240"/>
        <v>54128-Mise en œuvre progressive du plan de formation des BSD (Formation des BSD à aux logiciels d'analyse statistique (SPSS, STATA, CS Pro) y compris BSD MESRS et METFP</v>
      </c>
    </row>
    <row r="1632" spans="1:30" s="22" customFormat="1" ht="60" customHeight="1" x14ac:dyDescent="0.8">
      <c r="A1632" s="14">
        <v>5</v>
      </c>
      <c r="B1632" s="15">
        <v>54</v>
      </c>
      <c r="C1632" s="15">
        <v>541</v>
      </c>
      <c r="D1632" s="15">
        <v>5412</v>
      </c>
      <c r="E1632" s="14">
        <v>54129</v>
      </c>
      <c r="F1632" s="16" t="s">
        <v>2081</v>
      </c>
      <c r="G1632" s="21" t="s">
        <v>1067</v>
      </c>
      <c r="H1632" s="17" t="s">
        <v>1068</v>
      </c>
      <c r="I1632" s="56">
        <v>0</v>
      </c>
      <c r="J1632" s="56">
        <f t="shared" ref="J1632:L1633" si="247">6*50%</f>
        <v>3</v>
      </c>
      <c r="K1632" s="56">
        <f t="shared" si="247"/>
        <v>3</v>
      </c>
      <c r="L1632" s="56">
        <f t="shared" si="247"/>
        <v>3</v>
      </c>
      <c r="M1632" s="56">
        <f>SUM(I1632:L1632)</f>
        <v>9</v>
      </c>
      <c r="N1632" s="56">
        <f>IF(OR(H1632="",H1632="sif",H1632="PM"),0,VLOOKUP(H1632,[5]CU!$C$4:$H$255,6,FALSE))</f>
        <v>107.95</v>
      </c>
      <c r="O1632" s="56">
        <f>IFERROR($N1632*I1632,0)</f>
        <v>0</v>
      </c>
      <c r="P1632" s="56">
        <f>IFERROR($N1632*J1632,0)</f>
        <v>323.85000000000002</v>
      </c>
      <c r="Q1632" s="56">
        <f>IFERROR($N1632*K1632,0)</f>
        <v>323.85000000000002</v>
      </c>
      <c r="R1632" s="56">
        <f>IFERROR($N1632*L1632,0)</f>
        <v>323.85000000000002</v>
      </c>
      <c r="S1632" s="56">
        <f>SUM(O1632:R1632)</f>
        <v>971.55000000000007</v>
      </c>
      <c r="T1632" s="35" t="s">
        <v>39</v>
      </c>
      <c r="U1632" s="19" t="s">
        <v>1873</v>
      </c>
      <c r="V1632" s="19" t="str">
        <f>IF(OR($H1632="",$H1632="sif",$H1632="PM"),"",VLOOKUP($H1632,[5]CU!$C$5:$J$255,8,FALSE))</f>
        <v>3. Formation</v>
      </c>
      <c r="W1632" s="19" t="s">
        <v>96</v>
      </c>
      <c r="X1632" s="19" t="s">
        <v>2082</v>
      </c>
      <c r="Y1632" s="19" t="s">
        <v>32</v>
      </c>
      <c r="Z1632" s="19" t="str">
        <f>A1632 &amp; "-" &amp; VLOOKUP(A1632,[4]PROGRAMMES!$E$1:$F$7,2,FALSE)</f>
        <v>5-Gouvernance et pilotage du secteur</v>
      </c>
      <c r="AA1632" s="19" t="str">
        <f>B1632 &amp; "-" &amp; VLOOKUP(B1632,[4]SOUSPROGRAMMES!$E$1:$F$44,2,FALSE)</f>
        <v>54- Conception de plans de développement et gestion de projets</v>
      </c>
      <c r="AB1632" s="19" t="str">
        <f>C1632 &amp; "-" &amp; VLOOKUP(C1632,[4]RESULTATS!$E$1:$F$176,2,FALSE)</f>
        <v>541- Les BSD ont les compétences nécessaires à la conception, l’élaboration, le suivi et l’évaluation des projets et plans de dévéloppement</v>
      </c>
      <c r="AC1632" s="20" t="str">
        <f>D1632 &amp; "-" &amp; VLOOKUP(D1632,[4]STRATEGIES!$E$1:$F$504,2,FALSE)</f>
        <v>5412-Renforcement des capacités des BSD</v>
      </c>
      <c r="AD1632" s="21" t="str">
        <f t="shared" si="240"/>
        <v>54129-Mise en œuvre progressive du plan de formation des BSD (Formation des cadres des BSD en Planification et gestion des politiques éducatives y compris BSD MESRS et METFP</v>
      </c>
    </row>
    <row r="1633" spans="1:30" s="22" customFormat="1" ht="60" customHeight="1" x14ac:dyDescent="0.8">
      <c r="A1633" s="14">
        <v>5</v>
      </c>
      <c r="B1633" s="15">
        <v>54</v>
      </c>
      <c r="C1633" s="15">
        <v>541</v>
      </c>
      <c r="D1633" s="15">
        <v>5412</v>
      </c>
      <c r="E1633" s="14">
        <v>54129</v>
      </c>
      <c r="F1633" s="16" t="s">
        <v>2081</v>
      </c>
      <c r="G1633" s="21" t="s">
        <v>1067</v>
      </c>
      <c r="H1633" s="17" t="s">
        <v>1068</v>
      </c>
      <c r="I1633" s="56">
        <v>0</v>
      </c>
      <c r="J1633" s="56">
        <f t="shared" si="247"/>
        <v>3</v>
      </c>
      <c r="K1633" s="56">
        <f t="shared" si="247"/>
        <v>3</v>
      </c>
      <c r="L1633" s="56">
        <f t="shared" si="247"/>
        <v>3</v>
      </c>
      <c r="M1633" s="56">
        <f t="shared" si="244"/>
        <v>9</v>
      </c>
      <c r="N1633" s="56">
        <f>IF(OR(H1633="",H1633="sif",H1633="PM"),0,VLOOKUP(H1633,[5]CU!$C$4:$H$255,6,FALSE))</f>
        <v>107.95</v>
      </c>
      <c r="O1633" s="56">
        <f t="shared" si="245"/>
        <v>0</v>
      </c>
      <c r="P1633" s="56">
        <f t="shared" si="245"/>
        <v>323.85000000000002</v>
      </c>
      <c r="Q1633" s="56">
        <f t="shared" si="245"/>
        <v>323.85000000000002</v>
      </c>
      <c r="R1633" s="56">
        <f t="shared" si="245"/>
        <v>323.85000000000002</v>
      </c>
      <c r="S1633" s="56">
        <f t="shared" si="246"/>
        <v>971.55000000000007</v>
      </c>
      <c r="T1633" s="35" t="s">
        <v>118</v>
      </c>
      <c r="U1633" s="19" t="s">
        <v>1873</v>
      </c>
      <c r="V1633" s="19" t="str">
        <f>IF(OR($H1633="",$H1633="sif",$H1633="PM"),"",VLOOKUP($H1633,[5]CU!$C$5:$J$255,8,FALSE))</f>
        <v>3. Formation</v>
      </c>
      <c r="W1633" s="19" t="s">
        <v>96</v>
      </c>
      <c r="X1633" s="19" t="s">
        <v>2082</v>
      </c>
      <c r="Y1633" s="19" t="s">
        <v>32</v>
      </c>
      <c r="Z1633" s="19" t="str">
        <f>A1633 &amp; "-" &amp; VLOOKUP(A1633,[4]PROGRAMMES!$E$1:$F$7,2,FALSE)</f>
        <v>5-Gouvernance et pilotage du secteur</v>
      </c>
      <c r="AA1633" s="19" t="str">
        <f>B1633 &amp; "-" &amp; VLOOKUP(B1633,[4]SOUSPROGRAMMES!$E$1:$F$44,2,FALSE)</f>
        <v>54- Conception de plans de développement et gestion de projets</v>
      </c>
      <c r="AB1633" s="19" t="str">
        <f>C1633 &amp; "-" &amp; VLOOKUP(C1633,[4]RESULTATS!$E$1:$F$176,2,FALSE)</f>
        <v>541- Les BSD ont les compétences nécessaires à la conception, l’élaboration, le suivi et l’évaluation des projets et plans de dévéloppement</v>
      </c>
      <c r="AC1633" s="20" t="str">
        <f>D1633 &amp; "-" &amp; VLOOKUP(D1633,[4]STRATEGIES!$E$1:$F$504,2,FALSE)</f>
        <v>5412-Renforcement des capacités des BSD</v>
      </c>
      <c r="AD1633" s="21" t="str">
        <f t="shared" si="240"/>
        <v>54129-Mise en œuvre progressive du plan de formation des BSD (Formation des cadres des BSD en Planification et gestion des politiques éducatives y compris BSD MESRS et METFP</v>
      </c>
    </row>
    <row r="1634" spans="1:30" s="22" customFormat="1" ht="45.75" hidden="1" x14ac:dyDescent="0.8">
      <c r="A1634" s="14">
        <v>5</v>
      </c>
      <c r="B1634" s="15">
        <v>54</v>
      </c>
      <c r="C1634" s="15">
        <v>541</v>
      </c>
      <c r="D1634" s="15">
        <v>5412</v>
      </c>
      <c r="E1634" s="14">
        <v>541210</v>
      </c>
      <c r="F1634" s="16" t="s">
        <v>2083</v>
      </c>
      <c r="G1634" s="21" t="s">
        <v>321</v>
      </c>
      <c r="H1634" s="17" t="s">
        <v>55</v>
      </c>
      <c r="I1634" s="56">
        <v>0</v>
      </c>
      <c r="J1634" s="56"/>
      <c r="K1634" s="56"/>
      <c r="L1634" s="56"/>
      <c r="M1634" s="56"/>
      <c r="N1634" s="56">
        <f>IF(OR(H1634="",H1634="sif",H1634="PM"),0,VLOOKUP(H1634,[5]CU!$C$4:$H$255,6,FALSE))</f>
        <v>0</v>
      </c>
      <c r="O1634" s="56"/>
      <c r="P1634" s="56"/>
      <c r="Q1634" s="56"/>
      <c r="R1634" s="56"/>
      <c r="S1634" s="56"/>
      <c r="T1634" s="35" t="s">
        <v>56</v>
      </c>
      <c r="U1634" s="18" t="s">
        <v>1873</v>
      </c>
      <c r="V1634" s="19" t="str">
        <f>IF(OR($H1634="",$H1634="sif",$H1634="PM"),"",VLOOKUP($H1634,[5]CU!$C$5:$J$255,8,FALSE))</f>
        <v/>
      </c>
      <c r="W1634" s="18" t="s">
        <v>96</v>
      </c>
      <c r="X1634" s="18" t="s">
        <v>142</v>
      </c>
      <c r="Y1634" s="19" t="s">
        <v>32</v>
      </c>
      <c r="Z1634" s="19" t="str">
        <f>A1634 &amp; "-" &amp; VLOOKUP(A1634,[4]PROGRAMMES!$E$1:$F$7,2,FALSE)</f>
        <v>5-Gouvernance et pilotage du secteur</v>
      </c>
      <c r="AA1634" s="19" t="str">
        <f>B1634 &amp; "-" &amp; VLOOKUP(B1634,[4]SOUSPROGRAMMES!$E$1:$F$44,2,FALSE)</f>
        <v>54- Conception de plans de développement et gestion de projets</v>
      </c>
      <c r="AB1634" s="19" t="str">
        <f>C1634 &amp; "-" &amp; VLOOKUP(C1634,[4]RESULTATS!$E$1:$F$176,2,FALSE)</f>
        <v>541- Les BSD ont les compétences nécessaires à la conception, l’élaboration, le suivi et l’évaluation des projets et plans de dévéloppement</v>
      </c>
      <c r="AC1634" s="20" t="str">
        <f>D1634 &amp; "-" &amp; VLOOKUP(D1634,[4]STRATEGIES!$E$1:$F$504,2,FALSE)</f>
        <v>5412-Renforcement des capacités des BSD</v>
      </c>
      <c r="AD1634" s="21" t="str">
        <f t="shared" si="240"/>
        <v xml:space="preserve">541210-Mise en œuvre progressive du plan de redéploiement du personnel (à l'interne) </v>
      </c>
    </row>
    <row r="1635" spans="1:30" s="22" customFormat="1" ht="45.75" hidden="1" x14ac:dyDescent="0.8">
      <c r="A1635" s="14">
        <v>5</v>
      </c>
      <c r="B1635" s="15">
        <v>54</v>
      </c>
      <c r="C1635" s="15">
        <v>541</v>
      </c>
      <c r="D1635" s="15">
        <v>5412</v>
      </c>
      <c r="E1635" s="14">
        <v>541211</v>
      </c>
      <c r="F1635" s="16" t="s">
        <v>2084</v>
      </c>
      <c r="G1635" s="21" t="s">
        <v>54</v>
      </c>
      <c r="H1635" s="17" t="s">
        <v>55</v>
      </c>
      <c r="I1635" s="56">
        <v>0</v>
      </c>
      <c r="J1635" s="56"/>
      <c r="K1635" s="56"/>
      <c r="L1635" s="56"/>
      <c r="M1635" s="56"/>
      <c r="N1635" s="56">
        <f>IF(OR(H1635="",H1635="sif",H1635="PM"),0,VLOOKUP(H1635,[5]CU!$C$4:$H$255,6,FALSE))</f>
        <v>0</v>
      </c>
      <c r="O1635" s="56"/>
      <c r="P1635" s="56"/>
      <c r="Q1635" s="56"/>
      <c r="R1635" s="56"/>
      <c r="S1635" s="56"/>
      <c r="T1635" s="35" t="s">
        <v>56</v>
      </c>
      <c r="U1635" s="18" t="s">
        <v>1873</v>
      </c>
      <c r="V1635" s="19" t="str">
        <f>IF(OR($H1635="",$H1635="sif",$H1635="PM"),"",VLOOKUP($H1635,[5]CU!$C$5:$J$255,8,FALSE))</f>
        <v/>
      </c>
      <c r="W1635" s="18" t="s">
        <v>96</v>
      </c>
      <c r="X1635" s="18" t="s">
        <v>142</v>
      </c>
      <c r="Y1635" s="19" t="s">
        <v>32</v>
      </c>
      <c r="Z1635" s="19" t="str">
        <f>A1635 &amp; "-" &amp; VLOOKUP(A1635,[4]PROGRAMMES!$E$1:$F$7,2,FALSE)</f>
        <v>5-Gouvernance et pilotage du secteur</v>
      </c>
      <c r="AA1635" s="19" t="str">
        <f>B1635 &amp; "-" &amp; VLOOKUP(B1635,[4]SOUSPROGRAMMES!$E$1:$F$44,2,FALSE)</f>
        <v>54- Conception de plans de développement et gestion de projets</v>
      </c>
      <c r="AB1635" s="19" t="str">
        <f>C1635 &amp; "-" &amp; VLOOKUP(C1635,[4]RESULTATS!$E$1:$F$176,2,FALSE)</f>
        <v>541- Les BSD ont les compétences nécessaires à la conception, l’élaboration, le suivi et l’évaluation des projets et plans de dévéloppement</v>
      </c>
      <c r="AC1635" s="20" t="str">
        <f>D1635 &amp; "-" &amp; VLOOKUP(D1635,[4]STRATEGIES!$E$1:$F$504,2,FALSE)</f>
        <v>5412-Renforcement des capacités des BSD</v>
      </c>
      <c r="AD1635" s="21" t="str">
        <f t="shared" si="240"/>
        <v xml:space="preserve">541211-Mise en œuvre progressive du plan de recrutement (affectation de nouveaux profils) </v>
      </c>
    </row>
    <row r="1636" spans="1:30" s="22" customFormat="1" ht="45.75" x14ac:dyDescent="0.8">
      <c r="A1636" s="14">
        <v>5</v>
      </c>
      <c r="B1636" s="15">
        <v>54</v>
      </c>
      <c r="C1636" s="15">
        <v>541</v>
      </c>
      <c r="D1636" s="15">
        <v>5412</v>
      </c>
      <c r="E1636" s="14">
        <v>541212</v>
      </c>
      <c r="F1636" s="16" t="s">
        <v>2085</v>
      </c>
      <c r="G1636" s="21" t="s">
        <v>2086</v>
      </c>
      <c r="H1636" s="17" t="s">
        <v>2087</v>
      </c>
      <c r="I1636" s="56">
        <v>0</v>
      </c>
      <c r="J1636" s="56">
        <v>1</v>
      </c>
      <c r="K1636" s="56">
        <v>1</v>
      </c>
      <c r="L1636" s="56">
        <v>1</v>
      </c>
      <c r="M1636" s="56">
        <f>SUM(I1636:L1636)</f>
        <v>3</v>
      </c>
      <c r="N1636" s="56">
        <f>IF(OR(H1636="",H1636="sif",H1636="PM"),0,VLOOKUP(H1636,[5]CU!$C$4:$H$255,6,FALSE))</f>
        <v>342</v>
      </c>
      <c r="O1636" s="56">
        <f>IFERROR($N1636*I1636,0)</f>
        <v>0</v>
      </c>
      <c r="P1636" s="56">
        <f>IFERROR($N1636*J1636,0)</f>
        <v>342</v>
      </c>
      <c r="Q1636" s="56">
        <f>IFERROR($N1636*K1636,0)</f>
        <v>342</v>
      </c>
      <c r="R1636" s="56">
        <f>IFERROR($N1636*L1636,0)</f>
        <v>342</v>
      </c>
      <c r="S1636" s="56">
        <f>SUM(O1636:R1636)</f>
        <v>1026</v>
      </c>
      <c r="T1636" s="35" t="s">
        <v>118</v>
      </c>
      <c r="U1636" s="18" t="s">
        <v>1873</v>
      </c>
      <c r="V1636" s="19" t="str">
        <f>IF(OR($H1636="",$H1636="sif",$H1636="PM"),"",VLOOKUP($H1636,[5]CU!$C$5:$J$255,8,FALSE))</f>
        <v>3. Dépenses de fonctionnement</v>
      </c>
      <c r="W1636" s="18" t="s">
        <v>96</v>
      </c>
      <c r="X1636" s="18" t="s">
        <v>96</v>
      </c>
      <c r="Y1636" s="19" t="s">
        <v>32</v>
      </c>
      <c r="Z1636" s="19" t="str">
        <f>A1636 &amp; "-" &amp; VLOOKUP(A1636,[4]PROGRAMMES!$E$1:$F$7,2,FALSE)</f>
        <v>5-Gouvernance et pilotage du secteur</v>
      </c>
      <c r="AA1636" s="19" t="str">
        <f>B1636 &amp; "-" &amp; VLOOKUP(B1636,[4]SOUSPROGRAMMES!$E$1:$F$44,2,FALSE)</f>
        <v>54- Conception de plans de développement et gestion de projets</v>
      </c>
      <c r="AB1636" s="19" t="str">
        <f>C1636 &amp; "-" &amp; VLOOKUP(C1636,[4]RESULTATS!$E$1:$F$176,2,FALSE)</f>
        <v>541- Les BSD ont les compétences nécessaires à la conception, l’élaboration, le suivi et l’évaluation des projets et plans de dévéloppement</v>
      </c>
      <c r="AC1636" s="20" t="str">
        <f>D1636 &amp; "-" &amp; VLOOKUP(D1636,[4]STRATEGIES!$E$1:$F$504,2,FALSE)</f>
        <v>5412-Renforcement des capacités des BSD</v>
      </c>
      <c r="AD1636" s="21" t="str">
        <f t="shared" si="240"/>
        <v>541212-Recrutement d'une assistance longue durée pour appuyer les 3 BSD dans le traitement des données scolaires et universitaire et la formation du personnel permanent</v>
      </c>
    </row>
    <row r="1637" spans="1:30" s="22" customFormat="1" ht="30.5" x14ac:dyDescent="0.8">
      <c r="A1637" s="14">
        <v>5</v>
      </c>
      <c r="B1637" s="15">
        <v>54</v>
      </c>
      <c r="C1637" s="15">
        <v>542</v>
      </c>
      <c r="D1637" s="15">
        <v>542</v>
      </c>
      <c r="E1637" s="14">
        <v>542</v>
      </c>
      <c r="F1637" s="16" t="s">
        <v>2088</v>
      </c>
      <c r="G1637" s="17"/>
      <c r="H1637" s="17"/>
      <c r="I1637" s="56">
        <v>0</v>
      </c>
      <c r="J1637" s="56"/>
      <c r="K1637" s="56"/>
      <c r="L1637" s="56"/>
      <c r="M1637" s="56"/>
      <c r="N1637" s="56"/>
      <c r="O1637" s="56"/>
      <c r="P1637" s="56"/>
      <c r="Q1637" s="56"/>
      <c r="R1637" s="56"/>
      <c r="S1637" s="56"/>
      <c r="T1637" s="33"/>
      <c r="U1637" s="18"/>
      <c r="V1637" s="19"/>
      <c r="W1637" s="18"/>
      <c r="X1637" s="18"/>
      <c r="Y1637" s="18"/>
      <c r="Z1637" s="19" t="str">
        <f>A1637 &amp; "-" &amp; VLOOKUP(A1637,[4]PROGRAMMES!$E$1:$F$7,2,FALSE)</f>
        <v>5-Gouvernance et pilotage du secteur</v>
      </c>
      <c r="AA1637" s="19" t="str">
        <f>B1637 &amp; "-" &amp; VLOOKUP(B1637,[4]SOUSPROGRAMMES!$E$1:$F$44,2,FALSE)</f>
        <v>54- Conception de plans de développement et gestion de projets</v>
      </c>
      <c r="AB1637" s="19" t="str">
        <f>C1637 &amp; "-" &amp; VLOOKUP(C1637,[4]RESULTATS!$E$1:$F$176,2,FALSE)</f>
        <v>542- Les BSD ont la compétence d’élaborer, de suivre et d’évaluer les plans de développement</v>
      </c>
      <c r="AC1637" s="20" t="str">
        <f>D1637 &amp; "-" &amp; VLOOKUP(D1637,[4]STRATEGIES!$E$1:$F$504,2,FALSE)</f>
        <v>542- Les BSD ont la compétence d’élaborer, de suivre et d’évaluer les plans de développement</v>
      </c>
      <c r="AD1637" s="21" t="str">
        <f t="shared" si="240"/>
        <v>542- Les BSD ont la compétence d’élaborer, de suivre et d’évaluer les plans de développement</v>
      </c>
    </row>
    <row r="1638" spans="1:30" s="22" customFormat="1" ht="30.5" x14ac:dyDescent="0.8">
      <c r="A1638" s="14">
        <v>5</v>
      </c>
      <c r="B1638" s="15">
        <v>54</v>
      </c>
      <c r="C1638" s="15">
        <v>542</v>
      </c>
      <c r="D1638" s="15">
        <v>5421</v>
      </c>
      <c r="E1638" s="14">
        <v>5421</v>
      </c>
      <c r="F1638" s="16" t="s">
        <v>2089</v>
      </c>
      <c r="G1638" s="17"/>
      <c r="H1638" s="17"/>
      <c r="I1638" s="56">
        <v>0</v>
      </c>
      <c r="J1638" s="56"/>
      <c r="K1638" s="56"/>
      <c r="L1638" s="56"/>
      <c r="M1638" s="56"/>
      <c r="N1638" s="56"/>
      <c r="O1638" s="56"/>
      <c r="P1638" s="56"/>
      <c r="Q1638" s="56"/>
      <c r="R1638" s="56"/>
      <c r="S1638" s="56"/>
      <c r="T1638" s="33"/>
      <c r="U1638" s="18"/>
      <c r="V1638" s="19"/>
      <c r="W1638" s="18"/>
      <c r="X1638" s="18"/>
      <c r="Y1638" s="18"/>
      <c r="Z1638" s="19" t="str">
        <f>A1638 &amp; "-" &amp; VLOOKUP(A1638,[4]PROGRAMMES!$E$1:$F$7,2,FALSE)</f>
        <v>5-Gouvernance et pilotage du secteur</v>
      </c>
      <c r="AA1638" s="19" t="str">
        <f>B1638 &amp; "-" &amp; VLOOKUP(B1638,[4]SOUSPROGRAMMES!$E$1:$F$44,2,FALSE)</f>
        <v>54- Conception de plans de développement et gestion de projets</v>
      </c>
      <c r="AB1638" s="19" t="str">
        <f>C1638 &amp; "-" &amp; VLOOKUP(C1638,[4]RESULTATS!$E$1:$F$176,2,FALSE)</f>
        <v>542- Les BSD ont la compétence d’élaborer, de suivre et d’évaluer les plans de développement</v>
      </c>
      <c r="AC1638" s="20" t="str">
        <f>D1638 &amp; "-" &amp; VLOOKUP(D1638,[4]STRATEGIES!$E$1:$F$504,2,FALSE)</f>
        <v>5421-Analyse situationnelle</v>
      </c>
      <c r="AD1638" s="21" t="str">
        <f t="shared" si="240"/>
        <v>5421-Analyse situationnelle</v>
      </c>
    </row>
    <row r="1639" spans="1:30" s="22" customFormat="1" ht="30.5" hidden="1" x14ac:dyDescent="0.8">
      <c r="A1639" s="14">
        <v>5</v>
      </c>
      <c r="B1639" s="15">
        <v>54</v>
      </c>
      <c r="C1639" s="15">
        <v>542</v>
      </c>
      <c r="D1639" s="15">
        <v>5421</v>
      </c>
      <c r="E1639" s="14"/>
      <c r="F1639" s="16" t="s">
        <v>2090</v>
      </c>
      <c r="G1639" s="21"/>
      <c r="H1639" s="17"/>
      <c r="I1639" s="56">
        <v>0</v>
      </c>
      <c r="J1639" s="56"/>
      <c r="K1639" s="56"/>
      <c r="L1639" s="56"/>
      <c r="M1639" s="56"/>
      <c r="N1639" s="56"/>
      <c r="O1639" s="56"/>
      <c r="P1639" s="56"/>
      <c r="Q1639" s="56"/>
      <c r="R1639" s="56"/>
      <c r="S1639" s="56"/>
      <c r="T1639" s="35" t="s">
        <v>56</v>
      </c>
      <c r="U1639" s="18" t="s">
        <v>1873</v>
      </c>
      <c r="V1639" s="19" t="str">
        <f>IF(OR($H1639="",$H1639="sif",$H1639="PM"),"",VLOOKUP($H1639,[5]CU!$C$5:$J$255,8,FALSE))</f>
        <v/>
      </c>
      <c r="W1639" s="18"/>
      <c r="X1639" s="18"/>
      <c r="Y1639" s="18"/>
      <c r="Z1639" s="19" t="str">
        <f>A1639 &amp; "-" &amp; VLOOKUP(A1639,[4]PROGRAMMES!$E$1:$F$7,2,FALSE)</f>
        <v>5-Gouvernance et pilotage du secteur</v>
      </c>
      <c r="AA1639" s="19" t="str">
        <f>B1639 &amp; "-" &amp; VLOOKUP(B1639,[4]SOUSPROGRAMMES!$E$1:$F$44,2,FALSE)</f>
        <v>54- Conception de plans de développement et gestion de projets</v>
      </c>
      <c r="AB1639" s="19" t="str">
        <f>C1639 &amp; "-" &amp; VLOOKUP(C1639,[4]RESULTATS!$E$1:$F$176,2,FALSE)</f>
        <v>542- Les BSD ont la compétence d’élaborer, de suivre et d’évaluer les plans de développement</v>
      </c>
      <c r="AC1639" s="20" t="str">
        <f>D1639 &amp; "-" &amp; VLOOKUP(D1639,[4]STRATEGIES!$E$1:$F$504,2,FALSE)</f>
        <v>5421-Analyse situationnelle</v>
      </c>
      <c r="AD1639" s="21" t="str">
        <f t="shared" si="240"/>
        <v>-Pris en compte dans activité du résultat 5411</v>
      </c>
    </row>
    <row r="1640" spans="1:30" s="22" customFormat="1" ht="30.5" x14ac:dyDescent="0.8">
      <c r="A1640" s="14">
        <v>5</v>
      </c>
      <c r="B1640" s="15">
        <v>54</v>
      </c>
      <c r="C1640" s="15">
        <v>542</v>
      </c>
      <c r="D1640" s="15">
        <v>5422</v>
      </c>
      <c r="E1640" s="14">
        <v>5422</v>
      </c>
      <c r="F1640" s="16" t="s">
        <v>2091</v>
      </c>
      <c r="G1640" s="17"/>
      <c r="H1640" s="17"/>
      <c r="I1640" s="56">
        <v>0</v>
      </c>
      <c r="J1640" s="56"/>
      <c r="K1640" s="56"/>
      <c r="L1640" s="56"/>
      <c r="M1640" s="56"/>
      <c r="N1640" s="56"/>
      <c r="O1640" s="56"/>
      <c r="P1640" s="56"/>
      <c r="Q1640" s="56"/>
      <c r="R1640" s="56"/>
      <c r="S1640" s="56"/>
      <c r="T1640" s="33"/>
      <c r="U1640" s="18"/>
      <c r="V1640" s="19"/>
      <c r="W1640" s="18"/>
      <c r="X1640" s="18"/>
      <c r="Y1640" s="18"/>
      <c r="Z1640" s="19" t="str">
        <f>A1640 &amp; "-" &amp; VLOOKUP(A1640,[4]PROGRAMMES!$E$1:$F$7,2,FALSE)</f>
        <v>5-Gouvernance et pilotage du secteur</v>
      </c>
      <c r="AA1640" s="19" t="str">
        <f>B1640 &amp; "-" &amp; VLOOKUP(B1640,[4]SOUSPROGRAMMES!$E$1:$F$44,2,FALSE)</f>
        <v>54- Conception de plans de développement et gestion de projets</v>
      </c>
      <c r="AB1640" s="19" t="str">
        <f>C1640 &amp; "-" &amp; VLOOKUP(C1640,[4]RESULTATS!$E$1:$F$176,2,FALSE)</f>
        <v>542- Les BSD ont la compétence d’élaborer, de suivre et d’évaluer les plans de développement</v>
      </c>
      <c r="AC1640" s="20" t="str">
        <f>D1640 &amp; "-" &amp; VLOOKUP(D1640,[4]STRATEGIES!$E$1:$F$504,2,FALSE)</f>
        <v>5422-Planification</v>
      </c>
      <c r="AD1640" s="21" t="str">
        <f t="shared" si="240"/>
        <v>5422-Planification</v>
      </c>
    </row>
    <row r="1641" spans="1:30" s="22" customFormat="1" ht="45.75" x14ac:dyDescent="0.8">
      <c r="A1641" s="14">
        <v>5</v>
      </c>
      <c r="B1641" s="15">
        <v>54</v>
      </c>
      <c r="C1641" s="15">
        <v>542</v>
      </c>
      <c r="D1641" s="15">
        <v>5422</v>
      </c>
      <c r="E1641" s="14">
        <v>54221</v>
      </c>
      <c r="F1641" s="16" t="s">
        <v>2092</v>
      </c>
      <c r="G1641" s="21" t="s">
        <v>2093</v>
      </c>
      <c r="H1641" s="17" t="s">
        <v>59</v>
      </c>
      <c r="I1641" s="56">
        <v>0</v>
      </c>
      <c r="J1641" s="56">
        <f>2*5*(8+38)</f>
        <v>460</v>
      </c>
      <c r="K1641" s="56"/>
      <c r="L1641" s="56"/>
      <c r="M1641" s="56">
        <f t="shared" ref="M1641:M1667" si="248">SUM(I1641:L1641)</f>
        <v>460</v>
      </c>
      <c r="N1641" s="56">
        <f>IF(OR(H1641="",H1641="sif",H1641="PM"),0,VLOOKUP(H1641,[5]CU!$C$4:$H$255,6,FALSE))</f>
        <v>0.8177777777777776</v>
      </c>
      <c r="O1641" s="56">
        <f t="shared" ref="O1641:R1667" si="249">IFERROR($N1641*I1641,0)</f>
        <v>0</v>
      </c>
      <c r="P1641" s="56">
        <f t="shared" si="249"/>
        <v>376.17777777777769</v>
      </c>
      <c r="Q1641" s="56">
        <f t="shared" si="249"/>
        <v>0</v>
      </c>
      <c r="R1641" s="56">
        <f t="shared" si="249"/>
        <v>0</v>
      </c>
      <c r="S1641" s="56">
        <f>SUM(O1641:R1641)</f>
        <v>376.17777777777769</v>
      </c>
      <c r="T1641" s="35" t="s">
        <v>118</v>
      </c>
      <c r="U1641" s="18" t="s">
        <v>1873</v>
      </c>
      <c r="V1641" s="19" t="str">
        <f>IF(OR($H1641="",$H1641="sif",$H1641="PM"),"",VLOOKUP($H1641,[5]CU!$C$5:$J$255,8,FALSE))</f>
        <v>3. Dépenses de fonctionnement</v>
      </c>
      <c r="W1641" s="18" t="s">
        <v>96</v>
      </c>
      <c r="X1641" s="18" t="s">
        <v>96</v>
      </c>
      <c r="Y1641" s="19" t="s">
        <v>32</v>
      </c>
      <c r="Z1641" s="19" t="str">
        <f>A1641 &amp; "-" &amp; VLOOKUP(A1641,[4]PROGRAMMES!$E$1:$F$7,2,FALSE)</f>
        <v>5-Gouvernance et pilotage du secteur</v>
      </c>
      <c r="AA1641" s="19" t="str">
        <f>B1641 &amp; "-" &amp; VLOOKUP(B1641,[4]SOUSPROGRAMMES!$E$1:$F$44,2,FALSE)</f>
        <v>54- Conception de plans de développement et gestion de projets</v>
      </c>
      <c r="AB1641" s="19" t="str">
        <f>C1641 &amp; "-" &amp; VLOOKUP(C1641,[4]RESULTATS!$E$1:$F$176,2,FALSE)</f>
        <v>542- Les BSD ont la compétence d’élaborer, de suivre et d’évaluer les plans de développement</v>
      </c>
      <c r="AC1641" s="20" t="str">
        <f>D1641 &amp; "-" &amp; VLOOKUP(D1641,[4]STRATEGIES!$E$1:$F$504,2,FALSE)</f>
        <v>5422-Planification</v>
      </c>
      <c r="AD1641" s="21" t="str">
        <f t="shared" si="240"/>
        <v>54221-Formation action en planification, des cadres des BSD niveau central et déconcentré par les cadres centraux (plans de développement en cohérence avec le PRODEG)</v>
      </c>
    </row>
    <row r="1642" spans="1:30" s="22" customFormat="1" ht="45" hidden="1" customHeight="1" x14ac:dyDescent="0.8">
      <c r="A1642" s="14">
        <v>5</v>
      </c>
      <c r="B1642" s="15">
        <v>54</v>
      </c>
      <c r="C1642" s="15">
        <v>542</v>
      </c>
      <c r="D1642" s="15">
        <v>5422</v>
      </c>
      <c r="E1642" s="14">
        <v>54222</v>
      </c>
      <c r="F1642" s="16" t="s">
        <v>2094</v>
      </c>
      <c r="G1642" s="21" t="s">
        <v>159</v>
      </c>
      <c r="H1642" s="17" t="s">
        <v>55</v>
      </c>
      <c r="I1642" s="56">
        <v>0</v>
      </c>
      <c r="J1642" s="56">
        <v>1</v>
      </c>
      <c r="K1642" s="56">
        <v>1</v>
      </c>
      <c r="L1642" s="56">
        <v>1</v>
      </c>
      <c r="M1642" s="56">
        <f t="shared" si="248"/>
        <v>3</v>
      </c>
      <c r="N1642" s="56">
        <f>IF(OR(H1642="",H1642="sif",H1642="PM"),0,VLOOKUP(H1642,[5]CU!$C$4:$H$255,6,FALSE))</f>
        <v>0</v>
      </c>
      <c r="O1642" s="56">
        <f t="shared" si="249"/>
        <v>0</v>
      </c>
      <c r="P1642" s="56">
        <f t="shared" si="249"/>
        <v>0</v>
      </c>
      <c r="Q1642" s="56">
        <f t="shared" si="249"/>
        <v>0</v>
      </c>
      <c r="R1642" s="56">
        <f t="shared" si="249"/>
        <v>0</v>
      </c>
      <c r="S1642" s="56"/>
      <c r="T1642" s="35" t="s">
        <v>56</v>
      </c>
      <c r="U1642" s="18" t="s">
        <v>1873</v>
      </c>
      <c r="V1642" s="19" t="str">
        <f>IF(OR($H1642="",$H1642="sif",$H1642="PM"),"",VLOOKUP($H1642,[5]CU!$C$5:$J$255,8,FALSE))</f>
        <v/>
      </c>
      <c r="W1642" s="18" t="s">
        <v>96</v>
      </c>
      <c r="X1642" s="18" t="s">
        <v>96</v>
      </c>
      <c r="Y1642" s="18" t="s">
        <v>679</v>
      </c>
      <c r="Z1642" s="19" t="str">
        <f>A1642 &amp; "-" &amp; VLOOKUP(A1642,[4]PROGRAMMES!$E$1:$F$7,2,FALSE)</f>
        <v>5-Gouvernance et pilotage du secteur</v>
      </c>
      <c r="AA1642" s="19" t="str">
        <f>B1642 &amp; "-" &amp; VLOOKUP(B1642,[4]SOUSPROGRAMMES!$E$1:$F$44,2,FALSE)</f>
        <v>54- Conception de plans de développement et gestion de projets</v>
      </c>
      <c r="AB1642" s="19" t="str">
        <f>C1642 &amp; "-" &amp; VLOOKUP(C1642,[4]RESULTATS!$E$1:$F$176,2,FALSE)</f>
        <v>542- Les BSD ont la compétence d’élaborer, de suivre et d’évaluer les plans de développement</v>
      </c>
      <c r="AC1642" s="20" t="str">
        <f>D1642 &amp; "-" &amp; VLOOKUP(D1642,[4]STRATEGIES!$E$1:$F$504,2,FALSE)</f>
        <v>5422-Planification</v>
      </c>
      <c r="AD1642" s="21" t="str">
        <f t="shared" si="240"/>
        <v>54222-Elaboration des plans de développement des institutions du Supérieur en cohérence avec le PRODEG</v>
      </c>
    </row>
    <row r="1643" spans="1:30" s="22" customFormat="1" ht="45" customHeight="1" x14ac:dyDescent="0.8">
      <c r="A1643" s="14">
        <v>5</v>
      </c>
      <c r="B1643" s="15">
        <v>54</v>
      </c>
      <c r="C1643" s="15">
        <v>542</v>
      </c>
      <c r="D1643" s="15">
        <v>5422</v>
      </c>
      <c r="E1643" s="14">
        <v>54223</v>
      </c>
      <c r="F1643" s="16" t="s">
        <v>2095</v>
      </c>
      <c r="G1643" s="21" t="s">
        <v>2093</v>
      </c>
      <c r="H1643" s="17" t="s">
        <v>59</v>
      </c>
      <c r="I1643" s="56">
        <v>0</v>
      </c>
      <c r="J1643" s="56">
        <f>4*10*8</f>
        <v>320</v>
      </c>
      <c r="K1643" s="56"/>
      <c r="L1643" s="56"/>
      <c r="M1643" s="56">
        <f t="shared" si="248"/>
        <v>320</v>
      </c>
      <c r="N1643" s="56">
        <f>IF(OR(H1643="",H1643="sif",H1643="PM"),0,VLOOKUP(H1643,[5]CU!$C$4:$H$255,6,FALSE))</f>
        <v>0.8177777777777776</v>
      </c>
      <c r="O1643" s="56">
        <f t="shared" si="249"/>
        <v>0</v>
      </c>
      <c r="P1643" s="56">
        <f t="shared" si="249"/>
        <v>261.68888888888881</v>
      </c>
      <c r="Q1643" s="56">
        <f t="shared" si="249"/>
        <v>0</v>
      </c>
      <c r="R1643" s="56">
        <f t="shared" si="249"/>
        <v>0</v>
      </c>
      <c r="S1643" s="56">
        <f>SUM(O1643:R1643)</f>
        <v>261.68888888888881</v>
      </c>
      <c r="T1643" s="35" t="s">
        <v>118</v>
      </c>
      <c r="U1643" s="18" t="s">
        <v>1873</v>
      </c>
      <c r="V1643" s="19" t="str">
        <f>IF(OR($H1643="",$H1643="sif",$H1643="PM"),"",VLOOKUP($H1643,[5]CU!$C$5:$J$255,8,FALSE))</f>
        <v>3. Dépenses de fonctionnement</v>
      </c>
      <c r="W1643" s="18" t="s">
        <v>96</v>
      </c>
      <c r="X1643" s="18" t="s">
        <v>96</v>
      </c>
      <c r="Y1643" s="18" t="s">
        <v>677</v>
      </c>
      <c r="Z1643" s="19" t="str">
        <f>A1643 &amp; "-" &amp; VLOOKUP(A1643,[4]PROGRAMMES!$E$1:$F$7,2,FALSE)</f>
        <v>5-Gouvernance et pilotage du secteur</v>
      </c>
      <c r="AA1643" s="19" t="str">
        <f>B1643 &amp; "-" &amp; VLOOKUP(B1643,[4]SOUSPROGRAMMES!$E$1:$F$44,2,FALSE)</f>
        <v>54- Conception de plans de développement et gestion de projets</v>
      </c>
      <c r="AB1643" s="19" t="str">
        <f>C1643 &amp; "-" &amp; VLOOKUP(C1643,[4]RESULTATS!$E$1:$F$176,2,FALSE)</f>
        <v>542- Les BSD ont la compétence d’élaborer, de suivre et d’évaluer les plans de développement</v>
      </c>
      <c r="AC1643" s="20" t="str">
        <f>D1643 &amp; "-" &amp; VLOOKUP(D1643,[4]STRATEGIES!$E$1:$F$504,2,FALSE)</f>
        <v>5422-Planification</v>
      </c>
      <c r="AD1643" s="21" t="str">
        <f t="shared" si="240"/>
        <v>54223-Elaboration des plans de développement régionaux de l'ETFP en cohérence avec le PRODEG</v>
      </c>
    </row>
    <row r="1644" spans="1:30" s="22" customFormat="1" ht="45" customHeight="1" x14ac:dyDescent="0.8">
      <c r="A1644" s="14">
        <v>5</v>
      </c>
      <c r="B1644" s="15">
        <v>54</v>
      </c>
      <c r="C1644" s="15">
        <v>542</v>
      </c>
      <c r="D1644" s="15">
        <v>5422</v>
      </c>
      <c r="E1644" s="14">
        <v>54224</v>
      </c>
      <c r="F1644" s="16" t="s">
        <v>2096</v>
      </c>
      <c r="G1644" s="21" t="s">
        <v>2093</v>
      </c>
      <c r="H1644" s="17" t="s">
        <v>59</v>
      </c>
      <c r="I1644" s="56">
        <v>0</v>
      </c>
      <c r="J1644" s="56">
        <f>2*5*(8+38)</f>
        <v>460</v>
      </c>
      <c r="K1644" s="56"/>
      <c r="L1644" s="56"/>
      <c r="M1644" s="56">
        <f t="shared" si="248"/>
        <v>460</v>
      </c>
      <c r="N1644" s="56">
        <f>IF(OR(H1644="",H1644="sif",H1644="PM"),0,VLOOKUP(H1644,[5]CU!$C$4:$H$255,6,FALSE))</f>
        <v>0.8177777777777776</v>
      </c>
      <c r="O1644" s="56">
        <f t="shared" si="249"/>
        <v>0</v>
      </c>
      <c r="P1644" s="56">
        <f t="shared" si="249"/>
        <v>376.17777777777769</v>
      </c>
      <c r="Q1644" s="56">
        <f t="shared" si="249"/>
        <v>0</v>
      </c>
      <c r="R1644" s="56">
        <f t="shared" si="249"/>
        <v>0</v>
      </c>
      <c r="S1644" s="56">
        <f>SUM(O1644:R1644)</f>
        <v>376.17777777777769</v>
      </c>
      <c r="T1644" s="35" t="s">
        <v>118</v>
      </c>
      <c r="U1644" s="18" t="s">
        <v>1873</v>
      </c>
      <c r="V1644" s="19" t="str">
        <f>IF(OR($H1644="",$H1644="sif",$H1644="PM"),"",VLOOKUP($H1644,[5]CU!$C$5:$J$255,8,FALSE))</f>
        <v>3. Dépenses de fonctionnement</v>
      </c>
      <c r="W1644" s="18" t="s">
        <v>96</v>
      </c>
      <c r="X1644" s="18" t="s">
        <v>96</v>
      </c>
      <c r="Y1644" s="19" t="s">
        <v>32</v>
      </c>
      <c r="Z1644" s="19" t="str">
        <f>A1644 &amp; "-" &amp; VLOOKUP(A1644,[4]PROGRAMMES!$E$1:$F$7,2,FALSE)</f>
        <v>5-Gouvernance et pilotage du secteur</v>
      </c>
      <c r="AA1644" s="19" t="str">
        <f>B1644 &amp; "-" &amp; VLOOKUP(B1644,[4]SOUSPROGRAMMES!$E$1:$F$44,2,FALSE)</f>
        <v>54- Conception de plans de développement et gestion de projets</v>
      </c>
      <c r="AB1644" s="19" t="str">
        <f>C1644 &amp; "-" &amp; VLOOKUP(C1644,[4]RESULTATS!$E$1:$F$176,2,FALSE)</f>
        <v>542- Les BSD ont la compétence d’élaborer, de suivre et d’évaluer les plans de développement</v>
      </c>
      <c r="AC1644" s="20" t="str">
        <f>D1644 &amp; "-" &amp; VLOOKUP(D1644,[4]STRATEGIES!$E$1:$F$504,2,FALSE)</f>
        <v>5422-Planification</v>
      </c>
      <c r="AD1644" s="21" t="str">
        <f t="shared" si="240"/>
        <v xml:space="preserve">54224-Elaboration des plans d'actions annuels budgétisés en cohérence avec le PAPB du PRODEG </v>
      </c>
    </row>
    <row r="1645" spans="1:30" s="22" customFormat="1" ht="60" hidden="1" customHeight="1" x14ac:dyDescent="0.8">
      <c r="A1645" s="14">
        <v>5</v>
      </c>
      <c r="B1645" s="15">
        <v>54</v>
      </c>
      <c r="C1645" s="15">
        <v>542</v>
      </c>
      <c r="D1645" s="15">
        <v>5422</v>
      </c>
      <c r="E1645" s="14">
        <v>54225</v>
      </c>
      <c r="F1645" s="16" t="s">
        <v>2097</v>
      </c>
      <c r="G1645" s="21" t="s">
        <v>159</v>
      </c>
      <c r="H1645" s="17" t="s">
        <v>55</v>
      </c>
      <c r="I1645" s="56">
        <v>0</v>
      </c>
      <c r="J1645" s="56">
        <v>1</v>
      </c>
      <c r="K1645" s="56">
        <v>1</v>
      </c>
      <c r="L1645" s="56">
        <v>1</v>
      </c>
      <c r="M1645" s="56">
        <f t="shared" si="248"/>
        <v>3</v>
      </c>
      <c r="N1645" s="56">
        <f>IF(OR(H1645="",H1645="sif",H1645="PM"),0,VLOOKUP(H1645,[5]CU!$C$4:$H$255,6,FALSE))</f>
        <v>0</v>
      </c>
      <c r="O1645" s="56">
        <f t="shared" si="249"/>
        <v>0</v>
      </c>
      <c r="P1645" s="56">
        <f t="shared" si="249"/>
        <v>0</v>
      </c>
      <c r="Q1645" s="56">
        <f t="shared" si="249"/>
        <v>0</v>
      </c>
      <c r="R1645" s="56">
        <f t="shared" si="249"/>
        <v>0</v>
      </c>
      <c r="S1645" s="56"/>
      <c r="T1645" s="35" t="s">
        <v>56</v>
      </c>
      <c r="U1645" s="18" t="s">
        <v>1873</v>
      </c>
      <c r="V1645" s="19" t="str">
        <f>IF(OR($H1645="",$H1645="sif",$H1645="PM"),"",VLOOKUP($H1645,[5]CU!$C$5:$J$255,8,FALSE))</f>
        <v/>
      </c>
      <c r="W1645" s="18" t="s">
        <v>96</v>
      </c>
      <c r="X1645" s="18" t="s">
        <v>96</v>
      </c>
      <c r="Y1645" s="18" t="s">
        <v>679</v>
      </c>
      <c r="Z1645" s="19" t="str">
        <f>A1645 &amp; "-" &amp; VLOOKUP(A1645,[4]PROGRAMMES!$E$1:$F$7,2,FALSE)</f>
        <v>5-Gouvernance et pilotage du secteur</v>
      </c>
      <c r="AA1645" s="19" t="str">
        <f>B1645 &amp; "-" &amp; VLOOKUP(B1645,[4]SOUSPROGRAMMES!$E$1:$F$44,2,FALSE)</f>
        <v>54- Conception de plans de développement et gestion de projets</v>
      </c>
      <c r="AB1645" s="19" t="str">
        <f>C1645 &amp; "-" &amp; VLOOKUP(C1645,[4]RESULTATS!$E$1:$F$176,2,FALSE)</f>
        <v>542- Les BSD ont la compétence d’élaborer, de suivre et d’évaluer les plans de développement</v>
      </c>
      <c r="AC1645" s="20" t="str">
        <f>D1645 &amp; "-" &amp; VLOOKUP(D1645,[4]STRATEGIES!$E$1:$F$504,2,FALSE)</f>
        <v>5422-Planification</v>
      </c>
      <c r="AD1645" s="21" t="str">
        <f t="shared" si="240"/>
        <v>54225-Elaboration des plans d'actions annuels budgétisés en cohérence avec le PAPB du PRODEG (pris en compte dans le budget de fonctionnement des universités et pour le niveau national dans le budget du CDMT)</v>
      </c>
    </row>
    <row r="1646" spans="1:30" s="22" customFormat="1" ht="45" customHeight="1" x14ac:dyDescent="0.8">
      <c r="A1646" s="14">
        <v>5</v>
      </c>
      <c r="B1646" s="15">
        <v>54</v>
      </c>
      <c r="C1646" s="15">
        <v>542</v>
      </c>
      <c r="D1646" s="15">
        <v>5422</v>
      </c>
      <c r="E1646" s="14">
        <v>54226</v>
      </c>
      <c r="F1646" s="16" t="s">
        <v>2098</v>
      </c>
      <c r="G1646" s="21" t="s">
        <v>2093</v>
      </c>
      <c r="H1646" s="17" t="s">
        <v>59</v>
      </c>
      <c r="I1646" s="56">
        <v>0</v>
      </c>
      <c r="J1646" s="56">
        <f>4*5*8</f>
        <v>160</v>
      </c>
      <c r="K1646" s="56"/>
      <c r="L1646" s="56"/>
      <c r="M1646" s="56">
        <f t="shared" si="248"/>
        <v>160</v>
      </c>
      <c r="N1646" s="56">
        <f>IF(OR(H1646="",H1646="sif",H1646="PM"),0,VLOOKUP(H1646,[5]CU!$C$4:$H$255,6,FALSE))</f>
        <v>0.8177777777777776</v>
      </c>
      <c r="O1646" s="56">
        <f t="shared" si="249"/>
        <v>0</v>
      </c>
      <c r="P1646" s="56">
        <f t="shared" si="249"/>
        <v>130.84444444444441</v>
      </c>
      <c r="Q1646" s="56">
        <f t="shared" si="249"/>
        <v>0</v>
      </c>
      <c r="R1646" s="56">
        <f t="shared" si="249"/>
        <v>0</v>
      </c>
      <c r="S1646" s="56">
        <f>SUM(O1646:R1646)</f>
        <v>130.84444444444441</v>
      </c>
      <c r="T1646" s="35" t="s">
        <v>118</v>
      </c>
      <c r="U1646" s="18" t="s">
        <v>1873</v>
      </c>
      <c r="V1646" s="19" t="str">
        <f>IF(OR($H1646="",$H1646="sif",$H1646="PM"),"",VLOOKUP($H1646,[5]CU!$C$5:$J$255,8,FALSE))</f>
        <v>3. Dépenses de fonctionnement</v>
      </c>
      <c r="W1646" s="18" t="s">
        <v>96</v>
      </c>
      <c r="X1646" s="18" t="s">
        <v>96</v>
      </c>
      <c r="Y1646" s="18" t="s">
        <v>677</v>
      </c>
      <c r="Z1646" s="19" t="str">
        <f>A1646 &amp; "-" &amp; VLOOKUP(A1646,[4]PROGRAMMES!$E$1:$F$7,2,FALSE)</f>
        <v>5-Gouvernance et pilotage du secteur</v>
      </c>
      <c r="AA1646" s="19" t="str">
        <f>B1646 &amp; "-" &amp; VLOOKUP(B1646,[4]SOUSPROGRAMMES!$E$1:$F$44,2,FALSE)</f>
        <v>54- Conception de plans de développement et gestion de projets</v>
      </c>
      <c r="AB1646" s="19" t="str">
        <f>C1646 &amp; "-" &amp; VLOOKUP(C1646,[4]RESULTATS!$E$1:$F$176,2,FALSE)</f>
        <v>542- Les BSD ont la compétence d’élaborer, de suivre et d’évaluer les plans de développement</v>
      </c>
      <c r="AC1646" s="20" t="str">
        <f>D1646 &amp; "-" &amp; VLOOKUP(D1646,[4]STRATEGIES!$E$1:$F$504,2,FALSE)</f>
        <v>5422-Planification</v>
      </c>
      <c r="AD1646" s="21" t="str">
        <f t="shared" si="240"/>
        <v>54226-Elaboration des plans d'actions annuels budgétisés en cohérence avec le PAPB du PRODEG</v>
      </c>
    </row>
    <row r="1647" spans="1:30" s="22" customFormat="1" ht="30.5" x14ac:dyDescent="0.8">
      <c r="A1647" s="14">
        <v>5</v>
      </c>
      <c r="B1647" s="15">
        <v>54</v>
      </c>
      <c r="C1647" s="15">
        <v>542</v>
      </c>
      <c r="D1647" s="15">
        <v>5423</v>
      </c>
      <c r="E1647" s="14">
        <v>5423</v>
      </c>
      <c r="F1647" s="16" t="s">
        <v>2099</v>
      </c>
      <c r="G1647" s="17"/>
      <c r="H1647" s="17"/>
      <c r="I1647" s="56">
        <v>0</v>
      </c>
      <c r="J1647" s="56"/>
      <c r="K1647" s="56"/>
      <c r="L1647" s="56"/>
      <c r="M1647" s="56"/>
      <c r="N1647" s="56"/>
      <c r="O1647" s="56"/>
      <c r="P1647" s="56"/>
      <c r="Q1647" s="56"/>
      <c r="R1647" s="56"/>
      <c r="S1647" s="56"/>
      <c r="T1647" s="33"/>
      <c r="U1647" s="18"/>
      <c r="V1647" s="19"/>
      <c r="W1647" s="18"/>
      <c r="X1647" s="18"/>
      <c r="Y1647" s="18"/>
      <c r="Z1647" s="19" t="str">
        <f>A1647 &amp; "-" &amp; VLOOKUP(A1647,[4]PROGRAMMES!$E$1:$F$7,2,FALSE)</f>
        <v>5-Gouvernance et pilotage du secteur</v>
      </c>
      <c r="AA1647" s="19" t="str">
        <f>B1647 &amp; "-" &amp; VLOOKUP(B1647,[4]SOUSPROGRAMMES!$E$1:$F$44,2,FALSE)</f>
        <v>54- Conception de plans de développement et gestion de projets</v>
      </c>
      <c r="AB1647" s="19" t="str">
        <f>C1647 &amp; "-" &amp; VLOOKUP(C1647,[4]RESULTATS!$E$1:$F$176,2,FALSE)</f>
        <v>542- Les BSD ont la compétence d’élaborer, de suivre et d’évaluer les plans de développement</v>
      </c>
      <c r="AC1647" s="20" t="str">
        <f>D1647 &amp; "-" &amp; VLOOKUP(D1647,[4]STRATEGIES!$E$1:$F$504,2,FALSE)</f>
        <v>5423-Suivi et évaluation</v>
      </c>
      <c r="AD1647" s="21" t="str">
        <f t="shared" si="240"/>
        <v>5423-Suivi et évaluation</v>
      </c>
    </row>
    <row r="1648" spans="1:30" s="22" customFormat="1" ht="45" customHeight="1" x14ac:dyDescent="0.8">
      <c r="A1648" s="14">
        <v>5</v>
      </c>
      <c r="B1648" s="15">
        <v>54</v>
      </c>
      <c r="C1648" s="15">
        <v>542</v>
      </c>
      <c r="D1648" s="15">
        <v>5423</v>
      </c>
      <c r="E1648" s="14">
        <v>54231</v>
      </c>
      <c r="F1648" s="16" t="s">
        <v>2100</v>
      </c>
      <c r="G1648" s="21" t="s">
        <v>1017</v>
      </c>
      <c r="H1648" s="17" t="s">
        <v>59</v>
      </c>
      <c r="I1648" s="56">
        <v>0</v>
      </c>
      <c r="J1648" s="56">
        <f>4*10*8</f>
        <v>320</v>
      </c>
      <c r="K1648" s="56">
        <f>4*10*8</f>
        <v>320</v>
      </c>
      <c r="L1648" s="56">
        <f>4*10*8</f>
        <v>320</v>
      </c>
      <c r="M1648" s="56">
        <f t="shared" si="248"/>
        <v>960</v>
      </c>
      <c r="N1648" s="56">
        <f>IF(OR(H1648="",H1648="sif",H1648="PM"),0,VLOOKUP(H1648,[5]CU!$C$4:$H$255,6,FALSE))</f>
        <v>0.8177777777777776</v>
      </c>
      <c r="O1648" s="56">
        <f t="shared" si="249"/>
        <v>0</v>
      </c>
      <c r="P1648" s="56">
        <f t="shared" si="249"/>
        <v>261.68888888888881</v>
      </c>
      <c r="Q1648" s="56">
        <f t="shared" si="249"/>
        <v>261.68888888888881</v>
      </c>
      <c r="R1648" s="56">
        <f t="shared" si="249"/>
        <v>261.68888888888881</v>
      </c>
      <c r="S1648" s="56">
        <f>SUM(O1648:R1648)</f>
        <v>785.06666666666638</v>
      </c>
      <c r="T1648" s="35" t="s">
        <v>39</v>
      </c>
      <c r="U1648" s="19" t="s">
        <v>1873</v>
      </c>
      <c r="V1648" s="19" t="str">
        <f>IF(OR($H1648="",$H1648="sif",$H1648="PM"),"",VLOOKUP($H1648,[5]CU!$C$5:$J$255,8,FALSE))</f>
        <v>3. Dépenses de fonctionnement</v>
      </c>
      <c r="W1648" s="19" t="s">
        <v>96</v>
      </c>
      <c r="X1648" s="19" t="s">
        <v>96</v>
      </c>
      <c r="Y1648" s="19" t="s">
        <v>32</v>
      </c>
      <c r="Z1648" s="19" t="str">
        <f>A1648 &amp; "-" &amp; VLOOKUP(A1648,[4]PROGRAMMES!$E$1:$F$7,2,FALSE)</f>
        <v>5-Gouvernance et pilotage du secteur</v>
      </c>
      <c r="AA1648" s="19" t="str">
        <f>B1648 &amp; "-" &amp; VLOOKUP(B1648,[4]SOUSPROGRAMMES!$E$1:$F$44,2,FALSE)</f>
        <v>54- Conception de plans de développement et gestion de projets</v>
      </c>
      <c r="AB1648" s="19" t="str">
        <f>C1648 &amp; "-" &amp; VLOOKUP(C1648,[4]RESULTATS!$E$1:$F$176,2,FALSE)</f>
        <v>542- Les BSD ont la compétence d’élaborer, de suivre et d’évaluer les plans de développement</v>
      </c>
      <c r="AC1648" s="20" t="str">
        <f>D1648 &amp; "-" &amp; VLOOKUP(D1648,[4]STRATEGIES!$E$1:$F$504,2,FALSE)</f>
        <v>5423-Suivi et évaluation</v>
      </c>
      <c r="AD1648" s="21" t="str">
        <f t="shared" si="240"/>
        <v>54231-Suivi et évaluation de la mise en œuvre des plans de développement (suivi du plan d'actions annuel)</v>
      </c>
    </row>
    <row r="1649" spans="1:30" s="22" customFormat="1" ht="45" customHeight="1" x14ac:dyDescent="0.8">
      <c r="A1649" s="14">
        <v>5</v>
      </c>
      <c r="B1649" s="15">
        <v>54</v>
      </c>
      <c r="C1649" s="15">
        <v>542</v>
      </c>
      <c r="D1649" s="15">
        <v>5423</v>
      </c>
      <c r="E1649" s="14">
        <v>54232</v>
      </c>
      <c r="F1649" s="16" t="s">
        <v>2100</v>
      </c>
      <c r="G1649" s="21" t="s">
        <v>1017</v>
      </c>
      <c r="H1649" s="17" t="s">
        <v>59</v>
      </c>
      <c r="I1649" s="56">
        <v>0</v>
      </c>
      <c r="J1649" s="56">
        <f>2*1*(17+23+8)</f>
        <v>96</v>
      </c>
      <c r="K1649" s="56">
        <f>2*1*(17+23+8)</f>
        <v>96</v>
      </c>
      <c r="L1649" s="56">
        <f>2*1*(17+23+8)</f>
        <v>96</v>
      </c>
      <c r="M1649" s="56">
        <f t="shared" si="248"/>
        <v>288</v>
      </c>
      <c r="N1649" s="56">
        <f>IF(OR(H1649="",H1649="sif",H1649="PM"),0,VLOOKUP(H1649,[5]CU!$C$4:$H$255,6,FALSE))</f>
        <v>0.8177777777777776</v>
      </c>
      <c r="O1649" s="56">
        <f t="shared" si="249"/>
        <v>0</v>
      </c>
      <c r="P1649" s="56">
        <f t="shared" si="249"/>
        <v>78.506666666666646</v>
      </c>
      <c r="Q1649" s="56">
        <f t="shared" si="249"/>
        <v>78.506666666666646</v>
      </c>
      <c r="R1649" s="56">
        <f t="shared" si="249"/>
        <v>78.506666666666646</v>
      </c>
      <c r="S1649" s="56">
        <f>SUM(O1649:R1649)</f>
        <v>235.51999999999992</v>
      </c>
      <c r="T1649" s="35" t="s">
        <v>39</v>
      </c>
      <c r="U1649" s="19" t="s">
        <v>1873</v>
      </c>
      <c r="V1649" s="19" t="str">
        <f>IF(OR($H1649="",$H1649="sif",$H1649="PM"),"",VLOOKUP($H1649,[5]CU!$C$5:$J$255,8,FALSE))</f>
        <v>3. Dépenses de fonctionnement</v>
      </c>
      <c r="W1649" s="19" t="s">
        <v>96</v>
      </c>
      <c r="X1649" s="19" t="s">
        <v>96</v>
      </c>
      <c r="Y1649" s="19" t="s">
        <v>679</v>
      </c>
      <c r="Z1649" s="19" t="str">
        <f>A1649 &amp; "-" &amp; VLOOKUP(A1649,[4]PROGRAMMES!$E$1:$F$7,2,FALSE)</f>
        <v>5-Gouvernance et pilotage du secteur</v>
      </c>
      <c r="AA1649" s="19" t="str">
        <f>B1649 &amp; "-" &amp; VLOOKUP(B1649,[4]SOUSPROGRAMMES!$E$1:$F$44,2,FALSE)</f>
        <v>54- Conception de plans de développement et gestion de projets</v>
      </c>
      <c r="AB1649" s="19" t="str">
        <f>C1649 &amp; "-" &amp; VLOOKUP(C1649,[4]RESULTATS!$E$1:$F$176,2,FALSE)</f>
        <v>542- Les BSD ont la compétence d’élaborer, de suivre et d’évaluer les plans de développement</v>
      </c>
      <c r="AC1649" s="20" t="str">
        <f>D1649 &amp; "-" &amp; VLOOKUP(D1649,[4]STRATEGIES!$E$1:$F$504,2,FALSE)</f>
        <v>5423-Suivi et évaluation</v>
      </c>
      <c r="AD1649" s="21" t="str">
        <f t="shared" si="240"/>
        <v>54232-Suivi et évaluation de la mise en œuvre des plans de développement (suivi du plan d'actions annuel)</v>
      </c>
    </row>
    <row r="1650" spans="1:30" s="22" customFormat="1" ht="45" customHeight="1" x14ac:dyDescent="0.8">
      <c r="A1650" s="14">
        <v>5</v>
      </c>
      <c r="B1650" s="15">
        <v>54</v>
      </c>
      <c r="C1650" s="15">
        <v>542</v>
      </c>
      <c r="D1650" s="15">
        <v>5423</v>
      </c>
      <c r="E1650" s="14">
        <v>54233</v>
      </c>
      <c r="F1650" s="16" t="s">
        <v>2100</v>
      </c>
      <c r="G1650" s="21" t="s">
        <v>1017</v>
      </c>
      <c r="H1650" s="17" t="s">
        <v>59</v>
      </c>
      <c r="I1650" s="56">
        <v>0</v>
      </c>
      <c r="J1650" s="56">
        <f>2*10*8</f>
        <v>160</v>
      </c>
      <c r="K1650" s="56">
        <f>2*10*8</f>
        <v>160</v>
      </c>
      <c r="L1650" s="56">
        <f>2*10*8</f>
        <v>160</v>
      </c>
      <c r="M1650" s="56">
        <f t="shared" si="248"/>
        <v>480</v>
      </c>
      <c r="N1650" s="56">
        <f>IF(OR(H1650="",H1650="sif",H1650="PM"),0,VLOOKUP(H1650,[5]CU!$C$4:$H$255,6,FALSE))</f>
        <v>0.8177777777777776</v>
      </c>
      <c r="O1650" s="56">
        <f t="shared" si="249"/>
        <v>0</v>
      </c>
      <c r="P1650" s="56">
        <f t="shared" si="249"/>
        <v>130.84444444444441</v>
      </c>
      <c r="Q1650" s="56">
        <f t="shared" si="249"/>
        <v>130.84444444444441</v>
      </c>
      <c r="R1650" s="56">
        <f t="shared" si="249"/>
        <v>130.84444444444441</v>
      </c>
      <c r="S1650" s="56">
        <f>SUM(O1650:R1650)</f>
        <v>392.53333333333319</v>
      </c>
      <c r="T1650" s="35" t="s">
        <v>118</v>
      </c>
      <c r="U1650" s="18" t="s">
        <v>1873</v>
      </c>
      <c r="V1650" s="19" t="str">
        <f>IF(OR($H1650="",$H1650="sif",$H1650="PM"),"",VLOOKUP($H1650,[5]CU!$C$5:$J$255,8,FALSE))</f>
        <v>3. Dépenses de fonctionnement</v>
      </c>
      <c r="W1650" s="18" t="s">
        <v>96</v>
      </c>
      <c r="X1650" s="18" t="s">
        <v>96</v>
      </c>
      <c r="Y1650" s="18" t="s">
        <v>677</v>
      </c>
      <c r="Z1650" s="19" t="str">
        <f>A1650 &amp; "-" &amp; VLOOKUP(A1650,[4]PROGRAMMES!$E$1:$F$7,2,FALSE)</f>
        <v>5-Gouvernance et pilotage du secteur</v>
      </c>
      <c r="AA1650" s="19" t="str">
        <f>B1650 &amp; "-" &amp; VLOOKUP(B1650,[4]SOUSPROGRAMMES!$E$1:$F$44,2,FALSE)</f>
        <v>54- Conception de plans de développement et gestion de projets</v>
      </c>
      <c r="AB1650" s="19" t="str">
        <f>C1650 &amp; "-" &amp; VLOOKUP(C1650,[4]RESULTATS!$E$1:$F$176,2,FALSE)</f>
        <v>542- Les BSD ont la compétence d’élaborer, de suivre et d’évaluer les plans de développement</v>
      </c>
      <c r="AC1650" s="20" t="str">
        <f>D1650 &amp; "-" &amp; VLOOKUP(D1650,[4]STRATEGIES!$E$1:$F$504,2,FALSE)</f>
        <v>5423-Suivi et évaluation</v>
      </c>
      <c r="AD1650" s="21" t="str">
        <f t="shared" si="240"/>
        <v>54233-Suivi et évaluation de la mise en œuvre des plans de développement (suivi du plan d'actions annuel)</v>
      </c>
    </row>
    <row r="1651" spans="1:30" s="22" customFormat="1" ht="45" hidden="1" customHeight="1" x14ac:dyDescent="0.8">
      <c r="A1651" s="14">
        <v>5</v>
      </c>
      <c r="B1651" s="15">
        <v>54</v>
      </c>
      <c r="C1651" s="15">
        <v>542</v>
      </c>
      <c r="D1651" s="15">
        <v>5423</v>
      </c>
      <c r="E1651" s="14">
        <v>54234</v>
      </c>
      <c r="F1651" s="16" t="s">
        <v>2101</v>
      </c>
      <c r="G1651" s="21" t="s">
        <v>92</v>
      </c>
      <c r="H1651" s="17" t="s">
        <v>55</v>
      </c>
      <c r="I1651" s="56">
        <v>0</v>
      </c>
      <c r="J1651" s="56">
        <v>1</v>
      </c>
      <c r="K1651" s="56">
        <v>1</v>
      </c>
      <c r="L1651" s="56">
        <v>1</v>
      </c>
      <c r="M1651" s="56">
        <f t="shared" si="248"/>
        <v>3</v>
      </c>
      <c r="N1651" s="56">
        <f>IF(OR(H1651="",H1651="sif",H1651="PM"),0,VLOOKUP(H1651,[5]CU!$C$4:$H$255,6,FALSE))</f>
        <v>0</v>
      </c>
      <c r="O1651" s="56">
        <f t="shared" si="249"/>
        <v>0</v>
      </c>
      <c r="P1651" s="56">
        <f t="shared" si="249"/>
        <v>0</v>
      </c>
      <c r="Q1651" s="56">
        <f t="shared" si="249"/>
        <v>0</v>
      </c>
      <c r="R1651" s="56">
        <f t="shared" si="249"/>
        <v>0</v>
      </c>
      <c r="S1651" s="56"/>
      <c r="T1651" s="35" t="s">
        <v>56</v>
      </c>
      <c r="U1651" s="18" t="s">
        <v>1873</v>
      </c>
      <c r="V1651" s="19" t="str">
        <f>IF(OR($H1651="",$H1651="sif",$H1651="PM"),"",VLOOKUP($H1651,[5]CU!$C$5:$J$255,8,FALSE))</f>
        <v/>
      </c>
      <c r="W1651" s="18" t="s">
        <v>96</v>
      </c>
      <c r="X1651" s="18" t="s">
        <v>96</v>
      </c>
      <c r="Y1651" s="19" t="s">
        <v>32</v>
      </c>
      <c r="Z1651" s="19" t="str">
        <f>A1651 &amp; "-" &amp; VLOOKUP(A1651,[4]PROGRAMMES!$E$1:$F$7,2,FALSE)</f>
        <v>5-Gouvernance et pilotage du secteur</v>
      </c>
      <c r="AA1651" s="19" t="str">
        <f>B1651 &amp; "-" &amp; VLOOKUP(B1651,[4]SOUSPROGRAMMES!$E$1:$F$44,2,FALSE)</f>
        <v>54- Conception de plans de développement et gestion de projets</v>
      </c>
      <c r="AB1651" s="19" t="str">
        <f>C1651 &amp; "-" &amp; VLOOKUP(C1651,[4]RESULTATS!$E$1:$F$176,2,FALSE)</f>
        <v>542- Les BSD ont la compétence d’élaborer, de suivre et d’évaluer les plans de développement</v>
      </c>
      <c r="AC1651" s="20" t="str">
        <f>D1651 &amp; "-" &amp; VLOOKUP(D1651,[4]STRATEGIES!$E$1:$F$504,2,FALSE)</f>
        <v>5423-Suivi et évaluation</v>
      </c>
      <c r="AD1651" s="21" t="str">
        <f t="shared" si="240"/>
        <v>54234-Elaboration systématique de rapport d'achèvement des projets (en cours de mise en œuvre au MENA)</v>
      </c>
    </row>
    <row r="1652" spans="1:30" s="22" customFormat="1" ht="45" hidden="1" customHeight="1" x14ac:dyDescent="0.8">
      <c r="A1652" s="14">
        <v>5</v>
      </c>
      <c r="B1652" s="15">
        <v>54</v>
      </c>
      <c r="C1652" s="15">
        <v>542</v>
      </c>
      <c r="D1652" s="15">
        <v>5423</v>
      </c>
      <c r="E1652" s="14">
        <v>54235</v>
      </c>
      <c r="F1652" s="16" t="s">
        <v>2102</v>
      </c>
      <c r="G1652" s="21" t="s">
        <v>92</v>
      </c>
      <c r="H1652" s="17" t="s">
        <v>55</v>
      </c>
      <c r="I1652" s="56">
        <v>0</v>
      </c>
      <c r="J1652" s="56">
        <v>1</v>
      </c>
      <c r="K1652" s="56">
        <v>1</v>
      </c>
      <c r="L1652" s="56">
        <v>1</v>
      </c>
      <c r="M1652" s="56">
        <f t="shared" si="248"/>
        <v>3</v>
      </c>
      <c r="N1652" s="56">
        <f>IF(OR(H1652="",H1652="sif",H1652="PM"),0,VLOOKUP(H1652,[5]CU!$C$4:$H$255,6,FALSE))</f>
        <v>0</v>
      </c>
      <c r="O1652" s="56">
        <f t="shared" si="249"/>
        <v>0</v>
      </c>
      <c r="P1652" s="56">
        <f t="shared" si="249"/>
        <v>0</v>
      </c>
      <c r="Q1652" s="56">
        <f t="shared" si="249"/>
        <v>0</v>
      </c>
      <c r="R1652" s="56">
        <f t="shared" si="249"/>
        <v>0</v>
      </c>
      <c r="S1652" s="56"/>
      <c r="T1652" s="35" t="s">
        <v>56</v>
      </c>
      <c r="U1652" s="18" t="s">
        <v>1873</v>
      </c>
      <c r="V1652" s="19" t="str">
        <f>IF(OR($H1652="",$H1652="sif",$H1652="PM"),"",VLOOKUP($H1652,[5]CU!$C$5:$J$255,8,FALSE))</f>
        <v/>
      </c>
      <c r="W1652" s="18" t="s">
        <v>96</v>
      </c>
      <c r="X1652" s="18" t="s">
        <v>96</v>
      </c>
      <c r="Y1652" s="18" t="s">
        <v>679</v>
      </c>
      <c r="Z1652" s="19" t="str">
        <f>A1652 &amp; "-" &amp; VLOOKUP(A1652,[4]PROGRAMMES!$E$1:$F$7,2,FALSE)</f>
        <v>5-Gouvernance et pilotage du secteur</v>
      </c>
      <c r="AA1652" s="19" t="str">
        <f>B1652 &amp; "-" &amp; VLOOKUP(B1652,[4]SOUSPROGRAMMES!$E$1:$F$44,2,FALSE)</f>
        <v>54- Conception de plans de développement et gestion de projets</v>
      </c>
      <c r="AB1652" s="19" t="str">
        <f>C1652 &amp; "-" &amp; VLOOKUP(C1652,[4]RESULTATS!$E$1:$F$176,2,FALSE)</f>
        <v>542- Les BSD ont la compétence d’élaborer, de suivre et d’évaluer les plans de développement</v>
      </c>
      <c r="AC1652" s="20" t="str">
        <f>D1652 &amp; "-" &amp; VLOOKUP(D1652,[4]STRATEGIES!$E$1:$F$504,2,FALSE)</f>
        <v>5423-Suivi et évaluation</v>
      </c>
      <c r="AD1652" s="21" t="str">
        <f t="shared" si="240"/>
        <v>54235-Elaboration systématique de rapport d'achèvement des projets (en cours de mise en œuvre au MESRS)</v>
      </c>
    </row>
    <row r="1653" spans="1:30" s="22" customFormat="1" ht="45" hidden="1" customHeight="1" x14ac:dyDescent="0.8">
      <c r="A1653" s="14">
        <v>5</v>
      </c>
      <c r="B1653" s="15">
        <v>54</v>
      </c>
      <c r="C1653" s="15">
        <v>542</v>
      </c>
      <c r="D1653" s="15">
        <v>5423</v>
      </c>
      <c r="E1653" s="14">
        <v>54236</v>
      </c>
      <c r="F1653" s="16" t="s">
        <v>2103</v>
      </c>
      <c r="G1653" s="21" t="s">
        <v>92</v>
      </c>
      <c r="H1653" s="17" t="s">
        <v>55</v>
      </c>
      <c r="I1653" s="56">
        <v>0</v>
      </c>
      <c r="J1653" s="56">
        <v>1</v>
      </c>
      <c r="K1653" s="56">
        <v>1</v>
      </c>
      <c r="L1653" s="56">
        <v>1</v>
      </c>
      <c r="M1653" s="56">
        <f t="shared" si="248"/>
        <v>3</v>
      </c>
      <c r="N1653" s="56">
        <f>IF(OR(H1653="",H1653="sif",H1653="PM"),0,VLOOKUP(H1653,[5]CU!$C$4:$H$255,6,FALSE))</f>
        <v>0</v>
      </c>
      <c r="O1653" s="56">
        <f t="shared" si="249"/>
        <v>0</v>
      </c>
      <c r="P1653" s="56">
        <f t="shared" si="249"/>
        <v>0</v>
      </c>
      <c r="Q1653" s="56">
        <f t="shared" si="249"/>
        <v>0</v>
      </c>
      <c r="R1653" s="56">
        <f t="shared" si="249"/>
        <v>0</v>
      </c>
      <c r="S1653" s="56"/>
      <c r="T1653" s="35" t="s">
        <v>56</v>
      </c>
      <c r="U1653" s="18" t="s">
        <v>1873</v>
      </c>
      <c r="V1653" s="19" t="str">
        <f>IF(OR($H1653="",$H1653="sif",$H1653="PM"),"",VLOOKUP($H1653,[5]CU!$C$5:$J$255,8,FALSE))</f>
        <v/>
      </c>
      <c r="W1653" s="18" t="s">
        <v>96</v>
      </c>
      <c r="X1653" s="18" t="s">
        <v>96</v>
      </c>
      <c r="Y1653" s="18" t="s">
        <v>677</v>
      </c>
      <c r="Z1653" s="19" t="str">
        <f>A1653 &amp; "-" &amp; VLOOKUP(A1653,[4]PROGRAMMES!$E$1:$F$7,2,FALSE)</f>
        <v>5-Gouvernance et pilotage du secteur</v>
      </c>
      <c r="AA1653" s="19" t="str">
        <f>B1653 &amp; "-" &amp; VLOOKUP(B1653,[4]SOUSPROGRAMMES!$E$1:$F$44,2,FALSE)</f>
        <v>54- Conception de plans de développement et gestion de projets</v>
      </c>
      <c r="AB1653" s="19" t="str">
        <f>C1653 &amp; "-" &amp; VLOOKUP(C1653,[4]RESULTATS!$E$1:$F$176,2,FALSE)</f>
        <v>542- Les BSD ont la compétence d’élaborer, de suivre et d’évaluer les plans de développement</v>
      </c>
      <c r="AC1653" s="20" t="str">
        <f>D1653 &amp; "-" &amp; VLOOKUP(D1653,[4]STRATEGIES!$E$1:$F$504,2,FALSE)</f>
        <v>5423-Suivi et évaluation</v>
      </c>
      <c r="AD1653" s="21" t="str">
        <f t="shared" si="240"/>
        <v>54236-Elaboration systématique de rapport d'achèvement des projets (en cours de mise en œuvre au METFP)</v>
      </c>
    </row>
    <row r="1654" spans="1:30" s="22" customFormat="1" ht="45" customHeight="1" x14ac:dyDescent="0.8">
      <c r="A1654" s="14">
        <v>5</v>
      </c>
      <c r="B1654" s="15">
        <v>55</v>
      </c>
      <c r="C1654" s="15">
        <v>55</v>
      </c>
      <c r="D1654" s="15">
        <v>55</v>
      </c>
      <c r="E1654" s="14">
        <v>55</v>
      </c>
      <c r="F1654" s="16" t="s">
        <v>2104</v>
      </c>
      <c r="G1654" s="17"/>
      <c r="H1654" s="17"/>
      <c r="I1654" s="56">
        <v>0</v>
      </c>
      <c r="J1654" s="56"/>
      <c r="K1654" s="56"/>
      <c r="L1654" s="56"/>
      <c r="M1654" s="56"/>
      <c r="N1654" s="56"/>
      <c r="O1654" s="56"/>
      <c r="P1654" s="56"/>
      <c r="Q1654" s="56"/>
      <c r="R1654" s="56"/>
      <c r="S1654" s="56"/>
      <c r="T1654" s="33"/>
      <c r="U1654" s="18"/>
      <c r="V1654" s="19"/>
      <c r="W1654" s="18"/>
      <c r="X1654" s="18"/>
      <c r="Y1654" s="18"/>
      <c r="Z1654" s="19" t="str">
        <f>A1654 &amp; "-" &amp; VLOOKUP(A1654,[4]PROGRAMMES!$E$1:$F$7,2,FALSE)</f>
        <v>5-Gouvernance et pilotage du secteur</v>
      </c>
      <c r="AA1654" s="19" t="str">
        <f>B1654 &amp; "-" &amp; VLOOKUP(B1654,[4]SOUSPROGRAMMES!$E$1:$F$44,2,FALSE)</f>
        <v>55- Gestion des RH (recrutement, affectation, motivation, fidélisation, gestion de carrières…)</v>
      </c>
      <c r="AB1654" s="19" t="str">
        <f>C1654 &amp; "-" &amp; VLOOKUP(C1654,[4]RESULTATS!$E$1:$F$176,2,FALSE)</f>
        <v>55- Gestion des RH (recrutement, affectation, motivation, fidélisation, gestion de carrières…)</v>
      </c>
      <c r="AC1654" s="20" t="str">
        <f>D1654 &amp; "-" &amp; VLOOKUP(D1654,[4]STRATEGIES!$E$1:$F$504,2,FALSE)</f>
        <v>55- Gestion des RH (recrutement, affectation, motivation, fidélisation, gestion de carrières…)</v>
      </c>
      <c r="AD1654" s="21" t="str">
        <f t="shared" si="240"/>
        <v>55- Gestion des RH (recrutement, affectation, motivation, fidélisation, gestion de carrières…)</v>
      </c>
    </row>
    <row r="1655" spans="1:30" s="22" customFormat="1" ht="45" customHeight="1" x14ac:dyDescent="0.8">
      <c r="A1655" s="14">
        <v>5</v>
      </c>
      <c r="B1655" s="15">
        <v>55</v>
      </c>
      <c r="C1655" s="15">
        <v>551</v>
      </c>
      <c r="D1655" s="15">
        <v>551</v>
      </c>
      <c r="E1655" s="14">
        <v>551</v>
      </c>
      <c r="F1655" s="16" t="s">
        <v>2105</v>
      </c>
      <c r="G1655" s="17"/>
      <c r="H1655" s="17"/>
      <c r="I1655" s="56">
        <v>0</v>
      </c>
      <c r="J1655" s="56"/>
      <c r="K1655" s="56"/>
      <c r="L1655" s="56"/>
      <c r="M1655" s="56"/>
      <c r="N1655" s="56"/>
      <c r="O1655" s="56"/>
      <c r="P1655" s="56"/>
      <c r="Q1655" s="56"/>
      <c r="R1655" s="56"/>
      <c r="S1655" s="56"/>
      <c r="T1655" s="33"/>
      <c r="U1655" s="18"/>
      <c r="V1655" s="19"/>
      <c r="W1655" s="18"/>
      <c r="X1655" s="18"/>
      <c r="Y1655" s="18"/>
      <c r="Z1655" s="19" t="str">
        <f>A1655 &amp; "-" &amp; VLOOKUP(A1655,[4]PROGRAMMES!$E$1:$F$7,2,FALSE)</f>
        <v>5-Gouvernance et pilotage du secteur</v>
      </c>
      <c r="AA1655" s="19" t="str">
        <f>B1655 &amp; "-" &amp; VLOOKUP(B1655,[4]SOUSPROGRAMMES!$E$1:$F$44,2,FALSE)</f>
        <v>55- Gestion des RH (recrutement, affectation, motivation, fidélisation, gestion de carrières…)</v>
      </c>
      <c r="AB1655" s="19" t="str">
        <f>C1655 &amp; "-" &amp; VLOOKUP(C1655,[4]RESULTATS!$E$1:$F$176,2,FALSE)</f>
        <v>551- Assainissement et harmonisation des bases de données sur les personnels</v>
      </c>
      <c r="AC1655" s="20" t="str">
        <f>D1655 &amp; "-" &amp; VLOOKUP(D1655,[4]STRATEGIES!$E$1:$F$504,2,FALSE)</f>
        <v>551- Assainissement et harmonisation des bases de données sur les personnels</v>
      </c>
      <c r="AD1655" s="21" t="str">
        <f t="shared" si="240"/>
        <v>551- Assainissement et harmonisation des bases de données sur les personnels</v>
      </c>
    </row>
    <row r="1656" spans="1:30" s="22" customFormat="1" ht="45" customHeight="1" x14ac:dyDescent="0.8">
      <c r="A1656" s="14">
        <v>5</v>
      </c>
      <c r="B1656" s="15">
        <v>55</v>
      </c>
      <c r="C1656" s="15">
        <v>551</v>
      </c>
      <c r="D1656" s="15">
        <v>5511</v>
      </c>
      <c r="E1656" s="14">
        <v>5511</v>
      </c>
      <c r="F1656" s="16" t="s">
        <v>2106</v>
      </c>
      <c r="G1656" s="17"/>
      <c r="H1656" s="17"/>
      <c r="I1656" s="56">
        <v>0</v>
      </c>
      <c r="J1656" s="56"/>
      <c r="K1656" s="56"/>
      <c r="L1656" s="56"/>
      <c r="M1656" s="56"/>
      <c r="N1656" s="56"/>
      <c r="O1656" s="56"/>
      <c r="P1656" s="56"/>
      <c r="Q1656" s="56"/>
      <c r="R1656" s="56"/>
      <c r="S1656" s="56"/>
      <c r="T1656" s="33"/>
      <c r="U1656" s="18"/>
      <c r="V1656" s="19"/>
      <c r="W1656" s="18"/>
      <c r="X1656" s="18"/>
      <c r="Y1656" s="18"/>
      <c r="Z1656" s="19" t="str">
        <f>A1656 &amp; "-" &amp; VLOOKUP(A1656,[4]PROGRAMMES!$E$1:$F$7,2,FALSE)</f>
        <v>5-Gouvernance et pilotage du secteur</v>
      </c>
      <c r="AA1656" s="19" t="str">
        <f>B1656 &amp; "-" &amp; VLOOKUP(B1656,[4]SOUSPROGRAMMES!$E$1:$F$44,2,FALSE)</f>
        <v>55- Gestion des RH (recrutement, affectation, motivation, fidélisation, gestion de carrières…)</v>
      </c>
      <c r="AB1656" s="19" t="str">
        <f>C1656 &amp; "-" &amp; VLOOKUP(C1656,[4]RESULTATS!$E$1:$F$176,2,FALSE)</f>
        <v>551- Assainissement et harmonisation des bases de données sur les personnels</v>
      </c>
      <c r="AC1656" s="20" t="str">
        <f>D1656 &amp; "-" &amp; VLOOKUP(D1656,[4]STRATEGIES!$E$1:$F$504,2,FALSE)</f>
        <v>5511-Développement d'un dispositif cohérent d'assainissement et d'harmonisation des bases de données existantes (Analyse des bases de données existantes et leur harmonisation MENA)</v>
      </c>
      <c r="AD1656" s="21" t="str">
        <f t="shared" si="240"/>
        <v>5511-Développement d'un dispositif cohérent d'assainissement et d'harmonisation des bases de données existantes (Analyse des bases de données existantes et leur harmonisation MENA)</v>
      </c>
    </row>
    <row r="1657" spans="1:30" s="22" customFormat="1" ht="61" hidden="1" x14ac:dyDescent="0.8">
      <c r="A1657" s="14">
        <v>5</v>
      </c>
      <c r="B1657" s="15">
        <v>55</v>
      </c>
      <c r="C1657" s="15">
        <v>551</v>
      </c>
      <c r="D1657" s="15">
        <v>5511</v>
      </c>
      <c r="E1657" s="14">
        <v>55111</v>
      </c>
      <c r="F1657" s="16" t="s">
        <v>2107</v>
      </c>
      <c r="G1657" s="21" t="s">
        <v>298</v>
      </c>
      <c r="H1657" s="17" t="s">
        <v>66</v>
      </c>
      <c r="I1657" s="56">
        <v>0</v>
      </c>
      <c r="J1657" s="56"/>
      <c r="K1657" s="56"/>
      <c r="L1657" s="56"/>
      <c r="M1657" s="56">
        <f>SUM(I1657:L1657)</f>
        <v>0</v>
      </c>
      <c r="N1657" s="56">
        <f>IF(OR(H1657="",H1657="sif",H1657="PM"),0,VLOOKUP(H1657,[5]CU!$C$4:$H$255,6,FALSE))</f>
        <v>0.255</v>
      </c>
      <c r="O1657" s="56">
        <f>IFERROR($N1657*I1657,0)</f>
        <v>0</v>
      </c>
      <c r="P1657" s="56">
        <f>IFERROR($N1657*J1657,0)</f>
        <v>0</v>
      </c>
      <c r="Q1657" s="56">
        <f>IFERROR($N1657*K1657,0)</f>
        <v>0</v>
      </c>
      <c r="R1657" s="56">
        <f>IFERROR($N1657*L1657,0)</f>
        <v>0</v>
      </c>
      <c r="S1657" s="56">
        <f>SUM(O1657:R1657)</f>
        <v>0</v>
      </c>
      <c r="T1657" s="35" t="s">
        <v>178</v>
      </c>
      <c r="U1657" s="18" t="s">
        <v>1873</v>
      </c>
      <c r="V1657" s="19" t="str">
        <f>IF(OR($H1657="",$H1657="sif",$H1657="PM"),"",VLOOKUP($H1657,[5]CU!$C$5:$J$255,8,FALSE))</f>
        <v>3. Dépenses de fonctionnement</v>
      </c>
      <c r="W1657" s="18" t="s">
        <v>142</v>
      </c>
      <c r="X1657" s="18" t="s">
        <v>142</v>
      </c>
      <c r="Y1657" s="19" t="s">
        <v>32</v>
      </c>
      <c r="Z1657" s="19" t="str">
        <f>A1657 &amp; "-" &amp; VLOOKUP(A1657,[4]PROGRAMMES!$E$1:$F$7,2,FALSE)</f>
        <v>5-Gouvernance et pilotage du secteur</v>
      </c>
      <c r="AA1657" s="19" t="str">
        <f>B1657 &amp; "-" &amp; VLOOKUP(B1657,[4]SOUSPROGRAMMES!$E$1:$F$44,2,FALSE)</f>
        <v>55- Gestion des RH (recrutement, affectation, motivation, fidélisation, gestion de carrières…)</v>
      </c>
      <c r="AB1657" s="19" t="str">
        <f>C1657 &amp; "-" &amp; VLOOKUP(C1657,[4]RESULTATS!$E$1:$F$176,2,FALSE)</f>
        <v>551- Assainissement et harmonisation des bases de données sur les personnels</v>
      </c>
      <c r="AC1657" s="20" t="str">
        <f>D1657 &amp; "-" &amp; VLOOKUP(D1657,[4]STRATEGIES!$E$1:$F$504,2,FALSE)</f>
        <v>5511-Développement d'un dispositif cohérent d'assainissement et d'harmonisation des bases de données existantes (Analyse des bases de données existantes et leur harmonisation MENA)</v>
      </c>
      <c r="AD1657" s="21" t="str">
        <f t="shared" si="240"/>
        <v>55111-Elaboration des protocoles de mise à jour de la BD, d’harmonisation avec les BD FP et Solde et d’identification/d’assainissement des anomalies ainsi que de la correction</v>
      </c>
    </row>
    <row r="1658" spans="1:30" s="22" customFormat="1" ht="61" x14ac:dyDescent="0.8">
      <c r="A1658" s="14">
        <v>5</v>
      </c>
      <c r="B1658" s="15">
        <v>55</v>
      </c>
      <c r="C1658" s="15">
        <v>551</v>
      </c>
      <c r="D1658" s="15">
        <v>5511</v>
      </c>
      <c r="E1658" s="14">
        <v>55111</v>
      </c>
      <c r="F1658" s="16" t="s">
        <v>2107</v>
      </c>
      <c r="G1658" s="21" t="s">
        <v>298</v>
      </c>
      <c r="H1658" s="17" t="s">
        <v>66</v>
      </c>
      <c r="I1658" s="56">
        <v>0</v>
      </c>
      <c r="J1658" s="56"/>
      <c r="K1658" s="56">
        <v>175</v>
      </c>
      <c r="L1658" s="56"/>
      <c r="M1658" s="56">
        <f t="shared" si="248"/>
        <v>175</v>
      </c>
      <c r="N1658" s="56">
        <f>IF(OR(H1658="",H1658="sif",H1658="PM"),0,VLOOKUP(H1658,[5]CU!$C$4:$H$255,6,FALSE))</f>
        <v>0.255</v>
      </c>
      <c r="O1658" s="56">
        <f t="shared" si="249"/>
        <v>0</v>
      </c>
      <c r="P1658" s="56">
        <f t="shared" si="249"/>
        <v>0</v>
      </c>
      <c r="Q1658" s="56">
        <f t="shared" si="249"/>
        <v>44.625</v>
      </c>
      <c r="R1658" s="56">
        <f t="shared" si="249"/>
        <v>0</v>
      </c>
      <c r="S1658" s="56">
        <f>SUM(O1658:R1658)</f>
        <v>44.625</v>
      </c>
      <c r="T1658" s="35" t="s">
        <v>39</v>
      </c>
      <c r="U1658" s="18" t="s">
        <v>1873</v>
      </c>
      <c r="V1658" s="19" t="str">
        <f>IF(OR($H1658="",$H1658="sif",$H1658="PM"),"",VLOOKUP($H1658,[5]CU!$C$5:$J$255,8,FALSE))</f>
        <v>3. Dépenses de fonctionnement</v>
      </c>
      <c r="W1658" s="18" t="s">
        <v>142</v>
      </c>
      <c r="X1658" s="18" t="s">
        <v>142</v>
      </c>
      <c r="Y1658" s="19" t="s">
        <v>32</v>
      </c>
      <c r="Z1658" s="19" t="str">
        <f>A1658 &amp; "-" &amp; VLOOKUP(A1658,[4]PROGRAMMES!$E$1:$F$7,2,FALSE)</f>
        <v>5-Gouvernance et pilotage du secteur</v>
      </c>
      <c r="AA1658" s="19" t="str">
        <f>B1658 &amp; "-" &amp; VLOOKUP(B1658,[4]SOUSPROGRAMMES!$E$1:$F$44,2,FALSE)</f>
        <v>55- Gestion des RH (recrutement, affectation, motivation, fidélisation, gestion de carrières…)</v>
      </c>
      <c r="AB1658" s="19" t="str">
        <f>C1658 &amp; "-" &amp; VLOOKUP(C1658,[4]RESULTATS!$E$1:$F$176,2,FALSE)</f>
        <v>551- Assainissement et harmonisation des bases de données sur les personnels</v>
      </c>
      <c r="AC1658" s="20" t="str">
        <f>D1658 &amp; "-" &amp; VLOOKUP(D1658,[4]STRATEGIES!$E$1:$F$504,2,FALSE)</f>
        <v>5511-Développement d'un dispositif cohérent d'assainissement et d'harmonisation des bases de données existantes (Analyse des bases de données existantes et leur harmonisation MENA)</v>
      </c>
      <c r="AD1658" s="21" t="str">
        <f t="shared" si="240"/>
        <v>55111-Elaboration des protocoles de mise à jour de la BD, d’harmonisation avec les BD FP et Solde et d’identification/d’assainissement des anomalies ainsi que de la correction</v>
      </c>
    </row>
    <row r="1659" spans="1:30" s="22" customFormat="1" ht="45" hidden="1" customHeight="1" x14ac:dyDescent="0.8">
      <c r="A1659" s="14">
        <v>5</v>
      </c>
      <c r="B1659" s="15">
        <v>55</v>
      </c>
      <c r="C1659" s="15">
        <v>551</v>
      </c>
      <c r="D1659" s="15">
        <v>5511</v>
      </c>
      <c r="E1659" s="14">
        <v>55112</v>
      </c>
      <c r="F1659" s="16" t="s">
        <v>2108</v>
      </c>
      <c r="G1659" s="21" t="s">
        <v>92</v>
      </c>
      <c r="H1659" s="17" t="s">
        <v>55</v>
      </c>
      <c r="I1659" s="56">
        <v>0</v>
      </c>
      <c r="J1659" s="56"/>
      <c r="K1659" s="56">
        <v>1</v>
      </c>
      <c r="L1659" s="56"/>
      <c r="M1659" s="56">
        <f t="shared" si="248"/>
        <v>1</v>
      </c>
      <c r="N1659" s="56">
        <f>IF(OR(H1659="",H1659="sif",H1659="PM"),0,VLOOKUP(H1659,[5]CU!$C$4:$H$255,6,FALSE))</f>
        <v>0</v>
      </c>
      <c r="O1659" s="56">
        <f t="shared" si="249"/>
        <v>0</v>
      </c>
      <c r="P1659" s="56">
        <f t="shared" si="249"/>
        <v>0</v>
      </c>
      <c r="Q1659" s="56">
        <f t="shared" si="249"/>
        <v>0</v>
      </c>
      <c r="R1659" s="56">
        <f t="shared" si="249"/>
        <v>0</v>
      </c>
      <c r="S1659" s="56"/>
      <c r="T1659" s="35" t="s">
        <v>56</v>
      </c>
      <c r="U1659" s="18" t="s">
        <v>1873</v>
      </c>
      <c r="V1659" s="19" t="str">
        <f>IF(OR($H1659="",$H1659="sif",$H1659="PM"),"",VLOOKUP($H1659,[5]CU!$C$5:$J$255,8,FALSE))</f>
        <v/>
      </c>
      <c r="W1659" s="18" t="s">
        <v>142</v>
      </c>
      <c r="X1659" s="18" t="s">
        <v>142</v>
      </c>
      <c r="Y1659" s="19" t="s">
        <v>32</v>
      </c>
      <c r="Z1659" s="19" t="str">
        <f>A1659 &amp; "-" &amp; VLOOKUP(A1659,[4]PROGRAMMES!$E$1:$F$7,2,FALSE)</f>
        <v>5-Gouvernance et pilotage du secteur</v>
      </c>
      <c r="AA1659" s="19" t="str">
        <f>B1659 &amp; "-" &amp; VLOOKUP(B1659,[4]SOUSPROGRAMMES!$E$1:$F$44,2,FALSE)</f>
        <v>55- Gestion des RH (recrutement, affectation, motivation, fidélisation, gestion de carrières…)</v>
      </c>
      <c r="AB1659" s="19" t="str">
        <f>C1659 &amp; "-" &amp; VLOOKUP(C1659,[4]RESULTATS!$E$1:$F$176,2,FALSE)</f>
        <v>551- Assainissement et harmonisation des bases de données sur les personnels</v>
      </c>
      <c r="AC1659" s="20" t="str">
        <f>D1659 &amp; "-" &amp; VLOOKUP(D1659,[4]STRATEGIES!$E$1:$F$504,2,FALSE)</f>
        <v>5511-Développement d'un dispositif cohérent d'assainissement et d'harmonisation des bases de données existantes (Analyse des bases de données existantes et leur harmonisation MENA)</v>
      </c>
      <c r="AD1659" s="21" t="str">
        <f t="shared" si="240"/>
        <v>55112-Identification et correction des incohérences sur les données en lien avec les travaux sur le SIGE (pris en compte dans activité 53414)</v>
      </c>
    </row>
    <row r="1660" spans="1:30" s="22" customFormat="1" ht="45.75" x14ac:dyDescent="0.8">
      <c r="A1660" s="14">
        <v>5</v>
      </c>
      <c r="B1660" s="15">
        <v>55</v>
      </c>
      <c r="C1660" s="15">
        <v>551</v>
      </c>
      <c r="D1660" s="15">
        <v>5511</v>
      </c>
      <c r="E1660" s="14">
        <v>55113</v>
      </c>
      <c r="F1660" s="16" t="s">
        <v>2109</v>
      </c>
      <c r="G1660" s="21" t="s">
        <v>1017</v>
      </c>
      <c r="H1660" s="17" t="s">
        <v>59</v>
      </c>
      <c r="I1660" s="56">
        <v>0</v>
      </c>
      <c r="J1660" s="56"/>
      <c r="K1660" s="56">
        <f>4*10*4</f>
        <v>160</v>
      </c>
      <c r="L1660" s="56"/>
      <c r="M1660" s="56">
        <f t="shared" si="248"/>
        <v>160</v>
      </c>
      <c r="N1660" s="56">
        <f>IF(OR(H1660="",H1660="sif",H1660="PM"),0,VLOOKUP(H1660,[5]CU!$C$4:$H$255,6,FALSE))</f>
        <v>0.8177777777777776</v>
      </c>
      <c r="O1660" s="56">
        <f t="shared" si="249"/>
        <v>0</v>
      </c>
      <c r="P1660" s="56">
        <f t="shared" si="249"/>
        <v>0</v>
      </c>
      <c r="Q1660" s="56">
        <f t="shared" si="249"/>
        <v>130.84444444444441</v>
      </c>
      <c r="R1660" s="56">
        <f t="shared" si="249"/>
        <v>0</v>
      </c>
      <c r="S1660" s="56">
        <f t="shared" ref="S1660:S1667" si="250">SUM(O1660:R1660)</f>
        <v>130.84444444444441</v>
      </c>
      <c r="T1660" s="35" t="s">
        <v>39</v>
      </c>
      <c r="U1660" s="19" t="s">
        <v>1873</v>
      </c>
      <c r="V1660" s="19" t="str">
        <f>IF(OR($H1660="",$H1660="sif",$H1660="PM"),"",VLOOKUP($H1660,[5]CU!$C$5:$J$255,8,FALSE))</f>
        <v>3. Dépenses de fonctionnement</v>
      </c>
      <c r="W1660" s="19" t="s">
        <v>142</v>
      </c>
      <c r="X1660" s="19" t="s">
        <v>142</v>
      </c>
      <c r="Y1660" s="19" t="s">
        <v>32</v>
      </c>
      <c r="Z1660" s="19" t="str">
        <f>A1660 &amp; "-" &amp; VLOOKUP(A1660,[4]PROGRAMMES!$E$1:$F$7,2,FALSE)</f>
        <v>5-Gouvernance et pilotage du secteur</v>
      </c>
      <c r="AA1660" s="19" t="str">
        <f>B1660 &amp; "-" &amp; VLOOKUP(B1660,[4]SOUSPROGRAMMES!$E$1:$F$44,2,FALSE)</f>
        <v>55- Gestion des RH (recrutement, affectation, motivation, fidélisation, gestion de carrières…)</v>
      </c>
      <c r="AB1660" s="19" t="str">
        <f>C1660 &amp; "-" &amp; VLOOKUP(C1660,[4]RESULTATS!$E$1:$F$176,2,FALSE)</f>
        <v>551- Assainissement et harmonisation des bases de données sur les personnels</v>
      </c>
      <c r="AC1660" s="20" t="str">
        <f>D1660 &amp; "-" &amp; VLOOKUP(D1660,[4]STRATEGIES!$E$1:$F$504,2,FALSE)</f>
        <v>5511-Développement d'un dispositif cohérent d'assainissement et d'harmonisation des bases de données existantes (Analyse des bases de données existantes et leur harmonisation MENA)</v>
      </c>
      <c r="AD1660" s="21" t="str">
        <f t="shared" si="240"/>
        <v>55113-Collecte des données complémentaires sur les personnels</v>
      </c>
    </row>
    <row r="1661" spans="1:30" s="22" customFormat="1" ht="45.75" x14ac:dyDescent="0.8">
      <c r="A1661" s="14">
        <v>5</v>
      </c>
      <c r="B1661" s="15">
        <v>55</v>
      </c>
      <c r="C1661" s="15">
        <v>551</v>
      </c>
      <c r="D1661" s="15">
        <v>5511</v>
      </c>
      <c r="E1661" s="14">
        <v>55114</v>
      </c>
      <c r="F1661" s="16" t="s">
        <v>2110</v>
      </c>
      <c r="G1661" s="21" t="s">
        <v>298</v>
      </c>
      <c r="H1661" s="17" t="s">
        <v>66</v>
      </c>
      <c r="I1661" s="56">
        <v>0</v>
      </c>
      <c r="J1661" s="56"/>
      <c r="K1661" s="56">
        <f>6*10</f>
        <v>60</v>
      </c>
      <c r="L1661" s="56"/>
      <c r="M1661" s="56">
        <f t="shared" si="248"/>
        <v>60</v>
      </c>
      <c r="N1661" s="56">
        <f>IF(OR(H1661="",H1661="sif",H1661="PM"),0,VLOOKUP(H1661,[5]CU!$C$4:$H$255,6,FALSE))</f>
        <v>0.255</v>
      </c>
      <c r="O1661" s="56">
        <f t="shared" si="249"/>
        <v>0</v>
      </c>
      <c r="P1661" s="56">
        <f t="shared" si="249"/>
        <v>0</v>
      </c>
      <c r="Q1661" s="56">
        <f t="shared" si="249"/>
        <v>15.3</v>
      </c>
      <c r="R1661" s="56">
        <f t="shared" si="249"/>
        <v>0</v>
      </c>
      <c r="S1661" s="56">
        <f t="shared" si="250"/>
        <v>15.3</v>
      </c>
      <c r="T1661" s="35" t="s">
        <v>39</v>
      </c>
      <c r="U1661" s="19" t="s">
        <v>1873</v>
      </c>
      <c r="V1661" s="19" t="str">
        <f>IF(OR($H1661="",$H1661="sif",$H1661="PM"),"",VLOOKUP($H1661,[5]CU!$C$5:$J$255,8,FALSE))</f>
        <v>3. Dépenses de fonctionnement</v>
      </c>
      <c r="W1661" s="19" t="s">
        <v>142</v>
      </c>
      <c r="X1661" s="19" t="s">
        <v>142</v>
      </c>
      <c r="Y1661" s="19" t="s">
        <v>32</v>
      </c>
      <c r="Z1661" s="19" t="str">
        <f>A1661 &amp; "-" &amp; VLOOKUP(A1661,[4]PROGRAMMES!$E$1:$F$7,2,FALSE)</f>
        <v>5-Gouvernance et pilotage du secteur</v>
      </c>
      <c r="AA1661" s="19" t="str">
        <f>B1661 &amp; "-" &amp; VLOOKUP(B1661,[4]SOUSPROGRAMMES!$E$1:$F$44,2,FALSE)</f>
        <v>55- Gestion des RH (recrutement, affectation, motivation, fidélisation, gestion de carrières…)</v>
      </c>
      <c r="AB1661" s="19" t="str">
        <f>C1661 &amp; "-" &amp; VLOOKUP(C1661,[4]RESULTATS!$E$1:$F$176,2,FALSE)</f>
        <v>551- Assainissement et harmonisation des bases de données sur les personnels</v>
      </c>
      <c r="AC1661" s="20" t="str">
        <f>D1661 &amp; "-" &amp; VLOOKUP(D1661,[4]STRATEGIES!$E$1:$F$504,2,FALSE)</f>
        <v>5511-Développement d'un dispositif cohérent d'assainissement et d'harmonisation des bases de données existantes (Analyse des bases de données existantes et leur harmonisation MENA)</v>
      </c>
      <c r="AD1661" s="21" t="str">
        <f t="shared" si="240"/>
        <v>55114-intégration des données complémentaires sur les personnels</v>
      </c>
    </row>
    <row r="1662" spans="1:30" s="22" customFormat="1" ht="45.75" x14ac:dyDescent="0.8">
      <c r="A1662" s="14">
        <v>5</v>
      </c>
      <c r="B1662" s="15">
        <v>55</v>
      </c>
      <c r="C1662" s="15">
        <v>551</v>
      </c>
      <c r="D1662" s="15">
        <v>5511</v>
      </c>
      <c r="E1662" s="14">
        <v>55115</v>
      </c>
      <c r="F1662" s="16" t="s">
        <v>2111</v>
      </c>
      <c r="G1662" s="21" t="s">
        <v>315</v>
      </c>
      <c r="H1662" s="17" t="s">
        <v>38</v>
      </c>
      <c r="I1662" s="56">
        <v>0</v>
      </c>
      <c r="J1662" s="56"/>
      <c r="K1662" s="56">
        <f>20*2</f>
        <v>40</v>
      </c>
      <c r="L1662" s="56"/>
      <c r="M1662" s="56">
        <f t="shared" si="248"/>
        <v>40</v>
      </c>
      <c r="N1662" s="56">
        <f>IF(OR(H1662="",H1662="sif",H1662="PM"),0,VLOOKUP(H1662,[5]CU!$C$4:$H$255,6,FALSE))</f>
        <v>0.3133333333333333</v>
      </c>
      <c r="O1662" s="56">
        <f t="shared" si="249"/>
        <v>0</v>
      </c>
      <c r="P1662" s="56">
        <f t="shared" si="249"/>
        <v>0</v>
      </c>
      <c r="Q1662" s="56">
        <f t="shared" si="249"/>
        <v>12.533333333333331</v>
      </c>
      <c r="R1662" s="56">
        <f t="shared" si="249"/>
        <v>0</v>
      </c>
      <c r="S1662" s="56">
        <f t="shared" si="250"/>
        <v>12.533333333333331</v>
      </c>
      <c r="T1662" s="35" t="s">
        <v>39</v>
      </c>
      <c r="U1662" s="19" t="s">
        <v>1873</v>
      </c>
      <c r="V1662" s="19" t="str">
        <f>IF(OR($H1662="",$H1662="sif",$H1662="PM"),"",VLOOKUP($H1662,[5]CU!$C$5:$J$255,8,FALSE))</f>
        <v>3. Formation</v>
      </c>
      <c r="W1662" s="19" t="s">
        <v>142</v>
      </c>
      <c r="X1662" s="19" t="s">
        <v>142</v>
      </c>
      <c r="Y1662" s="19" t="s">
        <v>32</v>
      </c>
      <c r="Z1662" s="19" t="str">
        <f>A1662 &amp; "-" &amp; VLOOKUP(A1662,[4]PROGRAMMES!$E$1:$F$7,2,FALSE)</f>
        <v>5-Gouvernance et pilotage du secteur</v>
      </c>
      <c r="AA1662" s="19" t="str">
        <f>B1662 &amp; "-" &amp; VLOOKUP(B1662,[4]SOUSPROGRAMMES!$E$1:$F$44,2,FALSE)</f>
        <v>55- Gestion des RH (recrutement, affectation, motivation, fidélisation, gestion de carrières…)</v>
      </c>
      <c r="AB1662" s="19" t="str">
        <f>C1662 &amp; "-" &amp; VLOOKUP(C1662,[4]RESULTATS!$E$1:$F$176,2,FALSE)</f>
        <v>551- Assainissement et harmonisation des bases de données sur les personnels</v>
      </c>
      <c r="AC1662" s="20" t="str">
        <f>D1662 &amp; "-" &amp; VLOOKUP(D1662,[4]STRATEGIES!$E$1:$F$504,2,FALSE)</f>
        <v>5511-Développement d'un dispositif cohérent d'assainissement et d'harmonisation des bases de données existantes (Analyse des bases de données existantes et leur harmonisation MENA)</v>
      </c>
      <c r="AD1662" s="21" t="str">
        <f t="shared" si="240"/>
        <v>55115-Partage et validation des résultats de l'harmonisation des bases de données</v>
      </c>
    </row>
    <row r="1663" spans="1:30" s="22" customFormat="1" ht="45.75" x14ac:dyDescent="0.8">
      <c r="A1663" s="14">
        <v>5</v>
      </c>
      <c r="B1663" s="15">
        <v>55</v>
      </c>
      <c r="C1663" s="15">
        <v>551</v>
      </c>
      <c r="D1663" s="15">
        <v>5512</v>
      </c>
      <c r="E1663" s="14">
        <v>5512</v>
      </c>
      <c r="F1663" s="16" t="s">
        <v>2112</v>
      </c>
      <c r="G1663" s="17"/>
      <c r="H1663" s="17"/>
      <c r="I1663" s="56">
        <v>0</v>
      </c>
      <c r="J1663" s="56"/>
      <c r="K1663" s="56"/>
      <c r="L1663" s="56"/>
      <c r="M1663" s="56"/>
      <c r="N1663" s="56"/>
      <c r="O1663" s="56"/>
      <c r="P1663" s="56"/>
      <c r="Q1663" s="56"/>
      <c r="R1663" s="56"/>
      <c r="S1663" s="56"/>
      <c r="T1663" s="33"/>
      <c r="U1663" s="18"/>
      <c r="V1663" s="19"/>
      <c r="W1663" s="18"/>
      <c r="X1663" s="18"/>
      <c r="Y1663" s="18"/>
      <c r="Z1663" s="19" t="str">
        <f>A1663 &amp; "-" &amp; VLOOKUP(A1663,[4]PROGRAMMES!$E$1:$F$7,2,FALSE)</f>
        <v>5-Gouvernance et pilotage du secteur</v>
      </c>
      <c r="AA1663" s="19" t="str">
        <f>B1663 &amp; "-" &amp; VLOOKUP(B1663,[4]SOUSPROGRAMMES!$E$1:$F$44,2,FALSE)</f>
        <v>55- Gestion des RH (recrutement, affectation, motivation, fidélisation, gestion de carrières…)</v>
      </c>
      <c r="AB1663" s="19" t="str">
        <f>C1663 &amp; "-" &amp; VLOOKUP(C1663,[4]RESULTATS!$E$1:$F$176,2,FALSE)</f>
        <v>551- Assainissement et harmonisation des bases de données sur les personnels</v>
      </c>
      <c r="AC1663" s="20" t="str">
        <f>D1663 &amp; "-" &amp; VLOOKUP(D1663,[4]STRATEGIES!$E$1:$F$504,2,FALSE)</f>
        <v>5512-Conception d'un système intégré d'information</v>
      </c>
      <c r="AD1663" s="21" t="str">
        <f t="shared" si="240"/>
        <v>5512-Conception d'un système intégré d'information</v>
      </c>
    </row>
    <row r="1664" spans="1:30" s="22" customFormat="1" ht="45.75" x14ac:dyDescent="0.8">
      <c r="A1664" s="14">
        <v>5</v>
      </c>
      <c r="B1664" s="15">
        <v>55</v>
      </c>
      <c r="C1664" s="15">
        <v>551</v>
      </c>
      <c r="D1664" s="15">
        <v>5512</v>
      </c>
      <c r="E1664" s="14">
        <v>55121</v>
      </c>
      <c r="F1664" s="16" t="s">
        <v>2113</v>
      </c>
      <c r="G1664" s="21" t="s">
        <v>1239</v>
      </c>
      <c r="H1664" s="17" t="s">
        <v>970</v>
      </c>
      <c r="I1664" s="56">
        <v>0</v>
      </c>
      <c r="J1664" s="56"/>
      <c r="K1664" s="56">
        <f>4*3</f>
        <v>12</v>
      </c>
      <c r="L1664" s="56"/>
      <c r="M1664" s="56">
        <f t="shared" si="248"/>
        <v>12</v>
      </c>
      <c r="N1664" s="56">
        <f>IF(OR(H1664="",H1664="sif",H1664="PM"),0,VLOOKUP(H1664,[5]CU!$C$4:$H$255,6,FALSE))</f>
        <v>10.034934666666667</v>
      </c>
      <c r="O1664" s="56">
        <f t="shared" si="249"/>
        <v>0</v>
      </c>
      <c r="P1664" s="56">
        <f t="shared" si="249"/>
        <v>0</v>
      </c>
      <c r="Q1664" s="56">
        <f t="shared" si="249"/>
        <v>120.41921600000001</v>
      </c>
      <c r="R1664" s="56">
        <f t="shared" si="249"/>
        <v>0</v>
      </c>
      <c r="S1664" s="56">
        <f t="shared" si="250"/>
        <v>120.41921600000001</v>
      </c>
      <c r="T1664" s="35" t="s">
        <v>39</v>
      </c>
      <c r="U1664" s="19" t="s">
        <v>1873</v>
      </c>
      <c r="V1664" s="19" t="str">
        <f>IF(OR($H1664="",$H1664="sif",$H1664="PM"),"",VLOOKUP($H1664,[5]CU!$C$5:$J$255,8,FALSE))</f>
        <v>5. Investissement</v>
      </c>
      <c r="W1664" s="19" t="s">
        <v>142</v>
      </c>
      <c r="X1664" s="19" t="s">
        <v>521</v>
      </c>
      <c r="Y1664" s="19" t="s">
        <v>32</v>
      </c>
      <c r="Z1664" s="19" t="str">
        <f>A1664 &amp; "-" &amp; VLOOKUP(A1664,[4]PROGRAMMES!$E$1:$F$7,2,FALSE)</f>
        <v>5-Gouvernance et pilotage du secteur</v>
      </c>
      <c r="AA1664" s="19" t="str">
        <f>B1664 &amp; "-" &amp; VLOOKUP(B1664,[4]SOUSPROGRAMMES!$E$1:$F$44,2,FALSE)</f>
        <v>55- Gestion des RH (recrutement, affectation, motivation, fidélisation, gestion de carrières…)</v>
      </c>
      <c r="AB1664" s="19" t="str">
        <f>C1664 &amp; "-" &amp; VLOOKUP(C1664,[4]RESULTATS!$E$1:$F$176,2,FALSE)</f>
        <v>551- Assainissement et harmonisation des bases de données sur les personnels</v>
      </c>
      <c r="AC1664" s="20" t="str">
        <f>D1664 &amp; "-" &amp; VLOOKUP(D1664,[4]STRATEGIES!$E$1:$F$504,2,FALSE)</f>
        <v>5512-Conception d'un système intégré d'information</v>
      </c>
      <c r="AD1664" s="21" t="str">
        <f t="shared" si="240"/>
        <v>55121-Acquisition de matériels informatiques et accessoires (ordinateurs fixes) sur la base des travaux sur le SIGE</v>
      </c>
    </row>
    <row r="1665" spans="1:30" s="22" customFormat="1" ht="45" customHeight="1" x14ac:dyDescent="0.8">
      <c r="A1665" s="14">
        <v>5</v>
      </c>
      <c r="B1665" s="15">
        <v>55</v>
      </c>
      <c r="C1665" s="15">
        <v>551</v>
      </c>
      <c r="D1665" s="15">
        <v>5512</v>
      </c>
      <c r="E1665" s="14">
        <v>55122</v>
      </c>
      <c r="F1665" s="16" t="s">
        <v>2114</v>
      </c>
      <c r="G1665" s="21" t="s">
        <v>1239</v>
      </c>
      <c r="H1665" s="17" t="s">
        <v>974</v>
      </c>
      <c r="I1665" s="56">
        <v>0</v>
      </c>
      <c r="J1665" s="56"/>
      <c r="K1665" s="56">
        <v>6</v>
      </c>
      <c r="L1665" s="56"/>
      <c r="M1665" s="56">
        <f t="shared" si="248"/>
        <v>6</v>
      </c>
      <c r="N1665" s="56">
        <f>IF(OR(H1665="",H1665="sif",H1665="PM"),0,VLOOKUP(H1665,[5]CU!$C$4:$H$255,6,FALSE))</f>
        <v>6.333333333333333</v>
      </c>
      <c r="O1665" s="56">
        <f t="shared" si="249"/>
        <v>0</v>
      </c>
      <c r="P1665" s="56">
        <f t="shared" si="249"/>
        <v>0</v>
      </c>
      <c r="Q1665" s="56">
        <f t="shared" si="249"/>
        <v>38</v>
      </c>
      <c r="R1665" s="56">
        <f t="shared" si="249"/>
        <v>0</v>
      </c>
      <c r="S1665" s="56">
        <f t="shared" si="250"/>
        <v>38</v>
      </c>
      <c r="T1665" s="35" t="s">
        <v>39</v>
      </c>
      <c r="U1665" s="19" t="s">
        <v>1873</v>
      </c>
      <c r="V1665" s="19" t="str">
        <f>IF(OR($H1665="",$H1665="sif",$H1665="PM"),"",VLOOKUP($H1665,[5]CU!$C$5:$J$255,8,FALSE))</f>
        <v>5. Investissement</v>
      </c>
      <c r="W1665" s="19" t="s">
        <v>142</v>
      </c>
      <c r="X1665" s="19" t="s">
        <v>521</v>
      </c>
      <c r="Y1665" s="19" t="s">
        <v>32</v>
      </c>
      <c r="Z1665" s="19" t="str">
        <f>A1665 &amp; "-" &amp; VLOOKUP(A1665,[4]PROGRAMMES!$E$1:$F$7,2,FALSE)</f>
        <v>5-Gouvernance et pilotage du secteur</v>
      </c>
      <c r="AA1665" s="19" t="str">
        <f>B1665 &amp; "-" &amp; VLOOKUP(B1665,[4]SOUSPROGRAMMES!$E$1:$F$44,2,FALSE)</f>
        <v>55- Gestion des RH (recrutement, affectation, motivation, fidélisation, gestion de carrières…)</v>
      </c>
      <c r="AB1665" s="19" t="str">
        <f>C1665 &amp; "-" &amp; VLOOKUP(C1665,[4]RESULTATS!$E$1:$F$176,2,FALSE)</f>
        <v>551- Assainissement et harmonisation des bases de données sur les personnels</v>
      </c>
      <c r="AC1665" s="20" t="str">
        <f>D1665 &amp; "-" &amp; VLOOKUP(D1665,[4]STRATEGIES!$E$1:$F$504,2,FALSE)</f>
        <v>5512-Conception d'un système intégré d'information</v>
      </c>
      <c r="AD1665" s="21" t="str">
        <f t="shared" si="240"/>
        <v>55122-Acquisition de matériels informatiques et accessoires (ordinateurs portables) sur la base des travaux sur le SIGE</v>
      </c>
    </row>
    <row r="1666" spans="1:30" s="22" customFormat="1" ht="45" customHeight="1" x14ac:dyDescent="0.8">
      <c r="A1666" s="14">
        <v>5</v>
      </c>
      <c r="B1666" s="15">
        <v>55</v>
      </c>
      <c r="C1666" s="15">
        <v>551</v>
      </c>
      <c r="D1666" s="15">
        <v>5512</v>
      </c>
      <c r="E1666" s="14">
        <v>55123</v>
      </c>
      <c r="F1666" s="16" t="s">
        <v>2115</v>
      </c>
      <c r="G1666" s="21" t="s">
        <v>1239</v>
      </c>
      <c r="H1666" s="17" t="s">
        <v>2116</v>
      </c>
      <c r="I1666" s="56">
        <v>0</v>
      </c>
      <c r="J1666" s="56"/>
      <c r="K1666" s="56">
        <v>1</v>
      </c>
      <c r="L1666" s="56"/>
      <c r="M1666" s="56">
        <f t="shared" si="248"/>
        <v>1</v>
      </c>
      <c r="N1666" s="56">
        <f>IF(OR(H1666="",H1666="sif",H1666="PM"),0,VLOOKUP(H1666,[5]CU!$C$4:$H$255,6,FALSE))</f>
        <v>30</v>
      </c>
      <c r="O1666" s="56">
        <f t="shared" si="249"/>
        <v>0</v>
      </c>
      <c r="P1666" s="56">
        <f t="shared" si="249"/>
        <v>0</v>
      </c>
      <c r="Q1666" s="56">
        <f t="shared" si="249"/>
        <v>30</v>
      </c>
      <c r="R1666" s="56">
        <f t="shared" si="249"/>
        <v>0</v>
      </c>
      <c r="S1666" s="56">
        <f t="shared" si="250"/>
        <v>30</v>
      </c>
      <c r="T1666" s="35" t="s">
        <v>39</v>
      </c>
      <c r="U1666" s="19" t="s">
        <v>1873</v>
      </c>
      <c r="V1666" s="19" t="str">
        <f>IF(OR($H1666="",$H1666="sif",$H1666="PM"),"",VLOOKUP($H1666,[5]CU!$C$5:$J$255,8,FALSE))</f>
        <v>5. Investissement</v>
      </c>
      <c r="W1666" s="19" t="s">
        <v>142</v>
      </c>
      <c r="X1666" s="19" t="s">
        <v>521</v>
      </c>
      <c r="Y1666" s="19" t="s">
        <v>32</v>
      </c>
      <c r="Z1666" s="19" t="str">
        <f>A1666 &amp; "-" &amp; VLOOKUP(A1666,[4]PROGRAMMES!$E$1:$F$7,2,FALSE)</f>
        <v>5-Gouvernance et pilotage du secteur</v>
      </c>
      <c r="AA1666" s="19" t="str">
        <f>B1666 &amp; "-" &amp; VLOOKUP(B1666,[4]SOUSPROGRAMMES!$E$1:$F$44,2,FALSE)</f>
        <v>55- Gestion des RH (recrutement, affectation, motivation, fidélisation, gestion de carrières…)</v>
      </c>
      <c r="AB1666" s="19" t="str">
        <f>C1666 &amp; "-" &amp; VLOOKUP(C1666,[4]RESULTATS!$E$1:$F$176,2,FALSE)</f>
        <v>551- Assainissement et harmonisation des bases de données sur les personnels</v>
      </c>
      <c r="AC1666" s="20" t="str">
        <f>D1666 &amp; "-" &amp; VLOOKUP(D1666,[4]STRATEGIES!$E$1:$F$504,2,FALSE)</f>
        <v>5512-Conception d'un système intégré d'information</v>
      </c>
      <c r="AD1666" s="21" t="str">
        <f t="shared" si="240"/>
        <v>55123-Acquisition de matériels informatiques (serveur)</v>
      </c>
    </row>
    <row r="1667" spans="1:30" s="22" customFormat="1" ht="45" customHeight="1" x14ac:dyDescent="0.8">
      <c r="A1667" s="14">
        <v>5</v>
      </c>
      <c r="B1667" s="15">
        <v>55</v>
      </c>
      <c r="C1667" s="15">
        <v>551</v>
      </c>
      <c r="D1667" s="15">
        <v>5512</v>
      </c>
      <c r="E1667" s="14">
        <v>55124</v>
      </c>
      <c r="F1667" s="16" t="s">
        <v>2117</v>
      </c>
      <c r="G1667" s="21" t="s">
        <v>1996</v>
      </c>
      <c r="H1667" s="17" t="s">
        <v>1997</v>
      </c>
      <c r="I1667" s="56">
        <v>0</v>
      </c>
      <c r="J1667" s="56">
        <v>1</v>
      </c>
      <c r="K1667" s="56">
        <v>1</v>
      </c>
      <c r="L1667" s="56">
        <v>1</v>
      </c>
      <c r="M1667" s="56">
        <f t="shared" si="248"/>
        <v>3</v>
      </c>
      <c r="N1667" s="56">
        <f>IF(OR(H1667="",H1667="sif",H1667="PM"),0,VLOOKUP(H1667,[5]CU!$C$4:$H$255,6,FALSE))</f>
        <v>24</v>
      </c>
      <c r="O1667" s="56">
        <f t="shared" si="249"/>
        <v>0</v>
      </c>
      <c r="P1667" s="56">
        <f t="shared" si="249"/>
        <v>24</v>
      </c>
      <c r="Q1667" s="56">
        <f t="shared" si="249"/>
        <v>24</v>
      </c>
      <c r="R1667" s="56">
        <f t="shared" si="249"/>
        <v>24</v>
      </c>
      <c r="S1667" s="56">
        <f t="shared" si="250"/>
        <v>72</v>
      </c>
      <c r="T1667" s="35" t="s">
        <v>39</v>
      </c>
      <c r="U1667" s="19" t="s">
        <v>1873</v>
      </c>
      <c r="V1667" s="19" t="str">
        <f>IF(OR($H1667="",$H1667="sif",$H1667="PM"),"",VLOOKUP($H1667,[5]CU!$C$5:$J$255,8,FALSE))</f>
        <v>3. Dépenses de fonctionnement</v>
      </c>
      <c r="W1667" s="19" t="s">
        <v>142</v>
      </c>
      <c r="X1667" s="19" t="s">
        <v>521</v>
      </c>
      <c r="Y1667" s="19" t="s">
        <v>32</v>
      </c>
      <c r="Z1667" s="19" t="str">
        <f>A1667 &amp; "-" &amp; VLOOKUP(A1667,[4]PROGRAMMES!$E$1:$F$7,2,FALSE)</f>
        <v>5-Gouvernance et pilotage du secteur</v>
      </c>
      <c r="AA1667" s="19" t="str">
        <f>B1667 &amp; "-" &amp; VLOOKUP(B1667,[4]SOUSPROGRAMMES!$E$1:$F$44,2,FALSE)</f>
        <v>55- Gestion des RH (recrutement, affectation, motivation, fidélisation, gestion de carrières…)</v>
      </c>
      <c r="AB1667" s="19" t="str">
        <f>C1667 &amp; "-" &amp; VLOOKUP(C1667,[4]RESULTATS!$E$1:$F$176,2,FALSE)</f>
        <v>551- Assainissement et harmonisation des bases de données sur les personnels</v>
      </c>
      <c r="AC1667" s="20" t="str">
        <f>D1667 &amp; "-" &amp; VLOOKUP(D1667,[4]STRATEGIES!$E$1:$F$504,2,FALSE)</f>
        <v>5512-Conception d'un système intégré d'information</v>
      </c>
      <c r="AD1667" s="21" t="str">
        <f t="shared" si="240"/>
        <v>55124-Accès stable à internet de la GRH</v>
      </c>
    </row>
    <row r="1668" spans="1:30" s="22" customFormat="1" ht="45.75" x14ac:dyDescent="0.8">
      <c r="A1668" s="14">
        <v>5</v>
      </c>
      <c r="B1668" s="15">
        <v>55</v>
      </c>
      <c r="C1668" s="15">
        <v>551</v>
      </c>
      <c r="D1668" s="15">
        <v>5513</v>
      </c>
      <c r="E1668" s="14">
        <v>5513</v>
      </c>
      <c r="F1668" s="16" t="s">
        <v>2118</v>
      </c>
      <c r="G1668" s="17"/>
      <c r="H1668" s="17"/>
      <c r="I1668" s="56">
        <v>0</v>
      </c>
      <c r="J1668" s="56"/>
      <c r="K1668" s="56"/>
      <c r="L1668" s="56"/>
      <c r="M1668" s="56"/>
      <c r="N1668" s="56"/>
      <c r="O1668" s="56"/>
      <c r="P1668" s="56"/>
      <c r="Q1668" s="56"/>
      <c r="R1668" s="56"/>
      <c r="S1668" s="56"/>
      <c r="T1668" s="33"/>
      <c r="U1668" s="18"/>
      <c r="V1668" s="19"/>
      <c r="W1668" s="18"/>
      <c r="X1668" s="18"/>
      <c r="Y1668" s="18"/>
      <c r="Z1668" s="19" t="str">
        <f>A1668 &amp; "-" &amp; VLOOKUP(A1668,[4]PROGRAMMES!$E$1:$F$7,2,FALSE)</f>
        <v>5-Gouvernance et pilotage du secteur</v>
      </c>
      <c r="AA1668" s="19" t="str">
        <f>B1668 &amp; "-" &amp; VLOOKUP(B1668,[4]SOUSPROGRAMMES!$E$1:$F$44,2,FALSE)</f>
        <v>55- Gestion des RH (recrutement, affectation, motivation, fidélisation, gestion de carrières…)</v>
      </c>
      <c r="AB1668" s="19" t="str">
        <f>C1668 &amp; "-" &amp; VLOOKUP(C1668,[4]RESULTATS!$E$1:$F$176,2,FALSE)</f>
        <v>551- Assainissement et harmonisation des bases de données sur les personnels</v>
      </c>
      <c r="AC1668" s="20" t="str">
        <f>D1668 &amp; "-" &amp; VLOOKUP(D1668,[4]STRATEGIES!$E$1:$F$504,2,FALSE)</f>
        <v>5513-Formation des gestionnaires et utilisateurs des bases à leur exploitation</v>
      </c>
      <c r="AD1668" s="21" t="str">
        <f t="shared" ref="AD1668:AD1731" si="251">E1668 &amp; "-" &amp; F1668</f>
        <v>5513-Formation des gestionnaires et utilisateurs des bases à leur exploitation</v>
      </c>
    </row>
    <row r="1669" spans="1:30" s="22" customFormat="1" ht="45.75" hidden="1" x14ac:dyDescent="0.8">
      <c r="A1669" s="14">
        <v>5</v>
      </c>
      <c r="B1669" s="15">
        <v>55</v>
      </c>
      <c r="C1669" s="15">
        <v>551</v>
      </c>
      <c r="D1669" s="15">
        <v>5513</v>
      </c>
      <c r="E1669" s="14"/>
      <c r="F1669" s="16" t="s">
        <v>2119</v>
      </c>
      <c r="G1669" s="21"/>
      <c r="H1669" s="17"/>
      <c r="I1669" s="56">
        <v>0</v>
      </c>
      <c r="J1669" s="56"/>
      <c r="K1669" s="56"/>
      <c r="L1669" s="56"/>
      <c r="M1669" s="56"/>
      <c r="N1669" s="56" t="str">
        <f>IF(OR(H1669="",H1669="sif",H1669="PM"),"",VLOOKUP(H1669,[5]CU!$C$4:$H$255,6,FALSE))</f>
        <v/>
      </c>
      <c r="O1669" s="56"/>
      <c r="P1669" s="56"/>
      <c r="Q1669" s="56"/>
      <c r="R1669" s="56"/>
      <c r="S1669" s="56"/>
      <c r="T1669" s="35" t="s">
        <v>56</v>
      </c>
      <c r="U1669" s="18" t="s">
        <v>1873</v>
      </c>
      <c r="V1669" s="19" t="str">
        <f>IF(OR($H1669="",$H1669="sif",$H1669="PM"),"",VLOOKUP($H1669,[5]CU!$C$5:$J$255,8,FALSE))</f>
        <v/>
      </c>
      <c r="W1669" s="18" t="s">
        <v>96</v>
      </c>
      <c r="X1669" s="18" t="s">
        <v>96</v>
      </c>
      <c r="Y1669" s="19" t="s">
        <v>32</v>
      </c>
      <c r="Z1669" s="19" t="str">
        <f>A1669 &amp; "-" &amp; VLOOKUP(A1669,[4]PROGRAMMES!$E$1:$F$7,2,FALSE)</f>
        <v>5-Gouvernance et pilotage du secteur</v>
      </c>
      <c r="AA1669" s="19" t="str">
        <f>B1669 &amp; "-" &amp; VLOOKUP(B1669,[4]SOUSPROGRAMMES!$E$1:$F$44,2,FALSE)</f>
        <v>55- Gestion des RH (recrutement, affectation, motivation, fidélisation, gestion de carrières…)</v>
      </c>
      <c r="AB1669" s="19" t="str">
        <f>C1669 &amp; "-" &amp; VLOOKUP(C1669,[4]RESULTATS!$E$1:$F$176,2,FALSE)</f>
        <v>551- Assainissement et harmonisation des bases de données sur les personnels</v>
      </c>
      <c r="AC1669" s="20" t="str">
        <f>D1669 &amp; "-" &amp; VLOOKUP(D1669,[4]STRATEGIES!$E$1:$F$504,2,FALSE)</f>
        <v>5513-Formation des gestionnaires et utilisateurs des bases à leur exploitation</v>
      </c>
      <c r="AD1669" s="21" t="str">
        <f t="shared" si="251"/>
        <v>-voir activités 53126 et 53127</v>
      </c>
    </row>
    <row r="1670" spans="1:30" s="22" customFormat="1" ht="45" customHeight="1" x14ac:dyDescent="0.8">
      <c r="A1670" s="14">
        <v>5</v>
      </c>
      <c r="B1670" s="15">
        <v>55</v>
      </c>
      <c r="C1670" s="15">
        <v>552</v>
      </c>
      <c r="D1670" s="15">
        <v>552</v>
      </c>
      <c r="E1670" s="14">
        <v>552</v>
      </c>
      <c r="F1670" s="16" t="s">
        <v>2120</v>
      </c>
      <c r="G1670" s="17"/>
      <c r="H1670" s="17"/>
      <c r="I1670" s="56">
        <v>0</v>
      </c>
      <c r="J1670" s="56"/>
      <c r="K1670" s="56"/>
      <c r="L1670" s="56"/>
      <c r="M1670" s="56"/>
      <c r="N1670" s="56"/>
      <c r="O1670" s="56"/>
      <c r="P1670" s="56"/>
      <c r="Q1670" s="56"/>
      <c r="R1670" s="56"/>
      <c r="S1670" s="56"/>
      <c r="T1670" s="33"/>
      <c r="U1670" s="18"/>
      <c r="V1670" s="19"/>
      <c r="W1670" s="18"/>
      <c r="X1670" s="18"/>
      <c r="Y1670" s="18"/>
      <c r="Z1670" s="19" t="str">
        <f>A1670 &amp; "-" &amp; VLOOKUP(A1670,[4]PROGRAMMES!$E$1:$F$7,2,FALSE)</f>
        <v>5-Gouvernance et pilotage du secteur</v>
      </c>
      <c r="AA1670" s="19" t="str">
        <f>B1670 &amp; "-" &amp; VLOOKUP(B1670,[4]SOUSPROGRAMMES!$E$1:$F$44,2,FALSE)</f>
        <v>55- Gestion des RH (recrutement, affectation, motivation, fidélisation, gestion de carrières…)</v>
      </c>
      <c r="AB1670" s="19" t="str">
        <f>C1670 &amp; "-" &amp; VLOOKUP(C1670,[4]RESULTATS!$E$1:$F$176,2,FALSE)</f>
        <v xml:space="preserve">552- La politique nationale de la question enseignante est définie, validée et progressivement mise en œuvre </v>
      </c>
      <c r="AC1670" s="20" t="str">
        <f>D1670 &amp; "-" &amp; VLOOKUP(D1670,[4]STRATEGIES!$E$1:$F$504,2,FALSE)</f>
        <v xml:space="preserve">552- La politique nationale de la question enseignante est définie, validée et progressivement mise en œuvre </v>
      </c>
      <c r="AD1670" s="21" t="str">
        <f t="shared" si="251"/>
        <v xml:space="preserve">552- La politique nationale de la question enseignante est déFinie, validée et progressivement mise en œuvre </v>
      </c>
    </row>
    <row r="1671" spans="1:30" s="22" customFormat="1" ht="45" customHeight="1" x14ac:dyDescent="0.8">
      <c r="A1671" s="14">
        <v>5</v>
      </c>
      <c r="B1671" s="15">
        <v>55</v>
      </c>
      <c r="C1671" s="15">
        <v>552</v>
      </c>
      <c r="D1671" s="15">
        <v>5521</v>
      </c>
      <c r="E1671" s="14">
        <v>5521</v>
      </c>
      <c r="F1671" s="16" t="s">
        <v>2121</v>
      </c>
      <c r="G1671" s="17"/>
      <c r="H1671" s="17"/>
      <c r="I1671" s="56">
        <v>0</v>
      </c>
      <c r="J1671" s="56"/>
      <c r="K1671" s="56"/>
      <c r="L1671" s="56"/>
      <c r="M1671" s="56"/>
      <c r="N1671" s="56"/>
      <c r="O1671" s="56"/>
      <c r="P1671" s="56"/>
      <c r="Q1671" s="56"/>
      <c r="R1671" s="56"/>
      <c r="S1671" s="56"/>
      <c r="T1671" s="33"/>
      <c r="U1671" s="18"/>
      <c r="V1671" s="19"/>
      <c r="W1671" s="18"/>
      <c r="X1671" s="18"/>
      <c r="Y1671" s="18"/>
      <c r="Z1671" s="19" t="str">
        <f>A1671 &amp; "-" &amp; VLOOKUP(A1671,[4]PROGRAMMES!$E$1:$F$7,2,FALSE)</f>
        <v>5-Gouvernance et pilotage du secteur</v>
      </c>
      <c r="AA1671" s="19" t="str">
        <f>B1671 &amp; "-" &amp; VLOOKUP(B1671,[4]SOUSPROGRAMMES!$E$1:$F$44,2,FALSE)</f>
        <v>55- Gestion des RH (recrutement, affectation, motivation, fidélisation, gestion de carrières…)</v>
      </c>
      <c r="AB1671" s="19" t="str">
        <f>C1671 &amp; "-" &amp; VLOOKUP(C1671,[4]RESULTATS!$E$1:$F$176,2,FALSE)</f>
        <v xml:space="preserve">552- La politique nationale de la question enseignante est définie, validée et progressivement mise en œuvre </v>
      </c>
      <c r="AC1671" s="20" t="str">
        <f>D1671 &amp; "-" &amp; VLOOKUP(D1671,[4]STRATEGIES!$E$1:$F$504,2,FALSE)</f>
        <v>5521-Elaboration d'un état des lieux de la gestion des enseigants du primaire</v>
      </c>
      <c r="AD1671" s="21" t="str">
        <f t="shared" si="251"/>
        <v>5521-Elaboration d'un état des lieux de la gestion des enseigants du primaire</v>
      </c>
    </row>
    <row r="1672" spans="1:30" s="22" customFormat="1" ht="45" customHeight="1" x14ac:dyDescent="0.8">
      <c r="A1672" s="14">
        <v>5</v>
      </c>
      <c r="B1672" s="15">
        <v>55</v>
      </c>
      <c r="C1672" s="15">
        <v>552</v>
      </c>
      <c r="D1672" s="15">
        <v>5521</v>
      </c>
      <c r="E1672" s="14">
        <v>55211</v>
      </c>
      <c r="F1672" s="16" t="s">
        <v>2122</v>
      </c>
      <c r="G1672" s="21" t="s">
        <v>991</v>
      </c>
      <c r="H1672" s="17" t="s">
        <v>2123</v>
      </c>
      <c r="I1672" s="56">
        <v>0</v>
      </c>
      <c r="J1672" s="56"/>
      <c r="K1672" s="56"/>
      <c r="L1672" s="56"/>
      <c r="M1672" s="56">
        <f t="shared" ref="M1672:M1730" si="252">SUM(I1672:L1672)</f>
        <v>0</v>
      </c>
      <c r="N1672" s="56">
        <f>IF(OR(H1672="",H1672="sif",H1672="PM"),0,VLOOKUP(H1672,[5]CU!$C$4:$H$255,6,FALSE))</f>
        <v>1207.5</v>
      </c>
      <c r="O1672" s="56">
        <f t="shared" ref="O1672:R1730" si="253">IFERROR($N1672*I1672,0)</f>
        <v>0</v>
      </c>
      <c r="P1672" s="56">
        <f t="shared" si="253"/>
        <v>0</v>
      </c>
      <c r="Q1672" s="56">
        <f t="shared" si="253"/>
        <v>0</v>
      </c>
      <c r="R1672" s="56">
        <f t="shared" si="253"/>
        <v>0</v>
      </c>
      <c r="S1672" s="56">
        <f>SUM(O1672:R1672)</f>
        <v>0</v>
      </c>
      <c r="T1672" s="35" t="s">
        <v>221</v>
      </c>
      <c r="U1672" s="18" t="s">
        <v>1873</v>
      </c>
      <c r="V1672" s="19" t="str">
        <f>IF(OR($H1672="",$H1672="sif",$H1672="PM"),"",VLOOKUP($H1672,[5]CU!$C$5:$J$255,8,FALSE))</f>
        <v>3. Dépenses de fonctionnement</v>
      </c>
      <c r="W1672" s="18" t="s">
        <v>142</v>
      </c>
      <c r="X1672" s="18" t="s">
        <v>142</v>
      </c>
      <c r="Y1672" s="19" t="s">
        <v>32</v>
      </c>
      <c r="Z1672" s="19" t="str">
        <f>A1672 &amp; "-" &amp; VLOOKUP(A1672,[4]PROGRAMMES!$E$1:$F$7,2,FALSE)</f>
        <v>5-Gouvernance et pilotage du secteur</v>
      </c>
      <c r="AA1672" s="19" t="str">
        <f>B1672 &amp; "-" &amp; VLOOKUP(B1672,[4]SOUSPROGRAMMES!$E$1:$F$44,2,FALSE)</f>
        <v>55- Gestion des RH (recrutement, affectation, motivation, fidélisation, gestion de carrières…)</v>
      </c>
      <c r="AB1672" s="19" t="str">
        <f>C1672 &amp; "-" &amp; VLOOKUP(C1672,[4]RESULTATS!$E$1:$F$176,2,FALSE)</f>
        <v xml:space="preserve">552- La politique nationale de la question enseignante est définie, validée et progressivement mise en œuvre </v>
      </c>
      <c r="AC1672" s="20" t="str">
        <f>D1672 &amp; "-" &amp; VLOOKUP(D1672,[4]STRATEGIES!$E$1:$F$504,2,FALSE)</f>
        <v>5521-Elaboration d'un état des lieux de la gestion des enseigants du primaire</v>
      </c>
      <c r="AD1672" s="21" t="str">
        <f t="shared" si="251"/>
        <v>55211-Etude sur la gestion des enseignants au primaire</v>
      </c>
    </row>
    <row r="1673" spans="1:30" s="22" customFormat="1" ht="45" customHeight="1" x14ac:dyDescent="0.8">
      <c r="A1673" s="14">
        <v>5</v>
      </c>
      <c r="B1673" s="15">
        <v>55</v>
      </c>
      <c r="C1673" s="15">
        <v>552</v>
      </c>
      <c r="D1673" s="15">
        <v>5521</v>
      </c>
      <c r="E1673" s="14">
        <v>55212</v>
      </c>
      <c r="F1673" s="16" t="s">
        <v>2124</v>
      </c>
      <c r="G1673" s="21" t="s">
        <v>298</v>
      </c>
      <c r="H1673" s="17" t="s">
        <v>38</v>
      </c>
      <c r="I1673" s="56">
        <v>0</v>
      </c>
      <c r="J1673" s="56"/>
      <c r="K1673" s="56">
        <v>1</v>
      </c>
      <c r="L1673" s="56">
        <v>1</v>
      </c>
      <c r="M1673" s="56">
        <f t="shared" si="252"/>
        <v>2</v>
      </c>
      <c r="N1673" s="56">
        <f>IF(OR(H1673="",H1673="sif",H1673="PM"),0,VLOOKUP(H1673,[5]CU!$C$4:$H$255,6,FALSE))</f>
        <v>0.3133333333333333</v>
      </c>
      <c r="O1673" s="56">
        <f t="shared" si="253"/>
        <v>0</v>
      </c>
      <c r="P1673" s="56">
        <f t="shared" si="253"/>
        <v>0</v>
      </c>
      <c r="Q1673" s="56">
        <f t="shared" si="253"/>
        <v>0.3133333333333333</v>
      </c>
      <c r="R1673" s="56">
        <f t="shared" si="253"/>
        <v>0.3133333333333333</v>
      </c>
      <c r="S1673" s="56">
        <f>SUM(O1673:R1673)</f>
        <v>0.62666666666666659</v>
      </c>
      <c r="T1673" s="35" t="s">
        <v>118</v>
      </c>
      <c r="U1673" s="18" t="s">
        <v>1873</v>
      </c>
      <c r="V1673" s="19" t="str">
        <f>IF(OR($H1673="",$H1673="sif",$H1673="PM"),"",VLOOKUP($H1673,[5]CU!$C$5:$J$255,8,FALSE))</f>
        <v>3. Formation</v>
      </c>
      <c r="W1673" s="18" t="s">
        <v>273</v>
      </c>
      <c r="X1673" s="18" t="s">
        <v>273</v>
      </c>
      <c r="Y1673" s="19" t="s">
        <v>32</v>
      </c>
      <c r="Z1673" s="19" t="str">
        <f>A1673 &amp; "-" &amp; VLOOKUP(A1673,[4]PROGRAMMES!$E$1:$F$7,2,FALSE)</f>
        <v>5-Gouvernance et pilotage du secteur</v>
      </c>
      <c r="AA1673" s="19" t="str">
        <f>B1673 &amp; "-" &amp; VLOOKUP(B1673,[4]SOUSPROGRAMMES!$E$1:$F$44,2,FALSE)</f>
        <v>55- Gestion des RH (recrutement, affectation, motivation, fidélisation, gestion de carrières…)</v>
      </c>
      <c r="AB1673" s="19" t="str">
        <f>C1673 &amp; "-" &amp; VLOOKUP(C1673,[4]RESULTATS!$E$1:$F$176,2,FALSE)</f>
        <v xml:space="preserve">552- La politique nationale de la question enseignante est définie, validée et progressivement mise en œuvre </v>
      </c>
      <c r="AC1673" s="20" t="str">
        <f>D1673 &amp; "-" &amp; VLOOKUP(D1673,[4]STRATEGIES!$E$1:$F$504,2,FALSE)</f>
        <v>5521-Elaboration d'un état des lieux de la gestion des enseigants du primaire</v>
      </c>
      <c r="AD1673" s="21" t="str">
        <f t="shared" si="251"/>
        <v>55212-vulgarisation des résultats de l'étude sur la gestion des enseignants au primaire</v>
      </c>
    </row>
    <row r="1674" spans="1:30" s="22" customFormat="1" ht="45" customHeight="1" x14ac:dyDescent="0.8">
      <c r="A1674" s="14">
        <v>5</v>
      </c>
      <c r="B1674" s="15">
        <v>55</v>
      </c>
      <c r="C1674" s="15">
        <v>552</v>
      </c>
      <c r="D1674" s="15">
        <v>5522</v>
      </c>
      <c r="E1674" s="14">
        <v>5522</v>
      </c>
      <c r="F1674" s="16" t="s">
        <v>2125</v>
      </c>
      <c r="G1674" s="17"/>
      <c r="H1674" s="17"/>
      <c r="I1674" s="56">
        <v>0</v>
      </c>
      <c r="J1674" s="56"/>
      <c r="K1674" s="56"/>
      <c r="L1674" s="56"/>
      <c r="M1674" s="56"/>
      <c r="N1674" s="56"/>
      <c r="O1674" s="56"/>
      <c r="P1674" s="56"/>
      <c r="Q1674" s="56"/>
      <c r="R1674" s="56"/>
      <c r="S1674" s="56"/>
      <c r="T1674" s="33"/>
      <c r="U1674" s="18"/>
      <c r="V1674" s="19"/>
      <c r="W1674" s="18"/>
      <c r="X1674" s="18"/>
      <c r="Y1674" s="18"/>
      <c r="Z1674" s="19" t="str">
        <f>A1674 &amp; "-" &amp; VLOOKUP(A1674,[4]PROGRAMMES!$E$1:$F$7,2,FALSE)</f>
        <v>5-Gouvernance et pilotage du secteur</v>
      </c>
      <c r="AA1674" s="19" t="str">
        <f>B1674 &amp; "-" &amp; VLOOKUP(B1674,[4]SOUSPROGRAMMES!$E$1:$F$44,2,FALSE)</f>
        <v>55- Gestion des RH (recrutement, affectation, motivation, fidélisation, gestion de carrières…)</v>
      </c>
      <c r="AB1674" s="19" t="str">
        <f>C1674 &amp; "-" &amp; VLOOKUP(C1674,[4]RESULTATS!$E$1:$F$176,2,FALSE)</f>
        <v xml:space="preserve">552- La politique nationale de la question enseignante est définie, validée et progressivement mise en œuvre </v>
      </c>
      <c r="AC1674" s="20" t="str">
        <f>D1674 &amp; "-" &amp; VLOOKUP(D1674,[4]STRATEGIES!$E$1:$F$504,2,FALSE)</f>
        <v>5522-Développement et validation de la politique nationale des enseigants</v>
      </c>
      <c r="AD1674" s="21" t="str">
        <f t="shared" si="251"/>
        <v>5522-Développement et validation de la politique nationale des enseigants</v>
      </c>
    </row>
    <row r="1675" spans="1:30" s="22" customFormat="1" ht="45" customHeight="1" x14ac:dyDescent="0.8">
      <c r="A1675" s="14">
        <v>5</v>
      </c>
      <c r="B1675" s="15">
        <v>55</v>
      </c>
      <c r="C1675" s="15">
        <v>552</v>
      </c>
      <c r="D1675" s="15">
        <v>5522</v>
      </c>
      <c r="E1675" s="14">
        <v>55221</v>
      </c>
      <c r="F1675" s="16" t="s">
        <v>2126</v>
      </c>
      <c r="G1675" s="21" t="s">
        <v>843</v>
      </c>
      <c r="H1675" s="17" t="s">
        <v>2127</v>
      </c>
      <c r="I1675" s="56">
        <v>0</v>
      </c>
      <c r="J1675" s="56"/>
      <c r="K1675" s="56"/>
      <c r="L1675" s="56"/>
      <c r="M1675" s="56">
        <f>SUM(I1675:L1675)</f>
        <v>0</v>
      </c>
      <c r="N1675" s="56">
        <f>IF(OR(H1675="",H1675="sif",H1675="PM"),0,VLOOKUP(H1675,[5]CU!$C$4:$H$255,6,FALSE))</f>
        <v>1006.58635</v>
      </c>
      <c r="O1675" s="56">
        <f>IFERROR($N1675*I1675,0)</f>
        <v>0</v>
      </c>
      <c r="P1675" s="56">
        <f>IFERROR($N1675*J1675,0)</f>
        <v>0</v>
      </c>
      <c r="Q1675" s="56">
        <f>IFERROR($N1675*K1675,0)</f>
        <v>0</v>
      </c>
      <c r="R1675" s="56">
        <f>IFERROR($N1675*L1675,0)</f>
        <v>0</v>
      </c>
      <c r="S1675" s="56">
        <f>SUM(O1675:R1675)</f>
        <v>0</v>
      </c>
      <c r="T1675" s="35" t="s">
        <v>2128</v>
      </c>
      <c r="U1675" s="18" t="s">
        <v>1873</v>
      </c>
      <c r="V1675" s="19" t="str">
        <f>IF(OR($H1675="",$H1675="sif",$H1675="PM"),"",VLOOKUP($H1675,[5]CU!$C$5:$J$255,8,FALSE))</f>
        <v>3. Dépenses de fonctionnement</v>
      </c>
      <c r="W1675" s="18" t="s">
        <v>273</v>
      </c>
      <c r="X1675" s="18" t="s">
        <v>273</v>
      </c>
      <c r="Y1675" s="19" t="s">
        <v>32</v>
      </c>
      <c r="Z1675" s="19" t="str">
        <f>A1675 &amp; "-" &amp; VLOOKUP(A1675,[4]PROGRAMMES!$E$1:$F$7,2,FALSE)</f>
        <v>5-Gouvernance et pilotage du secteur</v>
      </c>
      <c r="AA1675" s="19" t="str">
        <f>B1675 &amp; "-" &amp; VLOOKUP(B1675,[4]SOUSPROGRAMMES!$E$1:$F$44,2,FALSE)</f>
        <v>55- Gestion des RH (recrutement, affectation, motivation, fidélisation, gestion de carrières…)</v>
      </c>
      <c r="AB1675" s="19" t="str">
        <f>C1675 &amp; "-" &amp; VLOOKUP(C1675,[4]RESULTATS!$E$1:$F$176,2,FALSE)</f>
        <v xml:space="preserve">552- La politique nationale de la question enseignante est définie, validée et progressivement mise en œuvre </v>
      </c>
      <c r="AC1675" s="20" t="str">
        <f>D1675 &amp; "-" &amp; VLOOKUP(D1675,[4]STRATEGIES!$E$1:$F$504,2,FALSE)</f>
        <v>5522-Développement et validation de la politique nationale des enseigants</v>
      </c>
      <c r="AD1675" s="21" t="str">
        <f t="shared" si="251"/>
        <v>55221-Elaboration, validation et dissémination de la politique holistique sur la profession enseignante</v>
      </c>
    </row>
    <row r="1676" spans="1:30" s="22" customFormat="1" ht="45" hidden="1" customHeight="1" x14ac:dyDescent="0.8">
      <c r="A1676" s="14">
        <v>5</v>
      </c>
      <c r="B1676" s="15">
        <v>55</v>
      </c>
      <c r="C1676" s="15">
        <v>552</v>
      </c>
      <c r="D1676" s="15">
        <v>5522</v>
      </c>
      <c r="E1676" s="14">
        <v>55221</v>
      </c>
      <c r="F1676" s="16" t="s">
        <v>2126</v>
      </c>
      <c r="G1676" s="21" t="s">
        <v>843</v>
      </c>
      <c r="H1676" s="17" t="s">
        <v>2127</v>
      </c>
      <c r="I1676" s="56">
        <v>0</v>
      </c>
      <c r="J1676" s="56"/>
      <c r="K1676" s="56"/>
      <c r="L1676" s="56"/>
      <c r="M1676" s="56">
        <f t="shared" si="252"/>
        <v>0</v>
      </c>
      <c r="N1676" s="56">
        <f>IF(OR(H1676="",H1676="sif",H1676="PM"),0,VLOOKUP(H1676,[5]CU!$C$4:$H$255,6,FALSE))</f>
        <v>1006.58635</v>
      </c>
      <c r="O1676" s="56">
        <f t="shared" si="253"/>
        <v>0</v>
      </c>
      <c r="P1676" s="56">
        <f t="shared" si="253"/>
        <v>0</v>
      </c>
      <c r="Q1676" s="56">
        <f t="shared" si="253"/>
        <v>0</v>
      </c>
      <c r="R1676" s="56">
        <f t="shared" si="253"/>
        <v>0</v>
      </c>
      <c r="S1676" s="56">
        <f>SUM(O1676:R1676)</f>
        <v>0</v>
      </c>
      <c r="T1676" s="35" t="s">
        <v>178</v>
      </c>
      <c r="U1676" s="18" t="s">
        <v>1873</v>
      </c>
      <c r="V1676" s="19" t="str">
        <f>IF(OR($H1676="",$H1676="sif",$H1676="PM"),"",VLOOKUP($H1676,[5]CU!$C$5:$J$255,8,FALSE))</f>
        <v>3. Dépenses de fonctionnement</v>
      </c>
      <c r="W1676" s="18" t="s">
        <v>273</v>
      </c>
      <c r="X1676" s="18" t="s">
        <v>273</v>
      </c>
      <c r="Y1676" s="19" t="s">
        <v>32</v>
      </c>
      <c r="Z1676" s="19" t="str">
        <f>A1676 &amp; "-" &amp; VLOOKUP(A1676,[4]PROGRAMMES!$E$1:$F$7,2,FALSE)</f>
        <v>5-Gouvernance et pilotage du secteur</v>
      </c>
      <c r="AA1676" s="19" t="str">
        <f>B1676 &amp; "-" &amp; VLOOKUP(B1676,[4]SOUSPROGRAMMES!$E$1:$F$44,2,FALSE)</f>
        <v>55- Gestion des RH (recrutement, affectation, motivation, fidélisation, gestion de carrières…)</v>
      </c>
      <c r="AB1676" s="19" t="str">
        <f>C1676 &amp; "-" &amp; VLOOKUP(C1676,[4]RESULTATS!$E$1:$F$176,2,FALSE)</f>
        <v xml:space="preserve">552- La politique nationale de la question enseignante est définie, validée et progressivement mise en œuvre </v>
      </c>
      <c r="AC1676" s="20" t="str">
        <f>D1676 &amp; "-" &amp; VLOOKUP(D1676,[4]STRATEGIES!$E$1:$F$504,2,FALSE)</f>
        <v>5522-Développement et validation de la politique nationale des enseigants</v>
      </c>
      <c r="AD1676" s="21" t="str">
        <f t="shared" si="251"/>
        <v>55221-Elaboration, validation et dissémination de la politique holistique sur la profession enseignante</v>
      </c>
    </row>
    <row r="1677" spans="1:30" s="22" customFormat="1" ht="45" customHeight="1" x14ac:dyDescent="0.8">
      <c r="A1677" s="14">
        <v>5</v>
      </c>
      <c r="B1677" s="15">
        <v>55</v>
      </c>
      <c r="C1677" s="15">
        <v>552</v>
      </c>
      <c r="D1677" s="15">
        <v>5523</v>
      </c>
      <c r="E1677" s="14">
        <v>5523</v>
      </c>
      <c r="F1677" s="16" t="s">
        <v>2129</v>
      </c>
      <c r="G1677" s="17"/>
      <c r="H1677" s="17"/>
      <c r="I1677" s="56">
        <v>0</v>
      </c>
      <c r="J1677" s="56"/>
      <c r="K1677" s="56"/>
      <c r="L1677" s="56"/>
      <c r="M1677" s="56"/>
      <c r="N1677" s="56"/>
      <c r="O1677" s="56"/>
      <c r="P1677" s="56"/>
      <c r="Q1677" s="56"/>
      <c r="R1677" s="56"/>
      <c r="S1677" s="56"/>
      <c r="T1677" s="33"/>
      <c r="U1677" s="18"/>
      <c r="V1677" s="19"/>
      <c r="W1677" s="18"/>
      <c r="X1677" s="18"/>
      <c r="Y1677" s="18"/>
      <c r="Z1677" s="19" t="str">
        <f>A1677 &amp; "-" &amp; VLOOKUP(A1677,[4]PROGRAMMES!$E$1:$F$7,2,FALSE)</f>
        <v>5-Gouvernance et pilotage du secteur</v>
      </c>
      <c r="AA1677" s="19" t="str">
        <f>B1677 &amp; "-" &amp; VLOOKUP(B1677,[4]SOUSPROGRAMMES!$E$1:$F$44,2,FALSE)</f>
        <v>55- Gestion des RH (recrutement, affectation, motivation, fidélisation, gestion de carrières…)</v>
      </c>
      <c r="AB1677" s="19" t="str">
        <f>C1677 &amp; "-" &amp; VLOOKUP(C1677,[4]RESULTATS!$E$1:$F$176,2,FALSE)</f>
        <v xml:space="preserve">552- La politique nationale de la question enseignante est définie, validée et progressivement mise en œuvre </v>
      </c>
      <c r="AC1677" s="20" t="str">
        <f>D1677 &amp; "-" &amp; VLOOKUP(D1677,[4]STRATEGIES!$E$1:$F$504,2,FALSE)</f>
        <v>5523-Mettre en place les conditions nécessaires pour rendre attractive le métier d'enseignant</v>
      </c>
      <c r="AD1677" s="21" t="str">
        <f t="shared" si="251"/>
        <v>5523-Mettre en place les conditions nécessaires pour rendre attractive le métier d'enseignant</v>
      </c>
    </row>
    <row r="1678" spans="1:30" s="22" customFormat="1" ht="45" hidden="1" customHeight="1" x14ac:dyDescent="0.8">
      <c r="A1678" s="14">
        <v>5</v>
      </c>
      <c r="B1678" s="15">
        <v>55</v>
      </c>
      <c r="C1678" s="15">
        <v>552</v>
      </c>
      <c r="D1678" s="15">
        <v>5523</v>
      </c>
      <c r="E1678" s="14">
        <v>55231</v>
      </c>
      <c r="F1678" s="16" t="s">
        <v>2130</v>
      </c>
      <c r="G1678" s="21" t="s">
        <v>88</v>
      </c>
      <c r="H1678" s="17" t="s">
        <v>55</v>
      </c>
      <c r="I1678" s="56">
        <v>0</v>
      </c>
      <c r="J1678" s="56">
        <v>1</v>
      </c>
      <c r="K1678" s="56">
        <v>1</v>
      </c>
      <c r="L1678" s="56">
        <v>1</v>
      </c>
      <c r="M1678" s="56">
        <f t="shared" si="252"/>
        <v>3</v>
      </c>
      <c r="N1678" s="56">
        <f>IF(OR(H1678="",H1678="sif",H1678="PM"),0,VLOOKUP(H1678,[5]CU!$C$4:$H$255,6,FALSE))</f>
        <v>0</v>
      </c>
      <c r="O1678" s="56">
        <f t="shared" si="253"/>
        <v>0</v>
      </c>
      <c r="P1678" s="56">
        <f t="shared" si="253"/>
        <v>0</v>
      </c>
      <c r="Q1678" s="56">
        <f t="shared" si="253"/>
        <v>0</v>
      </c>
      <c r="R1678" s="56">
        <f t="shared" si="253"/>
        <v>0</v>
      </c>
      <c r="S1678" s="56"/>
      <c r="T1678" s="35" t="s">
        <v>56</v>
      </c>
      <c r="U1678" s="18" t="s">
        <v>1873</v>
      </c>
      <c r="V1678" s="19" t="str">
        <f>IF(OR($H1678="",$H1678="sif",$H1678="PM"),"",VLOOKUP($H1678,[5]CU!$C$5:$J$255,8,FALSE))</f>
        <v/>
      </c>
      <c r="W1678" s="18" t="s">
        <v>273</v>
      </c>
      <c r="X1678" s="18" t="s">
        <v>273</v>
      </c>
      <c r="Y1678" s="19" t="s">
        <v>32</v>
      </c>
      <c r="Z1678" s="19" t="str">
        <f>A1678 &amp; "-" &amp; VLOOKUP(A1678,[4]PROGRAMMES!$E$1:$F$7,2,FALSE)</f>
        <v>5-Gouvernance et pilotage du secteur</v>
      </c>
      <c r="AA1678" s="19" t="str">
        <f>B1678 &amp; "-" &amp; VLOOKUP(B1678,[4]SOUSPROGRAMMES!$E$1:$F$44,2,FALSE)</f>
        <v>55- Gestion des RH (recrutement, affectation, motivation, fidélisation, gestion de carrières…)</v>
      </c>
      <c r="AB1678" s="19" t="str">
        <f>C1678 &amp; "-" &amp; VLOOKUP(C1678,[4]RESULTATS!$E$1:$F$176,2,FALSE)</f>
        <v xml:space="preserve">552- La politique nationale de la question enseignante est définie, validée et progressivement mise en œuvre </v>
      </c>
      <c r="AC1678" s="20" t="str">
        <f>D1678 &amp; "-" &amp; VLOOKUP(D1678,[4]STRATEGIES!$E$1:$F$504,2,FALSE)</f>
        <v>5523-Mettre en place les conditions nécessaires pour rendre attractive le métier d'enseignant</v>
      </c>
      <c r="AD1678" s="21" t="str">
        <f t="shared" si="251"/>
        <v>55231-Identification des pistes et des canaux pour renforcer l'attractivité de la fonction enseignante (en lien avec la politique nationale)</v>
      </c>
    </row>
    <row r="1679" spans="1:30" s="22" customFormat="1" ht="45" customHeight="1" x14ac:dyDescent="0.8">
      <c r="A1679" s="14">
        <v>5</v>
      </c>
      <c r="B1679" s="15">
        <v>55</v>
      </c>
      <c r="C1679" s="15">
        <v>552</v>
      </c>
      <c r="D1679" s="15">
        <v>5523</v>
      </c>
      <c r="E1679" s="14">
        <v>55232</v>
      </c>
      <c r="F1679" s="16" t="s">
        <v>2131</v>
      </c>
      <c r="G1679" s="21" t="s">
        <v>1432</v>
      </c>
      <c r="H1679" s="17" t="s">
        <v>38</v>
      </c>
      <c r="I1679" s="56">
        <v>0</v>
      </c>
      <c r="J1679" s="56">
        <f>(25*3)*2</f>
        <v>150</v>
      </c>
      <c r="K1679" s="56"/>
      <c r="L1679" s="56"/>
      <c r="M1679" s="56">
        <f t="shared" si="252"/>
        <v>150</v>
      </c>
      <c r="N1679" s="56">
        <f>IF(OR(H1679="",H1679="sif",H1679="PM"),0,VLOOKUP(H1679,[5]CU!$C$4:$H$255,6,FALSE))</f>
        <v>0.3133333333333333</v>
      </c>
      <c r="O1679" s="56">
        <f t="shared" si="253"/>
        <v>0</v>
      </c>
      <c r="P1679" s="56">
        <f t="shared" si="253"/>
        <v>46.999999999999993</v>
      </c>
      <c r="Q1679" s="56">
        <f t="shared" si="253"/>
        <v>0</v>
      </c>
      <c r="R1679" s="56">
        <f t="shared" si="253"/>
        <v>0</v>
      </c>
      <c r="S1679" s="56">
        <f>SUM(O1679:R1679)</f>
        <v>46.999999999999993</v>
      </c>
      <c r="T1679" s="35" t="s">
        <v>118</v>
      </c>
      <c r="U1679" s="18" t="s">
        <v>1873</v>
      </c>
      <c r="V1679" s="19" t="str">
        <f>IF(OR($H1679="",$H1679="sif",$H1679="PM"),"",VLOOKUP($H1679,[5]CU!$C$5:$J$255,8,FALSE))</f>
        <v>3. Formation</v>
      </c>
      <c r="W1679" s="18" t="s">
        <v>273</v>
      </c>
      <c r="X1679" s="18" t="s">
        <v>273</v>
      </c>
      <c r="Y1679" s="19" t="s">
        <v>32</v>
      </c>
      <c r="Z1679" s="19" t="str">
        <f>A1679 &amp; "-" &amp; VLOOKUP(A1679,[4]PROGRAMMES!$E$1:$F$7,2,FALSE)</f>
        <v>5-Gouvernance et pilotage du secteur</v>
      </c>
      <c r="AA1679" s="19" t="str">
        <f>B1679 &amp; "-" &amp; VLOOKUP(B1679,[4]SOUSPROGRAMMES!$E$1:$F$44,2,FALSE)</f>
        <v>55- Gestion des RH (recrutement, affectation, motivation, fidélisation, gestion de carrières…)</v>
      </c>
      <c r="AB1679" s="19" t="str">
        <f>C1679 &amp; "-" &amp; VLOOKUP(C1679,[4]RESULTATS!$E$1:$F$176,2,FALSE)</f>
        <v xml:space="preserve">552- La politique nationale de la question enseignante est définie, validée et progressivement mise en œuvre </v>
      </c>
      <c r="AC1679" s="20" t="str">
        <f>D1679 &amp; "-" &amp; VLOOKUP(D1679,[4]STRATEGIES!$E$1:$F$504,2,FALSE)</f>
        <v>5523-Mettre en place les conditions nécessaires pour rendre attractive le métier d'enseignant</v>
      </c>
      <c r="AD1679" s="21" t="str">
        <f t="shared" si="251"/>
        <v>55232-Concertation sur les pistes prioritaires d'intervention</v>
      </c>
    </row>
    <row r="1680" spans="1:30" s="22" customFormat="1" ht="45" customHeight="1" x14ac:dyDescent="0.8">
      <c r="A1680" s="14">
        <v>5</v>
      </c>
      <c r="B1680" s="15">
        <v>55</v>
      </c>
      <c r="C1680" s="15">
        <v>553</v>
      </c>
      <c r="D1680" s="15">
        <v>553</v>
      </c>
      <c r="E1680" s="14">
        <v>553</v>
      </c>
      <c r="F1680" s="16" t="s">
        <v>2132</v>
      </c>
      <c r="G1680" s="17"/>
      <c r="H1680" s="17"/>
      <c r="I1680" s="56">
        <v>0</v>
      </c>
      <c r="J1680" s="56"/>
      <c r="K1680" s="56"/>
      <c r="L1680" s="56"/>
      <c r="M1680" s="56"/>
      <c r="N1680" s="56"/>
      <c r="O1680" s="56"/>
      <c r="P1680" s="56"/>
      <c r="Q1680" s="56"/>
      <c r="R1680" s="56"/>
      <c r="S1680" s="56"/>
      <c r="T1680" s="33"/>
      <c r="U1680" s="18"/>
      <c r="V1680" s="19"/>
      <c r="W1680" s="18"/>
      <c r="X1680" s="18"/>
      <c r="Y1680" s="18"/>
      <c r="Z1680" s="19" t="str">
        <f>A1680 &amp; "-" &amp; VLOOKUP(A1680,[4]PROGRAMMES!$E$1:$F$7,2,FALSE)</f>
        <v>5-Gouvernance et pilotage du secteur</v>
      </c>
      <c r="AA1680" s="19" t="str">
        <f>B1680 &amp; "-" &amp; VLOOKUP(B1680,[4]SOUSPROGRAMMES!$E$1:$F$44,2,FALSE)</f>
        <v>55- Gestion des RH (recrutement, affectation, motivation, fidélisation, gestion de carrières…)</v>
      </c>
      <c r="AB1680" s="19" t="str">
        <f>C1680 &amp; "-" &amp; VLOOKUP(C1680,[4]RESULTATS!$E$1:$F$176,2,FALSE)</f>
        <v>553- Les procédures et critères de recrutement sont définis et respectés</v>
      </c>
      <c r="AC1680" s="20" t="str">
        <f>D1680 &amp; "-" &amp; VLOOKUP(D1680,[4]STRATEGIES!$E$1:$F$504,2,FALSE)</f>
        <v>553- Les procédures et critères de recrutement sont définis et respectés</v>
      </c>
      <c r="AD1680" s="21" t="str">
        <f t="shared" si="251"/>
        <v>553- Les procédures et critères de recrutement sont déFinis et respectés</v>
      </c>
    </row>
    <row r="1681" spans="1:30" s="22" customFormat="1" ht="45" customHeight="1" x14ac:dyDescent="0.8">
      <c r="A1681" s="14">
        <v>5</v>
      </c>
      <c r="B1681" s="15">
        <v>55</v>
      </c>
      <c r="C1681" s="15">
        <v>553</v>
      </c>
      <c r="D1681" s="15">
        <v>5531</v>
      </c>
      <c r="E1681" s="14">
        <v>5531</v>
      </c>
      <c r="F1681" s="16" t="s">
        <v>2133</v>
      </c>
      <c r="G1681" s="17"/>
      <c r="H1681" s="17"/>
      <c r="I1681" s="56">
        <v>0</v>
      </c>
      <c r="J1681" s="56"/>
      <c r="K1681" s="56"/>
      <c r="L1681" s="56"/>
      <c r="M1681" s="56"/>
      <c r="N1681" s="56"/>
      <c r="O1681" s="56"/>
      <c r="P1681" s="56"/>
      <c r="Q1681" s="56"/>
      <c r="R1681" s="56"/>
      <c r="S1681" s="56"/>
      <c r="T1681" s="33"/>
      <c r="U1681" s="18"/>
      <c r="V1681" s="19"/>
      <c r="W1681" s="18"/>
      <c r="X1681" s="18"/>
      <c r="Y1681" s="18"/>
      <c r="Z1681" s="19" t="str">
        <f>A1681 &amp; "-" &amp; VLOOKUP(A1681,[4]PROGRAMMES!$E$1:$F$7,2,FALSE)</f>
        <v>5-Gouvernance et pilotage du secteur</v>
      </c>
      <c r="AA1681" s="19" t="str">
        <f>B1681 &amp; "-" &amp; VLOOKUP(B1681,[4]SOUSPROGRAMMES!$E$1:$F$44,2,FALSE)</f>
        <v>55- Gestion des RH (recrutement, affectation, motivation, fidélisation, gestion de carrières…)</v>
      </c>
      <c r="AB1681" s="19" t="str">
        <f>C1681 &amp; "-" &amp; VLOOKUP(C1681,[4]RESULTATS!$E$1:$F$176,2,FALSE)</f>
        <v>553- Les procédures et critères de recrutement sont définis et respectés</v>
      </c>
      <c r="AC1681" s="20" t="str">
        <f>D1681 &amp; "-" &amp; VLOOKUP(D1681,[4]STRATEGIES!$E$1:$F$504,2,FALSE)</f>
        <v>5531-Développement de procédures et critères de recrutement par poste</v>
      </c>
      <c r="AD1681" s="21" t="str">
        <f t="shared" si="251"/>
        <v>5531-Développement de procédures et critères de recrutement par poste</v>
      </c>
    </row>
    <row r="1682" spans="1:30" s="22" customFormat="1" ht="45" customHeight="1" x14ac:dyDescent="0.8">
      <c r="A1682" s="14">
        <v>5</v>
      </c>
      <c r="B1682" s="15">
        <v>55</v>
      </c>
      <c r="C1682" s="15">
        <v>553</v>
      </c>
      <c r="D1682" s="15">
        <v>5531</v>
      </c>
      <c r="E1682" s="14">
        <v>55311</v>
      </c>
      <c r="F1682" s="16" t="s">
        <v>2134</v>
      </c>
      <c r="G1682" s="21" t="s">
        <v>315</v>
      </c>
      <c r="H1682" s="17" t="s">
        <v>66</v>
      </c>
      <c r="I1682" s="56">
        <v>0</v>
      </c>
      <c r="J1682" s="56">
        <f>10*14</f>
        <v>140</v>
      </c>
      <c r="K1682" s="56"/>
      <c r="L1682" s="56"/>
      <c r="M1682" s="56">
        <f t="shared" si="252"/>
        <v>140</v>
      </c>
      <c r="N1682" s="56">
        <f>IF(OR(H1682="",H1682="sif",H1682="PM"),0,VLOOKUP(H1682,[5]CU!$C$4:$H$255,6,FALSE))</f>
        <v>0.255</v>
      </c>
      <c r="O1682" s="56">
        <f t="shared" si="253"/>
        <v>0</v>
      </c>
      <c r="P1682" s="56">
        <f t="shared" si="253"/>
        <v>35.700000000000003</v>
      </c>
      <c r="Q1682" s="56">
        <f t="shared" si="253"/>
        <v>0</v>
      </c>
      <c r="R1682" s="56">
        <f t="shared" si="253"/>
        <v>0</v>
      </c>
      <c r="S1682" s="56">
        <f>SUM(O1682:R1682)</f>
        <v>35.700000000000003</v>
      </c>
      <c r="T1682" s="35" t="s">
        <v>39</v>
      </c>
      <c r="U1682" s="19" t="s">
        <v>1873</v>
      </c>
      <c r="V1682" s="19" t="str">
        <f>IF(OR($H1682="",$H1682="sif",$H1682="PM"),"",VLOOKUP($H1682,[5]CU!$C$5:$J$255,8,FALSE))</f>
        <v>3. Dépenses de fonctionnement</v>
      </c>
      <c r="W1682" s="19" t="s">
        <v>142</v>
      </c>
      <c r="X1682" s="19" t="s">
        <v>142</v>
      </c>
      <c r="Y1682" s="19" t="s">
        <v>32</v>
      </c>
      <c r="Z1682" s="19" t="str">
        <f>A1682 &amp; "-" &amp; VLOOKUP(A1682,[4]PROGRAMMES!$E$1:$F$7,2,FALSE)</f>
        <v>5-Gouvernance et pilotage du secteur</v>
      </c>
      <c r="AA1682" s="19" t="str">
        <f>B1682 &amp; "-" &amp; VLOOKUP(B1682,[4]SOUSPROGRAMMES!$E$1:$F$44,2,FALSE)</f>
        <v>55- Gestion des RH (recrutement, affectation, motivation, fidélisation, gestion de carrières…)</v>
      </c>
      <c r="AB1682" s="19" t="str">
        <f>C1682 &amp; "-" &amp; VLOOKUP(C1682,[4]RESULTATS!$E$1:$F$176,2,FALSE)</f>
        <v>553- Les procédures et critères de recrutement sont définis et respectés</v>
      </c>
      <c r="AC1682" s="20" t="str">
        <f>D1682 &amp; "-" &amp; VLOOKUP(D1682,[4]STRATEGIES!$E$1:$F$504,2,FALSE)</f>
        <v>5531-Développement de procédures et critères de recrutement par poste</v>
      </c>
      <c r="AD1682" s="21" t="str">
        <f t="shared" si="251"/>
        <v>55311-Elaboration des textes réglementaires d'application du décret relatif au recrutement des personnels enseignants</v>
      </c>
    </row>
    <row r="1683" spans="1:30" s="22" customFormat="1" ht="45" customHeight="1" x14ac:dyDescent="0.8">
      <c r="A1683" s="14">
        <v>5</v>
      </c>
      <c r="B1683" s="15">
        <v>55</v>
      </c>
      <c r="C1683" s="15">
        <v>553</v>
      </c>
      <c r="D1683" s="15">
        <v>5531</v>
      </c>
      <c r="E1683" s="14">
        <v>55312</v>
      </c>
      <c r="F1683" s="16" t="s">
        <v>2135</v>
      </c>
      <c r="G1683" s="21" t="s">
        <v>315</v>
      </c>
      <c r="H1683" s="17" t="s">
        <v>38</v>
      </c>
      <c r="I1683" s="56">
        <v>0</v>
      </c>
      <c r="J1683" s="56">
        <f>50*1</f>
        <v>50</v>
      </c>
      <c r="K1683" s="56"/>
      <c r="L1683" s="56"/>
      <c r="M1683" s="56">
        <f t="shared" si="252"/>
        <v>50</v>
      </c>
      <c r="N1683" s="56">
        <f>IF(OR(H1683="",H1683="sif",H1683="PM"),0,VLOOKUP(H1683,[5]CU!$C$4:$H$255,6,FALSE))</f>
        <v>0.3133333333333333</v>
      </c>
      <c r="O1683" s="56">
        <f t="shared" si="253"/>
        <v>0</v>
      </c>
      <c r="P1683" s="56">
        <f t="shared" si="253"/>
        <v>15.666666666666664</v>
      </c>
      <c r="Q1683" s="56">
        <f t="shared" si="253"/>
        <v>0</v>
      </c>
      <c r="R1683" s="56">
        <f t="shared" si="253"/>
        <v>0</v>
      </c>
      <c r="S1683" s="56">
        <f>SUM(O1683:R1683)</f>
        <v>15.666666666666664</v>
      </c>
      <c r="T1683" s="35" t="s">
        <v>39</v>
      </c>
      <c r="U1683" s="19" t="s">
        <v>1873</v>
      </c>
      <c r="V1683" s="19" t="str">
        <f>IF(OR($H1683="",$H1683="sif",$H1683="PM"),"",VLOOKUP($H1683,[5]CU!$C$5:$J$255,8,FALSE))</f>
        <v>3. Formation</v>
      </c>
      <c r="W1683" s="19" t="s">
        <v>142</v>
      </c>
      <c r="X1683" s="19" t="s">
        <v>142</v>
      </c>
      <c r="Y1683" s="19" t="s">
        <v>32</v>
      </c>
      <c r="Z1683" s="19" t="str">
        <f>A1683 &amp; "-" &amp; VLOOKUP(A1683,[4]PROGRAMMES!$E$1:$F$7,2,FALSE)</f>
        <v>5-Gouvernance et pilotage du secteur</v>
      </c>
      <c r="AA1683" s="19" t="str">
        <f>B1683 &amp; "-" &amp; VLOOKUP(B1683,[4]SOUSPROGRAMMES!$E$1:$F$44,2,FALSE)</f>
        <v>55- Gestion des RH (recrutement, affectation, motivation, fidélisation, gestion de carrières…)</v>
      </c>
      <c r="AB1683" s="19" t="str">
        <f>C1683 &amp; "-" &amp; VLOOKUP(C1683,[4]RESULTATS!$E$1:$F$176,2,FALSE)</f>
        <v>553- Les procédures et critères de recrutement sont définis et respectés</v>
      </c>
      <c r="AC1683" s="20" t="str">
        <f>D1683 &amp; "-" &amp; VLOOKUP(D1683,[4]STRATEGIES!$E$1:$F$504,2,FALSE)</f>
        <v>5531-Développement de procédures et critères de recrutement par poste</v>
      </c>
      <c r="AD1683" s="21" t="str">
        <f t="shared" si="251"/>
        <v>55312-Partage et validation des textes rédigés</v>
      </c>
    </row>
    <row r="1684" spans="1:30" s="22" customFormat="1" ht="45" customHeight="1" x14ac:dyDescent="0.8">
      <c r="A1684" s="14">
        <v>5</v>
      </c>
      <c r="B1684" s="15">
        <v>55</v>
      </c>
      <c r="C1684" s="15">
        <v>553</v>
      </c>
      <c r="D1684" s="15">
        <v>5531</v>
      </c>
      <c r="E1684" s="14">
        <v>55313</v>
      </c>
      <c r="F1684" s="16" t="s">
        <v>2136</v>
      </c>
      <c r="G1684" s="21" t="s">
        <v>44</v>
      </c>
      <c r="H1684" s="17" t="s">
        <v>452</v>
      </c>
      <c r="I1684" s="56">
        <v>0</v>
      </c>
      <c r="J1684" s="56">
        <f>(15*(46+46+427+50))/3</f>
        <v>2845</v>
      </c>
      <c r="K1684" s="56"/>
      <c r="L1684" s="56"/>
      <c r="M1684" s="56">
        <f t="shared" si="252"/>
        <v>2845</v>
      </c>
      <c r="N1684" s="56">
        <f>IF(OR(H1684="",H1684="sif",H1684="PM"),0,VLOOKUP(H1684,[5]CU!$C$4:$H$255,6,FALSE))</f>
        <v>7.4999999999999997E-3</v>
      </c>
      <c r="O1684" s="56">
        <f t="shared" si="253"/>
        <v>0</v>
      </c>
      <c r="P1684" s="56">
        <f t="shared" si="253"/>
        <v>21.337499999999999</v>
      </c>
      <c r="Q1684" s="56">
        <f t="shared" si="253"/>
        <v>0</v>
      </c>
      <c r="R1684" s="56">
        <f t="shared" si="253"/>
        <v>0</v>
      </c>
      <c r="S1684" s="56">
        <f>SUM(O1684:R1684)</f>
        <v>21.337499999999999</v>
      </c>
      <c r="T1684" s="35" t="s">
        <v>39</v>
      </c>
      <c r="U1684" s="19" t="s">
        <v>1873</v>
      </c>
      <c r="V1684" s="19" t="str">
        <f>IF(OR($H1684="",$H1684="sif",$H1684="PM"),"",VLOOKUP($H1684,[5]CU!$C$5:$J$255,8,FALSE))</f>
        <v>3. Dépenses de fonctionnement</v>
      </c>
      <c r="W1684" s="19" t="s">
        <v>142</v>
      </c>
      <c r="X1684" s="19" t="s">
        <v>142</v>
      </c>
      <c r="Y1684" s="19" t="s">
        <v>32</v>
      </c>
      <c r="Z1684" s="19" t="str">
        <f>A1684 &amp; "-" &amp; VLOOKUP(A1684,[4]PROGRAMMES!$E$1:$F$7,2,FALSE)</f>
        <v>5-Gouvernance et pilotage du secteur</v>
      </c>
      <c r="AA1684" s="19" t="str">
        <f>B1684 &amp; "-" &amp; VLOOKUP(B1684,[4]SOUSPROGRAMMES!$E$1:$F$44,2,FALSE)</f>
        <v>55- Gestion des RH (recrutement, affectation, motivation, fidélisation, gestion de carrières…)</v>
      </c>
      <c r="AB1684" s="19" t="str">
        <f>C1684 &amp; "-" &amp; VLOOKUP(C1684,[4]RESULTATS!$E$1:$F$176,2,FALSE)</f>
        <v>553- Les procédures et critères de recrutement sont définis et respectés</v>
      </c>
      <c r="AC1684" s="20" t="str">
        <f>D1684 &amp; "-" &amp; VLOOKUP(D1684,[4]STRATEGIES!$E$1:$F$504,2,FALSE)</f>
        <v>5531-Développement de procédures et critères de recrutement par poste</v>
      </c>
      <c r="AD1684" s="21" t="str">
        <f t="shared" si="251"/>
        <v>55313-Reprographie des textes règlementaires</v>
      </c>
    </row>
    <row r="1685" spans="1:30" s="22" customFormat="1" ht="45" hidden="1" customHeight="1" x14ac:dyDescent="0.8">
      <c r="A1685" s="14">
        <v>5</v>
      </c>
      <c r="B1685" s="15">
        <v>55</v>
      </c>
      <c r="C1685" s="15">
        <v>553</v>
      </c>
      <c r="D1685" s="15">
        <v>5531</v>
      </c>
      <c r="E1685" s="14">
        <v>55314</v>
      </c>
      <c r="F1685" s="16" t="s">
        <v>2137</v>
      </c>
      <c r="G1685" s="21" t="s">
        <v>92</v>
      </c>
      <c r="H1685" s="17" t="s">
        <v>55</v>
      </c>
      <c r="I1685" s="56">
        <v>0</v>
      </c>
      <c r="J1685" s="56">
        <v>1</v>
      </c>
      <c r="K1685" s="56">
        <v>1</v>
      </c>
      <c r="L1685" s="56"/>
      <c r="M1685" s="56">
        <f t="shared" si="252"/>
        <v>2</v>
      </c>
      <c r="N1685" s="56">
        <f>IF(OR(H1685="",H1685="sif",H1685="PM"),0,VLOOKUP(H1685,[5]CU!$C$4:$H$255,6,FALSE))</f>
        <v>0</v>
      </c>
      <c r="O1685" s="56">
        <f t="shared" si="253"/>
        <v>0</v>
      </c>
      <c r="P1685" s="56">
        <f t="shared" si="253"/>
        <v>0</v>
      </c>
      <c r="Q1685" s="56">
        <f t="shared" si="253"/>
        <v>0</v>
      </c>
      <c r="R1685" s="56">
        <f t="shared" si="253"/>
        <v>0</v>
      </c>
      <c r="S1685" s="56"/>
      <c r="T1685" s="35" t="s">
        <v>56</v>
      </c>
      <c r="U1685" s="18" t="s">
        <v>1873</v>
      </c>
      <c r="V1685" s="19" t="str">
        <f>IF(OR($H1685="",$H1685="sif",$H1685="PM"),"",VLOOKUP($H1685,[5]CU!$C$5:$J$255,8,FALSE))</f>
        <v/>
      </c>
      <c r="W1685" s="18" t="s">
        <v>142</v>
      </c>
      <c r="X1685" s="18" t="s">
        <v>142</v>
      </c>
      <c r="Y1685" s="19" t="s">
        <v>32</v>
      </c>
      <c r="Z1685" s="19" t="str">
        <f>A1685 &amp; "-" &amp; VLOOKUP(A1685,[4]PROGRAMMES!$E$1:$F$7,2,FALSE)</f>
        <v>5-Gouvernance et pilotage du secteur</v>
      </c>
      <c r="AA1685" s="19" t="str">
        <f>B1685 &amp; "-" &amp; VLOOKUP(B1685,[4]SOUSPROGRAMMES!$E$1:$F$44,2,FALSE)</f>
        <v>55- Gestion des RH (recrutement, affectation, motivation, fidélisation, gestion de carrières…)</v>
      </c>
      <c r="AB1685" s="19" t="str">
        <f>C1685 &amp; "-" &amp; VLOOKUP(C1685,[4]RESULTATS!$E$1:$F$176,2,FALSE)</f>
        <v>553- Les procédures et critères de recrutement sont définis et respectés</v>
      </c>
      <c r="AC1685" s="20" t="str">
        <f>D1685 &amp; "-" &amp; VLOOKUP(D1685,[4]STRATEGIES!$E$1:$F$504,2,FALSE)</f>
        <v>5531-Développement de procédures et critères de recrutement par poste</v>
      </c>
      <c r="AD1685" s="21" t="str">
        <f t="shared" si="251"/>
        <v>55314-Dissémination des textes dans toutes les structures pour application</v>
      </c>
    </row>
    <row r="1686" spans="1:30" s="22" customFormat="1" ht="45" customHeight="1" x14ac:dyDescent="0.8">
      <c r="A1686" s="14">
        <v>5</v>
      </c>
      <c r="B1686" s="15">
        <v>55</v>
      </c>
      <c r="C1686" s="15">
        <v>553</v>
      </c>
      <c r="D1686" s="15">
        <v>5532</v>
      </c>
      <c r="E1686" s="14">
        <v>5532</v>
      </c>
      <c r="F1686" s="16" t="s">
        <v>2138</v>
      </c>
      <c r="G1686" s="17"/>
      <c r="H1686" s="17"/>
      <c r="I1686" s="56">
        <v>0</v>
      </c>
      <c r="J1686" s="56"/>
      <c r="K1686" s="56"/>
      <c r="L1686" s="56"/>
      <c r="M1686" s="56"/>
      <c r="N1686" s="56"/>
      <c r="O1686" s="56"/>
      <c r="P1686" s="56"/>
      <c r="Q1686" s="56"/>
      <c r="R1686" s="56"/>
      <c r="S1686" s="56"/>
      <c r="T1686" s="33"/>
      <c r="U1686" s="18"/>
      <c r="V1686" s="19"/>
      <c r="W1686" s="18"/>
      <c r="X1686" s="18"/>
      <c r="Y1686" s="18"/>
      <c r="Z1686" s="19" t="str">
        <f>A1686 &amp; "-" &amp; VLOOKUP(A1686,[4]PROGRAMMES!$E$1:$F$7,2,FALSE)</f>
        <v>5-Gouvernance et pilotage du secteur</v>
      </c>
      <c r="AA1686" s="19" t="str">
        <f>B1686 &amp; "-" &amp; VLOOKUP(B1686,[4]SOUSPROGRAMMES!$E$1:$F$44,2,FALSE)</f>
        <v>55- Gestion des RH (recrutement, affectation, motivation, fidélisation, gestion de carrières…)</v>
      </c>
      <c r="AB1686" s="19" t="str">
        <f>C1686 &amp; "-" &amp; VLOOKUP(C1686,[4]RESULTATS!$E$1:$F$176,2,FALSE)</f>
        <v>553- Les procédures et critères de recrutement sont définis et respectés</v>
      </c>
      <c r="AC1686" s="20" t="str">
        <f>D1686 &amp; "-" &amp; VLOOKUP(D1686,[4]STRATEGIES!$E$1:$F$504,2,FALSE)</f>
        <v>5532-Sensibilisation des acteurs et partenaires sur les procédures et critères de recrutement par poste</v>
      </c>
      <c r="AD1686" s="21" t="str">
        <f t="shared" si="251"/>
        <v>5532-Sensibilisation des acteurs et partenaires sur les procédures et critères de recrutement par poste</v>
      </c>
    </row>
    <row r="1687" spans="1:30" s="22" customFormat="1" ht="45" customHeight="1" x14ac:dyDescent="0.8">
      <c r="A1687" s="14">
        <v>5</v>
      </c>
      <c r="B1687" s="15">
        <v>55</v>
      </c>
      <c r="C1687" s="15">
        <v>553</v>
      </c>
      <c r="D1687" s="15">
        <v>5532</v>
      </c>
      <c r="E1687" s="14">
        <v>55321</v>
      </c>
      <c r="F1687" s="16" t="s">
        <v>2139</v>
      </c>
      <c r="G1687" s="21" t="s">
        <v>1017</v>
      </c>
      <c r="H1687" s="17" t="s">
        <v>59</v>
      </c>
      <c r="I1687" s="56">
        <v>0</v>
      </c>
      <c r="J1687" s="56"/>
      <c r="K1687" s="56">
        <f>4*8*3</f>
        <v>96</v>
      </c>
      <c r="L1687" s="56"/>
      <c r="M1687" s="56">
        <f t="shared" si="252"/>
        <v>96</v>
      </c>
      <c r="N1687" s="56">
        <f>IF(OR(H1687="",H1687="sif",H1687="PM"),0,VLOOKUP(H1687,[5]CU!$C$4:$H$255,6,FALSE))</f>
        <v>0.8177777777777776</v>
      </c>
      <c r="O1687" s="56">
        <f t="shared" si="253"/>
        <v>0</v>
      </c>
      <c r="P1687" s="56">
        <f t="shared" si="253"/>
        <v>0</v>
      </c>
      <c r="Q1687" s="56">
        <f t="shared" si="253"/>
        <v>78.506666666666646</v>
      </c>
      <c r="R1687" s="56">
        <f t="shared" si="253"/>
        <v>0</v>
      </c>
      <c r="S1687" s="56">
        <f>SUM(O1687:R1687)</f>
        <v>78.506666666666646</v>
      </c>
      <c r="T1687" s="35" t="s">
        <v>39</v>
      </c>
      <c r="U1687" s="19" t="s">
        <v>1873</v>
      </c>
      <c r="V1687" s="19" t="str">
        <f>IF(OR($H1687="",$H1687="sif",$H1687="PM"),"",VLOOKUP($H1687,[5]CU!$C$5:$J$255,8,FALSE))</f>
        <v>3. Dépenses de fonctionnement</v>
      </c>
      <c r="W1687" s="19" t="s">
        <v>142</v>
      </c>
      <c r="X1687" s="19" t="s">
        <v>142</v>
      </c>
      <c r="Y1687" s="19" t="s">
        <v>32</v>
      </c>
      <c r="Z1687" s="19" t="str">
        <f>A1687 &amp; "-" &amp; VLOOKUP(A1687,[4]PROGRAMMES!$E$1:$F$7,2,FALSE)</f>
        <v>5-Gouvernance et pilotage du secteur</v>
      </c>
      <c r="AA1687" s="19" t="str">
        <f>B1687 &amp; "-" &amp; VLOOKUP(B1687,[4]SOUSPROGRAMMES!$E$1:$F$44,2,FALSE)</f>
        <v>55- Gestion des RH (recrutement, affectation, motivation, fidélisation, gestion de carrières…)</v>
      </c>
      <c r="AB1687" s="19" t="str">
        <f>C1687 &amp; "-" &amp; VLOOKUP(C1687,[4]RESULTATS!$E$1:$F$176,2,FALSE)</f>
        <v>553- Les procédures et critères de recrutement sont définis et respectés</v>
      </c>
      <c r="AC1687" s="20" t="str">
        <f>D1687 &amp; "-" &amp; VLOOKUP(D1687,[4]STRATEGIES!$E$1:$F$504,2,FALSE)</f>
        <v>5532-Sensibilisation des acteurs et partenaires sur les procédures et critères de recrutement par poste</v>
      </c>
      <c r="AD1687" s="21" t="str">
        <f t="shared" si="251"/>
        <v>55321-Organisation de campagnes d'information et de sensibilisation des acteurs et partenaires sociaux sur les procédures et critères de recrutement sur poste</v>
      </c>
    </row>
    <row r="1688" spans="1:30" s="22" customFormat="1" ht="45" customHeight="1" x14ac:dyDescent="0.8">
      <c r="A1688" s="14">
        <v>5</v>
      </c>
      <c r="B1688" s="15">
        <v>55</v>
      </c>
      <c r="C1688" s="15">
        <v>553</v>
      </c>
      <c r="D1688" s="15">
        <v>5533</v>
      </c>
      <c r="E1688" s="14">
        <v>5533</v>
      </c>
      <c r="F1688" s="16" t="s">
        <v>2140</v>
      </c>
      <c r="G1688" s="17"/>
      <c r="H1688" s="17"/>
      <c r="I1688" s="56">
        <v>0</v>
      </c>
      <c r="J1688" s="56"/>
      <c r="K1688" s="56"/>
      <c r="L1688" s="56"/>
      <c r="M1688" s="56"/>
      <c r="N1688" s="56"/>
      <c r="O1688" s="56"/>
      <c r="P1688" s="56"/>
      <c r="Q1688" s="56"/>
      <c r="R1688" s="56"/>
      <c r="S1688" s="56"/>
      <c r="T1688" s="33"/>
      <c r="U1688" s="18"/>
      <c r="V1688" s="19"/>
      <c r="W1688" s="18"/>
      <c r="X1688" s="18"/>
      <c r="Y1688" s="18"/>
      <c r="Z1688" s="19" t="str">
        <f>A1688 &amp; "-" &amp; VLOOKUP(A1688,[4]PROGRAMMES!$E$1:$F$7,2,FALSE)</f>
        <v>5-Gouvernance et pilotage du secteur</v>
      </c>
      <c r="AA1688" s="19" t="str">
        <f>B1688 &amp; "-" &amp; VLOOKUP(B1688,[4]SOUSPROGRAMMES!$E$1:$F$44,2,FALSE)</f>
        <v>55- Gestion des RH (recrutement, affectation, motivation, fidélisation, gestion de carrières…)</v>
      </c>
      <c r="AB1688" s="19" t="str">
        <f>C1688 &amp; "-" &amp; VLOOKUP(C1688,[4]RESULTATS!$E$1:$F$176,2,FALSE)</f>
        <v>553- Les procédures et critères de recrutement sont définis et respectés</v>
      </c>
      <c r="AC1688" s="20" t="str">
        <f>D1688 &amp; "-" &amp; VLOOKUP(D1688,[4]STRATEGIES!$E$1:$F$504,2,FALSE)</f>
        <v>5533-Publication régulière d’informations sur le profil des recrutés et le respect des procédures</v>
      </c>
      <c r="AD1688" s="21" t="str">
        <f t="shared" si="251"/>
        <v>5533-Publication régulière d’informations sur le profil des recrutés et le respect des procédures</v>
      </c>
    </row>
    <row r="1689" spans="1:30" s="22" customFormat="1" ht="45" hidden="1" customHeight="1" x14ac:dyDescent="0.8">
      <c r="A1689" s="14">
        <v>5</v>
      </c>
      <c r="B1689" s="15">
        <v>55</v>
      </c>
      <c r="C1689" s="15">
        <v>553</v>
      </c>
      <c r="D1689" s="15">
        <v>5533</v>
      </c>
      <c r="E1689" s="14">
        <v>55331</v>
      </c>
      <c r="F1689" s="16" t="s">
        <v>2141</v>
      </c>
      <c r="G1689" s="21" t="s">
        <v>88</v>
      </c>
      <c r="H1689" s="17" t="s">
        <v>55</v>
      </c>
      <c r="I1689" s="56">
        <v>0</v>
      </c>
      <c r="J1689" s="56">
        <v>1</v>
      </c>
      <c r="K1689" s="56">
        <v>1</v>
      </c>
      <c r="L1689" s="56"/>
      <c r="M1689" s="56">
        <f t="shared" si="252"/>
        <v>2</v>
      </c>
      <c r="N1689" s="56">
        <f>IF(OR(H1689="",H1689="sif",H1689="PM"),0,VLOOKUP(H1689,[5]CU!$C$4:$H$255,6,FALSE))</f>
        <v>0</v>
      </c>
      <c r="O1689" s="56">
        <f t="shared" si="253"/>
        <v>0</v>
      </c>
      <c r="P1689" s="56">
        <f t="shared" si="253"/>
        <v>0</v>
      </c>
      <c r="Q1689" s="56">
        <f t="shared" si="253"/>
        <v>0</v>
      </c>
      <c r="R1689" s="56">
        <f t="shared" si="253"/>
        <v>0</v>
      </c>
      <c r="S1689" s="56"/>
      <c r="T1689" s="35" t="s">
        <v>56</v>
      </c>
      <c r="U1689" s="18" t="s">
        <v>1873</v>
      </c>
      <c r="V1689" s="19" t="str">
        <f>IF(OR($H1689="",$H1689="sif",$H1689="PM"),"",VLOOKUP($H1689,[5]CU!$C$5:$J$255,8,FALSE))</f>
        <v/>
      </c>
      <c r="W1689" s="18" t="s">
        <v>142</v>
      </c>
      <c r="X1689" s="18" t="s">
        <v>142</v>
      </c>
      <c r="Y1689" s="19" t="s">
        <v>32</v>
      </c>
      <c r="Z1689" s="19" t="str">
        <f>A1689 &amp; "-" &amp; VLOOKUP(A1689,[4]PROGRAMMES!$E$1:$F$7,2,FALSE)</f>
        <v>5-Gouvernance et pilotage du secteur</v>
      </c>
      <c r="AA1689" s="19" t="str">
        <f>B1689 &amp; "-" &amp; VLOOKUP(B1689,[4]SOUSPROGRAMMES!$E$1:$F$44,2,FALSE)</f>
        <v>55- Gestion des RH (recrutement, affectation, motivation, fidélisation, gestion de carrières…)</v>
      </c>
      <c r="AB1689" s="19" t="str">
        <f>C1689 &amp; "-" &amp; VLOOKUP(C1689,[4]RESULTATS!$E$1:$F$176,2,FALSE)</f>
        <v>553- Les procédures et critères de recrutement sont définis et respectés</v>
      </c>
      <c r="AC1689" s="20" t="str">
        <f>D1689 &amp; "-" &amp; VLOOKUP(D1689,[4]STRATEGIES!$E$1:$F$504,2,FALSE)</f>
        <v>5533-Publication régulière d’informations sur le profil des recrutés et le respect des procédures</v>
      </c>
      <c r="AD1689" s="21" t="str">
        <f t="shared" si="251"/>
        <v>55331-Description des profils recherchés</v>
      </c>
    </row>
    <row r="1690" spans="1:30" s="22" customFormat="1" ht="45" hidden="1" customHeight="1" x14ac:dyDescent="0.8">
      <c r="A1690" s="14">
        <v>5</v>
      </c>
      <c r="B1690" s="15">
        <v>55</v>
      </c>
      <c r="C1690" s="15">
        <v>553</v>
      </c>
      <c r="D1690" s="15">
        <v>5533</v>
      </c>
      <c r="E1690" s="14">
        <v>55332</v>
      </c>
      <c r="F1690" s="16" t="s">
        <v>2142</v>
      </c>
      <c r="G1690" s="21" t="s">
        <v>88</v>
      </c>
      <c r="H1690" s="17" t="s">
        <v>55</v>
      </c>
      <c r="I1690" s="56">
        <v>0</v>
      </c>
      <c r="J1690" s="56">
        <v>1</v>
      </c>
      <c r="K1690" s="56">
        <v>1</v>
      </c>
      <c r="L1690" s="56">
        <v>1</v>
      </c>
      <c r="M1690" s="56">
        <f t="shared" si="252"/>
        <v>3</v>
      </c>
      <c r="N1690" s="56">
        <f>IF(OR(H1690="",H1690="sif",H1690="PM"),0,VLOOKUP(H1690,[5]CU!$C$4:$H$255,6,FALSE))</f>
        <v>0</v>
      </c>
      <c r="O1690" s="56">
        <f t="shared" si="253"/>
        <v>0</v>
      </c>
      <c r="P1690" s="56">
        <f t="shared" si="253"/>
        <v>0</v>
      </c>
      <c r="Q1690" s="56">
        <f t="shared" si="253"/>
        <v>0</v>
      </c>
      <c r="R1690" s="56">
        <f t="shared" si="253"/>
        <v>0</v>
      </c>
      <c r="S1690" s="56"/>
      <c r="T1690" s="35" t="s">
        <v>56</v>
      </c>
      <c r="U1690" s="18" t="s">
        <v>1873</v>
      </c>
      <c r="V1690" s="19" t="str">
        <f>IF(OR($H1690="",$H1690="sif",$H1690="PM"),"",VLOOKUP($H1690,[5]CU!$C$5:$J$255,8,FALSE))</f>
        <v/>
      </c>
      <c r="W1690" s="18" t="s">
        <v>142</v>
      </c>
      <c r="X1690" s="18" t="s">
        <v>142</v>
      </c>
      <c r="Y1690" s="19" t="s">
        <v>32</v>
      </c>
      <c r="Z1690" s="19" t="str">
        <f>A1690 &amp; "-" &amp; VLOOKUP(A1690,[4]PROGRAMMES!$E$1:$F$7,2,FALSE)</f>
        <v>5-Gouvernance et pilotage du secteur</v>
      </c>
      <c r="AA1690" s="19" t="str">
        <f>B1690 &amp; "-" &amp; VLOOKUP(B1690,[4]SOUSPROGRAMMES!$E$1:$F$44,2,FALSE)</f>
        <v>55- Gestion des RH (recrutement, affectation, motivation, fidélisation, gestion de carrières…)</v>
      </c>
      <c r="AB1690" s="19" t="str">
        <f>C1690 &amp; "-" &amp; VLOOKUP(C1690,[4]RESULTATS!$E$1:$F$176,2,FALSE)</f>
        <v>553- Les procédures et critères de recrutement sont définis et respectés</v>
      </c>
      <c r="AC1690" s="20" t="str">
        <f>D1690 &amp; "-" &amp; VLOOKUP(D1690,[4]STRATEGIES!$E$1:$F$504,2,FALSE)</f>
        <v>5533-Publication régulière d’informations sur le profil des recrutés et le respect des procédures</v>
      </c>
      <c r="AD1690" s="21" t="str">
        <f t="shared" si="251"/>
        <v>55332-Identification des postes à pourvoir</v>
      </c>
    </row>
    <row r="1691" spans="1:30" s="22" customFormat="1" ht="45" hidden="1" customHeight="1" x14ac:dyDescent="0.8">
      <c r="A1691" s="14">
        <v>5</v>
      </c>
      <c r="B1691" s="15">
        <v>55</v>
      </c>
      <c r="C1691" s="15">
        <v>553</v>
      </c>
      <c r="D1691" s="15">
        <v>5533</v>
      </c>
      <c r="E1691" s="14">
        <v>55333</v>
      </c>
      <c r="F1691" s="16" t="s">
        <v>2143</v>
      </c>
      <c r="G1691" s="21" t="s">
        <v>88</v>
      </c>
      <c r="H1691" s="17" t="s">
        <v>55</v>
      </c>
      <c r="I1691" s="56">
        <v>0</v>
      </c>
      <c r="J1691" s="56">
        <v>1</v>
      </c>
      <c r="K1691" s="56">
        <v>1</v>
      </c>
      <c r="L1691" s="56">
        <v>1</v>
      </c>
      <c r="M1691" s="56">
        <f t="shared" si="252"/>
        <v>3</v>
      </c>
      <c r="N1691" s="56">
        <f>IF(OR(H1691="",H1691="sif",H1691="PM"),0,VLOOKUP(H1691,[5]CU!$C$4:$H$255,6,FALSE))</f>
        <v>0</v>
      </c>
      <c r="O1691" s="56">
        <f t="shared" si="253"/>
        <v>0</v>
      </c>
      <c r="P1691" s="56">
        <f t="shared" si="253"/>
        <v>0</v>
      </c>
      <c r="Q1691" s="56">
        <f t="shared" si="253"/>
        <v>0</v>
      </c>
      <c r="R1691" s="56">
        <f t="shared" si="253"/>
        <v>0</v>
      </c>
      <c r="S1691" s="56"/>
      <c r="T1691" s="35" t="s">
        <v>56</v>
      </c>
      <c r="U1691" s="18" t="s">
        <v>1873</v>
      </c>
      <c r="V1691" s="19" t="str">
        <f>IF(OR($H1691="",$H1691="sif",$H1691="PM"),"",VLOOKUP($H1691,[5]CU!$C$5:$J$255,8,FALSE))</f>
        <v/>
      </c>
      <c r="W1691" s="18" t="s">
        <v>142</v>
      </c>
      <c r="X1691" s="18" t="s">
        <v>142</v>
      </c>
      <c r="Y1691" s="19" t="s">
        <v>32</v>
      </c>
      <c r="Z1691" s="19" t="str">
        <f>A1691 &amp; "-" &amp; VLOOKUP(A1691,[4]PROGRAMMES!$E$1:$F$7,2,FALSE)</f>
        <v>5-Gouvernance et pilotage du secteur</v>
      </c>
      <c r="AA1691" s="19" t="str">
        <f>B1691 &amp; "-" &amp; VLOOKUP(B1691,[4]SOUSPROGRAMMES!$E$1:$F$44,2,FALSE)</f>
        <v>55- Gestion des RH (recrutement, affectation, motivation, fidélisation, gestion de carrières…)</v>
      </c>
      <c r="AB1691" s="19" t="str">
        <f>C1691 &amp; "-" &amp; VLOOKUP(C1691,[4]RESULTATS!$E$1:$F$176,2,FALSE)</f>
        <v>553- Les procédures et critères de recrutement sont définis et respectés</v>
      </c>
      <c r="AC1691" s="20" t="str">
        <f>D1691 &amp; "-" &amp; VLOOKUP(D1691,[4]STRATEGIES!$E$1:$F$504,2,FALSE)</f>
        <v>5533-Publication régulière d’informations sur le profil des recrutés et le respect des procédures</v>
      </c>
      <c r="AD1691" s="21" t="str">
        <f t="shared" si="251"/>
        <v>55333-Diffusion des besoins et des critères de candidature</v>
      </c>
    </row>
    <row r="1692" spans="1:30" s="22" customFormat="1" ht="45" customHeight="1" x14ac:dyDescent="0.8">
      <c r="A1692" s="14">
        <v>5</v>
      </c>
      <c r="B1692" s="15">
        <v>55</v>
      </c>
      <c r="C1692" s="15">
        <v>554</v>
      </c>
      <c r="D1692" s="15">
        <v>554</v>
      </c>
      <c r="E1692" s="14">
        <v>554</v>
      </c>
      <c r="F1692" s="16" t="s">
        <v>2144</v>
      </c>
      <c r="G1692" s="17"/>
      <c r="H1692" s="17"/>
      <c r="I1692" s="56">
        <v>0</v>
      </c>
      <c r="J1692" s="56"/>
      <c r="K1692" s="56"/>
      <c r="L1692" s="56"/>
      <c r="M1692" s="56"/>
      <c r="N1692" s="56"/>
      <c r="O1692" s="56"/>
      <c r="P1692" s="56"/>
      <c r="Q1692" s="56"/>
      <c r="R1692" s="56"/>
      <c r="S1692" s="56"/>
      <c r="T1692" s="33"/>
      <c r="U1692" s="18"/>
      <c r="V1692" s="19"/>
      <c r="W1692" s="18"/>
      <c r="X1692" s="18"/>
      <c r="Y1692" s="18"/>
      <c r="Z1692" s="19" t="str">
        <f>A1692 &amp; "-" &amp; VLOOKUP(A1692,[4]PROGRAMMES!$E$1:$F$7,2,FALSE)</f>
        <v>5-Gouvernance et pilotage du secteur</v>
      </c>
      <c r="AA1692" s="19" t="str">
        <f>B1692 &amp; "-" &amp; VLOOKUP(B1692,[4]SOUSPROGRAMMES!$E$1:$F$44,2,FALSE)</f>
        <v>55- Gestion des RH (recrutement, affectation, motivation, fidélisation, gestion de carrières…)</v>
      </c>
      <c r="AB1692" s="19" t="str">
        <f>C1692 &amp; "-" &amp; VLOOKUP(C1692,[4]RESULTATS!$E$1:$F$176,2,FALSE)</f>
        <v>554- Les critères d’affectation sont clairement définis et respectés</v>
      </c>
      <c r="AC1692" s="20" t="str">
        <f>D1692 &amp; "-" &amp; VLOOKUP(D1692,[4]STRATEGIES!$E$1:$F$504,2,FALSE)</f>
        <v>554- Les critères d’affectation sont clairement définis et respectés</v>
      </c>
      <c r="AD1692" s="21" t="str">
        <f t="shared" si="251"/>
        <v>554- Les critères d’affectation sont clairement déFinis et respectés</v>
      </c>
    </row>
    <row r="1693" spans="1:30" s="22" customFormat="1" ht="45" customHeight="1" x14ac:dyDescent="0.8">
      <c r="A1693" s="14">
        <v>5</v>
      </c>
      <c r="B1693" s="15">
        <v>55</v>
      </c>
      <c r="C1693" s="15">
        <v>554</v>
      </c>
      <c r="D1693" s="15">
        <v>5541</v>
      </c>
      <c r="E1693" s="14">
        <v>5541</v>
      </c>
      <c r="F1693" s="16" t="s">
        <v>2145</v>
      </c>
      <c r="G1693" s="17"/>
      <c r="H1693" s="17"/>
      <c r="I1693" s="56">
        <v>0</v>
      </c>
      <c r="J1693" s="56"/>
      <c r="K1693" s="56"/>
      <c r="L1693" s="56"/>
      <c r="M1693" s="56"/>
      <c r="N1693" s="56"/>
      <c r="O1693" s="56"/>
      <c r="P1693" s="56"/>
      <c r="Q1693" s="56"/>
      <c r="R1693" s="56"/>
      <c r="S1693" s="56"/>
      <c r="T1693" s="33"/>
      <c r="U1693" s="18"/>
      <c r="V1693" s="19"/>
      <c r="W1693" s="18"/>
      <c r="X1693" s="18"/>
      <c r="Y1693" s="18"/>
      <c r="Z1693" s="19" t="str">
        <f>A1693 &amp; "-" &amp; VLOOKUP(A1693,[4]PROGRAMMES!$E$1:$F$7,2,FALSE)</f>
        <v>5-Gouvernance et pilotage du secteur</v>
      </c>
      <c r="AA1693" s="19" t="str">
        <f>B1693 &amp; "-" &amp; VLOOKUP(B1693,[4]SOUSPROGRAMMES!$E$1:$F$44,2,FALSE)</f>
        <v>55- Gestion des RH (recrutement, affectation, motivation, fidélisation, gestion de carrières…)</v>
      </c>
      <c r="AB1693" s="19" t="str">
        <f>C1693 &amp; "-" &amp; VLOOKUP(C1693,[4]RESULTATS!$E$1:$F$176,2,FALSE)</f>
        <v>554- Les critères d’affectation sont clairement définis et respectés</v>
      </c>
      <c r="AC1693" s="20" t="str">
        <f>D1693 &amp; "-" &amp; VLOOKUP(D1693,[4]STRATEGIES!$E$1:$F$504,2,FALSE)</f>
        <v>5541-Développement de procédures et critères d’affectation par poste</v>
      </c>
      <c r="AD1693" s="21" t="str">
        <f t="shared" si="251"/>
        <v>5541-Développement de procédures et critères d’affectation par poste</v>
      </c>
    </row>
    <row r="1694" spans="1:30" s="22" customFormat="1" ht="45" hidden="1" customHeight="1" x14ac:dyDescent="0.8">
      <c r="A1694" s="14">
        <v>5</v>
      </c>
      <c r="B1694" s="15">
        <v>55</v>
      </c>
      <c r="C1694" s="15">
        <v>554</v>
      </c>
      <c r="D1694" s="15">
        <v>5541</v>
      </c>
      <c r="E1694" s="14">
        <v>55411</v>
      </c>
      <c r="F1694" s="16" t="s">
        <v>2146</v>
      </c>
      <c r="G1694" s="21" t="s">
        <v>315</v>
      </c>
      <c r="H1694" s="17" t="s">
        <v>59</v>
      </c>
      <c r="I1694" s="56">
        <v>0</v>
      </c>
      <c r="J1694" s="56"/>
      <c r="K1694" s="56"/>
      <c r="L1694" s="56"/>
      <c r="M1694" s="56">
        <f t="shared" si="252"/>
        <v>0</v>
      </c>
      <c r="N1694" s="56">
        <f>IF(OR(H1694="",H1694="sif",H1694="PM"),0,VLOOKUP(H1694,[5]CU!$C$4:$H$255,6,FALSE))</f>
        <v>0.8177777777777776</v>
      </c>
      <c r="O1694" s="56">
        <f t="shared" si="253"/>
        <v>0</v>
      </c>
      <c r="P1694" s="56">
        <f t="shared" si="253"/>
        <v>0</v>
      </c>
      <c r="Q1694" s="56">
        <f t="shared" si="253"/>
        <v>0</v>
      </c>
      <c r="R1694" s="56">
        <f t="shared" si="253"/>
        <v>0</v>
      </c>
      <c r="S1694" s="56">
        <f>SUM(O1694:R1694)</f>
        <v>0</v>
      </c>
      <c r="T1694" s="35" t="s">
        <v>178</v>
      </c>
      <c r="U1694" s="18" t="s">
        <v>1873</v>
      </c>
      <c r="V1694" s="19" t="str">
        <f>IF(OR($H1694="",$H1694="sif",$H1694="PM"),"",VLOOKUP($H1694,[5]CU!$C$5:$J$255,8,FALSE))</f>
        <v>3. Dépenses de fonctionnement</v>
      </c>
      <c r="W1694" s="18" t="s">
        <v>142</v>
      </c>
      <c r="X1694" s="18" t="s">
        <v>142</v>
      </c>
      <c r="Y1694" s="19" t="s">
        <v>32</v>
      </c>
      <c r="Z1694" s="19" t="str">
        <f>A1694 &amp; "-" &amp; VLOOKUP(A1694,[4]PROGRAMMES!$E$1:$F$7,2,FALSE)</f>
        <v>5-Gouvernance et pilotage du secteur</v>
      </c>
      <c r="AA1694" s="19" t="str">
        <f>B1694 &amp; "-" &amp; VLOOKUP(B1694,[4]SOUSPROGRAMMES!$E$1:$F$44,2,FALSE)</f>
        <v>55- Gestion des RH (recrutement, affectation, motivation, fidélisation, gestion de carrières…)</v>
      </c>
      <c r="AB1694" s="19" t="str">
        <f>C1694 &amp; "-" &amp; VLOOKUP(C1694,[4]RESULTATS!$E$1:$F$176,2,FALSE)</f>
        <v>554- Les critères d’affectation sont clairement définis et respectés</v>
      </c>
      <c r="AC1694" s="20" t="str">
        <f>D1694 &amp; "-" &amp; VLOOKUP(D1694,[4]STRATEGIES!$E$1:$F$504,2,FALSE)</f>
        <v>5541-Développement de procédures et critères d’affectation par poste</v>
      </c>
      <c r="AD1694" s="21" t="str">
        <f t="shared" si="251"/>
        <v>55411-Appui à la mise en œuvre du barème des mouvements de personnels</v>
      </c>
    </row>
    <row r="1695" spans="1:30" s="22" customFormat="1" ht="45" customHeight="1" x14ac:dyDescent="0.8">
      <c r="A1695" s="14">
        <v>5</v>
      </c>
      <c r="B1695" s="15">
        <v>55</v>
      </c>
      <c r="C1695" s="15">
        <v>554</v>
      </c>
      <c r="D1695" s="15">
        <v>5541</v>
      </c>
      <c r="E1695" s="14">
        <v>55412</v>
      </c>
      <c r="F1695" s="16" t="s">
        <v>2147</v>
      </c>
      <c r="G1695" s="21" t="s">
        <v>315</v>
      </c>
      <c r="H1695" s="17" t="s">
        <v>66</v>
      </c>
      <c r="I1695" s="56">
        <v>0</v>
      </c>
      <c r="J1695" s="56">
        <f>8*6</f>
        <v>48</v>
      </c>
      <c r="K1695" s="56"/>
      <c r="L1695" s="56"/>
      <c r="M1695" s="56">
        <f t="shared" si="252"/>
        <v>48</v>
      </c>
      <c r="N1695" s="56">
        <f>IF(OR(H1695="",H1695="sif",H1695="PM"),0,VLOOKUP(H1695,[5]CU!$C$4:$H$255,6,FALSE))</f>
        <v>0.255</v>
      </c>
      <c r="O1695" s="56">
        <f t="shared" si="253"/>
        <v>0</v>
      </c>
      <c r="P1695" s="56">
        <f t="shared" si="253"/>
        <v>12.24</v>
      </c>
      <c r="Q1695" s="56">
        <f t="shared" si="253"/>
        <v>0</v>
      </c>
      <c r="R1695" s="56">
        <f t="shared" si="253"/>
        <v>0</v>
      </c>
      <c r="S1695" s="56">
        <f>SUM(O1695:R1695)</f>
        <v>12.24</v>
      </c>
      <c r="T1695" s="35" t="s">
        <v>39</v>
      </c>
      <c r="U1695" s="19" t="s">
        <v>1873</v>
      </c>
      <c r="V1695" s="19" t="str">
        <f>IF(OR($H1695="",$H1695="sif",$H1695="PM"),"",VLOOKUP($H1695,[5]CU!$C$5:$J$255,8,FALSE))</f>
        <v>3. Dépenses de fonctionnement</v>
      </c>
      <c r="W1695" s="19" t="s">
        <v>142</v>
      </c>
      <c r="X1695" s="19" t="s">
        <v>142</v>
      </c>
      <c r="Y1695" s="19" t="s">
        <v>32</v>
      </c>
      <c r="Z1695" s="19" t="str">
        <f>A1695 &amp; "-" &amp; VLOOKUP(A1695,[4]PROGRAMMES!$E$1:$F$7,2,FALSE)</f>
        <v>5-Gouvernance et pilotage du secteur</v>
      </c>
      <c r="AA1695" s="19" t="str">
        <f>B1695 &amp; "-" &amp; VLOOKUP(B1695,[4]SOUSPROGRAMMES!$E$1:$F$44,2,FALSE)</f>
        <v>55- Gestion des RH (recrutement, affectation, motivation, fidélisation, gestion de carrières…)</v>
      </c>
      <c r="AB1695" s="19" t="str">
        <f>C1695 &amp; "-" &amp; VLOOKUP(C1695,[4]RESULTATS!$E$1:$F$176,2,FALSE)</f>
        <v>554- Les critères d’affectation sont clairement définis et respectés</v>
      </c>
      <c r="AC1695" s="20" t="str">
        <f>D1695 &amp; "-" &amp; VLOOKUP(D1695,[4]STRATEGIES!$E$1:$F$504,2,FALSE)</f>
        <v>5541-Développement de procédures et critères d’affectation par poste</v>
      </c>
      <c r="AD1695" s="21" t="str">
        <f t="shared" si="251"/>
        <v>55412-Amélioration du manuel de procédure d'application du barème des mouvements de personnels</v>
      </c>
    </row>
    <row r="1696" spans="1:30" s="22" customFormat="1" ht="45" customHeight="1" x14ac:dyDescent="0.8">
      <c r="A1696" s="14">
        <v>5</v>
      </c>
      <c r="B1696" s="15">
        <v>55</v>
      </c>
      <c r="C1696" s="15">
        <v>554</v>
      </c>
      <c r="D1696" s="15">
        <v>5541</v>
      </c>
      <c r="E1696" s="14">
        <v>55413</v>
      </c>
      <c r="F1696" s="16" t="s">
        <v>2148</v>
      </c>
      <c r="G1696" s="21" t="s">
        <v>451</v>
      </c>
      <c r="H1696" s="17" t="s">
        <v>816</v>
      </c>
      <c r="I1696" s="56">
        <v>0</v>
      </c>
      <c r="J1696" s="56">
        <f>(46+46+50)*3</f>
        <v>426</v>
      </c>
      <c r="K1696" s="56"/>
      <c r="L1696" s="56"/>
      <c r="M1696" s="56">
        <f t="shared" si="252"/>
        <v>426</v>
      </c>
      <c r="N1696" s="56">
        <f>IF(OR(H1696="",H1696="sif",H1696="PM"),0,VLOOKUP(H1696,[5]CU!$C$4:$H$255,6,FALSE))</f>
        <v>7.4999999999999997E-3</v>
      </c>
      <c r="O1696" s="56">
        <f t="shared" si="253"/>
        <v>0</v>
      </c>
      <c r="P1696" s="56">
        <f t="shared" si="253"/>
        <v>3.1949999999999998</v>
      </c>
      <c r="Q1696" s="56">
        <f t="shared" si="253"/>
        <v>0</v>
      </c>
      <c r="R1696" s="56">
        <f t="shared" si="253"/>
        <v>0</v>
      </c>
      <c r="S1696" s="56">
        <f>SUM(O1696:R1696)</f>
        <v>3.1949999999999998</v>
      </c>
      <c r="T1696" s="35" t="s">
        <v>39</v>
      </c>
      <c r="U1696" s="19" t="s">
        <v>1873</v>
      </c>
      <c r="V1696" s="19" t="str">
        <f>IF(OR($H1696="",$H1696="sif",$H1696="PM"),"",VLOOKUP($H1696,[5]CU!$C$5:$J$255,8,FALSE))</f>
        <v>3. Dépenses de fonctionnement</v>
      </c>
      <c r="W1696" s="19" t="s">
        <v>142</v>
      </c>
      <c r="X1696" s="19" t="s">
        <v>142</v>
      </c>
      <c r="Y1696" s="19" t="s">
        <v>32</v>
      </c>
      <c r="Z1696" s="19" t="str">
        <f>A1696 &amp; "-" &amp; VLOOKUP(A1696,[4]PROGRAMMES!$E$1:$F$7,2,FALSE)</f>
        <v>5-Gouvernance et pilotage du secteur</v>
      </c>
      <c r="AA1696" s="19" t="str">
        <f>B1696 &amp; "-" &amp; VLOOKUP(B1696,[4]SOUSPROGRAMMES!$E$1:$F$44,2,FALSE)</f>
        <v>55- Gestion des RH (recrutement, affectation, motivation, fidélisation, gestion de carrières…)</v>
      </c>
      <c r="AB1696" s="19" t="str">
        <f>C1696 &amp; "-" &amp; VLOOKUP(C1696,[4]RESULTATS!$E$1:$F$176,2,FALSE)</f>
        <v>554- Les critères d’affectation sont clairement définis et respectés</v>
      </c>
      <c r="AC1696" s="20" t="str">
        <f>D1696 &amp; "-" &amp; VLOOKUP(D1696,[4]STRATEGIES!$E$1:$F$504,2,FALSE)</f>
        <v>5541-Développement de procédures et critères d’affectation par poste</v>
      </c>
      <c r="AD1696" s="21" t="str">
        <f t="shared" si="251"/>
        <v>55413-Vulgarisation du manuel</v>
      </c>
    </row>
    <row r="1697" spans="1:30" s="22" customFormat="1" ht="45" customHeight="1" x14ac:dyDescent="0.8">
      <c r="A1697" s="14">
        <v>5</v>
      </c>
      <c r="B1697" s="15">
        <v>55</v>
      </c>
      <c r="C1697" s="15">
        <v>554</v>
      </c>
      <c r="D1697" s="15">
        <v>5541</v>
      </c>
      <c r="E1697" s="14">
        <v>55414</v>
      </c>
      <c r="F1697" s="16" t="s">
        <v>2149</v>
      </c>
      <c r="G1697" s="21" t="s">
        <v>37</v>
      </c>
      <c r="H1697" s="17" t="s">
        <v>38</v>
      </c>
      <c r="I1697" s="56">
        <v>0</v>
      </c>
      <c r="J1697" s="56">
        <f>((2*46)+4)*3</f>
        <v>288</v>
      </c>
      <c r="K1697" s="56"/>
      <c r="L1697" s="56"/>
      <c r="M1697" s="56">
        <f t="shared" si="252"/>
        <v>288</v>
      </c>
      <c r="N1697" s="56">
        <f>IF(OR(H1697="",H1697="sif",H1697="PM"),0,VLOOKUP(H1697,[5]CU!$C$4:$H$255,6,FALSE))</f>
        <v>0.3133333333333333</v>
      </c>
      <c r="O1697" s="56">
        <f t="shared" si="253"/>
        <v>0</v>
      </c>
      <c r="P1697" s="56">
        <f t="shared" si="253"/>
        <v>90.24</v>
      </c>
      <c r="Q1697" s="56">
        <f t="shared" si="253"/>
        <v>0</v>
      </c>
      <c r="R1697" s="56">
        <f t="shared" si="253"/>
        <v>0</v>
      </c>
      <c r="S1697" s="56">
        <f>SUM(O1697:R1697)</f>
        <v>90.24</v>
      </c>
      <c r="T1697" s="35" t="s">
        <v>39</v>
      </c>
      <c r="U1697" s="19" t="s">
        <v>1873</v>
      </c>
      <c r="V1697" s="19" t="str">
        <f>IF(OR($H1697="",$H1697="sif",$H1697="PM"),"",VLOOKUP($H1697,[5]CU!$C$5:$J$255,8,FALSE))</f>
        <v>3. Formation</v>
      </c>
      <c r="W1697" s="19" t="s">
        <v>142</v>
      </c>
      <c r="X1697" s="19" t="s">
        <v>142</v>
      </c>
      <c r="Y1697" s="19" t="s">
        <v>32</v>
      </c>
      <c r="Z1697" s="19" t="str">
        <f>A1697 &amp; "-" &amp; VLOOKUP(A1697,[4]PROGRAMMES!$E$1:$F$7,2,FALSE)</f>
        <v>5-Gouvernance et pilotage du secteur</v>
      </c>
      <c r="AA1697" s="19" t="str">
        <f>B1697 &amp; "-" &amp; VLOOKUP(B1697,[4]SOUSPROGRAMMES!$E$1:$F$44,2,FALSE)</f>
        <v>55- Gestion des RH (recrutement, affectation, motivation, fidélisation, gestion de carrières…)</v>
      </c>
      <c r="AB1697" s="19" t="str">
        <f>C1697 &amp; "-" &amp; VLOOKUP(C1697,[4]RESULTATS!$E$1:$F$176,2,FALSE)</f>
        <v>554- Les critères d’affectation sont clairement définis et respectés</v>
      </c>
      <c r="AC1697" s="20" t="str">
        <f>D1697 &amp; "-" &amp; VLOOKUP(D1697,[4]STRATEGIES!$E$1:$F$504,2,FALSE)</f>
        <v>5541-Développement de procédures et critères d’affectation par poste</v>
      </c>
      <c r="AD1697" s="21" t="str">
        <f t="shared" si="251"/>
        <v>55414-formation sur le manuel de procédure d'application du barème des mouvements de personnels</v>
      </c>
    </row>
    <row r="1698" spans="1:30" s="22" customFormat="1" ht="45" hidden="1" customHeight="1" x14ac:dyDescent="0.8">
      <c r="A1698" s="14">
        <v>5</v>
      </c>
      <c r="B1698" s="15">
        <v>55</v>
      </c>
      <c r="C1698" s="15">
        <v>554</v>
      </c>
      <c r="D1698" s="15">
        <v>5541</v>
      </c>
      <c r="E1698" s="14">
        <v>55415</v>
      </c>
      <c r="F1698" s="16" t="s">
        <v>2150</v>
      </c>
      <c r="G1698" s="21" t="s">
        <v>88</v>
      </c>
      <c r="H1698" s="17" t="s">
        <v>55</v>
      </c>
      <c r="I1698" s="56">
        <v>0</v>
      </c>
      <c r="J1698" s="56">
        <v>1</v>
      </c>
      <c r="K1698" s="56">
        <v>1</v>
      </c>
      <c r="L1698" s="56">
        <v>1</v>
      </c>
      <c r="M1698" s="56">
        <f t="shared" si="252"/>
        <v>3</v>
      </c>
      <c r="N1698" s="56">
        <f>IF(OR(H1698="",H1698="sif",H1698="PM"),0,VLOOKUP(H1698,[5]CU!$C$4:$H$255,6,FALSE))</f>
        <v>0</v>
      </c>
      <c r="O1698" s="56">
        <f t="shared" si="253"/>
        <v>0</v>
      </c>
      <c r="P1698" s="56">
        <f t="shared" si="253"/>
        <v>0</v>
      </c>
      <c r="Q1698" s="56">
        <f t="shared" si="253"/>
        <v>0</v>
      </c>
      <c r="R1698" s="56">
        <f t="shared" si="253"/>
        <v>0</v>
      </c>
      <c r="S1698" s="56"/>
      <c r="T1698" s="35" t="s">
        <v>56</v>
      </c>
      <c r="U1698" s="18" t="s">
        <v>1873</v>
      </c>
      <c r="V1698" s="19" t="str">
        <f>IF(OR($H1698="",$H1698="sif",$H1698="PM"),"",VLOOKUP($H1698,[5]CU!$C$5:$J$255,8,FALSE))</f>
        <v/>
      </c>
      <c r="W1698" s="18" t="s">
        <v>142</v>
      </c>
      <c r="X1698" s="18" t="s">
        <v>142</v>
      </c>
      <c r="Y1698" s="19" t="s">
        <v>32</v>
      </c>
      <c r="Z1698" s="19" t="str">
        <f>A1698 &amp; "-" &amp; VLOOKUP(A1698,[4]PROGRAMMES!$E$1:$F$7,2,FALSE)</f>
        <v>5-Gouvernance et pilotage du secteur</v>
      </c>
      <c r="AA1698" s="19" t="str">
        <f>B1698 &amp; "-" &amp; VLOOKUP(B1698,[4]SOUSPROGRAMMES!$E$1:$F$44,2,FALSE)</f>
        <v>55- Gestion des RH (recrutement, affectation, motivation, fidélisation, gestion de carrières…)</v>
      </c>
      <c r="AB1698" s="19" t="str">
        <f>C1698 &amp; "-" &amp; VLOOKUP(C1698,[4]RESULTATS!$E$1:$F$176,2,FALSE)</f>
        <v>554- Les critères d’affectation sont clairement définis et respectés</v>
      </c>
      <c r="AC1698" s="20" t="str">
        <f>D1698 &amp; "-" &amp; VLOOKUP(D1698,[4]STRATEGIES!$E$1:$F$504,2,FALSE)</f>
        <v>5541-Développement de procédures et critères d’affectation par poste</v>
      </c>
      <c r="AD1698" s="21" t="str">
        <f t="shared" si="251"/>
        <v>55415-Application effective du dispositif du barème dans l'allocation des enseignants</v>
      </c>
    </row>
    <row r="1699" spans="1:30" s="22" customFormat="1" ht="45" customHeight="1" x14ac:dyDescent="0.8">
      <c r="A1699" s="14">
        <v>5</v>
      </c>
      <c r="B1699" s="15">
        <v>55</v>
      </c>
      <c r="C1699" s="15">
        <v>554</v>
      </c>
      <c r="D1699" s="15">
        <v>5542</v>
      </c>
      <c r="E1699" s="14">
        <v>5542</v>
      </c>
      <c r="F1699" s="16" t="s">
        <v>2151</v>
      </c>
      <c r="G1699" s="17"/>
      <c r="H1699" s="17"/>
      <c r="I1699" s="56">
        <v>0</v>
      </c>
      <c r="J1699" s="56"/>
      <c r="K1699" s="56"/>
      <c r="L1699" s="56"/>
      <c r="M1699" s="56"/>
      <c r="N1699" s="56"/>
      <c r="O1699" s="56"/>
      <c r="P1699" s="56"/>
      <c r="Q1699" s="56"/>
      <c r="R1699" s="56"/>
      <c r="S1699" s="56"/>
      <c r="T1699" s="33"/>
      <c r="U1699" s="18"/>
      <c r="V1699" s="19"/>
      <c r="W1699" s="18"/>
      <c r="X1699" s="18"/>
      <c r="Y1699" s="18"/>
      <c r="Z1699" s="19" t="str">
        <f>A1699 &amp; "-" &amp; VLOOKUP(A1699,[4]PROGRAMMES!$E$1:$F$7,2,FALSE)</f>
        <v>5-Gouvernance et pilotage du secteur</v>
      </c>
      <c r="AA1699" s="19" t="str">
        <f>B1699 &amp; "-" &amp; VLOOKUP(B1699,[4]SOUSPROGRAMMES!$E$1:$F$44,2,FALSE)</f>
        <v>55- Gestion des RH (recrutement, affectation, motivation, fidélisation, gestion de carrières…)</v>
      </c>
      <c r="AB1699" s="19" t="str">
        <f>C1699 &amp; "-" &amp; VLOOKUP(C1699,[4]RESULTATS!$E$1:$F$176,2,FALSE)</f>
        <v>554- Les critères d’affectation sont clairement définis et respectés</v>
      </c>
      <c r="AC1699" s="20" t="str">
        <f>D1699 &amp; "-" &amp; VLOOKUP(D1699,[4]STRATEGIES!$E$1:$F$504,2,FALSE)</f>
        <v>5542-Sensibilisation des acteurs et partenaires sur les procédures et critères d’affectation par poste</v>
      </c>
      <c r="AD1699" s="21" t="str">
        <f t="shared" si="251"/>
        <v>5542-Sensibilisation des acteurs et partenaires sur les procédures et critères d’affectation par poste</v>
      </c>
    </row>
    <row r="1700" spans="1:30" s="22" customFormat="1" ht="45" customHeight="1" x14ac:dyDescent="0.8">
      <c r="A1700" s="14">
        <v>5</v>
      </c>
      <c r="B1700" s="15">
        <v>55</v>
      </c>
      <c r="C1700" s="15">
        <v>554</v>
      </c>
      <c r="D1700" s="15">
        <v>5542</v>
      </c>
      <c r="E1700" s="14">
        <v>55421</v>
      </c>
      <c r="F1700" s="16" t="s">
        <v>2152</v>
      </c>
      <c r="G1700" s="21" t="s">
        <v>2153</v>
      </c>
      <c r="H1700" s="17" t="s">
        <v>59</v>
      </c>
      <c r="I1700" s="56">
        <v>0</v>
      </c>
      <c r="J1700" s="56">
        <f>4*10*4</f>
        <v>160</v>
      </c>
      <c r="K1700" s="56"/>
      <c r="L1700" s="56"/>
      <c r="M1700" s="56">
        <f t="shared" si="252"/>
        <v>160</v>
      </c>
      <c r="N1700" s="56">
        <f>IF(OR(H1700="",H1700="sif",H1700="PM"),0,VLOOKUP(H1700,[5]CU!$C$4:$H$255,6,FALSE))</f>
        <v>0.8177777777777776</v>
      </c>
      <c r="O1700" s="56">
        <f t="shared" si="253"/>
        <v>0</v>
      </c>
      <c r="P1700" s="56">
        <f t="shared" si="253"/>
        <v>130.84444444444441</v>
      </c>
      <c r="Q1700" s="56">
        <f t="shared" si="253"/>
        <v>0</v>
      </c>
      <c r="R1700" s="56">
        <f t="shared" si="253"/>
        <v>0</v>
      </c>
      <c r="S1700" s="56">
        <f t="shared" ref="S1700:S1714" si="254">SUM(O1700:R1700)</f>
        <v>130.84444444444441</v>
      </c>
      <c r="T1700" s="35" t="s">
        <v>118</v>
      </c>
      <c r="U1700" s="18" t="s">
        <v>1873</v>
      </c>
      <c r="V1700" s="19" t="str">
        <f>IF(OR($H1700="",$H1700="sif",$H1700="PM"),"",VLOOKUP($H1700,[5]CU!$C$5:$J$255,8,FALSE))</f>
        <v>3. Dépenses de fonctionnement</v>
      </c>
      <c r="W1700" s="18" t="s">
        <v>142</v>
      </c>
      <c r="X1700" s="18" t="s">
        <v>142</v>
      </c>
      <c r="Y1700" s="19" t="s">
        <v>32</v>
      </c>
      <c r="Z1700" s="19" t="str">
        <f>A1700 &amp; "-" &amp; VLOOKUP(A1700,[4]PROGRAMMES!$E$1:$F$7,2,FALSE)</f>
        <v>5-Gouvernance et pilotage du secteur</v>
      </c>
      <c r="AA1700" s="19" t="str">
        <f>B1700 &amp; "-" &amp; VLOOKUP(B1700,[4]SOUSPROGRAMMES!$E$1:$F$44,2,FALSE)</f>
        <v>55- Gestion des RH (recrutement, affectation, motivation, fidélisation, gestion de carrières…)</v>
      </c>
      <c r="AB1700" s="19" t="str">
        <f>C1700 &amp; "-" &amp; VLOOKUP(C1700,[4]RESULTATS!$E$1:$F$176,2,FALSE)</f>
        <v>554- Les critères d’affectation sont clairement définis et respectés</v>
      </c>
      <c r="AC1700" s="20" t="str">
        <f>D1700 &amp; "-" &amp; VLOOKUP(D1700,[4]STRATEGIES!$E$1:$F$504,2,FALSE)</f>
        <v>5542-Sensibilisation des acteurs et partenaires sur les procédures et critères d’affectation par poste</v>
      </c>
      <c r="AD1700" s="21" t="str">
        <f t="shared" si="251"/>
        <v>55421-Organisation des campagnes d'information sur le manuel de procédures d'application du barème au niveau central et déconcentré</v>
      </c>
    </row>
    <row r="1701" spans="1:30" s="22" customFormat="1" ht="45" customHeight="1" x14ac:dyDescent="0.8">
      <c r="A1701" s="14">
        <v>5</v>
      </c>
      <c r="B1701" s="15">
        <v>55</v>
      </c>
      <c r="C1701" s="15">
        <v>554</v>
      </c>
      <c r="D1701" s="15">
        <v>5543</v>
      </c>
      <c r="E1701" s="14">
        <v>5543</v>
      </c>
      <c r="F1701" s="16" t="s">
        <v>2154</v>
      </c>
      <c r="G1701" s="17"/>
      <c r="H1701" s="17"/>
      <c r="I1701" s="56">
        <v>0</v>
      </c>
      <c r="J1701" s="56"/>
      <c r="K1701" s="56"/>
      <c r="L1701" s="56"/>
      <c r="M1701" s="56"/>
      <c r="N1701" s="56"/>
      <c r="O1701" s="56"/>
      <c r="P1701" s="56"/>
      <c r="Q1701" s="56"/>
      <c r="R1701" s="56"/>
      <c r="S1701" s="56"/>
      <c r="T1701" s="33"/>
      <c r="U1701" s="18"/>
      <c r="V1701" s="19"/>
      <c r="W1701" s="18"/>
      <c r="X1701" s="18"/>
      <c r="Y1701" s="18"/>
      <c r="Z1701" s="19" t="str">
        <f>A1701 &amp; "-" &amp; VLOOKUP(A1701,[4]PROGRAMMES!$E$1:$F$7,2,FALSE)</f>
        <v>5-Gouvernance et pilotage du secteur</v>
      </c>
      <c r="AA1701" s="19" t="str">
        <f>B1701 &amp; "-" &amp; VLOOKUP(B1701,[4]SOUSPROGRAMMES!$E$1:$F$44,2,FALSE)</f>
        <v>55- Gestion des RH (recrutement, affectation, motivation, fidélisation, gestion de carrières…)</v>
      </c>
      <c r="AB1701" s="19" t="str">
        <f>C1701 &amp; "-" &amp; VLOOKUP(C1701,[4]RESULTATS!$E$1:$F$176,2,FALSE)</f>
        <v>554- Les critères d’affectation sont clairement définis et respectés</v>
      </c>
      <c r="AC1701" s="20" t="str">
        <f>D1701 &amp; "-" &amp; VLOOKUP(D1701,[4]STRATEGIES!$E$1:$F$504,2,FALSE)</f>
        <v>5543-Publication régulière d’informations sur les affectations/mutations et le respect des procédures</v>
      </c>
      <c r="AD1701" s="21" t="str">
        <f t="shared" si="251"/>
        <v>5543-Publication régulière d’informations sur les affectations/mutations et le respect des procédures</v>
      </c>
    </row>
    <row r="1702" spans="1:30" s="22" customFormat="1" ht="45" customHeight="1" x14ac:dyDescent="0.8">
      <c r="A1702" s="14">
        <v>5</v>
      </c>
      <c r="B1702" s="15">
        <v>55</v>
      </c>
      <c r="C1702" s="15">
        <v>554</v>
      </c>
      <c r="D1702" s="15">
        <v>5543</v>
      </c>
      <c r="E1702" s="14">
        <v>55431</v>
      </c>
      <c r="F1702" s="16" t="s">
        <v>2155</v>
      </c>
      <c r="G1702" s="21" t="s">
        <v>315</v>
      </c>
      <c r="H1702" s="17" t="s">
        <v>66</v>
      </c>
      <c r="I1702" s="56">
        <v>0</v>
      </c>
      <c r="J1702" s="56">
        <f>(8*5)*2</f>
        <v>80</v>
      </c>
      <c r="K1702" s="56">
        <f>(8*5)*2</f>
        <v>80</v>
      </c>
      <c r="L1702" s="56">
        <f>(8*5)*2</f>
        <v>80</v>
      </c>
      <c r="M1702" s="56">
        <f t="shared" si="252"/>
        <v>240</v>
      </c>
      <c r="N1702" s="56">
        <f>IF(OR(H1702="",H1702="sif",H1702="PM"),0,VLOOKUP(H1702,[5]CU!$C$4:$H$255,6,FALSE))</f>
        <v>0.255</v>
      </c>
      <c r="O1702" s="56">
        <f t="shared" si="253"/>
        <v>0</v>
      </c>
      <c r="P1702" s="56">
        <f t="shared" si="253"/>
        <v>20.399999999999999</v>
      </c>
      <c r="Q1702" s="56">
        <f t="shared" si="253"/>
        <v>20.399999999999999</v>
      </c>
      <c r="R1702" s="56">
        <f t="shared" si="253"/>
        <v>20.399999999999999</v>
      </c>
      <c r="S1702" s="56">
        <f t="shared" si="254"/>
        <v>61.199999999999996</v>
      </c>
      <c r="T1702" s="35" t="s">
        <v>118</v>
      </c>
      <c r="U1702" s="18" t="s">
        <v>1873</v>
      </c>
      <c r="V1702" s="19" t="str">
        <f>IF(OR($H1702="",$H1702="sif",$H1702="PM"),"",VLOOKUP($H1702,[5]CU!$C$5:$J$255,8,FALSE))</f>
        <v>3. Dépenses de fonctionnement</v>
      </c>
      <c r="W1702" s="18" t="s">
        <v>142</v>
      </c>
      <c r="X1702" s="18" t="s">
        <v>142</v>
      </c>
      <c r="Y1702" s="19" t="s">
        <v>32</v>
      </c>
      <c r="Z1702" s="19" t="str">
        <f>A1702 &amp; "-" &amp; VLOOKUP(A1702,[4]PROGRAMMES!$E$1:$F$7,2,FALSE)</f>
        <v>5-Gouvernance et pilotage du secteur</v>
      </c>
      <c r="AA1702" s="19" t="str">
        <f>B1702 &amp; "-" &amp; VLOOKUP(B1702,[4]SOUSPROGRAMMES!$E$1:$F$44,2,FALSE)</f>
        <v>55- Gestion des RH (recrutement, affectation, motivation, fidélisation, gestion de carrières…)</v>
      </c>
      <c r="AB1702" s="19" t="str">
        <f>C1702 &amp; "-" &amp; VLOOKUP(C1702,[4]RESULTATS!$E$1:$F$176,2,FALSE)</f>
        <v>554- Les critères d’affectation sont clairement définis et respectés</v>
      </c>
      <c r="AC1702" s="20" t="str">
        <f>D1702 &amp; "-" &amp; VLOOKUP(D1702,[4]STRATEGIES!$E$1:$F$504,2,FALSE)</f>
        <v>5543-Publication régulière d’informations sur les affectations/mutations et le respect des procédures</v>
      </c>
      <c r="AD1702" s="21" t="str">
        <f t="shared" si="251"/>
        <v>55431-Rédaction d'un bulletin semestriel d'information sur les affectations/mutations et le respect des procédures</v>
      </c>
    </row>
    <row r="1703" spans="1:30" s="22" customFormat="1" ht="45" customHeight="1" x14ac:dyDescent="0.8">
      <c r="A1703" s="14">
        <v>5</v>
      </c>
      <c r="B1703" s="15">
        <v>55</v>
      </c>
      <c r="C1703" s="15">
        <v>554</v>
      </c>
      <c r="D1703" s="15">
        <v>5543</v>
      </c>
      <c r="E1703" s="14">
        <v>55432</v>
      </c>
      <c r="F1703" s="16" t="s">
        <v>2156</v>
      </c>
      <c r="G1703" s="21" t="s">
        <v>44</v>
      </c>
      <c r="H1703" s="17" t="s">
        <v>452</v>
      </c>
      <c r="I1703" s="56">
        <v>0</v>
      </c>
      <c r="J1703" s="56">
        <f>5000/3</f>
        <v>1666.6666666666667</v>
      </c>
      <c r="K1703" s="56">
        <f>5000/3</f>
        <v>1666.6666666666667</v>
      </c>
      <c r="L1703" s="56">
        <f>5000/3</f>
        <v>1666.6666666666667</v>
      </c>
      <c r="M1703" s="56">
        <f t="shared" si="252"/>
        <v>5000</v>
      </c>
      <c r="N1703" s="56">
        <f>IF(OR(H1703="",H1703="sif",H1703="PM"),0,VLOOKUP(H1703,[5]CU!$C$4:$H$255,6,FALSE))</f>
        <v>7.4999999999999997E-3</v>
      </c>
      <c r="O1703" s="56">
        <f t="shared" si="253"/>
        <v>0</v>
      </c>
      <c r="P1703" s="56">
        <f t="shared" si="253"/>
        <v>12.5</v>
      </c>
      <c r="Q1703" s="56">
        <f t="shared" si="253"/>
        <v>12.5</v>
      </c>
      <c r="R1703" s="56">
        <f t="shared" si="253"/>
        <v>12.5</v>
      </c>
      <c r="S1703" s="56">
        <f t="shared" si="254"/>
        <v>37.5</v>
      </c>
      <c r="T1703" s="35" t="s">
        <v>118</v>
      </c>
      <c r="U1703" s="18" t="s">
        <v>1873</v>
      </c>
      <c r="V1703" s="19" t="str">
        <f>IF(OR($H1703="",$H1703="sif",$H1703="PM"),"",VLOOKUP($H1703,[5]CU!$C$5:$J$255,8,FALSE))</f>
        <v>3. Dépenses de fonctionnement</v>
      </c>
      <c r="W1703" s="18" t="s">
        <v>142</v>
      </c>
      <c r="X1703" s="18" t="s">
        <v>1963</v>
      </c>
      <c r="Y1703" s="19" t="s">
        <v>32</v>
      </c>
      <c r="Z1703" s="19" t="str">
        <f>A1703 &amp; "-" &amp; VLOOKUP(A1703,[4]PROGRAMMES!$E$1:$F$7,2,FALSE)</f>
        <v>5-Gouvernance et pilotage du secteur</v>
      </c>
      <c r="AA1703" s="19" t="str">
        <f>B1703 &amp; "-" &amp; VLOOKUP(B1703,[4]SOUSPROGRAMMES!$E$1:$F$44,2,FALSE)</f>
        <v>55- Gestion des RH (recrutement, affectation, motivation, fidélisation, gestion de carrières…)</v>
      </c>
      <c r="AB1703" s="19" t="str">
        <f>C1703 &amp; "-" &amp; VLOOKUP(C1703,[4]RESULTATS!$E$1:$F$176,2,FALSE)</f>
        <v>554- Les critères d’affectation sont clairement définis et respectés</v>
      </c>
      <c r="AC1703" s="20" t="str">
        <f>D1703 &amp; "-" &amp; VLOOKUP(D1703,[4]STRATEGIES!$E$1:$F$504,2,FALSE)</f>
        <v>5543-Publication régulière d’informations sur les affectations/mutations et le respect des procédures</v>
      </c>
      <c r="AD1703" s="21" t="str">
        <f t="shared" si="251"/>
        <v>55432-Impression et diffusion du bulletin</v>
      </c>
    </row>
    <row r="1704" spans="1:30" s="22" customFormat="1" ht="45" hidden="1" customHeight="1" x14ac:dyDescent="0.8">
      <c r="A1704" s="14">
        <v>5</v>
      </c>
      <c r="B1704" s="15">
        <v>55</v>
      </c>
      <c r="C1704" s="15">
        <v>554</v>
      </c>
      <c r="D1704" s="15">
        <v>5543</v>
      </c>
      <c r="E1704" s="14">
        <v>55433</v>
      </c>
      <c r="F1704" s="16" t="s">
        <v>2157</v>
      </c>
      <c r="G1704" s="21" t="s">
        <v>149</v>
      </c>
      <c r="H1704" s="17" t="s">
        <v>2158</v>
      </c>
      <c r="I1704" s="56">
        <v>0</v>
      </c>
      <c r="J1704" s="56">
        <v>0.912646993738505</v>
      </c>
      <c r="K1704" s="56">
        <v>0.99860226988838896</v>
      </c>
      <c r="L1704" s="56">
        <v>1.0887507363731099</v>
      </c>
      <c r="M1704" s="56">
        <f t="shared" si="252"/>
        <v>3.0000000000000036</v>
      </c>
      <c r="N1704" s="56">
        <f>IF(OR(H1704="",H1704="sif",H1704="PM"),0,VLOOKUP(H1704,[5]CU!$C$4:$H$255,6,FALSE))</f>
        <v>191872.63296795147</v>
      </c>
      <c r="O1704" s="56">
        <f t="shared" si="253"/>
        <v>0</v>
      </c>
      <c r="P1704" s="56">
        <f t="shared" si="253"/>
        <v>175111.98165889247</v>
      </c>
      <c r="Q1704" s="56">
        <f t="shared" si="253"/>
        <v>191604.44681125807</v>
      </c>
      <c r="R1704" s="56">
        <f t="shared" si="253"/>
        <v>208901.47043370461</v>
      </c>
      <c r="S1704" s="56">
        <f t="shared" si="254"/>
        <v>575617.89890385512</v>
      </c>
      <c r="T1704" s="35" t="s">
        <v>56</v>
      </c>
      <c r="U1704" s="18" t="s">
        <v>1873</v>
      </c>
      <c r="V1704" s="19" t="str">
        <f>IF(OR($H1704="",$H1704="sif",$H1704="PM"),"",VLOOKUP($H1704,[5]CU!$C$5:$J$255,8,FALSE))</f>
        <v>2. Personnel</v>
      </c>
      <c r="W1704" s="18" t="s">
        <v>142</v>
      </c>
      <c r="X1704" s="18" t="s">
        <v>1963</v>
      </c>
      <c r="Y1704" s="19" t="s">
        <v>32</v>
      </c>
      <c r="Z1704" s="19" t="str">
        <f>A1704 &amp; "-" &amp; VLOOKUP(A1704,[4]PROGRAMMES!$E$1:$F$7,2,FALSE)</f>
        <v>5-Gouvernance et pilotage du secteur</v>
      </c>
      <c r="AA1704" s="19" t="str">
        <f>B1704 &amp; "-" &amp; VLOOKUP(B1704,[4]SOUSPROGRAMMES!$E$1:$F$44,2,FALSE)</f>
        <v>55- Gestion des RH (recrutement, affectation, motivation, fidélisation, gestion de carrières…)</v>
      </c>
      <c r="AB1704" s="19" t="str">
        <f>C1704 &amp; "-" &amp; VLOOKUP(C1704,[4]RESULTATS!$E$1:$F$176,2,FALSE)</f>
        <v>554- Les critères d’affectation sont clairement définis et respectés</v>
      </c>
      <c r="AC1704" s="20" t="str">
        <f>D1704 &amp; "-" &amp; VLOOKUP(D1704,[4]STRATEGIES!$E$1:$F$504,2,FALSE)</f>
        <v>5543-Publication régulière d’informations sur les affectations/mutations et le respect des procédures</v>
      </c>
      <c r="AD1704" s="21" t="str">
        <f t="shared" si="251"/>
        <v>55433-Prise en charge des salaires du personnel administratif du MENA (niveau central et niveaux déconcentrés)</v>
      </c>
    </row>
    <row r="1705" spans="1:30" s="22" customFormat="1" ht="45" hidden="1" customHeight="1" x14ac:dyDescent="0.8">
      <c r="A1705" s="14">
        <v>5</v>
      </c>
      <c r="B1705" s="15">
        <v>55</v>
      </c>
      <c r="C1705" s="15">
        <v>554</v>
      </c>
      <c r="D1705" s="15">
        <v>5543</v>
      </c>
      <c r="E1705" s="14">
        <v>55434</v>
      </c>
      <c r="F1705" s="16" t="s">
        <v>2159</v>
      </c>
      <c r="G1705" s="21" t="s">
        <v>149</v>
      </c>
      <c r="H1705" s="17" t="s">
        <v>2160</v>
      </c>
      <c r="I1705" s="56">
        <v>0</v>
      </c>
      <c r="J1705" s="56">
        <v>0.91153198421310699</v>
      </c>
      <c r="K1705" s="56">
        <v>1.0726779878967601</v>
      </c>
      <c r="L1705" s="56">
        <v>1.2785920764024299</v>
      </c>
      <c r="M1705" s="56">
        <f t="shared" si="252"/>
        <v>3.262802048512297</v>
      </c>
      <c r="N1705" s="56">
        <f>IF(OR(H1705="",H1705="sif",H1705="PM"),0,VLOOKUP(H1705,[5]CU!$C$4:$H$255,6,FALSE))</f>
        <v>14578.589454048</v>
      </c>
      <c r="O1705" s="56">
        <f t="shared" si="253"/>
        <v>0</v>
      </c>
      <c r="P1705" s="56">
        <f t="shared" si="253"/>
        <v>13288.85057207665</v>
      </c>
      <c r="Q1705" s="56">
        <f t="shared" si="253"/>
        <v>15638.132001941134</v>
      </c>
      <c r="R1705" s="56">
        <f t="shared" si="253"/>
        <v>18640.068961069799</v>
      </c>
      <c r="S1705" s="56">
        <f t="shared" si="254"/>
        <v>47567.051535087579</v>
      </c>
      <c r="T1705" s="35" t="s">
        <v>56</v>
      </c>
      <c r="U1705" s="18" t="s">
        <v>1873</v>
      </c>
      <c r="V1705" s="19" t="str">
        <f>IF(OR($H1705="",$H1705="sif",$H1705="PM"),"",VLOOKUP($H1705,[5]CU!$C$5:$J$255,8,FALSE))</f>
        <v>2. Personnel</v>
      </c>
      <c r="W1705" s="18" t="s">
        <v>142</v>
      </c>
      <c r="X1705" s="18" t="s">
        <v>1963</v>
      </c>
      <c r="Y1705" s="19" t="s">
        <v>32</v>
      </c>
      <c r="Z1705" s="19" t="str">
        <f>A1705 &amp; "-" &amp; VLOOKUP(A1705,[4]PROGRAMMES!$E$1:$F$7,2,FALSE)</f>
        <v>5-Gouvernance et pilotage du secteur</v>
      </c>
      <c r="AA1705" s="19" t="str">
        <f>B1705 &amp; "-" &amp; VLOOKUP(B1705,[4]SOUSPROGRAMMES!$E$1:$F$44,2,FALSE)</f>
        <v>55- Gestion des RH (recrutement, affectation, motivation, fidélisation, gestion de carrières…)</v>
      </c>
      <c r="AB1705" s="19" t="str">
        <f>C1705 &amp; "-" &amp; VLOOKUP(C1705,[4]RESULTATS!$E$1:$F$176,2,FALSE)</f>
        <v>554- Les critères d’affectation sont clairement définis et respectés</v>
      </c>
      <c r="AC1705" s="20" t="str">
        <f>D1705 &amp; "-" &amp; VLOOKUP(D1705,[4]STRATEGIES!$E$1:$F$504,2,FALSE)</f>
        <v>5543-Publication régulière d’informations sur les affectations/mutations et le respect des procédures</v>
      </c>
      <c r="AD1705" s="21" t="str">
        <f t="shared" si="251"/>
        <v>55434-Prise en charge des salaires du personnel administratif du METFP (niveau central et niveaux déconcentrés)</v>
      </c>
    </row>
    <row r="1706" spans="1:30" s="22" customFormat="1" ht="45" customHeight="1" x14ac:dyDescent="0.8">
      <c r="A1706" s="14">
        <v>5</v>
      </c>
      <c r="B1706" s="15">
        <v>55</v>
      </c>
      <c r="C1706" s="15">
        <v>554</v>
      </c>
      <c r="D1706" s="15">
        <v>5544</v>
      </c>
      <c r="E1706" s="14">
        <v>5544</v>
      </c>
      <c r="F1706" s="16" t="s">
        <v>2161</v>
      </c>
      <c r="G1706" s="17"/>
      <c r="H1706" s="17"/>
      <c r="I1706" s="56">
        <v>0</v>
      </c>
      <c r="J1706" s="56"/>
      <c r="K1706" s="56"/>
      <c r="L1706" s="56"/>
      <c r="M1706" s="56"/>
      <c r="N1706" s="56"/>
      <c r="O1706" s="56"/>
      <c r="P1706" s="56"/>
      <c r="Q1706" s="56"/>
      <c r="R1706" s="56"/>
      <c r="S1706" s="56"/>
      <c r="T1706" s="33"/>
      <c r="U1706" s="18"/>
      <c r="V1706" s="19"/>
      <c r="W1706" s="18"/>
      <c r="X1706" s="18"/>
      <c r="Y1706" s="18"/>
      <c r="Z1706" s="19" t="str">
        <f>A1706 &amp; "-" &amp; VLOOKUP(A1706,[4]PROGRAMMES!$E$1:$F$7,2,FALSE)</f>
        <v>5-Gouvernance et pilotage du secteur</v>
      </c>
      <c r="AA1706" s="19" t="str">
        <f>B1706 &amp; "-" &amp; VLOOKUP(B1706,[4]SOUSPROGRAMMES!$E$1:$F$44,2,FALSE)</f>
        <v>55- Gestion des RH (recrutement, affectation, motivation, fidélisation, gestion de carrières…)</v>
      </c>
      <c r="AB1706" s="19" t="str">
        <f>C1706 &amp; "-" &amp; VLOOKUP(C1706,[4]RESULTATS!$E$1:$F$176,2,FALSE)</f>
        <v>554- Les critères d’affectation sont clairement définis et respectés</v>
      </c>
      <c r="AC1706" s="20" t="str">
        <f>D1706 &amp; "-" &amp; VLOOKUP(D1706,[4]STRATEGIES!$E$1:$F$504,2,FALSE)</f>
        <v>5544-Missions de contrôle du respect des critères et procédures d’affectation</v>
      </c>
      <c r="AD1706" s="21" t="str">
        <f t="shared" si="251"/>
        <v>5544-Missions de contrôle du respect des critères et procédures d’affectation</v>
      </c>
    </row>
    <row r="1707" spans="1:30" s="22" customFormat="1" ht="45" customHeight="1" x14ac:dyDescent="0.8">
      <c r="A1707" s="14">
        <v>5</v>
      </c>
      <c r="B1707" s="15">
        <v>55</v>
      </c>
      <c r="C1707" s="15">
        <v>554</v>
      </c>
      <c r="D1707" s="15">
        <v>5544</v>
      </c>
      <c r="E1707" s="14">
        <v>55441</v>
      </c>
      <c r="F1707" s="16" t="s">
        <v>2162</v>
      </c>
      <c r="G1707" s="21" t="s">
        <v>2153</v>
      </c>
      <c r="H1707" s="17" t="s">
        <v>59</v>
      </c>
      <c r="I1707" s="56">
        <v>0</v>
      </c>
      <c r="J1707" s="56">
        <f>10*7</f>
        <v>70</v>
      </c>
      <c r="K1707" s="56">
        <f>10*7</f>
        <v>70</v>
      </c>
      <c r="L1707" s="56">
        <f>10*7</f>
        <v>70</v>
      </c>
      <c r="M1707" s="56">
        <f t="shared" si="252"/>
        <v>210</v>
      </c>
      <c r="N1707" s="56">
        <f>IF(OR(H1707="",H1707="sif",H1707="PM"),0,VLOOKUP(H1707,[5]CU!$C$4:$H$255,6,FALSE))</f>
        <v>0.8177777777777776</v>
      </c>
      <c r="O1707" s="56">
        <f t="shared" si="253"/>
        <v>0</v>
      </c>
      <c r="P1707" s="56">
        <f t="shared" si="253"/>
        <v>57.244444444444433</v>
      </c>
      <c r="Q1707" s="56">
        <f t="shared" si="253"/>
        <v>57.244444444444433</v>
      </c>
      <c r="R1707" s="56">
        <f t="shared" si="253"/>
        <v>57.244444444444433</v>
      </c>
      <c r="S1707" s="56">
        <f t="shared" si="254"/>
        <v>171.73333333333329</v>
      </c>
      <c r="T1707" s="35" t="s">
        <v>118</v>
      </c>
      <c r="U1707" s="18" t="s">
        <v>1873</v>
      </c>
      <c r="V1707" s="19" t="str">
        <f>IF(OR($H1707="",$H1707="sif",$H1707="PM"),"",VLOOKUP($H1707,[5]CU!$C$5:$J$255,8,FALSE))</f>
        <v>3. Dépenses de fonctionnement</v>
      </c>
      <c r="W1707" s="18" t="s">
        <v>142</v>
      </c>
      <c r="X1707" s="18" t="s">
        <v>273</v>
      </c>
      <c r="Y1707" s="19" t="s">
        <v>32</v>
      </c>
      <c r="Z1707" s="19" t="str">
        <f>A1707 &amp; "-" &amp; VLOOKUP(A1707,[4]PROGRAMMES!$E$1:$F$7,2,FALSE)</f>
        <v>5-Gouvernance et pilotage du secteur</v>
      </c>
      <c r="AA1707" s="19" t="str">
        <f>B1707 &amp; "-" &amp; VLOOKUP(B1707,[4]SOUSPROGRAMMES!$E$1:$F$44,2,FALSE)</f>
        <v>55- Gestion des RH (recrutement, affectation, motivation, fidélisation, gestion de carrières…)</v>
      </c>
      <c r="AB1707" s="19" t="str">
        <f>C1707 &amp; "-" &amp; VLOOKUP(C1707,[4]RESULTATS!$E$1:$F$176,2,FALSE)</f>
        <v>554- Les critères d’affectation sont clairement définis et respectés</v>
      </c>
      <c r="AC1707" s="20" t="str">
        <f>D1707 &amp; "-" &amp; VLOOKUP(D1707,[4]STRATEGIES!$E$1:$F$504,2,FALSE)</f>
        <v>5544-Missions de contrôle du respect des critères et procédures d’affectation</v>
      </c>
      <c r="AD1707" s="21" t="str">
        <f t="shared" si="251"/>
        <v>55441-Organisation de missions de contrôle du respect des procédures au niveau déconcentré (IRE et DPE/DCE)</v>
      </c>
    </row>
    <row r="1708" spans="1:30" s="22" customFormat="1" ht="45" customHeight="1" x14ac:dyDescent="0.8">
      <c r="A1708" s="14">
        <v>5</v>
      </c>
      <c r="B1708" s="15">
        <v>55</v>
      </c>
      <c r="C1708" s="15">
        <v>555</v>
      </c>
      <c r="D1708" s="15">
        <v>555</v>
      </c>
      <c r="E1708" s="14">
        <v>555</v>
      </c>
      <c r="F1708" s="16" t="s">
        <v>2163</v>
      </c>
      <c r="G1708" s="17"/>
      <c r="H1708" s="17"/>
      <c r="I1708" s="56">
        <v>0</v>
      </c>
      <c r="J1708" s="56"/>
      <c r="K1708" s="56"/>
      <c r="L1708" s="56"/>
      <c r="M1708" s="56"/>
      <c r="N1708" s="56"/>
      <c r="O1708" s="56"/>
      <c r="P1708" s="56"/>
      <c r="Q1708" s="56"/>
      <c r="R1708" s="56"/>
      <c r="S1708" s="56"/>
      <c r="T1708" s="33"/>
      <c r="U1708" s="18"/>
      <c r="V1708" s="19"/>
      <c r="W1708" s="18"/>
      <c r="X1708" s="18"/>
      <c r="Y1708" s="18"/>
      <c r="Z1708" s="19" t="str">
        <f>A1708 &amp; "-" &amp; VLOOKUP(A1708,[4]PROGRAMMES!$E$1:$F$7,2,FALSE)</f>
        <v>5-Gouvernance et pilotage du secteur</v>
      </c>
      <c r="AA1708" s="19" t="str">
        <f>B1708 &amp; "-" &amp; VLOOKUP(B1708,[4]SOUSPROGRAMMES!$E$1:$F$44,2,FALSE)</f>
        <v>55- Gestion des RH (recrutement, affectation, motivation, fidélisation, gestion de carrières…)</v>
      </c>
      <c r="AB1708" s="19" t="str">
        <f>C1708 &amp; "-" &amp; VLOOKUP(C1708,[4]RESULTATS!$E$1:$F$176,2,FALSE)</f>
        <v>555- Un plan de carrière motivant est validé et utilisé dans le cadre de la gestion des carrières</v>
      </c>
      <c r="AC1708" s="20" t="str">
        <f>D1708 &amp; "-" &amp; VLOOKUP(D1708,[4]STRATEGIES!$E$1:$F$504,2,FALSE)</f>
        <v>555- Un plan de carrière motivant est validé et utilisé dans le cadre de la gestion des carrières</v>
      </c>
      <c r="AD1708" s="21" t="str">
        <f t="shared" si="251"/>
        <v>555- Un plan de carrière motivant est validé et utilisé dans le cadre de la gestion des carrières</v>
      </c>
    </row>
    <row r="1709" spans="1:30" s="22" customFormat="1" ht="45" customHeight="1" x14ac:dyDescent="0.8">
      <c r="A1709" s="14">
        <v>5</v>
      </c>
      <c r="B1709" s="15">
        <v>55</v>
      </c>
      <c r="C1709" s="15">
        <v>555</v>
      </c>
      <c r="D1709" s="15">
        <v>5551</v>
      </c>
      <c r="E1709" s="14">
        <v>5551</v>
      </c>
      <c r="F1709" s="16" t="s">
        <v>2164</v>
      </c>
      <c r="G1709" s="17"/>
      <c r="H1709" s="17"/>
      <c r="I1709" s="56">
        <v>0</v>
      </c>
      <c r="J1709" s="56"/>
      <c r="K1709" s="56"/>
      <c r="L1709" s="56"/>
      <c r="M1709" s="56"/>
      <c r="N1709" s="56"/>
      <c r="O1709" s="56"/>
      <c r="P1709" s="56"/>
      <c r="Q1709" s="56"/>
      <c r="R1709" s="56"/>
      <c r="S1709" s="56"/>
      <c r="T1709" s="33"/>
      <c r="U1709" s="18"/>
      <c r="V1709" s="19"/>
      <c r="W1709" s="18"/>
      <c r="X1709" s="18"/>
      <c r="Y1709" s="18"/>
      <c r="Z1709" s="19" t="str">
        <f>A1709 &amp; "-" &amp; VLOOKUP(A1709,[4]PROGRAMMES!$E$1:$F$7,2,FALSE)</f>
        <v>5-Gouvernance et pilotage du secteur</v>
      </c>
      <c r="AA1709" s="19" t="str">
        <f>B1709 &amp; "-" &amp; VLOOKUP(B1709,[4]SOUSPROGRAMMES!$E$1:$F$44,2,FALSE)</f>
        <v>55- Gestion des RH (recrutement, affectation, motivation, fidélisation, gestion de carrières…)</v>
      </c>
      <c r="AB1709" s="19" t="str">
        <f>C1709 &amp; "-" &amp; VLOOKUP(C1709,[4]RESULTATS!$E$1:$F$176,2,FALSE)</f>
        <v>555- Un plan de carrière motivant est validé et utilisé dans le cadre de la gestion des carrières</v>
      </c>
      <c r="AC1709" s="20" t="str">
        <f>D1709 &amp; "-" &amp; VLOOKUP(D1709,[4]STRATEGIES!$E$1:$F$504,2,FALSE)</f>
        <v>5551-Développement et validation du plan de carrière en collaboration avec le Ministère de la Fonction Publique et les partenaires sociaux</v>
      </c>
      <c r="AD1709" s="21" t="str">
        <f t="shared" si="251"/>
        <v>5551-Développement et validation du plan de carrière en collaboration avec le Ministère de la Fonction Publique et les partenaires sociaux</v>
      </c>
    </row>
    <row r="1710" spans="1:30" s="22" customFormat="1" ht="45" customHeight="1" x14ac:dyDescent="0.8">
      <c r="A1710" s="14">
        <v>5</v>
      </c>
      <c r="B1710" s="15">
        <v>55</v>
      </c>
      <c r="C1710" s="15">
        <v>555</v>
      </c>
      <c r="D1710" s="15">
        <v>5551</v>
      </c>
      <c r="E1710" s="14">
        <v>55511</v>
      </c>
      <c r="F1710" s="16" t="s">
        <v>2165</v>
      </c>
      <c r="G1710" s="21" t="s">
        <v>651</v>
      </c>
      <c r="H1710" s="17" t="s">
        <v>66</v>
      </c>
      <c r="I1710" s="56">
        <v>0</v>
      </c>
      <c r="J1710" s="56">
        <f>20*10</f>
        <v>200</v>
      </c>
      <c r="K1710" s="56"/>
      <c r="L1710" s="56"/>
      <c r="M1710" s="56">
        <f t="shared" si="252"/>
        <v>200</v>
      </c>
      <c r="N1710" s="56">
        <f>IF(OR(H1710="",H1710="sif",H1710="PM"),0,VLOOKUP(H1710,[5]CU!$C$4:$H$255,6,FALSE))</f>
        <v>0.255</v>
      </c>
      <c r="O1710" s="56">
        <f t="shared" si="253"/>
        <v>0</v>
      </c>
      <c r="P1710" s="56">
        <f t="shared" si="253"/>
        <v>51</v>
      </c>
      <c r="Q1710" s="56">
        <f t="shared" si="253"/>
        <v>0</v>
      </c>
      <c r="R1710" s="56">
        <f t="shared" si="253"/>
        <v>0</v>
      </c>
      <c r="S1710" s="56">
        <f t="shared" si="254"/>
        <v>51</v>
      </c>
      <c r="T1710" s="35" t="s">
        <v>118</v>
      </c>
      <c r="U1710" s="18" t="s">
        <v>1873</v>
      </c>
      <c r="V1710" s="19" t="str">
        <f>IF(OR($H1710="",$H1710="sif",$H1710="PM"),"",VLOOKUP($H1710,[5]CU!$C$5:$J$255,8,FALSE))</f>
        <v>3. Dépenses de fonctionnement</v>
      </c>
      <c r="W1710" s="18" t="s">
        <v>142</v>
      </c>
      <c r="X1710" s="18" t="s">
        <v>142</v>
      </c>
      <c r="Y1710" s="19" t="s">
        <v>32</v>
      </c>
      <c r="Z1710" s="19" t="str">
        <f>A1710 &amp; "-" &amp; VLOOKUP(A1710,[4]PROGRAMMES!$E$1:$F$7,2,FALSE)</f>
        <v>5-Gouvernance et pilotage du secteur</v>
      </c>
      <c r="AA1710" s="19" t="str">
        <f>B1710 &amp; "-" &amp; VLOOKUP(B1710,[4]SOUSPROGRAMMES!$E$1:$F$44,2,FALSE)</f>
        <v>55- Gestion des RH (recrutement, affectation, motivation, fidélisation, gestion de carrières…)</v>
      </c>
      <c r="AB1710" s="19" t="str">
        <f>C1710 &amp; "-" &amp; VLOOKUP(C1710,[4]RESULTATS!$E$1:$F$176,2,FALSE)</f>
        <v>555- Un plan de carrière motivant est validé et utilisé dans le cadre de la gestion des carrières</v>
      </c>
      <c r="AC1710" s="20" t="str">
        <f>D1710 &amp; "-" &amp; VLOOKUP(D1710,[4]STRATEGIES!$E$1:$F$504,2,FALSE)</f>
        <v>5551-Développement et validation du plan de carrière en collaboration avec le Ministère de la Fonction Publique et les partenaires sociaux</v>
      </c>
      <c r="AD1710" s="21" t="str">
        <f t="shared" si="251"/>
        <v>55511-Elaboration d'un plan de carrière du personnel enseignant</v>
      </c>
    </row>
    <row r="1711" spans="1:30" s="22" customFormat="1" ht="45" customHeight="1" x14ac:dyDescent="0.8">
      <c r="A1711" s="14">
        <v>5</v>
      </c>
      <c r="B1711" s="15">
        <v>55</v>
      </c>
      <c r="C1711" s="15">
        <v>555</v>
      </c>
      <c r="D1711" s="15">
        <v>5551</v>
      </c>
      <c r="E1711" s="14">
        <v>55512</v>
      </c>
      <c r="F1711" s="16" t="s">
        <v>2166</v>
      </c>
      <c r="G1711" s="21" t="s">
        <v>651</v>
      </c>
      <c r="H1711" s="17" t="s">
        <v>66</v>
      </c>
      <c r="I1711" s="56">
        <v>0</v>
      </c>
      <c r="J1711" s="56">
        <f>10*4</f>
        <v>40</v>
      </c>
      <c r="K1711" s="56"/>
      <c r="L1711" s="56"/>
      <c r="M1711" s="56">
        <f t="shared" si="252"/>
        <v>40</v>
      </c>
      <c r="N1711" s="56">
        <f>IF(OR(H1711="",H1711="sif",H1711="PM"),0,VLOOKUP(H1711,[5]CU!$C$4:$H$255,6,FALSE))</f>
        <v>0.255</v>
      </c>
      <c r="O1711" s="56">
        <f t="shared" si="253"/>
        <v>0</v>
      </c>
      <c r="P1711" s="56">
        <f t="shared" si="253"/>
        <v>10.199999999999999</v>
      </c>
      <c r="Q1711" s="56">
        <f t="shared" si="253"/>
        <v>0</v>
      </c>
      <c r="R1711" s="56">
        <f t="shared" si="253"/>
        <v>0</v>
      </c>
      <c r="S1711" s="56">
        <f t="shared" si="254"/>
        <v>10.199999999999999</v>
      </c>
      <c r="T1711" s="35" t="s">
        <v>118</v>
      </c>
      <c r="U1711" s="18" t="s">
        <v>1873</v>
      </c>
      <c r="V1711" s="19" t="str">
        <f>IF(OR($H1711="",$H1711="sif",$H1711="PM"),"",VLOOKUP($H1711,[5]CU!$C$5:$J$255,8,FALSE))</f>
        <v>3. Dépenses de fonctionnement</v>
      </c>
      <c r="W1711" s="18" t="s">
        <v>142</v>
      </c>
      <c r="X1711" s="18" t="s">
        <v>142</v>
      </c>
      <c r="Y1711" s="19" t="s">
        <v>32</v>
      </c>
      <c r="Z1711" s="19" t="str">
        <f>A1711 &amp; "-" &amp; VLOOKUP(A1711,[4]PROGRAMMES!$E$1:$F$7,2,FALSE)</f>
        <v>5-Gouvernance et pilotage du secteur</v>
      </c>
      <c r="AA1711" s="19" t="str">
        <f>B1711 &amp; "-" &amp; VLOOKUP(B1711,[4]SOUSPROGRAMMES!$E$1:$F$44,2,FALSE)</f>
        <v>55- Gestion des RH (recrutement, affectation, motivation, fidélisation, gestion de carrières…)</v>
      </c>
      <c r="AB1711" s="19" t="str">
        <f>C1711 &amp; "-" &amp; VLOOKUP(C1711,[4]RESULTATS!$E$1:$F$176,2,FALSE)</f>
        <v>555- Un plan de carrière motivant est validé et utilisé dans le cadre de la gestion des carrières</v>
      </c>
      <c r="AC1711" s="20" t="str">
        <f>D1711 &amp; "-" &amp; VLOOKUP(D1711,[4]STRATEGIES!$E$1:$F$504,2,FALSE)</f>
        <v>5551-Développement et validation du plan de carrière en collaboration avec le Ministère de la Fonction Publique et les partenaires sociaux</v>
      </c>
      <c r="AD1711" s="21" t="str">
        <f t="shared" si="251"/>
        <v>55512-Révision des textes juridiques relatifs à la gestion de carrière concernant les enseignants</v>
      </c>
    </row>
    <row r="1712" spans="1:30" s="22" customFormat="1" ht="45" customHeight="1" x14ac:dyDescent="0.8">
      <c r="A1712" s="14">
        <v>5</v>
      </c>
      <c r="B1712" s="15">
        <v>55</v>
      </c>
      <c r="C1712" s="15">
        <v>555</v>
      </c>
      <c r="D1712" s="15">
        <v>5551</v>
      </c>
      <c r="E1712" s="14">
        <v>55513</v>
      </c>
      <c r="F1712" s="16" t="s">
        <v>2167</v>
      </c>
      <c r="G1712" s="21" t="s">
        <v>315</v>
      </c>
      <c r="H1712" s="17" t="s">
        <v>66</v>
      </c>
      <c r="I1712" s="56">
        <v>0</v>
      </c>
      <c r="J1712" s="56">
        <f>40</f>
        <v>40</v>
      </c>
      <c r="K1712" s="56"/>
      <c r="L1712" s="56"/>
      <c r="M1712" s="56">
        <f t="shared" si="252"/>
        <v>40</v>
      </c>
      <c r="N1712" s="56">
        <f>IF(OR(H1712="",H1712="sif",H1712="PM"),0,VLOOKUP(H1712,[5]CU!$C$4:$H$255,6,FALSE))</f>
        <v>0.255</v>
      </c>
      <c r="O1712" s="56">
        <f t="shared" si="253"/>
        <v>0</v>
      </c>
      <c r="P1712" s="56">
        <f t="shared" si="253"/>
        <v>10.199999999999999</v>
      </c>
      <c r="Q1712" s="56">
        <f t="shared" si="253"/>
        <v>0</v>
      </c>
      <c r="R1712" s="56">
        <f t="shared" si="253"/>
        <v>0</v>
      </c>
      <c r="S1712" s="56">
        <f t="shared" si="254"/>
        <v>10.199999999999999</v>
      </c>
      <c r="T1712" s="35" t="s">
        <v>118</v>
      </c>
      <c r="U1712" s="18" t="s">
        <v>1873</v>
      </c>
      <c r="V1712" s="19" t="str">
        <f>IF(OR($H1712="",$H1712="sif",$H1712="PM"),"",VLOOKUP($H1712,[5]CU!$C$5:$J$255,8,FALSE))</f>
        <v>3. Dépenses de fonctionnement</v>
      </c>
      <c r="W1712" s="18" t="s">
        <v>142</v>
      </c>
      <c r="X1712" s="18" t="s">
        <v>142</v>
      </c>
      <c r="Y1712" s="19" t="s">
        <v>32</v>
      </c>
      <c r="Z1712" s="19" t="str">
        <f>A1712 &amp; "-" &amp; VLOOKUP(A1712,[4]PROGRAMMES!$E$1:$F$7,2,FALSE)</f>
        <v>5-Gouvernance et pilotage du secteur</v>
      </c>
      <c r="AA1712" s="19" t="str">
        <f>B1712 &amp; "-" &amp; VLOOKUP(B1712,[4]SOUSPROGRAMMES!$E$1:$F$44,2,FALSE)</f>
        <v>55- Gestion des RH (recrutement, affectation, motivation, fidélisation, gestion de carrières…)</v>
      </c>
      <c r="AB1712" s="19" t="str">
        <f>C1712 &amp; "-" &amp; VLOOKUP(C1712,[4]RESULTATS!$E$1:$F$176,2,FALSE)</f>
        <v>555- Un plan de carrière motivant est validé et utilisé dans le cadre de la gestion des carrières</v>
      </c>
      <c r="AC1712" s="20" t="str">
        <f>D1712 &amp; "-" &amp; VLOOKUP(D1712,[4]STRATEGIES!$E$1:$F$504,2,FALSE)</f>
        <v>5551-Développement et validation du plan de carrière en collaboration avec le Ministère de la Fonction Publique et les partenaires sociaux</v>
      </c>
      <c r="AD1712" s="21" t="str">
        <f t="shared" si="251"/>
        <v>55513-Partage et validation du plan de carrière du personnel enseignant</v>
      </c>
    </row>
    <row r="1713" spans="1:30" s="22" customFormat="1" ht="45" customHeight="1" x14ac:dyDescent="0.8">
      <c r="A1713" s="14">
        <v>5</v>
      </c>
      <c r="B1713" s="15">
        <v>55</v>
      </c>
      <c r="C1713" s="15">
        <v>555</v>
      </c>
      <c r="D1713" s="15">
        <v>5552</v>
      </c>
      <c r="E1713" s="14">
        <v>5552</v>
      </c>
      <c r="F1713" s="16" t="s">
        <v>2168</v>
      </c>
      <c r="G1713" s="17"/>
      <c r="H1713" s="17"/>
      <c r="I1713" s="56">
        <v>0</v>
      </c>
      <c r="J1713" s="56"/>
      <c r="K1713" s="56"/>
      <c r="L1713" s="56"/>
      <c r="M1713" s="56"/>
      <c r="N1713" s="56"/>
      <c r="O1713" s="56"/>
      <c r="P1713" s="56"/>
      <c r="Q1713" s="56"/>
      <c r="R1713" s="56"/>
      <c r="S1713" s="56"/>
      <c r="T1713" s="33"/>
      <c r="U1713" s="18"/>
      <c r="V1713" s="19"/>
      <c r="W1713" s="18"/>
      <c r="X1713" s="18"/>
      <c r="Y1713" s="18"/>
      <c r="Z1713" s="19" t="str">
        <f>A1713 &amp; "-" &amp; VLOOKUP(A1713,[4]PROGRAMMES!$E$1:$F$7,2,FALSE)</f>
        <v>5-Gouvernance et pilotage du secteur</v>
      </c>
      <c r="AA1713" s="19" t="str">
        <f>B1713 &amp; "-" &amp; VLOOKUP(B1713,[4]SOUSPROGRAMMES!$E$1:$F$44,2,FALSE)</f>
        <v>55- Gestion des RH (recrutement, affectation, motivation, fidélisation, gestion de carrières…)</v>
      </c>
      <c r="AB1713" s="19" t="str">
        <f>C1713 &amp; "-" &amp; VLOOKUP(C1713,[4]RESULTATS!$E$1:$F$176,2,FALSE)</f>
        <v>555- Un plan de carrière motivant est validé et utilisé dans le cadre de la gestion des carrières</v>
      </c>
      <c r="AC1713" s="20" t="str">
        <f>D1713 &amp; "-" &amp; VLOOKUP(D1713,[4]STRATEGIES!$E$1:$F$504,2,FALSE)</f>
        <v>5552-Sensibilisation et vulgarisation du plan de carrière auprès de tous les acteurs et partenaires concernés</v>
      </c>
      <c r="AD1713" s="21" t="str">
        <f t="shared" si="251"/>
        <v>5552-Sensibilisation et vulgarisation du plan de carrière auprès de tous les acteurs et partenaires concernés</v>
      </c>
    </row>
    <row r="1714" spans="1:30" s="22" customFormat="1" ht="45" hidden="1" customHeight="1" x14ac:dyDescent="0.8">
      <c r="A1714" s="14">
        <v>5</v>
      </c>
      <c r="B1714" s="15">
        <v>55</v>
      </c>
      <c r="C1714" s="15">
        <v>555</v>
      </c>
      <c r="D1714" s="15">
        <v>5552</v>
      </c>
      <c r="E1714" s="14">
        <v>55521</v>
      </c>
      <c r="F1714" s="16" t="s">
        <v>2169</v>
      </c>
      <c r="G1714" s="21" t="s">
        <v>1017</v>
      </c>
      <c r="H1714" s="17" t="s">
        <v>59</v>
      </c>
      <c r="I1714" s="56">
        <v>0</v>
      </c>
      <c r="J1714" s="56"/>
      <c r="K1714" s="56">
        <f>4*4*8</f>
        <v>128</v>
      </c>
      <c r="L1714" s="56"/>
      <c r="M1714" s="56">
        <f t="shared" si="252"/>
        <v>128</v>
      </c>
      <c r="N1714" s="56">
        <f>IF(OR(H1714="",H1714="sif",H1714="PM"),0,VLOOKUP(H1714,[5]CU!$C$4:$H$255,6,FALSE))</f>
        <v>0.8177777777777776</v>
      </c>
      <c r="O1714" s="56">
        <f t="shared" si="253"/>
        <v>0</v>
      </c>
      <c r="P1714" s="56">
        <f t="shared" si="253"/>
        <v>0</v>
      </c>
      <c r="Q1714" s="56">
        <f t="shared" si="253"/>
        <v>104.67555555555553</v>
      </c>
      <c r="R1714" s="56">
        <f t="shared" si="253"/>
        <v>0</v>
      </c>
      <c r="S1714" s="56">
        <f t="shared" si="254"/>
        <v>104.67555555555553</v>
      </c>
      <c r="T1714" s="35" t="s">
        <v>56</v>
      </c>
      <c r="U1714" s="18" t="s">
        <v>1873</v>
      </c>
      <c r="V1714" s="19" t="str">
        <f>IF(OR($H1714="",$H1714="sif",$H1714="PM"),"",VLOOKUP($H1714,[5]CU!$C$5:$J$255,8,FALSE))</f>
        <v>3. Dépenses de fonctionnement</v>
      </c>
      <c r="W1714" s="18" t="s">
        <v>142</v>
      </c>
      <c r="X1714" s="18" t="s">
        <v>142</v>
      </c>
      <c r="Y1714" s="19" t="s">
        <v>32</v>
      </c>
      <c r="Z1714" s="19" t="str">
        <f>A1714 &amp; "-" &amp; VLOOKUP(A1714,[4]PROGRAMMES!$E$1:$F$7,2,FALSE)</f>
        <v>5-Gouvernance et pilotage du secteur</v>
      </c>
      <c r="AA1714" s="19" t="str">
        <f>B1714 &amp; "-" &amp; VLOOKUP(B1714,[4]SOUSPROGRAMMES!$E$1:$F$44,2,FALSE)</f>
        <v>55- Gestion des RH (recrutement, affectation, motivation, fidélisation, gestion de carrières…)</v>
      </c>
      <c r="AB1714" s="19" t="str">
        <f>C1714 &amp; "-" &amp; VLOOKUP(C1714,[4]RESULTATS!$E$1:$F$176,2,FALSE)</f>
        <v>555- Un plan de carrière motivant est validé et utilisé dans le cadre de la gestion des carrières</v>
      </c>
      <c r="AC1714" s="20" t="str">
        <f>D1714 &amp; "-" &amp; VLOOKUP(D1714,[4]STRATEGIES!$E$1:$F$504,2,FALSE)</f>
        <v>5552-Sensibilisation et vulgarisation du plan de carrière auprès de tous les acteurs et partenaires concernés</v>
      </c>
      <c r="AD1714" s="21" t="str">
        <f t="shared" si="251"/>
        <v>55521-Campagne d'interprétation, d'appropriation et de vulgarisation des textes relatifs au plan de carrière des enseignants auprès de tous les acteurs institutionnels et partenaires</v>
      </c>
    </row>
    <row r="1715" spans="1:30" s="22" customFormat="1" ht="45" customHeight="1" x14ac:dyDescent="0.8">
      <c r="A1715" s="14">
        <v>5</v>
      </c>
      <c r="B1715" s="15">
        <v>55</v>
      </c>
      <c r="C1715" s="15">
        <v>555</v>
      </c>
      <c r="D1715" s="15">
        <v>5553</v>
      </c>
      <c r="E1715" s="14">
        <v>5553</v>
      </c>
      <c r="F1715" s="16" t="s">
        <v>2170</v>
      </c>
      <c r="G1715" s="17"/>
      <c r="H1715" s="17"/>
      <c r="I1715" s="56">
        <v>0</v>
      </c>
      <c r="J1715" s="56"/>
      <c r="K1715" s="56"/>
      <c r="L1715" s="56"/>
      <c r="M1715" s="56"/>
      <c r="N1715" s="56"/>
      <c r="O1715" s="56"/>
      <c r="P1715" s="56"/>
      <c r="Q1715" s="56"/>
      <c r="R1715" s="56"/>
      <c r="S1715" s="56"/>
      <c r="T1715" s="33"/>
      <c r="U1715" s="18"/>
      <c r="V1715" s="19"/>
      <c r="W1715" s="18"/>
      <c r="X1715" s="18"/>
      <c r="Y1715" s="18"/>
      <c r="Z1715" s="19" t="str">
        <f>A1715 &amp; "-" &amp; VLOOKUP(A1715,[4]PROGRAMMES!$E$1:$F$7,2,FALSE)</f>
        <v>5-Gouvernance et pilotage du secteur</v>
      </c>
      <c r="AA1715" s="19" t="str">
        <f>B1715 &amp; "-" &amp; VLOOKUP(B1715,[4]SOUSPROGRAMMES!$E$1:$F$44,2,FALSE)</f>
        <v>55- Gestion des RH (recrutement, affectation, motivation, fidélisation, gestion de carrières…)</v>
      </c>
      <c r="AB1715" s="19" t="str">
        <f>C1715 &amp; "-" &amp; VLOOKUP(C1715,[4]RESULTATS!$E$1:$F$176,2,FALSE)</f>
        <v>555- Un plan de carrière motivant est validé et utilisé dans le cadre de la gestion des carrières</v>
      </c>
      <c r="AC1715" s="20" t="str">
        <f>D1715 &amp; "-" &amp; VLOOKUP(D1715,[4]STRATEGIES!$E$1:$F$504,2,FALSE)</f>
        <v>5553-Utilisation de la base de données pour le suivi de la mise en œuvre du plan de carrière</v>
      </c>
      <c r="AD1715" s="21" t="str">
        <f t="shared" si="251"/>
        <v>5553-Utilisation de la base de données pour le suivi de la mise en œuvre du plan de carrière</v>
      </c>
    </row>
    <row r="1716" spans="1:30" s="22" customFormat="1" ht="45" hidden="1" customHeight="1" x14ac:dyDescent="0.8">
      <c r="A1716" s="14">
        <v>5</v>
      </c>
      <c r="B1716" s="15">
        <v>55</v>
      </c>
      <c r="C1716" s="15">
        <v>555</v>
      </c>
      <c r="D1716" s="15">
        <v>5553</v>
      </c>
      <c r="E1716" s="14">
        <v>55531</v>
      </c>
      <c r="F1716" s="16" t="s">
        <v>2171</v>
      </c>
      <c r="G1716" s="21" t="s">
        <v>88</v>
      </c>
      <c r="H1716" s="17" t="s">
        <v>55</v>
      </c>
      <c r="I1716" s="56">
        <v>0</v>
      </c>
      <c r="J1716" s="56">
        <v>1</v>
      </c>
      <c r="K1716" s="56">
        <v>1</v>
      </c>
      <c r="L1716" s="56">
        <v>1</v>
      </c>
      <c r="M1716" s="56">
        <f t="shared" si="252"/>
        <v>3</v>
      </c>
      <c r="N1716" s="56">
        <f>IF(OR(H1716="",H1716="sif",H1716="PM"),0,VLOOKUP(H1716,[5]CU!$C$4:$H$255,6,FALSE))</f>
        <v>0</v>
      </c>
      <c r="O1716" s="56">
        <f t="shared" si="253"/>
        <v>0</v>
      </c>
      <c r="P1716" s="56">
        <f t="shared" si="253"/>
        <v>0</v>
      </c>
      <c r="Q1716" s="56">
        <f t="shared" si="253"/>
        <v>0</v>
      </c>
      <c r="R1716" s="56">
        <f t="shared" si="253"/>
        <v>0</v>
      </c>
      <c r="S1716" s="56"/>
      <c r="T1716" s="35" t="s">
        <v>56</v>
      </c>
      <c r="U1716" s="18" t="s">
        <v>1873</v>
      </c>
      <c r="V1716" s="19" t="str">
        <f>IF(OR($H1716="",$H1716="sif",$H1716="PM"),"",VLOOKUP($H1716,[5]CU!$C$5:$J$255,8,FALSE))</f>
        <v/>
      </c>
      <c r="W1716" s="18" t="s">
        <v>142</v>
      </c>
      <c r="X1716" s="18" t="s">
        <v>142</v>
      </c>
      <c r="Y1716" s="19" t="s">
        <v>32</v>
      </c>
      <c r="Z1716" s="19" t="str">
        <f>A1716 &amp; "-" &amp; VLOOKUP(A1716,[4]PROGRAMMES!$E$1:$F$7,2,FALSE)</f>
        <v>5-Gouvernance et pilotage du secteur</v>
      </c>
      <c r="AA1716" s="19" t="str">
        <f>B1716 &amp; "-" &amp; VLOOKUP(B1716,[4]SOUSPROGRAMMES!$E$1:$F$44,2,FALSE)</f>
        <v>55- Gestion des RH (recrutement, affectation, motivation, fidélisation, gestion de carrières…)</v>
      </c>
      <c r="AB1716" s="19" t="str">
        <f>C1716 &amp; "-" &amp; VLOOKUP(C1716,[4]RESULTATS!$E$1:$F$176,2,FALSE)</f>
        <v>555- Un plan de carrière motivant est validé et utilisé dans le cadre de la gestion des carrières</v>
      </c>
      <c r="AC1716" s="20" t="str">
        <f>D1716 &amp; "-" &amp; VLOOKUP(D1716,[4]STRATEGIES!$E$1:$F$504,2,FALSE)</f>
        <v>5553-Utilisation de la base de données pour le suivi de la mise en œuvre du plan de carrière</v>
      </c>
      <c r="AD1716" s="21" t="str">
        <f t="shared" si="251"/>
        <v>55531-Mise à jour régulière de la base de données sur les personnels du MENA</v>
      </c>
    </row>
    <row r="1717" spans="1:30" s="22" customFormat="1" ht="45" hidden="1" customHeight="1" x14ac:dyDescent="0.8">
      <c r="A1717" s="14">
        <v>5</v>
      </c>
      <c r="B1717" s="15">
        <v>55</v>
      </c>
      <c r="C1717" s="15">
        <v>555</v>
      </c>
      <c r="D1717" s="15">
        <v>5553</v>
      </c>
      <c r="E1717" s="14">
        <v>55532</v>
      </c>
      <c r="F1717" s="16" t="s">
        <v>2172</v>
      </c>
      <c r="G1717" s="21" t="s">
        <v>88</v>
      </c>
      <c r="H1717" s="17" t="s">
        <v>55</v>
      </c>
      <c r="I1717" s="56">
        <v>0</v>
      </c>
      <c r="J1717" s="56">
        <v>1</v>
      </c>
      <c r="K1717" s="56">
        <v>1</v>
      </c>
      <c r="L1717" s="56">
        <v>1</v>
      </c>
      <c r="M1717" s="56">
        <f t="shared" si="252"/>
        <v>3</v>
      </c>
      <c r="N1717" s="56">
        <f>IF(OR(H1717="",H1717="sif",H1717="PM"),0,VLOOKUP(H1717,[5]CU!$C$4:$H$255,6,FALSE))</f>
        <v>0</v>
      </c>
      <c r="O1717" s="56">
        <f t="shared" si="253"/>
        <v>0</v>
      </c>
      <c r="P1717" s="56">
        <f t="shared" si="253"/>
        <v>0</v>
      </c>
      <c r="Q1717" s="56">
        <f t="shared" si="253"/>
        <v>0</v>
      </c>
      <c r="R1717" s="56">
        <f t="shared" si="253"/>
        <v>0</v>
      </c>
      <c r="S1717" s="56"/>
      <c r="T1717" s="35" t="s">
        <v>56</v>
      </c>
      <c r="U1717" s="18" t="s">
        <v>1873</v>
      </c>
      <c r="V1717" s="19" t="str">
        <f>IF(OR($H1717="",$H1717="sif",$H1717="PM"),"",VLOOKUP($H1717,[5]CU!$C$5:$J$255,8,FALSE))</f>
        <v/>
      </c>
      <c r="W1717" s="18" t="s">
        <v>142</v>
      </c>
      <c r="X1717" s="18" t="s">
        <v>142</v>
      </c>
      <c r="Y1717" s="18" t="s">
        <v>679</v>
      </c>
      <c r="Z1717" s="19" t="str">
        <f>A1717 &amp; "-" &amp; VLOOKUP(A1717,[4]PROGRAMMES!$E$1:$F$7,2,FALSE)</f>
        <v>5-Gouvernance et pilotage du secteur</v>
      </c>
      <c r="AA1717" s="19" t="str">
        <f>B1717 &amp; "-" &amp; VLOOKUP(B1717,[4]SOUSPROGRAMMES!$E$1:$F$44,2,FALSE)</f>
        <v>55- Gestion des RH (recrutement, affectation, motivation, fidélisation, gestion de carrières…)</v>
      </c>
      <c r="AB1717" s="19" t="str">
        <f>C1717 &amp; "-" &amp; VLOOKUP(C1717,[4]RESULTATS!$E$1:$F$176,2,FALSE)</f>
        <v>555- Un plan de carrière motivant est validé et utilisé dans le cadre de la gestion des carrières</v>
      </c>
      <c r="AC1717" s="20" t="str">
        <f>D1717 &amp; "-" &amp; VLOOKUP(D1717,[4]STRATEGIES!$E$1:$F$504,2,FALSE)</f>
        <v>5553-Utilisation de la base de données pour le suivi de la mise en œuvre du plan de carrière</v>
      </c>
      <c r="AD1717" s="21" t="str">
        <f t="shared" si="251"/>
        <v>55532-Mise à jour régulière de la base de données sur les personnels du MESRS</v>
      </c>
    </row>
    <row r="1718" spans="1:30" s="22" customFormat="1" ht="45" hidden="1" customHeight="1" x14ac:dyDescent="0.8">
      <c r="A1718" s="14">
        <v>5</v>
      </c>
      <c r="B1718" s="15">
        <v>55</v>
      </c>
      <c r="C1718" s="15">
        <v>555</v>
      </c>
      <c r="D1718" s="15">
        <v>5553</v>
      </c>
      <c r="E1718" s="14">
        <v>55533</v>
      </c>
      <c r="F1718" s="16" t="s">
        <v>2173</v>
      </c>
      <c r="G1718" s="21" t="s">
        <v>88</v>
      </c>
      <c r="H1718" s="17" t="s">
        <v>55</v>
      </c>
      <c r="I1718" s="56">
        <v>0</v>
      </c>
      <c r="J1718" s="56">
        <v>1</v>
      </c>
      <c r="K1718" s="56">
        <v>1</v>
      </c>
      <c r="L1718" s="56">
        <v>1</v>
      </c>
      <c r="M1718" s="56">
        <f t="shared" si="252"/>
        <v>3</v>
      </c>
      <c r="N1718" s="56">
        <f>IF(OR(H1718="",H1718="sif",H1718="PM"),0,VLOOKUP(H1718,[5]CU!$C$4:$H$255,6,FALSE))</f>
        <v>0</v>
      </c>
      <c r="O1718" s="56">
        <f t="shared" si="253"/>
        <v>0</v>
      </c>
      <c r="P1718" s="56">
        <f t="shared" si="253"/>
        <v>0</v>
      </c>
      <c r="Q1718" s="56">
        <f t="shared" si="253"/>
        <v>0</v>
      </c>
      <c r="R1718" s="56">
        <f t="shared" si="253"/>
        <v>0</v>
      </c>
      <c r="S1718" s="56"/>
      <c r="T1718" s="35" t="s">
        <v>56</v>
      </c>
      <c r="U1718" s="18" t="s">
        <v>1873</v>
      </c>
      <c r="V1718" s="19" t="str">
        <f>IF(OR($H1718="",$H1718="sif",$H1718="PM"),"",VLOOKUP($H1718,[5]CU!$C$5:$J$255,8,FALSE))</f>
        <v/>
      </c>
      <c r="W1718" s="18" t="s">
        <v>142</v>
      </c>
      <c r="X1718" s="18" t="s">
        <v>142</v>
      </c>
      <c r="Y1718" s="18" t="s">
        <v>677</v>
      </c>
      <c r="Z1718" s="19" t="str">
        <f>A1718 &amp; "-" &amp; VLOOKUP(A1718,[4]PROGRAMMES!$E$1:$F$7,2,FALSE)</f>
        <v>5-Gouvernance et pilotage du secteur</v>
      </c>
      <c r="AA1718" s="19" t="str">
        <f>B1718 &amp; "-" &amp; VLOOKUP(B1718,[4]SOUSPROGRAMMES!$E$1:$F$44,2,FALSE)</f>
        <v>55- Gestion des RH (recrutement, affectation, motivation, fidélisation, gestion de carrières…)</v>
      </c>
      <c r="AB1718" s="19" t="str">
        <f>C1718 &amp; "-" &amp; VLOOKUP(C1718,[4]RESULTATS!$E$1:$F$176,2,FALSE)</f>
        <v>555- Un plan de carrière motivant est validé et utilisé dans le cadre de la gestion des carrières</v>
      </c>
      <c r="AC1718" s="20" t="str">
        <f>D1718 &amp; "-" &amp; VLOOKUP(D1718,[4]STRATEGIES!$E$1:$F$504,2,FALSE)</f>
        <v>5553-Utilisation de la base de données pour le suivi de la mise en œuvre du plan de carrière</v>
      </c>
      <c r="AD1718" s="21" t="str">
        <f t="shared" si="251"/>
        <v>55533-Mise à jour régulière de la base de données sur les personnels du METFP</v>
      </c>
    </row>
    <row r="1719" spans="1:30" s="22" customFormat="1" ht="45" customHeight="1" x14ac:dyDescent="0.8">
      <c r="A1719" s="14">
        <v>5</v>
      </c>
      <c r="B1719" s="15">
        <v>55</v>
      </c>
      <c r="C1719" s="15">
        <v>555</v>
      </c>
      <c r="D1719" s="15">
        <v>5554</v>
      </c>
      <c r="E1719" s="14">
        <v>5554</v>
      </c>
      <c r="F1719" s="16" t="s">
        <v>2174</v>
      </c>
      <c r="G1719" s="17"/>
      <c r="H1719" s="17"/>
      <c r="I1719" s="56">
        <v>0</v>
      </c>
      <c r="J1719" s="56"/>
      <c r="K1719" s="56"/>
      <c r="L1719" s="56"/>
      <c r="M1719" s="56"/>
      <c r="N1719" s="56"/>
      <c r="O1719" s="56"/>
      <c r="P1719" s="56"/>
      <c r="Q1719" s="56"/>
      <c r="R1719" s="56"/>
      <c r="S1719" s="56"/>
      <c r="T1719" s="33"/>
      <c r="U1719" s="18"/>
      <c r="V1719" s="19"/>
      <c r="W1719" s="18"/>
      <c r="X1719" s="18"/>
      <c r="Y1719" s="18"/>
      <c r="Z1719" s="19" t="str">
        <f>A1719 &amp; "-" &amp; VLOOKUP(A1719,[4]PROGRAMMES!$E$1:$F$7,2,FALSE)</f>
        <v>5-Gouvernance et pilotage du secteur</v>
      </c>
      <c r="AA1719" s="19" t="str">
        <f>B1719 &amp; "-" &amp; VLOOKUP(B1719,[4]SOUSPROGRAMMES!$E$1:$F$44,2,FALSE)</f>
        <v>55- Gestion des RH (recrutement, affectation, motivation, fidélisation, gestion de carrières…)</v>
      </c>
      <c r="AB1719" s="19" t="str">
        <f>C1719 &amp; "-" &amp; VLOOKUP(C1719,[4]RESULTATS!$E$1:$F$176,2,FALSE)</f>
        <v>555- Un plan de carrière motivant est validé et utilisé dans le cadre de la gestion des carrières</v>
      </c>
      <c r="AC1719" s="20" t="str">
        <f>D1719 &amp; "-" &amp; VLOOKUP(D1719,[4]STRATEGIES!$E$1:$F$504,2,FALSE)</f>
        <v>5554-Poursuite de la mise en œuvre du systéme de contrôle de présence des enseignants et amélioration par l'usage du telèphone portable (en lien avec le numéro vert de la DPE)</v>
      </c>
      <c r="AD1719" s="21" t="str">
        <f t="shared" si="251"/>
        <v>5554-Poursuite de la mise en œuvre du systéme de contrôle de présence des enseignants et amélioration par l'usage du telèphone portable (en lien avec le numéro vert de la DPE)</v>
      </c>
    </row>
    <row r="1720" spans="1:30" s="22" customFormat="1" ht="45" hidden="1" customHeight="1" x14ac:dyDescent="0.8">
      <c r="A1720" s="14">
        <v>5</v>
      </c>
      <c r="B1720" s="15">
        <v>55</v>
      </c>
      <c r="C1720" s="15">
        <v>555</v>
      </c>
      <c r="D1720" s="15">
        <v>5554</v>
      </c>
      <c r="E1720" s="14">
        <v>55541</v>
      </c>
      <c r="F1720" s="16" t="s">
        <v>2175</v>
      </c>
      <c r="G1720" s="21" t="s">
        <v>2176</v>
      </c>
      <c r="H1720" s="17" t="s">
        <v>66</v>
      </c>
      <c r="I1720" s="56">
        <v>0</v>
      </c>
      <c r="J1720" s="56"/>
      <c r="K1720" s="56"/>
      <c r="L1720" s="56"/>
      <c r="M1720" s="56">
        <f t="shared" si="252"/>
        <v>0</v>
      </c>
      <c r="N1720" s="56">
        <f>IF(OR(H1720="",H1720="sif",H1720="PM"),0,VLOOKUP(H1720,[5]CU!$C$4:$H$255,6,FALSE))</f>
        <v>0.255</v>
      </c>
      <c r="O1720" s="56">
        <f t="shared" si="253"/>
        <v>0</v>
      </c>
      <c r="P1720" s="56">
        <f t="shared" si="253"/>
        <v>0</v>
      </c>
      <c r="Q1720" s="56">
        <f t="shared" si="253"/>
        <v>0</v>
      </c>
      <c r="R1720" s="56">
        <f t="shared" si="253"/>
        <v>0</v>
      </c>
      <c r="S1720" s="56">
        <f>SUM(O1720:R1720)</f>
        <v>0</v>
      </c>
      <c r="T1720" s="35" t="s">
        <v>178</v>
      </c>
      <c r="U1720" s="18" t="s">
        <v>1873</v>
      </c>
      <c r="V1720" s="19" t="str">
        <f>IF(OR($H1720="",$H1720="sif",$H1720="PM"),"",VLOOKUP($H1720,[5]CU!$C$5:$J$255,8,FALSE))</f>
        <v>3. Dépenses de fonctionnement</v>
      </c>
      <c r="W1720" s="18" t="s">
        <v>273</v>
      </c>
      <c r="X1720" s="18" t="s">
        <v>179</v>
      </c>
      <c r="Y1720" s="19" t="s">
        <v>32</v>
      </c>
      <c r="Z1720" s="19" t="str">
        <f>A1720 &amp; "-" &amp; VLOOKUP(A1720,[4]PROGRAMMES!$E$1:$F$7,2,FALSE)</f>
        <v>5-Gouvernance et pilotage du secteur</v>
      </c>
      <c r="AA1720" s="19" t="str">
        <f>B1720 &amp; "-" &amp; VLOOKUP(B1720,[4]SOUSPROGRAMMES!$E$1:$F$44,2,FALSE)</f>
        <v>55- Gestion des RH (recrutement, affectation, motivation, fidélisation, gestion de carrières…)</v>
      </c>
      <c r="AB1720" s="19" t="str">
        <f>C1720 &amp; "-" &amp; VLOOKUP(C1720,[4]RESULTATS!$E$1:$F$176,2,FALSE)</f>
        <v>555- Un plan de carrière motivant est validé et utilisé dans le cadre de la gestion des carrières</v>
      </c>
      <c r="AC1720" s="20" t="str">
        <f>D1720 &amp; "-" &amp; VLOOKUP(D1720,[4]STRATEGIES!$E$1:$F$504,2,FALSE)</f>
        <v>5554-Poursuite de la mise en œuvre du systéme de contrôle de présence des enseignants et amélioration par l'usage du telèphone portable (en lien avec le numéro vert de la DPE)</v>
      </c>
      <c r="AD1720" s="21" t="str">
        <f t="shared" si="251"/>
        <v>55541-Révision et validation du dispositif existant pour le rendre plus opérationnel par l’utilisation du téléphone portable</v>
      </c>
    </row>
    <row r="1721" spans="1:30" s="22" customFormat="1" ht="45" hidden="1" customHeight="1" x14ac:dyDescent="0.8">
      <c r="A1721" s="14">
        <v>5</v>
      </c>
      <c r="B1721" s="15">
        <v>55</v>
      </c>
      <c r="C1721" s="15">
        <v>555</v>
      </c>
      <c r="D1721" s="15">
        <v>5554</v>
      </c>
      <c r="E1721" s="14">
        <v>55542</v>
      </c>
      <c r="F1721" s="16" t="s">
        <v>2177</v>
      </c>
      <c r="G1721" s="21" t="s">
        <v>436</v>
      </c>
      <c r="H1721" s="17" t="s">
        <v>352</v>
      </c>
      <c r="I1721" s="56">
        <v>0</v>
      </c>
      <c r="J1721" s="56"/>
      <c r="K1721" s="56"/>
      <c r="L1721" s="56"/>
      <c r="M1721" s="56">
        <f t="shared" si="252"/>
        <v>0</v>
      </c>
      <c r="N1721" s="56">
        <f>IF(OR(H1721="",H1721="sif",H1721="PM"),0,VLOOKUP(H1721,[5]CU!$C$4:$H$255,6,FALSE))</f>
        <v>0.54600000000000004</v>
      </c>
      <c r="O1721" s="56">
        <f t="shared" si="253"/>
        <v>0</v>
      </c>
      <c r="P1721" s="56">
        <f t="shared" si="253"/>
        <v>0</v>
      </c>
      <c r="Q1721" s="56">
        <f t="shared" si="253"/>
        <v>0</v>
      </c>
      <c r="R1721" s="56">
        <f t="shared" si="253"/>
        <v>0</v>
      </c>
      <c r="S1721" s="56">
        <f>SUM(O1721:R1721)</f>
        <v>0</v>
      </c>
      <c r="T1721" s="35" t="s">
        <v>178</v>
      </c>
      <c r="U1721" s="18" t="s">
        <v>1873</v>
      </c>
      <c r="V1721" s="19" t="str">
        <f>IF(OR($H1721="",$H1721="sif",$H1721="PM"),"",VLOOKUP($H1721,[5]CU!$C$5:$J$255,8,FALSE))</f>
        <v>3. Formation</v>
      </c>
      <c r="W1721" s="18" t="s">
        <v>273</v>
      </c>
      <c r="X1721" s="18" t="s">
        <v>179</v>
      </c>
      <c r="Y1721" s="19" t="s">
        <v>32</v>
      </c>
      <c r="Z1721" s="19" t="str">
        <f>A1721 &amp; "-" &amp; VLOOKUP(A1721,[4]PROGRAMMES!$E$1:$F$7,2,FALSE)</f>
        <v>5-Gouvernance et pilotage du secteur</v>
      </c>
      <c r="AA1721" s="19" t="str">
        <f>B1721 &amp; "-" &amp; VLOOKUP(B1721,[4]SOUSPROGRAMMES!$E$1:$F$44,2,FALSE)</f>
        <v>55- Gestion des RH (recrutement, affectation, motivation, fidélisation, gestion de carrières…)</v>
      </c>
      <c r="AB1721" s="19" t="str">
        <f>C1721 &amp; "-" &amp; VLOOKUP(C1721,[4]RESULTATS!$E$1:$F$176,2,FALSE)</f>
        <v>555- Un plan de carrière motivant est validé et utilisé dans le cadre de la gestion des carrières</v>
      </c>
      <c r="AC1721" s="20" t="str">
        <f>D1721 &amp; "-" &amp; VLOOKUP(D1721,[4]STRATEGIES!$E$1:$F$504,2,FALSE)</f>
        <v>5554-Poursuite de la mise en œuvre du systéme de contrôle de présence des enseignants et amélioration par l'usage du telèphone portable (en lien avec le numéro vert de la DPE)</v>
      </c>
      <c r="AD1721" s="21" t="str">
        <f t="shared" si="251"/>
        <v>55542-Formation des utilisateurs du dispositif</v>
      </c>
    </row>
    <row r="1722" spans="1:30" s="22" customFormat="1" ht="45" hidden="1" customHeight="1" x14ac:dyDescent="0.8">
      <c r="A1722" s="14">
        <v>5</v>
      </c>
      <c r="B1722" s="15">
        <v>55</v>
      </c>
      <c r="C1722" s="15">
        <v>555</v>
      </c>
      <c r="D1722" s="15">
        <v>5554</v>
      </c>
      <c r="E1722" s="14">
        <v>55543</v>
      </c>
      <c r="F1722" s="16" t="s">
        <v>2178</v>
      </c>
      <c r="G1722" s="21" t="s">
        <v>321</v>
      </c>
      <c r="H1722" s="17" t="s">
        <v>92</v>
      </c>
      <c r="I1722" s="56">
        <v>0</v>
      </c>
      <c r="J1722" s="56"/>
      <c r="K1722" s="56"/>
      <c r="L1722" s="56"/>
      <c r="M1722" s="56">
        <f t="shared" si="252"/>
        <v>0</v>
      </c>
      <c r="N1722" s="56">
        <f>IF(OR(H1722="",H1722="sif",H1722="PM"),0,VLOOKUP(H1722,[5]CU!$C$4:$H$255,6,FALSE))</f>
        <v>0</v>
      </c>
      <c r="O1722" s="56">
        <f t="shared" si="253"/>
        <v>0</v>
      </c>
      <c r="P1722" s="56">
        <f t="shared" si="253"/>
        <v>0</v>
      </c>
      <c r="Q1722" s="56">
        <f t="shared" si="253"/>
        <v>0</v>
      </c>
      <c r="R1722" s="56">
        <f t="shared" si="253"/>
        <v>0</v>
      </c>
      <c r="S1722" s="56"/>
      <c r="T1722" s="35" t="s">
        <v>56</v>
      </c>
      <c r="U1722" s="18" t="s">
        <v>1873</v>
      </c>
      <c r="V1722" s="19" t="str">
        <f>IF(OR($H1722="",$H1722="sif",$H1722="PM"),"",VLOOKUP($H1722,[5]CU!$C$5:$J$255,8,FALSE))</f>
        <v/>
      </c>
      <c r="W1722" s="18" t="s">
        <v>273</v>
      </c>
      <c r="X1722" s="18" t="s">
        <v>179</v>
      </c>
      <c r="Y1722" s="19" t="s">
        <v>32</v>
      </c>
      <c r="Z1722" s="19" t="str">
        <f>A1722 &amp; "-" &amp; VLOOKUP(A1722,[4]PROGRAMMES!$E$1:$F$7,2,FALSE)</f>
        <v>5-Gouvernance et pilotage du secteur</v>
      </c>
      <c r="AA1722" s="19" t="str">
        <f>B1722 &amp; "-" &amp; VLOOKUP(B1722,[4]SOUSPROGRAMMES!$E$1:$F$44,2,FALSE)</f>
        <v>55- Gestion des RH (recrutement, affectation, motivation, fidélisation, gestion de carrières…)</v>
      </c>
      <c r="AB1722" s="19" t="str">
        <f>C1722 &amp; "-" &amp; VLOOKUP(C1722,[4]RESULTATS!$E$1:$F$176,2,FALSE)</f>
        <v>555- Un plan de carrière motivant est validé et utilisé dans le cadre de la gestion des carrières</v>
      </c>
      <c r="AC1722" s="20" t="str">
        <f>D1722 &amp; "-" &amp; VLOOKUP(D1722,[4]STRATEGIES!$E$1:$F$504,2,FALSE)</f>
        <v>5554-Poursuite de la mise en œuvre du systéme de contrôle de présence des enseignants et amélioration par l'usage du telèphone portable (en lien avec le numéro vert de la DPE)</v>
      </c>
      <c r="AD1722" s="21" t="str">
        <f t="shared" si="251"/>
        <v>55543-Expérimentation du dispositif dans un échantillon d'écoles</v>
      </c>
    </row>
    <row r="1723" spans="1:30" s="22" customFormat="1" ht="45" hidden="1" customHeight="1" x14ac:dyDescent="0.8">
      <c r="A1723" s="14">
        <v>5</v>
      </c>
      <c r="B1723" s="15">
        <v>55</v>
      </c>
      <c r="C1723" s="15">
        <v>555</v>
      </c>
      <c r="D1723" s="15">
        <v>5554</v>
      </c>
      <c r="E1723" s="14">
        <v>55544</v>
      </c>
      <c r="F1723" s="16" t="s">
        <v>2179</v>
      </c>
      <c r="G1723" s="21" t="s">
        <v>496</v>
      </c>
      <c r="H1723" s="17" t="s">
        <v>2180</v>
      </c>
      <c r="I1723" s="56">
        <v>0</v>
      </c>
      <c r="J1723" s="56"/>
      <c r="K1723" s="56"/>
      <c r="L1723" s="56"/>
      <c r="M1723" s="56">
        <f t="shared" si="252"/>
        <v>0</v>
      </c>
      <c r="N1723" s="56">
        <f>IF(OR(H1723="",H1723="sif",H1723="PM"),0,VLOOKUP(H1723,[5]CU!$C$4:$H$255,6,FALSE))</f>
        <v>0.2</v>
      </c>
      <c r="O1723" s="56">
        <f t="shared" si="253"/>
        <v>0</v>
      </c>
      <c r="P1723" s="56">
        <f t="shared" si="253"/>
        <v>0</v>
      </c>
      <c r="Q1723" s="56">
        <f t="shared" si="253"/>
        <v>0</v>
      </c>
      <c r="R1723" s="56">
        <f t="shared" si="253"/>
        <v>0</v>
      </c>
      <c r="S1723" s="56">
        <f>SUM(O1723:R1723)</f>
        <v>0</v>
      </c>
      <c r="T1723" s="35" t="s">
        <v>178</v>
      </c>
      <c r="U1723" s="18" t="s">
        <v>1873</v>
      </c>
      <c r="V1723" s="19" t="str">
        <f>IF(OR($H1723="",$H1723="sif",$H1723="PM"),"",VLOOKUP($H1723,[5]CU!$C$5:$J$255,8,FALSE))</f>
        <v>3. Dépenses de fonctionnement</v>
      </c>
      <c r="W1723" s="18" t="s">
        <v>273</v>
      </c>
      <c r="X1723" s="18" t="s">
        <v>179</v>
      </c>
      <c r="Y1723" s="19" t="s">
        <v>32</v>
      </c>
      <c r="Z1723" s="19" t="str">
        <f>A1723 &amp; "-" &amp; VLOOKUP(A1723,[4]PROGRAMMES!$E$1:$F$7,2,FALSE)</f>
        <v>5-Gouvernance et pilotage du secteur</v>
      </c>
      <c r="AA1723" s="19" t="str">
        <f>B1723 &amp; "-" &amp; VLOOKUP(B1723,[4]SOUSPROGRAMMES!$E$1:$F$44,2,FALSE)</f>
        <v>55- Gestion des RH (recrutement, affectation, motivation, fidélisation, gestion de carrières…)</v>
      </c>
      <c r="AB1723" s="19" t="str">
        <f>C1723 &amp; "-" &amp; VLOOKUP(C1723,[4]RESULTATS!$E$1:$F$176,2,FALSE)</f>
        <v>555- Un plan de carrière motivant est validé et utilisé dans le cadre de la gestion des carrières</v>
      </c>
      <c r="AC1723" s="20" t="str">
        <f>D1723 &amp; "-" &amp; VLOOKUP(D1723,[4]STRATEGIES!$E$1:$F$504,2,FALSE)</f>
        <v>5554-Poursuite de la mise en œuvre du systéme de contrôle de présence des enseignants et amélioration par l'usage du telèphone portable (en lien avec le numéro vert de la DPE)</v>
      </c>
      <c r="AD1723" s="21" t="str">
        <f t="shared" si="251"/>
        <v>55544-Acquisition des téléphones portables et puces téléphoniques</v>
      </c>
    </row>
    <row r="1724" spans="1:30" s="22" customFormat="1" ht="15" customHeight="1" x14ac:dyDescent="0.8">
      <c r="A1724" s="14">
        <v>5</v>
      </c>
      <c r="B1724" s="15">
        <v>56</v>
      </c>
      <c r="C1724" s="15">
        <v>56</v>
      </c>
      <c r="D1724" s="15">
        <v>56</v>
      </c>
      <c r="E1724" s="14">
        <v>56</v>
      </c>
      <c r="F1724" s="16" t="s">
        <v>2181</v>
      </c>
      <c r="G1724" s="17"/>
      <c r="H1724" s="17"/>
      <c r="I1724" s="56">
        <v>0</v>
      </c>
      <c r="J1724" s="56"/>
      <c r="K1724" s="56"/>
      <c r="L1724" s="56"/>
      <c r="M1724" s="56"/>
      <c r="N1724" s="56"/>
      <c r="O1724" s="56"/>
      <c r="P1724" s="56"/>
      <c r="Q1724" s="56"/>
      <c r="R1724" s="56"/>
      <c r="S1724" s="56"/>
      <c r="T1724" s="33"/>
      <c r="U1724" s="18"/>
      <c r="V1724" s="19"/>
      <c r="W1724" s="18"/>
      <c r="X1724" s="18"/>
      <c r="Y1724" s="18"/>
      <c r="Z1724" s="19" t="str">
        <f>A1724 &amp; "-" &amp; VLOOKUP(A1724,[4]PROGRAMMES!$E$1:$F$7,2,FALSE)</f>
        <v>5-Gouvernance et pilotage du secteur</v>
      </c>
      <c r="AA1724" s="19" t="str">
        <f>B1724 &amp; "-" &amp; VLOOKUP(B1724,[4]SOUSPROGRAMMES!$E$1:$F$44,2,FALSE)</f>
        <v>56- Gestion des ressources financières</v>
      </c>
      <c r="AB1724" s="19" t="str">
        <f>C1724 &amp; "-" &amp; VLOOKUP(C1724,[4]RESULTATS!$E$1:$F$176,2,FALSE)</f>
        <v>56- Gestion des ressources financières</v>
      </c>
      <c r="AC1724" s="20" t="str">
        <f>D1724 &amp; "-" &amp; VLOOKUP(D1724,[4]STRATEGIES!$E$1:$F$504,2,FALSE)</f>
        <v>56- Gestion des ressources financières</v>
      </c>
      <c r="AD1724" s="21" t="str">
        <f t="shared" si="251"/>
        <v>56- Gestion des ressources Financières</v>
      </c>
    </row>
    <row r="1725" spans="1:30" s="22" customFormat="1" ht="30" customHeight="1" x14ac:dyDescent="0.8">
      <c r="A1725" s="14">
        <v>5</v>
      </c>
      <c r="B1725" s="15">
        <v>56</v>
      </c>
      <c r="C1725" s="15">
        <v>561</v>
      </c>
      <c r="D1725" s="15">
        <v>561</v>
      </c>
      <c r="E1725" s="14">
        <v>561</v>
      </c>
      <c r="F1725" s="16" t="s">
        <v>2182</v>
      </c>
      <c r="G1725" s="17"/>
      <c r="H1725" s="17"/>
      <c r="I1725" s="56">
        <v>0</v>
      </c>
      <c r="J1725" s="56"/>
      <c r="K1725" s="56"/>
      <c r="L1725" s="56"/>
      <c r="M1725" s="56"/>
      <c r="N1725" s="56"/>
      <c r="O1725" s="56"/>
      <c r="P1725" s="56"/>
      <c r="Q1725" s="56"/>
      <c r="R1725" s="56"/>
      <c r="S1725" s="56"/>
      <c r="T1725" s="33"/>
      <c r="U1725" s="18"/>
      <c r="V1725" s="19"/>
      <c r="W1725" s="18"/>
      <c r="X1725" s="18"/>
      <c r="Y1725" s="18"/>
      <c r="Z1725" s="19" t="str">
        <f>A1725 &amp; "-" &amp; VLOOKUP(A1725,[4]PROGRAMMES!$E$1:$F$7,2,FALSE)</f>
        <v>5-Gouvernance et pilotage du secteur</v>
      </c>
      <c r="AA1725" s="19" t="str">
        <f>B1725 &amp; "-" &amp; VLOOKUP(B1725,[4]SOUSPROGRAMMES!$E$1:$F$44,2,FALSE)</f>
        <v>56- Gestion des ressources financières</v>
      </c>
      <c r="AB1725" s="19" t="str">
        <f>C1725 &amp; "-" &amp; VLOOKUP(C1725,[4]RESULTATS!$E$1:$F$176,2,FALSE)</f>
        <v>561-Le financement du secteur est en adéquation avec les objectifs</v>
      </c>
      <c r="AC1725" s="20" t="str">
        <f>D1725 &amp; "-" &amp; VLOOKUP(D1725,[4]STRATEGIES!$E$1:$F$504,2,FALSE)</f>
        <v>561-Le financement du secteur est en adéquation avec les objectifs</v>
      </c>
      <c r="AD1725" s="21" t="str">
        <f t="shared" si="251"/>
        <v>561-Le Financement du secteur est en adéquation avec les objectifs</v>
      </c>
    </row>
    <row r="1726" spans="1:30" s="22" customFormat="1" ht="45" customHeight="1" x14ac:dyDescent="0.8">
      <c r="A1726" s="14">
        <v>5</v>
      </c>
      <c r="B1726" s="15">
        <v>56</v>
      </c>
      <c r="C1726" s="15">
        <v>561</v>
      </c>
      <c r="D1726" s="15">
        <v>5611</v>
      </c>
      <c r="E1726" s="14">
        <v>5611</v>
      </c>
      <c r="F1726" s="16" t="s">
        <v>2183</v>
      </c>
      <c r="G1726" s="17"/>
      <c r="H1726" s="17"/>
      <c r="I1726" s="56">
        <v>0</v>
      </c>
      <c r="J1726" s="56"/>
      <c r="K1726" s="56"/>
      <c r="L1726" s="56"/>
      <c r="M1726" s="56"/>
      <c r="N1726" s="56"/>
      <c r="O1726" s="56"/>
      <c r="P1726" s="56"/>
      <c r="Q1726" s="56"/>
      <c r="R1726" s="56"/>
      <c r="S1726" s="56"/>
      <c r="T1726" s="33"/>
      <c r="U1726" s="18"/>
      <c r="V1726" s="19"/>
      <c r="W1726" s="18"/>
      <c r="X1726" s="18"/>
      <c r="Y1726" s="18"/>
      <c r="Z1726" s="19" t="str">
        <f>A1726 &amp; "-" &amp; VLOOKUP(A1726,[4]PROGRAMMES!$E$1:$F$7,2,FALSE)</f>
        <v>5-Gouvernance et pilotage du secteur</v>
      </c>
      <c r="AA1726" s="19" t="str">
        <f>B1726 &amp; "-" &amp; VLOOKUP(B1726,[4]SOUSPROGRAMMES!$E$1:$F$44,2,FALSE)</f>
        <v>56- Gestion des ressources financières</v>
      </c>
      <c r="AB1726" s="19" t="str">
        <f>C1726 &amp; "-" &amp; VLOOKUP(C1726,[4]RESULTATS!$E$1:$F$176,2,FALSE)</f>
        <v>561-Le financement du secteur est en adéquation avec les objectifs</v>
      </c>
      <c r="AC1726" s="20" t="str">
        <f>D1726 &amp; "-" &amp; VLOOKUP(D1726,[4]STRATEGIES!$E$1:$F$504,2,FALSE)</f>
        <v>5611-Sessions de sensibilisation sur l’importance de l’éducation comme investissement auprès de différents publics (parlementaires, médias, communes, …)</v>
      </c>
      <c r="AD1726" s="21" t="str">
        <f t="shared" si="251"/>
        <v>5611-Sessions de sensibilisation sur l’importance de l’éducation comme investissement auprès de différents publics (parlementaires, médias, communes, …)</v>
      </c>
    </row>
    <row r="1727" spans="1:30" s="22" customFormat="1" ht="30" customHeight="1" x14ac:dyDescent="0.8">
      <c r="A1727" s="14">
        <v>5</v>
      </c>
      <c r="B1727" s="15">
        <v>56</v>
      </c>
      <c r="C1727" s="15">
        <v>561</v>
      </c>
      <c r="D1727" s="15">
        <v>5611</v>
      </c>
      <c r="E1727" s="14">
        <v>56111</v>
      </c>
      <c r="F1727" s="16" t="s">
        <v>2184</v>
      </c>
      <c r="G1727" s="21" t="s">
        <v>315</v>
      </c>
      <c r="H1727" s="17" t="s">
        <v>38</v>
      </c>
      <c r="I1727" s="56">
        <v>0</v>
      </c>
      <c r="J1727" s="56">
        <f>20*5</f>
        <v>100</v>
      </c>
      <c r="K1727" s="56">
        <v>0</v>
      </c>
      <c r="L1727" s="56">
        <v>0</v>
      </c>
      <c r="M1727" s="56">
        <f t="shared" si="252"/>
        <v>100</v>
      </c>
      <c r="N1727" s="56">
        <f>IF(OR(H1727="",H1727="sif",H1727="PM"),0,VLOOKUP(H1727,[5]CU!$C$4:$H$255,6,FALSE))</f>
        <v>0.3133333333333333</v>
      </c>
      <c r="O1727" s="56">
        <f t="shared" si="253"/>
        <v>0</v>
      </c>
      <c r="P1727" s="56">
        <f t="shared" si="253"/>
        <v>31.333333333333329</v>
      </c>
      <c r="Q1727" s="56">
        <f t="shared" si="253"/>
        <v>0</v>
      </c>
      <c r="R1727" s="56">
        <f t="shared" si="253"/>
        <v>0</v>
      </c>
      <c r="S1727" s="56">
        <f>SUM(O1727:R1727)</f>
        <v>31.333333333333329</v>
      </c>
      <c r="T1727" s="35" t="s">
        <v>118</v>
      </c>
      <c r="U1727" s="18" t="s">
        <v>1873</v>
      </c>
      <c r="V1727" s="19" t="str">
        <f>IF(OR($H1727="",$H1727="sif",$H1727="PM"),"",VLOOKUP($H1727,[5]CU!$C$5:$J$255,8,FALSE))</f>
        <v>3. Formation</v>
      </c>
      <c r="W1727" s="18" t="s">
        <v>521</v>
      </c>
      <c r="X1727" s="18" t="s">
        <v>1936</v>
      </c>
      <c r="Y1727" s="19" t="s">
        <v>32</v>
      </c>
      <c r="Z1727" s="19" t="str">
        <f>A1727 &amp; "-" &amp; VLOOKUP(A1727,[4]PROGRAMMES!$E$1:$F$7,2,FALSE)</f>
        <v>5-Gouvernance et pilotage du secteur</v>
      </c>
      <c r="AA1727" s="19" t="str">
        <f>B1727 &amp; "-" &amp; VLOOKUP(B1727,[4]SOUSPROGRAMMES!$E$1:$F$44,2,FALSE)</f>
        <v>56- Gestion des ressources financières</v>
      </c>
      <c r="AB1727" s="19" t="str">
        <f>C1727 &amp; "-" &amp; VLOOKUP(C1727,[4]RESULTATS!$E$1:$F$176,2,FALSE)</f>
        <v>561-Le financement du secteur est en adéquation avec les objectifs</v>
      </c>
      <c r="AC1727" s="20" t="str">
        <f>D1727 &amp; "-" &amp; VLOOKUP(D1727,[4]STRATEGIES!$E$1:$F$504,2,FALSE)</f>
        <v>5611-Sessions de sensibilisation sur l’importance de l’éducation comme investissement auprès de différents publics (parlementaires, médias, communes, …)</v>
      </c>
      <c r="AD1727" s="21" t="str">
        <f t="shared" si="251"/>
        <v>56111-DéFinition de stratégies de communication sur l’importance de l’éducation comme investissement</v>
      </c>
    </row>
    <row r="1728" spans="1:30" s="22" customFormat="1" ht="30" customHeight="1" x14ac:dyDescent="0.8">
      <c r="A1728" s="14">
        <v>5</v>
      </c>
      <c r="B1728" s="15">
        <v>56</v>
      </c>
      <c r="C1728" s="15">
        <v>561</v>
      </c>
      <c r="D1728" s="15">
        <v>5611</v>
      </c>
      <c r="E1728" s="14">
        <v>56112</v>
      </c>
      <c r="F1728" s="16" t="s">
        <v>2185</v>
      </c>
      <c r="G1728" s="21" t="s">
        <v>2186</v>
      </c>
      <c r="H1728" s="17" t="s">
        <v>76</v>
      </c>
      <c r="I1728" s="56">
        <v>0</v>
      </c>
      <c r="J1728" s="56">
        <v>0</v>
      </c>
      <c r="K1728" s="56">
        <v>1</v>
      </c>
      <c r="L1728" s="56">
        <v>1</v>
      </c>
      <c r="M1728" s="56">
        <f t="shared" si="252"/>
        <v>2</v>
      </c>
      <c r="N1728" s="56">
        <f>IF(OR(H1728="",H1728="sif",H1728="PM"),0,VLOOKUP(H1728,[5]CU!$C$4:$H$255,6,FALSE))</f>
        <v>45.936799999999998</v>
      </c>
      <c r="O1728" s="56">
        <f t="shared" si="253"/>
        <v>0</v>
      </c>
      <c r="P1728" s="56">
        <f t="shared" si="253"/>
        <v>0</v>
      </c>
      <c r="Q1728" s="56">
        <f t="shared" si="253"/>
        <v>45.936799999999998</v>
      </c>
      <c r="R1728" s="56">
        <f t="shared" si="253"/>
        <v>45.936799999999998</v>
      </c>
      <c r="S1728" s="56">
        <f>SUM(O1728:R1728)</f>
        <v>91.873599999999996</v>
      </c>
      <c r="T1728" s="35" t="s">
        <v>118</v>
      </c>
      <c r="U1728" s="18" t="s">
        <v>1873</v>
      </c>
      <c r="V1728" s="19" t="str">
        <f>IF(OR($H1728="",$H1728="sif",$H1728="PM"),"",VLOOKUP($H1728,[5]CU!$C$5:$J$255,8,FALSE))</f>
        <v>3. Dépenses de fonctionnement</v>
      </c>
      <c r="W1728" s="18" t="s">
        <v>1936</v>
      </c>
      <c r="X1728" s="18" t="s">
        <v>2187</v>
      </c>
      <c r="Y1728" s="19" t="s">
        <v>32</v>
      </c>
      <c r="Z1728" s="19" t="str">
        <f>A1728 &amp; "-" &amp; VLOOKUP(A1728,[4]PROGRAMMES!$E$1:$F$7,2,FALSE)</f>
        <v>5-Gouvernance et pilotage du secteur</v>
      </c>
      <c r="AA1728" s="19" t="str">
        <f>B1728 &amp; "-" &amp; VLOOKUP(B1728,[4]SOUSPROGRAMMES!$E$1:$F$44,2,FALSE)</f>
        <v>56- Gestion des ressources financières</v>
      </c>
      <c r="AB1728" s="19" t="str">
        <f>C1728 &amp; "-" &amp; VLOOKUP(C1728,[4]RESULTATS!$E$1:$F$176,2,FALSE)</f>
        <v>561-Le financement du secteur est en adéquation avec les objectifs</v>
      </c>
      <c r="AC1728" s="20" t="str">
        <f>D1728 &amp; "-" &amp; VLOOKUP(D1728,[4]STRATEGIES!$E$1:$F$504,2,FALSE)</f>
        <v>5611-Sessions de sensibilisation sur l’importance de l’éducation comme investissement auprès de différents publics (parlementaires, médias, communes, …)</v>
      </c>
      <c r="AD1728" s="21" t="str">
        <f t="shared" si="251"/>
        <v>56112-Mise en œuvre de la stratégie de communication vers le grand public</v>
      </c>
    </row>
    <row r="1729" spans="1:30" s="22" customFormat="1" ht="45" customHeight="1" x14ac:dyDescent="0.8">
      <c r="A1729" s="14">
        <v>5</v>
      </c>
      <c r="B1729" s="15">
        <v>56</v>
      </c>
      <c r="C1729" s="15">
        <v>561</v>
      </c>
      <c r="D1729" s="15">
        <v>5612</v>
      </c>
      <c r="E1729" s="14">
        <v>5612</v>
      </c>
      <c r="F1729" s="16" t="s">
        <v>2188</v>
      </c>
      <c r="G1729" s="17"/>
      <c r="H1729" s="17"/>
      <c r="I1729" s="56">
        <v>0</v>
      </c>
      <c r="J1729" s="56"/>
      <c r="K1729" s="56"/>
      <c r="L1729" s="56"/>
      <c r="M1729" s="56"/>
      <c r="N1729" s="56"/>
      <c r="O1729" s="56"/>
      <c r="P1729" s="56"/>
      <c r="Q1729" s="56"/>
      <c r="R1729" s="56"/>
      <c r="S1729" s="56"/>
      <c r="T1729" s="33"/>
      <c r="U1729" s="18"/>
      <c r="V1729" s="19"/>
      <c r="W1729" s="18"/>
      <c r="X1729" s="18"/>
      <c r="Y1729" s="18"/>
      <c r="Z1729" s="19" t="str">
        <f>A1729 &amp; "-" &amp; VLOOKUP(A1729,[4]PROGRAMMES!$E$1:$F$7,2,FALSE)</f>
        <v>5-Gouvernance et pilotage du secteur</v>
      </c>
      <c r="AA1729" s="19" t="str">
        <f>B1729 &amp; "-" &amp; VLOOKUP(B1729,[4]SOUSPROGRAMMES!$E$1:$F$44,2,FALSE)</f>
        <v>56- Gestion des ressources financières</v>
      </c>
      <c r="AB1729" s="19" t="str">
        <f>C1729 &amp; "-" &amp; VLOOKUP(C1729,[4]RESULTATS!$E$1:$F$176,2,FALSE)</f>
        <v>561-Le financement du secteur est en adéquation avec les objectifs</v>
      </c>
      <c r="AC1729" s="20" t="str">
        <f>D1729 &amp; "-" &amp; VLOOKUP(D1729,[4]STRATEGIES!$E$1:$F$504,2,FALSE)</f>
        <v>5612-Développement de stratégies allant dans le sens de la mobilisation des financements innovants auprès des acteurs économiques</v>
      </c>
      <c r="AD1729" s="21" t="str">
        <f t="shared" si="251"/>
        <v>5612-Développement de stratégies allant dans le sens de la mobilisation des Financements innovants auprès des acteurs économiques</v>
      </c>
    </row>
    <row r="1730" spans="1:30" s="22" customFormat="1" ht="30" customHeight="1" x14ac:dyDescent="0.8">
      <c r="A1730" s="14">
        <v>5</v>
      </c>
      <c r="B1730" s="15">
        <v>56</v>
      </c>
      <c r="C1730" s="15">
        <v>561</v>
      </c>
      <c r="D1730" s="15">
        <v>5612</v>
      </c>
      <c r="E1730" s="14">
        <v>56121</v>
      </c>
      <c r="F1730" s="16" t="s">
        <v>2189</v>
      </c>
      <c r="G1730" s="21" t="s">
        <v>315</v>
      </c>
      <c r="H1730" s="17" t="s">
        <v>38</v>
      </c>
      <c r="I1730" s="56">
        <v>0</v>
      </c>
      <c r="J1730" s="56">
        <f>45*2*3</f>
        <v>270</v>
      </c>
      <c r="K1730" s="56">
        <v>0</v>
      </c>
      <c r="L1730" s="56">
        <f>45*2*3</f>
        <v>270</v>
      </c>
      <c r="M1730" s="56">
        <f t="shared" si="252"/>
        <v>540</v>
      </c>
      <c r="N1730" s="56">
        <f>IF(OR(H1730="",H1730="sif",H1730="PM"),0,VLOOKUP(H1730,[5]CU!$C$4:$H$255,6,FALSE))</f>
        <v>0.3133333333333333</v>
      </c>
      <c r="O1730" s="56">
        <f t="shared" si="253"/>
        <v>0</v>
      </c>
      <c r="P1730" s="56">
        <f t="shared" si="253"/>
        <v>84.6</v>
      </c>
      <c r="Q1730" s="56">
        <f t="shared" si="253"/>
        <v>0</v>
      </c>
      <c r="R1730" s="56">
        <f t="shared" si="253"/>
        <v>84.6</v>
      </c>
      <c r="S1730" s="56">
        <f>SUM(O1730:R1730)</f>
        <v>169.2</v>
      </c>
      <c r="T1730" s="35" t="s">
        <v>118</v>
      </c>
      <c r="U1730" s="18" t="s">
        <v>1873</v>
      </c>
      <c r="V1730" s="19" t="str">
        <f>IF(OR($H1730="",$H1730="sif",$H1730="PM"),"",VLOOKUP($H1730,[5]CU!$C$5:$J$255,8,FALSE))</f>
        <v>3. Formation</v>
      </c>
      <c r="W1730" s="18" t="s">
        <v>1936</v>
      </c>
      <c r="X1730" s="18" t="s">
        <v>1936</v>
      </c>
      <c r="Y1730" s="18" t="s">
        <v>677</v>
      </c>
      <c r="Z1730" s="19" t="str">
        <f>A1730 &amp; "-" &amp; VLOOKUP(A1730,[4]PROGRAMMES!$E$1:$F$7,2,FALSE)</f>
        <v>5-Gouvernance et pilotage du secteur</v>
      </c>
      <c r="AA1730" s="19" t="str">
        <f>B1730 &amp; "-" &amp; VLOOKUP(B1730,[4]SOUSPROGRAMMES!$E$1:$F$44,2,FALSE)</f>
        <v>56- Gestion des ressources financières</v>
      </c>
      <c r="AB1730" s="19" t="str">
        <f>C1730 &amp; "-" &amp; VLOOKUP(C1730,[4]RESULTATS!$E$1:$F$176,2,FALSE)</f>
        <v>561-Le financement du secteur est en adéquation avec les objectifs</v>
      </c>
      <c r="AC1730" s="20" t="str">
        <f>D1730 &amp; "-" &amp; VLOOKUP(D1730,[4]STRATEGIES!$E$1:$F$504,2,FALSE)</f>
        <v>5612-Développement de stratégies allant dans le sens de la mobilisation des financements innovants auprès des acteurs économiques</v>
      </c>
      <c r="AD1730" s="21" t="str">
        <f t="shared" si="251"/>
        <v>56121-Organisation des sessions de concertation avec les acteurs économiques (sociétés minières, banques, téléphonies…)</v>
      </c>
    </row>
    <row r="1731" spans="1:30" s="22" customFormat="1" ht="30" hidden="1" customHeight="1" x14ac:dyDescent="0.8">
      <c r="A1731" s="14">
        <v>5</v>
      </c>
      <c r="B1731" s="15">
        <v>56</v>
      </c>
      <c r="C1731" s="15">
        <v>561</v>
      </c>
      <c r="D1731" s="15">
        <v>5612</v>
      </c>
      <c r="E1731" s="14">
        <v>56122</v>
      </c>
      <c r="F1731" s="16" t="s">
        <v>2190</v>
      </c>
      <c r="G1731" s="21" t="s">
        <v>88</v>
      </c>
      <c r="H1731" s="17" t="s">
        <v>55</v>
      </c>
      <c r="I1731" s="56">
        <v>0</v>
      </c>
      <c r="J1731" s="56">
        <v>0</v>
      </c>
      <c r="K1731" s="56">
        <v>0</v>
      </c>
      <c r="L1731" s="56">
        <v>0</v>
      </c>
      <c r="M1731" s="56"/>
      <c r="N1731" s="56">
        <f>IF(OR(H1731="",H1731="sif",H1731="PM"),0,VLOOKUP(H1731,[5]CU!$C$4:$H$255,6,FALSE))</f>
        <v>0</v>
      </c>
      <c r="O1731" s="56"/>
      <c r="P1731" s="56"/>
      <c r="Q1731" s="56"/>
      <c r="R1731" s="56"/>
      <c r="S1731" s="56"/>
      <c r="T1731" s="35" t="s">
        <v>56</v>
      </c>
      <c r="U1731" s="18" t="s">
        <v>1873</v>
      </c>
      <c r="V1731" s="19" t="str">
        <f>IF(OR($H1731="",$H1731="sif",$H1731="PM"),"",VLOOKUP($H1731,[5]CU!$C$5:$J$255,8,FALSE))</f>
        <v/>
      </c>
      <c r="W1731" s="18" t="s">
        <v>96</v>
      </c>
      <c r="X1731" s="18" t="s">
        <v>96</v>
      </c>
      <c r="Y1731" s="18" t="s">
        <v>679</v>
      </c>
      <c r="Z1731" s="19" t="str">
        <f>A1731 &amp; "-" &amp; VLOOKUP(A1731,[4]PROGRAMMES!$E$1:$F$7,2,FALSE)</f>
        <v>5-Gouvernance et pilotage du secteur</v>
      </c>
      <c r="AA1731" s="19" t="str">
        <f>B1731 &amp; "-" &amp; VLOOKUP(B1731,[4]SOUSPROGRAMMES!$E$1:$F$44,2,FALSE)</f>
        <v>56- Gestion des ressources financières</v>
      </c>
      <c r="AB1731" s="19" t="str">
        <f>C1731 &amp; "-" &amp; VLOOKUP(C1731,[4]RESULTATS!$E$1:$F$176,2,FALSE)</f>
        <v>561-Le financement du secteur est en adéquation avec les objectifs</v>
      </c>
      <c r="AC1731" s="20" t="str">
        <f>D1731 &amp; "-" &amp; VLOOKUP(D1731,[4]STRATEGIES!$E$1:$F$504,2,FALSE)</f>
        <v>5612-Développement de stratégies allant dans le sens de la mobilisation des financements innovants auprès des acteurs économiques</v>
      </c>
      <c r="AD1731" s="21" t="str">
        <f t="shared" si="251"/>
        <v>56122-Développement de projet de partenariat public privé au supérieur et à la formation professionnelle</v>
      </c>
    </row>
    <row r="1732" spans="1:30" s="22" customFormat="1" ht="30" hidden="1" customHeight="1" x14ac:dyDescent="0.8">
      <c r="A1732" s="14">
        <v>5</v>
      </c>
      <c r="B1732" s="15">
        <v>56</v>
      </c>
      <c r="C1732" s="15">
        <v>561</v>
      </c>
      <c r="D1732" s="15">
        <v>5612</v>
      </c>
      <c r="E1732" s="14">
        <v>56123</v>
      </c>
      <c r="F1732" s="16" t="s">
        <v>2191</v>
      </c>
      <c r="G1732" s="21" t="s">
        <v>88</v>
      </c>
      <c r="H1732" s="17" t="s">
        <v>55</v>
      </c>
      <c r="I1732" s="56">
        <v>0</v>
      </c>
      <c r="J1732" s="56">
        <v>1</v>
      </c>
      <c r="K1732" s="56">
        <v>1</v>
      </c>
      <c r="L1732" s="56">
        <v>1</v>
      </c>
      <c r="M1732" s="56">
        <f t="shared" ref="M1732:M1808" si="255">SUM(I1732:L1732)</f>
        <v>3</v>
      </c>
      <c r="N1732" s="56">
        <f>IF(OR(H1732="",H1732="sif",H1732="PM"),0,VLOOKUP(H1732,[5]CU!$C$4:$H$255,6,FALSE))</f>
        <v>0</v>
      </c>
      <c r="O1732" s="56">
        <f>IFERROR($N1732*I1732,0)</f>
        <v>0</v>
      </c>
      <c r="P1732" s="56">
        <f>IFERROR($N1732*J1732,0)</f>
        <v>0</v>
      </c>
      <c r="Q1732" s="56">
        <f>IFERROR($N1732*K1732,0)</f>
        <v>0</v>
      </c>
      <c r="R1732" s="56">
        <f>IFERROR($N1732*L1732,0)</f>
        <v>0</v>
      </c>
      <c r="S1732" s="56"/>
      <c r="T1732" s="35" t="s">
        <v>56</v>
      </c>
      <c r="U1732" s="18" t="s">
        <v>1873</v>
      </c>
      <c r="V1732" s="19" t="str">
        <f>IF(OR($H1732="",$H1732="sif",$H1732="PM"),"",VLOOKUP($H1732,[5]CU!$C$5:$J$255,8,FALSE))</f>
        <v/>
      </c>
      <c r="W1732" s="18" t="s">
        <v>1936</v>
      </c>
      <c r="X1732" s="18" t="s">
        <v>1936</v>
      </c>
      <c r="Y1732" s="19" t="s">
        <v>32</v>
      </c>
      <c r="Z1732" s="19" t="str">
        <f>A1732 &amp; "-" &amp; VLOOKUP(A1732,[4]PROGRAMMES!$E$1:$F$7,2,FALSE)</f>
        <v>5-Gouvernance et pilotage du secteur</v>
      </c>
      <c r="AA1732" s="19" t="str">
        <f>B1732 &amp; "-" &amp; VLOOKUP(B1732,[4]SOUSPROGRAMMES!$E$1:$F$44,2,FALSE)</f>
        <v>56- Gestion des ressources financières</v>
      </c>
      <c r="AB1732" s="19" t="str">
        <f>C1732 &amp; "-" &amp; VLOOKUP(C1732,[4]RESULTATS!$E$1:$F$176,2,FALSE)</f>
        <v>561-Le financement du secteur est en adéquation avec les objectifs</v>
      </c>
      <c r="AC1732" s="20" t="str">
        <f>D1732 &amp; "-" &amp; VLOOKUP(D1732,[4]STRATEGIES!$E$1:$F$504,2,FALSE)</f>
        <v>5612-Développement de stratégies allant dans le sens de la mobilisation des financements innovants auprès des acteurs économiques</v>
      </c>
      <c r="AD1732" s="21" t="str">
        <f t="shared" ref="AD1732:AD1795" si="256">E1732 &amp; "-" &amp; F1732</f>
        <v>56123-Suivi des intentions de Financement</v>
      </c>
    </row>
    <row r="1733" spans="1:30" s="22" customFormat="1" ht="45" customHeight="1" x14ac:dyDescent="0.8">
      <c r="A1733" s="14">
        <v>5</v>
      </c>
      <c r="B1733" s="15">
        <v>56</v>
      </c>
      <c r="C1733" s="15">
        <v>561</v>
      </c>
      <c r="D1733" s="15">
        <v>5613</v>
      </c>
      <c r="E1733" s="14">
        <v>5613</v>
      </c>
      <c r="F1733" s="16" t="s">
        <v>2192</v>
      </c>
      <c r="G1733" s="17"/>
      <c r="H1733" s="17"/>
      <c r="I1733" s="56">
        <v>0</v>
      </c>
      <c r="J1733" s="56"/>
      <c r="K1733" s="56"/>
      <c r="L1733" s="56"/>
      <c r="M1733" s="56"/>
      <c r="N1733" s="56"/>
      <c r="O1733" s="56"/>
      <c r="P1733" s="56"/>
      <c r="Q1733" s="56"/>
      <c r="R1733" s="56"/>
      <c r="S1733" s="56"/>
      <c r="T1733" s="33"/>
      <c r="U1733" s="18"/>
      <c r="V1733" s="19"/>
      <c r="W1733" s="18"/>
      <c r="X1733" s="18"/>
      <c r="Y1733" s="18"/>
      <c r="Z1733" s="19" t="str">
        <f>A1733 &amp; "-" &amp; VLOOKUP(A1733,[4]PROGRAMMES!$E$1:$F$7,2,FALSE)</f>
        <v>5-Gouvernance et pilotage du secteur</v>
      </c>
      <c r="AA1733" s="19" t="str">
        <f>B1733 &amp; "-" &amp; VLOOKUP(B1733,[4]SOUSPROGRAMMES!$E$1:$F$44,2,FALSE)</f>
        <v>56- Gestion des ressources financières</v>
      </c>
      <c r="AB1733" s="19" t="str">
        <f>C1733 &amp; "-" &amp; VLOOKUP(C1733,[4]RESULTATS!$E$1:$F$176,2,FALSE)</f>
        <v>561-Le financement du secteur est en adéquation avec les objectifs</v>
      </c>
      <c r="AC1733" s="20" t="str">
        <f>D1733 &amp; "-" &amp; VLOOKUP(D1733,[4]STRATEGIES!$E$1:$F$504,2,FALSE)</f>
        <v>5613-Préparation des documents de plaidoyer auprès des hauts décideurs pour l’accroissement de la part du secteur de l’éducation dans le budget de l’état</v>
      </c>
      <c r="AD1733" s="21" t="str">
        <f t="shared" si="256"/>
        <v>5613-Préparation des documents de plaidoyer auprès des hauts décideurs pour l’accroissement de la part du secteur de l’éducation dans le budget de l’état</v>
      </c>
    </row>
    <row r="1734" spans="1:30" s="22" customFormat="1" ht="45" customHeight="1" x14ac:dyDescent="0.8">
      <c r="A1734" s="14">
        <v>5</v>
      </c>
      <c r="B1734" s="15">
        <v>56</v>
      </c>
      <c r="C1734" s="15">
        <v>561</v>
      </c>
      <c r="D1734" s="15">
        <v>5613</v>
      </c>
      <c r="E1734" s="14">
        <v>56131</v>
      </c>
      <c r="F1734" s="16" t="s">
        <v>2193</v>
      </c>
      <c r="G1734" s="21" t="s">
        <v>315</v>
      </c>
      <c r="H1734" s="17" t="s">
        <v>301</v>
      </c>
      <c r="I1734" s="56">
        <v>0</v>
      </c>
      <c r="J1734" s="56">
        <f>32*6</f>
        <v>192</v>
      </c>
      <c r="K1734" s="56">
        <f>30*6</f>
        <v>180</v>
      </c>
      <c r="L1734" s="56"/>
      <c r="M1734" s="56">
        <f t="shared" si="255"/>
        <v>372</v>
      </c>
      <c r="N1734" s="56">
        <f>IF(OR(H1734="",H1734="sif",H1734="PM"),0,VLOOKUP(H1734,[5]CU!$C$4:$H$255,6,FALSE))</f>
        <v>0.67666666666666664</v>
      </c>
      <c r="O1734" s="56">
        <f t="shared" ref="O1734:R1749" si="257">IFERROR($N1734*I1734,0)</f>
        <v>0</v>
      </c>
      <c r="P1734" s="56">
        <f t="shared" si="257"/>
        <v>129.91999999999999</v>
      </c>
      <c r="Q1734" s="56">
        <f t="shared" si="257"/>
        <v>121.8</v>
      </c>
      <c r="R1734" s="56">
        <f t="shared" si="257"/>
        <v>0</v>
      </c>
      <c r="S1734" s="56">
        <f t="shared" ref="S1734:S1759" si="258">SUM(O1734:R1734)</f>
        <v>251.71999999999997</v>
      </c>
      <c r="T1734" s="35" t="s">
        <v>118</v>
      </c>
      <c r="U1734" s="18" t="s">
        <v>1873</v>
      </c>
      <c r="V1734" s="19" t="str">
        <f>IF(OR($H1734="",$H1734="sif",$H1734="PM"),"",VLOOKUP($H1734,[5]CU!$C$5:$J$255,8,FALSE))</f>
        <v>3. Formation</v>
      </c>
      <c r="W1734" s="18" t="s">
        <v>1936</v>
      </c>
      <c r="X1734" s="18" t="s">
        <v>1936</v>
      </c>
      <c r="Y1734" s="19" t="s">
        <v>32</v>
      </c>
      <c r="Z1734" s="19" t="str">
        <f>A1734 &amp; "-" &amp; VLOOKUP(A1734,[4]PROGRAMMES!$E$1:$F$7,2,FALSE)</f>
        <v>5-Gouvernance et pilotage du secteur</v>
      </c>
      <c r="AA1734" s="19" t="str">
        <f>B1734 &amp; "-" &amp; VLOOKUP(B1734,[4]SOUSPROGRAMMES!$E$1:$F$44,2,FALSE)</f>
        <v>56- Gestion des ressources financières</v>
      </c>
      <c r="AB1734" s="19" t="str">
        <f>C1734 &amp; "-" &amp; VLOOKUP(C1734,[4]RESULTATS!$E$1:$F$176,2,FALSE)</f>
        <v>561-Le financement du secteur est en adéquation avec les objectifs</v>
      </c>
      <c r="AC1734" s="20" t="str">
        <f>D1734 &amp; "-" &amp; VLOOKUP(D1734,[4]STRATEGIES!$E$1:$F$504,2,FALSE)</f>
        <v>5613-Préparation des documents de plaidoyer auprès des hauts décideurs pour l’accroissement de la part du secteur de l’éducation dans le budget de l’état</v>
      </c>
      <c r="AD1734" s="21" t="str">
        <f t="shared" si="256"/>
        <v>56131-Formation et partage des outils d'actualisation du CDMT avec les BSD, les Services Financiers au niveau central et déconcentrés du Secteur</v>
      </c>
    </row>
    <row r="1735" spans="1:30" s="22" customFormat="1" ht="30" hidden="1" customHeight="1" x14ac:dyDescent="0.8">
      <c r="A1735" s="14">
        <v>5</v>
      </c>
      <c r="B1735" s="15">
        <v>56</v>
      </c>
      <c r="C1735" s="15">
        <v>561</v>
      </c>
      <c r="D1735" s="15">
        <v>5613</v>
      </c>
      <c r="E1735" s="14">
        <v>56132</v>
      </c>
      <c r="F1735" s="16" t="s">
        <v>2194</v>
      </c>
      <c r="G1735" s="21" t="s">
        <v>315</v>
      </c>
      <c r="H1735" s="17" t="s">
        <v>66</v>
      </c>
      <c r="I1735" s="56">
        <v>0</v>
      </c>
      <c r="J1735" s="56"/>
      <c r="K1735" s="56"/>
      <c r="L1735" s="56"/>
      <c r="M1735" s="56">
        <f>SUM(I1735:L1735)</f>
        <v>0</v>
      </c>
      <c r="N1735" s="56">
        <f>IF(OR(H1735="",H1735="sif",H1735="PM"),0,VLOOKUP(H1735,[5]CU!$C$4:$H$255,6,FALSE))</f>
        <v>0.255</v>
      </c>
      <c r="O1735" s="56">
        <f t="shared" si="257"/>
        <v>0</v>
      </c>
      <c r="P1735" s="56">
        <f t="shared" si="257"/>
        <v>0</v>
      </c>
      <c r="Q1735" s="56">
        <f t="shared" si="257"/>
        <v>0</v>
      </c>
      <c r="R1735" s="56">
        <f t="shared" si="257"/>
        <v>0</v>
      </c>
      <c r="S1735" s="56">
        <f>SUM(O1735:R1735)</f>
        <v>0</v>
      </c>
      <c r="T1735" s="35" t="s">
        <v>178</v>
      </c>
      <c r="U1735" s="18" t="s">
        <v>1873</v>
      </c>
      <c r="V1735" s="19" t="str">
        <f>IF(OR($H1735="",$H1735="sif",$H1735="PM"),"",VLOOKUP($H1735,[5]CU!$C$5:$J$255,8,FALSE))</f>
        <v>3. Dépenses de fonctionnement</v>
      </c>
      <c r="W1735" s="18" t="s">
        <v>1936</v>
      </c>
      <c r="X1735" s="18" t="s">
        <v>1936</v>
      </c>
      <c r="Y1735" s="19" t="s">
        <v>32</v>
      </c>
      <c r="Z1735" s="19" t="str">
        <f>A1735 &amp; "-" &amp; VLOOKUP(A1735,[4]PROGRAMMES!$E$1:$F$7,2,FALSE)</f>
        <v>5-Gouvernance et pilotage du secteur</v>
      </c>
      <c r="AA1735" s="19" t="str">
        <f>B1735 &amp; "-" &amp; VLOOKUP(B1735,[4]SOUSPROGRAMMES!$E$1:$F$44,2,FALSE)</f>
        <v>56- Gestion des ressources financières</v>
      </c>
      <c r="AB1735" s="19" t="str">
        <f>C1735 &amp; "-" &amp; VLOOKUP(C1735,[4]RESULTATS!$E$1:$F$176,2,FALSE)</f>
        <v>561-Le financement du secteur est en adéquation avec les objectifs</v>
      </c>
      <c r="AC1735" s="20" t="str">
        <f>D1735 &amp; "-" &amp; VLOOKUP(D1735,[4]STRATEGIES!$E$1:$F$504,2,FALSE)</f>
        <v>5613-Préparation des documents de plaidoyer auprès des hauts décideurs pour l’accroissement de la part du secteur de l’éducation dans le budget de l’état</v>
      </c>
      <c r="AD1735" s="21" t="str">
        <f t="shared" si="256"/>
        <v xml:space="preserve">56132-Elaboration du document CDMT </v>
      </c>
    </row>
    <row r="1736" spans="1:30" ht="30" hidden="1" customHeight="1" x14ac:dyDescent="0.8">
      <c r="A1736" s="25">
        <v>5</v>
      </c>
      <c r="B1736" s="16">
        <v>56</v>
      </c>
      <c r="C1736" s="16">
        <v>561</v>
      </c>
      <c r="D1736" s="16">
        <v>5613</v>
      </c>
      <c r="E1736" s="25">
        <v>56132</v>
      </c>
      <c r="F1736" s="16" t="s">
        <v>2194</v>
      </c>
      <c r="G1736" s="21" t="s">
        <v>315</v>
      </c>
      <c r="H1736" s="21" t="s">
        <v>66</v>
      </c>
      <c r="I1736" s="56">
        <v>0</v>
      </c>
      <c r="J1736" s="57">
        <f>20*6</f>
        <v>120</v>
      </c>
      <c r="K1736" s="57">
        <f>20*6</f>
        <v>120</v>
      </c>
      <c r="L1736" s="57">
        <f>20*6</f>
        <v>120</v>
      </c>
      <c r="M1736" s="57">
        <f t="shared" si="255"/>
        <v>360</v>
      </c>
      <c r="N1736" s="57">
        <f>IF(OR(H1736="",H1736="sif",H1736="PM"),0,VLOOKUP(H1736,[5]CU!$C$4:$H$255,6,FALSE))</f>
        <v>0.255</v>
      </c>
      <c r="O1736" s="57">
        <f t="shared" si="257"/>
        <v>0</v>
      </c>
      <c r="P1736" s="57">
        <f t="shared" si="257"/>
        <v>30.6</v>
      </c>
      <c r="Q1736" s="57">
        <f t="shared" si="257"/>
        <v>30.6</v>
      </c>
      <c r="R1736" s="57">
        <f t="shared" si="257"/>
        <v>30.6</v>
      </c>
      <c r="S1736" s="57">
        <f t="shared" si="258"/>
        <v>91.800000000000011</v>
      </c>
      <c r="T1736" s="38" t="s">
        <v>169</v>
      </c>
      <c r="U1736" s="19" t="s">
        <v>1873</v>
      </c>
      <c r="V1736" s="19" t="str">
        <f>IF(OR($H1736="",$H1736="sif",$H1736="PM"),"",VLOOKUP($H1736,[5]CU!$C$5:$J$255,8,FALSE))</f>
        <v>3. Dépenses de fonctionnement</v>
      </c>
      <c r="W1736" s="19" t="s">
        <v>1939</v>
      </c>
      <c r="X1736" s="19" t="s">
        <v>1939</v>
      </c>
      <c r="Y1736" s="19" t="s">
        <v>32</v>
      </c>
      <c r="Z1736" s="19" t="str">
        <f>A1736 &amp; "-" &amp; VLOOKUP(A1736,[4]PROGRAMMES!$E$1:$F$7,2,FALSE)</f>
        <v>5-Gouvernance et pilotage du secteur</v>
      </c>
      <c r="AA1736" s="19" t="str">
        <f>B1736 &amp; "-" &amp; VLOOKUP(B1736,[4]SOUSPROGRAMMES!$E$1:$F$44,2,FALSE)</f>
        <v>56- Gestion des ressources financières</v>
      </c>
      <c r="AB1736" s="19" t="str">
        <f>C1736 &amp; "-" &amp; VLOOKUP(C1736,[4]RESULTATS!$E$1:$F$176,2,FALSE)</f>
        <v>561-Le financement du secteur est en adéquation avec les objectifs</v>
      </c>
      <c r="AC1736" s="20" t="str">
        <f>D1736 &amp; "-" &amp; VLOOKUP(D1736,[4]STRATEGIES!$E$1:$F$504,2,FALSE)</f>
        <v>5613-Préparation des documents de plaidoyer auprès des hauts décideurs pour l’accroissement de la part du secteur de l’éducation dans le budget de l’état</v>
      </c>
      <c r="AD1736" s="21" t="str">
        <f t="shared" si="256"/>
        <v xml:space="preserve">56132-Elaboration du document CDMT </v>
      </c>
    </row>
    <row r="1737" spans="1:30" s="22" customFormat="1" ht="30" hidden="1" customHeight="1" x14ac:dyDescent="0.8">
      <c r="A1737" s="14">
        <v>5</v>
      </c>
      <c r="B1737" s="15">
        <v>56</v>
      </c>
      <c r="C1737" s="15">
        <v>561</v>
      </c>
      <c r="D1737" s="15">
        <v>5613</v>
      </c>
      <c r="E1737" s="14">
        <v>56133</v>
      </c>
      <c r="F1737" s="16" t="s">
        <v>2195</v>
      </c>
      <c r="G1737" s="21" t="s">
        <v>315</v>
      </c>
      <c r="H1737" s="17" t="s">
        <v>66</v>
      </c>
      <c r="I1737" s="56">
        <v>0</v>
      </c>
      <c r="J1737" s="56"/>
      <c r="K1737" s="56"/>
      <c r="L1737" s="56"/>
      <c r="M1737" s="56">
        <f>SUM(I1737:L1737)</f>
        <v>0</v>
      </c>
      <c r="N1737" s="56">
        <f>IF(OR(H1737="",H1737="sif",H1737="PM"),0,VLOOKUP(H1737,[5]CU!$C$4:$H$255,6,FALSE))</f>
        <v>0.255</v>
      </c>
      <c r="O1737" s="56">
        <f t="shared" si="257"/>
        <v>0</v>
      </c>
      <c r="P1737" s="56">
        <f t="shared" si="257"/>
        <v>0</v>
      </c>
      <c r="Q1737" s="56">
        <f t="shared" si="257"/>
        <v>0</v>
      </c>
      <c r="R1737" s="56">
        <f t="shared" si="257"/>
        <v>0</v>
      </c>
      <c r="S1737" s="56">
        <f>SUM(O1737:R1737)</f>
        <v>0</v>
      </c>
      <c r="T1737" s="35" t="s">
        <v>178</v>
      </c>
      <c r="U1737" s="18" t="s">
        <v>1873</v>
      </c>
      <c r="V1737" s="19" t="str">
        <f>IF(OR($H1737="",$H1737="sif",$H1737="PM"),"",VLOOKUP($H1737,[5]CU!$C$5:$J$255,8,FALSE))</f>
        <v>3. Dépenses de fonctionnement</v>
      </c>
      <c r="W1737" s="18" t="s">
        <v>1936</v>
      </c>
      <c r="X1737" s="18" t="s">
        <v>1936</v>
      </c>
      <c r="Y1737" s="19" t="s">
        <v>32</v>
      </c>
      <c r="Z1737" s="19" t="str">
        <f>A1737 &amp; "-" &amp; VLOOKUP(A1737,[4]PROGRAMMES!$E$1:$F$7,2,FALSE)</f>
        <v>5-Gouvernance et pilotage du secteur</v>
      </c>
      <c r="AA1737" s="19" t="str">
        <f>B1737 &amp; "-" &amp; VLOOKUP(B1737,[4]SOUSPROGRAMMES!$E$1:$F$44,2,FALSE)</f>
        <v>56- Gestion des ressources financières</v>
      </c>
      <c r="AB1737" s="19" t="str">
        <f>C1737 &amp; "-" &amp; VLOOKUP(C1737,[4]RESULTATS!$E$1:$F$176,2,FALSE)</f>
        <v>561-Le financement du secteur est en adéquation avec les objectifs</v>
      </c>
      <c r="AC1737" s="20" t="str">
        <f>D1737 &amp; "-" &amp; VLOOKUP(D1737,[4]STRATEGIES!$E$1:$F$504,2,FALSE)</f>
        <v>5613-Préparation des documents de plaidoyer auprès des hauts décideurs pour l’accroissement de la part du secteur de l’éducation dans le budget de l’état</v>
      </c>
      <c r="AD1737" s="21" t="str">
        <f t="shared" si="256"/>
        <v>56133-Mise à jour du document CDMT après conférence budgétaire</v>
      </c>
    </row>
    <row r="1738" spans="1:30" s="22" customFormat="1" ht="30" hidden="1" customHeight="1" x14ac:dyDescent="0.8">
      <c r="A1738" s="14">
        <v>5</v>
      </c>
      <c r="B1738" s="15">
        <v>56</v>
      </c>
      <c r="C1738" s="15">
        <v>561</v>
      </c>
      <c r="D1738" s="15">
        <v>5613</v>
      </c>
      <c r="E1738" s="14">
        <v>56133</v>
      </c>
      <c r="F1738" s="16" t="s">
        <v>2195</v>
      </c>
      <c r="G1738" s="21" t="s">
        <v>315</v>
      </c>
      <c r="H1738" s="17" t="s">
        <v>66</v>
      </c>
      <c r="I1738" s="56">
        <v>0</v>
      </c>
      <c r="J1738" s="56"/>
      <c r="K1738" s="56"/>
      <c r="L1738" s="56"/>
      <c r="M1738" s="56">
        <f t="shared" si="255"/>
        <v>0</v>
      </c>
      <c r="N1738" s="56">
        <f>IF(OR(H1738="",H1738="sif",H1738="PM"),0,VLOOKUP(H1738,[5]CU!$C$4:$H$255,6,FALSE))</f>
        <v>0.255</v>
      </c>
      <c r="O1738" s="56">
        <f t="shared" si="257"/>
        <v>0</v>
      </c>
      <c r="P1738" s="56">
        <f t="shared" si="257"/>
        <v>0</v>
      </c>
      <c r="Q1738" s="56">
        <f t="shared" si="257"/>
        <v>0</v>
      </c>
      <c r="R1738" s="56">
        <f t="shared" si="257"/>
        <v>0</v>
      </c>
      <c r="S1738" s="56">
        <f t="shared" si="258"/>
        <v>0</v>
      </c>
      <c r="T1738" s="35" t="s">
        <v>178</v>
      </c>
      <c r="U1738" s="18" t="s">
        <v>1873</v>
      </c>
      <c r="V1738" s="19" t="str">
        <f>IF(OR($H1738="",$H1738="sif",$H1738="PM"),"",VLOOKUP($H1738,[5]CU!$C$5:$J$255,8,FALSE))</f>
        <v>3. Dépenses de fonctionnement</v>
      </c>
      <c r="W1738" s="18" t="s">
        <v>1936</v>
      </c>
      <c r="X1738" s="18" t="s">
        <v>1936</v>
      </c>
      <c r="Y1738" s="19" t="s">
        <v>32</v>
      </c>
      <c r="Z1738" s="19" t="str">
        <f>A1738 &amp; "-" &amp; VLOOKUP(A1738,[4]PROGRAMMES!$E$1:$F$7,2,FALSE)</f>
        <v>5-Gouvernance et pilotage du secteur</v>
      </c>
      <c r="AA1738" s="19" t="str">
        <f>B1738 &amp; "-" &amp; VLOOKUP(B1738,[4]SOUSPROGRAMMES!$E$1:$F$44,2,FALSE)</f>
        <v>56- Gestion des ressources financières</v>
      </c>
      <c r="AB1738" s="19" t="str">
        <f>C1738 &amp; "-" &amp; VLOOKUP(C1738,[4]RESULTATS!$E$1:$F$176,2,FALSE)</f>
        <v>561-Le financement du secteur est en adéquation avec les objectifs</v>
      </c>
      <c r="AC1738" s="20" t="str">
        <f>D1738 &amp; "-" &amp; VLOOKUP(D1738,[4]STRATEGIES!$E$1:$F$504,2,FALSE)</f>
        <v>5613-Préparation des documents de plaidoyer auprès des hauts décideurs pour l’accroissement de la part du secteur de l’éducation dans le budget de l’état</v>
      </c>
      <c r="AD1738" s="21" t="str">
        <f t="shared" si="256"/>
        <v>56133-Mise à jour du document CDMT après conférence budgétaire</v>
      </c>
    </row>
    <row r="1739" spans="1:30" ht="30" hidden="1" customHeight="1" x14ac:dyDescent="0.8">
      <c r="A1739" s="25">
        <v>5</v>
      </c>
      <c r="B1739" s="16">
        <v>56</v>
      </c>
      <c r="C1739" s="16">
        <v>561</v>
      </c>
      <c r="D1739" s="16">
        <v>5613</v>
      </c>
      <c r="E1739" s="25">
        <v>56134</v>
      </c>
      <c r="F1739" s="16" t="s">
        <v>2196</v>
      </c>
      <c r="G1739" s="21" t="s">
        <v>315</v>
      </c>
      <c r="H1739" s="21" t="s">
        <v>66</v>
      </c>
      <c r="I1739" s="56">
        <v>0</v>
      </c>
      <c r="J1739" s="57">
        <f>(15*6)*33.41%</f>
        <v>30.068999999999996</v>
      </c>
      <c r="K1739" s="57">
        <f>(15*6)*33.41%</f>
        <v>30.068999999999996</v>
      </c>
      <c r="L1739" s="57">
        <f>(15*6)*33.41%</f>
        <v>30.068999999999996</v>
      </c>
      <c r="M1739" s="57">
        <f>SUM(I1739:L1739)</f>
        <v>90.206999999999994</v>
      </c>
      <c r="N1739" s="57">
        <f>IF(OR(H1739="",H1739="sif",H1739="PM"),0,VLOOKUP(H1739,[5]CU!$C$4:$H$255,6,FALSE))</f>
        <v>0.255</v>
      </c>
      <c r="O1739" s="57">
        <f>IFERROR($N1739*I1739,0)</f>
        <v>0</v>
      </c>
      <c r="P1739" s="57">
        <f>IFERROR($N1739*J1739,0)</f>
        <v>7.6675949999999986</v>
      </c>
      <c r="Q1739" s="57">
        <f>IFERROR($N1739*K1739,0)</f>
        <v>7.6675949999999986</v>
      </c>
      <c r="R1739" s="57">
        <f>IFERROR($N1739*L1739,0)</f>
        <v>7.6675949999999986</v>
      </c>
      <c r="S1739" s="57">
        <f>SUM(O1739:R1739)</f>
        <v>23.002784999999996</v>
      </c>
      <c r="T1739" s="38" t="s">
        <v>169</v>
      </c>
      <c r="U1739" s="19" t="s">
        <v>1873</v>
      </c>
      <c r="V1739" s="19" t="str">
        <f>IF(OR($H1739="",$H1739="sif",$H1739="PM"),"",VLOOKUP($H1739,[5]CU!$C$5:$J$255,8,FALSE))</f>
        <v>3. Dépenses de fonctionnement</v>
      </c>
      <c r="W1739" s="19" t="s">
        <v>1939</v>
      </c>
      <c r="X1739" s="19" t="s">
        <v>1939</v>
      </c>
      <c r="Y1739" s="19" t="s">
        <v>32</v>
      </c>
      <c r="Z1739" s="19" t="str">
        <f>A1739 &amp; "-" &amp; VLOOKUP(A1739,[4]PROGRAMMES!$E$1:$F$7,2,FALSE)</f>
        <v>5-Gouvernance et pilotage du secteur</v>
      </c>
      <c r="AA1739" s="19" t="str">
        <f>B1739 &amp; "-" &amp; VLOOKUP(B1739,[4]SOUSPROGRAMMES!$E$1:$F$44,2,FALSE)</f>
        <v>56- Gestion des ressources financières</v>
      </c>
      <c r="AB1739" s="19" t="str">
        <f>C1739 &amp; "-" &amp; VLOOKUP(C1739,[4]RESULTATS!$E$1:$F$176,2,FALSE)</f>
        <v>561-Le financement du secteur est en adéquation avec les objectifs</v>
      </c>
      <c r="AC1739" s="20" t="str">
        <f>D1739 &amp; "-" &amp; VLOOKUP(D1739,[4]STRATEGIES!$E$1:$F$504,2,FALSE)</f>
        <v>5613-Préparation des documents de plaidoyer auprès des hauts décideurs pour l’accroissement de la part du secteur de l’éducation dans le budget de l’état</v>
      </c>
      <c r="AD1739" s="21" t="str">
        <f t="shared" si="256"/>
        <v xml:space="preserve">56134-Mise à jour du document CDMT après l'adoption de la loi rectificative </v>
      </c>
    </row>
    <row r="1740" spans="1:30" s="22" customFormat="1" ht="30" customHeight="1" x14ac:dyDescent="0.8">
      <c r="A1740" s="14">
        <v>5</v>
      </c>
      <c r="B1740" s="15">
        <v>56</v>
      </c>
      <c r="C1740" s="15">
        <v>561</v>
      </c>
      <c r="D1740" s="15">
        <v>5613</v>
      </c>
      <c r="E1740" s="14">
        <v>56134</v>
      </c>
      <c r="F1740" s="16" t="s">
        <v>2196</v>
      </c>
      <c r="G1740" s="21" t="s">
        <v>315</v>
      </c>
      <c r="H1740" s="17" t="s">
        <v>66</v>
      </c>
      <c r="I1740" s="56">
        <v>0</v>
      </c>
      <c r="J1740" s="56">
        <f>(15*6)*66.59%</f>
        <v>59.931000000000004</v>
      </c>
      <c r="K1740" s="56">
        <f>(15*6)*66.59%</f>
        <v>59.931000000000004</v>
      </c>
      <c r="L1740" s="56">
        <f>(15*6)*66.59%</f>
        <v>59.931000000000004</v>
      </c>
      <c r="M1740" s="56">
        <f t="shared" si="255"/>
        <v>179.79300000000001</v>
      </c>
      <c r="N1740" s="56">
        <f>IF(OR(H1740="",H1740="sif",H1740="PM"),0,VLOOKUP(H1740,[5]CU!$C$4:$H$255,6,FALSE))</f>
        <v>0.255</v>
      </c>
      <c r="O1740" s="56">
        <f t="shared" si="257"/>
        <v>0</v>
      </c>
      <c r="P1740" s="56">
        <f t="shared" si="257"/>
        <v>15.282405000000001</v>
      </c>
      <c r="Q1740" s="56">
        <f t="shared" si="257"/>
        <v>15.282405000000001</v>
      </c>
      <c r="R1740" s="56">
        <f t="shared" si="257"/>
        <v>15.282405000000001</v>
      </c>
      <c r="S1740" s="56">
        <f t="shared" si="258"/>
        <v>45.847215000000006</v>
      </c>
      <c r="T1740" s="35" t="s">
        <v>118</v>
      </c>
      <c r="U1740" s="18" t="s">
        <v>1873</v>
      </c>
      <c r="V1740" s="19" t="str">
        <f>IF(OR($H1740="",$H1740="sif",$H1740="PM"),"",VLOOKUP($H1740,[5]CU!$C$5:$J$255,8,FALSE))</f>
        <v>3. Dépenses de fonctionnement</v>
      </c>
      <c r="W1740" s="18" t="s">
        <v>1936</v>
      </c>
      <c r="X1740" s="18" t="s">
        <v>1936</v>
      </c>
      <c r="Y1740" s="19" t="s">
        <v>32</v>
      </c>
      <c r="Z1740" s="19" t="str">
        <f>A1740 &amp; "-" &amp; VLOOKUP(A1740,[4]PROGRAMMES!$E$1:$F$7,2,FALSE)</f>
        <v>5-Gouvernance et pilotage du secteur</v>
      </c>
      <c r="AA1740" s="19" t="str">
        <f>B1740 &amp; "-" &amp; VLOOKUP(B1740,[4]SOUSPROGRAMMES!$E$1:$F$44,2,FALSE)</f>
        <v>56- Gestion des ressources financières</v>
      </c>
      <c r="AB1740" s="19" t="str">
        <f>C1740 &amp; "-" &amp; VLOOKUP(C1740,[4]RESULTATS!$E$1:$F$176,2,FALSE)</f>
        <v>561-Le financement du secteur est en adéquation avec les objectifs</v>
      </c>
      <c r="AC1740" s="20" t="str">
        <f>D1740 &amp; "-" &amp; VLOOKUP(D1740,[4]STRATEGIES!$E$1:$F$504,2,FALSE)</f>
        <v>5613-Préparation des documents de plaidoyer auprès des hauts décideurs pour l’accroissement de la part du secteur de l’éducation dans le budget de l’état</v>
      </c>
      <c r="AD1740" s="21" t="str">
        <f t="shared" si="256"/>
        <v xml:space="preserve">56134-Mise à jour du document CDMT après l'adoption de la loi rectificative </v>
      </c>
    </row>
    <row r="1741" spans="1:30" s="22" customFormat="1" ht="30" hidden="1" customHeight="1" x14ac:dyDescent="0.8">
      <c r="A1741" s="14">
        <v>5</v>
      </c>
      <c r="B1741" s="15">
        <v>56</v>
      </c>
      <c r="C1741" s="15">
        <v>561</v>
      </c>
      <c r="D1741" s="15">
        <v>5613</v>
      </c>
      <c r="E1741" s="14">
        <v>56135</v>
      </c>
      <c r="F1741" s="16" t="s">
        <v>2197</v>
      </c>
      <c r="G1741" s="21" t="s">
        <v>315</v>
      </c>
      <c r="H1741" s="17" t="s">
        <v>38</v>
      </c>
      <c r="I1741" s="56">
        <v>0</v>
      </c>
      <c r="J1741" s="56">
        <v>0</v>
      </c>
      <c r="K1741" s="56">
        <v>0</v>
      </c>
      <c r="L1741" s="56">
        <v>0</v>
      </c>
      <c r="M1741" s="56">
        <f>SUM(I1741:L1741)</f>
        <v>0</v>
      </c>
      <c r="N1741" s="56">
        <f>IF(OR(H1741="",H1741="sif",H1741="PM"),0,VLOOKUP(H1741,[5]CU!$C$4:$H$255,6,FALSE))</f>
        <v>0.3133333333333333</v>
      </c>
      <c r="O1741" s="56">
        <f t="shared" si="257"/>
        <v>0</v>
      </c>
      <c r="P1741" s="56">
        <f t="shared" si="257"/>
        <v>0</v>
      </c>
      <c r="Q1741" s="56">
        <f t="shared" si="257"/>
        <v>0</v>
      </c>
      <c r="R1741" s="56">
        <f t="shared" si="257"/>
        <v>0</v>
      </c>
      <c r="S1741" s="56">
        <f>SUM(O1741:R1741)</f>
        <v>0</v>
      </c>
      <c r="T1741" s="35" t="s">
        <v>178</v>
      </c>
      <c r="U1741" s="18" t="s">
        <v>1873</v>
      </c>
      <c r="V1741" s="19" t="str">
        <f>IF(OR($H1741="",$H1741="sif",$H1741="PM"),"",VLOOKUP($H1741,[5]CU!$C$5:$J$255,8,FALSE))</f>
        <v>3. Formation</v>
      </c>
      <c r="W1741" s="19" t="s">
        <v>1939</v>
      </c>
      <c r="X1741" s="19" t="s">
        <v>1939</v>
      </c>
      <c r="Y1741" s="19" t="s">
        <v>32</v>
      </c>
      <c r="Z1741" s="19" t="str">
        <f>A1741 &amp; "-" &amp; VLOOKUP(A1741,[4]PROGRAMMES!$E$1:$F$7,2,FALSE)</f>
        <v>5-Gouvernance et pilotage du secteur</v>
      </c>
      <c r="AA1741" s="19" t="str">
        <f>B1741 &amp; "-" &amp; VLOOKUP(B1741,[4]SOUSPROGRAMMES!$E$1:$F$44,2,FALSE)</f>
        <v>56- Gestion des ressources financières</v>
      </c>
      <c r="AB1741" s="19" t="str">
        <f>C1741 &amp; "-" &amp; VLOOKUP(C1741,[4]RESULTATS!$E$1:$F$176,2,FALSE)</f>
        <v>561-Le financement du secteur est en adéquation avec les objectifs</v>
      </c>
      <c r="AC1741" s="20" t="str">
        <f>D1741 &amp; "-" &amp; VLOOKUP(D1741,[4]STRATEGIES!$E$1:$F$504,2,FALSE)</f>
        <v>5613-Préparation des documents de plaidoyer auprès des hauts décideurs pour l’accroissement de la part du secteur de l’éducation dans le budget de l’état</v>
      </c>
      <c r="AD1741" s="21" t="str">
        <f t="shared" si="256"/>
        <v>56135-Atelier de partage du CDMT à tous les niveaux</v>
      </c>
    </row>
    <row r="1742" spans="1:30" ht="30" hidden="1" customHeight="1" x14ac:dyDescent="0.8">
      <c r="A1742" s="25">
        <v>5</v>
      </c>
      <c r="B1742" s="16">
        <v>56</v>
      </c>
      <c r="C1742" s="16">
        <v>561</v>
      </c>
      <c r="D1742" s="16">
        <v>5613</v>
      </c>
      <c r="E1742" s="25">
        <v>56135</v>
      </c>
      <c r="F1742" s="16" t="s">
        <v>2197</v>
      </c>
      <c r="G1742" s="21" t="s">
        <v>315</v>
      </c>
      <c r="H1742" s="21" t="s">
        <v>38</v>
      </c>
      <c r="I1742" s="56">
        <v>0</v>
      </c>
      <c r="J1742" s="57">
        <v>300</v>
      </c>
      <c r="K1742" s="57">
        <v>300</v>
      </c>
      <c r="L1742" s="57">
        <v>300</v>
      </c>
      <c r="M1742" s="57">
        <f t="shared" si="255"/>
        <v>900</v>
      </c>
      <c r="N1742" s="57">
        <f>IF(OR(H1742="",H1742="sif",H1742="PM"),0,VLOOKUP(H1742,[5]CU!$C$4:$H$255,6,FALSE))</f>
        <v>0.3133333333333333</v>
      </c>
      <c r="O1742" s="57">
        <f t="shared" si="257"/>
        <v>0</v>
      </c>
      <c r="P1742" s="57">
        <f t="shared" si="257"/>
        <v>93.999999999999986</v>
      </c>
      <c r="Q1742" s="57">
        <f t="shared" si="257"/>
        <v>93.999999999999986</v>
      </c>
      <c r="R1742" s="57">
        <f t="shared" si="257"/>
        <v>93.999999999999986</v>
      </c>
      <c r="S1742" s="57">
        <f t="shared" si="258"/>
        <v>281.99999999999994</v>
      </c>
      <c r="T1742" s="38" t="s">
        <v>169</v>
      </c>
      <c r="U1742" s="19" t="s">
        <v>1873</v>
      </c>
      <c r="V1742" s="19" t="str">
        <f>IF(OR($H1742="",$H1742="sif",$H1742="PM"),"",VLOOKUP($H1742,[5]CU!$C$5:$J$255,8,FALSE))</f>
        <v>3. Formation</v>
      </c>
      <c r="W1742" s="19" t="s">
        <v>1939</v>
      </c>
      <c r="X1742" s="19" t="s">
        <v>1939</v>
      </c>
      <c r="Y1742" s="19" t="s">
        <v>32</v>
      </c>
      <c r="Z1742" s="19" t="str">
        <f>A1742 &amp; "-" &amp; VLOOKUP(A1742,[4]PROGRAMMES!$E$1:$F$7,2,FALSE)</f>
        <v>5-Gouvernance et pilotage du secteur</v>
      </c>
      <c r="AA1742" s="19" t="str">
        <f>B1742 &amp; "-" &amp; VLOOKUP(B1742,[4]SOUSPROGRAMMES!$E$1:$F$44,2,FALSE)</f>
        <v>56- Gestion des ressources financières</v>
      </c>
      <c r="AB1742" s="19" t="str">
        <f>C1742 &amp; "-" &amp; VLOOKUP(C1742,[4]RESULTATS!$E$1:$F$176,2,FALSE)</f>
        <v>561-Le financement du secteur est en adéquation avec les objectifs</v>
      </c>
      <c r="AC1742" s="20" t="str">
        <f>D1742 &amp; "-" &amp; VLOOKUP(D1742,[4]STRATEGIES!$E$1:$F$504,2,FALSE)</f>
        <v>5613-Préparation des documents de plaidoyer auprès des hauts décideurs pour l’accroissement de la part du secteur de l’éducation dans le budget de l’état</v>
      </c>
      <c r="AD1742" s="21" t="str">
        <f t="shared" si="256"/>
        <v>56135-Atelier de partage du CDMT à tous les niveaux</v>
      </c>
    </row>
    <row r="1743" spans="1:30" s="22" customFormat="1" ht="45" hidden="1" customHeight="1" x14ac:dyDescent="0.8">
      <c r="A1743" s="14">
        <v>5</v>
      </c>
      <c r="B1743" s="15">
        <v>56</v>
      </c>
      <c r="C1743" s="15">
        <v>561</v>
      </c>
      <c r="D1743" s="15">
        <v>5613</v>
      </c>
      <c r="E1743" s="14">
        <v>56136</v>
      </c>
      <c r="F1743" s="16" t="s">
        <v>2198</v>
      </c>
      <c r="G1743" s="21" t="s">
        <v>315</v>
      </c>
      <c r="H1743" s="17" t="s">
        <v>38</v>
      </c>
      <c r="I1743" s="56">
        <v>0</v>
      </c>
      <c r="J1743" s="56"/>
      <c r="K1743" s="56"/>
      <c r="L1743" s="56"/>
      <c r="M1743" s="56">
        <f>SUM(I1743:L1743)</f>
        <v>0</v>
      </c>
      <c r="N1743" s="56">
        <f>IF(OR(H1743="",H1743="sif",H1743="PM"),0,VLOOKUP(H1743,[5]CU!$C$4:$H$255,6,FALSE))</f>
        <v>0.3133333333333333</v>
      </c>
      <c r="O1743" s="56">
        <f t="shared" si="257"/>
        <v>0</v>
      </c>
      <c r="P1743" s="56">
        <f t="shared" si="257"/>
        <v>0</v>
      </c>
      <c r="Q1743" s="56">
        <f t="shared" si="257"/>
        <v>0</v>
      </c>
      <c r="R1743" s="56">
        <f t="shared" si="257"/>
        <v>0</v>
      </c>
      <c r="S1743" s="56">
        <f>SUM(O1743:R1743)</f>
        <v>0</v>
      </c>
      <c r="T1743" s="35" t="s">
        <v>178</v>
      </c>
      <c r="U1743" s="18" t="s">
        <v>1873</v>
      </c>
      <c r="V1743" s="19" t="str">
        <f>IF(OR($H1743="",$H1743="sif",$H1743="PM"),"",VLOOKUP($H1743,[5]CU!$C$5:$J$255,8,FALSE))</f>
        <v>3. Formation</v>
      </c>
      <c r="W1743" s="19" t="s">
        <v>1939</v>
      </c>
      <c r="X1743" s="19" t="s">
        <v>1939</v>
      </c>
      <c r="Y1743" s="19" t="s">
        <v>32</v>
      </c>
      <c r="Z1743" s="19" t="str">
        <f>A1743 &amp; "-" &amp; VLOOKUP(A1743,[4]PROGRAMMES!$E$1:$F$7,2,FALSE)</f>
        <v>5-Gouvernance et pilotage du secteur</v>
      </c>
      <c r="AA1743" s="19" t="str">
        <f>B1743 &amp; "-" &amp; VLOOKUP(B1743,[4]SOUSPROGRAMMES!$E$1:$F$44,2,FALSE)</f>
        <v>56- Gestion des ressources financières</v>
      </c>
      <c r="AB1743" s="19" t="str">
        <f>C1743 &amp; "-" &amp; VLOOKUP(C1743,[4]RESULTATS!$E$1:$F$176,2,FALSE)</f>
        <v>561-Le financement du secteur est en adéquation avec les objectifs</v>
      </c>
      <c r="AC1743" s="20" t="str">
        <f>D1743 &amp; "-" &amp; VLOOKUP(D1743,[4]STRATEGIES!$E$1:$F$504,2,FALSE)</f>
        <v>5613-Préparation des documents de plaidoyer auprès des hauts décideurs pour l’accroissement de la part du secteur de l’éducation dans le budget de l’état</v>
      </c>
      <c r="AD1743" s="21" t="str">
        <f t="shared" si="256"/>
        <v>56136-Atelier de partage et de validation du canevas et de la feuille de route, collecte et traitement des données pour la rédaction du rapport annuel de performance du secteur</v>
      </c>
    </row>
    <row r="1744" spans="1:30" ht="45" hidden="1" customHeight="1" x14ac:dyDescent="0.8">
      <c r="A1744" s="25">
        <v>5</v>
      </c>
      <c r="B1744" s="16">
        <v>56</v>
      </c>
      <c r="C1744" s="16">
        <v>561</v>
      </c>
      <c r="D1744" s="16">
        <v>5613</v>
      </c>
      <c r="E1744" s="25">
        <v>56136</v>
      </c>
      <c r="F1744" s="16" t="s">
        <v>2198</v>
      </c>
      <c r="G1744" s="21" t="s">
        <v>315</v>
      </c>
      <c r="H1744" s="21" t="s">
        <v>38</v>
      </c>
      <c r="I1744" s="56">
        <v>0</v>
      </c>
      <c r="J1744" s="57">
        <f>25*6</f>
        <v>150</v>
      </c>
      <c r="K1744" s="57">
        <f>25*6</f>
        <v>150</v>
      </c>
      <c r="L1744" s="57">
        <f>25*6</f>
        <v>150</v>
      </c>
      <c r="M1744" s="57">
        <f t="shared" si="255"/>
        <v>450</v>
      </c>
      <c r="N1744" s="57">
        <f>IF(OR(H1744="",H1744="sif",H1744="PM"),0,VLOOKUP(H1744,[5]CU!$C$4:$H$255,6,FALSE))</f>
        <v>0.3133333333333333</v>
      </c>
      <c r="O1744" s="57">
        <f t="shared" si="257"/>
        <v>0</v>
      </c>
      <c r="P1744" s="57">
        <f t="shared" si="257"/>
        <v>46.999999999999993</v>
      </c>
      <c r="Q1744" s="57">
        <f t="shared" si="257"/>
        <v>46.999999999999993</v>
      </c>
      <c r="R1744" s="57">
        <f t="shared" si="257"/>
        <v>46.999999999999993</v>
      </c>
      <c r="S1744" s="57">
        <f t="shared" si="258"/>
        <v>140.99999999999997</v>
      </c>
      <c r="T1744" s="38" t="s">
        <v>169</v>
      </c>
      <c r="U1744" s="19" t="s">
        <v>1873</v>
      </c>
      <c r="V1744" s="19" t="str">
        <f>IF(OR($H1744="",$H1744="sif",$H1744="PM"),"",VLOOKUP($H1744,[5]CU!$C$5:$J$255,8,FALSE))</f>
        <v>3. Formation</v>
      </c>
      <c r="W1744" s="19" t="s">
        <v>1939</v>
      </c>
      <c r="X1744" s="19" t="s">
        <v>1939</v>
      </c>
      <c r="Y1744" s="19" t="s">
        <v>32</v>
      </c>
      <c r="Z1744" s="19" t="str">
        <f>A1744 &amp; "-" &amp; VLOOKUP(A1744,[4]PROGRAMMES!$E$1:$F$7,2,FALSE)</f>
        <v>5-Gouvernance et pilotage du secteur</v>
      </c>
      <c r="AA1744" s="19" t="str">
        <f>B1744 &amp; "-" &amp; VLOOKUP(B1744,[4]SOUSPROGRAMMES!$E$1:$F$44,2,FALSE)</f>
        <v>56- Gestion des ressources financières</v>
      </c>
      <c r="AB1744" s="19" t="str">
        <f>C1744 &amp; "-" &amp; VLOOKUP(C1744,[4]RESULTATS!$E$1:$F$176,2,FALSE)</f>
        <v>561-Le financement du secteur est en adéquation avec les objectifs</v>
      </c>
      <c r="AC1744" s="20" t="str">
        <f>D1744 &amp; "-" &amp; VLOOKUP(D1744,[4]STRATEGIES!$E$1:$F$504,2,FALSE)</f>
        <v>5613-Préparation des documents de plaidoyer auprès des hauts décideurs pour l’accroissement de la part du secteur de l’éducation dans le budget de l’état</v>
      </c>
      <c r="AD1744" s="21" t="str">
        <f t="shared" si="256"/>
        <v>56136-Atelier de partage et de validation du canevas et de la feuille de route, collecte et traitement des données pour la rédaction du rapport annuel de performance du secteur</v>
      </c>
    </row>
    <row r="1745" spans="1:30" s="22" customFormat="1" ht="30" hidden="1" customHeight="1" x14ac:dyDescent="0.8">
      <c r="A1745" s="14">
        <v>5</v>
      </c>
      <c r="B1745" s="15">
        <v>56</v>
      </c>
      <c r="C1745" s="15">
        <v>561</v>
      </c>
      <c r="D1745" s="15">
        <v>5613</v>
      </c>
      <c r="E1745" s="14">
        <v>56137</v>
      </c>
      <c r="F1745" s="16" t="s">
        <v>2199</v>
      </c>
      <c r="G1745" s="21" t="s">
        <v>315</v>
      </c>
      <c r="H1745" s="17" t="s">
        <v>66</v>
      </c>
      <c r="I1745" s="56">
        <v>0</v>
      </c>
      <c r="J1745" s="56"/>
      <c r="K1745" s="56"/>
      <c r="L1745" s="56"/>
      <c r="M1745" s="56">
        <f>SUM(I1745:L1745)</f>
        <v>0</v>
      </c>
      <c r="N1745" s="56">
        <f>IF(OR(H1745="",H1745="sif",H1745="PM"),0,VLOOKUP(H1745,[5]CU!$C$4:$H$255,6,FALSE))</f>
        <v>0.255</v>
      </c>
      <c r="O1745" s="56">
        <f t="shared" si="257"/>
        <v>0</v>
      </c>
      <c r="P1745" s="56">
        <f t="shared" si="257"/>
        <v>0</v>
      </c>
      <c r="Q1745" s="56">
        <f t="shared" si="257"/>
        <v>0</v>
      </c>
      <c r="R1745" s="56">
        <f t="shared" si="257"/>
        <v>0</v>
      </c>
      <c r="S1745" s="56">
        <f>SUM(O1745:R1745)</f>
        <v>0</v>
      </c>
      <c r="T1745" s="35" t="s">
        <v>178</v>
      </c>
      <c r="U1745" s="18" t="s">
        <v>1873</v>
      </c>
      <c r="V1745" s="19" t="str">
        <f>IF(OR($H1745="",$H1745="sif",$H1745="PM"),"",VLOOKUP($H1745,[5]CU!$C$5:$J$255,8,FALSE))</f>
        <v>3. Dépenses de fonctionnement</v>
      </c>
      <c r="W1745" s="19" t="s">
        <v>1939</v>
      </c>
      <c r="X1745" s="19" t="s">
        <v>1939</v>
      </c>
      <c r="Y1745" s="19" t="s">
        <v>32</v>
      </c>
      <c r="Z1745" s="19" t="str">
        <f>A1745 &amp; "-" &amp; VLOOKUP(A1745,[4]PROGRAMMES!$E$1:$F$7,2,FALSE)</f>
        <v>5-Gouvernance et pilotage du secteur</v>
      </c>
      <c r="AA1745" s="19" t="str">
        <f>B1745 &amp; "-" &amp; VLOOKUP(B1745,[4]SOUSPROGRAMMES!$E$1:$F$44,2,FALSE)</f>
        <v>56- Gestion des ressources financières</v>
      </c>
      <c r="AB1745" s="19" t="str">
        <f>C1745 &amp; "-" &amp; VLOOKUP(C1745,[4]RESULTATS!$E$1:$F$176,2,FALSE)</f>
        <v>561-Le financement du secteur est en adéquation avec les objectifs</v>
      </c>
      <c r="AC1745" s="20" t="str">
        <f>D1745 &amp; "-" &amp; VLOOKUP(D1745,[4]STRATEGIES!$E$1:$F$504,2,FALSE)</f>
        <v>5613-Préparation des documents de plaidoyer auprès des hauts décideurs pour l’accroissement de la part du secteur de l’éducation dans le budget de l’état</v>
      </c>
      <c r="AD1745" s="21" t="str">
        <f t="shared" si="256"/>
        <v>56137-Rédaction du rapport de performance, version provisoire</v>
      </c>
    </row>
    <row r="1746" spans="1:30" ht="30" hidden="1" customHeight="1" x14ac:dyDescent="0.8">
      <c r="A1746" s="25">
        <v>5</v>
      </c>
      <c r="B1746" s="16">
        <v>56</v>
      </c>
      <c r="C1746" s="16">
        <v>561</v>
      </c>
      <c r="D1746" s="16">
        <v>5613</v>
      </c>
      <c r="E1746" s="25">
        <v>56137</v>
      </c>
      <c r="F1746" s="16" t="s">
        <v>2199</v>
      </c>
      <c r="G1746" s="21" t="s">
        <v>315</v>
      </c>
      <c r="H1746" s="21" t="s">
        <v>66</v>
      </c>
      <c r="I1746" s="56">
        <v>0</v>
      </c>
      <c r="J1746" s="57">
        <v>300</v>
      </c>
      <c r="K1746" s="57">
        <f>25*6</f>
        <v>150</v>
      </c>
      <c r="L1746" s="57">
        <f>25*6</f>
        <v>150</v>
      </c>
      <c r="M1746" s="57">
        <f t="shared" si="255"/>
        <v>600</v>
      </c>
      <c r="N1746" s="57">
        <f>IF(OR(H1746="",H1746="sif",H1746="PM"),0,VLOOKUP(H1746,[5]CU!$C$4:$H$255,6,FALSE))</f>
        <v>0.255</v>
      </c>
      <c r="O1746" s="57">
        <f t="shared" si="257"/>
        <v>0</v>
      </c>
      <c r="P1746" s="57">
        <f t="shared" si="257"/>
        <v>76.5</v>
      </c>
      <c r="Q1746" s="57">
        <f t="shared" si="257"/>
        <v>38.25</v>
      </c>
      <c r="R1746" s="57">
        <f t="shared" si="257"/>
        <v>38.25</v>
      </c>
      <c r="S1746" s="57">
        <f t="shared" si="258"/>
        <v>153</v>
      </c>
      <c r="T1746" s="38" t="s">
        <v>169</v>
      </c>
      <c r="U1746" s="19" t="s">
        <v>1873</v>
      </c>
      <c r="V1746" s="19" t="str">
        <f>IF(OR($H1746="",$H1746="sif",$H1746="PM"),"",VLOOKUP($H1746,[5]CU!$C$5:$J$255,8,FALSE))</f>
        <v>3. Dépenses de fonctionnement</v>
      </c>
      <c r="W1746" s="19" t="s">
        <v>1939</v>
      </c>
      <c r="X1746" s="19" t="s">
        <v>1939</v>
      </c>
      <c r="Y1746" s="19" t="s">
        <v>32</v>
      </c>
      <c r="Z1746" s="19" t="str">
        <f>A1746 &amp; "-" &amp; VLOOKUP(A1746,[4]PROGRAMMES!$E$1:$F$7,2,FALSE)</f>
        <v>5-Gouvernance et pilotage du secteur</v>
      </c>
      <c r="AA1746" s="19" t="str">
        <f>B1746 &amp; "-" &amp; VLOOKUP(B1746,[4]SOUSPROGRAMMES!$E$1:$F$44,2,FALSE)</f>
        <v>56- Gestion des ressources financières</v>
      </c>
      <c r="AB1746" s="19" t="str">
        <f>C1746 &amp; "-" &amp; VLOOKUP(C1746,[4]RESULTATS!$E$1:$F$176,2,FALSE)</f>
        <v>561-Le financement du secteur est en adéquation avec les objectifs</v>
      </c>
      <c r="AC1746" s="20" t="str">
        <f>D1746 &amp; "-" &amp; VLOOKUP(D1746,[4]STRATEGIES!$E$1:$F$504,2,FALSE)</f>
        <v>5613-Préparation des documents de plaidoyer auprès des hauts décideurs pour l’accroissement de la part du secteur de l’éducation dans le budget de l’état</v>
      </c>
      <c r="AD1746" s="21" t="str">
        <f t="shared" si="256"/>
        <v>56137-Rédaction du rapport de performance, version provisoire</v>
      </c>
    </row>
    <row r="1747" spans="1:30" s="22" customFormat="1" ht="30" hidden="1" customHeight="1" x14ac:dyDescent="0.8">
      <c r="A1747" s="14">
        <v>5</v>
      </c>
      <c r="B1747" s="15">
        <v>56</v>
      </c>
      <c r="C1747" s="15">
        <v>561</v>
      </c>
      <c r="D1747" s="15">
        <v>5613</v>
      </c>
      <c r="E1747" s="14">
        <v>56138</v>
      </c>
      <c r="F1747" s="16" t="s">
        <v>2200</v>
      </c>
      <c r="G1747" s="21" t="s">
        <v>315</v>
      </c>
      <c r="H1747" s="17" t="s">
        <v>38</v>
      </c>
      <c r="I1747" s="56">
        <v>0</v>
      </c>
      <c r="J1747" s="56"/>
      <c r="K1747" s="56"/>
      <c r="L1747" s="56"/>
      <c r="M1747" s="56">
        <f>SUM(I1747:L1747)</f>
        <v>0</v>
      </c>
      <c r="N1747" s="56">
        <f>IF(OR(H1747="",H1747="sif",H1747="PM"),0,VLOOKUP(H1747,[5]CU!$C$4:$H$255,6,FALSE))</f>
        <v>0.3133333333333333</v>
      </c>
      <c r="O1747" s="56">
        <f t="shared" si="257"/>
        <v>0</v>
      </c>
      <c r="P1747" s="56">
        <f t="shared" si="257"/>
        <v>0</v>
      </c>
      <c r="Q1747" s="56">
        <f t="shared" si="257"/>
        <v>0</v>
      </c>
      <c r="R1747" s="56">
        <f t="shared" si="257"/>
        <v>0</v>
      </c>
      <c r="S1747" s="56">
        <f>SUM(O1747:R1747)</f>
        <v>0</v>
      </c>
      <c r="T1747" s="35" t="s">
        <v>178</v>
      </c>
      <c r="U1747" s="18" t="s">
        <v>1873</v>
      </c>
      <c r="V1747" s="19" t="str">
        <f>IF(OR($H1747="",$H1747="sif",$H1747="PM"),"",VLOOKUP($H1747,[5]CU!$C$5:$J$255,8,FALSE))</f>
        <v>3. Formation</v>
      </c>
      <c r="W1747" s="18" t="s">
        <v>1936</v>
      </c>
      <c r="X1747" s="18" t="s">
        <v>1936</v>
      </c>
      <c r="Y1747" s="19" t="s">
        <v>32</v>
      </c>
      <c r="Z1747" s="19" t="str">
        <f>A1747 &amp; "-" &amp; VLOOKUP(A1747,[4]PROGRAMMES!$E$1:$F$7,2,FALSE)</f>
        <v>5-Gouvernance et pilotage du secteur</v>
      </c>
      <c r="AA1747" s="19" t="str">
        <f>B1747 &amp; "-" &amp; VLOOKUP(B1747,[4]SOUSPROGRAMMES!$E$1:$F$44,2,FALSE)</f>
        <v>56- Gestion des ressources financières</v>
      </c>
      <c r="AB1747" s="19" t="str">
        <f>C1747 &amp; "-" &amp; VLOOKUP(C1747,[4]RESULTATS!$E$1:$F$176,2,FALSE)</f>
        <v>561-Le financement du secteur est en adéquation avec les objectifs</v>
      </c>
      <c r="AC1747" s="20" t="str">
        <f>D1747 &amp; "-" &amp; VLOOKUP(D1747,[4]STRATEGIES!$E$1:$F$504,2,FALSE)</f>
        <v>5613-Préparation des documents de plaidoyer auprès des hauts décideurs pour l’accroissement de la part du secteur de l’éducation dans le budget de l’état</v>
      </c>
      <c r="AD1747" s="21" t="str">
        <f t="shared" si="256"/>
        <v>56138-Partage du rapport provisoire pour lecture et amendement</v>
      </c>
    </row>
    <row r="1748" spans="1:30" ht="30" hidden="1" customHeight="1" x14ac:dyDescent="0.8">
      <c r="A1748" s="25">
        <v>5</v>
      </c>
      <c r="B1748" s="16">
        <v>56</v>
      </c>
      <c r="C1748" s="16">
        <v>561</v>
      </c>
      <c r="D1748" s="16">
        <v>5613</v>
      </c>
      <c r="E1748" s="25">
        <v>56138</v>
      </c>
      <c r="F1748" s="16" t="s">
        <v>2200</v>
      </c>
      <c r="G1748" s="21" t="s">
        <v>315</v>
      </c>
      <c r="H1748" s="21" t="s">
        <v>38</v>
      </c>
      <c r="I1748" s="56">
        <v>0</v>
      </c>
      <c r="J1748" s="57">
        <f>8*4</f>
        <v>32</v>
      </c>
      <c r="K1748" s="57">
        <f>8*4</f>
        <v>32</v>
      </c>
      <c r="L1748" s="57">
        <f>8*4</f>
        <v>32</v>
      </c>
      <c r="M1748" s="57">
        <f t="shared" si="255"/>
        <v>96</v>
      </c>
      <c r="N1748" s="57">
        <f>IF(OR(H1748="",H1748="sif",H1748="PM"),0,VLOOKUP(H1748,[5]CU!$C$4:$H$255,6,FALSE))</f>
        <v>0.3133333333333333</v>
      </c>
      <c r="O1748" s="57">
        <f t="shared" si="257"/>
        <v>0</v>
      </c>
      <c r="P1748" s="57">
        <f t="shared" si="257"/>
        <v>10.026666666666666</v>
      </c>
      <c r="Q1748" s="57">
        <f t="shared" si="257"/>
        <v>10.026666666666666</v>
      </c>
      <c r="R1748" s="57">
        <f t="shared" si="257"/>
        <v>10.026666666666666</v>
      </c>
      <c r="S1748" s="57">
        <f t="shared" si="258"/>
        <v>30.08</v>
      </c>
      <c r="T1748" s="38" t="s">
        <v>169</v>
      </c>
      <c r="U1748" s="19" t="s">
        <v>1873</v>
      </c>
      <c r="V1748" s="19" t="str">
        <f>IF(OR($H1748="",$H1748="sif",$H1748="PM"),"",VLOOKUP($H1748,[5]CU!$C$5:$J$255,8,FALSE))</f>
        <v>3. Formation</v>
      </c>
      <c r="W1748" s="19" t="s">
        <v>1939</v>
      </c>
      <c r="X1748" s="19" t="s">
        <v>1939</v>
      </c>
      <c r="Y1748" s="19" t="s">
        <v>2066</v>
      </c>
      <c r="Z1748" s="19" t="str">
        <f>A1748 &amp; "-" &amp; VLOOKUP(A1748,[4]PROGRAMMES!$E$1:$F$7,2,FALSE)</f>
        <v>5-Gouvernance et pilotage du secteur</v>
      </c>
      <c r="AA1748" s="19" t="str">
        <f>B1748 &amp; "-" &amp; VLOOKUP(B1748,[4]SOUSPROGRAMMES!$E$1:$F$44,2,FALSE)</f>
        <v>56- Gestion des ressources financières</v>
      </c>
      <c r="AB1748" s="19" t="str">
        <f>C1748 &amp; "-" &amp; VLOOKUP(C1748,[4]RESULTATS!$E$1:$F$176,2,FALSE)</f>
        <v>561-Le financement du secteur est en adéquation avec les objectifs</v>
      </c>
      <c r="AC1748" s="20" t="str">
        <f>D1748 &amp; "-" &amp; VLOOKUP(D1748,[4]STRATEGIES!$E$1:$F$504,2,FALSE)</f>
        <v>5613-Préparation des documents de plaidoyer auprès des hauts décideurs pour l’accroissement de la part du secteur de l’éducation dans le budget de l’état</v>
      </c>
      <c r="AD1748" s="21" t="str">
        <f t="shared" si="256"/>
        <v>56138-Partage du rapport provisoire pour lecture et amendement</v>
      </c>
    </row>
    <row r="1749" spans="1:30" s="22" customFormat="1" ht="30" hidden="1" customHeight="1" x14ac:dyDescent="0.8">
      <c r="A1749" s="14">
        <v>5</v>
      </c>
      <c r="B1749" s="15">
        <v>56</v>
      </c>
      <c r="C1749" s="15">
        <v>561</v>
      </c>
      <c r="D1749" s="15">
        <v>5613</v>
      </c>
      <c r="E1749" s="14">
        <v>56139</v>
      </c>
      <c r="F1749" s="16" t="s">
        <v>2201</v>
      </c>
      <c r="G1749" s="21" t="s">
        <v>315</v>
      </c>
      <c r="H1749" s="17" t="s">
        <v>66</v>
      </c>
      <c r="I1749" s="56">
        <v>0</v>
      </c>
      <c r="J1749" s="56"/>
      <c r="K1749" s="56"/>
      <c r="L1749" s="56"/>
      <c r="M1749" s="56">
        <f>SUM(I1749:L1749)</f>
        <v>0</v>
      </c>
      <c r="N1749" s="56">
        <f>IF(OR(H1749="",H1749="sif",H1749="PM"),0,VLOOKUP(H1749,[5]CU!$C$4:$H$255,6,FALSE))</f>
        <v>0.255</v>
      </c>
      <c r="O1749" s="56">
        <f t="shared" si="257"/>
        <v>0</v>
      </c>
      <c r="P1749" s="56">
        <f t="shared" si="257"/>
        <v>0</v>
      </c>
      <c r="Q1749" s="56">
        <f t="shared" si="257"/>
        <v>0</v>
      </c>
      <c r="R1749" s="56">
        <f t="shared" si="257"/>
        <v>0</v>
      </c>
      <c r="S1749" s="56">
        <f>SUM(O1749:R1749)</f>
        <v>0</v>
      </c>
      <c r="T1749" s="35" t="s">
        <v>178</v>
      </c>
      <c r="U1749" s="18" t="s">
        <v>1873</v>
      </c>
      <c r="V1749" s="19" t="str">
        <f>IF(OR($H1749="",$H1749="sif",$H1749="PM"),"",VLOOKUP($H1749,[5]CU!$C$5:$J$255,8,FALSE))</f>
        <v>3. Dépenses de fonctionnement</v>
      </c>
      <c r="W1749" s="18" t="s">
        <v>1936</v>
      </c>
      <c r="X1749" s="18" t="s">
        <v>1936</v>
      </c>
      <c r="Y1749" s="19" t="s">
        <v>32</v>
      </c>
      <c r="Z1749" s="19" t="str">
        <f>A1749 &amp; "-" &amp; VLOOKUP(A1749,[4]PROGRAMMES!$E$1:$F$7,2,FALSE)</f>
        <v>5-Gouvernance et pilotage du secteur</v>
      </c>
      <c r="AA1749" s="19" t="str">
        <f>B1749 &amp; "-" &amp; VLOOKUP(B1749,[4]SOUSPROGRAMMES!$E$1:$F$44,2,FALSE)</f>
        <v>56- Gestion des ressources financières</v>
      </c>
      <c r="AB1749" s="19" t="str">
        <f>C1749 &amp; "-" &amp; VLOOKUP(C1749,[4]RESULTATS!$E$1:$F$176,2,FALSE)</f>
        <v>561-Le financement du secteur est en adéquation avec les objectifs</v>
      </c>
      <c r="AC1749" s="20" t="str">
        <f>D1749 &amp; "-" &amp; VLOOKUP(D1749,[4]STRATEGIES!$E$1:$F$504,2,FALSE)</f>
        <v>5613-Préparation des documents de plaidoyer auprès des hauts décideurs pour l’accroissement de la part du secteur de l’éducation dans le budget de l’état</v>
      </c>
      <c r="AD1749" s="21" t="str">
        <f t="shared" si="256"/>
        <v>56139-Intégration des observations faites sur la version provisoire</v>
      </c>
    </row>
    <row r="1750" spans="1:30" ht="30" hidden="1" customHeight="1" x14ac:dyDescent="0.8">
      <c r="A1750" s="25">
        <v>5</v>
      </c>
      <c r="B1750" s="16">
        <v>56</v>
      </c>
      <c r="C1750" s="16">
        <v>561</v>
      </c>
      <c r="D1750" s="16">
        <v>5613</v>
      </c>
      <c r="E1750" s="25">
        <v>56139</v>
      </c>
      <c r="F1750" s="16" t="s">
        <v>2201</v>
      </c>
      <c r="G1750" s="21" t="s">
        <v>315</v>
      </c>
      <c r="H1750" s="21" t="s">
        <v>66</v>
      </c>
      <c r="I1750" s="56">
        <v>0</v>
      </c>
      <c r="J1750" s="57">
        <f>25*3</f>
        <v>75</v>
      </c>
      <c r="K1750" s="57">
        <f>25*3</f>
        <v>75</v>
      </c>
      <c r="L1750" s="57">
        <f>25*3</f>
        <v>75</v>
      </c>
      <c r="M1750" s="57">
        <f t="shared" si="255"/>
        <v>225</v>
      </c>
      <c r="N1750" s="57">
        <f>IF(OR(H1750="",H1750="sif",H1750="PM"),0,VLOOKUP(H1750,[5]CU!$C$4:$H$255,6,FALSE))</f>
        <v>0.255</v>
      </c>
      <c r="O1750" s="57">
        <f t="shared" ref="O1750:R1755" si="259">IFERROR($N1750*I1750,0)</f>
        <v>0</v>
      </c>
      <c r="P1750" s="57">
        <f t="shared" si="259"/>
        <v>19.125</v>
      </c>
      <c r="Q1750" s="57">
        <f t="shared" si="259"/>
        <v>19.125</v>
      </c>
      <c r="R1750" s="57">
        <f t="shared" si="259"/>
        <v>19.125</v>
      </c>
      <c r="S1750" s="57">
        <f t="shared" si="258"/>
        <v>57.375</v>
      </c>
      <c r="T1750" s="38" t="s">
        <v>169</v>
      </c>
      <c r="U1750" s="19" t="s">
        <v>1873</v>
      </c>
      <c r="V1750" s="19" t="str">
        <f>IF(OR($H1750="",$H1750="sif",$H1750="PM"),"",VLOOKUP($H1750,[5]CU!$C$5:$J$255,8,FALSE))</f>
        <v>3. Dépenses de fonctionnement</v>
      </c>
      <c r="W1750" s="19" t="s">
        <v>1939</v>
      </c>
      <c r="X1750" s="19" t="s">
        <v>1939</v>
      </c>
      <c r="Y1750" s="19" t="s">
        <v>2066</v>
      </c>
      <c r="Z1750" s="19" t="str">
        <f>A1750 &amp; "-" &amp; VLOOKUP(A1750,[4]PROGRAMMES!$E$1:$F$7,2,FALSE)</f>
        <v>5-Gouvernance et pilotage du secteur</v>
      </c>
      <c r="AA1750" s="19" t="str">
        <f>B1750 &amp; "-" &amp; VLOOKUP(B1750,[4]SOUSPROGRAMMES!$E$1:$F$44,2,FALSE)</f>
        <v>56- Gestion des ressources financières</v>
      </c>
      <c r="AB1750" s="19" t="str">
        <f>C1750 &amp; "-" &amp; VLOOKUP(C1750,[4]RESULTATS!$E$1:$F$176,2,FALSE)</f>
        <v>561-Le financement du secteur est en adéquation avec les objectifs</v>
      </c>
      <c r="AC1750" s="20" t="str">
        <f>D1750 &amp; "-" &amp; VLOOKUP(D1750,[4]STRATEGIES!$E$1:$F$504,2,FALSE)</f>
        <v>5613-Préparation des documents de plaidoyer auprès des hauts décideurs pour l’accroissement de la part du secteur de l’éducation dans le budget de l’état</v>
      </c>
      <c r="AD1750" s="21" t="str">
        <f t="shared" si="256"/>
        <v>56139-Intégration des observations faites sur la version provisoire</v>
      </c>
    </row>
    <row r="1751" spans="1:30" s="22" customFormat="1" ht="30" hidden="1" customHeight="1" x14ac:dyDescent="0.8">
      <c r="A1751" s="14">
        <v>5</v>
      </c>
      <c r="B1751" s="15">
        <v>56</v>
      </c>
      <c r="C1751" s="15">
        <v>561</v>
      </c>
      <c r="D1751" s="15">
        <v>5613</v>
      </c>
      <c r="E1751" s="14">
        <v>561310</v>
      </c>
      <c r="F1751" s="16" t="s">
        <v>2202</v>
      </c>
      <c r="G1751" s="21" t="s">
        <v>44</v>
      </c>
      <c r="H1751" s="17" t="s">
        <v>452</v>
      </c>
      <c r="I1751" s="56">
        <v>0</v>
      </c>
      <c r="J1751" s="56"/>
      <c r="K1751" s="56"/>
      <c r="L1751" s="56"/>
      <c r="M1751" s="56">
        <f>SUM(I1751:L1751)</f>
        <v>0</v>
      </c>
      <c r="N1751" s="56">
        <f>IF(OR(H1751="",H1751="sif",H1751="PM"),0,VLOOKUP(H1751,[5]CU!$C$4:$H$255,6,FALSE))</f>
        <v>7.4999999999999997E-3</v>
      </c>
      <c r="O1751" s="56">
        <f t="shared" si="259"/>
        <v>0</v>
      </c>
      <c r="P1751" s="56">
        <f t="shared" si="259"/>
        <v>0</v>
      </c>
      <c r="Q1751" s="56">
        <f t="shared" si="259"/>
        <v>0</v>
      </c>
      <c r="R1751" s="56">
        <f t="shared" si="259"/>
        <v>0</v>
      </c>
      <c r="S1751" s="56">
        <f>SUM(O1751:R1751)</f>
        <v>0</v>
      </c>
      <c r="T1751" s="35" t="s">
        <v>178</v>
      </c>
      <c r="U1751" s="18" t="s">
        <v>1873</v>
      </c>
      <c r="V1751" s="19" t="str">
        <f>IF(OR($H1751="",$H1751="sif",$H1751="PM"),"",VLOOKUP($H1751,[5]CU!$C$5:$J$255,8,FALSE))</f>
        <v>3. Dépenses de fonctionnement</v>
      </c>
      <c r="W1751" s="18" t="s">
        <v>1936</v>
      </c>
      <c r="X1751" s="18" t="s">
        <v>1936</v>
      </c>
      <c r="Y1751" s="19" t="s">
        <v>32</v>
      </c>
      <c r="Z1751" s="19" t="str">
        <f>A1751 &amp; "-" &amp; VLOOKUP(A1751,[4]PROGRAMMES!$E$1:$F$7,2,FALSE)</f>
        <v>5-Gouvernance et pilotage du secteur</v>
      </c>
      <c r="AA1751" s="19" t="str">
        <f>B1751 &amp; "-" &amp; VLOOKUP(B1751,[4]SOUSPROGRAMMES!$E$1:$F$44,2,FALSE)</f>
        <v>56- Gestion des ressources financières</v>
      </c>
      <c r="AB1751" s="19" t="str">
        <f>C1751 &amp; "-" &amp; VLOOKUP(C1751,[4]RESULTATS!$E$1:$F$176,2,FALSE)</f>
        <v>561-Le financement du secteur est en adéquation avec les objectifs</v>
      </c>
      <c r="AC1751" s="20" t="str">
        <f>D1751 &amp; "-" &amp; VLOOKUP(D1751,[4]STRATEGIES!$E$1:$F$504,2,FALSE)</f>
        <v>5613-Préparation des documents de plaidoyer auprès des hauts décideurs pour l’accroissement de la part du secteur de l’éducation dans le budget de l’état</v>
      </c>
      <c r="AD1751" s="21" t="str">
        <f t="shared" si="256"/>
        <v>561310-Edition et Dissémination du rapport de performance, version déFinitive</v>
      </c>
    </row>
    <row r="1752" spans="1:30" ht="30" hidden="1" customHeight="1" x14ac:dyDescent="0.8">
      <c r="A1752" s="25">
        <v>5</v>
      </c>
      <c r="B1752" s="16">
        <v>56</v>
      </c>
      <c r="C1752" s="16">
        <v>561</v>
      </c>
      <c r="D1752" s="16">
        <v>5613</v>
      </c>
      <c r="E1752" s="25">
        <v>561310</v>
      </c>
      <c r="F1752" s="16" t="s">
        <v>2202</v>
      </c>
      <c r="G1752" s="21" t="s">
        <v>44</v>
      </c>
      <c r="H1752" s="21" t="s">
        <v>452</v>
      </c>
      <c r="I1752" s="56">
        <v>0</v>
      </c>
      <c r="J1752" s="57">
        <f>150</f>
        <v>150</v>
      </c>
      <c r="K1752" s="57">
        <f>150</f>
        <v>150</v>
      </c>
      <c r="L1752" s="57">
        <f>150</f>
        <v>150</v>
      </c>
      <c r="M1752" s="57">
        <f t="shared" si="255"/>
        <v>450</v>
      </c>
      <c r="N1752" s="57">
        <f>IF(OR(H1752="",H1752="sif",H1752="PM"),0,VLOOKUP(H1752,[5]CU!$C$4:$H$255,6,FALSE))</f>
        <v>7.4999999999999997E-3</v>
      </c>
      <c r="O1752" s="57">
        <f t="shared" si="259"/>
        <v>0</v>
      </c>
      <c r="P1752" s="57">
        <f t="shared" si="259"/>
        <v>1.125</v>
      </c>
      <c r="Q1752" s="57">
        <f t="shared" si="259"/>
        <v>1.125</v>
      </c>
      <c r="R1752" s="57">
        <f t="shared" si="259"/>
        <v>1.125</v>
      </c>
      <c r="S1752" s="57">
        <f t="shared" si="258"/>
        <v>3.375</v>
      </c>
      <c r="T1752" s="38" t="s">
        <v>169</v>
      </c>
      <c r="U1752" s="19" t="s">
        <v>1873</v>
      </c>
      <c r="V1752" s="19" t="str">
        <f>IF(OR($H1752="",$H1752="sif",$H1752="PM"),"",VLOOKUP($H1752,[5]CU!$C$5:$J$255,8,FALSE))</f>
        <v>3. Dépenses de fonctionnement</v>
      </c>
      <c r="W1752" s="19" t="s">
        <v>1939</v>
      </c>
      <c r="X1752" s="19" t="s">
        <v>1939</v>
      </c>
      <c r="Y1752" s="19" t="s">
        <v>2066</v>
      </c>
      <c r="Z1752" s="19" t="str">
        <f>A1752 &amp; "-" &amp; VLOOKUP(A1752,[4]PROGRAMMES!$E$1:$F$7,2,FALSE)</f>
        <v>5-Gouvernance et pilotage du secteur</v>
      </c>
      <c r="AA1752" s="19" t="str">
        <f>B1752 &amp; "-" &amp; VLOOKUP(B1752,[4]SOUSPROGRAMMES!$E$1:$F$44,2,FALSE)</f>
        <v>56- Gestion des ressources financières</v>
      </c>
      <c r="AB1752" s="19" t="str">
        <f>C1752 &amp; "-" &amp; VLOOKUP(C1752,[4]RESULTATS!$E$1:$F$176,2,FALSE)</f>
        <v>561-Le financement du secteur est en adéquation avec les objectifs</v>
      </c>
      <c r="AC1752" s="20" t="str">
        <f>D1752 &amp; "-" &amp; VLOOKUP(D1752,[4]STRATEGIES!$E$1:$F$504,2,FALSE)</f>
        <v>5613-Préparation des documents de plaidoyer auprès des hauts décideurs pour l’accroissement de la part du secteur de l’éducation dans le budget de l’état</v>
      </c>
      <c r="AD1752" s="21" t="str">
        <f t="shared" si="256"/>
        <v>561310-Edition et Dissémination du rapport de performance, version déFinitive</v>
      </c>
    </row>
    <row r="1753" spans="1:30" s="22" customFormat="1" ht="30" hidden="1" customHeight="1" x14ac:dyDescent="0.8">
      <c r="A1753" s="14">
        <v>5</v>
      </c>
      <c r="B1753" s="15">
        <v>56</v>
      </c>
      <c r="C1753" s="15">
        <v>561</v>
      </c>
      <c r="D1753" s="15">
        <v>5613</v>
      </c>
      <c r="E1753" s="14">
        <v>561311</v>
      </c>
      <c r="F1753" s="16" t="s">
        <v>2203</v>
      </c>
      <c r="G1753" s="21" t="s">
        <v>315</v>
      </c>
      <c r="H1753" s="17" t="s">
        <v>38</v>
      </c>
      <c r="I1753" s="56">
        <v>0</v>
      </c>
      <c r="J1753" s="56"/>
      <c r="K1753" s="56"/>
      <c r="L1753" s="56"/>
      <c r="M1753" s="56">
        <f>SUM(I1753:L1753)</f>
        <v>0</v>
      </c>
      <c r="N1753" s="56">
        <f>IF(OR(H1753="",H1753="sif",H1753="PM"),0,VLOOKUP(H1753,[5]CU!$C$4:$H$255,6,FALSE))</f>
        <v>0.3133333333333333</v>
      </c>
      <c r="O1753" s="56">
        <f t="shared" si="259"/>
        <v>0</v>
      </c>
      <c r="P1753" s="56">
        <f t="shared" si="259"/>
        <v>0</v>
      </c>
      <c r="Q1753" s="56">
        <f t="shared" si="259"/>
        <v>0</v>
      </c>
      <c r="R1753" s="56">
        <f t="shared" si="259"/>
        <v>0</v>
      </c>
      <c r="S1753" s="56">
        <f>SUM(O1753:R1753)</f>
        <v>0</v>
      </c>
      <c r="T1753" s="35" t="s">
        <v>178</v>
      </c>
      <c r="U1753" s="18" t="s">
        <v>1873</v>
      </c>
      <c r="V1753" s="19" t="str">
        <f>IF(OR($H1753="",$H1753="sif",$H1753="PM"),"",VLOOKUP($H1753,[5]CU!$C$5:$J$255,8,FALSE))</f>
        <v>3. Formation</v>
      </c>
      <c r="W1753" s="18" t="s">
        <v>1936</v>
      </c>
      <c r="X1753" s="18" t="s">
        <v>1936</v>
      </c>
      <c r="Y1753" s="19" t="s">
        <v>32</v>
      </c>
      <c r="Z1753" s="19" t="str">
        <f>A1753 &amp; "-" &amp; VLOOKUP(A1753,[4]PROGRAMMES!$E$1:$F$7,2,FALSE)</f>
        <v>5-Gouvernance et pilotage du secteur</v>
      </c>
      <c r="AA1753" s="19" t="str">
        <f>B1753 &amp; "-" &amp; VLOOKUP(B1753,[4]SOUSPROGRAMMES!$E$1:$F$44,2,FALSE)</f>
        <v>56- Gestion des ressources financières</v>
      </c>
      <c r="AB1753" s="19" t="str">
        <f>C1753 &amp; "-" &amp; VLOOKUP(C1753,[4]RESULTATS!$E$1:$F$176,2,FALSE)</f>
        <v>561-Le financement du secteur est en adéquation avec les objectifs</v>
      </c>
      <c r="AC1753" s="20" t="str">
        <f>D1753 &amp; "-" &amp; VLOOKUP(D1753,[4]STRATEGIES!$E$1:$F$504,2,FALSE)</f>
        <v>5613-Préparation des documents de plaidoyer auprès des hauts décideurs pour l’accroissement de la part du secteur de l’éducation dans le budget de l’état</v>
      </c>
      <c r="AD1753" s="21" t="str">
        <f t="shared" si="256"/>
        <v>561311-Organisation d'une session de présentation des documents de plaidoyer et distribution du RAP</v>
      </c>
    </row>
    <row r="1754" spans="1:30" ht="30" hidden="1" customHeight="1" x14ac:dyDescent="0.8">
      <c r="A1754" s="25">
        <v>5</v>
      </c>
      <c r="B1754" s="16">
        <v>56</v>
      </c>
      <c r="C1754" s="16">
        <v>561</v>
      </c>
      <c r="D1754" s="16">
        <v>5613</v>
      </c>
      <c r="E1754" s="25">
        <v>561311</v>
      </c>
      <c r="F1754" s="16" t="s">
        <v>2203</v>
      </c>
      <c r="G1754" s="21" t="s">
        <v>315</v>
      </c>
      <c r="H1754" s="21" t="s">
        <v>38</v>
      </c>
      <c r="I1754" s="56">
        <v>0</v>
      </c>
      <c r="J1754" s="57">
        <f>50*1</f>
        <v>50</v>
      </c>
      <c r="K1754" s="57">
        <f>50*1</f>
        <v>50</v>
      </c>
      <c r="L1754" s="57">
        <f>50*1</f>
        <v>50</v>
      </c>
      <c r="M1754" s="57">
        <f t="shared" si="255"/>
        <v>150</v>
      </c>
      <c r="N1754" s="57">
        <f>IF(OR(H1754="",H1754="sif",H1754="PM"),0,VLOOKUP(H1754,[5]CU!$C$4:$H$255,6,FALSE))</f>
        <v>0.3133333333333333</v>
      </c>
      <c r="O1754" s="57">
        <f t="shared" si="259"/>
        <v>0</v>
      </c>
      <c r="P1754" s="57">
        <f t="shared" si="259"/>
        <v>15.666666666666664</v>
      </c>
      <c r="Q1754" s="57">
        <f t="shared" si="259"/>
        <v>15.666666666666664</v>
      </c>
      <c r="R1754" s="57">
        <f t="shared" si="259"/>
        <v>15.666666666666664</v>
      </c>
      <c r="S1754" s="57">
        <f t="shared" si="258"/>
        <v>46.999999999999993</v>
      </c>
      <c r="T1754" s="38" t="s">
        <v>169</v>
      </c>
      <c r="U1754" s="19" t="s">
        <v>1873</v>
      </c>
      <c r="V1754" s="19" t="str">
        <f>IF(OR($H1754="",$H1754="sif",$H1754="PM"),"",VLOOKUP($H1754,[5]CU!$C$5:$J$255,8,FALSE))</f>
        <v>3. Formation</v>
      </c>
      <c r="W1754" s="19" t="s">
        <v>1939</v>
      </c>
      <c r="X1754" s="19" t="s">
        <v>1939</v>
      </c>
      <c r="Y1754" s="19" t="s">
        <v>2066</v>
      </c>
      <c r="Z1754" s="19" t="str">
        <f>A1754 &amp; "-" &amp; VLOOKUP(A1754,[4]PROGRAMMES!$E$1:$F$7,2,FALSE)</f>
        <v>5-Gouvernance et pilotage du secteur</v>
      </c>
      <c r="AA1754" s="19" t="str">
        <f>B1754 &amp; "-" &amp; VLOOKUP(B1754,[4]SOUSPROGRAMMES!$E$1:$F$44,2,FALSE)</f>
        <v>56- Gestion des ressources financières</v>
      </c>
      <c r="AB1754" s="19" t="str">
        <f>C1754 &amp; "-" &amp; VLOOKUP(C1754,[4]RESULTATS!$E$1:$F$176,2,FALSE)</f>
        <v>561-Le financement du secteur est en adéquation avec les objectifs</v>
      </c>
      <c r="AC1754" s="20" t="str">
        <f>D1754 &amp; "-" &amp; VLOOKUP(D1754,[4]STRATEGIES!$E$1:$F$504,2,FALSE)</f>
        <v>5613-Préparation des documents de plaidoyer auprès des hauts décideurs pour l’accroissement de la part du secteur de l’éducation dans le budget de l’état</v>
      </c>
      <c r="AD1754" s="21" t="str">
        <f t="shared" si="256"/>
        <v>561311-Organisation d'une session de présentation des documents de plaidoyer et distribution du RAP</v>
      </c>
    </row>
    <row r="1755" spans="1:30" s="22" customFormat="1" ht="30" customHeight="1" x14ac:dyDescent="0.8">
      <c r="A1755" s="14">
        <v>5</v>
      </c>
      <c r="B1755" s="15">
        <v>56</v>
      </c>
      <c r="C1755" s="15">
        <v>561</v>
      </c>
      <c r="D1755" s="15">
        <v>5613</v>
      </c>
      <c r="E1755" s="14">
        <v>561312</v>
      </c>
      <c r="F1755" s="16" t="s">
        <v>2204</v>
      </c>
      <c r="G1755" s="21" t="s">
        <v>315</v>
      </c>
      <c r="H1755" s="17" t="s">
        <v>38</v>
      </c>
      <c r="I1755" s="56">
        <v>0</v>
      </c>
      <c r="J1755" s="56"/>
      <c r="K1755" s="56"/>
      <c r="L1755" s="56">
        <f>60*2*3</f>
        <v>360</v>
      </c>
      <c r="M1755" s="56">
        <f t="shared" si="255"/>
        <v>360</v>
      </c>
      <c r="N1755" s="56">
        <f>IF(OR(H1755="",H1755="sif",H1755="PM"),0,VLOOKUP(H1755,[5]CU!$C$4:$H$255,6,FALSE))</f>
        <v>0.3133333333333333</v>
      </c>
      <c r="O1755" s="56">
        <f t="shared" si="259"/>
        <v>0</v>
      </c>
      <c r="P1755" s="56">
        <f t="shared" si="259"/>
        <v>0</v>
      </c>
      <c r="Q1755" s="56">
        <f t="shared" si="259"/>
        <v>0</v>
      </c>
      <c r="R1755" s="56">
        <f t="shared" si="259"/>
        <v>112.79999999999998</v>
      </c>
      <c r="S1755" s="56">
        <f t="shared" si="258"/>
        <v>112.79999999999998</v>
      </c>
      <c r="T1755" s="35" t="s">
        <v>118</v>
      </c>
      <c r="U1755" s="18" t="s">
        <v>1873</v>
      </c>
      <c r="V1755" s="19" t="str">
        <f>IF(OR($H1755="",$H1755="sif",$H1755="PM"),"",VLOOKUP($H1755,[5]CU!$C$5:$J$255,8,FALSE))</f>
        <v>3. Formation</v>
      </c>
      <c r="W1755" s="18" t="s">
        <v>1936</v>
      </c>
      <c r="X1755" s="18" t="s">
        <v>1936</v>
      </c>
      <c r="Y1755" s="19" t="s">
        <v>32</v>
      </c>
      <c r="Z1755" s="19" t="str">
        <f>A1755 &amp; "-" &amp; VLOOKUP(A1755,[4]PROGRAMMES!$E$1:$F$7,2,FALSE)</f>
        <v>5-Gouvernance et pilotage du secteur</v>
      </c>
      <c r="AA1755" s="19" t="str">
        <f>B1755 &amp; "-" &amp; VLOOKUP(B1755,[4]SOUSPROGRAMMES!$E$1:$F$44,2,FALSE)</f>
        <v>56- Gestion des ressources financières</v>
      </c>
      <c r="AB1755" s="19" t="str">
        <f>C1755 &amp; "-" &amp; VLOOKUP(C1755,[4]RESULTATS!$E$1:$F$176,2,FALSE)</f>
        <v>561-Le financement du secteur est en adéquation avec les objectifs</v>
      </c>
      <c r="AC1755" s="20" t="str">
        <f>D1755 &amp; "-" &amp; VLOOKUP(D1755,[4]STRATEGIES!$E$1:$F$504,2,FALSE)</f>
        <v>5613-Préparation des documents de plaidoyer auprès des hauts décideurs pour l’accroissement de la part du secteur de l’éducation dans le budget de l’état</v>
      </c>
      <c r="AD1755" s="21" t="str">
        <f t="shared" si="256"/>
        <v>561312-Organisation des journées de portes ouvertes sur l'Education (concertation sur les problématiques du secteur)</v>
      </c>
    </row>
    <row r="1756" spans="1:30" s="22" customFormat="1" ht="60" customHeight="1" x14ac:dyDescent="0.8">
      <c r="A1756" s="14">
        <v>5</v>
      </c>
      <c r="B1756" s="15">
        <v>56</v>
      </c>
      <c r="C1756" s="15">
        <v>562</v>
      </c>
      <c r="D1756" s="15">
        <v>562</v>
      </c>
      <c r="E1756" s="14">
        <v>562</v>
      </c>
      <c r="F1756" s="16" t="s">
        <v>2205</v>
      </c>
      <c r="G1756" s="17"/>
      <c r="H1756" s="17"/>
      <c r="I1756" s="56">
        <v>0</v>
      </c>
      <c r="J1756" s="56"/>
      <c r="K1756" s="56"/>
      <c r="L1756" s="56"/>
      <c r="M1756" s="56"/>
      <c r="N1756" s="56"/>
      <c r="O1756" s="56"/>
      <c r="P1756" s="56"/>
      <c r="Q1756" s="56"/>
      <c r="R1756" s="56"/>
      <c r="S1756" s="56"/>
      <c r="T1756" s="33"/>
      <c r="U1756" s="18"/>
      <c r="V1756" s="19"/>
      <c r="W1756" s="18"/>
      <c r="X1756" s="18"/>
      <c r="Y1756" s="18"/>
      <c r="Z1756" s="19" t="str">
        <f>A1756 &amp; "-" &amp; VLOOKUP(A1756,[4]PROGRAMMES!$E$1:$F$7,2,FALSE)</f>
        <v>5-Gouvernance et pilotage du secteur</v>
      </c>
      <c r="AA1756" s="19" t="str">
        <f>B1756 &amp; "-" &amp; VLOOKUP(B1756,[4]SOUSPROGRAMMES!$E$1:$F$44,2,FALSE)</f>
        <v>56- Gestion des ressources financières</v>
      </c>
      <c r="AB1756" s="19" t="str">
        <f>C1756 &amp; "-" &amp; VLOOKUP(C1756,[4]RESULTATS!$E$1:$F$176,2,FALSE)</f>
        <v>562- Les structures bénéficiaires reçoivent à temps les budgets nécessaires pour la mise en œuvre de leurs activités</v>
      </c>
      <c r="AC1756" s="20" t="str">
        <f>D1756 &amp; "-" &amp; VLOOKUP(D1756,[4]STRATEGIES!$E$1:$F$504,2,FALSE)</f>
        <v>562- Les structures bénéficiaires reçoivent à temps les budgets nécessaires pour la mise en œuvre de leurs activités</v>
      </c>
      <c r="AD1756" s="21" t="str">
        <f t="shared" si="256"/>
        <v>562- Les structures bénéficiaires reçoivent à temps les budgets nécessaires pour la mise en œuvre de leurs activités</v>
      </c>
    </row>
    <row r="1757" spans="1:30" s="22" customFormat="1" ht="60" customHeight="1" x14ac:dyDescent="0.8">
      <c r="A1757" s="14">
        <v>5</v>
      </c>
      <c r="B1757" s="15">
        <v>56</v>
      </c>
      <c r="C1757" s="15">
        <v>562</v>
      </c>
      <c r="D1757" s="15">
        <v>5621</v>
      </c>
      <c r="E1757" s="14">
        <v>5621</v>
      </c>
      <c r="F1757" s="16" t="s">
        <v>2206</v>
      </c>
      <c r="G1757" s="17"/>
      <c r="H1757" s="17"/>
      <c r="I1757" s="56">
        <v>0</v>
      </c>
      <c r="J1757" s="56"/>
      <c r="K1757" s="56"/>
      <c r="L1757" s="56"/>
      <c r="M1757" s="56"/>
      <c r="N1757" s="56"/>
      <c r="O1757" s="56"/>
      <c r="P1757" s="56"/>
      <c r="Q1757" s="56"/>
      <c r="R1757" s="56"/>
      <c r="S1757" s="56"/>
      <c r="T1757" s="33"/>
      <c r="U1757" s="18"/>
      <c r="V1757" s="19"/>
      <c r="W1757" s="18"/>
      <c r="X1757" s="18"/>
      <c r="Y1757" s="18"/>
      <c r="Z1757" s="19" t="str">
        <f>A1757 &amp; "-" &amp; VLOOKUP(A1757,[4]PROGRAMMES!$E$1:$F$7,2,FALSE)</f>
        <v>5-Gouvernance et pilotage du secteur</v>
      </c>
      <c r="AA1757" s="19" t="str">
        <f>B1757 &amp; "-" &amp; VLOOKUP(B1757,[4]SOUSPROGRAMMES!$E$1:$F$44,2,FALSE)</f>
        <v>56- Gestion des ressources financières</v>
      </c>
      <c r="AB1757" s="19" t="str">
        <f>C1757 &amp; "-" &amp; VLOOKUP(C1757,[4]RESULTATS!$E$1:$F$176,2,FALSE)</f>
        <v>562- Les structures bénéficiaires reçoivent à temps les budgets nécessaires pour la mise en œuvre de leurs activités</v>
      </c>
      <c r="AC1757" s="20" t="str">
        <f>D1757 &amp; "-" &amp; VLOOKUP(D1757,[4]STRATEGIES!$E$1:$F$504,2,FALSE)</f>
        <v>5621-Publication des allocations budgétaires</v>
      </c>
      <c r="AD1757" s="21" t="str">
        <f t="shared" si="256"/>
        <v>5621-Publication des allocations budgétaires</v>
      </c>
    </row>
    <row r="1758" spans="1:30" s="22" customFormat="1" ht="60" hidden="1" customHeight="1" x14ac:dyDescent="0.8">
      <c r="A1758" s="14">
        <v>5</v>
      </c>
      <c r="B1758" s="15">
        <v>56</v>
      </c>
      <c r="C1758" s="15">
        <v>562</v>
      </c>
      <c r="D1758" s="15">
        <v>5621</v>
      </c>
      <c r="E1758" s="14">
        <v>56211</v>
      </c>
      <c r="F1758" s="16" t="s">
        <v>2207</v>
      </c>
      <c r="G1758" s="21" t="s">
        <v>315</v>
      </c>
      <c r="H1758" s="17" t="s">
        <v>301</v>
      </c>
      <c r="I1758" s="56">
        <v>0</v>
      </c>
      <c r="J1758" s="56"/>
      <c r="K1758" s="56"/>
      <c r="L1758" s="56"/>
      <c r="M1758" s="56">
        <f>SUM(I1758:L1758)</f>
        <v>0</v>
      </c>
      <c r="N1758" s="56">
        <f>IF(OR(H1758="",H1758="sif",H1758="PM"),0,VLOOKUP(H1758,[5]CU!$C$4:$H$255,6,FALSE))</f>
        <v>0.67666666666666664</v>
      </c>
      <c r="O1758" s="56">
        <f>IFERROR($N1758*I1758,0)</f>
        <v>0</v>
      </c>
      <c r="P1758" s="56">
        <f>IFERROR($N1758*J1758,0)</f>
        <v>0</v>
      </c>
      <c r="Q1758" s="56">
        <f>IFERROR($N1758*K1758,0)</f>
        <v>0</v>
      </c>
      <c r="R1758" s="56">
        <f>IFERROR($N1758*L1758,0)</f>
        <v>0</v>
      </c>
      <c r="S1758" s="56">
        <f>SUM(O1758:R1758)</f>
        <v>0</v>
      </c>
      <c r="T1758" s="35" t="s">
        <v>178</v>
      </c>
      <c r="U1758" s="18" t="s">
        <v>1873</v>
      </c>
      <c r="V1758" s="19" t="str">
        <f>IF(OR($H1758="",$H1758="sif",$H1758="PM"),"",VLOOKUP($H1758,[5]CU!$C$5:$J$255,8,FALSE))</f>
        <v>3. Formation</v>
      </c>
      <c r="W1758" s="18" t="s">
        <v>1936</v>
      </c>
      <c r="X1758" s="18" t="s">
        <v>1936</v>
      </c>
      <c r="Y1758" s="19" t="s">
        <v>32</v>
      </c>
      <c r="Z1758" s="19" t="str">
        <f>A1758 &amp; "-" &amp; VLOOKUP(A1758,[4]PROGRAMMES!$E$1:$F$7,2,FALSE)</f>
        <v>5-Gouvernance et pilotage du secteur</v>
      </c>
      <c r="AA1758" s="19" t="str">
        <f>B1758 &amp; "-" &amp; VLOOKUP(B1758,[4]SOUSPROGRAMMES!$E$1:$F$44,2,FALSE)</f>
        <v>56- Gestion des ressources financières</v>
      </c>
      <c r="AB1758" s="19" t="str">
        <f>C1758 &amp; "-" &amp; VLOOKUP(C1758,[4]RESULTATS!$E$1:$F$176,2,FALSE)</f>
        <v>562- Les structures bénéficiaires reçoivent à temps les budgets nécessaires pour la mise en œuvre de leurs activités</v>
      </c>
      <c r="AC1758" s="20" t="str">
        <f>D1758 &amp; "-" &amp; VLOOKUP(D1758,[4]STRATEGIES!$E$1:$F$504,2,FALSE)</f>
        <v>5621-Publication des allocations budgétaires</v>
      </c>
      <c r="AD1758" s="21" t="str">
        <f t="shared" si="256"/>
        <v>56211-Formation des cadres centraux/déconcentrés et de Cellule CDMT en Excel Avancé pour faciliter l'exploitation budget sous son format Excel</v>
      </c>
    </row>
    <row r="1759" spans="1:30" ht="60" hidden="1" customHeight="1" x14ac:dyDescent="0.8">
      <c r="A1759" s="25">
        <v>5</v>
      </c>
      <c r="B1759" s="16">
        <v>56</v>
      </c>
      <c r="C1759" s="16">
        <v>562</v>
      </c>
      <c r="D1759" s="16">
        <v>5621</v>
      </c>
      <c r="E1759" s="25">
        <v>56211</v>
      </c>
      <c r="F1759" s="16" t="s">
        <v>2207</v>
      </c>
      <c r="G1759" s="21" t="s">
        <v>315</v>
      </c>
      <c r="H1759" s="21" t="s">
        <v>301</v>
      </c>
      <c r="I1759" s="56">
        <v>0</v>
      </c>
      <c r="J1759" s="57">
        <f>40*5</f>
        <v>200</v>
      </c>
      <c r="K1759" s="57">
        <f>40*5</f>
        <v>200</v>
      </c>
      <c r="L1759" s="57"/>
      <c r="M1759" s="57">
        <f t="shared" si="255"/>
        <v>400</v>
      </c>
      <c r="N1759" s="57">
        <f>IF(OR(H1759="",H1759="sif",H1759="PM"),0,VLOOKUP(H1759,[5]CU!$C$4:$H$255,6,FALSE))</f>
        <v>0.67666666666666664</v>
      </c>
      <c r="O1759" s="57">
        <f t="shared" ref="O1759:R1769" si="260">IFERROR($N1759*I1759,0)</f>
        <v>0</v>
      </c>
      <c r="P1759" s="57">
        <f t="shared" si="260"/>
        <v>135.33333333333331</v>
      </c>
      <c r="Q1759" s="57">
        <f t="shared" si="260"/>
        <v>135.33333333333331</v>
      </c>
      <c r="R1759" s="57">
        <f t="shared" si="260"/>
        <v>0</v>
      </c>
      <c r="S1759" s="57">
        <f t="shared" si="258"/>
        <v>270.66666666666663</v>
      </c>
      <c r="T1759" s="38" t="s">
        <v>169</v>
      </c>
      <c r="U1759" s="19" t="s">
        <v>1873</v>
      </c>
      <c r="V1759" s="19" t="str">
        <f>IF(OR($H1759="",$H1759="sif",$H1759="PM"),"",VLOOKUP($H1759,[5]CU!$C$5:$J$255,8,FALSE))</f>
        <v>3. Formation</v>
      </c>
      <c r="W1759" s="19" t="s">
        <v>1939</v>
      </c>
      <c r="X1759" s="19" t="s">
        <v>1939</v>
      </c>
      <c r="Y1759" s="19" t="s">
        <v>2066</v>
      </c>
      <c r="Z1759" s="19" t="str">
        <f>A1759 &amp; "-" &amp; VLOOKUP(A1759,[4]PROGRAMMES!$E$1:$F$7,2,FALSE)</f>
        <v>5-Gouvernance et pilotage du secteur</v>
      </c>
      <c r="AA1759" s="19" t="str">
        <f>B1759 &amp; "-" &amp; VLOOKUP(B1759,[4]SOUSPROGRAMMES!$E$1:$F$44,2,FALSE)</f>
        <v>56- Gestion des ressources financières</v>
      </c>
      <c r="AB1759" s="19" t="str">
        <f>C1759 &amp; "-" &amp; VLOOKUP(C1759,[4]RESULTATS!$E$1:$F$176,2,FALSE)</f>
        <v>562- Les structures bénéficiaires reçoivent à temps les budgets nécessaires pour la mise en œuvre de leurs activités</v>
      </c>
      <c r="AC1759" s="20" t="str">
        <f>D1759 &amp; "-" &amp; VLOOKUP(D1759,[4]STRATEGIES!$E$1:$F$504,2,FALSE)</f>
        <v>5621-Publication des allocations budgétaires</v>
      </c>
      <c r="AD1759" s="21" t="str">
        <f t="shared" si="256"/>
        <v>56211-Formation des cadres centraux/déconcentrés et de Cellule CDMT en Excel Avancé pour faciliter l'exploitation budget sous son format Excel</v>
      </c>
    </row>
    <row r="1760" spans="1:30" s="22" customFormat="1" ht="60" hidden="1" customHeight="1" x14ac:dyDescent="0.8">
      <c r="A1760" s="14">
        <v>5</v>
      </c>
      <c r="B1760" s="15">
        <v>56</v>
      </c>
      <c r="C1760" s="15">
        <v>562</v>
      </c>
      <c r="D1760" s="15">
        <v>5621</v>
      </c>
      <c r="E1760" s="14">
        <v>56212</v>
      </c>
      <c r="F1760" s="16" t="s">
        <v>2208</v>
      </c>
      <c r="G1760" s="21" t="s">
        <v>88</v>
      </c>
      <c r="H1760" s="17" t="s">
        <v>55</v>
      </c>
      <c r="I1760" s="56">
        <v>0</v>
      </c>
      <c r="J1760" s="56">
        <v>1</v>
      </c>
      <c r="K1760" s="56">
        <v>1</v>
      </c>
      <c r="L1760" s="56">
        <v>1</v>
      </c>
      <c r="M1760" s="56">
        <f t="shared" si="255"/>
        <v>3</v>
      </c>
      <c r="N1760" s="56">
        <f>IF(OR(H1760="",H1760="sif",H1760="PM"),0,VLOOKUP(H1760,[5]CU!$C$4:$H$255,6,FALSE))</f>
        <v>0</v>
      </c>
      <c r="O1760" s="56">
        <f t="shared" si="260"/>
        <v>0</v>
      </c>
      <c r="P1760" s="56">
        <f t="shared" si="260"/>
        <v>0</v>
      </c>
      <c r="Q1760" s="56">
        <f t="shared" si="260"/>
        <v>0</v>
      </c>
      <c r="R1760" s="56">
        <f t="shared" si="260"/>
        <v>0</v>
      </c>
      <c r="S1760" s="56"/>
      <c r="T1760" s="35" t="s">
        <v>56</v>
      </c>
      <c r="U1760" s="18" t="s">
        <v>1873</v>
      </c>
      <c r="V1760" s="19" t="str">
        <f>IF(OR($H1760="",$H1760="sif",$H1760="PM"),"",VLOOKUP($H1760,[5]CU!$C$5:$J$255,8,FALSE))</f>
        <v/>
      </c>
      <c r="W1760" s="18" t="s">
        <v>1936</v>
      </c>
      <c r="X1760" s="18" t="s">
        <v>521</v>
      </c>
      <c r="Y1760" s="19" t="s">
        <v>32</v>
      </c>
      <c r="Z1760" s="19" t="str">
        <f>A1760 &amp; "-" &amp; VLOOKUP(A1760,[4]PROGRAMMES!$E$1:$F$7,2,FALSE)</f>
        <v>5-Gouvernance et pilotage du secteur</v>
      </c>
      <c r="AA1760" s="19" t="str">
        <f>B1760 &amp; "-" &amp; VLOOKUP(B1760,[4]SOUSPROGRAMMES!$E$1:$F$44,2,FALSE)</f>
        <v>56- Gestion des ressources financières</v>
      </c>
      <c r="AB1760" s="19" t="str">
        <f>C1760 &amp; "-" &amp; VLOOKUP(C1760,[4]RESULTATS!$E$1:$F$176,2,FALSE)</f>
        <v>562- Les structures bénéficiaires reçoivent à temps les budgets nécessaires pour la mise en œuvre de leurs activités</v>
      </c>
      <c r="AC1760" s="20" t="str">
        <f>D1760 &amp; "-" &amp; VLOOKUP(D1760,[4]STRATEGIES!$E$1:$F$504,2,FALSE)</f>
        <v>5621-Publication des allocations budgétaires</v>
      </c>
      <c r="AD1760" s="21" t="str">
        <f t="shared" si="256"/>
        <v>56212-Extraction et transmission du budget des services centraux et déconcentrés</v>
      </c>
    </row>
    <row r="1761" spans="1:30" s="22" customFormat="1" ht="60" hidden="1" customHeight="1" x14ac:dyDescent="0.8">
      <c r="A1761" s="14">
        <v>5</v>
      </c>
      <c r="B1761" s="15">
        <v>56</v>
      </c>
      <c r="C1761" s="15">
        <v>562</v>
      </c>
      <c r="D1761" s="15">
        <v>5621</v>
      </c>
      <c r="E1761" s="14">
        <v>56213</v>
      </c>
      <c r="F1761" s="16" t="s">
        <v>2209</v>
      </c>
      <c r="G1761" s="21" t="s">
        <v>88</v>
      </c>
      <c r="H1761" s="17" t="s">
        <v>55</v>
      </c>
      <c r="I1761" s="56">
        <v>0</v>
      </c>
      <c r="J1761" s="56">
        <v>1</v>
      </c>
      <c r="K1761" s="56">
        <v>1</v>
      </c>
      <c r="L1761" s="56">
        <v>1</v>
      </c>
      <c r="M1761" s="56">
        <f t="shared" si="255"/>
        <v>3</v>
      </c>
      <c r="N1761" s="56">
        <f>IF(OR(H1761="",H1761="sif",H1761="PM"),0,VLOOKUP(H1761,[5]CU!$C$4:$H$255,6,FALSE))</f>
        <v>0</v>
      </c>
      <c r="O1761" s="56">
        <f t="shared" si="260"/>
        <v>0</v>
      </c>
      <c r="P1761" s="56">
        <f t="shared" si="260"/>
        <v>0</v>
      </c>
      <c r="Q1761" s="56">
        <f t="shared" si="260"/>
        <v>0</v>
      </c>
      <c r="R1761" s="56">
        <f t="shared" si="260"/>
        <v>0</v>
      </c>
      <c r="S1761" s="56"/>
      <c r="T1761" s="35" t="s">
        <v>56</v>
      </c>
      <c r="U1761" s="18" t="s">
        <v>1873</v>
      </c>
      <c r="V1761" s="19" t="str">
        <f>IF(OR($H1761="",$H1761="sif",$H1761="PM"),"",VLOOKUP($H1761,[5]CU!$C$5:$J$255,8,FALSE))</f>
        <v/>
      </c>
      <c r="W1761" s="18" t="s">
        <v>96</v>
      </c>
      <c r="X1761" s="18" t="s">
        <v>521</v>
      </c>
      <c r="Y1761" s="19" t="s">
        <v>32</v>
      </c>
      <c r="Z1761" s="19" t="str">
        <f>A1761 &amp; "-" &amp; VLOOKUP(A1761,[4]PROGRAMMES!$E$1:$F$7,2,FALSE)</f>
        <v>5-Gouvernance et pilotage du secteur</v>
      </c>
      <c r="AA1761" s="19" t="str">
        <f>B1761 &amp; "-" &amp; VLOOKUP(B1761,[4]SOUSPROGRAMMES!$E$1:$F$44,2,FALSE)</f>
        <v>56- Gestion des ressources financières</v>
      </c>
      <c r="AB1761" s="19" t="str">
        <f>C1761 &amp; "-" &amp; VLOOKUP(C1761,[4]RESULTATS!$E$1:$F$176,2,FALSE)</f>
        <v>562- Les structures bénéficiaires reçoivent à temps les budgets nécessaires pour la mise en œuvre de leurs activités</v>
      </c>
      <c r="AC1761" s="20" t="str">
        <f>D1761 &amp; "-" &amp; VLOOKUP(D1761,[4]STRATEGIES!$E$1:$F$504,2,FALSE)</f>
        <v>5621-Publication des allocations budgétaires</v>
      </c>
      <c r="AD1761" s="21" t="str">
        <f t="shared" si="256"/>
        <v>56213-Planification de l'exécution budgétaire par service et transmission au niveau central</v>
      </c>
    </row>
    <row r="1762" spans="1:30" s="22" customFormat="1" ht="60" hidden="1" customHeight="1" x14ac:dyDescent="0.8">
      <c r="A1762" s="14">
        <v>5</v>
      </c>
      <c r="B1762" s="15">
        <v>56</v>
      </c>
      <c r="C1762" s="15">
        <v>562</v>
      </c>
      <c r="D1762" s="15">
        <v>5621</v>
      </c>
      <c r="E1762" s="14">
        <v>56214</v>
      </c>
      <c r="F1762" s="16" t="s">
        <v>2210</v>
      </c>
      <c r="G1762" s="21" t="s">
        <v>88</v>
      </c>
      <c r="H1762" s="17" t="s">
        <v>55</v>
      </c>
      <c r="I1762" s="56">
        <v>0</v>
      </c>
      <c r="J1762" s="56">
        <v>1</v>
      </c>
      <c r="K1762" s="56">
        <v>1</v>
      </c>
      <c r="L1762" s="56">
        <v>1</v>
      </c>
      <c r="M1762" s="56">
        <f t="shared" si="255"/>
        <v>3</v>
      </c>
      <c r="N1762" s="56">
        <f>IF(OR(H1762="",H1762="sif",H1762="PM"),0,VLOOKUP(H1762,[5]CU!$C$4:$H$255,6,FALSE))</f>
        <v>0</v>
      </c>
      <c r="O1762" s="56">
        <f t="shared" si="260"/>
        <v>0</v>
      </c>
      <c r="P1762" s="56">
        <f t="shared" si="260"/>
        <v>0</v>
      </c>
      <c r="Q1762" s="56">
        <f t="shared" si="260"/>
        <v>0</v>
      </c>
      <c r="R1762" s="56">
        <f t="shared" si="260"/>
        <v>0</v>
      </c>
      <c r="S1762" s="56"/>
      <c r="T1762" s="35" t="s">
        <v>56</v>
      </c>
      <c r="U1762" s="18" t="s">
        <v>1873</v>
      </c>
      <c r="V1762" s="19" t="str">
        <f>IF(OR($H1762="",$H1762="sif",$H1762="PM"),"",VLOOKUP($H1762,[5]CU!$C$5:$J$255,8,FALSE))</f>
        <v/>
      </c>
      <c r="W1762" s="18" t="s">
        <v>1936</v>
      </c>
      <c r="X1762" s="18" t="s">
        <v>521</v>
      </c>
      <c r="Y1762" s="19" t="s">
        <v>32</v>
      </c>
      <c r="Z1762" s="19" t="str">
        <f>A1762 &amp; "-" &amp; VLOOKUP(A1762,[4]PROGRAMMES!$E$1:$F$7,2,FALSE)</f>
        <v>5-Gouvernance et pilotage du secteur</v>
      </c>
      <c r="AA1762" s="19" t="str">
        <f>B1762 &amp; "-" &amp; VLOOKUP(B1762,[4]SOUSPROGRAMMES!$E$1:$F$44,2,FALSE)</f>
        <v>56- Gestion des ressources financières</v>
      </c>
      <c r="AB1762" s="19" t="str">
        <f>C1762 &amp; "-" &amp; VLOOKUP(C1762,[4]RESULTATS!$E$1:$F$176,2,FALSE)</f>
        <v>562- Les structures bénéficiaires reçoivent à temps les budgets nécessaires pour la mise en œuvre de leurs activités</v>
      </c>
      <c r="AC1762" s="20" t="str">
        <f>D1762 &amp; "-" &amp; VLOOKUP(D1762,[4]STRATEGIES!$E$1:$F$504,2,FALSE)</f>
        <v>5621-Publication des allocations budgétaires</v>
      </c>
      <c r="AD1762" s="21" t="str">
        <f t="shared" si="256"/>
        <v>56214-Intégration par la DAF des planifications budgétaires transmises dans le plan de mise en œuvre du budget du secteur</v>
      </c>
    </row>
    <row r="1763" spans="1:30" s="22" customFormat="1" ht="60" hidden="1" customHeight="1" x14ac:dyDescent="0.8">
      <c r="A1763" s="14">
        <v>5</v>
      </c>
      <c r="B1763" s="15">
        <v>56</v>
      </c>
      <c r="C1763" s="15">
        <v>562</v>
      </c>
      <c r="D1763" s="15">
        <v>5621</v>
      </c>
      <c r="E1763" s="14">
        <v>56215</v>
      </c>
      <c r="F1763" s="16" t="s">
        <v>2211</v>
      </c>
      <c r="G1763" s="21" t="s">
        <v>1860</v>
      </c>
      <c r="H1763" s="17" t="s">
        <v>2212</v>
      </c>
      <c r="I1763" s="56">
        <v>0</v>
      </c>
      <c r="J1763" s="56"/>
      <c r="K1763" s="56"/>
      <c r="L1763" s="56"/>
      <c r="M1763" s="56">
        <f>SUM(I1763:L1763)</f>
        <v>0</v>
      </c>
      <c r="N1763" s="56">
        <f>IF(OR(H1763="",H1763="sif",H1763="PM"),0,VLOOKUP(H1763,[5]CU!$C$4:$H$255,6,FALSE))</f>
        <v>28879.505390999999</v>
      </c>
      <c r="O1763" s="56">
        <f t="shared" si="260"/>
        <v>0</v>
      </c>
      <c r="P1763" s="56">
        <f t="shared" si="260"/>
        <v>0</v>
      </c>
      <c r="Q1763" s="56">
        <f t="shared" si="260"/>
        <v>0</v>
      </c>
      <c r="R1763" s="56">
        <f t="shared" si="260"/>
        <v>0</v>
      </c>
      <c r="S1763" s="56">
        <f>SUM(O1763:R1763)</f>
        <v>0</v>
      </c>
      <c r="T1763" s="35" t="s">
        <v>178</v>
      </c>
      <c r="U1763" s="18" t="s">
        <v>1873</v>
      </c>
      <c r="V1763" s="19" t="str">
        <f>IF(OR($H1763="",$H1763="sif",$H1763="PM"),"",VLOOKUP($H1763,[5]CU!$C$5:$J$255,8,FALSE))</f>
        <v>3. Dépenses de fonctionnement</v>
      </c>
      <c r="W1763" s="18" t="s">
        <v>521</v>
      </c>
      <c r="X1763" s="18" t="s">
        <v>521</v>
      </c>
      <c r="Y1763" s="19" t="s">
        <v>32</v>
      </c>
      <c r="Z1763" s="19" t="str">
        <f>A1763 &amp; "-" &amp; VLOOKUP(A1763,[4]PROGRAMMES!$E$1:$F$7,2,FALSE)</f>
        <v>5-Gouvernance et pilotage du secteur</v>
      </c>
      <c r="AA1763" s="19" t="str">
        <f>B1763 &amp; "-" &amp; VLOOKUP(B1763,[4]SOUSPROGRAMMES!$E$1:$F$44,2,FALSE)</f>
        <v>56- Gestion des ressources financières</v>
      </c>
      <c r="AB1763" s="19" t="str">
        <f>C1763 &amp; "-" &amp; VLOOKUP(C1763,[4]RESULTATS!$E$1:$F$176,2,FALSE)</f>
        <v>562- Les structures bénéficiaires reçoivent à temps les budgets nécessaires pour la mise en œuvre de leurs activités</v>
      </c>
      <c r="AC1763" s="20" t="str">
        <f>D1763 &amp; "-" &amp; VLOOKUP(D1763,[4]STRATEGIES!$E$1:$F$504,2,FALSE)</f>
        <v>5621-Publication des allocations budgétaires</v>
      </c>
      <c r="AD1763" s="21" t="str">
        <f t="shared" si="256"/>
        <v xml:space="preserve">56215-Mise à disposition des budgets aux structures déconcentrées (subventions DPE/DCE/IRE, DSEE) </v>
      </c>
    </row>
    <row r="1764" spans="1:30" ht="60" hidden="1" customHeight="1" x14ac:dyDescent="0.8">
      <c r="A1764" s="25">
        <v>5</v>
      </c>
      <c r="B1764" s="16">
        <v>56</v>
      </c>
      <c r="C1764" s="16">
        <v>562</v>
      </c>
      <c r="D1764" s="16">
        <v>5621</v>
      </c>
      <c r="E1764" s="25">
        <v>56215</v>
      </c>
      <c r="F1764" s="16" t="s">
        <v>2211</v>
      </c>
      <c r="G1764" s="21" t="s">
        <v>1860</v>
      </c>
      <c r="H1764" s="21" t="s">
        <v>2212</v>
      </c>
      <c r="I1764" s="56">
        <v>0</v>
      </c>
      <c r="J1764" s="57">
        <v>0.2</v>
      </c>
      <c r="K1764" s="57">
        <v>0.4</v>
      </c>
      <c r="L1764" s="57">
        <v>0.3</v>
      </c>
      <c r="M1764" s="57">
        <f>SUM(I1764:L1764)</f>
        <v>0.90000000000000013</v>
      </c>
      <c r="N1764" s="57">
        <f>IF(OR(H1764="",H1764="sif",H1764="PM"),0,VLOOKUP(H1764,[5]CU!$C$4:$H$255,6,FALSE))</f>
        <v>28879.505390999999</v>
      </c>
      <c r="O1764" s="57">
        <f t="shared" si="260"/>
        <v>0</v>
      </c>
      <c r="P1764" s="57">
        <f t="shared" si="260"/>
        <v>5775.9010782000005</v>
      </c>
      <c r="Q1764" s="57">
        <f t="shared" si="260"/>
        <v>11551.802156400001</v>
      </c>
      <c r="R1764" s="57">
        <f t="shared" si="260"/>
        <v>8663.8516172999989</v>
      </c>
      <c r="S1764" s="57">
        <f>SUM(O1764:R1764)</f>
        <v>25991.5548519</v>
      </c>
      <c r="T1764" s="38" t="s">
        <v>169</v>
      </c>
      <c r="U1764" s="19" t="s">
        <v>1873</v>
      </c>
      <c r="V1764" s="19" t="str">
        <f>IF(OR($H1764="",$H1764="sif",$H1764="PM"),"",VLOOKUP($H1764,[5]CU!$C$5:$J$255,8,FALSE))</f>
        <v>3. Dépenses de fonctionnement</v>
      </c>
      <c r="W1764" s="19" t="s">
        <v>521</v>
      </c>
      <c r="X1764" s="19" t="s">
        <v>521</v>
      </c>
      <c r="Y1764" s="19" t="s">
        <v>2066</v>
      </c>
      <c r="Z1764" s="19" t="str">
        <f>A1764 &amp; "-" &amp; VLOOKUP(A1764,[4]PROGRAMMES!$E$1:$F$7,2,FALSE)</f>
        <v>5-Gouvernance et pilotage du secteur</v>
      </c>
      <c r="AA1764" s="19" t="str">
        <f>B1764 &amp; "-" &amp; VLOOKUP(B1764,[4]SOUSPROGRAMMES!$E$1:$F$44,2,FALSE)</f>
        <v>56- Gestion des ressources financières</v>
      </c>
      <c r="AB1764" s="19" t="str">
        <f>C1764 &amp; "-" &amp; VLOOKUP(C1764,[4]RESULTATS!$E$1:$F$176,2,FALSE)</f>
        <v>562- Les structures bénéficiaires reçoivent à temps les budgets nécessaires pour la mise en œuvre de leurs activités</v>
      </c>
      <c r="AC1764" s="20" t="str">
        <f>D1764 &amp; "-" &amp; VLOOKUP(D1764,[4]STRATEGIES!$E$1:$F$504,2,FALSE)</f>
        <v>5621-Publication des allocations budgétaires</v>
      </c>
      <c r="AD1764" s="21" t="str">
        <f t="shared" si="256"/>
        <v xml:space="preserve">56215-Mise à disposition des budgets aux structures déconcentrées (subventions DPE/DCE/IRE, DSEE) </v>
      </c>
    </row>
    <row r="1765" spans="1:30" s="22" customFormat="1" ht="60" hidden="1" customHeight="1" x14ac:dyDescent="0.8">
      <c r="A1765" s="14">
        <v>5</v>
      </c>
      <c r="B1765" s="15">
        <v>56</v>
      </c>
      <c r="C1765" s="15">
        <v>562</v>
      </c>
      <c r="D1765" s="15">
        <v>5621</v>
      </c>
      <c r="E1765" s="14">
        <v>56215</v>
      </c>
      <c r="F1765" s="16" t="s">
        <v>2211</v>
      </c>
      <c r="G1765" s="21" t="s">
        <v>1860</v>
      </c>
      <c r="H1765" s="17" t="s">
        <v>2212</v>
      </c>
      <c r="I1765" s="56">
        <v>0</v>
      </c>
      <c r="J1765" s="56">
        <v>0.9</v>
      </c>
      <c r="K1765" s="56">
        <v>0.9</v>
      </c>
      <c r="L1765" s="56">
        <v>0.9</v>
      </c>
      <c r="M1765" s="56">
        <f t="shared" si="255"/>
        <v>2.7</v>
      </c>
      <c r="N1765" s="56">
        <f>IF(OR(H1765="",H1765="sif",H1765="PM"),0,VLOOKUP(H1765,[5]CU!$C$4:$H$255,6,FALSE))</f>
        <v>28879.505390999999</v>
      </c>
      <c r="O1765" s="56">
        <f t="shared" si="260"/>
        <v>0</v>
      </c>
      <c r="P1765" s="56">
        <f t="shared" si="260"/>
        <v>25991.5548519</v>
      </c>
      <c r="Q1765" s="56">
        <f t="shared" si="260"/>
        <v>25991.5548519</v>
      </c>
      <c r="R1765" s="56">
        <f t="shared" si="260"/>
        <v>25991.5548519</v>
      </c>
      <c r="S1765" s="56">
        <f t="shared" ref="S1765:S1783" si="261">SUM(O1765:R1765)</f>
        <v>77974.664555700001</v>
      </c>
      <c r="T1765" s="35" t="s">
        <v>56</v>
      </c>
      <c r="U1765" s="18" t="s">
        <v>1873</v>
      </c>
      <c r="V1765" s="19" t="str">
        <f>IF(OR($H1765="",$H1765="sif",$H1765="PM"),"",VLOOKUP($H1765,[5]CU!$C$5:$J$255,8,FALSE))</f>
        <v>3. Dépenses de fonctionnement</v>
      </c>
      <c r="W1765" s="18" t="s">
        <v>521</v>
      </c>
      <c r="X1765" s="18" t="s">
        <v>521</v>
      </c>
      <c r="Y1765" s="19" t="s">
        <v>32</v>
      </c>
      <c r="Z1765" s="19" t="str">
        <f>A1765 &amp; "-" &amp; VLOOKUP(A1765,[4]PROGRAMMES!$E$1:$F$7,2,FALSE)</f>
        <v>5-Gouvernance et pilotage du secteur</v>
      </c>
      <c r="AA1765" s="19" t="str">
        <f>B1765 &amp; "-" &amp; VLOOKUP(B1765,[4]SOUSPROGRAMMES!$E$1:$F$44,2,FALSE)</f>
        <v>56- Gestion des ressources financières</v>
      </c>
      <c r="AB1765" s="19" t="str">
        <f>C1765 &amp; "-" &amp; VLOOKUP(C1765,[4]RESULTATS!$E$1:$F$176,2,FALSE)</f>
        <v>562- Les structures bénéficiaires reçoivent à temps les budgets nécessaires pour la mise en œuvre de leurs activités</v>
      </c>
      <c r="AC1765" s="20" t="str">
        <f>D1765 &amp; "-" &amp; VLOOKUP(D1765,[4]STRATEGIES!$E$1:$F$504,2,FALSE)</f>
        <v>5621-Publication des allocations budgétaires</v>
      </c>
      <c r="AD1765" s="21" t="str">
        <f t="shared" si="256"/>
        <v xml:space="preserve">56215-Mise à disposition des budgets aux structures déconcentrées (subventions DPE/DCE/IRE, DSEE) </v>
      </c>
    </row>
    <row r="1766" spans="1:30" s="22" customFormat="1" ht="60" hidden="1" customHeight="1" x14ac:dyDescent="0.8">
      <c r="A1766" s="14">
        <v>5</v>
      </c>
      <c r="B1766" s="15">
        <v>56</v>
      </c>
      <c r="C1766" s="15">
        <v>562</v>
      </c>
      <c r="D1766" s="15">
        <v>5621</v>
      </c>
      <c r="E1766" s="14">
        <v>56216</v>
      </c>
      <c r="F1766" s="16" t="s">
        <v>2213</v>
      </c>
      <c r="G1766" s="21" t="s">
        <v>2214</v>
      </c>
      <c r="H1766" s="17" t="s">
        <v>2215</v>
      </c>
      <c r="I1766" s="56">
        <v>0</v>
      </c>
      <c r="J1766" s="56">
        <v>0.895273280569994</v>
      </c>
      <c r="K1766" s="56">
        <v>0.995045337907428</v>
      </c>
      <c r="L1766" s="56">
        <v>1.1096813815225799</v>
      </c>
      <c r="M1766" s="56">
        <f t="shared" si="255"/>
        <v>3.0000000000000018</v>
      </c>
      <c r="N1766" s="56">
        <f>IF(OR(H1766="",H1766="sif",H1766="PM"),0,VLOOKUP(H1766,[5]CU!$C$4:$H$255,6,FALSE))</f>
        <v>32221.870422193402</v>
      </c>
      <c r="O1766" s="56">
        <f t="shared" si="260"/>
        <v>0</v>
      </c>
      <c r="P1766" s="56">
        <f t="shared" si="260"/>
        <v>28847.379638978346</v>
      </c>
      <c r="Q1766" s="56">
        <f t="shared" si="260"/>
        <v>32062.221942260792</v>
      </c>
      <c r="R1766" s="56">
        <f t="shared" si="260"/>
        <v>35756.009685341131</v>
      </c>
      <c r="S1766" s="56">
        <f t="shared" si="261"/>
        <v>96665.611266580265</v>
      </c>
      <c r="T1766" s="35" t="s">
        <v>56</v>
      </c>
      <c r="U1766" s="18" t="s">
        <v>1873</v>
      </c>
      <c r="V1766" s="19" t="str">
        <f>IF(OR($H1766="",$H1766="sif",$H1766="PM"),"",VLOOKUP($H1766,[5]CU!$C$5:$J$255,8,FALSE))</f>
        <v>3. Dépenses de fonctionnement</v>
      </c>
      <c r="W1766" s="18" t="s">
        <v>521</v>
      </c>
      <c r="X1766" s="18" t="s">
        <v>521</v>
      </c>
      <c r="Y1766" s="19" t="s">
        <v>32</v>
      </c>
      <c r="Z1766" s="19" t="str">
        <f>A1766 &amp; "-" &amp; VLOOKUP(A1766,[4]PROGRAMMES!$E$1:$F$7,2,FALSE)</f>
        <v>5-Gouvernance et pilotage du secteur</v>
      </c>
      <c r="AA1766" s="19" t="str">
        <f>B1766 &amp; "-" &amp; VLOOKUP(B1766,[4]SOUSPROGRAMMES!$E$1:$F$44,2,FALSE)</f>
        <v>56- Gestion des ressources financières</v>
      </c>
      <c r="AB1766" s="19" t="str">
        <f>C1766 &amp; "-" &amp; VLOOKUP(C1766,[4]RESULTATS!$E$1:$F$176,2,FALSE)</f>
        <v>562- Les structures bénéficiaires reçoivent à temps les budgets nécessaires pour la mise en œuvre de leurs activités</v>
      </c>
      <c r="AC1766" s="20" t="str">
        <f>D1766 &amp; "-" &amp; VLOOKUP(D1766,[4]STRATEGIES!$E$1:$F$504,2,FALSE)</f>
        <v>5621-Publication des allocations budgétaires</v>
      </c>
      <c r="AD1766" s="21" t="str">
        <f t="shared" si="256"/>
        <v>56216-Mise à disposition des budgets aux administrations centrales du MENA</v>
      </c>
    </row>
    <row r="1767" spans="1:30" s="22" customFormat="1" ht="60" hidden="1" customHeight="1" x14ac:dyDescent="0.8">
      <c r="A1767" s="14">
        <v>5</v>
      </c>
      <c r="B1767" s="15">
        <v>56</v>
      </c>
      <c r="C1767" s="15">
        <v>562</v>
      </c>
      <c r="D1767" s="15">
        <v>5621</v>
      </c>
      <c r="E1767" s="14">
        <v>56217</v>
      </c>
      <c r="F1767" s="16" t="s">
        <v>2216</v>
      </c>
      <c r="G1767" s="21" t="s">
        <v>2214</v>
      </c>
      <c r="H1767" s="17" t="s">
        <v>2217</v>
      </c>
      <c r="I1767" s="56">
        <v>0</v>
      </c>
      <c r="J1767" s="56">
        <v>0.97240479999366103</v>
      </c>
      <c r="K1767" s="56">
        <v>1.02102503999334</v>
      </c>
      <c r="L1767" s="56">
        <v>1.07207629199301</v>
      </c>
      <c r="M1767" s="56">
        <f t="shared" si="255"/>
        <v>3.065506131980011</v>
      </c>
      <c r="N1767" s="56">
        <f>IF(OR(H1767="",H1767="sif",H1767="PM"),0,VLOOKUP(H1767,[5]CU!$C$4:$H$255,6,FALSE))</f>
        <v>7704.7054522202898</v>
      </c>
      <c r="O1767" s="56">
        <f t="shared" si="260"/>
        <v>0</v>
      </c>
      <c r="P1767" s="56">
        <f t="shared" si="260"/>
        <v>7492.0925642763405</v>
      </c>
      <c r="Q1767" s="56">
        <f t="shared" si="260"/>
        <v>7866.6971924901263</v>
      </c>
      <c r="R1767" s="56">
        <f t="shared" si="260"/>
        <v>8260.032052114655</v>
      </c>
      <c r="S1767" s="56">
        <f t="shared" si="261"/>
        <v>23618.821808881119</v>
      </c>
      <c r="T1767" s="35" t="s">
        <v>56</v>
      </c>
      <c r="U1767" s="18" t="s">
        <v>1873</v>
      </c>
      <c r="V1767" s="19" t="str">
        <f>IF(OR($H1767="",$H1767="sif",$H1767="PM"),"",VLOOKUP($H1767,[5]CU!$C$5:$J$255,8,FALSE))</f>
        <v>3. Dépenses de fonctionnement</v>
      </c>
      <c r="W1767" s="18" t="s">
        <v>521</v>
      </c>
      <c r="X1767" s="18" t="s">
        <v>521</v>
      </c>
      <c r="Y1767" s="18" t="s">
        <v>677</v>
      </c>
      <c r="Z1767" s="19" t="str">
        <f>A1767 &amp; "-" &amp; VLOOKUP(A1767,[4]PROGRAMMES!$E$1:$F$7,2,FALSE)</f>
        <v>5-Gouvernance et pilotage du secteur</v>
      </c>
      <c r="AA1767" s="19" t="str">
        <f>B1767 &amp; "-" &amp; VLOOKUP(B1767,[4]SOUSPROGRAMMES!$E$1:$F$44,2,FALSE)</f>
        <v>56- Gestion des ressources financières</v>
      </c>
      <c r="AB1767" s="19" t="str">
        <f>C1767 &amp; "-" &amp; VLOOKUP(C1767,[4]RESULTATS!$E$1:$F$176,2,FALSE)</f>
        <v>562- Les structures bénéficiaires reçoivent à temps les budgets nécessaires pour la mise en œuvre de leurs activités</v>
      </c>
      <c r="AC1767" s="20" t="str">
        <f>D1767 &amp; "-" &amp; VLOOKUP(D1767,[4]STRATEGIES!$E$1:$F$504,2,FALSE)</f>
        <v>5621-Publication des allocations budgétaires</v>
      </c>
      <c r="AD1767" s="21" t="str">
        <f t="shared" si="256"/>
        <v>56217-Mise à disposition des budgets aux administrations centrales et déconcentrées du METFP</v>
      </c>
    </row>
    <row r="1768" spans="1:30" s="22" customFormat="1" ht="60" hidden="1" customHeight="1" x14ac:dyDescent="0.8">
      <c r="A1768" s="14">
        <v>5</v>
      </c>
      <c r="B1768" s="15">
        <v>56</v>
      </c>
      <c r="C1768" s="15">
        <v>562</v>
      </c>
      <c r="D1768" s="15">
        <v>5621</v>
      </c>
      <c r="E1768" s="14">
        <v>56218</v>
      </c>
      <c r="F1768" s="16" t="s">
        <v>2218</v>
      </c>
      <c r="G1768" s="21" t="s">
        <v>2214</v>
      </c>
      <c r="H1768" s="17" t="s">
        <v>2219</v>
      </c>
      <c r="I1768" s="56">
        <v>0</v>
      </c>
      <c r="J1768" s="56">
        <v>0.87032875391489595</v>
      </c>
      <c r="K1768" s="56">
        <v>0.91384519161064104</v>
      </c>
      <c r="L1768" s="56">
        <v>0.95953745119117295</v>
      </c>
      <c r="M1768" s="56">
        <f t="shared" si="255"/>
        <v>2.7437113967167099</v>
      </c>
      <c r="N1768" s="56">
        <f>IF(OR(H1768="",H1768="sif",H1768="PM"),0,VLOOKUP(H1768,[5]CU!$C$4:$H$255,6,FALSE))</f>
        <v>10483.7646967255</v>
      </c>
      <c r="O1768" s="56">
        <f t="shared" si="260"/>
        <v>0</v>
      </c>
      <c r="P1768" s="56">
        <f t="shared" si="260"/>
        <v>9124.3218648380825</v>
      </c>
      <c r="Q1768" s="56">
        <f t="shared" si="260"/>
        <v>9580.537958079989</v>
      </c>
      <c r="R1768" s="56">
        <f t="shared" si="260"/>
        <v>10059.564855983986</v>
      </c>
      <c r="S1768" s="56">
        <f t="shared" si="261"/>
        <v>28764.424678902058</v>
      </c>
      <c r="T1768" s="35" t="s">
        <v>56</v>
      </c>
      <c r="U1768" s="18" t="s">
        <v>1873</v>
      </c>
      <c r="V1768" s="19" t="str">
        <f>IF(OR($H1768="",$H1768="sif",$H1768="PM"),"",VLOOKUP($H1768,[5]CU!$C$5:$J$255,8,FALSE))</f>
        <v>3. Dépenses de fonctionnement</v>
      </c>
      <c r="W1768" s="18" t="s">
        <v>521</v>
      </c>
      <c r="X1768" s="18" t="s">
        <v>521</v>
      </c>
      <c r="Y1768" s="18" t="s">
        <v>679</v>
      </c>
      <c r="Z1768" s="19" t="str">
        <f>A1768 &amp; "-" &amp; VLOOKUP(A1768,[4]PROGRAMMES!$E$1:$F$7,2,FALSE)</f>
        <v>5-Gouvernance et pilotage du secteur</v>
      </c>
      <c r="AA1768" s="19" t="str">
        <f>B1768 &amp; "-" &amp; VLOOKUP(B1768,[4]SOUSPROGRAMMES!$E$1:$F$44,2,FALSE)</f>
        <v>56- Gestion des ressources financières</v>
      </c>
      <c r="AB1768" s="19" t="str">
        <f>C1768 &amp; "-" &amp; VLOOKUP(C1768,[4]RESULTATS!$E$1:$F$176,2,FALSE)</f>
        <v>562- Les structures bénéficiaires reçoivent à temps les budgets nécessaires pour la mise en œuvre de leurs activités</v>
      </c>
      <c r="AC1768" s="20" t="str">
        <f>D1768 &amp; "-" &amp; VLOOKUP(D1768,[4]STRATEGIES!$E$1:$F$504,2,FALSE)</f>
        <v>5621-Publication des allocations budgétaires</v>
      </c>
      <c r="AD1768" s="21" t="str">
        <f t="shared" si="256"/>
        <v>56218-Mise à disposition des budgets aux administrations centrales du MESRS</v>
      </c>
    </row>
    <row r="1769" spans="1:30" s="22" customFormat="1" ht="60" hidden="1" customHeight="1" x14ac:dyDescent="0.8">
      <c r="A1769" s="14">
        <v>5</v>
      </c>
      <c r="B1769" s="15">
        <v>56</v>
      </c>
      <c r="C1769" s="15">
        <v>562</v>
      </c>
      <c r="D1769" s="15">
        <v>5621</v>
      </c>
      <c r="E1769" s="14">
        <v>56219</v>
      </c>
      <c r="F1769" s="16" t="s">
        <v>2220</v>
      </c>
      <c r="G1769" s="21" t="s">
        <v>2214</v>
      </c>
      <c r="H1769" s="17" t="s">
        <v>2221</v>
      </c>
      <c r="I1769" s="56">
        <v>0</v>
      </c>
      <c r="J1769" s="56">
        <v>0.87032875391489595</v>
      </c>
      <c r="K1769" s="56">
        <v>0.91384519161064104</v>
      </c>
      <c r="L1769" s="56">
        <v>0.95953745119117295</v>
      </c>
      <c r="M1769" s="56">
        <f t="shared" si="255"/>
        <v>2.7437113967167099</v>
      </c>
      <c r="N1769" s="56">
        <f>IF(OR(H1769="",H1769="sif",H1769="PM"),0,VLOOKUP(H1769,[5]CU!$C$4:$H$255,6,FALSE))</f>
        <v>736.22137404580167</v>
      </c>
      <c r="O1769" s="56">
        <f t="shared" si="260"/>
        <v>0</v>
      </c>
      <c r="P1769" s="56">
        <f t="shared" si="260"/>
        <v>640.75463107879511</v>
      </c>
      <c r="Q1769" s="56">
        <f t="shared" si="260"/>
        <v>672.79236263273503</v>
      </c>
      <c r="R1769" s="56">
        <f t="shared" si="260"/>
        <v>706.4319807643717</v>
      </c>
      <c r="S1769" s="56">
        <f t="shared" si="261"/>
        <v>2019.9789744759019</v>
      </c>
      <c r="T1769" s="35" t="s">
        <v>56</v>
      </c>
      <c r="U1769" s="18" t="s">
        <v>1873</v>
      </c>
      <c r="V1769" s="19" t="str">
        <f>IF(OR($H1769="",$H1769="sif",$H1769="PM"),"",VLOOKUP($H1769,[5]CU!$C$5:$J$255,8,FALSE))</f>
        <v>3. Dépenses de fonctionnement</v>
      </c>
      <c r="W1769" s="18" t="s">
        <v>521</v>
      </c>
      <c r="X1769" s="18" t="s">
        <v>521</v>
      </c>
      <c r="Y1769" s="18" t="s">
        <v>679</v>
      </c>
      <c r="Z1769" s="19" t="str">
        <f>A1769 &amp; "-" &amp; VLOOKUP(A1769,[4]PROGRAMMES!$E$1:$F$7,2,FALSE)</f>
        <v>5-Gouvernance et pilotage du secteur</v>
      </c>
      <c r="AA1769" s="19" t="str">
        <f>B1769 &amp; "-" &amp; VLOOKUP(B1769,[4]SOUSPROGRAMMES!$E$1:$F$44,2,FALSE)</f>
        <v>56- Gestion des ressources financières</v>
      </c>
      <c r="AB1769" s="19" t="str">
        <f>C1769 &amp; "-" &amp; VLOOKUP(C1769,[4]RESULTATS!$E$1:$F$176,2,FALSE)</f>
        <v>562- Les structures bénéficiaires reçoivent à temps les budgets nécessaires pour la mise en œuvre de leurs activités</v>
      </c>
      <c r="AC1769" s="20" t="str">
        <f>D1769 &amp; "-" &amp; VLOOKUP(D1769,[4]STRATEGIES!$E$1:$F$504,2,FALSE)</f>
        <v>5621-Publication des allocations budgétaires</v>
      </c>
      <c r="AD1769" s="21" t="str">
        <f t="shared" si="256"/>
        <v>56219-Paiement des contributions aux institutions internationales (Confemen, ADEA, Karanta, etc.)</v>
      </c>
    </row>
    <row r="1770" spans="1:30" s="22" customFormat="1" ht="60" customHeight="1" x14ac:dyDescent="0.8">
      <c r="A1770" s="14">
        <v>5</v>
      </c>
      <c r="B1770" s="15">
        <v>56</v>
      </c>
      <c r="C1770" s="15">
        <v>562</v>
      </c>
      <c r="D1770" s="15">
        <v>5622</v>
      </c>
      <c r="E1770" s="14">
        <v>5622</v>
      </c>
      <c r="F1770" s="16" t="s">
        <v>2222</v>
      </c>
      <c r="G1770" s="17"/>
      <c r="H1770" s="17"/>
      <c r="I1770" s="56">
        <v>0</v>
      </c>
      <c r="J1770" s="56"/>
      <c r="K1770" s="56"/>
      <c r="L1770" s="56"/>
      <c r="M1770" s="56"/>
      <c r="N1770" s="56"/>
      <c r="O1770" s="56"/>
      <c r="P1770" s="56"/>
      <c r="Q1770" s="56"/>
      <c r="R1770" s="56"/>
      <c r="S1770" s="56"/>
      <c r="T1770" s="33"/>
      <c r="U1770" s="18"/>
      <c r="V1770" s="19"/>
      <c r="W1770" s="18"/>
      <c r="X1770" s="18"/>
      <c r="Y1770" s="18"/>
      <c r="Z1770" s="19" t="str">
        <f>A1770 &amp; "-" &amp; VLOOKUP(A1770,[4]PROGRAMMES!$E$1:$F$7,2,FALSE)</f>
        <v>5-Gouvernance et pilotage du secteur</v>
      </c>
      <c r="AA1770" s="19" t="str">
        <f>B1770 &amp; "-" &amp; VLOOKUP(B1770,[4]SOUSPROGRAMMES!$E$1:$F$44,2,FALSE)</f>
        <v>56- Gestion des ressources financières</v>
      </c>
      <c r="AB1770" s="19" t="str">
        <f>C1770 &amp; "-" &amp; VLOOKUP(C1770,[4]RESULTATS!$E$1:$F$176,2,FALSE)</f>
        <v>562- Les structures bénéficiaires reçoivent à temps les budgets nécessaires pour la mise en œuvre de leurs activités</v>
      </c>
      <c r="AC1770" s="20" t="str">
        <f>D1770 &amp; "-" &amp; VLOOKUP(D1770,[4]STRATEGIES!$E$1:$F$504,2,FALSE)</f>
        <v>5622-Mise en œuvre de mécanismes de suivi des budgets jusqu’à l’école/établissement/institution</v>
      </c>
      <c r="AD1770" s="21" t="str">
        <f t="shared" si="256"/>
        <v>5622-Mise en œuvre de mécanismes de suivi des budgets jusqu’à l’école/établissement/institution</v>
      </c>
    </row>
    <row r="1771" spans="1:30" s="22" customFormat="1" ht="60" customHeight="1" x14ac:dyDescent="0.8">
      <c r="A1771" s="14">
        <v>5</v>
      </c>
      <c r="B1771" s="15">
        <v>56</v>
      </c>
      <c r="C1771" s="15">
        <v>562</v>
      </c>
      <c r="D1771" s="15">
        <v>5622</v>
      </c>
      <c r="E1771" s="14">
        <v>56221</v>
      </c>
      <c r="F1771" s="16" t="s">
        <v>2223</v>
      </c>
      <c r="G1771" s="21" t="s">
        <v>2224</v>
      </c>
      <c r="H1771" s="17" t="s">
        <v>66</v>
      </c>
      <c r="I1771" s="56">
        <v>0</v>
      </c>
      <c r="J1771" s="56">
        <f>15*6</f>
        <v>90</v>
      </c>
      <c r="K1771" s="56">
        <v>0</v>
      </c>
      <c r="L1771" s="56">
        <v>0</v>
      </c>
      <c r="M1771" s="56">
        <f t="shared" si="255"/>
        <v>90</v>
      </c>
      <c r="N1771" s="56">
        <f>IF(OR(H1771="",H1771="sif",H1771="PM"),0,VLOOKUP(H1771,[5]CU!$C$4:$H$255,6,FALSE))</f>
        <v>0.255</v>
      </c>
      <c r="O1771" s="56">
        <f t="shared" ref="O1771:R1773" si="262">IFERROR($N1771*I1771,0)</f>
        <v>0</v>
      </c>
      <c r="P1771" s="56">
        <f t="shared" si="262"/>
        <v>22.95</v>
      </c>
      <c r="Q1771" s="56">
        <f t="shared" si="262"/>
        <v>0</v>
      </c>
      <c r="R1771" s="56">
        <f t="shared" si="262"/>
        <v>0</v>
      </c>
      <c r="S1771" s="56">
        <f t="shared" si="261"/>
        <v>22.95</v>
      </c>
      <c r="T1771" s="35" t="s">
        <v>118</v>
      </c>
      <c r="U1771" s="18" t="s">
        <v>1873</v>
      </c>
      <c r="V1771" s="19" t="str">
        <f>IF(OR($H1771="",$H1771="sif",$H1771="PM"),"",VLOOKUP($H1771,[5]CU!$C$5:$J$255,8,FALSE))</f>
        <v>3. Dépenses de fonctionnement</v>
      </c>
      <c r="W1771" s="18" t="s">
        <v>521</v>
      </c>
      <c r="X1771" s="18" t="s">
        <v>96</v>
      </c>
      <c r="Y1771" s="19" t="s">
        <v>32</v>
      </c>
      <c r="Z1771" s="19" t="str">
        <f>A1771 &amp; "-" &amp; VLOOKUP(A1771,[4]PROGRAMMES!$E$1:$F$7,2,FALSE)</f>
        <v>5-Gouvernance et pilotage du secteur</v>
      </c>
      <c r="AA1771" s="19" t="str">
        <f>B1771 &amp; "-" &amp; VLOOKUP(B1771,[4]SOUSPROGRAMMES!$E$1:$F$44,2,FALSE)</f>
        <v>56- Gestion des ressources financières</v>
      </c>
      <c r="AB1771" s="19" t="str">
        <f>C1771 &amp; "-" &amp; VLOOKUP(C1771,[4]RESULTATS!$E$1:$F$176,2,FALSE)</f>
        <v>562- Les structures bénéficiaires reçoivent à temps les budgets nécessaires pour la mise en œuvre de leurs activités</v>
      </c>
      <c r="AC1771" s="20" t="str">
        <f>D1771 &amp; "-" &amp; VLOOKUP(D1771,[4]STRATEGIES!$E$1:$F$504,2,FALSE)</f>
        <v>5622-Mise en œuvre de mécanismes de suivi des budgets jusqu’à l’école/établissement/institution</v>
      </c>
      <c r="AD1771" s="21" t="str">
        <f t="shared" si="256"/>
        <v>56221-Actualisation des outils de suivi de l'exécution des budgets</v>
      </c>
    </row>
    <row r="1772" spans="1:30" s="22" customFormat="1" ht="60" hidden="1" customHeight="1" x14ac:dyDescent="0.8">
      <c r="A1772" s="14">
        <v>5</v>
      </c>
      <c r="B1772" s="15">
        <v>56</v>
      </c>
      <c r="C1772" s="15">
        <v>562</v>
      </c>
      <c r="D1772" s="15">
        <v>5622</v>
      </c>
      <c r="E1772" s="14">
        <v>56222</v>
      </c>
      <c r="F1772" s="16" t="s">
        <v>2225</v>
      </c>
      <c r="G1772" s="21" t="s">
        <v>1017</v>
      </c>
      <c r="H1772" s="17" t="s">
        <v>59</v>
      </c>
      <c r="I1772" s="56">
        <v>0</v>
      </c>
      <c r="J1772" s="56"/>
      <c r="K1772" s="56"/>
      <c r="L1772" s="56"/>
      <c r="M1772" s="56">
        <f>SUM(I1772:L1772)</f>
        <v>0</v>
      </c>
      <c r="N1772" s="56">
        <f>IF(OR(H1772="",H1772="sif",H1772="PM"),0,VLOOKUP(H1772,[5]CU!$C$4:$H$255,6,FALSE))</f>
        <v>0.8177777777777776</v>
      </c>
      <c r="O1772" s="56">
        <f t="shared" si="262"/>
        <v>0</v>
      </c>
      <c r="P1772" s="56">
        <f t="shared" si="262"/>
        <v>0</v>
      </c>
      <c r="Q1772" s="56">
        <f t="shared" si="262"/>
        <v>0</v>
      </c>
      <c r="R1772" s="56">
        <f t="shared" si="262"/>
        <v>0</v>
      </c>
      <c r="S1772" s="56">
        <f>SUM(O1772:R1772)</f>
        <v>0</v>
      </c>
      <c r="T1772" s="35" t="s">
        <v>178</v>
      </c>
      <c r="U1772" s="18" t="s">
        <v>1873</v>
      </c>
      <c r="V1772" s="19" t="str">
        <f>IF(OR($H1772="",$H1772="sif",$H1772="PM"),"",VLOOKUP($H1772,[5]CU!$C$5:$J$255,8,FALSE))</f>
        <v>3. Dépenses de fonctionnement</v>
      </c>
      <c r="W1772" s="18" t="s">
        <v>521</v>
      </c>
      <c r="X1772" s="18" t="s">
        <v>1936</v>
      </c>
      <c r="Y1772" s="18" t="s">
        <v>2066</v>
      </c>
      <c r="Z1772" s="19" t="str">
        <f>A1772 &amp; "-" &amp; VLOOKUP(A1772,[4]PROGRAMMES!$E$1:$F$7,2,FALSE)</f>
        <v>5-Gouvernance et pilotage du secteur</v>
      </c>
      <c r="AA1772" s="19" t="str">
        <f>B1772 &amp; "-" &amp; VLOOKUP(B1772,[4]SOUSPROGRAMMES!$E$1:$F$44,2,FALSE)</f>
        <v>56- Gestion des ressources financières</v>
      </c>
      <c r="AB1772" s="19" t="str">
        <f>C1772 &amp; "-" &amp; VLOOKUP(C1772,[4]RESULTATS!$E$1:$F$176,2,FALSE)</f>
        <v>562- Les structures bénéficiaires reçoivent à temps les budgets nécessaires pour la mise en œuvre de leurs activités</v>
      </c>
      <c r="AC1772" s="20" t="str">
        <f>D1772 &amp; "-" &amp; VLOOKUP(D1772,[4]STRATEGIES!$E$1:$F$504,2,FALSE)</f>
        <v>5622-Mise en œuvre de mécanismes de suivi des budgets jusqu’à l’école/établissement/institution</v>
      </c>
      <c r="AD1772" s="21" t="str">
        <f t="shared" si="256"/>
        <v>56222-Conduite des missions de suivi (exécution des budgets, des plans d'actions)</v>
      </c>
    </row>
    <row r="1773" spans="1:30" ht="60" hidden="1" customHeight="1" x14ac:dyDescent="0.8">
      <c r="A1773" s="25">
        <v>5</v>
      </c>
      <c r="B1773" s="16">
        <v>56</v>
      </c>
      <c r="C1773" s="16">
        <v>562</v>
      </c>
      <c r="D1773" s="16">
        <v>5622</v>
      </c>
      <c r="E1773" s="25">
        <v>56222</v>
      </c>
      <c r="F1773" s="16" t="s">
        <v>2225</v>
      </c>
      <c r="G1773" s="21" t="s">
        <v>1017</v>
      </c>
      <c r="H1773" s="21" t="s">
        <v>59</v>
      </c>
      <c r="I1773" s="56">
        <v>0</v>
      </c>
      <c r="J1773" s="57">
        <f>4*10*5</f>
        <v>200</v>
      </c>
      <c r="K1773" s="57">
        <f>4*10*5</f>
        <v>200</v>
      </c>
      <c r="L1773" s="57">
        <f>4*10*5</f>
        <v>200</v>
      </c>
      <c r="M1773" s="57">
        <f t="shared" si="255"/>
        <v>600</v>
      </c>
      <c r="N1773" s="57">
        <f>IF(OR(H1773="",H1773="sif",H1773="PM"),0,VLOOKUP(H1773,[5]CU!$C$4:$H$255,6,FALSE))</f>
        <v>0.8177777777777776</v>
      </c>
      <c r="O1773" s="57">
        <f t="shared" si="262"/>
        <v>0</v>
      </c>
      <c r="P1773" s="57">
        <f t="shared" si="262"/>
        <v>163.55555555555551</v>
      </c>
      <c r="Q1773" s="57">
        <f t="shared" si="262"/>
        <v>163.55555555555551</v>
      </c>
      <c r="R1773" s="57">
        <f t="shared" si="262"/>
        <v>163.55555555555551</v>
      </c>
      <c r="S1773" s="57">
        <f t="shared" si="261"/>
        <v>490.66666666666652</v>
      </c>
      <c r="T1773" s="38" t="s">
        <v>56</v>
      </c>
      <c r="U1773" s="19" t="s">
        <v>1873</v>
      </c>
      <c r="V1773" s="19" t="str">
        <f>IF(OR($H1773="",$H1773="sif",$H1773="PM"),"",VLOOKUP($H1773,[5]CU!$C$5:$J$255,8,FALSE))</f>
        <v>3. Dépenses de fonctionnement</v>
      </c>
      <c r="W1773" s="19" t="s">
        <v>1939</v>
      </c>
      <c r="X1773" s="19" t="s">
        <v>1939</v>
      </c>
      <c r="Y1773" s="19" t="s">
        <v>2066</v>
      </c>
      <c r="Z1773" s="19" t="str">
        <f>A1773 &amp; "-" &amp; VLOOKUP(A1773,[4]PROGRAMMES!$E$1:$F$7,2,FALSE)</f>
        <v>5-Gouvernance et pilotage du secteur</v>
      </c>
      <c r="AA1773" s="19" t="str">
        <f>B1773 &amp; "-" &amp; VLOOKUP(B1773,[4]SOUSPROGRAMMES!$E$1:$F$44,2,FALSE)</f>
        <v>56- Gestion des ressources financières</v>
      </c>
      <c r="AB1773" s="19" t="str">
        <f>C1773 &amp; "-" &amp; VLOOKUP(C1773,[4]RESULTATS!$E$1:$F$176,2,FALSE)</f>
        <v>562- Les structures bénéficiaires reçoivent à temps les budgets nécessaires pour la mise en œuvre de leurs activités</v>
      </c>
      <c r="AC1773" s="20" t="str">
        <f>D1773 &amp; "-" &amp; VLOOKUP(D1773,[4]STRATEGIES!$E$1:$F$504,2,FALSE)</f>
        <v>5622-Mise en œuvre de mécanismes de suivi des budgets jusqu’à l’école/établissement/institution</v>
      </c>
      <c r="AD1773" s="21" t="str">
        <f t="shared" si="256"/>
        <v>56222-Conduite des missions de suivi (exécution des budgets, des plans d'actions)</v>
      </c>
    </row>
    <row r="1774" spans="1:30" s="22" customFormat="1" ht="60" customHeight="1" x14ac:dyDescent="0.8">
      <c r="A1774" s="14">
        <v>5</v>
      </c>
      <c r="B1774" s="15">
        <v>56</v>
      </c>
      <c r="C1774" s="15">
        <v>562</v>
      </c>
      <c r="D1774" s="15">
        <v>5623</v>
      </c>
      <c r="E1774" s="14">
        <v>5623</v>
      </c>
      <c r="F1774" s="16" t="s">
        <v>2226</v>
      </c>
      <c r="G1774" s="17"/>
      <c r="H1774" s="17"/>
      <c r="I1774" s="56">
        <v>0</v>
      </c>
      <c r="J1774" s="56"/>
      <c r="K1774" s="56"/>
      <c r="L1774" s="56"/>
      <c r="M1774" s="56"/>
      <c r="N1774" s="56"/>
      <c r="O1774" s="56"/>
      <c r="P1774" s="56"/>
      <c r="Q1774" s="56"/>
      <c r="R1774" s="56"/>
      <c r="S1774" s="56"/>
      <c r="T1774" s="33"/>
      <c r="U1774" s="18"/>
      <c r="V1774" s="19"/>
      <c r="W1774" s="18"/>
      <c r="X1774" s="18"/>
      <c r="Y1774" s="18"/>
      <c r="Z1774" s="19" t="str">
        <f>A1774 &amp; "-" &amp; VLOOKUP(A1774,[4]PROGRAMMES!$E$1:$F$7,2,FALSE)</f>
        <v>5-Gouvernance et pilotage du secteur</v>
      </c>
      <c r="AA1774" s="19" t="str">
        <f>B1774 &amp; "-" &amp; VLOOKUP(B1774,[4]SOUSPROGRAMMES!$E$1:$F$44,2,FALSE)</f>
        <v>56- Gestion des ressources financières</v>
      </c>
      <c r="AB1774" s="19" t="str">
        <f>C1774 &amp; "-" &amp; VLOOKUP(C1774,[4]RESULTATS!$E$1:$F$176,2,FALSE)</f>
        <v>562- Les structures bénéficiaires reçoivent à temps les budgets nécessaires pour la mise en œuvre de leurs activités</v>
      </c>
      <c r="AC1774" s="20" t="str">
        <f>D1774 &amp; "-" &amp; VLOOKUP(D1774,[4]STRATEGIES!$E$1:$F$504,2,FALSE)</f>
        <v>5623-Publication des résultats des mécanismes de suivi</v>
      </c>
      <c r="AD1774" s="21" t="str">
        <f t="shared" si="256"/>
        <v>5623-Publication des résultats des mécanismes de suivi</v>
      </c>
    </row>
    <row r="1775" spans="1:30" s="22" customFormat="1" ht="60" customHeight="1" x14ac:dyDescent="0.8">
      <c r="A1775" s="14">
        <v>5</v>
      </c>
      <c r="B1775" s="15">
        <v>56</v>
      </c>
      <c r="C1775" s="15">
        <v>562</v>
      </c>
      <c r="D1775" s="15">
        <v>5623</v>
      </c>
      <c r="E1775" s="14">
        <v>56231</v>
      </c>
      <c r="F1775" s="16" t="s">
        <v>2227</v>
      </c>
      <c r="G1775" s="21" t="s">
        <v>2224</v>
      </c>
      <c r="H1775" s="17" t="s">
        <v>66</v>
      </c>
      <c r="I1775" s="56">
        <v>0</v>
      </c>
      <c r="J1775" s="56">
        <f>20*10</f>
        <v>200</v>
      </c>
      <c r="K1775" s="56">
        <f>20*10</f>
        <v>200</v>
      </c>
      <c r="L1775" s="56">
        <f>20*10</f>
        <v>200</v>
      </c>
      <c r="M1775" s="56">
        <f t="shared" si="255"/>
        <v>600</v>
      </c>
      <c r="N1775" s="56">
        <f>IF(OR(H1775="",H1775="sif",H1775="PM"),0,VLOOKUP(H1775,[5]CU!$C$4:$H$255,6,FALSE))</f>
        <v>0.255</v>
      </c>
      <c r="O1775" s="56">
        <f t="shared" ref="O1775:R1783" si="263">IFERROR($N1775*I1775,0)</f>
        <v>0</v>
      </c>
      <c r="P1775" s="56">
        <f t="shared" si="263"/>
        <v>51</v>
      </c>
      <c r="Q1775" s="56">
        <f t="shared" si="263"/>
        <v>51</v>
      </c>
      <c r="R1775" s="56">
        <f t="shared" si="263"/>
        <v>51</v>
      </c>
      <c r="S1775" s="56">
        <f t="shared" si="261"/>
        <v>153</v>
      </c>
      <c r="T1775" s="35" t="s">
        <v>118</v>
      </c>
      <c r="U1775" s="18" t="s">
        <v>1873</v>
      </c>
      <c r="V1775" s="19" t="str">
        <f>IF(OR($H1775="",$H1775="sif",$H1775="PM"),"",VLOOKUP($H1775,[5]CU!$C$5:$J$255,8,FALSE))</f>
        <v>3. Dépenses de fonctionnement</v>
      </c>
      <c r="W1775" s="18" t="s">
        <v>521</v>
      </c>
      <c r="X1775" s="18" t="s">
        <v>1936</v>
      </c>
      <c r="Y1775" s="19" t="s">
        <v>32</v>
      </c>
      <c r="Z1775" s="19" t="str">
        <f>A1775 &amp; "-" &amp; VLOOKUP(A1775,[4]PROGRAMMES!$E$1:$F$7,2,FALSE)</f>
        <v>5-Gouvernance et pilotage du secteur</v>
      </c>
      <c r="AA1775" s="19" t="str">
        <f>B1775 &amp; "-" &amp; VLOOKUP(B1775,[4]SOUSPROGRAMMES!$E$1:$F$44,2,FALSE)</f>
        <v>56- Gestion des ressources financières</v>
      </c>
      <c r="AB1775" s="19" t="str">
        <f>C1775 &amp; "-" &amp; VLOOKUP(C1775,[4]RESULTATS!$E$1:$F$176,2,FALSE)</f>
        <v>562- Les structures bénéficiaires reçoivent à temps les budgets nécessaires pour la mise en œuvre de leurs activités</v>
      </c>
      <c r="AC1775" s="20" t="str">
        <f>D1775 &amp; "-" &amp; VLOOKUP(D1775,[4]STRATEGIES!$E$1:$F$504,2,FALSE)</f>
        <v>5623-Publication des résultats des mécanismes de suivi</v>
      </c>
      <c r="AD1775" s="21" t="str">
        <f t="shared" si="256"/>
        <v>56231-Elaboration d'un tableau de bord sur la mise en œuvre du budget du MENA</v>
      </c>
    </row>
    <row r="1776" spans="1:30" s="22" customFormat="1" ht="60" customHeight="1" x14ac:dyDescent="0.8">
      <c r="A1776" s="14">
        <v>5</v>
      </c>
      <c r="B1776" s="15">
        <v>56</v>
      </c>
      <c r="C1776" s="15">
        <v>562</v>
      </c>
      <c r="D1776" s="15">
        <v>5623</v>
      </c>
      <c r="E1776" s="14">
        <v>56232</v>
      </c>
      <c r="F1776" s="16" t="s">
        <v>2228</v>
      </c>
      <c r="G1776" s="21" t="s">
        <v>44</v>
      </c>
      <c r="H1776" s="17" t="s">
        <v>452</v>
      </c>
      <c r="I1776" s="56">
        <v>0</v>
      </c>
      <c r="J1776" s="56">
        <f>46+427+200</f>
        <v>673</v>
      </c>
      <c r="K1776" s="56">
        <f>46+427+200</f>
        <v>673</v>
      </c>
      <c r="L1776" s="56">
        <f>46+427+200</f>
        <v>673</v>
      </c>
      <c r="M1776" s="56">
        <f t="shared" si="255"/>
        <v>2019</v>
      </c>
      <c r="N1776" s="56">
        <f>IF(OR(H1776="",H1776="sif",H1776="PM"),0,VLOOKUP(H1776,[5]CU!$C$4:$H$255,6,FALSE))</f>
        <v>7.4999999999999997E-3</v>
      </c>
      <c r="O1776" s="56">
        <f t="shared" si="263"/>
        <v>0</v>
      </c>
      <c r="P1776" s="56">
        <f t="shared" si="263"/>
        <v>5.0474999999999994</v>
      </c>
      <c r="Q1776" s="56">
        <f t="shared" si="263"/>
        <v>5.0474999999999994</v>
      </c>
      <c r="R1776" s="56">
        <f t="shared" si="263"/>
        <v>5.0474999999999994</v>
      </c>
      <c r="S1776" s="56">
        <f t="shared" si="261"/>
        <v>15.142499999999998</v>
      </c>
      <c r="T1776" s="35" t="s">
        <v>118</v>
      </c>
      <c r="U1776" s="18" t="s">
        <v>1873</v>
      </c>
      <c r="V1776" s="19" t="str">
        <f>IF(OR($H1776="",$H1776="sif",$H1776="PM"),"",VLOOKUP($H1776,[5]CU!$C$5:$J$255,8,FALSE))</f>
        <v>3. Dépenses de fonctionnement</v>
      </c>
      <c r="W1776" s="18" t="s">
        <v>521</v>
      </c>
      <c r="X1776" s="18" t="s">
        <v>1936</v>
      </c>
      <c r="Y1776" s="19" t="s">
        <v>32</v>
      </c>
      <c r="Z1776" s="19" t="str">
        <f>A1776 &amp; "-" &amp; VLOOKUP(A1776,[4]PROGRAMMES!$E$1:$F$7,2,FALSE)</f>
        <v>5-Gouvernance et pilotage du secteur</v>
      </c>
      <c r="AA1776" s="19" t="str">
        <f>B1776 &amp; "-" &amp; VLOOKUP(B1776,[4]SOUSPROGRAMMES!$E$1:$F$44,2,FALSE)</f>
        <v>56- Gestion des ressources financières</v>
      </c>
      <c r="AB1776" s="19" t="str">
        <f>C1776 &amp; "-" &amp; VLOOKUP(C1776,[4]RESULTATS!$E$1:$F$176,2,FALSE)</f>
        <v>562- Les structures bénéficiaires reçoivent à temps les budgets nécessaires pour la mise en œuvre de leurs activités</v>
      </c>
      <c r="AC1776" s="20" t="str">
        <f>D1776 &amp; "-" &amp; VLOOKUP(D1776,[4]STRATEGIES!$E$1:$F$504,2,FALSE)</f>
        <v>5623-Publication des résultats des mécanismes de suivi</v>
      </c>
      <c r="AD1776" s="21" t="str">
        <f t="shared" si="256"/>
        <v>56232-Reproduction du tableau de bord du MENA</v>
      </c>
    </row>
    <row r="1777" spans="1:30" s="22" customFormat="1" ht="60" customHeight="1" x14ac:dyDescent="0.8">
      <c r="A1777" s="14">
        <v>5</v>
      </c>
      <c r="B1777" s="15">
        <v>56</v>
      </c>
      <c r="C1777" s="15">
        <v>562</v>
      </c>
      <c r="D1777" s="15">
        <v>5623</v>
      </c>
      <c r="E1777" s="14">
        <v>56233</v>
      </c>
      <c r="F1777" s="16" t="s">
        <v>2229</v>
      </c>
      <c r="G1777" s="21" t="s">
        <v>2230</v>
      </c>
      <c r="H1777" s="17" t="s">
        <v>73</v>
      </c>
      <c r="I1777" s="56">
        <v>0</v>
      </c>
      <c r="J1777" s="56">
        <f>1*2</f>
        <v>2</v>
      </c>
      <c r="K1777" s="56">
        <f>1*2</f>
        <v>2</v>
      </c>
      <c r="L1777" s="56">
        <f>1*2</f>
        <v>2</v>
      </c>
      <c r="M1777" s="56">
        <f t="shared" si="255"/>
        <v>6</v>
      </c>
      <c r="N1777" s="56">
        <f>IF(OR(H1777="",H1777="sif",H1777="PM"),0,VLOOKUP(H1777,[5]CU!$C$4:$H$255,6,FALSE))</f>
        <v>0.4</v>
      </c>
      <c r="O1777" s="56">
        <f t="shared" si="263"/>
        <v>0</v>
      </c>
      <c r="P1777" s="56">
        <f t="shared" si="263"/>
        <v>0.8</v>
      </c>
      <c r="Q1777" s="56">
        <f t="shared" si="263"/>
        <v>0.8</v>
      </c>
      <c r="R1777" s="56">
        <f t="shared" si="263"/>
        <v>0.8</v>
      </c>
      <c r="S1777" s="56">
        <f t="shared" si="261"/>
        <v>2.4000000000000004</v>
      </c>
      <c r="T1777" s="35" t="s">
        <v>118</v>
      </c>
      <c r="U1777" s="18" t="s">
        <v>1873</v>
      </c>
      <c r="V1777" s="19" t="str">
        <f>IF(OR($H1777="",$H1777="sif",$H1777="PM"),"",VLOOKUP($H1777,[5]CU!$C$5:$J$255,8,FALSE))</f>
        <v>3. Dépenses de fonctionnement</v>
      </c>
      <c r="W1777" s="18" t="s">
        <v>521</v>
      </c>
      <c r="X1777" s="18" t="s">
        <v>1936</v>
      </c>
      <c r="Y1777" s="19" t="s">
        <v>32</v>
      </c>
      <c r="Z1777" s="19" t="str">
        <f>A1777 &amp; "-" &amp; VLOOKUP(A1777,[4]PROGRAMMES!$E$1:$F$7,2,FALSE)</f>
        <v>5-Gouvernance et pilotage du secteur</v>
      </c>
      <c r="AA1777" s="19" t="str">
        <f>B1777 &amp; "-" &amp; VLOOKUP(B1777,[4]SOUSPROGRAMMES!$E$1:$F$44,2,FALSE)</f>
        <v>56- Gestion des ressources financières</v>
      </c>
      <c r="AB1777" s="19" t="str">
        <f>C1777 &amp; "-" &amp; VLOOKUP(C1777,[4]RESULTATS!$E$1:$F$176,2,FALSE)</f>
        <v>562- Les structures bénéficiaires reçoivent à temps les budgets nécessaires pour la mise en œuvre de leurs activités</v>
      </c>
      <c r="AC1777" s="20" t="str">
        <f>D1777 &amp; "-" &amp; VLOOKUP(D1777,[4]STRATEGIES!$E$1:$F$504,2,FALSE)</f>
        <v>5623-Publication des résultats des mécanismes de suivi</v>
      </c>
      <c r="AD1777" s="21" t="str">
        <f t="shared" si="256"/>
        <v>56233-Diffusion du tableau de bord du MENA</v>
      </c>
    </row>
    <row r="1778" spans="1:30" s="22" customFormat="1" ht="60" customHeight="1" x14ac:dyDescent="0.8">
      <c r="A1778" s="14">
        <v>5</v>
      </c>
      <c r="B1778" s="15">
        <v>56</v>
      </c>
      <c r="C1778" s="15">
        <v>562</v>
      </c>
      <c r="D1778" s="15">
        <v>5623</v>
      </c>
      <c r="E1778" s="14">
        <v>56234</v>
      </c>
      <c r="F1778" s="16" t="s">
        <v>2231</v>
      </c>
      <c r="G1778" s="21" t="s">
        <v>2224</v>
      </c>
      <c r="H1778" s="17" t="s">
        <v>66</v>
      </c>
      <c r="I1778" s="56">
        <v>0</v>
      </c>
      <c r="J1778" s="56">
        <f>20*10</f>
        <v>200</v>
      </c>
      <c r="K1778" s="56">
        <f>20*10</f>
        <v>200</v>
      </c>
      <c r="L1778" s="56">
        <f>20*10</f>
        <v>200</v>
      </c>
      <c r="M1778" s="56">
        <f t="shared" si="255"/>
        <v>600</v>
      </c>
      <c r="N1778" s="56">
        <f>IF(OR(H1778="",H1778="sif",H1778="PM"),0,VLOOKUP(H1778,[5]CU!$C$4:$H$255,6,FALSE))</f>
        <v>0.255</v>
      </c>
      <c r="O1778" s="56">
        <f t="shared" si="263"/>
        <v>0</v>
      </c>
      <c r="P1778" s="56">
        <f t="shared" si="263"/>
        <v>51</v>
      </c>
      <c r="Q1778" s="56">
        <f t="shared" si="263"/>
        <v>51</v>
      </c>
      <c r="R1778" s="56">
        <f t="shared" si="263"/>
        <v>51</v>
      </c>
      <c r="S1778" s="56">
        <f t="shared" si="261"/>
        <v>153</v>
      </c>
      <c r="T1778" s="35" t="s">
        <v>118</v>
      </c>
      <c r="U1778" s="18" t="s">
        <v>1873</v>
      </c>
      <c r="V1778" s="19" t="str">
        <f>IF(OR($H1778="",$H1778="sif",$H1778="PM"),"",VLOOKUP($H1778,[5]CU!$C$5:$J$255,8,FALSE))</f>
        <v>3. Dépenses de fonctionnement</v>
      </c>
      <c r="W1778" s="18" t="s">
        <v>521</v>
      </c>
      <c r="X1778" s="18" t="s">
        <v>1936</v>
      </c>
      <c r="Y1778" s="18" t="s">
        <v>679</v>
      </c>
      <c r="Z1778" s="19" t="str">
        <f>A1778 &amp; "-" &amp; VLOOKUP(A1778,[4]PROGRAMMES!$E$1:$F$7,2,FALSE)</f>
        <v>5-Gouvernance et pilotage du secteur</v>
      </c>
      <c r="AA1778" s="19" t="str">
        <f>B1778 &amp; "-" &amp; VLOOKUP(B1778,[4]SOUSPROGRAMMES!$E$1:$F$44,2,FALSE)</f>
        <v>56- Gestion des ressources financières</v>
      </c>
      <c r="AB1778" s="19" t="str">
        <f>C1778 &amp; "-" &amp; VLOOKUP(C1778,[4]RESULTATS!$E$1:$F$176,2,FALSE)</f>
        <v>562- Les structures bénéficiaires reçoivent à temps les budgets nécessaires pour la mise en œuvre de leurs activités</v>
      </c>
      <c r="AC1778" s="20" t="str">
        <f>D1778 &amp; "-" &amp; VLOOKUP(D1778,[4]STRATEGIES!$E$1:$F$504,2,FALSE)</f>
        <v>5623-Publication des résultats des mécanismes de suivi</v>
      </c>
      <c r="AD1778" s="21" t="str">
        <f t="shared" si="256"/>
        <v>56234-Elaboration d'un tableau de bord sur la mise en œuvre du budget du MESRS</v>
      </c>
    </row>
    <row r="1779" spans="1:30" s="22" customFormat="1" ht="60" customHeight="1" x14ac:dyDescent="0.8">
      <c r="A1779" s="14">
        <v>5</v>
      </c>
      <c r="B1779" s="15">
        <v>56</v>
      </c>
      <c r="C1779" s="15">
        <v>562</v>
      </c>
      <c r="D1779" s="15">
        <v>5623</v>
      </c>
      <c r="E1779" s="14">
        <v>56235</v>
      </c>
      <c r="F1779" s="16" t="s">
        <v>2232</v>
      </c>
      <c r="G1779" s="21" t="s">
        <v>44</v>
      </c>
      <c r="H1779" s="17" t="s">
        <v>452</v>
      </c>
      <c r="I1779" s="56">
        <v>0</v>
      </c>
      <c r="J1779" s="56">
        <f>46+427+200</f>
        <v>673</v>
      </c>
      <c r="K1779" s="56">
        <f>46+427+200</f>
        <v>673</v>
      </c>
      <c r="L1779" s="56">
        <f>46+427+200</f>
        <v>673</v>
      </c>
      <c r="M1779" s="56">
        <f t="shared" si="255"/>
        <v>2019</v>
      </c>
      <c r="N1779" s="56">
        <f>IF(OR(H1779="",H1779="sif",H1779="PM"),0,VLOOKUP(H1779,[5]CU!$C$4:$H$255,6,FALSE))</f>
        <v>7.4999999999999997E-3</v>
      </c>
      <c r="O1779" s="56">
        <f t="shared" si="263"/>
        <v>0</v>
      </c>
      <c r="P1779" s="56">
        <f t="shared" si="263"/>
        <v>5.0474999999999994</v>
      </c>
      <c r="Q1779" s="56">
        <f t="shared" si="263"/>
        <v>5.0474999999999994</v>
      </c>
      <c r="R1779" s="56">
        <f t="shared" si="263"/>
        <v>5.0474999999999994</v>
      </c>
      <c r="S1779" s="56">
        <f t="shared" si="261"/>
        <v>15.142499999999998</v>
      </c>
      <c r="T1779" s="35" t="s">
        <v>118</v>
      </c>
      <c r="U1779" s="18" t="s">
        <v>1873</v>
      </c>
      <c r="V1779" s="19" t="str">
        <f>IF(OR($H1779="",$H1779="sif",$H1779="PM"),"",VLOOKUP($H1779,[5]CU!$C$5:$J$255,8,FALSE))</f>
        <v>3. Dépenses de fonctionnement</v>
      </c>
      <c r="W1779" s="18" t="s">
        <v>521</v>
      </c>
      <c r="X1779" s="18" t="s">
        <v>1936</v>
      </c>
      <c r="Y1779" s="18" t="s">
        <v>679</v>
      </c>
      <c r="Z1779" s="19" t="str">
        <f>A1779 &amp; "-" &amp; VLOOKUP(A1779,[4]PROGRAMMES!$E$1:$F$7,2,FALSE)</f>
        <v>5-Gouvernance et pilotage du secteur</v>
      </c>
      <c r="AA1779" s="19" t="str">
        <f>B1779 &amp; "-" &amp; VLOOKUP(B1779,[4]SOUSPROGRAMMES!$E$1:$F$44,2,FALSE)</f>
        <v>56- Gestion des ressources financières</v>
      </c>
      <c r="AB1779" s="19" t="str">
        <f>C1779 &amp; "-" &amp; VLOOKUP(C1779,[4]RESULTATS!$E$1:$F$176,2,FALSE)</f>
        <v>562- Les structures bénéficiaires reçoivent à temps les budgets nécessaires pour la mise en œuvre de leurs activités</v>
      </c>
      <c r="AC1779" s="20" t="str">
        <f>D1779 &amp; "-" &amp; VLOOKUP(D1779,[4]STRATEGIES!$E$1:$F$504,2,FALSE)</f>
        <v>5623-Publication des résultats des mécanismes de suivi</v>
      </c>
      <c r="AD1779" s="21" t="str">
        <f t="shared" si="256"/>
        <v>56235-Reproduction du tableau de bord du MESRS</v>
      </c>
    </row>
    <row r="1780" spans="1:30" s="22" customFormat="1" ht="60" customHeight="1" x14ac:dyDescent="0.8">
      <c r="A1780" s="14">
        <v>5</v>
      </c>
      <c r="B1780" s="15">
        <v>56</v>
      </c>
      <c r="C1780" s="15">
        <v>562</v>
      </c>
      <c r="D1780" s="15">
        <v>5623</v>
      </c>
      <c r="E1780" s="14">
        <v>56236</v>
      </c>
      <c r="F1780" s="16" t="s">
        <v>2233</v>
      </c>
      <c r="G1780" s="21" t="s">
        <v>2230</v>
      </c>
      <c r="H1780" s="17" t="s">
        <v>73</v>
      </c>
      <c r="I1780" s="56">
        <v>0</v>
      </c>
      <c r="J1780" s="56">
        <f>1*2</f>
        <v>2</v>
      </c>
      <c r="K1780" s="56">
        <f>1*2</f>
        <v>2</v>
      </c>
      <c r="L1780" s="56">
        <f>1*2</f>
        <v>2</v>
      </c>
      <c r="M1780" s="56">
        <f t="shared" si="255"/>
        <v>6</v>
      </c>
      <c r="N1780" s="56">
        <f>IF(OR(H1780="",H1780="sif",H1780="PM"),0,VLOOKUP(H1780,[5]CU!$C$4:$H$255,6,FALSE))</f>
        <v>0.4</v>
      </c>
      <c r="O1780" s="56">
        <f t="shared" si="263"/>
        <v>0</v>
      </c>
      <c r="P1780" s="56">
        <f t="shared" si="263"/>
        <v>0.8</v>
      </c>
      <c r="Q1780" s="56">
        <f t="shared" si="263"/>
        <v>0.8</v>
      </c>
      <c r="R1780" s="56">
        <f t="shared" si="263"/>
        <v>0.8</v>
      </c>
      <c r="S1780" s="56">
        <f t="shared" si="261"/>
        <v>2.4000000000000004</v>
      </c>
      <c r="T1780" s="35" t="s">
        <v>118</v>
      </c>
      <c r="U1780" s="18" t="s">
        <v>1873</v>
      </c>
      <c r="V1780" s="19" t="str">
        <f>IF(OR($H1780="",$H1780="sif",$H1780="PM"),"",VLOOKUP($H1780,[5]CU!$C$5:$J$255,8,FALSE))</f>
        <v>3. Dépenses de fonctionnement</v>
      </c>
      <c r="W1780" s="18" t="s">
        <v>521</v>
      </c>
      <c r="X1780" s="18" t="s">
        <v>1936</v>
      </c>
      <c r="Y1780" s="18" t="s">
        <v>679</v>
      </c>
      <c r="Z1780" s="19" t="str">
        <f>A1780 &amp; "-" &amp; VLOOKUP(A1780,[4]PROGRAMMES!$E$1:$F$7,2,FALSE)</f>
        <v>5-Gouvernance et pilotage du secteur</v>
      </c>
      <c r="AA1780" s="19" t="str">
        <f>B1780 &amp; "-" &amp; VLOOKUP(B1780,[4]SOUSPROGRAMMES!$E$1:$F$44,2,FALSE)</f>
        <v>56- Gestion des ressources financières</v>
      </c>
      <c r="AB1780" s="19" t="str">
        <f>C1780 &amp; "-" &amp; VLOOKUP(C1780,[4]RESULTATS!$E$1:$F$176,2,FALSE)</f>
        <v>562- Les structures bénéficiaires reçoivent à temps les budgets nécessaires pour la mise en œuvre de leurs activités</v>
      </c>
      <c r="AC1780" s="20" t="str">
        <f>D1780 &amp; "-" &amp; VLOOKUP(D1780,[4]STRATEGIES!$E$1:$F$504,2,FALSE)</f>
        <v>5623-Publication des résultats des mécanismes de suivi</v>
      </c>
      <c r="AD1780" s="21" t="str">
        <f t="shared" si="256"/>
        <v>56236-Diffusion du tableau de bord du MESRS</v>
      </c>
    </row>
    <row r="1781" spans="1:30" s="22" customFormat="1" ht="60" customHeight="1" x14ac:dyDescent="0.8">
      <c r="A1781" s="14">
        <v>5</v>
      </c>
      <c r="B1781" s="15">
        <v>56</v>
      </c>
      <c r="C1781" s="15">
        <v>562</v>
      </c>
      <c r="D1781" s="15">
        <v>5623</v>
      </c>
      <c r="E1781" s="14">
        <v>56237</v>
      </c>
      <c r="F1781" s="16" t="s">
        <v>2234</v>
      </c>
      <c r="G1781" s="21" t="s">
        <v>2224</v>
      </c>
      <c r="H1781" s="17" t="s">
        <v>66</v>
      </c>
      <c r="I1781" s="56">
        <v>0</v>
      </c>
      <c r="J1781" s="56">
        <f>20*10</f>
        <v>200</v>
      </c>
      <c r="K1781" s="56">
        <f>20*10</f>
        <v>200</v>
      </c>
      <c r="L1781" s="56">
        <f>20*10</f>
        <v>200</v>
      </c>
      <c r="M1781" s="56">
        <f t="shared" si="255"/>
        <v>600</v>
      </c>
      <c r="N1781" s="56">
        <f>IF(OR(H1781="",H1781="sif",H1781="PM"),0,VLOOKUP(H1781,[5]CU!$C$4:$H$255,6,FALSE))</f>
        <v>0.255</v>
      </c>
      <c r="O1781" s="56">
        <f t="shared" si="263"/>
        <v>0</v>
      </c>
      <c r="P1781" s="56">
        <f t="shared" si="263"/>
        <v>51</v>
      </c>
      <c r="Q1781" s="56">
        <f t="shared" si="263"/>
        <v>51</v>
      </c>
      <c r="R1781" s="56">
        <f t="shared" si="263"/>
        <v>51</v>
      </c>
      <c r="S1781" s="56">
        <f t="shared" si="261"/>
        <v>153</v>
      </c>
      <c r="T1781" s="35" t="s">
        <v>118</v>
      </c>
      <c r="U1781" s="18" t="s">
        <v>1873</v>
      </c>
      <c r="V1781" s="19" t="str">
        <f>IF(OR($H1781="",$H1781="sif",$H1781="PM"),"",VLOOKUP($H1781,[5]CU!$C$5:$J$255,8,FALSE))</f>
        <v>3. Dépenses de fonctionnement</v>
      </c>
      <c r="W1781" s="18" t="s">
        <v>521</v>
      </c>
      <c r="X1781" s="18" t="s">
        <v>1936</v>
      </c>
      <c r="Y1781" s="18" t="s">
        <v>677</v>
      </c>
      <c r="Z1781" s="19" t="str">
        <f>A1781 &amp; "-" &amp; VLOOKUP(A1781,[4]PROGRAMMES!$E$1:$F$7,2,FALSE)</f>
        <v>5-Gouvernance et pilotage du secteur</v>
      </c>
      <c r="AA1781" s="19" t="str">
        <f>B1781 &amp; "-" &amp; VLOOKUP(B1781,[4]SOUSPROGRAMMES!$E$1:$F$44,2,FALSE)</f>
        <v>56- Gestion des ressources financières</v>
      </c>
      <c r="AB1781" s="19" t="str">
        <f>C1781 &amp; "-" &amp; VLOOKUP(C1781,[4]RESULTATS!$E$1:$F$176,2,FALSE)</f>
        <v>562- Les structures bénéficiaires reçoivent à temps les budgets nécessaires pour la mise en œuvre de leurs activités</v>
      </c>
      <c r="AC1781" s="20" t="str">
        <f>D1781 &amp; "-" &amp; VLOOKUP(D1781,[4]STRATEGIES!$E$1:$F$504,2,FALSE)</f>
        <v>5623-Publication des résultats des mécanismes de suivi</v>
      </c>
      <c r="AD1781" s="21" t="str">
        <f t="shared" si="256"/>
        <v>56237-Elaboration d'un tableau de bord sur la mise en œuvre du budget du METFP</v>
      </c>
    </row>
    <row r="1782" spans="1:30" s="22" customFormat="1" ht="60" customHeight="1" x14ac:dyDescent="0.8">
      <c r="A1782" s="14">
        <v>5</v>
      </c>
      <c r="B1782" s="15">
        <v>56</v>
      </c>
      <c r="C1782" s="15">
        <v>562</v>
      </c>
      <c r="D1782" s="15">
        <v>5623</v>
      </c>
      <c r="E1782" s="14">
        <v>56238</v>
      </c>
      <c r="F1782" s="16" t="s">
        <v>2235</v>
      </c>
      <c r="G1782" s="21" t="s">
        <v>44</v>
      </c>
      <c r="H1782" s="17" t="s">
        <v>452</v>
      </c>
      <c r="I1782" s="56">
        <v>0</v>
      </c>
      <c r="J1782" s="56">
        <f>46+427+200</f>
        <v>673</v>
      </c>
      <c r="K1782" s="56">
        <f>46+427+200</f>
        <v>673</v>
      </c>
      <c r="L1782" s="56">
        <f>46+427+200</f>
        <v>673</v>
      </c>
      <c r="M1782" s="56">
        <f t="shared" si="255"/>
        <v>2019</v>
      </c>
      <c r="N1782" s="56">
        <f>IF(OR(H1782="",H1782="sif",H1782="PM"),0,VLOOKUP(H1782,[5]CU!$C$4:$H$255,6,FALSE))</f>
        <v>7.4999999999999997E-3</v>
      </c>
      <c r="O1782" s="56">
        <f t="shared" si="263"/>
        <v>0</v>
      </c>
      <c r="P1782" s="56">
        <f t="shared" si="263"/>
        <v>5.0474999999999994</v>
      </c>
      <c r="Q1782" s="56">
        <f t="shared" si="263"/>
        <v>5.0474999999999994</v>
      </c>
      <c r="R1782" s="56">
        <f t="shared" si="263"/>
        <v>5.0474999999999994</v>
      </c>
      <c r="S1782" s="56">
        <f t="shared" si="261"/>
        <v>15.142499999999998</v>
      </c>
      <c r="T1782" s="35" t="s">
        <v>118</v>
      </c>
      <c r="U1782" s="18" t="s">
        <v>1873</v>
      </c>
      <c r="V1782" s="19" t="str">
        <f>IF(OR($H1782="",$H1782="sif",$H1782="PM"),"",VLOOKUP($H1782,[5]CU!$C$5:$J$255,8,FALSE))</f>
        <v>3. Dépenses de fonctionnement</v>
      </c>
      <c r="W1782" s="18" t="s">
        <v>521</v>
      </c>
      <c r="X1782" s="18" t="s">
        <v>1936</v>
      </c>
      <c r="Y1782" s="18" t="s">
        <v>677</v>
      </c>
      <c r="Z1782" s="19" t="str">
        <f>A1782 &amp; "-" &amp; VLOOKUP(A1782,[4]PROGRAMMES!$E$1:$F$7,2,FALSE)</f>
        <v>5-Gouvernance et pilotage du secteur</v>
      </c>
      <c r="AA1782" s="19" t="str">
        <f>B1782 &amp; "-" &amp; VLOOKUP(B1782,[4]SOUSPROGRAMMES!$E$1:$F$44,2,FALSE)</f>
        <v>56- Gestion des ressources financières</v>
      </c>
      <c r="AB1782" s="19" t="str">
        <f>C1782 &amp; "-" &amp; VLOOKUP(C1782,[4]RESULTATS!$E$1:$F$176,2,FALSE)</f>
        <v>562- Les structures bénéficiaires reçoivent à temps les budgets nécessaires pour la mise en œuvre de leurs activités</v>
      </c>
      <c r="AC1782" s="20" t="str">
        <f>D1782 &amp; "-" &amp; VLOOKUP(D1782,[4]STRATEGIES!$E$1:$F$504,2,FALSE)</f>
        <v>5623-Publication des résultats des mécanismes de suivi</v>
      </c>
      <c r="AD1782" s="21" t="str">
        <f t="shared" si="256"/>
        <v>56238-Reproduction du tableau de bord du METFP</v>
      </c>
    </row>
    <row r="1783" spans="1:30" s="22" customFormat="1" ht="60" customHeight="1" x14ac:dyDescent="0.8">
      <c r="A1783" s="14">
        <v>5</v>
      </c>
      <c r="B1783" s="15">
        <v>56</v>
      </c>
      <c r="C1783" s="15">
        <v>562</v>
      </c>
      <c r="D1783" s="15">
        <v>5623</v>
      </c>
      <c r="E1783" s="14">
        <v>56239</v>
      </c>
      <c r="F1783" s="16" t="s">
        <v>2236</v>
      </c>
      <c r="G1783" s="21" t="s">
        <v>2230</v>
      </c>
      <c r="H1783" s="17" t="s">
        <v>73</v>
      </c>
      <c r="I1783" s="56">
        <v>0</v>
      </c>
      <c r="J1783" s="56">
        <f>1*2</f>
        <v>2</v>
      </c>
      <c r="K1783" s="56">
        <f>1*2</f>
        <v>2</v>
      </c>
      <c r="L1783" s="56">
        <f>1*2</f>
        <v>2</v>
      </c>
      <c r="M1783" s="56">
        <f t="shared" si="255"/>
        <v>6</v>
      </c>
      <c r="N1783" s="56">
        <f>IF(OR(H1783="",H1783="sif",H1783="PM"),0,VLOOKUP(H1783,[5]CU!$C$4:$H$255,6,FALSE))</f>
        <v>0.4</v>
      </c>
      <c r="O1783" s="56">
        <f t="shared" si="263"/>
        <v>0</v>
      </c>
      <c r="P1783" s="56">
        <f t="shared" si="263"/>
        <v>0.8</v>
      </c>
      <c r="Q1783" s="56">
        <f t="shared" si="263"/>
        <v>0.8</v>
      </c>
      <c r="R1783" s="56">
        <f t="shared" si="263"/>
        <v>0.8</v>
      </c>
      <c r="S1783" s="56">
        <f t="shared" si="261"/>
        <v>2.4000000000000004</v>
      </c>
      <c r="T1783" s="35" t="s">
        <v>118</v>
      </c>
      <c r="U1783" s="18" t="s">
        <v>1873</v>
      </c>
      <c r="V1783" s="19" t="str">
        <f>IF(OR($H1783="",$H1783="sif",$H1783="PM"),"",VLOOKUP($H1783,[5]CU!$C$5:$J$255,8,FALSE))</f>
        <v>3. Dépenses de fonctionnement</v>
      </c>
      <c r="W1783" s="18" t="s">
        <v>521</v>
      </c>
      <c r="X1783" s="18" t="s">
        <v>1936</v>
      </c>
      <c r="Y1783" s="18" t="s">
        <v>677</v>
      </c>
      <c r="Z1783" s="19" t="str">
        <f>A1783 &amp; "-" &amp; VLOOKUP(A1783,[4]PROGRAMMES!$E$1:$F$7,2,FALSE)</f>
        <v>5-Gouvernance et pilotage du secteur</v>
      </c>
      <c r="AA1783" s="19" t="str">
        <f>B1783 &amp; "-" &amp; VLOOKUP(B1783,[4]SOUSPROGRAMMES!$E$1:$F$44,2,FALSE)</f>
        <v>56- Gestion des ressources financières</v>
      </c>
      <c r="AB1783" s="19" t="str">
        <f>C1783 &amp; "-" &amp; VLOOKUP(C1783,[4]RESULTATS!$E$1:$F$176,2,FALSE)</f>
        <v>562- Les structures bénéficiaires reçoivent à temps les budgets nécessaires pour la mise en œuvre de leurs activités</v>
      </c>
      <c r="AC1783" s="20" t="str">
        <f>D1783 &amp; "-" &amp; VLOOKUP(D1783,[4]STRATEGIES!$E$1:$F$504,2,FALSE)</f>
        <v>5623-Publication des résultats des mécanismes de suivi</v>
      </c>
      <c r="AD1783" s="21" t="str">
        <f t="shared" si="256"/>
        <v>56239-Diffusion du tableau de bord du METFP</v>
      </c>
    </row>
    <row r="1784" spans="1:30" s="22" customFormat="1" ht="60" customHeight="1" x14ac:dyDescent="0.8">
      <c r="A1784" s="14">
        <v>5</v>
      </c>
      <c r="B1784" s="15">
        <v>56</v>
      </c>
      <c r="C1784" s="15">
        <v>563</v>
      </c>
      <c r="D1784" s="15">
        <v>563</v>
      </c>
      <c r="E1784" s="14">
        <v>563</v>
      </c>
      <c r="F1784" s="16" t="s">
        <v>2237</v>
      </c>
      <c r="G1784" s="17"/>
      <c r="H1784" s="17"/>
      <c r="I1784" s="56">
        <v>0</v>
      </c>
      <c r="J1784" s="56"/>
      <c r="K1784" s="56"/>
      <c r="L1784" s="56"/>
      <c r="M1784" s="56"/>
      <c r="N1784" s="56"/>
      <c r="O1784" s="56"/>
      <c r="P1784" s="56"/>
      <c r="Q1784" s="56"/>
      <c r="R1784" s="56"/>
      <c r="S1784" s="56"/>
      <c r="T1784" s="33"/>
      <c r="U1784" s="18"/>
      <c r="V1784" s="19"/>
      <c r="W1784" s="18"/>
      <c r="X1784" s="18"/>
      <c r="Y1784" s="18"/>
      <c r="Z1784" s="19" t="str">
        <f>A1784 &amp; "-" &amp; VLOOKUP(A1784,[4]PROGRAMMES!$E$1:$F$7,2,FALSE)</f>
        <v>5-Gouvernance et pilotage du secteur</v>
      </c>
      <c r="AA1784" s="19" t="str">
        <f>B1784 &amp; "-" &amp; VLOOKUP(B1784,[4]SOUSPROGRAMMES!$E$1:$F$44,2,FALSE)</f>
        <v>56- Gestion des ressources financières</v>
      </c>
      <c r="AB1784" s="19" t="str">
        <f>C1784 &amp; "-" &amp; VLOOKUP(C1784,[4]RESULTATS!$E$1:$F$176,2,FALSE)</f>
        <v>563- Une plus grande transparence sur l’utilisation des ressources financières permet une utilisation, conforme aux objectifs de la programmation</v>
      </c>
      <c r="AC1784" s="20" t="str">
        <f>D1784 &amp; "-" &amp; VLOOKUP(D1784,[4]STRATEGIES!$E$1:$F$504,2,FALSE)</f>
        <v>563- Une plus grande transparence sur l’utilisation des ressources financières permet une utilisation, conforme aux objectifs de la programmation</v>
      </c>
      <c r="AD1784" s="21" t="str">
        <f t="shared" si="256"/>
        <v>563- Une plus grande transparence sur l’utilisation des ressources Financières permet une utilisation, conforme aux objectifs de la programmation</v>
      </c>
    </row>
    <row r="1785" spans="1:30" s="22" customFormat="1" ht="60" customHeight="1" x14ac:dyDescent="0.8">
      <c r="A1785" s="14">
        <v>5</v>
      </c>
      <c r="B1785" s="15">
        <v>56</v>
      </c>
      <c r="C1785" s="15">
        <v>563</v>
      </c>
      <c r="D1785" s="15">
        <v>5631</v>
      </c>
      <c r="E1785" s="14">
        <v>5631</v>
      </c>
      <c r="F1785" s="16" t="s">
        <v>2206</v>
      </c>
      <c r="G1785" s="17"/>
      <c r="H1785" s="17"/>
      <c r="I1785" s="56">
        <v>0</v>
      </c>
      <c r="J1785" s="56"/>
      <c r="K1785" s="56"/>
      <c r="L1785" s="56"/>
      <c r="M1785" s="56"/>
      <c r="N1785" s="56"/>
      <c r="O1785" s="56"/>
      <c r="P1785" s="56"/>
      <c r="Q1785" s="56"/>
      <c r="R1785" s="56"/>
      <c r="S1785" s="56"/>
      <c r="T1785" s="33"/>
      <c r="U1785" s="18"/>
      <c r="V1785" s="19"/>
      <c r="W1785" s="18"/>
      <c r="X1785" s="18"/>
      <c r="Y1785" s="18"/>
      <c r="Z1785" s="19" t="str">
        <f>A1785 &amp; "-" &amp; VLOOKUP(A1785,[4]PROGRAMMES!$E$1:$F$7,2,FALSE)</f>
        <v>5-Gouvernance et pilotage du secteur</v>
      </c>
      <c r="AA1785" s="19" t="str">
        <f>B1785 &amp; "-" &amp; VLOOKUP(B1785,[4]SOUSPROGRAMMES!$E$1:$F$44,2,FALSE)</f>
        <v>56- Gestion des ressources financières</v>
      </c>
      <c r="AB1785" s="19" t="str">
        <f>C1785 &amp; "-" &amp; VLOOKUP(C1785,[4]RESULTATS!$E$1:$F$176,2,FALSE)</f>
        <v>563- Une plus grande transparence sur l’utilisation des ressources financières permet une utilisation, conforme aux objectifs de la programmation</v>
      </c>
      <c r="AC1785" s="20" t="str">
        <f>D1785 &amp; "-" &amp; VLOOKUP(D1785,[4]STRATEGIES!$E$1:$F$504,2,FALSE)</f>
        <v>5631-Publication des allocations budgétaires</v>
      </c>
      <c r="AD1785" s="21" t="str">
        <f t="shared" si="256"/>
        <v>5631-Publication des allocations budgétaires</v>
      </c>
    </row>
    <row r="1786" spans="1:30" s="22" customFormat="1" ht="60" hidden="1" customHeight="1" x14ac:dyDescent="0.8">
      <c r="A1786" s="14">
        <v>5</v>
      </c>
      <c r="B1786" s="15">
        <v>56</v>
      </c>
      <c r="C1786" s="15">
        <v>563</v>
      </c>
      <c r="D1786" s="15">
        <v>5631</v>
      </c>
      <c r="E1786" s="14">
        <v>56311</v>
      </c>
      <c r="F1786" s="16" t="s">
        <v>2238</v>
      </c>
      <c r="G1786" s="21" t="s">
        <v>92</v>
      </c>
      <c r="H1786" s="17" t="s">
        <v>55</v>
      </c>
      <c r="I1786" s="56">
        <v>0</v>
      </c>
      <c r="J1786" s="56">
        <v>1</v>
      </c>
      <c r="K1786" s="56">
        <v>1</v>
      </c>
      <c r="L1786" s="56">
        <v>1</v>
      </c>
      <c r="M1786" s="56">
        <f t="shared" si="255"/>
        <v>3</v>
      </c>
      <c r="N1786" s="56">
        <f>IF(OR(H1786="",H1786="sif",H1786="PM"),0,VLOOKUP(H1786,[5]CU!$C$4:$H$255,6,FALSE))</f>
        <v>0</v>
      </c>
      <c r="O1786" s="56">
        <f t="shared" ref="O1786:R1788" si="264">IFERROR($N1786*I1786,0)</f>
        <v>0</v>
      </c>
      <c r="P1786" s="56">
        <f t="shared" si="264"/>
        <v>0</v>
      </c>
      <c r="Q1786" s="56">
        <f t="shared" si="264"/>
        <v>0</v>
      </c>
      <c r="R1786" s="56">
        <f t="shared" si="264"/>
        <v>0</v>
      </c>
      <c r="S1786" s="56"/>
      <c r="T1786" s="35" t="s">
        <v>56</v>
      </c>
      <c r="U1786" s="18" t="s">
        <v>1873</v>
      </c>
      <c r="V1786" s="19" t="str">
        <f>IF(OR($H1786="",$H1786="sif",$H1786="PM"),"",VLOOKUP($H1786,[5]CU!$C$5:$J$255,8,FALSE))</f>
        <v/>
      </c>
      <c r="W1786" s="18" t="s">
        <v>521</v>
      </c>
      <c r="X1786" s="18" t="s">
        <v>2239</v>
      </c>
      <c r="Y1786" s="19" t="s">
        <v>32</v>
      </c>
      <c r="Z1786" s="19" t="str">
        <f>A1786 &amp; "-" &amp; VLOOKUP(A1786,[4]PROGRAMMES!$E$1:$F$7,2,FALSE)</f>
        <v>5-Gouvernance et pilotage du secteur</v>
      </c>
      <c r="AA1786" s="19" t="str">
        <f>B1786 &amp; "-" &amp; VLOOKUP(B1786,[4]SOUSPROGRAMMES!$E$1:$F$44,2,FALSE)</f>
        <v>56- Gestion des ressources financières</v>
      </c>
      <c r="AB1786" s="19" t="str">
        <f>C1786 &amp; "-" &amp; VLOOKUP(C1786,[4]RESULTATS!$E$1:$F$176,2,FALSE)</f>
        <v>563- Une plus grande transparence sur l’utilisation des ressources financières permet une utilisation, conforme aux objectifs de la programmation</v>
      </c>
      <c r="AC1786" s="20" t="str">
        <f>D1786 &amp; "-" &amp; VLOOKUP(D1786,[4]STRATEGIES!$E$1:$F$504,2,FALSE)</f>
        <v>5631-Publication des allocations budgétaires</v>
      </c>
      <c r="AD1786" s="21" t="str">
        <f t="shared" si="256"/>
        <v>56311-Production d'affiches sur le budget alloué aux structures (sur le budget des structures)</v>
      </c>
    </row>
    <row r="1787" spans="1:30" s="22" customFormat="1" ht="60" customHeight="1" x14ac:dyDescent="0.8">
      <c r="A1787" s="14">
        <v>5</v>
      </c>
      <c r="B1787" s="15">
        <v>56</v>
      </c>
      <c r="C1787" s="15">
        <v>563</v>
      </c>
      <c r="D1787" s="15">
        <v>5631</v>
      </c>
      <c r="E1787" s="14">
        <v>56312</v>
      </c>
      <c r="F1787" s="16" t="s">
        <v>2240</v>
      </c>
      <c r="G1787" s="21" t="s">
        <v>315</v>
      </c>
      <c r="H1787" s="17" t="s">
        <v>301</v>
      </c>
      <c r="I1787" s="56">
        <v>0</v>
      </c>
      <c r="J1787" s="56"/>
      <c r="K1787" s="56"/>
      <c r="L1787" s="56">
        <f>I1787</f>
        <v>0</v>
      </c>
      <c r="M1787" s="56">
        <f t="shared" si="255"/>
        <v>0</v>
      </c>
      <c r="N1787" s="56">
        <f>IF(OR(H1787="",H1787="sif",H1787="PM"),0,VLOOKUP(H1787,[5]CU!$C$4:$H$255,6,FALSE))</f>
        <v>0.67666666666666664</v>
      </c>
      <c r="O1787" s="56">
        <f t="shared" si="264"/>
        <v>0</v>
      </c>
      <c r="P1787" s="56">
        <f t="shared" si="264"/>
        <v>0</v>
      </c>
      <c r="Q1787" s="56">
        <f t="shared" si="264"/>
        <v>0</v>
      </c>
      <c r="R1787" s="56">
        <f t="shared" si="264"/>
        <v>0</v>
      </c>
      <c r="S1787" s="56">
        <f>SUM(O1787:R1787)</f>
        <v>0</v>
      </c>
      <c r="T1787" s="35" t="s">
        <v>118</v>
      </c>
      <c r="U1787" s="18" t="s">
        <v>1873</v>
      </c>
      <c r="V1787" s="19" t="str">
        <f>IF(OR($H1787="",$H1787="sif",$H1787="PM"),"",VLOOKUP($H1787,[5]CU!$C$5:$J$255,8,FALSE))</f>
        <v>3. Formation</v>
      </c>
      <c r="W1787" s="18" t="s">
        <v>1936</v>
      </c>
      <c r="X1787" s="18" t="s">
        <v>1936</v>
      </c>
      <c r="Y1787" s="19" t="s">
        <v>32</v>
      </c>
      <c r="Z1787" s="19" t="str">
        <f>A1787 &amp; "-" &amp; VLOOKUP(A1787,[4]PROGRAMMES!$E$1:$F$7,2,FALSE)</f>
        <v>5-Gouvernance et pilotage du secteur</v>
      </c>
      <c r="AA1787" s="19" t="str">
        <f>B1787 &amp; "-" &amp; VLOOKUP(B1787,[4]SOUSPROGRAMMES!$E$1:$F$44,2,FALSE)</f>
        <v>56- Gestion des ressources financières</v>
      </c>
      <c r="AB1787" s="19" t="str">
        <f>C1787 &amp; "-" &amp; VLOOKUP(C1787,[4]RESULTATS!$E$1:$F$176,2,FALSE)</f>
        <v>563- Une plus grande transparence sur l’utilisation des ressources financières permet une utilisation, conforme aux objectifs de la programmation</v>
      </c>
      <c r="AC1787" s="20" t="str">
        <f>D1787 &amp; "-" &amp; VLOOKUP(D1787,[4]STRATEGIES!$E$1:$F$504,2,FALSE)</f>
        <v>5631-Publication des allocations budgétaires</v>
      </c>
      <c r="AD1787" s="21" t="str">
        <f t="shared" si="256"/>
        <v>56312-Formation des chargés du matériel et équipement en comptabilité matière au niveau central et déconcentré</v>
      </c>
    </row>
    <row r="1788" spans="1:30" s="22" customFormat="1" ht="60" hidden="1" customHeight="1" x14ac:dyDescent="0.8">
      <c r="A1788" s="14">
        <v>5</v>
      </c>
      <c r="B1788" s="15">
        <v>56</v>
      </c>
      <c r="C1788" s="15">
        <v>563</v>
      </c>
      <c r="D1788" s="15">
        <v>5631</v>
      </c>
      <c r="E1788" s="14">
        <v>56313</v>
      </c>
      <c r="F1788" s="16" t="s">
        <v>2241</v>
      </c>
      <c r="G1788" s="21" t="s">
        <v>92</v>
      </c>
      <c r="H1788" s="17" t="s">
        <v>55</v>
      </c>
      <c r="I1788" s="56">
        <v>0</v>
      </c>
      <c r="J1788" s="56">
        <v>0</v>
      </c>
      <c r="K1788" s="56">
        <v>1</v>
      </c>
      <c r="L1788" s="56">
        <v>1</v>
      </c>
      <c r="M1788" s="56">
        <f t="shared" si="255"/>
        <v>2</v>
      </c>
      <c r="N1788" s="56">
        <f>IF(OR(H1788="",H1788="sif",H1788="PM"),0,VLOOKUP(H1788,[5]CU!$C$4:$H$255,6,FALSE))</f>
        <v>0</v>
      </c>
      <c r="O1788" s="56">
        <f t="shared" si="264"/>
        <v>0</v>
      </c>
      <c r="P1788" s="56">
        <f t="shared" si="264"/>
        <v>0</v>
      </c>
      <c r="Q1788" s="56">
        <f t="shared" si="264"/>
        <v>0</v>
      </c>
      <c r="R1788" s="56">
        <f t="shared" si="264"/>
        <v>0</v>
      </c>
      <c r="S1788" s="56"/>
      <c r="T1788" s="35" t="s">
        <v>56</v>
      </c>
      <c r="U1788" s="18" t="s">
        <v>1873</v>
      </c>
      <c r="V1788" s="19" t="str">
        <f>IF(OR($H1788="",$H1788="sif",$H1788="PM"),"",VLOOKUP($H1788,[5]CU!$C$5:$J$255,8,FALSE))</f>
        <v/>
      </c>
      <c r="W1788" s="18" t="s">
        <v>521</v>
      </c>
      <c r="X1788" s="18" t="s">
        <v>2187</v>
      </c>
      <c r="Y1788" s="19" t="s">
        <v>32</v>
      </c>
      <c r="Z1788" s="19" t="str">
        <f>A1788 &amp; "-" &amp; VLOOKUP(A1788,[4]PROGRAMMES!$E$1:$F$7,2,FALSE)</f>
        <v>5-Gouvernance et pilotage du secteur</v>
      </c>
      <c r="AA1788" s="19" t="str">
        <f>B1788 &amp; "-" &amp; VLOOKUP(B1788,[4]SOUSPROGRAMMES!$E$1:$F$44,2,FALSE)</f>
        <v>56- Gestion des ressources financières</v>
      </c>
      <c r="AB1788" s="19" t="str">
        <f>C1788 &amp; "-" &amp; VLOOKUP(C1788,[4]RESULTATS!$E$1:$F$176,2,FALSE)</f>
        <v>563- Une plus grande transparence sur l’utilisation des ressources financières permet une utilisation, conforme aux objectifs de la programmation</v>
      </c>
      <c r="AC1788" s="20" t="str">
        <f>D1788 &amp; "-" &amp; VLOOKUP(D1788,[4]STRATEGIES!$E$1:$F$504,2,FALSE)</f>
        <v>5631-Publication des allocations budgétaires</v>
      </c>
      <c r="AD1788" s="21" t="str">
        <f t="shared" si="256"/>
        <v>56313-Diffusion du budget sur le site web du secteur</v>
      </c>
    </row>
    <row r="1789" spans="1:30" s="22" customFormat="1" ht="60" customHeight="1" x14ac:dyDescent="0.8">
      <c r="A1789" s="14">
        <v>5</v>
      </c>
      <c r="B1789" s="15">
        <v>56</v>
      </c>
      <c r="C1789" s="15">
        <v>563</v>
      </c>
      <c r="D1789" s="15">
        <v>5632</v>
      </c>
      <c r="E1789" s="14">
        <v>5632</v>
      </c>
      <c r="F1789" s="16" t="s">
        <v>2242</v>
      </c>
      <c r="G1789" s="17"/>
      <c r="H1789" s="17"/>
      <c r="I1789" s="56">
        <v>0</v>
      </c>
      <c r="J1789" s="56"/>
      <c r="K1789" s="56"/>
      <c r="L1789" s="56"/>
      <c r="M1789" s="56"/>
      <c r="N1789" s="56"/>
      <c r="O1789" s="56"/>
      <c r="P1789" s="56"/>
      <c r="Q1789" s="56"/>
      <c r="R1789" s="56"/>
      <c r="S1789" s="56"/>
      <c r="T1789" s="33"/>
      <c r="U1789" s="18"/>
      <c r="V1789" s="19"/>
      <c r="W1789" s="18"/>
      <c r="X1789" s="18"/>
      <c r="Y1789" s="18"/>
      <c r="Z1789" s="19" t="str">
        <f>A1789 &amp; "-" &amp; VLOOKUP(A1789,[4]PROGRAMMES!$E$1:$F$7,2,FALSE)</f>
        <v>5-Gouvernance et pilotage du secteur</v>
      </c>
      <c r="AA1789" s="19" t="str">
        <f>B1789 &amp; "-" &amp; VLOOKUP(B1789,[4]SOUSPROGRAMMES!$E$1:$F$44,2,FALSE)</f>
        <v>56- Gestion des ressources financières</v>
      </c>
      <c r="AB1789" s="19" t="str">
        <f>C1789 &amp; "-" &amp; VLOOKUP(C1789,[4]RESULTATS!$E$1:$F$176,2,FALSE)</f>
        <v>563- Une plus grande transparence sur l’utilisation des ressources financières permet une utilisation, conforme aux objectifs de la programmation</v>
      </c>
      <c r="AC1789" s="20" t="str">
        <f>D1789 &amp; "-" &amp; VLOOKUP(D1789,[4]STRATEGIES!$E$1:$F$504,2,FALSE)</f>
        <v>5632-Publication des rapports d’exécution budgétaire</v>
      </c>
      <c r="AD1789" s="21" t="str">
        <f t="shared" si="256"/>
        <v>5632-Publication des rapports d’exécution budgétaire</v>
      </c>
    </row>
    <row r="1790" spans="1:30" s="22" customFormat="1" ht="60" hidden="1" customHeight="1" x14ac:dyDescent="0.8">
      <c r="A1790" s="14">
        <v>5</v>
      </c>
      <c r="B1790" s="15">
        <v>56</v>
      </c>
      <c r="C1790" s="15">
        <v>563</v>
      </c>
      <c r="D1790" s="15">
        <v>5632</v>
      </c>
      <c r="E1790" s="14">
        <v>56321</v>
      </c>
      <c r="F1790" s="16" t="s">
        <v>2243</v>
      </c>
      <c r="G1790" s="21" t="s">
        <v>92</v>
      </c>
      <c r="H1790" s="17" t="s">
        <v>55</v>
      </c>
      <c r="I1790" s="56">
        <v>0</v>
      </c>
      <c r="J1790" s="56">
        <v>1</v>
      </c>
      <c r="K1790" s="56">
        <v>1</v>
      </c>
      <c r="L1790" s="56">
        <v>1</v>
      </c>
      <c r="M1790" s="56">
        <f t="shared" si="255"/>
        <v>3</v>
      </c>
      <c r="N1790" s="56">
        <f>IF(OR(H1790="",H1790="sif",H1790="PM"),0,VLOOKUP(H1790,[5]CU!$C$4:$H$255,6,FALSE))</f>
        <v>0</v>
      </c>
      <c r="O1790" s="56">
        <f t="shared" ref="O1790:R1798" si="265">IFERROR($N1790*I1790,0)</f>
        <v>0</v>
      </c>
      <c r="P1790" s="56">
        <f t="shared" si="265"/>
        <v>0</v>
      </c>
      <c r="Q1790" s="56">
        <f t="shared" si="265"/>
        <v>0</v>
      </c>
      <c r="R1790" s="56">
        <f t="shared" si="265"/>
        <v>0</v>
      </c>
      <c r="S1790" s="56"/>
      <c r="T1790" s="35" t="s">
        <v>56</v>
      </c>
      <c r="U1790" s="18" t="s">
        <v>1873</v>
      </c>
      <c r="V1790" s="19" t="str">
        <f>IF(OR($H1790="",$H1790="sif",$H1790="PM"),"",VLOOKUP($H1790,[5]CU!$C$5:$J$255,8,FALSE))</f>
        <v/>
      </c>
      <c r="W1790" s="18" t="s">
        <v>521</v>
      </c>
      <c r="X1790" s="18" t="s">
        <v>1936</v>
      </c>
      <c r="Y1790" s="19" t="s">
        <v>32</v>
      </c>
      <c r="Z1790" s="19" t="str">
        <f>A1790 &amp; "-" &amp; VLOOKUP(A1790,[4]PROGRAMMES!$E$1:$F$7,2,FALSE)</f>
        <v>5-Gouvernance et pilotage du secteur</v>
      </c>
      <c r="AA1790" s="19" t="str">
        <f>B1790 &amp; "-" &amp; VLOOKUP(B1790,[4]SOUSPROGRAMMES!$E$1:$F$44,2,FALSE)</f>
        <v>56- Gestion des ressources financières</v>
      </c>
      <c r="AB1790" s="19" t="str">
        <f>C1790 &amp; "-" &amp; VLOOKUP(C1790,[4]RESULTATS!$E$1:$F$176,2,FALSE)</f>
        <v>563- Une plus grande transparence sur l’utilisation des ressources financières permet une utilisation, conforme aux objectifs de la programmation</v>
      </c>
      <c r="AC1790" s="20" t="str">
        <f>D1790 &amp; "-" &amp; VLOOKUP(D1790,[4]STRATEGIES!$E$1:$F$504,2,FALSE)</f>
        <v>5632-Publication des rapports d’exécution budgétaire</v>
      </c>
      <c r="AD1790" s="21" t="str">
        <f t="shared" si="256"/>
        <v>56321-Elaboration du rapport d'exécution du budget par structure</v>
      </c>
    </row>
    <row r="1791" spans="1:30" s="22" customFormat="1" ht="45.75" hidden="1" x14ac:dyDescent="0.8">
      <c r="A1791" s="14">
        <v>5</v>
      </c>
      <c r="B1791" s="15">
        <v>56</v>
      </c>
      <c r="C1791" s="15">
        <v>563</v>
      </c>
      <c r="D1791" s="15">
        <v>5632</v>
      </c>
      <c r="E1791" s="14">
        <v>56322</v>
      </c>
      <c r="F1791" s="16" t="s">
        <v>2244</v>
      </c>
      <c r="G1791" s="21" t="s">
        <v>92</v>
      </c>
      <c r="H1791" s="17" t="s">
        <v>55</v>
      </c>
      <c r="I1791" s="56">
        <v>0</v>
      </c>
      <c r="J1791" s="56">
        <v>1</v>
      </c>
      <c r="K1791" s="56">
        <v>1</v>
      </c>
      <c r="L1791" s="56">
        <v>1</v>
      </c>
      <c r="M1791" s="56">
        <f t="shared" si="255"/>
        <v>3</v>
      </c>
      <c r="N1791" s="56">
        <f>IF(OR(H1791="",H1791="sif",H1791="PM"),0,VLOOKUP(H1791,[5]CU!$C$4:$H$255,6,FALSE))</f>
        <v>0</v>
      </c>
      <c r="O1791" s="56">
        <f t="shared" si="265"/>
        <v>0</v>
      </c>
      <c r="P1791" s="56">
        <f t="shared" si="265"/>
        <v>0</v>
      </c>
      <c r="Q1791" s="56">
        <f t="shared" si="265"/>
        <v>0</v>
      </c>
      <c r="R1791" s="56">
        <f t="shared" si="265"/>
        <v>0</v>
      </c>
      <c r="S1791" s="56"/>
      <c r="T1791" s="35" t="s">
        <v>56</v>
      </c>
      <c r="U1791" s="18" t="s">
        <v>1873</v>
      </c>
      <c r="V1791" s="19" t="str">
        <f>IF(OR($H1791="",$H1791="sif",$H1791="PM"),"",VLOOKUP($H1791,[5]CU!$C$5:$J$255,8,FALSE))</f>
        <v/>
      </c>
      <c r="W1791" s="18" t="s">
        <v>521</v>
      </c>
      <c r="X1791" s="18" t="s">
        <v>1963</v>
      </c>
      <c r="Y1791" s="19" t="s">
        <v>32</v>
      </c>
      <c r="Z1791" s="19" t="str">
        <f>A1791 &amp; "-" &amp; VLOOKUP(A1791,[4]PROGRAMMES!$E$1:$F$7,2,FALSE)</f>
        <v>5-Gouvernance et pilotage du secteur</v>
      </c>
      <c r="AA1791" s="19" t="str">
        <f>B1791 &amp; "-" &amp; VLOOKUP(B1791,[4]SOUSPROGRAMMES!$E$1:$F$44,2,FALSE)</f>
        <v>56- Gestion des ressources financières</v>
      </c>
      <c r="AB1791" s="19" t="str">
        <f>C1791 &amp; "-" &amp; VLOOKUP(C1791,[4]RESULTATS!$E$1:$F$176,2,FALSE)</f>
        <v>563- Une plus grande transparence sur l’utilisation des ressources financières permet une utilisation, conforme aux objectifs de la programmation</v>
      </c>
      <c r="AC1791" s="20" t="str">
        <f>D1791 &amp; "-" &amp; VLOOKUP(D1791,[4]STRATEGIES!$E$1:$F$504,2,FALSE)</f>
        <v>5632-Publication des rapports d’exécution budgétaire</v>
      </c>
      <c r="AD1791" s="21" t="str">
        <f t="shared" si="256"/>
        <v>56322-Production d'affiches sur le budget exécuté par structure</v>
      </c>
    </row>
    <row r="1792" spans="1:30" s="22" customFormat="1" ht="45.75" hidden="1" x14ac:dyDescent="0.8">
      <c r="A1792" s="14">
        <v>5</v>
      </c>
      <c r="B1792" s="15">
        <v>56</v>
      </c>
      <c r="C1792" s="15">
        <v>563</v>
      </c>
      <c r="D1792" s="15">
        <v>5632</v>
      </c>
      <c r="E1792" s="14">
        <v>56323</v>
      </c>
      <c r="F1792" s="16" t="s">
        <v>2245</v>
      </c>
      <c r="G1792" s="21" t="s">
        <v>92</v>
      </c>
      <c r="H1792" s="17" t="s">
        <v>55</v>
      </c>
      <c r="I1792" s="56">
        <v>0</v>
      </c>
      <c r="J1792" s="56">
        <v>0</v>
      </c>
      <c r="K1792" s="56">
        <v>1</v>
      </c>
      <c r="L1792" s="56">
        <v>1</v>
      </c>
      <c r="M1792" s="56">
        <f t="shared" si="255"/>
        <v>2</v>
      </c>
      <c r="N1792" s="56">
        <f>IF(OR(H1792="",H1792="sif",H1792="PM"),0,VLOOKUP(H1792,[5]CU!$C$4:$H$255,6,FALSE))</f>
        <v>0</v>
      </c>
      <c r="O1792" s="56">
        <f t="shared" si="265"/>
        <v>0</v>
      </c>
      <c r="P1792" s="56">
        <f t="shared" si="265"/>
        <v>0</v>
      </c>
      <c r="Q1792" s="56">
        <f t="shared" si="265"/>
        <v>0</v>
      </c>
      <c r="R1792" s="56">
        <f t="shared" si="265"/>
        <v>0</v>
      </c>
      <c r="S1792" s="56"/>
      <c r="T1792" s="35" t="s">
        <v>56</v>
      </c>
      <c r="U1792" s="18" t="s">
        <v>1873</v>
      </c>
      <c r="V1792" s="19" t="str">
        <f>IF(OR($H1792="",$H1792="sif",$H1792="PM"),"",VLOOKUP($H1792,[5]CU!$C$5:$J$255,8,FALSE))</f>
        <v/>
      </c>
      <c r="W1792" s="18" t="s">
        <v>521</v>
      </c>
      <c r="X1792" s="18" t="s">
        <v>2187</v>
      </c>
      <c r="Y1792" s="19" t="s">
        <v>32</v>
      </c>
      <c r="Z1792" s="19" t="str">
        <f>A1792 &amp; "-" &amp; VLOOKUP(A1792,[4]PROGRAMMES!$E$1:$F$7,2,FALSE)</f>
        <v>5-Gouvernance et pilotage du secteur</v>
      </c>
      <c r="AA1792" s="19" t="str">
        <f>B1792 &amp; "-" &amp; VLOOKUP(B1792,[4]SOUSPROGRAMMES!$E$1:$F$44,2,FALSE)</f>
        <v>56- Gestion des ressources financières</v>
      </c>
      <c r="AB1792" s="19" t="str">
        <f>C1792 &amp; "-" &amp; VLOOKUP(C1792,[4]RESULTATS!$E$1:$F$176,2,FALSE)</f>
        <v>563- Une plus grande transparence sur l’utilisation des ressources financières permet une utilisation, conforme aux objectifs de la programmation</v>
      </c>
      <c r="AC1792" s="20" t="str">
        <f>D1792 &amp; "-" &amp; VLOOKUP(D1792,[4]STRATEGIES!$E$1:$F$504,2,FALSE)</f>
        <v>5632-Publication des rapports d’exécution budgétaire</v>
      </c>
      <c r="AD1792" s="21" t="str">
        <f t="shared" si="256"/>
        <v>56323-Diffusion de l'exécution des budgets sur le site web du Ministère</v>
      </c>
    </row>
    <row r="1793" spans="1:30" s="22" customFormat="1" ht="45.75" hidden="1" x14ac:dyDescent="0.8">
      <c r="A1793" s="14">
        <v>5</v>
      </c>
      <c r="B1793" s="15">
        <v>56</v>
      </c>
      <c r="C1793" s="15">
        <v>563</v>
      </c>
      <c r="D1793" s="15">
        <v>5632</v>
      </c>
      <c r="E1793" s="14">
        <v>56324</v>
      </c>
      <c r="F1793" s="16" t="s">
        <v>2243</v>
      </c>
      <c r="G1793" s="21" t="s">
        <v>92</v>
      </c>
      <c r="H1793" s="17" t="s">
        <v>55</v>
      </c>
      <c r="I1793" s="56">
        <v>0</v>
      </c>
      <c r="J1793" s="56">
        <v>1</v>
      </c>
      <c r="K1793" s="56">
        <v>1</v>
      </c>
      <c r="L1793" s="56">
        <v>1</v>
      </c>
      <c r="M1793" s="56">
        <f t="shared" si="255"/>
        <v>3</v>
      </c>
      <c r="N1793" s="56">
        <f>IF(OR(H1793="",H1793="sif",H1793="PM"),0,VLOOKUP(H1793,[5]CU!$C$4:$H$255,6,FALSE))</f>
        <v>0</v>
      </c>
      <c r="O1793" s="56">
        <f t="shared" si="265"/>
        <v>0</v>
      </c>
      <c r="P1793" s="56">
        <f t="shared" si="265"/>
        <v>0</v>
      </c>
      <c r="Q1793" s="56">
        <f t="shared" si="265"/>
        <v>0</v>
      </c>
      <c r="R1793" s="56">
        <f t="shared" si="265"/>
        <v>0</v>
      </c>
      <c r="S1793" s="56"/>
      <c r="T1793" s="35" t="s">
        <v>56</v>
      </c>
      <c r="U1793" s="18" t="s">
        <v>1873</v>
      </c>
      <c r="V1793" s="19" t="str">
        <f>IF(OR($H1793="",$H1793="sif",$H1793="PM"),"",VLOOKUP($H1793,[5]CU!$C$5:$J$255,8,FALSE))</f>
        <v/>
      </c>
      <c r="W1793" s="18" t="s">
        <v>521</v>
      </c>
      <c r="X1793" s="18" t="s">
        <v>1936</v>
      </c>
      <c r="Y1793" s="18" t="s">
        <v>679</v>
      </c>
      <c r="Z1793" s="19" t="str">
        <f>A1793 &amp; "-" &amp; VLOOKUP(A1793,[4]PROGRAMMES!$E$1:$F$7,2,FALSE)</f>
        <v>5-Gouvernance et pilotage du secteur</v>
      </c>
      <c r="AA1793" s="19" t="str">
        <f>B1793 &amp; "-" &amp; VLOOKUP(B1793,[4]SOUSPROGRAMMES!$E$1:$F$44,2,FALSE)</f>
        <v>56- Gestion des ressources financières</v>
      </c>
      <c r="AB1793" s="19" t="str">
        <f>C1793 &amp; "-" &amp; VLOOKUP(C1793,[4]RESULTATS!$E$1:$F$176,2,FALSE)</f>
        <v>563- Une plus grande transparence sur l’utilisation des ressources financières permet une utilisation, conforme aux objectifs de la programmation</v>
      </c>
      <c r="AC1793" s="20" t="str">
        <f>D1793 &amp; "-" &amp; VLOOKUP(D1793,[4]STRATEGIES!$E$1:$F$504,2,FALSE)</f>
        <v>5632-Publication des rapports d’exécution budgétaire</v>
      </c>
      <c r="AD1793" s="21" t="str">
        <f t="shared" si="256"/>
        <v>56324-Elaboration du rapport d'exécution du budget par structure</v>
      </c>
    </row>
    <row r="1794" spans="1:30" s="22" customFormat="1" ht="45.75" hidden="1" x14ac:dyDescent="0.8">
      <c r="A1794" s="14">
        <v>5</v>
      </c>
      <c r="B1794" s="15">
        <v>56</v>
      </c>
      <c r="C1794" s="15">
        <v>563</v>
      </c>
      <c r="D1794" s="15">
        <v>5632</v>
      </c>
      <c r="E1794" s="14">
        <v>56325</v>
      </c>
      <c r="F1794" s="16" t="s">
        <v>2244</v>
      </c>
      <c r="G1794" s="21" t="s">
        <v>92</v>
      </c>
      <c r="H1794" s="17" t="s">
        <v>55</v>
      </c>
      <c r="I1794" s="56">
        <v>0</v>
      </c>
      <c r="J1794" s="56">
        <v>1</v>
      </c>
      <c r="K1794" s="56">
        <v>1</v>
      </c>
      <c r="L1794" s="56">
        <v>1</v>
      </c>
      <c r="M1794" s="56">
        <f t="shared" si="255"/>
        <v>3</v>
      </c>
      <c r="N1794" s="56">
        <f>IF(OR(H1794="",H1794="sif",H1794="PM"),0,VLOOKUP(H1794,[5]CU!$C$4:$H$255,6,FALSE))</f>
        <v>0</v>
      </c>
      <c r="O1794" s="56">
        <f t="shared" si="265"/>
        <v>0</v>
      </c>
      <c r="P1794" s="56">
        <f t="shared" si="265"/>
        <v>0</v>
      </c>
      <c r="Q1794" s="56">
        <f t="shared" si="265"/>
        <v>0</v>
      </c>
      <c r="R1794" s="56">
        <f t="shared" si="265"/>
        <v>0</v>
      </c>
      <c r="S1794" s="56"/>
      <c r="T1794" s="35" t="s">
        <v>56</v>
      </c>
      <c r="U1794" s="18" t="s">
        <v>1873</v>
      </c>
      <c r="V1794" s="19" t="str">
        <f>IF(OR($H1794="",$H1794="sif",$H1794="PM"),"",VLOOKUP($H1794,[5]CU!$C$5:$J$255,8,FALSE))</f>
        <v/>
      </c>
      <c r="W1794" s="18" t="s">
        <v>521</v>
      </c>
      <c r="X1794" s="18" t="s">
        <v>1963</v>
      </c>
      <c r="Y1794" s="18" t="s">
        <v>679</v>
      </c>
      <c r="Z1794" s="19" t="str">
        <f>A1794 &amp; "-" &amp; VLOOKUP(A1794,[4]PROGRAMMES!$E$1:$F$7,2,FALSE)</f>
        <v>5-Gouvernance et pilotage du secteur</v>
      </c>
      <c r="AA1794" s="19" t="str">
        <f>B1794 &amp; "-" &amp; VLOOKUP(B1794,[4]SOUSPROGRAMMES!$E$1:$F$44,2,FALSE)</f>
        <v>56- Gestion des ressources financières</v>
      </c>
      <c r="AB1794" s="19" t="str">
        <f>C1794 &amp; "-" &amp; VLOOKUP(C1794,[4]RESULTATS!$E$1:$F$176,2,FALSE)</f>
        <v>563- Une plus grande transparence sur l’utilisation des ressources financières permet une utilisation, conforme aux objectifs de la programmation</v>
      </c>
      <c r="AC1794" s="20" t="str">
        <f>D1794 &amp; "-" &amp; VLOOKUP(D1794,[4]STRATEGIES!$E$1:$F$504,2,FALSE)</f>
        <v>5632-Publication des rapports d’exécution budgétaire</v>
      </c>
      <c r="AD1794" s="21" t="str">
        <f t="shared" si="256"/>
        <v>56325-Production d'affiches sur le budget exécuté par structure</v>
      </c>
    </row>
    <row r="1795" spans="1:30" s="22" customFormat="1" ht="45.75" hidden="1" x14ac:dyDescent="0.8">
      <c r="A1795" s="14">
        <v>5</v>
      </c>
      <c r="B1795" s="15">
        <v>56</v>
      </c>
      <c r="C1795" s="15">
        <v>563</v>
      </c>
      <c r="D1795" s="15">
        <v>5632</v>
      </c>
      <c r="E1795" s="14">
        <v>56326</v>
      </c>
      <c r="F1795" s="16" t="s">
        <v>2245</v>
      </c>
      <c r="G1795" s="21" t="s">
        <v>92</v>
      </c>
      <c r="H1795" s="17" t="s">
        <v>55</v>
      </c>
      <c r="I1795" s="56">
        <v>0</v>
      </c>
      <c r="J1795" s="56">
        <v>0</v>
      </c>
      <c r="K1795" s="56">
        <v>1</v>
      </c>
      <c r="L1795" s="56">
        <v>1</v>
      </c>
      <c r="M1795" s="56">
        <f t="shared" si="255"/>
        <v>2</v>
      </c>
      <c r="N1795" s="56">
        <f>IF(OR(H1795="",H1795="sif",H1795="PM"),0,VLOOKUP(H1795,[5]CU!$C$4:$H$255,6,FALSE))</f>
        <v>0</v>
      </c>
      <c r="O1795" s="56">
        <f t="shared" si="265"/>
        <v>0</v>
      </c>
      <c r="P1795" s="56">
        <f t="shared" si="265"/>
        <v>0</v>
      </c>
      <c r="Q1795" s="56">
        <f t="shared" si="265"/>
        <v>0</v>
      </c>
      <c r="R1795" s="56">
        <f t="shared" si="265"/>
        <v>0</v>
      </c>
      <c r="S1795" s="56"/>
      <c r="T1795" s="35" t="s">
        <v>56</v>
      </c>
      <c r="U1795" s="18" t="s">
        <v>1873</v>
      </c>
      <c r="V1795" s="19" t="str">
        <f>IF(OR($H1795="",$H1795="sif",$H1795="PM"),"",VLOOKUP($H1795,[5]CU!$C$5:$J$255,8,FALSE))</f>
        <v/>
      </c>
      <c r="W1795" s="18" t="s">
        <v>521</v>
      </c>
      <c r="X1795" s="18" t="s">
        <v>2187</v>
      </c>
      <c r="Y1795" s="18" t="s">
        <v>679</v>
      </c>
      <c r="Z1795" s="19" t="str">
        <f>A1795 &amp; "-" &amp; VLOOKUP(A1795,[4]PROGRAMMES!$E$1:$F$7,2,FALSE)</f>
        <v>5-Gouvernance et pilotage du secteur</v>
      </c>
      <c r="AA1795" s="19" t="str">
        <f>B1795 &amp; "-" &amp; VLOOKUP(B1795,[4]SOUSPROGRAMMES!$E$1:$F$44,2,FALSE)</f>
        <v>56- Gestion des ressources financières</v>
      </c>
      <c r="AB1795" s="19" t="str">
        <f>C1795 &amp; "-" &amp; VLOOKUP(C1795,[4]RESULTATS!$E$1:$F$176,2,FALSE)</f>
        <v>563- Une plus grande transparence sur l’utilisation des ressources financières permet une utilisation, conforme aux objectifs de la programmation</v>
      </c>
      <c r="AC1795" s="20" t="str">
        <f>D1795 &amp; "-" &amp; VLOOKUP(D1795,[4]STRATEGIES!$E$1:$F$504,2,FALSE)</f>
        <v>5632-Publication des rapports d’exécution budgétaire</v>
      </c>
      <c r="AD1795" s="21" t="str">
        <f t="shared" si="256"/>
        <v>56326-Diffusion de l'exécution des budgets sur le site web du Ministère</v>
      </c>
    </row>
    <row r="1796" spans="1:30" s="22" customFormat="1" ht="45.75" hidden="1" x14ac:dyDescent="0.8">
      <c r="A1796" s="14">
        <v>5</v>
      </c>
      <c r="B1796" s="15">
        <v>56</v>
      </c>
      <c r="C1796" s="15">
        <v>563</v>
      </c>
      <c r="D1796" s="15">
        <v>5632</v>
      </c>
      <c r="E1796" s="14">
        <v>56327</v>
      </c>
      <c r="F1796" s="16" t="s">
        <v>2243</v>
      </c>
      <c r="G1796" s="21" t="s">
        <v>92</v>
      </c>
      <c r="H1796" s="17" t="s">
        <v>55</v>
      </c>
      <c r="I1796" s="56">
        <v>0</v>
      </c>
      <c r="J1796" s="56">
        <v>1</v>
      </c>
      <c r="K1796" s="56">
        <v>1</v>
      </c>
      <c r="L1796" s="56">
        <v>1</v>
      </c>
      <c r="M1796" s="56">
        <f t="shared" si="255"/>
        <v>3</v>
      </c>
      <c r="N1796" s="56">
        <f>IF(OR(H1796="",H1796="sif",H1796="PM"),0,VLOOKUP(H1796,[5]CU!$C$4:$H$255,6,FALSE))</f>
        <v>0</v>
      </c>
      <c r="O1796" s="56">
        <f t="shared" si="265"/>
        <v>0</v>
      </c>
      <c r="P1796" s="56">
        <f t="shared" si="265"/>
        <v>0</v>
      </c>
      <c r="Q1796" s="56">
        <f t="shared" si="265"/>
        <v>0</v>
      </c>
      <c r="R1796" s="56">
        <f t="shared" si="265"/>
        <v>0</v>
      </c>
      <c r="S1796" s="56"/>
      <c r="T1796" s="35" t="s">
        <v>56</v>
      </c>
      <c r="U1796" s="18" t="s">
        <v>1873</v>
      </c>
      <c r="V1796" s="19" t="str">
        <f>IF(OR($H1796="",$H1796="sif",$H1796="PM"),"",VLOOKUP($H1796,[5]CU!$C$5:$J$255,8,FALSE))</f>
        <v/>
      </c>
      <c r="W1796" s="18" t="s">
        <v>521</v>
      </c>
      <c r="X1796" s="18" t="s">
        <v>1936</v>
      </c>
      <c r="Y1796" s="18" t="s">
        <v>677</v>
      </c>
      <c r="Z1796" s="19" t="str">
        <f>A1796 &amp; "-" &amp; VLOOKUP(A1796,[4]PROGRAMMES!$E$1:$F$7,2,FALSE)</f>
        <v>5-Gouvernance et pilotage du secteur</v>
      </c>
      <c r="AA1796" s="19" t="str">
        <f>B1796 &amp; "-" &amp; VLOOKUP(B1796,[4]SOUSPROGRAMMES!$E$1:$F$44,2,FALSE)</f>
        <v>56- Gestion des ressources financières</v>
      </c>
      <c r="AB1796" s="19" t="str">
        <f>C1796 &amp; "-" &amp; VLOOKUP(C1796,[4]RESULTATS!$E$1:$F$176,2,FALSE)</f>
        <v>563- Une plus grande transparence sur l’utilisation des ressources financières permet une utilisation, conforme aux objectifs de la programmation</v>
      </c>
      <c r="AC1796" s="20" t="str">
        <f>D1796 &amp; "-" &amp; VLOOKUP(D1796,[4]STRATEGIES!$E$1:$F$504,2,FALSE)</f>
        <v>5632-Publication des rapports d’exécution budgétaire</v>
      </c>
      <c r="AD1796" s="21" t="str">
        <f t="shared" ref="AD1796:AD1861" si="266">E1796 &amp; "-" &amp; F1796</f>
        <v>56327-Elaboration du rapport d'exécution du budget par structure</v>
      </c>
    </row>
    <row r="1797" spans="1:30" s="22" customFormat="1" ht="45.75" hidden="1" x14ac:dyDescent="0.8">
      <c r="A1797" s="14">
        <v>5</v>
      </c>
      <c r="B1797" s="15">
        <v>56</v>
      </c>
      <c r="C1797" s="15">
        <v>563</v>
      </c>
      <c r="D1797" s="15">
        <v>5632</v>
      </c>
      <c r="E1797" s="14">
        <v>56328</v>
      </c>
      <c r="F1797" s="16" t="s">
        <v>2244</v>
      </c>
      <c r="G1797" s="21" t="s">
        <v>92</v>
      </c>
      <c r="H1797" s="17" t="s">
        <v>55</v>
      </c>
      <c r="I1797" s="56">
        <v>0</v>
      </c>
      <c r="J1797" s="56">
        <v>1</v>
      </c>
      <c r="K1797" s="56">
        <v>1</v>
      </c>
      <c r="L1797" s="56">
        <v>1</v>
      </c>
      <c r="M1797" s="56">
        <f t="shared" si="255"/>
        <v>3</v>
      </c>
      <c r="N1797" s="56">
        <f>IF(OR(H1797="",H1797="sif",H1797="PM"),0,VLOOKUP(H1797,[5]CU!$C$4:$H$255,6,FALSE))</f>
        <v>0</v>
      </c>
      <c r="O1797" s="56">
        <f t="shared" si="265"/>
        <v>0</v>
      </c>
      <c r="P1797" s="56">
        <f t="shared" si="265"/>
        <v>0</v>
      </c>
      <c r="Q1797" s="56">
        <f t="shared" si="265"/>
        <v>0</v>
      </c>
      <c r="R1797" s="56">
        <f t="shared" si="265"/>
        <v>0</v>
      </c>
      <c r="S1797" s="56"/>
      <c r="T1797" s="35" t="s">
        <v>56</v>
      </c>
      <c r="U1797" s="18" t="s">
        <v>1873</v>
      </c>
      <c r="V1797" s="19" t="str">
        <f>IF(OR($H1797="",$H1797="sif",$H1797="PM"),"",VLOOKUP($H1797,[5]CU!$C$5:$J$255,8,FALSE))</f>
        <v/>
      </c>
      <c r="W1797" s="18" t="s">
        <v>521</v>
      </c>
      <c r="X1797" s="18" t="s">
        <v>1963</v>
      </c>
      <c r="Y1797" s="18" t="s">
        <v>677</v>
      </c>
      <c r="Z1797" s="19" t="str">
        <f>A1797 &amp; "-" &amp; VLOOKUP(A1797,[4]PROGRAMMES!$E$1:$F$7,2,FALSE)</f>
        <v>5-Gouvernance et pilotage du secteur</v>
      </c>
      <c r="AA1797" s="19" t="str">
        <f>B1797 &amp; "-" &amp; VLOOKUP(B1797,[4]SOUSPROGRAMMES!$E$1:$F$44,2,FALSE)</f>
        <v>56- Gestion des ressources financières</v>
      </c>
      <c r="AB1797" s="19" t="str">
        <f>C1797 &amp; "-" &amp; VLOOKUP(C1797,[4]RESULTATS!$E$1:$F$176,2,FALSE)</f>
        <v>563- Une plus grande transparence sur l’utilisation des ressources financières permet une utilisation, conforme aux objectifs de la programmation</v>
      </c>
      <c r="AC1797" s="20" t="str">
        <f>D1797 &amp; "-" &amp; VLOOKUP(D1797,[4]STRATEGIES!$E$1:$F$504,2,FALSE)</f>
        <v>5632-Publication des rapports d’exécution budgétaire</v>
      </c>
      <c r="AD1797" s="21" t="str">
        <f t="shared" si="266"/>
        <v>56328-Production d'affiches sur le budget exécuté par structure</v>
      </c>
    </row>
    <row r="1798" spans="1:30" s="22" customFormat="1" ht="45.75" hidden="1" x14ac:dyDescent="0.8">
      <c r="A1798" s="14">
        <v>5</v>
      </c>
      <c r="B1798" s="15">
        <v>56</v>
      </c>
      <c r="C1798" s="15">
        <v>563</v>
      </c>
      <c r="D1798" s="15">
        <v>5632</v>
      </c>
      <c r="E1798" s="14">
        <v>56329</v>
      </c>
      <c r="F1798" s="16" t="s">
        <v>2245</v>
      </c>
      <c r="G1798" s="21" t="s">
        <v>92</v>
      </c>
      <c r="H1798" s="17" t="s">
        <v>55</v>
      </c>
      <c r="I1798" s="56">
        <v>0</v>
      </c>
      <c r="J1798" s="56">
        <v>0</v>
      </c>
      <c r="K1798" s="56">
        <v>1</v>
      </c>
      <c r="L1798" s="56">
        <v>1</v>
      </c>
      <c r="M1798" s="56">
        <f t="shared" si="255"/>
        <v>2</v>
      </c>
      <c r="N1798" s="56">
        <f>IF(OR(H1798="",H1798="sif",H1798="PM"),0,VLOOKUP(H1798,[5]CU!$C$4:$H$255,6,FALSE))</f>
        <v>0</v>
      </c>
      <c r="O1798" s="56">
        <f t="shared" si="265"/>
        <v>0</v>
      </c>
      <c r="P1798" s="56">
        <f t="shared" si="265"/>
        <v>0</v>
      </c>
      <c r="Q1798" s="56">
        <f t="shared" si="265"/>
        <v>0</v>
      </c>
      <c r="R1798" s="56">
        <f t="shared" si="265"/>
        <v>0</v>
      </c>
      <c r="S1798" s="56"/>
      <c r="T1798" s="35" t="s">
        <v>56</v>
      </c>
      <c r="U1798" s="18" t="s">
        <v>1873</v>
      </c>
      <c r="V1798" s="19" t="str">
        <f>IF(OR($H1798="",$H1798="sif",$H1798="PM"),"",VLOOKUP($H1798,[5]CU!$C$5:$J$255,8,FALSE))</f>
        <v/>
      </c>
      <c r="W1798" s="18" t="s">
        <v>521</v>
      </c>
      <c r="X1798" s="18" t="s">
        <v>2187</v>
      </c>
      <c r="Y1798" s="18" t="s">
        <v>677</v>
      </c>
      <c r="Z1798" s="19" t="str">
        <f>A1798 &amp; "-" &amp; VLOOKUP(A1798,[4]PROGRAMMES!$E$1:$F$7,2,FALSE)</f>
        <v>5-Gouvernance et pilotage du secteur</v>
      </c>
      <c r="AA1798" s="19" t="str">
        <f>B1798 &amp; "-" &amp; VLOOKUP(B1798,[4]SOUSPROGRAMMES!$E$1:$F$44,2,FALSE)</f>
        <v>56- Gestion des ressources financières</v>
      </c>
      <c r="AB1798" s="19" t="str">
        <f>C1798 &amp; "-" &amp; VLOOKUP(C1798,[4]RESULTATS!$E$1:$F$176,2,FALSE)</f>
        <v>563- Une plus grande transparence sur l’utilisation des ressources financières permet une utilisation, conforme aux objectifs de la programmation</v>
      </c>
      <c r="AC1798" s="20" t="str">
        <f>D1798 &amp; "-" &amp; VLOOKUP(D1798,[4]STRATEGIES!$E$1:$F$504,2,FALSE)</f>
        <v>5632-Publication des rapports d’exécution budgétaire</v>
      </c>
      <c r="AD1798" s="21" t="str">
        <f t="shared" si="266"/>
        <v>56329-Diffusion de l'exécution des budgets sur le site web du Ministère</v>
      </c>
    </row>
    <row r="1799" spans="1:30" s="22" customFormat="1" ht="45.75" x14ac:dyDescent="0.8">
      <c r="A1799" s="14">
        <v>5</v>
      </c>
      <c r="B1799" s="15">
        <v>56</v>
      </c>
      <c r="C1799" s="15">
        <v>563</v>
      </c>
      <c r="D1799" s="15">
        <v>5633</v>
      </c>
      <c r="E1799" s="14">
        <v>5633</v>
      </c>
      <c r="F1799" s="16" t="s">
        <v>2246</v>
      </c>
      <c r="G1799" s="17"/>
      <c r="H1799" s="17"/>
      <c r="I1799" s="56">
        <v>0</v>
      </c>
      <c r="J1799" s="56"/>
      <c r="K1799" s="56"/>
      <c r="L1799" s="56"/>
      <c r="M1799" s="56"/>
      <c r="N1799" s="56"/>
      <c r="O1799" s="56"/>
      <c r="P1799" s="56"/>
      <c r="Q1799" s="56"/>
      <c r="R1799" s="56"/>
      <c r="S1799" s="56"/>
      <c r="T1799" s="33"/>
      <c r="U1799" s="18"/>
      <c r="V1799" s="19"/>
      <c r="W1799" s="18"/>
      <c r="X1799" s="18"/>
      <c r="Y1799" s="18"/>
      <c r="Z1799" s="19" t="str">
        <f>A1799 &amp; "-" &amp; VLOOKUP(A1799,[4]PROGRAMMES!$E$1:$F$7,2,FALSE)</f>
        <v>5-Gouvernance et pilotage du secteur</v>
      </c>
      <c r="AA1799" s="19" t="str">
        <f>B1799 &amp; "-" &amp; VLOOKUP(B1799,[4]SOUSPROGRAMMES!$E$1:$F$44,2,FALSE)</f>
        <v>56- Gestion des ressources financières</v>
      </c>
      <c r="AB1799" s="19" t="str">
        <f>C1799 &amp; "-" &amp; VLOOKUP(C1799,[4]RESULTATS!$E$1:$F$176,2,FALSE)</f>
        <v>563- Une plus grande transparence sur l’utilisation des ressources financières permet une utilisation, conforme aux objectifs de la programmation</v>
      </c>
      <c r="AC1799" s="20" t="str">
        <f>D1799 &amp; "-" &amp; VLOOKUP(D1799,[4]STRATEGIES!$E$1:$F$504,2,FALSE)</f>
        <v>5633-Renforcement des contrôles et audits</v>
      </c>
      <c r="AD1799" s="21" t="str">
        <f t="shared" si="266"/>
        <v>5633-Renforcement des contrôles et audits</v>
      </c>
    </row>
    <row r="1800" spans="1:30" s="22" customFormat="1" ht="45.75" x14ac:dyDescent="0.8">
      <c r="A1800" s="14">
        <v>5</v>
      </c>
      <c r="B1800" s="15">
        <v>56</v>
      </c>
      <c r="C1800" s="15">
        <v>563</v>
      </c>
      <c r="D1800" s="15">
        <v>5633</v>
      </c>
      <c r="E1800" s="14">
        <v>56331</v>
      </c>
      <c r="F1800" s="16" t="s">
        <v>2247</v>
      </c>
      <c r="G1800" s="21" t="s">
        <v>177</v>
      </c>
      <c r="H1800" s="17" t="s">
        <v>59</v>
      </c>
      <c r="I1800" s="56">
        <v>0</v>
      </c>
      <c r="J1800" s="56">
        <f>4*10*4</f>
        <v>160</v>
      </c>
      <c r="K1800" s="56">
        <f>4*10*4</f>
        <v>160</v>
      </c>
      <c r="L1800" s="56">
        <f>4*10*4</f>
        <v>160</v>
      </c>
      <c r="M1800" s="56">
        <f t="shared" si="255"/>
        <v>480</v>
      </c>
      <c r="N1800" s="56">
        <f>IF(OR(H1800="",H1800="sif",H1800="PM"),0,VLOOKUP(H1800,[5]CU!$C$4:$H$255,6,FALSE))</f>
        <v>0.8177777777777776</v>
      </c>
      <c r="O1800" s="56">
        <f>IFERROR($N1800*I1800,0)</f>
        <v>0</v>
      </c>
      <c r="P1800" s="56">
        <f>IFERROR($N1800*J1800,0)</f>
        <v>130.84444444444441</v>
      </c>
      <c r="Q1800" s="56">
        <f>IFERROR($N1800*K1800,0)</f>
        <v>130.84444444444441</v>
      </c>
      <c r="R1800" s="56">
        <f>IFERROR($N1800*L1800,0)</f>
        <v>130.84444444444441</v>
      </c>
      <c r="S1800" s="56">
        <f>SUM(O1800:R1800)</f>
        <v>392.53333333333319</v>
      </c>
      <c r="T1800" s="35" t="s">
        <v>118</v>
      </c>
      <c r="U1800" s="18" t="s">
        <v>1873</v>
      </c>
      <c r="V1800" s="19" t="str">
        <f>IF(OR($H1800="",$H1800="sif",$H1800="PM"),"",VLOOKUP($H1800,[5]CU!$C$5:$J$255,8,FALSE))</f>
        <v>3. Dépenses de fonctionnement</v>
      </c>
      <c r="W1800" s="18" t="s">
        <v>263</v>
      </c>
      <c r="X1800" s="18" t="s">
        <v>2248</v>
      </c>
      <c r="Y1800" s="19" t="s">
        <v>32</v>
      </c>
      <c r="Z1800" s="19" t="str">
        <f>A1800 &amp; "-" &amp; VLOOKUP(A1800,[4]PROGRAMMES!$E$1:$F$7,2,FALSE)</f>
        <v>5-Gouvernance et pilotage du secteur</v>
      </c>
      <c r="AA1800" s="19" t="str">
        <f>B1800 &amp; "-" &amp; VLOOKUP(B1800,[4]SOUSPROGRAMMES!$E$1:$F$44,2,FALSE)</f>
        <v>56- Gestion des ressources financières</v>
      </c>
      <c r="AB1800" s="19" t="str">
        <f>C1800 &amp; "-" &amp; VLOOKUP(C1800,[4]RESULTATS!$E$1:$F$176,2,FALSE)</f>
        <v>563- Une plus grande transparence sur l’utilisation des ressources financières permet une utilisation, conforme aux objectifs de la programmation</v>
      </c>
      <c r="AC1800" s="20" t="str">
        <f>D1800 &amp; "-" &amp; VLOOKUP(D1800,[4]STRATEGIES!$E$1:$F$504,2,FALSE)</f>
        <v>5633-Renforcement des contrôles et audits</v>
      </c>
      <c r="AD1800" s="21" t="str">
        <f t="shared" si="266"/>
        <v>56331-Organisation des missions d'audits sur échantillon</v>
      </c>
    </row>
    <row r="1801" spans="1:30" s="22" customFormat="1" ht="45.75" x14ac:dyDescent="0.8">
      <c r="A1801" s="14">
        <v>5</v>
      </c>
      <c r="B1801" s="15">
        <v>56</v>
      </c>
      <c r="C1801" s="15">
        <v>563</v>
      </c>
      <c r="D1801" s="15">
        <v>5634</v>
      </c>
      <c r="E1801" s="14">
        <v>5634</v>
      </c>
      <c r="F1801" s="16" t="s">
        <v>2249</v>
      </c>
      <c r="G1801" s="17"/>
      <c r="H1801" s="17"/>
      <c r="I1801" s="56">
        <v>0</v>
      </c>
      <c r="J1801" s="56"/>
      <c r="K1801" s="56"/>
      <c r="L1801" s="56"/>
      <c r="M1801" s="56"/>
      <c r="N1801" s="56"/>
      <c r="O1801" s="56"/>
      <c r="P1801" s="56"/>
      <c r="Q1801" s="56"/>
      <c r="R1801" s="56"/>
      <c r="S1801" s="56"/>
      <c r="T1801" s="33"/>
      <c r="U1801" s="18"/>
      <c r="V1801" s="19"/>
      <c r="W1801" s="18"/>
      <c r="X1801" s="18"/>
      <c r="Y1801" s="18"/>
      <c r="Z1801" s="19" t="str">
        <f>A1801 &amp; "-" &amp; VLOOKUP(A1801,[4]PROGRAMMES!$E$1:$F$7,2,FALSE)</f>
        <v>5-Gouvernance et pilotage du secteur</v>
      </c>
      <c r="AA1801" s="19" t="str">
        <f>B1801 &amp; "-" &amp; VLOOKUP(B1801,[4]SOUSPROGRAMMES!$E$1:$F$44,2,FALSE)</f>
        <v>56- Gestion des ressources financières</v>
      </c>
      <c r="AB1801" s="19" t="str">
        <f>C1801 &amp; "-" &amp; VLOOKUP(C1801,[4]RESULTATS!$E$1:$F$176,2,FALSE)</f>
        <v>563- Une plus grande transparence sur l’utilisation des ressources financières permet une utilisation, conforme aux objectifs de la programmation</v>
      </c>
      <c r="AC1801" s="20" t="str">
        <f>D1801 &amp; "-" &amp; VLOOKUP(D1801,[4]STRATEGIES!$E$1:$F$504,2,FALSE)</f>
        <v>5634-Renforcement de la traçabilité des dépenses d'éducation (dépenses publiques)</v>
      </c>
      <c r="AD1801" s="21" t="str">
        <f t="shared" si="266"/>
        <v>5634-Renforcement de la traçabilité des dépenses d'éducation (dépenses publiques)</v>
      </c>
    </row>
    <row r="1802" spans="1:30" s="22" customFormat="1" ht="45.75" hidden="1" x14ac:dyDescent="0.8">
      <c r="A1802" s="14">
        <v>5</v>
      </c>
      <c r="B1802" s="15">
        <v>56</v>
      </c>
      <c r="C1802" s="15">
        <v>563</v>
      </c>
      <c r="D1802" s="15">
        <v>5634</v>
      </c>
      <c r="E1802" s="14">
        <v>56341</v>
      </c>
      <c r="F1802" s="16" t="s">
        <v>2250</v>
      </c>
      <c r="G1802" s="21" t="s">
        <v>436</v>
      </c>
      <c r="H1802" s="17" t="s">
        <v>301</v>
      </c>
      <c r="I1802" s="56">
        <v>0</v>
      </c>
      <c r="J1802" s="56">
        <v>0</v>
      </c>
      <c r="K1802" s="56">
        <v>0</v>
      </c>
      <c r="L1802" s="56">
        <v>0</v>
      </c>
      <c r="M1802" s="56">
        <f>SUM(I1802:L1802)</f>
        <v>0</v>
      </c>
      <c r="N1802" s="56">
        <f>IF(OR(H1802="",H1802="sif",H1802="PM"),0,VLOOKUP(H1802,[5]CU!$C$4:$H$255,6,FALSE))</f>
        <v>0.67666666666666664</v>
      </c>
      <c r="O1802" s="56">
        <f>IFERROR($N1802*I1802,0)</f>
        <v>0</v>
      </c>
      <c r="P1802" s="56">
        <f>IFERROR($N1802*J1802,0)</f>
        <v>0</v>
      </c>
      <c r="Q1802" s="56"/>
      <c r="R1802" s="56">
        <f>IFERROR($N1802*L1802,0)</f>
        <v>0</v>
      </c>
      <c r="S1802" s="56">
        <f>SUM(O1802:R1802)</f>
        <v>0</v>
      </c>
      <c r="T1802" s="35" t="s">
        <v>178</v>
      </c>
      <c r="U1802" s="18" t="s">
        <v>1873</v>
      </c>
      <c r="V1802" s="19" t="str">
        <f>IF(OR($H1802="",$H1802="sif",$H1802="PM"),"",VLOOKUP($H1802,[5]CU!$C$5:$J$255,8,FALSE))</f>
        <v>3. Formation</v>
      </c>
      <c r="W1802" s="18" t="s">
        <v>521</v>
      </c>
      <c r="X1802" s="18" t="s">
        <v>521</v>
      </c>
      <c r="Y1802" s="19" t="s">
        <v>32</v>
      </c>
      <c r="Z1802" s="19" t="str">
        <f>A1802 &amp; "-" &amp; VLOOKUP(A1802,[4]PROGRAMMES!$E$1:$F$7,2,FALSE)</f>
        <v>5-Gouvernance et pilotage du secteur</v>
      </c>
      <c r="AA1802" s="19" t="str">
        <f>B1802 &amp; "-" &amp; VLOOKUP(B1802,[4]SOUSPROGRAMMES!$E$1:$F$44,2,FALSE)</f>
        <v>56- Gestion des ressources financières</v>
      </c>
      <c r="AB1802" s="19" t="str">
        <f>C1802 &amp; "-" &amp; VLOOKUP(C1802,[4]RESULTATS!$E$1:$F$176,2,FALSE)</f>
        <v>563- Une plus grande transparence sur l’utilisation des ressources financières permet une utilisation, conforme aux objectifs de la programmation</v>
      </c>
      <c r="AC1802" s="20" t="str">
        <f>D1802 &amp; "-" &amp; VLOOKUP(D1802,[4]STRATEGIES!$E$1:$F$504,2,FALSE)</f>
        <v>5634-Renforcement de la traçabilité des dépenses d'éducation (dépenses publiques)</v>
      </c>
      <c r="AD1802" s="21" t="str">
        <f t="shared" si="266"/>
        <v>56341-Renforcement des capacités des chargés de la gestion matiére</v>
      </c>
    </row>
    <row r="1803" spans="1:30" ht="45.75" hidden="1" x14ac:dyDescent="0.8">
      <c r="A1803" s="25">
        <v>5</v>
      </c>
      <c r="B1803" s="16">
        <v>56</v>
      </c>
      <c r="C1803" s="16">
        <v>563</v>
      </c>
      <c r="D1803" s="16">
        <v>5634</v>
      </c>
      <c r="E1803" s="25">
        <v>56341</v>
      </c>
      <c r="F1803" s="16" t="s">
        <v>2250</v>
      </c>
      <c r="G1803" s="21" t="s">
        <v>436</v>
      </c>
      <c r="H1803" s="21" t="s">
        <v>301</v>
      </c>
      <c r="I1803" s="56">
        <v>0</v>
      </c>
      <c r="J1803" s="57"/>
      <c r="K1803" s="57">
        <v>295</v>
      </c>
      <c r="L1803" s="57"/>
      <c r="M1803" s="57">
        <f t="shared" si="255"/>
        <v>295</v>
      </c>
      <c r="N1803" s="57">
        <f>IF(OR(H1803="",H1803="sif",H1803="PM"),0,VLOOKUP(H1803,[5]CU!$C$4:$H$255,6,FALSE))</f>
        <v>0.67666666666666664</v>
      </c>
      <c r="O1803" s="57"/>
      <c r="P1803" s="57">
        <f t="shared" ref="P1803:R1804" si="267">IFERROR($N1803*J1803,0)</f>
        <v>0</v>
      </c>
      <c r="Q1803" s="57">
        <f t="shared" si="267"/>
        <v>199.61666666666665</v>
      </c>
      <c r="R1803" s="57">
        <f t="shared" si="267"/>
        <v>0</v>
      </c>
      <c r="S1803" s="57">
        <f>SUM(O1803:R1803)</f>
        <v>199.61666666666665</v>
      </c>
      <c r="T1803" s="38" t="s">
        <v>169</v>
      </c>
      <c r="U1803" s="19" t="s">
        <v>1873</v>
      </c>
      <c r="V1803" s="19" t="str">
        <f>IF(OR($H1803="",$H1803="sif",$H1803="PM"),"",VLOOKUP($H1803,[5]CU!$C$5:$J$255,8,FALSE))</f>
        <v>3. Formation</v>
      </c>
      <c r="W1803" s="19" t="s">
        <v>521</v>
      </c>
      <c r="X1803" s="19" t="s">
        <v>521</v>
      </c>
      <c r="Y1803" s="19" t="s">
        <v>2066</v>
      </c>
      <c r="Z1803" s="19" t="str">
        <f>A1803 &amp; "-" &amp; VLOOKUP(A1803,[4]PROGRAMMES!$E$1:$F$7,2,FALSE)</f>
        <v>5-Gouvernance et pilotage du secteur</v>
      </c>
      <c r="AA1803" s="19" t="str">
        <f>B1803 &amp; "-" &amp; VLOOKUP(B1803,[4]SOUSPROGRAMMES!$E$1:$F$44,2,FALSE)</f>
        <v>56- Gestion des ressources financières</v>
      </c>
      <c r="AB1803" s="19" t="str">
        <f>C1803 &amp; "-" &amp; VLOOKUP(C1803,[4]RESULTATS!$E$1:$F$176,2,FALSE)</f>
        <v>563- Une plus grande transparence sur l’utilisation des ressources financières permet une utilisation, conforme aux objectifs de la programmation</v>
      </c>
      <c r="AC1803" s="20" t="str">
        <f>D1803 &amp; "-" &amp; VLOOKUP(D1803,[4]STRATEGIES!$E$1:$F$504,2,FALSE)</f>
        <v>5634-Renforcement de la traçabilité des dépenses d'éducation (dépenses publiques)</v>
      </c>
      <c r="AD1803" s="21" t="str">
        <f t="shared" si="266"/>
        <v>56341-Renforcement des capacités des chargés de la gestion matiére</v>
      </c>
    </row>
    <row r="1804" spans="1:30" s="22" customFormat="1" ht="45.75" hidden="1" x14ac:dyDescent="0.8">
      <c r="A1804" s="14">
        <v>5</v>
      </c>
      <c r="B1804" s="15">
        <v>56</v>
      </c>
      <c r="C1804" s="15">
        <v>563</v>
      </c>
      <c r="D1804" s="15">
        <v>5634</v>
      </c>
      <c r="E1804" s="14">
        <v>56342</v>
      </c>
      <c r="F1804" s="16" t="s">
        <v>2251</v>
      </c>
      <c r="G1804" s="21" t="s">
        <v>195</v>
      </c>
      <c r="H1804" s="17" t="s">
        <v>2252</v>
      </c>
      <c r="I1804" s="56">
        <v>0</v>
      </c>
      <c r="J1804" s="56"/>
      <c r="K1804" s="56">
        <v>1</v>
      </c>
      <c r="L1804" s="56"/>
      <c r="M1804" s="56">
        <f t="shared" si="255"/>
        <v>1</v>
      </c>
      <c r="N1804" s="56">
        <f>IF(OR(H1804="",H1804="sif",H1804="PM"),0,VLOOKUP(H1804,[5]CU!$C$4:$H$255,6,FALSE))</f>
        <v>760</v>
      </c>
      <c r="O1804" s="56">
        <f>IFERROR($N1804*I1804,0)</f>
        <v>0</v>
      </c>
      <c r="P1804" s="56">
        <f t="shared" si="267"/>
        <v>0</v>
      </c>
      <c r="Q1804" s="56">
        <f t="shared" si="267"/>
        <v>760</v>
      </c>
      <c r="R1804" s="56">
        <f t="shared" si="267"/>
        <v>0</v>
      </c>
      <c r="S1804" s="56">
        <f>SUM(O1804:R1804)</f>
        <v>760</v>
      </c>
      <c r="T1804" s="35" t="s">
        <v>169</v>
      </c>
      <c r="U1804" s="18" t="s">
        <v>1873</v>
      </c>
      <c r="V1804" s="19" t="str">
        <f>IF(OR($H1804="",$H1804="sif",$H1804="PM"),"",VLOOKUP($H1804,[5]CU!$C$5:$J$255,8,FALSE))</f>
        <v>3. Dépenses de fonctionnement</v>
      </c>
      <c r="W1804" s="19" t="s">
        <v>1939</v>
      </c>
      <c r="X1804" s="19" t="s">
        <v>1939</v>
      </c>
      <c r="Y1804" s="19" t="s">
        <v>2066</v>
      </c>
      <c r="Z1804" s="19" t="str">
        <f>A1804 &amp; "-" &amp; VLOOKUP(A1804,[4]PROGRAMMES!$E$1:$F$7,2,FALSE)</f>
        <v>5-Gouvernance et pilotage du secteur</v>
      </c>
      <c r="AA1804" s="19" t="str">
        <f>B1804 &amp; "-" &amp; VLOOKUP(B1804,[4]SOUSPROGRAMMES!$E$1:$F$44,2,FALSE)</f>
        <v>56- Gestion des ressources financières</v>
      </c>
      <c r="AB1804" s="19" t="str">
        <f>C1804 &amp; "-" &amp; VLOOKUP(C1804,[4]RESULTATS!$E$1:$F$176,2,FALSE)</f>
        <v>563- Une plus grande transparence sur l’utilisation des ressources financières permet une utilisation, conforme aux objectifs de la programmation</v>
      </c>
      <c r="AC1804" s="20" t="str">
        <f>D1804 &amp; "-" &amp; VLOOKUP(D1804,[4]STRATEGIES!$E$1:$F$504,2,FALSE)</f>
        <v>5634-Renforcement de la traçabilité des dépenses d'éducation (dépenses publiques)</v>
      </c>
      <c r="AD1804" s="21" t="str">
        <f t="shared" si="266"/>
        <v>56342-Etude sur la traçabilité des dépenses publiques en éducation</v>
      </c>
    </row>
    <row r="1805" spans="1:30" s="22" customFormat="1" ht="30.5" x14ac:dyDescent="0.8">
      <c r="A1805" s="14">
        <v>5</v>
      </c>
      <c r="B1805" s="15">
        <v>57</v>
      </c>
      <c r="C1805" s="15">
        <v>57</v>
      </c>
      <c r="D1805" s="15">
        <v>57</v>
      </c>
      <c r="E1805" s="14">
        <v>57</v>
      </c>
      <c r="F1805" s="16" t="s">
        <v>2253</v>
      </c>
      <c r="G1805" s="17"/>
      <c r="H1805" s="17"/>
      <c r="I1805" s="56">
        <v>0</v>
      </c>
      <c r="J1805" s="56"/>
      <c r="K1805" s="56"/>
      <c r="L1805" s="56"/>
      <c r="M1805" s="56"/>
      <c r="N1805" s="56"/>
      <c r="O1805" s="56"/>
      <c r="P1805" s="56"/>
      <c r="Q1805" s="56"/>
      <c r="R1805" s="56"/>
      <c r="S1805" s="56"/>
      <c r="T1805" s="33"/>
      <c r="U1805" s="18"/>
      <c r="V1805" s="19"/>
      <c r="W1805" s="18"/>
      <c r="X1805" s="18"/>
      <c r="Y1805" s="18"/>
      <c r="Z1805" s="19" t="str">
        <f>A1805 &amp; "-" &amp; VLOOKUP(A1805,[4]PROGRAMMES!$E$1:$F$7,2,FALSE)</f>
        <v>5-Gouvernance et pilotage du secteur</v>
      </c>
      <c r="AA1805" s="19" t="str">
        <f>B1805 &amp; "-" &amp; VLOOKUP(B1805,[4]SOUSPROGRAMMES!$E$1:$F$44,2,FALSE)</f>
        <v>57- Coordination sectorielle</v>
      </c>
      <c r="AB1805" s="19" t="str">
        <f>C1805 &amp; "-" &amp; VLOOKUP(C1805,[4]RESULTATS!$E$1:$F$176,2,FALSE)</f>
        <v>57- Coordination sectorielle</v>
      </c>
      <c r="AC1805" s="20" t="str">
        <f>D1805 &amp; "-" &amp; VLOOKUP(D1805,[4]STRATEGIES!$E$1:$F$504,2,FALSE)</f>
        <v>57- Coordination sectorielle</v>
      </c>
      <c r="AD1805" s="21" t="str">
        <f t="shared" si="266"/>
        <v>57- Coordination sectorielle</v>
      </c>
    </row>
    <row r="1806" spans="1:30" s="22" customFormat="1" ht="30.5" x14ac:dyDescent="0.8">
      <c r="A1806" s="14">
        <v>5</v>
      </c>
      <c r="B1806" s="15">
        <v>57</v>
      </c>
      <c r="C1806" s="15">
        <v>571</v>
      </c>
      <c r="D1806" s="15">
        <v>571</v>
      </c>
      <c r="E1806" s="14">
        <v>571</v>
      </c>
      <c r="F1806" s="16" t="s">
        <v>2254</v>
      </c>
      <c r="G1806" s="17"/>
      <c r="H1806" s="17"/>
      <c r="I1806" s="56">
        <v>0</v>
      </c>
      <c r="J1806" s="56"/>
      <c r="K1806" s="56"/>
      <c r="L1806" s="56"/>
      <c r="M1806" s="56"/>
      <c r="N1806" s="56"/>
      <c r="O1806" s="56"/>
      <c r="P1806" s="56"/>
      <c r="Q1806" s="56"/>
      <c r="R1806" s="56"/>
      <c r="S1806" s="56"/>
      <c r="T1806" s="33"/>
      <c r="U1806" s="18"/>
      <c r="V1806" s="19"/>
      <c r="W1806" s="18"/>
      <c r="X1806" s="18"/>
      <c r="Y1806" s="18"/>
      <c r="Z1806" s="19" t="str">
        <f>A1806 &amp; "-" &amp; VLOOKUP(A1806,[4]PROGRAMMES!$E$1:$F$7,2,FALSE)</f>
        <v>5-Gouvernance et pilotage du secteur</v>
      </c>
      <c r="AA1806" s="19" t="str">
        <f>B1806 &amp; "-" &amp; VLOOKUP(B1806,[4]SOUSPROGRAMMES!$E$1:$F$44,2,FALSE)</f>
        <v>57- Coordination sectorielle</v>
      </c>
      <c r="AB1806" s="19" t="str">
        <f>C1806 &amp; "-" &amp; VLOOKUP(C1806,[4]RESULTATS!$E$1:$F$176,2,FALSE)</f>
        <v>571- Des organes de pilotage et de coordination interministérielles existent et fonctionnent éfficacement</v>
      </c>
      <c r="AC1806" s="20" t="str">
        <f>D1806 &amp; "-" &amp; VLOOKUP(D1806,[4]STRATEGIES!$E$1:$F$504,2,FALSE)</f>
        <v>571- Des organes de pilotage et de coordination interministérielles existent et fonctionnent éfficacement</v>
      </c>
      <c r="AD1806" s="21" t="str">
        <f t="shared" si="266"/>
        <v>571- Des organes de pilotage et de coordination interministérielles existent et fonctionnent éfficacement</v>
      </c>
    </row>
    <row r="1807" spans="1:30" s="22" customFormat="1" ht="45.75" x14ac:dyDescent="0.8">
      <c r="A1807" s="14">
        <v>5</v>
      </c>
      <c r="B1807" s="15">
        <v>57</v>
      </c>
      <c r="C1807" s="15">
        <v>571</v>
      </c>
      <c r="D1807" s="15">
        <v>5711</v>
      </c>
      <c r="E1807" s="14">
        <v>5711</v>
      </c>
      <c r="F1807" s="16" t="s">
        <v>2255</v>
      </c>
      <c r="G1807" s="17"/>
      <c r="H1807" s="17"/>
      <c r="I1807" s="56">
        <v>0</v>
      </c>
      <c r="J1807" s="56"/>
      <c r="K1807" s="56"/>
      <c r="L1807" s="56"/>
      <c r="M1807" s="56"/>
      <c r="N1807" s="56"/>
      <c r="O1807" s="56"/>
      <c r="P1807" s="56"/>
      <c r="Q1807" s="56"/>
      <c r="R1807" s="56"/>
      <c r="S1807" s="56"/>
      <c r="T1807" s="33"/>
      <c r="U1807" s="18"/>
      <c r="V1807" s="19"/>
      <c r="W1807" s="18"/>
      <c r="X1807" s="18"/>
      <c r="Y1807" s="18"/>
      <c r="Z1807" s="19" t="str">
        <f>A1807 &amp; "-" &amp; VLOOKUP(A1807,[4]PROGRAMMES!$E$1:$F$7,2,FALSE)</f>
        <v>5-Gouvernance et pilotage du secteur</v>
      </c>
      <c r="AA1807" s="19" t="str">
        <f>B1807 &amp; "-" &amp; VLOOKUP(B1807,[4]SOUSPROGRAMMES!$E$1:$F$44,2,FALSE)</f>
        <v>57- Coordination sectorielle</v>
      </c>
      <c r="AB1807" s="19" t="str">
        <f>C1807 &amp; "-" &amp; VLOOKUP(C1807,[4]RESULTATS!$E$1:$F$176,2,FALSE)</f>
        <v>571- Des organes de pilotage et de coordination interministérielles existent et fonctionnent éfficacement</v>
      </c>
      <c r="AC1807" s="20" t="str">
        <f>D1807 &amp; "-" &amp; VLOOKUP(D1807,[4]STRATEGIES!$E$1:$F$504,2,FALSE)</f>
        <v>5711-Analyse du fonctionnement des structures de coordination et de pilotage existantes et recommandations pour l’amélioration de la coordination et de pilotage</v>
      </c>
      <c r="AD1807" s="21" t="str">
        <f t="shared" si="266"/>
        <v>5711-Analyse du fonctionnement des structures de coordination et de pilotage existantes et recommandations pour l’amélioration de la coordination et de pilotage</v>
      </c>
    </row>
    <row r="1808" spans="1:30" s="22" customFormat="1" ht="30.5" hidden="1" x14ac:dyDescent="0.8">
      <c r="A1808" s="14">
        <v>5</v>
      </c>
      <c r="B1808" s="15">
        <v>57</v>
      </c>
      <c r="C1808" s="15">
        <v>571</v>
      </c>
      <c r="D1808" s="15">
        <v>5711</v>
      </c>
      <c r="E1808" s="14">
        <v>57111</v>
      </c>
      <c r="F1808" s="16" t="s">
        <v>2256</v>
      </c>
      <c r="G1808" s="21" t="s">
        <v>88</v>
      </c>
      <c r="H1808" s="17" t="s">
        <v>55</v>
      </c>
      <c r="I1808" s="56">
        <v>0</v>
      </c>
      <c r="J1808" s="56">
        <v>1</v>
      </c>
      <c r="K1808" s="56">
        <v>0</v>
      </c>
      <c r="L1808" s="56">
        <v>0</v>
      </c>
      <c r="M1808" s="56">
        <f t="shared" si="255"/>
        <v>1</v>
      </c>
      <c r="N1808" s="56">
        <f>IF(OR(H1808="",H1808="sif",H1808="PM"),0,VLOOKUP(H1808,[5]CU!$C$4:$H$255,6,FALSE))</f>
        <v>0</v>
      </c>
      <c r="O1808" s="56"/>
      <c r="P1808" s="56"/>
      <c r="Q1808" s="56"/>
      <c r="R1808" s="56"/>
      <c r="S1808" s="56"/>
      <c r="T1808" s="35" t="s">
        <v>56</v>
      </c>
      <c r="U1808" s="18" t="s">
        <v>1873</v>
      </c>
      <c r="V1808" s="19" t="str">
        <f>IF(OR($H1808="",$H1808="sif",$H1808="PM"),"",VLOOKUP($H1808,[5]CU!$C$5:$J$255,8,FALSE))</f>
        <v/>
      </c>
      <c r="W1808" s="18" t="s">
        <v>255</v>
      </c>
      <c r="X1808" s="18" t="s">
        <v>255</v>
      </c>
      <c r="Y1808" s="19" t="s">
        <v>32</v>
      </c>
      <c r="Z1808" s="19" t="str">
        <f>A1808 &amp; "-" &amp; VLOOKUP(A1808,[4]PROGRAMMES!$E$1:$F$7,2,FALSE)</f>
        <v>5-Gouvernance et pilotage du secteur</v>
      </c>
      <c r="AA1808" s="19" t="str">
        <f>B1808 &amp; "-" &amp; VLOOKUP(B1808,[4]SOUSPROGRAMMES!$E$1:$F$44,2,FALSE)</f>
        <v>57- Coordination sectorielle</v>
      </c>
      <c r="AB1808" s="19" t="str">
        <f>C1808 &amp; "-" &amp; VLOOKUP(C1808,[4]RESULTATS!$E$1:$F$176,2,FALSE)</f>
        <v>571- Des organes de pilotage et de coordination interministérielles existent et fonctionnent éfficacement</v>
      </c>
      <c r="AC1808" s="20" t="str">
        <f>D1808 &amp; "-" &amp; VLOOKUP(D1808,[4]STRATEGIES!$E$1:$F$504,2,FALSE)</f>
        <v>5711-Analyse du fonctionnement des structures de coordination et de pilotage existantes et recommandations pour l’amélioration de la coordination et de pilotage</v>
      </c>
      <c r="AD1808" s="21" t="str">
        <f t="shared" si="266"/>
        <v>57111-Elaboration des TDR pour le recrutement d'un consultant</v>
      </c>
    </row>
    <row r="1809" spans="1:30" s="22" customFormat="1" ht="30.5" x14ac:dyDescent="0.8">
      <c r="A1809" s="14">
        <v>5</v>
      </c>
      <c r="B1809" s="15">
        <v>57</v>
      </c>
      <c r="C1809" s="15">
        <v>571</v>
      </c>
      <c r="D1809" s="15">
        <v>5711</v>
      </c>
      <c r="E1809" s="14">
        <v>57112</v>
      </c>
      <c r="F1809" s="16" t="s">
        <v>2257</v>
      </c>
      <c r="G1809" s="21" t="s">
        <v>100</v>
      </c>
      <c r="H1809" s="17" t="s">
        <v>646</v>
      </c>
      <c r="I1809" s="56">
        <v>0</v>
      </c>
      <c r="J1809" s="56">
        <f>1*30</f>
        <v>30</v>
      </c>
      <c r="K1809" s="56">
        <v>0</v>
      </c>
      <c r="L1809" s="56">
        <v>0</v>
      </c>
      <c r="M1809" s="56">
        <f t="shared" ref="M1809:M1826" si="268">SUM(I1809:L1809)</f>
        <v>30</v>
      </c>
      <c r="N1809" s="56">
        <f>IF(OR(H1809="",H1809="sif",H1809="PM"),0,VLOOKUP(H1809,[5]CU!$C$4:$H$255,6,FALSE))</f>
        <v>10.404797</v>
      </c>
      <c r="O1809" s="56">
        <f t="shared" ref="O1809:R1812" si="269">$N1809*I1809</f>
        <v>0</v>
      </c>
      <c r="P1809" s="56">
        <f t="shared" si="269"/>
        <v>312.14391000000001</v>
      </c>
      <c r="Q1809" s="56">
        <f t="shared" si="269"/>
        <v>0</v>
      </c>
      <c r="R1809" s="56">
        <f t="shared" si="269"/>
        <v>0</v>
      </c>
      <c r="S1809" s="56">
        <f>SUM(O1809:R1809)</f>
        <v>312.14391000000001</v>
      </c>
      <c r="T1809" s="35" t="s">
        <v>118</v>
      </c>
      <c r="U1809" s="18" t="s">
        <v>1873</v>
      </c>
      <c r="V1809" s="19" t="str">
        <f>IF(OR($H1809="",$H1809="sif",$H1809="PM"),"",VLOOKUP($H1809,[5]CU!$C$5:$J$255,8,FALSE))</f>
        <v>3. Dépenses de fonctionnement</v>
      </c>
      <c r="W1809" s="18" t="s">
        <v>255</v>
      </c>
      <c r="X1809" s="18" t="s">
        <v>255</v>
      </c>
      <c r="Y1809" s="19" t="s">
        <v>32</v>
      </c>
      <c r="Z1809" s="19" t="str">
        <f>A1809 &amp; "-" &amp; VLOOKUP(A1809,[4]PROGRAMMES!$E$1:$F$7,2,FALSE)</f>
        <v>5-Gouvernance et pilotage du secteur</v>
      </c>
      <c r="AA1809" s="19" t="str">
        <f>B1809 &amp; "-" &amp; VLOOKUP(B1809,[4]SOUSPROGRAMMES!$E$1:$F$44,2,FALSE)</f>
        <v>57- Coordination sectorielle</v>
      </c>
      <c r="AB1809" s="19" t="str">
        <f>C1809 &amp; "-" &amp; VLOOKUP(C1809,[4]RESULTATS!$E$1:$F$176,2,FALSE)</f>
        <v>571- Des organes de pilotage et de coordination interministérielles existent et fonctionnent éfficacement</v>
      </c>
      <c r="AC1809" s="20" t="str">
        <f>D1809 &amp; "-" &amp; VLOOKUP(D1809,[4]STRATEGIES!$E$1:$F$504,2,FALSE)</f>
        <v>5711-Analyse du fonctionnement des structures de coordination et de pilotage existantes et recommandations pour l’amélioration de la coordination et de pilotage</v>
      </c>
      <c r="AD1809" s="21" t="str">
        <f t="shared" si="266"/>
        <v>57112-Identification d'un plan d'amélioration du fonctionnement des structures de coordination</v>
      </c>
    </row>
    <row r="1810" spans="1:30" s="22" customFormat="1" ht="30.5" x14ac:dyDescent="0.8">
      <c r="A1810" s="14">
        <v>5</v>
      </c>
      <c r="B1810" s="15">
        <v>57</v>
      </c>
      <c r="C1810" s="15">
        <v>571</v>
      </c>
      <c r="D1810" s="15">
        <v>5711</v>
      </c>
      <c r="E1810" s="14">
        <v>57113</v>
      </c>
      <c r="F1810" s="16" t="s">
        <v>2258</v>
      </c>
      <c r="G1810" s="21" t="s">
        <v>37</v>
      </c>
      <c r="H1810" s="17" t="s">
        <v>38</v>
      </c>
      <c r="I1810" s="56">
        <v>0</v>
      </c>
      <c r="J1810" s="56">
        <f>50*2</f>
        <v>100</v>
      </c>
      <c r="K1810" s="56">
        <v>0</v>
      </c>
      <c r="L1810" s="56">
        <v>0</v>
      </c>
      <c r="M1810" s="56">
        <f t="shared" si="268"/>
        <v>100</v>
      </c>
      <c r="N1810" s="56">
        <f>IF(OR(H1810="",H1810="sif",H1810="PM"),0,VLOOKUP(H1810,[5]CU!$C$4:$H$255,6,FALSE))</f>
        <v>0.3133333333333333</v>
      </c>
      <c r="O1810" s="56">
        <f t="shared" si="269"/>
        <v>0</v>
      </c>
      <c r="P1810" s="56">
        <f t="shared" si="269"/>
        <v>31.333333333333329</v>
      </c>
      <c r="Q1810" s="56">
        <f t="shared" si="269"/>
        <v>0</v>
      </c>
      <c r="R1810" s="56">
        <f t="shared" si="269"/>
        <v>0</v>
      </c>
      <c r="S1810" s="56">
        <f>SUM(O1810:R1810)</f>
        <v>31.333333333333329</v>
      </c>
      <c r="T1810" s="35" t="s">
        <v>118</v>
      </c>
      <c r="U1810" s="18" t="s">
        <v>1873</v>
      </c>
      <c r="V1810" s="19" t="str">
        <f>IF(OR($H1810="",$H1810="sif",$H1810="PM"),"",VLOOKUP($H1810,[5]CU!$C$5:$J$255,8,FALSE))</f>
        <v>3. Formation</v>
      </c>
      <c r="W1810" s="18" t="s">
        <v>255</v>
      </c>
      <c r="X1810" s="18" t="s">
        <v>255</v>
      </c>
      <c r="Y1810" s="19" t="s">
        <v>32</v>
      </c>
      <c r="Z1810" s="19" t="str">
        <f>A1810 &amp; "-" &amp; VLOOKUP(A1810,[4]PROGRAMMES!$E$1:$F$7,2,FALSE)</f>
        <v>5-Gouvernance et pilotage du secteur</v>
      </c>
      <c r="AA1810" s="19" t="str">
        <f>B1810 &amp; "-" &amp; VLOOKUP(B1810,[4]SOUSPROGRAMMES!$E$1:$F$44,2,FALSE)</f>
        <v>57- Coordination sectorielle</v>
      </c>
      <c r="AB1810" s="19" t="str">
        <f>C1810 &amp; "-" &amp; VLOOKUP(C1810,[4]RESULTATS!$E$1:$F$176,2,FALSE)</f>
        <v>571- Des organes de pilotage et de coordination interministérielles existent et fonctionnent éfficacement</v>
      </c>
      <c r="AC1810" s="20" t="str">
        <f>D1810 &amp; "-" &amp; VLOOKUP(D1810,[4]STRATEGIES!$E$1:$F$504,2,FALSE)</f>
        <v>5711-Analyse du fonctionnement des structures de coordination et de pilotage existantes et recommandations pour l’amélioration de la coordination et de pilotage</v>
      </c>
      <c r="AD1810" s="21" t="str">
        <f t="shared" si="266"/>
        <v>57113-Validation de l'étude</v>
      </c>
    </row>
    <row r="1811" spans="1:30" s="22" customFormat="1" ht="30.5" x14ac:dyDescent="0.8">
      <c r="A1811" s="14">
        <v>5</v>
      </c>
      <c r="B1811" s="15">
        <v>57</v>
      </c>
      <c r="C1811" s="15">
        <v>571</v>
      </c>
      <c r="D1811" s="15">
        <v>5712</v>
      </c>
      <c r="E1811" s="14">
        <v>5712</v>
      </c>
      <c r="F1811" s="16" t="s">
        <v>2259</v>
      </c>
      <c r="G1811" s="17"/>
      <c r="H1811" s="17"/>
      <c r="I1811" s="56">
        <v>0</v>
      </c>
      <c r="J1811" s="56"/>
      <c r="K1811" s="56"/>
      <c r="L1811" s="56"/>
      <c r="M1811" s="56"/>
      <c r="N1811" s="56"/>
      <c r="O1811" s="56"/>
      <c r="P1811" s="56"/>
      <c r="Q1811" s="56"/>
      <c r="R1811" s="56"/>
      <c r="S1811" s="56"/>
      <c r="T1811" s="33"/>
      <c r="U1811" s="18"/>
      <c r="V1811" s="19"/>
      <c r="W1811" s="18"/>
      <c r="X1811" s="18"/>
      <c r="Y1811" s="18"/>
      <c r="Z1811" s="19" t="str">
        <f>A1811 &amp; "-" &amp; VLOOKUP(A1811,[4]PROGRAMMES!$E$1:$F$7,2,FALSE)</f>
        <v>5-Gouvernance et pilotage du secteur</v>
      </c>
      <c r="AA1811" s="19" t="str">
        <f>B1811 &amp; "-" &amp; VLOOKUP(B1811,[4]SOUSPROGRAMMES!$E$1:$F$44,2,FALSE)</f>
        <v>57- Coordination sectorielle</v>
      </c>
      <c r="AB1811" s="19" t="str">
        <f>C1811 &amp; "-" &amp; VLOOKUP(C1811,[4]RESULTATS!$E$1:$F$176,2,FALSE)</f>
        <v>571- Des organes de pilotage et de coordination interministérielles existent et fonctionnent éfficacement</v>
      </c>
      <c r="AC1811" s="20" t="str">
        <f>D1811 &amp; "-" &amp; VLOOKUP(D1811,[4]STRATEGIES!$E$1:$F$504,2,FALSE)</f>
        <v>5712-Mise en œuvre des recommandations</v>
      </c>
      <c r="AD1811" s="21" t="str">
        <f t="shared" si="266"/>
        <v>5712-Mise en œuvre des recommandations</v>
      </c>
    </row>
    <row r="1812" spans="1:30" s="22" customFormat="1" ht="30.5" x14ac:dyDescent="0.8">
      <c r="A1812" s="14">
        <v>5</v>
      </c>
      <c r="B1812" s="15">
        <v>57</v>
      </c>
      <c r="C1812" s="15">
        <v>571</v>
      </c>
      <c r="D1812" s="15">
        <v>5712</v>
      </c>
      <c r="E1812" s="14">
        <v>57121</v>
      </c>
      <c r="F1812" s="16" t="s">
        <v>2260</v>
      </c>
      <c r="G1812" s="21" t="s">
        <v>37</v>
      </c>
      <c r="H1812" s="17" t="s">
        <v>38</v>
      </c>
      <c r="I1812" s="56">
        <v>0</v>
      </c>
      <c r="J1812" s="56">
        <f>45*2</f>
        <v>90</v>
      </c>
      <c r="K1812" s="56"/>
      <c r="L1812" s="56"/>
      <c r="M1812" s="56">
        <f t="shared" si="268"/>
        <v>90</v>
      </c>
      <c r="N1812" s="56">
        <f>IF(OR(H1812="",H1812="sif",H1812="PM"),0,VLOOKUP(H1812,[5]CU!$C$4:$H$255,6,FALSE))</f>
        <v>0.3133333333333333</v>
      </c>
      <c r="O1812" s="56">
        <f t="shared" si="269"/>
        <v>0</v>
      </c>
      <c r="P1812" s="56">
        <f t="shared" si="269"/>
        <v>28.199999999999996</v>
      </c>
      <c r="Q1812" s="56">
        <f t="shared" si="269"/>
        <v>0</v>
      </c>
      <c r="R1812" s="56">
        <f t="shared" si="269"/>
        <v>0</v>
      </c>
      <c r="S1812" s="56">
        <f>SUM(O1812:R1812)</f>
        <v>28.199999999999996</v>
      </c>
      <c r="T1812" s="35" t="s">
        <v>118</v>
      </c>
      <c r="U1812" s="18" t="s">
        <v>1873</v>
      </c>
      <c r="V1812" s="19" t="str">
        <f>IF(OR($H1812="",$H1812="sif",$H1812="PM"),"",VLOOKUP($H1812,[5]CU!$C$5:$J$255,8,FALSE))</f>
        <v>3. Formation</v>
      </c>
      <c r="W1812" s="18" t="s">
        <v>255</v>
      </c>
      <c r="X1812" s="18" t="s">
        <v>255</v>
      </c>
      <c r="Y1812" s="19" t="s">
        <v>32</v>
      </c>
      <c r="Z1812" s="19" t="str">
        <f>A1812 &amp; "-" &amp; VLOOKUP(A1812,[4]PROGRAMMES!$E$1:$F$7,2,FALSE)</f>
        <v>5-Gouvernance et pilotage du secteur</v>
      </c>
      <c r="AA1812" s="19" t="str">
        <f>B1812 &amp; "-" &amp; VLOOKUP(B1812,[4]SOUSPROGRAMMES!$E$1:$F$44,2,FALSE)</f>
        <v>57- Coordination sectorielle</v>
      </c>
      <c r="AB1812" s="19" t="str">
        <f>C1812 &amp; "-" &amp; VLOOKUP(C1812,[4]RESULTATS!$E$1:$F$176,2,FALSE)</f>
        <v>571- Des organes de pilotage et de coordination interministérielles existent et fonctionnent éfficacement</v>
      </c>
      <c r="AC1812" s="20" t="str">
        <f>D1812 &amp; "-" &amp; VLOOKUP(D1812,[4]STRATEGIES!$E$1:$F$504,2,FALSE)</f>
        <v>5712-Mise en œuvre des recommandations</v>
      </c>
      <c r="AD1812" s="21" t="str">
        <f t="shared" si="266"/>
        <v>57121-Dissémination des recommandations pour l'amélioration du fonctionnement des structures</v>
      </c>
    </row>
    <row r="1813" spans="1:30" s="22" customFormat="1" ht="30.5" hidden="1" x14ac:dyDescent="0.8">
      <c r="A1813" s="14">
        <v>5</v>
      </c>
      <c r="B1813" s="15">
        <v>57</v>
      </c>
      <c r="C1813" s="15">
        <v>571</v>
      </c>
      <c r="D1813" s="15">
        <v>5712</v>
      </c>
      <c r="E1813" s="14">
        <v>57122</v>
      </c>
      <c r="F1813" s="16" t="s">
        <v>2261</v>
      </c>
      <c r="G1813" s="21" t="s">
        <v>321</v>
      </c>
      <c r="H1813" s="17" t="s">
        <v>55</v>
      </c>
      <c r="I1813" s="56">
        <v>0</v>
      </c>
      <c r="J1813" s="56">
        <v>1</v>
      </c>
      <c r="K1813" s="56">
        <v>0</v>
      </c>
      <c r="L1813" s="56">
        <v>0</v>
      </c>
      <c r="M1813" s="56">
        <f t="shared" si="268"/>
        <v>1</v>
      </c>
      <c r="N1813" s="56">
        <f>IF(OR(H1813="",H1813="sif",H1813="PM"),0,VLOOKUP(H1813,[5]CU!$C$4:$H$255,6,FALSE))</f>
        <v>0</v>
      </c>
      <c r="O1813" s="56"/>
      <c r="P1813" s="56"/>
      <c r="Q1813" s="56"/>
      <c r="R1813" s="56"/>
      <c r="S1813" s="56"/>
      <c r="T1813" s="35" t="s">
        <v>56</v>
      </c>
      <c r="U1813" s="18" t="s">
        <v>1873</v>
      </c>
      <c r="V1813" s="19" t="str">
        <f>IF(OR($H1813="",$H1813="sif",$H1813="PM"),"",VLOOKUP($H1813,[5]CU!$C$5:$J$255,8,FALSE))</f>
        <v/>
      </c>
      <c r="W1813" s="18" t="s">
        <v>255</v>
      </c>
      <c r="X1813" s="18" t="s">
        <v>255</v>
      </c>
      <c r="Y1813" s="19" t="s">
        <v>32</v>
      </c>
      <c r="Z1813" s="19" t="str">
        <f>A1813 &amp; "-" &amp; VLOOKUP(A1813,[4]PROGRAMMES!$E$1:$F$7,2,FALSE)</f>
        <v>5-Gouvernance et pilotage du secteur</v>
      </c>
      <c r="AA1813" s="19" t="str">
        <f>B1813 &amp; "-" &amp; VLOOKUP(B1813,[4]SOUSPROGRAMMES!$E$1:$F$44,2,FALSE)</f>
        <v>57- Coordination sectorielle</v>
      </c>
      <c r="AB1813" s="19" t="str">
        <f>C1813 &amp; "-" &amp; VLOOKUP(C1813,[4]RESULTATS!$E$1:$F$176,2,FALSE)</f>
        <v>571- Des organes de pilotage et de coordination interministérielles existent et fonctionnent éfficacement</v>
      </c>
      <c r="AC1813" s="20" t="str">
        <f>D1813 &amp; "-" &amp; VLOOKUP(D1813,[4]STRATEGIES!$E$1:$F$504,2,FALSE)</f>
        <v>5712-Mise en œuvre des recommandations</v>
      </c>
      <c r="AD1813" s="21" t="str">
        <f t="shared" si="266"/>
        <v>57122-Prise de décision pour la mise en œuvre des recommandations</v>
      </c>
    </row>
    <row r="1814" spans="1:30" s="22" customFormat="1" ht="30.5" x14ac:dyDescent="0.8">
      <c r="A1814" s="14">
        <v>5</v>
      </c>
      <c r="B1814" s="15">
        <v>57</v>
      </c>
      <c r="C1814" s="15">
        <v>571</v>
      </c>
      <c r="D1814" s="15">
        <v>5713</v>
      </c>
      <c r="E1814" s="14">
        <v>5713</v>
      </c>
      <c r="F1814" s="16" t="s">
        <v>2262</v>
      </c>
      <c r="G1814" s="17"/>
      <c r="H1814" s="17"/>
      <c r="I1814" s="56">
        <v>0</v>
      </c>
      <c r="J1814" s="56"/>
      <c r="K1814" s="56"/>
      <c r="L1814" s="56"/>
      <c r="M1814" s="56"/>
      <c r="N1814" s="56"/>
      <c r="O1814" s="56"/>
      <c r="P1814" s="56"/>
      <c r="Q1814" s="56"/>
      <c r="R1814" s="56"/>
      <c r="S1814" s="56"/>
      <c r="T1814" s="33"/>
      <c r="U1814" s="18"/>
      <c r="V1814" s="19"/>
      <c r="W1814" s="18"/>
      <c r="X1814" s="18"/>
      <c r="Y1814" s="18"/>
      <c r="Z1814" s="19" t="str">
        <f>A1814 &amp; "-" &amp; VLOOKUP(A1814,[4]PROGRAMMES!$E$1:$F$7,2,FALSE)</f>
        <v>5-Gouvernance et pilotage du secteur</v>
      </c>
      <c r="AA1814" s="19" t="str">
        <f>B1814 &amp; "-" &amp; VLOOKUP(B1814,[4]SOUSPROGRAMMES!$E$1:$F$44,2,FALSE)</f>
        <v>57- Coordination sectorielle</v>
      </c>
      <c r="AB1814" s="19" t="str">
        <f>C1814 &amp; "-" &amp; VLOOKUP(C1814,[4]RESULTATS!$E$1:$F$176,2,FALSE)</f>
        <v>571- Des organes de pilotage et de coordination interministérielles existent et fonctionnent éfficacement</v>
      </c>
      <c r="AC1814" s="20" t="str">
        <f>D1814 &amp; "-" &amp; VLOOKUP(D1814,[4]STRATEGIES!$E$1:$F$504,2,FALSE)</f>
        <v>5713-Appui au fonctionnement des structures de coordination et de pilotage</v>
      </c>
      <c r="AD1814" s="21" t="str">
        <f t="shared" si="266"/>
        <v>5713-Appui au fonctionnement des structures de coordination et de pilotage</v>
      </c>
    </row>
    <row r="1815" spans="1:30" s="22" customFormat="1" ht="45.75" x14ac:dyDescent="0.8">
      <c r="A1815" s="14">
        <v>5</v>
      </c>
      <c r="B1815" s="15">
        <v>57</v>
      </c>
      <c r="C1815" s="15">
        <v>571</v>
      </c>
      <c r="D1815" s="15">
        <v>5713</v>
      </c>
      <c r="E1815" s="14">
        <v>57131</v>
      </c>
      <c r="F1815" s="16" t="s">
        <v>2263</v>
      </c>
      <c r="G1815" s="21" t="s">
        <v>100</v>
      </c>
      <c r="H1815" s="17" t="s">
        <v>646</v>
      </c>
      <c r="I1815" s="56">
        <v>0</v>
      </c>
      <c r="J1815" s="56">
        <v>15</v>
      </c>
      <c r="K1815" s="56"/>
      <c r="L1815" s="56"/>
      <c r="M1815" s="56">
        <f t="shared" si="268"/>
        <v>15</v>
      </c>
      <c r="N1815" s="56">
        <f>IF(OR(H1815="",H1815="sif",H1815="PM"),0,VLOOKUP(H1815,[5]CU!$C$4:$H$255,6,FALSE))</f>
        <v>10.404797</v>
      </c>
      <c r="O1815" s="56">
        <f t="shared" ref="O1815:R1826" si="270">$N1815*I1815</f>
        <v>0</v>
      </c>
      <c r="P1815" s="56">
        <f t="shared" si="270"/>
        <v>156.071955</v>
      </c>
      <c r="Q1815" s="56">
        <f t="shared" si="270"/>
        <v>0</v>
      </c>
      <c r="R1815" s="56">
        <f t="shared" si="270"/>
        <v>0</v>
      </c>
      <c r="S1815" s="56">
        <f t="shared" ref="S1815:S1826" si="271">SUM(O1815:R1815)</f>
        <v>156.071955</v>
      </c>
      <c r="T1815" s="35" t="s">
        <v>118</v>
      </c>
      <c r="U1815" s="18" t="s">
        <v>1873</v>
      </c>
      <c r="V1815" s="19" t="str">
        <f>IF(OR($H1815="",$H1815="sif",$H1815="PM"),"",VLOOKUP($H1815,[5]CU!$C$5:$J$255,8,FALSE))</f>
        <v>3. Dépenses de fonctionnement</v>
      </c>
      <c r="W1815" s="18" t="s">
        <v>255</v>
      </c>
      <c r="X1815" s="18" t="s">
        <v>1936</v>
      </c>
      <c r="Y1815" s="18" t="s">
        <v>677</v>
      </c>
      <c r="Z1815" s="19" t="str">
        <f>A1815 &amp; "-" &amp; VLOOKUP(A1815,[4]PROGRAMMES!$E$1:$F$7,2,FALSE)</f>
        <v>5-Gouvernance et pilotage du secteur</v>
      </c>
      <c r="AA1815" s="19" t="str">
        <f>B1815 &amp; "-" &amp; VLOOKUP(B1815,[4]SOUSPROGRAMMES!$E$1:$F$44,2,FALSE)</f>
        <v>57- Coordination sectorielle</v>
      </c>
      <c r="AB1815" s="19" t="str">
        <f>C1815 &amp; "-" &amp; VLOOKUP(C1815,[4]RESULTATS!$E$1:$F$176,2,FALSE)</f>
        <v>571- Des organes de pilotage et de coordination interministérielles existent et fonctionnent éfficacement</v>
      </c>
      <c r="AC1815" s="20" t="str">
        <f>D1815 &amp; "-" &amp; VLOOKUP(D1815,[4]STRATEGIES!$E$1:$F$504,2,FALSE)</f>
        <v>5713-Appui au fonctionnement des structures de coordination et de pilotage</v>
      </c>
      <c r="AD1815" s="21" t="str">
        <f t="shared" si="266"/>
        <v>57131-Appui à l'organisation de formations pour les cadres de la coordination sectorielle en suivi évaluation des politiques éducatives</v>
      </c>
    </row>
    <row r="1816" spans="1:30" s="22" customFormat="1" ht="30.5" x14ac:dyDescent="0.8">
      <c r="A1816" s="14">
        <v>5</v>
      </c>
      <c r="B1816" s="15">
        <v>57</v>
      </c>
      <c r="C1816" s="15">
        <v>571</v>
      </c>
      <c r="D1816" s="15">
        <v>5713</v>
      </c>
      <c r="E1816" s="14">
        <v>57132</v>
      </c>
      <c r="F1816" s="16" t="s">
        <v>2264</v>
      </c>
      <c r="G1816" s="21" t="s">
        <v>315</v>
      </c>
      <c r="H1816" s="17" t="s">
        <v>301</v>
      </c>
      <c r="I1816" s="56">
        <v>0</v>
      </c>
      <c r="J1816" s="56">
        <f>25*12</f>
        <v>300</v>
      </c>
      <c r="K1816" s="56"/>
      <c r="L1816" s="56"/>
      <c r="M1816" s="56">
        <f t="shared" si="268"/>
        <v>300</v>
      </c>
      <c r="N1816" s="56">
        <f>IF(OR(H1816="",H1816="sif",H1816="PM"),0,VLOOKUP(H1816,[5]CU!$C$4:$H$255,6,FALSE))</f>
        <v>0.67666666666666664</v>
      </c>
      <c r="O1816" s="56">
        <f t="shared" si="270"/>
        <v>0</v>
      </c>
      <c r="P1816" s="56">
        <f t="shared" si="270"/>
        <v>203</v>
      </c>
      <c r="Q1816" s="56">
        <f t="shared" si="270"/>
        <v>0</v>
      </c>
      <c r="R1816" s="56">
        <f t="shared" si="270"/>
        <v>0</v>
      </c>
      <c r="S1816" s="56">
        <f t="shared" si="271"/>
        <v>203</v>
      </c>
      <c r="T1816" s="35" t="s">
        <v>118</v>
      </c>
      <c r="U1816" s="18" t="s">
        <v>1873</v>
      </c>
      <c r="V1816" s="19" t="str">
        <f>IF(OR($H1816="",$H1816="sif",$H1816="PM"),"",VLOOKUP($H1816,[5]CU!$C$5:$J$255,8,FALSE))</f>
        <v>3. Formation</v>
      </c>
      <c r="W1816" s="18" t="s">
        <v>255</v>
      </c>
      <c r="X1816" s="18" t="s">
        <v>1936</v>
      </c>
      <c r="Y1816" s="18" t="s">
        <v>677</v>
      </c>
      <c r="Z1816" s="19" t="str">
        <f>A1816 &amp; "-" &amp; VLOOKUP(A1816,[4]PROGRAMMES!$E$1:$F$7,2,FALSE)</f>
        <v>5-Gouvernance et pilotage du secteur</v>
      </c>
      <c r="AA1816" s="19" t="str">
        <f>B1816 &amp; "-" &amp; VLOOKUP(B1816,[4]SOUSPROGRAMMES!$E$1:$F$44,2,FALSE)</f>
        <v>57- Coordination sectorielle</v>
      </c>
      <c r="AB1816" s="19" t="str">
        <f>C1816 &amp; "-" &amp; VLOOKUP(C1816,[4]RESULTATS!$E$1:$F$176,2,FALSE)</f>
        <v>571- Des organes de pilotage et de coordination interministérielles existent et fonctionnent éfficacement</v>
      </c>
      <c r="AC1816" s="20" t="str">
        <f>D1816 &amp; "-" &amp; VLOOKUP(D1816,[4]STRATEGIES!$E$1:$F$504,2,FALSE)</f>
        <v>5713-Appui au fonctionnement des structures de coordination et de pilotage</v>
      </c>
      <c r="AD1816" s="21" t="str">
        <f t="shared" si="266"/>
        <v>57132-Formation des cadres en coordination sectorielle (CDMT, C/PSE, Secrétariats Généraux des Ministères)</v>
      </c>
    </row>
    <row r="1817" spans="1:30" s="22" customFormat="1" ht="30.5" x14ac:dyDescent="0.8">
      <c r="A1817" s="14">
        <v>5</v>
      </c>
      <c r="B1817" s="15">
        <v>57</v>
      </c>
      <c r="C1817" s="15">
        <v>571</v>
      </c>
      <c r="D1817" s="15">
        <v>5713</v>
      </c>
      <c r="E1817" s="14">
        <v>57133</v>
      </c>
      <c r="F1817" s="16" t="s">
        <v>2265</v>
      </c>
      <c r="G1817" s="21" t="s">
        <v>1186</v>
      </c>
      <c r="H1817" s="17" t="s">
        <v>38</v>
      </c>
      <c r="I1817" s="56">
        <v>40</v>
      </c>
      <c r="J1817" s="53">
        <f>1700*25.12%</f>
        <v>427.04000000000008</v>
      </c>
      <c r="K1817" s="53">
        <f>1700*25.12%</f>
        <v>427.04000000000008</v>
      </c>
      <c r="L1817" s="53">
        <f>1700*25.12%</f>
        <v>427.04000000000008</v>
      </c>
      <c r="M1817" s="53">
        <f>SUM(I1817:L1817)</f>
        <v>1321.1200000000003</v>
      </c>
      <c r="N1817" s="53">
        <f>IF(OR(H1817="",H1817="sif",H1817="PM"),0,VLOOKUP(H1817,[5]CU!$C$4:$H$255,6,FALSE))</f>
        <v>0.3133333333333333</v>
      </c>
      <c r="O1817" s="53">
        <f>$N1817*I1817</f>
        <v>12.533333333333331</v>
      </c>
      <c r="P1817" s="53">
        <f>$N1817*J1817</f>
        <v>133.80586666666667</v>
      </c>
      <c r="Q1817" s="53">
        <f>$N1817*K1817</f>
        <v>133.80586666666667</v>
      </c>
      <c r="R1817" s="53">
        <f>$N1817*L1817</f>
        <v>133.80586666666667</v>
      </c>
      <c r="S1817" s="53">
        <f>SUM(O1817:R1817)</f>
        <v>413.95093333333341</v>
      </c>
      <c r="T1817" s="35" t="s">
        <v>67</v>
      </c>
      <c r="U1817" s="18" t="s">
        <v>1873</v>
      </c>
      <c r="V1817" s="19" t="str">
        <f>IF(OR($H1817="",$H1817="sif",$H1817="PM"),"",VLOOKUP($H1817,[5]CU!$C$5:$J$255,8,FALSE))</f>
        <v>3. Formation</v>
      </c>
      <c r="W1817" s="18" t="s">
        <v>255</v>
      </c>
      <c r="X1817" s="18" t="s">
        <v>1936</v>
      </c>
      <c r="Y1817" s="19" t="s">
        <v>32</v>
      </c>
      <c r="Z1817" s="19" t="str">
        <f>A1817 &amp; "-" &amp; VLOOKUP(A1817,[4]PROGRAMMES!$E$1:$F$7,2,FALSE)</f>
        <v>5-Gouvernance et pilotage du secteur</v>
      </c>
      <c r="AA1817" s="19" t="str">
        <f>B1817 &amp; "-" &amp; VLOOKUP(B1817,[4]SOUSPROGRAMMES!$E$1:$F$44,2,FALSE)</f>
        <v>57- Coordination sectorielle</v>
      </c>
      <c r="AB1817" s="19" t="str">
        <f>C1817 &amp; "-" &amp; VLOOKUP(C1817,[4]RESULTATS!$E$1:$F$176,2,FALSE)</f>
        <v>571- Des organes de pilotage et de coordination interministérielles existent et fonctionnent éfficacement</v>
      </c>
      <c r="AC1817" s="20" t="str">
        <f>D1817 &amp; "-" &amp; VLOOKUP(D1817,[4]STRATEGIES!$E$1:$F$504,2,FALSE)</f>
        <v>5713-Appui au fonctionnement des structures de coordination et de pilotage</v>
      </c>
      <c r="AD1817" s="21" t="str">
        <f t="shared" si="266"/>
        <v>57133-Tenue des sessions statutaires des organes de pilotage et de coordination CSPE (sous-préfecture)</v>
      </c>
    </row>
    <row r="1818" spans="1:30" s="22" customFormat="1" ht="30.5" x14ac:dyDescent="0.8">
      <c r="A1818" s="14">
        <v>5</v>
      </c>
      <c r="B1818" s="15">
        <v>57</v>
      </c>
      <c r="C1818" s="15">
        <v>571</v>
      </c>
      <c r="D1818" s="15">
        <v>5713</v>
      </c>
      <c r="E1818" s="14">
        <v>57133</v>
      </c>
      <c r="F1818" s="16" t="s">
        <v>2265</v>
      </c>
      <c r="G1818" s="21" t="s">
        <v>1186</v>
      </c>
      <c r="H1818" s="17" t="s">
        <v>38</v>
      </c>
      <c r="I1818" s="56">
        <v>0</v>
      </c>
      <c r="J1818" s="56">
        <f>1700*74.88%</f>
        <v>1272.9599999999998</v>
      </c>
      <c r="K1818" s="56">
        <f>1700*74.88%</f>
        <v>1272.9599999999998</v>
      </c>
      <c r="L1818" s="56">
        <f>1700*74.88%</f>
        <v>1272.9599999999998</v>
      </c>
      <c r="M1818" s="56">
        <f t="shared" si="268"/>
        <v>3818.8799999999992</v>
      </c>
      <c r="N1818" s="56">
        <f>IF(OR(H1818="",H1818="sif",H1818="PM"),0,VLOOKUP(H1818,[5]CU!$C$4:$H$255,6,FALSE))</f>
        <v>0.3133333333333333</v>
      </c>
      <c r="O1818" s="56">
        <f t="shared" si="270"/>
        <v>0</v>
      </c>
      <c r="P1818" s="56">
        <f t="shared" si="270"/>
        <v>398.86079999999987</v>
      </c>
      <c r="Q1818" s="56">
        <f t="shared" si="270"/>
        <v>398.86079999999987</v>
      </c>
      <c r="R1818" s="56">
        <f t="shared" si="270"/>
        <v>398.86079999999987</v>
      </c>
      <c r="S1818" s="56">
        <f t="shared" si="271"/>
        <v>1196.5823999999996</v>
      </c>
      <c r="T1818" s="35" t="s">
        <v>118</v>
      </c>
      <c r="U1818" s="18" t="s">
        <v>1873</v>
      </c>
      <c r="V1818" s="19" t="str">
        <f>IF(OR($H1818="",$H1818="sif",$H1818="PM"),"",VLOOKUP($H1818,[5]CU!$C$5:$J$255,8,FALSE))</f>
        <v>3. Formation</v>
      </c>
      <c r="W1818" s="18" t="s">
        <v>255</v>
      </c>
      <c r="X1818" s="18" t="s">
        <v>1936</v>
      </c>
      <c r="Y1818" s="19" t="s">
        <v>32</v>
      </c>
      <c r="Z1818" s="19" t="str">
        <f>A1818 &amp; "-" &amp; VLOOKUP(A1818,[4]PROGRAMMES!$E$1:$F$7,2,FALSE)</f>
        <v>5-Gouvernance et pilotage du secteur</v>
      </c>
      <c r="AA1818" s="19" t="str">
        <f>B1818 &amp; "-" &amp; VLOOKUP(B1818,[4]SOUSPROGRAMMES!$E$1:$F$44,2,FALSE)</f>
        <v>57- Coordination sectorielle</v>
      </c>
      <c r="AB1818" s="19" t="str">
        <f>C1818 &amp; "-" &amp; VLOOKUP(C1818,[4]RESULTATS!$E$1:$F$176,2,FALSE)</f>
        <v>571- Des organes de pilotage et de coordination interministérielles existent et fonctionnent éfficacement</v>
      </c>
      <c r="AC1818" s="20" t="str">
        <f>D1818 &amp; "-" &amp; VLOOKUP(D1818,[4]STRATEGIES!$E$1:$F$504,2,FALSE)</f>
        <v>5713-Appui au fonctionnement des structures de coordination et de pilotage</v>
      </c>
      <c r="AD1818" s="21" t="str">
        <f t="shared" si="266"/>
        <v>57133-Tenue des sessions statutaires des organes de pilotage et de coordination CSPE (sous-préfecture)</v>
      </c>
    </row>
    <row r="1819" spans="1:30" s="22" customFormat="1" ht="30.5" hidden="1" x14ac:dyDescent="0.8">
      <c r="A1819" s="14">
        <v>5</v>
      </c>
      <c r="B1819" s="15">
        <v>57</v>
      </c>
      <c r="C1819" s="15">
        <v>571</v>
      </c>
      <c r="D1819" s="15">
        <v>5713</v>
      </c>
      <c r="E1819" s="14">
        <v>57134</v>
      </c>
      <c r="F1819" s="16" t="s">
        <v>2266</v>
      </c>
      <c r="G1819" s="21" t="s">
        <v>1186</v>
      </c>
      <c r="H1819" s="17" t="s">
        <v>38</v>
      </c>
      <c r="I1819" s="56">
        <v>0</v>
      </c>
      <c r="J1819" s="56"/>
      <c r="K1819" s="56"/>
      <c r="L1819" s="56"/>
      <c r="M1819" s="56">
        <f>SUM(I1819:L1819)</f>
        <v>0</v>
      </c>
      <c r="N1819" s="56">
        <f>IF(OR(H1819="",H1819="sif",H1819="PM"),0,VLOOKUP(H1819,[5]CU!$C$4:$H$255,6,FALSE))</f>
        <v>0.3133333333333333</v>
      </c>
      <c r="O1819" s="56">
        <f>$N1819*I1819</f>
        <v>0</v>
      </c>
      <c r="P1819" s="56">
        <f>$N1819*J1819</f>
        <v>0</v>
      </c>
      <c r="Q1819" s="56">
        <f>$N1819*K1819</f>
        <v>0</v>
      </c>
      <c r="R1819" s="56">
        <f>$N1819*L1819</f>
        <v>0</v>
      </c>
      <c r="S1819" s="56">
        <f>SUM(O1819:R1819)</f>
        <v>0</v>
      </c>
      <c r="T1819" s="35" t="s">
        <v>178</v>
      </c>
      <c r="U1819" s="18" t="s">
        <v>1873</v>
      </c>
      <c r="V1819" s="19" t="str">
        <f>IF(OR($H1819="",$H1819="sif",$H1819="PM"),"",VLOOKUP($H1819,[5]CU!$C$5:$J$255,8,FALSE))</f>
        <v>3. Formation</v>
      </c>
      <c r="W1819" s="18" t="s">
        <v>255</v>
      </c>
      <c r="X1819" s="18" t="s">
        <v>1936</v>
      </c>
      <c r="Y1819" s="19" t="s">
        <v>32</v>
      </c>
      <c r="Z1819" s="19" t="str">
        <f>A1819 &amp; "-" &amp; VLOOKUP(A1819,[4]PROGRAMMES!$E$1:$F$7,2,FALSE)</f>
        <v>5-Gouvernance et pilotage du secteur</v>
      </c>
      <c r="AA1819" s="19" t="str">
        <f>B1819 &amp; "-" &amp; VLOOKUP(B1819,[4]SOUSPROGRAMMES!$E$1:$F$44,2,FALSE)</f>
        <v>57- Coordination sectorielle</v>
      </c>
      <c r="AB1819" s="19" t="str">
        <f>C1819 &amp; "-" &amp; VLOOKUP(C1819,[4]RESULTATS!$E$1:$F$176,2,FALSE)</f>
        <v>571- Des organes de pilotage et de coordination interministérielles existent et fonctionnent éfficacement</v>
      </c>
      <c r="AC1819" s="20" t="str">
        <f>D1819 &amp; "-" &amp; VLOOKUP(D1819,[4]STRATEGIES!$E$1:$F$504,2,FALSE)</f>
        <v>5713-Appui au fonctionnement des structures de coordination et de pilotage</v>
      </c>
      <c r="AD1819" s="21" t="str">
        <f t="shared" si="266"/>
        <v>57134-Tenue des sessions statutaires des organes de pilotage et de coordination CPPE (préfecture)</v>
      </c>
    </row>
    <row r="1820" spans="1:30" ht="30.5" hidden="1" x14ac:dyDescent="0.8">
      <c r="A1820" s="25">
        <v>5</v>
      </c>
      <c r="B1820" s="16">
        <v>57</v>
      </c>
      <c r="C1820" s="16">
        <v>571</v>
      </c>
      <c r="D1820" s="16">
        <v>5713</v>
      </c>
      <c r="E1820" s="25">
        <v>57134</v>
      </c>
      <c r="F1820" s="16" t="s">
        <v>2266</v>
      </c>
      <c r="G1820" s="21" t="s">
        <v>1186</v>
      </c>
      <c r="H1820" s="21" t="s">
        <v>38</v>
      </c>
      <c r="I1820" s="56">
        <v>0</v>
      </c>
      <c r="J1820" s="57">
        <f>8*50*4</f>
        <v>1600</v>
      </c>
      <c r="K1820" s="57">
        <f>8*50*4</f>
        <v>1600</v>
      </c>
      <c r="L1820" s="57">
        <f>8*50*4</f>
        <v>1600</v>
      </c>
      <c r="M1820" s="57">
        <f t="shared" si="268"/>
        <v>4800</v>
      </c>
      <c r="N1820" s="57">
        <f>IF(OR(H1820="",H1820="sif",H1820="PM"),0,VLOOKUP(H1820,[5]CU!$C$4:$H$255,6,FALSE))</f>
        <v>0.3133333333333333</v>
      </c>
      <c r="O1820" s="57">
        <f t="shared" si="270"/>
        <v>0</v>
      </c>
      <c r="P1820" s="57">
        <f t="shared" si="270"/>
        <v>501.33333333333326</v>
      </c>
      <c r="Q1820" s="57">
        <f t="shared" si="270"/>
        <v>501.33333333333326</v>
      </c>
      <c r="R1820" s="57">
        <f t="shared" si="270"/>
        <v>501.33333333333326</v>
      </c>
      <c r="S1820" s="57">
        <f t="shared" si="271"/>
        <v>1503.9999999999998</v>
      </c>
      <c r="T1820" s="38" t="s">
        <v>169</v>
      </c>
      <c r="U1820" s="19" t="s">
        <v>1873</v>
      </c>
      <c r="V1820" s="19" t="str">
        <f>IF(OR($H1820="",$H1820="sif",$H1820="PM"),"",VLOOKUP($H1820,[5]CU!$C$5:$J$255,8,FALSE))</f>
        <v>3. Formation</v>
      </c>
      <c r="W1820" s="19" t="s">
        <v>1939</v>
      </c>
      <c r="X1820" s="19" t="s">
        <v>1939</v>
      </c>
      <c r="Y1820" s="19" t="s">
        <v>2066</v>
      </c>
      <c r="Z1820" s="19" t="str">
        <f>A1820 &amp; "-" &amp; VLOOKUP(A1820,[4]PROGRAMMES!$E$1:$F$7,2,FALSE)</f>
        <v>5-Gouvernance et pilotage du secteur</v>
      </c>
      <c r="AA1820" s="19" t="str">
        <f>B1820 &amp; "-" &amp; VLOOKUP(B1820,[4]SOUSPROGRAMMES!$E$1:$F$44,2,FALSE)</f>
        <v>57- Coordination sectorielle</v>
      </c>
      <c r="AB1820" s="19" t="str">
        <f>C1820 &amp; "-" &amp; VLOOKUP(C1820,[4]RESULTATS!$E$1:$F$176,2,FALSE)</f>
        <v>571- Des organes de pilotage et de coordination interministérielles existent et fonctionnent éfficacement</v>
      </c>
      <c r="AC1820" s="20" t="str">
        <f>D1820 &amp; "-" &amp; VLOOKUP(D1820,[4]STRATEGIES!$E$1:$F$504,2,FALSE)</f>
        <v>5713-Appui au fonctionnement des structures de coordination et de pilotage</v>
      </c>
      <c r="AD1820" s="21" t="str">
        <f t="shared" si="266"/>
        <v>57134-Tenue des sessions statutaires des organes de pilotage et de coordination CPPE (préfecture)</v>
      </c>
    </row>
    <row r="1821" spans="1:30" s="22" customFormat="1" ht="30.5" hidden="1" x14ac:dyDescent="0.8">
      <c r="A1821" s="14">
        <v>5</v>
      </c>
      <c r="B1821" s="15">
        <v>57</v>
      </c>
      <c r="C1821" s="15">
        <v>571</v>
      </c>
      <c r="D1821" s="15">
        <v>5713</v>
      </c>
      <c r="E1821" s="14">
        <v>57135</v>
      </c>
      <c r="F1821" s="16" t="s">
        <v>2267</v>
      </c>
      <c r="G1821" s="21" t="s">
        <v>1186</v>
      </c>
      <c r="H1821" s="17" t="s">
        <v>38</v>
      </c>
      <c r="I1821" s="56">
        <v>0</v>
      </c>
      <c r="J1821" s="56"/>
      <c r="K1821" s="56"/>
      <c r="L1821" s="56"/>
      <c r="M1821" s="56">
        <f>SUM(I1821:L1821)</f>
        <v>0</v>
      </c>
      <c r="N1821" s="56">
        <f>IF(OR(H1821="",H1821="sif",H1821="PM"),0,VLOOKUP(H1821,[5]CU!$C$4:$H$255,6,FALSE))</f>
        <v>0.3133333333333333</v>
      </c>
      <c r="O1821" s="56">
        <f>$N1821*I1821</f>
        <v>0</v>
      </c>
      <c r="P1821" s="56">
        <f>$N1821*J1821</f>
        <v>0</v>
      </c>
      <c r="Q1821" s="56">
        <f>$N1821*K1821</f>
        <v>0</v>
      </c>
      <c r="R1821" s="56">
        <f>$N1821*L1821</f>
        <v>0</v>
      </c>
      <c r="S1821" s="56">
        <f>SUM(O1821:R1821)</f>
        <v>0</v>
      </c>
      <c r="T1821" s="35" t="s">
        <v>178</v>
      </c>
      <c r="U1821" s="18" t="s">
        <v>1873</v>
      </c>
      <c r="V1821" s="19" t="str">
        <f>IF(OR($H1821="",$H1821="sif",$H1821="PM"),"",VLOOKUP($H1821,[5]CU!$C$5:$J$255,8,FALSE))</f>
        <v>3. Formation</v>
      </c>
      <c r="W1821" s="18" t="s">
        <v>255</v>
      </c>
      <c r="X1821" s="18" t="s">
        <v>1936</v>
      </c>
      <c r="Y1821" s="19" t="s">
        <v>32</v>
      </c>
      <c r="Z1821" s="19" t="str">
        <f>A1821 &amp; "-" &amp; VLOOKUP(A1821,[4]PROGRAMMES!$E$1:$F$7,2,FALSE)</f>
        <v>5-Gouvernance et pilotage du secteur</v>
      </c>
      <c r="AA1821" s="19" t="str">
        <f>B1821 &amp; "-" &amp; VLOOKUP(B1821,[4]SOUSPROGRAMMES!$E$1:$F$44,2,FALSE)</f>
        <v>57- Coordination sectorielle</v>
      </c>
      <c r="AB1821" s="19" t="str">
        <f>C1821 &amp; "-" &amp; VLOOKUP(C1821,[4]RESULTATS!$E$1:$F$176,2,FALSE)</f>
        <v>571- Des organes de pilotage et de coordination interministérielles existent et fonctionnent éfficacement</v>
      </c>
      <c r="AC1821" s="20" t="str">
        <f>D1821 &amp; "-" &amp; VLOOKUP(D1821,[4]STRATEGIES!$E$1:$F$504,2,FALSE)</f>
        <v>5713-Appui au fonctionnement des structures de coordination et de pilotage</v>
      </c>
      <c r="AD1821" s="21" t="str">
        <f t="shared" si="266"/>
        <v>57135-Tenue des sessions statutaires des organes de pilotage et de coordination CRPE (région)</v>
      </c>
    </row>
    <row r="1822" spans="1:30" ht="30.5" hidden="1" x14ac:dyDescent="0.8">
      <c r="A1822" s="25">
        <v>5</v>
      </c>
      <c r="B1822" s="16">
        <v>57</v>
      </c>
      <c r="C1822" s="16">
        <v>571</v>
      </c>
      <c r="D1822" s="16">
        <v>5713</v>
      </c>
      <c r="E1822" s="25">
        <v>57135</v>
      </c>
      <c r="F1822" s="16" t="s">
        <v>2267</v>
      </c>
      <c r="G1822" s="21" t="s">
        <v>1186</v>
      </c>
      <c r="H1822" s="21" t="s">
        <v>38</v>
      </c>
      <c r="I1822" s="56">
        <v>0</v>
      </c>
      <c r="J1822" s="57">
        <f>8*50*2</f>
        <v>800</v>
      </c>
      <c r="K1822" s="57">
        <f t="shared" ref="K1822:L1822" si="272">8*50*2</f>
        <v>800</v>
      </c>
      <c r="L1822" s="57">
        <f t="shared" si="272"/>
        <v>800</v>
      </c>
      <c r="M1822" s="57">
        <f t="shared" si="268"/>
        <v>2400</v>
      </c>
      <c r="N1822" s="57">
        <f>IF(OR(H1822="",H1822="sif",H1822="PM"),0,VLOOKUP(H1822,[5]CU!$C$4:$H$255,6,FALSE))</f>
        <v>0.3133333333333333</v>
      </c>
      <c r="O1822" s="57">
        <f t="shared" si="270"/>
        <v>0</v>
      </c>
      <c r="P1822" s="57">
        <f t="shared" si="270"/>
        <v>250.66666666666663</v>
      </c>
      <c r="Q1822" s="57">
        <f t="shared" si="270"/>
        <v>250.66666666666663</v>
      </c>
      <c r="R1822" s="57">
        <f t="shared" si="270"/>
        <v>250.66666666666663</v>
      </c>
      <c r="S1822" s="57">
        <f t="shared" si="271"/>
        <v>751.99999999999989</v>
      </c>
      <c r="T1822" s="38" t="s">
        <v>169</v>
      </c>
      <c r="U1822" s="19" t="s">
        <v>1873</v>
      </c>
      <c r="V1822" s="19" t="str">
        <f>IF(OR($H1822="",$H1822="sif",$H1822="PM"),"",VLOOKUP($H1822,[5]CU!$C$5:$J$255,8,FALSE))</f>
        <v>3. Formation</v>
      </c>
      <c r="W1822" s="19" t="s">
        <v>1939</v>
      </c>
      <c r="X1822" s="19" t="s">
        <v>1939</v>
      </c>
      <c r="Y1822" s="19" t="s">
        <v>2066</v>
      </c>
      <c r="Z1822" s="19" t="str">
        <f>A1822 &amp; "-" &amp; VLOOKUP(A1822,[4]PROGRAMMES!$E$1:$F$7,2,FALSE)</f>
        <v>5-Gouvernance et pilotage du secteur</v>
      </c>
      <c r="AA1822" s="19" t="str">
        <f>B1822 &amp; "-" &amp; VLOOKUP(B1822,[4]SOUSPROGRAMMES!$E$1:$F$44,2,FALSE)</f>
        <v>57- Coordination sectorielle</v>
      </c>
      <c r="AB1822" s="19" t="str">
        <f>C1822 &amp; "-" &amp; VLOOKUP(C1822,[4]RESULTATS!$E$1:$F$176,2,FALSE)</f>
        <v>571- Des organes de pilotage et de coordination interministérielles existent et fonctionnent éfficacement</v>
      </c>
      <c r="AC1822" s="20" t="str">
        <f>D1822 &amp; "-" &amp; VLOOKUP(D1822,[4]STRATEGIES!$E$1:$F$504,2,FALSE)</f>
        <v>5713-Appui au fonctionnement des structures de coordination et de pilotage</v>
      </c>
      <c r="AD1822" s="21" t="str">
        <f t="shared" si="266"/>
        <v>57135-Tenue des sessions statutaires des organes de pilotage et de coordination CRPE (région)</v>
      </c>
    </row>
    <row r="1823" spans="1:30" s="22" customFormat="1" ht="30.5" hidden="1" x14ac:dyDescent="0.8">
      <c r="A1823" s="14">
        <v>5</v>
      </c>
      <c r="B1823" s="15">
        <v>57</v>
      </c>
      <c r="C1823" s="15">
        <v>571</v>
      </c>
      <c r="D1823" s="15">
        <v>5713</v>
      </c>
      <c r="E1823" s="14">
        <v>57136</v>
      </c>
      <c r="F1823" s="16" t="s">
        <v>2268</v>
      </c>
      <c r="G1823" s="21" t="s">
        <v>1186</v>
      </c>
      <c r="H1823" s="17" t="s">
        <v>38</v>
      </c>
      <c r="I1823" s="56">
        <v>0</v>
      </c>
      <c r="J1823" s="56"/>
      <c r="K1823" s="56"/>
      <c r="L1823" s="56"/>
      <c r="M1823" s="56">
        <f>SUM(I1823:L1823)</f>
        <v>0</v>
      </c>
      <c r="N1823" s="56">
        <f>IF(OR(H1823="",H1823="sif",H1823="PM"),0,VLOOKUP(H1823,[5]CU!$C$4:$H$255,6,FALSE))</f>
        <v>0.3133333333333333</v>
      </c>
      <c r="O1823" s="56">
        <f>$N1823*I1823</f>
        <v>0</v>
      </c>
      <c r="P1823" s="56">
        <f>$N1823*J1823</f>
        <v>0</v>
      </c>
      <c r="Q1823" s="56">
        <f>$N1823*K1823</f>
        <v>0</v>
      </c>
      <c r="R1823" s="56">
        <f>$N1823*L1823</f>
        <v>0</v>
      </c>
      <c r="S1823" s="56">
        <f>SUM(O1823:R1823)</f>
        <v>0</v>
      </c>
      <c r="T1823" s="35" t="s">
        <v>178</v>
      </c>
      <c r="U1823" s="18" t="s">
        <v>1873</v>
      </c>
      <c r="V1823" s="19" t="str">
        <f>IF(OR($H1823="",$H1823="sif",$H1823="PM"),"",VLOOKUP($H1823,[5]CU!$C$5:$J$255,8,FALSE))</f>
        <v>3. Formation</v>
      </c>
      <c r="W1823" s="18" t="s">
        <v>255</v>
      </c>
      <c r="X1823" s="18" t="s">
        <v>1936</v>
      </c>
      <c r="Y1823" s="19" t="s">
        <v>32</v>
      </c>
      <c r="Z1823" s="19" t="str">
        <f>A1823 &amp; "-" &amp; VLOOKUP(A1823,[4]PROGRAMMES!$E$1:$F$7,2,FALSE)</f>
        <v>5-Gouvernance et pilotage du secteur</v>
      </c>
      <c r="AA1823" s="19" t="str">
        <f>B1823 &amp; "-" &amp; VLOOKUP(B1823,[4]SOUSPROGRAMMES!$E$1:$F$44,2,FALSE)</f>
        <v>57- Coordination sectorielle</v>
      </c>
      <c r="AB1823" s="19" t="str">
        <f>C1823 &amp; "-" &amp; VLOOKUP(C1823,[4]RESULTATS!$E$1:$F$176,2,FALSE)</f>
        <v>571- Des organes de pilotage et de coordination interministérielles existent et fonctionnent éfficacement</v>
      </c>
      <c r="AC1823" s="20" t="str">
        <f>D1823 &amp; "-" &amp; VLOOKUP(D1823,[4]STRATEGIES!$E$1:$F$504,2,FALSE)</f>
        <v>5713-Appui au fonctionnement des structures de coordination et de pilotage</v>
      </c>
      <c r="AD1823" s="21" t="str">
        <f t="shared" si="266"/>
        <v>57136-Tenue des sessions statutaires des organes de pilotage et de coordination CNPE (national)</v>
      </c>
    </row>
    <row r="1824" spans="1:30" ht="30.5" hidden="1" x14ac:dyDescent="0.8">
      <c r="A1824" s="25">
        <v>5</v>
      </c>
      <c r="B1824" s="16">
        <v>57</v>
      </c>
      <c r="C1824" s="16">
        <v>571</v>
      </c>
      <c r="D1824" s="16">
        <v>5713</v>
      </c>
      <c r="E1824" s="25">
        <v>57136</v>
      </c>
      <c r="F1824" s="16" t="s">
        <v>2268</v>
      </c>
      <c r="G1824" s="21" t="s">
        <v>1186</v>
      </c>
      <c r="H1824" s="21" t="s">
        <v>38</v>
      </c>
      <c r="I1824" s="56">
        <v>0</v>
      </c>
      <c r="J1824" s="57">
        <v>100</v>
      </c>
      <c r="K1824" s="57">
        <v>100</v>
      </c>
      <c r="L1824" s="57">
        <v>100</v>
      </c>
      <c r="M1824" s="57">
        <f t="shared" si="268"/>
        <v>300</v>
      </c>
      <c r="N1824" s="57">
        <f>IF(OR(H1824="",H1824="sif",H1824="PM"),0,VLOOKUP(H1824,[5]CU!$C$4:$H$255,6,FALSE))</f>
        <v>0.3133333333333333</v>
      </c>
      <c r="O1824" s="57">
        <f t="shared" si="270"/>
        <v>0</v>
      </c>
      <c r="P1824" s="57">
        <f t="shared" si="270"/>
        <v>31.333333333333329</v>
      </c>
      <c r="Q1824" s="57">
        <f t="shared" si="270"/>
        <v>31.333333333333329</v>
      </c>
      <c r="R1824" s="57">
        <f t="shared" si="270"/>
        <v>31.333333333333329</v>
      </c>
      <c r="S1824" s="57">
        <f t="shared" si="271"/>
        <v>93.999999999999986</v>
      </c>
      <c r="T1824" s="38" t="s">
        <v>169</v>
      </c>
      <c r="U1824" s="19" t="s">
        <v>1873</v>
      </c>
      <c r="V1824" s="19" t="str">
        <f>IF(OR($H1824="",$H1824="sif",$H1824="PM"),"",VLOOKUP($H1824,[5]CU!$C$5:$J$255,8,FALSE))</f>
        <v>3. Formation</v>
      </c>
      <c r="W1824" s="19" t="s">
        <v>1939</v>
      </c>
      <c r="X1824" s="19" t="s">
        <v>1939</v>
      </c>
      <c r="Y1824" s="19" t="s">
        <v>2066</v>
      </c>
      <c r="Z1824" s="19" t="str">
        <f>A1824 &amp; "-" &amp; VLOOKUP(A1824,[4]PROGRAMMES!$E$1:$F$7,2,FALSE)</f>
        <v>5-Gouvernance et pilotage du secteur</v>
      </c>
      <c r="AA1824" s="19" t="str">
        <f>B1824 &amp; "-" &amp; VLOOKUP(B1824,[4]SOUSPROGRAMMES!$E$1:$F$44,2,FALSE)</f>
        <v>57- Coordination sectorielle</v>
      </c>
      <c r="AB1824" s="19" t="str">
        <f>C1824 &amp; "-" &amp; VLOOKUP(C1824,[4]RESULTATS!$E$1:$F$176,2,FALSE)</f>
        <v>571- Des organes de pilotage et de coordination interministérielles existent et fonctionnent éfficacement</v>
      </c>
      <c r="AC1824" s="20" t="str">
        <f>D1824 &amp; "-" &amp; VLOOKUP(D1824,[4]STRATEGIES!$E$1:$F$504,2,FALSE)</f>
        <v>5713-Appui au fonctionnement des structures de coordination et de pilotage</v>
      </c>
      <c r="AD1824" s="21" t="str">
        <f t="shared" si="266"/>
        <v>57136-Tenue des sessions statutaires des organes de pilotage et de coordination CNPE (national)</v>
      </c>
    </row>
    <row r="1825" spans="1:30" s="22" customFormat="1" ht="61" x14ac:dyDescent="0.8">
      <c r="A1825" s="14">
        <v>5</v>
      </c>
      <c r="B1825" s="15">
        <v>57</v>
      </c>
      <c r="C1825" s="15">
        <v>571</v>
      </c>
      <c r="D1825" s="15">
        <v>5713</v>
      </c>
      <c r="E1825" s="14">
        <v>57137</v>
      </c>
      <c r="F1825" s="16" t="s">
        <v>2269</v>
      </c>
      <c r="G1825" s="21" t="s">
        <v>2270</v>
      </c>
      <c r="H1825" s="17" t="s">
        <v>59</v>
      </c>
      <c r="I1825" s="56">
        <v>0</v>
      </c>
      <c r="J1825" s="53">
        <f>((4*8*46))*98.65%</f>
        <v>1452.1280000000002</v>
      </c>
      <c r="K1825" s="53">
        <f>((4*8*46))*98.65%</f>
        <v>1452.1280000000002</v>
      </c>
      <c r="L1825" s="53">
        <f>((4*8*46))*98.65%</f>
        <v>1452.1280000000002</v>
      </c>
      <c r="M1825" s="53">
        <f>SUM(I1825:L1825)</f>
        <v>4356.384</v>
      </c>
      <c r="N1825" s="53">
        <f>IF(OR(H1825="",H1825="sif",H1825="PM"),0,VLOOKUP(H1825,[5]CU!$C$4:$H$255,6,FALSE))</f>
        <v>0.8177777777777776</v>
      </c>
      <c r="O1825" s="53">
        <f>$N1825*I1825</f>
        <v>0</v>
      </c>
      <c r="P1825" s="53">
        <f>$N1825*J1825</f>
        <v>1187.5180088888887</v>
      </c>
      <c r="Q1825" s="53">
        <f>$N1825*K1825</f>
        <v>1187.5180088888887</v>
      </c>
      <c r="R1825" s="53">
        <f>$N1825*L1825</f>
        <v>1187.5180088888887</v>
      </c>
      <c r="S1825" s="53">
        <f>SUM(O1825:R1825)</f>
        <v>3562.5540266666662</v>
      </c>
      <c r="T1825" s="35" t="s">
        <v>67</v>
      </c>
      <c r="U1825" s="18" t="s">
        <v>1873</v>
      </c>
      <c r="V1825" s="19" t="str">
        <f>IF(OR($H1825="",$H1825="sif",$H1825="PM"),"",VLOOKUP($H1825,[5]CU!$C$5:$J$255,8,FALSE))</f>
        <v>3. Dépenses de fonctionnement</v>
      </c>
      <c r="W1825" s="18" t="s">
        <v>96</v>
      </c>
      <c r="X1825" s="18" t="s">
        <v>96</v>
      </c>
      <c r="Y1825" s="19" t="s">
        <v>32</v>
      </c>
      <c r="Z1825" s="19" t="str">
        <f>A1825 &amp; "-" &amp; VLOOKUP(A1825,[4]PROGRAMMES!$E$1:$F$7,2,FALSE)</f>
        <v>5-Gouvernance et pilotage du secteur</v>
      </c>
      <c r="AA1825" s="19" t="str">
        <f>B1825 &amp; "-" &amp; VLOOKUP(B1825,[4]SOUSPROGRAMMES!$E$1:$F$44,2,FALSE)</f>
        <v>57- Coordination sectorielle</v>
      </c>
      <c r="AB1825" s="19" t="str">
        <f>C1825 &amp; "-" &amp; VLOOKUP(C1825,[4]RESULTATS!$E$1:$F$176,2,FALSE)</f>
        <v>571- Des organes de pilotage et de coordination interministérielles existent et fonctionnent éfficacement</v>
      </c>
      <c r="AC1825" s="20" t="str">
        <f>D1825 &amp; "-" &amp; VLOOKUP(D1825,[4]STRATEGIES!$E$1:$F$504,2,FALSE)</f>
        <v>5713-Appui au fonctionnement des structures de coordination et de pilotage</v>
      </c>
      <c r="AD1825" s="21" t="str">
        <f t="shared" si="266"/>
        <v>57137-Appui au suivi et à la concertation au niveau national et au niveau communal de la mise en œuvre du programme UNICEF</v>
      </c>
    </row>
    <row r="1826" spans="1:30" s="22" customFormat="1" ht="61" x14ac:dyDescent="0.8">
      <c r="A1826" s="14">
        <v>5</v>
      </c>
      <c r="B1826" s="15">
        <v>57</v>
      </c>
      <c r="C1826" s="15">
        <v>571</v>
      </c>
      <c r="D1826" s="15">
        <v>5713</v>
      </c>
      <c r="E1826" s="14">
        <v>57137</v>
      </c>
      <c r="F1826" s="16" t="s">
        <v>2269</v>
      </c>
      <c r="G1826" s="21" t="s">
        <v>2270</v>
      </c>
      <c r="H1826" s="17" t="s">
        <v>59</v>
      </c>
      <c r="I1826" s="56">
        <v>0</v>
      </c>
      <c r="J1826" s="56">
        <f>((4*8*46))*1.35%</f>
        <v>19.872000000000003</v>
      </c>
      <c r="K1826" s="56">
        <f>((4*8*46))*1.35%</f>
        <v>19.872000000000003</v>
      </c>
      <c r="L1826" s="56">
        <f>((4*8*46))*1.35%</f>
        <v>19.872000000000003</v>
      </c>
      <c r="M1826" s="56">
        <f t="shared" si="268"/>
        <v>59.616000000000014</v>
      </c>
      <c r="N1826" s="56">
        <f>IF(OR(H1826="",H1826="sif",H1826="PM"),0,VLOOKUP(H1826,[5]CU!$C$4:$H$255,6,FALSE))</f>
        <v>0.8177777777777776</v>
      </c>
      <c r="O1826" s="56">
        <f t="shared" si="270"/>
        <v>0</v>
      </c>
      <c r="P1826" s="56">
        <f t="shared" si="270"/>
        <v>16.250879999999999</v>
      </c>
      <c r="Q1826" s="56">
        <f t="shared" si="270"/>
        <v>16.250879999999999</v>
      </c>
      <c r="R1826" s="56">
        <f t="shared" si="270"/>
        <v>16.250879999999999</v>
      </c>
      <c r="S1826" s="56">
        <f t="shared" si="271"/>
        <v>48.75264</v>
      </c>
      <c r="T1826" s="35" t="s">
        <v>118</v>
      </c>
      <c r="U1826" s="18" t="s">
        <v>1873</v>
      </c>
      <c r="V1826" s="19" t="str">
        <f>IF(OR($H1826="",$H1826="sif",$H1826="PM"),"",VLOOKUP($H1826,[5]CU!$C$5:$J$255,8,FALSE))</f>
        <v>3. Dépenses de fonctionnement</v>
      </c>
      <c r="W1826" s="18" t="s">
        <v>96</v>
      </c>
      <c r="X1826" s="18" t="s">
        <v>96</v>
      </c>
      <c r="Y1826" s="19" t="s">
        <v>32</v>
      </c>
      <c r="Z1826" s="19" t="str">
        <f>A1826 &amp; "-" &amp; VLOOKUP(A1826,[4]PROGRAMMES!$E$1:$F$7,2,FALSE)</f>
        <v>5-Gouvernance et pilotage du secteur</v>
      </c>
      <c r="AA1826" s="19" t="str">
        <f>B1826 &amp; "-" &amp; VLOOKUP(B1826,[4]SOUSPROGRAMMES!$E$1:$F$44,2,FALSE)</f>
        <v>57- Coordination sectorielle</v>
      </c>
      <c r="AB1826" s="19" t="str">
        <f>C1826 &amp; "-" &amp; VLOOKUP(C1826,[4]RESULTATS!$E$1:$F$176,2,FALSE)</f>
        <v>571- Des organes de pilotage et de coordination interministérielles existent et fonctionnent éfficacement</v>
      </c>
      <c r="AC1826" s="20" t="str">
        <f>D1826 &amp; "-" &amp; VLOOKUP(D1826,[4]STRATEGIES!$E$1:$F$504,2,FALSE)</f>
        <v>5713-Appui au fonctionnement des structures de coordination et de pilotage</v>
      </c>
      <c r="AD1826" s="21" t="str">
        <f t="shared" si="266"/>
        <v>57137-Appui au suivi et à la concertation au niveau national et au niveau communal de la mise en œuvre du programme UNICEF</v>
      </c>
    </row>
    <row r="1827" spans="1:30" s="22" customFormat="1" ht="30.5" x14ac:dyDescent="0.8">
      <c r="A1827" s="14">
        <v>5</v>
      </c>
      <c r="B1827" s="15">
        <v>57</v>
      </c>
      <c r="C1827" s="15">
        <v>571</v>
      </c>
      <c r="D1827" s="15">
        <v>5714</v>
      </c>
      <c r="E1827" s="14">
        <v>5714</v>
      </c>
      <c r="F1827" s="16" t="s">
        <v>2271</v>
      </c>
      <c r="G1827" s="17"/>
      <c r="H1827" s="17"/>
      <c r="I1827" s="56">
        <v>0</v>
      </c>
      <c r="J1827" s="56"/>
      <c r="K1827" s="56"/>
      <c r="L1827" s="56"/>
      <c r="M1827" s="56"/>
      <c r="N1827" s="56"/>
      <c r="O1827" s="56"/>
      <c r="P1827" s="56"/>
      <c r="Q1827" s="56"/>
      <c r="R1827" s="56"/>
      <c r="S1827" s="56"/>
      <c r="T1827" s="33"/>
      <c r="U1827" s="18"/>
      <c r="V1827" s="19"/>
      <c r="W1827" s="18"/>
      <c r="X1827" s="18"/>
      <c r="Y1827" s="18"/>
      <c r="Z1827" s="19" t="str">
        <f>A1827 &amp; "-" &amp; VLOOKUP(A1827,[4]PROGRAMMES!$E$1:$F$7,2,FALSE)</f>
        <v>5-Gouvernance et pilotage du secteur</v>
      </c>
      <c r="AA1827" s="19" t="str">
        <f>B1827 &amp; "-" &amp; VLOOKUP(B1827,[4]SOUSPROGRAMMES!$E$1:$F$44,2,FALSE)</f>
        <v>57- Coordination sectorielle</v>
      </c>
      <c r="AB1827" s="19" t="str">
        <f>C1827 &amp; "-" &amp; VLOOKUP(C1827,[4]RESULTATS!$E$1:$F$176,2,FALSE)</f>
        <v>571- Des organes de pilotage et de coordination interministérielles existent et fonctionnent éfficacement</v>
      </c>
      <c r="AC1827" s="20" t="str">
        <f>D1827 &amp; "-" &amp; VLOOKUP(D1827,[4]STRATEGIES!$E$1:$F$504,2,FALSE)</f>
        <v>5714-Partage des rapports et des recommandations des structures de coordination et pilotage avec les acteurs concernés</v>
      </c>
      <c r="AD1827" s="21" t="str">
        <f t="shared" si="266"/>
        <v>5714-Partage des rapports et des recommandations des structures de coordination et pilotage avec les acteurs concernés</v>
      </c>
    </row>
    <row r="1828" spans="1:30" s="22" customFormat="1" ht="30.5" hidden="1" x14ac:dyDescent="0.8">
      <c r="A1828" s="14">
        <v>5</v>
      </c>
      <c r="B1828" s="15">
        <v>57</v>
      </c>
      <c r="C1828" s="15">
        <v>571</v>
      </c>
      <c r="D1828" s="15">
        <v>5714</v>
      </c>
      <c r="E1828" s="14">
        <v>57141</v>
      </c>
      <c r="F1828" s="16" t="s">
        <v>2272</v>
      </c>
      <c r="G1828" s="21" t="s">
        <v>88</v>
      </c>
      <c r="H1828" s="17" t="s">
        <v>55</v>
      </c>
      <c r="I1828" s="56">
        <v>0</v>
      </c>
      <c r="J1828" s="56">
        <v>0</v>
      </c>
      <c r="K1828" s="56">
        <v>0</v>
      </c>
      <c r="L1828" s="56">
        <v>0</v>
      </c>
      <c r="M1828" s="56"/>
      <c r="N1828" s="56">
        <f>IF(OR(H1828="",H1828="sif",H1828="PM"),0,VLOOKUP(H1828,[5]CU!$C$4:$H$255,6,FALSE))</f>
        <v>0</v>
      </c>
      <c r="O1828" s="56"/>
      <c r="P1828" s="56"/>
      <c r="Q1828" s="56"/>
      <c r="R1828" s="56"/>
      <c r="S1828" s="56"/>
      <c r="T1828" s="35" t="s">
        <v>56</v>
      </c>
      <c r="U1828" s="18" t="s">
        <v>1873</v>
      </c>
      <c r="V1828" s="19" t="str">
        <f>IF(OR($H1828="",$H1828="sif",$H1828="PM"),"",VLOOKUP($H1828,[5]CU!$C$5:$J$255,8,FALSE))</f>
        <v/>
      </c>
      <c r="W1828" s="18" t="s">
        <v>255</v>
      </c>
      <c r="X1828" s="18" t="s">
        <v>1936</v>
      </c>
      <c r="Y1828" s="19" t="s">
        <v>32</v>
      </c>
      <c r="Z1828" s="19" t="str">
        <f>A1828 &amp; "-" &amp; VLOOKUP(A1828,[4]PROGRAMMES!$E$1:$F$7,2,FALSE)</f>
        <v>5-Gouvernance et pilotage du secteur</v>
      </c>
      <c r="AA1828" s="19" t="str">
        <f>B1828 &amp; "-" &amp; VLOOKUP(B1828,[4]SOUSPROGRAMMES!$E$1:$F$44,2,FALSE)</f>
        <v>57- Coordination sectorielle</v>
      </c>
      <c r="AB1828" s="19" t="str">
        <f>C1828 &amp; "-" &amp; VLOOKUP(C1828,[4]RESULTATS!$E$1:$F$176,2,FALSE)</f>
        <v>571- Des organes de pilotage et de coordination interministérielles existent et fonctionnent éfficacement</v>
      </c>
      <c r="AC1828" s="20" t="str">
        <f>D1828 &amp; "-" &amp; VLOOKUP(D1828,[4]STRATEGIES!$E$1:$F$504,2,FALSE)</f>
        <v>5714-Partage des rapports et des recommandations des structures de coordination et pilotage avec les acteurs concernés</v>
      </c>
      <c r="AD1828" s="21" t="str">
        <f t="shared" si="266"/>
        <v>57141-Centralisation des rapports des sessions statutaires</v>
      </c>
    </row>
    <row r="1829" spans="1:30" s="22" customFormat="1" ht="30.5" hidden="1" x14ac:dyDescent="0.8">
      <c r="A1829" s="14">
        <v>5</v>
      </c>
      <c r="B1829" s="15">
        <v>57</v>
      </c>
      <c r="C1829" s="15">
        <v>571</v>
      </c>
      <c r="D1829" s="15">
        <v>5714</v>
      </c>
      <c r="E1829" s="14">
        <v>57142</v>
      </c>
      <c r="F1829" s="16" t="s">
        <v>2273</v>
      </c>
      <c r="G1829" s="21" t="s">
        <v>88</v>
      </c>
      <c r="H1829" s="17" t="s">
        <v>55</v>
      </c>
      <c r="I1829" s="56">
        <v>0</v>
      </c>
      <c r="J1829" s="56">
        <v>0</v>
      </c>
      <c r="K1829" s="56">
        <v>0</v>
      </c>
      <c r="L1829" s="56">
        <v>0</v>
      </c>
      <c r="M1829" s="56"/>
      <c r="N1829" s="56">
        <f>IF(OR(H1829="",H1829="sif",H1829="PM"),0,VLOOKUP(H1829,[5]CU!$C$4:$H$255,6,FALSE))</f>
        <v>0</v>
      </c>
      <c r="O1829" s="56"/>
      <c r="P1829" s="56"/>
      <c r="Q1829" s="56"/>
      <c r="R1829" s="56"/>
      <c r="S1829" s="56"/>
      <c r="T1829" s="35" t="s">
        <v>56</v>
      </c>
      <c r="U1829" s="18" t="s">
        <v>1873</v>
      </c>
      <c r="V1829" s="19" t="str">
        <f>IF(OR($H1829="",$H1829="sif",$H1829="PM"),"",VLOOKUP($H1829,[5]CU!$C$5:$J$255,8,FALSE))</f>
        <v/>
      </c>
      <c r="W1829" s="18" t="s">
        <v>255</v>
      </c>
      <c r="X1829" s="18" t="s">
        <v>1936</v>
      </c>
      <c r="Y1829" s="19" t="s">
        <v>32</v>
      </c>
      <c r="Z1829" s="19" t="str">
        <f>A1829 &amp; "-" &amp; VLOOKUP(A1829,[4]PROGRAMMES!$E$1:$F$7,2,FALSE)</f>
        <v>5-Gouvernance et pilotage du secteur</v>
      </c>
      <c r="AA1829" s="19" t="str">
        <f>B1829 &amp; "-" &amp; VLOOKUP(B1829,[4]SOUSPROGRAMMES!$E$1:$F$44,2,FALSE)</f>
        <v>57- Coordination sectorielle</v>
      </c>
      <c r="AB1829" s="19" t="str">
        <f>C1829 &amp; "-" &amp; VLOOKUP(C1829,[4]RESULTATS!$E$1:$F$176,2,FALSE)</f>
        <v>571- Des organes de pilotage et de coordination interministérielles existent et fonctionnent éfficacement</v>
      </c>
      <c r="AC1829" s="20" t="str">
        <f>D1829 &amp; "-" &amp; VLOOKUP(D1829,[4]STRATEGIES!$E$1:$F$504,2,FALSE)</f>
        <v>5714-Partage des rapports et des recommandations des structures de coordination et pilotage avec les acteurs concernés</v>
      </c>
      <c r="AD1829" s="21" t="str">
        <f t="shared" si="266"/>
        <v xml:space="preserve">57142-Diffusion des rapports des sessions statutaires </v>
      </c>
    </row>
    <row r="1830" spans="1:30" s="22" customFormat="1" ht="30.5" hidden="1" x14ac:dyDescent="0.8">
      <c r="A1830" s="14">
        <v>5</v>
      </c>
      <c r="B1830" s="15">
        <v>57</v>
      </c>
      <c r="C1830" s="15">
        <v>571</v>
      </c>
      <c r="D1830" s="15">
        <v>5714</v>
      </c>
      <c r="E1830" s="14">
        <v>57143</v>
      </c>
      <c r="F1830" s="16" t="s">
        <v>2274</v>
      </c>
      <c r="G1830" s="21" t="s">
        <v>88</v>
      </c>
      <c r="H1830" s="17" t="s">
        <v>55</v>
      </c>
      <c r="I1830" s="56">
        <v>0</v>
      </c>
      <c r="J1830" s="56">
        <v>0</v>
      </c>
      <c r="K1830" s="56">
        <v>0</v>
      </c>
      <c r="L1830" s="56">
        <v>0</v>
      </c>
      <c r="M1830" s="56"/>
      <c r="N1830" s="56">
        <f>IF(OR(H1830="",H1830="sif",H1830="PM"),0,VLOOKUP(H1830,[5]CU!$C$4:$H$255,6,FALSE))</f>
        <v>0</v>
      </c>
      <c r="O1830" s="56"/>
      <c r="P1830" s="56"/>
      <c r="Q1830" s="56"/>
      <c r="R1830" s="56"/>
      <c r="S1830" s="56"/>
      <c r="T1830" s="35" t="s">
        <v>56</v>
      </c>
      <c r="U1830" s="18" t="s">
        <v>1873</v>
      </c>
      <c r="V1830" s="19" t="str">
        <f>IF(OR($H1830="",$H1830="sif",$H1830="PM"),"",VLOOKUP($H1830,[5]CU!$C$5:$J$255,8,FALSE))</f>
        <v/>
      </c>
      <c r="W1830" s="18" t="s">
        <v>255</v>
      </c>
      <c r="X1830" s="18" t="s">
        <v>255</v>
      </c>
      <c r="Y1830" s="19" t="s">
        <v>32</v>
      </c>
      <c r="Z1830" s="19" t="str">
        <f>A1830 &amp; "-" &amp; VLOOKUP(A1830,[4]PROGRAMMES!$E$1:$F$7,2,FALSE)</f>
        <v>5-Gouvernance et pilotage du secteur</v>
      </c>
      <c r="AA1830" s="19" t="str">
        <f>B1830 &amp; "-" &amp; VLOOKUP(B1830,[4]SOUSPROGRAMMES!$E$1:$F$44,2,FALSE)</f>
        <v>57- Coordination sectorielle</v>
      </c>
      <c r="AB1830" s="19" t="str">
        <f>C1830 &amp; "-" &amp; VLOOKUP(C1830,[4]RESULTATS!$E$1:$F$176,2,FALSE)</f>
        <v>571- Des organes de pilotage et de coordination interministérielles existent et fonctionnent éfficacement</v>
      </c>
      <c r="AC1830" s="20" t="str">
        <f>D1830 &amp; "-" &amp; VLOOKUP(D1830,[4]STRATEGIES!$E$1:$F$504,2,FALSE)</f>
        <v>5714-Partage des rapports et des recommandations des structures de coordination et pilotage avec les acteurs concernés</v>
      </c>
      <c r="AD1830" s="21" t="str">
        <f t="shared" si="266"/>
        <v>57143-Analyse des résultats des sessions et formulation de lettre de directive spécifique à chaque structure</v>
      </c>
    </row>
    <row r="1831" spans="1:30" s="22" customFormat="1" ht="30.5" x14ac:dyDescent="0.8">
      <c r="A1831" s="14">
        <v>5</v>
      </c>
      <c r="B1831" s="15">
        <v>57</v>
      </c>
      <c r="C1831" s="15">
        <v>572</v>
      </c>
      <c r="D1831" s="15">
        <v>572</v>
      </c>
      <c r="E1831" s="14">
        <v>572</v>
      </c>
      <c r="F1831" s="16" t="s">
        <v>2275</v>
      </c>
      <c r="G1831" s="17"/>
      <c r="H1831" s="17"/>
      <c r="I1831" s="56">
        <v>0</v>
      </c>
      <c r="J1831" s="56"/>
      <c r="K1831" s="56"/>
      <c r="L1831" s="56"/>
      <c r="M1831" s="56"/>
      <c r="N1831" s="56"/>
      <c r="O1831" s="56"/>
      <c r="P1831" s="56"/>
      <c r="Q1831" s="56"/>
      <c r="R1831" s="56"/>
      <c r="S1831" s="56"/>
      <c r="T1831" s="33"/>
      <c r="U1831" s="18"/>
      <c r="V1831" s="19"/>
      <c r="W1831" s="18"/>
      <c r="X1831" s="18"/>
      <c r="Y1831" s="18"/>
      <c r="Z1831" s="19" t="str">
        <f>A1831 &amp; "-" &amp; VLOOKUP(A1831,[4]PROGRAMMES!$E$1:$F$7,2,FALSE)</f>
        <v>5-Gouvernance et pilotage du secteur</v>
      </c>
      <c r="AA1831" s="19" t="str">
        <f>B1831 &amp; "-" &amp; VLOOKUP(B1831,[4]SOUSPROGRAMMES!$E$1:$F$44,2,FALSE)</f>
        <v>57- Coordination sectorielle</v>
      </c>
      <c r="AB1831" s="19" t="str">
        <f>C1831 &amp; "-" &amp; VLOOKUP(C1831,[4]RESULTATS!$E$1:$F$176,2,FALSE)</f>
        <v>572- Des organes de pilotage et de coordination du ProDEG sont mis en place et sont fonctionnels</v>
      </c>
      <c r="AC1831" s="20" t="str">
        <f>D1831 &amp; "-" &amp; VLOOKUP(D1831,[4]STRATEGIES!$E$1:$F$504,2,FALSE)</f>
        <v>572- Des organes de pilotage et de coordination du ProDEG sont mis en place et sont fonctionnels</v>
      </c>
      <c r="AD1831" s="21" t="str">
        <f t="shared" si="266"/>
        <v>572- Des organes de pilotage et de coordination du ProDEG sont mis en place et sont fonctionnels</v>
      </c>
    </row>
    <row r="1832" spans="1:30" s="22" customFormat="1" ht="30.5" x14ac:dyDescent="0.8">
      <c r="A1832" s="14">
        <v>5</v>
      </c>
      <c r="B1832" s="15">
        <v>57</v>
      </c>
      <c r="C1832" s="15">
        <v>572</v>
      </c>
      <c r="D1832" s="15">
        <v>5721</v>
      </c>
      <c r="E1832" s="14">
        <v>5721</v>
      </c>
      <c r="F1832" s="16" t="s">
        <v>2276</v>
      </c>
      <c r="G1832" s="17"/>
      <c r="H1832" s="17"/>
      <c r="I1832" s="56">
        <v>0</v>
      </c>
      <c r="J1832" s="56"/>
      <c r="K1832" s="56"/>
      <c r="L1832" s="56"/>
      <c r="M1832" s="56"/>
      <c r="N1832" s="56"/>
      <c r="O1832" s="56"/>
      <c r="P1832" s="56"/>
      <c r="Q1832" s="56"/>
      <c r="R1832" s="56"/>
      <c r="S1832" s="56"/>
      <c r="T1832" s="33"/>
      <c r="U1832" s="18"/>
      <c r="V1832" s="19"/>
      <c r="W1832" s="18"/>
      <c r="X1832" s="18"/>
      <c r="Y1832" s="18"/>
      <c r="Z1832" s="19" t="str">
        <f>A1832 &amp; "-" &amp; VLOOKUP(A1832,[4]PROGRAMMES!$E$1:$F$7,2,FALSE)</f>
        <v>5-Gouvernance et pilotage du secteur</v>
      </c>
      <c r="AA1832" s="19" t="str">
        <f>B1832 &amp; "-" &amp; VLOOKUP(B1832,[4]SOUSPROGRAMMES!$E$1:$F$44,2,FALSE)</f>
        <v>57- Coordination sectorielle</v>
      </c>
      <c r="AB1832" s="19" t="str">
        <f>C1832 &amp; "-" &amp; VLOOKUP(C1832,[4]RESULTATS!$E$1:$F$176,2,FALSE)</f>
        <v>572- Des organes de pilotage et de coordination du ProDEG sont mis en place et sont fonctionnels</v>
      </c>
      <c r="AC1832" s="20" t="str">
        <f>D1832 &amp; "-" &amp; VLOOKUP(D1832,[4]STRATEGIES!$E$1:$F$504,2,FALSE)</f>
        <v>5721-Mise en place des instances de pilotage et de coordination</v>
      </c>
      <c r="AD1832" s="21" t="str">
        <f t="shared" si="266"/>
        <v>5721-Mise en place des instances de pilotage et de coordination</v>
      </c>
    </row>
    <row r="1833" spans="1:30" s="22" customFormat="1" ht="30.5" hidden="1" x14ac:dyDescent="0.8">
      <c r="A1833" s="14">
        <v>5</v>
      </c>
      <c r="B1833" s="15">
        <v>57</v>
      </c>
      <c r="C1833" s="15">
        <v>572</v>
      </c>
      <c r="D1833" s="15">
        <v>5721</v>
      </c>
      <c r="E1833" s="14">
        <v>57211</v>
      </c>
      <c r="F1833" s="16" t="s">
        <v>2277</v>
      </c>
      <c r="G1833" s="21" t="s">
        <v>660</v>
      </c>
      <c r="H1833" s="17" t="s">
        <v>55</v>
      </c>
      <c r="I1833" s="56">
        <v>0</v>
      </c>
      <c r="J1833" s="56"/>
      <c r="K1833" s="56"/>
      <c r="L1833" s="56"/>
      <c r="M1833" s="56">
        <f t="shared" ref="M1833:M1893" si="273">SUM(I1833:L1833)</f>
        <v>0</v>
      </c>
      <c r="N1833" s="56">
        <f>IF(OR(H1833="",H1833="sif",H1833="PM"),0,VLOOKUP(H1833,[5]CU!$C$4:$H$255,6,FALSE))</f>
        <v>0</v>
      </c>
      <c r="O1833" s="56"/>
      <c r="P1833" s="56"/>
      <c r="Q1833" s="56"/>
      <c r="R1833" s="56"/>
      <c r="S1833" s="56"/>
      <c r="T1833" s="35" t="s">
        <v>56</v>
      </c>
      <c r="U1833" s="18" t="s">
        <v>1873</v>
      </c>
      <c r="V1833" s="19" t="str">
        <f>IF(OR($H1833="",$H1833="sif",$H1833="PM"),"",VLOOKUP($H1833,[5]CU!$C$5:$J$255,8,FALSE))</f>
        <v/>
      </c>
      <c r="W1833" s="18" t="s">
        <v>255</v>
      </c>
      <c r="X1833" s="18" t="s">
        <v>255</v>
      </c>
      <c r="Y1833" s="18" t="s">
        <v>679</v>
      </c>
      <c r="Z1833" s="19" t="str">
        <f>A1833 &amp; "-" &amp; VLOOKUP(A1833,[4]PROGRAMMES!$E$1:$F$7,2,FALSE)</f>
        <v>5-Gouvernance et pilotage du secteur</v>
      </c>
      <c r="AA1833" s="19" t="str">
        <f>B1833 &amp; "-" &amp; VLOOKUP(B1833,[4]SOUSPROGRAMMES!$E$1:$F$44,2,FALSE)</f>
        <v>57- Coordination sectorielle</v>
      </c>
      <c r="AB1833" s="19" t="str">
        <f>C1833 &amp; "-" &amp; VLOOKUP(C1833,[4]RESULTATS!$E$1:$F$176,2,FALSE)</f>
        <v>572- Des organes de pilotage et de coordination du ProDEG sont mis en place et sont fonctionnels</v>
      </c>
      <c r="AC1833" s="20" t="str">
        <f>D1833 &amp; "-" &amp; VLOOKUP(D1833,[4]STRATEGIES!$E$1:$F$504,2,FALSE)</f>
        <v>5721-Mise en place des instances de pilotage et de coordination</v>
      </c>
      <c r="AD1833" s="21" t="str">
        <f t="shared" si="266"/>
        <v>57211-Elaboration et adoption des textes de création du comité interministériel de coordination et de pilotage</v>
      </c>
    </row>
    <row r="1834" spans="1:30" s="22" customFormat="1" ht="30.5" hidden="1" x14ac:dyDescent="0.8">
      <c r="A1834" s="14">
        <v>5</v>
      </c>
      <c r="B1834" s="15">
        <v>57</v>
      </c>
      <c r="C1834" s="15">
        <v>572</v>
      </c>
      <c r="D1834" s="15">
        <v>5721</v>
      </c>
      <c r="E1834" s="14">
        <v>57212</v>
      </c>
      <c r="F1834" s="16" t="s">
        <v>2278</v>
      </c>
      <c r="G1834" s="21" t="s">
        <v>660</v>
      </c>
      <c r="H1834" s="17" t="s">
        <v>55</v>
      </c>
      <c r="I1834" s="56">
        <v>0</v>
      </c>
      <c r="J1834" s="56"/>
      <c r="K1834" s="56"/>
      <c r="L1834" s="56"/>
      <c r="M1834" s="56">
        <f t="shared" si="273"/>
        <v>0</v>
      </c>
      <c r="N1834" s="56">
        <f>IF(OR(H1834="",H1834="sif",H1834="PM"),0,VLOOKUP(H1834,[5]CU!$C$4:$H$255,6,FALSE))</f>
        <v>0</v>
      </c>
      <c r="O1834" s="56"/>
      <c r="P1834" s="56"/>
      <c r="Q1834" s="56"/>
      <c r="R1834" s="56"/>
      <c r="S1834" s="56"/>
      <c r="T1834" s="35" t="s">
        <v>56</v>
      </c>
      <c r="U1834" s="18" t="s">
        <v>1873</v>
      </c>
      <c r="V1834" s="19" t="str">
        <f>IF(OR($H1834="",$H1834="sif",$H1834="PM"),"",VLOOKUP($H1834,[5]CU!$C$5:$J$255,8,FALSE))</f>
        <v/>
      </c>
      <c r="W1834" s="18" t="s">
        <v>255</v>
      </c>
      <c r="X1834" s="18" t="s">
        <v>255</v>
      </c>
      <c r="Y1834" s="18" t="s">
        <v>679</v>
      </c>
      <c r="Z1834" s="19" t="str">
        <f>A1834 &amp; "-" &amp; VLOOKUP(A1834,[4]PROGRAMMES!$E$1:$F$7,2,FALSE)</f>
        <v>5-Gouvernance et pilotage du secteur</v>
      </c>
      <c r="AA1834" s="19" t="str">
        <f>B1834 &amp; "-" &amp; VLOOKUP(B1834,[4]SOUSPROGRAMMES!$E$1:$F$44,2,FALSE)</f>
        <v>57- Coordination sectorielle</v>
      </c>
      <c r="AB1834" s="19" t="str">
        <f>C1834 &amp; "-" &amp; VLOOKUP(C1834,[4]RESULTATS!$E$1:$F$176,2,FALSE)</f>
        <v>572- Des organes de pilotage et de coordination du ProDEG sont mis en place et sont fonctionnels</v>
      </c>
      <c r="AC1834" s="20" t="str">
        <f>D1834 &amp; "-" &amp; VLOOKUP(D1834,[4]STRATEGIES!$E$1:$F$504,2,FALSE)</f>
        <v>5721-Mise en place des instances de pilotage et de coordination</v>
      </c>
      <c r="AD1834" s="21" t="str">
        <f t="shared" si="266"/>
        <v>57212-Adoption d'un texte créant le secrétariat technique de coordination du ProDEG</v>
      </c>
    </row>
    <row r="1835" spans="1:30" s="22" customFormat="1" ht="30.5" x14ac:dyDescent="0.8">
      <c r="A1835" s="14">
        <v>5</v>
      </c>
      <c r="B1835" s="15">
        <v>57</v>
      </c>
      <c r="C1835" s="15">
        <v>572</v>
      </c>
      <c r="D1835" s="15">
        <v>5722</v>
      </c>
      <c r="E1835" s="14">
        <v>5722</v>
      </c>
      <c r="F1835" s="16" t="s">
        <v>2279</v>
      </c>
      <c r="G1835" s="17"/>
      <c r="H1835" s="17"/>
      <c r="I1835" s="56">
        <v>0</v>
      </c>
      <c r="J1835" s="56"/>
      <c r="K1835" s="56"/>
      <c r="L1835" s="56"/>
      <c r="M1835" s="56"/>
      <c r="N1835" s="56"/>
      <c r="O1835" s="56"/>
      <c r="P1835" s="56"/>
      <c r="Q1835" s="56"/>
      <c r="R1835" s="56"/>
      <c r="S1835" s="56"/>
      <c r="T1835" s="33"/>
      <c r="U1835" s="18"/>
      <c r="V1835" s="19"/>
      <c r="W1835" s="18"/>
      <c r="X1835" s="18"/>
      <c r="Y1835" s="18"/>
      <c r="Z1835" s="19" t="str">
        <f>A1835 &amp; "-" &amp; VLOOKUP(A1835,[4]PROGRAMMES!$E$1:$F$7,2,FALSE)</f>
        <v>5-Gouvernance et pilotage du secteur</v>
      </c>
      <c r="AA1835" s="19" t="str">
        <f>B1835 &amp; "-" &amp; VLOOKUP(B1835,[4]SOUSPROGRAMMES!$E$1:$F$44,2,FALSE)</f>
        <v>57- Coordination sectorielle</v>
      </c>
      <c r="AB1835" s="19" t="str">
        <f>C1835 &amp; "-" &amp; VLOOKUP(C1835,[4]RESULTATS!$E$1:$F$176,2,FALSE)</f>
        <v>572- Des organes de pilotage et de coordination du ProDEG sont mis en place et sont fonctionnels</v>
      </c>
      <c r="AC1835" s="20" t="str">
        <f>D1835 &amp; "-" &amp; VLOOKUP(D1835,[4]STRATEGIES!$E$1:$F$504,2,FALSE)</f>
        <v>5722-Opérationnalisation des instances de pilotage et de coordination</v>
      </c>
      <c r="AD1835" s="21" t="str">
        <f t="shared" si="266"/>
        <v>5722-Opérationnalisation des instances de pilotage et de coordination</v>
      </c>
    </row>
    <row r="1836" spans="1:30" s="22" customFormat="1" ht="30.5" hidden="1" x14ac:dyDescent="0.8">
      <c r="A1836" s="14">
        <v>5</v>
      </c>
      <c r="B1836" s="15">
        <v>57</v>
      </c>
      <c r="C1836" s="15">
        <v>572</v>
      </c>
      <c r="D1836" s="15">
        <v>5722</v>
      </c>
      <c r="E1836" s="14">
        <v>57221</v>
      </c>
      <c r="F1836" s="16" t="s">
        <v>2280</v>
      </c>
      <c r="G1836" s="21" t="s">
        <v>321</v>
      </c>
      <c r="H1836" s="17" t="s">
        <v>55</v>
      </c>
      <c r="I1836" s="56">
        <v>0</v>
      </c>
      <c r="J1836" s="56">
        <v>1</v>
      </c>
      <c r="K1836" s="56"/>
      <c r="L1836" s="56"/>
      <c r="M1836" s="56">
        <f t="shared" si="273"/>
        <v>1</v>
      </c>
      <c r="N1836" s="56">
        <f>IF(OR(H1836="",H1836="sif",H1836="PM"),0,VLOOKUP(H1836,[5]CU!$C$4:$H$255,6,FALSE))</f>
        <v>0</v>
      </c>
      <c r="O1836" s="56"/>
      <c r="P1836" s="56"/>
      <c r="Q1836" s="56"/>
      <c r="R1836" s="56"/>
      <c r="S1836" s="56"/>
      <c r="T1836" s="35" t="s">
        <v>56</v>
      </c>
      <c r="U1836" s="18" t="s">
        <v>1873</v>
      </c>
      <c r="V1836" s="19" t="str">
        <f>IF(OR($H1836="",$H1836="sif",$H1836="PM"),"",VLOOKUP($H1836,[5]CU!$C$5:$J$255,8,FALSE))</f>
        <v/>
      </c>
      <c r="W1836" s="18" t="s">
        <v>255</v>
      </c>
      <c r="X1836" s="18" t="s">
        <v>255</v>
      </c>
      <c r="Y1836" s="18" t="s">
        <v>677</v>
      </c>
      <c r="Z1836" s="19" t="str">
        <f>A1836 &amp; "-" &amp; VLOOKUP(A1836,[4]PROGRAMMES!$E$1:$F$7,2,FALSE)</f>
        <v>5-Gouvernance et pilotage du secteur</v>
      </c>
      <c r="AA1836" s="19" t="str">
        <f>B1836 &amp; "-" &amp; VLOOKUP(B1836,[4]SOUSPROGRAMMES!$E$1:$F$44,2,FALSE)</f>
        <v>57- Coordination sectorielle</v>
      </c>
      <c r="AB1836" s="19" t="str">
        <f>C1836 &amp; "-" &amp; VLOOKUP(C1836,[4]RESULTATS!$E$1:$F$176,2,FALSE)</f>
        <v>572- Des organes de pilotage et de coordination du ProDEG sont mis en place et sont fonctionnels</v>
      </c>
      <c r="AC1836" s="20" t="str">
        <f>D1836 &amp; "-" &amp; VLOOKUP(D1836,[4]STRATEGIES!$E$1:$F$504,2,FALSE)</f>
        <v>5722-Opérationnalisation des instances de pilotage et de coordination</v>
      </c>
      <c r="AD1836" s="21" t="str">
        <f t="shared" si="266"/>
        <v>57221-Affectation du personnel en fonction des profils nécessaires (10 en provenance des 3 ministères)</v>
      </c>
    </row>
    <row r="1837" spans="1:30" s="22" customFormat="1" ht="45.75" x14ac:dyDescent="0.8">
      <c r="A1837" s="14">
        <v>5</v>
      </c>
      <c r="B1837" s="15">
        <v>57</v>
      </c>
      <c r="C1837" s="15">
        <v>572</v>
      </c>
      <c r="D1837" s="15">
        <v>5722</v>
      </c>
      <c r="E1837" s="14">
        <v>57222</v>
      </c>
      <c r="F1837" s="16" t="s">
        <v>2281</v>
      </c>
      <c r="G1837" s="21" t="s">
        <v>2282</v>
      </c>
      <c r="H1837" s="17" t="s">
        <v>2283</v>
      </c>
      <c r="I1837" s="56">
        <v>0</v>
      </c>
      <c r="J1837" s="56">
        <v>10</v>
      </c>
      <c r="K1837" s="56"/>
      <c r="L1837" s="56"/>
      <c r="M1837" s="56">
        <f t="shared" si="273"/>
        <v>10</v>
      </c>
      <c r="N1837" s="56">
        <f>IF(OR(H1837="",H1837="sif",H1837="PM"),0,VLOOKUP(H1837,[5]CU!$C$4:$H$255,6,FALSE))</f>
        <v>9.5</v>
      </c>
      <c r="O1837" s="56">
        <f t="shared" ref="O1837:R1847" si="274">$N1837*I1837</f>
        <v>0</v>
      </c>
      <c r="P1837" s="56">
        <f t="shared" si="274"/>
        <v>95</v>
      </c>
      <c r="Q1837" s="56">
        <f t="shared" si="274"/>
        <v>0</v>
      </c>
      <c r="R1837" s="56">
        <f t="shared" si="274"/>
        <v>0</v>
      </c>
      <c r="S1837" s="56">
        <f t="shared" ref="S1837:S1847" si="275">SUM(O1837:R1837)</f>
        <v>95</v>
      </c>
      <c r="T1837" s="35" t="s">
        <v>118</v>
      </c>
      <c r="U1837" s="18" t="s">
        <v>1873</v>
      </c>
      <c r="V1837" s="19" t="str">
        <f>IF(OR($H1837="",$H1837="sif",$H1837="PM"),"",VLOOKUP($H1837,[5]CU!$C$5:$J$255,8,FALSE))</f>
        <v>5. Investissement</v>
      </c>
      <c r="W1837" s="18" t="s">
        <v>255</v>
      </c>
      <c r="X1837" s="18" t="s">
        <v>255</v>
      </c>
      <c r="Y1837" s="18" t="s">
        <v>677</v>
      </c>
      <c r="Z1837" s="19" t="str">
        <f>A1837 &amp; "-" &amp; VLOOKUP(A1837,[4]PROGRAMMES!$E$1:$F$7,2,FALSE)</f>
        <v>5-Gouvernance et pilotage du secteur</v>
      </c>
      <c r="AA1837" s="19" t="str">
        <f>B1837 &amp; "-" &amp; VLOOKUP(B1837,[4]SOUSPROGRAMMES!$E$1:$F$44,2,FALSE)</f>
        <v>57- Coordination sectorielle</v>
      </c>
      <c r="AB1837" s="19" t="str">
        <f>C1837 &amp; "-" &amp; VLOOKUP(C1837,[4]RESULTATS!$E$1:$F$176,2,FALSE)</f>
        <v>572- Des organes de pilotage et de coordination du ProDEG sont mis en place et sont fonctionnels</v>
      </c>
      <c r="AC1837" s="20" t="str">
        <f>D1837 &amp; "-" &amp; VLOOKUP(D1837,[4]STRATEGIES!$E$1:$F$504,2,FALSE)</f>
        <v>5722-Opérationnalisation des instances de pilotage et de coordination</v>
      </c>
      <c r="AD1837" s="21" t="str">
        <f t="shared" si="266"/>
        <v>57222-Acquisition de mobilier de bureau</v>
      </c>
    </row>
    <row r="1838" spans="1:30" s="22" customFormat="1" ht="45.75" x14ac:dyDescent="0.8">
      <c r="A1838" s="14">
        <v>5</v>
      </c>
      <c r="B1838" s="15">
        <v>57</v>
      </c>
      <c r="C1838" s="15">
        <v>572</v>
      </c>
      <c r="D1838" s="15">
        <v>5722</v>
      </c>
      <c r="E1838" s="14">
        <v>57223</v>
      </c>
      <c r="F1838" s="16" t="s">
        <v>2284</v>
      </c>
      <c r="G1838" s="21" t="s">
        <v>2285</v>
      </c>
      <c r="H1838" s="17" t="s">
        <v>2286</v>
      </c>
      <c r="I1838" s="56">
        <v>0</v>
      </c>
      <c r="J1838" s="56">
        <v>2</v>
      </c>
      <c r="K1838" s="56"/>
      <c r="L1838" s="56"/>
      <c r="M1838" s="56">
        <f t="shared" si="273"/>
        <v>2</v>
      </c>
      <c r="N1838" s="56">
        <f>IF(OR(H1838="",H1838="sif",H1838="PM"),0,VLOOKUP(H1838,[5]CU!$C$4:$H$255,6,FALSE))</f>
        <v>104.5</v>
      </c>
      <c r="O1838" s="56">
        <f t="shared" si="274"/>
        <v>0</v>
      </c>
      <c r="P1838" s="56">
        <f t="shared" si="274"/>
        <v>209</v>
      </c>
      <c r="Q1838" s="56">
        <f t="shared" si="274"/>
        <v>0</v>
      </c>
      <c r="R1838" s="56">
        <f t="shared" si="274"/>
        <v>0</v>
      </c>
      <c r="S1838" s="56">
        <f t="shared" si="275"/>
        <v>209</v>
      </c>
      <c r="T1838" s="35" t="s">
        <v>118</v>
      </c>
      <c r="U1838" s="18" t="s">
        <v>1873</v>
      </c>
      <c r="V1838" s="19" t="str">
        <f>IF(OR($H1838="",$H1838="sif",$H1838="PM"),"",VLOOKUP($H1838,[5]CU!$C$5:$J$255,8,FALSE))</f>
        <v>5. Investissement</v>
      </c>
      <c r="W1838" s="18" t="s">
        <v>255</v>
      </c>
      <c r="X1838" s="18" t="s">
        <v>255</v>
      </c>
      <c r="Y1838" s="18" t="s">
        <v>677</v>
      </c>
      <c r="Z1838" s="19" t="str">
        <f>A1838 &amp; "-" &amp; VLOOKUP(A1838,[4]PROGRAMMES!$E$1:$F$7,2,FALSE)</f>
        <v>5-Gouvernance et pilotage du secteur</v>
      </c>
      <c r="AA1838" s="19" t="str">
        <f>B1838 &amp; "-" &amp; VLOOKUP(B1838,[4]SOUSPROGRAMMES!$E$1:$F$44,2,FALSE)</f>
        <v>57- Coordination sectorielle</v>
      </c>
      <c r="AB1838" s="19" t="str">
        <f>C1838 &amp; "-" &amp; VLOOKUP(C1838,[4]RESULTATS!$E$1:$F$176,2,FALSE)</f>
        <v>572- Des organes de pilotage et de coordination du ProDEG sont mis en place et sont fonctionnels</v>
      </c>
      <c r="AC1838" s="20" t="str">
        <f>D1838 &amp; "-" &amp; VLOOKUP(D1838,[4]STRATEGIES!$E$1:$F$504,2,FALSE)</f>
        <v>5722-Opérationnalisation des instances de pilotage et de coordination</v>
      </c>
      <c r="AD1838" s="21" t="str">
        <f t="shared" si="266"/>
        <v>57223-Acquisition de mobilier pour la salle de réunion</v>
      </c>
    </row>
    <row r="1839" spans="1:30" s="22" customFormat="1" ht="30.5" x14ac:dyDescent="0.8">
      <c r="A1839" s="14">
        <v>5</v>
      </c>
      <c r="B1839" s="15">
        <v>57</v>
      </c>
      <c r="C1839" s="15">
        <v>572</v>
      </c>
      <c r="D1839" s="15">
        <v>5722</v>
      </c>
      <c r="E1839" s="14">
        <v>57224</v>
      </c>
      <c r="F1839" s="16" t="s">
        <v>2287</v>
      </c>
      <c r="G1839" s="21" t="s">
        <v>970</v>
      </c>
      <c r="H1839" s="17" t="s">
        <v>1620</v>
      </c>
      <c r="I1839" s="56">
        <v>0</v>
      </c>
      <c r="J1839" s="56">
        <v>10</v>
      </c>
      <c r="K1839" s="56"/>
      <c r="L1839" s="56"/>
      <c r="M1839" s="56">
        <f t="shared" si="273"/>
        <v>10</v>
      </c>
      <c r="N1839" s="56">
        <f>IF(OR(H1839="",H1839="sif",H1839="PM"),0,VLOOKUP(H1839,[5]CU!$C$4:$H$255,6,FALSE))</f>
        <v>10.034934666666667</v>
      </c>
      <c r="O1839" s="56">
        <f t="shared" si="274"/>
        <v>0</v>
      </c>
      <c r="P1839" s="56">
        <f t="shared" si="274"/>
        <v>100.34934666666666</v>
      </c>
      <c r="Q1839" s="56">
        <f t="shared" si="274"/>
        <v>0</v>
      </c>
      <c r="R1839" s="56">
        <f t="shared" si="274"/>
        <v>0</v>
      </c>
      <c r="S1839" s="56">
        <f t="shared" si="275"/>
        <v>100.34934666666666</v>
      </c>
      <c r="T1839" s="35" t="s">
        <v>118</v>
      </c>
      <c r="U1839" s="18" t="s">
        <v>1873</v>
      </c>
      <c r="V1839" s="19" t="str">
        <f>IF(OR($H1839="",$H1839="sif",$H1839="PM"),"",VLOOKUP($H1839,[5]CU!$C$5:$J$255,8,FALSE))</f>
        <v>5. Investissement</v>
      </c>
      <c r="W1839" s="18" t="s">
        <v>255</v>
      </c>
      <c r="X1839" s="18" t="s">
        <v>255</v>
      </c>
      <c r="Y1839" s="18" t="s">
        <v>677</v>
      </c>
      <c r="Z1839" s="19" t="str">
        <f>A1839 &amp; "-" &amp; VLOOKUP(A1839,[4]PROGRAMMES!$E$1:$F$7,2,FALSE)</f>
        <v>5-Gouvernance et pilotage du secteur</v>
      </c>
      <c r="AA1839" s="19" t="str">
        <f>B1839 &amp; "-" &amp; VLOOKUP(B1839,[4]SOUSPROGRAMMES!$E$1:$F$44,2,FALSE)</f>
        <v>57- Coordination sectorielle</v>
      </c>
      <c r="AB1839" s="19" t="str">
        <f>C1839 &amp; "-" &amp; VLOOKUP(C1839,[4]RESULTATS!$E$1:$F$176,2,FALSE)</f>
        <v>572- Des organes de pilotage et de coordination du ProDEG sont mis en place et sont fonctionnels</v>
      </c>
      <c r="AC1839" s="20" t="str">
        <f>D1839 &amp; "-" &amp; VLOOKUP(D1839,[4]STRATEGIES!$E$1:$F$504,2,FALSE)</f>
        <v>5722-Opérationnalisation des instances de pilotage et de coordination</v>
      </c>
      <c r="AD1839" s="21" t="str">
        <f t="shared" si="266"/>
        <v>57224-Acquisition d'équipement informatique</v>
      </c>
    </row>
    <row r="1840" spans="1:30" s="22" customFormat="1" ht="30.5" x14ac:dyDescent="0.8">
      <c r="A1840" s="14">
        <v>5</v>
      </c>
      <c r="B1840" s="15">
        <v>57</v>
      </c>
      <c r="C1840" s="15">
        <v>572</v>
      </c>
      <c r="D1840" s="15">
        <v>5722</v>
      </c>
      <c r="E1840" s="14">
        <v>57225</v>
      </c>
      <c r="F1840" s="16" t="s">
        <v>2288</v>
      </c>
      <c r="G1840" s="21" t="s">
        <v>972</v>
      </c>
      <c r="H1840" s="17" t="s">
        <v>974</v>
      </c>
      <c r="I1840" s="56">
        <v>0</v>
      </c>
      <c r="J1840" s="56">
        <v>8</v>
      </c>
      <c r="K1840" s="56"/>
      <c r="L1840" s="56"/>
      <c r="M1840" s="56">
        <f t="shared" si="273"/>
        <v>8</v>
      </c>
      <c r="N1840" s="56">
        <f>IF(OR(H1840="",H1840="sif",H1840="PM"),0,VLOOKUP(H1840,[5]CU!$C$4:$H$255,6,FALSE))</f>
        <v>6.333333333333333</v>
      </c>
      <c r="O1840" s="56">
        <f t="shared" si="274"/>
        <v>0</v>
      </c>
      <c r="P1840" s="56">
        <f t="shared" si="274"/>
        <v>50.666666666666664</v>
      </c>
      <c r="Q1840" s="56">
        <f t="shared" si="274"/>
        <v>0</v>
      </c>
      <c r="R1840" s="56">
        <f t="shared" si="274"/>
        <v>0</v>
      </c>
      <c r="S1840" s="56">
        <f t="shared" si="275"/>
        <v>50.666666666666664</v>
      </c>
      <c r="T1840" s="35" t="s">
        <v>118</v>
      </c>
      <c r="U1840" s="18" t="s">
        <v>1873</v>
      </c>
      <c r="V1840" s="19" t="str">
        <f>IF(OR($H1840="",$H1840="sif",$H1840="PM"),"",VLOOKUP($H1840,[5]CU!$C$5:$J$255,8,FALSE))</f>
        <v>5. Investissement</v>
      </c>
      <c r="W1840" s="18" t="s">
        <v>255</v>
      </c>
      <c r="X1840" s="18" t="s">
        <v>255</v>
      </c>
      <c r="Y1840" s="18" t="s">
        <v>677</v>
      </c>
      <c r="Z1840" s="19" t="str">
        <f>A1840 &amp; "-" &amp; VLOOKUP(A1840,[4]PROGRAMMES!$E$1:$F$7,2,FALSE)</f>
        <v>5-Gouvernance et pilotage du secteur</v>
      </c>
      <c r="AA1840" s="19" t="str">
        <f>B1840 &amp; "-" &amp; VLOOKUP(B1840,[4]SOUSPROGRAMMES!$E$1:$F$44,2,FALSE)</f>
        <v>57- Coordination sectorielle</v>
      </c>
      <c r="AB1840" s="19" t="str">
        <f>C1840 &amp; "-" &amp; VLOOKUP(C1840,[4]RESULTATS!$E$1:$F$176,2,FALSE)</f>
        <v>572- Des organes de pilotage et de coordination du ProDEG sont mis en place et sont fonctionnels</v>
      </c>
      <c r="AC1840" s="20" t="str">
        <f>D1840 &amp; "-" &amp; VLOOKUP(D1840,[4]STRATEGIES!$E$1:$F$504,2,FALSE)</f>
        <v>5722-Opérationnalisation des instances de pilotage et de coordination</v>
      </c>
      <c r="AD1840" s="21" t="str">
        <f t="shared" si="266"/>
        <v>57225-Acquisition d'ordinateur portable</v>
      </c>
    </row>
    <row r="1841" spans="1:30" s="22" customFormat="1" ht="30.5" x14ac:dyDescent="0.8">
      <c r="A1841" s="14">
        <v>5</v>
      </c>
      <c r="B1841" s="15">
        <v>57</v>
      </c>
      <c r="C1841" s="15">
        <v>572</v>
      </c>
      <c r="D1841" s="15">
        <v>5722</v>
      </c>
      <c r="E1841" s="14">
        <v>57226</v>
      </c>
      <c r="F1841" s="16" t="s">
        <v>2289</v>
      </c>
      <c r="G1841" s="21" t="s">
        <v>2290</v>
      </c>
      <c r="H1841" s="17" t="s">
        <v>980</v>
      </c>
      <c r="I1841" s="56">
        <v>0</v>
      </c>
      <c r="J1841" s="56">
        <v>4</v>
      </c>
      <c r="K1841" s="56"/>
      <c r="L1841" s="56"/>
      <c r="M1841" s="56">
        <f t="shared" si="273"/>
        <v>4</v>
      </c>
      <c r="N1841" s="56">
        <f>IF(OR(H1841="",H1841="sif",H1841="PM"),0,VLOOKUP(H1841,[5]CU!$C$4:$H$255,6,FALSE))</f>
        <v>300</v>
      </c>
      <c r="O1841" s="56">
        <f t="shared" si="274"/>
        <v>0</v>
      </c>
      <c r="P1841" s="56">
        <f t="shared" si="274"/>
        <v>1200</v>
      </c>
      <c r="Q1841" s="56">
        <f t="shared" si="274"/>
        <v>0</v>
      </c>
      <c r="R1841" s="56">
        <f t="shared" si="274"/>
        <v>0</v>
      </c>
      <c r="S1841" s="56">
        <f t="shared" si="275"/>
        <v>1200</v>
      </c>
      <c r="T1841" s="35" t="s">
        <v>118</v>
      </c>
      <c r="U1841" s="18" t="s">
        <v>1873</v>
      </c>
      <c r="V1841" s="19" t="str">
        <f>IF(OR($H1841="",$H1841="sif",$H1841="PM"),"",VLOOKUP($H1841,[5]CU!$C$5:$J$255,8,FALSE))</f>
        <v>5. Investissement</v>
      </c>
      <c r="W1841" s="18" t="s">
        <v>255</v>
      </c>
      <c r="X1841" s="18" t="s">
        <v>255</v>
      </c>
      <c r="Y1841" s="18" t="s">
        <v>677</v>
      </c>
      <c r="Z1841" s="19" t="str">
        <f>A1841 &amp; "-" &amp; VLOOKUP(A1841,[4]PROGRAMMES!$E$1:$F$7,2,FALSE)</f>
        <v>5-Gouvernance et pilotage du secteur</v>
      </c>
      <c r="AA1841" s="19" t="str">
        <f>B1841 &amp; "-" &amp; VLOOKUP(B1841,[4]SOUSPROGRAMMES!$E$1:$F$44,2,FALSE)</f>
        <v>57- Coordination sectorielle</v>
      </c>
      <c r="AB1841" s="19" t="str">
        <f>C1841 &amp; "-" &amp; VLOOKUP(C1841,[4]RESULTATS!$E$1:$F$176,2,FALSE)</f>
        <v>572- Des organes de pilotage et de coordination du ProDEG sont mis en place et sont fonctionnels</v>
      </c>
      <c r="AC1841" s="20" t="str">
        <f>D1841 &amp; "-" &amp; VLOOKUP(D1841,[4]STRATEGIES!$E$1:$F$504,2,FALSE)</f>
        <v>5722-Opérationnalisation des instances de pilotage et de coordination</v>
      </c>
      <c r="AD1841" s="21" t="str">
        <f t="shared" si="266"/>
        <v>57226-Acquisition de moyens de transports pour les activités de coordination et de suivi</v>
      </c>
    </row>
    <row r="1842" spans="1:30" s="22" customFormat="1" ht="30.5" hidden="1" x14ac:dyDescent="0.8">
      <c r="A1842" s="14">
        <v>5</v>
      </c>
      <c r="B1842" s="15">
        <v>57</v>
      </c>
      <c r="C1842" s="15">
        <v>572</v>
      </c>
      <c r="D1842" s="15">
        <v>5722</v>
      </c>
      <c r="E1842" s="14">
        <v>57227</v>
      </c>
      <c r="F1842" s="16" t="s">
        <v>2291</v>
      </c>
      <c r="G1842" s="21" t="s">
        <v>2292</v>
      </c>
      <c r="H1842" s="17" t="s">
        <v>2293</v>
      </c>
      <c r="I1842" s="56">
        <v>0</v>
      </c>
      <c r="J1842" s="56"/>
      <c r="K1842" s="56"/>
      <c r="L1842" s="56"/>
      <c r="M1842" s="56">
        <f>SUM(I1842:L1842)</f>
        <v>0</v>
      </c>
      <c r="N1842" s="56">
        <f>IF(OR(H1842="",H1842="sif",H1842="PM"),0,VLOOKUP(H1842,[5]CU!$C$4:$H$255,6,FALSE))</f>
        <v>1311</v>
      </c>
      <c r="O1842" s="56">
        <f>$N1842*I1842</f>
        <v>0</v>
      </c>
      <c r="P1842" s="56">
        <f>$N1842*J1842</f>
        <v>0</v>
      </c>
      <c r="Q1842" s="56">
        <f>$N1842*K1842</f>
        <v>0</v>
      </c>
      <c r="R1842" s="56">
        <f>$N1842*L1842</f>
        <v>0</v>
      </c>
      <c r="S1842" s="56">
        <f>SUM(O1842:R1842)</f>
        <v>0</v>
      </c>
      <c r="T1842" s="35" t="s">
        <v>178</v>
      </c>
      <c r="U1842" s="18" t="s">
        <v>1873</v>
      </c>
      <c r="V1842" s="19" t="str">
        <f>IF(OR($H1842="",$H1842="sif",$H1842="PM"),"",VLOOKUP($H1842,[5]CU!$C$5:$J$255,8,FALSE))</f>
        <v>3. Dépenses de fonctionnement</v>
      </c>
      <c r="W1842" s="18" t="s">
        <v>255</v>
      </c>
      <c r="X1842" s="18" t="s">
        <v>255</v>
      </c>
      <c r="Y1842" s="18" t="s">
        <v>677</v>
      </c>
      <c r="Z1842" s="19" t="str">
        <f>A1842 &amp; "-" &amp; VLOOKUP(A1842,[4]PROGRAMMES!$E$1:$F$7,2,FALSE)</f>
        <v>5-Gouvernance et pilotage du secteur</v>
      </c>
      <c r="AA1842" s="19" t="str">
        <f>B1842 &amp; "-" &amp; VLOOKUP(B1842,[4]SOUSPROGRAMMES!$E$1:$F$44,2,FALSE)</f>
        <v>57- Coordination sectorielle</v>
      </c>
      <c r="AB1842" s="19" t="str">
        <f>C1842 &amp; "-" &amp; VLOOKUP(C1842,[4]RESULTATS!$E$1:$F$176,2,FALSE)</f>
        <v>572- Des organes de pilotage et de coordination du ProDEG sont mis en place et sont fonctionnels</v>
      </c>
      <c r="AC1842" s="20" t="str">
        <f>D1842 &amp; "-" &amp; VLOOKUP(D1842,[4]STRATEGIES!$E$1:$F$504,2,FALSE)</f>
        <v>5722-Opérationnalisation des instances de pilotage et de coordination</v>
      </c>
      <c r="AD1842" s="21" t="str">
        <f t="shared" si="266"/>
        <v>57227-Allocations budgétaires pour le fonctionnement de la coordination sectorielle du  PSE en 2019</v>
      </c>
    </row>
    <row r="1843" spans="1:30" ht="30.5" hidden="1" x14ac:dyDescent="0.8">
      <c r="A1843" s="25">
        <v>5</v>
      </c>
      <c r="B1843" s="16">
        <v>57</v>
      </c>
      <c r="C1843" s="16">
        <v>572</v>
      </c>
      <c r="D1843" s="16">
        <v>5722</v>
      </c>
      <c r="E1843" s="25">
        <v>57228</v>
      </c>
      <c r="F1843" s="16" t="s">
        <v>2294</v>
      </c>
      <c r="G1843" s="21" t="s">
        <v>2292</v>
      </c>
      <c r="H1843" s="21" t="s">
        <v>2293</v>
      </c>
      <c r="I1843" s="56">
        <v>0</v>
      </c>
      <c r="J1843" s="57">
        <v>1</v>
      </c>
      <c r="K1843" s="57">
        <v>1</v>
      </c>
      <c r="L1843" s="57">
        <v>1</v>
      </c>
      <c r="M1843" s="57">
        <f t="shared" si="273"/>
        <v>3</v>
      </c>
      <c r="N1843" s="57">
        <f>IF(OR(H1843="",H1843="sif",H1843="PM"),0,VLOOKUP(H1843,[5]CU!$C$4:$H$255,6,FALSE))</f>
        <v>1311</v>
      </c>
      <c r="O1843" s="57">
        <f t="shared" si="274"/>
        <v>0</v>
      </c>
      <c r="P1843" s="57">
        <f t="shared" si="274"/>
        <v>1311</v>
      </c>
      <c r="Q1843" s="57">
        <f t="shared" si="274"/>
        <v>1311</v>
      </c>
      <c r="R1843" s="57">
        <f t="shared" si="274"/>
        <v>1311</v>
      </c>
      <c r="S1843" s="57">
        <f t="shared" si="275"/>
        <v>3933</v>
      </c>
      <c r="T1843" s="38" t="s">
        <v>169</v>
      </c>
      <c r="U1843" s="19" t="s">
        <v>1873</v>
      </c>
      <c r="V1843" s="19" t="str">
        <f>IF(OR($H1843="",$H1843="sif",$H1843="PM"),"",VLOOKUP($H1843,[5]CU!$C$5:$J$255,8,FALSE))</f>
        <v>3. Dépenses de fonctionnement</v>
      </c>
      <c r="W1843" s="19" t="s">
        <v>1939</v>
      </c>
      <c r="X1843" s="19" t="s">
        <v>1939</v>
      </c>
      <c r="Y1843" s="19" t="s">
        <v>2066</v>
      </c>
      <c r="Z1843" s="19" t="str">
        <f>A1843 &amp; "-" &amp; VLOOKUP(A1843,[4]PROGRAMMES!$E$1:$F$7,2,FALSE)</f>
        <v>5-Gouvernance et pilotage du secteur</v>
      </c>
      <c r="AA1843" s="19" t="str">
        <f>B1843 &amp; "-" &amp; VLOOKUP(B1843,[4]SOUSPROGRAMMES!$E$1:$F$44,2,FALSE)</f>
        <v>57- Coordination sectorielle</v>
      </c>
      <c r="AB1843" s="19" t="str">
        <f>C1843 &amp; "-" &amp; VLOOKUP(C1843,[4]RESULTATS!$E$1:$F$176,2,FALSE)</f>
        <v>572- Des organes de pilotage et de coordination du ProDEG sont mis en place et sont fonctionnels</v>
      </c>
      <c r="AC1843" s="20" t="str">
        <f>D1843 &amp; "-" &amp; VLOOKUP(D1843,[4]STRATEGIES!$E$1:$F$504,2,FALSE)</f>
        <v>5722-Opérationnalisation des instances de pilotage et de coordination</v>
      </c>
      <c r="AD1843" s="21" t="str">
        <f t="shared" si="266"/>
        <v>57228-Allocations budgétaires pour le fonctionnement du ST/ProDEG</v>
      </c>
    </row>
    <row r="1844" spans="1:30" s="22" customFormat="1" ht="30.5" hidden="1" x14ac:dyDescent="0.8">
      <c r="A1844" s="14">
        <v>5</v>
      </c>
      <c r="B1844" s="15">
        <v>57</v>
      </c>
      <c r="C1844" s="15">
        <v>572</v>
      </c>
      <c r="D1844" s="15">
        <v>5722</v>
      </c>
      <c r="E1844" s="14">
        <v>57229</v>
      </c>
      <c r="F1844" s="16" t="s">
        <v>2295</v>
      </c>
      <c r="G1844" s="21" t="s">
        <v>2296</v>
      </c>
      <c r="H1844" s="17" t="s">
        <v>2297</v>
      </c>
      <c r="I1844" s="56">
        <v>0</v>
      </c>
      <c r="J1844" s="56"/>
      <c r="K1844" s="56"/>
      <c r="L1844" s="56"/>
      <c r="M1844" s="56">
        <f>SUM(I1844:L1844)</f>
        <v>0</v>
      </c>
      <c r="N1844" s="56">
        <f>IF(OR(H1844="",H1844="sif",H1844="PM"),0,VLOOKUP(H1844,[5]CU!$C$4:$H$255,6,FALSE))</f>
        <v>215</v>
      </c>
      <c r="O1844" s="56">
        <f>$N1844*I1844</f>
        <v>0</v>
      </c>
      <c r="P1844" s="56">
        <f>$N1844*J1844</f>
        <v>0</v>
      </c>
      <c r="Q1844" s="56">
        <f>$N1844*K1844</f>
        <v>0</v>
      </c>
      <c r="R1844" s="56">
        <f>$N1844*L1844</f>
        <v>0</v>
      </c>
      <c r="S1844" s="56">
        <f>SUM(O1844:R1844)</f>
        <v>0</v>
      </c>
      <c r="T1844" s="35" t="s">
        <v>178</v>
      </c>
      <c r="U1844" s="18" t="s">
        <v>1873</v>
      </c>
      <c r="V1844" s="19" t="str">
        <f>IF(OR($H1844="",$H1844="sif",$H1844="PM"),"",VLOOKUP($H1844,[5]CU!$C$5:$J$255,8,FALSE))</f>
        <v>3. Dépenses de fonctionnement</v>
      </c>
      <c r="W1844" s="18" t="s">
        <v>255</v>
      </c>
      <c r="X1844" s="18" t="s">
        <v>255</v>
      </c>
      <c r="Y1844" s="18" t="s">
        <v>677</v>
      </c>
      <c r="Z1844" s="19" t="str">
        <f>A1844 &amp; "-" &amp; VLOOKUP(A1844,[4]PROGRAMMES!$E$1:$F$7,2,FALSE)</f>
        <v>5-Gouvernance et pilotage du secteur</v>
      </c>
      <c r="AA1844" s="19" t="str">
        <f>B1844 &amp; "-" &amp; VLOOKUP(B1844,[4]SOUSPROGRAMMES!$E$1:$F$44,2,FALSE)</f>
        <v>57- Coordination sectorielle</v>
      </c>
      <c r="AB1844" s="19" t="str">
        <f>C1844 &amp; "-" &amp; VLOOKUP(C1844,[4]RESULTATS!$E$1:$F$176,2,FALSE)</f>
        <v>572- Des organes de pilotage et de coordination du ProDEG sont mis en place et sont fonctionnels</v>
      </c>
      <c r="AC1844" s="20" t="str">
        <f>D1844 &amp; "-" &amp; VLOOKUP(D1844,[4]STRATEGIES!$E$1:$F$504,2,FALSE)</f>
        <v>5722-Opérationnalisation des instances de pilotage et de coordination</v>
      </c>
      <c r="AD1844" s="21" t="str">
        <f t="shared" si="266"/>
        <v>57229-Organisation des revues sectorielles</v>
      </c>
    </row>
    <row r="1845" spans="1:30" ht="30.5" hidden="1" x14ac:dyDescent="0.8">
      <c r="A1845" s="25">
        <v>5</v>
      </c>
      <c r="B1845" s="16">
        <v>57</v>
      </c>
      <c r="C1845" s="16">
        <v>572</v>
      </c>
      <c r="D1845" s="16">
        <v>5722</v>
      </c>
      <c r="E1845" s="25">
        <v>57229</v>
      </c>
      <c r="F1845" s="16" t="s">
        <v>2295</v>
      </c>
      <c r="G1845" s="21" t="s">
        <v>2296</v>
      </c>
      <c r="H1845" s="21" t="s">
        <v>2297</v>
      </c>
      <c r="I1845" s="56">
        <v>0</v>
      </c>
      <c r="J1845" s="57">
        <v>1</v>
      </c>
      <c r="K1845" s="57">
        <v>1</v>
      </c>
      <c r="L1845" s="57">
        <v>1</v>
      </c>
      <c r="M1845" s="57">
        <f t="shared" si="273"/>
        <v>3</v>
      </c>
      <c r="N1845" s="57">
        <f>IF(OR(H1845="",H1845="sif",H1845="PM"),0,VLOOKUP(H1845,[5]CU!$C$4:$H$255,6,FALSE))</f>
        <v>215</v>
      </c>
      <c r="O1845" s="57">
        <f t="shared" si="274"/>
        <v>0</v>
      </c>
      <c r="P1845" s="57">
        <f t="shared" si="274"/>
        <v>215</v>
      </c>
      <c r="Q1845" s="57">
        <f t="shared" si="274"/>
        <v>215</v>
      </c>
      <c r="R1845" s="57">
        <f t="shared" si="274"/>
        <v>215</v>
      </c>
      <c r="S1845" s="57">
        <f t="shared" si="275"/>
        <v>645</v>
      </c>
      <c r="T1845" s="38" t="s">
        <v>169</v>
      </c>
      <c r="U1845" s="19" t="s">
        <v>1873</v>
      </c>
      <c r="V1845" s="19" t="str">
        <f>IF(OR($H1845="",$H1845="sif",$H1845="PM"),"",VLOOKUP($H1845,[5]CU!$C$5:$J$255,8,FALSE))</f>
        <v>3. Dépenses de fonctionnement</v>
      </c>
      <c r="W1845" s="19" t="s">
        <v>1939</v>
      </c>
      <c r="X1845" s="19" t="s">
        <v>1939</v>
      </c>
      <c r="Y1845" s="19" t="s">
        <v>2066</v>
      </c>
      <c r="Z1845" s="19" t="str">
        <f>A1845 &amp; "-" &amp; VLOOKUP(A1845,[4]PROGRAMMES!$E$1:$F$7,2,FALSE)</f>
        <v>5-Gouvernance et pilotage du secteur</v>
      </c>
      <c r="AA1845" s="19" t="str">
        <f>B1845 &amp; "-" &amp; VLOOKUP(B1845,[4]SOUSPROGRAMMES!$E$1:$F$44,2,FALSE)</f>
        <v>57- Coordination sectorielle</v>
      </c>
      <c r="AB1845" s="19" t="str">
        <f>C1845 &amp; "-" &amp; VLOOKUP(C1845,[4]RESULTATS!$E$1:$F$176,2,FALSE)</f>
        <v>572- Des organes de pilotage et de coordination du ProDEG sont mis en place et sont fonctionnels</v>
      </c>
      <c r="AC1845" s="20" t="str">
        <f>D1845 &amp; "-" &amp; VLOOKUP(D1845,[4]STRATEGIES!$E$1:$F$504,2,FALSE)</f>
        <v>5722-Opérationnalisation des instances de pilotage et de coordination</v>
      </c>
      <c r="AD1845" s="21" t="str">
        <f t="shared" si="266"/>
        <v>57229-Organisation des revues sectorielles</v>
      </c>
    </row>
    <row r="1846" spans="1:30" s="22" customFormat="1" ht="30.5" x14ac:dyDescent="0.8">
      <c r="A1846" s="14">
        <v>5</v>
      </c>
      <c r="B1846" s="15">
        <v>57</v>
      </c>
      <c r="C1846" s="15">
        <v>572</v>
      </c>
      <c r="D1846" s="15">
        <v>5723</v>
      </c>
      <c r="E1846" s="14">
        <v>5723</v>
      </c>
      <c r="F1846" s="16" t="s">
        <v>2298</v>
      </c>
      <c r="G1846" s="17"/>
      <c r="H1846" s="17"/>
      <c r="I1846" s="56">
        <v>0</v>
      </c>
      <c r="J1846" s="56"/>
      <c r="K1846" s="56"/>
      <c r="L1846" s="56"/>
      <c r="M1846" s="56"/>
      <c r="N1846" s="56"/>
      <c r="O1846" s="56"/>
      <c r="P1846" s="56"/>
      <c r="Q1846" s="56"/>
      <c r="R1846" s="56"/>
      <c r="S1846" s="56"/>
      <c r="T1846" s="33"/>
      <c r="U1846" s="18"/>
      <c r="V1846" s="19"/>
      <c r="W1846" s="18"/>
      <c r="X1846" s="18"/>
      <c r="Y1846" s="18"/>
      <c r="Z1846" s="19" t="str">
        <f>A1846 &amp; "-" &amp; VLOOKUP(A1846,[4]PROGRAMMES!$E$1:$F$7,2,FALSE)</f>
        <v>5-Gouvernance et pilotage du secteur</v>
      </c>
      <c r="AA1846" s="19" t="str">
        <f>B1846 &amp; "-" &amp; VLOOKUP(B1846,[4]SOUSPROGRAMMES!$E$1:$F$44,2,FALSE)</f>
        <v>57- Coordination sectorielle</v>
      </c>
      <c r="AB1846" s="19" t="str">
        <f>C1846 &amp; "-" &amp; VLOOKUP(C1846,[4]RESULTATS!$E$1:$F$176,2,FALSE)</f>
        <v>572- Des organes de pilotage et de coordination du ProDEG sont mis en place et sont fonctionnels</v>
      </c>
      <c r="AC1846" s="20" t="str">
        <f>D1846 &amp; "-" &amp; VLOOKUP(D1846,[4]STRATEGIES!$E$1:$F$504,2,FALSE)</f>
        <v>5723-Préparation de la mise en œuvre du ProDEG et suivi évaluation</v>
      </c>
      <c r="AD1846" s="21" t="str">
        <f t="shared" si="266"/>
        <v>5723-Préparation de la mise en œuvre du ProDEG et suivi évaluation</v>
      </c>
    </row>
    <row r="1847" spans="1:30" s="22" customFormat="1" ht="30.5" hidden="1" x14ac:dyDescent="0.8">
      <c r="A1847" s="14">
        <v>5</v>
      </c>
      <c r="B1847" s="15">
        <v>57</v>
      </c>
      <c r="C1847" s="15">
        <v>572</v>
      </c>
      <c r="D1847" s="15">
        <v>5723</v>
      </c>
      <c r="E1847" s="14">
        <v>57231</v>
      </c>
      <c r="F1847" s="16" t="s">
        <v>2299</v>
      </c>
      <c r="G1847" s="21" t="s">
        <v>298</v>
      </c>
      <c r="H1847" s="17" t="s">
        <v>66</v>
      </c>
      <c r="I1847" s="56">
        <v>0</v>
      </c>
      <c r="J1847" s="56">
        <f>25*6</f>
        <v>150</v>
      </c>
      <c r="K1847" s="56">
        <f t="shared" ref="K1847:L1847" si="276">25*6</f>
        <v>150</v>
      </c>
      <c r="L1847" s="56">
        <f t="shared" si="276"/>
        <v>150</v>
      </c>
      <c r="M1847" s="56">
        <f t="shared" si="273"/>
        <v>450</v>
      </c>
      <c r="N1847" s="56">
        <f>IF(OR(H1847="",H1847="sif",H1847="PM"),0,VLOOKUP(H1847,[5]CU!$C$4:$H$255,6,FALSE))</f>
        <v>0.255</v>
      </c>
      <c r="O1847" s="56">
        <f t="shared" si="274"/>
        <v>0</v>
      </c>
      <c r="P1847" s="56">
        <f t="shared" si="274"/>
        <v>38.25</v>
      </c>
      <c r="Q1847" s="56">
        <f t="shared" si="274"/>
        <v>38.25</v>
      </c>
      <c r="R1847" s="56">
        <f t="shared" si="274"/>
        <v>38.25</v>
      </c>
      <c r="S1847" s="56">
        <f t="shared" si="275"/>
        <v>114.75</v>
      </c>
      <c r="T1847" s="35" t="s">
        <v>169</v>
      </c>
      <c r="U1847" s="18" t="s">
        <v>1873</v>
      </c>
      <c r="V1847" s="19" t="str">
        <f>IF(OR($H1847="",$H1847="sif",$H1847="PM"),"",VLOOKUP($H1847,[5]CU!$C$5:$J$255,8,FALSE))</f>
        <v>3. Dépenses de fonctionnement</v>
      </c>
      <c r="W1847" s="19" t="s">
        <v>1939</v>
      </c>
      <c r="X1847" s="19" t="s">
        <v>1939</v>
      </c>
      <c r="Y1847" s="19" t="s">
        <v>2066</v>
      </c>
      <c r="Z1847" s="19" t="str">
        <f>A1847 &amp; "-" &amp; VLOOKUP(A1847,[4]PROGRAMMES!$E$1:$F$7,2,FALSE)</f>
        <v>5-Gouvernance et pilotage du secteur</v>
      </c>
      <c r="AA1847" s="19" t="str">
        <f>B1847 &amp; "-" &amp; VLOOKUP(B1847,[4]SOUSPROGRAMMES!$E$1:$F$44,2,FALSE)</f>
        <v>57- Coordination sectorielle</v>
      </c>
      <c r="AB1847" s="19" t="str">
        <f>C1847 &amp; "-" &amp; VLOOKUP(C1847,[4]RESULTATS!$E$1:$F$176,2,FALSE)</f>
        <v>572- Des organes de pilotage et de coordination du ProDEG sont mis en place et sont fonctionnels</v>
      </c>
      <c r="AC1847" s="20" t="str">
        <f>D1847 &amp; "-" &amp; VLOOKUP(D1847,[4]STRATEGIES!$E$1:$F$504,2,FALSE)</f>
        <v>5723-Préparation de la mise en œuvre du ProDEG et suivi évaluation</v>
      </c>
      <c r="AD1847" s="21" t="str">
        <f t="shared" si="266"/>
        <v>57231-Elaboration des plans d'actions annuels du ProDEG</v>
      </c>
    </row>
    <row r="1848" spans="1:30" s="22" customFormat="1" ht="30.5" hidden="1" x14ac:dyDescent="0.8">
      <c r="A1848" s="14">
        <v>5</v>
      </c>
      <c r="B1848" s="15">
        <v>57</v>
      </c>
      <c r="C1848" s="15">
        <v>572</v>
      </c>
      <c r="D1848" s="15">
        <v>5723</v>
      </c>
      <c r="E1848" s="14">
        <v>57232</v>
      </c>
      <c r="F1848" s="16" t="s">
        <v>2300</v>
      </c>
      <c r="G1848" s="21" t="s">
        <v>92</v>
      </c>
      <c r="H1848" s="17" t="s">
        <v>55</v>
      </c>
      <c r="I1848" s="56">
        <v>0</v>
      </c>
      <c r="J1848" s="56">
        <v>1</v>
      </c>
      <c r="K1848" s="56">
        <v>1</v>
      </c>
      <c r="L1848" s="56">
        <v>1</v>
      </c>
      <c r="M1848" s="56">
        <f t="shared" si="273"/>
        <v>3</v>
      </c>
      <c r="N1848" s="56">
        <f>IF(OR(H1848="",H1848="sif",H1848="PM"),0,VLOOKUP(H1848,[5]CU!$C$4:$H$255,6,FALSE))</f>
        <v>0</v>
      </c>
      <c r="O1848" s="56"/>
      <c r="P1848" s="56"/>
      <c r="Q1848" s="56"/>
      <c r="R1848" s="56"/>
      <c r="S1848" s="56"/>
      <c r="T1848" s="35" t="s">
        <v>56</v>
      </c>
      <c r="U1848" s="18" t="s">
        <v>1873</v>
      </c>
      <c r="V1848" s="19" t="str">
        <f>IF(OR($H1848="",$H1848="sif",$H1848="PM"),"",VLOOKUP($H1848,[5]CU!$C$5:$J$255,8,FALSE))</f>
        <v/>
      </c>
      <c r="W1848" s="18" t="s">
        <v>2301</v>
      </c>
      <c r="X1848" s="18" t="s">
        <v>2301</v>
      </c>
      <c r="Y1848" s="18" t="s">
        <v>677</v>
      </c>
      <c r="Z1848" s="19" t="str">
        <f>A1848 &amp; "-" &amp; VLOOKUP(A1848,[4]PROGRAMMES!$E$1:$F$7,2,FALSE)</f>
        <v>5-Gouvernance et pilotage du secteur</v>
      </c>
      <c r="AA1848" s="19" t="str">
        <f>B1848 &amp; "-" &amp; VLOOKUP(B1848,[4]SOUSPROGRAMMES!$E$1:$F$44,2,FALSE)</f>
        <v>57- Coordination sectorielle</v>
      </c>
      <c r="AB1848" s="19" t="str">
        <f>C1848 &amp; "-" &amp; VLOOKUP(C1848,[4]RESULTATS!$E$1:$F$176,2,FALSE)</f>
        <v>572- Des organes de pilotage et de coordination du ProDEG sont mis en place et sont fonctionnels</v>
      </c>
      <c r="AC1848" s="20" t="str">
        <f>D1848 &amp; "-" &amp; VLOOKUP(D1848,[4]STRATEGIES!$E$1:$F$504,2,FALSE)</f>
        <v>5723-Préparation de la mise en œuvre du ProDEG et suivi évaluation</v>
      </c>
      <c r="AD1848" s="21" t="str">
        <f t="shared" si="266"/>
        <v>57232-Validation des plans d'actions annuels du ProDEG par le GSE (pris en compte dans le budget ST/ProDEG)</v>
      </c>
    </row>
    <row r="1849" spans="1:30" s="22" customFormat="1" ht="30.5" hidden="1" x14ac:dyDescent="0.8">
      <c r="A1849" s="14">
        <v>5</v>
      </c>
      <c r="B1849" s="15">
        <v>57</v>
      </c>
      <c r="C1849" s="15">
        <v>572</v>
      </c>
      <c r="D1849" s="15">
        <v>5723</v>
      </c>
      <c r="E1849" s="14">
        <v>57233</v>
      </c>
      <c r="F1849" s="16" t="s">
        <v>2302</v>
      </c>
      <c r="G1849" s="21" t="s">
        <v>92</v>
      </c>
      <c r="H1849" s="17" t="s">
        <v>55</v>
      </c>
      <c r="I1849" s="56">
        <v>0</v>
      </c>
      <c r="J1849" s="56">
        <v>1</v>
      </c>
      <c r="K1849" s="56">
        <v>1</v>
      </c>
      <c r="L1849" s="56">
        <v>1</v>
      </c>
      <c r="M1849" s="56">
        <f t="shared" si="273"/>
        <v>3</v>
      </c>
      <c r="N1849" s="56">
        <f>IF(OR(H1849="",H1849="sif",H1849="PM"),0,VLOOKUP(H1849,[5]CU!$C$4:$H$255,6,FALSE))</f>
        <v>0</v>
      </c>
      <c r="O1849" s="56"/>
      <c r="P1849" s="56"/>
      <c r="Q1849" s="56"/>
      <c r="R1849" s="56"/>
      <c r="S1849" s="56"/>
      <c r="T1849" s="35" t="s">
        <v>56</v>
      </c>
      <c r="U1849" s="18" t="s">
        <v>1873</v>
      </c>
      <c r="V1849" s="19" t="str">
        <f>IF(OR($H1849="",$H1849="sif",$H1849="PM"),"",VLOOKUP($H1849,[5]CU!$C$5:$J$255,8,FALSE))</f>
        <v/>
      </c>
      <c r="W1849" s="18" t="s">
        <v>2301</v>
      </c>
      <c r="X1849" s="18" t="s">
        <v>2301</v>
      </c>
      <c r="Y1849" s="18" t="s">
        <v>677</v>
      </c>
      <c r="Z1849" s="19" t="str">
        <f>A1849 &amp; "-" &amp; VLOOKUP(A1849,[4]PROGRAMMES!$E$1:$F$7,2,FALSE)</f>
        <v>5-Gouvernance et pilotage du secteur</v>
      </c>
      <c r="AA1849" s="19" t="str">
        <f>B1849 &amp; "-" &amp; VLOOKUP(B1849,[4]SOUSPROGRAMMES!$E$1:$F$44,2,FALSE)</f>
        <v>57- Coordination sectorielle</v>
      </c>
      <c r="AB1849" s="19" t="str">
        <f>C1849 &amp; "-" &amp; VLOOKUP(C1849,[4]RESULTATS!$E$1:$F$176,2,FALSE)</f>
        <v>572- Des organes de pilotage et de coordination du ProDEG sont mis en place et sont fonctionnels</v>
      </c>
      <c r="AC1849" s="20" t="str">
        <f>D1849 &amp; "-" &amp; VLOOKUP(D1849,[4]STRATEGIES!$E$1:$F$504,2,FALSE)</f>
        <v>5723-Préparation de la mise en œuvre du ProDEG et suivi évaluation</v>
      </c>
      <c r="AD1849" s="21" t="str">
        <f t="shared" si="266"/>
        <v>57233-Mise à la disposition de chaque structure de son plan d'action annuel (IRE, Cabinet, Directions centrales, universités, etc.)</v>
      </c>
    </row>
    <row r="1850" spans="1:30" s="22" customFormat="1" ht="30.5" hidden="1" x14ac:dyDescent="0.8">
      <c r="A1850" s="14">
        <v>5</v>
      </c>
      <c r="B1850" s="15">
        <v>57</v>
      </c>
      <c r="C1850" s="15">
        <v>572</v>
      </c>
      <c r="D1850" s="15">
        <v>5723</v>
      </c>
      <c r="E1850" s="14">
        <v>57234</v>
      </c>
      <c r="F1850" s="16" t="s">
        <v>2303</v>
      </c>
      <c r="G1850" s="21" t="s">
        <v>92</v>
      </c>
      <c r="H1850" s="17" t="s">
        <v>55</v>
      </c>
      <c r="I1850" s="56">
        <v>0</v>
      </c>
      <c r="J1850" s="56">
        <v>1</v>
      </c>
      <c r="K1850" s="56">
        <v>1</v>
      </c>
      <c r="L1850" s="56">
        <v>1</v>
      </c>
      <c r="M1850" s="56">
        <f t="shared" si="273"/>
        <v>3</v>
      </c>
      <c r="N1850" s="56">
        <f>IF(OR(H1850="",H1850="sif",H1850="PM"),0,VLOOKUP(H1850,[5]CU!$C$4:$H$255,6,FALSE))</f>
        <v>0</v>
      </c>
      <c r="O1850" s="56"/>
      <c r="P1850" s="56"/>
      <c r="Q1850" s="56"/>
      <c r="R1850" s="56"/>
      <c r="S1850" s="56"/>
      <c r="T1850" s="35" t="s">
        <v>56</v>
      </c>
      <c r="U1850" s="18" t="s">
        <v>1873</v>
      </c>
      <c r="V1850" s="19" t="str">
        <f>IF(OR($H1850="",$H1850="sif",$H1850="PM"),"",VLOOKUP($H1850,[5]CU!$C$5:$J$255,8,FALSE))</f>
        <v/>
      </c>
      <c r="W1850" s="18" t="s">
        <v>2304</v>
      </c>
      <c r="X1850" s="18" t="s">
        <v>2304</v>
      </c>
      <c r="Y1850" s="18" t="s">
        <v>677</v>
      </c>
      <c r="Z1850" s="19" t="str">
        <f>A1850 &amp; "-" &amp; VLOOKUP(A1850,[4]PROGRAMMES!$E$1:$F$7,2,FALSE)</f>
        <v>5-Gouvernance et pilotage du secteur</v>
      </c>
      <c r="AA1850" s="19" t="str">
        <f>B1850 &amp; "-" &amp; VLOOKUP(B1850,[4]SOUSPROGRAMMES!$E$1:$F$44,2,FALSE)</f>
        <v>57- Coordination sectorielle</v>
      </c>
      <c r="AB1850" s="19" t="str">
        <f>C1850 &amp; "-" &amp; VLOOKUP(C1850,[4]RESULTATS!$E$1:$F$176,2,FALSE)</f>
        <v>572- Des organes de pilotage et de coordination du ProDEG sont mis en place et sont fonctionnels</v>
      </c>
      <c r="AC1850" s="20" t="str">
        <f>D1850 &amp; "-" &amp; VLOOKUP(D1850,[4]STRATEGIES!$E$1:$F$504,2,FALSE)</f>
        <v>5723-Préparation de la mise en œuvre du ProDEG et suivi évaluation</v>
      </c>
      <c r="AD1850" s="21" t="str">
        <f t="shared" si="266"/>
        <v>57234-Elaboration des rapports de suivi semestriel du ProDEG par structure (pris en compte dans leur budget)</v>
      </c>
    </row>
    <row r="1851" spans="1:30" s="22" customFormat="1" ht="30.5" hidden="1" x14ac:dyDescent="0.8">
      <c r="A1851" s="14">
        <v>5</v>
      </c>
      <c r="B1851" s="15">
        <v>57</v>
      </c>
      <c r="C1851" s="15">
        <v>572</v>
      </c>
      <c r="D1851" s="15">
        <v>5723</v>
      </c>
      <c r="E1851" s="14">
        <v>57235</v>
      </c>
      <c r="F1851" s="16" t="s">
        <v>2305</v>
      </c>
      <c r="G1851" s="21" t="s">
        <v>92</v>
      </c>
      <c r="H1851" s="17" t="s">
        <v>55</v>
      </c>
      <c r="I1851" s="56">
        <v>0</v>
      </c>
      <c r="J1851" s="56">
        <v>1</v>
      </c>
      <c r="K1851" s="56">
        <v>1</v>
      </c>
      <c r="L1851" s="56">
        <v>1</v>
      </c>
      <c r="M1851" s="56">
        <f t="shared" si="273"/>
        <v>3</v>
      </c>
      <c r="N1851" s="56">
        <f>IF(OR(H1851="",H1851="sif",H1851="PM"),0,VLOOKUP(H1851,[5]CU!$C$4:$H$255,6,FALSE))</f>
        <v>0</v>
      </c>
      <c r="O1851" s="56"/>
      <c r="P1851" s="56"/>
      <c r="Q1851" s="56"/>
      <c r="R1851" s="56"/>
      <c r="S1851" s="56"/>
      <c r="T1851" s="35" t="s">
        <v>56</v>
      </c>
      <c r="U1851" s="18" t="s">
        <v>1873</v>
      </c>
      <c r="V1851" s="19" t="str">
        <f>IF(OR($H1851="",$H1851="sif",$H1851="PM"),"",VLOOKUP($H1851,[5]CU!$C$5:$J$255,8,FALSE))</f>
        <v/>
      </c>
      <c r="W1851" s="18" t="s">
        <v>2304</v>
      </c>
      <c r="X1851" s="18" t="s">
        <v>2304</v>
      </c>
      <c r="Y1851" s="18" t="s">
        <v>677</v>
      </c>
      <c r="Z1851" s="19" t="str">
        <f>A1851 &amp; "-" &amp; VLOOKUP(A1851,[4]PROGRAMMES!$E$1:$F$7,2,FALSE)</f>
        <v>5-Gouvernance et pilotage du secteur</v>
      </c>
      <c r="AA1851" s="19" t="str">
        <f>B1851 &amp; "-" &amp; VLOOKUP(B1851,[4]SOUSPROGRAMMES!$E$1:$F$44,2,FALSE)</f>
        <v>57- Coordination sectorielle</v>
      </c>
      <c r="AB1851" s="19" t="str">
        <f>C1851 &amp; "-" &amp; VLOOKUP(C1851,[4]RESULTATS!$E$1:$F$176,2,FALSE)</f>
        <v>572- Des organes de pilotage et de coordination du ProDEG sont mis en place et sont fonctionnels</v>
      </c>
      <c r="AC1851" s="20" t="str">
        <f>D1851 &amp; "-" &amp; VLOOKUP(D1851,[4]STRATEGIES!$E$1:$F$504,2,FALSE)</f>
        <v>5723-Préparation de la mise en œuvre du ProDEG et suivi évaluation</v>
      </c>
      <c r="AD1851" s="21" t="str">
        <f t="shared" si="266"/>
        <v>57235-Elaboration des rapports de suivi semestriel et annuel du ProDEG par Département (pris en compte dans leur budget)</v>
      </c>
    </row>
    <row r="1852" spans="1:30" s="22" customFormat="1" ht="30.5" hidden="1" x14ac:dyDescent="0.8">
      <c r="A1852" s="14">
        <v>5</v>
      </c>
      <c r="B1852" s="15">
        <v>57</v>
      </c>
      <c r="C1852" s="15">
        <v>572</v>
      </c>
      <c r="D1852" s="15">
        <v>5723</v>
      </c>
      <c r="E1852" s="14">
        <v>57236</v>
      </c>
      <c r="F1852" s="16" t="s">
        <v>2306</v>
      </c>
      <c r="G1852" s="21" t="s">
        <v>92</v>
      </c>
      <c r="H1852" s="17" t="s">
        <v>55</v>
      </c>
      <c r="I1852" s="56">
        <v>0</v>
      </c>
      <c r="J1852" s="56">
        <v>1</v>
      </c>
      <c r="K1852" s="56">
        <v>1</v>
      </c>
      <c r="L1852" s="56">
        <v>1</v>
      </c>
      <c r="M1852" s="56">
        <f t="shared" si="273"/>
        <v>3</v>
      </c>
      <c r="N1852" s="56">
        <f>IF(OR(H1852="",H1852="sif",H1852="PM"),0,VLOOKUP(H1852,[5]CU!$C$4:$H$255,6,FALSE))</f>
        <v>0</v>
      </c>
      <c r="O1852" s="56"/>
      <c r="P1852" s="56"/>
      <c r="Q1852" s="56"/>
      <c r="R1852" s="56"/>
      <c r="S1852" s="56"/>
      <c r="T1852" s="35" t="s">
        <v>56</v>
      </c>
      <c r="U1852" s="18" t="s">
        <v>1873</v>
      </c>
      <c r="V1852" s="19" t="str">
        <f>IF(OR($H1852="",$H1852="sif",$H1852="PM"),"",VLOOKUP($H1852,[5]CU!$C$5:$J$255,8,FALSE))</f>
        <v/>
      </c>
      <c r="W1852" s="18" t="s">
        <v>2304</v>
      </c>
      <c r="X1852" s="18" t="s">
        <v>2304</v>
      </c>
      <c r="Y1852" s="18" t="s">
        <v>677</v>
      </c>
      <c r="Z1852" s="19" t="str">
        <f>A1852 &amp; "-" &amp; VLOOKUP(A1852,[4]PROGRAMMES!$E$1:$F$7,2,FALSE)</f>
        <v>5-Gouvernance et pilotage du secteur</v>
      </c>
      <c r="AA1852" s="19" t="str">
        <f>B1852 &amp; "-" &amp; VLOOKUP(B1852,[4]SOUSPROGRAMMES!$E$1:$F$44,2,FALSE)</f>
        <v>57- Coordination sectorielle</v>
      </c>
      <c r="AB1852" s="19" t="str">
        <f>C1852 &amp; "-" &amp; VLOOKUP(C1852,[4]RESULTATS!$E$1:$F$176,2,FALSE)</f>
        <v>572- Des organes de pilotage et de coordination du ProDEG sont mis en place et sont fonctionnels</v>
      </c>
      <c r="AC1852" s="20" t="str">
        <f>D1852 &amp; "-" &amp; VLOOKUP(D1852,[4]STRATEGIES!$E$1:$F$504,2,FALSE)</f>
        <v>5723-Préparation de la mise en œuvre du ProDEG et suivi évaluation</v>
      </c>
      <c r="AD1852" s="21" t="str">
        <f t="shared" si="266"/>
        <v>57236-Elaboration des rapports de suivi semestriel et annuel du ProDEG (pris en compte dans le budget de la ST/ProDEG)</v>
      </c>
    </row>
    <row r="1853" spans="1:30" s="22" customFormat="1" ht="30.5" x14ac:dyDescent="0.8">
      <c r="A1853" s="14">
        <v>5</v>
      </c>
      <c r="B1853" s="15">
        <v>57</v>
      </c>
      <c r="C1853" s="15">
        <v>572</v>
      </c>
      <c r="D1853" s="15">
        <v>5723</v>
      </c>
      <c r="E1853" s="14">
        <v>57237</v>
      </c>
      <c r="F1853" s="16" t="s">
        <v>2307</v>
      </c>
      <c r="G1853" s="21" t="s">
        <v>843</v>
      </c>
      <c r="H1853" s="17" t="s">
        <v>2308</v>
      </c>
      <c r="I1853" s="56">
        <v>0</v>
      </c>
      <c r="J1853" s="56"/>
      <c r="K1853" s="56"/>
      <c r="L1853" s="56">
        <v>1</v>
      </c>
      <c r="M1853" s="56">
        <f t="shared" si="273"/>
        <v>1</v>
      </c>
      <c r="N1853" s="56">
        <f>IF(OR(H1853="",H1853="sif",H1853="PM"),0,VLOOKUP(H1853,[5]CU!$C$4:$H$255,6,FALSE))</f>
        <v>819</v>
      </c>
      <c r="O1853" s="56">
        <f t="shared" ref="O1853:R1861" si="277">$N1853*I1853</f>
        <v>0</v>
      </c>
      <c r="P1853" s="56">
        <f t="shared" si="277"/>
        <v>0</v>
      </c>
      <c r="Q1853" s="56">
        <f t="shared" si="277"/>
        <v>0</v>
      </c>
      <c r="R1853" s="56">
        <f t="shared" si="277"/>
        <v>819</v>
      </c>
      <c r="S1853" s="56">
        <f t="shared" ref="S1853:S1861" si="278">SUM(O1853:R1853)</f>
        <v>819</v>
      </c>
      <c r="T1853" s="35" t="s">
        <v>118</v>
      </c>
      <c r="U1853" s="18" t="s">
        <v>1873</v>
      </c>
      <c r="V1853" s="19" t="str">
        <f>IF(OR($H1853="",$H1853="sif",$H1853="PM"),"",VLOOKUP($H1853,[5]CU!$C$5:$J$255,8,FALSE))</f>
        <v>3. Dépenses de fonctionnement</v>
      </c>
      <c r="W1853" s="18" t="s">
        <v>2304</v>
      </c>
      <c r="X1853" s="18" t="s">
        <v>2304</v>
      </c>
      <c r="Y1853" s="18" t="s">
        <v>677</v>
      </c>
      <c r="Z1853" s="19" t="str">
        <f>A1853 &amp; "-" &amp; VLOOKUP(A1853,[4]PROGRAMMES!$E$1:$F$7,2,FALSE)</f>
        <v>5-Gouvernance et pilotage du secteur</v>
      </c>
      <c r="AA1853" s="19" t="str">
        <f>B1853 &amp; "-" &amp; VLOOKUP(B1853,[4]SOUSPROGRAMMES!$E$1:$F$44,2,FALSE)</f>
        <v>57- Coordination sectorielle</v>
      </c>
      <c r="AB1853" s="19" t="str">
        <f>C1853 &amp; "-" &amp; VLOOKUP(C1853,[4]RESULTATS!$E$1:$F$176,2,FALSE)</f>
        <v>572- Des organes de pilotage et de coordination du ProDEG sont mis en place et sont fonctionnels</v>
      </c>
      <c r="AC1853" s="20" t="str">
        <f>D1853 &amp; "-" &amp; VLOOKUP(D1853,[4]STRATEGIES!$E$1:$F$504,2,FALSE)</f>
        <v>5723-Préparation de la mise en œuvre du ProDEG et suivi évaluation</v>
      </c>
      <c r="AD1853" s="21" t="str">
        <f t="shared" si="266"/>
        <v>57237-Elaboration du second plan d'action triennal du ProDEG</v>
      </c>
    </row>
    <row r="1854" spans="1:30" s="22" customFormat="1" ht="30.5" hidden="1" x14ac:dyDescent="0.8">
      <c r="A1854" s="14">
        <v>5</v>
      </c>
      <c r="B1854" s="15">
        <v>57</v>
      </c>
      <c r="C1854" s="15">
        <v>572</v>
      </c>
      <c r="D1854" s="15">
        <v>5723</v>
      </c>
      <c r="E1854" s="14">
        <v>57238</v>
      </c>
      <c r="F1854" s="16" t="s">
        <v>2309</v>
      </c>
      <c r="G1854" s="21" t="s">
        <v>100</v>
      </c>
      <c r="H1854" s="17" t="s">
        <v>646</v>
      </c>
      <c r="I1854" s="56">
        <v>0</v>
      </c>
      <c r="J1854" s="56"/>
      <c r="K1854" s="56"/>
      <c r="L1854" s="56">
        <f>2*25</f>
        <v>50</v>
      </c>
      <c r="M1854" s="56">
        <f t="shared" si="273"/>
        <v>50</v>
      </c>
      <c r="N1854" s="56">
        <f>IF(OR(H1854="",H1854="sif",H1854="PM"),0,VLOOKUP(H1854,[5]CU!$C$4:$H$255,6,FALSE))</f>
        <v>10.404797</v>
      </c>
      <c r="O1854" s="56">
        <f t="shared" si="277"/>
        <v>0</v>
      </c>
      <c r="P1854" s="56">
        <f t="shared" si="277"/>
        <v>0</v>
      </c>
      <c r="Q1854" s="56">
        <f t="shared" si="277"/>
        <v>0</v>
      </c>
      <c r="R1854" s="56">
        <f t="shared" si="277"/>
        <v>520.23985000000005</v>
      </c>
      <c r="S1854" s="56">
        <f t="shared" si="278"/>
        <v>520.23985000000005</v>
      </c>
      <c r="T1854" s="35" t="s">
        <v>169</v>
      </c>
      <c r="U1854" s="18" t="s">
        <v>1873</v>
      </c>
      <c r="V1854" s="19" t="str">
        <f>IF(OR($H1854="",$H1854="sif",$H1854="PM"),"",VLOOKUP($H1854,[5]CU!$C$5:$J$255,8,FALSE))</f>
        <v>3. Dépenses de fonctionnement</v>
      </c>
      <c r="W1854" s="19" t="s">
        <v>1939</v>
      </c>
      <c r="X1854" s="19" t="s">
        <v>1939</v>
      </c>
      <c r="Y1854" s="19" t="s">
        <v>2066</v>
      </c>
      <c r="Z1854" s="19" t="str">
        <f>A1854 &amp; "-" &amp; VLOOKUP(A1854,[4]PROGRAMMES!$E$1:$F$7,2,FALSE)</f>
        <v>5-Gouvernance et pilotage du secteur</v>
      </c>
      <c r="AA1854" s="19" t="str">
        <f>B1854 &amp; "-" &amp; VLOOKUP(B1854,[4]SOUSPROGRAMMES!$E$1:$F$44,2,FALSE)</f>
        <v>57- Coordination sectorielle</v>
      </c>
      <c r="AB1854" s="19" t="str">
        <f>C1854 &amp; "-" &amp; VLOOKUP(C1854,[4]RESULTATS!$E$1:$F$176,2,FALSE)</f>
        <v>572- Des organes de pilotage et de coordination du ProDEG sont mis en place et sont fonctionnels</v>
      </c>
      <c r="AC1854" s="20" t="str">
        <f>D1854 &amp; "-" &amp; VLOOKUP(D1854,[4]STRATEGIES!$E$1:$F$504,2,FALSE)</f>
        <v>5723-Préparation de la mise en œuvre du ProDEG et suivi évaluation</v>
      </c>
      <c r="AD1854" s="21" t="str">
        <f t="shared" si="266"/>
        <v>57238-Évaluation de la mise en œuvre de la phase 1 du PRODEG</v>
      </c>
    </row>
    <row r="1855" spans="1:30" s="22" customFormat="1" ht="30.5" x14ac:dyDescent="0.8">
      <c r="A1855" s="14">
        <v>5</v>
      </c>
      <c r="B1855" s="15">
        <v>57</v>
      </c>
      <c r="C1855" s="15">
        <v>572</v>
      </c>
      <c r="D1855" s="15">
        <v>5724</v>
      </c>
      <c r="E1855" s="14">
        <v>5724</v>
      </c>
      <c r="F1855" s="16" t="s">
        <v>2310</v>
      </c>
      <c r="G1855" s="17"/>
      <c r="H1855" s="17"/>
      <c r="I1855" s="56">
        <v>0</v>
      </c>
      <c r="J1855" s="56"/>
      <c r="K1855" s="56"/>
      <c r="L1855" s="56"/>
      <c r="M1855" s="56"/>
      <c r="N1855" s="56"/>
      <c r="O1855" s="56"/>
      <c r="P1855" s="56"/>
      <c r="Q1855" s="56"/>
      <c r="R1855" s="56"/>
      <c r="S1855" s="56"/>
      <c r="T1855" s="33"/>
      <c r="U1855" s="18"/>
      <c r="V1855" s="19"/>
      <c r="W1855" s="18"/>
      <c r="X1855" s="18"/>
      <c r="Y1855" s="18"/>
      <c r="Z1855" s="19" t="str">
        <f>A1855 &amp; "-" &amp; VLOOKUP(A1855,[4]PROGRAMMES!$E$1:$F$7,2,FALSE)</f>
        <v>5-Gouvernance et pilotage du secteur</v>
      </c>
      <c r="AA1855" s="19" t="str">
        <f>B1855 &amp; "-" &amp; VLOOKUP(B1855,[4]SOUSPROGRAMMES!$E$1:$F$44,2,FALSE)</f>
        <v>57- Coordination sectorielle</v>
      </c>
      <c r="AB1855" s="19" t="str">
        <f>C1855 &amp; "-" &amp; VLOOKUP(C1855,[4]RESULTATS!$E$1:$F$176,2,FALSE)</f>
        <v>572- Des organes de pilotage et de coordination du ProDEG sont mis en place et sont fonctionnels</v>
      </c>
      <c r="AC1855" s="20" t="str">
        <f>D1855 &amp; "-" &amp; VLOOKUP(D1855,[4]STRATEGIES!$E$1:$F$504,2,FALSE)</f>
        <v>5724-Les unités de gestion des projets d'appui à la mise en eouvre du développemet du seteur sont fonctionnelles</v>
      </c>
      <c r="AD1855" s="21" t="str">
        <f t="shared" si="266"/>
        <v>5724-Les unités de gestion des projets d'appui à la mise en eouvre du développemet du seteur sont fonctionnelles</v>
      </c>
    </row>
    <row r="1856" spans="1:30" s="22" customFormat="1" ht="30.5" hidden="1" x14ac:dyDescent="0.8">
      <c r="A1856" s="14">
        <v>5</v>
      </c>
      <c r="B1856" s="15">
        <v>57</v>
      </c>
      <c r="C1856" s="15">
        <v>572</v>
      </c>
      <c r="D1856" s="15">
        <v>5724</v>
      </c>
      <c r="E1856" s="14">
        <v>57241</v>
      </c>
      <c r="F1856" s="16" t="s">
        <v>2311</v>
      </c>
      <c r="G1856" s="21" t="s">
        <v>496</v>
      </c>
      <c r="H1856" s="17" t="s">
        <v>2312</v>
      </c>
      <c r="I1856" s="56">
        <v>0</v>
      </c>
      <c r="J1856" s="56"/>
      <c r="K1856" s="56"/>
      <c r="L1856" s="56"/>
      <c r="M1856" s="56">
        <f t="shared" si="273"/>
        <v>0</v>
      </c>
      <c r="N1856" s="56">
        <f>IF(OR(H1856="",H1856="sif",H1856="PM"),0,VLOOKUP(H1856,[5]CU!$C$4:$H$255,6,FALSE))</f>
        <v>4302.8008666666601</v>
      </c>
      <c r="O1856" s="56">
        <f t="shared" si="277"/>
        <v>0</v>
      </c>
      <c r="P1856" s="56">
        <f t="shared" si="277"/>
        <v>0</v>
      </c>
      <c r="Q1856" s="56">
        <f t="shared" si="277"/>
        <v>0</v>
      </c>
      <c r="R1856" s="56">
        <f t="shared" si="277"/>
        <v>0</v>
      </c>
      <c r="S1856" s="56">
        <f t="shared" si="278"/>
        <v>0</v>
      </c>
      <c r="T1856" s="35" t="s">
        <v>178</v>
      </c>
      <c r="U1856" s="18" t="s">
        <v>1873</v>
      </c>
      <c r="V1856" s="19" t="str">
        <f>IF(OR($H1856="",$H1856="sif",$H1856="PM"),"",VLOOKUP($H1856,[5]CU!$C$5:$J$255,8,FALSE))</f>
        <v>3. Dépenses de fonctionnement</v>
      </c>
      <c r="W1856" s="18" t="s">
        <v>255</v>
      </c>
      <c r="X1856" s="18" t="s">
        <v>2313</v>
      </c>
      <c r="Y1856" s="19" t="s">
        <v>32</v>
      </c>
      <c r="Z1856" s="19" t="str">
        <f>A1856 &amp; "-" &amp; VLOOKUP(A1856,[4]PROGRAMMES!$E$1:$F$7,2,FALSE)</f>
        <v>5-Gouvernance et pilotage du secteur</v>
      </c>
      <c r="AA1856" s="19" t="str">
        <f>B1856 &amp; "-" &amp; VLOOKUP(B1856,[4]SOUSPROGRAMMES!$E$1:$F$44,2,FALSE)</f>
        <v>57- Coordination sectorielle</v>
      </c>
      <c r="AB1856" s="19" t="str">
        <f>C1856 &amp; "-" &amp; VLOOKUP(C1856,[4]RESULTATS!$E$1:$F$176,2,FALSE)</f>
        <v>572- Des organes de pilotage et de coordination du ProDEG sont mis en place et sont fonctionnels</v>
      </c>
      <c r="AC1856" s="20" t="str">
        <f>D1856 &amp; "-" &amp; VLOOKUP(D1856,[4]STRATEGIES!$E$1:$F$504,2,FALSE)</f>
        <v>5724-Les unités de gestion des projets d'appui à la mise en eouvre du développemet du seteur sont fonctionnelles</v>
      </c>
      <c r="AD1856" s="21" t="str">
        <f t="shared" si="266"/>
        <v>57241-Fonctionnement de la coordination du FOCEB y compris audit annuel et communication sur le projet</v>
      </c>
    </row>
    <row r="1857" spans="1:30" s="22" customFormat="1" ht="45.75" x14ac:dyDescent="0.8">
      <c r="A1857" s="14">
        <v>5</v>
      </c>
      <c r="B1857" s="15">
        <v>57</v>
      </c>
      <c r="C1857" s="15">
        <v>572</v>
      </c>
      <c r="D1857" s="15">
        <v>5724</v>
      </c>
      <c r="E1857" s="14">
        <v>57242</v>
      </c>
      <c r="F1857" s="16" t="s">
        <v>2314</v>
      </c>
      <c r="G1857" s="21" t="s">
        <v>496</v>
      </c>
      <c r="H1857" s="17" t="s">
        <v>2315</v>
      </c>
      <c r="I1857" s="56">
        <v>0</v>
      </c>
      <c r="J1857" s="56">
        <v>1</v>
      </c>
      <c r="K1857" s="56">
        <v>1</v>
      </c>
      <c r="L1857" s="56">
        <v>1</v>
      </c>
      <c r="M1857" s="56">
        <f t="shared" si="273"/>
        <v>3</v>
      </c>
      <c r="N1857" s="56">
        <f>IF(OR(H1857="",H1857="sif",H1857="PM"),0,VLOOKUP(H1857,[5]CU!$C$4:$H$255,6,FALSE))</f>
        <v>3562.5</v>
      </c>
      <c r="O1857" s="56">
        <f t="shared" si="277"/>
        <v>0</v>
      </c>
      <c r="P1857" s="56">
        <f t="shared" si="277"/>
        <v>3562.5</v>
      </c>
      <c r="Q1857" s="56">
        <f t="shared" si="277"/>
        <v>3562.5</v>
      </c>
      <c r="R1857" s="56">
        <f t="shared" si="277"/>
        <v>3562.5</v>
      </c>
      <c r="S1857" s="56">
        <f t="shared" si="278"/>
        <v>10687.5</v>
      </c>
      <c r="T1857" s="35" t="s">
        <v>39</v>
      </c>
      <c r="U1857" s="19" t="s">
        <v>1873</v>
      </c>
      <c r="V1857" s="19" t="str">
        <f>IF(OR($H1857="",$H1857="sif",$H1857="PM"),"",VLOOKUP($H1857,[5]CU!$C$5:$J$255,8,FALSE))</f>
        <v>3. Dépenses de fonctionnement</v>
      </c>
      <c r="W1857" s="19" t="s">
        <v>255</v>
      </c>
      <c r="X1857" s="19" t="s">
        <v>2316</v>
      </c>
      <c r="Y1857" s="19" t="s">
        <v>32</v>
      </c>
      <c r="Z1857" s="19" t="str">
        <f>A1857 &amp; "-" &amp; VLOOKUP(A1857,[4]PROGRAMMES!$E$1:$F$7,2,FALSE)</f>
        <v>5-Gouvernance et pilotage du secteur</v>
      </c>
      <c r="AA1857" s="19" t="str">
        <f>B1857 &amp; "-" &amp; VLOOKUP(B1857,[4]SOUSPROGRAMMES!$E$1:$F$44,2,FALSE)</f>
        <v>57- Coordination sectorielle</v>
      </c>
      <c r="AB1857" s="19" t="str">
        <f>C1857 &amp; "-" &amp; VLOOKUP(C1857,[4]RESULTATS!$E$1:$F$176,2,FALSE)</f>
        <v>572- Des organes de pilotage et de coordination du ProDEG sont mis en place et sont fonctionnels</v>
      </c>
      <c r="AC1857" s="20" t="str">
        <f>D1857 &amp; "-" &amp; VLOOKUP(D1857,[4]STRATEGIES!$E$1:$F$504,2,FALSE)</f>
        <v>5724-Les unités de gestion des projets d'appui à la mise en eouvre du développemet du seteur sont fonctionnelles</v>
      </c>
      <c r="AD1857" s="21" t="str">
        <f t="shared" si="266"/>
        <v>57242-Fonctionnement de l'unité de coordination du projet de la banque mondialepour l'appui au préscolaire et à la qualité au primaire y compris audit annuel et communication sur le projet</v>
      </c>
    </row>
    <row r="1858" spans="1:30" s="22" customFormat="1" ht="30.5" x14ac:dyDescent="0.8">
      <c r="A1858" s="14">
        <v>5</v>
      </c>
      <c r="B1858" s="15">
        <v>57</v>
      </c>
      <c r="C1858" s="15">
        <v>572</v>
      </c>
      <c r="D1858" s="15">
        <v>5724</v>
      </c>
      <c r="E1858" s="14">
        <v>57243</v>
      </c>
      <c r="F1858" s="16" t="s">
        <v>2317</v>
      </c>
      <c r="G1858" s="21" t="s">
        <v>496</v>
      </c>
      <c r="H1858" s="17" t="s">
        <v>2318</v>
      </c>
      <c r="I1858" s="56">
        <v>0</v>
      </c>
      <c r="J1858" s="56">
        <v>1</v>
      </c>
      <c r="K1858" s="56"/>
      <c r="L1858" s="56"/>
      <c r="M1858" s="56">
        <f t="shared" si="273"/>
        <v>1</v>
      </c>
      <c r="N1858" s="56">
        <f>IF(OR(H1858="",H1858="sif",H1858="PM"),0,VLOOKUP(H1858,[5]CU!$C$4:$H$255,6,FALSE))</f>
        <v>7295.05</v>
      </c>
      <c r="O1858" s="56">
        <f t="shared" si="277"/>
        <v>0</v>
      </c>
      <c r="P1858" s="56">
        <f t="shared" si="277"/>
        <v>7295.05</v>
      </c>
      <c r="Q1858" s="56">
        <f t="shared" si="277"/>
        <v>0</v>
      </c>
      <c r="R1858" s="56">
        <f t="shared" si="277"/>
        <v>0</v>
      </c>
      <c r="S1858" s="56">
        <f t="shared" si="278"/>
        <v>7295.05</v>
      </c>
      <c r="T1858" s="35" t="s">
        <v>2319</v>
      </c>
      <c r="U1858" s="19" t="s">
        <v>1873</v>
      </c>
      <c r="V1858" s="19" t="str">
        <f>IF(OR($H1858="",$H1858="sif",$H1858="PM"),"",VLOOKUP($H1858,[5]CU!$C$5:$J$255,8,FALSE))</f>
        <v>3. Dépenses de fonctionnement</v>
      </c>
      <c r="W1858" s="19" t="s">
        <v>2320</v>
      </c>
      <c r="X1858" s="19" t="s">
        <v>2320</v>
      </c>
      <c r="Y1858" s="19" t="s">
        <v>677</v>
      </c>
      <c r="Z1858" s="19" t="str">
        <f>A1858 &amp; "-" &amp; VLOOKUP(A1858,[4]PROGRAMMES!$E$1:$F$7,2,FALSE)</f>
        <v>5-Gouvernance et pilotage du secteur</v>
      </c>
      <c r="AA1858" s="19" t="str">
        <f>B1858 &amp; "-" &amp; VLOOKUP(B1858,[4]SOUSPROGRAMMES!$E$1:$F$44,2,FALSE)</f>
        <v>57- Coordination sectorielle</v>
      </c>
      <c r="AB1858" s="19" t="str">
        <f>C1858 &amp; "-" &amp; VLOOKUP(C1858,[4]RESULTATS!$E$1:$F$176,2,FALSE)</f>
        <v>572- Des organes de pilotage et de coordination du ProDEG sont mis en place et sont fonctionnels</v>
      </c>
      <c r="AC1858" s="20" t="str">
        <f>D1858 &amp; "-" &amp; VLOOKUP(D1858,[4]STRATEGIES!$E$1:$F$504,2,FALSE)</f>
        <v>5724-Les unités de gestion des projets d'appui à la mise en eouvre du développemet du seteur sont fonctionnelles</v>
      </c>
      <c r="AD1858" s="21" t="str">
        <f t="shared" si="266"/>
        <v>57243-Fonctionnement de la coordination du BOCEJ y compris audit annuel et communication sur le projet</v>
      </c>
    </row>
    <row r="1859" spans="1:30" s="22" customFormat="1" ht="30.5" x14ac:dyDescent="0.8">
      <c r="A1859" s="14">
        <v>3</v>
      </c>
      <c r="B1859" s="15">
        <v>57</v>
      </c>
      <c r="C1859" s="15">
        <v>572</v>
      </c>
      <c r="D1859" s="15">
        <v>5724</v>
      </c>
      <c r="E1859" s="14">
        <v>57244</v>
      </c>
      <c r="F1859" s="16" t="s">
        <v>2321</v>
      </c>
      <c r="G1859" s="21" t="s">
        <v>496</v>
      </c>
      <c r="H1859" s="17" t="s">
        <v>2322</v>
      </c>
      <c r="I1859" s="56">
        <v>0</v>
      </c>
      <c r="J1859" s="56">
        <v>1</v>
      </c>
      <c r="K1859" s="56">
        <v>1</v>
      </c>
      <c r="L1859" s="56"/>
      <c r="M1859" s="56">
        <f t="shared" ref="M1859:M1860" si="279">SUM(I1859:L1859)</f>
        <v>2</v>
      </c>
      <c r="N1859" s="56">
        <f>IF(OR(H1859="",H1859="sif",H1859="PM"),0,VLOOKUP(H1859,[5]CU!$C$4:$H$255,6,FALSE))</f>
        <v>2940</v>
      </c>
      <c r="O1859" s="56">
        <f t="shared" ref="O1859" si="280">$N1859*I1859</f>
        <v>0</v>
      </c>
      <c r="P1859" s="56">
        <f t="shared" ref="P1859" si="281">$N1859*J1859</f>
        <v>2940</v>
      </c>
      <c r="Q1859" s="56">
        <f t="shared" ref="Q1859" si="282">$N1859*K1859</f>
        <v>2940</v>
      </c>
      <c r="R1859" s="56">
        <f t="shared" ref="R1859:R1860" si="283">$N1859*L1859</f>
        <v>0</v>
      </c>
      <c r="S1859" s="56">
        <f t="shared" ref="S1859:S1860" si="284">SUM(O1859:R1859)</f>
        <v>5880</v>
      </c>
      <c r="T1859" s="35" t="s">
        <v>1276</v>
      </c>
      <c r="U1859" s="18" t="s">
        <v>1873</v>
      </c>
      <c r="V1859" s="19" t="str">
        <f>IF(OR($H1859="",$H1859="sif",$H1859="PM"),"",VLOOKUP($H1859,[5]CU!$C$5:$J$255,8,FALSE))</f>
        <v>3. Dépenses de fonctionnement</v>
      </c>
      <c r="W1859" s="18"/>
      <c r="X1859" s="18"/>
      <c r="Y1859" s="18" t="s">
        <v>677</v>
      </c>
      <c r="Z1859" s="19" t="str">
        <f>A1859 &amp; "-" &amp; VLOOKUP(A1859,[4]PROGRAMMES!$E$1:$F$7,2,FALSE)</f>
        <v>3-Expansion et réforme de l’ETFP</v>
      </c>
      <c r="AA1859" s="19" t="str">
        <f>B1859 &amp; "-" &amp; VLOOKUP(B1859,[4]SOUSPROGRAMMES!$E$1:$F$44,2,FALSE)</f>
        <v>57- Coordination sectorielle</v>
      </c>
      <c r="AB1859" s="19" t="str">
        <f>C1859 &amp; "-" &amp; VLOOKUP(C1859,[4]RESULTATS!$E$1:$F$176,2,FALSE)</f>
        <v>572- Des organes de pilotage et de coordination du ProDEG sont mis en place et sont fonctionnels</v>
      </c>
      <c r="AC1859" s="20" t="str">
        <f>D1859 &amp; "-" &amp; VLOOKUP(D1859,[4]STRATEGIES!$E$1:$F$504,2,FALSE)</f>
        <v>5724-Les unités de gestion des projets d'appui à la mise en eouvre du développemet du seteur sont fonctionnelles</v>
      </c>
      <c r="AD1859" s="21" t="str">
        <f t="shared" ref="AD1859:AD1860" si="285">E1859 &amp; "-" &amp; F1859</f>
        <v>57244-Fonctionnement de la coordination du PAFISAM y compris audit annuel et communication sur le projet</v>
      </c>
    </row>
    <row r="1860" spans="1:30" s="22" customFormat="1" ht="30.5" x14ac:dyDescent="0.8">
      <c r="A1860" s="14">
        <v>3</v>
      </c>
      <c r="B1860" s="15">
        <v>57</v>
      </c>
      <c r="C1860" s="15">
        <v>572</v>
      </c>
      <c r="D1860" s="74">
        <v>1221</v>
      </c>
      <c r="E1860" s="14">
        <v>57245</v>
      </c>
      <c r="F1860" s="16" t="s">
        <v>2666</v>
      </c>
      <c r="G1860" s="21" t="s">
        <v>1310</v>
      </c>
      <c r="H1860" s="17" t="s">
        <v>1311</v>
      </c>
      <c r="I1860" s="56">
        <v>0</v>
      </c>
      <c r="J1860" s="56">
        <v>1</v>
      </c>
      <c r="K1860" s="56">
        <v>1</v>
      </c>
      <c r="L1860" s="56"/>
      <c r="M1860" s="56">
        <f t="shared" si="279"/>
        <v>2</v>
      </c>
      <c r="N1860" s="56">
        <v>15600</v>
      </c>
      <c r="O1860" s="56">
        <v>23400</v>
      </c>
      <c r="P1860" s="56">
        <v>15600</v>
      </c>
      <c r="Q1860" s="56">
        <f>SUM(N1860:P1860)</f>
        <v>54600</v>
      </c>
      <c r="R1860" s="56">
        <f t="shared" si="283"/>
        <v>0</v>
      </c>
      <c r="S1860" s="56">
        <f t="shared" si="284"/>
        <v>93600</v>
      </c>
      <c r="T1860" s="35" t="s">
        <v>1276</v>
      </c>
      <c r="U1860" s="18" t="s">
        <v>1873</v>
      </c>
      <c r="V1860" s="19" t="str">
        <f>IF(OR($H1860="",$H1860="sif",$H1860="PM"),"",VLOOKUP($H1860,[5]CU!$C$5:$J$255,8,FALSE))</f>
        <v>5. Investissement</v>
      </c>
      <c r="W1860" s="18"/>
      <c r="X1860" s="18"/>
      <c r="Y1860" s="18" t="s">
        <v>677</v>
      </c>
      <c r="Z1860" s="19" t="str">
        <f>A1860 &amp; "-" &amp; VLOOKUP(A1860,[4]PROGRAMMES!$E$1:$F$7,2,FALSE)</f>
        <v>3-Expansion et réforme de l’ETFP</v>
      </c>
      <c r="AA1860" s="19" t="str">
        <f>B1860 &amp; "-" &amp; VLOOKUP(B1860,[4]SOUSPROGRAMMES!$E$1:$F$44,2,FALSE)</f>
        <v>57- Coordination sectorielle</v>
      </c>
      <c r="AB1860" s="19" t="str">
        <f>C1860 &amp; "-" &amp; VLOOKUP(C1860,[4]RESULTATS!$E$1:$F$176,2,FALSE)</f>
        <v>572- Des organes de pilotage et de coordination du ProDEG sont mis en place et sont fonctionnels</v>
      </c>
      <c r="AC1860" s="20" t="str">
        <f>D1860 &amp; "-" &amp; VLOOKUP(D1860,[4]STRATEGIES!$E$1:$F$504,2,FALSE)</f>
        <v>1221-Rénovation/réhabilitation de salles de classe en tenant compte de la prévention des catastrophes naturels, y compris dans les FA</v>
      </c>
      <c r="AD1860" s="21" t="str">
        <f t="shared" si="285"/>
        <v>57245-Rénovation et extension &amp; équipements des infrastructures des 2 sites Kankan, Pita</v>
      </c>
    </row>
    <row r="1861" spans="1:30" s="22" customFormat="1" ht="30.5" x14ac:dyDescent="0.8">
      <c r="A1861" s="14">
        <v>3</v>
      </c>
      <c r="B1861" s="15">
        <v>57</v>
      </c>
      <c r="C1861" s="15">
        <v>572</v>
      </c>
      <c r="D1861" s="74">
        <v>582</v>
      </c>
      <c r="E1861" s="14">
        <v>57246</v>
      </c>
      <c r="F1861" s="16" t="s">
        <v>2667</v>
      </c>
      <c r="G1861" s="21" t="s">
        <v>2668</v>
      </c>
      <c r="H1861" s="17" t="s">
        <v>1311</v>
      </c>
      <c r="I1861" s="56">
        <v>0</v>
      </c>
      <c r="J1861" s="56">
        <v>1</v>
      </c>
      <c r="K1861" s="56">
        <v>1</v>
      </c>
      <c r="L1861" s="56"/>
      <c r="M1861" s="56">
        <f t="shared" si="273"/>
        <v>2</v>
      </c>
      <c r="N1861" s="56">
        <v>4400</v>
      </c>
      <c r="O1861" s="56">
        <v>6600</v>
      </c>
      <c r="P1861" s="56">
        <v>4400</v>
      </c>
      <c r="Q1861" s="56">
        <f>SUM(N1861:P1861)</f>
        <v>15400</v>
      </c>
      <c r="R1861" s="56">
        <f t="shared" si="277"/>
        <v>0</v>
      </c>
      <c r="S1861" s="56">
        <f t="shared" si="278"/>
        <v>26400</v>
      </c>
      <c r="T1861" s="35" t="s">
        <v>1276</v>
      </c>
      <c r="U1861" s="18" t="s">
        <v>1873</v>
      </c>
      <c r="V1861" s="19" t="str">
        <f>IF(OR($H1861="",$H1861="sif",$H1861="PM"),"",VLOOKUP($H1861,[5]CU!$C$5:$J$255,8,FALSE))</f>
        <v>5. Investissement</v>
      </c>
      <c r="W1861" s="18"/>
      <c r="X1861" s="18"/>
      <c r="Y1861" s="18" t="s">
        <v>677</v>
      </c>
      <c r="Z1861" s="19" t="str">
        <f>A1861 &amp; "-" &amp; VLOOKUP(A1861,[4]PROGRAMMES!$E$1:$F$7,2,FALSE)</f>
        <v>3-Expansion et réforme de l’ETFP</v>
      </c>
      <c r="AA1861" s="19" t="str">
        <f>B1861 &amp; "-" &amp; VLOOKUP(B1861,[4]SOUSPROGRAMMES!$E$1:$F$44,2,FALSE)</f>
        <v>57- Coordination sectorielle</v>
      </c>
      <c r="AB1861" s="19" t="str">
        <f>C1861 &amp; "-" &amp; VLOOKUP(C1861,[4]RESULTATS!$E$1:$F$176,2,FALSE)</f>
        <v>572- Des organes de pilotage et de coordination du ProDEG sont mis en place et sont fonctionnels</v>
      </c>
      <c r="AC1861" s="20" t="str">
        <f>D1861 &amp; "-" &amp; VLOOKUP(D1861,[4]STRATEGIES!$E$1:$F$504,2,FALSE)</f>
        <v>582- Le plan de relève permet l’existence continue d’un corps administratif compétent</v>
      </c>
      <c r="AD1861" s="21" t="str">
        <f t="shared" si="266"/>
        <v>57246-Renforcement du dispositif ASCAD (AT institutionnel, gestion,…)</v>
      </c>
    </row>
    <row r="1862" spans="1:30" s="22" customFormat="1" ht="61" x14ac:dyDescent="0.8">
      <c r="A1862" s="14">
        <v>5</v>
      </c>
      <c r="B1862" s="15">
        <v>58</v>
      </c>
      <c r="C1862" s="15">
        <v>58</v>
      </c>
      <c r="D1862" s="74">
        <v>58</v>
      </c>
      <c r="E1862" s="14">
        <v>58</v>
      </c>
      <c r="F1862" s="16" t="s">
        <v>2323</v>
      </c>
      <c r="G1862" s="17"/>
      <c r="H1862" s="17"/>
      <c r="I1862" s="56">
        <v>0</v>
      </c>
      <c r="J1862" s="56"/>
      <c r="K1862" s="56"/>
      <c r="L1862" s="56"/>
      <c r="M1862" s="56"/>
      <c r="N1862" s="56"/>
      <c r="O1862" s="56"/>
      <c r="P1862" s="56"/>
      <c r="Q1862" s="56"/>
      <c r="R1862" s="56"/>
      <c r="S1862" s="56"/>
      <c r="T1862" s="33"/>
      <c r="U1862" s="18"/>
      <c r="V1862" s="19"/>
      <c r="W1862" s="18"/>
      <c r="X1862" s="18"/>
      <c r="Y1862" s="18"/>
      <c r="Z1862" s="19" t="str">
        <f>A1862 &amp; "-" &amp; VLOOKUP(A1862,[4]PROGRAMMES!$E$1:$F$7,2,FALSE)</f>
        <v>5-Gouvernance et pilotage du secteur</v>
      </c>
      <c r="AA1862" s="19" t="str">
        <f>B1862 &amp; "-" &amp; VLOOKUP(B1862,[4]SOUSPROGRAMMES!$E$1:$F$44,2,FALSE)</f>
        <v>58- Renforcement des compétences de l’administration (cadre normatif, poste-profil, évaluation, équipement, formations…)</v>
      </c>
      <c r="AB1862" s="19" t="str">
        <f>C1862 &amp; "-" &amp; VLOOKUP(C1862,[4]RESULTATS!$E$1:$F$176,2,FALSE)</f>
        <v>58- Renforcement des compétences de l’administration (cadre normatif, poste-profil, évaluation, équipement, formations…)</v>
      </c>
      <c r="AC1862" s="20" t="str">
        <f>D1862 &amp; "-" &amp; VLOOKUP(D1862,[4]STRATEGIES!$E$1:$F$504,2,FALSE)</f>
        <v>58- Renforcement des compétences de l’administration (cadre normatif, poste-profil, évaluation, équipement, formations…)</v>
      </c>
      <c r="AD1862" s="21" t="str">
        <f t="shared" ref="AD1862:AD1926" si="286">E1862 &amp; "-" &amp; F1862</f>
        <v>58- Renforcement des compétences de l’administration (cadre normatif, poste-profil, évaluation, équipement, formations…)</v>
      </c>
    </row>
    <row r="1863" spans="1:30" s="22" customFormat="1" ht="61" x14ac:dyDescent="0.8">
      <c r="A1863" s="14">
        <v>5</v>
      </c>
      <c r="B1863" s="15">
        <v>58</v>
      </c>
      <c r="C1863" s="15">
        <v>581</v>
      </c>
      <c r="D1863" s="74">
        <v>581</v>
      </c>
      <c r="E1863" s="14">
        <v>581</v>
      </c>
      <c r="F1863" s="16" t="s">
        <v>2324</v>
      </c>
      <c r="G1863" s="17"/>
      <c r="H1863" s="17"/>
      <c r="I1863" s="56">
        <v>0</v>
      </c>
      <c r="J1863" s="56"/>
      <c r="K1863" s="56"/>
      <c r="L1863" s="56"/>
      <c r="M1863" s="56"/>
      <c r="N1863" s="56"/>
      <c r="O1863" s="56"/>
      <c r="P1863" s="56"/>
      <c r="Q1863" s="56"/>
      <c r="R1863" s="56"/>
      <c r="S1863" s="56"/>
      <c r="T1863" s="33"/>
      <c r="U1863" s="18"/>
      <c r="V1863" s="19"/>
      <c r="W1863" s="18"/>
      <c r="X1863" s="18"/>
      <c r="Y1863" s="18"/>
      <c r="Z1863" s="19" t="str">
        <f>A1863 &amp; "-" &amp; VLOOKUP(A1863,[4]PROGRAMMES!$E$1:$F$7,2,FALSE)</f>
        <v>5-Gouvernance et pilotage du secteur</v>
      </c>
      <c r="AA1863" s="19" t="str">
        <f>B1863 &amp; "-" &amp; VLOOKUP(B1863,[4]SOUSPROGRAMMES!$E$1:$F$44,2,FALSE)</f>
        <v>58- Renforcement des compétences de l’administration (cadre normatif, poste-profil, évaluation, équipement, formations…)</v>
      </c>
      <c r="AB1863" s="19" t="str">
        <f>C1863 &amp; "-" &amp; VLOOKUP(C1863,[4]RESULTATS!$E$1:$F$176,2,FALSE)</f>
        <v xml:space="preserve">581- Les cadres organiques des différentes structures sont redéfinis pour que leur efficacité s’améliore </v>
      </c>
      <c r="AC1863" s="20" t="str">
        <f>D1863 &amp; "-" &amp; VLOOKUP(D1863,[4]STRATEGIES!$E$1:$F$504,2,FALSE)</f>
        <v xml:space="preserve">581- Les cadres organiques des différentes structures sont redéfinis pour que leur efficacité s’améliore </v>
      </c>
      <c r="AD1863" s="21" t="str">
        <f t="shared" si="286"/>
        <v xml:space="preserve">581- Les cadres organiques des différentes structures sont redéFinis pour que leur efficacité s’améliore </v>
      </c>
    </row>
    <row r="1864" spans="1:30" s="22" customFormat="1" ht="61" x14ac:dyDescent="0.8">
      <c r="A1864" s="14">
        <v>5</v>
      </c>
      <c r="B1864" s="15">
        <v>58</v>
      </c>
      <c r="C1864" s="15">
        <v>581</v>
      </c>
      <c r="D1864" s="74">
        <v>5811</v>
      </c>
      <c r="E1864" s="14">
        <v>5811</v>
      </c>
      <c r="F1864" s="16" t="s">
        <v>2325</v>
      </c>
      <c r="G1864" s="17"/>
      <c r="H1864" s="17"/>
      <c r="I1864" s="56">
        <v>0</v>
      </c>
      <c r="J1864" s="56"/>
      <c r="K1864" s="56"/>
      <c r="L1864" s="56"/>
      <c r="M1864" s="56"/>
      <c r="N1864" s="56"/>
      <c r="O1864" s="56"/>
      <c r="P1864" s="56"/>
      <c r="Q1864" s="56"/>
      <c r="R1864" s="56"/>
      <c r="S1864" s="56"/>
      <c r="T1864" s="33"/>
      <c r="U1864" s="18"/>
      <c r="V1864" s="19"/>
      <c r="W1864" s="18"/>
      <c r="X1864" s="18"/>
      <c r="Y1864" s="18"/>
      <c r="Z1864" s="19" t="str">
        <f>A1864 &amp; "-" &amp; VLOOKUP(A1864,[4]PROGRAMMES!$E$1:$F$7,2,FALSE)</f>
        <v>5-Gouvernance et pilotage du secteur</v>
      </c>
      <c r="AA1864" s="19" t="str">
        <f>B1864 &amp; "-" &amp; VLOOKUP(B1864,[4]SOUSPROGRAMMES!$E$1:$F$44,2,FALSE)</f>
        <v>58- Renforcement des compétences de l’administration (cadre normatif, poste-profil, évaluation, équipement, formations…)</v>
      </c>
      <c r="AB1864" s="19" t="str">
        <f>C1864 &amp; "-" &amp; VLOOKUP(C1864,[4]RESULTATS!$E$1:$F$176,2,FALSE)</f>
        <v xml:space="preserve">581- Les cadres organiques des différentes structures sont redéfinis pour que leur efficacité s’améliore </v>
      </c>
      <c r="AC1864" s="20" t="str">
        <f>D1864 &amp; "-" &amp; VLOOKUP(D1864,[4]STRATEGIES!$E$1:$F$504,2,FALSE)</f>
        <v>5811-Évaluation des forces et faiblesses des cadres organiques à tous les niveaux</v>
      </c>
      <c r="AD1864" s="21" t="str">
        <f t="shared" si="286"/>
        <v>5811-Évaluation des forces et faiblesses des cadres organiques à tous les niveaux</v>
      </c>
    </row>
    <row r="1865" spans="1:30" s="22" customFormat="1" ht="61" hidden="1" x14ac:dyDescent="0.8">
      <c r="A1865" s="14">
        <v>5</v>
      </c>
      <c r="B1865" s="15">
        <v>58</v>
      </c>
      <c r="C1865" s="15">
        <v>581</v>
      </c>
      <c r="D1865" s="74">
        <v>5811</v>
      </c>
      <c r="E1865" s="14">
        <v>58111</v>
      </c>
      <c r="F1865" s="16" t="s">
        <v>2326</v>
      </c>
      <c r="G1865" s="21" t="s">
        <v>88</v>
      </c>
      <c r="H1865" s="17" t="s">
        <v>55</v>
      </c>
      <c r="I1865" s="56">
        <v>0</v>
      </c>
      <c r="J1865" s="56">
        <v>1</v>
      </c>
      <c r="K1865" s="56">
        <v>0</v>
      </c>
      <c r="L1865" s="56">
        <v>0</v>
      </c>
      <c r="M1865" s="56">
        <f t="shared" si="273"/>
        <v>1</v>
      </c>
      <c r="N1865" s="56">
        <f>IF(OR(H1865="",H1865="sif",H1865="PM"),0,VLOOKUP(H1865,[5]CU!$C$4:$H$255,6,FALSE))</f>
        <v>0</v>
      </c>
      <c r="O1865" s="56"/>
      <c r="P1865" s="56"/>
      <c r="Q1865" s="56"/>
      <c r="R1865" s="56"/>
      <c r="S1865" s="56"/>
      <c r="T1865" s="35" t="s">
        <v>56</v>
      </c>
      <c r="U1865" s="18" t="s">
        <v>1873</v>
      </c>
      <c r="V1865" s="19" t="str">
        <f>IF(OR($H1865="",$H1865="sif",$H1865="PM"),"",VLOOKUP($H1865,[5]CU!$C$5:$J$255,8,FALSE))</f>
        <v/>
      </c>
      <c r="W1865" s="18" t="s">
        <v>255</v>
      </c>
      <c r="X1865" s="18" t="s">
        <v>255</v>
      </c>
      <c r="Y1865" s="19" t="s">
        <v>32</v>
      </c>
      <c r="Z1865" s="19" t="str">
        <f>A1865 &amp; "-" &amp; VLOOKUP(A1865,[4]PROGRAMMES!$E$1:$F$7,2,FALSE)</f>
        <v>5-Gouvernance et pilotage du secteur</v>
      </c>
      <c r="AA1865" s="19" t="str">
        <f>B1865 &amp; "-" &amp; VLOOKUP(B1865,[4]SOUSPROGRAMMES!$E$1:$F$44,2,FALSE)</f>
        <v>58- Renforcement des compétences de l’administration (cadre normatif, poste-profil, évaluation, équipement, formations…)</v>
      </c>
      <c r="AB1865" s="19" t="str">
        <f>C1865 &amp; "-" &amp; VLOOKUP(C1865,[4]RESULTATS!$E$1:$F$176,2,FALSE)</f>
        <v xml:space="preserve">581- Les cadres organiques des différentes structures sont redéfinis pour que leur efficacité s’améliore </v>
      </c>
      <c r="AC1865" s="20" t="str">
        <f>D1865 &amp; "-" &amp; VLOOKUP(D1865,[4]STRATEGIES!$E$1:$F$504,2,FALSE)</f>
        <v>5811-Évaluation des forces et faiblesses des cadres organiques à tous les niveaux</v>
      </c>
      <c r="AD1865" s="21" t="str">
        <f t="shared" si="286"/>
        <v>58111-Elaboration de TDR pour le recrutement d'un cabinet/consultant</v>
      </c>
    </row>
    <row r="1866" spans="1:30" s="22" customFormat="1" ht="61" x14ac:dyDescent="0.8">
      <c r="A1866" s="14">
        <v>5</v>
      </c>
      <c r="B1866" s="15">
        <v>58</v>
      </c>
      <c r="C1866" s="15">
        <v>581</v>
      </c>
      <c r="D1866" s="74">
        <v>5811</v>
      </c>
      <c r="E1866" s="14">
        <v>58112</v>
      </c>
      <c r="F1866" s="16" t="s">
        <v>2327</v>
      </c>
      <c r="G1866" s="21" t="s">
        <v>167</v>
      </c>
      <c r="H1866" s="17" t="s">
        <v>646</v>
      </c>
      <c r="I1866" s="56">
        <v>0</v>
      </c>
      <c r="J1866" s="56">
        <f>3*15*4</f>
        <v>180</v>
      </c>
      <c r="K1866" s="56"/>
      <c r="L1866" s="56"/>
      <c r="M1866" s="56">
        <f t="shared" si="273"/>
        <v>180</v>
      </c>
      <c r="N1866" s="56">
        <f>IF(OR(H1866="",H1866="sif",H1866="PM"),0,VLOOKUP(H1866,[5]CU!$C$4:$H$255,6,FALSE))</f>
        <v>10.404797</v>
      </c>
      <c r="O1866" s="56">
        <f t="shared" ref="O1866:R1867" si="287">$N1866*I1866</f>
        <v>0</v>
      </c>
      <c r="P1866" s="56">
        <f t="shared" si="287"/>
        <v>1872.86346</v>
      </c>
      <c r="Q1866" s="56">
        <f t="shared" si="287"/>
        <v>0</v>
      </c>
      <c r="R1866" s="56">
        <f t="shared" si="287"/>
        <v>0</v>
      </c>
      <c r="S1866" s="56">
        <f>SUM(O1866:R1866)</f>
        <v>1872.86346</v>
      </c>
      <c r="T1866" s="35" t="s">
        <v>39</v>
      </c>
      <c r="U1866" s="19" t="s">
        <v>1873</v>
      </c>
      <c r="V1866" s="19" t="str">
        <f>IF(OR($H1866="",$H1866="sif",$H1866="PM"),"",VLOOKUP($H1866,[5]CU!$C$5:$J$255,8,FALSE))</f>
        <v>3. Dépenses de fonctionnement</v>
      </c>
      <c r="W1866" s="19" t="s">
        <v>255</v>
      </c>
      <c r="X1866" s="19" t="s">
        <v>255</v>
      </c>
      <c r="Y1866" s="19" t="s">
        <v>32</v>
      </c>
      <c r="Z1866" s="19" t="str">
        <f>A1866 &amp; "-" &amp; VLOOKUP(A1866,[4]PROGRAMMES!$E$1:$F$7,2,FALSE)</f>
        <v>5-Gouvernance et pilotage du secteur</v>
      </c>
      <c r="AA1866" s="19" t="str">
        <f>B1866 &amp; "-" &amp; VLOOKUP(B1866,[4]SOUSPROGRAMMES!$E$1:$F$44,2,FALSE)</f>
        <v>58- Renforcement des compétences de l’administration (cadre normatif, poste-profil, évaluation, équipement, formations…)</v>
      </c>
      <c r="AB1866" s="19" t="str">
        <f>C1866 &amp; "-" &amp; VLOOKUP(C1866,[4]RESULTATS!$E$1:$F$176,2,FALSE)</f>
        <v xml:space="preserve">581- Les cadres organiques des différentes structures sont redéfinis pour que leur efficacité s’améliore </v>
      </c>
      <c r="AC1866" s="20" t="str">
        <f>D1866 &amp; "-" &amp; VLOOKUP(D1866,[4]STRATEGIES!$E$1:$F$504,2,FALSE)</f>
        <v>5811-Évaluation des forces et faiblesses des cadres organiques à tous les niveaux</v>
      </c>
      <c r="AD1866" s="21" t="str">
        <f t="shared" si="286"/>
        <v>58112-Réalisation d'une étude sur les forces et les faibles des cadres organiques des 3 ministères</v>
      </c>
    </row>
    <row r="1867" spans="1:30" s="22" customFormat="1" ht="61" x14ac:dyDescent="0.8">
      <c r="A1867" s="14">
        <v>5</v>
      </c>
      <c r="B1867" s="15">
        <v>58</v>
      </c>
      <c r="C1867" s="15">
        <v>581</v>
      </c>
      <c r="D1867" s="74">
        <v>5811</v>
      </c>
      <c r="E1867" s="14">
        <v>58113</v>
      </c>
      <c r="F1867" s="16" t="s">
        <v>1537</v>
      </c>
      <c r="G1867" s="21" t="s">
        <v>298</v>
      </c>
      <c r="H1867" s="17" t="s">
        <v>38</v>
      </c>
      <c r="I1867" s="56">
        <v>0</v>
      </c>
      <c r="J1867" s="56">
        <f>30*2</f>
        <v>60</v>
      </c>
      <c r="K1867" s="56"/>
      <c r="L1867" s="56"/>
      <c r="M1867" s="56">
        <f t="shared" si="273"/>
        <v>60</v>
      </c>
      <c r="N1867" s="56">
        <f>IF(OR(H1867="",H1867="sif",H1867="PM"),0,VLOOKUP(H1867,[5]CU!$C$4:$H$255,6,FALSE))</f>
        <v>0.3133333333333333</v>
      </c>
      <c r="O1867" s="56">
        <f t="shared" si="287"/>
        <v>0</v>
      </c>
      <c r="P1867" s="56">
        <f t="shared" si="287"/>
        <v>18.799999999999997</v>
      </c>
      <c r="Q1867" s="56">
        <f t="shared" si="287"/>
        <v>0</v>
      </c>
      <c r="R1867" s="56">
        <f t="shared" si="287"/>
        <v>0</v>
      </c>
      <c r="S1867" s="56">
        <f>SUM(O1867:R1867)</f>
        <v>18.799999999999997</v>
      </c>
      <c r="T1867" s="35" t="s">
        <v>39</v>
      </c>
      <c r="U1867" s="19" t="s">
        <v>1873</v>
      </c>
      <c r="V1867" s="19" t="str">
        <f>IF(OR($H1867="",$H1867="sif",$H1867="PM"),"",VLOOKUP($H1867,[5]CU!$C$5:$J$255,8,FALSE))</f>
        <v>3. Formation</v>
      </c>
      <c r="W1867" s="19" t="s">
        <v>255</v>
      </c>
      <c r="X1867" s="19" t="s">
        <v>255</v>
      </c>
      <c r="Y1867" s="19" t="s">
        <v>32</v>
      </c>
      <c r="Z1867" s="19" t="str">
        <f>A1867 &amp; "-" &amp; VLOOKUP(A1867,[4]PROGRAMMES!$E$1:$F$7,2,FALSE)</f>
        <v>5-Gouvernance et pilotage du secteur</v>
      </c>
      <c r="AA1867" s="19" t="str">
        <f>B1867 &amp; "-" &amp; VLOOKUP(B1867,[4]SOUSPROGRAMMES!$E$1:$F$44,2,FALSE)</f>
        <v>58- Renforcement des compétences de l’administration (cadre normatif, poste-profil, évaluation, équipement, formations…)</v>
      </c>
      <c r="AB1867" s="19" t="str">
        <f>C1867 &amp; "-" &amp; VLOOKUP(C1867,[4]RESULTATS!$E$1:$F$176,2,FALSE)</f>
        <v xml:space="preserve">581- Les cadres organiques des différentes structures sont redéfinis pour que leur efficacité s’améliore </v>
      </c>
      <c r="AC1867" s="20" t="str">
        <f>D1867 &amp; "-" &amp; VLOOKUP(D1867,[4]STRATEGIES!$E$1:$F$504,2,FALSE)</f>
        <v>5811-Évaluation des forces et faiblesses des cadres organiques à tous les niveaux</v>
      </c>
      <c r="AD1867" s="21" t="str">
        <f t="shared" si="286"/>
        <v>58113-Validation des résultats de l'étude</v>
      </c>
    </row>
    <row r="1868" spans="1:30" s="22" customFormat="1" ht="61" hidden="1" x14ac:dyDescent="0.8">
      <c r="A1868" s="14">
        <v>5</v>
      </c>
      <c r="B1868" s="15">
        <v>58</v>
      </c>
      <c r="C1868" s="15">
        <v>581</v>
      </c>
      <c r="D1868" s="74">
        <v>5811</v>
      </c>
      <c r="E1868" s="14">
        <v>58114</v>
      </c>
      <c r="F1868" s="16" t="s">
        <v>2328</v>
      </c>
      <c r="G1868" s="21" t="s">
        <v>92</v>
      </c>
      <c r="H1868" s="17" t="s">
        <v>55</v>
      </c>
      <c r="I1868" s="56">
        <v>0</v>
      </c>
      <c r="J1868" s="56">
        <v>1</v>
      </c>
      <c r="K1868" s="56">
        <v>1</v>
      </c>
      <c r="L1868" s="56"/>
      <c r="M1868" s="56">
        <f t="shared" si="273"/>
        <v>2</v>
      </c>
      <c r="N1868" s="56">
        <f>IF(OR(H1868="",H1868="sif",H1868="PM"),0,VLOOKUP(H1868,[5]CU!$C$4:$H$255,6,FALSE))</f>
        <v>0</v>
      </c>
      <c r="O1868" s="56"/>
      <c r="P1868" s="56"/>
      <c r="Q1868" s="56"/>
      <c r="R1868" s="56"/>
      <c r="S1868" s="56"/>
      <c r="T1868" s="35" t="s">
        <v>56</v>
      </c>
      <c r="U1868" s="18" t="s">
        <v>1873</v>
      </c>
      <c r="V1868" s="19" t="str">
        <f>IF(OR($H1868="",$H1868="sif",$H1868="PM"),"",VLOOKUP($H1868,[5]CU!$C$5:$J$255,8,FALSE))</f>
        <v/>
      </c>
      <c r="W1868" s="18" t="s">
        <v>255</v>
      </c>
      <c r="X1868" s="18" t="s">
        <v>255</v>
      </c>
      <c r="Y1868" s="19" t="s">
        <v>32</v>
      </c>
      <c r="Z1868" s="19" t="str">
        <f>A1868 &amp; "-" &amp; VLOOKUP(A1868,[4]PROGRAMMES!$E$1:$F$7,2,FALSE)</f>
        <v>5-Gouvernance et pilotage du secteur</v>
      </c>
      <c r="AA1868" s="19" t="str">
        <f>B1868 &amp; "-" &amp; VLOOKUP(B1868,[4]SOUSPROGRAMMES!$E$1:$F$44,2,FALSE)</f>
        <v>58- Renforcement des compétences de l’administration (cadre normatif, poste-profil, évaluation, équipement, formations…)</v>
      </c>
      <c r="AB1868" s="19" t="str">
        <f>C1868 &amp; "-" &amp; VLOOKUP(C1868,[4]RESULTATS!$E$1:$F$176,2,FALSE)</f>
        <v xml:space="preserve">581- Les cadres organiques des différentes structures sont redéfinis pour que leur efficacité s’améliore </v>
      </c>
      <c r="AC1868" s="20" t="str">
        <f>D1868 &amp; "-" &amp; VLOOKUP(D1868,[4]STRATEGIES!$E$1:$F$504,2,FALSE)</f>
        <v>5811-Évaluation des forces et faiblesses des cadres organiques à tous les niveaux</v>
      </c>
      <c r="AD1868" s="21" t="str">
        <f t="shared" si="286"/>
        <v>58114-travaux sur la révision du cadre organique en fonction des recommandations de l'état des lieux (pris en compte dans activité 58112)</v>
      </c>
    </row>
    <row r="1869" spans="1:30" s="22" customFormat="1" ht="61" x14ac:dyDescent="0.8">
      <c r="A1869" s="14">
        <v>5</v>
      </c>
      <c r="B1869" s="15">
        <v>58</v>
      </c>
      <c r="C1869" s="15">
        <v>581</v>
      </c>
      <c r="D1869" s="74">
        <v>5812</v>
      </c>
      <c r="E1869" s="14">
        <v>5812</v>
      </c>
      <c r="F1869" s="16" t="s">
        <v>2329</v>
      </c>
      <c r="G1869" s="17"/>
      <c r="H1869" s="17"/>
      <c r="I1869" s="56">
        <v>0</v>
      </c>
      <c r="J1869" s="56"/>
      <c r="K1869" s="56"/>
      <c r="L1869" s="56"/>
      <c r="M1869" s="56"/>
      <c r="N1869" s="56"/>
      <c r="O1869" s="56"/>
      <c r="P1869" s="56"/>
      <c r="Q1869" s="56"/>
      <c r="R1869" s="56"/>
      <c r="S1869" s="56"/>
      <c r="T1869" s="33"/>
      <c r="U1869" s="18"/>
      <c r="V1869" s="19"/>
      <c r="W1869" s="18"/>
      <c r="X1869" s="18"/>
      <c r="Y1869" s="18"/>
      <c r="Z1869" s="19" t="str">
        <f>A1869 &amp; "-" &amp; VLOOKUP(A1869,[4]PROGRAMMES!$E$1:$F$7,2,FALSE)</f>
        <v>5-Gouvernance et pilotage du secteur</v>
      </c>
      <c r="AA1869" s="19" t="str">
        <f>B1869 &amp; "-" &amp; VLOOKUP(B1869,[4]SOUSPROGRAMMES!$E$1:$F$44,2,FALSE)</f>
        <v>58- Renforcement des compétences de l’administration (cadre normatif, poste-profil, évaluation, équipement, formations…)</v>
      </c>
      <c r="AB1869" s="19" t="str">
        <f>C1869 &amp; "-" &amp; VLOOKUP(C1869,[4]RESULTATS!$E$1:$F$176,2,FALSE)</f>
        <v xml:space="preserve">581- Les cadres organiques des différentes structures sont redéfinis pour que leur efficacité s’améliore </v>
      </c>
      <c r="AC1869" s="20" t="str">
        <f>D1869 &amp; "-" &amp; VLOOKUP(D1869,[4]STRATEGIES!$E$1:$F$504,2,FALSE)</f>
        <v>5812-Développement des cadres organiques adaptés (mission, attributions, organisation, nombre et profil de postes…)</v>
      </c>
      <c r="AD1869" s="21" t="str">
        <f t="shared" si="286"/>
        <v>5812-Développement des cadres organiques adaptés (mission, attributions, organisation, nombre et profil de postes…)</v>
      </c>
    </row>
    <row r="1870" spans="1:30" s="22" customFormat="1" ht="61" hidden="1" x14ac:dyDescent="0.8">
      <c r="A1870" s="14">
        <v>5</v>
      </c>
      <c r="B1870" s="15">
        <v>58</v>
      </c>
      <c r="C1870" s="15">
        <v>581</v>
      </c>
      <c r="D1870" s="74">
        <v>5812</v>
      </c>
      <c r="E1870" s="14">
        <v>58121</v>
      </c>
      <c r="F1870" s="16" t="s">
        <v>2330</v>
      </c>
      <c r="G1870" s="21" t="s">
        <v>660</v>
      </c>
      <c r="H1870" s="17" t="s">
        <v>55</v>
      </c>
      <c r="I1870" s="56">
        <v>0</v>
      </c>
      <c r="J1870" s="56"/>
      <c r="K1870" s="56">
        <v>1</v>
      </c>
      <c r="L1870" s="56"/>
      <c r="M1870" s="56">
        <f t="shared" si="273"/>
        <v>1</v>
      </c>
      <c r="N1870" s="56">
        <f>IF(OR(H1870="",H1870="sif",H1870="PM"),0,VLOOKUP(H1870,[5]CU!$C$4:$H$255,6,FALSE))</f>
        <v>0</v>
      </c>
      <c r="O1870" s="56"/>
      <c r="P1870" s="56"/>
      <c r="Q1870" s="56"/>
      <c r="R1870" s="56"/>
      <c r="S1870" s="56"/>
      <c r="T1870" s="35" t="s">
        <v>56</v>
      </c>
      <c r="U1870" s="18" t="s">
        <v>1873</v>
      </c>
      <c r="V1870" s="19" t="str">
        <f>IF(OR($H1870="",$H1870="sif",$H1870="PM"),"",VLOOKUP($H1870,[5]CU!$C$5:$J$255,8,FALSE))</f>
        <v/>
      </c>
      <c r="W1870" s="18" t="s">
        <v>255</v>
      </c>
      <c r="X1870" s="18" t="s">
        <v>255</v>
      </c>
      <c r="Y1870" s="19" t="s">
        <v>32</v>
      </c>
      <c r="Z1870" s="19" t="str">
        <f>A1870 &amp; "-" &amp; VLOOKUP(A1870,[4]PROGRAMMES!$E$1:$F$7,2,FALSE)</f>
        <v>5-Gouvernance et pilotage du secteur</v>
      </c>
      <c r="AA1870" s="19" t="str">
        <f>B1870 &amp; "-" &amp; VLOOKUP(B1870,[4]SOUSPROGRAMMES!$E$1:$F$44,2,FALSE)</f>
        <v>58- Renforcement des compétences de l’administration (cadre normatif, poste-profil, évaluation, équipement, formations…)</v>
      </c>
      <c r="AB1870" s="19" t="str">
        <f>C1870 &amp; "-" &amp; VLOOKUP(C1870,[4]RESULTATS!$E$1:$F$176,2,FALSE)</f>
        <v xml:space="preserve">581- Les cadres organiques des différentes structures sont redéfinis pour que leur efficacité s’améliore </v>
      </c>
      <c r="AC1870" s="20" t="str">
        <f>D1870 &amp; "-" &amp; VLOOKUP(D1870,[4]STRATEGIES!$E$1:$F$504,2,FALSE)</f>
        <v>5812-Développement des cadres organiques adaptés (mission, attributions, organisation, nombre et profil de postes…)</v>
      </c>
      <c r="AD1870" s="21" t="str">
        <f t="shared" si="286"/>
        <v>58121-Adoption et publication d'actes administratifs sur les nouveaux cadres</v>
      </c>
    </row>
    <row r="1871" spans="1:30" s="22" customFormat="1" ht="61" hidden="1" x14ac:dyDescent="0.8">
      <c r="A1871" s="14">
        <v>5</v>
      </c>
      <c r="B1871" s="15">
        <v>58</v>
      </c>
      <c r="C1871" s="15">
        <v>581</v>
      </c>
      <c r="D1871" s="74">
        <v>5812</v>
      </c>
      <c r="E1871" s="14">
        <v>58122</v>
      </c>
      <c r="F1871" s="16" t="s">
        <v>2331</v>
      </c>
      <c r="G1871" s="21" t="s">
        <v>92</v>
      </c>
      <c r="H1871" s="17" t="s">
        <v>55</v>
      </c>
      <c r="I1871" s="56">
        <v>0</v>
      </c>
      <c r="J1871" s="56"/>
      <c r="K1871" s="56">
        <v>1</v>
      </c>
      <c r="L1871" s="56"/>
      <c r="M1871" s="56">
        <f t="shared" si="273"/>
        <v>1</v>
      </c>
      <c r="N1871" s="56">
        <f>IF(OR(H1871="",H1871="sif",H1871="PM"),0,VLOOKUP(H1871,[5]CU!$C$4:$H$255,6,FALSE))</f>
        <v>0</v>
      </c>
      <c r="O1871" s="56"/>
      <c r="P1871" s="56"/>
      <c r="Q1871" s="56"/>
      <c r="R1871" s="56"/>
      <c r="S1871" s="56"/>
      <c r="T1871" s="35" t="s">
        <v>56</v>
      </c>
      <c r="U1871" s="18" t="s">
        <v>1873</v>
      </c>
      <c r="V1871" s="19" t="str">
        <f>IF(OR($H1871="",$H1871="sif",$H1871="PM"),"",VLOOKUP($H1871,[5]CU!$C$5:$J$255,8,FALSE))</f>
        <v/>
      </c>
      <c r="W1871" s="18" t="s">
        <v>255</v>
      </c>
      <c r="X1871" s="18" t="s">
        <v>255</v>
      </c>
      <c r="Y1871" s="19" t="s">
        <v>32</v>
      </c>
      <c r="Z1871" s="19" t="str">
        <f>A1871 &amp; "-" &amp; VLOOKUP(A1871,[4]PROGRAMMES!$E$1:$F$7,2,FALSE)</f>
        <v>5-Gouvernance et pilotage du secteur</v>
      </c>
      <c r="AA1871" s="19" t="str">
        <f>B1871 &amp; "-" &amp; VLOOKUP(B1871,[4]SOUSPROGRAMMES!$E$1:$F$44,2,FALSE)</f>
        <v>58- Renforcement des compétences de l’administration (cadre normatif, poste-profil, évaluation, équipement, formations…)</v>
      </c>
      <c r="AB1871" s="19" t="str">
        <f>C1871 &amp; "-" &amp; VLOOKUP(C1871,[4]RESULTATS!$E$1:$F$176,2,FALSE)</f>
        <v xml:space="preserve">581- Les cadres organiques des différentes structures sont redéfinis pour que leur efficacité s’améliore </v>
      </c>
      <c r="AC1871" s="20" t="str">
        <f>D1871 &amp; "-" &amp; VLOOKUP(D1871,[4]STRATEGIES!$E$1:$F$504,2,FALSE)</f>
        <v>5812-Développement des cadres organiques adaptés (mission, attributions, organisation, nombre et profil de postes…)</v>
      </c>
      <c r="AD1871" s="21" t="str">
        <f t="shared" si="286"/>
        <v>58122-Adaptation des manuels de procédures aux nouveaux cadres organiques (pris en compte dans 58112)</v>
      </c>
    </row>
    <row r="1872" spans="1:30" s="22" customFormat="1" ht="61" hidden="1" x14ac:dyDescent="0.8">
      <c r="A1872" s="14">
        <v>5</v>
      </c>
      <c r="B1872" s="15">
        <v>58</v>
      </c>
      <c r="C1872" s="15">
        <v>581</v>
      </c>
      <c r="D1872" s="74">
        <v>5812</v>
      </c>
      <c r="E1872" s="14">
        <v>58123</v>
      </c>
      <c r="F1872" s="16" t="s">
        <v>2332</v>
      </c>
      <c r="G1872" s="21" t="s">
        <v>88</v>
      </c>
      <c r="H1872" s="17" t="s">
        <v>55</v>
      </c>
      <c r="I1872" s="56">
        <v>0</v>
      </c>
      <c r="J1872" s="56">
        <v>0</v>
      </c>
      <c r="K1872" s="56">
        <v>1</v>
      </c>
      <c r="L1872" s="56">
        <v>0</v>
      </c>
      <c r="M1872" s="56">
        <f t="shared" si="273"/>
        <v>1</v>
      </c>
      <c r="N1872" s="56">
        <f>IF(OR(H1872="",H1872="sif",H1872="PM"),0,VLOOKUP(H1872,[5]CU!$C$4:$H$255,6,FALSE))</f>
        <v>0</v>
      </c>
      <c r="O1872" s="56"/>
      <c r="P1872" s="56"/>
      <c r="Q1872" s="56"/>
      <c r="R1872" s="56"/>
      <c r="S1872" s="56"/>
      <c r="T1872" s="35" t="s">
        <v>56</v>
      </c>
      <c r="U1872" s="18" t="s">
        <v>1873</v>
      </c>
      <c r="V1872" s="19" t="str">
        <f>IF(OR($H1872="",$H1872="sif",$H1872="PM"),"",VLOOKUP($H1872,[5]CU!$C$5:$J$255,8,FALSE))</f>
        <v/>
      </c>
      <c r="W1872" s="18" t="s">
        <v>254</v>
      </c>
      <c r="X1872" s="18" t="s">
        <v>254</v>
      </c>
      <c r="Y1872" s="19" t="s">
        <v>32</v>
      </c>
      <c r="Z1872" s="19" t="str">
        <f>A1872 &amp; "-" &amp; VLOOKUP(A1872,[4]PROGRAMMES!$E$1:$F$7,2,FALSE)</f>
        <v>5-Gouvernance et pilotage du secteur</v>
      </c>
      <c r="AA1872" s="19" t="str">
        <f>B1872 &amp; "-" &amp; VLOOKUP(B1872,[4]SOUSPROGRAMMES!$E$1:$F$44,2,FALSE)</f>
        <v>58- Renforcement des compétences de l’administration (cadre normatif, poste-profil, évaluation, équipement, formations…)</v>
      </c>
      <c r="AB1872" s="19" t="str">
        <f>C1872 &amp; "-" &amp; VLOOKUP(C1872,[4]RESULTATS!$E$1:$F$176,2,FALSE)</f>
        <v xml:space="preserve">581- Les cadres organiques des différentes structures sont redéfinis pour que leur efficacité s’améliore </v>
      </c>
      <c r="AC1872" s="20" t="str">
        <f>D1872 &amp; "-" &amp; VLOOKUP(D1872,[4]STRATEGIES!$E$1:$F$504,2,FALSE)</f>
        <v>5812-Développement des cadres organiques adaptés (mission, attributions, organisation, nombre et profil de postes…)</v>
      </c>
      <c r="AD1872" s="21" t="str">
        <f t="shared" si="286"/>
        <v>58123-Ameublement des cadres organiques</v>
      </c>
    </row>
    <row r="1873" spans="1:30" s="22" customFormat="1" ht="61" hidden="1" x14ac:dyDescent="0.8">
      <c r="A1873" s="14">
        <v>5</v>
      </c>
      <c r="B1873" s="15">
        <v>58</v>
      </c>
      <c r="C1873" s="15">
        <v>581</v>
      </c>
      <c r="D1873" s="74">
        <v>5812</v>
      </c>
      <c r="E1873" s="14">
        <v>58124</v>
      </c>
      <c r="F1873" s="16" t="s">
        <v>2333</v>
      </c>
      <c r="G1873" s="21" t="s">
        <v>660</v>
      </c>
      <c r="H1873" s="17" t="s">
        <v>55</v>
      </c>
      <c r="I1873" s="56">
        <v>0</v>
      </c>
      <c r="J1873" s="56"/>
      <c r="K1873" s="56">
        <v>1</v>
      </c>
      <c r="L1873" s="56"/>
      <c r="M1873" s="56">
        <f t="shared" si="273"/>
        <v>1</v>
      </c>
      <c r="N1873" s="56">
        <f>IF(OR(H1873="",H1873="sif",H1873="PM"),0,VLOOKUP(H1873,[5]CU!$C$4:$H$255,6,FALSE))</f>
        <v>0</v>
      </c>
      <c r="O1873" s="56"/>
      <c r="P1873" s="56"/>
      <c r="Q1873" s="56"/>
      <c r="R1873" s="56"/>
      <c r="S1873" s="56"/>
      <c r="T1873" s="35" t="s">
        <v>56</v>
      </c>
      <c r="U1873" s="18" t="s">
        <v>1873</v>
      </c>
      <c r="V1873" s="19" t="str">
        <f>IF(OR($H1873="",$H1873="sif",$H1873="PM"),"",VLOOKUP($H1873,[5]CU!$C$5:$J$255,8,FALSE))</f>
        <v/>
      </c>
      <c r="W1873" s="18" t="s">
        <v>2334</v>
      </c>
      <c r="X1873" s="18" t="s">
        <v>1607</v>
      </c>
      <c r="Y1873" s="18" t="s">
        <v>679</v>
      </c>
      <c r="Z1873" s="19" t="str">
        <f>A1873 &amp; "-" &amp; VLOOKUP(A1873,[4]PROGRAMMES!$E$1:$F$7,2,FALSE)</f>
        <v>5-Gouvernance et pilotage du secteur</v>
      </c>
      <c r="AA1873" s="19" t="str">
        <f>B1873 &amp; "-" &amp; VLOOKUP(B1873,[4]SOUSPROGRAMMES!$E$1:$F$44,2,FALSE)</f>
        <v>58- Renforcement des compétences de l’administration (cadre normatif, poste-profil, évaluation, équipement, formations…)</v>
      </c>
      <c r="AB1873" s="19" t="str">
        <f>C1873 &amp; "-" &amp; VLOOKUP(C1873,[4]RESULTATS!$E$1:$F$176,2,FALSE)</f>
        <v xml:space="preserve">581- Les cadres organiques des différentes structures sont redéfinis pour que leur efficacité s’améliore </v>
      </c>
      <c r="AC1873" s="20" t="str">
        <f>D1873 &amp; "-" &amp; VLOOKUP(D1873,[4]STRATEGIES!$E$1:$F$504,2,FALSE)</f>
        <v>5812-Développement des cadres organiques adaptés (mission, attributions, organisation, nombre et profil de postes…)</v>
      </c>
      <c r="AD1873" s="21" t="str">
        <f t="shared" si="286"/>
        <v>58124-Elaboration d'un texte réglementant les relations entre les universités et les communautés</v>
      </c>
    </row>
    <row r="1874" spans="1:30" s="22" customFormat="1" ht="61" x14ac:dyDescent="0.8">
      <c r="A1874" s="14">
        <v>5</v>
      </c>
      <c r="B1874" s="15">
        <v>58</v>
      </c>
      <c r="C1874" s="15">
        <v>581</v>
      </c>
      <c r="D1874" s="74">
        <v>5812</v>
      </c>
      <c r="E1874" s="14">
        <v>58125</v>
      </c>
      <c r="F1874" s="16" t="s">
        <v>2335</v>
      </c>
      <c r="G1874" s="21" t="s">
        <v>298</v>
      </c>
      <c r="H1874" s="17" t="s">
        <v>66</v>
      </c>
      <c r="I1874" s="56">
        <v>0</v>
      </c>
      <c r="J1874" s="56">
        <f>15*10</f>
        <v>150</v>
      </c>
      <c r="K1874" s="56"/>
      <c r="L1874" s="56"/>
      <c r="M1874" s="56">
        <f t="shared" si="273"/>
        <v>150</v>
      </c>
      <c r="N1874" s="56">
        <f>IF(OR(H1874="",H1874="sif",H1874="PM"),0,VLOOKUP(H1874,[5]CU!$C$4:$H$255,6,FALSE))</f>
        <v>0.255</v>
      </c>
      <c r="O1874" s="56">
        <f>$N1874*I1874</f>
        <v>0</v>
      </c>
      <c r="P1874" s="56">
        <f>$N1874*J1874</f>
        <v>38.25</v>
      </c>
      <c r="Q1874" s="56">
        <f>$N1874*K1874</f>
        <v>0</v>
      </c>
      <c r="R1874" s="56">
        <f>$N1874*L1874</f>
        <v>0</v>
      </c>
      <c r="S1874" s="56">
        <f>SUM(O1874:R1874)</f>
        <v>38.25</v>
      </c>
      <c r="T1874" s="35" t="s">
        <v>118</v>
      </c>
      <c r="U1874" s="18" t="s">
        <v>1873</v>
      </c>
      <c r="V1874" s="19" t="str">
        <f>IF(OR($H1874="",$H1874="sif",$H1874="PM"),"",VLOOKUP($H1874,[5]CU!$C$5:$J$255,8,FALSE))</f>
        <v>3. Dépenses de fonctionnement</v>
      </c>
      <c r="W1874" s="18" t="s">
        <v>255</v>
      </c>
      <c r="X1874" s="18" t="s">
        <v>255</v>
      </c>
      <c r="Y1874" s="19" t="s">
        <v>32</v>
      </c>
      <c r="Z1874" s="19" t="str">
        <f>A1874 &amp; "-" &amp; VLOOKUP(A1874,[4]PROGRAMMES!$E$1:$F$7,2,FALSE)</f>
        <v>5-Gouvernance et pilotage du secteur</v>
      </c>
      <c r="AA1874" s="19" t="str">
        <f>B1874 &amp; "-" &amp; VLOOKUP(B1874,[4]SOUSPROGRAMMES!$E$1:$F$44,2,FALSE)</f>
        <v>58- Renforcement des compétences de l’administration (cadre normatif, poste-profil, évaluation, équipement, formations…)</v>
      </c>
      <c r="AB1874" s="19" t="str">
        <f>C1874 &amp; "-" &amp; VLOOKUP(C1874,[4]RESULTATS!$E$1:$F$176,2,FALSE)</f>
        <v xml:space="preserve">581- Les cadres organiques des différentes structures sont redéfinis pour que leur efficacité s’améliore </v>
      </c>
      <c r="AC1874" s="20" t="str">
        <f>D1874 &amp; "-" &amp; VLOOKUP(D1874,[4]STRATEGIES!$E$1:$F$504,2,FALSE)</f>
        <v>5812-Développement des cadres organiques adaptés (mission, attributions, organisation, nombre et profil de postes…)</v>
      </c>
      <c r="AD1874" s="21" t="str">
        <f t="shared" si="286"/>
        <v>58125-Mise à jour des textes règlementant la création, l'ouverture et le fonctionnement des établissements privés pré-universitaires</v>
      </c>
    </row>
    <row r="1875" spans="1:30" s="22" customFormat="1" ht="61" hidden="1" x14ac:dyDescent="0.8">
      <c r="A1875" s="14">
        <v>5</v>
      </c>
      <c r="B1875" s="15">
        <v>58</v>
      </c>
      <c r="C1875" s="15">
        <v>581</v>
      </c>
      <c r="D1875" s="74">
        <v>5812</v>
      </c>
      <c r="E1875" s="14">
        <v>58126</v>
      </c>
      <c r="F1875" s="16" t="s">
        <v>2336</v>
      </c>
      <c r="G1875" s="21" t="s">
        <v>88</v>
      </c>
      <c r="H1875" s="17" t="s">
        <v>55</v>
      </c>
      <c r="I1875" s="56">
        <v>0</v>
      </c>
      <c r="J1875" s="56">
        <v>1</v>
      </c>
      <c r="K1875" s="56">
        <v>0</v>
      </c>
      <c r="L1875" s="56">
        <v>0</v>
      </c>
      <c r="M1875" s="56">
        <f t="shared" si="273"/>
        <v>1</v>
      </c>
      <c r="N1875" s="56">
        <f>IF(OR(H1875="",H1875="sif",H1875="PM"),0,VLOOKUP(H1875,[5]CU!$C$4:$H$255,6,FALSE))</f>
        <v>0</v>
      </c>
      <c r="O1875" s="56"/>
      <c r="P1875" s="56"/>
      <c r="Q1875" s="56"/>
      <c r="R1875" s="56"/>
      <c r="S1875" s="56"/>
      <c r="T1875" s="35" t="s">
        <v>56</v>
      </c>
      <c r="U1875" s="18" t="s">
        <v>1873</v>
      </c>
      <c r="V1875" s="19" t="str">
        <f>IF(OR($H1875="",$H1875="sif",$H1875="PM"),"",VLOOKUP($H1875,[5]CU!$C$5:$J$255,8,FALSE))</f>
        <v/>
      </c>
      <c r="W1875" s="18" t="s">
        <v>255</v>
      </c>
      <c r="X1875" s="18" t="s">
        <v>255</v>
      </c>
      <c r="Y1875" s="19" t="s">
        <v>32</v>
      </c>
      <c r="Z1875" s="19" t="str">
        <f>A1875 &amp; "-" &amp; VLOOKUP(A1875,[4]PROGRAMMES!$E$1:$F$7,2,FALSE)</f>
        <v>5-Gouvernance et pilotage du secteur</v>
      </c>
      <c r="AA1875" s="19" t="str">
        <f>B1875 &amp; "-" &amp; VLOOKUP(B1875,[4]SOUSPROGRAMMES!$E$1:$F$44,2,FALSE)</f>
        <v>58- Renforcement des compétences de l’administration (cadre normatif, poste-profil, évaluation, équipement, formations…)</v>
      </c>
      <c r="AB1875" s="19" t="str">
        <f>C1875 &amp; "-" &amp; VLOOKUP(C1875,[4]RESULTATS!$E$1:$F$176,2,FALSE)</f>
        <v xml:space="preserve">581- Les cadres organiques des différentes structures sont redéfinis pour que leur efficacité s’améliore </v>
      </c>
      <c r="AC1875" s="20" t="str">
        <f>D1875 &amp; "-" &amp; VLOOKUP(D1875,[4]STRATEGIES!$E$1:$F$504,2,FALSE)</f>
        <v>5812-Développement des cadres organiques adaptés (mission, attributions, organisation, nombre et profil de postes…)</v>
      </c>
      <c r="AD1875" s="21" t="str">
        <f t="shared" si="286"/>
        <v>58126-Adoption du texte sur les établissements privés</v>
      </c>
    </row>
    <row r="1876" spans="1:30" s="22" customFormat="1" ht="61" x14ac:dyDescent="0.8">
      <c r="A1876" s="14">
        <v>5</v>
      </c>
      <c r="B1876" s="15">
        <v>58</v>
      </c>
      <c r="C1876" s="15">
        <v>581</v>
      </c>
      <c r="D1876" s="74">
        <v>5812</v>
      </c>
      <c r="E1876" s="14">
        <v>58127</v>
      </c>
      <c r="F1876" s="16" t="s">
        <v>2337</v>
      </c>
      <c r="G1876" s="21" t="s">
        <v>2338</v>
      </c>
      <c r="H1876" s="17" t="s">
        <v>38</v>
      </c>
      <c r="I1876" s="56">
        <v>0</v>
      </c>
      <c r="J1876" s="56">
        <f>100*2</f>
        <v>200</v>
      </c>
      <c r="K1876" s="56"/>
      <c r="L1876" s="56"/>
      <c r="M1876" s="56">
        <f t="shared" si="273"/>
        <v>200</v>
      </c>
      <c r="N1876" s="56">
        <f>IF(OR(H1876="",H1876="sif",H1876="PM"),0,VLOOKUP(H1876,[5]CU!$C$4:$H$255,6,FALSE))</f>
        <v>0.3133333333333333</v>
      </c>
      <c r="O1876" s="56">
        <f t="shared" ref="O1876:R1879" si="288">$N1876*I1876</f>
        <v>0</v>
      </c>
      <c r="P1876" s="56">
        <f t="shared" si="288"/>
        <v>62.666666666666657</v>
      </c>
      <c r="Q1876" s="56">
        <f t="shared" si="288"/>
        <v>0</v>
      </c>
      <c r="R1876" s="56">
        <f t="shared" si="288"/>
        <v>0</v>
      </c>
      <c r="S1876" s="56">
        <f>SUM(O1876:R1876)</f>
        <v>62.666666666666657</v>
      </c>
      <c r="T1876" s="35" t="s">
        <v>118</v>
      </c>
      <c r="U1876" s="18" t="s">
        <v>1873</v>
      </c>
      <c r="V1876" s="19" t="str">
        <f>IF(OR($H1876="",$H1876="sif",$H1876="PM"),"",VLOOKUP($H1876,[5]CU!$C$5:$J$255,8,FALSE))</f>
        <v>3. Formation</v>
      </c>
      <c r="W1876" s="18" t="s">
        <v>255</v>
      </c>
      <c r="X1876" s="18" t="s">
        <v>255</v>
      </c>
      <c r="Y1876" s="19" t="s">
        <v>32</v>
      </c>
      <c r="Z1876" s="19" t="str">
        <f>A1876 &amp; "-" &amp; VLOOKUP(A1876,[4]PROGRAMMES!$E$1:$F$7,2,FALSE)</f>
        <v>5-Gouvernance et pilotage du secteur</v>
      </c>
      <c r="AA1876" s="19" t="str">
        <f>B1876 &amp; "-" &amp; VLOOKUP(B1876,[4]SOUSPROGRAMMES!$E$1:$F$44,2,FALSE)</f>
        <v>58- Renforcement des compétences de l’administration (cadre normatif, poste-profil, évaluation, équipement, formations…)</v>
      </c>
      <c r="AB1876" s="19" t="str">
        <f>C1876 &amp; "-" &amp; VLOOKUP(C1876,[4]RESULTATS!$E$1:$F$176,2,FALSE)</f>
        <v xml:space="preserve">581- Les cadres organiques des différentes structures sont redéfinis pour que leur efficacité s’améliore </v>
      </c>
      <c r="AC1876" s="20" t="str">
        <f>D1876 &amp; "-" &amp; VLOOKUP(D1876,[4]STRATEGIES!$E$1:$F$504,2,FALSE)</f>
        <v>5812-Développement des cadres organiques adaptés (mission, attributions, organisation, nombre et profil de postes…)</v>
      </c>
      <c r="AD1876" s="21" t="str">
        <f t="shared" si="286"/>
        <v>58127-Organisation d'un forum sur l'enseignement privé</v>
      </c>
    </row>
    <row r="1877" spans="1:30" s="22" customFormat="1" ht="61" x14ac:dyDescent="0.8">
      <c r="A1877" s="14">
        <v>5</v>
      </c>
      <c r="B1877" s="15">
        <v>58</v>
      </c>
      <c r="C1877" s="15">
        <v>581</v>
      </c>
      <c r="D1877" s="74">
        <v>5813</v>
      </c>
      <c r="E1877" s="14">
        <v>5813</v>
      </c>
      <c r="F1877" s="16" t="s">
        <v>2339</v>
      </c>
      <c r="G1877" s="17"/>
      <c r="H1877" s="17"/>
      <c r="I1877" s="56">
        <v>0</v>
      </c>
      <c r="J1877" s="56"/>
      <c r="K1877" s="56"/>
      <c r="L1877" s="56"/>
      <c r="M1877" s="56"/>
      <c r="N1877" s="56"/>
      <c r="O1877" s="56"/>
      <c r="P1877" s="56"/>
      <c r="Q1877" s="56"/>
      <c r="R1877" s="56"/>
      <c r="S1877" s="56"/>
      <c r="T1877" s="33"/>
      <c r="U1877" s="18"/>
      <c r="V1877" s="19"/>
      <c r="W1877" s="18"/>
      <c r="X1877" s="18"/>
      <c r="Y1877" s="18"/>
      <c r="Z1877" s="19" t="str">
        <f>A1877 &amp; "-" &amp; VLOOKUP(A1877,[4]PROGRAMMES!$E$1:$F$7,2,FALSE)</f>
        <v>5-Gouvernance et pilotage du secteur</v>
      </c>
      <c r="AA1877" s="19" t="str">
        <f>B1877 &amp; "-" &amp; VLOOKUP(B1877,[4]SOUSPROGRAMMES!$E$1:$F$44,2,FALSE)</f>
        <v>58- Renforcement des compétences de l’administration (cadre normatif, poste-profil, évaluation, équipement, formations…)</v>
      </c>
      <c r="AB1877" s="19" t="str">
        <f>C1877 &amp; "-" &amp; VLOOKUP(C1877,[4]RESULTATS!$E$1:$F$176,2,FALSE)</f>
        <v xml:space="preserve">581- Les cadres organiques des différentes structures sont redéfinis pour que leur efficacité s’améliore </v>
      </c>
      <c r="AC1877" s="20" t="str">
        <f>D1877 &amp; "-" &amp; VLOOKUP(D1877,[4]STRATEGIES!$E$1:$F$504,2,FALSE)</f>
        <v>5813-Dissémination des cadres organiques et sensibilisation des acteurs concernés</v>
      </c>
      <c r="AD1877" s="21" t="str">
        <f t="shared" si="286"/>
        <v>5813-Dissémination des cadres organiques et sensibilisation des acteurs concernés</v>
      </c>
    </row>
    <row r="1878" spans="1:30" s="22" customFormat="1" ht="61" x14ac:dyDescent="0.8">
      <c r="A1878" s="14">
        <v>5</v>
      </c>
      <c r="B1878" s="15">
        <v>58</v>
      </c>
      <c r="C1878" s="15">
        <v>581</v>
      </c>
      <c r="D1878" s="74">
        <v>5813</v>
      </c>
      <c r="E1878" s="14">
        <v>58131</v>
      </c>
      <c r="F1878" s="16" t="s">
        <v>2340</v>
      </c>
      <c r="G1878" s="21" t="s">
        <v>44</v>
      </c>
      <c r="H1878" s="17" t="s">
        <v>452</v>
      </c>
      <c r="I1878" s="56">
        <v>0</v>
      </c>
      <c r="J1878" s="56">
        <f>(9+40)*100</f>
        <v>4900</v>
      </c>
      <c r="K1878" s="56"/>
      <c r="L1878" s="56"/>
      <c r="M1878" s="56">
        <f t="shared" si="273"/>
        <v>4900</v>
      </c>
      <c r="N1878" s="56">
        <f>IF(OR(H1878="",H1878="sif",H1878="PM"),0,VLOOKUP(H1878,[5]CU!$C$4:$H$255,6,FALSE))</f>
        <v>7.4999999999999997E-3</v>
      </c>
      <c r="O1878" s="56">
        <f t="shared" si="288"/>
        <v>0</v>
      </c>
      <c r="P1878" s="56">
        <f t="shared" si="288"/>
        <v>36.75</v>
      </c>
      <c r="Q1878" s="56">
        <f t="shared" si="288"/>
        <v>0</v>
      </c>
      <c r="R1878" s="56">
        <f t="shared" si="288"/>
        <v>0</v>
      </c>
      <c r="S1878" s="56">
        <f>SUM(O1878:R1878)</f>
        <v>36.75</v>
      </c>
      <c r="T1878" s="35" t="s">
        <v>118</v>
      </c>
      <c r="U1878" s="18" t="s">
        <v>1873</v>
      </c>
      <c r="V1878" s="19" t="str">
        <f>IF(OR($H1878="",$H1878="sif",$H1878="PM"),"",VLOOKUP($H1878,[5]CU!$C$5:$J$255,8,FALSE))</f>
        <v>3. Dépenses de fonctionnement</v>
      </c>
      <c r="W1878" s="18" t="s">
        <v>255</v>
      </c>
      <c r="X1878" s="18" t="s">
        <v>255</v>
      </c>
      <c r="Y1878" s="19" t="s">
        <v>32</v>
      </c>
      <c r="Z1878" s="19" t="str">
        <f>A1878 &amp; "-" &amp; VLOOKUP(A1878,[4]PROGRAMMES!$E$1:$F$7,2,FALSE)</f>
        <v>5-Gouvernance et pilotage du secteur</v>
      </c>
      <c r="AA1878" s="19" t="str">
        <f>B1878 &amp; "-" &amp; VLOOKUP(B1878,[4]SOUSPROGRAMMES!$E$1:$F$44,2,FALSE)</f>
        <v>58- Renforcement des compétences de l’administration (cadre normatif, poste-profil, évaluation, équipement, formations…)</v>
      </c>
      <c r="AB1878" s="19" t="str">
        <f>C1878 &amp; "-" &amp; VLOOKUP(C1878,[4]RESULTATS!$E$1:$F$176,2,FALSE)</f>
        <v xml:space="preserve">581- Les cadres organiques des différentes structures sont redéfinis pour que leur efficacité s’améliore </v>
      </c>
      <c r="AC1878" s="20" t="str">
        <f>D1878 &amp; "-" &amp; VLOOKUP(D1878,[4]STRATEGIES!$E$1:$F$504,2,FALSE)</f>
        <v>5813-Dissémination des cadres organiques et sensibilisation des acteurs concernés</v>
      </c>
      <c r="AD1878" s="21" t="str">
        <f t="shared" si="286"/>
        <v xml:space="preserve">58131-Reproduction des manuels de procédures </v>
      </c>
    </row>
    <row r="1879" spans="1:30" s="22" customFormat="1" ht="61" x14ac:dyDescent="0.8">
      <c r="A1879" s="14">
        <v>5</v>
      </c>
      <c r="B1879" s="15">
        <v>58</v>
      </c>
      <c r="C1879" s="15">
        <v>581</v>
      </c>
      <c r="D1879" s="74">
        <v>5813</v>
      </c>
      <c r="E1879" s="14">
        <v>58132</v>
      </c>
      <c r="F1879" s="16" t="s">
        <v>2341</v>
      </c>
      <c r="G1879" s="21" t="s">
        <v>315</v>
      </c>
      <c r="H1879" s="17" t="s">
        <v>59</v>
      </c>
      <c r="I1879" s="56">
        <v>0</v>
      </c>
      <c r="J1879" s="56">
        <f>(3*8*3)*3</f>
        <v>216</v>
      </c>
      <c r="K1879" s="56"/>
      <c r="L1879" s="56"/>
      <c r="M1879" s="56">
        <f t="shared" si="273"/>
        <v>216</v>
      </c>
      <c r="N1879" s="56">
        <f>IF(OR(H1879="",H1879="sif",H1879="PM"),0,VLOOKUP(H1879,[5]CU!$C$4:$H$255,6,FALSE))</f>
        <v>0.8177777777777776</v>
      </c>
      <c r="O1879" s="56">
        <f t="shared" si="288"/>
        <v>0</v>
      </c>
      <c r="P1879" s="56">
        <f t="shared" si="288"/>
        <v>176.63999999999996</v>
      </c>
      <c r="Q1879" s="56">
        <f t="shared" si="288"/>
        <v>0</v>
      </c>
      <c r="R1879" s="56">
        <f t="shared" si="288"/>
        <v>0</v>
      </c>
      <c r="S1879" s="56">
        <f>SUM(O1879:R1879)</f>
        <v>176.63999999999996</v>
      </c>
      <c r="T1879" s="35" t="s">
        <v>118</v>
      </c>
      <c r="U1879" s="18" t="s">
        <v>1873</v>
      </c>
      <c r="V1879" s="19" t="str">
        <f>IF(OR($H1879="",$H1879="sif",$H1879="PM"),"",VLOOKUP($H1879,[5]CU!$C$5:$J$255,8,FALSE))</f>
        <v>3. Dépenses de fonctionnement</v>
      </c>
      <c r="W1879" s="18" t="s">
        <v>255</v>
      </c>
      <c r="X1879" s="18" t="s">
        <v>255</v>
      </c>
      <c r="Y1879" s="19" t="s">
        <v>32</v>
      </c>
      <c r="Z1879" s="19" t="str">
        <f>A1879 &amp; "-" &amp; VLOOKUP(A1879,[4]PROGRAMMES!$E$1:$F$7,2,FALSE)</f>
        <v>5-Gouvernance et pilotage du secteur</v>
      </c>
      <c r="AA1879" s="19" t="str">
        <f>B1879 &amp; "-" &amp; VLOOKUP(B1879,[4]SOUSPROGRAMMES!$E$1:$F$44,2,FALSE)</f>
        <v>58- Renforcement des compétences de l’administration (cadre normatif, poste-profil, évaluation, équipement, formations…)</v>
      </c>
      <c r="AB1879" s="19" t="str">
        <f>C1879 &amp; "-" &amp; VLOOKUP(C1879,[4]RESULTATS!$E$1:$F$176,2,FALSE)</f>
        <v xml:space="preserve">581- Les cadres organiques des différentes structures sont redéfinis pour que leur efficacité s’améliore </v>
      </c>
      <c r="AC1879" s="20" t="str">
        <f>D1879 &amp; "-" &amp; VLOOKUP(D1879,[4]STRATEGIES!$E$1:$F$504,2,FALSE)</f>
        <v>5813-Dissémination des cadres organiques et sensibilisation des acteurs concernés</v>
      </c>
      <c r="AD1879" s="21" t="str">
        <f t="shared" si="286"/>
        <v>58132-Organisation de sessions de partage des manuels de procédures et remise des manuels</v>
      </c>
    </row>
    <row r="1880" spans="1:30" s="22" customFormat="1" ht="61" x14ac:dyDescent="0.8">
      <c r="A1880" s="14">
        <v>5</v>
      </c>
      <c r="B1880" s="15">
        <v>58</v>
      </c>
      <c r="C1880" s="15">
        <v>581</v>
      </c>
      <c r="D1880" s="74">
        <v>5814</v>
      </c>
      <c r="E1880" s="14">
        <v>5814</v>
      </c>
      <c r="F1880" s="16" t="s">
        <v>2342</v>
      </c>
      <c r="G1880" s="17"/>
      <c r="H1880" s="17"/>
      <c r="I1880" s="56">
        <v>0</v>
      </c>
      <c r="J1880" s="56"/>
      <c r="K1880" s="56"/>
      <c r="L1880" s="56"/>
      <c r="M1880" s="56"/>
      <c r="N1880" s="56"/>
      <c r="O1880" s="56"/>
      <c r="P1880" s="56"/>
      <c r="Q1880" s="56"/>
      <c r="R1880" s="56"/>
      <c r="S1880" s="56"/>
      <c r="T1880" s="33"/>
      <c r="U1880" s="18"/>
      <c r="V1880" s="19"/>
      <c r="W1880" s="18"/>
      <c r="X1880" s="18"/>
      <c r="Y1880" s="18"/>
      <c r="Z1880" s="19" t="str">
        <f>A1880 &amp; "-" &amp; VLOOKUP(A1880,[4]PROGRAMMES!$E$1:$F$7,2,FALSE)</f>
        <v>5-Gouvernance et pilotage du secteur</v>
      </c>
      <c r="AA1880" s="19" t="str">
        <f>B1880 &amp; "-" &amp; VLOOKUP(B1880,[4]SOUSPROGRAMMES!$E$1:$F$44,2,FALSE)</f>
        <v>58- Renforcement des compétences de l’administration (cadre normatif, poste-profil, évaluation, équipement, formations…)</v>
      </c>
      <c r="AB1880" s="19" t="str">
        <f>C1880 &amp; "-" &amp; VLOOKUP(C1880,[4]RESULTATS!$E$1:$F$176,2,FALSE)</f>
        <v xml:space="preserve">581- Les cadres organiques des différentes structures sont redéfinis pour que leur efficacité s’améliore </v>
      </c>
      <c r="AC1880" s="20" t="str">
        <f>D1880 &amp; "-" &amp; VLOOKUP(D1880,[4]STRATEGIES!$E$1:$F$504,2,FALSE)</f>
        <v>5814-Collecte et analyse périodique d’informations sur le respect des cadres organiques</v>
      </c>
      <c r="AD1880" s="21" t="str">
        <f t="shared" si="286"/>
        <v>5814-Collecte et analyse périodique d’informations sur le respect des cadres organiques</v>
      </c>
    </row>
    <row r="1881" spans="1:30" s="22" customFormat="1" ht="61" hidden="1" x14ac:dyDescent="0.8">
      <c r="A1881" s="14">
        <v>5</v>
      </c>
      <c r="B1881" s="15">
        <v>58</v>
      </c>
      <c r="C1881" s="15">
        <v>581</v>
      </c>
      <c r="D1881" s="74">
        <v>5814</v>
      </c>
      <c r="E1881" s="14">
        <v>58141</v>
      </c>
      <c r="F1881" s="16" t="s">
        <v>2343</v>
      </c>
      <c r="G1881" s="21" t="s">
        <v>88</v>
      </c>
      <c r="H1881" s="17" t="s">
        <v>55</v>
      </c>
      <c r="I1881" s="56">
        <v>0</v>
      </c>
      <c r="J1881" s="56"/>
      <c r="K1881" s="56">
        <v>1</v>
      </c>
      <c r="L1881" s="56">
        <v>1</v>
      </c>
      <c r="M1881" s="56">
        <f t="shared" si="273"/>
        <v>2</v>
      </c>
      <c r="N1881" s="56">
        <f>IF(OR(H1881="",H1881="sif",H1881="PM"),0,VLOOKUP(H1881,[5]CU!$C$4:$H$255,6,FALSE))</f>
        <v>0</v>
      </c>
      <c r="O1881" s="56"/>
      <c r="P1881" s="56"/>
      <c r="Q1881" s="56"/>
      <c r="R1881" s="56"/>
      <c r="S1881" s="56"/>
      <c r="T1881" s="35" t="s">
        <v>56</v>
      </c>
      <c r="U1881" s="18" t="s">
        <v>1873</v>
      </c>
      <c r="V1881" s="19" t="str">
        <f>IF(OR($H1881="",$H1881="sif",$H1881="PM"),"",VLOOKUP($H1881,[5]CU!$C$5:$J$255,8,FALSE))</f>
        <v/>
      </c>
      <c r="W1881" s="18" t="s">
        <v>273</v>
      </c>
      <c r="X1881" s="18" t="s">
        <v>273</v>
      </c>
      <c r="Y1881" s="19" t="s">
        <v>32</v>
      </c>
      <c r="Z1881" s="19" t="str">
        <f>A1881 &amp; "-" &amp; VLOOKUP(A1881,[4]PROGRAMMES!$E$1:$F$7,2,FALSE)</f>
        <v>5-Gouvernance et pilotage du secteur</v>
      </c>
      <c r="AA1881" s="19" t="str">
        <f>B1881 &amp; "-" &amp; VLOOKUP(B1881,[4]SOUSPROGRAMMES!$E$1:$F$44,2,FALSE)</f>
        <v>58- Renforcement des compétences de l’administration (cadre normatif, poste-profil, évaluation, équipement, formations…)</v>
      </c>
      <c r="AB1881" s="19" t="str">
        <f>C1881 &amp; "-" &amp; VLOOKUP(C1881,[4]RESULTATS!$E$1:$F$176,2,FALSE)</f>
        <v xml:space="preserve">581- Les cadres organiques des différentes structures sont redéfinis pour que leur efficacité s’améliore </v>
      </c>
      <c r="AC1881" s="20" t="str">
        <f>D1881 &amp; "-" &amp; VLOOKUP(D1881,[4]STRATEGIES!$E$1:$F$504,2,FALSE)</f>
        <v>5814-Collecte et analyse périodique d’informations sur le respect des cadres organiques</v>
      </c>
      <c r="AD1881" s="21" t="str">
        <f t="shared" si="286"/>
        <v>58141-Organisation d'inspections périodiques</v>
      </c>
    </row>
    <row r="1882" spans="1:30" s="22" customFormat="1" ht="61" hidden="1" x14ac:dyDescent="0.8">
      <c r="A1882" s="14">
        <v>5</v>
      </c>
      <c r="B1882" s="15">
        <v>58</v>
      </c>
      <c r="C1882" s="15">
        <v>581</v>
      </c>
      <c r="D1882" s="74">
        <v>5814</v>
      </c>
      <c r="E1882" s="14">
        <v>58142</v>
      </c>
      <c r="F1882" s="16" t="s">
        <v>2344</v>
      </c>
      <c r="G1882" s="21" t="s">
        <v>88</v>
      </c>
      <c r="H1882" s="17" t="s">
        <v>55</v>
      </c>
      <c r="I1882" s="56">
        <v>0</v>
      </c>
      <c r="J1882" s="56"/>
      <c r="K1882" s="56">
        <v>1</v>
      </c>
      <c r="L1882" s="56">
        <v>1</v>
      </c>
      <c r="M1882" s="56">
        <f t="shared" si="273"/>
        <v>2</v>
      </c>
      <c r="N1882" s="56">
        <f>IF(OR(H1882="",H1882="sif",H1882="PM"),0,VLOOKUP(H1882,[5]CU!$C$4:$H$255,6,FALSE))</f>
        <v>0</v>
      </c>
      <c r="O1882" s="56"/>
      <c r="P1882" s="56"/>
      <c r="Q1882" s="56"/>
      <c r="R1882" s="56"/>
      <c r="S1882" s="56"/>
      <c r="T1882" s="35" t="s">
        <v>56</v>
      </c>
      <c r="U1882" s="18" t="s">
        <v>1873</v>
      </c>
      <c r="V1882" s="19" t="str">
        <f>IF(OR($H1882="",$H1882="sif",$H1882="PM"),"",VLOOKUP($H1882,[5]CU!$C$5:$J$255,8,FALSE))</f>
        <v/>
      </c>
      <c r="W1882" s="18" t="s">
        <v>254</v>
      </c>
      <c r="X1882" s="18" t="s">
        <v>254</v>
      </c>
      <c r="Y1882" s="19" t="s">
        <v>32</v>
      </c>
      <c r="Z1882" s="19" t="str">
        <f>A1882 &amp; "-" &amp; VLOOKUP(A1882,[4]PROGRAMMES!$E$1:$F$7,2,FALSE)</f>
        <v>5-Gouvernance et pilotage du secteur</v>
      </c>
      <c r="AA1882" s="19" t="str">
        <f>B1882 &amp; "-" &amp; VLOOKUP(B1882,[4]SOUSPROGRAMMES!$E$1:$F$44,2,FALSE)</f>
        <v>58- Renforcement des compétences de l’administration (cadre normatif, poste-profil, évaluation, équipement, formations…)</v>
      </c>
      <c r="AB1882" s="19" t="str">
        <f>C1882 &amp; "-" &amp; VLOOKUP(C1882,[4]RESULTATS!$E$1:$F$176,2,FALSE)</f>
        <v xml:space="preserve">581- Les cadres organiques des différentes structures sont redéfinis pour que leur efficacité s’améliore </v>
      </c>
      <c r="AC1882" s="20" t="str">
        <f>D1882 &amp; "-" &amp; VLOOKUP(D1882,[4]STRATEGIES!$E$1:$F$504,2,FALSE)</f>
        <v>5814-Collecte et analyse périodique d’informations sur le respect des cadres organiques</v>
      </c>
      <c r="AD1882" s="21" t="str">
        <f t="shared" si="286"/>
        <v>58142-Analyse et prise de décisions</v>
      </c>
    </row>
    <row r="1883" spans="1:30" s="22" customFormat="1" ht="61" x14ac:dyDescent="0.8">
      <c r="A1883" s="14">
        <v>5</v>
      </c>
      <c r="B1883" s="15">
        <v>58</v>
      </c>
      <c r="C1883" s="15">
        <v>582</v>
      </c>
      <c r="D1883" s="74">
        <v>582</v>
      </c>
      <c r="E1883" s="14">
        <v>582</v>
      </c>
      <c r="F1883" s="16" t="s">
        <v>2345</v>
      </c>
      <c r="G1883" s="17"/>
      <c r="H1883" s="17"/>
      <c r="I1883" s="56">
        <v>0</v>
      </c>
      <c r="J1883" s="56"/>
      <c r="K1883" s="56"/>
      <c r="L1883" s="56"/>
      <c r="M1883" s="56"/>
      <c r="N1883" s="56"/>
      <c r="O1883" s="56"/>
      <c r="P1883" s="56"/>
      <c r="Q1883" s="56"/>
      <c r="R1883" s="56"/>
      <c r="S1883" s="56"/>
      <c r="T1883" s="33"/>
      <c r="U1883" s="18"/>
      <c r="V1883" s="19"/>
      <c r="W1883" s="18"/>
      <c r="X1883" s="18"/>
      <c r="Y1883" s="18"/>
      <c r="Z1883" s="19" t="str">
        <f>A1883 &amp; "-" &amp; VLOOKUP(A1883,[4]PROGRAMMES!$E$1:$F$7,2,FALSE)</f>
        <v>5-Gouvernance et pilotage du secteur</v>
      </c>
      <c r="AA1883" s="19" t="str">
        <f>B1883 &amp; "-" &amp; VLOOKUP(B1883,[4]SOUSPROGRAMMES!$E$1:$F$44,2,FALSE)</f>
        <v>58- Renforcement des compétences de l’administration (cadre normatif, poste-profil, évaluation, équipement, formations…)</v>
      </c>
      <c r="AB1883" s="19" t="str">
        <f>C1883 &amp; "-" &amp; VLOOKUP(C1883,[4]RESULTATS!$E$1:$F$176,2,FALSE)</f>
        <v>582- Le plan de relève permet l’existence continue d’un corps administratif compétent</v>
      </c>
      <c r="AC1883" s="20" t="str">
        <f>D1883 &amp; "-" &amp; VLOOKUP(D1883,[4]STRATEGIES!$E$1:$F$504,2,FALSE)</f>
        <v>582- Le plan de relève permet l’existence continue d’un corps administratif compétent</v>
      </c>
      <c r="AD1883" s="21" t="str">
        <f t="shared" si="286"/>
        <v>582- Le plan de relève permet l’existence continue d’un corps administratif compétent</v>
      </c>
    </row>
    <row r="1884" spans="1:30" s="22" customFormat="1" ht="61" x14ac:dyDescent="0.8">
      <c r="A1884" s="14">
        <v>5</v>
      </c>
      <c r="B1884" s="15">
        <v>58</v>
      </c>
      <c r="C1884" s="15">
        <v>582</v>
      </c>
      <c r="D1884" s="74">
        <v>5821</v>
      </c>
      <c r="E1884" s="14">
        <v>5821</v>
      </c>
      <c r="F1884" s="16" t="s">
        <v>2346</v>
      </c>
      <c r="G1884" s="17"/>
      <c r="H1884" s="17"/>
      <c r="I1884" s="56">
        <v>0</v>
      </c>
      <c r="J1884" s="56"/>
      <c r="K1884" s="56"/>
      <c r="L1884" s="56"/>
      <c r="M1884" s="56"/>
      <c r="N1884" s="56"/>
      <c r="O1884" s="56"/>
      <c r="P1884" s="56"/>
      <c r="Q1884" s="56"/>
      <c r="R1884" s="56"/>
      <c r="S1884" s="56"/>
      <c r="T1884" s="33"/>
      <c r="U1884" s="18"/>
      <c r="V1884" s="19"/>
      <c r="W1884" s="18"/>
      <c r="X1884" s="18"/>
      <c r="Y1884" s="18"/>
      <c r="Z1884" s="19" t="str">
        <f>A1884 &amp; "-" &amp; VLOOKUP(A1884,[4]PROGRAMMES!$E$1:$F$7,2,FALSE)</f>
        <v>5-Gouvernance et pilotage du secteur</v>
      </c>
      <c r="AA1884" s="19" t="str">
        <f>B1884 &amp; "-" &amp; VLOOKUP(B1884,[4]SOUSPROGRAMMES!$E$1:$F$44,2,FALSE)</f>
        <v>58- Renforcement des compétences de l’administration (cadre normatif, poste-profil, évaluation, équipement, formations…)</v>
      </c>
      <c r="AB1884" s="19" t="str">
        <f>C1884 &amp; "-" &amp; VLOOKUP(C1884,[4]RESULTATS!$E$1:$F$176,2,FALSE)</f>
        <v>582- Le plan de relève permet l’existence continue d’un corps administratif compétent</v>
      </c>
      <c r="AC1884" s="20" t="str">
        <f>D1884 &amp; "-" &amp; VLOOKUP(D1884,[4]STRATEGIES!$E$1:$F$504,2,FALSE)</f>
        <v>5821-Création d’un corps d’administrateurs scolaires et d’un corps d’inspecteurs</v>
      </c>
      <c r="AD1884" s="21" t="str">
        <f t="shared" si="286"/>
        <v>5821-Création d’un corps d’administrateurs scolaires et d’un corps d’inspecteurs</v>
      </c>
    </row>
    <row r="1885" spans="1:30" s="22" customFormat="1" ht="61" hidden="1" x14ac:dyDescent="0.8">
      <c r="A1885" s="14">
        <v>5</v>
      </c>
      <c r="B1885" s="15">
        <v>58</v>
      </c>
      <c r="C1885" s="15">
        <v>582</v>
      </c>
      <c r="D1885" s="74">
        <v>5821</v>
      </c>
      <c r="E1885" s="14">
        <v>58211</v>
      </c>
      <c r="F1885" s="16" t="s">
        <v>2347</v>
      </c>
      <c r="G1885" s="21" t="s">
        <v>88</v>
      </c>
      <c r="H1885" s="17" t="s">
        <v>55</v>
      </c>
      <c r="I1885" s="56">
        <v>0</v>
      </c>
      <c r="J1885" s="56">
        <v>1</v>
      </c>
      <c r="K1885" s="56">
        <v>0</v>
      </c>
      <c r="L1885" s="56">
        <v>0</v>
      </c>
      <c r="M1885" s="56">
        <f t="shared" si="273"/>
        <v>1</v>
      </c>
      <c r="N1885" s="56">
        <f>IF(OR(H1885="",H1885="sif",H1885="PM"),0,VLOOKUP(H1885,[5]CU!$C$4:$H$255,6,FALSE))</f>
        <v>0</v>
      </c>
      <c r="O1885" s="56"/>
      <c r="P1885" s="56"/>
      <c r="Q1885" s="56"/>
      <c r="R1885" s="56"/>
      <c r="S1885" s="56"/>
      <c r="T1885" s="35" t="s">
        <v>56</v>
      </c>
      <c r="U1885" s="18" t="s">
        <v>1873</v>
      </c>
      <c r="V1885" s="19" t="str">
        <f>IF(OR($H1885="",$H1885="sif",$H1885="PM"),"",VLOOKUP($H1885,[5]CU!$C$5:$J$255,8,FALSE))</f>
        <v/>
      </c>
      <c r="W1885" s="18" t="s">
        <v>273</v>
      </c>
      <c r="X1885" s="18" t="s">
        <v>273</v>
      </c>
      <c r="Y1885" s="19" t="s">
        <v>32</v>
      </c>
      <c r="Z1885" s="19" t="str">
        <f>A1885 &amp; "-" &amp; VLOOKUP(A1885,[4]PROGRAMMES!$E$1:$F$7,2,FALSE)</f>
        <v>5-Gouvernance et pilotage du secteur</v>
      </c>
      <c r="AA1885" s="19" t="str">
        <f>B1885 &amp; "-" &amp; VLOOKUP(B1885,[4]SOUSPROGRAMMES!$E$1:$F$44,2,FALSE)</f>
        <v>58- Renforcement des compétences de l’administration (cadre normatif, poste-profil, évaluation, équipement, formations…)</v>
      </c>
      <c r="AB1885" s="19" t="str">
        <f>C1885 &amp; "-" &amp; VLOOKUP(C1885,[4]RESULTATS!$E$1:$F$176,2,FALSE)</f>
        <v>582- Le plan de relève permet l’existence continue d’un corps administratif compétent</v>
      </c>
      <c r="AC1885" s="20" t="str">
        <f>D1885 &amp; "-" &amp; VLOOKUP(D1885,[4]STRATEGIES!$E$1:$F$504,2,FALSE)</f>
        <v>5821-Création d’un corps d’administrateurs scolaires et d’un corps d’inspecteurs</v>
      </c>
      <c r="AD1885" s="21" t="str">
        <f t="shared" si="286"/>
        <v>58211-Evaluation de la disponibilité des administrateurs scolaires et des inspecteurs d'éducation (primaire, secondaire et ETFP) au niveau du secteur</v>
      </c>
    </row>
    <row r="1886" spans="1:30" s="22" customFormat="1" ht="61" hidden="1" x14ac:dyDescent="0.8">
      <c r="A1886" s="14">
        <v>5</v>
      </c>
      <c r="B1886" s="15">
        <v>58</v>
      </c>
      <c r="C1886" s="15">
        <v>582</v>
      </c>
      <c r="D1886" s="74">
        <v>5821</v>
      </c>
      <c r="E1886" s="14">
        <v>58212</v>
      </c>
      <c r="F1886" s="16" t="s">
        <v>2348</v>
      </c>
      <c r="G1886" s="21" t="s">
        <v>88</v>
      </c>
      <c r="H1886" s="17" t="s">
        <v>55</v>
      </c>
      <c r="I1886" s="56">
        <v>0</v>
      </c>
      <c r="J1886" s="56">
        <v>1</v>
      </c>
      <c r="K1886" s="56">
        <v>0</v>
      </c>
      <c r="L1886" s="56">
        <v>0</v>
      </c>
      <c r="M1886" s="56">
        <f t="shared" si="273"/>
        <v>1</v>
      </c>
      <c r="N1886" s="56">
        <f>IF(OR(H1886="",H1886="sif",H1886="PM"),0,VLOOKUP(H1886,[5]CU!$C$4:$H$255,6,FALSE))</f>
        <v>0</v>
      </c>
      <c r="O1886" s="56"/>
      <c r="P1886" s="56"/>
      <c r="Q1886" s="56"/>
      <c r="R1886" s="56"/>
      <c r="S1886" s="56"/>
      <c r="T1886" s="35" t="s">
        <v>56</v>
      </c>
      <c r="U1886" s="18" t="s">
        <v>1873</v>
      </c>
      <c r="V1886" s="19" t="str">
        <f>IF(OR($H1886="",$H1886="sif",$H1886="PM"),"",VLOOKUP($H1886,[5]CU!$C$5:$J$255,8,FALSE))</f>
        <v/>
      </c>
      <c r="W1886" s="18" t="s">
        <v>273</v>
      </c>
      <c r="X1886" s="18" t="s">
        <v>273</v>
      </c>
      <c r="Y1886" s="19" t="s">
        <v>32</v>
      </c>
      <c r="Z1886" s="19" t="str">
        <f>A1886 &amp; "-" &amp; VLOOKUP(A1886,[4]PROGRAMMES!$E$1:$F$7,2,FALSE)</f>
        <v>5-Gouvernance et pilotage du secteur</v>
      </c>
      <c r="AA1886" s="19" t="str">
        <f>B1886 &amp; "-" &amp; VLOOKUP(B1886,[4]SOUSPROGRAMMES!$E$1:$F$44,2,FALSE)</f>
        <v>58- Renforcement des compétences de l’administration (cadre normatif, poste-profil, évaluation, équipement, formations…)</v>
      </c>
      <c r="AB1886" s="19" t="str">
        <f>C1886 &amp; "-" &amp; VLOOKUP(C1886,[4]RESULTATS!$E$1:$F$176,2,FALSE)</f>
        <v>582- Le plan de relève permet l’existence continue d’un corps administratif compétent</v>
      </c>
      <c r="AC1886" s="20" t="str">
        <f>D1886 &amp; "-" &amp; VLOOKUP(D1886,[4]STRATEGIES!$E$1:$F$504,2,FALSE)</f>
        <v>5821-Création d’un corps d’administrateurs scolaires et d’un corps d’inspecteurs</v>
      </c>
      <c r="AD1886" s="21" t="str">
        <f t="shared" si="286"/>
        <v>58212-Détermination des besoins actuels et futurs du système en administrateurs scolaires et inspecteurs d'éducation</v>
      </c>
    </row>
    <row r="1887" spans="1:30" s="22" customFormat="1" ht="61" hidden="1" x14ac:dyDescent="0.8">
      <c r="A1887" s="14">
        <v>5</v>
      </c>
      <c r="B1887" s="15">
        <v>58</v>
      </c>
      <c r="C1887" s="15">
        <v>582</v>
      </c>
      <c r="D1887" s="74">
        <v>5821</v>
      </c>
      <c r="E1887" s="14">
        <v>58213</v>
      </c>
      <c r="F1887" s="16" t="s">
        <v>2349</v>
      </c>
      <c r="G1887" s="21" t="s">
        <v>88</v>
      </c>
      <c r="H1887" s="17" t="s">
        <v>55</v>
      </c>
      <c r="I1887" s="56">
        <v>0</v>
      </c>
      <c r="J1887" s="56">
        <v>1</v>
      </c>
      <c r="K1887" s="56">
        <v>0</v>
      </c>
      <c r="L1887" s="56">
        <v>0</v>
      </c>
      <c r="M1887" s="56">
        <f t="shared" si="273"/>
        <v>1</v>
      </c>
      <c r="N1887" s="56">
        <f>IF(OR(H1887="",H1887="sif",H1887="PM"),0,VLOOKUP(H1887,[5]CU!$C$4:$H$255,6,FALSE))</f>
        <v>0</v>
      </c>
      <c r="O1887" s="56"/>
      <c r="P1887" s="56"/>
      <c r="Q1887" s="56"/>
      <c r="R1887" s="56"/>
      <c r="S1887" s="56"/>
      <c r="T1887" s="35" t="s">
        <v>56</v>
      </c>
      <c r="U1887" s="18" t="s">
        <v>1873</v>
      </c>
      <c r="V1887" s="19" t="str">
        <f>IF(OR($H1887="",$H1887="sif",$H1887="PM"),"",VLOOKUP($H1887,[5]CU!$C$5:$J$255,8,FALSE))</f>
        <v/>
      </c>
      <c r="W1887" s="18" t="s">
        <v>273</v>
      </c>
      <c r="X1887" s="18" t="s">
        <v>273</v>
      </c>
      <c r="Y1887" s="19" t="s">
        <v>32</v>
      </c>
      <c r="Z1887" s="19" t="str">
        <f>A1887 &amp; "-" &amp; VLOOKUP(A1887,[4]PROGRAMMES!$E$1:$F$7,2,FALSE)</f>
        <v>5-Gouvernance et pilotage du secteur</v>
      </c>
      <c r="AA1887" s="19" t="str">
        <f>B1887 &amp; "-" &amp; VLOOKUP(B1887,[4]SOUSPROGRAMMES!$E$1:$F$44,2,FALSE)</f>
        <v>58- Renforcement des compétences de l’administration (cadre normatif, poste-profil, évaluation, équipement, formations…)</v>
      </c>
      <c r="AB1887" s="19" t="str">
        <f>C1887 &amp; "-" &amp; VLOOKUP(C1887,[4]RESULTATS!$E$1:$F$176,2,FALSE)</f>
        <v>582- Le plan de relève permet l’existence continue d’un corps administratif compétent</v>
      </c>
      <c r="AC1887" s="20" t="str">
        <f>D1887 &amp; "-" &amp; VLOOKUP(D1887,[4]STRATEGIES!$E$1:$F$504,2,FALSE)</f>
        <v>5821-Création d’un corps d’administrateurs scolaires et d’un corps d’inspecteurs</v>
      </c>
      <c r="AD1887" s="21" t="str">
        <f t="shared" si="286"/>
        <v>58213-Actualisation des textes administratifs relatifs aux corps d'administrateurs et d'inspecteurs</v>
      </c>
    </row>
    <row r="1888" spans="1:30" s="22" customFormat="1" ht="61" x14ac:dyDescent="0.8">
      <c r="A1888" s="14">
        <v>5</v>
      </c>
      <c r="B1888" s="15">
        <v>58</v>
      </c>
      <c r="C1888" s="15">
        <v>582</v>
      </c>
      <c r="D1888" s="74">
        <v>5822</v>
      </c>
      <c r="E1888" s="14">
        <v>5822</v>
      </c>
      <c r="F1888" s="16" t="s">
        <v>2350</v>
      </c>
      <c r="G1888" s="17"/>
      <c r="H1888" s="17"/>
      <c r="I1888" s="56">
        <v>0</v>
      </c>
      <c r="J1888" s="56"/>
      <c r="K1888" s="56"/>
      <c r="L1888" s="56"/>
      <c r="M1888" s="56"/>
      <c r="N1888" s="56"/>
      <c r="O1888" s="56"/>
      <c r="P1888" s="56"/>
      <c r="Q1888" s="56"/>
      <c r="R1888" s="56"/>
      <c r="S1888" s="56"/>
      <c r="T1888" s="33"/>
      <c r="U1888" s="18"/>
      <c r="V1888" s="19"/>
      <c r="W1888" s="18"/>
      <c r="X1888" s="18"/>
      <c r="Y1888" s="18"/>
      <c r="Z1888" s="19" t="str">
        <f>A1888 &amp; "-" &amp; VLOOKUP(A1888,[4]PROGRAMMES!$E$1:$F$7,2,FALSE)</f>
        <v>5-Gouvernance et pilotage du secteur</v>
      </c>
      <c r="AA1888" s="19" t="str">
        <f>B1888 &amp; "-" &amp; VLOOKUP(B1888,[4]SOUSPROGRAMMES!$E$1:$F$44,2,FALSE)</f>
        <v>58- Renforcement des compétences de l’administration (cadre normatif, poste-profil, évaluation, équipement, formations…)</v>
      </c>
      <c r="AB1888" s="19" t="str">
        <f>C1888 &amp; "-" &amp; VLOOKUP(C1888,[4]RESULTATS!$E$1:$F$176,2,FALSE)</f>
        <v>582- Le plan de relève permet l’existence continue d’un corps administratif compétent</v>
      </c>
      <c r="AC1888" s="20" t="str">
        <f>D1888 &amp; "-" &amp; VLOOKUP(D1888,[4]STRATEGIES!$E$1:$F$504,2,FALSE)</f>
        <v>5822-Organisations de formations régulières pour l’entrée dans les corps des administrateurs scolaires et des inspecteurs</v>
      </c>
      <c r="AD1888" s="21" t="str">
        <f t="shared" si="286"/>
        <v>5822-Organisations de formations régulières pour l’entrée dans les corps des administrateurs scolaires et des inspecteurs</v>
      </c>
    </row>
    <row r="1889" spans="1:30" s="22" customFormat="1" ht="61" hidden="1" x14ac:dyDescent="0.8">
      <c r="A1889" s="14">
        <v>5</v>
      </c>
      <c r="B1889" s="15">
        <v>58</v>
      </c>
      <c r="C1889" s="15">
        <v>582</v>
      </c>
      <c r="D1889" s="74">
        <v>5822</v>
      </c>
      <c r="E1889" s="14">
        <v>58221</v>
      </c>
      <c r="F1889" s="16" t="s">
        <v>2351</v>
      </c>
      <c r="G1889" s="21" t="s">
        <v>88</v>
      </c>
      <c r="H1889" s="17" t="s">
        <v>55</v>
      </c>
      <c r="I1889" s="56">
        <v>0</v>
      </c>
      <c r="J1889" s="56">
        <v>0</v>
      </c>
      <c r="K1889" s="56">
        <v>1</v>
      </c>
      <c r="L1889" s="56">
        <v>0</v>
      </c>
      <c r="M1889" s="56">
        <f t="shared" si="273"/>
        <v>1</v>
      </c>
      <c r="N1889" s="56">
        <f>IF(OR(H1889="",H1889="sif",H1889="PM"),0,VLOOKUP(H1889,[5]CU!$C$4:$H$255,6,FALSE))</f>
        <v>0</v>
      </c>
      <c r="O1889" s="56"/>
      <c r="P1889" s="56"/>
      <c r="Q1889" s="56"/>
      <c r="R1889" s="56"/>
      <c r="S1889" s="56"/>
      <c r="T1889" s="35" t="s">
        <v>56</v>
      </c>
      <c r="U1889" s="18" t="s">
        <v>1873</v>
      </c>
      <c r="V1889" s="19" t="str">
        <f>IF(OR($H1889="",$H1889="sif",$H1889="PM"),"",VLOOKUP($H1889,[5]CU!$C$5:$J$255,8,FALSE))</f>
        <v/>
      </c>
      <c r="W1889" s="18" t="s">
        <v>273</v>
      </c>
      <c r="X1889" s="18" t="s">
        <v>273</v>
      </c>
      <c r="Y1889" s="19" t="s">
        <v>32</v>
      </c>
      <c r="Z1889" s="19" t="str">
        <f>A1889 &amp; "-" &amp; VLOOKUP(A1889,[4]PROGRAMMES!$E$1:$F$7,2,FALSE)</f>
        <v>5-Gouvernance et pilotage du secteur</v>
      </c>
      <c r="AA1889" s="19" t="str">
        <f>B1889 &amp; "-" &amp; VLOOKUP(B1889,[4]SOUSPROGRAMMES!$E$1:$F$44,2,FALSE)</f>
        <v>58- Renforcement des compétences de l’administration (cadre normatif, poste-profil, évaluation, équipement, formations…)</v>
      </c>
      <c r="AB1889" s="19" t="str">
        <f>C1889 &amp; "-" &amp; VLOOKUP(C1889,[4]RESULTATS!$E$1:$F$176,2,FALSE)</f>
        <v>582- Le plan de relève permet l’existence continue d’un corps administratif compétent</v>
      </c>
      <c r="AC1889" s="20" t="str">
        <f>D1889 &amp; "-" &amp; VLOOKUP(D1889,[4]STRATEGIES!$E$1:$F$504,2,FALSE)</f>
        <v>5822-Organisations de formations régulières pour l’entrée dans les corps des administrateurs scolaires et des inspecteurs</v>
      </c>
      <c r="AD1889" s="21" t="str">
        <f t="shared" si="286"/>
        <v>58221-Elaboration des critères d'admissibilité</v>
      </c>
    </row>
    <row r="1890" spans="1:30" s="22" customFormat="1" ht="61" hidden="1" x14ac:dyDescent="0.8">
      <c r="A1890" s="14">
        <v>5</v>
      </c>
      <c r="B1890" s="15">
        <v>58</v>
      </c>
      <c r="C1890" s="15">
        <v>582</v>
      </c>
      <c r="D1890" s="74">
        <v>5822</v>
      </c>
      <c r="E1890" s="14">
        <v>58222</v>
      </c>
      <c r="F1890" s="16" t="s">
        <v>2352</v>
      </c>
      <c r="G1890" s="21" t="s">
        <v>92</v>
      </c>
      <c r="H1890" s="17" t="s">
        <v>55</v>
      </c>
      <c r="I1890" s="56">
        <v>0</v>
      </c>
      <c r="J1890" s="56"/>
      <c r="K1890" s="56">
        <v>1</v>
      </c>
      <c r="L1890" s="56"/>
      <c r="M1890" s="56">
        <f t="shared" si="273"/>
        <v>1</v>
      </c>
      <c r="N1890" s="56">
        <f>IF(OR(H1890="",H1890="sif",H1890="PM"),0,VLOOKUP(H1890,[5]CU!$C$4:$H$255,6,FALSE))</f>
        <v>0</v>
      </c>
      <c r="O1890" s="56"/>
      <c r="P1890" s="56"/>
      <c r="Q1890" s="56"/>
      <c r="R1890" s="56"/>
      <c r="S1890" s="56"/>
      <c r="T1890" s="35" t="s">
        <v>56</v>
      </c>
      <c r="U1890" s="18" t="s">
        <v>1873</v>
      </c>
      <c r="V1890" s="19" t="str">
        <f>IF(OR($H1890="",$H1890="sif",$H1890="PM"),"",VLOOKUP($H1890,[5]CU!$C$5:$J$255,8,FALSE))</f>
        <v/>
      </c>
      <c r="W1890" s="18" t="s">
        <v>273</v>
      </c>
      <c r="X1890" s="18" t="s">
        <v>431</v>
      </c>
      <c r="Y1890" s="18" t="s">
        <v>679</v>
      </c>
      <c r="Z1890" s="19" t="str">
        <f>A1890 &amp; "-" &amp; VLOOKUP(A1890,[4]PROGRAMMES!$E$1:$F$7,2,FALSE)</f>
        <v>5-Gouvernance et pilotage du secteur</v>
      </c>
      <c r="AA1890" s="19" t="str">
        <f>B1890 &amp; "-" &amp; VLOOKUP(B1890,[4]SOUSPROGRAMMES!$E$1:$F$44,2,FALSE)</f>
        <v>58- Renforcement des compétences de l’administration (cadre normatif, poste-profil, évaluation, équipement, formations…)</v>
      </c>
      <c r="AB1890" s="19" t="str">
        <f>C1890 &amp; "-" &amp; VLOOKUP(C1890,[4]RESULTATS!$E$1:$F$176,2,FALSE)</f>
        <v>582- Le plan de relève permet l’existence continue d’un corps administratif compétent</v>
      </c>
      <c r="AC1890" s="20" t="str">
        <f>D1890 &amp; "-" &amp; VLOOKUP(D1890,[4]STRATEGIES!$E$1:$F$504,2,FALSE)</f>
        <v>5822-Organisations de formations régulières pour l’entrée dans les corps des administrateurs scolaires et des inspecteurs</v>
      </c>
      <c r="AD1890" s="21" t="str">
        <f t="shared" si="286"/>
        <v>58222-Session d'organisation de concours d'entrée des postulants (budget concours)</v>
      </c>
    </row>
    <row r="1891" spans="1:30" s="22" customFormat="1" ht="61" hidden="1" x14ac:dyDescent="0.8">
      <c r="A1891" s="14">
        <v>5</v>
      </c>
      <c r="B1891" s="15">
        <v>58</v>
      </c>
      <c r="C1891" s="15">
        <v>582</v>
      </c>
      <c r="D1891" s="74">
        <v>5822</v>
      </c>
      <c r="E1891" s="14">
        <v>58223</v>
      </c>
      <c r="F1891" s="16" t="s">
        <v>2353</v>
      </c>
      <c r="G1891" s="21" t="s">
        <v>88</v>
      </c>
      <c r="H1891" s="17" t="s">
        <v>55</v>
      </c>
      <c r="I1891" s="56">
        <v>0</v>
      </c>
      <c r="J1891" s="56">
        <v>0</v>
      </c>
      <c r="K1891" s="56">
        <v>1</v>
      </c>
      <c r="L1891" s="56">
        <v>0</v>
      </c>
      <c r="M1891" s="56">
        <f t="shared" si="273"/>
        <v>1</v>
      </c>
      <c r="N1891" s="56">
        <f>IF(OR(H1891="",H1891="sif",H1891="PM"),0,VLOOKUP(H1891,[5]CU!$C$4:$H$255,6,FALSE))</f>
        <v>0</v>
      </c>
      <c r="O1891" s="56"/>
      <c r="P1891" s="56"/>
      <c r="Q1891" s="56"/>
      <c r="R1891" s="56"/>
      <c r="S1891" s="56"/>
      <c r="T1891" s="35" t="s">
        <v>56</v>
      </c>
      <c r="U1891" s="18" t="s">
        <v>1873</v>
      </c>
      <c r="V1891" s="19" t="str">
        <f>IF(OR($H1891="",$H1891="sif",$H1891="PM"),"",VLOOKUP($H1891,[5]CU!$C$5:$J$255,8,FALSE))</f>
        <v/>
      </c>
      <c r="W1891" s="18" t="s">
        <v>273</v>
      </c>
      <c r="X1891" s="18" t="s">
        <v>431</v>
      </c>
      <c r="Y1891" s="18" t="s">
        <v>679</v>
      </c>
      <c r="Z1891" s="19" t="str">
        <f>A1891 &amp; "-" &amp; VLOOKUP(A1891,[4]PROGRAMMES!$E$1:$F$7,2,FALSE)</f>
        <v>5-Gouvernance et pilotage du secteur</v>
      </c>
      <c r="AA1891" s="19" t="str">
        <f>B1891 &amp; "-" &amp; VLOOKUP(B1891,[4]SOUSPROGRAMMES!$E$1:$F$44,2,FALSE)</f>
        <v>58- Renforcement des compétences de l’administration (cadre normatif, poste-profil, évaluation, équipement, formations…)</v>
      </c>
      <c r="AB1891" s="19" t="str">
        <f>C1891 &amp; "-" &amp; VLOOKUP(C1891,[4]RESULTATS!$E$1:$F$176,2,FALSE)</f>
        <v>582- Le plan de relève permet l’existence continue d’un corps administratif compétent</v>
      </c>
      <c r="AC1891" s="20" t="str">
        <f>D1891 &amp; "-" &amp; VLOOKUP(D1891,[4]STRATEGIES!$E$1:$F$504,2,FALSE)</f>
        <v>5822-Organisations de formations régulières pour l’entrée dans les corps des administrateurs scolaires et des inspecteurs</v>
      </c>
      <c r="AD1891" s="21" t="str">
        <f t="shared" si="286"/>
        <v>58223-Publication des résultats</v>
      </c>
    </row>
    <row r="1892" spans="1:30" s="22" customFormat="1" ht="61" hidden="1" x14ac:dyDescent="0.8">
      <c r="A1892" s="14">
        <v>5</v>
      </c>
      <c r="B1892" s="15">
        <v>58</v>
      </c>
      <c r="C1892" s="15">
        <v>582</v>
      </c>
      <c r="D1892" s="74">
        <v>5822</v>
      </c>
      <c r="E1892" s="14">
        <v>58224</v>
      </c>
      <c r="F1892" s="16" t="s">
        <v>2354</v>
      </c>
      <c r="G1892" s="21" t="s">
        <v>92</v>
      </c>
      <c r="H1892" s="17" t="s">
        <v>55</v>
      </c>
      <c r="I1892" s="56">
        <v>0</v>
      </c>
      <c r="J1892" s="56"/>
      <c r="K1892" s="56">
        <v>1</v>
      </c>
      <c r="L1892" s="56">
        <v>1</v>
      </c>
      <c r="M1892" s="56">
        <f t="shared" si="273"/>
        <v>2</v>
      </c>
      <c r="N1892" s="56">
        <f>IF(OR(H1892="",H1892="sif",H1892="PM"),0,VLOOKUP(H1892,[5]CU!$C$4:$H$255,6,FALSE))</f>
        <v>0</v>
      </c>
      <c r="O1892" s="56"/>
      <c r="P1892" s="56"/>
      <c r="Q1892" s="56"/>
      <c r="R1892" s="56"/>
      <c r="S1892" s="56"/>
      <c r="T1892" s="35" t="s">
        <v>56</v>
      </c>
      <c r="U1892" s="18" t="s">
        <v>1873</v>
      </c>
      <c r="V1892" s="19" t="str">
        <f>IF(OR($H1892="",$H1892="sif",$H1892="PM"),"",VLOOKUP($H1892,[5]CU!$C$5:$J$255,8,FALSE))</f>
        <v/>
      </c>
      <c r="W1892" s="18" t="s">
        <v>273</v>
      </c>
      <c r="X1892" s="18" t="s">
        <v>431</v>
      </c>
      <c r="Y1892" s="18" t="s">
        <v>679</v>
      </c>
      <c r="Z1892" s="19" t="str">
        <f>A1892 &amp; "-" &amp; VLOOKUP(A1892,[4]PROGRAMMES!$E$1:$F$7,2,FALSE)</f>
        <v>5-Gouvernance et pilotage du secteur</v>
      </c>
      <c r="AA1892" s="19" t="str">
        <f>B1892 &amp; "-" &amp; VLOOKUP(B1892,[4]SOUSPROGRAMMES!$E$1:$F$44,2,FALSE)</f>
        <v>58- Renforcement des compétences de l’administration (cadre normatif, poste-profil, évaluation, équipement, formations…)</v>
      </c>
      <c r="AB1892" s="19" t="str">
        <f>C1892 &amp; "-" &amp; VLOOKUP(C1892,[4]RESULTATS!$E$1:$F$176,2,FALSE)</f>
        <v>582- Le plan de relève permet l’existence continue d’un corps administratif compétent</v>
      </c>
      <c r="AC1892" s="20" t="str">
        <f>D1892 &amp; "-" &amp; VLOOKUP(D1892,[4]STRATEGIES!$E$1:$F$504,2,FALSE)</f>
        <v>5822-Organisations de formations régulières pour l’entrée dans les corps des administrateurs scolaires et des inspecteurs</v>
      </c>
      <c r="AD1892" s="21" t="str">
        <f t="shared" si="286"/>
        <v>58224-session de formation des inspecteurs en présentiel (voir ISSEG)</v>
      </c>
    </row>
    <row r="1893" spans="1:30" s="22" customFormat="1" ht="61" hidden="1" x14ac:dyDescent="0.8">
      <c r="A1893" s="14">
        <v>5</v>
      </c>
      <c r="B1893" s="15">
        <v>58</v>
      </c>
      <c r="C1893" s="15">
        <v>582</v>
      </c>
      <c r="D1893" s="74">
        <v>5822</v>
      </c>
      <c r="E1893" s="14">
        <v>58225</v>
      </c>
      <c r="F1893" s="16" t="s">
        <v>2355</v>
      </c>
      <c r="G1893" s="21" t="s">
        <v>92</v>
      </c>
      <c r="H1893" s="17" t="s">
        <v>55</v>
      </c>
      <c r="I1893" s="56">
        <v>0</v>
      </c>
      <c r="J1893" s="56"/>
      <c r="K1893" s="56">
        <v>1</v>
      </c>
      <c r="L1893" s="56">
        <v>1</v>
      </c>
      <c r="M1893" s="56">
        <f t="shared" si="273"/>
        <v>2</v>
      </c>
      <c r="N1893" s="56">
        <f>IF(OR(H1893="",H1893="sif",H1893="PM"),0,VLOOKUP(H1893,[5]CU!$C$4:$H$255,6,FALSE))</f>
        <v>0</v>
      </c>
      <c r="O1893" s="56"/>
      <c r="P1893" s="56"/>
      <c r="Q1893" s="56"/>
      <c r="R1893" s="56"/>
      <c r="S1893" s="56"/>
      <c r="T1893" s="35" t="s">
        <v>56</v>
      </c>
      <c r="U1893" s="18" t="s">
        <v>1873</v>
      </c>
      <c r="V1893" s="19" t="str">
        <f>IF(OR($H1893="",$H1893="sif",$H1893="PM"),"",VLOOKUP($H1893,[5]CU!$C$5:$J$255,8,FALSE))</f>
        <v/>
      </c>
      <c r="W1893" s="18" t="s">
        <v>273</v>
      </c>
      <c r="X1893" s="18" t="s">
        <v>431</v>
      </c>
      <c r="Y1893" s="18" t="s">
        <v>679</v>
      </c>
      <c r="Z1893" s="19" t="str">
        <f>A1893 &amp; "-" &amp; VLOOKUP(A1893,[4]PROGRAMMES!$E$1:$F$7,2,FALSE)</f>
        <v>5-Gouvernance et pilotage du secteur</v>
      </c>
      <c r="AA1893" s="19" t="str">
        <f>B1893 &amp; "-" &amp; VLOOKUP(B1893,[4]SOUSPROGRAMMES!$E$1:$F$44,2,FALSE)</f>
        <v>58- Renforcement des compétences de l’administration (cadre normatif, poste-profil, évaluation, équipement, formations…)</v>
      </c>
      <c r="AB1893" s="19" t="str">
        <f>C1893 &amp; "-" &amp; VLOOKUP(C1893,[4]RESULTATS!$E$1:$F$176,2,FALSE)</f>
        <v>582- Le plan de relève permet l’existence continue d’un corps administratif compétent</v>
      </c>
      <c r="AC1893" s="20" t="str">
        <f>D1893 &amp; "-" &amp; VLOOKUP(D1893,[4]STRATEGIES!$E$1:$F$504,2,FALSE)</f>
        <v>5822-Organisations de formations régulières pour l’entrée dans les corps des administrateurs scolaires et des inspecteurs</v>
      </c>
      <c r="AD1893" s="21" t="str">
        <f t="shared" si="286"/>
        <v>58225-session de formation des directeurs d'écoles et chefs d'établissements à distance (voir ISSEG)</v>
      </c>
    </row>
    <row r="1894" spans="1:30" s="22" customFormat="1" ht="61" x14ac:dyDescent="0.8">
      <c r="A1894" s="14">
        <v>5</v>
      </c>
      <c r="B1894" s="15">
        <v>58</v>
      </c>
      <c r="C1894" s="15">
        <v>582</v>
      </c>
      <c r="D1894" s="74">
        <v>5823</v>
      </c>
      <c r="E1894" s="14">
        <v>5823</v>
      </c>
      <c r="F1894" s="16" t="s">
        <v>2356</v>
      </c>
      <c r="G1894" s="17"/>
      <c r="H1894" s="17"/>
      <c r="I1894" s="56">
        <v>0</v>
      </c>
      <c r="J1894" s="56"/>
      <c r="K1894" s="56"/>
      <c r="L1894" s="56"/>
      <c r="M1894" s="56"/>
      <c r="N1894" s="56"/>
      <c r="O1894" s="56"/>
      <c r="P1894" s="56"/>
      <c r="Q1894" s="56"/>
      <c r="R1894" s="56"/>
      <c r="S1894" s="56"/>
      <c r="T1894" s="33"/>
      <c r="U1894" s="18"/>
      <c r="V1894" s="19"/>
      <c r="W1894" s="18"/>
      <c r="X1894" s="18"/>
      <c r="Y1894" s="18"/>
      <c r="Z1894" s="19" t="str">
        <f>A1894 &amp; "-" &amp; VLOOKUP(A1894,[4]PROGRAMMES!$E$1:$F$7,2,FALSE)</f>
        <v>5-Gouvernance et pilotage du secteur</v>
      </c>
      <c r="AA1894" s="19" t="str">
        <f>B1894 &amp; "-" &amp; VLOOKUP(B1894,[4]SOUSPROGRAMMES!$E$1:$F$44,2,FALSE)</f>
        <v>58- Renforcement des compétences de l’administration (cadre normatif, poste-profil, évaluation, équipement, formations…)</v>
      </c>
      <c r="AB1894" s="19" t="str">
        <f>C1894 &amp; "-" &amp; VLOOKUP(C1894,[4]RESULTATS!$E$1:$F$176,2,FALSE)</f>
        <v>582- Le plan de relève permet l’existence continue d’un corps administratif compétent</v>
      </c>
      <c r="AC1894" s="20" t="str">
        <f>D1894 &amp; "-" &amp; VLOOKUP(D1894,[4]STRATEGIES!$E$1:$F$504,2,FALSE)</f>
        <v>5823-Renforcement des compétences des administrateurs scolaires et inspecteurs (formations continues ; manuels de procédures; guides ; appui)</v>
      </c>
      <c r="AD1894" s="21" t="str">
        <f t="shared" si="286"/>
        <v>5823-Renforcement des compétences des administrateurs scolaires et inspecteurs (formations continues ; manuels de procédures; guides ; appui)</v>
      </c>
    </row>
    <row r="1895" spans="1:30" s="22" customFormat="1" ht="61" hidden="1" x14ac:dyDescent="0.8">
      <c r="A1895" s="14">
        <v>5</v>
      </c>
      <c r="B1895" s="15">
        <v>58</v>
      </c>
      <c r="C1895" s="15">
        <v>582</v>
      </c>
      <c r="D1895" s="74">
        <v>5823</v>
      </c>
      <c r="E1895" s="14">
        <v>58231</v>
      </c>
      <c r="F1895" s="16" t="s">
        <v>2357</v>
      </c>
      <c r="G1895" s="21" t="s">
        <v>88</v>
      </c>
      <c r="H1895" s="17" t="s">
        <v>55</v>
      </c>
      <c r="I1895" s="56">
        <v>0</v>
      </c>
      <c r="J1895" s="56">
        <v>0</v>
      </c>
      <c r="K1895" s="56">
        <v>0</v>
      </c>
      <c r="L1895" s="56">
        <v>0</v>
      </c>
      <c r="M1895" s="56"/>
      <c r="N1895" s="56">
        <f>IF(OR(H1895="",H1895="sif",H1895="PM"),0,VLOOKUP(H1895,[5]CU!$C$4:$H$255,6,FALSE))</f>
        <v>0</v>
      </c>
      <c r="O1895" s="56"/>
      <c r="P1895" s="56"/>
      <c r="Q1895" s="56"/>
      <c r="R1895" s="56"/>
      <c r="S1895" s="56"/>
      <c r="T1895" s="35" t="s">
        <v>56</v>
      </c>
      <c r="U1895" s="18" t="s">
        <v>1873</v>
      </c>
      <c r="V1895" s="19" t="str">
        <f>IF(OR($H1895="",$H1895="sif",$H1895="PM"),"",VLOOKUP($H1895,[5]CU!$C$5:$J$255,8,FALSE))</f>
        <v/>
      </c>
      <c r="W1895" s="18" t="s">
        <v>273</v>
      </c>
      <c r="X1895" s="18" t="s">
        <v>273</v>
      </c>
      <c r="Y1895" s="19" t="s">
        <v>32</v>
      </c>
      <c r="Z1895" s="19" t="str">
        <f>A1895 &amp; "-" &amp; VLOOKUP(A1895,[4]PROGRAMMES!$E$1:$F$7,2,FALSE)</f>
        <v>5-Gouvernance et pilotage du secteur</v>
      </c>
      <c r="AA1895" s="19" t="str">
        <f>B1895 &amp; "-" &amp; VLOOKUP(B1895,[4]SOUSPROGRAMMES!$E$1:$F$44,2,FALSE)</f>
        <v>58- Renforcement des compétences de l’administration (cadre normatif, poste-profil, évaluation, équipement, formations…)</v>
      </c>
      <c r="AB1895" s="19" t="str">
        <f>C1895 &amp; "-" &amp; VLOOKUP(C1895,[4]RESULTATS!$E$1:$F$176,2,FALSE)</f>
        <v>582- Le plan de relève permet l’existence continue d’un corps administratif compétent</v>
      </c>
      <c r="AC1895" s="20" t="str">
        <f>D1895 &amp; "-" &amp; VLOOKUP(D1895,[4]STRATEGIES!$E$1:$F$504,2,FALSE)</f>
        <v>5823-Renforcement des compétences des administrateurs scolaires et inspecteurs (formations continues ; manuels de procédures; guides ; appui)</v>
      </c>
      <c r="AD1895" s="21" t="str">
        <f t="shared" si="286"/>
        <v>58231-Identification des institutions de formations</v>
      </c>
    </row>
    <row r="1896" spans="1:30" s="22" customFormat="1" ht="61" x14ac:dyDescent="0.8">
      <c r="A1896" s="14">
        <v>5</v>
      </c>
      <c r="B1896" s="15">
        <v>58</v>
      </c>
      <c r="C1896" s="15">
        <v>582</v>
      </c>
      <c r="D1896" s="74">
        <v>5823</v>
      </c>
      <c r="E1896" s="14">
        <v>58232</v>
      </c>
      <c r="F1896" s="16" t="s">
        <v>2358</v>
      </c>
      <c r="G1896" s="21" t="s">
        <v>315</v>
      </c>
      <c r="H1896" s="17" t="s">
        <v>66</v>
      </c>
      <c r="I1896" s="56">
        <v>0</v>
      </c>
      <c r="J1896" s="56">
        <f>10*10*3</f>
        <v>300</v>
      </c>
      <c r="K1896" s="56"/>
      <c r="L1896" s="56"/>
      <c r="M1896" s="56">
        <f t="shared" ref="M1896:M1939" si="289">SUM(I1896:L1896)</f>
        <v>300</v>
      </c>
      <c r="N1896" s="56">
        <f>IF(OR(H1896="",H1896="sif",H1896="PM"),0,VLOOKUP(H1896,[5]CU!$C$4:$H$255,6,FALSE))</f>
        <v>0.255</v>
      </c>
      <c r="O1896" s="56">
        <f t="shared" ref="O1896:R1900" si="290">$N1896*I1896</f>
        <v>0</v>
      </c>
      <c r="P1896" s="56">
        <f t="shared" si="290"/>
        <v>76.5</v>
      </c>
      <c r="Q1896" s="56">
        <f t="shared" si="290"/>
        <v>0</v>
      </c>
      <c r="R1896" s="56">
        <f t="shared" si="290"/>
        <v>0</v>
      </c>
      <c r="S1896" s="56">
        <f>SUM(O1896:R1896)</f>
        <v>76.5</v>
      </c>
      <c r="T1896" s="35" t="s">
        <v>39</v>
      </c>
      <c r="U1896" s="19" t="s">
        <v>1873</v>
      </c>
      <c r="V1896" s="19" t="str">
        <f>IF(OR($H1896="",$H1896="sif",$H1896="PM"),"",VLOOKUP($H1896,[5]CU!$C$5:$J$255,8,FALSE))</f>
        <v>3. Dépenses de fonctionnement</v>
      </c>
      <c r="W1896" s="19" t="s">
        <v>273</v>
      </c>
      <c r="X1896" s="19" t="s">
        <v>431</v>
      </c>
      <c r="Y1896" s="19" t="s">
        <v>679</v>
      </c>
      <c r="Z1896" s="19" t="str">
        <f>A1896 &amp; "-" &amp; VLOOKUP(A1896,[4]PROGRAMMES!$E$1:$F$7,2,FALSE)</f>
        <v>5-Gouvernance et pilotage du secteur</v>
      </c>
      <c r="AA1896" s="19" t="str">
        <f>B1896 &amp; "-" &amp; VLOOKUP(B1896,[4]SOUSPROGRAMMES!$E$1:$F$44,2,FALSE)</f>
        <v>58- Renforcement des compétences de l’administration (cadre normatif, poste-profil, évaluation, équipement, formations…)</v>
      </c>
      <c r="AB1896" s="19" t="str">
        <f>C1896 &amp; "-" &amp; VLOOKUP(C1896,[4]RESULTATS!$E$1:$F$176,2,FALSE)</f>
        <v>582- Le plan de relève permet l’existence continue d’un corps administratif compétent</v>
      </c>
      <c r="AC1896" s="20" t="str">
        <f>D1896 &amp; "-" &amp; VLOOKUP(D1896,[4]STRATEGIES!$E$1:$F$504,2,FALSE)</f>
        <v>5823-Renforcement des compétences des administrateurs scolaires et inspecteurs (formations continues ; manuels de procédures; guides ; appui)</v>
      </c>
      <c r="AD1896" s="21" t="str">
        <f t="shared" si="286"/>
        <v>58232-Élaborations des modules de formation</v>
      </c>
    </row>
    <row r="1897" spans="1:30" s="22" customFormat="1" ht="61" x14ac:dyDescent="0.8">
      <c r="A1897" s="14">
        <v>5</v>
      </c>
      <c r="B1897" s="15">
        <v>58</v>
      </c>
      <c r="C1897" s="15">
        <v>582</v>
      </c>
      <c r="D1897" s="74">
        <v>5823</v>
      </c>
      <c r="E1897" s="14">
        <v>58233</v>
      </c>
      <c r="F1897" s="16" t="s">
        <v>2359</v>
      </c>
      <c r="G1897" s="21" t="s">
        <v>436</v>
      </c>
      <c r="H1897" s="17" t="s">
        <v>52</v>
      </c>
      <c r="I1897" s="56">
        <v>476</v>
      </c>
      <c r="J1897" s="53">
        <v>140</v>
      </c>
      <c r="K1897" s="53">
        <v>160</v>
      </c>
      <c r="L1897" s="53">
        <v>160</v>
      </c>
      <c r="M1897" s="53">
        <f>SUM(I1897:L1897)</f>
        <v>936</v>
      </c>
      <c r="N1897" s="53">
        <f>IF(OR(H1897="",H1897="sif",H1897="PM"),0,VLOOKUP(H1897,[5]CU!$C$4:$H$255,6,FALSE))</f>
        <v>1.5</v>
      </c>
      <c r="O1897" s="53">
        <f>$N1897*I1897</f>
        <v>714</v>
      </c>
      <c r="P1897" s="53">
        <f>$N1897*J1897</f>
        <v>210</v>
      </c>
      <c r="Q1897" s="53">
        <f>$N1897*K1897</f>
        <v>240</v>
      </c>
      <c r="R1897" s="53">
        <f>$N1897*L1897</f>
        <v>240</v>
      </c>
      <c r="S1897" s="53">
        <f>SUM(O1897:R1897)</f>
        <v>1404</v>
      </c>
      <c r="T1897" s="35" t="s">
        <v>67</v>
      </c>
      <c r="U1897" s="19" t="s">
        <v>1873</v>
      </c>
      <c r="V1897" s="19" t="str">
        <f>IF(OR($H1897="",$H1897="sif",$H1897="PM"),"",VLOOKUP($H1897,[5]CU!$C$5:$J$255,8,FALSE))</f>
        <v>3. Formation</v>
      </c>
      <c r="W1897" s="19" t="s">
        <v>273</v>
      </c>
      <c r="X1897" s="19" t="s">
        <v>431</v>
      </c>
      <c r="Y1897" s="19" t="s">
        <v>32</v>
      </c>
      <c r="Z1897" s="19" t="str">
        <f>A1897 &amp; "-" &amp; VLOOKUP(A1897,[4]PROGRAMMES!$E$1:$F$7,2,FALSE)</f>
        <v>5-Gouvernance et pilotage du secteur</v>
      </c>
      <c r="AA1897" s="19" t="str">
        <f>B1897 &amp; "-" &amp; VLOOKUP(B1897,[4]SOUSPROGRAMMES!$E$1:$F$44,2,FALSE)</f>
        <v>58- Renforcement des compétences de l’administration (cadre normatif, poste-profil, évaluation, équipement, formations…)</v>
      </c>
      <c r="AB1897" s="19" t="str">
        <f>C1897 &amp; "-" &amp; VLOOKUP(C1897,[4]RESULTATS!$E$1:$F$176,2,FALSE)</f>
        <v>582- Le plan de relève permet l’existence continue d’un corps administratif compétent</v>
      </c>
      <c r="AC1897" s="20" t="str">
        <f>D1897 &amp; "-" &amp; VLOOKUP(D1897,[4]STRATEGIES!$E$1:$F$504,2,FALSE)</f>
        <v>5823-Renforcement des compétences des administrateurs scolaires et inspecteurs (formations continues ; manuels de procédures; guides ; appui)</v>
      </c>
      <c r="AD1897" s="21" t="str">
        <f t="shared" si="286"/>
        <v>58233-Mise en œuvre de la formation des administrateurs scolaires et inspecteurs</v>
      </c>
    </row>
    <row r="1898" spans="1:30" s="22" customFormat="1" ht="61" x14ac:dyDescent="0.8">
      <c r="A1898" s="14">
        <v>5</v>
      </c>
      <c r="B1898" s="15">
        <v>58</v>
      </c>
      <c r="C1898" s="15">
        <v>582</v>
      </c>
      <c r="D1898" s="74">
        <v>5823</v>
      </c>
      <c r="E1898" s="14">
        <v>58233</v>
      </c>
      <c r="F1898" s="16" t="s">
        <v>2359</v>
      </c>
      <c r="G1898" s="21" t="s">
        <v>436</v>
      </c>
      <c r="H1898" s="17" t="s">
        <v>52</v>
      </c>
      <c r="I1898" s="56">
        <v>0</v>
      </c>
      <c r="J1898" s="56">
        <v>300</v>
      </c>
      <c r="K1898" s="56">
        <v>300</v>
      </c>
      <c r="L1898" s="56">
        <v>395</v>
      </c>
      <c r="M1898" s="56">
        <f>SUM(I1898:L1898)</f>
        <v>995</v>
      </c>
      <c r="N1898" s="56">
        <f>IF(OR(H1898="",H1898="sif",H1898="PM"),0,VLOOKUP(H1898,[5]CU!$C$4:$H$255,6,FALSE))</f>
        <v>1.5</v>
      </c>
      <c r="O1898" s="56"/>
      <c r="P1898" s="56">
        <f>$N1898*J1898</f>
        <v>450</v>
      </c>
      <c r="Q1898" s="56">
        <f>$N1898*K1898</f>
        <v>450</v>
      </c>
      <c r="R1898" s="56">
        <f>$N1898*L1898</f>
        <v>592.5</v>
      </c>
      <c r="S1898" s="56">
        <f>SUM(O1898:R1898)</f>
        <v>1492.5</v>
      </c>
      <c r="T1898" s="35" t="s">
        <v>39</v>
      </c>
      <c r="U1898" s="19" t="s">
        <v>1873</v>
      </c>
      <c r="V1898" s="19" t="str">
        <f>IF(OR($H1898="",$H1898="sif",$H1898="PM"),"",VLOOKUP($H1898,[5]CU!$C$5:$J$255,8,FALSE))</f>
        <v>3. Formation</v>
      </c>
      <c r="W1898" s="19" t="s">
        <v>273</v>
      </c>
      <c r="X1898" s="19" t="s">
        <v>431</v>
      </c>
      <c r="Y1898" s="19" t="s">
        <v>679</v>
      </c>
      <c r="Z1898" s="19" t="str">
        <f>A1898 &amp; "-" &amp; VLOOKUP(A1898,[4]PROGRAMMES!$E$1:$F$7,2,FALSE)</f>
        <v>5-Gouvernance et pilotage du secteur</v>
      </c>
      <c r="AA1898" s="19" t="str">
        <f>B1898 &amp; "-" &amp; VLOOKUP(B1898,[4]SOUSPROGRAMMES!$E$1:$F$44,2,FALSE)</f>
        <v>58- Renforcement des compétences de l’administration (cadre normatif, poste-profil, évaluation, équipement, formations…)</v>
      </c>
      <c r="AB1898" s="19" t="str">
        <f>C1898 &amp; "-" &amp; VLOOKUP(C1898,[4]RESULTATS!$E$1:$F$176,2,FALSE)</f>
        <v>582- Le plan de relève permet l’existence continue d’un corps administratif compétent</v>
      </c>
      <c r="AC1898" s="20" t="str">
        <f>D1898 &amp; "-" &amp; VLOOKUP(D1898,[4]STRATEGIES!$E$1:$F$504,2,FALSE)</f>
        <v>5823-Renforcement des compétences des administrateurs scolaires et inspecteurs (formations continues ; manuels de procédures; guides ; appui)</v>
      </c>
      <c r="AD1898" s="21" t="str">
        <f t="shared" si="286"/>
        <v>58233-Mise en œuvre de la formation des administrateurs scolaires et inspecteurs</v>
      </c>
    </row>
    <row r="1899" spans="1:30" s="22" customFormat="1" ht="61" hidden="1" x14ac:dyDescent="0.8">
      <c r="A1899" s="14">
        <v>5</v>
      </c>
      <c r="B1899" s="15">
        <v>58</v>
      </c>
      <c r="C1899" s="15">
        <v>582</v>
      </c>
      <c r="D1899" s="74">
        <v>5823</v>
      </c>
      <c r="E1899" s="14">
        <v>58233</v>
      </c>
      <c r="F1899" s="16" t="s">
        <v>2359</v>
      </c>
      <c r="G1899" s="21" t="s">
        <v>436</v>
      </c>
      <c r="H1899" s="17" t="s">
        <v>52</v>
      </c>
      <c r="I1899" s="56">
        <v>0</v>
      </c>
      <c r="J1899" s="56">
        <f>30*5*4-J1897-J1898</f>
        <v>160</v>
      </c>
      <c r="K1899" s="56">
        <f>30*5*6-K1897-K1898</f>
        <v>440</v>
      </c>
      <c r="L1899" s="56">
        <f>30*5*7-L1897-L1898</f>
        <v>495</v>
      </c>
      <c r="M1899" s="56">
        <f t="shared" si="289"/>
        <v>1095</v>
      </c>
      <c r="N1899" s="56">
        <f>IF(OR(H1899="",H1899="sif",H1899="PM"),0,VLOOKUP(H1899,[5]CU!$C$4:$H$255,6,FALSE))</f>
        <v>1.5</v>
      </c>
      <c r="O1899" s="56"/>
      <c r="P1899" s="56">
        <f t="shared" si="290"/>
        <v>240</v>
      </c>
      <c r="Q1899" s="56">
        <f t="shared" si="290"/>
        <v>660</v>
      </c>
      <c r="R1899" s="56">
        <f t="shared" si="290"/>
        <v>742.5</v>
      </c>
      <c r="S1899" s="56">
        <f>SUM(O1899:R1899)</f>
        <v>1642.5</v>
      </c>
      <c r="T1899" s="35" t="s">
        <v>56</v>
      </c>
      <c r="U1899" s="19" t="s">
        <v>1873</v>
      </c>
      <c r="V1899" s="19" t="str">
        <f>IF(OR($H1899="",$H1899="sif",$H1899="PM"),"",VLOOKUP($H1899,[5]CU!$C$5:$J$255,8,FALSE))</f>
        <v>3. Formation</v>
      </c>
      <c r="W1899" s="19" t="s">
        <v>273</v>
      </c>
      <c r="X1899" s="19" t="s">
        <v>431</v>
      </c>
      <c r="Y1899" s="19" t="s">
        <v>679</v>
      </c>
      <c r="Z1899" s="19" t="str">
        <f>A1899 &amp; "-" &amp; VLOOKUP(A1899,[4]PROGRAMMES!$E$1:$F$7,2,FALSE)</f>
        <v>5-Gouvernance et pilotage du secteur</v>
      </c>
      <c r="AA1899" s="19" t="str">
        <f>B1899 &amp; "-" &amp; VLOOKUP(B1899,[4]SOUSPROGRAMMES!$E$1:$F$44,2,FALSE)</f>
        <v>58- Renforcement des compétences de l’administration (cadre normatif, poste-profil, évaluation, équipement, formations…)</v>
      </c>
      <c r="AB1899" s="19" t="str">
        <f>C1899 &amp; "-" &amp; VLOOKUP(C1899,[4]RESULTATS!$E$1:$F$176,2,FALSE)</f>
        <v>582- Le plan de relève permet l’existence continue d’un corps administratif compétent</v>
      </c>
      <c r="AC1899" s="20" t="str">
        <f>D1899 &amp; "-" &amp; VLOOKUP(D1899,[4]STRATEGIES!$E$1:$F$504,2,FALSE)</f>
        <v>5823-Renforcement des compétences des administrateurs scolaires et inspecteurs (formations continues ; manuels de procédures; guides ; appui)</v>
      </c>
      <c r="AD1899" s="21" t="str">
        <f t="shared" si="286"/>
        <v>58233-Mise en œuvre de la formation des administrateurs scolaires et inspecteurs</v>
      </c>
    </row>
    <row r="1900" spans="1:30" s="22" customFormat="1" ht="61" x14ac:dyDescent="0.8">
      <c r="A1900" s="14">
        <v>5</v>
      </c>
      <c r="B1900" s="15">
        <v>58</v>
      </c>
      <c r="C1900" s="15">
        <v>582</v>
      </c>
      <c r="D1900" s="74">
        <v>5823</v>
      </c>
      <c r="E1900" s="14">
        <v>58234</v>
      </c>
      <c r="F1900" s="16" t="s">
        <v>2360</v>
      </c>
      <c r="G1900" s="21" t="s">
        <v>177</v>
      </c>
      <c r="H1900" s="17" t="s">
        <v>59</v>
      </c>
      <c r="I1900" s="56">
        <v>0</v>
      </c>
      <c r="J1900" s="56"/>
      <c r="K1900" s="56">
        <f>10*6*5</f>
        <v>300</v>
      </c>
      <c r="L1900" s="56">
        <v>0</v>
      </c>
      <c r="M1900" s="56">
        <f t="shared" si="289"/>
        <v>300</v>
      </c>
      <c r="N1900" s="56">
        <f>IF(OR(H1900="",H1900="sif",H1900="PM"),0,VLOOKUP(H1900,[5]CU!$C$4:$H$255,6,FALSE))</f>
        <v>0.8177777777777776</v>
      </c>
      <c r="O1900" s="56">
        <f t="shared" si="290"/>
        <v>0</v>
      </c>
      <c r="P1900" s="56">
        <f t="shared" si="290"/>
        <v>0</v>
      </c>
      <c r="Q1900" s="56">
        <f t="shared" si="290"/>
        <v>245.33333333333329</v>
      </c>
      <c r="R1900" s="56">
        <f t="shared" si="290"/>
        <v>0</v>
      </c>
      <c r="S1900" s="56">
        <f>SUM(O1900:R1900)</f>
        <v>245.33333333333329</v>
      </c>
      <c r="T1900" s="35" t="s">
        <v>39</v>
      </c>
      <c r="U1900" s="19" t="s">
        <v>1873</v>
      </c>
      <c r="V1900" s="19" t="str">
        <f>IF(OR($H1900="",$H1900="sif",$H1900="PM"),"",VLOOKUP($H1900,[5]CU!$C$5:$J$255,8,FALSE))</f>
        <v>3. Dépenses de fonctionnement</v>
      </c>
      <c r="W1900" s="19" t="s">
        <v>273</v>
      </c>
      <c r="X1900" s="19" t="s">
        <v>431</v>
      </c>
      <c r="Y1900" s="19" t="s">
        <v>679</v>
      </c>
      <c r="Z1900" s="19" t="str">
        <f>A1900 &amp; "-" &amp; VLOOKUP(A1900,[4]PROGRAMMES!$E$1:$F$7,2,FALSE)</f>
        <v>5-Gouvernance et pilotage du secteur</v>
      </c>
      <c r="AA1900" s="19" t="str">
        <f>B1900 &amp; "-" &amp; VLOOKUP(B1900,[4]SOUSPROGRAMMES!$E$1:$F$44,2,FALSE)</f>
        <v>58- Renforcement des compétences de l’administration (cadre normatif, poste-profil, évaluation, équipement, formations…)</v>
      </c>
      <c r="AB1900" s="19" t="str">
        <f>C1900 &amp; "-" &amp; VLOOKUP(C1900,[4]RESULTATS!$E$1:$F$176,2,FALSE)</f>
        <v>582- Le plan de relève permet l’existence continue d’un corps administratif compétent</v>
      </c>
      <c r="AC1900" s="20" t="str">
        <f>D1900 &amp; "-" &amp; VLOOKUP(D1900,[4]STRATEGIES!$E$1:$F$504,2,FALSE)</f>
        <v>5823-Renforcement des compétences des administrateurs scolaires et inspecteurs (formations continues ; manuels de procédures; guides ; appui)</v>
      </c>
      <c r="AD1900" s="21" t="str">
        <f t="shared" si="286"/>
        <v>58234-Evaluation de la formation</v>
      </c>
    </row>
    <row r="1901" spans="1:30" s="22" customFormat="1" ht="61" x14ac:dyDescent="0.8">
      <c r="A1901" s="14">
        <v>5</v>
      </c>
      <c r="B1901" s="15">
        <v>58</v>
      </c>
      <c r="C1901" s="15">
        <v>582</v>
      </c>
      <c r="D1901" s="74">
        <v>5824</v>
      </c>
      <c r="E1901" s="14">
        <v>5824</v>
      </c>
      <c r="F1901" s="16" t="s">
        <v>2361</v>
      </c>
      <c r="G1901" s="17"/>
      <c r="H1901" s="17"/>
      <c r="I1901" s="56">
        <v>0</v>
      </c>
      <c r="J1901" s="56"/>
      <c r="K1901" s="56"/>
      <c r="L1901" s="56"/>
      <c r="M1901" s="56"/>
      <c r="N1901" s="56"/>
      <c r="O1901" s="56"/>
      <c r="P1901" s="56"/>
      <c r="Q1901" s="56"/>
      <c r="R1901" s="56"/>
      <c r="S1901" s="56"/>
      <c r="T1901" s="33"/>
      <c r="U1901" s="18"/>
      <c r="V1901" s="19"/>
      <c r="W1901" s="18"/>
      <c r="X1901" s="18"/>
      <c r="Y1901" s="18"/>
      <c r="Z1901" s="19" t="str">
        <f>A1901 &amp; "-" &amp; VLOOKUP(A1901,[4]PROGRAMMES!$E$1:$F$7,2,FALSE)</f>
        <v>5-Gouvernance et pilotage du secteur</v>
      </c>
      <c r="AA1901" s="19" t="str">
        <f>B1901 &amp; "-" &amp; VLOOKUP(B1901,[4]SOUSPROGRAMMES!$E$1:$F$44,2,FALSE)</f>
        <v>58- Renforcement des compétences de l’administration (cadre normatif, poste-profil, évaluation, équipement, formations…)</v>
      </c>
      <c r="AB1901" s="19" t="str">
        <f>C1901 &amp; "-" &amp; VLOOKUP(C1901,[4]RESULTATS!$E$1:$F$176,2,FALSE)</f>
        <v>582- Le plan de relève permet l’existence continue d’un corps administratif compétent</v>
      </c>
      <c r="AC1901" s="20" t="str">
        <f>D1901 &amp; "-" &amp; VLOOKUP(D1901,[4]STRATEGIES!$E$1:$F$504,2,FALSE)</f>
        <v>5824-Développement régulier de plans de formation pour le personnel des différentes structures administratives</v>
      </c>
      <c r="AD1901" s="21" t="str">
        <f t="shared" si="286"/>
        <v>5824-Développement régulier de plans de formation pour le personnel des différentes structures administratives</v>
      </c>
    </row>
    <row r="1902" spans="1:30" s="22" customFormat="1" ht="61" hidden="1" x14ac:dyDescent="0.8">
      <c r="A1902" s="14">
        <v>5</v>
      </c>
      <c r="B1902" s="15">
        <v>58</v>
      </c>
      <c r="C1902" s="15">
        <v>582</v>
      </c>
      <c r="D1902" s="74">
        <v>5824</v>
      </c>
      <c r="E1902" s="14">
        <v>58241</v>
      </c>
      <c r="F1902" s="16" t="s">
        <v>2362</v>
      </c>
      <c r="G1902" s="21" t="s">
        <v>88</v>
      </c>
      <c r="H1902" s="17" t="s">
        <v>55</v>
      </c>
      <c r="I1902" s="56">
        <v>0</v>
      </c>
      <c r="J1902" s="56">
        <v>1</v>
      </c>
      <c r="K1902" s="56">
        <v>0</v>
      </c>
      <c r="L1902" s="56">
        <v>0</v>
      </c>
      <c r="M1902" s="56">
        <f t="shared" si="289"/>
        <v>1</v>
      </c>
      <c r="N1902" s="56">
        <f>IF(OR(H1902="",H1902="sif",H1902="PM"),0,VLOOKUP(H1902,[5]CU!$C$4:$H$255,6,FALSE))</f>
        <v>0</v>
      </c>
      <c r="O1902" s="56"/>
      <c r="P1902" s="56"/>
      <c r="Q1902" s="56"/>
      <c r="R1902" s="56"/>
      <c r="S1902" s="56"/>
      <c r="T1902" s="35" t="s">
        <v>56</v>
      </c>
      <c r="U1902" s="18" t="s">
        <v>1873</v>
      </c>
      <c r="V1902" s="19" t="str">
        <f>IF(OR($H1902="",$H1902="sif",$H1902="PM"),"",VLOOKUP($H1902,[5]CU!$C$5:$J$255,8,FALSE))</f>
        <v/>
      </c>
      <c r="W1902" s="18" t="s">
        <v>255</v>
      </c>
      <c r="X1902" s="18" t="s">
        <v>255</v>
      </c>
      <c r="Y1902" s="19" t="s">
        <v>32</v>
      </c>
      <c r="Z1902" s="19" t="str">
        <f>A1902 &amp; "-" &amp; VLOOKUP(A1902,[4]PROGRAMMES!$E$1:$F$7,2,FALSE)</f>
        <v>5-Gouvernance et pilotage du secteur</v>
      </c>
      <c r="AA1902" s="19" t="str">
        <f>B1902 &amp; "-" &amp; VLOOKUP(B1902,[4]SOUSPROGRAMMES!$E$1:$F$44,2,FALSE)</f>
        <v>58- Renforcement des compétences de l’administration (cadre normatif, poste-profil, évaluation, équipement, formations…)</v>
      </c>
      <c r="AB1902" s="19" t="str">
        <f>C1902 &amp; "-" &amp; VLOOKUP(C1902,[4]RESULTATS!$E$1:$F$176,2,FALSE)</f>
        <v>582- Le plan de relève permet l’existence continue d’un corps administratif compétent</v>
      </c>
      <c r="AC1902" s="20" t="str">
        <f>D1902 &amp; "-" &amp; VLOOKUP(D1902,[4]STRATEGIES!$E$1:$F$504,2,FALSE)</f>
        <v>5824-Développement régulier de plans de formation pour le personnel des différentes structures administratives</v>
      </c>
      <c r="AD1902" s="21" t="str">
        <f t="shared" si="286"/>
        <v>58241-Mise en place d'une commission chargée du pilotage du programme de renforcement des capacités individuelles des agents du MENA</v>
      </c>
    </row>
    <row r="1903" spans="1:30" s="22" customFormat="1" ht="61" hidden="1" x14ac:dyDescent="0.8">
      <c r="A1903" s="14">
        <v>5</v>
      </c>
      <c r="B1903" s="15">
        <v>58</v>
      </c>
      <c r="C1903" s="15">
        <v>582</v>
      </c>
      <c r="D1903" s="74">
        <v>5824</v>
      </c>
      <c r="E1903" s="14">
        <v>58242</v>
      </c>
      <c r="F1903" s="16" t="s">
        <v>2363</v>
      </c>
      <c r="G1903" s="21" t="s">
        <v>88</v>
      </c>
      <c r="H1903" s="17" t="s">
        <v>55</v>
      </c>
      <c r="I1903" s="56">
        <v>0</v>
      </c>
      <c r="J1903" s="56">
        <v>1</v>
      </c>
      <c r="K1903" s="56">
        <v>0</v>
      </c>
      <c r="L1903" s="56">
        <v>0</v>
      </c>
      <c r="M1903" s="56">
        <f t="shared" si="289"/>
        <v>1</v>
      </c>
      <c r="N1903" s="56">
        <f>IF(OR(H1903="",H1903="sif",H1903="PM"),0,VLOOKUP(H1903,[5]CU!$C$4:$H$255,6,FALSE))</f>
        <v>0</v>
      </c>
      <c r="O1903" s="56"/>
      <c r="P1903" s="56"/>
      <c r="Q1903" s="56"/>
      <c r="R1903" s="56"/>
      <c r="S1903" s="56"/>
      <c r="T1903" s="35" t="s">
        <v>56</v>
      </c>
      <c r="U1903" s="18" t="s">
        <v>1873</v>
      </c>
      <c r="V1903" s="19" t="str">
        <f>IF(OR($H1903="",$H1903="sif",$H1903="PM"),"",VLOOKUP($H1903,[5]CU!$C$5:$J$255,8,FALSE))</f>
        <v/>
      </c>
      <c r="W1903" s="18" t="s">
        <v>255</v>
      </c>
      <c r="X1903" s="18" t="s">
        <v>2364</v>
      </c>
      <c r="Y1903" s="19" t="s">
        <v>32</v>
      </c>
      <c r="Z1903" s="19" t="str">
        <f>A1903 &amp; "-" &amp; VLOOKUP(A1903,[4]PROGRAMMES!$E$1:$F$7,2,FALSE)</f>
        <v>5-Gouvernance et pilotage du secteur</v>
      </c>
      <c r="AA1903" s="19" t="str">
        <f>B1903 &amp; "-" &amp; VLOOKUP(B1903,[4]SOUSPROGRAMMES!$E$1:$F$44,2,FALSE)</f>
        <v>58- Renforcement des compétences de l’administration (cadre normatif, poste-profil, évaluation, équipement, formations…)</v>
      </c>
      <c r="AB1903" s="19" t="str">
        <f>C1903 &amp; "-" &amp; VLOOKUP(C1903,[4]RESULTATS!$E$1:$F$176,2,FALSE)</f>
        <v>582- Le plan de relève permet l’existence continue d’un corps administratif compétent</v>
      </c>
      <c r="AC1903" s="20" t="str">
        <f>D1903 &amp; "-" &amp; VLOOKUP(D1903,[4]STRATEGIES!$E$1:$F$504,2,FALSE)</f>
        <v>5824-Développement régulier de plans de formation pour le personnel des différentes structures administratives</v>
      </c>
      <c r="AD1903" s="21" t="str">
        <f t="shared" si="286"/>
        <v>58242-Identification des besoins en renforcement des capacités des cadres (réalisée par la DRH)</v>
      </c>
    </row>
    <row r="1904" spans="1:30" s="22" customFormat="1" ht="61" hidden="1" x14ac:dyDescent="0.8">
      <c r="A1904" s="14">
        <v>5</v>
      </c>
      <c r="B1904" s="15">
        <v>58</v>
      </c>
      <c r="C1904" s="15">
        <v>582</v>
      </c>
      <c r="D1904" s="74">
        <v>5824</v>
      </c>
      <c r="E1904" s="14">
        <v>58243</v>
      </c>
      <c r="F1904" s="16" t="s">
        <v>2365</v>
      </c>
      <c r="G1904" s="21" t="s">
        <v>88</v>
      </c>
      <c r="H1904" s="17" t="s">
        <v>55</v>
      </c>
      <c r="I1904" s="56">
        <v>0</v>
      </c>
      <c r="J1904" s="56">
        <v>1</v>
      </c>
      <c r="K1904" s="56">
        <v>1</v>
      </c>
      <c r="L1904" s="56">
        <v>1</v>
      </c>
      <c r="M1904" s="56">
        <f t="shared" si="289"/>
        <v>3</v>
      </c>
      <c r="N1904" s="56">
        <f>IF(OR(H1904="",H1904="sif",H1904="PM"),0,VLOOKUP(H1904,[5]CU!$C$4:$H$255,6,FALSE))</f>
        <v>0</v>
      </c>
      <c r="O1904" s="56"/>
      <c r="P1904" s="56"/>
      <c r="Q1904" s="56"/>
      <c r="R1904" s="56"/>
      <c r="S1904" s="56"/>
      <c r="T1904" s="35" t="s">
        <v>56</v>
      </c>
      <c r="U1904" s="18" t="s">
        <v>1873</v>
      </c>
      <c r="V1904" s="19" t="str">
        <f>IF(OR($H1904="",$H1904="sif",$H1904="PM"),"",VLOOKUP($H1904,[5]CU!$C$5:$J$255,8,FALSE))</f>
        <v/>
      </c>
      <c r="W1904" s="18" t="s">
        <v>255</v>
      </c>
      <c r="X1904" s="18" t="s">
        <v>2364</v>
      </c>
      <c r="Y1904" s="19" t="s">
        <v>32</v>
      </c>
      <c r="Z1904" s="19" t="str">
        <f>A1904 &amp; "-" &amp; VLOOKUP(A1904,[4]PROGRAMMES!$E$1:$F$7,2,FALSE)</f>
        <v>5-Gouvernance et pilotage du secteur</v>
      </c>
      <c r="AA1904" s="19" t="str">
        <f>B1904 &amp; "-" &amp; VLOOKUP(B1904,[4]SOUSPROGRAMMES!$E$1:$F$44,2,FALSE)</f>
        <v>58- Renforcement des compétences de l’administration (cadre normatif, poste-profil, évaluation, équipement, formations…)</v>
      </c>
      <c r="AB1904" s="19" t="str">
        <f>C1904 &amp; "-" &amp; VLOOKUP(C1904,[4]RESULTATS!$E$1:$F$176,2,FALSE)</f>
        <v>582- Le plan de relève permet l’existence continue d’un corps administratif compétent</v>
      </c>
      <c r="AC1904" s="20" t="str">
        <f>D1904 &amp; "-" &amp; VLOOKUP(D1904,[4]STRATEGIES!$E$1:$F$504,2,FALSE)</f>
        <v>5824-Développement régulier de plans de formation pour le personnel des différentes structures administratives</v>
      </c>
      <c r="AD1904" s="21" t="str">
        <f t="shared" si="286"/>
        <v xml:space="preserve">58243-Production annuelle et validation de plans de formation </v>
      </c>
    </row>
    <row r="1905" spans="1:30" s="22" customFormat="1" ht="61" x14ac:dyDescent="0.8">
      <c r="A1905" s="14">
        <v>5</v>
      </c>
      <c r="B1905" s="15">
        <v>58</v>
      </c>
      <c r="C1905" s="15">
        <v>582</v>
      </c>
      <c r="D1905" s="74">
        <v>5825</v>
      </c>
      <c r="E1905" s="14">
        <v>5825</v>
      </c>
      <c r="F1905" s="16" t="s">
        <v>2366</v>
      </c>
      <c r="G1905" s="17"/>
      <c r="H1905" s="17"/>
      <c r="I1905" s="56">
        <v>0</v>
      </c>
      <c r="J1905" s="56"/>
      <c r="K1905" s="56"/>
      <c r="L1905" s="56"/>
      <c r="M1905" s="56"/>
      <c r="N1905" s="56"/>
      <c r="O1905" s="56"/>
      <c r="P1905" s="56"/>
      <c r="Q1905" s="56"/>
      <c r="R1905" s="56"/>
      <c r="S1905" s="56"/>
      <c r="T1905" s="33"/>
      <c r="U1905" s="18"/>
      <c r="V1905" s="19"/>
      <c r="W1905" s="18"/>
      <c r="X1905" s="18"/>
      <c r="Y1905" s="18"/>
      <c r="Z1905" s="19" t="str">
        <f>A1905 &amp; "-" &amp; VLOOKUP(A1905,[4]PROGRAMMES!$E$1:$F$7,2,FALSE)</f>
        <v>5-Gouvernance et pilotage du secteur</v>
      </c>
      <c r="AA1905" s="19" t="str">
        <f>B1905 &amp; "-" &amp; VLOOKUP(B1905,[4]SOUSPROGRAMMES!$E$1:$F$44,2,FALSE)</f>
        <v>58- Renforcement des compétences de l’administration (cadre normatif, poste-profil, évaluation, équipement, formations…)</v>
      </c>
      <c r="AB1905" s="19" t="str">
        <f>C1905 &amp; "-" &amp; VLOOKUP(C1905,[4]RESULTATS!$E$1:$F$176,2,FALSE)</f>
        <v>582- Le plan de relève permet l’existence continue d’un corps administratif compétent</v>
      </c>
      <c r="AC1905" s="20" t="str">
        <f>D1905 &amp; "-" &amp; VLOOKUP(D1905,[4]STRATEGIES!$E$1:$F$504,2,FALSE)</f>
        <v>5825-Mise en œuvre des plans de formation</v>
      </c>
      <c r="AD1905" s="21" t="str">
        <f t="shared" si="286"/>
        <v>5825-Mise en œuvre des plans de formation</v>
      </c>
    </row>
    <row r="1906" spans="1:30" s="22" customFormat="1" ht="61" x14ac:dyDescent="0.8">
      <c r="A1906" s="14">
        <v>5</v>
      </c>
      <c r="B1906" s="15">
        <v>58</v>
      </c>
      <c r="C1906" s="15">
        <v>582</v>
      </c>
      <c r="D1906" s="74">
        <v>5825</v>
      </c>
      <c r="E1906" s="14">
        <v>58251</v>
      </c>
      <c r="F1906" s="16" t="s">
        <v>2367</v>
      </c>
      <c r="G1906" s="21" t="s">
        <v>436</v>
      </c>
      <c r="H1906" s="17" t="s">
        <v>301</v>
      </c>
      <c r="I1906" s="56">
        <v>476</v>
      </c>
      <c r="J1906" s="53">
        <f>(30*10*15)*62.71%</f>
        <v>2821.95</v>
      </c>
      <c r="K1906" s="53">
        <f>(30*10*10)*62.71%</f>
        <v>1881.3</v>
      </c>
      <c r="L1906" s="53">
        <f>(30*10*10)*62.71%</f>
        <v>1881.3</v>
      </c>
      <c r="M1906" s="53">
        <f>SUM(I1906:L1906)</f>
        <v>7060.55</v>
      </c>
      <c r="N1906" s="53">
        <f>IF(OR(H1906="",H1906="sif",H1906="PM"),0,VLOOKUP(H1906,[5]CU!$C$4:$H$255,6,FALSE))</f>
        <v>0.67666666666666664</v>
      </c>
      <c r="O1906" s="53">
        <f>$N1906*I1906</f>
        <v>322.09333333333331</v>
      </c>
      <c r="P1906" s="53">
        <f>$N1906*J1906</f>
        <v>1909.5194999999999</v>
      </c>
      <c r="Q1906" s="53">
        <f>$N1906*K1906</f>
        <v>1273.0129999999999</v>
      </c>
      <c r="R1906" s="53">
        <f>$N1906*L1906</f>
        <v>1273.0129999999999</v>
      </c>
      <c r="S1906" s="53">
        <f t="shared" ref="S1906:S1913" si="291">SUM(O1906:R1906)</f>
        <v>4777.6388333333325</v>
      </c>
      <c r="T1906" s="35" t="s">
        <v>67</v>
      </c>
      <c r="U1906" s="18" t="s">
        <v>1873</v>
      </c>
      <c r="V1906" s="19" t="str">
        <f>IF(OR($H1906="",$H1906="sif",$H1906="PM"),"",VLOOKUP($H1906,[5]CU!$C$5:$J$255,8,FALSE))</f>
        <v>3. Formation</v>
      </c>
      <c r="W1906" s="18" t="s">
        <v>255</v>
      </c>
      <c r="X1906" s="18" t="s">
        <v>2364</v>
      </c>
      <c r="Y1906" s="19" t="s">
        <v>32</v>
      </c>
      <c r="Z1906" s="19" t="str">
        <f>A1906 &amp; "-" &amp; VLOOKUP(A1906,[4]PROGRAMMES!$E$1:$F$7,2,FALSE)</f>
        <v>5-Gouvernance et pilotage du secteur</v>
      </c>
      <c r="AA1906" s="19" t="str">
        <f>B1906 &amp; "-" &amp; VLOOKUP(B1906,[4]SOUSPROGRAMMES!$E$1:$F$44,2,FALSE)</f>
        <v>58- Renforcement des compétences de l’administration (cadre normatif, poste-profil, évaluation, équipement, formations…)</v>
      </c>
      <c r="AB1906" s="19" t="str">
        <f>C1906 &amp; "-" &amp; VLOOKUP(C1906,[4]RESULTATS!$E$1:$F$176,2,FALSE)</f>
        <v>582- Le plan de relève permet l’existence continue d’un corps administratif compétent</v>
      </c>
      <c r="AC1906" s="20" t="str">
        <f>D1906 &amp; "-" &amp; VLOOKUP(D1906,[4]STRATEGIES!$E$1:$F$504,2,FALSE)</f>
        <v>5825-Mise en œuvre des plans de formation</v>
      </c>
      <c r="AD1906" s="21" t="str">
        <f t="shared" si="286"/>
        <v>58251-Mise en œuvre progressive des plans de formation en adéquation avec les profils et les postes (pris en compte partiellement dans les différents sous programmes)</v>
      </c>
    </row>
    <row r="1907" spans="1:30" s="22" customFormat="1" ht="61" x14ac:dyDescent="0.8">
      <c r="A1907" s="14">
        <v>5</v>
      </c>
      <c r="B1907" s="15">
        <v>58</v>
      </c>
      <c r="C1907" s="15">
        <v>582</v>
      </c>
      <c r="D1907" s="74">
        <v>5825</v>
      </c>
      <c r="E1907" s="14">
        <v>58251</v>
      </c>
      <c r="F1907" s="16" t="s">
        <v>2367</v>
      </c>
      <c r="G1907" s="21" t="s">
        <v>436</v>
      </c>
      <c r="H1907" s="17" t="s">
        <v>301</v>
      </c>
      <c r="I1907" s="56">
        <v>0</v>
      </c>
      <c r="J1907" s="56">
        <f>(30*10*15)*37.29%</f>
        <v>1678.05</v>
      </c>
      <c r="K1907" s="56">
        <f>(30*10*10)*37.29%</f>
        <v>1118.7</v>
      </c>
      <c r="L1907" s="56">
        <f>(30*10*10)*37.29%</f>
        <v>1118.7</v>
      </c>
      <c r="M1907" s="56">
        <f t="shared" si="289"/>
        <v>3915.45</v>
      </c>
      <c r="N1907" s="56">
        <f>IF(OR(H1907="",H1907="sif",H1907="PM"),0,VLOOKUP(H1907,[5]CU!$C$4:$H$255,6,FALSE))</f>
        <v>0.67666666666666664</v>
      </c>
      <c r="O1907" s="56">
        <f t="shared" ref="O1907:R1913" si="292">$N1907*I1907</f>
        <v>0</v>
      </c>
      <c r="P1907" s="56">
        <f t="shared" si="292"/>
        <v>1135.4804999999999</v>
      </c>
      <c r="Q1907" s="56">
        <f t="shared" si="292"/>
        <v>756.98699999999997</v>
      </c>
      <c r="R1907" s="56">
        <f t="shared" si="292"/>
        <v>756.98699999999997</v>
      </c>
      <c r="S1907" s="56">
        <f t="shared" si="291"/>
        <v>2649.4544999999998</v>
      </c>
      <c r="T1907" s="35" t="s">
        <v>118</v>
      </c>
      <c r="U1907" s="18" t="s">
        <v>1873</v>
      </c>
      <c r="V1907" s="19" t="str">
        <f>IF(OR($H1907="",$H1907="sif",$H1907="PM"),"",VLOOKUP($H1907,[5]CU!$C$5:$J$255,8,FALSE))</f>
        <v>3. Formation</v>
      </c>
      <c r="W1907" s="18" t="s">
        <v>255</v>
      </c>
      <c r="X1907" s="18" t="s">
        <v>2364</v>
      </c>
      <c r="Y1907" s="19" t="s">
        <v>32</v>
      </c>
      <c r="Z1907" s="19" t="str">
        <f>A1907 &amp; "-" &amp; VLOOKUP(A1907,[4]PROGRAMMES!$E$1:$F$7,2,FALSE)</f>
        <v>5-Gouvernance et pilotage du secteur</v>
      </c>
      <c r="AA1907" s="19" t="str">
        <f>B1907 &amp; "-" &amp; VLOOKUP(B1907,[4]SOUSPROGRAMMES!$E$1:$F$44,2,FALSE)</f>
        <v>58- Renforcement des compétences de l’administration (cadre normatif, poste-profil, évaluation, équipement, formations…)</v>
      </c>
      <c r="AB1907" s="19" t="str">
        <f>C1907 &amp; "-" &amp; VLOOKUP(C1907,[4]RESULTATS!$E$1:$F$176,2,FALSE)</f>
        <v>582- Le plan de relève permet l’existence continue d’un corps administratif compétent</v>
      </c>
      <c r="AC1907" s="20" t="str">
        <f>D1907 &amp; "-" &amp; VLOOKUP(D1907,[4]STRATEGIES!$E$1:$F$504,2,FALSE)</f>
        <v>5825-Mise en œuvre des plans de formation</v>
      </c>
      <c r="AD1907" s="21" t="str">
        <f t="shared" si="286"/>
        <v>58251-Mise en œuvre progressive des plans de formation en adéquation avec les profils et les postes (pris en compte partiellement dans les différents sous programmes)</v>
      </c>
    </row>
    <row r="1908" spans="1:30" s="22" customFormat="1" ht="61" x14ac:dyDescent="0.8">
      <c r="A1908" s="14">
        <v>5</v>
      </c>
      <c r="B1908" s="15">
        <v>58</v>
      </c>
      <c r="C1908" s="15">
        <v>582</v>
      </c>
      <c r="D1908" s="74">
        <v>5825</v>
      </c>
      <c r="E1908" s="14">
        <v>58252</v>
      </c>
      <c r="F1908" s="16" t="s">
        <v>2368</v>
      </c>
      <c r="G1908" s="21" t="s">
        <v>436</v>
      </c>
      <c r="H1908" s="17" t="s">
        <v>1068</v>
      </c>
      <c r="I1908" s="56">
        <v>48</v>
      </c>
      <c r="J1908" s="53">
        <f>15*44.01%</f>
        <v>6.6014999999999997</v>
      </c>
      <c r="K1908" s="53">
        <f>5*44.01%</f>
        <v>2.2004999999999999</v>
      </c>
      <c r="L1908" s="53"/>
      <c r="M1908" s="53">
        <f>SUM(I1908:L1908)</f>
        <v>56.802</v>
      </c>
      <c r="N1908" s="53">
        <f>IF(OR(H1908="",H1908="sif",H1908="PM"),0,VLOOKUP(H1908,[5]CU!$C$4:$H$255,6,FALSE))</f>
        <v>107.95</v>
      </c>
      <c r="O1908" s="53">
        <f t="shared" ref="O1908:R1909" si="293">$N1908*I1908</f>
        <v>5181.6000000000004</v>
      </c>
      <c r="P1908" s="53">
        <f t="shared" si="293"/>
        <v>712.63192500000002</v>
      </c>
      <c r="Q1908" s="53">
        <f t="shared" si="293"/>
        <v>237.54397499999999</v>
      </c>
      <c r="R1908" s="53">
        <f t="shared" si="293"/>
        <v>0</v>
      </c>
      <c r="S1908" s="53">
        <f t="shared" ref="S1908" si="294">SUM(O1908:R1908)</f>
        <v>6131.7758999999996</v>
      </c>
      <c r="T1908" s="35" t="s">
        <v>67</v>
      </c>
      <c r="U1908" s="18" t="s">
        <v>1873</v>
      </c>
      <c r="V1908" s="19" t="str">
        <f>IF(OR($H1908="",$H1908="sif",$H1908="PM"),"",VLOOKUP($H1908,[5]CU!$C$5:$J$255,8,FALSE))</f>
        <v>3. Formation</v>
      </c>
      <c r="W1908" s="18" t="s">
        <v>142</v>
      </c>
      <c r="X1908" s="18" t="s">
        <v>142</v>
      </c>
      <c r="Y1908" s="19" t="s">
        <v>32</v>
      </c>
      <c r="Z1908" s="19" t="str">
        <f>A1908 &amp; "-" &amp; VLOOKUP(A1908,[4]PROGRAMMES!$E$1:$F$7,2,FALSE)</f>
        <v>5-Gouvernance et pilotage du secteur</v>
      </c>
      <c r="AA1908" s="19" t="str">
        <f>B1908 &amp; "-" &amp; VLOOKUP(B1908,[4]SOUSPROGRAMMES!$E$1:$F$44,2,FALSE)</f>
        <v>58- Renforcement des compétences de l’administration (cadre normatif, poste-profil, évaluation, équipement, formations…)</v>
      </c>
      <c r="AB1908" s="19" t="str">
        <f>C1908 &amp; "-" &amp; VLOOKUP(C1908,[4]RESULTATS!$E$1:$F$176,2,FALSE)</f>
        <v>582- Le plan de relève permet l’existence continue d’un corps administratif compétent</v>
      </c>
      <c r="AC1908" s="20" t="str">
        <f>D1908 &amp; "-" &amp; VLOOKUP(D1908,[4]STRATEGIES!$E$1:$F$504,2,FALSE)</f>
        <v>5825-Mise en œuvre des plans de formation</v>
      </c>
      <c r="AD1908" s="21" t="str">
        <f t="shared" ref="AD1908" si="295">E1908 &amp; "-" &amp; F1908</f>
        <v>58252-Formation d'un noyau dur de personnel d'encadrement pour le préscolaire</v>
      </c>
    </row>
    <row r="1909" spans="1:30" s="22" customFormat="1" ht="61" x14ac:dyDescent="0.8">
      <c r="A1909" s="14">
        <v>5</v>
      </c>
      <c r="B1909" s="15">
        <v>58</v>
      </c>
      <c r="C1909" s="15">
        <v>582</v>
      </c>
      <c r="D1909" s="74">
        <v>5825</v>
      </c>
      <c r="E1909" s="14">
        <v>58252</v>
      </c>
      <c r="F1909" s="16" t="s">
        <v>2665</v>
      </c>
      <c r="G1909" s="21" t="s">
        <v>436</v>
      </c>
      <c r="H1909" s="17" t="s">
        <v>1068</v>
      </c>
      <c r="I1909" s="56">
        <v>1000</v>
      </c>
      <c r="J1909" s="53"/>
      <c r="K1909" s="53"/>
      <c r="L1909" s="53"/>
      <c r="M1909" s="53">
        <f>SUM(I1909:L1909)</f>
        <v>1000</v>
      </c>
      <c r="N1909" s="53">
        <v>1</v>
      </c>
      <c r="O1909" s="53">
        <f t="shared" si="293"/>
        <v>1000</v>
      </c>
      <c r="P1909" s="53">
        <f t="shared" si="293"/>
        <v>0</v>
      </c>
      <c r="Q1909" s="53">
        <f t="shared" si="293"/>
        <v>0</v>
      </c>
      <c r="R1909" s="53">
        <f t="shared" si="293"/>
        <v>0</v>
      </c>
      <c r="S1909" s="53">
        <f t="shared" si="291"/>
        <v>1000</v>
      </c>
      <c r="T1909" s="35" t="s">
        <v>67</v>
      </c>
      <c r="U1909" s="18" t="s">
        <v>1873</v>
      </c>
      <c r="V1909" s="19" t="str">
        <f>IF(OR($H1909="",$H1909="sif",$H1909="PM"),"",VLOOKUP($H1909,[5]CU!$C$5:$J$255,8,FALSE))</f>
        <v>3. Formation</v>
      </c>
      <c r="W1909" s="18" t="s">
        <v>142</v>
      </c>
      <c r="X1909" s="18" t="s">
        <v>142</v>
      </c>
      <c r="Y1909" s="19" t="s">
        <v>32</v>
      </c>
      <c r="Z1909" s="19" t="str">
        <f>A1909 &amp; "-" &amp; VLOOKUP(A1909,[4]PROGRAMMES!$E$1:$F$7,2,FALSE)</f>
        <v>5-Gouvernance et pilotage du secteur</v>
      </c>
      <c r="AA1909" s="19" t="str">
        <f>B1909 &amp; "-" &amp; VLOOKUP(B1909,[4]SOUSPROGRAMMES!$E$1:$F$44,2,FALSE)</f>
        <v>58- Renforcement des compétences de l’administration (cadre normatif, poste-profil, évaluation, équipement, formations…)</v>
      </c>
      <c r="AB1909" s="19" t="str">
        <f>C1909 &amp; "-" &amp; VLOOKUP(C1909,[4]RESULTATS!$E$1:$F$176,2,FALSE)</f>
        <v>582- Le plan de relève permet l’existence continue d’un corps administratif compétent</v>
      </c>
      <c r="AC1909" s="20" t="str">
        <f>D1909 &amp; "-" &amp; VLOOKUP(D1909,[4]STRATEGIES!$E$1:$F$504,2,FALSE)</f>
        <v>5825-Mise en œuvre des plans de formation</v>
      </c>
      <c r="AD1909" s="21" t="str">
        <f t="shared" si="286"/>
        <v xml:space="preserve">58252-octroie de bourse a milles enfants vulnerables entrant au college en 2019 </v>
      </c>
    </row>
    <row r="1910" spans="1:30" s="22" customFormat="1" ht="61" x14ac:dyDescent="0.8">
      <c r="A1910" s="14">
        <v>5</v>
      </c>
      <c r="B1910" s="15">
        <v>58</v>
      </c>
      <c r="C1910" s="15">
        <v>582</v>
      </c>
      <c r="D1910" s="74">
        <v>5825</v>
      </c>
      <c r="E1910" s="14">
        <v>58252</v>
      </c>
      <c r="F1910" s="16" t="s">
        <v>2368</v>
      </c>
      <c r="G1910" s="21" t="s">
        <v>436</v>
      </c>
      <c r="H1910" s="17" t="s">
        <v>1068</v>
      </c>
      <c r="I1910" s="56">
        <v>0</v>
      </c>
      <c r="J1910" s="56">
        <f>15*55.99%</f>
        <v>8.3985000000000003</v>
      </c>
      <c r="K1910" s="56">
        <f>5*55.99%</f>
        <v>2.7995000000000001</v>
      </c>
      <c r="L1910" s="56"/>
      <c r="M1910" s="56">
        <f t="shared" si="289"/>
        <v>11.198</v>
      </c>
      <c r="N1910" s="56">
        <f>IF(OR(H1910="",H1910="sif",H1910="PM"),0,VLOOKUP(H1910,[5]CU!$C$4:$H$255,6,FALSE))</f>
        <v>107.95</v>
      </c>
      <c r="O1910" s="56">
        <f t="shared" si="292"/>
        <v>0</v>
      </c>
      <c r="P1910" s="56">
        <f t="shared" si="292"/>
        <v>906.61807500000009</v>
      </c>
      <c r="Q1910" s="56">
        <f t="shared" si="292"/>
        <v>302.20602500000001</v>
      </c>
      <c r="R1910" s="56">
        <f t="shared" si="292"/>
        <v>0</v>
      </c>
      <c r="S1910" s="56">
        <f t="shared" si="291"/>
        <v>1208.8241</v>
      </c>
      <c r="T1910" s="35" t="s">
        <v>118</v>
      </c>
      <c r="U1910" s="18" t="s">
        <v>1873</v>
      </c>
      <c r="V1910" s="19" t="str">
        <f>IF(OR($H1910="",$H1910="sif",$H1910="PM"),"",VLOOKUP($H1910,[5]CU!$C$5:$J$255,8,FALSE))</f>
        <v>3. Formation</v>
      </c>
      <c r="W1910" s="18" t="s">
        <v>142</v>
      </c>
      <c r="X1910" s="18" t="s">
        <v>142</v>
      </c>
      <c r="Y1910" s="19" t="s">
        <v>32</v>
      </c>
      <c r="Z1910" s="19" t="str">
        <f>A1910 &amp; "-" &amp; VLOOKUP(A1910,[4]PROGRAMMES!$E$1:$F$7,2,FALSE)</f>
        <v>5-Gouvernance et pilotage du secteur</v>
      </c>
      <c r="AA1910" s="19" t="str">
        <f>B1910 &amp; "-" &amp; VLOOKUP(B1910,[4]SOUSPROGRAMMES!$E$1:$F$44,2,FALSE)</f>
        <v>58- Renforcement des compétences de l’administration (cadre normatif, poste-profil, évaluation, équipement, formations…)</v>
      </c>
      <c r="AB1910" s="19" t="str">
        <f>C1910 &amp; "-" &amp; VLOOKUP(C1910,[4]RESULTATS!$E$1:$F$176,2,FALSE)</f>
        <v>582- Le plan de relève permet l’existence continue d’un corps administratif compétent</v>
      </c>
      <c r="AC1910" s="20" t="str">
        <f>D1910 &amp; "-" &amp; VLOOKUP(D1910,[4]STRATEGIES!$E$1:$F$504,2,FALSE)</f>
        <v>5825-Mise en œuvre des plans de formation</v>
      </c>
      <c r="AD1910" s="21" t="str">
        <f t="shared" si="286"/>
        <v>58252-Formation d'un noyau dur de personnel d'encadrement pour le préscolaire</v>
      </c>
    </row>
    <row r="1911" spans="1:30" s="22" customFormat="1" ht="61" x14ac:dyDescent="0.8">
      <c r="A1911" s="14">
        <v>5</v>
      </c>
      <c r="B1911" s="15">
        <v>58</v>
      </c>
      <c r="C1911" s="15">
        <v>582</v>
      </c>
      <c r="D1911" s="74">
        <v>5825</v>
      </c>
      <c r="E1911" s="14">
        <v>58253</v>
      </c>
      <c r="F1911" s="16" t="s">
        <v>2369</v>
      </c>
      <c r="G1911" s="21" t="s">
        <v>436</v>
      </c>
      <c r="H1911" s="17" t="s">
        <v>501</v>
      </c>
      <c r="I1911" s="56">
        <v>0</v>
      </c>
      <c r="J1911" s="56"/>
      <c r="K1911" s="56">
        <f>8</f>
        <v>8</v>
      </c>
      <c r="L1911" s="56">
        <v>10</v>
      </c>
      <c r="M1911" s="56">
        <f t="shared" si="289"/>
        <v>18</v>
      </c>
      <c r="N1911" s="56">
        <f>IF(OR(H1911="",H1911="sif",H1911="PM"),0,VLOOKUP(H1911,[5]CU!$C$4:$H$255,6,FALSE))</f>
        <v>50.336534</v>
      </c>
      <c r="O1911" s="56">
        <f t="shared" si="292"/>
        <v>0</v>
      </c>
      <c r="P1911" s="56">
        <f t="shared" si="292"/>
        <v>0</v>
      </c>
      <c r="Q1911" s="56">
        <f t="shared" si="292"/>
        <v>402.692272</v>
      </c>
      <c r="R1911" s="56">
        <f t="shared" si="292"/>
        <v>503.36534</v>
      </c>
      <c r="S1911" s="56">
        <f t="shared" si="291"/>
        <v>906.05761200000006</v>
      </c>
      <c r="T1911" s="35" t="s">
        <v>118</v>
      </c>
      <c r="U1911" s="18" t="s">
        <v>1873</v>
      </c>
      <c r="V1911" s="19" t="str">
        <f>IF(OR($H1911="",$H1911="sif",$H1911="PM"),"",VLOOKUP($H1911,[5]CU!$C$5:$J$255,8,FALSE))</f>
        <v>3. Formation</v>
      </c>
      <c r="W1911" s="18" t="s">
        <v>255</v>
      </c>
      <c r="X1911" s="18" t="s">
        <v>2364</v>
      </c>
      <c r="Y1911" s="19" t="s">
        <v>32</v>
      </c>
      <c r="Z1911" s="19" t="str">
        <f>A1911 &amp; "-" &amp; VLOOKUP(A1911,[4]PROGRAMMES!$E$1:$F$7,2,FALSE)</f>
        <v>5-Gouvernance et pilotage du secteur</v>
      </c>
      <c r="AA1911" s="19" t="str">
        <f>B1911 &amp; "-" &amp; VLOOKUP(B1911,[4]SOUSPROGRAMMES!$E$1:$F$44,2,FALSE)</f>
        <v>58- Renforcement des compétences de l’administration (cadre normatif, poste-profil, évaluation, équipement, formations…)</v>
      </c>
      <c r="AB1911" s="19" t="str">
        <f>C1911 &amp; "-" &amp; VLOOKUP(C1911,[4]RESULTATS!$E$1:$F$176,2,FALSE)</f>
        <v>582- Le plan de relève permet l’existence continue d’un corps administratif compétent</v>
      </c>
      <c r="AC1911" s="20" t="str">
        <f>D1911 &amp; "-" &amp; VLOOKUP(D1911,[4]STRATEGIES!$E$1:$F$504,2,FALSE)</f>
        <v>5825-Mise en œuvre des plans de formation</v>
      </c>
      <c r="AD1911" s="21" t="str">
        <f t="shared" si="286"/>
        <v>58253-Formation des directeurs centraux et des IRE au management</v>
      </c>
    </row>
    <row r="1912" spans="1:30" s="22" customFormat="1" ht="61" x14ac:dyDescent="0.8">
      <c r="A1912" s="14">
        <v>5</v>
      </c>
      <c r="B1912" s="15">
        <v>58</v>
      </c>
      <c r="C1912" s="15">
        <v>582</v>
      </c>
      <c r="D1912" s="74">
        <v>5825</v>
      </c>
      <c r="E1912" s="14">
        <v>58254</v>
      </c>
      <c r="F1912" s="16" t="s">
        <v>2370</v>
      </c>
      <c r="G1912" s="21" t="s">
        <v>2371</v>
      </c>
      <c r="H1912" s="17" t="s">
        <v>66</v>
      </c>
      <c r="I1912" s="56">
        <v>0</v>
      </c>
      <c r="J1912" s="56">
        <f>10*6</f>
        <v>60</v>
      </c>
      <c r="K1912" s="56">
        <f>10*6</f>
        <v>60</v>
      </c>
      <c r="L1912" s="56">
        <f>10*6</f>
        <v>60</v>
      </c>
      <c r="M1912" s="56">
        <f t="shared" si="289"/>
        <v>180</v>
      </c>
      <c r="N1912" s="56">
        <f>IF(OR(H1912="",H1912="sif",H1912="PM"),0,VLOOKUP(H1912,[5]CU!$C$4:$H$255,6,FALSE))</f>
        <v>0.255</v>
      </c>
      <c r="O1912" s="56">
        <f t="shared" si="292"/>
        <v>0</v>
      </c>
      <c r="P1912" s="56">
        <f t="shared" si="292"/>
        <v>15.3</v>
      </c>
      <c r="Q1912" s="56">
        <f t="shared" si="292"/>
        <v>15.3</v>
      </c>
      <c r="R1912" s="56">
        <f t="shared" si="292"/>
        <v>15.3</v>
      </c>
      <c r="S1912" s="56">
        <f t="shared" si="291"/>
        <v>45.900000000000006</v>
      </c>
      <c r="T1912" s="35" t="s">
        <v>118</v>
      </c>
      <c r="U1912" s="18" t="s">
        <v>1873</v>
      </c>
      <c r="V1912" s="19" t="str">
        <f>IF(OR($H1912="",$H1912="sif",$H1912="PM"),"",VLOOKUP($H1912,[5]CU!$C$5:$J$255,8,FALSE))</f>
        <v>3. Dépenses de fonctionnement</v>
      </c>
      <c r="W1912" s="18" t="s">
        <v>255</v>
      </c>
      <c r="X1912" s="18" t="s">
        <v>2364</v>
      </c>
      <c r="Y1912" s="19" t="s">
        <v>32</v>
      </c>
      <c r="Z1912" s="19" t="str">
        <f>A1912 &amp; "-" &amp; VLOOKUP(A1912,[4]PROGRAMMES!$E$1:$F$7,2,FALSE)</f>
        <v>5-Gouvernance et pilotage du secteur</v>
      </c>
      <c r="AA1912" s="19" t="str">
        <f>B1912 &amp; "-" &amp; VLOOKUP(B1912,[4]SOUSPROGRAMMES!$E$1:$F$44,2,FALSE)</f>
        <v>58- Renforcement des compétences de l’administration (cadre normatif, poste-profil, évaluation, équipement, formations…)</v>
      </c>
      <c r="AB1912" s="19" t="str">
        <f>C1912 &amp; "-" &amp; VLOOKUP(C1912,[4]RESULTATS!$E$1:$F$176,2,FALSE)</f>
        <v>582- Le plan de relève permet l’existence continue d’un corps administratif compétent</v>
      </c>
      <c r="AC1912" s="20" t="str">
        <f>D1912 &amp; "-" &amp; VLOOKUP(D1912,[4]STRATEGIES!$E$1:$F$504,2,FALSE)</f>
        <v>5825-Mise en œuvre des plans de formation</v>
      </c>
      <c r="AD1912" s="21" t="str">
        <f t="shared" si="286"/>
        <v>58254-Suivi de la mise en œuvre des plans de formations</v>
      </c>
    </row>
    <row r="1913" spans="1:30" s="22" customFormat="1" ht="61" x14ac:dyDescent="0.8">
      <c r="A1913" s="14">
        <v>5</v>
      </c>
      <c r="B1913" s="15">
        <v>58</v>
      </c>
      <c r="C1913" s="15">
        <v>582</v>
      </c>
      <c r="D1913" s="74">
        <v>5825</v>
      </c>
      <c r="E1913" s="14">
        <v>58255</v>
      </c>
      <c r="F1913" s="16" t="s">
        <v>2372</v>
      </c>
      <c r="G1913" s="21" t="s">
        <v>100</v>
      </c>
      <c r="H1913" s="17" t="s">
        <v>646</v>
      </c>
      <c r="I1913" s="56">
        <v>0</v>
      </c>
      <c r="J1913" s="56"/>
      <c r="K1913" s="56"/>
      <c r="L1913" s="56">
        <f>2*15*2</f>
        <v>60</v>
      </c>
      <c r="M1913" s="56">
        <f t="shared" si="289"/>
        <v>60</v>
      </c>
      <c r="N1913" s="56">
        <f>IF(OR(H1913="",H1913="sif",H1913="PM"),0,VLOOKUP(H1913,[5]CU!$C$4:$H$255,6,FALSE))</f>
        <v>10.404797</v>
      </c>
      <c r="O1913" s="56">
        <f t="shared" si="292"/>
        <v>0</v>
      </c>
      <c r="P1913" s="56">
        <f t="shared" si="292"/>
        <v>0</v>
      </c>
      <c r="Q1913" s="56">
        <f t="shared" si="292"/>
        <v>0</v>
      </c>
      <c r="R1913" s="56">
        <f t="shared" si="292"/>
        <v>624.28782000000001</v>
      </c>
      <c r="S1913" s="56">
        <f t="shared" si="291"/>
        <v>624.28782000000001</v>
      </c>
      <c r="T1913" s="35" t="s">
        <v>118</v>
      </c>
      <c r="U1913" s="18" t="s">
        <v>1873</v>
      </c>
      <c r="V1913" s="19" t="str">
        <f>IF(OR($H1913="",$H1913="sif",$H1913="PM"),"",VLOOKUP($H1913,[5]CU!$C$5:$J$255,8,FALSE))</f>
        <v>3. Dépenses de fonctionnement</v>
      </c>
      <c r="W1913" s="18" t="s">
        <v>255</v>
      </c>
      <c r="X1913" s="18" t="s">
        <v>2364</v>
      </c>
      <c r="Y1913" s="19" t="s">
        <v>32</v>
      </c>
      <c r="Z1913" s="19" t="str">
        <f>A1913 &amp; "-" &amp; VLOOKUP(A1913,[4]PROGRAMMES!$E$1:$F$7,2,FALSE)</f>
        <v>5-Gouvernance et pilotage du secteur</v>
      </c>
      <c r="AA1913" s="19" t="str">
        <f>B1913 &amp; "-" &amp; VLOOKUP(B1913,[4]SOUSPROGRAMMES!$E$1:$F$44,2,FALSE)</f>
        <v>58- Renforcement des compétences de l’administration (cadre normatif, poste-profil, évaluation, équipement, formations…)</v>
      </c>
      <c r="AB1913" s="19" t="str">
        <f>C1913 &amp; "-" &amp; VLOOKUP(C1913,[4]RESULTATS!$E$1:$F$176,2,FALSE)</f>
        <v>582- Le plan de relève permet l’existence continue d’un corps administratif compétent</v>
      </c>
      <c r="AC1913" s="20" t="str">
        <f>D1913 &amp; "-" &amp; VLOOKUP(D1913,[4]STRATEGIES!$E$1:$F$504,2,FALSE)</f>
        <v>5825-Mise en œuvre des plans de formation</v>
      </c>
      <c r="AD1913" s="21" t="str">
        <f t="shared" si="286"/>
        <v>58255-Analyse des capacités institutionnelles des administrations du MENA</v>
      </c>
    </row>
    <row r="1914" spans="1:30" s="22" customFormat="1" ht="61" x14ac:dyDescent="0.8">
      <c r="A1914" s="14">
        <v>5</v>
      </c>
      <c r="B1914" s="15">
        <v>58</v>
      </c>
      <c r="C1914" s="15">
        <v>583</v>
      </c>
      <c r="D1914" s="74">
        <v>583</v>
      </c>
      <c r="E1914" s="14">
        <v>583</v>
      </c>
      <c r="F1914" s="16" t="s">
        <v>2373</v>
      </c>
      <c r="G1914" s="17"/>
      <c r="H1914" s="17"/>
      <c r="I1914" s="56">
        <v>0</v>
      </c>
      <c r="J1914" s="56"/>
      <c r="K1914" s="56"/>
      <c r="L1914" s="56"/>
      <c r="M1914" s="56"/>
      <c r="N1914" s="56"/>
      <c r="O1914" s="56"/>
      <c r="P1914" s="56"/>
      <c r="Q1914" s="56"/>
      <c r="R1914" s="56"/>
      <c r="S1914" s="56"/>
      <c r="T1914" s="33"/>
      <c r="U1914" s="18"/>
      <c r="V1914" s="19"/>
      <c r="W1914" s="18"/>
      <c r="X1914" s="18"/>
      <c r="Y1914" s="18"/>
      <c r="Z1914" s="19" t="str">
        <f>A1914 &amp; "-" &amp; VLOOKUP(A1914,[4]PROGRAMMES!$E$1:$F$7,2,FALSE)</f>
        <v>5-Gouvernance et pilotage du secteur</v>
      </c>
      <c r="AA1914" s="19" t="str">
        <f>B1914 &amp; "-" &amp; VLOOKUP(B1914,[4]SOUSPROGRAMMES!$E$1:$F$44,2,FALSE)</f>
        <v>58- Renforcement des compétences de l’administration (cadre normatif, poste-profil, évaluation, équipement, formations…)</v>
      </c>
      <c r="AB1914" s="19" t="str">
        <f>C1914 &amp; "-" &amp; VLOOKUP(C1914,[4]RESULTATS!$E$1:$F$176,2,FALSE)</f>
        <v>583- Chaque structure dispose des moyens logistiques nécessaires à l’accomplissement de sa mission</v>
      </c>
      <c r="AC1914" s="20" t="str">
        <f>D1914 &amp; "-" &amp; VLOOKUP(D1914,[4]STRATEGIES!$E$1:$F$504,2,FALSE)</f>
        <v>583- Chaque structure dispose des moyens logistiques nécessaires à l’accomplissement de sa mission</v>
      </c>
      <c r="AD1914" s="21" t="str">
        <f t="shared" si="286"/>
        <v>583- Chaque structure dispose des moyens logistiques nécessaires à l’accomplissement de sa mission</v>
      </c>
    </row>
    <row r="1915" spans="1:30" s="22" customFormat="1" ht="61" x14ac:dyDescent="0.8">
      <c r="A1915" s="14">
        <v>5</v>
      </c>
      <c r="B1915" s="15">
        <v>58</v>
      </c>
      <c r="C1915" s="15">
        <v>583</v>
      </c>
      <c r="D1915" s="74">
        <v>5831</v>
      </c>
      <c r="E1915" s="14">
        <v>5831</v>
      </c>
      <c r="F1915" s="16" t="s">
        <v>2374</v>
      </c>
      <c r="G1915" s="17"/>
      <c r="H1915" s="17"/>
      <c r="I1915" s="56">
        <v>0</v>
      </c>
      <c r="J1915" s="56"/>
      <c r="K1915" s="56"/>
      <c r="L1915" s="56"/>
      <c r="M1915" s="56"/>
      <c r="N1915" s="56"/>
      <c r="O1915" s="56"/>
      <c r="P1915" s="56"/>
      <c r="Q1915" s="56"/>
      <c r="R1915" s="56"/>
      <c r="S1915" s="56"/>
      <c r="T1915" s="33"/>
      <c r="U1915" s="18"/>
      <c r="V1915" s="19"/>
      <c r="W1915" s="18"/>
      <c r="X1915" s="18"/>
      <c r="Y1915" s="18"/>
      <c r="Z1915" s="19" t="str">
        <f>A1915 &amp; "-" &amp; VLOOKUP(A1915,[4]PROGRAMMES!$E$1:$F$7,2,FALSE)</f>
        <v>5-Gouvernance et pilotage du secteur</v>
      </c>
      <c r="AA1915" s="19" t="str">
        <f>B1915 &amp; "-" &amp; VLOOKUP(B1915,[4]SOUSPROGRAMMES!$E$1:$F$44,2,FALSE)</f>
        <v>58- Renforcement des compétences de l’administration (cadre normatif, poste-profil, évaluation, équipement, formations…)</v>
      </c>
      <c r="AB1915" s="19" t="str">
        <f>C1915 &amp; "-" &amp; VLOOKUP(C1915,[4]RESULTATS!$E$1:$F$176,2,FALSE)</f>
        <v>583- Chaque structure dispose des moyens logistiques nécessaires à l’accomplissement de sa mission</v>
      </c>
      <c r="AC1915" s="20" t="str">
        <f>D1915 &amp; "-" &amp; VLOOKUP(D1915,[4]STRATEGIES!$E$1:$F$504,2,FALSE)</f>
        <v>5831-Evaluation de l'état des lieux et dotation des services en moyens logistiques et équipements</v>
      </c>
      <c r="AD1915" s="21" t="str">
        <f t="shared" si="286"/>
        <v>5831-Evaluation de l'état des lieux et dotation des services en moyens logistiques et équipements</v>
      </c>
    </row>
    <row r="1916" spans="1:30" s="22" customFormat="1" ht="61" hidden="1" x14ac:dyDescent="0.8">
      <c r="A1916" s="14">
        <v>5</v>
      </c>
      <c r="B1916" s="15">
        <v>58</v>
      </c>
      <c r="C1916" s="15">
        <v>583</v>
      </c>
      <c r="D1916" s="74">
        <v>5831</v>
      </c>
      <c r="E1916" s="14">
        <v>58311</v>
      </c>
      <c r="F1916" s="16" t="s">
        <v>2375</v>
      </c>
      <c r="G1916" s="21" t="s">
        <v>92</v>
      </c>
      <c r="H1916" s="17" t="s">
        <v>55</v>
      </c>
      <c r="I1916" s="56">
        <v>0</v>
      </c>
      <c r="J1916" s="56">
        <v>1</v>
      </c>
      <c r="K1916" s="56"/>
      <c r="L1916" s="56"/>
      <c r="M1916" s="56">
        <f t="shared" si="289"/>
        <v>1</v>
      </c>
      <c r="N1916" s="56">
        <f>IF(OR(H1916="",H1916="sif",H1916="PM"),0,VLOOKUP(H1916,[5]CU!$C$4:$H$255,6,FALSE))</f>
        <v>0</v>
      </c>
      <c r="O1916" s="56"/>
      <c r="P1916" s="56"/>
      <c r="Q1916" s="56"/>
      <c r="R1916" s="56"/>
      <c r="S1916" s="56"/>
      <c r="T1916" s="35" t="s">
        <v>56</v>
      </c>
      <c r="U1916" s="18" t="s">
        <v>1873</v>
      </c>
      <c r="V1916" s="19" t="str">
        <f>IF(OR($H1916="",$H1916="sif",$H1916="PM"),"",VLOOKUP($H1916,[5]CU!$C$5:$J$255,8,FALSE))</f>
        <v/>
      </c>
      <c r="W1916" s="18"/>
      <c r="X1916" s="18"/>
      <c r="Y1916" s="18"/>
      <c r="Z1916" s="19" t="str">
        <f>A1916 &amp; "-" &amp; VLOOKUP(A1916,[4]PROGRAMMES!$E$1:$F$7,2,FALSE)</f>
        <v>5-Gouvernance et pilotage du secteur</v>
      </c>
      <c r="AA1916" s="19" t="str">
        <f>B1916 &amp; "-" &amp; VLOOKUP(B1916,[4]SOUSPROGRAMMES!$E$1:$F$44,2,FALSE)</f>
        <v>58- Renforcement des compétences de l’administration (cadre normatif, poste-profil, évaluation, équipement, formations…)</v>
      </c>
      <c r="AB1916" s="19" t="str">
        <f>C1916 &amp; "-" &amp; VLOOKUP(C1916,[4]RESULTATS!$E$1:$F$176,2,FALSE)</f>
        <v>583- Chaque structure dispose des moyens logistiques nécessaires à l’accomplissement de sa mission</v>
      </c>
      <c r="AC1916" s="20" t="str">
        <f>D1916 &amp; "-" &amp; VLOOKUP(D1916,[4]STRATEGIES!$E$1:$F$504,2,FALSE)</f>
        <v>5831-Evaluation de l'état des lieux et dotation des services en moyens logistiques et équipements</v>
      </c>
      <c r="AD1916" s="21" t="str">
        <f t="shared" si="286"/>
        <v>58311-Elaboration d'un questionnaire par structure sur la base du questionnaire existant (inventaire et besoins)</v>
      </c>
    </row>
    <row r="1917" spans="1:30" s="22" customFormat="1" ht="61" hidden="1" x14ac:dyDescent="0.8">
      <c r="A1917" s="14">
        <v>5</v>
      </c>
      <c r="B1917" s="15">
        <v>58</v>
      </c>
      <c r="C1917" s="15">
        <v>583</v>
      </c>
      <c r="D1917" s="74">
        <v>5831</v>
      </c>
      <c r="E1917" s="14">
        <v>58312</v>
      </c>
      <c r="F1917" s="16" t="s">
        <v>2376</v>
      </c>
      <c r="G1917" s="21" t="s">
        <v>92</v>
      </c>
      <c r="H1917" s="17" t="s">
        <v>55</v>
      </c>
      <c r="I1917" s="56">
        <v>0</v>
      </c>
      <c r="J1917" s="56">
        <v>1</v>
      </c>
      <c r="K1917" s="56"/>
      <c r="L1917" s="56"/>
      <c r="M1917" s="56">
        <f t="shared" si="289"/>
        <v>1</v>
      </c>
      <c r="N1917" s="56">
        <f>IF(OR(H1917="",H1917="sif",H1917="PM"),0,VLOOKUP(H1917,[5]CU!$C$4:$H$255,6,FALSE))</f>
        <v>0</v>
      </c>
      <c r="O1917" s="56"/>
      <c r="P1917" s="56"/>
      <c r="Q1917" s="56"/>
      <c r="R1917" s="56"/>
      <c r="S1917" s="56"/>
      <c r="T1917" s="35" t="s">
        <v>56</v>
      </c>
      <c r="U1917" s="18" t="s">
        <v>1873</v>
      </c>
      <c r="V1917" s="19" t="str">
        <f>IF(OR($H1917="",$H1917="sif",$H1917="PM"),"",VLOOKUP($H1917,[5]CU!$C$5:$J$255,8,FALSE))</f>
        <v/>
      </c>
      <c r="W1917" s="18" t="s">
        <v>254</v>
      </c>
      <c r="X1917" s="18" t="s">
        <v>96</v>
      </c>
      <c r="Y1917" s="19" t="s">
        <v>32</v>
      </c>
      <c r="Z1917" s="19" t="str">
        <f>A1917 &amp; "-" &amp; VLOOKUP(A1917,[4]PROGRAMMES!$E$1:$F$7,2,FALSE)</f>
        <v>5-Gouvernance et pilotage du secteur</v>
      </c>
      <c r="AA1917" s="19" t="str">
        <f>B1917 &amp; "-" &amp; VLOOKUP(B1917,[4]SOUSPROGRAMMES!$E$1:$F$44,2,FALSE)</f>
        <v>58- Renforcement des compétences de l’administration (cadre normatif, poste-profil, évaluation, équipement, formations…)</v>
      </c>
      <c r="AB1917" s="19" t="str">
        <f>C1917 &amp; "-" &amp; VLOOKUP(C1917,[4]RESULTATS!$E$1:$F$176,2,FALSE)</f>
        <v>583- Chaque structure dispose des moyens logistiques nécessaires à l’accomplissement de sa mission</v>
      </c>
      <c r="AC1917" s="20" t="str">
        <f>D1917 &amp; "-" &amp; VLOOKUP(D1917,[4]STRATEGIES!$E$1:$F$504,2,FALSE)</f>
        <v>5831-Evaluation de l'état des lieux et dotation des services en moyens logistiques et équipements</v>
      </c>
      <c r="AD1917" s="21" t="str">
        <f t="shared" si="286"/>
        <v>58312-Evaluation des besoins en moyens logistiques et équipements, en rapport avec les missions des structures (sur la base de l'inventaire et des cadres organiques)</v>
      </c>
    </row>
    <row r="1918" spans="1:30" s="22" customFormat="1" ht="61" x14ac:dyDescent="0.8">
      <c r="A1918" s="14">
        <v>5</v>
      </c>
      <c r="B1918" s="15">
        <v>58</v>
      </c>
      <c r="C1918" s="15">
        <v>583</v>
      </c>
      <c r="D1918" s="74">
        <v>5831</v>
      </c>
      <c r="E1918" s="14">
        <v>58313</v>
      </c>
      <c r="F1918" s="16" t="s">
        <v>2377</v>
      </c>
      <c r="G1918" s="21" t="s">
        <v>177</v>
      </c>
      <c r="H1918" s="17" t="s">
        <v>59</v>
      </c>
      <c r="I1918" s="56">
        <v>0</v>
      </c>
      <c r="J1918" s="56">
        <f>4*5*4</f>
        <v>80</v>
      </c>
      <c r="K1918" s="56"/>
      <c r="L1918" s="56"/>
      <c r="M1918" s="56">
        <f t="shared" si="289"/>
        <v>80</v>
      </c>
      <c r="N1918" s="56">
        <f>IF(OR(H1918="",H1918="sif",H1918="PM"),0,VLOOKUP(H1918,[5]CU!$C$4:$H$255,6,FALSE))</f>
        <v>0.8177777777777776</v>
      </c>
      <c r="O1918" s="56">
        <f t="shared" ref="O1918:R1929" si="296">$N1918*I1918</f>
        <v>0</v>
      </c>
      <c r="P1918" s="56">
        <f t="shared" si="296"/>
        <v>65.422222222222203</v>
      </c>
      <c r="Q1918" s="56">
        <f t="shared" si="296"/>
        <v>0</v>
      </c>
      <c r="R1918" s="56">
        <f t="shared" si="296"/>
        <v>0</v>
      </c>
      <c r="S1918" s="56">
        <f t="shared" ref="S1918:S1929" si="297">SUM(O1918:R1918)</f>
        <v>65.422222222222203</v>
      </c>
      <c r="T1918" s="35" t="s">
        <v>118</v>
      </c>
      <c r="U1918" s="18" t="s">
        <v>1873</v>
      </c>
      <c r="V1918" s="19" t="str">
        <f>IF(OR($H1918="",$H1918="sif",$H1918="PM"),"",VLOOKUP($H1918,[5]CU!$C$5:$J$255,8,FALSE))</f>
        <v>3. Dépenses de fonctionnement</v>
      </c>
      <c r="W1918" s="18" t="s">
        <v>254</v>
      </c>
      <c r="X1918" s="18" t="s">
        <v>96</v>
      </c>
      <c r="Y1918" s="19" t="s">
        <v>32</v>
      </c>
      <c r="Z1918" s="19" t="str">
        <f>A1918 &amp; "-" &amp; VLOOKUP(A1918,[4]PROGRAMMES!$E$1:$F$7,2,FALSE)</f>
        <v>5-Gouvernance et pilotage du secteur</v>
      </c>
      <c r="AA1918" s="19" t="str">
        <f>B1918 &amp; "-" &amp; VLOOKUP(B1918,[4]SOUSPROGRAMMES!$E$1:$F$44,2,FALSE)</f>
        <v>58- Renforcement des compétences de l’administration (cadre normatif, poste-profil, évaluation, équipement, formations…)</v>
      </c>
      <c r="AB1918" s="19" t="str">
        <f>C1918 &amp; "-" &amp; VLOOKUP(C1918,[4]RESULTATS!$E$1:$F$176,2,FALSE)</f>
        <v>583- Chaque structure dispose des moyens logistiques nécessaires à l’accomplissement de sa mission</v>
      </c>
      <c r="AC1918" s="20" t="str">
        <f>D1918 &amp; "-" &amp; VLOOKUP(D1918,[4]STRATEGIES!$E$1:$F$504,2,FALSE)</f>
        <v>5831-Evaluation de l'état des lieux et dotation des services en moyens logistiques et équipements</v>
      </c>
      <c r="AD1918" s="21" t="str">
        <f t="shared" si="286"/>
        <v>58313-Vérification des besoins pour un échantillon de structures</v>
      </c>
    </row>
    <row r="1919" spans="1:30" s="22" customFormat="1" ht="61" hidden="1" x14ac:dyDescent="0.8">
      <c r="A1919" s="14">
        <v>5</v>
      </c>
      <c r="B1919" s="15">
        <v>58</v>
      </c>
      <c r="C1919" s="15">
        <v>583</v>
      </c>
      <c r="D1919" s="74">
        <v>5831</v>
      </c>
      <c r="E1919" s="14">
        <v>58314</v>
      </c>
      <c r="F1919" s="16" t="s">
        <v>2378</v>
      </c>
      <c r="G1919" s="21" t="s">
        <v>2379</v>
      </c>
      <c r="H1919" s="17" t="s">
        <v>1347</v>
      </c>
      <c r="I1919" s="56">
        <v>0</v>
      </c>
      <c r="J1919" s="56">
        <f t="shared" ref="J1919:L1920" si="298">143.333333333333*50%</f>
        <v>71.666666666666501</v>
      </c>
      <c r="K1919" s="56">
        <f t="shared" si="298"/>
        <v>71.666666666666501</v>
      </c>
      <c r="L1919" s="56">
        <f t="shared" si="298"/>
        <v>71.666666666666501</v>
      </c>
      <c r="M1919" s="56">
        <f>SUM(I1919:L1919)</f>
        <v>214.99999999999949</v>
      </c>
      <c r="N1919" s="56">
        <f>IF(OR(H1919="",H1919="sif",H1919="PM"),0,VLOOKUP(H1919,[5]CU!$C$4:$H$255,6,FALSE))</f>
        <v>15</v>
      </c>
      <c r="O1919" s="56">
        <f>$N1919*I1919</f>
        <v>0</v>
      </c>
      <c r="P1919" s="56">
        <f>$N1919*J1919</f>
        <v>1074.9999999999975</v>
      </c>
      <c r="Q1919" s="56">
        <f>$N1919*K1919</f>
        <v>1074.9999999999975</v>
      </c>
      <c r="R1919" s="56">
        <f>$N1919*L1919</f>
        <v>1074.9999999999975</v>
      </c>
      <c r="S1919" s="56">
        <f>SUM(O1919:R1919)</f>
        <v>3224.9999999999927</v>
      </c>
      <c r="T1919" s="35" t="s">
        <v>56</v>
      </c>
      <c r="U1919" s="18" t="s">
        <v>1873</v>
      </c>
      <c r="V1919" s="19" t="str">
        <f>IF(OR($H1919="",$H1919="sif",$H1919="PM"),"",VLOOKUP($H1919,[5]CU!$C$5:$J$255,8,FALSE))</f>
        <v>5. Investissement</v>
      </c>
      <c r="W1919" s="18" t="s">
        <v>254</v>
      </c>
      <c r="X1919" s="18" t="s">
        <v>96</v>
      </c>
      <c r="Y1919" s="19" t="s">
        <v>32</v>
      </c>
      <c r="Z1919" s="19" t="str">
        <f>A1919 &amp; "-" &amp; VLOOKUP(A1919,[4]PROGRAMMES!$E$1:$F$7,2,FALSE)</f>
        <v>5-Gouvernance et pilotage du secteur</v>
      </c>
      <c r="AA1919" s="19" t="str">
        <f>B1919 &amp; "-" &amp; VLOOKUP(B1919,[4]SOUSPROGRAMMES!$E$1:$F$44,2,FALSE)</f>
        <v>58- Renforcement des compétences de l’administration (cadre normatif, poste-profil, évaluation, équipement, formations…)</v>
      </c>
      <c r="AB1919" s="19" t="str">
        <f>C1919 &amp; "-" &amp; VLOOKUP(C1919,[4]RESULTATS!$E$1:$F$176,2,FALSE)</f>
        <v>583- Chaque structure dispose des moyens logistiques nécessaires à l’accomplissement de sa mission</v>
      </c>
      <c r="AC1919" s="20" t="str">
        <f>D1919 &amp; "-" &amp; VLOOKUP(D1919,[4]STRATEGIES!$E$1:$F$504,2,FALSE)</f>
        <v>5831-Evaluation de l'état des lieux et dotation des services en moyens logistiques et équipements</v>
      </c>
      <c r="AD1919" s="21" t="str">
        <f t="shared" si="286"/>
        <v>58314-Acquisition de matériels roulants</v>
      </c>
    </row>
    <row r="1920" spans="1:30" s="22" customFormat="1" ht="61" x14ac:dyDescent="0.8">
      <c r="A1920" s="14">
        <v>5</v>
      </c>
      <c r="B1920" s="15">
        <v>58</v>
      </c>
      <c r="C1920" s="15">
        <v>583</v>
      </c>
      <c r="D1920" s="74">
        <v>5831</v>
      </c>
      <c r="E1920" s="14">
        <v>58314</v>
      </c>
      <c r="F1920" s="16" t="s">
        <v>2378</v>
      </c>
      <c r="G1920" s="21" t="s">
        <v>2379</v>
      </c>
      <c r="H1920" s="17" t="s">
        <v>1347</v>
      </c>
      <c r="I1920" s="56">
        <v>0</v>
      </c>
      <c r="J1920" s="56">
        <f t="shared" si="298"/>
        <v>71.666666666666501</v>
      </c>
      <c r="K1920" s="56">
        <f t="shared" si="298"/>
        <v>71.666666666666501</v>
      </c>
      <c r="L1920" s="56">
        <f t="shared" si="298"/>
        <v>71.666666666666501</v>
      </c>
      <c r="M1920" s="56">
        <f t="shared" si="289"/>
        <v>214.99999999999949</v>
      </c>
      <c r="N1920" s="56">
        <f>IF(OR(H1920="",H1920="sif",H1920="PM"),0,VLOOKUP(H1920,[5]CU!$C$4:$H$255,6,FALSE))</f>
        <v>15</v>
      </c>
      <c r="O1920" s="56">
        <f t="shared" si="296"/>
        <v>0</v>
      </c>
      <c r="P1920" s="56">
        <f t="shared" si="296"/>
        <v>1074.9999999999975</v>
      </c>
      <c r="Q1920" s="56">
        <f t="shared" si="296"/>
        <v>1074.9999999999975</v>
      </c>
      <c r="R1920" s="56">
        <f t="shared" si="296"/>
        <v>1074.9999999999975</v>
      </c>
      <c r="S1920" s="56">
        <f t="shared" si="297"/>
        <v>3224.9999999999927</v>
      </c>
      <c r="T1920" s="35" t="s">
        <v>118</v>
      </c>
      <c r="U1920" s="18" t="s">
        <v>1873</v>
      </c>
      <c r="V1920" s="19" t="str">
        <f>IF(OR($H1920="",$H1920="sif",$H1920="PM"),"",VLOOKUP($H1920,[5]CU!$C$5:$J$255,8,FALSE))</f>
        <v>5. Investissement</v>
      </c>
      <c r="W1920" s="18" t="s">
        <v>254</v>
      </c>
      <c r="X1920" s="18" t="s">
        <v>96</v>
      </c>
      <c r="Y1920" s="19" t="s">
        <v>32</v>
      </c>
      <c r="Z1920" s="19" t="str">
        <f>A1920 &amp; "-" &amp; VLOOKUP(A1920,[4]PROGRAMMES!$E$1:$F$7,2,FALSE)</f>
        <v>5-Gouvernance et pilotage du secteur</v>
      </c>
      <c r="AA1920" s="19" t="str">
        <f>B1920 &amp; "-" &amp; VLOOKUP(B1920,[4]SOUSPROGRAMMES!$E$1:$F$44,2,FALSE)</f>
        <v>58- Renforcement des compétences de l’administration (cadre normatif, poste-profil, évaluation, équipement, formations…)</v>
      </c>
      <c r="AB1920" s="19" t="str">
        <f>C1920 &amp; "-" &amp; VLOOKUP(C1920,[4]RESULTATS!$E$1:$F$176,2,FALSE)</f>
        <v>583- Chaque structure dispose des moyens logistiques nécessaires à l’accomplissement de sa mission</v>
      </c>
      <c r="AC1920" s="20" t="str">
        <f>D1920 &amp; "-" &amp; VLOOKUP(D1920,[4]STRATEGIES!$E$1:$F$504,2,FALSE)</f>
        <v>5831-Evaluation de l'état des lieux et dotation des services en moyens logistiques et équipements</v>
      </c>
      <c r="AD1920" s="21" t="str">
        <f t="shared" si="286"/>
        <v>58314-Acquisition de matériels roulants</v>
      </c>
    </row>
    <row r="1921" spans="1:30" s="22" customFormat="1" ht="61" hidden="1" x14ac:dyDescent="0.8">
      <c r="A1921" s="14">
        <v>5</v>
      </c>
      <c r="B1921" s="15">
        <v>58</v>
      </c>
      <c r="C1921" s="15">
        <v>583</v>
      </c>
      <c r="D1921" s="74">
        <v>5831</v>
      </c>
      <c r="E1921" s="14">
        <v>58315</v>
      </c>
      <c r="F1921" s="16" t="s">
        <v>2378</v>
      </c>
      <c r="G1921" s="21" t="s">
        <v>2380</v>
      </c>
      <c r="H1921" s="17" t="s">
        <v>980</v>
      </c>
      <c r="I1921" s="56">
        <v>0</v>
      </c>
      <c r="J1921" s="56">
        <f>3*50%</f>
        <v>1.5</v>
      </c>
      <c r="K1921" s="56">
        <f>5*50%</f>
        <v>2.5</v>
      </c>
      <c r="L1921" s="56"/>
      <c r="M1921" s="56">
        <f>SUM(I1921:L1921)</f>
        <v>4</v>
      </c>
      <c r="N1921" s="56">
        <f>IF(OR(H1921="",H1921="sif",H1921="PM"),0,VLOOKUP(H1921,[5]CU!$C$4:$H$255,6,FALSE))</f>
        <v>300</v>
      </c>
      <c r="O1921" s="56">
        <f>$N1921*I1921</f>
        <v>0</v>
      </c>
      <c r="P1921" s="56">
        <f>$N1921*J1921</f>
        <v>450</v>
      </c>
      <c r="Q1921" s="56">
        <f>$N1921*K1921</f>
        <v>750</v>
      </c>
      <c r="R1921" s="56">
        <f>$N1921*L1921</f>
        <v>0</v>
      </c>
      <c r="S1921" s="56">
        <f>SUM(O1921:R1921)</f>
        <v>1200</v>
      </c>
      <c r="T1921" s="35" t="s">
        <v>56</v>
      </c>
      <c r="U1921" s="18" t="s">
        <v>1873</v>
      </c>
      <c r="V1921" s="19" t="str">
        <f>IF(OR($H1921="",$H1921="sif",$H1921="PM"),"",VLOOKUP($H1921,[5]CU!$C$5:$J$255,8,FALSE))</f>
        <v>5. Investissement</v>
      </c>
      <c r="W1921" s="18" t="s">
        <v>254</v>
      </c>
      <c r="X1921" s="18" t="s">
        <v>96</v>
      </c>
      <c r="Y1921" s="19" t="s">
        <v>32</v>
      </c>
      <c r="Z1921" s="19" t="str">
        <f>A1921 &amp; "-" &amp; VLOOKUP(A1921,[4]PROGRAMMES!$E$1:$F$7,2,FALSE)</f>
        <v>5-Gouvernance et pilotage du secteur</v>
      </c>
      <c r="AA1921" s="19" t="str">
        <f>B1921 &amp; "-" &amp; VLOOKUP(B1921,[4]SOUSPROGRAMMES!$E$1:$F$44,2,FALSE)</f>
        <v>58- Renforcement des compétences de l’administration (cadre normatif, poste-profil, évaluation, équipement, formations…)</v>
      </c>
      <c r="AB1921" s="19" t="str">
        <f>C1921 &amp; "-" &amp; VLOOKUP(C1921,[4]RESULTATS!$E$1:$F$176,2,FALSE)</f>
        <v>583- Chaque structure dispose des moyens logistiques nécessaires à l’accomplissement de sa mission</v>
      </c>
      <c r="AC1921" s="20" t="str">
        <f>D1921 &amp; "-" &amp; VLOOKUP(D1921,[4]STRATEGIES!$E$1:$F$504,2,FALSE)</f>
        <v>5831-Evaluation de l'état des lieux et dotation des services en moyens logistiques et équipements</v>
      </c>
      <c r="AD1921" s="21" t="str">
        <f t="shared" si="286"/>
        <v>58315-Acquisition de matériels roulants</v>
      </c>
    </row>
    <row r="1922" spans="1:30" s="22" customFormat="1" ht="61" x14ac:dyDescent="0.8">
      <c r="A1922" s="14">
        <v>5</v>
      </c>
      <c r="B1922" s="15">
        <v>58</v>
      </c>
      <c r="C1922" s="15">
        <v>583</v>
      </c>
      <c r="D1922" s="74">
        <v>5831</v>
      </c>
      <c r="E1922" s="14">
        <v>58315</v>
      </c>
      <c r="F1922" s="16" t="s">
        <v>2378</v>
      </c>
      <c r="G1922" s="21" t="s">
        <v>2380</v>
      </c>
      <c r="H1922" s="17" t="s">
        <v>980</v>
      </c>
      <c r="I1922" s="56">
        <v>0</v>
      </c>
      <c r="J1922" s="56">
        <f>3*50%</f>
        <v>1.5</v>
      </c>
      <c r="K1922" s="56">
        <f>5*50%</f>
        <v>2.5</v>
      </c>
      <c r="L1922" s="56"/>
      <c r="M1922" s="56">
        <f t="shared" si="289"/>
        <v>4</v>
      </c>
      <c r="N1922" s="56">
        <f>IF(OR(H1922="",H1922="sif",H1922="PM"),0,VLOOKUP(H1922,[5]CU!$C$4:$H$255,6,FALSE))</f>
        <v>300</v>
      </c>
      <c r="O1922" s="56">
        <f t="shared" si="296"/>
        <v>0</v>
      </c>
      <c r="P1922" s="56">
        <f t="shared" si="296"/>
        <v>450</v>
      </c>
      <c r="Q1922" s="56">
        <f t="shared" si="296"/>
        <v>750</v>
      </c>
      <c r="R1922" s="56">
        <f t="shared" si="296"/>
        <v>0</v>
      </c>
      <c r="S1922" s="56">
        <f t="shared" si="297"/>
        <v>1200</v>
      </c>
      <c r="T1922" s="35" t="s">
        <v>118</v>
      </c>
      <c r="U1922" s="18" t="s">
        <v>1873</v>
      </c>
      <c r="V1922" s="19" t="str">
        <f>IF(OR($H1922="",$H1922="sif",$H1922="PM"),"",VLOOKUP($H1922,[5]CU!$C$5:$J$255,8,FALSE))</f>
        <v>5. Investissement</v>
      </c>
      <c r="W1922" s="18" t="s">
        <v>254</v>
      </c>
      <c r="X1922" s="18" t="s">
        <v>96</v>
      </c>
      <c r="Y1922" s="19" t="s">
        <v>32</v>
      </c>
      <c r="Z1922" s="19" t="str">
        <f>A1922 &amp; "-" &amp; VLOOKUP(A1922,[4]PROGRAMMES!$E$1:$F$7,2,FALSE)</f>
        <v>5-Gouvernance et pilotage du secteur</v>
      </c>
      <c r="AA1922" s="19" t="str">
        <f>B1922 &amp; "-" &amp; VLOOKUP(B1922,[4]SOUSPROGRAMMES!$E$1:$F$44,2,FALSE)</f>
        <v>58- Renforcement des compétences de l’administration (cadre normatif, poste-profil, évaluation, équipement, formations…)</v>
      </c>
      <c r="AB1922" s="19" t="str">
        <f>C1922 &amp; "-" &amp; VLOOKUP(C1922,[4]RESULTATS!$E$1:$F$176,2,FALSE)</f>
        <v>583- Chaque structure dispose des moyens logistiques nécessaires à l’accomplissement de sa mission</v>
      </c>
      <c r="AC1922" s="20" t="str">
        <f>D1922 &amp; "-" &amp; VLOOKUP(D1922,[4]STRATEGIES!$E$1:$F$504,2,FALSE)</f>
        <v>5831-Evaluation de l'état des lieux et dotation des services en moyens logistiques et équipements</v>
      </c>
      <c r="AD1922" s="21" t="str">
        <f t="shared" si="286"/>
        <v>58315-Acquisition de matériels roulants</v>
      </c>
    </row>
    <row r="1923" spans="1:30" s="22" customFormat="1" ht="61" hidden="1" x14ac:dyDescent="0.8">
      <c r="A1923" s="14">
        <v>5</v>
      </c>
      <c r="B1923" s="15">
        <v>58</v>
      </c>
      <c r="C1923" s="15">
        <v>583</v>
      </c>
      <c r="D1923" s="74">
        <v>5831</v>
      </c>
      <c r="E1923" s="14">
        <v>58316</v>
      </c>
      <c r="F1923" s="16" t="s">
        <v>2381</v>
      </c>
      <c r="G1923" s="21" t="s">
        <v>2382</v>
      </c>
      <c r="H1923" s="17" t="s">
        <v>972</v>
      </c>
      <c r="I1923" s="56">
        <v>0</v>
      </c>
      <c r="J1923" s="56">
        <v>10</v>
      </c>
      <c r="K1923" s="56">
        <v>10</v>
      </c>
      <c r="L1923" s="56"/>
      <c r="M1923" s="56">
        <f t="shared" si="289"/>
        <v>20</v>
      </c>
      <c r="N1923" s="56">
        <f>IF(OR(H1923="",H1923="sif",H1923="PM"),0,VLOOKUP(H1923,[5]CU!$C$4:$H$255,6,FALSE))</f>
        <v>5</v>
      </c>
      <c r="O1923" s="56">
        <f t="shared" si="296"/>
        <v>0</v>
      </c>
      <c r="P1923" s="56">
        <f t="shared" si="296"/>
        <v>50</v>
      </c>
      <c r="Q1923" s="56">
        <f t="shared" si="296"/>
        <v>50</v>
      </c>
      <c r="R1923" s="56">
        <f t="shared" si="296"/>
        <v>0</v>
      </c>
      <c r="S1923" s="56">
        <f t="shared" si="297"/>
        <v>100</v>
      </c>
      <c r="T1923" s="35" t="s">
        <v>56</v>
      </c>
      <c r="U1923" s="18" t="s">
        <v>1873</v>
      </c>
      <c r="V1923" s="19" t="str">
        <f>IF(OR($H1923="",$H1923="sif",$H1923="PM"),"",VLOOKUP($H1923,[5]CU!$C$5:$J$255,8,FALSE))</f>
        <v>5. Investissement</v>
      </c>
      <c r="W1923" s="18" t="s">
        <v>254</v>
      </c>
      <c r="X1923" s="18" t="s">
        <v>96</v>
      </c>
      <c r="Y1923" s="19" t="s">
        <v>32</v>
      </c>
      <c r="Z1923" s="19" t="str">
        <f>A1923 &amp; "-" &amp; VLOOKUP(A1923,[4]PROGRAMMES!$E$1:$F$7,2,FALSE)</f>
        <v>5-Gouvernance et pilotage du secteur</v>
      </c>
      <c r="AA1923" s="19" t="str">
        <f>B1923 &amp; "-" &amp; VLOOKUP(B1923,[4]SOUSPROGRAMMES!$E$1:$F$44,2,FALSE)</f>
        <v>58- Renforcement des compétences de l’administration (cadre normatif, poste-profil, évaluation, équipement, formations…)</v>
      </c>
      <c r="AB1923" s="19" t="str">
        <f>C1923 &amp; "-" &amp; VLOOKUP(C1923,[4]RESULTATS!$E$1:$F$176,2,FALSE)</f>
        <v>583- Chaque structure dispose des moyens logistiques nécessaires à l’accomplissement de sa mission</v>
      </c>
      <c r="AC1923" s="20" t="str">
        <f>D1923 &amp; "-" &amp; VLOOKUP(D1923,[4]STRATEGIES!$E$1:$F$504,2,FALSE)</f>
        <v>5831-Evaluation de l'état des lieux et dotation des services en moyens logistiques et équipements</v>
      </c>
      <c r="AD1923" s="21" t="str">
        <f t="shared" si="286"/>
        <v>58316-Acquisition d'équipement informatique (ordinateurs portables)</v>
      </c>
    </row>
    <row r="1924" spans="1:30" s="22" customFormat="1" ht="61" hidden="1" x14ac:dyDescent="0.8">
      <c r="A1924" s="14">
        <v>5</v>
      </c>
      <c r="B1924" s="15">
        <v>58</v>
      </c>
      <c r="C1924" s="15">
        <v>583</v>
      </c>
      <c r="D1924" s="74">
        <v>5831</v>
      </c>
      <c r="E1924" s="14">
        <v>58317</v>
      </c>
      <c r="F1924" s="16" t="s">
        <v>2381</v>
      </c>
      <c r="G1924" s="21" t="s">
        <v>2383</v>
      </c>
      <c r="H1924" s="17" t="s">
        <v>974</v>
      </c>
      <c r="I1924" s="56">
        <v>0</v>
      </c>
      <c r="J1924" s="56">
        <v>0</v>
      </c>
      <c r="K1924" s="56">
        <v>0</v>
      </c>
      <c r="L1924" s="56"/>
      <c r="M1924" s="56">
        <f>SUM(I1924:L1924)</f>
        <v>0</v>
      </c>
      <c r="N1924" s="56">
        <f>IF(OR(H1924="",H1924="sif",H1924="PM"),0,VLOOKUP(H1924,[5]CU!$C$4:$H$255,6,FALSE))</f>
        <v>6.333333333333333</v>
      </c>
      <c r="O1924" s="56">
        <f>$N1924*I1924</f>
        <v>0</v>
      </c>
      <c r="P1924" s="56">
        <f>$N1924*J1924</f>
        <v>0</v>
      </c>
      <c r="Q1924" s="56"/>
      <c r="R1924" s="56">
        <f>$N1924*L1924</f>
        <v>0</v>
      </c>
      <c r="S1924" s="56">
        <f>SUM(O1924:R1924)</f>
        <v>0</v>
      </c>
      <c r="T1924" s="35" t="s">
        <v>178</v>
      </c>
      <c r="U1924" s="18" t="s">
        <v>1873</v>
      </c>
      <c r="V1924" s="19" t="str">
        <f>IF(OR($H1924="",$H1924="sif",$H1924="PM"),"",VLOOKUP($H1924,[5]CU!$C$5:$J$255,8,FALSE))</f>
        <v>5. Investissement</v>
      </c>
      <c r="W1924" s="18" t="s">
        <v>254</v>
      </c>
      <c r="X1924" s="18" t="s">
        <v>96</v>
      </c>
      <c r="Y1924" s="19" t="s">
        <v>32</v>
      </c>
      <c r="Z1924" s="19" t="str">
        <f>A1924 &amp; "-" &amp; VLOOKUP(A1924,[4]PROGRAMMES!$E$1:$F$7,2,FALSE)</f>
        <v>5-Gouvernance et pilotage du secteur</v>
      </c>
      <c r="AA1924" s="19" t="str">
        <f>B1924 &amp; "-" &amp; VLOOKUP(B1924,[4]SOUSPROGRAMMES!$E$1:$F$44,2,FALSE)</f>
        <v>58- Renforcement des compétences de l’administration (cadre normatif, poste-profil, évaluation, équipement, formations…)</v>
      </c>
      <c r="AB1924" s="19" t="str">
        <f>C1924 &amp; "-" &amp; VLOOKUP(C1924,[4]RESULTATS!$E$1:$F$176,2,FALSE)</f>
        <v>583- Chaque structure dispose des moyens logistiques nécessaires à l’accomplissement de sa mission</v>
      </c>
      <c r="AC1924" s="20" t="str">
        <f>D1924 &amp; "-" &amp; VLOOKUP(D1924,[4]STRATEGIES!$E$1:$F$504,2,FALSE)</f>
        <v>5831-Evaluation de l'état des lieux et dotation des services en moyens logistiques et équipements</v>
      </c>
      <c r="AD1924" s="21" t="str">
        <f t="shared" si="286"/>
        <v>58317-Acquisition d'équipement informatique (ordinateurs portables)</v>
      </c>
    </row>
    <row r="1925" spans="1:30" s="22" customFormat="1" ht="61" x14ac:dyDescent="0.8">
      <c r="A1925" s="14">
        <v>5</v>
      </c>
      <c r="B1925" s="15">
        <v>58</v>
      </c>
      <c r="C1925" s="15">
        <v>583</v>
      </c>
      <c r="D1925" s="74">
        <v>5831</v>
      </c>
      <c r="E1925" s="14">
        <v>58317</v>
      </c>
      <c r="F1925" s="16" t="s">
        <v>2381</v>
      </c>
      <c r="G1925" s="21" t="s">
        <v>2383</v>
      </c>
      <c r="H1925" s="17" t="s">
        <v>974</v>
      </c>
      <c r="I1925" s="56">
        <v>0</v>
      </c>
      <c r="J1925" s="56"/>
      <c r="K1925" s="56">
        <v>10</v>
      </c>
      <c r="L1925" s="56"/>
      <c r="M1925" s="56">
        <f t="shared" si="289"/>
        <v>10</v>
      </c>
      <c r="N1925" s="56">
        <f>IF(OR(H1925="",H1925="sif",H1925="PM"),0,VLOOKUP(H1925,[5]CU!$C$4:$H$255,6,FALSE))</f>
        <v>6.333333333333333</v>
      </c>
      <c r="O1925" s="56">
        <f t="shared" si="296"/>
        <v>0</v>
      </c>
      <c r="P1925" s="56">
        <f t="shared" si="296"/>
        <v>0</v>
      </c>
      <c r="Q1925" s="56">
        <f t="shared" si="296"/>
        <v>63.333333333333329</v>
      </c>
      <c r="R1925" s="56">
        <f t="shared" si="296"/>
        <v>0</v>
      </c>
      <c r="S1925" s="56">
        <f t="shared" si="297"/>
        <v>63.333333333333329</v>
      </c>
      <c r="T1925" s="35" t="s">
        <v>39</v>
      </c>
      <c r="U1925" s="18" t="s">
        <v>1873</v>
      </c>
      <c r="V1925" s="19" t="str">
        <f>IF(OR($H1925="",$H1925="sif",$H1925="PM"),"",VLOOKUP($H1925,[5]CU!$C$5:$J$255,8,FALSE))</f>
        <v>5. Investissement</v>
      </c>
      <c r="W1925" s="18" t="s">
        <v>254</v>
      </c>
      <c r="X1925" s="18" t="s">
        <v>96</v>
      </c>
      <c r="Y1925" s="19" t="s">
        <v>32</v>
      </c>
      <c r="Z1925" s="19" t="str">
        <f>A1925 &amp; "-" &amp; VLOOKUP(A1925,[4]PROGRAMMES!$E$1:$F$7,2,FALSE)</f>
        <v>5-Gouvernance et pilotage du secteur</v>
      </c>
      <c r="AA1925" s="19" t="str">
        <f>B1925 &amp; "-" &amp; VLOOKUP(B1925,[4]SOUSPROGRAMMES!$E$1:$F$44,2,FALSE)</f>
        <v>58- Renforcement des compétences de l’administration (cadre normatif, poste-profil, évaluation, équipement, formations…)</v>
      </c>
      <c r="AB1925" s="19" t="str">
        <f>C1925 &amp; "-" &amp; VLOOKUP(C1925,[4]RESULTATS!$E$1:$F$176,2,FALSE)</f>
        <v>583- Chaque structure dispose des moyens logistiques nécessaires à l’accomplissement de sa mission</v>
      </c>
      <c r="AC1925" s="20" t="str">
        <f>D1925 &amp; "-" &amp; VLOOKUP(D1925,[4]STRATEGIES!$E$1:$F$504,2,FALSE)</f>
        <v>5831-Evaluation de l'état des lieux et dotation des services en moyens logistiques et équipements</v>
      </c>
      <c r="AD1925" s="21" t="str">
        <f t="shared" si="286"/>
        <v>58317-Acquisition d'équipement informatique (ordinateurs portables)</v>
      </c>
    </row>
    <row r="1926" spans="1:30" s="22" customFormat="1" ht="61" hidden="1" x14ac:dyDescent="0.8">
      <c r="A1926" s="14">
        <v>5</v>
      </c>
      <c r="B1926" s="15">
        <v>58</v>
      </c>
      <c r="C1926" s="15">
        <v>583</v>
      </c>
      <c r="D1926" s="74">
        <v>5831</v>
      </c>
      <c r="E1926" s="14">
        <v>58318</v>
      </c>
      <c r="F1926" s="16" t="s">
        <v>2384</v>
      </c>
      <c r="G1926" s="21" t="s">
        <v>1619</v>
      </c>
      <c r="H1926" s="17" t="s">
        <v>1509</v>
      </c>
      <c r="I1926" s="56">
        <v>0</v>
      </c>
      <c r="J1926" s="56">
        <v>38</v>
      </c>
      <c r="K1926" s="56">
        <v>427</v>
      </c>
      <c r="L1926" s="56"/>
      <c r="M1926" s="56">
        <f t="shared" si="289"/>
        <v>465</v>
      </c>
      <c r="N1926" s="56">
        <f>IF(OR(H1926="",H1926="sif",H1926="PM"),0,VLOOKUP(H1926,[5]CU!$C$4:$H$255,6,FALSE))</f>
        <v>0.48333333333333334</v>
      </c>
      <c r="O1926" s="56">
        <f t="shared" si="296"/>
        <v>0</v>
      </c>
      <c r="P1926" s="56">
        <f t="shared" si="296"/>
        <v>18.366666666666667</v>
      </c>
      <c r="Q1926" s="56">
        <f t="shared" si="296"/>
        <v>206.38333333333333</v>
      </c>
      <c r="R1926" s="56">
        <f t="shared" si="296"/>
        <v>0</v>
      </c>
      <c r="S1926" s="56">
        <f t="shared" si="297"/>
        <v>224.75</v>
      </c>
      <c r="T1926" s="35" t="s">
        <v>56</v>
      </c>
      <c r="U1926" s="18" t="s">
        <v>1873</v>
      </c>
      <c r="V1926" s="19" t="str">
        <f>IF(OR($H1926="",$H1926="sif",$H1926="PM"),"",VLOOKUP($H1926,[5]CU!$C$5:$J$255,8,FALSE))</f>
        <v>3. Dépenses de fonctionnement</v>
      </c>
      <c r="W1926" s="18" t="s">
        <v>254</v>
      </c>
      <c r="X1926" s="18" t="s">
        <v>96</v>
      </c>
      <c r="Y1926" s="19" t="s">
        <v>32</v>
      </c>
      <c r="Z1926" s="19" t="str">
        <f>A1926 &amp; "-" &amp; VLOOKUP(A1926,[4]PROGRAMMES!$E$1:$F$7,2,FALSE)</f>
        <v>5-Gouvernance et pilotage du secteur</v>
      </c>
      <c r="AA1926" s="19" t="str">
        <f>B1926 &amp; "-" &amp; VLOOKUP(B1926,[4]SOUSPROGRAMMES!$E$1:$F$44,2,FALSE)</f>
        <v>58- Renforcement des compétences de l’administration (cadre normatif, poste-profil, évaluation, équipement, formations…)</v>
      </c>
      <c r="AB1926" s="19" t="str">
        <f>C1926 &amp; "-" &amp; VLOOKUP(C1926,[4]RESULTATS!$E$1:$F$176,2,FALSE)</f>
        <v>583- Chaque structure dispose des moyens logistiques nécessaires à l’accomplissement de sa mission</v>
      </c>
      <c r="AC1926" s="20" t="str">
        <f>D1926 &amp; "-" &amp; VLOOKUP(D1926,[4]STRATEGIES!$E$1:$F$504,2,FALSE)</f>
        <v>5831-Evaluation de l'état des lieux et dotation des services en moyens logistiques et équipements</v>
      </c>
      <c r="AD1926" s="21" t="str">
        <f t="shared" si="286"/>
        <v>58318-Acquisition d'équipement de connexion internet</v>
      </c>
    </row>
    <row r="1927" spans="1:30" s="22" customFormat="1" ht="61" x14ac:dyDescent="0.8">
      <c r="A1927" s="14">
        <v>5</v>
      </c>
      <c r="B1927" s="15">
        <v>58</v>
      </c>
      <c r="C1927" s="15">
        <v>584</v>
      </c>
      <c r="D1927" s="74">
        <v>584</v>
      </c>
      <c r="E1927" s="14">
        <v>584</v>
      </c>
      <c r="F1927" s="16" t="s">
        <v>2385</v>
      </c>
      <c r="G1927" s="17"/>
      <c r="H1927" s="17"/>
      <c r="I1927" s="56">
        <v>0</v>
      </c>
      <c r="J1927" s="56"/>
      <c r="K1927" s="56"/>
      <c r="L1927" s="56"/>
      <c r="M1927" s="56"/>
      <c r="N1927" s="56"/>
      <c r="O1927" s="56"/>
      <c r="P1927" s="56"/>
      <c r="Q1927" s="56"/>
      <c r="R1927" s="56"/>
      <c r="S1927" s="56"/>
      <c r="T1927" s="33"/>
      <c r="U1927" s="18"/>
      <c r="V1927" s="19"/>
      <c r="W1927" s="18"/>
      <c r="X1927" s="18"/>
      <c r="Y1927" s="18"/>
      <c r="Z1927" s="19" t="str">
        <f>A1927 &amp; "-" &amp; VLOOKUP(A1927,[4]PROGRAMMES!$E$1:$F$7,2,FALSE)</f>
        <v>5-Gouvernance et pilotage du secteur</v>
      </c>
      <c r="AA1927" s="19" t="str">
        <f>B1927 &amp; "-" &amp; VLOOKUP(B1927,[4]SOUSPROGRAMMES!$E$1:$F$44,2,FALSE)</f>
        <v>58- Renforcement des compétences de l’administration (cadre normatif, poste-profil, évaluation, équipement, formations…)</v>
      </c>
      <c r="AB1927" s="19" t="str">
        <f>C1927 &amp; "-" &amp; VLOOKUP(C1927,[4]RESULTATS!$E$1:$F$176,2,FALSE)</f>
        <v>584-Les résultats des évaluations régulières des structures centrales et déconcentrées permettent d’améliorer leur performance</v>
      </c>
      <c r="AC1927" s="20" t="str">
        <f>D1927 &amp; "-" &amp; VLOOKUP(D1927,[4]STRATEGIES!$E$1:$F$504,2,FALSE)</f>
        <v>584-Les résultats des évaluations régulières des structures centrales et déconcentrées permettent d’améliorer leur performance</v>
      </c>
      <c r="AD1927" s="21" t="str">
        <f t="shared" ref="AD1927:AD1990" si="299">E1927 &amp; "-" &amp; F1927</f>
        <v>584-Les résultats des évaluations régulières des structures centrales et déconcentrées permettent d’améliorer leur performance</v>
      </c>
    </row>
    <row r="1928" spans="1:30" s="22" customFormat="1" ht="61" x14ac:dyDescent="0.8">
      <c r="A1928" s="14">
        <v>5</v>
      </c>
      <c r="B1928" s="15">
        <v>58</v>
      </c>
      <c r="C1928" s="15">
        <v>584</v>
      </c>
      <c r="D1928" s="74">
        <v>5841</v>
      </c>
      <c r="E1928" s="14">
        <v>5841</v>
      </c>
      <c r="F1928" s="16" t="s">
        <v>2386</v>
      </c>
      <c r="G1928" s="17"/>
      <c r="H1928" s="17"/>
      <c r="I1928" s="56">
        <v>0</v>
      </c>
      <c r="J1928" s="56"/>
      <c r="K1928" s="56"/>
      <c r="L1928" s="56"/>
      <c r="M1928" s="56"/>
      <c r="N1928" s="56"/>
      <c r="O1928" s="56"/>
      <c r="P1928" s="56"/>
      <c r="Q1928" s="56"/>
      <c r="R1928" s="56"/>
      <c r="S1928" s="56"/>
      <c r="T1928" s="33"/>
      <c r="U1928" s="18"/>
      <c r="V1928" s="19"/>
      <c r="W1928" s="18"/>
      <c r="X1928" s="18"/>
      <c r="Y1928" s="18"/>
      <c r="Z1928" s="19" t="str">
        <f>A1928 &amp; "-" &amp; VLOOKUP(A1928,[4]PROGRAMMES!$E$1:$F$7,2,FALSE)</f>
        <v>5-Gouvernance et pilotage du secteur</v>
      </c>
      <c r="AA1928" s="19" t="str">
        <f>B1928 &amp; "-" &amp; VLOOKUP(B1928,[4]SOUSPROGRAMMES!$E$1:$F$44,2,FALSE)</f>
        <v>58- Renforcement des compétences de l’administration (cadre normatif, poste-profil, évaluation, équipement, formations…)</v>
      </c>
      <c r="AB1928" s="19" t="str">
        <f>C1928 &amp; "-" &amp; VLOOKUP(C1928,[4]RESULTATS!$E$1:$F$176,2,FALSE)</f>
        <v>584-Les résultats des évaluations régulières des structures centrales et déconcentrées permettent d’améliorer leur performance</v>
      </c>
      <c r="AC1928" s="20" t="str">
        <f>D1928 &amp; "-" &amp; VLOOKUP(D1928,[4]STRATEGIES!$E$1:$F$504,2,FALSE)</f>
        <v>5841-Évaluation périodique de la performance des structures et institutions dans la mise en œuvre des activités</v>
      </c>
      <c r="AD1928" s="21" t="str">
        <f t="shared" si="299"/>
        <v>5841-Évaluation périodique de la performance des structures et institutions dans la mise en œuvre des activités</v>
      </c>
    </row>
    <row r="1929" spans="1:30" s="22" customFormat="1" ht="61" x14ac:dyDescent="0.8">
      <c r="A1929" s="14">
        <v>5</v>
      </c>
      <c r="B1929" s="15">
        <v>58</v>
      </c>
      <c r="C1929" s="15">
        <v>584</v>
      </c>
      <c r="D1929" s="74">
        <v>5841</v>
      </c>
      <c r="E1929" s="14">
        <v>58411</v>
      </c>
      <c r="F1929" s="16" t="s">
        <v>2387</v>
      </c>
      <c r="G1929" s="21" t="s">
        <v>298</v>
      </c>
      <c r="H1929" s="17" t="s">
        <v>66</v>
      </c>
      <c r="I1929" s="56">
        <v>0</v>
      </c>
      <c r="J1929" s="56">
        <f>10*5</f>
        <v>50</v>
      </c>
      <c r="K1929" s="56"/>
      <c r="L1929" s="56"/>
      <c r="M1929" s="56">
        <f t="shared" si="289"/>
        <v>50</v>
      </c>
      <c r="N1929" s="56">
        <f>IF(OR(H1929="",H1929="sif",H1929="PM"),0,VLOOKUP(H1929,[5]CU!$C$4:$H$255,6,FALSE))</f>
        <v>0.255</v>
      </c>
      <c r="O1929" s="56">
        <f t="shared" si="296"/>
        <v>0</v>
      </c>
      <c r="P1929" s="56">
        <f t="shared" si="296"/>
        <v>12.75</v>
      </c>
      <c r="Q1929" s="56">
        <f t="shared" si="296"/>
        <v>0</v>
      </c>
      <c r="R1929" s="56">
        <f t="shared" si="296"/>
        <v>0</v>
      </c>
      <c r="S1929" s="56">
        <f t="shared" si="297"/>
        <v>12.75</v>
      </c>
      <c r="T1929" s="35" t="s">
        <v>118</v>
      </c>
      <c r="U1929" s="18" t="s">
        <v>1873</v>
      </c>
      <c r="V1929" s="19" t="str">
        <f>IF(OR($H1929="",$H1929="sif",$H1929="PM"),"",VLOOKUP($H1929,[5]CU!$C$5:$J$255,8,FALSE))</f>
        <v>3. Dépenses de fonctionnement</v>
      </c>
      <c r="W1929" s="18" t="s">
        <v>255</v>
      </c>
      <c r="X1929" s="18" t="s">
        <v>255</v>
      </c>
      <c r="Y1929" s="19" t="s">
        <v>32</v>
      </c>
      <c r="Z1929" s="19" t="str">
        <f>A1929 &amp; "-" &amp; VLOOKUP(A1929,[4]PROGRAMMES!$E$1:$F$7,2,FALSE)</f>
        <v>5-Gouvernance et pilotage du secteur</v>
      </c>
      <c r="AA1929" s="19" t="str">
        <f>B1929 &amp; "-" &amp; VLOOKUP(B1929,[4]SOUSPROGRAMMES!$E$1:$F$44,2,FALSE)</f>
        <v>58- Renforcement des compétences de l’administration (cadre normatif, poste-profil, évaluation, équipement, formations…)</v>
      </c>
      <c r="AB1929" s="19" t="str">
        <f>C1929 &amp; "-" &amp; VLOOKUP(C1929,[4]RESULTATS!$E$1:$F$176,2,FALSE)</f>
        <v>584-Les résultats des évaluations régulières des structures centrales et déconcentrées permettent d’améliorer leur performance</v>
      </c>
      <c r="AC1929" s="20" t="str">
        <f>D1929 &amp; "-" &amp; VLOOKUP(D1929,[4]STRATEGIES!$E$1:$F$504,2,FALSE)</f>
        <v>5841-Évaluation périodique de la performance des structures et institutions dans la mise en œuvre des activités</v>
      </c>
      <c r="AD1929" s="21" t="str">
        <f t="shared" si="299"/>
        <v>58411-DéFinition d'une démarche d'évaluation régulière des performances des différentes structures</v>
      </c>
    </row>
    <row r="1930" spans="1:30" s="22" customFormat="1" ht="61" hidden="1" x14ac:dyDescent="0.8">
      <c r="A1930" s="14">
        <v>5</v>
      </c>
      <c r="B1930" s="15">
        <v>58</v>
      </c>
      <c r="C1930" s="15">
        <v>584</v>
      </c>
      <c r="D1930" s="74">
        <v>5841</v>
      </c>
      <c r="E1930" s="14">
        <v>58412</v>
      </c>
      <c r="F1930" s="16" t="s">
        <v>2388</v>
      </c>
      <c r="G1930" s="21" t="s">
        <v>2389</v>
      </c>
      <c r="H1930" s="17" t="s">
        <v>55</v>
      </c>
      <c r="I1930" s="56">
        <v>0</v>
      </c>
      <c r="J1930" s="56">
        <v>1</v>
      </c>
      <c r="K1930" s="56"/>
      <c r="L1930" s="56"/>
      <c r="M1930" s="56">
        <f t="shared" si="289"/>
        <v>1</v>
      </c>
      <c r="N1930" s="56">
        <f>IF(OR(H1930="",H1930="sif",H1930="PM"),0,VLOOKUP(H1930,[5]CU!$C$4:$H$255,6,FALSE))</f>
        <v>0</v>
      </c>
      <c r="O1930" s="56"/>
      <c r="P1930" s="56"/>
      <c r="Q1930" s="56"/>
      <c r="R1930" s="56"/>
      <c r="S1930" s="56"/>
      <c r="T1930" s="35" t="s">
        <v>56</v>
      </c>
      <c r="U1930" s="18" t="s">
        <v>1873</v>
      </c>
      <c r="V1930" s="19" t="str">
        <f>IF(OR($H1930="",$H1930="sif",$H1930="PM"),"",VLOOKUP($H1930,[5]CU!$C$5:$J$255,8,FALSE))</f>
        <v/>
      </c>
      <c r="W1930" s="18" t="s">
        <v>255</v>
      </c>
      <c r="X1930" s="18" t="s">
        <v>255</v>
      </c>
      <c r="Y1930" s="19" t="s">
        <v>32</v>
      </c>
      <c r="Z1930" s="19" t="str">
        <f>A1930 &amp; "-" &amp; VLOOKUP(A1930,[4]PROGRAMMES!$E$1:$F$7,2,FALSE)</f>
        <v>5-Gouvernance et pilotage du secteur</v>
      </c>
      <c r="AA1930" s="19" t="str">
        <f>B1930 &amp; "-" &amp; VLOOKUP(B1930,[4]SOUSPROGRAMMES!$E$1:$F$44,2,FALSE)</f>
        <v>58- Renforcement des compétences de l’administration (cadre normatif, poste-profil, évaluation, équipement, formations…)</v>
      </c>
      <c r="AB1930" s="19" t="str">
        <f>C1930 &amp; "-" &amp; VLOOKUP(C1930,[4]RESULTATS!$E$1:$F$176,2,FALSE)</f>
        <v>584-Les résultats des évaluations régulières des structures centrales et déconcentrées permettent d’améliorer leur performance</v>
      </c>
      <c r="AC1930" s="20" t="str">
        <f>D1930 &amp; "-" &amp; VLOOKUP(D1930,[4]STRATEGIES!$E$1:$F$504,2,FALSE)</f>
        <v>5841-Évaluation périodique de la performance des structures et institutions dans la mise en œuvre des activités</v>
      </c>
      <c r="AD1930" s="21" t="str">
        <f t="shared" si="299"/>
        <v>58412-Validation des mécanismes d'évaluation des performances</v>
      </c>
    </row>
    <row r="1931" spans="1:30" s="22" customFormat="1" ht="61" hidden="1" x14ac:dyDescent="0.8">
      <c r="A1931" s="14">
        <v>5</v>
      </c>
      <c r="B1931" s="15">
        <v>58</v>
      </c>
      <c r="C1931" s="15">
        <v>584</v>
      </c>
      <c r="D1931" s="74">
        <v>5841</v>
      </c>
      <c r="E1931" s="14">
        <v>58413</v>
      </c>
      <c r="F1931" s="16" t="s">
        <v>2390</v>
      </c>
      <c r="G1931" s="21" t="s">
        <v>88</v>
      </c>
      <c r="H1931" s="17" t="s">
        <v>55</v>
      </c>
      <c r="I1931" s="56">
        <v>0</v>
      </c>
      <c r="J1931" s="56">
        <v>1</v>
      </c>
      <c r="K1931" s="56">
        <v>1</v>
      </c>
      <c r="L1931" s="56">
        <v>1</v>
      </c>
      <c r="M1931" s="56">
        <f t="shared" si="289"/>
        <v>3</v>
      </c>
      <c r="N1931" s="56">
        <f>IF(OR(H1931="",H1931="sif",H1931="PM"),0,VLOOKUP(H1931,[5]CU!$C$4:$H$255,6,FALSE))</f>
        <v>0</v>
      </c>
      <c r="O1931" s="56"/>
      <c r="P1931" s="56"/>
      <c r="Q1931" s="56"/>
      <c r="R1931" s="56"/>
      <c r="S1931" s="56"/>
      <c r="T1931" s="35" t="s">
        <v>56</v>
      </c>
      <c r="U1931" s="18" t="s">
        <v>1873</v>
      </c>
      <c r="V1931" s="19" t="str">
        <f>IF(OR($H1931="",$H1931="sif",$H1931="PM"),"",VLOOKUP($H1931,[5]CU!$C$5:$J$255,8,FALSE))</f>
        <v/>
      </c>
      <c r="W1931" s="18" t="s">
        <v>255</v>
      </c>
      <c r="X1931" s="18" t="s">
        <v>282</v>
      </c>
      <c r="Y1931" s="19" t="s">
        <v>32</v>
      </c>
      <c r="Z1931" s="19" t="str">
        <f>A1931 &amp; "-" &amp; VLOOKUP(A1931,[4]PROGRAMMES!$E$1:$F$7,2,FALSE)</f>
        <v>5-Gouvernance et pilotage du secteur</v>
      </c>
      <c r="AA1931" s="19" t="str">
        <f>B1931 &amp; "-" &amp; VLOOKUP(B1931,[4]SOUSPROGRAMMES!$E$1:$F$44,2,FALSE)</f>
        <v>58- Renforcement des compétences de l’administration (cadre normatif, poste-profil, évaluation, équipement, formations…)</v>
      </c>
      <c r="AB1931" s="19" t="str">
        <f>C1931 &amp; "-" &amp; VLOOKUP(C1931,[4]RESULTATS!$E$1:$F$176,2,FALSE)</f>
        <v>584-Les résultats des évaluations régulières des structures centrales et déconcentrées permettent d’améliorer leur performance</v>
      </c>
      <c r="AC1931" s="20" t="str">
        <f>D1931 &amp; "-" &amp; VLOOKUP(D1931,[4]STRATEGIES!$E$1:$F$504,2,FALSE)</f>
        <v>5841-Évaluation périodique de la performance des structures et institutions dans la mise en œuvre des activités</v>
      </c>
      <c r="AD1931" s="21" t="str">
        <f t="shared" si="299"/>
        <v>58413-Déclinaison des lettres de mission annuelle par administration (IRE, Directions centrales)</v>
      </c>
    </row>
    <row r="1932" spans="1:30" s="22" customFormat="1" ht="61" hidden="1" x14ac:dyDescent="0.8">
      <c r="A1932" s="14">
        <v>5</v>
      </c>
      <c r="B1932" s="15">
        <v>58</v>
      </c>
      <c r="C1932" s="15">
        <v>584</v>
      </c>
      <c r="D1932" s="74">
        <v>5841</v>
      </c>
      <c r="E1932" s="14">
        <v>58414</v>
      </c>
      <c r="F1932" s="16" t="s">
        <v>2391</v>
      </c>
      <c r="G1932" s="21" t="s">
        <v>88</v>
      </c>
      <c r="H1932" s="17" t="s">
        <v>55</v>
      </c>
      <c r="I1932" s="56">
        <v>0</v>
      </c>
      <c r="J1932" s="56">
        <v>1</v>
      </c>
      <c r="K1932" s="56">
        <v>1</v>
      </c>
      <c r="L1932" s="56">
        <v>1</v>
      </c>
      <c r="M1932" s="56">
        <f t="shared" si="289"/>
        <v>3</v>
      </c>
      <c r="N1932" s="56">
        <f>IF(OR(H1932="",H1932="sif",H1932="PM"),0,VLOOKUP(H1932,[5]CU!$C$4:$H$255,6,FALSE))</f>
        <v>0</v>
      </c>
      <c r="O1932" s="56"/>
      <c r="P1932" s="56"/>
      <c r="Q1932" s="56"/>
      <c r="R1932" s="56"/>
      <c r="S1932" s="56"/>
      <c r="T1932" s="35" t="s">
        <v>56</v>
      </c>
      <c r="U1932" s="18" t="s">
        <v>1873</v>
      </c>
      <c r="V1932" s="19" t="str">
        <f>IF(OR($H1932="",$H1932="sif",$H1932="PM"),"",VLOOKUP($H1932,[5]CU!$C$5:$J$255,8,FALSE))</f>
        <v/>
      </c>
      <c r="W1932" s="18" t="s">
        <v>282</v>
      </c>
      <c r="X1932" s="18" t="s">
        <v>77</v>
      </c>
      <c r="Y1932" s="19" t="s">
        <v>32</v>
      </c>
      <c r="Z1932" s="19" t="str">
        <f>A1932 &amp; "-" &amp; VLOOKUP(A1932,[4]PROGRAMMES!$E$1:$F$7,2,FALSE)</f>
        <v>5-Gouvernance et pilotage du secteur</v>
      </c>
      <c r="AA1932" s="19" t="str">
        <f>B1932 &amp; "-" &amp; VLOOKUP(B1932,[4]SOUSPROGRAMMES!$E$1:$F$44,2,FALSE)</f>
        <v>58- Renforcement des compétences de l’administration (cadre normatif, poste-profil, évaluation, équipement, formations…)</v>
      </c>
      <c r="AB1932" s="19" t="str">
        <f>C1932 &amp; "-" &amp; VLOOKUP(C1932,[4]RESULTATS!$E$1:$F$176,2,FALSE)</f>
        <v>584-Les résultats des évaluations régulières des structures centrales et déconcentrées permettent d’améliorer leur performance</v>
      </c>
      <c r="AC1932" s="20" t="str">
        <f>D1932 &amp; "-" &amp; VLOOKUP(D1932,[4]STRATEGIES!$E$1:$F$504,2,FALSE)</f>
        <v>5841-Évaluation périodique de la performance des structures et institutions dans la mise en œuvre des activités</v>
      </c>
      <c r="AD1932" s="21" t="str">
        <f t="shared" si="299"/>
        <v xml:space="preserve">58414-Déclinaison des lettres de mission aux services (IRE pour les DPE/DCE, DPE/DCE pour les DSEE et les établissements, DSSE aux écoles, Directions centrales aux divisions et sections) </v>
      </c>
    </row>
    <row r="1933" spans="1:30" s="22" customFormat="1" ht="61" hidden="1" x14ac:dyDescent="0.8">
      <c r="A1933" s="14">
        <v>5</v>
      </c>
      <c r="B1933" s="15">
        <v>58</v>
      </c>
      <c r="C1933" s="15">
        <v>584</v>
      </c>
      <c r="D1933" s="74">
        <v>5841</v>
      </c>
      <c r="E1933" s="14">
        <v>58415</v>
      </c>
      <c r="F1933" s="16" t="s">
        <v>2392</v>
      </c>
      <c r="G1933" s="21" t="s">
        <v>88</v>
      </c>
      <c r="H1933" s="17" t="s">
        <v>55</v>
      </c>
      <c r="I1933" s="56">
        <v>0</v>
      </c>
      <c r="J1933" s="56">
        <v>1</v>
      </c>
      <c r="K1933" s="56">
        <v>1</v>
      </c>
      <c r="L1933" s="56">
        <v>1</v>
      </c>
      <c r="M1933" s="56">
        <f t="shared" si="289"/>
        <v>3</v>
      </c>
      <c r="N1933" s="56">
        <f>IF(OR(H1933="",H1933="sif",H1933="PM"),0,VLOOKUP(H1933,[5]CU!$C$4:$H$255,6,FALSE))</f>
        <v>0</v>
      </c>
      <c r="O1933" s="56"/>
      <c r="P1933" s="56"/>
      <c r="Q1933" s="56"/>
      <c r="R1933" s="56"/>
      <c r="S1933" s="56"/>
      <c r="T1933" s="35" t="s">
        <v>56</v>
      </c>
      <c r="U1933" s="18" t="s">
        <v>1873</v>
      </c>
      <c r="V1933" s="19" t="str">
        <f>IF(OR($H1933="",$H1933="sif",$H1933="PM"),"",VLOOKUP($H1933,[5]CU!$C$5:$J$255,8,FALSE))</f>
        <v/>
      </c>
      <c r="W1933" s="18" t="s">
        <v>77</v>
      </c>
      <c r="X1933" s="18" t="s">
        <v>193</v>
      </c>
      <c r="Y1933" s="19" t="s">
        <v>32</v>
      </c>
      <c r="Z1933" s="19" t="str">
        <f>A1933 &amp; "-" &amp; VLOOKUP(A1933,[4]PROGRAMMES!$E$1:$F$7,2,FALSE)</f>
        <v>5-Gouvernance et pilotage du secteur</v>
      </c>
      <c r="AA1933" s="19" t="str">
        <f>B1933 &amp; "-" &amp; VLOOKUP(B1933,[4]SOUSPROGRAMMES!$E$1:$F$44,2,FALSE)</f>
        <v>58- Renforcement des compétences de l’administration (cadre normatif, poste-profil, évaluation, équipement, formations…)</v>
      </c>
      <c r="AB1933" s="19" t="str">
        <f>C1933 &amp; "-" &amp; VLOOKUP(C1933,[4]RESULTATS!$E$1:$F$176,2,FALSE)</f>
        <v>584-Les résultats des évaluations régulières des structures centrales et déconcentrées permettent d’améliorer leur performance</v>
      </c>
      <c r="AC1933" s="20" t="str">
        <f>D1933 &amp; "-" &amp; VLOOKUP(D1933,[4]STRATEGIES!$E$1:$F$504,2,FALSE)</f>
        <v>5841-Évaluation périodique de la performance des structures et institutions dans la mise en œuvre des activités</v>
      </c>
      <c r="AD1933" s="21" t="str">
        <f t="shared" si="299"/>
        <v>58415-Elaboration de rapport annuel de mise en œuvre des lettres de missions (tous les niveaux)</v>
      </c>
    </row>
    <row r="1934" spans="1:30" s="22" customFormat="1" ht="61" hidden="1" x14ac:dyDescent="0.8">
      <c r="A1934" s="14">
        <v>5</v>
      </c>
      <c r="B1934" s="15">
        <v>58</v>
      </c>
      <c r="C1934" s="15">
        <v>584</v>
      </c>
      <c r="D1934" s="74">
        <v>5841</v>
      </c>
      <c r="E1934" s="14">
        <v>58416</v>
      </c>
      <c r="F1934" s="16" t="s">
        <v>2393</v>
      </c>
      <c r="G1934" s="21" t="s">
        <v>88</v>
      </c>
      <c r="H1934" s="17" t="s">
        <v>55</v>
      </c>
      <c r="I1934" s="56">
        <v>0</v>
      </c>
      <c r="J1934" s="56">
        <v>1</v>
      </c>
      <c r="K1934" s="56">
        <v>1</v>
      </c>
      <c r="L1934" s="56">
        <v>1</v>
      </c>
      <c r="M1934" s="56">
        <f t="shared" si="289"/>
        <v>3</v>
      </c>
      <c r="N1934" s="56">
        <f>IF(OR(H1934="",H1934="sif",H1934="PM"),0,VLOOKUP(H1934,[5]CU!$C$4:$H$255,6,FALSE))</f>
        <v>0</v>
      </c>
      <c r="O1934" s="56"/>
      <c r="P1934" s="56"/>
      <c r="Q1934" s="56"/>
      <c r="R1934" s="56"/>
      <c r="S1934" s="56"/>
      <c r="T1934" s="35" t="s">
        <v>56</v>
      </c>
      <c r="U1934" s="18" t="s">
        <v>1873</v>
      </c>
      <c r="V1934" s="19" t="str">
        <f>IF(OR($H1934="",$H1934="sif",$H1934="PM"),"",VLOOKUP($H1934,[5]CU!$C$5:$J$255,8,FALSE))</f>
        <v/>
      </c>
      <c r="W1934" s="18"/>
      <c r="X1934" s="18"/>
      <c r="Y1934" s="18"/>
      <c r="Z1934" s="19" t="str">
        <f>A1934 &amp; "-" &amp; VLOOKUP(A1934,[4]PROGRAMMES!$E$1:$F$7,2,FALSE)</f>
        <v>5-Gouvernance et pilotage du secteur</v>
      </c>
      <c r="AA1934" s="19" t="str">
        <f>B1934 &amp; "-" &amp; VLOOKUP(B1934,[4]SOUSPROGRAMMES!$E$1:$F$44,2,FALSE)</f>
        <v>58- Renforcement des compétences de l’administration (cadre normatif, poste-profil, évaluation, équipement, formations…)</v>
      </c>
      <c r="AB1934" s="19" t="str">
        <f>C1934 &amp; "-" &amp; VLOOKUP(C1934,[4]RESULTATS!$E$1:$F$176,2,FALSE)</f>
        <v>584-Les résultats des évaluations régulières des structures centrales et déconcentrées permettent d’améliorer leur performance</v>
      </c>
      <c r="AC1934" s="20" t="str">
        <f>D1934 &amp; "-" &amp; VLOOKUP(D1934,[4]STRATEGIES!$E$1:$F$504,2,FALSE)</f>
        <v>5841-Évaluation périodique de la performance des structures et institutions dans la mise en œuvre des activités</v>
      </c>
      <c r="AD1934" s="21" t="str">
        <f t="shared" si="299"/>
        <v>58416-Consolidation des rapports par les IRE et les directions centrales</v>
      </c>
    </row>
    <row r="1935" spans="1:30" s="22" customFormat="1" ht="61" hidden="1" x14ac:dyDescent="0.8">
      <c r="A1935" s="14">
        <v>5</v>
      </c>
      <c r="B1935" s="15">
        <v>58</v>
      </c>
      <c r="C1935" s="15">
        <v>584</v>
      </c>
      <c r="D1935" s="74">
        <v>5841</v>
      </c>
      <c r="E1935" s="14">
        <v>58417</v>
      </c>
      <c r="F1935" s="16" t="s">
        <v>2394</v>
      </c>
      <c r="G1935" s="21" t="s">
        <v>177</v>
      </c>
      <c r="H1935" s="17" t="s">
        <v>59</v>
      </c>
      <c r="I1935" s="56">
        <v>0</v>
      </c>
      <c r="J1935" s="56">
        <f>4*10*4</f>
        <v>160</v>
      </c>
      <c r="K1935" s="56">
        <f>4*10*4</f>
        <v>160</v>
      </c>
      <c r="L1935" s="56">
        <f>4*10*4</f>
        <v>160</v>
      </c>
      <c r="M1935" s="56">
        <f t="shared" si="289"/>
        <v>480</v>
      </c>
      <c r="N1935" s="56">
        <f>IF(OR(H1935="",H1935="sif",H1935="PM"),0,VLOOKUP(H1935,[5]CU!$C$4:$H$255,6,FALSE))</f>
        <v>0.8177777777777776</v>
      </c>
      <c r="O1935" s="56">
        <f>$N1935*I1935</f>
        <v>0</v>
      </c>
      <c r="P1935" s="56">
        <f>$N1935*J1935</f>
        <v>130.84444444444441</v>
      </c>
      <c r="Q1935" s="56">
        <f>$N1935*K1935</f>
        <v>130.84444444444441</v>
      </c>
      <c r="R1935" s="56">
        <f>$N1935*L1935</f>
        <v>130.84444444444441</v>
      </c>
      <c r="S1935" s="56">
        <f>SUM(O1935:R1935)</f>
        <v>392.53333333333319</v>
      </c>
      <c r="T1935" s="35" t="s">
        <v>56</v>
      </c>
      <c r="U1935" s="18" t="s">
        <v>1873</v>
      </c>
      <c r="V1935" s="19" t="str">
        <f>IF(OR($H1935="",$H1935="sif",$H1935="PM"),"",VLOOKUP($H1935,[5]CU!$C$5:$J$255,8,FALSE))</f>
        <v>3. Dépenses de fonctionnement</v>
      </c>
      <c r="W1935" s="18" t="s">
        <v>255</v>
      </c>
      <c r="X1935" s="18" t="s">
        <v>255</v>
      </c>
      <c r="Y1935" s="19" t="s">
        <v>32</v>
      </c>
      <c r="Z1935" s="19" t="str">
        <f>A1935 &amp; "-" &amp; VLOOKUP(A1935,[4]PROGRAMMES!$E$1:$F$7,2,FALSE)</f>
        <v>5-Gouvernance et pilotage du secteur</v>
      </c>
      <c r="AA1935" s="19" t="str">
        <f>B1935 &amp; "-" &amp; VLOOKUP(B1935,[4]SOUSPROGRAMMES!$E$1:$F$44,2,FALSE)</f>
        <v>58- Renforcement des compétences de l’administration (cadre normatif, poste-profil, évaluation, équipement, formations…)</v>
      </c>
      <c r="AB1935" s="19" t="str">
        <f>C1935 &amp; "-" &amp; VLOOKUP(C1935,[4]RESULTATS!$E$1:$F$176,2,FALSE)</f>
        <v>584-Les résultats des évaluations régulières des structures centrales et déconcentrées permettent d’améliorer leur performance</v>
      </c>
      <c r="AC1935" s="20" t="str">
        <f>D1935 &amp; "-" &amp; VLOOKUP(D1935,[4]STRATEGIES!$E$1:$F$504,2,FALSE)</f>
        <v>5841-Évaluation périodique de la performance des structures et institutions dans la mise en œuvre des activités</v>
      </c>
      <c r="AD1935" s="21" t="str">
        <f t="shared" si="299"/>
        <v>58417-Vérification de l'effectivité de la mise en œuvre des lettres de mission sur un échantillon</v>
      </c>
    </row>
    <row r="1936" spans="1:30" s="22" customFormat="1" ht="61" hidden="1" x14ac:dyDescent="0.8">
      <c r="A1936" s="14">
        <v>5</v>
      </c>
      <c r="B1936" s="15">
        <v>58</v>
      </c>
      <c r="C1936" s="15">
        <v>584</v>
      </c>
      <c r="D1936" s="74">
        <v>5841</v>
      </c>
      <c r="E1936" s="14">
        <v>58418</v>
      </c>
      <c r="F1936" s="16" t="s">
        <v>2395</v>
      </c>
      <c r="G1936" s="21" t="s">
        <v>88</v>
      </c>
      <c r="H1936" s="17"/>
      <c r="I1936" s="56">
        <v>0</v>
      </c>
      <c r="J1936" s="56">
        <v>1</v>
      </c>
      <c r="K1936" s="56">
        <v>1</v>
      </c>
      <c r="L1936" s="56">
        <v>1</v>
      </c>
      <c r="M1936" s="56">
        <f t="shared" si="289"/>
        <v>3</v>
      </c>
      <c r="N1936" s="56">
        <f>IF(OR(H1936="",H1936="sif",H1936="PM"),0,VLOOKUP(H1936,[5]CU!$C$4:$H$255,6,FALSE))</f>
        <v>0</v>
      </c>
      <c r="O1936" s="56"/>
      <c r="P1936" s="56"/>
      <c r="Q1936" s="56"/>
      <c r="R1936" s="56"/>
      <c r="S1936" s="56"/>
      <c r="T1936" s="35" t="s">
        <v>56</v>
      </c>
      <c r="U1936" s="18" t="s">
        <v>1873</v>
      </c>
      <c r="V1936" s="19" t="str">
        <f>IF(OR($H1936="",$H1936="sif",$H1936="PM"),"",VLOOKUP($H1936,[5]CU!$C$5:$J$255,8,FALSE))</f>
        <v/>
      </c>
      <c r="W1936" s="18" t="s">
        <v>255</v>
      </c>
      <c r="X1936" s="18" t="s">
        <v>255</v>
      </c>
      <c r="Y1936" s="19" t="s">
        <v>32</v>
      </c>
      <c r="Z1936" s="19" t="str">
        <f>A1936 &amp; "-" &amp; VLOOKUP(A1936,[4]PROGRAMMES!$E$1:$F$7,2,FALSE)</f>
        <v>5-Gouvernance et pilotage du secteur</v>
      </c>
      <c r="AA1936" s="19" t="str">
        <f>B1936 &amp; "-" &amp; VLOOKUP(B1936,[4]SOUSPROGRAMMES!$E$1:$F$44,2,FALSE)</f>
        <v>58- Renforcement des compétences de l’administration (cadre normatif, poste-profil, évaluation, équipement, formations…)</v>
      </c>
      <c r="AB1936" s="19" t="str">
        <f>C1936 &amp; "-" &amp; VLOOKUP(C1936,[4]RESULTATS!$E$1:$F$176,2,FALSE)</f>
        <v>584-Les résultats des évaluations régulières des structures centrales et déconcentrées permettent d’améliorer leur performance</v>
      </c>
      <c r="AC1936" s="20" t="str">
        <f>D1936 &amp; "-" &amp; VLOOKUP(D1936,[4]STRATEGIES!$E$1:$F$504,2,FALSE)</f>
        <v>5841-Évaluation périodique de la performance des structures et institutions dans la mise en œuvre des activités</v>
      </c>
      <c r="AD1936" s="21" t="str">
        <f t="shared" si="299"/>
        <v>58418-Elaboration du rapport global de mise en œuvre des lettres de mission du Ministère</v>
      </c>
    </row>
    <row r="1937" spans="1:30" s="22" customFormat="1" ht="61" x14ac:dyDescent="0.8">
      <c r="A1937" s="14">
        <v>5</v>
      </c>
      <c r="B1937" s="15">
        <v>58</v>
      </c>
      <c r="C1937" s="15">
        <v>584</v>
      </c>
      <c r="D1937" s="74">
        <v>5842</v>
      </c>
      <c r="E1937" s="14">
        <v>5842</v>
      </c>
      <c r="F1937" s="16" t="s">
        <v>2396</v>
      </c>
      <c r="G1937" s="17"/>
      <c r="H1937" s="17"/>
      <c r="I1937" s="56">
        <v>0</v>
      </c>
      <c r="J1937" s="56"/>
      <c r="K1937" s="56"/>
      <c r="L1937" s="56"/>
      <c r="M1937" s="56"/>
      <c r="N1937" s="56"/>
      <c r="O1937" s="56"/>
      <c r="P1937" s="56"/>
      <c r="Q1937" s="56"/>
      <c r="R1937" s="56"/>
      <c r="S1937" s="56"/>
      <c r="T1937" s="33"/>
      <c r="U1937" s="18"/>
      <c r="V1937" s="19"/>
      <c r="W1937" s="18"/>
      <c r="X1937" s="18"/>
      <c r="Y1937" s="18"/>
      <c r="Z1937" s="19" t="str">
        <f>A1937 &amp; "-" &amp; VLOOKUP(A1937,[4]PROGRAMMES!$E$1:$F$7,2,FALSE)</f>
        <v>5-Gouvernance et pilotage du secteur</v>
      </c>
      <c r="AA1937" s="19" t="str">
        <f>B1937 &amp; "-" &amp; VLOOKUP(B1937,[4]SOUSPROGRAMMES!$E$1:$F$44,2,FALSE)</f>
        <v>58- Renforcement des compétences de l’administration (cadre normatif, poste-profil, évaluation, équipement, formations…)</v>
      </c>
      <c r="AB1937" s="19" t="str">
        <f>C1937 &amp; "-" &amp; VLOOKUP(C1937,[4]RESULTATS!$E$1:$F$176,2,FALSE)</f>
        <v>584-Les résultats des évaluations régulières des structures centrales et déconcentrées permettent d’améliorer leur performance</v>
      </c>
      <c r="AC1937" s="20" t="str">
        <f>D1937 &amp; "-" &amp; VLOOKUP(D1937,[4]STRATEGIES!$E$1:$F$504,2,FALSE)</f>
        <v>5842-Exploitation des résultats des rapports de performance</v>
      </c>
      <c r="AD1937" s="21" t="str">
        <f t="shared" si="299"/>
        <v>5842-Exploitation des résultats des rapports de performance</v>
      </c>
    </row>
    <row r="1938" spans="1:30" s="22" customFormat="1" ht="61" hidden="1" x14ac:dyDescent="0.8">
      <c r="A1938" s="14">
        <v>5</v>
      </c>
      <c r="B1938" s="15">
        <v>58</v>
      </c>
      <c r="C1938" s="15">
        <v>584</v>
      </c>
      <c r="D1938" s="74">
        <v>5842</v>
      </c>
      <c r="E1938" s="14">
        <v>58421</v>
      </c>
      <c r="F1938" s="16" t="s">
        <v>2397</v>
      </c>
      <c r="G1938" s="21" t="s">
        <v>298</v>
      </c>
      <c r="H1938" s="17" t="s">
        <v>66</v>
      </c>
      <c r="I1938" s="56">
        <v>0</v>
      </c>
      <c r="J1938" s="56">
        <f>12*10</f>
        <v>120</v>
      </c>
      <c r="K1938" s="56">
        <f>12*10</f>
        <v>120</v>
      </c>
      <c r="L1938" s="56">
        <f>12*10</f>
        <v>120</v>
      </c>
      <c r="M1938" s="56">
        <f t="shared" si="289"/>
        <v>360</v>
      </c>
      <c r="N1938" s="56">
        <f>IF(OR(H1938="",H1938="sif",H1938="PM"),0,VLOOKUP(H1938,[5]CU!$C$4:$H$255,6,FALSE))</f>
        <v>0.255</v>
      </c>
      <c r="O1938" s="56">
        <f>$N1938*I1938</f>
        <v>0</v>
      </c>
      <c r="P1938" s="56">
        <f>$N1938*J1938</f>
        <v>30.6</v>
      </c>
      <c r="Q1938" s="56">
        <f>$N1938*K1938</f>
        <v>30.6</v>
      </c>
      <c r="R1938" s="56">
        <f>$N1938*L1938</f>
        <v>30.6</v>
      </c>
      <c r="S1938" s="56">
        <f>SUM(O1938:R1938)</f>
        <v>91.800000000000011</v>
      </c>
      <c r="T1938" s="35" t="s">
        <v>56</v>
      </c>
      <c r="U1938" s="18" t="s">
        <v>1873</v>
      </c>
      <c r="V1938" s="19" t="str">
        <f>IF(OR($H1938="",$H1938="sif",$H1938="PM"),"",VLOOKUP($H1938,[5]CU!$C$5:$J$255,8,FALSE))</f>
        <v>3. Dépenses de fonctionnement</v>
      </c>
      <c r="W1938" s="18" t="s">
        <v>255</v>
      </c>
      <c r="X1938" s="18" t="s">
        <v>255</v>
      </c>
      <c r="Y1938" s="19" t="s">
        <v>32</v>
      </c>
      <c r="Z1938" s="19" t="str">
        <f>A1938 &amp; "-" &amp; VLOOKUP(A1938,[4]PROGRAMMES!$E$1:$F$7,2,FALSE)</f>
        <v>5-Gouvernance et pilotage du secteur</v>
      </c>
      <c r="AA1938" s="19" t="str">
        <f>B1938 &amp; "-" &amp; VLOOKUP(B1938,[4]SOUSPROGRAMMES!$E$1:$F$44,2,FALSE)</f>
        <v>58- Renforcement des compétences de l’administration (cadre normatif, poste-profil, évaluation, équipement, formations…)</v>
      </c>
      <c r="AB1938" s="19" t="str">
        <f>C1938 &amp; "-" &amp; VLOOKUP(C1938,[4]RESULTATS!$E$1:$F$176,2,FALSE)</f>
        <v>584-Les résultats des évaluations régulières des structures centrales et déconcentrées permettent d’améliorer leur performance</v>
      </c>
      <c r="AC1938" s="20" t="str">
        <f>D1938 &amp; "-" &amp; VLOOKUP(D1938,[4]STRATEGIES!$E$1:$F$504,2,FALSE)</f>
        <v>5842-Exploitation des résultats des rapports de performance</v>
      </c>
      <c r="AD1938" s="21" t="str">
        <f t="shared" si="299"/>
        <v>58421-Analyse du rapport de mise en œuvre et élaboration des recommandations aux différentes structures</v>
      </c>
    </row>
    <row r="1939" spans="1:30" s="22" customFormat="1" ht="61" hidden="1" x14ac:dyDescent="0.8">
      <c r="A1939" s="14">
        <v>5</v>
      </c>
      <c r="B1939" s="15">
        <v>58</v>
      </c>
      <c r="C1939" s="15">
        <v>584</v>
      </c>
      <c r="D1939" s="74">
        <v>5842</v>
      </c>
      <c r="E1939" s="14">
        <v>58422</v>
      </c>
      <c r="F1939" s="16" t="s">
        <v>2398</v>
      </c>
      <c r="G1939" s="21" t="s">
        <v>88</v>
      </c>
      <c r="H1939" s="17" t="s">
        <v>55</v>
      </c>
      <c r="I1939" s="56">
        <v>0</v>
      </c>
      <c r="J1939" s="56">
        <v>1</v>
      </c>
      <c r="K1939" s="56">
        <v>1</v>
      </c>
      <c r="L1939" s="56">
        <v>1</v>
      </c>
      <c r="M1939" s="56">
        <f t="shared" si="289"/>
        <v>3</v>
      </c>
      <c r="N1939" s="56">
        <f>IF(OR(H1939="",H1939="sif",H1939="PM"),0,VLOOKUP(H1939,[5]CU!$C$4:$H$255,6,FALSE))</f>
        <v>0</v>
      </c>
      <c r="O1939" s="56"/>
      <c r="P1939" s="56"/>
      <c r="Q1939" s="56"/>
      <c r="R1939" s="56"/>
      <c r="S1939" s="56"/>
      <c r="T1939" s="35" t="s">
        <v>56</v>
      </c>
      <c r="U1939" s="18" t="s">
        <v>1873</v>
      </c>
      <c r="V1939" s="19" t="str">
        <f>IF(OR($H1939="",$H1939="sif",$H1939="PM"),"",VLOOKUP($H1939,[5]CU!$C$5:$J$255,8,FALSE))</f>
        <v/>
      </c>
      <c r="W1939" s="18" t="s">
        <v>255</v>
      </c>
      <c r="X1939" s="18" t="s">
        <v>255</v>
      </c>
      <c r="Y1939" s="19" t="s">
        <v>32</v>
      </c>
      <c r="Z1939" s="19" t="str">
        <f>A1939 &amp; "-" &amp; VLOOKUP(A1939,[4]PROGRAMMES!$E$1:$F$7,2,FALSE)</f>
        <v>5-Gouvernance et pilotage du secteur</v>
      </c>
      <c r="AA1939" s="19" t="str">
        <f>B1939 &amp; "-" &amp; VLOOKUP(B1939,[4]SOUSPROGRAMMES!$E$1:$F$44,2,FALSE)</f>
        <v>58- Renforcement des compétences de l’administration (cadre normatif, poste-profil, évaluation, équipement, formations…)</v>
      </c>
      <c r="AB1939" s="19" t="str">
        <f>C1939 &amp; "-" &amp; VLOOKUP(C1939,[4]RESULTATS!$E$1:$F$176,2,FALSE)</f>
        <v>584-Les résultats des évaluations régulières des structures centrales et déconcentrées permettent d’améliorer leur performance</v>
      </c>
      <c r="AC1939" s="20" t="str">
        <f>D1939 &amp; "-" &amp; VLOOKUP(D1939,[4]STRATEGIES!$E$1:$F$504,2,FALSE)</f>
        <v>5842-Exploitation des résultats des rapports de performance</v>
      </c>
      <c r="AD1939" s="21" t="str">
        <f t="shared" si="299"/>
        <v>58422-Suivi de la mise en œuvre des recommandations</v>
      </c>
    </row>
    <row r="1940" spans="1:30" s="22" customFormat="1" ht="61" x14ac:dyDescent="0.8">
      <c r="A1940" s="14">
        <v>5</v>
      </c>
      <c r="B1940" s="15">
        <v>58</v>
      </c>
      <c r="C1940" s="15">
        <v>585</v>
      </c>
      <c r="D1940" s="74">
        <v>585</v>
      </c>
      <c r="E1940" s="14">
        <v>585</v>
      </c>
      <c r="F1940" s="16" t="s">
        <v>2399</v>
      </c>
      <c r="G1940" s="17"/>
      <c r="H1940" s="17"/>
      <c r="I1940" s="56">
        <v>0</v>
      </c>
      <c r="J1940" s="56"/>
      <c r="K1940" s="56"/>
      <c r="L1940" s="56"/>
      <c r="M1940" s="56"/>
      <c r="N1940" s="56"/>
      <c r="O1940" s="56"/>
      <c r="P1940" s="56"/>
      <c r="Q1940" s="56"/>
      <c r="R1940" s="56"/>
      <c r="S1940" s="56"/>
      <c r="T1940" s="33"/>
      <c r="U1940" s="18"/>
      <c r="V1940" s="19"/>
      <c r="W1940" s="18"/>
      <c r="X1940" s="18"/>
      <c r="Y1940" s="18"/>
      <c r="Z1940" s="19" t="str">
        <f>A1940 &amp; "-" &amp; VLOOKUP(A1940,[4]PROGRAMMES!$E$1:$F$7,2,FALSE)</f>
        <v>5-Gouvernance et pilotage du secteur</v>
      </c>
      <c r="AA1940" s="19" t="str">
        <f>B1940 &amp; "-" &amp; VLOOKUP(B1940,[4]SOUSPROGRAMMES!$E$1:$F$44,2,FALSE)</f>
        <v>58- Renforcement des compétences de l’administration (cadre normatif, poste-profil, évaluation, équipement, formations…)</v>
      </c>
      <c r="AB1940" s="19" t="str">
        <f>C1940 &amp; "-" &amp; VLOOKUP(C1940,[4]RESULTATS!$E$1:$F$176,2,FALSE)</f>
        <v xml:space="preserve">585-  L’ensemble des acteurs de l’administration éducative sont conscients des vulnérabilités qui menacent la mise œuvre du ProDEG et savent comment y répondre </v>
      </c>
      <c r="AC1940" s="20" t="str">
        <f>D1940 &amp; "-" &amp; VLOOKUP(D1940,[4]STRATEGIES!$E$1:$F$504,2,FALSE)</f>
        <v xml:space="preserve">585-  L’ensemble des acteurs de l’administration éducative sont conscients des vulnérabilités qui menacent la mise œuvre du ProDEG et savent comment y répondre </v>
      </c>
      <c r="AD1940" s="21" t="str">
        <f t="shared" si="299"/>
        <v xml:space="preserve">585-  L’ensemble des acteurs de l’administration éducative sont conscients des vulnérabilités qui menacent la mise œuvre du ProDEG et savent comment y répondre </v>
      </c>
    </row>
    <row r="1941" spans="1:30" s="22" customFormat="1" ht="61" x14ac:dyDescent="0.8">
      <c r="A1941" s="14">
        <v>5</v>
      </c>
      <c r="B1941" s="15">
        <v>58</v>
      </c>
      <c r="C1941" s="15">
        <v>585</v>
      </c>
      <c r="D1941" s="74">
        <v>5851</v>
      </c>
      <c r="E1941" s="14">
        <v>5851</v>
      </c>
      <c r="F1941" s="16" t="s">
        <v>2400</v>
      </c>
      <c r="G1941" s="17"/>
      <c r="H1941" s="17"/>
      <c r="I1941" s="56">
        <v>0</v>
      </c>
      <c r="J1941" s="56"/>
      <c r="K1941" s="56"/>
      <c r="L1941" s="56"/>
      <c r="M1941" s="56"/>
      <c r="N1941" s="56"/>
      <c r="O1941" s="56"/>
      <c r="P1941" s="56"/>
      <c r="Q1941" s="56"/>
      <c r="R1941" s="56"/>
      <c r="S1941" s="56"/>
      <c r="T1941" s="33"/>
      <c r="U1941" s="18"/>
      <c r="V1941" s="19"/>
      <c r="W1941" s="18"/>
      <c r="X1941" s="18"/>
      <c r="Y1941" s="18"/>
      <c r="Z1941" s="19" t="str">
        <f>A1941 &amp; "-" &amp; VLOOKUP(A1941,[4]PROGRAMMES!$E$1:$F$7,2,FALSE)</f>
        <v>5-Gouvernance et pilotage du secteur</v>
      </c>
      <c r="AA1941" s="19" t="str">
        <f>B1941 &amp; "-" &amp; VLOOKUP(B1941,[4]SOUSPROGRAMMES!$E$1:$F$44,2,FALSE)</f>
        <v>58- Renforcement des compétences de l’administration (cadre normatif, poste-profil, évaluation, équipement, formations…)</v>
      </c>
      <c r="AB1941" s="19" t="str">
        <f>C1941 &amp; "-" &amp; VLOOKUP(C1941,[4]RESULTATS!$E$1:$F$176,2,FALSE)</f>
        <v xml:space="preserve">585-  L’ensemble des acteurs de l’administration éducative sont conscients des vulnérabilités qui menacent la mise œuvre du ProDEG et savent comment y répondre </v>
      </c>
      <c r="AC1941" s="20" t="str">
        <f>D1941 &amp; "-" &amp; VLOOKUP(D1941,[4]STRATEGIES!$E$1:$F$504,2,FALSE)</f>
        <v>5851-Elaboration d’une stratégie nationale de prévention et de gestion des risques et des catastrophes naturelles</v>
      </c>
      <c r="AD1941" s="21" t="str">
        <f t="shared" si="299"/>
        <v>5851-Elaboration d’une stratégie nationale de prévention et de gestion des risques et des catastrophes naturelles</v>
      </c>
    </row>
    <row r="1942" spans="1:30" s="22" customFormat="1" ht="61" hidden="1" x14ac:dyDescent="0.8">
      <c r="A1942" s="14">
        <v>5</v>
      </c>
      <c r="B1942" s="15">
        <v>58</v>
      </c>
      <c r="C1942" s="15">
        <v>585</v>
      </c>
      <c r="D1942" s="74">
        <v>5851</v>
      </c>
      <c r="E1942" s="14">
        <v>58511</v>
      </c>
      <c r="F1942" s="16" t="s">
        <v>2401</v>
      </c>
      <c r="G1942" s="21" t="s">
        <v>88</v>
      </c>
      <c r="H1942" s="17" t="s">
        <v>55</v>
      </c>
      <c r="I1942" s="56">
        <v>0</v>
      </c>
      <c r="J1942" s="56">
        <v>0</v>
      </c>
      <c r="K1942" s="56">
        <v>0</v>
      </c>
      <c r="L1942" s="56">
        <v>0</v>
      </c>
      <c r="M1942" s="56"/>
      <c r="N1942" s="56">
        <f>IF(OR(H1942="",H1942="sif",H1942="PM"),0,VLOOKUP(H1942,[5]CU!$C$4:$H$255,6,FALSE))</f>
        <v>0</v>
      </c>
      <c r="O1942" s="56"/>
      <c r="P1942" s="56"/>
      <c r="Q1942" s="56"/>
      <c r="R1942" s="56"/>
      <c r="S1942" s="56"/>
      <c r="T1942" s="35" t="s">
        <v>56</v>
      </c>
      <c r="U1942" s="18" t="s">
        <v>1873</v>
      </c>
      <c r="V1942" s="19" t="str">
        <f>IF(OR($H1942="",$H1942="sif",$H1942="PM"),"",VLOOKUP($H1942,[5]CU!$C$5:$J$255,8,FALSE))</f>
        <v/>
      </c>
      <c r="W1942" s="18" t="s">
        <v>255</v>
      </c>
      <c r="X1942" s="18" t="s">
        <v>255</v>
      </c>
      <c r="Y1942" s="18" t="s">
        <v>677</v>
      </c>
      <c r="Z1942" s="19" t="str">
        <f>A1942 &amp; "-" &amp; VLOOKUP(A1942,[4]PROGRAMMES!$E$1:$F$7,2,FALSE)</f>
        <v>5-Gouvernance et pilotage du secteur</v>
      </c>
      <c r="AA1942" s="19" t="str">
        <f>B1942 &amp; "-" &amp; VLOOKUP(B1942,[4]SOUSPROGRAMMES!$E$1:$F$44,2,FALSE)</f>
        <v>58- Renforcement des compétences de l’administration (cadre normatif, poste-profil, évaluation, équipement, formations…)</v>
      </c>
      <c r="AB1942" s="19" t="str">
        <f>C1942 &amp; "-" &amp; VLOOKUP(C1942,[4]RESULTATS!$E$1:$F$176,2,FALSE)</f>
        <v xml:space="preserve">585-  L’ensemble des acteurs de l’administration éducative sont conscients des vulnérabilités qui menacent la mise œuvre du ProDEG et savent comment y répondre </v>
      </c>
      <c r="AC1942" s="20" t="str">
        <f>D1942 &amp; "-" &amp; VLOOKUP(D1942,[4]STRATEGIES!$E$1:$F$504,2,FALSE)</f>
        <v>5851-Elaboration d’une stratégie nationale de prévention et de gestion des risques et des catastrophes naturelles</v>
      </c>
      <c r="AD1942" s="21" t="str">
        <f t="shared" si="299"/>
        <v>58511-Constitution d'une commission technique interministérielle pour l'élaboration de la stratégie nationale</v>
      </c>
    </row>
    <row r="1943" spans="1:30" s="22" customFormat="1" ht="61" x14ac:dyDescent="0.8">
      <c r="A1943" s="14">
        <v>5</v>
      </c>
      <c r="B1943" s="15">
        <v>58</v>
      </c>
      <c r="C1943" s="15">
        <v>585</v>
      </c>
      <c r="D1943" s="74">
        <v>5851</v>
      </c>
      <c r="E1943" s="14">
        <v>58512</v>
      </c>
      <c r="F1943" s="16" t="s">
        <v>2402</v>
      </c>
      <c r="G1943" s="21" t="s">
        <v>1217</v>
      </c>
      <c r="H1943" s="17" t="s">
        <v>66</v>
      </c>
      <c r="I1943" s="56">
        <v>0</v>
      </c>
      <c r="J1943" s="56">
        <f>15*7</f>
        <v>105</v>
      </c>
      <c r="K1943" s="56"/>
      <c r="L1943" s="56"/>
      <c r="M1943" s="56">
        <f t="shared" ref="M1943:M2007" si="300">SUM(I1943:L1943)</f>
        <v>105</v>
      </c>
      <c r="N1943" s="56">
        <f>IF(OR(H1943="",H1943="sif",H1943="PM"),0,VLOOKUP(H1943,[5]CU!$C$4:$H$255,6,FALSE))</f>
        <v>0.255</v>
      </c>
      <c r="O1943" s="56">
        <f t="shared" ref="O1943:R1947" si="301">$N1943*I1943</f>
        <v>0</v>
      </c>
      <c r="P1943" s="56">
        <f t="shared" si="301"/>
        <v>26.775000000000002</v>
      </c>
      <c r="Q1943" s="56">
        <f t="shared" si="301"/>
        <v>0</v>
      </c>
      <c r="R1943" s="56">
        <f t="shared" si="301"/>
        <v>0</v>
      </c>
      <c r="S1943" s="56">
        <f>SUM(O1943:R1943)</f>
        <v>26.775000000000002</v>
      </c>
      <c r="T1943" s="35" t="s">
        <v>118</v>
      </c>
      <c r="U1943" s="18" t="s">
        <v>1873</v>
      </c>
      <c r="V1943" s="19" t="str">
        <f>IF(OR($H1943="",$H1943="sif",$H1943="PM"),"",VLOOKUP($H1943,[5]CU!$C$5:$J$255,8,FALSE))</f>
        <v>3. Dépenses de fonctionnement</v>
      </c>
      <c r="W1943" s="18" t="s">
        <v>255</v>
      </c>
      <c r="X1943" s="18" t="s">
        <v>255</v>
      </c>
      <c r="Y1943" s="18" t="s">
        <v>677</v>
      </c>
      <c r="Z1943" s="19" t="str">
        <f>A1943 &amp; "-" &amp; VLOOKUP(A1943,[4]PROGRAMMES!$E$1:$F$7,2,FALSE)</f>
        <v>5-Gouvernance et pilotage du secteur</v>
      </c>
      <c r="AA1943" s="19" t="str">
        <f>B1943 &amp; "-" &amp; VLOOKUP(B1943,[4]SOUSPROGRAMMES!$E$1:$F$44,2,FALSE)</f>
        <v>58- Renforcement des compétences de l’administration (cadre normatif, poste-profil, évaluation, équipement, formations…)</v>
      </c>
      <c r="AB1943" s="19" t="str">
        <f>C1943 &amp; "-" &amp; VLOOKUP(C1943,[4]RESULTATS!$E$1:$F$176,2,FALSE)</f>
        <v xml:space="preserve">585-  L’ensemble des acteurs de l’administration éducative sont conscients des vulnérabilités qui menacent la mise œuvre du ProDEG et savent comment y répondre </v>
      </c>
      <c r="AC1943" s="20" t="str">
        <f>D1943 &amp; "-" &amp; VLOOKUP(D1943,[4]STRATEGIES!$E$1:$F$504,2,FALSE)</f>
        <v>5851-Elaboration d’une stratégie nationale de prévention et de gestion des risques et des catastrophes naturelles</v>
      </c>
      <c r="AD1943" s="21" t="str">
        <f t="shared" si="299"/>
        <v>58512-Organisation de concertations pour élaborer la stratégie</v>
      </c>
    </row>
    <row r="1944" spans="1:30" s="22" customFormat="1" ht="61" x14ac:dyDescent="0.8">
      <c r="A1944" s="14">
        <v>5</v>
      </c>
      <c r="B1944" s="15">
        <v>58</v>
      </c>
      <c r="C1944" s="15">
        <v>585</v>
      </c>
      <c r="D1944" s="74">
        <v>5851</v>
      </c>
      <c r="E1944" s="14">
        <v>58513</v>
      </c>
      <c r="F1944" s="16" t="s">
        <v>2403</v>
      </c>
      <c r="G1944" s="21" t="s">
        <v>1217</v>
      </c>
      <c r="H1944" s="17" t="s">
        <v>38</v>
      </c>
      <c r="I1944" s="56">
        <v>0</v>
      </c>
      <c r="J1944" s="56">
        <f>30*1</f>
        <v>30</v>
      </c>
      <c r="K1944" s="56"/>
      <c r="L1944" s="56"/>
      <c r="M1944" s="56">
        <f t="shared" si="300"/>
        <v>30</v>
      </c>
      <c r="N1944" s="56">
        <f>IF(OR(H1944="",H1944="sif",H1944="PM"),0,VLOOKUP(H1944,[5]CU!$C$4:$H$255,6,FALSE))</f>
        <v>0.3133333333333333</v>
      </c>
      <c r="O1944" s="56">
        <f t="shared" si="301"/>
        <v>0</v>
      </c>
      <c r="P1944" s="56">
        <f t="shared" si="301"/>
        <v>9.3999999999999986</v>
      </c>
      <c r="Q1944" s="56">
        <f t="shared" si="301"/>
        <v>0</v>
      </c>
      <c r="R1944" s="56">
        <f t="shared" si="301"/>
        <v>0</v>
      </c>
      <c r="S1944" s="56">
        <f>SUM(O1944:R1944)</f>
        <v>9.3999999999999986</v>
      </c>
      <c r="T1944" s="35" t="s">
        <v>118</v>
      </c>
      <c r="U1944" s="18" t="s">
        <v>1873</v>
      </c>
      <c r="V1944" s="19" t="str">
        <f>IF(OR($H1944="",$H1944="sif",$H1944="PM"),"",VLOOKUP($H1944,[5]CU!$C$5:$J$255,8,FALSE))</f>
        <v>3. Formation</v>
      </c>
      <c r="W1944" s="18" t="s">
        <v>255</v>
      </c>
      <c r="X1944" s="18" t="s">
        <v>255</v>
      </c>
      <c r="Y1944" s="18" t="s">
        <v>677</v>
      </c>
      <c r="Z1944" s="19" t="str">
        <f>A1944 &amp; "-" &amp; VLOOKUP(A1944,[4]PROGRAMMES!$E$1:$F$7,2,FALSE)</f>
        <v>5-Gouvernance et pilotage du secteur</v>
      </c>
      <c r="AA1944" s="19" t="str">
        <f>B1944 &amp; "-" &amp; VLOOKUP(B1944,[4]SOUSPROGRAMMES!$E$1:$F$44,2,FALSE)</f>
        <v>58- Renforcement des compétences de l’administration (cadre normatif, poste-profil, évaluation, équipement, formations…)</v>
      </c>
      <c r="AB1944" s="19" t="str">
        <f>C1944 &amp; "-" &amp; VLOOKUP(C1944,[4]RESULTATS!$E$1:$F$176,2,FALSE)</f>
        <v xml:space="preserve">585-  L’ensemble des acteurs de l’administration éducative sont conscients des vulnérabilités qui menacent la mise œuvre du ProDEG et savent comment y répondre </v>
      </c>
      <c r="AC1944" s="20" t="str">
        <f>D1944 &amp; "-" &amp; VLOOKUP(D1944,[4]STRATEGIES!$E$1:$F$504,2,FALSE)</f>
        <v>5851-Elaboration d’une stratégie nationale de prévention et de gestion des risques et des catastrophes naturelles</v>
      </c>
      <c r="AD1944" s="21" t="str">
        <f t="shared" si="299"/>
        <v>58513-Validation et adoption de la stratégie</v>
      </c>
    </row>
    <row r="1945" spans="1:30" s="22" customFormat="1" ht="61" x14ac:dyDescent="0.8">
      <c r="A1945" s="14">
        <v>5</v>
      </c>
      <c r="B1945" s="15">
        <v>58</v>
      </c>
      <c r="C1945" s="15">
        <v>585</v>
      </c>
      <c r="D1945" s="74">
        <v>5851</v>
      </c>
      <c r="E1945" s="14">
        <v>58514</v>
      </c>
      <c r="F1945" s="16" t="s">
        <v>2404</v>
      </c>
      <c r="G1945" s="21" t="s">
        <v>73</v>
      </c>
      <c r="H1945" s="17" t="s">
        <v>452</v>
      </c>
      <c r="I1945" s="56">
        <v>0</v>
      </c>
      <c r="J1945" s="56">
        <f>20000</f>
        <v>20000</v>
      </c>
      <c r="K1945" s="56"/>
      <c r="L1945" s="56"/>
      <c r="M1945" s="56">
        <f t="shared" si="300"/>
        <v>20000</v>
      </c>
      <c r="N1945" s="56">
        <f>IF(OR(H1945="",H1945="sif",H1945="PM"),0,VLOOKUP(H1945,[5]CU!$C$4:$H$255,6,FALSE))</f>
        <v>7.4999999999999997E-3</v>
      </c>
      <c r="O1945" s="56">
        <f t="shared" si="301"/>
        <v>0</v>
      </c>
      <c r="P1945" s="56">
        <f t="shared" si="301"/>
        <v>150</v>
      </c>
      <c r="Q1945" s="56">
        <f t="shared" si="301"/>
        <v>0</v>
      </c>
      <c r="R1945" s="56">
        <f t="shared" si="301"/>
        <v>0</v>
      </c>
      <c r="S1945" s="56">
        <f>SUM(O1945:R1945)</f>
        <v>150</v>
      </c>
      <c r="T1945" s="35" t="s">
        <v>118</v>
      </c>
      <c r="U1945" s="18" t="s">
        <v>1873</v>
      </c>
      <c r="V1945" s="19" t="str">
        <f>IF(OR($H1945="",$H1945="sif",$H1945="PM"),"",VLOOKUP($H1945,[5]CU!$C$5:$J$255,8,FALSE))</f>
        <v>3. Dépenses de fonctionnement</v>
      </c>
      <c r="W1945" s="18" t="s">
        <v>255</v>
      </c>
      <c r="X1945" s="18" t="s">
        <v>1963</v>
      </c>
      <c r="Y1945" s="18" t="s">
        <v>677</v>
      </c>
      <c r="Z1945" s="19" t="str">
        <f>A1945 &amp; "-" &amp; VLOOKUP(A1945,[4]PROGRAMMES!$E$1:$F$7,2,FALSE)</f>
        <v>5-Gouvernance et pilotage du secteur</v>
      </c>
      <c r="AA1945" s="19" t="str">
        <f>B1945 &amp; "-" &amp; VLOOKUP(B1945,[4]SOUSPROGRAMMES!$E$1:$F$44,2,FALSE)</f>
        <v>58- Renforcement des compétences de l’administration (cadre normatif, poste-profil, évaluation, équipement, formations…)</v>
      </c>
      <c r="AB1945" s="19" t="str">
        <f>C1945 &amp; "-" &amp; VLOOKUP(C1945,[4]RESULTATS!$E$1:$F$176,2,FALSE)</f>
        <v xml:space="preserve">585-  L’ensemble des acteurs de l’administration éducative sont conscients des vulnérabilités qui menacent la mise œuvre du ProDEG et savent comment y répondre </v>
      </c>
      <c r="AC1945" s="20" t="str">
        <f>D1945 &amp; "-" &amp; VLOOKUP(D1945,[4]STRATEGIES!$E$1:$F$504,2,FALSE)</f>
        <v>5851-Elaboration d’une stratégie nationale de prévention et de gestion des risques et des catastrophes naturelles</v>
      </c>
      <c r="AD1945" s="21" t="str">
        <f t="shared" si="299"/>
        <v>58514-Diffusion de la stratégie</v>
      </c>
    </row>
    <row r="1946" spans="1:30" s="22" customFormat="1" ht="61" x14ac:dyDescent="0.8">
      <c r="A1946" s="14">
        <v>5</v>
      </c>
      <c r="B1946" s="15">
        <v>58</v>
      </c>
      <c r="C1946" s="15">
        <v>585</v>
      </c>
      <c r="D1946" s="74">
        <v>5852</v>
      </c>
      <c r="E1946" s="14">
        <v>5852</v>
      </c>
      <c r="F1946" s="16" t="s">
        <v>2405</v>
      </c>
      <c r="G1946" s="17"/>
      <c r="H1946" s="17"/>
      <c r="I1946" s="56">
        <v>0</v>
      </c>
      <c r="J1946" s="56"/>
      <c r="K1946" s="56"/>
      <c r="L1946" s="56"/>
      <c r="M1946" s="56"/>
      <c r="N1946" s="56"/>
      <c r="O1946" s="56"/>
      <c r="P1946" s="56"/>
      <c r="Q1946" s="56"/>
      <c r="R1946" s="56"/>
      <c r="S1946" s="56"/>
      <c r="T1946" s="33"/>
      <c r="U1946" s="18"/>
      <c r="V1946" s="19"/>
      <c r="W1946" s="18"/>
      <c r="X1946" s="18"/>
      <c r="Y1946" s="18"/>
      <c r="Z1946" s="19" t="str">
        <f>A1946 &amp; "-" &amp; VLOOKUP(A1946,[4]PROGRAMMES!$E$1:$F$7,2,FALSE)</f>
        <v>5-Gouvernance et pilotage du secteur</v>
      </c>
      <c r="AA1946" s="19" t="str">
        <f>B1946 &amp; "-" &amp; VLOOKUP(B1946,[4]SOUSPROGRAMMES!$E$1:$F$44,2,FALSE)</f>
        <v>58- Renforcement des compétences de l’administration (cadre normatif, poste-profil, évaluation, équipement, formations…)</v>
      </c>
      <c r="AB1946" s="19" t="str">
        <f>C1946 &amp; "-" &amp; VLOOKUP(C1946,[4]RESULTATS!$E$1:$F$176,2,FALSE)</f>
        <v xml:space="preserve">585-  L’ensemble des acteurs de l’administration éducative sont conscients des vulnérabilités qui menacent la mise œuvre du ProDEG et savent comment y répondre </v>
      </c>
      <c r="AC1946" s="20" t="str">
        <f>D1946 &amp; "-" &amp; VLOOKUP(D1946,[4]STRATEGIES!$E$1:$F$504,2,FALSE)</f>
        <v>5852-Sensibilisation des acteurs</v>
      </c>
      <c r="AD1946" s="21" t="str">
        <f t="shared" si="299"/>
        <v>5852-Sensibilisation des acteurs</v>
      </c>
    </row>
    <row r="1947" spans="1:30" s="22" customFormat="1" ht="61" x14ac:dyDescent="0.8">
      <c r="A1947" s="14">
        <v>5</v>
      </c>
      <c r="B1947" s="15">
        <v>58</v>
      </c>
      <c r="C1947" s="15">
        <v>585</v>
      </c>
      <c r="D1947" s="74">
        <v>5852</v>
      </c>
      <c r="E1947" s="14">
        <v>58521</v>
      </c>
      <c r="F1947" s="16" t="s">
        <v>2406</v>
      </c>
      <c r="G1947" s="21" t="s">
        <v>454</v>
      </c>
      <c r="H1947" s="17" t="s">
        <v>76</v>
      </c>
      <c r="I1947" s="56">
        <v>0</v>
      </c>
      <c r="J1947" s="56"/>
      <c r="K1947" s="56">
        <v>1</v>
      </c>
      <c r="L1947" s="56">
        <v>1</v>
      </c>
      <c r="M1947" s="56">
        <f t="shared" si="300"/>
        <v>2</v>
      </c>
      <c r="N1947" s="56">
        <f>IF(OR(H1947="",H1947="sif",H1947="PM"),0,VLOOKUP(H1947,[5]CU!$C$4:$H$255,6,FALSE))</f>
        <v>45.936799999999998</v>
      </c>
      <c r="O1947" s="56">
        <f t="shared" si="301"/>
        <v>0</v>
      </c>
      <c r="P1947" s="56">
        <f t="shared" si="301"/>
        <v>0</v>
      </c>
      <c r="Q1947" s="56">
        <f t="shared" si="301"/>
        <v>45.936799999999998</v>
      </c>
      <c r="R1947" s="56">
        <f t="shared" si="301"/>
        <v>45.936799999999998</v>
      </c>
      <c r="S1947" s="56">
        <f>SUM(O1947:R1947)</f>
        <v>91.873599999999996</v>
      </c>
      <c r="T1947" s="35" t="s">
        <v>118</v>
      </c>
      <c r="U1947" s="18" t="s">
        <v>1873</v>
      </c>
      <c r="V1947" s="19" t="str">
        <f>IF(OR($H1947="",$H1947="sif",$H1947="PM"),"",VLOOKUP($H1947,[5]CU!$C$5:$J$255,8,FALSE))</f>
        <v>3. Dépenses de fonctionnement</v>
      </c>
      <c r="W1947" s="18"/>
      <c r="X1947" s="18"/>
      <c r="Y1947" s="19" t="s">
        <v>32</v>
      </c>
      <c r="Z1947" s="19" t="str">
        <f>A1947 &amp; "-" &amp; VLOOKUP(A1947,[4]PROGRAMMES!$E$1:$F$7,2,FALSE)</f>
        <v>5-Gouvernance et pilotage du secteur</v>
      </c>
      <c r="AA1947" s="19" t="str">
        <f>B1947 &amp; "-" &amp; VLOOKUP(B1947,[4]SOUSPROGRAMMES!$E$1:$F$44,2,FALSE)</f>
        <v>58- Renforcement des compétences de l’administration (cadre normatif, poste-profil, évaluation, équipement, formations…)</v>
      </c>
      <c r="AB1947" s="19" t="str">
        <f>C1947 &amp; "-" &amp; VLOOKUP(C1947,[4]RESULTATS!$E$1:$F$176,2,FALSE)</f>
        <v xml:space="preserve">585-  L’ensemble des acteurs de l’administration éducative sont conscients des vulnérabilités qui menacent la mise œuvre du ProDEG et savent comment y répondre </v>
      </c>
      <c r="AC1947" s="20" t="str">
        <f>D1947 &amp; "-" &amp; VLOOKUP(D1947,[4]STRATEGIES!$E$1:$F$504,2,FALSE)</f>
        <v>5852-Sensibilisation des acteurs</v>
      </c>
      <c r="AD1947" s="21" t="str">
        <f t="shared" si="299"/>
        <v>58521-Campagnes de vulgarisation de la stratégie</v>
      </c>
    </row>
    <row r="1948" spans="1:30" s="22" customFormat="1" ht="61" x14ac:dyDescent="0.8">
      <c r="A1948" s="14">
        <v>5</v>
      </c>
      <c r="B1948" s="15">
        <v>58</v>
      </c>
      <c r="C1948" s="15">
        <v>585</v>
      </c>
      <c r="D1948" s="74">
        <v>5853</v>
      </c>
      <c r="E1948" s="14">
        <v>5853</v>
      </c>
      <c r="F1948" s="16" t="s">
        <v>2407</v>
      </c>
      <c r="G1948" s="17"/>
      <c r="H1948" s="17"/>
      <c r="I1948" s="56">
        <v>0</v>
      </c>
      <c r="J1948" s="56"/>
      <c r="K1948" s="56"/>
      <c r="L1948" s="56"/>
      <c r="M1948" s="56"/>
      <c r="N1948" s="56"/>
      <c r="O1948" s="56"/>
      <c r="P1948" s="56"/>
      <c r="Q1948" s="56"/>
      <c r="R1948" s="56"/>
      <c r="S1948" s="56"/>
      <c r="T1948" s="33"/>
      <c r="U1948" s="18"/>
      <c r="V1948" s="19"/>
      <c r="W1948" s="18"/>
      <c r="X1948" s="18"/>
      <c r="Y1948" s="18"/>
      <c r="Z1948" s="19" t="str">
        <f>A1948 &amp; "-" &amp; VLOOKUP(A1948,[4]PROGRAMMES!$E$1:$F$7,2,FALSE)</f>
        <v>5-Gouvernance et pilotage du secteur</v>
      </c>
      <c r="AA1948" s="19" t="str">
        <f>B1948 &amp; "-" &amp; VLOOKUP(B1948,[4]SOUSPROGRAMMES!$E$1:$F$44,2,FALSE)</f>
        <v>58- Renforcement des compétences de l’administration (cadre normatif, poste-profil, évaluation, équipement, formations…)</v>
      </c>
      <c r="AB1948" s="19" t="str">
        <f>C1948 &amp; "-" &amp; VLOOKUP(C1948,[4]RESULTATS!$E$1:$F$176,2,FALSE)</f>
        <v xml:space="preserve">585-  L’ensemble des acteurs de l’administration éducative sont conscients des vulnérabilités qui menacent la mise œuvre du ProDEG et savent comment y répondre </v>
      </c>
      <c r="AC1948" s="20" t="str">
        <f>D1948 &amp; "-" &amp; VLOOKUP(D1948,[4]STRATEGIES!$E$1:$F$504,2,FALSE)</f>
        <v>5853-Mise en place de mécanismes de la stratégie de prévention et de gestion des risques</v>
      </c>
      <c r="AD1948" s="21" t="str">
        <f t="shared" si="299"/>
        <v>5853-Mise en place de mécanismes de la stratégie de prévention et de gestion des risques</v>
      </c>
    </row>
    <row r="1949" spans="1:30" s="22" customFormat="1" ht="61" hidden="1" x14ac:dyDescent="0.8">
      <c r="A1949" s="14">
        <v>5</v>
      </c>
      <c r="B1949" s="15">
        <v>58</v>
      </c>
      <c r="C1949" s="15">
        <v>585</v>
      </c>
      <c r="D1949" s="74">
        <v>5853</v>
      </c>
      <c r="E1949" s="14">
        <v>58531</v>
      </c>
      <c r="F1949" s="16" t="s">
        <v>2408</v>
      </c>
      <c r="G1949" s="21" t="s">
        <v>88</v>
      </c>
      <c r="H1949" s="17" t="s">
        <v>55</v>
      </c>
      <c r="I1949" s="56">
        <v>0</v>
      </c>
      <c r="J1949" s="56"/>
      <c r="K1949" s="56">
        <v>1</v>
      </c>
      <c r="L1949" s="56"/>
      <c r="M1949" s="56">
        <f t="shared" si="300"/>
        <v>1</v>
      </c>
      <c r="N1949" s="56">
        <f>IF(OR(H1949="",H1949="sif",H1949="PM"),0,VLOOKUP(H1949,[5]CU!$C$4:$H$255,6,FALSE))</f>
        <v>0</v>
      </c>
      <c r="O1949" s="56"/>
      <c r="P1949" s="56"/>
      <c r="Q1949" s="56"/>
      <c r="R1949" s="56"/>
      <c r="S1949" s="56"/>
      <c r="T1949" s="35" t="s">
        <v>56</v>
      </c>
      <c r="U1949" s="18" t="s">
        <v>1873</v>
      </c>
      <c r="V1949" s="19" t="str">
        <f>IF(OR($H1949="",$H1949="sif",$H1949="PM"),"",VLOOKUP($H1949,[5]CU!$C$5:$J$255,8,FALSE))</f>
        <v/>
      </c>
      <c r="W1949" s="18" t="s">
        <v>255</v>
      </c>
      <c r="X1949" s="18" t="s">
        <v>255</v>
      </c>
      <c r="Y1949" s="19" t="s">
        <v>32</v>
      </c>
      <c r="Z1949" s="19" t="str">
        <f>A1949 &amp; "-" &amp; VLOOKUP(A1949,[4]PROGRAMMES!$E$1:$F$7,2,FALSE)</f>
        <v>5-Gouvernance et pilotage du secteur</v>
      </c>
      <c r="AA1949" s="19" t="str">
        <f>B1949 &amp; "-" &amp; VLOOKUP(B1949,[4]SOUSPROGRAMMES!$E$1:$F$44,2,FALSE)</f>
        <v>58- Renforcement des compétences de l’administration (cadre normatif, poste-profil, évaluation, équipement, formations…)</v>
      </c>
      <c r="AB1949" s="19" t="str">
        <f>C1949 &amp; "-" &amp; VLOOKUP(C1949,[4]RESULTATS!$E$1:$F$176,2,FALSE)</f>
        <v xml:space="preserve">585-  L’ensemble des acteurs de l’administration éducative sont conscients des vulnérabilités qui menacent la mise œuvre du ProDEG et savent comment y répondre </v>
      </c>
      <c r="AC1949" s="20" t="str">
        <f>D1949 &amp; "-" &amp; VLOOKUP(D1949,[4]STRATEGIES!$E$1:$F$504,2,FALSE)</f>
        <v>5853-Mise en place de mécanismes de la stratégie de prévention et de gestion des risques</v>
      </c>
      <c r="AD1949" s="21" t="str">
        <f t="shared" si="299"/>
        <v>58531-Mise en place d’un mécanisme de suivi et de prévention des risques</v>
      </c>
    </row>
    <row r="1950" spans="1:30" s="22" customFormat="1" ht="61" hidden="1" x14ac:dyDescent="0.8">
      <c r="A1950" s="14">
        <v>5</v>
      </c>
      <c r="B1950" s="15">
        <v>58</v>
      </c>
      <c r="C1950" s="15">
        <v>585</v>
      </c>
      <c r="D1950" s="74">
        <v>5853</v>
      </c>
      <c r="E1950" s="14">
        <v>58532</v>
      </c>
      <c r="F1950" s="16" t="s">
        <v>2409</v>
      </c>
      <c r="G1950" s="21" t="s">
        <v>88</v>
      </c>
      <c r="H1950" s="17" t="s">
        <v>55</v>
      </c>
      <c r="I1950" s="56">
        <v>0</v>
      </c>
      <c r="J1950" s="56"/>
      <c r="K1950" s="56">
        <v>1</v>
      </c>
      <c r="L1950" s="56">
        <v>1</v>
      </c>
      <c r="M1950" s="56">
        <f t="shared" si="300"/>
        <v>2</v>
      </c>
      <c r="N1950" s="56">
        <f>IF(OR(H1950="",H1950="sif",H1950="PM"),0,VLOOKUP(H1950,[5]CU!$C$4:$H$255,6,FALSE))</f>
        <v>0</v>
      </c>
      <c r="O1950" s="56"/>
      <c r="P1950" s="56"/>
      <c r="Q1950" s="56"/>
      <c r="R1950" s="56"/>
      <c r="S1950" s="56"/>
      <c r="T1950" s="35" t="s">
        <v>56</v>
      </c>
      <c r="U1950" s="18" t="s">
        <v>1873</v>
      </c>
      <c r="V1950" s="19" t="str">
        <f>IF(OR($H1950="",$H1950="sif",$H1950="PM"),"",VLOOKUP($H1950,[5]CU!$C$5:$J$255,8,FALSE))</f>
        <v/>
      </c>
      <c r="W1950" s="18" t="s">
        <v>255</v>
      </c>
      <c r="X1950" s="18" t="s">
        <v>255</v>
      </c>
      <c r="Y1950" s="19" t="s">
        <v>32</v>
      </c>
      <c r="Z1950" s="19" t="str">
        <f>A1950 &amp; "-" &amp; VLOOKUP(A1950,[4]PROGRAMMES!$E$1:$F$7,2,FALSE)</f>
        <v>5-Gouvernance et pilotage du secteur</v>
      </c>
      <c r="AA1950" s="19" t="str">
        <f>B1950 &amp; "-" &amp; VLOOKUP(B1950,[4]SOUSPROGRAMMES!$E$1:$F$44,2,FALSE)</f>
        <v>58- Renforcement des compétences de l’administration (cadre normatif, poste-profil, évaluation, équipement, formations…)</v>
      </c>
      <c r="AB1950" s="19" t="str">
        <f>C1950 &amp; "-" &amp; VLOOKUP(C1950,[4]RESULTATS!$E$1:$F$176,2,FALSE)</f>
        <v xml:space="preserve">585-  L’ensemble des acteurs de l’administration éducative sont conscients des vulnérabilités qui menacent la mise œuvre du ProDEG et savent comment y répondre </v>
      </c>
      <c r="AC1950" s="20" t="str">
        <f>D1950 &amp; "-" &amp; VLOOKUP(D1950,[4]STRATEGIES!$E$1:$F$504,2,FALSE)</f>
        <v>5853-Mise en place de mécanismes de la stratégie de prévention et de gestion des risques</v>
      </c>
      <c r="AD1950" s="21" t="str">
        <f t="shared" si="299"/>
        <v xml:space="preserve">58532-Suivi régulier des vulnérabilités et des réponses </v>
      </c>
    </row>
    <row r="1951" spans="1:30" s="22" customFormat="1" ht="45.75" x14ac:dyDescent="0.8">
      <c r="A1951" s="14">
        <v>6</v>
      </c>
      <c r="B1951" s="15">
        <v>6</v>
      </c>
      <c r="C1951" s="15">
        <v>6</v>
      </c>
      <c r="D1951" s="74">
        <v>6</v>
      </c>
      <c r="E1951" s="14">
        <v>6</v>
      </c>
      <c r="F1951" s="16" t="s">
        <v>2410</v>
      </c>
      <c r="G1951" s="17"/>
      <c r="H1951" s="17"/>
      <c r="I1951" s="56">
        <v>0</v>
      </c>
      <c r="J1951" s="56"/>
      <c r="K1951" s="56"/>
      <c r="L1951" s="56"/>
      <c r="M1951" s="56"/>
      <c r="N1951" s="56"/>
      <c r="O1951" s="56"/>
      <c r="P1951" s="56"/>
      <c r="Q1951" s="56"/>
      <c r="R1951" s="56"/>
      <c r="S1951" s="56"/>
      <c r="T1951" s="33"/>
      <c r="U1951" s="18"/>
      <c r="V1951" s="19"/>
      <c r="W1951" s="18"/>
      <c r="X1951" s="18"/>
      <c r="Y1951" s="18"/>
      <c r="Z1951" s="19" t="str">
        <f>A1951 &amp; "-" &amp; VLOOKUP(A1951,[4]PROGRAMMES!$E$1:$F$7,2,FALSE)</f>
        <v>6-Education et alphabétisation des adultes</v>
      </c>
      <c r="AA1951" s="19" t="str">
        <f>B1951 &amp; "-" &amp; VLOOKUP(B1951,[4]SOUSPROGRAMMES!$E$1:$F$44,2,FALSE)</f>
        <v>6-Education et alphabétisation des adultes</v>
      </c>
      <c r="AB1951" s="19" t="str">
        <f>C1951 &amp; "-" &amp; VLOOKUP(C1951,[4]RESULTATS!$E$1:$F$176,2,FALSE)</f>
        <v>6-Education et alphabétisation des adultes</v>
      </c>
      <c r="AC1951" s="20" t="str">
        <f>D1951 &amp; "-" &amp; VLOOKUP(D1951,[4]STRATEGIES!$E$1:$F$504,2,FALSE)</f>
        <v>6-Education et alphabétisation des adultes</v>
      </c>
      <c r="AD1951" s="21" t="str">
        <f t="shared" si="299"/>
        <v>6-Education et alphabétisation des adultes</v>
      </c>
    </row>
    <row r="1952" spans="1:30" s="22" customFormat="1" ht="45.75" x14ac:dyDescent="0.8">
      <c r="A1952" s="14">
        <v>6</v>
      </c>
      <c r="B1952" s="15">
        <v>61</v>
      </c>
      <c r="C1952" s="15">
        <v>61</v>
      </c>
      <c r="D1952" s="74">
        <v>61</v>
      </c>
      <c r="E1952" s="14">
        <v>61</v>
      </c>
      <c r="F1952" s="16" t="s">
        <v>2411</v>
      </c>
      <c r="G1952" s="17"/>
      <c r="H1952" s="17"/>
      <c r="I1952" s="56">
        <v>0</v>
      </c>
      <c r="J1952" s="56"/>
      <c r="K1952" s="56"/>
      <c r="L1952" s="56"/>
      <c r="M1952" s="56"/>
      <c r="N1952" s="56"/>
      <c r="O1952" s="56"/>
      <c r="P1952" s="56"/>
      <c r="Q1952" s="56"/>
      <c r="R1952" s="56"/>
      <c r="S1952" s="56"/>
      <c r="T1952" s="33"/>
      <c r="U1952" s="18"/>
      <c r="V1952" s="19"/>
      <c r="W1952" s="18"/>
      <c r="X1952" s="18"/>
      <c r="Y1952" s="18"/>
      <c r="Z1952" s="19" t="str">
        <f>A1952 &amp; "-" &amp; VLOOKUP(A1952,[4]PROGRAMMES!$E$1:$F$7,2,FALSE)</f>
        <v>6-Education et alphabétisation des adultes</v>
      </c>
      <c r="AA1952" s="19" t="str">
        <f>B1952 &amp; "-" &amp; VLOOKUP(B1952,[4]SOUSPROGRAMMES!$E$1:$F$44,2,FALSE)</f>
        <v>61-Mobilisation sociale pour l’accroissement des financements de l’AEA</v>
      </c>
      <c r="AB1952" s="19" t="str">
        <f>C1952 &amp; "-" &amp; VLOOKUP(C1952,[4]RESULTATS!$E$1:$F$176,2,FALSE)</f>
        <v>61-Mobilisation sociale pour l’accroissement des financements de l’AEA</v>
      </c>
      <c r="AC1952" s="20" t="str">
        <f>D1952 &amp; "-" &amp; VLOOKUP(D1952,[4]STRATEGIES!$E$1:$F$504,2,FALSE)</f>
        <v>61-Mobilisation sociale pour l’accroissement des financements de l’AEA</v>
      </c>
      <c r="AD1952" s="21" t="str">
        <f t="shared" si="299"/>
        <v>61-Mobilisation sociale pour l’accroissement des Financements de l’AEA</v>
      </c>
    </row>
    <row r="1953" spans="1:30" s="22" customFormat="1" ht="45.75" hidden="1" x14ac:dyDescent="0.8">
      <c r="A1953" s="14">
        <v>6</v>
      </c>
      <c r="B1953" s="15">
        <v>61</v>
      </c>
      <c r="C1953" s="15">
        <v>611</v>
      </c>
      <c r="D1953" s="74">
        <v>611</v>
      </c>
      <c r="E1953" s="14">
        <v>611</v>
      </c>
      <c r="F1953" s="16" t="s">
        <v>2412</v>
      </c>
      <c r="G1953" s="17"/>
      <c r="H1953" s="17"/>
      <c r="I1953" s="56">
        <v>0</v>
      </c>
      <c r="J1953" s="56"/>
      <c r="K1953" s="56"/>
      <c r="L1953" s="56"/>
      <c r="M1953" s="56"/>
      <c r="N1953" s="56"/>
      <c r="O1953" s="56"/>
      <c r="P1953" s="56"/>
      <c r="Q1953" s="56"/>
      <c r="R1953" s="56"/>
      <c r="S1953" s="56"/>
      <c r="T1953" s="33" t="s">
        <v>56</v>
      </c>
      <c r="U1953" s="18"/>
      <c r="V1953" s="19"/>
      <c r="W1953" s="18"/>
      <c r="X1953" s="18"/>
      <c r="Y1953" s="18"/>
      <c r="Z1953" s="19" t="str">
        <f>A1953 &amp; "-" &amp; VLOOKUP(A1953,[4]PROGRAMMES!$E$1:$F$7,2,FALSE)</f>
        <v>6-Education et alphabétisation des adultes</v>
      </c>
      <c r="AA1953" s="19" t="str">
        <f>B1953 &amp; "-" &amp; VLOOKUP(B1953,[4]SOUSPROGRAMMES!$E$1:$F$44,2,FALSE)</f>
        <v>61-Mobilisation sociale pour l’accroissement des financements de l’AEA</v>
      </c>
      <c r="AB1953" s="19" t="str">
        <f>C1953 &amp; "-" &amp; VLOOKUP(C1953,[4]RESULTATS!$E$1:$F$176,2,FALSE)</f>
        <v>611- les acteurs et les PTF concernés sont mobilisés en faveur de l’AEA.</v>
      </c>
      <c r="AC1953" s="20" t="str">
        <f>D1953 &amp; "-" &amp; VLOOKUP(D1953,[4]STRATEGIES!$E$1:$F$504,2,FALSE)</f>
        <v>611- les acteurs et les PTF concernés sont mobilisés en faveur de l’AEA.</v>
      </c>
      <c r="AD1953" s="21" t="str">
        <f t="shared" si="299"/>
        <v>611- les acteurs et les PTF concernés sont mobilisés en faveur de l’AEA.</v>
      </c>
    </row>
    <row r="1954" spans="1:30" s="22" customFormat="1" ht="45.75" x14ac:dyDescent="0.8">
      <c r="A1954" s="14">
        <v>6</v>
      </c>
      <c r="B1954" s="15">
        <v>61</v>
      </c>
      <c r="C1954" s="15">
        <v>611</v>
      </c>
      <c r="D1954" s="74">
        <v>6111</v>
      </c>
      <c r="E1954" s="14">
        <v>6111</v>
      </c>
      <c r="F1954" s="16" t="s">
        <v>2413</v>
      </c>
      <c r="G1954" s="17"/>
      <c r="H1954" s="17"/>
      <c r="I1954" s="56">
        <v>0</v>
      </c>
      <c r="J1954" s="56"/>
      <c r="K1954" s="56"/>
      <c r="L1954" s="56"/>
      <c r="M1954" s="56"/>
      <c r="N1954" s="56"/>
      <c r="O1954" s="56"/>
      <c r="P1954" s="56"/>
      <c r="Q1954" s="56"/>
      <c r="R1954" s="56"/>
      <c r="S1954" s="56"/>
      <c r="T1954" s="33"/>
      <c r="U1954" s="18"/>
      <c r="V1954" s="19"/>
      <c r="W1954" s="18"/>
      <c r="X1954" s="18"/>
      <c r="Y1954" s="18"/>
      <c r="Z1954" s="19" t="str">
        <f>A1954 &amp; "-" &amp; VLOOKUP(A1954,[4]PROGRAMMES!$E$1:$F$7,2,FALSE)</f>
        <v>6-Education et alphabétisation des adultes</v>
      </c>
      <c r="AA1954" s="19" t="str">
        <f>B1954 &amp; "-" &amp; VLOOKUP(B1954,[4]SOUSPROGRAMMES!$E$1:$F$44,2,FALSE)</f>
        <v>61-Mobilisation sociale pour l’accroissement des financements de l’AEA</v>
      </c>
      <c r="AB1954" s="19" t="str">
        <f>C1954 &amp; "-" &amp; VLOOKUP(C1954,[4]RESULTATS!$E$1:$F$176,2,FALSE)</f>
        <v>611- les acteurs et les PTF concernés sont mobilisés en faveur de l’AEA.</v>
      </c>
      <c r="AC1954" s="20" t="str">
        <f>D1954 &amp; "-" &amp; VLOOKUP(D1954,[4]STRATEGIES!$E$1:$F$504,2,FALSE)</f>
        <v>6111-Sensibilisation et plaidoyer en faveur de l'AEA</v>
      </c>
      <c r="AD1954" s="21" t="str">
        <f t="shared" si="299"/>
        <v>6111-Sensibilisation et plaidoyer en faveur de l'AEA</v>
      </c>
    </row>
    <row r="1955" spans="1:30" s="22" customFormat="1" ht="45.75" hidden="1" x14ac:dyDescent="0.8">
      <c r="A1955" s="14">
        <v>6</v>
      </c>
      <c r="B1955" s="15">
        <v>61</v>
      </c>
      <c r="C1955" s="15">
        <v>611</v>
      </c>
      <c r="D1955" s="74">
        <v>6111</v>
      </c>
      <c r="E1955" s="14">
        <v>61111</v>
      </c>
      <c r="F1955" s="16" t="s">
        <v>2414</v>
      </c>
      <c r="G1955" s="21" t="s">
        <v>88</v>
      </c>
      <c r="H1955" s="17" t="s">
        <v>55</v>
      </c>
      <c r="I1955" s="56">
        <v>0</v>
      </c>
      <c r="J1955" s="56"/>
      <c r="K1955" s="56"/>
      <c r="L1955" s="56"/>
      <c r="M1955" s="56">
        <f t="shared" si="300"/>
        <v>0</v>
      </c>
      <c r="N1955" s="56">
        <f>IF(OR(H1955="",H1955="sif",H1955="PM"),0,VLOOKUP(H1955,[5]CU!$C$4:$H$255,6,FALSE))</f>
        <v>0</v>
      </c>
      <c r="O1955" s="56"/>
      <c r="P1955" s="56"/>
      <c r="Q1955" s="56"/>
      <c r="R1955" s="56"/>
      <c r="S1955" s="56"/>
      <c r="T1955" s="35" t="s">
        <v>56</v>
      </c>
      <c r="U1955" s="18" t="s">
        <v>330</v>
      </c>
      <c r="V1955" s="19" t="str">
        <f>IF(OR($H1955="",$H1955="sif",$H1955="PM"),"",VLOOKUP($H1955,[5]CU!$C$5:$J$255,8,FALSE))</f>
        <v/>
      </c>
      <c r="W1955" s="18" t="s">
        <v>331</v>
      </c>
      <c r="X1955" s="18" t="s">
        <v>331</v>
      </c>
      <c r="Y1955" s="19" t="s">
        <v>32</v>
      </c>
      <c r="Z1955" s="19" t="str">
        <f>A1955 &amp; "-" &amp; VLOOKUP(A1955,[4]PROGRAMMES!$E$1:$F$7,2,FALSE)</f>
        <v>6-Education et alphabétisation des adultes</v>
      </c>
      <c r="AA1955" s="19" t="str">
        <f>B1955 &amp; "-" &amp; VLOOKUP(B1955,[4]SOUSPROGRAMMES!$E$1:$F$44,2,FALSE)</f>
        <v>61-Mobilisation sociale pour l’accroissement des financements de l’AEA</v>
      </c>
      <c r="AB1955" s="19" t="str">
        <f>C1955 &amp; "-" &amp; VLOOKUP(C1955,[4]RESULTATS!$E$1:$F$176,2,FALSE)</f>
        <v>611- les acteurs et les PTF concernés sont mobilisés en faveur de l’AEA.</v>
      </c>
      <c r="AC1955" s="20" t="str">
        <f>D1955 &amp; "-" &amp; VLOOKUP(D1955,[4]STRATEGIES!$E$1:$F$504,2,FALSE)</f>
        <v>6111-Sensibilisation et plaidoyer en faveur de l'AEA</v>
      </c>
      <c r="AD1955" s="21" t="str">
        <f t="shared" si="299"/>
        <v>61111-identification des groupes cibles et des principaux messages</v>
      </c>
    </row>
    <row r="1956" spans="1:30" s="22" customFormat="1" ht="45.75" hidden="1" x14ac:dyDescent="0.8">
      <c r="A1956" s="14">
        <v>6</v>
      </c>
      <c r="B1956" s="15">
        <v>61</v>
      </c>
      <c r="C1956" s="15">
        <v>611</v>
      </c>
      <c r="D1956" s="74">
        <v>6111</v>
      </c>
      <c r="E1956" s="14">
        <v>61112</v>
      </c>
      <c r="F1956" s="16" t="s">
        <v>2415</v>
      </c>
      <c r="G1956" s="21" t="s">
        <v>321</v>
      </c>
      <c r="H1956" s="17" t="s">
        <v>55</v>
      </c>
      <c r="I1956" s="56">
        <v>0</v>
      </c>
      <c r="J1956" s="56"/>
      <c r="K1956" s="56"/>
      <c r="L1956" s="56"/>
      <c r="M1956" s="56">
        <f t="shared" si="300"/>
        <v>0</v>
      </c>
      <c r="N1956" s="56">
        <f>IF(OR(H1956="",H1956="sif",H1956="PM"),0,VLOOKUP(H1956,[5]CU!$C$4:$H$255,6,FALSE))</f>
        <v>0</v>
      </c>
      <c r="O1956" s="56"/>
      <c r="P1956" s="56"/>
      <c r="Q1956" s="56"/>
      <c r="R1956" s="56"/>
      <c r="S1956" s="56"/>
      <c r="T1956" s="35" t="s">
        <v>56</v>
      </c>
      <c r="U1956" s="18" t="s">
        <v>330</v>
      </c>
      <c r="V1956" s="19" t="str">
        <f>IF(OR($H1956="",$H1956="sif",$H1956="PM"),"",VLOOKUP($H1956,[5]CU!$C$5:$J$255,8,FALSE))</f>
        <v/>
      </c>
      <c r="W1956" s="18" t="s">
        <v>331</v>
      </c>
      <c r="X1956" s="18" t="s">
        <v>255</v>
      </c>
      <c r="Y1956" s="19" t="s">
        <v>32</v>
      </c>
      <c r="Z1956" s="19" t="str">
        <f>A1956 &amp; "-" &amp; VLOOKUP(A1956,[4]PROGRAMMES!$E$1:$F$7,2,FALSE)</f>
        <v>6-Education et alphabétisation des adultes</v>
      </c>
      <c r="AA1956" s="19" t="str">
        <f>B1956 &amp; "-" &amp; VLOOKUP(B1956,[4]SOUSPROGRAMMES!$E$1:$F$44,2,FALSE)</f>
        <v>61-Mobilisation sociale pour l’accroissement des financements de l’AEA</v>
      </c>
      <c r="AB1956" s="19" t="str">
        <f>C1956 &amp; "-" &amp; VLOOKUP(C1956,[4]RESULTATS!$E$1:$F$176,2,FALSE)</f>
        <v>611- les acteurs et les PTF concernés sont mobilisés en faveur de l’AEA.</v>
      </c>
      <c r="AC1956" s="20" t="str">
        <f>D1956 &amp; "-" &amp; VLOOKUP(D1956,[4]STRATEGIES!$E$1:$F$504,2,FALSE)</f>
        <v>6111-Sensibilisation et plaidoyer en faveur de l'AEA</v>
      </c>
      <c r="AD1956" s="21" t="str">
        <f t="shared" si="299"/>
        <v>61112-Mise en place d'équipes de suivi au niveau central et dans les régions</v>
      </c>
    </row>
    <row r="1957" spans="1:30" s="22" customFormat="1" ht="45.75" hidden="1" x14ac:dyDescent="0.8">
      <c r="A1957" s="14">
        <v>6</v>
      </c>
      <c r="B1957" s="15">
        <v>61</v>
      </c>
      <c r="C1957" s="15">
        <v>611</v>
      </c>
      <c r="D1957" s="74">
        <v>6111</v>
      </c>
      <c r="E1957" s="14">
        <v>61113</v>
      </c>
      <c r="F1957" s="16" t="s">
        <v>2416</v>
      </c>
      <c r="G1957" s="21" t="s">
        <v>37</v>
      </c>
      <c r="H1957" s="17" t="s">
        <v>38</v>
      </c>
      <c r="I1957" s="56">
        <v>0</v>
      </c>
      <c r="J1957" s="56">
        <f>30*3*1</f>
        <v>90</v>
      </c>
      <c r="K1957" s="56">
        <f>30*3*1</f>
        <v>90</v>
      </c>
      <c r="L1957" s="56">
        <f>30*3*1</f>
        <v>90</v>
      </c>
      <c r="M1957" s="56">
        <f t="shared" si="300"/>
        <v>270</v>
      </c>
      <c r="N1957" s="56">
        <f>IF(OR(H1957="",H1957="sif",H1957="PM"),0,VLOOKUP(H1957,[5]CU!$C$4:$H$255,6,FALSE))</f>
        <v>0.3133333333333333</v>
      </c>
      <c r="O1957" s="56">
        <f t="shared" ref="O1957:R1962" si="302">$N1957*I1957</f>
        <v>0</v>
      </c>
      <c r="P1957" s="56">
        <f t="shared" si="302"/>
        <v>28.199999999999996</v>
      </c>
      <c r="Q1957" s="56">
        <f t="shared" si="302"/>
        <v>28.199999999999996</v>
      </c>
      <c r="R1957" s="56">
        <f t="shared" si="302"/>
        <v>28.199999999999996</v>
      </c>
      <c r="S1957" s="56">
        <f>SUM(O1957:R1957)</f>
        <v>84.6</v>
      </c>
      <c r="T1957" s="35" t="s">
        <v>56</v>
      </c>
      <c r="U1957" s="18" t="s">
        <v>330</v>
      </c>
      <c r="V1957" s="19" t="str">
        <f>IF(OR($H1957="",$H1957="sif",$H1957="PM"),"",VLOOKUP($H1957,[5]CU!$C$5:$J$255,8,FALSE))</f>
        <v>3. Formation</v>
      </c>
      <c r="W1957" s="18" t="s">
        <v>331</v>
      </c>
      <c r="X1957" s="18" t="s">
        <v>2417</v>
      </c>
      <c r="Y1957" s="19" t="s">
        <v>32</v>
      </c>
      <c r="Z1957" s="19" t="str">
        <f>A1957 &amp; "-" &amp; VLOOKUP(A1957,[4]PROGRAMMES!$E$1:$F$7,2,FALSE)</f>
        <v>6-Education et alphabétisation des adultes</v>
      </c>
      <c r="AA1957" s="19" t="str">
        <f>B1957 &amp; "-" &amp; VLOOKUP(B1957,[4]SOUSPROGRAMMES!$E$1:$F$44,2,FALSE)</f>
        <v>61-Mobilisation sociale pour l’accroissement des financements de l’AEA</v>
      </c>
      <c r="AB1957" s="19" t="str">
        <f>C1957 &amp; "-" &amp; VLOOKUP(C1957,[4]RESULTATS!$E$1:$F$176,2,FALSE)</f>
        <v>611- les acteurs et les PTF concernés sont mobilisés en faveur de l’AEA.</v>
      </c>
      <c r="AC1957" s="20" t="str">
        <f>D1957 &amp; "-" &amp; VLOOKUP(D1957,[4]STRATEGIES!$E$1:$F$504,2,FALSE)</f>
        <v>6111-Sensibilisation et plaidoyer en faveur de l'AEA</v>
      </c>
      <c r="AD1957" s="21" t="str">
        <f t="shared" si="299"/>
        <v xml:space="preserve">61113-Organisation de rencontres de sensibilisation en collaboration avec les structures déconcentrées </v>
      </c>
    </row>
    <row r="1958" spans="1:30" s="22" customFormat="1" ht="45.75" hidden="1" x14ac:dyDescent="0.8">
      <c r="A1958" s="14">
        <v>6</v>
      </c>
      <c r="B1958" s="15">
        <v>61</v>
      </c>
      <c r="C1958" s="15">
        <v>611</v>
      </c>
      <c r="D1958" s="74">
        <v>6111</v>
      </c>
      <c r="E1958" s="14">
        <v>61114</v>
      </c>
      <c r="F1958" s="16" t="s">
        <v>2418</v>
      </c>
      <c r="G1958" s="21" t="s">
        <v>37</v>
      </c>
      <c r="H1958" s="17" t="s">
        <v>38</v>
      </c>
      <c r="I1958" s="56">
        <v>0</v>
      </c>
      <c r="J1958" s="56">
        <f>(30*3*8)*80.01%</f>
        <v>576.072</v>
      </c>
      <c r="K1958" s="56"/>
      <c r="L1958" s="56">
        <f>(30*3*8)*80.01%</f>
        <v>576.072</v>
      </c>
      <c r="M1958" s="56">
        <f>SUM(I1958:L1958)</f>
        <v>1152.144</v>
      </c>
      <c r="N1958" s="56">
        <f>IF(OR(H1958="",H1958="sif",H1958="PM"),0,VLOOKUP(H1958,[5]CU!$C$4:$H$255,6,FALSE))</f>
        <v>0.3133333333333333</v>
      </c>
      <c r="O1958" s="56">
        <f>$N1958*I1958</f>
        <v>0</v>
      </c>
      <c r="P1958" s="56">
        <f>$N1958*J1958</f>
        <v>180.50255999999999</v>
      </c>
      <c r="Q1958" s="56">
        <f>$N1958*K1958</f>
        <v>0</v>
      </c>
      <c r="R1958" s="56">
        <f>$N1958*L1958</f>
        <v>180.50255999999999</v>
      </c>
      <c r="S1958" s="56">
        <f>SUM(O1958:R1958)</f>
        <v>361.00511999999998</v>
      </c>
      <c r="T1958" s="35" t="s">
        <v>56</v>
      </c>
      <c r="U1958" s="18" t="s">
        <v>330</v>
      </c>
      <c r="V1958" s="19" t="str">
        <f>IF(OR($H1958="",$H1958="sif",$H1958="PM"),"",VLOOKUP($H1958,[5]CU!$C$5:$J$255,8,FALSE))</f>
        <v>3. Formation</v>
      </c>
      <c r="W1958" s="18" t="s">
        <v>331</v>
      </c>
      <c r="X1958" s="18" t="s">
        <v>2419</v>
      </c>
      <c r="Y1958" s="19" t="s">
        <v>32</v>
      </c>
      <c r="Z1958" s="19" t="str">
        <f>A1958 &amp; "-" &amp; VLOOKUP(A1958,[4]PROGRAMMES!$E$1:$F$7,2,FALSE)</f>
        <v>6-Education et alphabétisation des adultes</v>
      </c>
      <c r="AA1958" s="19" t="str">
        <f>B1958 &amp; "-" &amp; VLOOKUP(B1958,[4]SOUSPROGRAMMES!$E$1:$F$44,2,FALSE)</f>
        <v>61-Mobilisation sociale pour l’accroissement des financements de l’AEA</v>
      </c>
      <c r="AB1958" s="19" t="str">
        <f>C1958 &amp; "-" &amp; VLOOKUP(C1958,[4]RESULTATS!$E$1:$F$176,2,FALSE)</f>
        <v>611- les acteurs et les PTF concernés sont mobilisés en faveur de l’AEA.</v>
      </c>
      <c r="AC1958" s="20" t="str">
        <f>D1958 &amp; "-" &amp; VLOOKUP(D1958,[4]STRATEGIES!$E$1:$F$504,2,FALSE)</f>
        <v>6111-Sensibilisation et plaidoyer en faveur de l'AEA</v>
      </c>
      <c r="AD1958" s="21" t="str">
        <f t="shared" si="299"/>
        <v>61114-Organisation d'ateliers régionaux de sensibilisation (pour la prise en compte de l’AEA dans les PDL)</v>
      </c>
    </row>
    <row r="1959" spans="1:30" s="22" customFormat="1" ht="45.75" x14ac:dyDescent="0.8">
      <c r="A1959" s="14">
        <v>6</v>
      </c>
      <c r="B1959" s="15">
        <v>61</v>
      </c>
      <c r="C1959" s="15">
        <v>611</v>
      </c>
      <c r="D1959" s="74">
        <v>6111</v>
      </c>
      <c r="E1959" s="14">
        <v>61114</v>
      </c>
      <c r="F1959" s="16" t="s">
        <v>2418</v>
      </c>
      <c r="G1959" s="21" t="s">
        <v>37</v>
      </c>
      <c r="H1959" s="17" t="s">
        <v>38</v>
      </c>
      <c r="I1959" s="56">
        <v>0</v>
      </c>
      <c r="J1959" s="56">
        <f>(30*3*8)*19.99%</f>
        <v>143.928</v>
      </c>
      <c r="K1959" s="56"/>
      <c r="L1959" s="56">
        <f>(30*3*8)*19.99%</f>
        <v>143.928</v>
      </c>
      <c r="M1959" s="56">
        <f t="shared" si="300"/>
        <v>287.85599999999999</v>
      </c>
      <c r="N1959" s="56">
        <f>IF(OR(H1959="",H1959="sif",H1959="PM"),0,VLOOKUP(H1959,[5]CU!$C$4:$H$255,6,FALSE))</f>
        <v>0.3133333333333333</v>
      </c>
      <c r="O1959" s="56">
        <f t="shared" si="302"/>
        <v>0</v>
      </c>
      <c r="P1959" s="56">
        <f t="shared" si="302"/>
        <v>45.097439999999992</v>
      </c>
      <c r="Q1959" s="56">
        <f t="shared" si="302"/>
        <v>0</v>
      </c>
      <c r="R1959" s="56">
        <f t="shared" si="302"/>
        <v>45.097439999999992</v>
      </c>
      <c r="S1959" s="56">
        <f>SUM(O1959:R1959)</f>
        <v>90.194879999999984</v>
      </c>
      <c r="T1959" s="35" t="s">
        <v>118</v>
      </c>
      <c r="U1959" s="18" t="s">
        <v>330</v>
      </c>
      <c r="V1959" s="19" t="str">
        <f>IF(OR($H1959="",$H1959="sif",$H1959="PM"),"",VLOOKUP($H1959,[5]CU!$C$5:$J$255,8,FALSE))</f>
        <v>3. Formation</v>
      </c>
      <c r="W1959" s="18" t="s">
        <v>331</v>
      </c>
      <c r="X1959" s="18" t="s">
        <v>2419</v>
      </c>
      <c r="Y1959" s="19" t="s">
        <v>32</v>
      </c>
      <c r="Z1959" s="19" t="str">
        <f>A1959 &amp; "-" &amp; VLOOKUP(A1959,[4]PROGRAMMES!$E$1:$F$7,2,FALSE)</f>
        <v>6-Education et alphabétisation des adultes</v>
      </c>
      <c r="AA1959" s="19" t="str">
        <f>B1959 &amp; "-" &amp; VLOOKUP(B1959,[4]SOUSPROGRAMMES!$E$1:$F$44,2,FALSE)</f>
        <v>61-Mobilisation sociale pour l’accroissement des financements de l’AEA</v>
      </c>
      <c r="AB1959" s="19" t="str">
        <f>C1959 &amp; "-" &amp; VLOOKUP(C1959,[4]RESULTATS!$E$1:$F$176,2,FALSE)</f>
        <v>611- les acteurs et les PTF concernés sont mobilisés en faveur de l’AEA.</v>
      </c>
      <c r="AC1959" s="20" t="str">
        <f>D1959 &amp; "-" &amp; VLOOKUP(D1959,[4]STRATEGIES!$E$1:$F$504,2,FALSE)</f>
        <v>6111-Sensibilisation et plaidoyer en faveur de l'AEA</v>
      </c>
      <c r="AD1959" s="21" t="str">
        <f t="shared" si="299"/>
        <v>61114-Organisation d'ateliers régionaux de sensibilisation (pour la prise en compte de l’AEA dans les PDL)</v>
      </c>
    </row>
    <row r="1960" spans="1:30" s="22" customFormat="1" ht="45.75" hidden="1" x14ac:dyDescent="0.8">
      <c r="A1960" s="14">
        <v>6</v>
      </c>
      <c r="B1960" s="15">
        <v>61</v>
      </c>
      <c r="C1960" s="15">
        <v>611</v>
      </c>
      <c r="D1960" s="74">
        <v>6111</v>
      </c>
      <c r="E1960" s="14">
        <v>61115</v>
      </c>
      <c r="F1960" s="16" t="s">
        <v>2420</v>
      </c>
      <c r="G1960" s="21" t="s">
        <v>2421</v>
      </c>
      <c r="H1960" s="17" t="s">
        <v>73</v>
      </c>
      <c r="I1960" s="56">
        <v>0</v>
      </c>
      <c r="J1960" s="56">
        <f>2*2*4*2</f>
        <v>32</v>
      </c>
      <c r="K1960" s="56">
        <f>2*2*4*2</f>
        <v>32</v>
      </c>
      <c r="L1960" s="56">
        <f>2*2*4*2</f>
        <v>32</v>
      </c>
      <c r="M1960" s="56">
        <f t="shared" si="300"/>
        <v>96</v>
      </c>
      <c r="N1960" s="56">
        <f>IF(OR(H1960="",H1960="sif",H1960="PM"),0,VLOOKUP(H1960,[5]CU!$C$4:$H$255,6,FALSE))</f>
        <v>0.4</v>
      </c>
      <c r="O1960" s="56">
        <f t="shared" si="302"/>
        <v>0</v>
      </c>
      <c r="P1960" s="56">
        <f t="shared" si="302"/>
        <v>12.8</v>
      </c>
      <c r="Q1960" s="56">
        <f t="shared" si="302"/>
        <v>12.8</v>
      </c>
      <c r="R1960" s="56">
        <f t="shared" si="302"/>
        <v>12.8</v>
      </c>
      <c r="S1960" s="56">
        <f>SUM(O1960:R1960)</f>
        <v>38.400000000000006</v>
      </c>
      <c r="T1960" s="35" t="s">
        <v>56</v>
      </c>
      <c r="U1960" s="18" t="s">
        <v>330</v>
      </c>
      <c r="V1960" s="19" t="str">
        <f>IF(OR($H1960="",$H1960="sif",$H1960="PM"),"",VLOOKUP($H1960,[5]CU!$C$5:$J$255,8,FALSE))</f>
        <v>3. Dépenses de fonctionnement</v>
      </c>
      <c r="W1960" s="18" t="s">
        <v>331</v>
      </c>
      <c r="X1960" s="18" t="s">
        <v>2422</v>
      </c>
      <c r="Y1960" s="19" t="s">
        <v>32</v>
      </c>
      <c r="Z1960" s="19" t="str">
        <f>A1960 &amp; "-" &amp; VLOOKUP(A1960,[4]PROGRAMMES!$E$1:$F$7,2,FALSE)</f>
        <v>6-Education et alphabétisation des adultes</v>
      </c>
      <c r="AA1960" s="19" t="str">
        <f>B1960 &amp; "-" &amp; VLOOKUP(B1960,[4]SOUSPROGRAMMES!$E$1:$F$44,2,FALSE)</f>
        <v>61-Mobilisation sociale pour l’accroissement des financements de l’AEA</v>
      </c>
      <c r="AB1960" s="19" t="str">
        <f>C1960 &amp; "-" &amp; VLOOKUP(C1960,[4]RESULTATS!$E$1:$F$176,2,FALSE)</f>
        <v>611- les acteurs et les PTF concernés sont mobilisés en faveur de l’AEA.</v>
      </c>
      <c r="AC1960" s="20" t="str">
        <f>D1960 &amp; "-" &amp; VLOOKUP(D1960,[4]STRATEGIES!$E$1:$F$504,2,FALSE)</f>
        <v>6111-Sensibilisation et plaidoyer en faveur de l'AEA</v>
      </c>
      <c r="AD1960" s="21" t="str">
        <f t="shared" si="299"/>
        <v>61115-Organisation d'émissions radio-télévisées en collaboration avec les structures déconcentrées de la DNAEN</v>
      </c>
    </row>
    <row r="1961" spans="1:30" s="22" customFormat="1" ht="45.75" x14ac:dyDescent="0.8">
      <c r="A1961" s="14">
        <v>6</v>
      </c>
      <c r="B1961" s="15">
        <v>61</v>
      </c>
      <c r="C1961" s="15">
        <v>611</v>
      </c>
      <c r="D1961" s="74">
        <v>6112</v>
      </c>
      <c r="E1961" s="14">
        <v>6112</v>
      </c>
      <c r="F1961" s="16" t="s">
        <v>2423</v>
      </c>
      <c r="G1961" s="17"/>
      <c r="H1961" s="17"/>
      <c r="I1961" s="56">
        <v>0</v>
      </c>
      <c r="J1961" s="56"/>
      <c r="K1961" s="56"/>
      <c r="L1961" s="56"/>
      <c r="M1961" s="56"/>
      <c r="N1961" s="56"/>
      <c r="O1961" s="56"/>
      <c r="P1961" s="56"/>
      <c r="Q1961" s="56"/>
      <c r="R1961" s="56"/>
      <c r="S1961" s="56"/>
      <c r="T1961" s="33"/>
      <c r="U1961" s="18"/>
      <c r="V1961" s="19"/>
      <c r="W1961" s="18"/>
      <c r="X1961" s="18"/>
      <c r="Y1961" s="18"/>
      <c r="Z1961" s="19" t="str">
        <f>A1961 &amp; "-" &amp; VLOOKUP(A1961,[4]PROGRAMMES!$E$1:$F$7,2,FALSE)</f>
        <v>6-Education et alphabétisation des adultes</v>
      </c>
      <c r="AA1961" s="19" t="str">
        <f>B1961 &amp; "-" &amp; VLOOKUP(B1961,[4]SOUSPROGRAMMES!$E$1:$F$44,2,FALSE)</f>
        <v>61-Mobilisation sociale pour l’accroissement des financements de l’AEA</v>
      </c>
      <c r="AB1961" s="19" t="str">
        <f>C1961 &amp; "-" &amp; VLOOKUP(C1961,[4]RESULTATS!$E$1:$F$176,2,FALSE)</f>
        <v>611- les acteurs et les PTF concernés sont mobilisés en faveur de l’AEA.</v>
      </c>
      <c r="AC1961" s="20" t="str">
        <f>D1961 &amp; "-" &amp; VLOOKUP(D1961,[4]STRATEGIES!$E$1:$F$504,2,FALSE)</f>
        <v>6112-Augmentation des budgets alloués à l'AEA</v>
      </c>
      <c r="AD1961" s="21" t="str">
        <f t="shared" si="299"/>
        <v>6112-Augmentation des budgets alloués à l'AEA</v>
      </c>
    </row>
    <row r="1962" spans="1:30" s="22" customFormat="1" ht="45.75" hidden="1" x14ac:dyDescent="0.8">
      <c r="A1962" s="14">
        <v>6</v>
      </c>
      <c r="B1962" s="15">
        <v>61</v>
      </c>
      <c r="C1962" s="15">
        <v>611</v>
      </c>
      <c r="D1962" s="74">
        <v>6112</v>
      </c>
      <c r="E1962" s="14">
        <v>61121</v>
      </c>
      <c r="F1962" s="16" t="s">
        <v>2424</v>
      </c>
      <c r="G1962" s="21" t="s">
        <v>123</v>
      </c>
      <c r="H1962" s="17" t="s">
        <v>66</v>
      </c>
      <c r="I1962" s="56">
        <v>0</v>
      </c>
      <c r="J1962" s="56">
        <f>10*2</f>
        <v>20</v>
      </c>
      <c r="K1962" s="56">
        <f>10*2</f>
        <v>20</v>
      </c>
      <c r="L1962" s="56">
        <f>10*2</f>
        <v>20</v>
      </c>
      <c r="M1962" s="56">
        <f t="shared" si="300"/>
        <v>60</v>
      </c>
      <c r="N1962" s="56">
        <f>IF(OR(H1962="",H1962="sif",H1962="PM"),0,VLOOKUP(H1962,[5]CU!$C$4:$H$255,6,FALSE))</f>
        <v>0.255</v>
      </c>
      <c r="O1962" s="56">
        <f t="shared" si="302"/>
        <v>0</v>
      </c>
      <c r="P1962" s="56">
        <f t="shared" si="302"/>
        <v>5.0999999999999996</v>
      </c>
      <c r="Q1962" s="56">
        <f t="shared" si="302"/>
        <v>5.0999999999999996</v>
      </c>
      <c r="R1962" s="56">
        <f t="shared" si="302"/>
        <v>5.0999999999999996</v>
      </c>
      <c r="S1962" s="56">
        <f>SUM(O1962:R1962)</f>
        <v>15.299999999999999</v>
      </c>
      <c r="T1962" s="35" t="s">
        <v>56</v>
      </c>
      <c r="U1962" s="18" t="s">
        <v>330</v>
      </c>
      <c r="V1962" s="19" t="str">
        <f>IF(OR($H1962="",$H1962="sif",$H1962="PM"),"",VLOOKUP($H1962,[5]CU!$C$5:$J$255,8,FALSE))</f>
        <v>3. Dépenses de fonctionnement</v>
      </c>
      <c r="W1962" s="18" t="s">
        <v>331</v>
      </c>
      <c r="X1962" s="18" t="s">
        <v>331</v>
      </c>
      <c r="Y1962" s="19" t="s">
        <v>32</v>
      </c>
      <c r="Z1962" s="19" t="str">
        <f>A1962 &amp; "-" &amp; VLOOKUP(A1962,[4]PROGRAMMES!$E$1:$F$7,2,FALSE)</f>
        <v>6-Education et alphabétisation des adultes</v>
      </c>
      <c r="AA1962" s="19" t="str">
        <f>B1962 &amp; "-" &amp; VLOOKUP(B1962,[4]SOUSPROGRAMMES!$E$1:$F$44,2,FALSE)</f>
        <v>61-Mobilisation sociale pour l’accroissement des financements de l’AEA</v>
      </c>
      <c r="AB1962" s="19" t="str">
        <f>C1962 &amp; "-" &amp; VLOOKUP(C1962,[4]RESULTATS!$E$1:$F$176,2,FALSE)</f>
        <v>611- les acteurs et les PTF concernés sont mobilisés en faveur de l’AEA.</v>
      </c>
      <c r="AC1962" s="20" t="str">
        <f>D1962 &amp; "-" &amp; VLOOKUP(D1962,[4]STRATEGIES!$E$1:$F$504,2,FALSE)</f>
        <v>6112-Augmentation des budgets alloués à l'AEA</v>
      </c>
      <c r="AD1962" s="21" t="str">
        <f t="shared" si="299"/>
        <v>61121-Elaboration de projet de budget annuel</v>
      </c>
    </row>
    <row r="1963" spans="1:30" s="22" customFormat="1" ht="45.75" hidden="1" x14ac:dyDescent="0.8">
      <c r="A1963" s="14">
        <v>6</v>
      </c>
      <c r="B1963" s="15">
        <v>61</v>
      </c>
      <c r="C1963" s="15">
        <v>611</v>
      </c>
      <c r="D1963" s="74">
        <v>6112</v>
      </c>
      <c r="E1963" s="14">
        <v>61122</v>
      </c>
      <c r="F1963" s="16" t="s">
        <v>2425</v>
      </c>
      <c r="G1963" s="21" t="s">
        <v>88</v>
      </c>
      <c r="H1963" s="17" t="s">
        <v>55</v>
      </c>
      <c r="I1963" s="56">
        <v>0</v>
      </c>
      <c r="J1963" s="56">
        <v>1</v>
      </c>
      <c r="K1963" s="56">
        <v>1</v>
      </c>
      <c r="L1963" s="56">
        <v>1</v>
      </c>
      <c r="M1963" s="56">
        <f t="shared" si="300"/>
        <v>3</v>
      </c>
      <c r="N1963" s="56">
        <f>IF(OR(H1963="",H1963="sif",H1963="PM"),0,VLOOKUP(H1963,[5]CU!$C$4:$H$255,6,FALSE))</f>
        <v>0</v>
      </c>
      <c r="O1963" s="56"/>
      <c r="P1963" s="56"/>
      <c r="Q1963" s="56"/>
      <c r="R1963" s="56"/>
      <c r="S1963" s="56"/>
      <c r="T1963" s="35" t="s">
        <v>56</v>
      </c>
      <c r="U1963" s="18" t="s">
        <v>330</v>
      </c>
      <c r="V1963" s="19" t="str">
        <f>IF(OR($H1963="",$H1963="sif",$H1963="PM"),"",VLOOKUP($H1963,[5]CU!$C$5:$J$255,8,FALSE))</f>
        <v/>
      </c>
      <c r="W1963" s="18" t="s">
        <v>331</v>
      </c>
      <c r="X1963" s="18" t="s">
        <v>331</v>
      </c>
      <c r="Y1963" s="19" t="s">
        <v>32</v>
      </c>
      <c r="Z1963" s="19" t="str">
        <f>A1963 &amp; "-" &amp; VLOOKUP(A1963,[4]PROGRAMMES!$E$1:$F$7,2,FALSE)</f>
        <v>6-Education et alphabétisation des adultes</v>
      </c>
      <c r="AA1963" s="19" t="str">
        <f>B1963 &amp; "-" &amp; VLOOKUP(B1963,[4]SOUSPROGRAMMES!$E$1:$F$44,2,FALSE)</f>
        <v>61-Mobilisation sociale pour l’accroissement des financements de l’AEA</v>
      </c>
      <c r="AB1963" s="19" t="str">
        <f>C1963 &amp; "-" &amp; VLOOKUP(C1963,[4]RESULTATS!$E$1:$F$176,2,FALSE)</f>
        <v>611- les acteurs et les PTF concernés sont mobilisés en faveur de l’AEA.</v>
      </c>
      <c r="AC1963" s="20" t="str">
        <f>D1963 &amp; "-" &amp; VLOOKUP(D1963,[4]STRATEGIES!$E$1:$F$504,2,FALSE)</f>
        <v>6112-Augmentation des budgets alloués à l'AEA</v>
      </c>
      <c r="AD1963" s="21" t="str">
        <f t="shared" si="299"/>
        <v>61122-Plaidoyer auprès des autorités pour l'approbation du projet de budget</v>
      </c>
    </row>
    <row r="1964" spans="1:30" s="22" customFormat="1" ht="45.75" x14ac:dyDescent="0.8">
      <c r="A1964" s="14">
        <v>6</v>
      </c>
      <c r="B1964" s="15">
        <v>61</v>
      </c>
      <c r="C1964" s="15">
        <v>611</v>
      </c>
      <c r="D1964" s="74">
        <v>6113</v>
      </c>
      <c r="E1964" s="14">
        <v>6113</v>
      </c>
      <c r="F1964" s="16" t="s">
        <v>2426</v>
      </c>
      <c r="G1964" s="17"/>
      <c r="H1964" s="17"/>
      <c r="I1964" s="56">
        <v>0</v>
      </c>
      <c r="J1964" s="56"/>
      <c r="K1964" s="56"/>
      <c r="L1964" s="56"/>
      <c r="M1964" s="56"/>
      <c r="N1964" s="56"/>
      <c r="O1964" s="56"/>
      <c r="P1964" s="56"/>
      <c r="Q1964" s="56"/>
      <c r="R1964" s="56"/>
      <c r="S1964" s="56"/>
      <c r="T1964" s="33"/>
      <c r="U1964" s="18"/>
      <c r="V1964" s="19"/>
      <c r="W1964" s="18"/>
      <c r="X1964" s="18"/>
      <c r="Y1964" s="18"/>
      <c r="Z1964" s="19" t="str">
        <f>A1964 &amp; "-" &amp; VLOOKUP(A1964,[4]PROGRAMMES!$E$1:$F$7,2,FALSE)</f>
        <v>6-Education et alphabétisation des adultes</v>
      </c>
      <c r="AA1964" s="19" t="str">
        <f>B1964 &amp; "-" &amp; VLOOKUP(B1964,[4]SOUSPROGRAMMES!$E$1:$F$44,2,FALSE)</f>
        <v>61-Mobilisation sociale pour l’accroissement des financements de l’AEA</v>
      </c>
      <c r="AB1964" s="19" t="str">
        <f>C1964 &amp; "-" &amp; VLOOKUP(C1964,[4]RESULTATS!$E$1:$F$176,2,FALSE)</f>
        <v>611- les acteurs et les PTF concernés sont mobilisés en faveur de l’AEA.</v>
      </c>
      <c r="AC1964" s="20" t="str">
        <f>D1964 &amp; "-" &amp; VLOOKUP(D1964,[4]STRATEGIES!$E$1:$F$504,2,FALSE)</f>
        <v>6113-Développement de partenariats en faveur des activités d'AEA</v>
      </c>
      <c r="AD1964" s="21" t="str">
        <f t="shared" si="299"/>
        <v>6113-Développement de partenariats en faveur des activités d'AEA</v>
      </c>
    </row>
    <row r="1965" spans="1:30" s="22" customFormat="1" ht="45.75" hidden="1" x14ac:dyDescent="0.8">
      <c r="A1965" s="14">
        <v>6</v>
      </c>
      <c r="B1965" s="15">
        <v>61</v>
      </c>
      <c r="C1965" s="15">
        <v>611</v>
      </c>
      <c r="D1965" s="74">
        <v>6113</v>
      </c>
      <c r="E1965" s="14">
        <v>61131</v>
      </c>
      <c r="F1965" s="16" t="s">
        <v>2427</v>
      </c>
      <c r="G1965" s="21" t="s">
        <v>2428</v>
      </c>
      <c r="H1965" s="17" t="s">
        <v>55</v>
      </c>
      <c r="I1965" s="56">
        <v>0</v>
      </c>
      <c r="J1965" s="56"/>
      <c r="K1965" s="56"/>
      <c r="L1965" s="56"/>
      <c r="M1965" s="56">
        <f t="shared" si="300"/>
        <v>0</v>
      </c>
      <c r="N1965" s="56">
        <f>IF(OR(H1965="",H1965="sif",H1965="PM"),0,VLOOKUP(H1965,[5]CU!$C$4:$H$255,6,FALSE))</f>
        <v>0</v>
      </c>
      <c r="O1965" s="56"/>
      <c r="P1965" s="56"/>
      <c r="Q1965" s="56"/>
      <c r="R1965" s="56"/>
      <c r="S1965" s="56"/>
      <c r="T1965" s="35" t="s">
        <v>56</v>
      </c>
      <c r="U1965" s="18" t="s">
        <v>330</v>
      </c>
      <c r="V1965" s="19" t="str">
        <f>IF(OR($H1965="",$H1965="sif",$H1965="PM"),"",VLOOKUP($H1965,[5]CU!$C$5:$J$255,8,FALSE))</f>
        <v/>
      </c>
      <c r="W1965" s="18" t="s">
        <v>331</v>
      </c>
      <c r="X1965" s="18" t="s">
        <v>2429</v>
      </c>
      <c r="Y1965" s="19" t="s">
        <v>32</v>
      </c>
      <c r="Z1965" s="19" t="str">
        <f>A1965 &amp; "-" &amp; VLOOKUP(A1965,[4]PROGRAMMES!$E$1:$F$7,2,FALSE)</f>
        <v>6-Education et alphabétisation des adultes</v>
      </c>
      <c r="AA1965" s="19" t="str">
        <f>B1965 &amp; "-" &amp; VLOOKUP(B1965,[4]SOUSPROGRAMMES!$E$1:$F$44,2,FALSE)</f>
        <v>61-Mobilisation sociale pour l’accroissement des financements de l’AEA</v>
      </c>
      <c r="AB1965" s="19" t="str">
        <f>C1965 &amp; "-" &amp; VLOOKUP(C1965,[4]RESULTATS!$E$1:$F$176,2,FALSE)</f>
        <v>611- les acteurs et les PTF concernés sont mobilisés en faveur de l’AEA.</v>
      </c>
      <c r="AC1965" s="20" t="str">
        <f>D1965 &amp; "-" &amp; VLOOKUP(D1965,[4]STRATEGIES!$E$1:$F$504,2,FALSE)</f>
        <v>6113-Développement de partenariats en faveur des activités d'AEA</v>
      </c>
      <c r="AD1965" s="21" t="str">
        <f t="shared" si="299"/>
        <v>61131-Mise en place du comité de coordination et de suivi des activités d'AEA (multi-acteurs)</v>
      </c>
    </row>
    <row r="1966" spans="1:30" s="22" customFormat="1" ht="45.75" hidden="1" x14ac:dyDescent="0.8">
      <c r="A1966" s="14">
        <v>6</v>
      </c>
      <c r="B1966" s="15">
        <v>61</v>
      </c>
      <c r="C1966" s="15">
        <v>611</v>
      </c>
      <c r="D1966" s="74">
        <v>6113</v>
      </c>
      <c r="E1966" s="14">
        <v>61132</v>
      </c>
      <c r="F1966" s="16" t="s">
        <v>2430</v>
      </c>
      <c r="G1966" s="21" t="s">
        <v>88</v>
      </c>
      <c r="H1966" s="17" t="s">
        <v>38</v>
      </c>
      <c r="I1966" s="56">
        <v>0</v>
      </c>
      <c r="J1966" s="56">
        <f>15*5</f>
        <v>75</v>
      </c>
      <c r="K1966" s="56"/>
      <c r="L1966" s="56"/>
      <c r="M1966" s="56">
        <f t="shared" si="300"/>
        <v>75</v>
      </c>
      <c r="N1966" s="56">
        <f>IF(OR(H1966="",H1966="sif",H1966="PM"),0,VLOOKUP(H1966,[5]CU!$C$4:$H$255,6,FALSE))</f>
        <v>0.3133333333333333</v>
      </c>
      <c r="O1966" s="56">
        <f t="shared" ref="O1966:R1967" si="303">$N1966*I1966</f>
        <v>0</v>
      </c>
      <c r="P1966" s="56">
        <f t="shared" si="303"/>
        <v>23.499999999999996</v>
      </c>
      <c r="Q1966" s="56">
        <f t="shared" si="303"/>
        <v>0</v>
      </c>
      <c r="R1966" s="56">
        <f t="shared" si="303"/>
        <v>0</v>
      </c>
      <c r="S1966" s="56">
        <f>SUM(O1966:R1966)</f>
        <v>23.499999999999996</v>
      </c>
      <c r="T1966" s="35" t="s">
        <v>56</v>
      </c>
      <c r="U1966" s="18" t="s">
        <v>330</v>
      </c>
      <c r="V1966" s="19" t="str">
        <f>IF(OR($H1966="",$H1966="sif",$H1966="PM"),"",VLOOKUP($H1966,[5]CU!$C$5:$J$255,8,FALSE))</f>
        <v>3. Formation</v>
      </c>
      <c r="W1966" s="18" t="s">
        <v>331</v>
      </c>
      <c r="X1966" s="18" t="s">
        <v>2431</v>
      </c>
      <c r="Y1966" s="19" t="s">
        <v>32</v>
      </c>
      <c r="Z1966" s="19" t="str">
        <f>A1966 &amp; "-" &amp; VLOOKUP(A1966,[4]PROGRAMMES!$E$1:$F$7,2,FALSE)</f>
        <v>6-Education et alphabétisation des adultes</v>
      </c>
      <c r="AA1966" s="19" t="str">
        <f>B1966 &amp; "-" &amp; VLOOKUP(B1966,[4]SOUSPROGRAMMES!$E$1:$F$44,2,FALSE)</f>
        <v>61-Mobilisation sociale pour l’accroissement des financements de l’AEA</v>
      </c>
      <c r="AB1966" s="19" t="str">
        <f>C1966 &amp; "-" &amp; VLOOKUP(C1966,[4]RESULTATS!$E$1:$F$176,2,FALSE)</f>
        <v>611- les acteurs et les PTF concernés sont mobilisés en faveur de l’AEA.</v>
      </c>
      <c r="AC1966" s="20" t="str">
        <f>D1966 &amp; "-" &amp; VLOOKUP(D1966,[4]STRATEGIES!$E$1:$F$504,2,FALSE)</f>
        <v>6113-Développement de partenariats en faveur des activités d'AEA</v>
      </c>
      <c r="AD1966" s="21" t="str">
        <f t="shared" si="299"/>
        <v>61132- Réalisation par le comité de coordination de l’état de lieux des partenariats existants et possibles</v>
      </c>
    </row>
    <row r="1967" spans="1:30" s="22" customFormat="1" ht="45.75" hidden="1" x14ac:dyDescent="0.8">
      <c r="A1967" s="14">
        <v>6</v>
      </c>
      <c r="B1967" s="15">
        <v>61</v>
      </c>
      <c r="C1967" s="15">
        <v>611</v>
      </c>
      <c r="D1967" s="74">
        <v>6113</v>
      </c>
      <c r="E1967" s="14">
        <v>61133</v>
      </c>
      <c r="F1967" s="16" t="s">
        <v>2432</v>
      </c>
      <c r="G1967" s="21" t="s">
        <v>123</v>
      </c>
      <c r="H1967" s="17" t="s">
        <v>38</v>
      </c>
      <c r="I1967" s="56">
        <v>0</v>
      </c>
      <c r="J1967" s="56">
        <f>60*2</f>
        <v>120</v>
      </c>
      <c r="K1967" s="56"/>
      <c r="L1967" s="56"/>
      <c r="M1967" s="56">
        <f t="shared" si="300"/>
        <v>120</v>
      </c>
      <c r="N1967" s="56">
        <f>IF(OR(H1967="",H1967="sif",H1967="PM"),0,VLOOKUP(H1967,[5]CU!$C$4:$H$255,6,FALSE))</f>
        <v>0.3133333333333333</v>
      </c>
      <c r="O1967" s="56">
        <f t="shared" si="303"/>
        <v>0</v>
      </c>
      <c r="P1967" s="56">
        <f t="shared" si="303"/>
        <v>37.599999999999994</v>
      </c>
      <c r="Q1967" s="56">
        <f t="shared" si="303"/>
        <v>0</v>
      </c>
      <c r="R1967" s="56">
        <f t="shared" si="303"/>
        <v>0</v>
      </c>
      <c r="S1967" s="56">
        <f>SUM(O1967:R1967)</f>
        <v>37.599999999999994</v>
      </c>
      <c r="T1967" s="35" t="s">
        <v>56</v>
      </c>
      <c r="U1967" s="18" t="s">
        <v>330</v>
      </c>
      <c r="V1967" s="19" t="str">
        <f>IF(OR($H1967="",$H1967="sif",$H1967="PM"),"",VLOOKUP($H1967,[5]CU!$C$5:$J$255,8,FALSE))</f>
        <v>3. Formation</v>
      </c>
      <c r="W1967" s="18" t="s">
        <v>331</v>
      </c>
      <c r="X1967" s="18" t="s">
        <v>331</v>
      </c>
      <c r="Y1967" s="19" t="s">
        <v>32</v>
      </c>
      <c r="Z1967" s="19" t="str">
        <f>A1967 &amp; "-" &amp; VLOOKUP(A1967,[4]PROGRAMMES!$E$1:$F$7,2,FALSE)</f>
        <v>6-Education et alphabétisation des adultes</v>
      </c>
      <c r="AA1967" s="19" t="str">
        <f>B1967 &amp; "-" &amp; VLOOKUP(B1967,[4]SOUSPROGRAMMES!$E$1:$F$44,2,FALSE)</f>
        <v>61-Mobilisation sociale pour l’accroissement des financements de l’AEA</v>
      </c>
      <c r="AB1967" s="19" t="str">
        <f>C1967 &amp; "-" &amp; VLOOKUP(C1967,[4]RESULTATS!$E$1:$F$176,2,FALSE)</f>
        <v>611- les acteurs et les PTF concernés sont mobilisés en faveur de l’AEA.</v>
      </c>
      <c r="AC1967" s="20" t="str">
        <f>D1967 &amp; "-" &amp; VLOOKUP(D1967,[4]STRATEGIES!$E$1:$F$504,2,FALSE)</f>
        <v>6113-Développement de partenariats en faveur des activités d'AEA</v>
      </c>
      <c r="AD1967" s="21" t="str">
        <f t="shared" si="299"/>
        <v>61133-  Organisation d’une table ronde ou réunion des partenaires au niveau national sur AEA</v>
      </c>
    </row>
    <row r="1968" spans="1:30" s="22" customFormat="1" ht="45.75" hidden="1" x14ac:dyDescent="0.8">
      <c r="A1968" s="14">
        <v>6</v>
      </c>
      <c r="B1968" s="15">
        <v>61</v>
      </c>
      <c r="C1968" s="15">
        <v>611</v>
      </c>
      <c r="D1968" s="74">
        <v>6113</v>
      </c>
      <c r="E1968" s="14">
        <v>61134</v>
      </c>
      <c r="F1968" s="16" t="s">
        <v>2433</v>
      </c>
      <c r="G1968" s="21" t="s">
        <v>88</v>
      </c>
      <c r="H1968" s="17" t="s">
        <v>55</v>
      </c>
      <c r="I1968" s="56">
        <v>0</v>
      </c>
      <c r="J1968" s="56"/>
      <c r="K1968" s="56">
        <v>1</v>
      </c>
      <c r="L1968" s="56">
        <v>1</v>
      </c>
      <c r="M1968" s="56">
        <f t="shared" si="300"/>
        <v>2</v>
      </c>
      <c r="N1968" s="56">
        <f>IF(OR(H1968="",H1968="sif",H1968="PM"),0,VLOOKUP(H1968,[5]CU!$C$4:$H$255,6,FALSE))</f>
        <v>0</v>
      </c>
      <c r="O1968" s="56"/>
      <c r="P1968" s="56"/>
      <c r="Q1968" s="56"/>
      <c r="R1968" s="56"/>
      <c r="S1968" s="56"/>
      <c r="T1968" s="35" t="s">
        <v>56</v>
      </c>
      <c r="U1968" s="18" t="s">
        <v>330</v>
      </c>
      <c r="V1968" s="19" t="str">
        <f>IF(OR($H1968="",$H1968="sif",$H1968="PM"),"",VLOOKUP($H1968,[5]CU!$C$5:$J$255,8,FALSE))</f>
        <v/>
      </c>
      <c r="W1968" s="18" t="s">
        <v>331</v>
      </c>
      <c r="X1968" s="18" t="s">
        <v>2431</v>
      </c>
      <c r="Y1968" s="19" t="s">
        <v>32</v>
      </c>
      <c r="Z1968" s="19" t="str">
        <f>A1968 &amp; "-" &amp; VLOOKUP(A1968,[4]PROGRAMMES!$E$1:$F$7,2,FALSE)</f>
        <v>6-Education et alphabétisation des adultes</v>
      </c>
      <c r="AA1968" s="19" t="str">
        <f>B1968 &amp; "-" &amp; VLOOKUP(B1968,[4]SOUSPROGRAMMES!$E$1:$F$44,2,FALSE)</f>
        <v>61-Mobilisation sociale pour l’accroissement des financements de l’AEA</v>
      </c>
      <c r="AB1968" s="19" t="str">
        <f>C1968 &amp; "-" &amp; VLOOKUP(C1968,[4]RESULTATS!$E$1:$F$176,2,FALSE)</f>
        <v>611- les acteurs et les PTF concernés sont mobilisés en faveur de l’AEA.</v>
      </c>
      <c r="AC1968" s="20" t="str">
        <f>D1968 &amp; "-" &amp; VLOOKUP(D1968,[4]STRATEGIES!$E$1:$F$504,2,FALSE)</f>
        <v>6113-Développement de partenariats en faveur des activités d'AEA</v>
      </c>
      <c r="AD1968" s="21" t="str">
        <f t="shared" si="299"/>
        <v>61134-Mise en place de nouveaux partenariats</v>
      </c>
    </row>
    <row r="1969" spans="1:30" s="22" customFormat="1" ht="45.75" x14ac:dyDescent="0.8">
      <c r="A1969" s="14">
        <v>6</v>
      </c>
      <c r="B1969" s="15">
        <v>61</v>
      </c>
      <c r="C1969" s="15">
        <v>611</v>
      </c>
      <c r="D1969" s="74">
        <v>6114</v>
      </c>
      <c r="E1969" s="14">
        <v>6114</v>
      </c>
      <c r="F1969" s="16" t="s">
        <v>2434</v>
      </c>
      <c r="G1969" s="17"/>
      <c r="H1969" s="17"/>
      <c r="I1969" s="56">
        <v>0</v>
      </c>
      <c r="J1969" s="56"/>
      <c r="K1969" s="56"/>
      <c r="L1969" s="56"/>
      <c r="M1969" s="56"/>
      <c r="N1969" s="56"/>
      <c r="O1969" s="56"/>
      <c r="P1969" s="56"/>
      <c r="Q1969" s="56"/>
      <c r="R1969" s="56"/>
      <c r="S1969" s="56"/>
      <c r="T1969" s="33"/>
      <c r="U1969" s="18"/>
      <c r="V1969" s="19"/>
      <c r="W1969" s="18"/>
      <c r="X1969" s="18"/>
      <c r="Y1969" s="18"/>
      <c r="Z1969" s="19" t="str">
        <f>A1969 &amp; "-" &amp; VLOOKUP(A1969,[4]PROGRAMMES!$E$1:$F$7,2,FALSE)</f>
        <v>6-Education et alphabétisation des adultes</v>
      </c>
      <c r="AA1969" s="19" t="str">
        <f>B1969 &amp; "-" &amp; VLOOKUP(B1969,[4]SOUSPROGRAMMES!$E$1:$F$44,2,FALSE)</f>
        <v>61-Mobilisation sociale pour l’accroissement des financements de l’AEA</v>
      </c>
      <c r="AB1969" s="19" t="str">
        <f>C1969 &amp; "-" &amp; VLOOKUP(C1969,[4]RESULTATS!$E$1:$F$176,2,FALSE)</f>
        <v>611- les acteurs et les PTF concernés sont mobilisés en faveur de l’AEA.</v>
      </c>
      <c r="AC1969" s="20" t="str">
        <f>D1969 &amp; "-" &amp; VLOOKUP(D1969,[4]STRATEGIES!$E$1:$F$504,2,FALSE)</f>
        <v>6114-Mise en place d'un dispositif de financement de l'alphabétisation</v>
      </c>
      <c r="AD1969" s="21" t="str">
        <f t="shared" si="299"/>
        <v>6114-Mise en place d'un dispositif de Financement de l'alphabétisation</v>
      </c>
    </row>
    <row r="1970" spans="1:30" s="22" customFormat="1" ht="45.75" hidden="1" x14ac:dyDescent="0.8">
      <c r="A1970" s="14">
        <v>6</v>
      </c>
      <c r="B1970" s="15">
        <v>61</v>
      </c>
      <c r="C1970" s="15">
        <v>611</v>
      </c>
      <c r="D1970" s="74">
        <v>6114</v>
      </c>
      <c r="E1970" s="14">
        <v>61141</v>
      </c>
      <c r="F1970" s="16" t="s">
        <v>2435</v>
      </c>
      <c r="G1970" s="21" t="s">
        <v>100</v>
      </c>
      <c r="H1970" s="17" t="s">
        <v>646</v>
      </c>
      <c r="I1970" s="56">
        <v>0</v>
      </c>
      <c r="J1970" s="56"/>
      <c r="K1970" s="56">
        <f>2*10*2</f>
        <v>40</v>
      </c>
      <c r="L1970" s="56"/>
      <c r="M1970" s="56">
        <f t="shared" si="300"/>
        <v>40</v>
      </c>
      <c r="N1970" s="56">
        <f>IF(OR(H1970="",H1970="sif",H1970="PM"),0,VLOOKUP(H1970,[5]CU!$C$4:$H$255,6,FALSE))</f>
        <v>10.404797</v>
      </c>
      <c r="O1970" s="56">
        <f t="shared" ref="O1970:R1972" si="304">$N1970*I1970</f>
        <v>0</v>
      </c>
      <c r="P1970" s="56">
        <f t="shared" si="304"/>
        <v>0</v>
      </c>
      <c r="Q1970" s="56">
        <f t="shared" si="304"/>
        <v>416.19188000000003</v>
      </c>
      <c r="R1970" s="56">
        <f t="shared" si="304"/>
        <v>0</v>
      </c>
      <c r="S1970" s="56">
        <f>SUM(O1970:R1970)</f>
        <v>416.19188000000003</v>
      </c>
      <c r="T1970" s="35" t="s">
        <v>56</v>
      </c>
      <c r="U1970" s="18" t="s">
        <v>330</v>
      </c>
      <c r="V1970" s="19" t="str">
        <f>IF(OR($H1970="",$H1970="sif",$H1970="PM"),"",VLOOKUP($H1970,[5]CU!$C$5:$J$255,8,FALSE))</f>
        <v>3. Dépenses de fonctionnement</v>
      </c>
      <c r="W1970" s="18" t="s">
        <v>331</v>
      </c>
      <c r="X1970" s="18" t="s">
        <v>331</v>
      </c>
      <c r="Y1970" s="19" t="s">
        <v>32</v>
      </c>
      <c r="Z1970" s="19" t="str">
        <f>A1970 &amp; "-" &amp; VLOOKUP(A1970,[4]PROGRAMMES!$E$1:$F$7,2,FALSE)</f>
        <v>6-Education et alphabétisation des adultes</v>
      </c>
      <c r="AA1970" s="19" t="str">
        <f>B1970 &amp; "-" &amp; VLOOKUP(B1970,[4]SOUSPROGRAMMES!$E$1:$F$44,2,FALSE)</f>
        <v>61-Mobilisation sociale pour l’accroissement des financements de l’AEA</v>
      </c>
      <c r="AB1970" s="19" t="str">
        <f>C1970 &amp; "-" &amp; VLOOKUP(C1970,[4]RESULTATS!$E$1:$F$176,2,FALSE)</f>
        <v>611- les acteurs et les PTF concernés sont mobilisés en faveur de l’AEA.</v>
      </c>
      <c r="AC1970" s="20" t="str">
        <f>D1970 &amp; "-" &amp; VLOOKUP(D1970,[4]STRATEGIES!$E$1:$F$504,2,FALSE)</f>
        <v>6114-Mise en place d'un dispositif de financement de l'alphabétisation</v>
      </c>
      <c r="AD1970" s="21" t="str">
        <f t="shared" si="299"/>
        <v>61141-Etude sur la mise en place d'un fonds national pour l'alphabétisation</v>
      </c>
    </row>
    <row r="1971" spans="1:30" s="22" customFormat="1" ht="45.75" hidden="1" x14ac:dyDescent="0.8">
      <c r="A1971" s="14">
        <v>6</v>
      </c>
      <c r="B1971" s="15">
        <v>61</v>
      </c>
      <c r="C1971" s="15">
        <v>611</v>
      </c>
      <c r="D1971" s="74">
        <v>6114</v>
      </c>
      <c r="E1971" s="14">
        <v>61142</v>
      </c>
      <c r="F1971" s="16" t="s">
        <v>2436</v>
      </c>
      <c r="G1971" s="21" t="s">
        <v>1409</v>
      </c>
      <c r="H1971" s="17" t="s">
        <v>38</v>
      </c>
      <c r="I1971" s="56">
        <v>0</v>
      </c>
      <c r="J1971" s="56">
        <f>100*1</f>
        <v>100</v>
      </c>
      <c r="K1971" s="56"/>
      <c r="L1971" s="56">
        <f>100*1</f>
        <v>100</v>
      </c>
      <c r="M1971" s="56">
        <f t="shared" si="300"/>
        <v>200</v>
      </c>
      <c r="N1971" s="56">
        <f>IF(OR(H1971="",H1971="sif",H1971="PM"),0,VLOOKUP(H1971,[5]CU!$C$4:$H$255,6,FALSE))</f>
        <v>0.3133333333333333</v>
      </c>
      <c r="O1971" s="56">
        <f t="shared" si="304"/>
        <v>0</v>
      </c>
      <c r="P1971" s="56">
        <f t="shared" si="304"/>
        <v>31.333333333333329</v>
      </c>
      <c r="Q1971" s="56">
        <f t="shared" si="304"/>
        <v>0</v>
      </c>
      <c r="R1971" s="56">
        <f t="shared" si="304"/>
        <v>31.333333333333329</v>
      </c>
      <c r="S1971" s="56">
        <f>SUM(O1971:R1971)</f>
        <v>62.666666666666657</v>
      </c>
      <c r="T1971" s="35" t="s">
        <v>56</v>
      </c>
      <c r="U1971" s="18" t="s">
        <v>330</v>
      </c>
      <c r="V1971" s="19" t="str">
        <f>IF(OR($H1971="",$H1971="sif",$H1971="PM"),"",VLOOKUP($H1971,[5]CU!$C$5:$J$255,8,FALSE))</f>
        <v>3. Formation</v>
      </c>
      <c r="W1971" s="18" t="s">
        <v>331</v>
      </c>
      <c r="X1971" s="18" t="s">
        <v>331</v>
      </c>
      <c r="Y1971" s="19" t="s">
        <v>32</v>
      </c>
      <c r="Z1971" s="19" t="str">
        <f>A1971 &amp; "-" &amp; VLOOKUP(A1971,[4]PROGRAMMES!$E$1:$F$7,2,FALSE)</f>
        <v>6-Education et alphabétisation des adultes</v>
      </c>
      <c r="AA1971" s="19" t="str">
        <f>B1971 &amp; "-" &amp; VLOOKUP(B1971,[4]SOUSPROGRAMMES!$E$1:$F$44,2,FALSE)</f>
        <v>61-Mobilisation sociale pour l’accroissement des financements de l’AEA</v>
      </c>
      <c r="AB1971" s="19" t="str">
        <f>C1971 &amp; "-" &amp; VLOOKUP(C1971,[4]RESULTATS!$E$1:$F$176,2,FALSE)</f>
        <v>611- les acteurs et les PTF concernés sont mobilisés en faveur de l’AEA.</v>
      </c>
      <c r="AC1971" s="20" t="str">
        <f>D1971 &amp; "-" &amp; VLOOKUP(D1971,[4]STRATEGIES!$E$1:$F$504,2,FALSE)</f>
        <v>6114-Mise en place d'un dispositif de financement de l'alphabétisation</v>
      </c>
      <c r="AD1971" s="21" t="str">
        <f t="shared" si="299"/>
        <v>61142- Organisation des événements spéciaux de levée de fonds en faveur de l’AEA</v>
      </c>
    </row>
    <row r="1972" spans="1:30" s="22" customFormat="1" ht="45.75" hidden="1" x14ac:dyDescent="0.8">
      <c r="A1972" s="14">
        <v>6</v>
      </c>
      <c r="B1972" s="15">
        <v>61</v>
      </c>
      <c r="C1972" s="15">
        <v>611</v>
      </c>
      <c r="D1972" s="74">
        <v>6114</v>
      </c>
      <c r="E1972" s="14">
        <v>61143</v>
      </c>
      <c r="F1972" s="16" t="s">
        <v>2437</v>
      </c>
      <c r="G1972" s="21" t="s">
        <v>298</v>
      </c>
      <c r="H1972" s="17" t="s">
        <v>38</v>
      </c>
      <c r="I1972" s="56">
        <v>0</v>
      </c>
      <c r="J1972" s="56"/>
      <c r="K1972" s="56">
        <f>30*1</f>
        <v>30</v>
      </c>
      <c r="L1972" s="56"/>
      <c r="M1972" s="56">
        <f t="shared" si="300"/>
        <v>30</v>
      </c>
      <c r="N1972" s="56">
        <f>IF(OR(H1972="",H1972="sif",H1972="PM"),0,VLOOKUP(H1972,[5]CU!$C$4:$H$255,6,FALSE))</f>
        <v>0.3133333333333333</v>
      </c>
      <c r="O1972" s="56">
        <f t="shared" si="304"/>
        <v>0</v>
      </c>
      <c r="P1972" s="56">
        <f t="shared" si="304"/>
        <v>0</v>
      </c>
      <c r="Q1972" s="56">
        <f t="shared" si="304"/>
        <v>9.3999999999999986</v>
      </c>
      <c r="R1972" s="56">
        <f t="shared" si="304"/>
        <v>0</v>
      </c>
      <c r="S1972" s="56">
        <f>SUM(O1972:R1972)</f>
        <v>9.3999999999999986</v>
      </c>
      <c r="T1972" s="35" t="s">
        <v>56</v>
      </c>
      <c r="U1972" s="18" t="s">
        <v>330</v>
      </c>
      <c r="V1972" s="19" t="str">
        <f>IF(OR($H1972="",$H1972="sif",$H1972="PM"),"",VLOOKUP($H1972,[5]CU!$C$5:$J$255,8,FALSE))</f>
        <v>3. Formation</v>
      </c>
      <c r="W1972" s="18" t="s">
        <v>331</v>
      </c>
      <c r="X1972" s="18" t="s">
        <v>331</v>
      </c>
      <c r="Y1972" s="19" t="s">
        <v>32</v>
      </c>
      <c r="Z1972" s="19" t="str">
        <f>A1972 &amp; "-" &amp; VLOOKUP(A1972,[4]PROGRAMMES!$E$1:$F$7,2,FALSE)</f>
        <v>6-Education et alphabétisation des adultes</v>
      </c>
      <c r="AA1972" s="19" t="str">
        <f>B1972 &amp; "-" &amp; VLOOKUP(B1972,[4]SOUSPROGRAMMES!$E$1:$F$44,2,FALSE)</f>
        <v>61-Mobilisation sociale pour l’accroissement des financements de l’AEA</v>
      </c>
      <c r="AB1972" s="19" t="str">
        <f>C1972 &amp; "-" &amp; VLOOKUP(C1972,[4]RESULTATS!$E$1:$F$176,2,FALSE)</f>
        <v>611- les acteurs et les PTF concernés sont mobilisés en faveur de l’AEA.</v>
      </c>
      <c r="AC1972" s="20" t="str">
        <f>D1972 &amp; "-" &amp; VLOOKUP(D1972,[4]STRATEGIES!$E$1:$F$504,2,FALSE)</f>
        <v>6114-Mise en place d'un dispositif de financement de l'alphabétisation</v>
      </c>
      <c r="AD1972" s="21" t="str">
        <f t="shared" si="299"/>
        <v>61143-Validation des résultats de l'étude sur la mise en place du Fonds National pour l’Alphabétisation et l’Education Non Formelle</v>
      </c>
    </row>
    <row r="1973" spans="1:30" s="22" customFormat="1" ht="45.75" x14ac:dyDescent="0.8">
      <c r="A1973" s="14">
        <v>6</v>
      </c>
      <c r="B1973" s="15">
        <v>61</v>
      </c>
      <c r="C1973" s="15">
        <v>612</v>
      </c>
      <c r="D1973" s="74">
        <v>612</v>
      </c>
      <c r="E1973" s="14">
        <v>612</v>
      </c>
      <c r="F1973" s="16" t="s">
        <v>2438</v>
      </c>
      <c r="G1973" s="17"/>
      <c r="H1973" s="17"/>
      <c r="I1973" s="56">
        <v>0</v>
      </c>
      <c r="J1973" s="56"/>
      <c r="K1973" s="56"/>
      <c r="L1973" s="56"/>
      <c r="M1973" s="56"/>
      <c r="N1973" s="56"/>
      <c r="O1973" s="56"/>
      <c r="P1973" s="56"/>
      <c r="Q1973" s="56"/>
      <c r="R1973" s="56"/>
      <c r="S1973" s="56"/>
      <c r="T1973" s="33"/>
      <c r="U1973" s="18"/>
      <c r="V1973" s="19"/>
      <c r="W1973" s="18"/>
      <c r="X1973" s="18"/>
      <c r="Y1973" s="18"/>
      <c r="Z1973" s="19" t="str">
        <f>A1973 &amp; "-" &amp; VLOOKUP(A1973,[4]PROGRAMMES!$E$1:$F$7,2,FALSE)</f>
        <v>6-Education et alphabétisation des adultes</v>
      </c>
      <c r="AA1973" s="19" t="str">
        <f>B1973 &amp; "-" &amp; VLOOKUP(B1973,[4]SOUSPROGRAMMES!$E$1:$F$44,2,FALSE)</f>
        <v>61-Mobilisation sociale pour l’accroissement des financements de l’AEA</v>
      </c>
      <c r="AB1973" s="19" t="str">
        <f>C1973 &amp; "-" &amp; VLOOKUP(C1973,[4]RESULTATS!$E$1:$F$176,2,FALSE)</f>
        <v xml:space="preserve">612- Une synergie d’actions existe entre les différents départements intervenant en AEA </v>
      </c>
      <c r="AC1973" s="20" t="str">
        <f>D1973 &amp; "-" &amp; VLOOKUP(D1973,[4]STRATEGIES!$E$1:$F$504,2,FALSE)</f>
        <v xml:space="preserve">612- Une synergie d’actions existe entre les différents départements intervenant en AEA </v>
      </c>
      <c r="AD1973" s="21" t="str">
        <f t="shared" si="299"/>
        <v xml:space="preserve">612- Une synergie d’actions existe entre les différents départements intervenant en AEA </v>
      </c>
    </row>
    <row r="1974" spans="1:30" s="22" customFormat="1" ht="45.75" x14ac:dyDescent="0.8">
      <c r="A1974" s="14">
        <v>6</v>
      </c>
      <c r="B1974" s="15">
        <v>61</v>
      </c>
      <c r="C1974" s="15">
        <v>612</v>
      </c>
      <c r="D1974" s="74">
        <v>6121</v>
      </c>
      <c r="E1974" s="14">
        <v>6121</v>
      </c>
      <c r="F1974" s="16" t="s">
        <v>2439</v>
      </c>
      <c r="G1974" s="17"/>
      <c r="H1974" s="17"/>
      <c r="I1974" s="56">
        <v>0</v>
      </c>
      <c r="J1974" s="56"/>
      <c r="K1974" s="56"/>
      <c r="L1974" s="56"/>
      <c r="M1974" s="56"/>
      <c r="N1974" s="56"/>
      <c r="O1974" s="56"/>
      <c r="P1974" s="56"/>
      <c r="Q1974" s="56"/>
      <c r="R1974" s="56"/>
      <c r="S1974" s="56"/>
      <c r="T1974" s="33"/>
      <c r="U1974" s="18"/>
      <c r="V1974" s="19"/>
      <c r="W1974" s="18"/>
      <c r="X1974" s="18"/>
      <c r="Y1974" s="18"/>
      <c r="Z1974" s="19" t="str">
        <f>A1974 &amp; "-" &amp; VLOOKUP(A1974,[4]PROGRAMMES!$E$1:$F$7,2,FALSE)</f>
        <v>6-Education et alphabétisation des adultes</v>
      </c>
      <c r="AA1974" s="19" t="str">
        <f>B1974 &amp; "-" &amp; VLOOKUP(B1974,[4]SOUSPROGRAMMES!$E$1:$F$44,2,FALSE)</f>
        <v>61-Mobilisation sociale pour l’accroissement des financements de l’AEA</v>
      </c>
      <c r="AB1974" s="19" t="str">
        <f>C1974 &amp; "-" &amp; VLOOKUP(C1974,[4]RESULTATS!$E$1:$F$176,2,FALSE)</f>
        <v xml:space="preserve">612- Une synergie d’actions existe entre les différents départements intervenant en AEA </v>
      </c>
      <c r="AC1974" s="20" t="str">
        <f>D1974 &amp; "-" &amp; VLOOKUP(D1974,[4]STRATEGIES!$E$1:$F$504,2,FALSE)</f>
        <v>6121-Développement et mise en place d'un cadre de concertation</v>
      </c>
      <c r="AD1974" s="21" t="str">
        <f t="shared" si="299"/>
        <v>6121-Développement et mise en place d'un cadre de concertation</v>
      </c>
    </row>
    <row r="1975" spans="1:30" s="22" customFormat="1" ht="45.75" hidden="1" x14ac:dyDescent="0.8">
      <c r="A1975" s="14">
        <v>6</v>
      </c>
      <c r="B1975" s="15">
        <v>61</v>
      </c>
      <c r="C1975" s="15">
        <v>612</v>
      </c>
      <c r="D1975" s="74">
        <v>6121</v>
      </c>
      <c r="E1975" s="14">
        <v>61211</v>
      </c>
      <c r="F1975" s="16" t="s">
        <v>2440</v>
      </c>
      <c r="G1975" s="21" t="s">
        <v>2441</v>
      </c>
      <c r="H1975" s="17" t="s">
        <v>55</v>
      </c>
      <c r="I1975" s="56">
        <v>0</v>
      </c>
      <c r="J1975" s="56">
        <v>1</v>
      </c>
      <c r="K1975" s="56"/>
      <c r="L1975" s="56"/>
      <c r="M1975" s="56">
        <f t="shared" si="300"/>
        <v>1</v>
      </c>
      <c r="N1975" s="56">
        <f>IF(OR(H1975="",H1975="sif",H1975="PM"),0,VLOOKUP(H1975,[5]CU!$C$4:$H$255,6,FALSE))</f>
        <v>0</v>
      </c>
      <c r="O1975" s="56"/>
      <c r="P1975" s="56"/>
      <c r="Q1975" s="56"/>
      <c r="R1975" s="56"/>
      <c r="S1975" s="56"/>
      <c r="T1975" s="35" t="s">
        <v>56</v>
      </c>
      <c r="U1975" s="18" t="s">
        <v>330</v>
      </c>
      <c r="V1975" s="19" t="str">
        <f>IF(OR($H1975="",$H1975="sif",$H1975="PM"),"",VLOOKUP($H1975,[5]CU!$C$5:$J$255,8,FALSE))</f>
        <v/>
      </c>
      <c r="W1975" s="18" t="s">
        <v>331</v>
      </c>
      <c r="X1975" s="18" t="s">
        <v>2442</v>
      </c>
      <c r="Y1975" s="19" t="s">
        <v>32</v>
      </c>
      <c r="Z1975" s="19" t="str">
        <f>A1975 &amp; "-" &amp; VLOOKUP(A1975,[4]PROGRAMMES!$E$1:$F$7,2,FALSE)</f>
        <v>6-Education et alphabétisation des adultes</v>
      </c>
      <c r="AA1975" s="19" t="str">
        <f>B1975 &amp; "-" &amp; VLOOKUP(B1975,[4]SOUSPROGRAMMES!$E$1:$F$44,2,FALSE)</f>
        <v>61-Mobilisation sociale pour l’accroissement des financements de l’AEA</v>
      </c>
      <c r="AB1975" s="19" t="str">
        <f>C1975 &amp; "-" &amp; VLOOKUP(C1975,[4]RESULTATS!$E$1:$F$176,2,FALSE)</f>
        <v xml:space="preserve">612- Une synergie d’actions existe entre les différents départements intervenant en AEA </v>
      </c>
      <c r="AC1975" s="20" t="str">
        <f>D1975 &amp; "-" &amp; VLOOKUP(D1975,[4]STRATEGIES!$E$1:$F$504,2,FALSE)</f>
        <v>6121-Développement et mise en place d'un cadre de concertation</v>
      </c>
      <c r="AD1975" s="21" t="str">
        <f t="shared" si="299"/>
        <v>61211-Mise en place du conseil national de l'AENF</v>
      </c>
    </row>
    <row r="1976" spans="1:30" s="22" customFormat="1" ht="45.75" hidden="1" x14ac:dyDescent="0.8">
      <c r="A1976" s="14">
        <v>6</v>
      </c>
      <c r="B1976" s="15">
        <v>61</v>
      </c>
      <c r="C1976" s="15">
        <v>612</v>
      </c>
      <c r="D1976" s="74">
        <v>6121</v>
      </c>
      <c r="E1976" s="14">
        <v>61212</v>
      </c>
      <c r="F1976" s="16" t="s">
        <v>2443</v>
      </c>
      <c r="G1976" s="21" t="s">
        <v>298</v>
      </c>
      <c r="H1976" s="17" t="s">
        <v>66</v>
      </c>
      <c r="I1976" s="56">
        <v>0</v>
      </c>
      <c r="J1976" s="56">
        <f>20*3</f>
        <v>60</v>
      </c>
      <c r="K1976" s="56"/>
      <c r="L1976" s="56"/>
      <c r="M1976" s="56">
        <f t="shared" si="300"/>
        <v>60</v>
      </c>
      <c r="N1976" s="56">
        <f>IF(OR(H1976="",H1976="sif",H1976="PM"),0,VLOOKUP(H1976,[5]CU!$C$4:$H$255,6,FALSE))</f>
        <v>0.255</v>
      </c>
      <c r="O1976" s="56">
        <f t="shared" ref="O1976:R1994" si="305">$N1976*I1976</f>
        <v>0</v>
      </c>
      <c r="P1976" s="56">
        <f t="shared" si="305"/>
        <v>15.3</v>
      </c>
      <c r="Q1976" s="56">
        <f t="shared" si="305"/>
        <v>0</v>
      </c>
      <c r="R1976" s="56">
        <f t="shared" si="305"/>
        <v>0</v>
      </c>
      <c r="S1976" s="56">
        <f t="shared" ref="S1976:S1994" si="306">SUM(O1976:R1976)</f>
        <v>15.3</v>
      </c>
      <c r="T1976" s="35" t="s">
        <v>56</v>
      </c>
      <c r="U1976" s="18" t="s">
        <v>330</v>
      </c>
      <c r="V1976" s="19" t="str">
        <f>IF(OR($H1976="",$H1976="sif",$H1976="PM"),"",VLOOKUP($H1976,[5]CU!$C$5:$J$255,8,FALSE))</f>
        <v>3. Dépenses de fonctionnement</v>
      </c>
      <c r="W1976" s="18" t="s">
        <v>331</v>
      </c>
      <c r="X1976" s="18" t="s">
        <v>331</v>
      </c>
      <c r="Y1976" s="19" t="s">
        <v>32</v>
      </c>
      <c r="Z1976" s="19" t="str">
        <f>A1976 &amp; "-" &amp; VLOOKUP(A1976,[4]PROGRAMMES!$E$1:$F$7,2,FALSE)</f>
        <v>6-Education et alphabétisation des adultes</v>
      </c>
      <c r="AA1976" s="19" t="str">
        <f>B1976 &amp; "-" &amp; VLOOKUP(B1976,[4]SOUSPROGRAMMES!$E$1:$F$44,2,FALSE)</f>
        <v>61-Mobilisation sociale pour l’accroissement des financements de l’AEA</v>
      </c>
      <c r="AB1976" s="19" t="str">
        <f>C1976 &amp; "-" &amp; VLOOKUP(C1976,[4]RESULTATS!$E$1:$F$176,2,FALSE)</f>
        <v xml:space="preserve">612- Une synergie d’actions existe entre les différents départements intervenant en AEA </v>
      </c>
      <c r="AC1976" s="20" t="str">
        <f>D1976 &amp; "-" &amp; VLOOKUP(D1976,[4]STRATEGIES!$E$1:$F$504,2,FALSE)</f>
        <v>6121-Développement et mise en place d'un cadre de concertation</v>
      </c>
      <c r="AD1976" s="21" t="str">
        <f t="shared" si="299"/>
        <v>61212- Elaboration d’un document de référence de l'alphabétisation (concerté avec tous les acteurs)</v>
      </c>
    </row>
    <row r="1977" spans="1:30" s="22" customFormat="1" ht="45.75" hidden="1" x14ac:dyDescent="0.8">
      <c r="A1977" s="14">
        <v>6</v>
      </c>
      <c r="B1977" s="15">
        <v>61</v>
      </c>
      <c r="C1977" s="15">
        <v>612</v>
      </c>
      <c r="D1977" s="74">
        <v>6121</v>
      </c>
      <c r="E1977" s="14">
        <v>61213</v>
      </c>
      <c r="F1977" s="16" t="s">
        <v>2444</v>
      </c>
      <c r="G1977" s="21" t="s">
        <v>451</v>
      </c>
      <c r="H1977" s="17" t="s">
        <v>816</v>
      </c>
      <c r="I1977" s="56">
        <v>0</v>
      </c>
      <c r="J1977" s="56"/>
      <c r="K1977" s="56">
        <f>1000</f>
        <v>1000</v>
      </c>
      <c r="L1977" s="56"/>
      <c r="M1977" s="56">
        <f t="shared" si="300"/>
        <v>1000</v>
      </c>
      <c r="N1977" s="56">
        <f>IF(OR(H1977="",H1977="sif",H1977="PM"),0,VLOOKUP(H1977,[5]CU!$C$4:$H$255,6,FALSE))</f>
        <v>7.4999999999999997E-3</v>
      </c>
      <c r="O1977" s="56">
        <f t="shared" si="305"/>
        <v>0</v>
      </c>
      <c r="P1977" s="56">
        <f t="shared" si="305"/>
        <v>0</v>
      </c>
      <c r="Q1977" s="56">
        <f t="shared" si="305"/>
        <v>7.5</v>
      </c>
      <c r="R1977" s="56">
        <f t="shared" si="305"/>
        <v>0</v>
      </c>
      <c r="S1977" s="56">
        <f t="shared" si="306"/>
        <v>7.5</v>
      </c>
      <c r="T1977" s="35" t="s">
        <v>56</v>
      </c>
      <c r="U1977" s="18" t="s">
        <v>330</v>
      </c>
      <c r="V1977" s="19" t="str">
        <f>IF(OR($H1977="",$H1977="sif",$H1977="PM"),"",VLOOKUP($H1977,[5]CU!$C$5:$J$255,8,FALSE))</f>
        <v>3. Dépenses de fonctionnement</v>
      </c>
      <c r="W1977" s="18" t="s">
        <v>331</v>
      </c>
      <c r="X1977" s="18" t="s">
        <v>331</v>
      </c>
      <c r="Y1977" s="19" t="s">
        <v>32</v>
      </c>
      <c r="Z1977" s="19" t="str">
        <f>A1977 &amp; "-" &amp; VLOOKUP(A1977,[4]PROGRAMMES!$E$1:$F$7,2,FALSE)</f>
        <v>6-Education et alphabétisation des adultes</v>
      </c>
      <c r="AA1977" s="19" t="str">
        <f>B1977 &amp; "-" &amp; VLOOKUP(B1977,[4]SOUSPROGRAMMES!$E$1:$F$44,2,FALSE)</f>
        <v>61-Mobilisation sociale pour l’accroissement des financements de l’AEA</v>
      </c>
      <c r="AB1977" s="19" t="str">
        <f>C1977 &amp; "-" &amp; VLOOKUP(C1977,[4]RESULTATS!$E$1:$F$176,2,FALSE)</f>
        <v xml:space="preserve">612- Une synergie d’actions existe entre les différents départements intervenant en AEA </v>
      </c>
      <c r="AC1977" s="20" t="str">
        <f>D1977 &amp; "-" &amp; VLOOKUP(D1977,[4]STRATEGIES!$E$1:$F$504,2,FALSE)</f>
        <v>6121-Développement et mise en place d'un cadre de concertation</v>
      </c>
      <c r="AD1977" s="21" t="str">
        <f t="shared" si="299"/>
        <v>61213- Diffusion et vulgarisation du document référentiel à tous les acteurs</v>
      </c>
    </row>
    <row r="1978" spans="1:30" s="22" customFormat="1" ht="45.75" x14ac:dyDescent="0.8">
      <c r="A1978" s="14">
        <v>6</v>
      </c>
      <c r="B1978" s="15">
        <v>61</v>
      </c>
      <c r="C1978" s="15">
        <v>612</v>
      </c>
      <c r="D1978" s="74">
        <v>6122</v>
      </c>
      <c r="E1978" s="14">
        <v>6122</v>
      </c>
      <c r="F1978" s="16" t="s">
        <v>2445</v>
      </c>
      <c r="G1978" s="17"/>
      <c r="H1978" s="17"/>
      <c r="I1978" s="56">
        <v>0</v>
      </c>
      <c r="J1978" s="56"/>
      <c r="K1978" s="56"/>
      <c r="L1978" s="56"/>
      <c r="M1978" s="56"/>
      <c r="N1978" s="56"/>
      <c r="O1978" s="56"/>
      <c r="P1978" s="56"/>
      <c r="Q1978" s="56"/>
      <c r="R1978" s="56"/>
      <c r="S1978" s="56"/>
      <c r="T1978" s="33"/>
      <c r="U1978" s="18"/>
      <c r="V1978" s="19"/>
      <c r="W1978" s="18"/>
      <c r="X1978" s="18"/>
      <c r="Y1978" s="18"/>
      <c r="Z1978" s="19" t="str">
        <f>A1978 &amp; "-" &amp; VLOOKUP(A1978,[4]PROGRAMMES!$E$1:$F$7,2,FALSE)</f>
        <v>6-Education et alphabétisation des adultes</v>
      </c>
      <c r="AA1978" s="19" t="str">
        <f>B1978 &amp; "-" &amp; VLOOKUP(B1978,[4]SOUSPROGRAMMES!$E$1:$F$44,2,FALSE)</f>
        <v>61-Mobilisation sociale pour l’accroissement des financements de l’AEA</v>
      </c>
      <c r="AB1978" s="19" t="str">
        <f>C1978 &amp; "-" &amp; VLOOKUP(C1978,[4]RESULTATS!$E$1:$F$176,2,FALSE)</f>
        <v xml:space="preserve">612- Une synergie d’actions existe entre les différents départements intervenant en AEA </v>
      </c>
      <c r="AC1978" s="20" t="str">
        <f>D1978 &amp; "-" &amp; VLOOKUP(D1978,[4]STRATEGIES!$E$1:$F$504,2,FALSE)</f>
        <v>6122-Renforcement des capacités de plaidoyer et de suivi des structures en charge de l'AEA</v>
      </c>
      <c r="AD1978" s="21" t="str">
        <f t="shared" si="299"/>
        <v>6122-Renforcement des capacités de plaidoyer et de suivi des structures en charge de l'AEA</v>
      </c>
    </row>
    <row r="1979" spans="1:30" ht="45.75" hidden="1" x14ac:dyDescent="0.8">
      <c r="A1979" s="25">
        <v>6</v>
      </c>
      <c r="B1979" s="16">
        <v>61</v>
      </c>
      <c r="C1979" s="16">
        <v>612</v>
      </c>
      <c r="D1979" s="74">
        <v>6122</v>
      </c>
      <c r="E1979" s="25">
        <v>61221</v>
      </c>
      <c r="F1979" s="16" t="s">
        <v>2446</v>
      </c>
      <c r="G1979" s="21" t="s">
        <v>37</v>
      </c>
      <c r="H1979" s="21" t="s">
        <v>66</v>
      </c>
      <c r="I1979" s="57">
        <v>0</v>
      </c>
      <c r="J1979" s="57">
        <f>30*2</f>
        <v>60</v>
      </c>
      <c r="K1979" s="57"/>
      <c r="L1979" s="57"/>
      <c r="M1979" s="57">
        <f t="shared" si="300"/>
        <v>60</v>
      </c>
      <c r="N1979" s="57">
        <f>IF(OR(H1979="",H1979="sif",H1979="PM"),0,VLOOKUP(H1979,[5]CU!$C$4:$H$255,6,FALSE))</f>
        <v>0.255</v>
      </c>
      <c r="O1979" s="57">
        <f t="shared" si="305"/>
        <v>0</v>
      </c>
      <c r="P1979" s="57">
        <f t="shared" si="305"/>
        <v>15.3</v>
      </c>
      <c r="Q1979" s="57">
        <f t="shared" si="305"/>
        <v>0</v>
      </c>
      <c r="R1979" s="57">
        <f t="shared" si="305"/>
        <v>0</v>
      </c>
      <c r="S1979" s="57">
        <f t="shared" si="306"/>
        <v>15.3</v>
      </c>
      <c r="T1979" s="38" t="s">
        <v>169</v>
      </c>
      <c r="U1979" s="19" t="s">
        <v>330</v>
      </c>
      <c r="V1979" s="19" t="str">
        <f>IF(OR($H1979="",$H1979="sif",$H1979="PM"),"",VLOOKUP($H1979,[5]CU!$C$5:$J$255,8,FALSE))</f>
        <v>3. Dépenses de fonctionnement</v>
      </c>
      <c r="W1979" s="19" t="s">
        <v>331</v>
      </c>
      <c r="X1979" s="19" t="s">
        <v>331</v>
      </c>
      <c r="Y1979" s="19" t="s">
        <v>32</v>
      </c>
      <c r="Z1979" s="19" t="str">
        <f>A1979 &amp; "-" &amp; VLOOKUP(A1979,[4]PROGRAMMES!$E$1:$F$7,2,FALSE)</f>
        <v>6-Education et alphabétisation des adultes</v>
      </c>
      <c r="AA1979" s="19" t="str">
        <f>B1979 &amp; "-" &amp; VLOOKUP(B1979,[4]SOUSPROGRAMMES!$E$1:$F$44,2,FALSE)</f>
        <v>61-Mobilisation sociale pour l’accroissement des financements de l’AEA</v>
      </c>
      <c r="AB1979" s="19" t="str">
        <f>C1979 &amp; "-" &amp; VLOOKUP(C1979,[4]RESULTATS!$E$1:$F$176,2,FALSE)</f>
        <v xml:space="preserve">612- Une synergie d’actions existe entre les différents départements intervenant en AEA </v>
      </c>
      <c r="AC1979" s="20" t="str">
        <f>D1979 &amp; "-" &amp; VLOOKUP(D1979,[4]STRATEGIES!$E$1:$F$504,2,FALSE)</f>
        <v>6122-Renforcement des capacités de plaidoyer et de suivi des structures en charge de l'AEA</v>
      </c>
      <c r="AD1979" s="21" t="str">
        <f t="shared" si="299"/>
        <v>61221-Organisation d'une concertation sur les stratégies d'AENF (acquis et faiblesses)</v>
      </c>
    </row>
    <row r="1980" spans="1:30" ht="45.75" hidden="1" x14ac:dyDescent="0.8">
      <c r="A1980" s="25">
        <v>6</v>
      </c>
      <c r="B1980" s="16">
        <v>61</v>
      </c>
      <c r="C1980" s="16">
        <v>612</v>
      </c>
      <c r="D1980" s="74">
        <v>6122</v>
      </c>
      <c r="E1980" s="25">
        <v>61222</v>
      </c>
      <c r="F1980" s="16" t="s">
        <v>2447</v>
      </c>
      <c r="G1980" s="21" t="s">
        <v>167</v>
      </c>
      <c r="H1980" s="21" t="s">
        <v>646</v>
      </c>
      <c r="I1980" s="57">
        <v>0</v>
      </c>
      <c r="J1980" s="57"/>
      <c r="K1980" s="57">
        <f>1*15</f>
        <v>15</v>
      </c>
      <c r="L1980" s="57"/>
      <c r="M1980" s="57">
        <f t="shared" si="300"/>
        <v>15</v>
      </c>
      <c r="N1980" s="57">
        <f>IF(OR(H1980="",H1980="sif",H1980="PM"),0,VLOOKUP(H1980,[5]CU!$C$4:$H$255,6,FALSE))</f>
        <v>10.404797</v>
      </c>
      <c r="O1980" s="57">
        <f t="shared" si="305"/>
        <v>0</v>
      </c>
      <c r="P1980" s="57">
        <f t="shared" si="305"/>
        <v>0</v>
      </c>
      <c r="Q1980" s="57">
        <f t="shared" si="305"/>
        <v>156.071955</v>
      </c>
      <c r="R1980" s="57">
        <f t="shared" si="305"/>
        <v>0</v>
      </c>
      <c r="S1980" s="57">
        <f t="shared" si="306"/>
        <v>156.071955</v>
      </c>
      <c r="T1980" s="38" t="s">
        <v>169</v>
      </c>
      <c r="U1980" s="19" t="s">
        <v>330</v>
      </c>
      <c r="V1980" s="19" t="str">
        <f>IF(OR($H1980="",$H1980="sif",$H1980="PM"),"",VLOOKUP($H1980,[5]CU!$C$5:$J$255,8,FALSE))</f>
        <v>3. Dépenses de fonctionnement</v>
      </c>
      <c r="W1980" s="19" t="s">
        <v>331</v>
      </c>
      <c r="X1980" s="19" t="s">
        <v>331</v>
      </c>
      <c r="Y1980" s="19" t="s">
        <v>32</v>
      </c>
      <c r="Z1980" s="19" t="str">
        <f>A1980 &amp; "-" &amp; VLOOKUP(A1980,[4]PROGRAMMES!$E$1:$F$7,2,FALSE)</f>
        <v>6-Education et alphabétisation des adultes</v>
      </c>
      <c r="AA1980" s="19" t="str">
        <f>B1980 &amp; "-" &amp; VLOOKUP(B1980,[4]SOUSPROGRAMMES!$E$1:$F$44,2,FALSE)</f>
        <v>61-Mobilisation sociale pour l’accroissement des financements de l’AEA</v>
      </c>
      <c r="AB1980" s="19" t="str">
        <f>C1980 &amp; "-" &amp; VLOOKUP(C1980,[4]RESULTATS!$E$1:$F$176,2,FALSE)</f>
        <v xml:space="preserve">612- Une synergie d’actions existe entre les différents départements intervenant en AEA </v>
      </c>
      <c r="AC1980" s="20" t="str">
        <f>D1980 &amp; "-" &amp; VLOOKUP(D1980,[4]STRATEGIES!$E$1:$F$504,2,FALSE)</f>
        <v>6122-Renforcement des capacités de plaidoyer et de suivi des structures en charge de l'AEA</v>
      </c>
      <c r="AD1980" s="21" t="str">
        <f t="shared" si="299"/>
        <v>61222-Elaboration d'un manuel de procédure pour l'organisation des activités de plaidoyer de suivi évaluation des activités d'AENF en tenant compte des résultats de la concertation)</v>
      </c>
    </row>
    <row r="1981" spans="1:30" ht="45.75" hidden="1" x14ac:dyDescent="0.8">
      <c r="A1981" s="25">
        <v>6</v>
      </c>
      <c r="B1981" s="16">
        <v>61</v>
      </c>
      <c r="C1981" s="16">
        <v>612</v>
      </c>
      <c r="D1981" s="74">
        <v>6122</v>
      </c>
      <c r="E1981" s="25">
        <v>61223</v>
      </c>
      <c r="F1981" s="16" t="s">
        <v>2448</v>
      </c>
      <c r="G1981" s="21" t="s">
        <v>298</v>
      </c>
      <c r="H1981" s="21" t="s">
        <v>301</v>
      </c>
      <c r="I1981" s="57">
        <v>0</v>
      </c>
      <c r="J1981" s="57"/>
      <c r="K1981" s="57">
        <f>20*14*1</f>
        <v>280</v>
      </c>
      <c r="L1981" s="57"/>
      <c r="M1981" s="57">
        <f t="shared" si="300"/>
        <v>280</v>
      </c>
      <c r="N1981" s="57">
        <f>IF(OR(H1981="",H1981="sif",H1981="PM"),0,VLOOKUP(H1981,[5]CU!$C$4:$H$255,6,FALSE))</f>
        <v>0.67666666666666664</v>
      </c>
      <c r="O1981" s="57">
        <f t="shared" si="305"/>
        <v>0</v>
      </c>
      <c r="P1981" s="57">
        <f t="shared" si="305"/>
        <v>0</v>
      </c>
      <c r="Q1981" s="57">
        <f t="shared" si="305"/>
        <v>189.46666666666667</v>
      </c>
      <c r="R1981" s="57">
        <f t="shared" si="305"/>
        <v>0</v>
      </c>
      <c r="S1981" s="57">
        <f t="shared" si="306"/>
        <v>189.46666666666667</v>
      </c>
      <c r="T1981" s="38" t="s">
        <v>169</v>
      </c>
      <c r="U1981" s="19" t="s">
        <v>330</v>
      </c>
      <c r="V1981" s="19" t="str">
        <f>IF(OR($H1981="",$H1981="sif",$H1981="PM"),"",VLOOKUP($H1981,[5]CU!$C$5:$J$255,8,FALSE))</f>
        <v>3. Formation</v>
      </c>
      <c r="W1981" s="19" t="s">
        <v>331</v>
      </c>
      <c r="X1981" s="19" t="s">
        <v>331</v>
      </c>
      <c r="Y1981" s="19" t="s">
        <v>32</v>
      </c>
      <c r="Z1981" s="19" t="str">
        <f>A1981 &amp; "-" &amp; VLOOKUP(A1981,[4]PROGRAMMES!$E$1:$F$7,2,FALSE)</f>
        <v>6-Education et alphabétisation des adultes</v>
      </c>
      <c r="AA1981" s="19" t="str">
        <f>B1981 &amp; "-" &amp; VLOOKUP(B1981,[4]SOUSPROGRAMMES!$E$1:$F$44,2,FALSE)</f>
        <v>61-Mobilisation sociale pour l’accroissement des financements de l’AEA</v>
      </c>
      <c r="AB1981" s="19" t="str">
        <f>C1981 &amp; "-" &amp; VLOOKUP(C1981,[4]RESULTATS!$E$1:$F$176,2,FALSE)</f>
        <v xml:space="preserve">612- Une synergie d’actions existe entre les différents départements intervenant en AEA </v>
      </c>
      <c r="AC1981" s="20" t="str">
        <f>D1981 &amp; "-" &amp; VLOOKUP(D1981,[4]STRATEGIES!$E$1:$F$504,2,FALSE)</f>
        <v>6122-Renforcement des capacités de plaidoyer et de suivi des structures en charge de l'AEA</v>
      </c>
      <c r="AD1981" s="21" t="str">
        <f t="shared" si="299"/>
        <v>61223-Renforcement de capacités des acteurs en plaidoyer et suivi évaluation des activités d'AENF</v>
      </c>
    </row>
    <row r="1982" spans="1:30" ht="45.75" hidden="1" x14ac:dyDescent="0.8">
      <c r="A1982" s="25">
        <v>6</v>
      </c>
      <c r="B1982" s="16">
        <v>61</v>
      </c>
      <c r="C1982" s="16">
        <v>612</v>
      </c>
      <c r="D1982" s="74">
        <v>6122</v>
      </c>
      <c r="E1982" s="25">
        <v>61224</v>
      </c>
      <c r="F1982" s="16" t="s">
        <v>2449</v>
      </c>
      <c r="G1982" s="21" t="s">
        <v>451</v>
      </c>
      <c r="H1982" s="21" t="s">
        <v>816</v>
      </c>
      <c r="I1982" s="57">
        <v>0</v>
      </c>
      <c r="J1982" s="57"/>
      <c r="K1982" s="57">
        <f>2000</f>
        <v>2000</v>
      </c>
      <c r="L1982" s="57"/>
      <c r="M1982" s="57">
        <f t="shared" si="300"/>
        <v>2000</v>
      </c>
      <c r="N1982" s="57">
        <f>IF(OR(H1982="",H1982="sif",H1982="PM"),0,VLOOKUP(H1982,[5]CU!$C$4:$H$255,6,FALSE))</f>
        <v>7.4999999999999997E-3</v>
      </c>
      <c r="O1982" s="57">
        <f t="shared" si="305"/>
        <v>0</v>
      </c>
      <c r="P1982" s="57">
        <f t="shared" si="305"/>
        <v>0</v>
      </c>
      <c r="Q1982" s="57">
        <f t="shared" si="305"/>
        <v>15</v>
      </c>
      <c r="R1982" s="57">
        <f t="shared" si="305"/>
        <v>0</v>
      </c>
      <c r="S1982" s="57">
        <f t="shared" si="306"/>
        <v>15</v>
      </c>
      <c r="T1982" s="38" t="s">
        <v>169</v>
      </c>
      <c r="U1982" s="19" t="s">
        <v>330</v>
      </c>
      <c r="V1982" s="19" t="str">
        <f>IF(OR($H1982="",$H1982="sif",$H1982="PM"),"",VLOOKUP($H1982,[5]CU!$C$5:$J$255,8,FALSE))</f>
        <v>3. Dépenses de fonctionnement</v>
      </c>
      <c r="W1982" s="19" t="s">
        <v>331</v>
      </c>
      <c r="X1982" s="19" t="s">
        <v>331</v>
      </c>
      <c r="Y1982" s="19" t="s">
        <v>32</v>
      </c>
      <c r="Z1982" s="19" t="str">
        <f>A1982 &amp; "-" &amp; VLOOKUP(A1982,[4]PROGRAMMES!$E$1:$F$7,2,FALSE)</f>
        <v>6-Education et alphabétisation des adultes</v>
      </c>
      <c r="AA1982" s="19" t="str">
        <f>B1982 &amp; "-" &amp; VLOOKUP(B1982,[4]SOUSPROGRAMMES!$E$1:$F$44,2,FALSE)</f>
        <v>61-Mobilisation sociale pour l’accroissement des financements de l’AEA</v>
      </c>
      <c r="AB1982" s="19" t="str">
        <f>C1982 &amp; "-" &amp; VLOOKUP(C1982,[4]RESULTATS!$E$1:$F$176,2,FALSE)</f>
        <v xml:space="preserve">612- Une synergie d’actions existe entre les différents départements intervenant en AEA </v>
      </c>
      <c r="AC1982" s="20" t="str">
        <f>D1982 &amp; "-" &amp; VLOOKUP(D1982,[4]STRATEGIES!$E$1:$F$504,2,FALSE)</f>
        <v>6122-Renforcement des capacités de plaidoyer et de suivi des structures en charge de l'AEA</v>
      </c>
      <c r="AD1982" s="21" t="str">
        <f t="shared" si="299"/>
        <v>61224-Vulgarisation des manuels de procédures</v>
      </c>
    </row>
    <row r="1983" spans="1:30" ht="45.75" hidden="1" x14ac:dyDescent="0.8">
      <c r="A1983" s="25">
        <v>6</v>
      </c>
      <c r="B1983" s="16">
        <v>61</v>
      </c>
      <c r="C1983" s="16">
        <v>612</v>
      </c>
      <c r="D1983" s="74">
        <v>6122</v>
      </c>
      <c r="E1983" s="25">
        <v>61225</v>
      </c>
      <c r="F1983" s="16" t="s">
        <v>2450</v>
      </c>
      <c r="G1983" s="21" t="s">
        <v>298</v>
      </c>
      <c r="H1983" s="21" t="s">
        <v>301</v>
      </c>
      <c r="I1983" s="57">
        <v>0</v>
      </c>
      <c r="J1983" s="57"/>
      <c r="K1983" s="57">
        <f>12*2*8</f>
        <v>192</v>
      </c>
      <c r="L1983" s="57"/>
      <c r="M1983" s="57">
        <f t="shared" si="300"/>
        <v>192</v>
      </c>
      <c r="N1983" s="57">
        <f>IF(OR(H1983="",H1983="sif",H1983="PM"),0,VLOOKUP(H1983,[5]CU!$C$4:$H$255,6,FALSE))</f>
        <v>0.67666666666666664</v>
      </c>
      <c r="O1983" s="57">
        <f t="shared" si="305"/>
        <v>0</v>
      </c>
      <c r="P1983" s="57">
        <f t="shared" si="305"/>
        <v>0</v>
      </c>
      <c r="Q1983" s="57">
        <f t="shared" si="305"/>
        <v>129.91999999999999</v>
      </c>
      <c r="R1983" s="57">
        <f t="shared" si="305"/>
        <v>0</v>
      </c>
      <c r="S1983" s="57">
        <f t="shared" si="306"/>
        <v>129.91999999999999</v>
      </c>
      <c r="T1983" s="38" t="s">
        <v>169</v>
      </c>
      <c r="U1983" s="19" t="s">
        <v>330</v>
      </c>
      <c r="V1983" s="19" t="str">
        <f>IF(OR($H1983="",$H1983="sif",$H1983="PM"),"",VLOOKUP($H1983,[5]CU!$C$5:$J$255,8,FALSE))</f>
        <v>3. Formation</v>
      </c>
      <c r="W1983" s="19" t="s">
        <v>331</v>
      </c>
      <c r="X1983" s="19" t="s">
        <v>2451</v>
      </c>
      <c r="Y1983" s="19" t="s">
        <v>32</v>
      </c>
      <c r="Z1983" s="19" t="str">
        <f>A1983 &amp; "-" &amp; VLOOKUP(A1983,[4]PROGRAMMES!$E$1:$F$7,2,FALSE)</f>
        <v>6-Education et alphabétisation des adultes</v>
      </c>
      <c r="AA1983" s="19" t="str">
        <f>B1983 &amp; "-" &amp; VLOOKUP(B1983,[4]SOUSPROGRAMMES!$E$1:$F$44,2,FALSE)</f>
        <v>61-Mobilisation sociale pour l’accroissement des financements de l’AEA</v>
      </c>
      <c r="AB1983" s="19" t="str">
        <f>C1983 &amp; "-" &amp; VLOOKUP(C1983,[4]RESULTATS!$E$1:$F$176,2,FALSE)</f>
        <v xml:space="preserve">612- Une synergie d’actions existe entre les différents départements intervenant en AEA </v>
      </c>
      <c r="AC1983" s="20" t="str">
        <f>D1983 &amp; "-" &amp; VLOOKUP(D1983,[4]STRATEGIES!$E$1:$F$504,2,FALSE)</f>
        <v>6122-Renforcement des capacités de plaidoyer et de suivi des structures en charge de l'AEA</v>
      </c>
      <c r="AD1983" s="21" t="str">
        <f t="shared" si="299"/>
        <v>61225-Démultiplication de la formation au niveau des acteurs</v>
      </c>
    </row>
    <row r="1984" spans="1:30" ht="45.75" hidden="1" x14ac:dyDescent="0.8">
      <c r="A1984" s="25">
        <v>6</v>
      </c>
      <c r="B1984" s="16">
        <v>61</v>
      </c>
      <c r="C1984" s="16">
        <v>612</v>
      </c>
      <c r="D1984" s="74">
        <v>6122</v>
      </c>
      <c r="E1984" s="25">
        <v>61226</v>
      </c>
      <c r="F1984" s="16" t="s">
        <v>2452</v>
      </c>
      <c r="G1984" s="21" t="s">
        <v>1128</v>
      </c>
      <c r="H1984" s="21" t="s">
        <v>59</v>
      </c>
      <c r="I1984" s="57">
        <v>0</v>
      </c>
      <c r="J1984" s="57"/>
      <c r="K1984" s="57">
        <f>12*5*8</f>
        <v>480</v>
      </c>
      <c r="L1984" s="57"/>
      <c r="M1984" s="57">
        <f t="shared" si="300"/>
        <v>480</v>
      </c>
      <c r="N1984" s="57">
        <f>IF(OR(H1984="",H1984="sif",H1984="PM"),0,VLOOKUP(H1984,[5]CU!$C$4:$H$255,6,FALSE))</f>
        <v>0.8177777777777776</v>
      </c>
      <c r="O1984" s="57">
        <f t="shared" si="305"/>
        <v>0</v>
      </c>
      <c r="P1984" s="57">
        <f t="shared" si="305"/>
        <v>0</v>
      </c>
      <c r="Q1984" s="57">
        <f t="shared" si="305"/>
        <v>392.53333333333325</v>
      </c>
      <c r="R1984" s="57">
        <f t="shared" si="305"/>
        <v>0</v>
      </c>
      <c r="S1984" s="57">
        <f t="shared" si="306"/>
        <v>392.53333333333325</v>
      </c>
      <c r="T1984" s="38" t="s">
        <v>169</v>
      </c>
      <c r="U1984" s="19" t="s">
        <v>330</v>
      </c>
      <c r="V1984" s="19" t="str">
        <f>IF(OR($H1984="",$H1984="sif",$H1984="PM"),"",VLOOKUP($H1984,[5]CU!$C$5:$J$255,8,FALSE))</f>
        <v>3. Dépenses de fonctionnement</v>
      </c>
      <c r="W1984" s="19" t="s">
        <v>331</v>
      </c>
      <c r="X1984" s="19" t="s">
        <v>2451</v>
      </c>
      <c r="Y1984" s="19" t="s">
        <v>32</v>
      </c>
      <c r="Z1984" s="19" t="str">
        <f>A1984 &amp; "-" &amp; VLOOKUP(A1984,[4]PROGRAMMES!$E$1:$F$7,2,FALSE)</f>
        <v>6-Education et alphabétisation des adultes</v>
      </c>
      <c r="AA1984" s="19" t="str">
        <f>B1984 &amp; "-" &amp; VLOOKUP(B1984,[4]SOUSPROGRAMMES!$E$1:$F$44,2,FALSE)</f>
        <v>61-Mobilisation sociale pour l’accroissement des financements de l’AEA</v>
      </c>
      <c r="AB1984" s="19" t="str">
        <f>C1984 &amp; "-" &amp; VLOOKUP(C1984,[4]RESULTATS!$E$1:$F$176,2,FALSE)</f>
        <v xml:space="preserve">612- Une synergie d’actions existe entre les différents départements intervenant en AEA </v>
      </c>
      <c r="AC1984" s="20" t="str">
        <f>D1984 &amp; "-" &amp; VLOOKUP(D1984,[4]STRATEGIES!$E$1:$F$504,2,FALSE)</f>
        <v>6122-Renforcement des capacités de plaidoyer et de suivi des structures en charge de l'AEA</v>
      </c>
      <c r="AD1984" s="21" t="str">
        <f t="shared" si="299"/>
        <v>61226-déploiement des acteurs formés sur le terrain pour le plaidoyer</v>
      </c>
    </row>
    <row r="1985" spans="1:30" s="22" customFormat="1" ht="45.75" x14ac:dyDescent="0.8">
      <c r="A1985" s="14">
        <v>6</v>
      </c>
      <c r="B1985" s="15">
        <v>62</v>
      </c>
      <c r="C1985" s="15">
        <v>62</v>
      </c>
      <c r="D1985" s="74">
        <v>62</v>
      </c>
      <c r="E1985" s="14">
        <v>62</v>
      </c>
      <c r="F1985" s="16" t="s">
        <v>2453</v>
      </c>
      <c r="G1985" s="17"/>
      <c r="H1985" s="17"/>
      <c r="I1985" s="56">
        <v>0</v>
      </c>
      <c r="J1985" s="56"/>
      <c r="K1985" s="56"/>
      <c r="L1985" s="56"/>
      <c r="M1985" s="56"/>
      <c r="N1985" s="56"/>
      <c r="O1985" s="56"/>
      <c r="P1985" s="56"/>
      <c r="Q1985" s="56"/>
      <c r="R1985" s="56"/>
      <c r="S1985" s="56"/>
      <c r="T1985" s="33"/>
      <c r="U1985" s="18"/>
      <c r="V1985" s="19"/>
      <c r="W1985" s="18"/>
      <c r="X1985" s="18"/>
      <c r="Y1985" s="18"/>
      <c r="Z1985" s="19" t="str">
        <f>A1985 &amp; "-" &amp; VLOOKUP(A1985,[4]PROGRAMMES!$E$1:$F$7,2,FALSE)</f>
        <v>6-Education et alphabétisation des adultes</v>
      </c>
      <c r="AA1985" s="19" t="str">
        <f>B1985 &amp; "-" &amp; VLOOKUP(B1985,[4]SOUSPROGRAMMES!$E$1:$F$44,2,FALSE)</f>
        <v>62- Diversification des approches pour un plus grand accès équitable (modèles, des types de  centres )</v>
      </c>
      <c r="AB1985" s="19" t="str">
        <f>C1985 &amp; "-" &amp; VLOOKUP(C1985,[4]RESULTATS!$E$1:$F$176,2,FALSE)</f>
        <v>62- Diversification des approches pour un plus grand accès équitable (modèles, des types de  centres )</v>
      </c>
      <c r="AC1985" s="20" t="str">
        <f>D1985 &amp; "-" &amp; VLOOKUP(D1985,[4]STRATEGIES!$E$1:$F$504,2,FALSE)</f>
        <v>62- Diversification des approches pour un plus grand accès équitable (modèles, des types de  centres )</v>
      </c>
      <c r="AD1985" s="21" t="str">
        <f t="shared" si="299"/>
        <v>62- Diversification des approches pour un plus grand accès équitable (modèles, des types de  centres )</v>
      </c>
    </row>
    <row r="1986" spans="1:30" s="22" customFormat="1" ht="45.75" x14ac:dyDescent="0.8">
      <c r="A1986" s="14">
        <v>6</v>
      </c>
      <c r="B1986" s="15">
        <v>62</v>
      </c>
      <c r="C1986" s="15">
        <v>621</v>
      </c>
      <c r="D1986" s="74">
        <v>621</v>
      </c>
      <c r="E1986" s="14">
        <v>621</v>
      </c>
      <c r="F1986" s="16" t="s">
        <v>2454</v>
      </c>
      <c r="G1986" s="17"/>
      <c r="H1986" s="17"/>
      <c r="I1986" s="56">
        <v>0</v>
      </c>
      <c r="J1986" s="56"/>
      <c r="K1986" s="56"/>
      <c r="L1986" s="56"/>
      <c r="M1986" s="56"/>
      <c r="N1986" s="56"/>
      <c r="O1986" s="56"/>
      <c r="P1986" s="56"/>
      <c r="Q1986" s="56"/>
      <c r="R1986" s="56"/>
      <c r="S1986" s="56"/>
      <c r="T1986" s="33"/>
      <c r="U1986" s="18"/>
      <c r="V1986" s="19"/>
      <c r="W1986" s="18"/>
      <c r="X1986" s="18"/>
      <c r="Y1986" s="18"/>
      <c r="Z1986" s="19" t="str">
        <f>A1986 &amp; "-" &amp; VLOOKUP(A1986,[4]PROGRAMMES!$E$1:$F$7,2,FALSE)</f>
        <v>6-Education et alphabétisation des adultes</v>
      </c>
      <c r="AA1986" s="19" t="str">
        <f>B1986 &amp; "-" &amp; VLOOKUP(B1986,[4]SOUSPROGRAMMES!$E$1:$F$44,2,FALSE)</f>
        <v>62- Diversification des approches pour un plus grand accès équitable (modèles, des types de  centres )</v>
      </c>
      <c r="AB1986" s="19" t="str">
        <f>C1986 &amp; "-" &amp; VLOOKUP(C1986,[4]RESULTATS!$E$1:$F$176,2,FALSE)</f>
        <v>621-Plusieurs approches et modèles sont identifiées, validées et développées dans l’AEA</v>
      </c>
      <c r="AC1986" s="20" t="str">
        <f>D1986 &amp; "-" &amp; VLOOKUP(D1986,[4]STRATEGIES!$E$1:$F$504,2,FALSE)</f>
        <v>621-Plusieurs approches et modèles sont identifiées, validées et développées dans l’AEA</v>
      </c>
      <c r="AD1986" s="21" t="str">
        <f t="shared" si="299"/>
        <v>621-Plusieurs approches et modèles sont identifiées, validées et développées dans l’AEA</v>
      </c>
    </row>
    <row r="1987" spans="1:30" s="22" customFormat="1" ht="45.75" x14ac:dyDescent="0.8">
      <c r="A1987" s="14">
        <v>6</v>
      </c>
      <c r="B1987" s="15">
        <v>62</v>
      </c>
      <c r="C1987" s="15">
        <v>621</v>
      </c>
      <c r="D1987" s="74">
        <v>6211</v>
      </c>
      <c r="E1987" s="14">
        <v>6211</v>
      </c>
      <c r="F1987" s="16" t="s">
        <v>2455</v>
      </c>
      <c r="G1987" s="17"/>
      <c r="H1987" s="17"/>
      <c r="I1987" s="56">
        <v>0</v>
      </c>
      <c r="J1987" s="56"/>
      <c r="K1987" s="56"/>
      <c r="L1987" s="56"/>
      <c r="M1987" s="56"/>
      <c r="N1987" s="56"/>
      <c r="O1987" s="56"/>
      <c r="P1987" s="56"/>
      <c r="Q1987" s="56"/>
      <c r="R1987" s="56"/>
      <c r="S1987" s="56"/>
      <c r="T1987" s="33"/>
      <c r="U1987" s="18"/>
      <c r="V1987" s="19"/>
      <c r="W1987" s="18"/>
      <c r="X1987" s="18"/>
      <c r="Y1987" s="18"/>
      <c r="Z1987" s="19" t="str">
        <f>A1987 &amp; "-" &amp; VLOOKUP(A1987,[4]PROGRAMMES!$E$1:$F$7,2,FALSE)</f>
        <v>6-Education et alphabétisation des adultes</v>
      </c>
      <c r="AA1987" s="19" t="str">
        <f>B1987 &amp; "-" &amp; VLOOKUP(B1987,[4]SOUSPROGRAMMES!$E$1:$F$44,2,FALSE)</f>
        <v>62- Diversification des approches pour un plus grand accès équitable (modèles, des types de  centres )</v>
      </c>
      <c r="AB1987" s="19" t="str">
        <f>C1987 &amp; "-" &amp; VLOOKUP(C1987,[4]RESULTATS!$E$1:$F$176,2,FALSE)</f>
        <v>621-Plusieurs approches et modèles sont identifiées, validées et développées dans l’AEA</v>
      </c>
      <c r="AC1987" s="20" t="str">
        <f>D1987 &amp; "-" &amp; VLOOKUP(D1987,[4]STRATEGIES!$E$1:$F$504,2,FALSE)</f>
        <v>6211-Renforcement des capacités des acteurs sur les nouvelles approches</v>
      </c>
      <c r="AD1987" s="21" t="str">
        <f t="shared" si="299"/>
        <v>6211-Renforcement des capacités des acteurs sur les nouvelles approches</v>
      </c>
    </row>
    <row r="1988" spans="1:30" s="22" customFormat="1" ht="45.75" hidden="1" x14ac:dyDescent="0.8">
      <c r="A1988" s="14">
        <v>6</v>
      </c>
      <c r="B1988" s="15">
        <v>62</v>
      </c>
      <c r="C1988" s="15">
        <v>621</v>
      </c>
      <c r="D1988" s="74">
        <v>6211</v>
      </c>
      <c r="E1988" s="14">
        <v>62111</v>
      </c>
      <c r="F1988" s="16" t="s">
        <v>2456</v>
      </c>
      <c r="G1988" s="21" t="s">
        <v>1128</v>
      </c>
      <c r="H1988" s="17" t="s">
        <v>59</v>
      </c>
      <c r="I1988" s="56">
        <v>0</v>
      </c>
      <c r="J1988" s="56">
        <f>(4*7*2)*80.01%</f>
        <v>44.805599999999998</v>
      </c>
      <c r="K1988" s="56">
        <f>(4*7*2)*80.01%</f>
        <v>44.805599999999998</v>
      </c>
      <c r="L1988" s="56">
        <f>(4*7*2)*80.01%</f>
        <v>44.805599999999998</v>
      </c>
      <c r="M1988" s="56">
        <f>SUM(I1988:L1988)</f>
        <v>134.41679999999999</v>
      </c>
      <c r="N1988" s="56">
        <f>IF(OR(H1988="",H1988="sif",H1988="PM"),0,VLOOKUP(H1988,[5]CU!$C$4:$H$255,6,FALSE))</f>
        <v>0.8177777777777776</v>
      </c>
      <c r="O1988" s="56">
        <f>$N1988*I1988</f>
        <v>0</v>
      </c>
      <c r="P1988" s="56">
        <f>$N1988*J1988</f>
        <v>36.641023999999987</v>
      </c>
      <c r="Q1988" s="56">
        <f>$N1988*K1988</f>
        <v>36.641023999999987</v>
      </c>
      <c r="R1988" s="56">
        <f>$N1988*L1988</f>
        <v>36.641023999999987</v>
      </c>
      <c r="S1988" s="56">
        <f>SUM(O1988:R1988)</f>
        <v>109.92307199999996</v>
      </c>
      <c r="T1988" s="35" t="s">
        <v>56</v>
      </c>
      <c r="U1988" s="18" t="s">
        <v>330</v>
      </c>
      <c r="V1988" s="19" t="str">
        <f>IF(OR($H1988="",$H1988="sif",$H1988="PM"),"",VLOOKUP($H1988,[5]CU!$C$5:$J$255,8,FALSE))</f>
        <v>3. Dépenses de fonctionnement</v>
      </c>
      <c r="W1988" s="18" t="s">
        <v>331</v>
      </c>
      <c r="X1988" s="18" t="s">
        <v>2457</v>
      </c>
      <c r="Y1988" s="19" t="s">
        <v>32</v>
      </c>
      <c r="Z1988" s="19" t="str">
        <f>A1988 &amp; "-" &amp; VLOOKUP(A1988,[4]PROGRAMMES!$E$1:$F$7,2,FALSE)</f>
        <v>6-Education et alphabétisation des adultes</v>
      </c>
      <c r="AA1988" s="19" t="str">
        <f>B1988 &amp; "-" &amp; VLOOKUP(B1988,[4]SOUSPROGRAMMES!$E$1:$F$44,2,FALSE)</f>
        <v>62- Diversification des approches pour un plus grand accès équitable (modèles, des types de  centres )</v>
      </c>
      <c r="AB1988" s="19" t="str">
        <f>C1988 &amp; "-" &amp; VLOOKUP(C1988,[4]RESULTATS!$E$1:$F$176,2,FALSE)</f>
        <v>621-Plusieurs approches et modèles sont identifiées, validées et développées dans l’AEA</v>
      </c>
      <c r="AC1988" s="20" t="str">
        <f>D1988 &amp; "-" &amp; VLOOKUP(D1988,[4]STRATEGIES!$E$1:$F$504,2,FALSE)</f>
        <v>6211-Renforcement des capacités des acteurs sur les nouvelles approches</v>
      </c>
      <c r="AD1988" s="21" t="str">
        <f t="shared" si="299"/>
        <v>62111-identification des opérateurs (dans le cadre de l'étude du milieu)</v>
      </c>
    </row>
    <row r="1989" spans="1:30" s="22" customFormat="1" ht="45.75" x14ac:dyDescent="0.8">
      <c r="A1989" s="14">
        <v>6</v>
      </c>
      <c r="B1989" s="15">
        <v>62</v>
      </c>
      <c r="C1989" s="15">
        <v>621</v>
      </c>
      <c r="D1989" s="74">
        <v>6211</v>
      </c>
      <c r="E1989" s="14">
        <v>62111</v>
      </c>
      <c r="F1989" s="16" t="s">
        <v>2456</v>
      </c>
      <c r="G1989" s="21" t="s">
        <v>1128</v>
      </c>
      <c r="H1989" s="17" t="s">
        <v>59</v>
      </c>
      <c r="I1989" s="56">
        <v>0</v>
      </c>
      <c r="J1989" s="56">
        <f>(4*7*2)*19.99%</f>
        <v>11.1944</v>
      </c>
      <c r="K1989" s="56">
        <f>(4*7*2)*19.99%</f>
        <v>11.1944</v>
      </c>
      <c r="L1989" s="56">
        <f>(4*7*2)*19.99%</f>
        <v>11.1944</v>
      </c>
      <c r="M1989" s="56">
        <f t="shared" si="300"/>
        <v>33.583199999999998</v>
      </c>
      <c r="N1989" s="56">
        <f>IF(OR(H1989="",H1989="sif",H1989="PM"),0,VLOOKUP(H1989,[5]CU!$C$4:$H$255,6,FALSE))</f>
        <v>0.8177777777777776</v>
      </c>
      <c r="O1989" s="56">
        <f t="shared" si="305"/>
        <v>0</v>
      </c>
      <c r="P1989" s="56">
        <f t="shared" si="305"/>
        <v>9.154531555555554</v>
      </c>
      <c r="Q1989" s="56">
        <f t="shared" si="305"/>
        <v>9.154531555555554</v>
      </c>
      <c r="R1989" s="56">
        <f t="shared" si="305"/>
        <v>9.154531555555554</v>
      </c>
      <c r="S1989" s="56">
        <f t="shared" si="306"/>
        <v>27.463594666666662</v>
      </c>
      <c r="T1989" s="35" t="s">
        <v>118</v>
      </c>
      <c r="U1989" s="18" t="s">
        <v>330</v>
      </c>
      <c r="V1989" s="19" t="str">
        <f>IF(OR($H1989="",$H1989="sif",$H1989="PM"),"",VLOOKUP($H1989,[5]CU!$C$5:$J$255,8,FALSE))</f>
        <v>3. Dépenses de fonctionnement</v>
      </c>
      <c r="W1989" s="18" t="s">
        <v>331</v>
      </c>
      <c r="X1989" s="18" t="s">
        <v>2457</v>
      </c>
      <c r="Y1989" s="19" t="s">
        <v>32</v>
      </c>
      <c r="Z1989" s="19" t="str">
        <f>A1989 &amp; "-" &amp; VLOOKUP(A1989,[4]PROGRAMMES!$E$1:$F$7,2,FALSE)</f>
        <v>6-Education et alphabétisation des adultes</v>
      </c>
      <c r="AA1989" s="19" t="str">
        <f>B1989 &amp; "-" &amp; VLOOKUP(B1989,[4]SOUSPROGRAMMES!$E$1:$F$44,2,FALSE)</f>
        <v>62- Diversification des approches pour un plus grand accès équitable (modèles, des types de  centres )</v>
      </c>
      <c r="AB1989" s="19" t="str">
        <f>C1989 &amp; "-" &amp; VLOOKUP(C1989,[4]RESULTATS!$E$1:$F$176,2,FALSE)</f>
        <v>621-Plusieurs approches et modèles sont identifiées, validées et développées dans l’AEA</v>
      </c>
      <c r="AC1989" s="20" t="str">
        <f>D1989 &amp; "-" &amp; VLOOKUP(D1989,[4]STRATEGIES!$E$1:$F$504,2,FALSE)</f>
        <v>6211-Renforcement des capacités des acteurs sur les nouvelles approches</v>
      </c>
      <c r="AD1989" s="21" t="str">
        <f t="shared" si="299"/>
        <v>62111-identification des opérateurs (dans le cadre de l'étude du milieu)</v>
      </c>
    </row>
    <row r="1990" spans="1:30" s="22" customFormat="1" ht="45.75" hidden="1" x14ac:dyDescent="0.8">
      <c r="A1990" s="14">
        <v>6</v>
      </c>
      <c r="B1990" s="15">
        <v>62</v>
      </c>
      <c r="C1990" s="15">
        <v>621</v>
      </c>
      <c r="D1990" s="74">
        <v>6211</v>
      </c>
      <c r="E1990" s="14">
        <v>62112</v>
      </c>
      <c r="F1990" s="16" t="s">
        <v>2458</v>
      </c>
      <c r="G1990" s="21" t="s">
        <v>298</v>
      </c>
      <c r="H1990" s="17" t="s">
        <v>66</v>
      </c>
      <c r="I1990" s="56">
        <v>0</v>
      </c>
      <c r="J1990" s="56">
        <f>15*4*1</f>
        <v>60</v>
      </c>
      <c r="K1990" s="56"/>
      <c r="L1990" s="56">
        <f>15*4*1</f>
        <v>60</v>
      </c>
      <c r="M1990" s="56">
        <f t="shared" si="300"/>
        <v>120</v>
      </c>
      <c r="N1990" s="56">
        <f>IF(OR(H1990="",H1990="sif",H1990="PM"),0,VLOOKUP(H1990,[5]CU!$C$4:$H$255,6,FALSE))</f>
        <v>0.255</v>
      </c>
      <c r="O1990" s="56">
        <f t="shared" si="305"/>
        <v>0</v>
      </c>
      <c r="P1990" s="56">
        <f t="shared" si="305"/>
        <v>15.3</v>
      </c>
      <c r="Q1990" s="56">
        <f t="shared" si="305"/>
        <v>0</v>
      </c>
      <c r="R1990" s="56">
        <f t="shared" si="305"/>
        <v>15.3</v>
      </c>
      <c r="S1990" s="56">
        <f t="shared" si="306"/>
        <v>30.6</v>
      </c>
      <c r="T1990" s="35" t="s">
        <v>56</v>
      </c>
      <c r="U1990" s="18" t="s">
        <v>330</v>
      </c>
      <c r="V1990" s="19" t="str">
        <f>IF(OR($H1990="",$H1990="sif",$H1990="PM"),"",VLOOKUP($H1990,[5]CU!$C$5:$J$255,8,FALSE))</f>
        <v>3. Dépenses de fonctionnement</v>
      </c>
      <c r="W1990" s="18" t="s">
        <v>331</v>
      </c>
      <c r="X1990" s="18" t="s">
        <v>331</v>
      </c>
      <c r="Y1990" s="19" t="s">
        <v>32</v>
      </c>
      <c r="Z1990" s="19" t="str">
        <f>A1990 &amp; "-" &amp; VLOOKUP(A1990,[4]PROGRAMMES!$E$1:$F$7,2,FALSE)</f>
        <v>6-Education et alphabétisation des adultes</v>
      </c>
      <c r="AA1990" s="19" t="str">
        <f>B1990 &amp; "-" &amp; VLOOKUP(B1990,[4]SOUSPROGRAMMES!$E$1:$F$44,2,FALSE)</f>
        <v>62- Diversification des approches pour un plus grand accès équitable (modèles, des types de  centres )</v>
      </c>
      <c r="AB1990" s="19" t="str">
        <f>C1990 &amp; "-" &amp; VLOOKUP(C1990,[4]RESULTATS!$E$1:$F$176,2,FALSE)</f>
        <v>621-Plusieurs approches et modèles sont identifiées, validées et développées dans l’AEA</v>
      </c>
      <c r="AC1990" s="20" t="str">
        <f>D1990 &amp; "-" &amp; VLOOKUP(D1990,[4]STRATEGIES!$E$1:$F$504,2,FALSE)</f>
        <v>6211-Renforcement des capacités des acteurs sur les nouvelles approches</v>
      </c>
      <c r="AD1990" s="21" t="str">
        <f t="shared" si="299"/>
        <v xml:space="preserve">62112-identification des approches </v>
      </c>
    </row>
    <row r="1991" spans="1:30" s="22" customFormat="1" ht="45.75" hidden="1" x14ac:dyDescent="0.8">
      <c r="A1991" s="14">
        <v>6</v>
      </c>
      <c r="B1991" s="15">
        <v>62</v>
      </c>
      <c r="C1991" s="15">
        <v>621</v>
      </c>
      <c r="D1991" s="74">
        <v>6211</v>
      </c>
      <c r="E1991" s="14">
        <v>62113</v>
      </c>
      <c r="F1991" s="16" t="s">
        <v>2459</v>
      </c>
      <c r="G1991" s="21" t="s">
        <v>298</v>
      </c>
      <c r="H1991" s="17" t="s">
        <v>301</v>
      </c>
      <c r="I1991" s="56">
        <v>0</v>
      </c>
      <c r="J1991" s="56"/>
      <c r="K1991" s="56">
        <f>(35*5*2)*80.01%</f>
        <v>280.03500000000003</v>
      </c>
      <c r="L1991" s="56"/>
      <c r="M1991" s="56">
        <f>SUM(I1991:L1991)</f>
        <v>280.03500000000003</v>
      </c>
      <c r="N1991" s="56">
        <f>IF(OR(H1991="",H1991="sif",H1991="PM"),0,VLOOKUP(H1991,[5]CU!$C$4:$H$255,6,FALSE))</f>
        <v>0.67666666666666664</v>
      </c>
      <c r="O1991" s="56">
        <f>$N1991*I1991</f>
        <v>0</v>
      </c>
      <c r="P1991" s="56">
        <f>$N1991*J1991</f>
        <v>0</v>
      </c>
      <c r="Q1991" s="56">
        <f>$N1991*K1991</f>
        <v>189.49035000000001</v>
      </c>
      <c r="R1991" s="56">
        <f>$N1991*L1991</f>
        <v>0</v>
      </c>
      <c r="S1991" s="56">
        <f>SUM(O1991:R1991)</f>
        <v>189.49035000000001</v>
      </c>
      <c r="T1991" s="35" t="s">
        <v>56</v>
      </c>
      <c r="U1991" s="18" t="s">
        <v>330</v>
      </c>
      <c r="V1991" s="19" t="str">
        <f>IF(OR($H1991="",$H1991="sif",$H1991="PM"),"",VLOOKUP($H1991,[5]CU!$C$5:$J$255,8,FALSE))</f>
        <v>3. Formation</v>
      </c>
      <c r="W1991" s="18" t="s">
        <v>331</v>
      </c>
      <c r="X1991" s="18" t="s">
        <v>331</v>
      </c>
      <c r="Y1991" s="19" t="s">
        <v>32</v>
      </c>
      <c r="Z1991" s="19" t="str">
        <f>A1991 &amp; "-" &amp; VLOOKUP(A1991,[4]PROGRAMMES!$E$1:$F$7,2,FALSE)</f>
        <v>6-Education et alphabétisation des adultes</v>
      </c>
      <c r="AA1991" s="19" t="str">
        <f>B1991 &amp; "-" &amp; VLOOKUP(B1991,[4]SOUSPROGRAMMES!$E$1:$F$44,2,FALSE)</f>
        <v>62- Diversification des approches pour un plus grand accès équitable (modèles, des types de  centres )</v>
      </c>
      <c r="AB1991" s="19" t="str">
        <f>C1991 &amp; "-" &amp; VLOOKUP(C1991,[4]RESULTATS!$E$1:$F$176,2,FALSE)</f>
        <v>621-Plusieurs approches et modèles sont identifiées, validées et développées dans l’AEA</v>
      </c>
      <c r="AC1991" s="20" t="str">
        <f>D1991 &amp; "-" &amp; VLOOKUP(D1991,[4]STRATEGIES!$E$1:$F$504,2,FALSE)</f>
        <v>6211-Renforcement des capacités des acteurs sur les nouvelles approches</v>
      </c>
      <c r="AD1991" s="21" t="str">
        <f t="shared" ref="AD1991:AD2054" si="307">E1991 &amp; "-" &amp; F1991</f>
        <v>62113-formation des formateurs aux nouvelles approches</v>
      </c>
    </row>
    <row r="1992" spans="1:30" s="22" customFormat="1" ht="45.75" x14ac:dyDescent="0.8">
      <c r="A1992" s="14">
        <v>6</v>
      </c>
      <c r="B1992" s="15">
        <v>62</v>
      </c>
      <c r="C1992" s="15">
        <v>621</v>
      </c>
      <c r="D1992" s="74">
        <v>6211</v>
      </c>
      <c r="E1992" s="14">
        <v>62113</v>
      </c>
      <c r="F1992" s="16" t="s">
        <v>2459</v>
      </c>
      <c r="G1992" s="21" t="s">
        <v>298</v>
      </c>
      <c r="H1992" s="17" t="s">
        <v>301</v>
      </c>
      <c r="I1992" s="56">
        <v>0</v>
      </c>
      <c r="J1992" s="56"/>
      <c r="K1992" s="56">
        <f>(35*5*2)*19.99%</f>
        <v>69.965000000000003</v>
      </c>
      <c r="L1992" s="56"/>
      <c r="M1992" s="56">
        <f t="shared" si="300"/>
        <v>69.965000000000003</v>
      </c>
      <c r="N1992" s="56">
        <f>IF(OR(H1992="",H1992="sif",H1992="PM"),0,VLOOKUP(H1992,[5]CU!$C$4:$H$255,6,FALSE))</f>
        <v>0.67666666666666664</v>
      </c>
      <c r="O1992" s="56">
        <f t="shared" si="305"/>
        <v>0</v>
      </c>
      <c r="P1992" s="56">
        <f t="shared" si="305"/>
        <v>0</v>
      </c>
      <c r="Q1992" s="56">
        <f t="shared" si="305"/>
        <v>47.342983333333336</v>
      </c>
      <c r="R1992" s="56">
        <f t="shared" si="305"/>
        <v>0</v>
      </c>
      <c r="S1992" s="56">
        <f t="shared" si="306"/>
        <v>47.342983333333336</v>
      </c>
      <c r="T1992" s="35" t="s">
        <v>118</v>
      </c>
      <c r="U1992" s="18" t="s">
        <v>330</v>
      </c>
      <c r="V1992" s="19" t="str">
        <f>IF(OR($H1992="",$H1992="sif",$H1992="PM"),"",VLOOKUP($H1992,[5]CU!$C$5:$J$255,8,FALSE))</f>
        <v>3. Formation</v>
      </c>
      <c r="W1992" s="18" t="s">
        <v>331</v>
      </c>
      <c r="X1992" s="18" t="s">
        <v>331</v>
      </c>
      <c r="Y1992" s="19" t="s">
        <v>32</v>
      </c>
      <c r="Z1992" s="19" t="str">
        <f>A1992 &amp; "-" &amp; VLOOKUP(A1992,[4]PROGRAMMES!$E$1:$F$7,2,FALSE)</f>
        <v>6-Education et alphabétisation des adultes</v>
      </c>
      <c r="AA1992" s="19" t="str">
        <f>B1992 &amp; "-" &amp; VLOOKUP(B1992,[4]SOUSPROGRAMMES!$E$1:$F$44,2,FALSE)</f>
        <v>62- Diversification des approches pour un plus grand accès équitable (modèles, des types de  centres )</v>
      </c>
      <c r="AB1992" s="19" t="str">
        <f>C1992 &amp; "-" &amp; VLOOKUP(C1992,[4]RESULTATS!$E$1:$F$176,2,FALSE)</f>
        <v>621-Plusieurs approches et modèles sont identifiées, validées et développées dans l’AEA</v>
      </c>
      <c r="AC1992" s="20" t="str">
        <f>D1992 &amp; "-" &amp; VLOOKUP(D1992,[4]STRATEGIES!$E$1:$F$504,2,FALSE)</f>
        <v>6211-Renforcement des capacités des acteurs sur les nouvelles approches</v>
      </c>
      <c r="AD1992" s="21" t="str">
        <f t="shared" si="307"/>
        <v>62113-formation des formateurs aux nouvelles approches</v>
      </c>
    </row>
    <row r="1993" spans="1:30" s="22" customFormat="1" ht="45.75" hidden="1" x14ac:dyDescent="0.8">
      <c r="A1993" s="14">
        <v>6</v>
      </c>
      <c r="B1993" s="15">
        <v>62</v>
      </c>
      <c r="C1993" s="15">
        <v>621</v>
      </c>
      <c r="D1993" s="74">
        <v>6211</v>
      </c>
      <c r="E1993" s="14">
        <v>62114</v>
      </c>
      <c r="F1993" s="16" t="s">
        <v>2460</v>
      </c>
      <c r="G1993" s="21" t="s">
        <v>298</v>
      </c>
      <c r="H1993" s="17" t="s">
        <v>301</v>
      </c>
      <c r="I1993" s="56">
        <v>0</v>
      </c>
      <c r="J1993" s="56"/>
      <c r="K1993" s="56">
        <f>(35*4*3)*80.01%</f>
        <v>336.04200000000003</v>
      </c>
      <c r="L1993" s="56"/>
      <c r="M1993" s="56">
        <f>SUM(I1993:L1993)</f>
        <v>336.04200000000003</v>
      </c>
      <c r="N1993" s="56">
        <f>IF(OR(H1993="",H1993="sif",H1993="PM"),0,VLOOKUP(H1993,[5]CU!$C$4:$H$255,6,FALSE))</f>
        <v>0.67666666666666664</v>
      </c>
      <c r="O1993" s="56">
        <f>$N1993*I1993</f>
        <v>0</v>
      </c>
      <c r="P1993" s="56">
        <f>$N1993*J1993</f>
        <v>0</v>
      </c>
      <c r="Q1993" s="56">
        <f>$N1993*K1993</f>
        <v>227.38842000000002</v>
      </c>
      <c r="R1993" s="56">
        <f>$N1993*L1993</f>
        <v>0</v>
      </c>
      <c r="S1993" s="56">
        <f>SUM(O1993:R1993)</f>
        <v>227.38842000000002</v>
      </c>
      <c r="T1993" s="35" t="s">
        <v>56</v>
      </c>
      <c r="U1993" s="18" t="s">
        <v>330</v>
      </c>
      <c r="V1993" s="19" t="str">
        <f>IF(OR($H1993="",$H1993="sif",$H1993="PM"),"",VLOOKUP($H1993,[5]CU!$C$5:$J$255,8,FALSE))</f>
        <v>3. Formation</v>
      </c>
      <c r="W1993" s="18" t="s">
        <v>331</v>
      </c>
      <c r="X1993" s="18" t="s">
        <v>222</v>
      </c>
      <c r="Y1993" s="19" t="s">
        <v>32</v>
      </c>
      <c r="Z1993" s="19" t="str">
        <f>A1993 &amp; "-" &amp; VLOOKUP(A1993,[4]PROGRAMMES!$E$1:$F$7,2,FALSE)</f>
        <v>6-Education et alphabétisation des adultes</v>
      </c>
      <c r="AA1993" s="19" t="str">
        <f>B1993 &amp; "-" &amp; VLOOKUP(B1993,[4]SOUSPROGRAMMES!$E$1:$F$44,2,FALSE)</f>
        <v>62- Diversification des approches pour un plus grand accès équitable (modèles, des types de  centres )</v>
      </c>
      <c r="AB1993" s="19" t="str">
        <f>C1993 &amp; "-" &amp; VLOOKUP(C1993,[4]RESULTATS!$E$1:$F$176,2,FALSE)</f>
        <v>621-Plusieurs approches et modèles sont identifiées, validées et développées dans l’AEA</v>
      </c>
      <c r="AC1993" s="20" t="str">
        <f>D1993 &amp; "-" &amp; VLOOKUP(D1993,[4]STRATEGIES!$E$1:$F$504,2,FALSE)</f>
        <v>6211-Renforcement des capacités des acteurs sur les nouvelles approches</v>
      </c>
      <c r="AD1993" s="21" t="str">
        <f t="shared" si="307"/>
        <v>62114-démultiplication de la formation au niveau des alphabétiseurs</v>
      </c>
    </row>
    <row r="1994" spans="1:30" s="22" customFormat="1" ht="45.75" x14ac:dyDescent="0.8">
      <c r="A1994" s="14">
        <v>6</v>
      </c>
      <c r="B1994" s="15">
        <v>62</v>
      </c>
      <c r="C1994" s="15">
        <v>621</v>
      </c>
      <c r="D1994" s="74">
        <v>6211</v>
      </c>
      <c r="E1994" s="14">
        <v>62114</v>
      </c>
      <c r="F1994" s="16" t="s">
        <v>2460</v>
      </c>
      <c r="G1994" s="21" t="s">
        <v>298</v>
      </c>
      <c r="H1994" s="17" t="s">
        <v>301</v>
      </c>
      <c r="I1994" s="56">
        <v>0</v>
      </c>
      <c r="J1994" s="56"/>
      <c r="K1994" s="56">
        <f>(35*4*3)*19.99%</f>
        <v>83.957999999999998</v>
      </c>
      <c r="L1994" s="56"/>
      <c r="M1994" s="56">
        <f t="shared" si="300"/>
        <v>83.957999999999998</v>
      </c>
      <c r="N1994" s="56">
        <f>IF(OR(H1994="",H1994="sif",H1994="PM"),0,VLOOKUP(H1994,[5]CU!$C$4:$H$255,6,FALSE))</f>
        <v>0.67666666666666664</v>
      </c>
      <c r="O1994" s="56">
        <f t="shared" si="305"/>
        <v>0</v>
      </c>
      <c r="P1994" s="56">
        <f t="shared" si="305"/>
        <v>0</v>
      </c>
      <c r="Q1994" s="56">
        <f t="shared" si="305"/>
        <v>56.811579999999999</v>
      </c>
      <c r="R1994" s="56">
        <f t="shared" si="305"/>
        <v>0</v>
      </c>
      <c r="S1994" s="56">
        <f t="shared" si="306"/>
        <v>56.811579999999999</v>
      </c>
      <c r="T1994" s="35" t="s">
        <v>118</v>
      </c>
      <c r="U1994" s="18" t="s">
        <v>330</v>
      </c>
      <c r="V1994" s="19" t="str">
        <f>IF(OR($H1994="",$H1994="sif",$H1994="PM"),"",VLOOKUP($H1994,[5]CU!$C$5:$J$255,8,FALSE))</f>
        <v>3. Formation</v>
      </c>
      <c r="W1994" s="18" t="s">
        <v>331</v>
      </c>
      <c r="X1994" s="18" t="s">
        <v>222</v>
      </c>
      <c r="Y1994" s="19" t="s">
        <v>32</v>
      </c>
      <c r="Z1994" s="19" t="str">
        <f>A1994 &amp; "-" &amp; VLOOKUP(A1994,[4]PROGRAMMES!$E$1:$F$7,2,FALSE)</f>
        <v>6-Education et alphabétisation des adultes</v>
      </c>
      <c r="AA1994" s="19" t="str">
        <f>B1994 &amp; "-" &amp; VLOOKUP(B1994,[4]SOUSPROGRAMMES!$E$1:$F$44,2,FALSE)</f>
        <v>62- Diversification des approches pour un plus grand accès équitable (modèles, des types de  centres )</v>
      </c>
      <c r="AB1994" s="19" t="str">
        <f>C1994 &amp; "-" &amp; VLOOKUP(C1994,[4]RESULTATS!$E$1:$F$176,2,FALSE)</f>
        <v>621-Plusieurs approches et modèles sont identifiées, validées et développées dans l’AEA</v>
      </c>
      <c r="AC1994" s="20" t="str">
        <f>D1994 &amp; "-" &amp; VLOOKUP(D1994,[4]STRATEGIES!$E$1:$F$504,2,FALSE)</f>
        <v>6211-Renforcement des capacités des acteurs sur les nouvelles approches</v>
      </c>
      <c r="AD1994" s="21" t="str">
        <f t="shared" si="307"/>
        <v>62114-démultiplication de la formation au niveau des alphabétiseurs</v>
      </c>
    </row>
    <row r="1995" spans="1:30" s="22" customFormat="1" ht="45.75" hidden="1" x14ac:dyDescent="0.8">
      <c r="A1995" s="14">
        <v>6</v>
      </c>
      <c r="B1995" s="15">
        <v>62</v>
      </c>
      <c r="C1995" s="15">
        <v>621</v>
      </c>
      <c r="D1995" s="74">
        <v>6211</v>
      </c>
      <c r="E1995" s="14">
        <v>62115</v>
      </c>
      <c r="F1995" s="16" t="s">
        <v>2461</v>
      </c>
      <c r="G1995" s="21" t="s">
        <v>2462</v>
      </c>
      <c r="H1995" s="17" t="s">
        <v>55</v>
      </c>
      <c r="I1995" s="56">
        <v>0</v>
      </c>
      <c r="J1995" s="56">
        <f>1*1*1</f>
        <v>1</v>
      </c>
      <c r="K1995" s="56"/>
      <c r="L1995" s="56"/>
      <c r="M1995" s="56">
        <f t="shared" si="300"/>
        <v>1</v>
      </c>
      <c r="N1995" s="56">
        <f>IF(OR(H1995="",H1995="sif",H1995="PM"),0,VLOOKUP(H1995,[5]CU!$C$4:$H$255,6,FALSE))</f>
        <v>0</v>
      </c>
      <c r="O1995" s="56"/>
      <c r="P1995" s="56"/>
      <c r="Q1995" s="56"/>
      <c r="R1995" s="56"/>
      <c r="S1995" s="56"/>
      <c r="T1995" s="35" t="s">
        <v>56</v>
      </c>
      <c r="U1995" s="18" t="s">
        <v>330</v>
      </c>
      <c r="V1995" s="19" t="str">
        <f>IF(OR($H1995="",$H1995="sif",$H1995="PM"),"",VLOOKUP($H1995,[5]CU!$C$5:$J$255,8,FALSE))</f>
        <v/>
      </c>
      <c r="W1995" s="18" t="s">
        <v>331</v>
      </c>
      <c r="X1995" s="18" t="s">
        <v>331</v>
      </c>
      <c r="Y1995" s="19" t="s">
        <v>32</v>
      </c>
      <c r="Z1995" s="19" t="str">
        <f>A1995 &amp; "-" &amp; VLOOKUP(A1995,[4]PROGRAMMES!$E$1:$F$7,2,FALSE)</f>
        <v>6-Education et alphabétisation des adultes</v>
      </c>
      <c r="AA1995" s="19" t="str">
        <f>B1995 &amp; "-" &amp; VLOOKUP(B1995,[4]SOUSPROGRAMMES!$E$1:$F$44,2,FALSE)</f>
        <v>62- Diversification des approches pour un plus grand accès équitable (modèles, des types de  centres )</v>
      </c>
      <c r="AB1995" s="19" t="str">
        <f>C1995 &amp; "-" &amp; VLOOKUP(C1995,[4]RESULTATS!$E$1:$F$176,2,FALSE)</f>
        <v>621-Plusieurs approches et modèles sont identifiées, validées et développées dans l’AEA</v>
      </c>
      <c r="AC1995" s="20" t="str">
        <f>D1995 &amp; "-" &amp; VLOOKUP(D1995,[4]STRATEGIES!$E$1:$F$504,2,FALSE)</f>
        <v>6211-Renforcement des capacités des acteurs sur les nouvelles approches</v>
      </c>
      <c r="AD1995" s="21" t="str">
        <f t="shared" si="307"/>
        <v>62115-formaliser le partenariat avec les radios rurales et la télévision nationale pour l’approche un foyer un centre d’alphabétisation (en partenariat avec le Ministère de l'information)</v>
      </c>
    </row>
    <row r="1996" spans="1:30" s="22" customFormat="1" ht="61" hidden="1" x14ac:dyDescent="0.8">
      <c r="A1996" s="14">
        <v>6</v>
      </c>
      <c r="B1996" s="15">
        <v>62</v>
      </c>
      <c r="C1996" s="15">
        <v>621</v>
      </c>
      <c r="D1996" s="74">
        <v>6211</v>
      </c>
      <c r="E1996" s="14">
        <v>62116</v>
      </c>
      <c r="F1996" s="16" t="s">
        <v>2463</v>
      </c>
      <c r="G1996" s="21" t="s">
        <v>2464</v>
      </c>
      <c r="H1996" s="17" t="s">
        <v>55</v>
      </c>
      <c r="I1996" s="56">
        <v>0</v>
      </c>
      <c r="J1996" s="56"/>
      <c r="K1996" s="56">
        <v>1</v>
      </c>
      <c r="L1996" s="56">
        <v>1</v>
      </c>
      <c r="M1996" s="56">
        <f t="shared" si="300"/>
        <v>2</v>
      </c>
      <c r="N1996" s="56">
        <f>IF(OR(H1996="",H1996="sif",H1996="PM"),0,VLOOKUP(H1996,[5]CU!$C$4:$H$255,6,FALSE))</f>
        <v>0</v>
      </c>
      <c r="O1996" s="56"/>
      <c r="P1996" s="56"/>
      <c r="Q1996" s="56"/>
      <c r="R1996" s="56"/>
      <c r="S1996" s="56"/>
      <c r="T1996" s="35" t="s">
        <v>56</v>
      </c>
      <c r="U1996" s="18" t="s">
        <v>330</v>
      </c>
      <c r="V1996" s="19" t="str">
        <f>IF(OR($H1996="",$H1996="sif",$H1996="PM"),"",VLOOKUP($H1996,[5]CU!$C$5:$J$255,8,FALSE))</f>
        <v/>
      </c>
      <c r="W1996" s="18" t="s">
        <v>331</v>
      </c>
      <c r="X1996" s="18" t="s">
        <v>331</v>
      </c>
      <c r="Y1996" s="19" t="s">
        <v>32</v>
      </c>
      <c r="Z1996" s="19" t="str">
        <f>A1996 &amp; "-" &amp; VLOOKUP(A1996,[4]PROGRAMMES!$E$1:$F$7,2,FALSE)</f>
        <v>6-Education et alphabétisation des adultes</v>
      </c>
      <c r="AA1996" s="19" t="str">
        <f>B1996 &amp; "-" &amp; VLOOKUP(B1996,[4]SOUSPROGRAMMES!$E$1:$F$44,2,FALSE)</f>
        <v>62- Diversification des approches pour un plus grand accès équitable (modèles, des types de  centres )</v>
      </c>
      <c r="AB1996" s="19" t="str">
        <f>C1996 &amp; "-" &amp; VLOOKUP(C1996,[4]RESULTATS!$E$1:$F$176,2,FALSE)</f>
        <v>621-Plusieurs approches et modèles sont identifiées, validées et développées dans l’AEA</v>
      </c>
      <c r="AC1996" s="20" t="str">
        <f>D1996 &amp; "-" &amp; VLOOKUP(D1996,[4]STRATEGIES!$E$1:$F$504,2,FALSE)</f>
        <v>6211-Renforcement des capacités des acteurs sur les nouvelles approches</v>
      </c>
      <c r="AD1996" s="21" t="str">
        <f t="shared" si="307"/>
        <v xml:space="preserve">62116-Intégration des modules dans le programme de diffusion </v>
      </c>
    </row>
    <row r="1997" spans="1:30" s="22" customFormat="1" ht="45.75" hidden="1" x14ac:dyDescent="0.8">
      <c r="A1997" s="14">
        <v>6</v>
      </c>
      <c r="B1997" s="15">
        <v>62</v>
      </c>
      <c r="C1997" s="15">
        <v>621</v>
      </c>
      <c r="D1997" s="74">
        <v>6211</v>
      </c>
      <c r="E1997" s="14">
        <v>62117</v>
      </c>
      <c r="F1997" s="16" t="s">
        <v>2465</v>
      </c>
      <c r="G1997" s="21" t="s">
        <v>2466</v>
      </c>
      <c r="H1997" s="17" t="s">
        <v>73</v>
      </c>
      <c r="I1997" s="56">
        <v>0</v>
      </c>
      <c r="J1997" s="56">
        <f>2*4*12</f>
        <v>96</v>
      </c>
      <c r="K1997" s="56">
        <f>2*4*12</f>
        <v>96</v>
      </c>
      <c r="L1997" s="56">
        <f>2*4*12</f>
        <v>96</v>
      </c>
      <c r="M1997" s="56">
        <f t="shared" si="300"/>
        <v>288</v>
      </c>
      <c r="N1997" s="56">
        <f>IF(OR(H1997="",H1997="sif",H1997="PM"),0,VLOOKUP(H1997,[5]CU!$C$4:$H$255,6,FALSE))</f>
        <v>0.4</v>
      </c>
      <c r="O1997" s="56">
        <f t="shared" ref="O1997:R2005" si="308">$N1997*I1997</f>
        <v>0</v>
      </c>
      <c r="P1997" s="56">
        <f t="shared" si="308"/>
        <v>38.400000000000006</v>
      </c>
      <c r="Q1997" s="56">
        <f t="shared" si="308"/>
        <v>38.400000000000006</v>
      </c>
      <c r="R1997" s="56">
        <f t="shared" si="308"/>
        <v>38.400000000000006</v>
      </c>
      <c r="S1997" s="56">
        <f t="shared" ref="S1997:S2005" si="309">SUM(O1997:R1997)</f>
        <v>115.20000000000002</v>
      </c>
      <c r="T1997" s="35" t="s">
        <v>56</v>
      </c>
      <c r="U1997" s="18" t="s">
        <v>330</v>
      </c>
      <c r="V1997" s="19" t="str">
        <f>IF(OR($H1997="",$H1997="sif",$H1997="PM"),"",VLOOKUP($H1997,[5]CU!$C$5:$J$255,8,FALSE))</f>
        <v>3. Dépenses de fonctionnement</v>
      </c>
      <c r="W1997" s="18" t="s">
        <v>331</v>
      </c>
      <c r="X1997" s="18" t="s">
        <v>331</v>
      </c>
      <c r="Y1997" s="19" t="s">
        <v>32</v>
      </c>
      <c r="Z1997" s="19" t="str">
        <f>A1997 &amp; "-" &amp; VLOOKUP(A1997,[4]PROGRAMMES!$E$1:$F$7,2,FALSE)</f>
        <v>6-Education et alphabétisation des adultes</v>
      </c>
      <c r="AA1997" s="19" t="str">
        <f>B1997 &amp; "-" &amp; VLOOKUP(B1997,[4]SOUSPROGRAMMES!$E$1:$F$44,2,FALSE)</f>
        <v>62- Diversification des approches pour un plus grand accès équitable (modèles, des types de  centres )</v>
      </c>
      <c r="AB1997" s="19" t="str">
        <f>C1997 &amp; "-" &amp; VLOOKUP(C1997,[4]RESULTATS!$E$1:$F$176,2,FALSE)</f>
        <v>621-Plusieurs approches et modèles sont identifiées, validées et développées dans l’AEA</v>
      </c>
      <c r="AC1997" s="20" t="str">
        <f>D1997 &amp; "-" &amp; VLOOKUP(D1997,[4]STRATEGIES!$E$1:$F$504,2,FALSE)</f>
        <v>6211-Renforcement des capacités des acteurs sur les nouvelles approches</v>
      </c>
      <c r="AD1997" s="21" t="str">
        <f t="shared" si="307"/>
        <v>62117-Diffusion des cours d'alphabétisation selon le programme retenu par les radios et la télévision</v>
      </c>
    </row>
    <row r="1998" spans="1:30" s="22" customFormat="1" ht="45.75" x14ac:dyDescent="0.8">
      <c r="A1998" s="14">
        <v>6</v>
      </c>
      <c r="B1998" s="15">
        <v>62</v>
      </c>
      <c r="C1998" s="15">
        <v>621</v>
      </c>
      <c r="D1998" s="74">
        <v>6212</v>
      </c>
      <c r="E1998" s="14">
        <v>6212</v>
      </c>
      <c r="F1998" s="16" t="s">
        <v>2467</v>
      </c>
      <c r="G1998" s="17"/>
      <c r="H1998" s="17"/>
      <c r="I1998" s="56">
        <v>0</v>
      </c>
      <c r="J1998" s="56"/>
      <c r="K1998" s="56"/>
      <c r="L1998" s="56"/>
      <c r="M1998" s="56"/>
      <c r="N1998" s="56"/>
      <c r="O1998" s="56"/>
      <c r="P1998" s="56"/>
      <c r="Q1998" s="56"/>
      <c r="R1998" s="56"/>
      <c r="S1998" s="56"/>
      <c r="T1998" s="33"/>
      <c r="U1998" s="18"/>
      <c r="V1998" s="19"/>
      <c r="W1998" s="18"/>
      <c r="X1998" s="18"/>
      <c r="Y1998" s="18"/>
      <c r="Z1998" s="19" t="str">
        <f>A1998 &amp; "-" &amp; VLOOKUP(A1998,[4]PROGRAMMES!$E$1:$F$7,2,FALSE)</f>
        <v>6-Education et alphabétisation des adultes</v>
      </c>
      <c r="AA1998" s="19" t="str">
        <f>B1998 &amp; "-" &amp; VLOOKUP(B1998,[4]SOUSPROGRAMMES!$E$1:$F$44,2,FALSE)</f>
        <v>62- Diversification des approches pour un plus grand accès équitable (modèles, des types de  centres )</v>
      </c>
      <c r="AB1998" s="19" t="str">
        <f>C1998 &amp; "-" &amp; VLOOKUP(C1998,[4]RESULTATS!$E$1:$F$176,2,FALSE)</f>
        <v>621-Plusieurs approches et modèles sont identifiées, validées et développées dans l’AEA</v>
      </c>
      <c r="AC1998" s="20" t="str">
        <f>D1998 &amp; "-" &amp; VLOOKUP(D1998,[4]STRATEGIES!$E$1:$F$504,2,FALSE)</f>
        <v>6212-Mise en œuvre et suivi évaluation de l'apprentissage</v>
      </c>
      <c r="AD1998" s="21" t="str">
        <f t="shared" si="307"/>
        <v>6212-Mise en œuvre et suivi évaluation de l'apprentissage</v>
      </c>
    </row>
    <row r="1999" spans="1:30" s="22" customFormat="1" ht="45.75" hidden="1" x14ac:dyDescent="0.8">
      <c r="A1999" s="14">
        <v>6</v>
      </c>
      <c r="B1999" s="15">
        <v>62</v>
      </c>
      <c r="C1999" s="15">
        <v>621</v>
      </c>
      <c r="D1999" s="74">
        <v>6212</v>
      </c>
      <c r="E1999" s="14">
        <v>62121</v>
      </c>
      <c r="F1999" s="16" t="s">
        <v>2468</v>
      </c>
      <c r="G1999" s="21" t="s">
        <v>1128</v>
      </c>
      <c r="H1999" s="17" t="s">
        <v>59</v>
      </c>
      <c r="I1999" s="56">
        <v>0</v>
      </c>
      <c r="J1999" s="56">
        <f>20*10*1</f>
        <v>200</v>
      </c>
      <c r="K1999" s="56"/>
      <c r="L1999" s="56">
        <f>20*10*1</f>
        <v>200</v>
      </c>
      <c r="M1999" s="56">
        <f t="shared" si="300"/>
        <v>400</v>
      </c>
      <c r="N1999" s="56">
        <f>IF(OR(H1999="",H1999="sif",H1999="PM"),0,VLOOKUP(H1999,[5]CU!$C$4:$H$255,6,FALSE))</f>
        <v>0.8177777777777776</v>
      </c>
      <c r="O1999" s="56">
        <f t="shared" si="308"/>
        <v>0</v>
      </c>
      <c r="P1999" s="56">
        <f t="shared" si="308"/>
        <v>163.55555555555551</v>
      </c>
      <c r="Q1999" s="56">
        <f t="shared" si="308"/>
        <v>0</v>
      </c>
      <c r="R1999" s="56">
        <f t="shared" si="308"/>
        <v>163.55555555555551</v>
      </c>
      <c r="S1999" s="56">
        <f t="shared" si="309"/>
        <v>327.11111111111103</v>
      </c>
      <c r="T1999" s="35" t="s">
        <v>56</v>
      </c>
      <c r="U1999" s="18" t="s">
        <v>330</v>
      </c>
      <c r="V1999" s="19" t="str">
        <f>IF(OR($H1999="",$H1999="sif",$H1999="PM"),"",VLOOKUP($H1999,[5]CU!$C$5:$J$255,8,FALSE))</f>
        <v>3. Dépenses de fonctionnement</v>
      </c>
      <c r="W1999" s="18" t="s">
        <v>331</v>
      </c>
      <c r="X1999" s="18" t="s">
        <v>331</v>
      </c>
      <c r="Y1999" s="19" t="s">
        <v>32</v>
      </c>
      <c r="Z1999" s="19" t="str">
        <f>A1999 &amp; "-" &amp; VLOOKUP(A1999,[4]PROGRAMMES!$E$1:$F$7,2,FALSE)</f>
        <v>6-Education et alphabétisation des adultes</v>
      </c>
      <c r="AA1999" s="19" t="str">
        <f>B1999 &amp; "-" &amp; VLOOKUP(B1999,[4]SOUSPROGRAMMES!$E$1:$F$44,2,FALSE)</f>
        <v>62- Diversification des approches pour un plus grand accès équitable (modèles, des types de  centres )</v>
      </c>
      <c r="AB1999" s="19" t="str">
        <f>C1999 &amp; "-" &amp; VLOOKUP(C1999,[4]RESULTATS!$E$1:$F$176,2,FALSE)</f>
        <v>621-Plusieurs approches et modèles sont identifiées, validées et développées dans l’AEA</v>
      </c>
      <c r="AC1999" s="20" t="str">
        <f>D1999 &amp; "-" &amp; VLOOKUP(D1999,[4]STRATEGIES!$E$1:$F$504,2,FALSE)</f>
        <v>6212-Mise en œuvre et suivi évaluation de l'apprentissage</v>
      </c>
      <c r="AD1999" s="21" t="str">
        <f t="shared" si="307"/>
        <v>62121-identification des cibles (Localités et centres)</v>
      </c>
    </row>
    <row r="2000" spans="1:30" s="22" customFormat="1" ht="45.75" hidden="1" x14ac:dyDescent="0.8">
      <c r="A2000" s="14">
        <v>6</v>
      </c>
      <c r="B2000" s="15">
        <v>62</v>
      </c>
      <c r="C2000" s="15">
        <v>621</v>
      </c>
      <c r="D2000" s="74">
        <v>6212</v>
      </c>
      <c r="E2000" s="14">
        <v>62122</v>
      </c>
      <c r="F2000" s="16" t="s">
        <v>2469</v>
      </c>
      <c r="G2000" s="21" t="s">
        <v>436</v>
      </c>
      <c r="H2000" s="17" t="s">
        <v>301</v>
      </c>
      <c r="I2000" s="56">
        <v>0</v>
      </c>
      <c r="J2000" s="56">
        <f>((((J2003+J2002)/50)/10)*7)*96%</f>
        <v>38.112076799999997</v>
      </c>
      <c r="K2000" s="56">
        <f>((((K2003+K2002)/50)/10)*7)*96%</f>
        <v>63.520128000000007</v>
      </c>
      <c r="L2000" s="56">
        <f>((((L2003+L2002)/50)/10)*7)*96%</f>
        <v>63.520128000000007</v>
      </c>
      <c r="M2000" s="56">
        <f>SUM(I2000:L2000)</f>
        <v>165.15233280000001</v>
      </c>
      <c r="N2000" s="56">
        <f>IF(OR(H2000="",H2000="sif",H2000="PM"),0,VLOOKUP(H2000,[5]CU!$C$4:$H$255,6,FALSE))</f>
        <v>0.67666666666666664</v>
      </c>
      <c r="O2000" s="56">
        <f>$N2000*I2000</f>
        <v>0</v>
      </c>
      <c r="P2000" s="56">
        <f>$N2000*J2000</f>
        <v>25.789171967999998</v>
      </c>
      <c r="Q2000" s="56">
        <f>$N2000*K2000</f>
        <v>42.981953280000006</v>
      </c>
      <c r="R2000" s="56">
        <f>$N2000*L2000</f>
        <v>42.981953280000006</v>
      </c>
      <c r="S2000" s="56">
        <f>SUM(O2000:R2000)</f>
        <v>111.753078528</v>
      </c>
      <c r="T2000" s="35" t="s">
        <v>56</v>
      </c>
      <c r="U2000" s="18" t="s">
        <v>330</v>
      </c>
      <c r="V2000" s="19" t="str">
        <f>IF(OR($H2000="",$H2000="sif",$H2000="PM"),"",VLOOKUP($H2000,[5]CU!$C$5:$J$255,8,FALSE))</f>
        <v>3. Formation</v>
      </c>
      <c r="W2000" s="18" t="s">
        <v>331</v>
      </c>
      <c r="X2000" s="18" t="s">
        <v>222</v>
      </c>
      <c r="Y2000" s="19" t="s">
        <v>32</v>
      </c>
      <c r="Z2000" s="19" t="str">
        <f>A2000 &amp; "-" &amp; VLOOKUP(A2000,[4]PROGRAMMES!$E$1:$F$7,2,FALSE)</f>
        <v>6-Education et alphabétisation des adultes</v>
      </c>
      <c r="AA2000" s="19" t="str">
        <f>B2000 &amp; "-" &amp; VLOOKUP(B2000,[4]SOUSPROGRAMMES!$E$1:$F$44,2,FALSE)</f>
        <v>62- Diversification des approches pour un plus grand accès équitable (modèles, des types de  centres )</v>
      </c>
      <c r="AB2000" s="19" t="str">
        <f>C2000 &amp; "-" &amp; VLOOKUP(C2000,[4]RESULTATS!$E$1:$F$176,2,FALSE)</f>
        <v>621-Plusieurs approches et modèles sont identifiées, validées et développées dans l’AEA</v>
      </c>
      <c r="AC2000" s="20" t="str">
        <f>D2000 &amp; "-" &amp; VLOOKUP(D2000,[4]STRATEGIES!$E$1:$F$504,2,FALSE)</f>
        <v>6212-Mise en œuvre et suivi évaluation de l'apprentissage</v>
      </c>
      <c r="AD2000" s="21" t="str">
        <f t="shared" si="307"/>
        <v>62122-organisation des sessions de formation des formateurs</v>
      </c>
    </row>
    <row r="2001" spans="1:30" s="22" customFormat="1" ht="45.75" x14ac:dyDescent="0.8">
      <c r="A2001" s="14">
        <v>6</v>
      </c>
      <c r="B2001" s="15">
        <v>62</v>
      </c>
      <c r="C2001" s="15">
        <v>621</v>
      </c>
      <c r="D2001" s="74">
        <v>6212</v>
      </c>
      <c r="E2001" s="14">
        <v>62122</v>
      </c>
      <c r="F2001" s="16" t="s">
        <v>2469</v>
      </c>
      <c r="G2001" s="21" t="s">
        <v>436</v>
      </c>
      <c r="H2001" s="17" t="s">
        <v>301</v>
      </c>
      <c r="I2001" s="56">
        <v>0</v>
      </c>
      <c r="J2001" s="56">
        <f>((((J2003+J2002)/50)/10)*7)*4%</f>
        <v>1.5880031999999999</v>
      </c>
      <c r="K2001" s="56">
        <f>((((K2003+K2002)/50)/10)*7)*4%</f>
        <v>2.6466720000000006</v>
      </c>
      <c r="L2001" s="56">
        <f>((((L2003+L2002)/50)/10)*7)*4%</f>
        <v>2.6466720000000006</v>
      </c>
      <c r="M2001" s="56">
        <f t="shared" si="300"/>
        <v>6.8813472000000013</v>
      </c>
      <c r="N2001" s="56">
        <f>IF(OR(H2001="",H2001="sif",H2001="PM"),0,VLOOKUP(H2001,[5]CU!$C$4:$H$255,6,FALSE))</f>
        <v>0.67666666666666664</v>
      </c>
      <c r="O2001" s="56">
        <f t="shared" si="308"/>
        <v>0</v>
      </c>
      <c r="P2001" s="56">
        <f t="shared" si="308"/>
        <v>1.0745488319999998</v>
      </c>
      <c r="Q2001" s="56">
        <f t="shared" si="308"/>
        <v>1.7909147200000004</v>
      </c>
      <c r="R2001" s="56">
        <f t="shared" si="308"/>
        <v>1.7909147200000004</v>
      </c>
      <c r="S2001" s="56">
        <f t="shared" si="309"/>
        <v>4.6563782720000013</v>
      </c>
      <c r="T2001" s="35" t="s">
        <v>118</v>
      </c>
      <c r="U2001" s="18" t="s">
        <v>330</v>
      </c>
      <c r="V2001" s="19" t="str">
        <f>IF(OR($H2001="",$H2001="sif",$H2001="PM"),"",VLOOKUP($H2001,[5]CU!$C$5:$J$255,8,FALSE))</f>
        <v>3. Formation</v>
      </c>
      <c r="W2001" s="18" t="s">
        <v>331</v>
      </c>
      <c r="X2001" s="18" t="s">
        <v>222</v>
      </c>
      <c r="Y2001" s="19" t="s">
        <v>32</v>
      </c>
      <c r="Z2001" s="19" t="str">
        <f>A2001 &amp; "-" &amp; VLOOKUP(A2001,[4]PROGRAMMES!$E$1:$F$7,2,FALSE)</f>
        <v>6-Education et alphabétisation des adultes</v>
      </c>
      <c r="AA2001" s="19" t="str">
        <f>B2001 &amp; "-" &amp; VLOOKUP(B2001,[4]SOUSPROGRAMMES!$E$1:$F$44,2,FALSE)</f>
        <v>62- Diversification des approches pour un plus grand accès équitable (modèles, des types de  centres )</v>
      </c>
      <c r="AB2001" s="19" t="str">
        <f>C2001 &amp; "-" &amp; VLOOKUP(C2001,[4]RESULTATS!$E$1:$F$176,2,FALSE)</f>
        <v>621-Plusieurs approches et modèles sont identifiées, validées et développées dans l’AEA</v>
      </c>
      <c r="AC2001" s="20" t="str">
        <f>D2001 &amp; "-" &amp; VLOOKUP(D2001,[4]STRATEGIES!$E$1:$F$504,2,FALSE)</f>
        <v>6212-Mise en œuvre et suivi évaluation de l'apprentissage</v>
      </c>
      <c r="AD2001" s="21" t="str">
        <f t="shared" si="307"/>
        <v>62122-organisation des sessions de formation des formateurs</v>
      </c>
    </row>
    <row r="2002" spans="1:30" s="22" customFormat="1" ht="45.75" hidden="1" x14ac:dyDescent="0.8">
      <c r="A2002" s="14">
        <v>6</v>
      </c>
      <c r="B2002" s="15">
        <v>62</v>
      </c>
      <c r="C2002" s="15">
        <v>621</v>
      </c>
      <c r="D2002" s="74">
        <v>6212</v>
      </c>
      <c r="E2002" s="14">
        <v>62123</v>
      </c>
      <c r="F2002" s="16" t="s">
        <v>2470</v>
      </c>
      <c r="G2002" s="21" t="s">
        <v>2471</v>
      </c>
      <c r="H2002" s="17" t="s">
        <v>2472</v>
      </c>
      <c r="I2002" s="56">
        <v>0</v>
      </c>
      <c r="J2002" s="56"/>
      <c r="K2002" s="56"/>
      <c r="L2002" s="56"/>
      <c r="M2002" s="56">
        <f>SUM(I2002:L2002)</f>
        <v>0</v>
      </c>
      <c r="N2002" s="56">
        <f>IF(OR(H2002="",H2002="sif",H2002="PM"),0,VLOOKUP(H2002,[5]CU!$C$4:$H$255,6,FALSE))</f>
        <v>0.15612899999999999</v>
      </c>
      <c r="O2002" s="56">
        <f t="shared" si="308"/>
        <v>0</v>
      </c>
      <c r="P2002" s="56">
        <f t="shared" si="308"/>
        <v>0</v>
      </c>
      <c r="Q2002" s="56">
        <f t="shared" si="308"/>
        <v>0</v>
      </c>
      <c r="R2002" s="56">
        <f t="shared" si="308"/>
        <v>0</v>
      </c>
      <c r="S2002" s="56">
        <f t="shared" si="309"/>
        <v>0</v>
      </c>
      <c r="T2002" s="35" t="s">
        <v>178</v>
      </c>
      <c r="U2002" s="18" t="s">
        <v>330</v>
      </c>
      <c r="V2002" s="19" t="str">
        <f>IF(OR($H2002="",$H2002="sif",$H2002="PM"),"",VLOOKUP($H2002,[5]CU!$C$5:$J$255,8,FALSE))</f>
        <v>3. Manuels scolaires et matériels pédagogiques</v>
      </c>
      <c r="W2002" s="18" t="s">
        <v>331</v>
      </c>
      <c r="X2002" s="18" t="s">
        <v>222</v>
      </c>
      <c r="Y2002" s="19" t="s">
        <v>32</v>
      </c>
      <c r="Z2002" s="19" t="str">
        <f>A2002 &amp; "-" &amp; VLOOKUP(A2002,[4]PROGRAMMES!$E$1:$F$7,2,FALSE)</f>
        <v>6-Education et alphabétisation des adultes</v>
      </c>
      <c r="AA2002" s="19" t="str">
        <f>B2002 &amp; "-" &amp; VLOOKUP(B2002,[4]SOUSPROGRAMMES!$E$1:$F$44,2,FALSE)</f>
        <v>62- Diversification des approches pour un plus grand accès équitable (modèles, des types de  centres )</v>
      </c>
      <c r="AB2002" s="19" t="str">
        <f>C2002 &amp; "-" &amp; VLOOKUP(C2002,[4]RESULTATS!$E$1:$F$176,2,FALSE)</f>
        <v>621-Plusieurs approches et modèles sont identifiées, validées et développées dans l’AEA</v>
      </c>
      <c r="AC2002" s="20" t="str">
        <f>D2002 &amp; "-" &amp; VLOOKUP(D2002,[4]STRATEGIES!$E$1:$F$504,2,FALSE)</f>
        <v>6212-Mise en œuvre et suivi évaluation de l'apprentissage</v>
      </c>
      <c r="AD2002" s="21" t="str">
        <f t="shared" si="307"/>
        <v>62123-Organisation des campagnes d'alphabétisation par les opérateurs</v>
      </c>
    </row>
    <row r="2003" spans="1:30" ht="45.75" hidden="1" x14ac:dyDescent="0.8">
      <c r="A2003" s="25">
        <v>6</v>
      </c>
      <c r="B2003" s="16">
        <v>62</v>
      </c>
      <c r="C2003" s="16">
        <v>621</v>
      </c>
      <c r="D2003" s="74">
        <v>6212</v>
      </c>
      <c r="E2003" s="25">
        <v>62123</v>
      </c>
      <c r="F2003" s="16" t="s">
        <v>2470</v>
      </c>
      <c r="G2003" s="21" t="s">
        <v>2471</v>
      </c>
      <c r="H2003" s="21" t="s">
        <v>2472</v>
      </c>
      <c r="I2003" s="57">
        <v>0</v>
      </c>
      <c r="J2003" s="57">
        <f>94524*3%</f>
        <v>2835.72</v>
      </c>
      <c r="K2003" s="57">
        <f>94524*5%</f>
        <v>4726.2</v>
      </c>
      <c r="L2003" s="57">
        <f>94524*5%</f>
        <v>4726.2</v>
      </c>
      <c r="M2003" s="57">
        <f>SUM(I2003:L2003)</f>
        <v>12288.119999999999</v>
      </c>
      <c r="N2003" s="57">
        <f>IF(OR(H2003="",H2003="sif",H2003="PM"),0,VLOOKUP(H2003,[5]CU!$C$4:$H$255,6,FALSE))</f>
        <v>0.15612899999999999</v>
      </c>
      <c r="O2003" s="57">
        <f t="shared" si="308"/>
        <v>0</v>
      </c>
      <c r="P2003" s="57">
        <f t="shared" si="308"/>
        <v>442.73812787999992</v>
      </c>
      <c r="Q2003" s="57">
        <f t="shared" si="308"/>
        <v>737.89687979999997</v>
      </c>
      <c r="R2003" s="57">
        <f t="shared" si="308"/>
        <v>737.89687979999997</v>
      </c>
      <c r="S2003" s="57">
        <f t="shared" si="309"/>
        <v>1918.53188748</v>
      </c>
      <c r="T2003" s="38" t="s">
        <v>169</v>
      </c>
      <c r="U2003" s="19" t="s">
        <v>330</v>
      </c>
      <c r="V2003" s="19" t="str">
        <f>IF(OR($H2003="",$H2003="sif",$H2003="PM"),"",VLOOKUP($H2003,[5]CU!$C$5:$J$255,8,FALSE))</f>
        <v>3. Manuels scolaires et matériels pédagogiques</v>
      </c>
      <c r="W2003" s="19" t="s">
        <v>331</v>
      </c>
      <c r="X2003" s="19" t="s">
        <v>222</v>
      </c>
      <c r="Y2003" s="19" t="s">
        <v>32</v>
      </c>
      <c r="Z2003" s="19" t="str">
        <f>A2003 &amp; "-" &amp; VLOOKUP(A2003,[4]PROGRAMMES!$E$1:$F$7,2,FALSE)</f>
        <v>6-Education et alphabétisation des adultes</v>
      </c>
      <c r="AA2003" s="19" t="str">
        <f>B2003 &amp; "-" &amp; VLOOKUP(B2003,[4]SOUSPROGRAMMES!$E$1:$F$44,2,FALSE)</f>
        <v>62- Diversification des approches pour un plus grand accès équitable (modèles, des types de  centres )</v>
      </c>
      <c r="AB2003" s="19" t="str">
        <f>C2003 &amp; "-" &amp; VLOOKUP(C2003,[4]RESULTATS!$E$1:$F$176,2,FALSE)</f>
        <v>621-Plusieurs approches et modèles sont identifiées, validées et développées dans l’AEA</v>
      </c>
      <c r="AC2003" s="20" t="str">
        <f>D2003 &amp; "-" &amp; VLOOKUP(D2003,[4]STRATEGIES!$E$1:$F$504,2,FALSE)</f>
        <v>6212-Mise en œuvre et suivi évaluation de l'apprentissage</v>
      </c>
      <c r="AD2003" s="21" t="str">
        <f t="shared" si="307"/>
        <v>62123-Organisation des campagnes d'alphabétisation par les opérateurs</v>
      </c>
    </row>
    <row r="2004" spans="1:30" s="22" customFormat="1" ht="45.75" hidden="1" x14ac:dyDescent="0.8">
      <c r="A2004" s="14">
        <v>6</v>
      </c>
      <c r="B2004" s="15">
        <v>62</v>
      </c>
      <c r="C2004" s="15">
        <v>621</v>
      </c>
      <c r="D2004" s="74">
        <v>6212</v>
      </c>
      <c r="E2004" s="14">
        <v>62123</v>
      </c>
      <c r="F2004" s="16" t="s">
        <v>2470</v>
      </c>
      <c r="G2004" s="21" t="s">
        <v>2471</v>
      </c>
      <c r="H2004" s="17" t="s">
        <v>2472</v>
      </c>
      <c r="I2004" s="56">
        <v>0</v>
      </c>
      <c r="J2004" s="56">
        <f>94524*80%</f>
        <v>75619.199999999997</v>
      </c>
      <c r="K2004" s="56">
        <f>105072*80%</f>
        <v>84057.600000000006</v>
      </c>
      <c r="L2004" s="56">
        <f>115619*80%</f>
        <v>92495.200000000012</v>
      </c>
      <c r="M2004" s="56">
        <f t="shared" si="300"/>
        <v>252172</v>
      </c>
      <c r="N2004" s="56">
        <f>IF(OR(H2004="",H2004="sif",H2004="PM"),0,VLOOKUP(H2004,[5]CU!$C$4:$H$255,6,FALSE))</f>
        <v>0.15612899999999999</v>
      </c>
      <c r="O2004" s="56">
        <f t="shared" si="308"/>
        <v>0</v>
      </c>
      <c r="P2004" s="56">
        <f t="shared" si="308"/>
        <v>11806.350076799999</v>
      </c>
      <c r="Q2004" s="56">
        <f t="shared" si="308"/>
        <v>13123.8290304</v>
      </c>
      <c r="R2004" s="56">
        <f t="shared" si="308"/>
        <v>14441.183080800001</v>
      </c>
      <c r="S2004" s="56">
        <f t="shared" si="309"/>
        <v>39371.362187999999</v>
      </c>
      <c r="T2004" s="35" t="s">
        <v>56</v>
      </c>
      <c r="U2004" s="18" t="s">
        <v>330</v>
      </c>
      <c r="V2004" s="19" t="str">
        <f>IF(OR($H2004="",$H2004="sif",$H2004="PM"),"",VLOOKUP($H2004,[5]CU!$C$5:$J$255,8,FALSE))</f>
        <v>3. Manuels scolaires et matériels pédagogiques</v>
      </c>
      <c r="W2004" s="18" t="s">
        <v>331</v>
      </c>
      <c r="X2004" s="18" t="s">
        <v>222</v>
      </c>
      <c r="Y2004" s="19" t="s">
        <v>32</v>
      </c>
      <c r="Z2004" s="19" t="str">
        <f>A2004 &amp; "-" &amp; VLOOKUP(A2004,[4]PROGRAMMES!$E$1:$F$7,2,FALSE)</f>
        <v>6-Education et alphabétisation des adultes</v>
      </c>
      <c r="AA2004" s="19" t="str">
        <f>B2004 &amp; "-" &amp; VLOOKUP(B2004,[4]SOUSPROGRAMMES!$E$1:$F$44,2,FALSE)</f>
        <v>62- Diversification des approches pour un plus grand accès équitable (modèles, des types de  centres )</v>
      </c>
      <c r="AB2004" s="19" t="str">
        <f>C2004 &amp; "-" &amp; VLOOKUP(C2004,[4]RESULTATS!$E$1:$F$176,2,FALSE)</f>
        <v>621-Plusieurs approches et modèles sont identifiées, validées et développées dans l’AEA</v>
      </c>
      <c r="AC2004" s="20" t="str">
        <f>D2004 &amp; "-" &amp; VLOOKUP(D2004,[4]STRATEGIES!$E$1:$F$504,2,FALSE)</f>
        <v>6212-Mise en œuvre et suivi évaluation de l'apprentissage</v>
      </c>
      <c r="AD2004" s="21" t="str">
        <f t="shared" si="307"/>
        <v>62123-Organisation des campagnes d'alphabétisation par les opérateurs</v>
      </c>
    </row>
    <row r="2005" spans="1:30" s="22" customFormat="1" ht="45.75" hidden="1" x14ac:dyDescent="0.8">
      <c r="A2005" s="14">
        <v>6</v>
      </c>
      <c r="B2005" s="15">
        <v>62</v>
      </c>
      <c r="C2005" s="15">
        <v>621</v>
      </c>
      <c r="D2005" s="74">
        <v>6212</v>
      </c>
      <c r="E2005" s="14">
        <v>62123</v>
      </c>
      <c r="F2005" s="16" t="s">
        <v>2473</v>
      </c>
      <c r="G2005" s="21" t="s">
        <v>1128</v>
      </c>
      <c r="H2005" s="17" t="s">
        <v>59</v>
      </c>
      <c r="I2005" s="56">
        <v>0</v>
      </c>
      <c r="J2005" s="56">
        <f>4*5*8</f>
        <v>160</v>
      </c>
      <c r="K2005" s="56">
        <f>4*5*8</f>
        <v>160</v>
      </c>
      <c r="L2005" s="56">
        <f>4*5*8</f>
        <v>160</v>
      </c>
      <c r="M2005" s="56">
        <f t="shared" si="300"/>
        <v>480</v>
      </c>
      <c r="N2005" s="56">
        <f>IF(OR(H2005="",H2005="sif",H2005="PM"),0,VLOOKUP(H2005,[5]CU!$C$4:$H$255,6,FALSE))</f>
        <v>0.8177777777777776</v>
      </c>
      <c r="O2005" s="56">
        <f t="shared" si="308"/>
        <v>0</v>
      </c>
      <c r="P2005" s="56">
        <f t="shared" si="308"/>
        <v>130.84444444444441</v>
      </c>
      <c r="Q2005" s="56">
        <f t="shared" si="308"/>
        <v>130.84444444444441</v>
      </c>
      <c r="R2005" s="56">
        <f t="shared" si="308"/>
        <v>130.84444444444441</v>
      </c>
      <c r="S2005" s="56">
        <f t="shared" si="309"/>
        <v>392.53333333333319</v>
      </c>
      <c r="T2005" s="35" t="s">
        <v>56</v>
      </c>
      <c r="U2005" s="18" t="s">
        <v>330</v>
      </c>
      <c r="V2005" s="19" t="str">
        <f>IF(OR($H2005="",$H2005="sif",$H2005="PM"),"",VLOOKUP($H2005,[5]CU!$C$5:$J$255,8,FALSE))</f>
        <v>3. Dépenses de fonctionnement</v>
      </c>
      <c r="W2005" s="18" t="s">
        <v>331</v>
      </c>
      <c r="X2005" s="18" t="s">
        <v>2474</v>
      </c>
      <c r="Y2005" s="19" t="s">
        <v>32</v>
      </c>
      <c r="Z2005" s="19" t="str">
        <f>A2005 &amp; "-" &amp; VLOOKUP(A2005,[4]PROGRAMMES!$E$1:$F$7,2,FALSE)</f>
        <v>6-Education et alphabétisation des adultes</v>
      </c>
      <c r="AA2005" s="19" t="str">
        <f>B2005 &amp; "-" &amp; VLOOKUP(B2005,[4]SOUSPROGRAMMES!$E$1:$F$44,2,FALSE)</f>
        <v>62- Diversification des approches pour un plus grand accès équitable (modèles, des types de  centres )</v>
      </c>
      <c r="AB2005" s="19" t="str">
        <f>C2005 &amp; "-" &amp; VLOOKUP(C2005,[4]RESULTATS!$E$1:$F$176,2,FALSE)</f>
        <v>621-Plusieurs approches et modèles sont identifiées, validées et développées dans l’AEA</v>
      </c>
      <c r="AC2005" s="20" t="str">
        <f>D2005 &amp; "-" &amp; VLOOKUP(D2005,[4]STRATEGIES!$E$1:$F$504,2,FALSE)</f>
        <v>6212-Mise en œuvre et suivi évaluation de l'apprentissage</v>
      </c>
      <c r="AD2005" s="21" t="str">
        <f t="shared" si="307"/>
        <v>62123-supervision des activités</v>
      </c>
    </row>
    <row r="2006" spans="1:30" s="22" customFormat="1" ht="45.75" hidden="1" x14ac:dyDescent="0.8">
      <c r="A2006" s="14">
        <v>6</v>
      </c>
      <c r="B2006" s="15">
        <v>62</v>
      </c>
      <c r="C2006" s="15">
        <v>621</v>
      </c>
      <c r="D2006" s="74">
        <v>6212</v>
      </c>
      <c r="E2006" s="14">
        <v>62124</v>
      </c>
      <c r="F2006" s="16" t="s">
        <v>2475</v>
      </c>
      <c r="G2006" s="21" t="s">
        <v>159</v>
      </c>
      <c r="H2006" s="17" t="s">
        <v>55</v>
      </c>
      <c r="I2006" s="56">
        <v>0</v>
      </c>
      <c r="J2006" s="56">
        <v>1</v>
      </c>
      <c r="K2006" s="56">
        <v>1</v>
      </c>
      <c r="L2006" s="56">
        <v>1</v>
      </c>
      <c r="M2006" s="56">
        <f t="shared" si="300"/>
        <v>3</v>
      </c>
      <c r="N2006" s="56">
        <f>IF(OR(H2006="",H2006="sif",H2006="PM"),0,VLOOKUP(H2006,[5]CU!$C$4:$H$255,6,FALSE))</f>
        <v>0</v>
      </c>
      <c r="O2006" s="56"/>
      <c r="P2006" s="56"/>
      <c r="Q2006" s="56"/>
      <c r="R2006" s="56"/>
      <c r="S2006" s="56"/>
      <c r="T2006" s="35" t="s">
        <v>56</v>
      </c>
      <c r="U2006" s="18" t="s">
        <v>330</v>
      </c>
      <c r="V2006" s="19" t="str">
        <f>IF(OR($H2006="",$H2006="sif",$H2006="PM"),"",VLOOKUP($H2006,[5]CU!$C$5:$J$255,8,FALSE))</f>
        <v/>
      </c>
      <c r="W2006" s="18" t="s">
        <v>331</v>
      </c>
      <c r="X2006" s="18" t="s">
        <v>2476</v>
      </c>
      <c r="Y2006" s="19" t="s">
        <v>32</v>
      </c>
      <c r="Z2006" s="19" t="str">
        <f>A2006 &amp; "-" &amp; VLOOKUP(A2006,[4]PROGRAMMES!$E$1:$F$7,2,FALSE)</f>
        <v>6-Education et alphabétisation des adultes</v>
      </c>
      <c r="AA2006" s="19" t="str">
        <f>B2006 &amp; "-" &amp; VLOOKUP(B2006,[4]SOUSPROGRAMMES!$E$1:$F$44,2,FALSE)</f>
        <v>62- Diversification des approches pour un plus grand accès équitable (modèles, des types de  centres )</v>
      </c>
      <c r="AB2006" s="19" t="str">
        <f>C2006 &amp; "-" &amp; VLOOKUP(C2006,[4]RESULTATS!$E$1:$F$176,2,FALSE)</f>
        <v>621-Plusieurs approches et modèles sont identifiées, validées et développées dans l’AEA</v>
      </c>
      <c r="AC2006" s="20" t="str">
        <f>D2006 &amp; "-" &amp; VLOOKUP(D2006,[4]STRATEGIES!$E$1:$F$504,2,FALSE)</f>
        <v>6212-Mise en œuvre et suivi évaluation de l'apprentissage</v>
      </c>
      <c r="AD2006" s="21" t="str">
        <f t="shared" si="307"/>
        <v>62124-suivi et évaluation par le niveau déconcentré</v>
      </c>
    </row>
    <row r="2007" spans="1:30" s="22" customFormat="1" ht="45.75" hidden="1" x14ac:dyDescent="0.8">
      <c r="A2007" s="14">
        <v>6</v>
      </c>
      <c r="B2007" s="15">
        <v>62</v>
      </c>
      <c r="C2007" s="15">
        <v>621</v>
      </c>
      <c r="D2007" s="74">
        <v>6212</v>
      </c>
      <c r="E2007" s="14">
        <v>62125</v>
      </c>
      <c r="F2007" s="16" t="s">
        <v>2477</v>
      </c>
      <c r="G2007" s="21" t="s">
        <v>1128</v>
      </c>
      <c r="H2007" s="17" t="s">
        <v>59</v>
      </c>
      <c r="I2007" s="58">
        <v>0</v>
      </c>
      <c r="J2007" s="56"/>
      <c r="K2007" s="56"/>
      <c r="L2007" s="56"/>
      <c r="M2007" s="56">
        <f t="shared" si="300"/>
        <v>0</v>
      </c>
      <c r="N2007" s="56">
        <f>IF(OR(H2007="",H2007="sif",H2007="PM"),0,VLOOKUP(H2007,[5]CU!$C$4:$H$255,6,FALSE))</f>
        <v>0.8177777777777776</v>
      </c>
      <c r="O2007" s="56">
        <f t="shared" ref="O2007:R2008" si="310">$N2007*I2007</f>
        <v>0</v>
      </c>
      <c r="P2007" s="56">
        <f t="shared" si="310"/>
        <v>0</v>
      </c>
      <c r="Q2007" s="56">
        <f t="shared" si="310"/>
        <v>0</v>
      </c>
      <c r="R2007" s="56">
        <f t="shared" si="310"/>
        <v>0</v>
      </c>
      <c r="S2007" s="56">
        <f>SUM(O2007:R2007)</f>
        <v>0</v>
      </c>
      <c r="T2007" s="35" t="s">
        <v>178</v>
      </c>
      <c r="U2007" s="18" t="s">
        <v>330</v>
      </c>
      <c r="V2007" s="19" t="str">
        <f>IF(OR($H2007="",$H2007="sif",$H2007="PM"),"",VLOOKUP($H2007,[5]CU!$C$5:$J$255,8,FALSE))</f>
        <v>3. Dépenses de fonctionnement</v>
      </c>
      <c r="W2007" s="18" t="s">
        <v>331</v>
      </c>
      <c r="X2007" s="18" t="s">
        <v>331</v>
      </c>
      <c r="Y2007" s="19" t="s">
        <v>32</v>
      </c>
      <c r="Z2007" s="19" t="str">
        <f>A2007 &amp; "-" &amp; VLOOKUP(A2007,[4]PROGRAMMES!$E$1:$F$7,2,FALSE)</f>
        <v>6-Education et alphabétisation des adultes</v>
      </c>
      <c r="AA2007" s="19" t="str">
        <f>B2007 &amp; "-" &amp; VLOOKUP(B2007,[4]SOUSPROGRAMMES!$E$1:$F$44,2,FALSE)</f>
        <v>62- Diversification des approches pour un plus grand accès équitable (modèles, des types de  centres )</v>
      </c>
      <c r="AB2007" s="19" t="str">
        <f>C2007 &amp; "-" &amp; VLOOKUP(C2007,[4]RESULTATS!$E$1:$F$176,2,FALSE)</f>
        <v>621-Plusieurs approches et modèles sont identifiées, validées et développées dans l’AEA</v>
      </c>
      <c r="AC2007" s="20" t="str">
        <f>D2007 &amp; "-" &amp; VLOOKUP(D2007,[4]STRATEGIES!$E$1:$F$504,2,FALSE)</f>
        <v>6212-Mise en œuvre et suivi évaluation de l'apprentissage</v>
      </c>
      <c r="AD2007" s="21" t="str">
        <f t="shared" si="307"/>
        <v>62125-suivi et évaluation conjoint par le niveau central et les Réseaux d'ONG</v>
      </c>
    </row>
    <row r="2008" spans="1:30" ht="45.75" hidden="1" x14ac:dyDescent="0.8">
      <c r="A2008" s="25">
        <v>6</v>
      </c>
      <c r="B2008" s="16">
        <v>62</v>
      </c>
      <c r="C2008" s="16">
        <v>621</v>
      </c>
      <c r="D2008" s="74">
        <v>6212</v>
      </c>
      <c r="E2008" s="25">
        <v>62125</v>
      </c>
      <c r="F2008" s="16" t="s">
        <v>2477</v>
      </c>
      <c r="G2008" s="21" t="s">
        <v>1128</v>
      </c>
      <c r="H2008" s="21" t="s">
        <v>59</v>
      </c>
      <c r="I2008" s="57">
        <v>0</v>
      </c>
      <c r="J2008" s="57">
        <f>3*7*3</f>
        <v>63</v>
      </c>
      <c r="K2008" s="57">
        <f>3*7*3</f>
        <v>63</v>
      </c>
      <c r="L2008" s="57">
        <f>4*7*4</f>
        <v>112</v>
      </c>
      <c r="M2008" s="57">
        <f>SUM(I2008:L2008)</f>
        <v>238</v>
      </c>
      <c r="N2008" s="57">
        <f>IF(OR(H2008="",H2008="sif",H2008="PM"),0,VLOOKUP(H2008,[5]CU!$C$4:$H$255,6,FALSE))</f>
        <v>0.8177777777777776</v>
      </c>
      <c r="O2008" s="57">
        <f t="shared" si="310"/>
        <v>0</v>
      </c>
      <c r="P2008" s="57">
        <f t="shared" si="310"/>
        <v>51.519999999999989</v>
      </c>
      <c r="Q2008" s="57">
        <f t="shared" si="310"/>
        <v>51.519999999999989</v>
      </c>
      <c r="R2008" s="57">
        <f t="shared" si="310"/>
        <v>91.59111111111109</v>
      </c>
      <c r="S2008" s="57">
        <f>SUM(O2008:R2008)</f>
        <v>194.63111111111107</v>
      </c>
      <c r="T2008" s="38" t="s">
        <v>169</v>
      </c>
      <c r="U2008" s="19" t="s">
        <v>330</v>
      </c>
      <c r="V2008" s="19" t="str">
        <f>IF(OR($H2008="",$H2008="sif",$H2008="PM"),"",VLOOKUP($H2008,[5]CU!$C$5:$J$255,8,FALSE))</f>
        <v>3. Dépenses de fonctionnement</v>
      </c>
      <c r="W2008" s="19" t="s">
        <v>331</v>
      </c>
      <c r="X2008" s="19" t="s">
        <v>331</v>
      </c>
      <c r="Y2008" s="19" t="s">
        <v>32</v>
      </c>
      <c r="Z2008" s="19" t="str">
        <f>A2008 &amp; "-" &amp; VLOOKUP(A2008,[4]PROGRAMMES!$E$1:$F$7,2,FALSE)</f>
        <v>6-Education et alphabétisation des adultes</v>
      </c>
      <c r="AA2008" s="19" t="str">
        <f>B2008 &amp; "-" &amp; VLOOKUP(B2008,[4]SOUSPROGRAMMES!$E$1:$F$44,2,FALSE)</f>
        <v>62- Diversification des approches pour un plus grand accès équitable (modèles, des types de  centres )</v>
      </c>
      <c r="AB2008" s="19" t="str">
        <f>C2008 &amp; "-" &amp; VLOOKUP(C2008,[4]RESULTATS!$E$1:$F$176,2,FALSE)</f>
        <v>621-Plusieurs approches et modèles sont identifiées, validées et développées dans l’AEA</v>
      </c>
      <c r="AC2008" s="20" t="str">
        <f>D2008 &amp; "-" &amp; VLOOKUP(D2008,[4]STRATEGIES!$E$1:$F$504,2,FALSE)</f>
        <v>6212-Mise en œuvre et suivi évaluation de l'apprentissage</v>
      </c>
      <c r="AD2008" s="21" t="str">
        <f t="shared" si="307"/>
        <v>62125-suivi et évaluation conjoint par le niveau central et les Réseaux d'ONG</v>
      </c>
    </row>
    <row r="2009" spans="1:30" s="22" customFormat="1" ht="45.75" x14ac:dyDescent="0.8">
      <c r="A2009" s="14">
        <v>6</v>
      </c>
      <c r="B2009" s="15">
        <v>63</v>
      </c>
      <c r="C2009" s="15">
        <v>63</v>
      </c>
      <c r="D2009" s="74">
        <v>63</v>
      </c>
      <c r="E2009" s="14">
        <v>63</v>
      </c>
      <c r="F2009" s="16" t="s">
        <v>2478</v>
      </c>
      <c r="G2009" s="17"/>
      <c r="H2009" s="17"/>
      <c r="I2009" s="56">
        <v>0</v>
      </c>
      <c r="J2009" s="56"/>
      <c r="K2009" s="56"/>
      <c r="L2009" s="56"/>
      <c r="M2009" s="56"/>
      <c r="N2009" s="56"/>
      <c r="O2009" s="56"/>
      <c r="P2009" s="56"/>
      <c r="Q2009" s="56"/>
      <c r="R2009" s="56"/>
      <c r="S2009" s="56"/>
      <c r="T2009" s="33"/>
      <c r="U2009" s="18"/>
      <c r="V2009" s="19"/>
      <c r="W2009" s="18"/>
      <c r="X2009" s="18"/>
      <c r="Y2009" s="18"/>
      <c r="Z2009" s="19" t="str">
        <f>A2009 &amp; "-" &amp; VLOOKUP(A2009,[4]PROGRAMMES!$E$1:$F$7,2,FALSE)</f>
        <v>6-Education et alphabétisation des adultes</v>
      </c>
      <c r="AA2009" s="19" t="str">
        <f>B2009 &amp; "-" &amp; VLOOKUP(B2009,[4]SOUSPROGRAMMES!$E$1:$F$44,2,FALSE)</f>
        <v xml:space="preserve">63- Amélioration de la qualité </v>
      </c>
      <c r="AB2009" s="19" t="str">
        <f>C2009 &amp; "-" &amp; VLOOKUP(C2009,[4]RESULTATS!$E$1:$F$176,2,FALSE)</f>
        <v xml:space="preserve">63- Amélioration de la qualité </v>
      </c>
      <c r="AC2009" s="20" t="str">
        <f>D2009 &amp; "-" &amp; VLOOKUP(D2009,[4]STRATEGIES!$E$1:$F$504,2,FALSE)</f>
        <v xml:space="preserve">63- Amélioration de la qualité </v>
      </c>
      <c r="AD2009" s="21" t="str">
        <f t="shared" si="307"/>
        <v xml:space="preserve">63- Amélioration de la qualité </v>
      </c>
    </row>
    <row r="2010" spans="1:30" s="22" customFormat="1" ht="45.75" x14ac:dyDescent="0.8">
      <c r="A2010" s="14">
        <v>6</v>
      </c>
      <c r="B2010" s="15">
        <v>63</v>
      </c>
      <c r="C2010" s="15">
        <v>631</v>
      </c>
      <c r="D2010" s="74">
        <v>631</v>
      </c>
      <c r="E2010" s="14">
        <v>631</v>
      </c>
      <c r="F2010" s="16" t="s">
        <v>2479</v>
      </c>
      <c r="G2010" s="17"/>
      <c r="H2010" s="17"/>
      <c r="I2010" s="56">
        <v>0</v>
      </c>
      <c r="J2010" s="56"/>
      <c r="K2010" s="56"/>
      <c r="L2010" s="56"/>
      <c r="M2010" s="56"/>
      <c r="N2010" s="56"/>
      <c r="O2010" s="56"/>
      <c r="P2010" s="56"/>
      <c r="Q2010" s="56"/>
      <c r="R2010" s="56"/>
      <c r="S2010" s="56"/>
      <c r="T2010" s="33"/>
      <c r="U2010" s="18"/>
      <c r="V2010" s="19"/>
      <c r="W2010" s="18"/>
      <c r="X2010" s="18"/>
      <c r="Y2010" s="18"/>
      <c r="Z2010" s="19" t="str">
        <f>A2010 &amp; "-" &amp; VLOOKUP(A2010,[4]PROGRAMMES!$E$1:$F$7,2,FALSE)</f>
        <v>6-Education et alphabétisation des adultes</v>
      </c>
      <c r="AA2010" s="19" t="str">
        <f>B2010 &amp; "-" &amp; VLOOKUP(B2010,[4]SOUSPROGRAMMES!$E$1:$F$44,2,FALSE)</f>
        <v xml:space="preserve">63- Amélioration de la qualité </v>
      </c>
      <c r="AB2010" s="19" t="str">
        <f>C2010 &amp; "-" &amp; VLOOKUP(C2010,[4]RESULTATS!$E$1:$F$176,2,FALSE)</f>
        <v>631- Les curricula sont adaptés et maitrisés par les opérateurs et les formateurs</v>
      </c>
      <c r="AC2010" s="20" t="str">
        <f>D2010 &amp; "-" &amp; VLOOKUP(D2010,[4]STRATEGIES!$E$1:$F$504,2,FALSE)</f>
        <v>631- Les curricula sont adaptés et maitrisés par les opérateurs et les formateurs</v>
      </c>
      <c r="AD2010" s="21" t="str">
        <f t="shared" si="307"/>
        <v>631- Les curricula sont adaptés et maitrisés par les opérateurs et les formateurs</v>
      </c>
    </row>
    <row r="2011" spans="1:30" s="22" customFormat="1" ht="45.75" x14ac:dyDescent="0.8">
      <c r="A2011" s="14">
        <v>6</v>
      </c>
      <c r="B2011" s="15">
        <v>63</v>
      </c>
      <c r="C2011" s="15">
        <v>631</v>
      </c>
      <c r="D2011" s="74">
        <v>6311</v>
      </c>
      <c r="E2011" s="14">
        <v>6311</v>
      </c>
      <c r="F2011" s="16" t="s">
        <v>2480</v>
      </c>
      <c r="G2011" s="17"/>
      <c r="H2011" s="17"/>
      <c r="I2011" s="56">
        <v>0</v>
      </c>
      <c r="J2011" s="56"/>
      <c r="K2011" s="56"/>
      <c r="L2011" s="56"/>
      <c r="M2011" s="56"/>
      <c r="N2011" s="56"/>
      <c r="O2011" s="56"/>
      <c r="P2011" s="56"/>
      <c r="Q2011" s="56"/>
      <c r="R2011" s="56"/>
      <c r="S2011" s="56"/>
      <c r="T2011" s="33"/>
      <c r="U2011" s="18"/>
      <c r="V2011" s="19"/>
      <c r="W2011" s="18"/>
      <c r="X2011" s="18"/>
      <c r="Y2011" s="18"/>
      <c r="Z2011" s="19" t="str">
        <f>A2011 &amp; "-" &amp; VLOOKUP(A2011,[4]PROGRAMMES!$E$1:$F$7,2,FALSE)</f>
        <v>6-Education et alphabétisation des adultes</v>
      </c>
      <c r="AA2011" s="19" t="str">
        <f>B2011 &amp; "-" &amp; VLOOKUP(B2011,[4]SOUSPROGRAMMES!$E$1:$F$44,2,FALSE)</f>
        <v xml:space="preserve">63- Amélioration de la qualité </v>
      </c>
      <c r="AB2011" s="19" t="str">
        <f>C2011 &amp; "-" &amp; VLOOKUP(C2011,[4]RESULTATS!$E$1:$F$176,2,FALSE)</f>
        <v>631- Les curricula sont adaptés et maitrisés par les opérateurs et les formateurs</v>
      </c>
      <c r="AC2011" s="20" t="str">
        <f>D2011 &amp; "-" &amp; VLOOKUP(D2011,[4]STRATEGIES!$E$1:$F$504,2,FALSE)</f>
        <v>6311-Révision et d'adaptation des curricula de l'AEA</v>
      </c>
      <c r="AD2011" s="21" t="str">
        <f t="shared" si="307"/>
        <v>6311-Révision et d'adaptation des curricula de l'AEA</v>
      </c>
    </row>
    <row r="2012" spans="1:30" ht="45.75" hidden="1" x14ac:dyDescent="0.8">
      <c r="A2012" s="25">
        <v>6</v>
      </c>
      <c r="B2012" s="16">
        <v>63</v>
      </c>
      <c r="C2012" s="16">
        <v>631</v>
      </c>
      <c r="D2012" s="74">
        <v>6311</v>
      </c>
      <c r="E2012" s="25">
        <v>63111</v>
      </c>
      <c r="F2012" s="16" t="s">
        <v>2481</v>
      </c>
      <c r="G2012" s="21" t="s">
        <v>298</v>
      </c>
      <c r="H2012" s="21" t="s">
        <v>66</v>
      </c>
      <c r="I2012" s="57">
        <v>0</v>
      </c>
      <c r="J2012" s="57">
        <f>8*4*1</f>
        <v>32</v>
      </c>
      <c r="K2012" s="57"/>
      <c r="L2012" s="57"/>
      <c r="M2012" s="57">
        <f t="shared" ref="M2012:M2084" si="311">SUM(I2012:L2012)</f>
        <v>32</v>
      </c>
      <c r="N2012" s="57">
        <f>IF(OR(H2012="",H2012="sif",H2012="PM"),0,VLOOKUP(H2012,[5]CU!$C$4:$H$255,6,FALSE))</f>
        <v>0.255</v>
      </c>
      <c r="O2012" s="57">
        <f t="shared" ref="O2012:R2013" si="312">$N2012*I2012</f>
        <v>0</v>
      </c>
      <c r="P2012" s="57">
        <f t="shared" si="312"/>
        <v>8.16</v>
      </c>
      <c r="Q2012" s="57">
        <f t="shared" si="312"/>
        <v>0</v>
      </c>
      <c r="R2012" s="57">
        <f t="shared" si="312"/>
        <v>0</v>
      </c>
      <c r="S2012" s="57">
        <f>SUM(O2012:R2012)</f>
        <v>8.16</v>
      </c>
      <c r="T2012" s="38" t="s">
        <v>169</v>
      </c>
      <c r="U2012" s="19" t="s">
        <v>330</v>
      </c>
      <c r="V2012" s="19" t="str">
        <f>IF(OR($H2012="",$H2012="sif",$H2012="PM"),"",VLOOKUP($H2012,[5]CU!$C$5:$J$255,8,FALSE))</f>
        <v>3. Dépenses de fonctionnement</v>
      </c>
      <c r="W2012" s="19" t="s">
        <v>331</v>
      </c>
      <c r="X2012" s="19" t="s">
        <v>2482</v>
      </c>
      <c r="Y2012" s="19" t="s">
        <v>32</v>
      </c>
      <c r="Z2012" s="19" t="str">
        <f>A2012 &amp; "-" &amp; VLOOKUP(A2012,[4]PROGRAMMES!$E$1:$F$7,2,FALSE)</f>
        <v>6-Education et alphabétisation des adultes</v>
      </c>
      <c r="AA2012" s="19" t="str">
        <f>B2012 &amp; "-" &amp; VLOOKUP(B2012,[4]SOUSPROGRAMMES!$E$1:$F$44,2,FALSE)</f>
        <v xml:space="preserve">63- Amélioration de la qualité </v>
      </c>
      <c r="AB2012" s="19" t="str">
        <f>C2012 &amp; "-" &amp; VLOOKUP(C2012,[4]RESULTATS!$E$1:$F$176,2,FALSE)</f>
        <v>631- Les curricula sont adaptés et maitrisés par les opérateurs et les formateurs</v>
      </c>
      <c r="AC2012" s="20" t="str">
        <f>D2012 &amp; "-" &amp; VLOOKUP(D2012,[4]STRATEGIES!$E$1:$F$504,2,FALSE)</f>
        <v>6311-Révision et d'adaptation des curricula de l'AEA</v>
      </c>
      <c r="AD2012" s="21" t="str">
        <f t="shared" si="307"/>
        <v>63111-actualisation et élaboration des curricula</v>
      </c>
    </row>
    <row r="2013" spans="1:30" ht="45.75" hidden="1" x14ac:dyDescent="0.8">
      <c r="A2013" s="25">
        <v>6</v>
      </c>
      <c r="B2013" s="16">
        <v>63</v>
      </c>
      <c r="C2013" s="16">
        <v>631</v>
      </c>
      <c r="D2013" s="74">
        <v>6311</v>
      </c>
      <c r="E2013" s="25">
        <v>63112</v>
      </c>
      <c r="F2013" s="16" t="s">
        <v>2483</v>
      </c>
      <c r="G2013" s="21" t="s">
        <v>451</v>
      </c>
      <c r="H2013" s="21" t="s">
        <v>45</v>
      </c>
      <c r="I2013" s="57">
        <v>0</v>
      </c>
      <c r="J2013" s="57"/>
      <c r="K2013" s="57">
        <f>(K2003+L2003+K2004+L2004)/50*2</f>
        <v>7440.2080000000005</v>
      </c>
      <c r="L2013" s="57"/>
      <c r="M2013" s="57">
        <f t="shared" si="311"/>
        <v>7440.2080000000005</v>
      </c>
      <c r="N2013" s="57">
        <f>IF(OR(H2013="",H2013="sif",H2013="PM"),0,VLOOKUP(H2013,[5]CU!$C$4:$H$255,6,FALSE))</f>
        <v>0.03</v>
      </c>
      <c r="O2013" s="57">
        <f t="shared" si="312"/>
        <v>0</v>
      </c>
      <c r="P2013" s="57">
        <f t="shared" si="312"/>
        <v>0</v>
      </c>
      <c r="Q2013" s="57">
        <f t="shared" si="312"/>
        <v>223.20624000000001</v>
      </c>
      <c r="R2013" s="57">
        <f t="shared" si="312"/>
        <v>0</v>
      </c>
      <c r="S2013" s="57">
        <f>SUM(O2013:R2013)</f>
        <v>223.20624000000001</v>
      </c>
      <c r="T2013" s="38" t="s">
        <v>169</v>
      </c>
      <c r="U2013" s="19" t="s">
        <v>330</v>
      </c>
      <c r="V2013" s="19" t="str">
        <f>IF(OR($H2013="",$H2013="sif",$H2013="PM"),"",VLOOKUP($H2013,[5]CU!$C$5:$J$255,8,FALSE))</f>
        <v>3. Manuels scolaires et matériels pédagogiques</v>
      </c>
      <c r="W2013" s="19" t="s">
        <v>331</v>
      </c>
      <c r="X2013" s="19" t="s">
        <v>331</v>
      </c>
      <c r="Y2013" s="19" t="s">
        <v>32</v>
      </c>
      <c r="Z2013" s="19" t="str">
        <f>A2013 &amp; "-" &amp; VLOOKUP(A2013,[4]PROGRAMMES!$E$1:$F$7,2,FALSE)</f>
        <v>6-Education et alphabétisation des adultes</v>
      </c>
      <c r="AA2013" s="19" t="str">
        <f>B2013 &amp; "-" &amp; VLOOKUP(B2013,[4]SOUSPROGRAMMES!$E$1:$F$44,2,FALSE)</f>
        <v xml:space="preserve">63- Amélioration de la qualité </v>
      </c>
      <c r="AB2013" s="19" t="str">
        <f>C2013 &amp; "-" &amp; VLOOKUP(C2013,[4]RESULTATS!$E$1:$F$176,2,FALSE)</f>
        <v>631- Les curricula sont adaptés et maitrisés par les opérateurs et les formateurs</v>
      </c>
      <c r="AC2013" s="20" t="str">
        <f>D2013 &amp; "-" &amp; VLOOKUP(D2013,[4]STRATEGIES!$E$1:$F$504,2,FALSE)</f>
        <v>6311-Révision et d'adaptation des curricula de l'AEA</v>
      </c>
      <c r="AD2013" s="21" t="str">
        <f t="shared" si="307"/>
        <v>63112-reproduction des curricula</v>
      </c>
    </row>
    <row r="2014" spans="1:30" ht="45.75" hidden="1" x14ac:dyDescent="0.8">
      <c r="A2014" s="25">
        <v>6</v>
      </c>
      <c r="B2014" s="16">
        <v>63</v>
      </c>
      <c r="C2014" s="16">
        <v>631</v>
      </c>
      <c r="D2014" s="74">
        <v>6311</v>
      </c>
      <c r="E2014" s="25">
        <v>63113</v>
      </c>
      <c r="F2014" s="16" t="s">
        <v>2484</v>
      </c>
      <c r="G2014" s="21" t="s">
        <v>177</v>
      </c>
      <c r="H2014" s="21" t="s">
        <v>55</v>
      </c>
      <c r="I2014" s="57">
        <v>0</v>
      </c>
      <c r="J2014" s="57"/>
      <c r="K2014" s="57">
        <v>1</v>
      </c>
      <c r="L2014" s="57">
        <v>1</v>
      </c>
      <c r="M2014" s="57">
        <f t="shared" si="311"/>
        <v>2</v>
      </c>
      <c r="N2014" s="57">
        <f>IF(OR(H2014="",H2014="sif",H2014="PM"),0,VLOOKUP(H2014,[5]CU!$C$4:$H$255,6,FALSE))</f>
        <v>0</v>
      </c>
      <c r="O2014" s="57"/>
      <c r="P2014" s="57"/>
      <c r="Q2014" s="57"/>
      <c r="R2014" s="57"/>
      <c r="S2014" s="57"/>
      <c r="T2014" s="38" t="s">
        <v>169</v>
      </c>
      <c r="U2014" s="19" t="s">
        <v>330</v>
      </c>
      <c r="V2014" s="19" t="str">
        <f>IF(OR($H2014="",$H2014="sif",$H2014="PM"),"",VLOOKUP($H2014,[5]CU!$C$5:$J$255,8,FALSE))</f>
        <v/>
      </c>
      <c r="W2014" s="19" t="s">
        <v>331</v>
      </c>
      <c r="X2014" s="19" t="s">
        <v>331</v>
      </c>
      <c r="Y2014" s="19" t="s">
        <v>32</v>
      </c>
      <c r="Z2014" s="19" t="str">
        <f>A2014 &amp; "-" &amp; VLOOKUP(A2014,[4]PROGRAMMES!$E$1:$F$7,2,FALSE)</f>
        <v>6-Education et alphabétisation des adultes</v>
      </c>
      <c r="AA2014" s="19" t="str">
        <f>B2014 &amp; "-" &amp; VLOOKUP(B2014,[4]SOUSPROGRAMMES!$E$1:$F$44,2,FALSE)</f>
        <v xml:space="preserve">63- Amélioration de la qualité </v>
      </c>
      <c r="AB2014" s="19" t="str">
        <f>C2014 &amp; "-" &amp; VLOOKUP(C2014,[4]RESULTATS!$E$1:$F$176,2,FALSE)</f>
        <v>631- Les curricula sont adaptés et maitrisés par les opérateurs et les formateurs</v>
      </c>
      <c r="AC2014" s="20" t="str">
        <f>D2014 &amp; "-" &amp; VLOOKUP(D2014,[4]STRATEGIES!$E$1:$F$504,2,FALSE)</f>
        <v>6311-Révision et d'adaptation des curricula de l'AEA</v>
      </c>
      <c r="AD2014" s="21" t="str">
        <f t="shared" si="307"/>
        <v>63113-dissémination (dans le cadre des missions de suivi)</v>
      </c>
    </row>
    <row r="2015" spans="1:30" s="22" customFormat="1" ht="45.75" hidden="1" x14ac:dyDescent="0.8">
      <c r="A2015" s="14">
        <v>6</v>
      </c>
      <c r="B2015" s="15">
        <v>63</v>
      </c>
      <c r="C2015" s="15">
        <v>631</v>
      </c>
      <c r="D2015" s="74">
        <v>6311</v>
      </c>
      <c r="E2015" s="14">
        <v>63114</v>
      </c>
      <c r="F2015" s="16" t="s">
        <v>2485</v>
      </c>
      <c r="G2015" s="21" t="s">
        <v>321</v>
      </c>
      <c r="H2015" s="17" t="s">
        <v>55</v>
      </c>
      <c r="I2015" s="56">
        <v>0</v>
      </c>
      <c r="J2015" s="56">
        <v>1</v>
      </c>
      <c r="K2015" s="56"/>
      <c r="L2015" s="56"/>
      <c r="M2015" s="56">
        <f t="shared" si="311"/>
        <v>1</v>
      </c>
      <c r="N2015" s="56">
        <f>IF(OR(H2015="",H2015="sif",H2015="PM"),0,VLOOKUP(H2015,[5]CU!$C$4:$H$255,6,FALSE))</f>
        <v>0</v>
      </c>
      <c r="O2015" s="56"/>
      <c r="P2015" s="56"/>
      <c r="Q2015" s="56"/>
      <c r="R2015" s="56"/>
      <c r="S2015" s="56"/>
      <c r="T2015" s="35" t="s">
        <v>56</v>
      </c>
      <c r="U2015" s="18" t="s">
        <v>330</v>
      </c>
      <c r="V2015" s="19" t="str">
        <f>IF(OR($H2015="",$H2015="sif",$H2015="PM"),"",VLOOKUP($H2015,[5]CU!$C$5:$J$255,8,FALSE))</f>
        <v/>
      </c>
      <c r="W2015" s="18" t="s">
        <v>331</v>
      </c>
      <c r="X2015" s="18" t="s">
        <v>331</v>
      </c>
      <c r="Y2015" s="19" t="s">
        <v>32</v>
      </c>
      <c r="Z2015" s="19" t="str">
        <f>A2015 &amp; "-" &amp; VLOOKUP(A2015,[4]PROGRAMMES!$E$1:$F$7,2,FALSE)</f>
        <v>6-Education et alphabétisation des adultes</v>
      </c>
      <c r="AA2015" s="19" t="str">
        <f>B2015 &amp; "-" &amp; VLOOKUP(B2015,[4]SOUSPROGRAMMES!$E$1:$F$44,2,FALSE)</f>
        <v xml:space="preserve">63- Amélioration de la qualité </v>
      </c>
      <c r="AB2015" s="19" t="str">
        <f>C2015 &amp; "-" &amp; VLOOKUP(C2015,[4]RESULTATS!$E$1:$F$176,2,FALSE)</f>
        <v>631- Les curricula sont adaptés et maitrisés par les opérateurs et les formateurs</v>
      </c>
      <c r="AC2015" s="20" t="str">
        <f>D2015 &amp; "-" &amp; VLOOKUP(D2015,[4]STRATEGIES!$E$1:$F$504,2,FALSE)</f>
        <v>6311-Révision et d'adaptation des curricula de l'AEA</v>
      </c>
      <c r="AD2015" s="21" t="str">
        <f t="shared" si="307"/>
        <v>63114-La révision de la durée des formations d'alphabétisation (Alpha initiale 6 mois, 1mois de consolidation et 5 mois de post alpha)</v>
      </c>
    </row>
    <row r="2016" spans="1:30" s="22" customFormat="1" ht="45.75" x14ac:dyDescent="0.8">
      <c r="A2016" s="14">
        <v>6</v>
      </c>
      <c r="B2016" s="15">
        <v>63</v>
      </c>
      <c r="C2016" s="15">
        <v>631</v>
      </c>
      <c r="D2016" s="74">
        <v>6312</v>
      </c>
      <c r="E2016" s="14">
        <v>6312</v>
      </c>
      <c r="F2016" s="16" t="s">
        <v>2486</v>
      </c>
      <c r="G2016" s="17"/>
      <c r="H2016" s="17"/>
      <c r="I2016" s="56">
        <v>0</v>
      </c>
      <c r="J2016" s="56"/>
      <c r="K2016" s="56"/>
      <c r="L2016" s="56"/>
      <c r="M2016" s="56"/>
      <c r="N2016" s="56"/>
      <c r="O2016" s="56"/>
      <c r="P2016" s="56"/>
      <c r="Q2016" s="56"/>
      <c r="R2016" s="56"/>
      <c r="S2016" s="56"/>
      <c r="T2016" s="33"/>
      <c r="U2016" s="18"/>
      <c r="V2016" s="19"/>
      <c r="W2016" s="18"/>
      <c r="X2016" s="18"/>
      <c r="Y2016" s="18"/>
      <c r="Z2016" s="19" t="str">
        <f>A2016 &amp; "-" &amp; VLOOKUP(A2016,[4]PROGRAMMES!$E$1:$F$7,2,FALSE)</f>
        <v>6-Education et alphabétisation des adultes</v>
      </c>
      <c r="AA2016" s="19" t="str">
        <f>B2016 &amp; "-" &amp; VLOOKUP(B2016,[4]SOUSPROGRAMMES!$E$1:$F$44,2,FALSE)</f>
        <v xml:space="preserve">63- Amélioration de la qualité </v>
      </c>
      <c r="AB2016" s="19" t="str">
        <f>C2016 &amp; "-" &amp; VLOOKUP(C2016,[4]RESULTATS!$E$1:$F$176,2,FALSE)</f>
        <v>631- Les curricula sont adaptés et maitrisés par les opérateurs et les formateurs</v>
      </c>
      <c r="AC2016" s="20" t="str">
        <f>D2016 &amp; "-" &amp; VLOOKUP(D2016,[4]STRATEGIES!$E$1:$F$504,2,FALSE)</f>
        <v>6312-Formation sur les nouveaux curricula</v>
      </c>
      <c r="AD2016" s="21" t="str">
        <f t="shared" si="307"/>
        <v>6312-Formation sur les nouveaux curricula</v>
      </c>
    </row>
    <row r="2017" spans="1:30" ht="45.75" hidden="1" x14ac:dyDescent="0.8">
      <c r="A2017" s="25">
        <v>6</v>
      </c>
      <c r="B2017" s="16">
        <v>63</v>
      </c>
      <c r="C2017" s="16">
        <v>631</v>
      </c>
      <c r="D2017" s="74">
        <v>6312</v>
      </c>
      <c r="E2017" s="25">
        <v>63121</v>
      </c>
      <c r="F2017" s="16" t="s">
        <v>2487</v>
      </c>
      <c r="G2017" s="21" t="s">
        <v>298</v>
      </c>
      <c r="H2017" s="21" t="s">
        <v>301</v>
      </c>
      <c r="I2017" s="57">
        <v>0</v>
      </c>
      <c r="J2017" s="57"/>
      <c r="K2017" s="57"/>
      <c r="L2017" s="57">
        <f>(30*2*4)*80.01%</f>
        <v>192.024</v>
      </c>
      <c r="M2017" s="57">
        <f>SUM(I2017:L2017)</f>
        <v>192.024</v>
      </c>
      <c r="N2017" s="57">
        <f>IF(OR(H2017="",H2017="sif",H2017="PM"),0,VLOOKUP(H2017,[5]CU!$C$4:$H$255,6,FALSE))</f>
        <v>0.67666666666666664</v>
      </c>
      <c r="O2017" s="57">
        <f>$N2017*I2017</f>
        <v>0</v>
      </c>
      <c r="P2017" s="57">
        <f>$N2017*J2017</f>
        <v>0</v>
      </c>
      <c r="Q2017" s="57">
        <f>$N2017*K2017</f>
        <v>0</v>
      </c>
      <c r="R2017" s="57">
        <f>$N2017*L2017</f>
        <v>129.93624</v>
      </c>
      <c r="S2017" s="57">
        <f>SUM(O2017:R2017)</f>
        <v>129.93624</v>
      </c>
      <c r="T2017" s="38" t="s">
        <v>169</v>
      </c>
      <c r="U2017" s="19" t="s">
        <v>330</v>
      </c>
      <c r="V2017" s="19" t="str">
        <f>IF(OR($H2017="",$H2017="sif",$H2017="PM"),"",VLOOKUP($H2017,[5]CU!$C$5:$J$255,8,FALSE))</f>
        <v>3. Formation</v>
      </c>
      <c r="W2017" s="19" t="s">
        <v>331</v>
      </c>
      <c r="X2017" s="19" t="s">
        <v>347</v>
      </c>
      <c r="Y2017" s="19" t="s">
        <v>32</v>
      </c>
      <c r="Z2017" s="19" t="str">
        <f>A2017 &amp; "-" &amp; VLOOKUP(A2017,[4]PROGRAMMES!$E$1:$F$7,2,FALSE)</f>
        <v>6-Education et alphabétisation des adultes</v>
      </c>
      <c r="AA2017" s="19" t="str">
        <f>B2017 &amp; "-" &amp; VLOOKUP(B2017,[4]SOUSPROGRAMMES!$E$1:$F$44,2,FALSE)</f>
        <v xml:space="preserve">63- Amélioration de la qualité </v>
      </c>
      <c r="AB2017" s="19" t="str">
        <f>C2017 &amp; "-" &amp; VLOOKUP(C2017,[4]RESULTATS!$E$1:$F$176,2,FALSE)</f>
        <v>631- Les curricula sont adaptés et maitrisés par les opérateurs et les formateurs</v>
      </c>
      <c r="AC2017" s="20" t="str">
        <f>D2017 &amp; "-" &amp; VLOOKUP(D2017,[4]STRATEGIES!$E$1:$F$504,2,FALSE)</f>
        <v>6312-Formation sur les nouveaux curricula</v>
      </c>
      <c r="AD2017" s="21" t="str">
        <f t="shared" si="307"/>
        <v>63121- formation des formateurs</v>
      </c>
    </row>
    <row r="2018" spans="1:30" s="22" customFormat="1" ht="45.75" x14ac:dyDescent="0.8">
      <c r="A2018" s="14">
        <v>6</v>
      </c>
      <c r="B2018" s="15">
        <v>63</v>
      </c>
      <c r="C2018" s="15">
        <v>631</v>
      </c>
      <c r="D2018" s="74">
        <v>6312</v>
      </c>
      <c r="E2018" s="14">
        <v>63121</v>
      </c>
      <c r="F2018" s="16" t="s">
        <v>2487</v>
      </c>
      <c r="G2018" s="21" t="s">
        <v>298</v>
      </c>
      <c r="H2018" s="17" t="s">
        <v>301</v>
      </c>
      <c r="I2018" s="56">
        <v>0</v>
      </c>
      <c r="J2018" s="56"/>
      <c r="K2018" s="56"/>
      <c r="L2018" s="56">
        <f>(30*2*4)*19.99%</f>
        <v>47.975999999999999</v>
      </c>
      <c r="M2018" s="56">
        <f t="shared" si="311"/>
        <v>47.975999999999999</v>
      </c>
      <c r="N2018" s="56">
        <f>IF(OR(H2018="",H2018="sif",H2018="PM"),0,VLOOKUP(H2018,[5]CU!$C$4:$H$255,6,FALSE))</f>
        <v>0.67666666666666664</v>
      </c>
      <c r="O2018" s="56">
        <f t="shared" ref="O2018:R2027" si="313">$N2018*I2018</f>
        <v>0</v>
      </c>
      <c r="P2018" s="56">
        <f t="shared" si="313"/>
        <v>0</v>
      </c>
      <c r="Q2018" s="56">
        <f t="shared" si="313"/>
        <v>0</v>
      </c>
      <c r="R2018" s="56">
        <f t="shared" si="313"/>
        <v>32.463760000000001</v>
      </c>
      <c r="S2018" s="56">
        <f t="shared" ref="S2018:S2027" si="314">SUM(O2018:R2018)</f>
        <v>32.463760000000001</v>
      </c>
      <c r="T2018" s="35" t="s">
        <v>118</v>
      </c>
      <c r="U2018" s="18" t="s">
        <v>330</v>
      </c>
      <c r="V2018" s="19" t="str">
        <f>IF(OR($H2018="",$H2018="sif",$H2018="PM"),"",VLOOKUP($H2018,[5]CU!$C$5:$J$255,8,FALSE))</f>
        <v>3. Formation</v>
      </c>
      <c r="W2018" s="18" t="s">
        <v>331</v>
      </c>
      <c r="X2018" s="18" t="s">
        <v>347</v>
      </c>
      <c r="Y2018" s="19" t="s">
        <v>32</v>
      </c>
      <c r="Z2018" s="19" t="str">
        <f>A2018 &amp; "-" &amp; VLOOKUP(A2018,[4]PROGRAMMES!$E$1:$F$7,2,FALSE)</f>
        <v>6-Education et alphabétisation des adultes</v>
      </c>
      <c r="AA2018" s="19" t="str">
        <f>B2018 &amp; "-" &amp; VLOOKUP(B2018,[4]SOUSPROGRAMMES!$E$1:$F$44,2,FALSE)</f>
        <v xml:space="preserve">63- Amélioration de la qualité </v>
      </c>
      <c r="AB2018" s="19" t="str">
        <f>C2018 &amp; "-" &amp; VLOOKUP(C2018,[4]RESULTATS!$E$1:$F$176,2,FALSE)</f>
        <v>631- Les curricula sont adaptés et maitrisés par les opérateurs et les formateurs</v>
      </c>
      <c r="AC2018" s="20" t="str">
        <f>D2018 &amp; "-" &amp; VLOOKUP(D2018,[4]STRATEGIES!$E$1:$F$504,2,FALSE)</f>
        <v>6312-Formation sur les nouveaux curricula</v>
      </c>
      <c r="AD2018" s="21" t="str">
        <f t="shared" si="307"/>
        <v>63121- formation des formateurs</v>
      </c>
    </row>
    <row r="2019" spans="1:30" ht="45.75" hidden="1" x14ac:dyDescent="0.8">
      <c r="A2019" s="25">
        <v>6</v>
      </c>
      <c r="B2019" s="16">
        <v>63</v>
      </c>
      <c r="C2019" s="16">
        <v>631</v>
      </c>
      <c r="D2019" s="74">
        <v>6312</v>
      </c>
      <c r="E2019" s="25">
        <v>63122</v>
      </c>
      <c r="F2019" s="16" t="s">
        <v>2488</v>
      </c>
      <c r="G2019" s="21" t="s">
        <v>298</v>
      </c>
      <c r="H2019" s="21" t="s">
        <v>301</v>
      </c>
      <c r="I2019" s="57">
        <v>0</v>
      </c>
      <c r="J2019" s="57"/>
      <c r="K2019" s="57">
        <f>(35*3*4)</f>
        <v>420</v>
      </c>
      <c r="L2019" s="57">
        <f>(35*3*4)</f>
        <v>420</v>
      </c>
      <c r="M2019" s="57">
        <f>SUM(I2019:L2019)</f>
        <v>840</v>
      </c>
      <c r="N2019" s="57">
        <f>IF(OR(H2019="",H2019="sif",H2019="PM"),0,VLOOKUP(H2019,[5]CU!$C$4:$H$255,6,FALSE))</f>
        <v>0.67666666666666664</v>
      </c>
      <c r="O2019" s="57">
        <f>$N2019*I2019</f>
        <v>0</v>
      </c>
      <c r="P2019" s="57">
        <f>$N2019*J2019</f>
        <v>0</v>
      </c>
      <c r="Q2019" s="57">
        <f>$N2019*K2019</f>
        <v>284.2</v>
      </c>
      <c r="R2019" s="57">
        <f>$N2019*L2019</f>
        <v>284.2</v>
      </c>
      <c r="S2019" s="57">
        <f>SUM(O2019:R2019)</f>
        <v>568.4</v>
      </c>
      <c r="T2019" s="38" t="s">
        <v>169</v>
      </c>
      <c r="U2019" s="19" t="s">
        <v>330</v>
      </c>
      <c r="V2019" s="19" t="str">
        <f>IF(OR($H2019="",$H2019="sif",$H2019="PM"),"",VLOOKUP($H2019,[5]CU!$C$5:$J$255,8,FALSE))</f>
        <v>3. Formation</v>
      </c>
      <c r="W2019" s="19" t="s">
        <v>331</v>
      </c>
      <c r="X2019" s="19" t="s">
        <v>347</v>
      </c>
      <c r="Y2019" s="19" t="s">
        <v>32</v>
      </c>
      <c r="Z2019" s="19" t="str">
        <f>A2019 &amp; "-" &amp; VLOOKUP(A2019,[4]PROGRAMMES!$E$1:$F$7,2,FALSE)</f>
        <v>6-Education et alphabétisation des adultes</v>
      </c>
      <c r="AA2019" s="19" t="str">
        <f>B2019 &amp; "-" &amp; VLOOKUP(B2019,[4]SOUSPROGRAMMES!$E$1:$F$44,2,FALSE)</f>
        <v xml:space="preserve">63- Amélioration de la qualité </v>
      </c>
      <c r="AB2019" s="19" t="str">
        <f>C2019 &amp; "-" &amp; VLOOKUP(C2019,[4]RESULTATS!$E$1:$F$176,2,FALSE)</f>
        <v>631- Les curricula sont adaptés et maitrisés par les opérateurs et les formateurs</v>
      </c>
      <c r="AC2019" s="20" t="str">
        <f>D2019 &amp; "-" &amp; VLOOKUP(D2019,[4]STRATEGIES!$E$1:$F$504,2,FALSE)</f>
        <v>6312-Formation sur les nouveaux curricula</v>
      </c>
      <c r="AD2019" s="21" t="str">
        <f t="shared" si="307"/>
        <v>63122-formation des superviseurs et animateurs</v>
      </c>
    </row>
    <row r="2020" spans="1:30" s="22" customFormat="1" ht="45.75" x14ac:dyDescent="0.8">
      <c r="A2020" s="14">
        <v>6</v>
      </c>
      <c r="B2020" s="15">
        <v>63</v>
      </c>
      <c r="C2020" s="15">
        <v>631</v>
      </c>
      <c r="D2020" s="74">
        <v>6312</v>
      </c>
      <c r="E2020" s="14">
        <v>63122</v>
      </c>
      <c r="F2020" s="16" t="s">
        <v>2488</v>
      </c>
      <c r="G2020" s="21" t="s">
        <v>298</v>
      </c>
      <c r="H2020" s="17" t="s">
        <v>301</v>
      </c>
      <c r="I2020" s="56">
        <v>0</v>
      </c>
      <c r="J2020" s="56"/>
      <c r="K2020" s="56"/>
      <c r="L2020" s="56">
        <f>(35*3*4)*19.99%</f>
        <v>83.957999999999998</v>
      </c>
      <c r="M2020" s="56">
        <f t="shared" si="311"/>
        <v>83.957999999999998</v>
      </c>
      <c r="N2020" s="56">
        <f>IF(OR(H2020="",H2020="sif",H2020="PM"),0,VLOOKUP(H2020,[5]CU!$C$4:$H$255,6,FALSE))</f>
        <v>0.67666666666666664</v>
      </c>
      <c r="O2020" s="56">
        <f t="shared" si="313"/>
        <v>0</v>
      </c>
      <c r="P2020" s="56">
        <f t="shared" si="313"/>
        <v>0</v>
      </c>
      <c r="Q2020" s="56">
        <f t="shared" si="313"/>
        <v>0</v>
      </c>
      <c r="R2020" s="56">
        <f t="shared" si="313"/>
        <v>56.811579999999999</v>
      </c>
      <c r="S2020" s="56">
        <f t="shared" si="314"/>
        <v>56.811579999999999</v>
      </c>
      <c r="T2020" s="35" t="s">
        <v>118</v>
      </c>
      <c r="U2020" s="18" t="s">
        <v>330</v>
      </c>
      <c r="V2020" s="19" t="str">
        <f>IF(OR($H2020="",$H2020="sif",$H2020="PM"),"",VLOOKUP($H2020,[5]CU!$C$5:$J$255,8,FALSE))</f>
        <v>3. Formation</v>
      </c>
      <c r="W2020" s="18" t="s">
        <v>331</v>
      </c>
      <c r="X2020" s="18" t="s">
        <v>347</v>
      </c>
      <c r="Y2020" s="19" t="s">
        <v>32</v>
      </c>
      <c r="Z2020" s="19" t="str">
        <f>A2020 &amp; "-" &amp; VLOOKUP(A2020,[4]PROGRAMMES!$E$1:$F$7,2,FALSE)</f>
        <v>6-Education et alphabétisation des adultes</v>
      </c>
      <c r="AA2020" s="19" t="str">
        <f>B2020 &amp; "-" &amp; VLOOKUP(B2020,[4]SOUSPROGRAMMES!$E$1:$F$44,2,FALSE)</f>
        <v xml:space="preserve">63- Amélioration de la qualité </v>
      </c>
      <c r="AB2020" s="19" t="str">
        <f>C2020 &amp; "-" &amp; VLOOKUP(C2020,[4]RESULTATS!$E$1:$F$176,2,FALSE)</f>
        <v>631- Les curricula sont adaptés et maitrisés par les opérateurs et les formateurs</v>
      </c>
      <c r="AC2020" s="20" t="str">
        <f>D2020 &amp; "-" &amp; VLOOKUP(D2020,[4]STRATEGIES!$E$1:$F$504,2,FALSE)</f>
        <v>6312-Formation sur les nouveaux curricula</v>
      </c>
      <c r="AD2020" s="21" t="str">
        <f t="shared" si="307"/>
        <v>63122-formation des superviseurs et animateurs</v>
      </c>
    </row>
    <row r="2021" spans="1:30" s="22" customFormat="1" ht="45.75" x14ac:dyDescent="0.8">
      <c r="A2021" s="14">
        <v>6</v>
      </c>
      <c r="B2021" s="15">
        <v>63</v>
      </c>
      <c r="C2021" s="15">
        <v>632</v>
      </c>
      <c r="D2021" s="74">
        <v>632</v>
      </c>
      <c r="E2021" s="14">
        <v>632</v>
      </c>
      <c r="F2021" s="16" t="s">
        <v>2489</v>
      </c>
      <c r="G2021" s="17"/>
      <c r="H2021" s="17"/>
      <c r="I2021" s="56">
        <v>0</v>
      </c>
      <c r="J2021" s="56"/>
      <c r="K2021" s="56"/>
      <c r="L2021" s="56"/>
      <c r="M2021" s="56"/>
      <c r="N2021" s="56"/>
      <c r="O2021" s="56"/>
      <c r="P2021" s="56"/>
      <c r="Q2021" s="56"/>
      <c r="R2021" s="56"/>
      <c r="S2021" s="56"/>
      <c r="T2021" s="33"/>
      <c r="U2021" s="18"/>
      <c r="V2021" s="19"/>
      <c r="W2021" s="18"/>
      <c r="X2021" s="18"/>
      <c r="Y2021" s="18"/>
      <c r="Z2021" s="19" t="str">
        <f>A2021 &amp; "-" &amp; VLOOKUP(A2021,[4]PROGRAMMES!$E$1:$F$7,2,FALSE)</f>
        <v>6-Education et alphabétisation des adultes</v>
      </c>
      <c r="AA2021" s="19" t="str">
        <f>B2021 &amp; "-" &amp; VLOOKUP(B2021,[4]SOUSPROGRAMMES!$E$1:$F$44,2,FALSE)</f>
        <v xml:space="preserve">63- Amélioration de la qualité </v>
      </c>
      <c r="AB2021" s="19" t="str">
        <f>C2021 &amp; "-" &amp; VLOOKUP(C2021,[4]RESULTATS!$E$1:$F$176,2,FALSE)</f>
        <v>632- Les bonnes pratiques d’AENF sont identifiées, améliorées et partagées</v>
      </c>
      <c r="AC2021" s="20" t="str">
        <f>D2021 &amp; "-" &amp; VLOOKUP(D2021,[4]STRATEGIES!$E$1:$F$504,2,FALSE)</f>
        <v>632- Les bonnes pratiques d’AENF sont identifiées, améliorées et partagées</v>
      </c>
      <c r="AD2021" s="21" t="str">
        <f t="shared" si="307"/>
        <v>632- Les bonnes pratiques d’AENF sont identifiées, améliorées et partagées</v>
      </c>
    </row>
    <row r="2022" spans="1:30" s="22" customFormat="1" ht="30" customHeight="1" x14ac:dyDescent="0.8">
      <c r="A2022" s="14">
        <v>6</v>
      </c>
      <c r="B2022" s="15">
        <v>63</v>
      </c>
      <c r="C2022" s="15">
        <v>632</v>
      </c>
      <c r="D2022" s="74">
        <v>6321</v>
      </c>
      <c r="E2022" s="14">
        <v>6321</v>
      </c>
      <c r="F2022" s="16" t="s">
        <v>2490</v>
      </c>
      <c r="G2022" s="17"/>
      <c r="H2022" s="17"/>
      <c r="I2022" s="56">
        <v>0</v>
      </c>
      <c r="J2022" s="56"/>
      <c r="K2022" s="56"/>
      <c r="L2022" s="56"/>
      <c r="M2022" s="56"/>
      <c r="N2022" s="56"/>
      <c r="O2022" s="56"/>
      <c r="P2022" s="56"/>
      <c r="Q2022" s="56"/>
      <c r="R2022" s="56"/>
      <c r="S2022" s="56"/>
      <c r="T2022" s="33"/>
      <c r="U2022" s="18"/>
      <c r="V2022" s="19"/>
      <c r="W2022" s="18"/>
      <c r="X2022" s="18"/>
      <c r="Y2022" s="18"/>
      <c r="Z2022" s="19" t="str">
        <f>A2022 &amp; "-" &amp; VLOOKUP(A2022,[4]PROGRAMMES!$E$1:$F$7,2,FALSE)</f>
        <v>6-Education et alphabétisation des adultes</v>
      </c>
      <c r="AA2022" s="19" t="str">
        <f>B2022 &amp; "-" &amp; VLOOKUP(B2022,[4]SOUSPROGRAMMES!$E$1:$F$44,2,FALSE)</f>
        <v xml:space="preserve">63- Amélioration de la qualité </v>
      </c>
      <c r="AB2022" s="19" t="str">
        <f>C2022 &amp; "-" &amp; VLOOKUP(C2022,[4]RESULTATS!$E$1:$F$176,2,FALSE)</f>
        <v>632- Les bonnes pratiques d’AENF sont identifiées, améliorées et partagées</v>
      </c>
      <c r="AC2022" s="20" t="str">
        <f>D2022 &amp; "-" &amp; VLOOKUP(D2022,[4]STRATEGIES!$E$1:$F$504,2,FALSE)</f>
        <v>6321-Mise en place d'un dispositif d'identification des innovations</v>
      </c>
      <c r="AD2022" s="21" t="str">
        <f t="shared" si="307"/>
        <v>6321-Mise en place d'un dispositif d'identification des innovations</v>
      </c>
    </row>
    <row r="2023" spans="1:30" s="22" customFormat="1" ht="30" customHeight="1" x14ac:dyDescent="0.8">
      <c r="A2023" s="14">
        <v>6</v>
      </c>
      <c r="B2023" s="15">
        <v>63</v>
      </c>
      <c r="C2023" s="15">
        <v>632</v>
      </c>
      <c r="D2023" s="74">
        <v>6321</v>
      </c>
      <c r="E2023" s="14">
        <v>63211</v>
      </c>
      <c r="F2023" s="16" t="s">
        <v>2491</v>
      </c>
      <c r="G2023" s="21" t="s">
        <v>2492</v>
      </c>
      <c r="H2023" s="17" t="s">
        <v>295</v>
      </c>
      <c r="I2023" s="56">
        <v>0</v>
      </c>
      <c r="J2023" s="56">
        <v>4</v>
      </c>
      <c r="K2023" s="56"/>
      <c r="L2023" s="56"/>
      <c r="M2023" s="56">
        <f t="shared" si="311"/>
        <v>4</v>
      </c>
      <c r="N2023" s="56">
        <f>IF(OR(H2023="",H2023="sif",H2023="PM"),0,VLOOKUP(H2023,[5]CU!$C$4:$H$255,6,FALSE))</f>
        <v>40.32</v>
      </c>
      <c r="O2023" s="56">
        <f t="shared" si="313"/>
        <v>0</v>
      </c>
      <c r="P2023" s="56">
        <f t="shared" si="313"/>
        <v>161.28</v>
      </c>
      <c r="Q2023" s="56">
        <f t="shared" si="313"/>
        <v>0</v>
      </c>
      <c r="R2023" s="56">
        <f t="shared" si="313"/>
        <v>0</v>
      </c>
      <c r="S2023" s="56">
        <f t="shared" si="314"/>
        <v>161.28</v>
      </c>
      <c r="T2023" s="35" t="s">
        <v>118</v>
      </c>
      <c r="U2023" s="18" t="s">
        <v>330</v>
      </c>
      <c r="V2023" s="19" t="str">
        <f>IF(OR($H2023="",$H2023="sif",$H2023="PM"),"",VLOOKUP($H2023,[5]CU!$C$5:$J$255,8,FALSE))</f>
        <v>3. Formation</v>
      </c>
      <c r="W2023" s="18" t="s">
        <v>331</v>
      </c>
      <c r="X2023" s="18" t="s">
        <v>331</v>
      </c>
      <c r="Y2023" s="19" t="s">
        <v>32</v>
      </c>
      <c r="Z2023" s="19" t="str">
        <f>A2023 &amp; "-" &amp; VLOOKUP(A2023,[4]PROGRAMMES!$E$1:$F$7,2,FALSE)</f>
        <v>6-Education et alphabétisation des adultes</v>
      </c>
      <c r="AA2023" s="19" t="str">
        <f>B2023 &amp; "-" &amp; VLOOKUP(B2023,[4]SOUSPROGRAMMES!$E$1:$F$44,2,FALSE)</f>
        <v xml:space="preserve">63- Amélioration de la qualité </v>
      </c>
      <c r="AB2023" s="19" t="str">
        <f>C2023 &amp; "-" &amp; VLOOKUP(C2023,[4]RESULTATS!$E$1:$F$176,2,FALSE)</f>
        <v>632- Les bonnes pratiques d’AENF sont identifiées, améliorées et partagées</v>
      </c>
      <c r="AC2023" s="20" t="str">
        <f>D2023 &amp; "-" &amp; VLOOKUP(D2023,[4]STRATEGIES!$E$1:$F$504,2,FALSE)</f>
        <v>6321-Mise en place d'un dispositif d'identification des innovations</v>
      </c>
      <c r="AD2023" s="21" t="str">
        <f t="shared" si="307"/>
        <v>63211-identification des bonnes pratiques (conjoint DNAENF et ONG)</v>
      </c>
    </row>
    <row r="2024" spans="1:30" s="22" customFormat="1" ht="30" customHeight="1" x14ac:dyDescent="0.8">
      <c r="A2024" s="14">
        <v>6</v>
      </c>
      <c r="B2024" s="15">
        <v>63</v>
      </c>
      <c r="C2024" s="15">
        <v>632</v>
      </c>
      <c r="D2024" s="74">
        <v>6321</v>
      </c>
      <c r="E2024" s="14">
        <v>63212</v>
      </c>
      <c r="F2024" s="16" t="s">
        <v>2493</v>
      </c>
      <c r="G2024" s="21" t="s">
        <v>298</v>
      </c>
      <c r="H2024" s="17" t="s">
        <v>38</v>
      </c>
      <c r="I2024" s="56">
        <v>0</v>
      </c>
      <c r="J2024" s="56">
        <f>35*2*4</f>
        <v>280</v>
      </c>
      <c r="K2024" s="56"/>
      <c r="L2024" s="56"/>
      <c r="M2024" s="56">
        <f t="shared" si="311"/>
        <v>280</v>
      </c>
      <c r="N2024" s="56">
        <f>IF(OR(H2024="",H2024="sif",H2024="PM"),0,VLOOKUP(H2024,[5]CU!$C$4:$H$255,6,FALSE))</f>
        <v>0.3133333333333333</v>
      </c>
      <c r="O2024" s="56">
        <f t="shared" si="313"/>
        <v>0</v>
      </c>
      <c r="P2024" s="56">
        <f t="shared" si="313"/>
        <v>87.73333333333332</v>
      </c>
      <c r="Q2024" s="56">
        <f t="shared" si="313"/>
        <v>0</v>
      </c>
      <c r="R2024" s="56">
        <f t="shared" si="313"/>
        <v>0</v>
      </c>
      <c r="S2024" s="56">
        <f t="shared" si="314"/>
        <v>87.73333333333332</v>
      </c>
      <c r="T2024" s="35" t="s">
        <v>118</v>
      </c>
      <c r="U2024" s="18" t="s">
        <v>330</v>
      </c>
      <c r="V2024" s="19" t="str">
        <f>IF(OR($H2024="",$H2024="sif",$H2024="PM"),"",VLOOKUP($H2024,[5]CU!$C$5:$J$255,8,FALSE))</f>
        <v>3. Formation</v>
      </c>
      <c r="W2024" s="18" t="s">
        <v>331</v>
      </c>
      <c r="X2024" s="18" t="s">
        <v>331</v>
      </c>
      <c r="Y2024" s="19" t="s">
        <v>32</v>
      </c>
      <c r="Z2024" s="19" t="str">
        <f>A2024 &amp; "-" &amp; VLOOKUP(A2024,[4]PROGRAMMES!$E$1:$F$7,2,FALSE)</f>
        <v>6-Education et alphabétisation des adultes</v>
      </c>
      <c r="AA2024" s="19" t="str">
        <f>B2024 &amp; "-" &amp; VLOOKUP(B2024,[4]SOUSPROGRAMMES!$E$1:$F$44,2,FALSE)</f>
        <v xml:space="preserve">63- Amélioration de la qualité </v>
      </c>
      <c r="AB2024" s="19" t="str">
        <f>C2024 &amp; "-" &amp; VLOOKUP(C2024,[4]RESULTATS!$E$1:$F$176,2,FALSE)</f>
        <v>632- Les bonnes pratiques d’AENF sont identifiées, améliorées et partagées</v>
      </c>
      <c r="AC2024" s="20" t="str">
        <f>D2024 &amp; "-" &amp; VLOOKUP(D2024,[4]STRATEGIES!$E$1:$F$504,2,FALSE)</f>
        <v>6321-Mise en place d'un dispositif d'identification des innovations</v>
      </c>
      <c r="AD2024" s="21" t="str">
        <f t="shared" si="307"/>
        <v xml:space="preserve">63212-Partage des résultats du voyage d'études </v>
      </c>
    </row>
    <row r="2025" spans="1:30" s="22" customFormat="1" ht="30" customHeight="1" x14ac:dyDescent="0.8">
      <c r="A2025" s="14">
        <v>6</v>
      </c>
      <c r="B2025" s="15">
        <v>63</v>
      </c>
      <c r="C2025" s="15">
        <v>632</v>
      </c>
      <c r="D2025" s="74">
        <v>6321</v>
      </c>
      <c r="E2025" s="14">
        <v>63212</v>
      </c>
      <c r="F2025" s="16" t="s">
        <v>2494</v>
      </c>
      <c r="G2025" s="21" t="s">
        <v>167</v>
      </c>
      <c r="H2025" s="17" t="s">
        <v>101</v>
      </c>
      <c r="I2025" s="56">
        <v>0</v>
      </c>
      <c r="J2025" s="56">
        <f>1*10*1</f>
        <v>10</v>
      </c>
      <c r="K2025" s="56"/>
      <c r="L2025" s="56"/>
      <c r="M2025" s="56">
        <f t="shared" si="311"/>
        <v>10</v>
      </c>
      <c r="N2025" s="56">
        <f>IF(OR(H2025="",H2025="sif",H2025="PM"),0,VLOOKUP(H2025,[5]CU!$C$4:$H$255,6,FALSE))</f>
        <v>2.651545</v>
      </c>
      <c r="O2025" s="56">
        <f t="shared" si="313"/>
        <v>0</v>
      </c>
      <c r="P2025" s="56">
        <f t="shared" si="313"/>
        <v>26.515450000000001</v>
      </c>
      <c r="Q2025" s="56">
        <f t="shared" si="313"/>
        <v>0</v>
      </c>
      <c r="R2025" s="56">
        <f t="shared" si="313"/>
        <v>0</v>
      </c>
      <c r="S2025" s="56">
        <f t="shared" si="314"/>
        <v>26.515450000000001</v>
      </c>
      <c r="T2025" s="35" t="s">
        <v>118</v>
      </c>
      <c r="U2025" s="18" t="s">
        <v>330</v>
      </c>
      <c r="V2025" s="19" t="str">
        <f>IF(OR($H2025="",$H2025="sif",$H2025="PM"),"",VLOOKUP($H2025,[5]CU!$C$5:$J$255,8,FALSE))</f>
        <v>3. Dépenses de fonctionnement</v>
      </c>
      <c r="W2025" s="18" t="s">
        <v>331</v>
      </c>
      <c r="X2025" s="18" t="s">
        <v>331</v>
      </c>
      <c r="Y2025" s="19" t="s">
        <v>32</v>
      </c>
      <c r="Z2025" s="19" t="str">
        <f>A2025 &amp; "-" &amp; VLOOKUP(A2025,[4]PROGRAMMES!$E$1:$F$7,2,FALSE)</f>
        <v>6-Education et alphabétisation des adultes</v>
      </c>
      <c r="AA2025" s="19" t="str">
        <f>B2025 &amp; "-" &amp; VLOOKUP(B2025,[4]SOUSPROGRAMMES!$E$1:$F$44,2,FALSE)</f>
        <v xml:space="preserve">63- Amélioration de la qualité </v>
      </c>
      <c r="AB2025" s="19" t="str">
        <f>C2025 &amp; "-" &amp; VLOOKUP(C2025,[4]RESULTATS!$E$1:$F$176,2,FALSE)</f>
        <v>632- Les bonnes pratiques d’AENF sont identifiées, améliorées et partagées</v>
      </c>
      <c r="AC2025" s="20" t="str">
        <f>D2025 &amp; "-" &amp; VLOOKUP(D2025,[4]STRATEGIES!$E$1:$F$504,2,FALSE)</f>
        <v>6321-Mise en place d'un dispositif d'identification des innovations</v>
      </c>
      <c r="AD2025" s="21" t="str">
        <f t="shared" si="307"/>
        <v>63212-Elaboration de guides sur les innovations</v>
      </c>
    </row>
    <row r="2026" spans="1:30" s="22" customFormat="1" ht="30" hidden="1" customHeight="1" x14ac:dyDescent="0.8">
      <c r="A2026" s="14">
        <v>6</v>
      </c>
      <c r="B2026" s="15">
        <v>63</v>
      </c>
      <c r="C2026" s="15">
        <v>632</v>
      </c>
      <c r="D2026" s="74">
        <v>6321</v>
      </c>
      <c r="E2026" s="14">
        <v>63213</v>
      </c>
      <c r="F2026" s="16" t="s">
        <v>2495</v>
      </c>
      <c r="G2026" s="21" t="s">
        <v>298</v>
      </c>
      <c r="H2026" s="17" t="s">
        <v>301</v>
      </c>
      <c r="I2026" s="56">
        <v>0</v>
      </c>
      <c r="J2026" s="56"/>
      <c r="K2026" s="56">
        <f>(35*3*4)*80.01%</f>
        <v>336.04200000000003</v>
      </c>
      <c r="L2026" s="56"/>
      <c r="M2026" s="56">
        <f>SUM(I2026:L2026)</f>
        <v>336.04200000000003</v>
      </c>
      <c r="N2026" s="56">
        <f>IF(OR(H2026="",H2026="sif",H2026="PM"),0,VLOOKUP(H2026,[5]CU!$C$4:$H$255,6,FALSE))</f>
        <v>0.67666666666666664</v>
      </c>
      <c r="O2026" s="56">
        <f>$N2026*I2026</f>
        <v>0</v>
      </c>
      <c r="P2026" s="56">
        <f>$N2026*J2026</f>
        <v>0</v>
      </c>
      <c r="Q2026" s="56">
        <f>$N2026*K2026</f>
        <v>227.38842000000002</v>
      </c>
      <c r="R2026" s="56">
        <f>$N2026*L2026</f>
        <v>0</v>
      </c>
      <c r="S2026" s="56">
        <f>SUM(O2026:R2026)</f>
        <v>227.38842000000002</v>
      </c>
      <c r="T2026" s="35" t="s">
        <v>56</v>
      </c>
      <c r="U2026" s="18" t="s">
        <v>330</v>
      </c>
      <c r="V2026" s="19" t="str">
        <f>IF(OR($H2026="",$H2026="sif",$H2026="PM"),"",VLOOKUP($H2026,[5]CU!$C$5:$J$255,8,FALSE))</f>
        <v>3. Formation</v>
      </c>
      <c r="W2026" s="18" t="s">
        <v>331</v>
      </c>
      <c r="X2026" s="18" t="s">
        <v>331</v>
      </c>
      <c r="Y2026" s="19" t="s">
        <v>32</v>
      </c>
      <c r="Z2026" s="19" t="str">
        <f>A2026 &amp; "-" &amp; VLOOKUP(A2026,[4]PROGRAMMES!$E$1:$F$7,2,FALSE)</f>
        <v>6-Education et alphabétisation des adultes</v>
      </c>
      <c r="AA2026" s="19" t="str">
        <f>B2026 &amp; "-" &amp; VLOOKUP(B2026,[4]SOUSPROGRAMMES!$E$1:$F$44,2,FALSE)</f>
        <v xml:space="preserve">63- Amélioration de la qualité </v>
      </c>
      <c r="AB2026" s="19" t="str">
        <f>C2026 &amp; "-" &amp; VLOOKUP(C2026,[4]RESULTATS!$E$1:$F$176,2,FALSE)</f>
        <v>632- Les bonnes pratiques d’AENF sont identifiées, améliorées et partagées</v>
      </c>
      <c r="AC2026" s="20" t="str">
        <f>D2026 &amp; "-" &amp; VLOOKUP(D2026,[4]STRATEGIES!$E$1:$F$504,2,FALSE)</f>
        <v>6321-Mise en place d'un dispositif d'identification des innovations</v>
      </c>
      <c r="AD2026" s="21" t="str">
        <f t="shared" si="307"/>
        <v>63213-formation des superviseurs et animateurs sur les innovations</v>
      </c>
    </row>
    <row r="2027" spans="1:30" s="22" customFormat="1" ht="30" customHeight="1" x14ac:dyDescent="0.8">
      <c r="A2027" s="14">
        <v>6</v>
      </c>
      <c r="B2027" s="15">
        <v>63</v>
      </c>
      <c r="C2027" s="15">
        <v>632</v>
      </c>
      <c r="D2027" s="74">
        <v>6321</v>
      </c>
      <c r="E2027" s="14">
        <v>63213</v>
      </c>
      <c r="F2027" s="16" t="s">
        <v>2495</v>
      </c>
      <c r="G2027" s="21" t="s">
        <v>298</v>
      </c>
      <c r="H2027" s="17" t="s">
        <v>301</v>
      </c>
      <c r="I2027" s="56">
        <v>0</v>
      </c>
      <c r="J2027" s="56"/>
      <c r="K2027" s="56">
        <f>(35*3*4)*19.99%</f>
        <v>83.957999999999998</v>
      </c>
      <c r="L2027" s="56"/>
      <c r="M2027" s="56">
        <f t="shared" si="311"/>
        <v>83.957999999999998</v>
      </c>
      <c r="N2027" s="56">
        <f>IF(OR(H2027="",H2027="sif",H2027="PM"),0,VLOOKUP(H2027,[5]CU!$C$4:$H$255,6,FALSE))</f>
        <v>0.67666666666666664</v>
      </c>
      <c r="O2027" s="56">
        <f t="shared" si="313"/>
        <v>0</v>
      </c>
      <c r="P2027" s="56">
        <f t="shared" si="313"/>
        <v>0</v>
      </c>
      <c r="Q2027" s="56">
        <f t="shared" si="313"/>
        <v>56.811579999999999</v>
      </c>
      <c r="R2027" s="56">
        <f t="shared" si="313"/>
        <v>0</v>
      </c>
      <c r="S2027" s="56">
        <f t="shared" si="314"/>
        <v>56.811579999999999</v>
      </c>
      <c r="T2027" s="35" t="s">
        <v>118</v>
      </c>
      <c r="U2027" s="18" t="s">
        <v>330</v>
      </c>
      <c r="V2027" s="19" t="str">
        <f>IF(OR($H2027="",$H2027="sif",$H2027="PM"),"",VLOOKUP($H2027,[5]CU!$C$5:$J$255,8,FALSE))</f>
        <v>3. Formation</v>
      </c>
      <c r="W2027" s="18" t="s">
        <v>331</v>
      </c>
      <c r="X2027" s="18" t="s">
        <v>331</v>
      </c>
      <c r="Y2027" s="19" t="s">
        <v>32</v>
      </c>
      <c r="Z2027" s="19" t="str">
        <f>A2027 &amp; "-" &amp; VLOOKUP(A2027,[4]PROGRAMMES!$E$1:$F$7,2,FALSE)</f>
        <v>6-Education et alphabétisation des adultes</v>
      </c>
      <c r="AA2027" s="19" t="str">
        <f>B2027 &amp; "-" &amp; VLOOKUP(B2027,[4]SOUSPROGRAMMES!$E$1:$F$44,2,FALSE)</f>
        <v xml:space="preserve">63- Amélioration de la qualité </v>
      </c>
      <c r="AB2027" s="19" t="str">
        <f>C2027 &amp; "-" &amp; VLOOKUP(C2027,[4]RESULTATS!$E$1:$F$176,2,FALSE)</f>
        <v>632- Les bonnes pratiques d’AENF sont identifiées, améliorées et partagées</v>
      </c>
      <c r="AC2027" s="20" t="str">
        <f>D2027 &amp; "-" &amp; VLOOKUP(D2027,[4]STRATEGIES!$E$1:$F$504,2,FALSE)</f>
        <v>6321-Mise en place d'un dispositif d'identification des innovations</v>
      </c>
      <c r="AD2027" s="21" t="str">
        <f t="shared" si="307"/>
        <v>63213-formation des superviseurs et animateurs sur les innovations</v>
      </c>
    </row>
    <row r="2028" spans="1:30" s="22" customFormat="1" ht="30" hidden="1" customHeight="1" x14ac:dyDescent="0.8">
      <c r="A2028" s="14">
        <v>6</v>
      </c>
      <c r="B2028" s="15">
        <v>63</v>
      </c>
      <c r="C2028" s="15">
        <v>632</v>
      </c>
      <c r="D2028" s="74">
        <v>6321</v>
      </c>
      <c r="E2028" s="14">
        <v>63214</v>
      </c>
      <c r="F2028" s="16" t="s">
        <v>2496</v>
      </c>
      <c r="G2028" s="21" t="s">
        <v>436</v>
      </c>
      <c r="H2028" s="17" t="s">
        <v>55</v>
      </c>
      <c r="I2028" s="56">
        <v>0</v>
      </c>
      <c r="J2028" s="56"/>
      <c r="K2028" s="56">
        <v>1</v>
      </c>
      <c r="L2028" s="56">
        <v>1</v>
      </c>
      <c r="M2028" s="56">
        <f t="shared" si="311"/>
        <v>2</v>
      </c>
      <c r="N2028" s="56">
        <f>IF(OR(H2028="",H2028="sif",H2028="PM"),0,VLOOKUP(H2028,[5]CU!$C$4:$H$255,6,FALSE))</f>
        <v>0</v>
      </c>
      <c r="O2028" s="56"/>
      <c r="P2028" s="56"/>
      <c r="Q2028" s="56"/>
      <c r="R2028" s="56"/>
      <c r="S2028" s="56"/>
      <c r="T2028" s="35" t="s">
        <v>56</v>
      </c>
      <c r="U2028" s="18" t="s">
        <v>330</v>
      </c>
      <c r="V2028" s="19" t="str">
        <f>IF(OR($H2028="",$H2028="sif",$H2028="PM"),"",VLOOKUP($H2028,[5]CU!$C$5:$J$255,8,FALSE))</f>
        <v/>
      </c>
      <c r="W2028" s="18" t="s">
        <v>331</v>
      </c>
      <c r="X2028" s="18" t="s">
        <v>222</v>
      </c>
      <c r="Y2028" s="19" t="s">
        <v>32</v>
      </c>
      <c r="Z2028" s="19" t="str">
        <f>A2028 &amp; "-" &amp; VLOOKUP(A2028,[4]PROGRAMMES!$E$1:$F$7,2,FALSE)</f>
        <v>6-Education et alphabétisation des adultes</v>
      </c>
      <c r="AA2028" s="19" t="str">
        <f>B2028 &amp; "-" &amp; VLOOKUP(B2028,[4]SOUSPROGRAMMES!$E$1:$F$44,2,FALSE)</f>
        <v xml:space="preserve">63- Amélioration de la qualité </v>
      </c>
      <c r="AB2028" s="19" t="str">
        <f>C2028 &amp; "-" &amp; VLOOKUP(C2028,[4]RESULTATS!$E$1:$F$176,2,FALSE)</f>
        <v>632- Les bonnes pratiques d’AENF sont identifiées, améliorées et partagées</v>
      </c>
      <c r="AC2028" s="20" t="str">
        <f>D2028 &amp; "-" &amp; VLOOKUP(D2028,[4]STRATEGIES!$E$1:$F$504,2,FALSE)</f>
        <v>6321-Mise en place d'un dispositif d'identification des innovations</v>
      </c>
      <c r="AD2028" s="21" t="str">
        <f t="shared" si="307"/>
        <v>63214-expérimentation des bonnes pratiques (par les centres)</v>
      </c>
    </row>
    <row r="2029" spans="1:30" s="22" customFormat="1" ht="30" hidden="1" customHeight="1" x14ac:dyDescent="0.8">
      <c r="A2029" s="14">
        <v>6</v>
      </c>
      <c r="B2029" s="15">
        <v>63</v>
      </c>
      <c r="C2029" s="15">
        <v>632</v>
      </c>
      <c r="D2029" s="74">
        <v>6321</v>
      </c>
      <c r="E2029" s="14">
        <v>63215</v>
      </c>
      <c r="F2029" s="16" t="s">
        <v>2497</v>
      </c>
      <c r="G2029" s="21" t="s">
        <v>298</v>
      </c>
      <c r="H2029" s="17" t="s">
        <v>66</v>
      </c>
      <c r="I2029" s="56">
        <v>0</v>
      </c>
      <c r="J2029" s="56"/>
      <c r="K2029" s="56"/>
      <c r="L2029" s="56">
        <f>35*4*1</f>
        <v>140</v>
      </c>
      <c r="M2029" s="56">
        <f t="shared" si="311"/>
        <v>140</v>
      </c>
      <c r="N2029" s="56">
        <f>IF(OR(H2029="",H2029="sif",H2029="PM"),0,VLOOKUP(H2029,[5]CU!$C$4:$H$255,6,FALSE))</f>
        <v>0.255</v>
      </c>
      <c r="O2029" s="56">
        <f t="shared" ref="O2029:R2033" si="315">$N2029*I2029</f>
        <v>0</v>
      </c>
      <c r="P2029" s="56">
        <f t="shared" si="315"/>
        <v>0</v>
      </c>
      <c r="Q2029" s="56">
        <f t="shared" si="315"/>
        <v>0</v>
      </c>
      <c r="R2029" s="56">
        <f t="shared" si="315"/>
        <v>35.700000000000003</v>
      </c>
      <c r="S2029" s="56">
        <f>SUM(O2029:R2029)</f>
        <v>35.700000000000003</v>
      </c>
      <c r="T2029" s="35" t="s">
        <v>56</v>
      </c>
      <c r="U2029" s="18" t="s">
        <v>330</v>
      </c>
      <c r="V2029" s="19" t="str">
        <f>IF(OR($H2029="",$H2029="sif",$H2029="PM"),"",VLOOKUP($H2029,[5]CU!$C$5:$J$255,8,FALSE))</f>
        <v>3. Dépenses de fonctionnement</v>
      </c>
      <c r="W2029" s="18" t="s">
        <v>331</v>
      </c>
      <c r="X2029" s="18" t="s">
        <v>331</v>
      </c>
      <c r="Y2029" s="19" t="s">
        <v>32</v>
      </c>
      <c r="Z2029" s="19" t="str">
        <f>A2029 &amp; "-" &amp; VLOOKUP(A2029,[4]PROGRAMMES!$E$1:$F$7,2,FALSE)</f>
        <v>6-Education et alphabétisation des adultes</v>
      </c>
      <c r="AA2029" s="19" t="str">
        <f>B2029 &amp; "-" &amp; VLOOKUP(B2029,[4]SOUSPROGRAMMES!$E$1:$F$44,2,FALSE)</f>
        <v xml:space="preserve">63- Amélioration de la qualité </v>
      </c>
      <c r="AB2029" s="19" t="str">
        <f>C2029 &amp; "-" &amp; VLOOKUP(C2029,[4]RESULTATS!$E$1:$F$176,2,FALSE)</f>
        <v>632- Les bonnes pratiques d’AENF sont identifiées, améliorées et partagées</v>
      </c>
      <c r="AC2029" s="20" t="str">
        <f>D2029 &amp; "-" &amp; VLOOKUP(D2029,[4]STRATEGIES!$E$1:$F$504,2,FALSE)</f>
        <v>6321-Mise en place d'un dispositif d'identification des innovations</v>
      </c>
      <c r="AD2029" s="21" t="str">
        <f t="shared" si="307"/>
        <v>63215-bonnes pratiques capitalisées et diffusée (Rapport)</v>
      </c>
    </row>
    <row r="2030" spans="1:30" s="22" customFormat="1" ht="30" hidden="1" customHeight="1" x14ac:dyDescent="0.8">
      <c r="A2030" s="14">
        <v>6</v>
      </c>
      <c r="B2030" s="15">
        <v>63</v>
      </c>
      <c r="C2030" s="15">
        <v>632</v>
      </c>
      <c r="D2030" s="74">
        <v>6321</v>
      </c>
      <c r="E2030" s="14">
        <v>63216</v>
      </c>
      <c r="F2030" s="16" t="s">
        <v>2498</v>
      </c>
      <c r="G2030" s="21" t="s">
        <v>451</v>
      </c>
      <c r="H2030" s="17" t="s">
        <v>45</v>
      </c>
      <c r="I2030" s="56">
        <v>0</v>
      </c>
      <c r="J2030" s="56"/>
      <c r="K2030" s="56"/>
      <c r="L2030" s="56">
        <f>200</f>
        <v>200</v>
      </c>
      <c r="M2030" s="56">
        <f t="shared" si="311"/>
        <v>200</v>
      </c>
      <c r="N2030" s="56">
        <f>IF(OR(H2030="",H2030="sif",H2030="PM"),0,VLOOKUP(H2030,[5]CU!$C$4:$H$255,6,FALSE))</f>
        <v>0.03</v>
      </c>
      <c r="O2030" s="56">
        <f t="shared" si="315"/>
        <v>0</v>
      </c>
      <c r="P2030" s="56">
        <f t="shared" si="315"/>
        <v>0</v>
      </c>
      <c r="Q2030" s="56">
        <f t="shared" si="315"/>
        <v>0</v>
      </c>
      <c r="R2030" s="56">
        <f t="shared" si="315"/>
        <v>6</v>
      </c>
      <c r="S2030" s="56">
        <f>SUM(O2030:R2030)</f>
        <v>6</v>
      </c>
      <c r="T2030" s="35" t="s">
        <v>56</v>
      </c>
      <c r="U2030" s="18" t="s">
        <v>330</v>
      </c>
      <c r="V2030" s="19" t="str">
        <f>IF(OR($H2030="",$H2030="sif",$H2030="PM"),"",VLOOKUP($H2030,[5]CU!$C$5:$J$255,8,FALSE))</f>
        <v>3. Manuels scolaires et matériels pédagogiques</v>
      </c>
      <c r="W2030" s="18" t="s">
        <v>331</v>
      </c>
      <c r="X2030" s="18" t="s">
        <v>331</v>
      </c>
      <c r="Y2030" s="19" t="s">
        <v>32</v>
      </c>
      <c r="Z2030" s="19" t="str">
        <f>A2030 &amp; "-" &amp; VLOOKUP(A2030,[4]PROGRAMMES!$E$1:$F$7,2,FALSE)</f>
        <v>6-Education et alphabétisation des adultes</v>
      </c>
      <c r="AA2030" s="19" t="str">
        <f>B2030 &amp; "-" &amp; VLOOKUP(B2030,[4]SOUSPROGRAMMES!$E$1:$F$44,2,FALSE)</f>
        <v xml:space="preserve">63- Amélioration de la qualité </v>
      </c>
      <c r="AB2030" s="19" t="str">
        <f>C2030 &amp; "-" &amp; VLOOKUP(C2030,[4]RESULTATS!$E$1:$F$176,2,FALSE)</f>
        <v>632- Les bonnes pratiques d’AENF sont identifiées, améliorées et partagées</v>
      </c>
      <c r="AC2030" s="20" t="str">
        <f>D2030 &amp; "-" &amp; VLOOKUP(D2030,[4]STRATEGIES!$E$1:$F$504,2,FALSE)</f>
        <v>6321-Mise en place d'un dispositif d'identification des innovations</v>
      </c>
      <c r="AD2030" s="21" t="str">
        <f t="shared" si="307"/>
        <v>63216-multiplication et vulgarisation du rapport sur les bonnes pratiques</v>
      </c>
    </row>
    <row r="2031" spans="1:30" s="22" customFormat="1" ht="45" customHeight="1" x14ac:dyDescent="0.8">
      <c r="A2031" s="14">
        <v>6</v>
      </c>
      <c r="B2031" s="15">
        <v>63</v>
      </c>
      <c r="C2031" s="15">
        <v>633</v>
      </c>
      <c r="D2031" s="74">
        <v>633</v>
      </c>
      <c r="E2031" s="14">
        <v>633</v>
      </c>
      <c r="F2031" s="16" t="s">
        <v>2499</v>
      </c>
      <c r="G2031" s="17"/>
      <c r="H2031" s="17"/>
      <c r="I2031" s="56">
        <v>0</v>
      </c>
      <c r="J2031" s="56"/>
      <c r="K2031" s="56"/>
      <c r="L2031" s="56"/>
      <c r="M2031" s="56"/>
      <c r="N2031" s="56"/>
      <c r="O2031" s="56"/>
      <c r="P2031" s="56"/>
      <c r="Q2031" s="56"/>
      <c r="R2031" s="56"/>
      <c r="S2031" s="56"/>
      <c r="T2031" s="33"/>
      <c r="U2031" s="18"/>
      <c r="V2031" s="19"/>
      <c r="W2031" s="18"/>
      <c r="X2031" s="18"/>
      <c r="Y2031" s="18"/>
      <c r="Z2031" s="19" t="str">
        <f>A2031 &amp; "-" &amp; VLOOKUP(A2031,[4]PROGRAMMES!$E$1:$F$7,2,FALSE)</f>
        <v>6-Education et alphabétisation des adultes</v>
      </c>
      <c r="AA2031" s="19" t="str">
        <f>B2031 &amp; "-" &amp; VLOOKUP(B2031,[4]SOUSPROGRAMMES!$E$1:$F$44,2,FALSE)</f>
        <v xml:space="preserve">63- Amélioration de la qualité </v>
      </c>
      <c r="AB2031" s="19" t="str">
        <f>C2031 &amp; "-" &amp; VLOOKUP(C2031,[4]RESULTATS!$E$1:$F$176,2,FALSE)</f>
        <v>633- Des modules de formation en andragogie sont intégrés dans les cursus de la formation initiale des enseignants</v>
      </c>
      <c r="AC2031" s="20" t="str">
        <f>D2031 &amp; "-" &amp; VLOOKUP(D2031,[4]STRATEGIES!$E$1:$F$504,2,FALSE)</f>
        <v>633- Des modules de formation en andragogie sont intégrés dans les cursus de la formation initiale des enseignants</v>
      </c>
      <c r="AD2031" s="21" t="str">
        <f t="shared" si="307"/>
        <v>633- Des modules de formation en andragogie sont intégrés dans les cursus de la formation initiale des enseignants</v>
      </c>
    </row>
    <row r="2032" spans="1:30" s="22" customFormat="1" ht="45" customHeight="1" x14ac:dyDescent="0.8">
      <c r="A2032" s="14">
        <v>6</v>
      </c>
      <c r="B2032" s="15">
        <v>63</v>
      </c>
      <c r="C2032" s="15">
        <v>633</v>
      </c>
      <c r="D2032" s="74">
        <v>6331</v>
      </c>
      <c r="E2032" s="14">
        <v>6331</v>
      </c>
      <c r="F2032" s="16" t="s">
        <v>2500</v>
      </c>
      <c r="G2032" s="17"/>
      <c r="H2032" s="17"/>
      <c r="I2032" s="56">
        <v>0</v>
      </c>
      <c r="J2032" s="56"/>
      <c r="K2032" s="56"/>
      <c r="L2032" s="56"/>
      <c r="M2032" s="56"/>
      <c r="N2032" s="56"/>
      <c r="O2032" s="56"/>
      <c r="P2032" s="56"/>
      <c r="Q2032" s="56"/>
      <c r="R2032" s="56"/>
      <c r="S2032" s="56"/>
      <c r="T2032" s="33"/>
      <c r="U2032" s="18"/>
      <c r="V2032" s="19"/>
      <c r="W2032" s="18"/>
      <c r="X2032" s="18"/>
      <c r="Y2032" s="18"/>
      <c r="Z2032" s="19" t="str">
        <f>A2032 &amp; "-" &amp; VLOOKUP(A2032,[4]PROGRAMMES!$E$1:$F$7,2,FALSE)</f>
        <v>6-Education et alphabétisation des adultes</v>
      </c>
      <c r="AA2032" s="19" t="str">
        <f>B2032 &amp; "-" &amp; VLOOKUP(B2032,[4]SOUSPROGRAMMES!$E$1:$F$44,2,FALSE)</f>
        <v xml:space="preserve">63- Amélioration de la qualité </v>
      </c>
      <c r="AB2032" s="19" t="str">
        <f>C2032 &amp; "-" &amp; VLOOKUP(C2032,[4]RESULTATS!$E$1:$F$176,2,FALSE)</f>
        <v>633- Des modules de formation en andragogie sont intégrés dans les cursus de la formation initiale des enseignants</v>
      </c>
      <c r="AC2032" s="20" t="str">
        <f>D2032 &amp; "-" &amp; VLOOKUP(D2032,[4]STRATEGIES!$E$1:$F$504,2,FALSE)</f>
        <v>6331-Développement de modules de formations</v>
      </c>
      <c r="AD2032" s="21" t="str">
        <f t="shared" si="307"/>
        <v>6331-Développement de modules de formations</v>
      </c>
    </row>
    <row r="2033" spans="1:30" s="22" customFormat="1" ht="45" customHeight="1" x14ac:dyDescent="0.8">
      <c r="A2033" s="14">
        <v>6</v>
      </c>
      <c r="B2033" s="15">
        <v>63</v>
      </c>
      <c r="C2033" s="15">
        <v>633</v>
      </c>
      <c r="D2033" s="74">
        <v>6331</v>
      </c>
      <c r="E2033" s="14">
        <v>63311</v>
      </c>
      <c r="F2033" s="16" t="s">
        <v>2501</v>
      </c>
      <c r="G2033" s="21" t="s">
        <v>167</v>
      </c>
      <c r="H2033" s="17" t="s">
        <v>101</v>
      </c>
      <c r="I2033" s="56">
        <v>0</v>
      </c>
      <c r="J2033" s="56">
        <f>3*15</f>
        <v>45</v>
      </c>
      <c r="K2033" s="56"/>
      <c r="L2033" s="56"/>
      <c r="M2033" s="56">
        <f t="shared" si="311"/>
        <v>45</v>
      </c>
      <c r="N2033" s="56">
        <f>IF(OR(H2033="",H2033="sif",H2033="PM"),0,VLOOKUP(H2033,[5]CU!$C$4:$H$255,6,FALSE))</f>
        <v>2.651545</v>
      </c>
      <c r="O2033" s="56">
        <f t="shared" si="315"/>
        <v>0</v>
      </c>
      <c r="P2033" s="56">
        <f t="shared" si="315"/>
        <v>119.319525</v>
      </c>
      <c r="Q2033" s="56">
        <f t="shared" si="315"/>
        <v>0</v>
      </c>
      <c r="R2033" s="56">
        <f t="shared" si="315"/>
        <v>0</v>
      </c>
      <c r="S2033" s="56">
        <f>SUM(O2033:R2033)</f>
        <v>119.319525</v>
      </c>
      <c r="T2033" s="35" t="s">
        <v>118</v>
      </c>
      <c r="U2033" s="18" t="s">
        <v>330</v>
      </c>
      <c r="V2033" s="19" t="str">
        <f>IF(OR($H2033="",$H2033="sif",$H2033="PM"),"",VLOOKUP($H2033,[5]CU!$C$5:$J$255,8,FALSE))</f>
        <v>3. Dépenses de fonctionnement</v>
      </c>
      <c r="W2033" s="18" t="s">
        <v>331</v>
      </c>
      <c r="X2033" s="18" t="s">
        <v>431</v>
      </c>
      <c r="Y2033" s="18" t="s">
        <v>679</v>
      </c>
      <c r="Z2033" s="19" t="str">
        <f>A2033 &amp; "-" &amp; VLOOKUP(A2033,[4]PROGRAMMES!$E$1:$F$7,2,FALSE)</f>
        <v>6-Education et alphabétisation des adultes</v>
      </c>
      <c r="AA2033" s="19" t="str">
        <f>B2033 &amp; "-" &amp; VLOOKUP(B2033,[4]SOUSPROGRAMMES!$E$1:$F$44,2,FALSE)</f>
        <v xml:space="preserve">63- Amélioration de la qualité </v>
      </c>
      <c r="AB2033" s="19" t="str">
        <f>C2033 &amp; "-" &amp; VLOOKUP(C2033,[4]RESULTATS!$E$1:$F$176,2,FALSE)</f>
        <v>633- Des modules de formation en andragogie sont intégrés dans les cursus de la formation initiale des enseignants</v>
      </c>
      <c r="AC2033" s="20" t="str">
        <f>D2033 &amp; "-" &amp; VLOOKUP(D2033,[4]STRATEGIES!$E$1:$F$504,2,FALSE)</f>
        <v>6331-Développement de modules de formations</v>
      </c>
      <c r="AD2033" s="21" t="str">
        <f t="shared" si="307"/>
        <v xml:space="preserve">63311-Elaboration d'un programme harmonisé de formation des formateurs en AENF </v>
      </c>
    </row>
    <row r="2034" spans="1:30" s="22" customFormat="1" ht="60" hidden="1" customHeight="1" x14ac:dyDescent="0.8">
      <c r="A2034" s="14">
        <v>6</v>
      </c>
      <c r="B2034" s="15">
        <v>63</v>
      </c>
      <c r="C2034" s="15">
        <v>633</v>
      </c>
      <c r="D2034" s="74">
        <v>6331</v>
      </c>
      <c r="E2034" s="14">
        <v>63312</v>
      </c>
      <c r="F2034" s="16" t="s">
        <v>2502</v>
      </c>
      <c r="G2034" s="21" t="s">
        <v>159</v>
      </c>
      <c r="H2034" s="17" t="s">
        <v>55</v>
      </c>
      <c r="I2034" s="56">
        <v>0</v>
      </c>
      <c r="J2034" s="56">
        <v>1</v>
      </c>
      <c r="K2034" s="56"/>
      <c r="L2034" s="56"/>
      <c r="M2034" s="56">
        <f t="shared" si="311"/>
        <v>1</v>
      </c>
      <c r="N2034" s="56">
        <f>IF(OR(H2034="",H2034="sif",H2034="PM"),0,VLOOKUP(H2034,[5]CU!$C$4:$H$255,6,FALSE))</f>
        <v>0</v>
      </c>
      <c r="O2034" s="56"/>
      <c r="P2034" s="56"/>
      <c r="Q2034" s="56"/>
      <c r="R2034" s="56"/>
      <c r="S2034" s="56"/>
      <c r="T2034" s="35" t="s">
        <v>56</v>
      </c>
      <c r="U2034" s="18" t="s">
        <v>330</v>
      </c>
      <c r="V2034" s="19" t="str">
        <f>IF(OR($H2034="",$H2034="sif",$H2034="PM"),"",VLOOKUP($H2034,[5]CU!$C$5:$J$255,8,FALSE))</f>
        <v/>
      </c>
      <c r="W2034" s="18" t="s">
        <v>331</v>
      </c>
      <c r="X2034" s="18" t="s">
        <v>431</v>
      </c>
      <c r="Y2034" s="18" t="s">
        <v>679</v>
      </c>
      <c r="Z2034" s="19" t="str">
        <f>A2034 &amp; "-" &amp; VLOOKUP(A2034,[4]PROGRAMMES!$E$1:$F$7,2,FALSE)</f>
        <v>6-Education et alphabétisation des adultes</v>
      </c>
      <c r="AA2034" s="19" t="str">
        <f>B2034 &amp; "-" &amp; VLOOKUP(B2034,[4]SOUSPROGRAMMES!$E$1:$F$44,2,FALSE)</f>
        <v xml:space="preserve">63- Amélioration de la qualité </v>
      </c>
      <c r="AB2034" s="19" t="str">
        <f>C2034 &amp; "-" &amp; VLOOKUP(C2034,[4]RESULTATS!$E$1:$F$176,2,FALSE)</f>
        <v>633- Des modules de formation en andragogie sont intégrés dans les cursus de la formation initiale des enseignants</v>
      </c>
      <c r="AC2034" s="20" t="str">
        <f>D2034 &amp; "-" &amp; VLOOKUP(D2034,[4]STRATEGIES!$E$1:$F$504,2,FALSE)</f>
        <v>6331-Développement de modules de formations</v>
      </c>
      <c r="AD2034" s="21" t="str">
        <f t="shared" si="307"/>
        <v>63312-Elaborer un module de formation en AENF pour les professeurs d’Ecoles Normales (PEN) et les Conseillers Pédagogique Maitre Formateur (CPMF) à l’ISSEG (introduire dans la révision des programmes de l'ISSEG)</v>
      </c>
    </row>
    <row r="2035" spans="1:30" s="22" customFormat="1" ht="45" hidden="1" customHeight="1" x14ac:dyDescent="0.8">
      <c r="A2035" s="14">
        <v>6</v>
      </c>
      <c r="B2035" s="15">
        <v>63</v>
      </c>
      <c r="C2035" s="15">
        <v>633</v>
      </c>
      <c r="D2035" s="74">
        <v>6331</v>
      </c>
      <c r="E2035" s="14">
        <v>63312</v>
      </c>
      <c r="F2035" s="16" t="s">
        <v>2503</v>
      </c>
      <c r="G2035" s="21" t="s">
        <v>2065</v>
      </c>
      <c r="H2035" s="17" t="s">
        <v>55</v>
      </c>
      <c r="I2035" s="56">
        <v>0</v>
      </c>
      <c r="J2035" s="56"/>
      <c r="K2035" s="56">
        <v>1</v>
      </c>
      <c r="L2035" s="56"/>
      <c r="M2035" s="56">
        <f t="shared" si="311"/>
        <v>1</v>
      </c>
      <c r="N2035" s="56">
        <f>IF(OR(H2035="",H2035="sif",H2035="PM"),0,VLOOKUP(H2035,[5]CU!$C$4:$H$255,6,FALSE))</f>
        <v>0</v>
      </c>
      <c r="O2035" s="56"/>
      <c r="P2035" s="56"/>
      <c r="Q2035" s="56"/>
      <c r="R2035" s="56"/>
      <c r="S2035" s="56"/>
      <c r="T2035" s="35" t="s">
        <v>56</v>
      </c>
      <c r="U2035" s="18" t="s">
        <v>330</v>
      </c>
      <c r="V2035" s="19" t="str">
        <f>IF(OR($H2035="",$H2035="sif",$H2035="PM"),"",VLOOKUP($H2035,[5]CU!$C$5:$J$255,8,FALSE))</f>
        <v/>
      </c>
      <c r="W2035" s="18" t="s">
        <v>331</v>
      </c>
      <c r="X2035" s="18" t="s">
        <v>248</v>
      </c>
      <c r="Y2035" s="18" t="s">
        <v>677</v>
      </c>
      <c r="Z2035" s="19" t="str">
        <f>A2035 &amp; "-" &amp; VLOOKUP(A2035,[4]PROGRAMMES!$E$1:$F$7,2,FALSE)</f>
        <v>6-Education et alphabétisation des adultes</v>
      </c>
      <c r="AA2035" s="19" t="str">
        <f>B2035 &amp; "-" &amp; VLOOKUP(B2035,[4]SOUSPROGRAMMES!$E$1:$F$44,2,FALSE)</f>
        <v xml:space="preserve">63- Amélioration de la qualité </v>
      </c>
      <c r="AB2035" s="19" t="str">
        <f>C2035 &amp; "-" &amp; VLOOKUP(C2035,[4]RESULTATS!$E$1:$F$176,2,FALSE)</f>
        <v>633- Des modules de formation en andragogie sont intégrés dans les cursus de la formation initiale des enseignants</v>
      </c>
      <c r="AC2035" s="20" t="str">
        <f>D2035 &amp; "-" &amp; VLOOKUP(D2035,[4]STRATEGIES!$E$1:$F$504,2,FALSE)</f>
        <v>6331-Développement de modules de formations</v>
      </c>
      <c r="AD2035" s="21" t="str">
        <f t="shared" si="307"/>
        <v>63312-Elaborer et introduire un module de formation en AENF pour les élèves Maitres des ENI (introduire dans la révision des programmes des ENI)</v>
      </c>
    </row>
    <row r="2036" spans="1:30" s="22" customFormat="1" ht="45" customHeight="1" x14ac:dyDescent="0.8">
      <c r="A2036" s="14">
        <v>6</v>
      </c>
      <c r="B2036" s="15">
        <v>63</v>
      </c>
      <c r="C2036" s="15">
        <v>633</v>
      </c>
      <c r="D2036" s="74">
        <v>6332</v>
      </c>
      <c r="E2036" s="14">
        <v>6332</v>
      </c>
      <c r="F2036" s="16" t="s">
        <v>2504</v>
      </c>
      <c r="G2036" s="17"/>
      <c r="H2036" s="17"/>
      <c r="I2036" s="56">
        <v>0</v>
      </c>
      <c r="J2036" s="56"/>
      <c r="K2036" s="56"/>
      <c r="L2036" s="56"/>
      <c r="M2036" s="56"/>
      <c r="N2036" s="56"/>
      <c r="O2036" s="56"/>
      <c r="P2036" s="56"/>
      <c r="Q2036" s="56"/>
      <c r="R2036" s="56"/>
      <c r="S2036" s="56"/>
      <c r="T2036" s="33"/>
      <c r="U2036" s="18"/>
      <c r="V2036" s="19"/>
      <c r="W2036" s="18"/>
      <c r="X2036" s="18"/>
      <c r="Y2036" s="18"/>
      <c r="Z2036" s="19" t="str">
        <f>A2036 &amp; "-" &amp; VLOOKUP(A2036,[4]PROGRAMMES!$E$1:$F$7,2,FALSE)</f>
        <v>6-Education et alphabétisation des adultes</v>
      </c>
      <c r="AA2036" s="19" t="str">
        <f>B2036 &amp; "-" &amp; VLOOKUP(B2036,[4]SOUSPROGRAMMES!$E$1:$F$44,2,FALSE)</f>
        <v xml:space="preserve">63- Amélioration de la qualité </v>
      </c>
      <c r="AB2036" s="19" t="str">
        <f>C2036 &amp; "-" &amp; VLOOKUP(C2036,[4]RESULTATS!$E$1:$F$176,2,FALSE)</f>
        <v>633- Des modules de formation en andragogie sont intégrés dans les cursus de la formation initiale des enseignants</v>
      </c>
      <c r="AC2036" s="20" t="str">
        <f>D2036 &amp; "-" &amp; VLOOKUP(D2036,[4]STRATEGIES!$E$1:$F$504,2,FALSE)</f>
        <v>6332-Implantation des modules de formation sur l'AENF</v>
      </c>
      <c r="AD2036" s="21" t="str">
        <f t="shared" si="307"/>
        <v>6332-Implantation des modules de formation sur l'AENF</v>
      </c>
    </row>
    <row r="2037" spans="1:30" s="22" customFormat="1" ht="45" hidden="1" customHeight="1" x14ac:dyDescent="0.8">
      <c r="A2037" s="14">
        <v>6</v>
      </c>
      <c r="B2037" s="15">
        <v>63</v>
      </c>
      <c r="C2037" s="15">
        <v>633</v>
      </c>
      <c r="D2037" s="74">
        <v>6332</v>
      </c>
      <c r="E2037" s="14">
        <v>63321</v>
      </c>
      <c r="F2037" s="16" t="s">
        <v>2505</v>
      </c>
      <c r="G2037" s="21" t="s">
        <v>2506</v>
      </c>
      <c r="H2037" s="17" t="s">
        <v>55</v>
      </c>
      <c r="I2037" s="56">
        <v>0</v>
      </c>
      <c r="J2037" s="56"/>
      <c r="K2037" s="56">
        <v>1</v>
      </c>
      <c r="L2037" s="56"/>
      <c r="M2037" s="56">
        <f t="shared" si="311"/>
        <v>1</v>
      </c>
      <c r="N2037" s="56">
        <f>IF(OR(H2037="",H2037="sif",H2037="PM"),0,VLOOKUP(H2037,[5]CU!$C$4:$H$255,6,FALSE))</f>
        <v>0</v>
      </c>
      <c r="O2037" s="56"/>
      <c r="P2037" s="56"/>
      <c r="Q2037" s="56"/>
      <c r="R2037" s="56"/>
      <c r="S2037" s="56"/>
      <c r="T2037" s="35" t="s">
        <v>56</v>
      </c>
      <c r="U2037" s="18" t="s">
        <v>330</v>
      </c>
      <c r="V2037" s="19" t="str">
        <f>IF(OR($H2037="",$H2037="sif",$H2037="PM"),"",VLOOKUP($H2037,[5]CU!$C$5:$J$255,8,FALSE))</f>
        <v/>
      </c>
      <c r="W2037" s="18" t="s">
        <v>431</v>
      </c>
      <c r="X2037" s="18" t="s">
        <v>431</v>
      </c>
      <c r="Y2037" s="18" t="s">
        <v>679</v>
      </c>
      <c r="Z2037" s="19" t="str">
        <f>A2037 &amp; "-" &amp; VLOOKUP(A2037,[4]PROGRAMMES!$E$1:$F$7,2,FALSE)</f>
        <v>6-Education et alphabétisation des adultes</v>
      </c>
      <c r="AA2037" s="19" t="str">
        <f>B2037 &amp; "-" &amp; VLOOKUP(B2037,[4]SOUSPROGRAMMES!$E$1:$F$44,2,FALSE)</f>
        <v xml:space="preserve">63- Amélioration de la qualité </v>
      </c>
      <c r="AB2037" s="19" t="str">
        <f>C2037 &amp; "-" &amp; VLOOKUP(C2037,[4]RESULTATS!$E$1:$F$176,2,FALSE)</f>
        <v>633- Des modules de formation en andragogie sont intégrés dans les cursus de la formation initiale des enseignants</v>
      </c>
      <c r="AC2037" s="20" t="str">
        <f>D2037 &amp; "-" &amp; VLOOKUP(D2037,[4]STRATEGIES!$E$1:$F$504,2,FALSE)</f>
        <v>6332-Implantation des modules de formation sur l'AENF</v>
      </c>
      <c r="AD2037" s="21" t="str">
        <f t="shared" si="307"/>
        <v>63321-introduction des modules dans les programmes d’enseignements</v>
      </c>
    </row>
    <row r="2038" spans="1:30" s="22" customFormat="1" ht="45" hidden="1" customHeight="1" x14ac:dyDescent="0.8">
      <c r="A2038" s="14">
        <v>6</v>
      </c>
      <c r="B2038" s="15">
        <v>63</v>
      </c>
      <c r="C2038" s="15">
        <v>633</v>
      </c>
      <c r="D2038" s="74">
        <v>6332</v>
      </c>
      <c r="E2038" s="14">
        <v>63322</v>
      </c>
      <c r="F2038" s="16" t="s">
        <v>2507</v>
      </c>
      <c r="G2038" s="21" t="s">
        <v>436</v>
      </c>
      <c r="H2038" s="17" t="s">
        <v>55</v>
      </c>
      <c r="I2038" s="56">
        <v>0</v>
      </c>
      <c r="J2038" s="56"/>
      <c r="K2038" s="56"/>
      <c r="L2038" s="56">
        <v>1</v>
      </c>
      <c r="M2038" s="56">
        <f t="shared" si="311"/>
        <v>1</v>
      </c>
      <c r="N2038" s="56">
        <f>IF(OR(H2038="",H2038="sif",H2038="PM"),0,VLOOKUP(H2038,[5]CU!$C$4:$H$255,6,FALSE))</f>
        <v>0</v>
      </c>
      <c r="O2038" s="56"/>
      <c r="P2038" s="56"/>
      <c r="Q2038" s="56"/>
      <c r="R2038" s="56"/>
      <c r="S2038" s="56"/>
      <c r="T2038" s="35" t="s">
        <v>56</v>
      </c>
      <c r="U2038" s="18" t="s">
        <v>330</v>
      </c>
      <c r="V2038" s="19" t="str">
        <f>IF(OR($H2038="",$H2038="sif",$H2038="PM"),"",VLOOKUP($H2038,[5]CU!$C$5:$J$255,8,FALSE))</f>
        <v/>
      </c>
      <c r="W2038" s="18" t="s">
        <v>431</v>
      </c>
      <c r="X2038" s="18" t="s">
        <v>431</v>
      </c>
      <c r="Y2038" s="18" t="s">
        <v>679</v>
      </c>
      <c r="Z2038" s="19" t="str">
        <f>A2038 &amp; "-" &amp; VLOOKUP(A2038,[4]PROGRAMMES!$E$1:$F$7,2,FALSE)</f>
        <v>6-Education et alphabétisation des adultes</v>
      </c>
      <c r="AA2038" s="19" t="str">
        <f>B2038 &amp; "-" &amp; VLOOKUP(B2038,[4]SOUSPROGRAMMES!$E$1:$F$44,2,FALSE)</f>
        <v xml:space="preserve">63- Amélioration de la qualité </v>
      </c>
      <c r="AB2038" s="19" t="str">
        <f>C2038 &amp; "-" &amp; VLOOKUP(C2038,[4]RESULTATS!$E$1:$F$176,2,FALSE)</f>
        <v>633- Des modules de formation en andragogie sont intégrés dans les cursus de la formation initiale des enseignants</v>
      </c>
      <c r="AC2038" s="20" t="str">
        <f>D2038 &amp; "-" &amp; VLOOKUP(D2038,[4]STRATEGIES!$E$1:$F$504,2,FALSE)</f>
        <v>6332-Implantation des modules de formation sur l'AENF</v>
      </c>
      <c r="AD2038" s="21" t="str">
        <f t="shared" si="307"/>
        <v>63322-Mise en place des formations à l'ISSEG (subvention ISSEG)</v>
      </c>
    </row>
    <row r="2039" spans="1:30" s="22" customFormat="1" ht="45" customHeight="1" x14ac:dyDescent="0.8">
      <c r="A2039" s="14">
        <v>6</v>
      </c>
      <c r="B2039" s="15">
        <v>63</v>
      </c>
      <c r="C2039" s="15">
        <v>634</v>
      </c>
      <c r="D2039" s="74">
        <v>634</v>
      </c>
      <c r="E2039" s="14">
        <v>634</v>
      </c>
      <c r="F2039" s="16" t="s">
        <v>2508</v>
      </c>
      <c r="G2039" s="17"/>
      <c r="H2039" s="17"/>
      <c r="I2039" s="56">
        <v>0</v>
      </c>
      <c r="J2039" s="56"/>
      <c r="K2039" s="56"/>
      <c r="L2039" s="56"/>
      <c r="M2039" s="56"/>
      <c r="N2039" s="56"/>
      <c r="O2039" s="56"/>
      <c r="P2039" s="56"/>
      <c r="Q2039" s="56"/>
      <c r="R2039" s="56"/>
      <c r="S2039" s="56"/>
      <c r="T2039" s="33"/>
      <c r="U2039" s="18"/>
      <c r="V2039" s="19"/>
      <c r="W2039" s="18"/>
      <c r="X2039" s="18"/>
      <c r="Y2039" s="18"/>
      <c r="Z2039" s="19" t="str">
        <f>A2039 &amp; "-" &amp; VLOOKUP(A2039,[4]PROGRAMMES!$E$1:$F$7,2,FALSE)</f>
        <v>6-Education et alphabétisation des adultes</v>
      </c>
      <c r="AA2039" s="19" t="str">
        <f>B2039 &amp; "-" &amp; VLOOKUP(B2039,[4]SOUSPROGRAMMES!$E$1:$F$44,2,FALSE)</f>
        <v xml:space="preserve">63- Amélioration de la qualité </v>
      </c>
      <c r="AB2039" s="19" t="str">
        <f>C2039 &amp; "-" &amp; VLOOKUP(C2039,[4]RESULTATS!$E$1:$F$176,2,FALSE)</f>
        <v>634- Un dispositif d’accréditation des différents niveaux et de certification en AENF est mis en place.</v>
      </c>
      <c r="AC2039" s="20" t="str">
        <f>D2039 &amp; "-" &amp; VLOOKUP(D2039,[4]STRATEGIES!$E$1:$F$504,2,FALSE)</f>
        <v>634- Un dispositif d’accréditation des différents niveaux et de certification en AENF est mis en place.</v>
      </c>
      <c r="AD2039" s="21" t="str">
        <f t="shared" si="307"/>
        <v>634- Un dispositif d’accréditation des différents niveaux et de certification en AENF est mis en place.</v>
      </c>
    </row>
    <row r="2040" spans="1:30" s="22" customFormat="1" ht="45" customHeight="1" x14ac:dyDescent="0.8">
      <c r="A2040" s="14">
        <v>6</v>
      </c>
      <c r="B2040" s="15">
        <v>63</v>
      </c>
      <c r="C2040" s="15">
        <v>634</v>
      </c>
      <c r="D2040" s="74">
        <v>6341</v>
      </c>
      <c r="E2040" s="14">
        <v>6341</v>
      </c>
      <c r="F2040" s="16" t="s">
        <v>2509</v>
      </c>
      <c r="G2040" s="17"/>
      <c r="H2040" s="17"/>
      <c r="I2040" s="56">
        <v>0</v>
      </c>
      <c r="J2040" s="56"/>
      <c r="K2040" s="56"/>
      <c r="L2040" s="56"/>
      <c r="M2040" s="56"/>
      <c r="N2040" s="56"/>
      <c r="O2040" s="56"/>
      <c r="P2040" s="56"/>
      <c r="Q2040" s="56"/>
      <c r="R2040" s="56"/>
      <c r="S2040" s="56"/>
      <c r="T2040" s="33"/>
      <c r="U2040" s="18"/>
      <c r="V2040" s="19"/>
      <c r="W2040" s="18"/>
      <c r="X2040" s="18"/>
      <c r="Y2040" s="18"/>
      <c r="Z2040" s="19" t="str">
        <f>A2040 &amp; "-" &amp; VLOOKUP(A2040,[4]PROGRAMMES!$E$1:$F$7,2,FALSE)</f>
        <v>6-Education et alphabétisation des adultes</v>
      </c>
      <c r="AA2040" s="19" t="str">
        <f>B2040 &amp; "-" &amp; VLOOKUP(B2040,[4]SOUSPROGRAMMES!$E$1:$F$44,2,FALSE)</f>
        <v xml:space="preserve">63- Amélioration de la qualité </v>
      </c>
      <c r="AB2040" s="19" t="str">
        <f>C2040 &amp; "-" &amp; VLOOKUP(C2040,[4]RESULTATS!$E$1:$F$176,2,FALSE)</f>
        <v>634- Un dispositif d’accréditation des différents niveaux et de certification en AENF est mis en place.</v>
      </c>
      <c r="AC2040" s="20" t="str">
        <f>D2040 &amp; "-" &amp; VLOOKUP(D2040,[4]STRATEGIES!$E$1:$F$504,2,FALSE)</f>
        <v>6341-Définition du dispositif de certification</v>
      </c>
      <c r="AD2040" s="21" t="str">
        <f t="shared" si="307"/>
        <v>6341-DéFinition du dispositif de certification</v>
      </c>
    </row>
    <row r="2041" spans="1:30" s="22" customFormat="1" ht="45" hidden="1" customHeight="1" x14ac:dyDescent="0.8">
      <c r="A2041" s="14">
        <v>6</v>
      </c>
      <c r="B2041" s="15">
        <v>63</v>
      </c>
      <c r="C2041" s="15">
        <v>634</v>
      </c>
      <c r="D2041" s="74">
        <v>6341</v>
      </c>
      <c r="E2041" s="14">
        <v>63411</v>
      </c>
      <c r="F2041" s="16" t="s">
        <v>2510</v>
      </c>
      <c r="G2041" s="21" t="s">
        <v>2511</v>
      </c>
      <c r="H2041" s="17" t="s">
        <v>55</v>
      </c>
      <c r="I2041" s="56">
        <v>0</v>
      </c>
      <c r="J2041" s="56"/>
      <c r="K2041" s="56">
        <f>1*1*1</f>
        <v>1</v>
      </c>
      <c r="L2041" s="56"/>
      <c r="M2041" s="56">
        <f t="shared" si="311"/>
        <v>1</v>
      </c>
      <c r="N2041" s="56">
        <f>IF(OR(H2041="",H2041="sif",H2041="PM"),0,VLOOKUP(H2041,[5]CU!$C$4:$H$255,6,FALSE))</f>
        <v>0</v>
      </c>
      <c r="O2041" s="56"/>
      <c r="P2041" s="56"/>
      <c r="Q2041" s="56"/>
      <c r="R2041" s="56"/>
      <c r="S2041" s="56"/>
      <c r="T2041" s="35" t="s">
        <v>56</v>
      </c>
      <c r="U2041" s="18" t="s">
        <v>330</v>
      </c>
      <c r="V2041" s="19" t="str">
        <f>IF(OR($H2041="",$H2041="sif",$H2041="PM"),"",VLOOKUP($H2041,[5]CU!$C$5:$J$255,8,FALSE))</f>
        <v/>
      </c>
      <c r="W2041" s="18" t="s">
        <v>331</v>
      </c>
      <c r="X2041" s="18" t="s">
        <v>2512</v>
      </c>
      <c r="Y2041" s="19" t="s">
        <v>32</v>
      </c>
      <c r="Z2041" s="19" t="str">
        <f>A2041 &amp; "-" &amp; VLOOKUP(A2041,[4]PROGRAMMES!$E$1:$F$7,2,FALSE)</f>
        <v>6-Education et alphabétisation des adultes</v>
      </c>
      <c r="AA2041" s="19" t="str">
        <f>B2041 &amp; "-" &amp; VLOOKUP(B2041,[4]SOUSPROGRAMMES!$E$1:$F$44,2,FALSE)</f>
        <v xml:space="preserve">63- Amélioration de la qualité </v>
      </c>
      <c r="AB2041" s="19" t="str">
        <f>C2041 &amp; "-" &amp; VLOOKUP(C2041,[4]RESULTATS!$E$1:$F$176,2,FALSE)</f>
        <v>634- Un dispositif d’accréditation des différents niveaux et de certification en AENF est mis en place.</v>
      </c>
      <c r="AC2041" s="20" t="str">
        <f>D2041 &amp; "-" &amp; VLOOKUP(D2041,[4]STRATEGIES!$E$1:$F$504,2,FALSE)</f>
        <v>6341-Définition du dispositif de certification</v>
      </c>
      <c r="AD2041" s="21" t="str">
        <f t="shared" si="307"/>
        <v>63411-mise en place de l'équipe d'évaluation (operateur, section préfectorale d'AENF)</v>
      </c>
    </row>
    <row r="2042" spans="1:30" s="22" customFormat="1" ht="45" hidden="1" customHeight="1" x14ac:dyDescent="0.8">
      <c r="A2042" s="14">
        <v>6</v>
      </c>
      <c r="B2042" s="15">
        <v>63</v>
      </c>
      <c r="C2042" s="15">
        <v>634</v>
      </c>
      <c r="D2042" s="74">
        <v>6341</v>
      </c>
      <c r="E2042" s="14">
        <v>63412</v>
      </c>
      <c r="F2042" s="16" t="s">
        <v>2513</v>
      </c>
      <c r="G2042" s="21" t="s">
        <v>88</v>
      </c>
      <c r="H2042" s="17" t="s">
        <v>55</v>
      </c>
      <c r="I2042" s="56">
        <v>0</v>
      </c>
      <c r="J2042" s="56"/>
      <c r="K2042" s="56"/>
      <c r="L2042" s="56">
        <f>1*3*1</f>
        <v>3</v>
      </c>
      <c r="M2042" s="56">
        <f t="shared" si="311"/>
        <v>3</v>
      </c>
      <c r="N2042" s="56">
        <f>IF(OR(H2042="",H2042="sif",H2042="PM"),0,VLOOKUP(H2042,[5]CU!$C$4:$H$255,6,FALSE))</f>
        <v>0</v>
      </c>
      <c r="O2042" s="56"/>
      <c r="P2042" s="56"/>
      <c r="Q2042" s="56"/>
      <c r="R2042" s="56"/>
      <c r="S2042" s="56"/>
      <c r="T2042" s="35" t="s">
        <v>56</v>
      </c>
      <c r="U2042" s="18" t="s">
        <v>330</v>
      </c>
      <c r="V2042" s="19" t="str">
        <f>IF(OR($H2042="",$H2042="sif",$H2042="PM"),"",VLOOKUP($H2042,[5]CU!$C$5:$J$255,8,FALSE))</f>
        <v/>
      </c>
      <c r="W2042" s="18" t="s">
        <v>331</v>
      </c>
      <c r="X2042" s="18" t="s">
        <v>331</v>
      </c>
      <c r="Y2042" s="19" t="s">
        <v>32</v>
      </c>
      <c r="Z2042" s="19" t="str">
        <f>A2042 &amp; "-" &amp; VLOOKUP(A2042,[4]PROGRAMMES!$E$1:$F$7,2,FALSE)</f>
        <v>6-Education et alphabétisation des adultes</v>
      </c>
      <c r="AA2042" s="19" t="str">
        <f>B2042 &amp; "-" &amp; VLOOKUP(B2042,[4]SOUSPROGRAMMES!$E$1:$F$44,2,FALSE)</f>
        <v xml:space="preserve">63- Amélioration de la qualité </v>
      </c>
      <c r="AB2042" s="19" t="str">
        <f>C2042 &amp; "-" &amp; VLOOKUP(C2042,[4]RESULTATS!$E$1:$F$176,2,FALSE)</f>
        <v>634- Un dispositif d’accréditation des différents niveaux et de certification en AENF est mis en place.</v>
      </c>
      <c r="AC2042" s="20" t="str">
        <f>D2042 &amp; "-" &amp; VLOOKUP(D2042,[4]STRATEGIES!$E$1:$F$504,2,FALSE)</f>
        <v>6341-Définition du dispositif de certification</v>
      </c>
      <c r="AD2042" s="21" t="str">
        <f t="shared" si="307"/>
        <v>63412-Révision des outils de l'évaluation</v>
      </c>
    </row>
    <row r="2043" spans="1:30" s="22" customFormat="1" ht="45" hidden="1" customHeight="1" x14ac:dyDescent="0.8">
      <c r="A2043" s="14">
        <v>6</v>
      </c>
      <c r="B2043" s="15">
        <v>63</v>
      </c>
      <c r="C2043" s="15">
        <v>634</v>
      </c>
      <c r="D2043" s="74">
        <v>6341</v>
      </c>
      <c r="E2043" s="14">
        <v>63413</v>
      </c>
      <c r="F2043" s="16" t="s">
        <v>2514</v>
      </c>
      <c r="G2043" s="21" t="s">
        <v>2515</v>
      </c>
      <c r="H2043" s="17" t="s">
        <v>59</v>
      </c>
      <c r="I2043" s="56">
        <v>0</v>
      </c>
      <c r="J2043" s="56"/>
      <c r="K2043" s="56"/>
      <c r="L2043" s="56">
        <f>(48*5*1)*80.01%</f>
        <v>192.024</v>
      </c>
      <c r="M2043" s="56">
        <f>SUM(I2043:L2043)</f>
        <v>192.024</v>
      </c>
      <c r="N2043" s="56">
        <f>IF(OR(H2043="",H2043="sif",H2043="PM"),0,VLOOKUP(H2043,[5]CU!$C$4:$H$255,6,FALSE))</f>
        <v>0.8177777777777776</v>
      </c>
      <c r="O2043" s="56">
        <f>$N2043*I2043</f>
        <v>0</v>
      </c>
      <c r="P2043" s="56">
        <f>$N2043*J2043</f>
        <v>0</v>
      </c>
      <c r="Q2043" s="56">
        <f>$N2043*K2043</f>
        <v>0</v>
      </c>
      <c r="R2043" s="56">
        <f>$N2043*L2043</f>
        <v>157.03295999999997</v>
      </c>
      <c r="S2043" s="56">
        <f>SUM(O2043:R2043)</f>
        <v>157.03295999999997</v>
      </c>
      <c r="T2043" s="35" t="s">
        <v>56</v>
      </c>
      <c r="U2043" s="18" t="s">
        <v>330</v>
      </c>
      <c r="V2043" s="19" t="str">
        <f>IF(OR($H2043="",$H2043="sif",$H2043="PM"),"",VLOOKUP($H2043,[5]CU!$C$5:$J$255,8,FALSE))</f>
        <v>3. Dépenses de fonctionnement</v>
      </c>
      <c r="W2043" s="18" t="s">
        <v>331</v>
      </c>
      <c r="X2043" s="18" t="s">
        <v>222</v>
      </c>
      <c r="Y2043" s="19" t="s">
        <v>32</v>
      </c>
      <c r="Z2043" s="19" t="str">
        <f>A2043 &amp; "-" &amp; VLOOKUP(A2043,[4]PROGRAMMES!$E$1:$F$7,2,FALSE)</f>
        <v>6-Education et alphabétisation des adultes</v>
      </c>
      <c r="AA2043" s="19" t="str">
        <f>B2043 &amp; "-" &amp; VLOOKUP(B2043,[4]SOUSPROGRAMMES!$E$1:$F$44,2,FALSE)</f>
        <v xml:space="preserve">63- Amélioration de la qualité </v>
      </c>
      <c r="AB2043" s="19" t="str">
        <f>C2043 &amp; "-" &amp; VLOOKUP(C2043,[4]RESULTATS!$E$1:$F$176,2,FALSE)</f>
        <v>634- Un dispositif d’accréditation des différents niveaux et de certification en AENF est mis en place.</v>
      </c>
      <c r="AC2043" s="20" t="str">
        <f>D2043 &amp; "-" &amp; VLOOKUP(D2043,[4]STRATEGIES!$E$1:$F$504,2,FALSE)</f>
        <v>6341-Définition du dispositif de certification</v>
      </c>
      <c r="AD2043" s="21" t="str">
        <f t="shared" si="307"/>
        <v>63413-Evaluation de Fin d'apprentissage par niveau</v>
      </c>
    </row>
    <row r="2044" spans="1:30" s="22" customFormat="1" ht="45" customHeight="1" x14ac:dyDescent="0.8">
      <c r="A2044" s="14">
        <v>6</v>
      </c>
      <c r="B2044" s="15">
        <v>63</v>
      </c>
      <c r="C2044" s="15">
        <v>634</v>
      </c>
      <c r="D2044" s="74">
        <v>6341</v>
      </c>
      <c r="E2044" s="14">
        <v>63413</v>
      </c>
      <c r="F2044" s="16" t="s">
        <v>2514</v>
      </c>
      <c r="G2044" s="21" t="s">
        <v>2515</v>
      </c>
      <c r="H2044" s="17" t="s">
        <v>59</v>
      </c>
      <c r="I2044" s="56">
        <v>0</v>
      </c>
      <c r="J2044" s="56"/>
      <c r="K2044" s="56"/>
      <c r="L2044" s="56">
        <f>(48*5*1)*19.99%</f>
        <v>47.975999999999999</v>
      </c>
      <c r="M2044" s="56">
        <f t="shared" si="311"/>
        <v>47.975999999999999</v>
      </c>
      <c r="N2044" s="56">
        <f>IF(OR(H2044="",H2044="sif",H2044="PM"),0,VLOOKUP(H2044,[5]CU!$C$4:$H$255,6,FALSE))</f>
        <v>0.8177777777777776</v>
      </c>
      <c r="O2044" s="56">
        <f t="shared" ref="O2044:R2047" si="316">$N2044*I2044</f>
        <v>0</v>
      </c>
      <c r="P2044" s="56">
        <f t="shared" si="316"/>
        <v>0</v>
      </c>
      <c r="Q2044" s="56">
        <f t="shared" si="316"/>
        <v>0</v>
      </c>
      <c r="R2044" s="56">
        <f t="shared" si="316"/>
        <v>39.233706666666656</v>
      </c>
      <c r="S2044" s="56">
        <f>SUM(O2044:R2044)</f>
        <v>39.233706666666656</v>
      </c>
      <c r="T2044" s="35" t="s">
        <v>118</v>
      </c>
      <c r="U2044" s="18" t="s">
        <v>330</v>
      </c>
      <c r="V2044" s="19" t="str">
        <f>IF(OR($H2044="",$H2044="sif",$H2044="PM"),"",VLOOKUP($H2044,[5]CU!$C$5:$J$255,8,FALSE))</f>
        <v>3. Dépenses de fonctionnement</v>
      </c>
      <c r="W2044" s="18" t="s">
        <v>331</v>
      </c>
      <c r="X2044" s="18" t="s">
        <v>222</v>
      </c>
      <c r="Y2044" s="19" t="s">
        <v>32</v>
      </c>
      <c r="Z2044" s="19" t="str">
        <f>A2044 &amp; "-" &amp; VLOOKUP(A2044,[4]PROGRAMMES!$E$1:$F$7,2,FALSE)</f>
        <v>6-Education et alphabétisation des adultes</v>
      </c>
      <c r="AA2044" s="19" t="str">
        <f>B2044 &amp; "-" &amp; VLOOKUP(B2044,[4]SOUSPROGRAMMES!$E$1:$F$44,2,FALSE)</f>
        <v xml:space="preserve">63- Amélioration de la qualité </v>
      </c>
      <c r="AB2044" s="19" t="str">
        <f>C2044 &amp; "-" &amp; VLOOKUP(C2044,[4]RESULTATS!$E$1:$F$176,2,FALSE)</f>
        <v>634- Un dispositif d’accréditation des différents niveaux et de certification en AENF est mis en place.</v>
      </c>
      <c r="AC2044" s="20" t="str">
        <f>D2044 &amp; "-" &amp; VLOOKUP(D2044,[4]STRATEGIES!$E$1:$F$504,2,FALSE)</f>
        <v>6341-Définition du dispositif de certification</v>
      </c>
      <c r="AD2044" s="21" t="str">
        <f t="shared" si="307"/>
        <v>63413-Evaluation de Fin d'apprentissage par niveau</v>
      </c>
    </row>
    <row r="2045" spans="1:30" s="22" customFormat="1" ht="45" customHeight="1" x14ac:dyDescent="0.8">
      <c r="A2045" s="14">
        <v>6</v>
      </c>
      <c r="B2045" s="15">
        <v>63</v>
      </c>
      <c r="C2045" s="15">
        <v>634</v>
      </c>
      <c r="D2045" s="74">
        <v>6342</v>
      </c>
      <c r="E2045" s="14">
        <v>6342</v>
      </c>
      <c r="F2045" s="16" t="s">
        <v>2516</v>
      </c>
      <c r="G2045" s="17"/>
      <c r="H2045" s="17"/>
      <c r="I2045" s="56">
        <v>0</v>
      </c>
      <c r="J2045" s="56"/>
      <c r="K2045" s="56"/>
      <c r="L2045" s="56"/>
      <c r="M2045" s="56"/>
      <c r="N2045" s="56"/>
      <c r="O2045" s="56"/>
      <c r="P2045" s="56"/>
      <c r="Q2045" s="56"/>
      <c r="R2045" s="56"/>
      <c r="S2045" s="56"/>
      <c r="T2045" s="33"/>
      <c r="U2045" s="18"/>
      <c r="V2045" s="19"/>
      <c r="W2045" s="18"/>
      <c r="X2045" s="18"/>
      <c r="Y2045" s="18"/>
      <c r="Z2045" s="19" t="str">
        <f>A2045 &amp; "-" &amp; VLOOKUP(A2045,[4]PROGRAMMES!$E$1:$F$7,2,FALSE)</f>
        <v>6-Education et alphabétisation des adultes</v>
      </c>
      <c r="AA2045" s="19" t="str">
        <f>B2045 &amp; "-" &amp; VLOOKUP(B2045,[4]SOUSPROGRAMMES!$E$1:$F$44,2,FALSE)</f>
        <v xml:space="preserve">63- Amélioration de la qualité </v>
      </c>
      <c r="AB2045" s="19" t="str">
        <f>C2045 &amp; "-" &amp; VLOOKUP(C2045,[4]RESULTATS!$E$1:$F$176,2,FALSE)</f>
        <v>634- Un dispositif d’accréditation des différents niveaux et de certification en AENF est mis en place.</v>
      </c>
      <c r="AC2045" s="20" t="str">
        <f>D2045 &amp; "-" &amp; VLOOKUP(D2045,[4]STRATEGIES!$E$1:$F$504,2,FALSE)</f>
        <v>6342-Certification des apprenants</v>
      </c>
      <c r="AD2045" s="21" t="str">
        <f t="shared" si="307"/>
        <v>6342-Certification des apprenants</v>
      </c>
    </row>
    <row r="2046" spans="1:30" s="22" customFormat="1" ht="45" hidden="1" customHeight="1" x14ac:dyDescent="0.8">
      <c r="A2046" s="14">
        <v>6</v>
      </c>
      <c r="B2046" s="15">
        <v>63</v>
      </c>
      <c r="C2046" s="15">
        <v>634</v>
      </c>
      <c r="D2046" s="74">
        <v>6342</v>
      </c>
      <c r="E2046" s="14">
        <v>63421</v>
      </c>
      <c r="F2046" s="16" t="s">
        <v>2517</v>
      </c>
      <c r="G2046" s="21" t="s">
        <v>1108</v>
      </c>
      <c r="H2046" s="17" t="s">
        <v>816</v>
      </c>
      <c r="I2046" s="56">
        <v>0</v>
      </c>
      <c r="J2046" s="56">
        <f>((J2001+J2002+J2003)/15*0.9)*96%</f>
        <v>163.42894098431998</v>
      </c>
      <c r="K2046" s="56">
        <f>((K2001+K2002+K2003)/15*0.9)*96%</f>
        <v>272.38156830719998</v>
      </c>
      <c r="L2046" s="56">
        <f>((L2001+L2002+L2003)/15*0.9)*96%</f>
        <v>272.38156830719998</v>
      </c>
      <c r="M2046" s="56">
        <f>SUM(I2046:L2046)</f>
        <v>708.19207759871995</v>
      </c>
      <c r="N2046" s="56">
        <f>IF(OR(H2046="",H2046="sif",H2046="PM"),0,VLOOKUP(H2046,[5]CU!$C$4:$H$255,6,FALSE))</f>
        <v>7.4999999999999997E-3</v>
      </c>
      <c r="O2046" s="56">
        <f>$N2046*I2046</f>
        <v>0</v>
      </c>
      <c r="P2046" s="56">
        <f>$N2046*J2046</f>
        <v>1.2257170573823999</v>
      </c>
      <c r="Q2046" s="56">
        <f>$N2046*K2046</f>
        <v>2.0428617623039997</v>
      </c>
      <c r="R2046" s="56">
        <f>$N2046*L2046</f>
        <v>2.0428617623039997</v>
      </c>
      <c r="S2046" s="56">
        <f>SUM(O2046:R2046)</f>
        <v>5.3114405819903991</v>
      </c>
      <c r="T2046" s="35" t="s">
        <v>56</v>
      </c>
      <c r="U2046" s="18" t="s">
        <v>330</v>
      </c>
      <c r="V2046" s="19" t="str">
        <f>IF(OR($H2046="",$H2046="sif",$H2046="PM"),"",VLOOKUP($H2046,[5]CU!$C$5:$J$255,8,FALSE))</f>
        <v>3. Dépenses de fonctionnement</v>
      </c>
      <c r="W2046" s="18" t="s">
        <v>331</v>
      </c>
      <c r="X2046" s="18" t="s">
        <v>331</v>
      </c>
      <c r="Y2046" s="19" t="s">
        <v>32</v>
      </c>
      <c r="Z2046" s="19" t="str">
        <f>A2046 &amp; "-" &amp; VLOOKUP(A2046,[4]PROGRAMMES!$E$1:$F$7,2,FALSE)</f>
        <v>6-Education et alphabétisation des adultes</v>
      </c>
      <c r="AA2046" s="19" t="str">
        <f>B2046 &amp; "-" &amp; VLOOKUP(B2046,[4]SOUSPROGRAMMES!$E$1:$F$44,2,FALSE)</f>
        <v xml:space="preserve">63- Amélioration de la qualité </v>
      </c>
      <c r="AB2046" s="19" t="str">
        <f>C2046 &amp; "-" &amp; VLOOKUP(C2046,[4]RESULTATS!$E$1:$F$176,2,FALSE)</f>
        <v>634- Un dispositif d’accréditation des différents niveaux et de certification en AENF est mis en place.</v>
      </c>
      <c r="AC2046" s="20" t="str">
        <f>D2046 &amp; "-" &amp; VLOOKUP(D2046,[4]STRATEGIES!$E$1:$F$504,2,FALSE)</f>
        <v>6342-Certification des apprenants</v>
      </c>
      <c r="AD2046" s="21" t="str">
        <f t="shared" si="307"/>
        <v>63421-conception, reproduction des certificats</v>
      </c>
    </row>
    <row r="2047" spans="1:30" s="22" customFormat="1" ht="45" customHeight="1" x14ac:dyDescent="0.8">
      <c r="A2047" s="14">
        <v>6</v>
      </c>
      <c r="B2047" s="15">
        <v>63</v>
      </c>
      <c r="C2047" s="15">
        <v>634</v>
      </c>
      <c r="D2047" s="74">
        <v>6342</v>
      </c>
      <c r="E2047" s="14">
        <v>63421</v>
      </c>
      <c r="F2047" s="16" t="s">
        <v>2517</v>
      </c>
      <c r="G2047" s="21" t="s">
        <v>1108</v>
      </c>
      <c r="H2047" s="17" t="s">
        <v>816</v>
      </c>
      <c r="I2047" s="56">
        <v>0</v>
      </c>
      <c r="J2047" s="56">
        <f>((J2001+J2002+J2003)/15*0.9)*4%</f>
        <v>6.8095392076800003</v>
      </c>
      <c r="K2047" s="56">
        <f>((K2001+K2002+K2003)/15*0.9)*4%</f>
        <v>11.3492320128</v>
      </c>
      <c r="L2047" s="56">
        <f>((L2001+L2002+L2003)/15*0.9)*4%</f>
        <v>11.3492320128</v>
      </c>
      <c r="M2047" s="56">
        <f t="shared" si="311"/>
        <v>29.50800323328</v>
      </c>
      <c r="N2047" s="56">
        <f>IF(OR(H2047="",H2047="sif",H2047="PM"),0,VLOOKUP(H2047,[5]CU!$C$4:$H$255,6,FALSE))</f>
        <v>7.4999999999999997E-3</v>
      </c>
      <c r="O2047" s="56">
        <f t="shared" si="316"/>
        <v>0</v>
      </c>
      <c r="P2047" s="56">
        <f t="shared" si="316"/>
        <v>5.1071544057599998E-2</v>
      </c>
      <c r="Q2047" s="56">
        <f t="shared" si="316"/>
        <v>8.5119240095999998E-2</v>
      </c>
      <c r="R2047" s="56">
        <f t="shared" si="316"/>
        <v>8.5119240095999998E-2</v>
      </c>
      <c r="S2047" s="56">
        <f>SUM(O2047:R2047)</f>
        <v>0.2213100242496</v>
      </c>
      <c r="T2047" s="35" t="s">
        <v>118</v>
      </c>
      <c r="U2047" s="18" t="s">
        <v>330</v>
      </c>
      <c r="V2047" s="19" t="str">
        <f>IF(OR($H2047="",$H2047="sif",$H2047="PM"),"",VLOOKUP($H2047,[5]CU!$C$5:$J$255,8,FALSE))</f>
        <v>3. Dépenses de fonctionnement</v>
      </c>
      <c r="W2047" s="18" t="s">
        <v>331</v>
      </c>
      <c r="X2047" s="18" t="s">
        <v>331</v>
      </c>
      <c r="Y2047" s="19" t="s">
        <v>32</v>
      </c>
      <c r="Z2047" s="19" t="str">
        <f>A2047 &amp; "-" &amp; VLOOKUP(A2047,[4]PROGRAMMES!$E$1:$F$7,2,FALSE)</f>
        <v>6-Education et alphabétisation des adultes</v>
      </c>
      <c r="AA2047" s="19" t="str">
        <f>B2047 &amp; "-" &amp; VLOOKUP(B2047,[4]SOUSPROGRAMMES!$E$1:$F$44,2,FALSE)</f>
        <v xml:space="preserve">63- Amélioration de la qualité </v>
      </c>
      <c r="AB2047" s="19" t="str">
        <f>C2047 &amp; "-" &amp; VLOOKUP(C2047,[4]RESULTATS!$E$1:$F$176,2,FALSE)</f>
        <v>634- Un dispositif d’accréditation des différents niveaux et de certification en AENF est mis en place.</v>
      </c>
      <c r="AC2047" s="20" t="str">
        <f>D2047 &amp; "-" &amp; VLOOKUP(D2047,[4]STRATEGIES!$E$1:$F$504,2,FALSE)</f>
        <v>6342-Certification des apprenants</v>
      </c>
      <c r="AD2047" s="21" t="str">
        <f t="shared" si="307"/>
        <v>63421-conception, reproduction des certificats</v>
      </c>
    </row>
    <row r="2048" spans="1:30" s="22" customFormat="1" ht="45" hidden="1" customHeight="1" x14ac:dyDescent="0.8">
      <c r="A2048" s="14">
        <v>6</v>
      </c>
      <c r="B2048" s="15">
        <v>63</v>
      </c>
      <c r="C2048" s="15">
        <v>634</v>
      </c>
      <c r="D2048" s="74">
        <v>6342</v>
      </c>
      <c r="E2048" s="14">
        <v>63422</v>
      </c>
      <c r="F2048" s="16" t="s">
        <v>2518</v>
      </c>
      <c r="G2048" s="21" t="s">
        <v>159</v>
      </c>
      <c r="H2048" s="17"/>
      <c r="I2048" s="56">
        <v>0</v>
      </c>
      <c r="J2048" s="56">
        <v>1</v>
      </c>
      <c r="K2048" s="56">
        <v>1</v>
      </c>
      <c r="L2048" s="56">
        <v>1</v>
      </c>
      <c r="M2048" s="56">
        <f t="shared" si="311"/>
        <v>3</v>
      </c>
      <c r="N2048" s="56">
        <f>IF(OR(H2048="",H2048="sif",H2048="PM"),0,VLOOKUP(H2048,[5]CU!$C$4:$H$255,6,FALSE))</f>
        <v>0</v>
      </c>
      <c r="O2048" s="56"/>
      <c r="P2048" s="56"/>
      <c r="Q2048" s="56"/>
      <c r="R2048" s="56"/>
      <c r="S2048" s="56"/>
      <c r="T2048" s="35" t="s">
        <v>56</v>
      </c>
      <c r="U2048" s="18" t="s">
        <v>330</v>
      </c>
      <c r="V2048" s="19" t="str">
        <f>IF(OR($H2048="",$H2048="sif",$H2048="PM"),"",VLOOKUP($H2048,[5]CU!$C$5:$J$255,8,FALSE))</f>
        <v/>
      </c>
      <c r="W2048" s="18" t="s">
        <v>331</v>
      </c>
      <c r="X2048" s="18" t="s">
        <v>222</v>
      </c>
      <c r="Y2048" s="19" t="s">
        <v>32</v>
      </c>
      <c r="Z2048" s="19" t="str">
        <f>A2048 &amp; "-" &amp; VLOOKUP(A2048,[4]PROGRAMMES!$E$1:$F$7,2,FALSE)</f>
        <v>6-Education et alphabétisation des adultes</v>
      </c>
      <c r="AA2048" s="19" t="str">
        <f>B2048 &amp; "-" &amp; VLOOKUP(B2048,[4]SOUSPROGRAMMES!$E$1:$F$44,2,FALSE)</f>
        <v xml:space="preserve">63- Amélioration de la qualité </v>
      </c>
      <c r="AB2048" s="19" t="str">
        <f>C2048 &amp; "-" &amp; VLOOKUP(C2048,[4]RESULTATS!$E$1:$F$176,2,FALSE)</f>
        <v>634- Un dispositif d’accréditation des différents niveaux et de certification en AENF est mis en place.</v>
      </c>
      <c r="AC2048" s="20" t="str">
        <f>D2048 &amp; "-" &amp; VLOOKUP(D2048,[4]STRATEGIES!$E$1:$F$504,2,FALSE)</f>
        <v>6342-Certification des apprenants</v>
      </c>
      <c r="AD2048" s="21" t="str">
        <f t="shared" si="307"/>
        <v>63422-Remise des certificats par les ONG</v>
      </c>
    </row>
    <row r="2049" spans="1:30" s="22" customFormat="1" ht="60" customHeight="1" x14ac:dyDescent="0.8">
      <c r="A2049" s="14">
        <v>6</v>
      </c>
      <c r="B2049" s="15">
        <v>63</v>
      </c>
      <c r="C2049" s="15">
        <v>635</v>
      </c>
      <c r="D2049" s="74">
        <v>635</v>
      </c>
      <c r="E2049" s="14">
        <v>635</v>
      </c>
      <c r="F2049" s="16" t="s">
        <v>2519</v>
      </c>
      <c r="G2049" s="17"/>
      <c r="H2049" s="17"/>
      <c r="I2049" s="56">
        <v>0</v>
      </c>
      <c r="J2049" s="56"/>
      <c r="K2049" s="56"/>
      <c r="L2049" s="56"/>
      <c r="M2049" s="56"/>
      <c r="N2049" s="56"/>
      <c r="O2049" s="56"/>
      <c r="P2049" s="56"/>
      <c r="Q2049" s="56"/>
      <c r="R2049" s="56"/>
      <c r="S2049" s="56"/>
      <c r="T2049" s="33"/>
      <c r="U2049" s="18"/>
      <c r="V2049" s="19"/>
      <c r="W2049" s="18"/>
      <c r="X2049" s="18"/>
      <c r="Y2049" s="18"/>
      <c r="Z2049" s="19" t="str">
        <f>A2049 &amp; "-" &amp; VLOOKUP(A2049,[4]PROGRAMMES!$E$1:$F$7,2,FALSE)</f>
        <v>6-Education et alphabétisation des adultes</v>
      </c>
      <c r="AA2049" s="19" t="str">
        <f>B2049 &amp; "-" &amp; VLOOKUP(B2049,[4]SOUSPROGRAMMES!$E$1:$F$44,2,FALSE)</f>
        <v xml:space="preserve">63- Amélioration de la qualité </v>
      </c>
      <c r="AB2049" s="19" t="str">
        <f>C2049 &amp; "-" &amp; VLOOKUP(C2049,[4]RESULTATS!$E$1:$F$176,2,FALSE)</f>
        <v>635- Les compétences linguistiques, pédagogiques et andragogiques des moniteurs, des éducateurs, des animateurs et autres sont renforcées.</v>
      </c>
      <c r="AC2049" s="20" t="str">
        <f>D2049 &amp; "-" &amp; VLOOKUP(D2049,[4]STRATEGIES!$E$1:$F$504,2,FALSE)</f>
        <v>635- Les compétences linguistiques, pédagogiques et andragogiques des moniteurs, des éducateurs, des animateurs et autres sont renforcées.</v>
      </c>
      <c r="AD2049" s="21" t="str">
        <f t="shared" si="307"/>
        <v>635- Les compétences linguistiques, pédagogiques et andragogiques des moniteurs, des éducateurs, des animateurs et autres sont renforcées.</v>
      </c>
    </row>
    <row r="2050" spans="1:30" s="22" customFormat="1" ht="60" customHeight="1" x14ac:dyDescent="0.8">
      <c r="A2050" s="14">
        <v>6</v>
      </c>
      <c r="B2050" s="15">
        <v>63</v>
      </c>
      <c r="C2050" s="15">
        <v>635</v>
      </c>
      <c r="D2050" s="74">
        <v>6351</v>
      </c>
      <c r="E2050" s="14">
        <v>6351</v>
      </c>
      <c r="F2050" s="16" t="s">
        <v>2520</v>
      </c>
      <c r="G2050" s="17"/>
      <c r="H2050" s="17"/>
      <c r="I2050" s="56">
        <v>0</v>
      </c>
      <c r="J2050" s="56"/>
      <c r="K2050" s="56"/>
      <c r="L2050" s="56"/>
      <c r="M2050" s="56"/>
      <c r="N2050" s="56"/>
      <c r="O2050" s="56"/>
      <c r="P2050" s="56"/>
      <c r="Q2050" s="56"/>
      <c r="R2050" s="56"/>
      <c r="S2050" s="56"/>
      <c r="T2050" s="33"/>
      <c r="U2050" s="18"/>
      <c r="V2050" s="19"/>
      <c r="W2050" s="18"/>
      <c r="X2050" s="18"/>
      <c r="Y2050" s="18"/>
      <c r="Z2050" s="19" t="str">
        <f>A2050 &amp; "-" &amp; VLOOKUP(A2050,[4]PROGRAMMES!$E$1:$F$7,2,FALSE)</f>
        <v>6-Education et alphabétisation des adultes</v>
      </c>
      <c r="AA2050" s="19" t="str">
        <f>B2050 &amp; "-" &amp; VLOOKUP(B2050,[4]SOUSPROGRAMMES!$E$1:$F$44,2,FALSE)</f>
        <v xml:space="preserve">63- Amélioration de la qualité </v>
      </c>
      <c r="AB2050" s="19" t="str">
        <f>C2050 &amp; "-" &amp; VLOOKUP(C2050,[4]RESULTATS!$E$1:$F$176,2,FALSE)</f>
        <v>635- Les compétences linguistiques, pédagogiques et andragogiques des moniteurs, des éducateurs, des animateurs et autres sont renforcées.</v>
      </c>
      <c r="AC2050" s="20" t="str">
        <f>D2050 &amp; "-" &amp; VLOOKUP(D2050,[4]STRATEGIES!$E$1:$F$504,2,FALSE)</f>
        <v>6351-Élaboration du matériel et du dispositif de formation</v>
      </c>
      <c r="AD2050" s="21" t="str">
        <f t="shared" si="307"/>
        <v>6351-Élaboration du matériel et du dispositif de formation</v>
      </c>
    </row>
    <row r="2051" spans="1:30" s="22" customFormat="1" ht="60" hidden="1" customHeight="1" x14ac:dyDescent="0.8">
      <c r="A2051" s="14">
        <v>6</v>
      </c>
      <c r="B2051" s="15">
        <v>63</v>
      </c>
      <c r="C2051" s="15">
        <v>635</v>
      </c>
      <c r="D2051" s="74">
        <v>6351</v>
      </c>
      <c r="E2051" s="14">
        <v>63511</v>
      </c>
      <c r="F2051" s="16" t="s">
        <v>2521</v>
      </c>
      <c r="G2051" s="21" t="s">
        <v>298</v>
      </c>
      <c r="H2051" s="17" t="s">
        <v>66</v>
      </c>
      <c r="I2051" s="56">
        <v>0</v>
      </c>
      <c r="J2051" s="56">
        <f>15*4*1</f>
        <v>60</v>
      </c>
      <c r="K2051" s="56">
        <f>15*4*1</f>
        <v>60</v>
      </c>
      <c r="L2051" s="56"/>
      <c r="M2051" s="56">
        <f t="shared" si="311"/>
        <v>120</v>
      </c>
      <c r="N2051" s="56">
        <f>IF(OR(H2051="",H2051="sif",H2051="PM"),0,VLOOKUP(H2051,[5]CU!$C$4:$H$255,6,FALSE))</f>
        <v>0.255</v>
      </c>
      <c r="O2051" s="56">
        <f>$N2051*I2051</f>
        <v>0</v>
      </c>
      <c r="P2051" s="56">
        <f>$N2051*J2051</f>
        <v>15.3</v>
      </c>
      <c r="Q2051" s="56">
        <f>$N2051*K2051</f>
        <v>15.3</v>
      </c>
      <c r="R2051" s="56">
        <f>$N2051*L2051</f>
        <v>0</v>
      </c>
      <c r="S2051" s="56">
        <f>SUM(O2051:R2051)</f>
        <v>30.6</v>
      </c>
      <c r="T2051" s="35" t="s">
        <v>56</v>
      </c>
      <c r="U2051" s="18" t="s">
        <v>330</v>
      </c>
      <c r="V2051" s="19" t="str">
        <f>IF(OR($H2051="",$H2051="sif",$H2051="PM"),"",VLOOKUP($H2051,[5]CU!$C$5:$J$255,8,FALSE))</f>
        <v>3. Dépenses de fonctionnement</v>
      </c>
      <c r="W2051" s="18" t="s">
        <v>331</v>
      </c>
      <c r="X2051" s="18" t="s">
        <v>331</v>
      </c>
      <c r="Y2051" s="19" t="s">
        <v>32</v>
      </c>
      <c r="Z2051" s="19" t="str">
        <f>A2051 &amp; "-" &amp; VLOOKUP(A2051,[4]PROGRAMMES!$E$1:$F$7,2,FALSE)</f>
        <v>6-Education et alphabétisation des adultes</v>
      </c>
      <c r="AA2051" s="19" t="str">
        <f>B2051 &amp; "-" &amp; VLOOKUP(B2051,[4]SOUSPROGRAMMES!$E$1:$F$44,2,FALSE)</f>
        <v xml:space="preserve">63- Amélioration de la qualité </v>
      </c>
      <c r="AB2051" s="19" t="str">
        <f>C2051 &amp; "-" &amp; VLOOKUP(C2051,[4]RESULTATS!$E$1:$F$176,2,FALSE)</f>
        <v>635- Les compétences linguistiques, pédagogiques et andragogiques des moniteurs, des éducateurs, des animateurs et autres sont renforcées.</v>
      </c>
      <c r="AC2051" s="20" t="str">
        <f>D2051 &amp; "-" &amp; VLOOKUP(D2051,[4]STRATEGIES!$E$1:$F$504,2,FALSE)</f>
        <v>6351-Élaboration du matériel et du dispositif de formation</v>
      </c>
      <c r="AD2051" s="21" t="str">
        <f t="shared" si="307"/>
        <v>63511-Conception et élaboration du matériel de formation des formateurs</v>
      </c>
    </row>
    <row r="2052" spans="1:30" s="22" customFormat="1" ht="60" hidden="1" customHeight="1" x14ac:dyDescent="0.8">
      <c r="A2052" s="14">
        <v>6</v>
      </c>
      <c r="B2052" s="15">
        <v>63</v>
      </c>
      <c r="C2052" s="15">
        <v>635</v>
      </c>
      <c r="D2052" s="74">
        <v>6351</v>
      </c>
      <c r="E2052" s="14">
        <v>63512</v>
      </c>
      <c r="F2052" s="16" t="s">
        <v>2522</v>
      </c>
      <c r="G2052" s="21" t="s">
        <v>757</v>
      </c>
      <c r="H2052" s="17" t="s">
        <v>55</v>
      </c>
      <c r="I2052" s="56">
        <v>0</v>
      </c>
      <c r="J2052" s="56">
        <v>1</v>
      </c>
      <c r="K2052" s="56">
        <v>1</v>
      </c>
      <c r="L2052" s="56">
        <v>1</v>
      </c>
      <c r="M2052" s="56">
        <f t="shared" si="311"/>
        <v>3</v>
      </c>
      <c r="N2052" s="56">
        <f>IF(OR(H2052="",H2052="sif",H2052="PM"),0,VLOOKUP(H2052,[5]CU!$C$4:$H$255,6,FALSE))</f>
        <v>0</v>
      </c>
      <c r="O2052" s="56"/>
      <c r="P2052" s="56"/>
      <c r="Q2052" s="56"/>
      <c r="R2052" s="56"/>
      <c r="S2052" s="56"/>
      <c r="T2052" s="35" t="s">
        <v>56</v>
      </c>
      <c r="U2052" s="18" t="s">
        <v>330</v>
      </c>
      <c r="V2052" s="19" t="str">
        <f>IF(OR($H2052="",$H2052="sif",$H2052="PM"),"",VLOOKUP($H2052,[5]CU!$C$5:$J$255,8,FALSE))</f>
        <v/>
      </c>
      <c r="W2052" s="18" t="s">
        <v>331</v>
      </c>
      <c r="X2052" s="18" t="s">
        <v>248</v>
      </c>
      <c r="Y2052" s="18" t="s">
        <v>677</v>
      </c>
      <c r="Z2052" s="19" t="str">
        <f>A2052 &amp; "-" &amp; VLOOKUP(A2052,[4]PROGRAMMES!$E$1:$F$7,2,FALSE)</f>
        <v>6-Education et alphabétisation des adultes</v>
      </c>
      <c r="AA2052" s="19" t="str">
        <f>B2052 &amp; "-" &amp; VLOOKUP(B2052,[4]SOUSPROGRAMMES!$E$1:$F$44,2,FALSE)</f>
        <v xml:space="preserve">63- Amélioration de la qualité </v>
      </c>
      <c r="AB2052" s="19" t="str">
        <f>C2052 &amp; "-" &amp; VLOOKUP(C2052,[4]RESULTATS!$E$1:$F$176,2,FALSE)</f>
        <v>635- Les compétences linguistiques, pédagogiques et andragogiques des moniteurs, des éducateurs, des animateurs et autres sont renforcées.</v>
      </c>
      <c r="AC2052" s="20" t="str">
        <f>D2052 &amp; "-" &amp; VLOOKUP(D2052,[4]STRATEGIES!$E$1:$F$504,2,FALSE)</f>
        <v>6351-Élaboration du matériel et du dispositif de formation</v>
      </c>
      <c r="AD2052" s="21" t="str">
        <f t="shared" si="307"/>
        <v>63512-Formation des formateurs relais</v>
      </c>
    </row>
    <row r="2053" spans="1:30" s="22" customFormat="1" ht="60" customHeight="1" x14ac:dyDescent="0.8">
      <c r="A2053" s="14">
        <v>6</v>
      </c>
      <c r="B2053" s="15">
        <v>63</v>
      </c>
      <c r="C2053" s="15">
        <v>635</v>
      </c>
      <c r="D2053" s="74">
        <v>6352</v>
      </c>
      <c r="E2053" s="14">
        <v>6352</v>
      </c>
      <c r="F2053" s="16" t="s">
        <v>2523</v>
      </c>
      <c r="G2053" s="17"/>
      <c r="H2053" s="17"/>
      <c r="I2053" s="56">
        <v>0</v>
      </c>
      <c r="J2053" s="56"/>
      <c r="K2053" s="56"/>
      <c r="L2053" s="56"/>
      <c r="M2053" s="56"/>
      <c r="N2053" s="56"/>
      <c r="O2053" s="56"/>
      <c r="P2053" s="56"/>
      <c r="Q2053" s="56"/>
      <c r="R2053" s="56"/>
      <c r="S2053" s="56"/>
      <c r="T2053" s="33"/>
      <c r="U2053" s="18"/>
      <c r="V2053" s="19"/>
      <c r="W2053" s="18"/>
      <c r="X2053" s="18"/>
      <c r="Y2053" s="18"/>
      <c r="Z2053" s="19" t="str">
        <f>A2053 &amp; "-" &amp; VLOOKUP(A2053,[4]PROGRAMMES!$E$1:$F$7,2,FALSE)</f>
        <v>6-Education et alphabétisation des adultes</v>
      </c>
      <c r="AA2053" s="19" t="str">
        <f>B2053 &amp; "-" &amp; VLOOKUP(B2053,[4]SOUSPROGRAMMES!$E$1:$F$44,2,FALSE)</f>
        <v xml:space="preserve">63- Amélioration de la qualité </v>
      </c>
      <c r="AB2053" s="19" t="str">
        <f>C2053 &amp; "-" &amp; VLOOKUP(C2053,[4]RESULTATS!$E$1:$F$176,2,FALSE)</f>
        <v>635- Les compétences linguistiques, pédagogiques et andragogiques des moniteurs, des éducateurs, des animateurs et autres sont renforcées.</v>
      </c>
      <c r="AC2053" s="20" t="str">
        <f>D2053 &amp; "-" &amp; VLOOKUP(D2053,[4]STRATEGIES!$E$1:$F$504,2,FALSE)</f>
        <v>6352-Mise en place du dispositif et organisation régulière des formations</v>
      </c>
      <c r="AD2053" s="21" t="str">
        <f t="shared" si="307"/>
        <v>6352-Mise en place du dispositif et organisation régulière des formations</v>
      </c>
    </row>
    <row r="2054" spans="1:30" s="22" customFormat="1" ht="60" hidden="1" customHeight="1" x14ac:dyDescent="0.8">
      <c r="A2054" s="14">
        <v>6</v>
      </c>
      <c r="B2054" s="15">
        <v>63</v>
      </c>
      <c r="C2054" s="15">
        <v>635</v>
      </c>
      <c r="D2054" s="74">
        <v>6352</v>
      </c>
      <c r="E2054" s="14">
        <v>63521</v>
      </c>
      <c r="F2054" s="16" t="s">
        <v>2524</v>
      </c>
      <c r="G2054" s="21" t="s">
        <v>800</v>
      </c>
      <c r="H2054" s="17" t="s">
        <v>55</v>
      </c>
      <c r="I2054" s="56">
        <v>0</v>
      </c>
      <c r="J2054" s="56">
        <v>1</v>
      </c>
      <c r="K2054" s="56">
        <v>1</v>
      </c>
      <c r="L2054" s="56">
        <v>1</v>
      </c>
      <c r="M2054" s="56">
        <f t="shared" si="311"/>
        <v>3</v>
      </c>
      <c r="N2054" s="56">
        <f>IF(OR(H2054="",H2054="sif",H2054="PM"),0,VLOOKUP(H2054,[5]CU!$C$4:$H$255,6,FALSE))</f>
        <v>0</v>
      </c>
      <c r="O2054" s="56"/>
      <c r="P2054" s="56"/>
      <c r="Q2054" s="56"/>
      <c r="R2054" s="56"/>
      <c r="S2054" s="56"/>
      <c r="T2054" s="35" t="s">
        <v>56</v>
      </c>
      <c r="U2054" s="18" t="s">
        <v>330</v>
      </c>
      <c r="V2054" s="19" t="str">
        <f>IF(OR($H2054="",$H2054="sif",$H2054="PM"),"",VLOOKUP($H2054,[5]CU!$C$5:$J$255,8,FALSE))</f>
        <v/>
      </c>
      <c r="W2054" s="18" t="s">
        <v>331</v>
      </c>
      <c r="X2054" s="18" t="s">
        <v>222</v>
      </c>
      <c r="Y2054" s="19" t="s">
        <v>32</v>
      </c>
      <c r="Z2054" s="19" t="str">
        <f>A2054 &amp; "-" &amp; VLOOKUP(A2054,[4]PROGRAMMES!$E$1:$F$7,2,FALSE)</f>
        <v>6-Education et alphabétisation des adultes</v>
      </c>
      <c r="AA2054" s="19" t="str">
        <f>B2054 &amp; "-" &amp; VLOOKUP(B2054,[4]SOUSPROGRAMMES!$E$1:$F$44,2,FALSE)</f>
        <v xml:space="preserve">63- Amélioration de la qualité </v>
      </c>
      <c r="AB2054" s="19" t="str">
        <f>C2054 &amp; "-" &amp; VLOOKUP(C2054,[4]RESULTATS!$E$1:$F$176,2,FALSE)</f>
        <v>635- Les compétences linguistiques, pédagogiques et andragogiques des moniteurs, des éducateurs, des animateurs et autres sont renforcées.</v>
      </c>
      <c r="AC2054" s="20" t="str">
        <f>D2054 &amp; "-" &amp; VLOOKUP(D2054,[4]STRATEGIES!$E$1:$F$504,2,FALSE)</f>
        <v>6352-Mise en place du dispositif et organisation régulière des formations</v>
      </c>
      <c r="AD2054" s="21" t="str">
        <f t="shared" si="307"/>
        <v>63521-Organisation par les formateurs des formations au niveau local (pris en charge par les ONG et autres opérateurs)</v>
      </c>
    </row>
    <row r="2055" spans="1:30" s="22" customFormat="1" ht="60" hidden="1" customHeight="1" x14ac:dyDescent="0.8">
      <c r="A2055" s="14">
        <v>6</v>
      </c>
      <c r="B2055" s="15">
        <v>63</v>
      </c>
      <c r="C2055" s="15">
        <v>635</v>
      </c>
      <c r="D2055" s="74">
        <v>6352</v>
      </c>
      <c r="E2055" s="14">
        <v>63522</v>
      </c>
      <c r="F2055" s="16" t="s">
        <v>2525</v>
      </c>
      <c r="G2055" s="21" t="s">
        <v>58</v>
      </c>
      <c r="H2055" s="17" t="s">
        <v>59</v>
      </c>
      <c r="I2055" s="56">
        <v>0</v>
      </c>
      <c r="J2055" s="56"/>
      <c r="K2055" s="56">
        <f>(2*4*10)*80.01%</f>
        <v>64.00800000000001</v>
      </c>
      <c r="L2055" s="56">
        <f>(2*4*10)*80.01%</f>
        <v>64.00800000000001</v>
      </c>
      <c r="M2055" s="56">
        <f>SUM(I2055:L2055)</f>
        <v>128.01600000000002</v>
      </c>
      <c r="N2055" s="56">
        <f>IF(OR(H2055="",H2055="sif",H2055="PM"),0,VLOOKUP(H2055,[5]CU!$C$4:$H$255,6,FALSE))</f>
        <v>0.8177777777777776</v>
      </c>
      <c r="O2055" s="56">
        <f>$N2055*I2055</f>
        <v>0</v>
      </c>
      <c r="P2055" s="56">
        <f>$N2055*J2055</f>
        <v>0</v>
      </c>
      <c r="Q2055" s="56">
        <f>$N2055*K2055</f>
        <v>52.344319999999996</v>
      </c>
      <c r="R2055" s="56">
        <f>$N2055*L2055</f>
        <v>52.344319999999996</v>
      </c>
      <c r="S2055" s="56">
        <f>SUM(O2055:R2055)</f>
        <v>104.68863999999999</v>
      </c>
      <c r="T2055" s="35" t="s">
        <v>56</v>
      </c>
      <c r="U2055" s="18" t="s">
        <v>330</v>
      </c>
      <c r="V2055" s="19" t="str">
        <f>IF(OR($H2055="",$H2055="sif",$H2055="PM"),"",VLOOKUP($H2055,[5]CU!$C$5:$J$255,8,FALSE))</f>
        <v>3. Dépenses de fonctionnement</v>
      </c>
      <c r="W2055" s="18" t="s">
        <v>331</v>
      </c>
      <c r="X2055" s="18" t="s">
        <v>331</v>
      </c>
      <c r="Y2055" s="19" t="s">
        <v>32</v>
      </c>
      <c r="Z2055" s="19" t="str">
        <f>A2055 &amp; "-" &amp; VLOOKUP(A2055,[4]PROGRAMMES!$E$1:$F$7,2,FALSE)</f>
        <v>6-Education et alphabétisation des adultes</v>
      </c>
      <c r="AA2055" s="19" t="str">
        <f>B2055 &amp; "-" &amp; VLOOKUP(B2055,[4]SOUSPROGRAMMES!$E$1:$F$44,2,FALSE)</f>
        <v xml:space="preserve">63- Amélioration de la qualité </v>
      </c>
      <c r="AB2055" s="19" t="str">
        <f>C2055 &amp; "-" &amp; VLOOKUP(C2055,[4]RESULTATS!$E$1:$F$176,2,FALSE)</f>
        <v>635- Les compétences linguistiques, pédagogiques et andragogiques des moniteurs, des éducateurs, des animateurs et autres sont renforcées.</v>
      </c>
      <c r="AC2055" s="20" t="str">
        <f>D2055 &amp; "-" &amp; VLOOKUP(D2055,[4]STRATEGIES!$E$1:$F$504,2,FALSE)</f>
        <v>6352-Mise en place du dispositif et organisation régulière des formations</v>
      </c>
      <c r="AD2055" s="21" t="str">
        <f t="shared" ref="AD2055:AD2118" si="317">E2055 &amp; "-" &amp; F2055</f>
        <v>63522-Suivi des résultats des formations</v>
      </c>
    </row>
    <row r="2056" spans="1:30" s="22" customFormat="1" ht="60" customHeight="1" x14ac:dyDescent="0.8">
      <c r="A2056" s="14">
        <v>6</v>
      </c>
      <c r="B2056" s="15">
        <v>63</v>
      </c>
      <c r="C2056" s="15">
        <v>635</v>
      </c>
      <c r="D2056" s="74">
        <v>6352</v>
      </c>
      <c r="E2056" s="14">
        <v>63522</v>
      </c>
      <c r="F2056" s="16" t="s">
        <v>2525</v>
      </c>
      <c r="G2056" s="21" t="s">
        <v>58</v>
      </c>
      <c r="H2056" s="17" t="s">
        <v>59</v>
      </c>
      <c r="I2056" s="56">
        <v>0</v>
      </c>
      <c r="J2056" s="56"/>
      <c r="K2056" s="56">
        <f>(2*4*10)*19.99%</f>
        <v>15.991999999999999</v>
      </c>
      <c r="L2056" s="56">
        <f>(2*4*10)*19.99%</f>
        <v>15.991999999999999</v>
      </c>
      <c r="M2056" s="56">
        <f t="shared" si="311"/>
        <v>31.983999999999998</v>
      </c>
      <c r="N2056" s="56">
        <f>IF(OR(H2056="",H2056="sif",H2056="PM"),0,VLOOKUP(H2056,[5]CU!$C$4:$H$255,6,FALSE))</f>
        <v>0.8177777777777776</v>
      </c>
      <c r="O2056" s="56">
        <f t="shared" ref="O2056:R2059" si="318">$N2056*I2056</f>
        <v>0</v>
      </c>
      <c r="P2056" s="56">
        <f t="shared" si="318"/>
        <v>0</v>
      </c>
      <c r="Q2056" s="56">
        <f t="shared" si="318"/>
        <v>13.077902222222219</v>
      </c>
      <c r="R2056" s="56">
        <f t="shared" si="318"/>
        <v>13.077902222222219</v>
      </c>
      <c r="S2056" s="56">
        <f>SUM(O2056:R2056)</f>
        <v>26.155804444444438</v>
      </c>
      <c r="T2056" s="35" t="s">
        <v>118</v>
      </c>
      <c r="U2056" s="18" t="s">
        <v>330</v>
      </c>
      <c r="V2056" s="19" t="str">
        <f>IF(OR($H2056="",$H2056="sif",$H2056="PM"),"",VLOOKUP($H2056,[5]CU!$C$5:$J$255,8,FALSE))</f>
        <v>3. Dépenses de fonctionnement</v>
      </c>
      <c r="W2056" s="18" t="s">
        <v>331</v>
      </c>
      <c r="X2056" s="18" t="s">
        <v>331</v>
      </c>
      <c r="Y2056" s="19" t="s">
        <v>32</v>
      </c>
      <c r="Z2056" s="19" t="str">
        <f>A2056 &amp; "-" &amp; VLOOKUP(A2056,[4]PROGRAMMES!$E$1:$F$7,2,FALSE)</f>
        <v>6-Education et alphabétisation des adultes</v>
      </c>
      <c r="AA2056" s="19" t="str">
        <f>B2056 &amp; "-" &amp; VLOOKUP(B2056,[4]SOUSPROGRAMMES!$E$1:$F$44,2,FALSE)</f>
        <v xml:space="preserve">63- Amélioration de la qualité </v>
      </c>
      <c r="AB2056" s="19" t="str">
        <f>C2056 &amp; "-" &amp; VLOOKUP(C2056,[4]RESULTATS!$E$1:$F$176,2,FALSE)</f>
        <v>635- Les compétences linguistiques, pédagogiques et andragogiques des moniteurs, des éducateurs, des animateurs et autres sont renforcées.</v>
      </c>
      <c r="AC2056" s="20" t="str">
        <f>D2056 &amp; "-" &amp; VLOOKUP(D2056,[4]STRATEGIES!$E$1:$F$504,2,FALSE)</f>
        <v>6352-Mise en place du dispositif et organisation régulière des formations</v>
      </c>
      <c r="AD2056" s="21" t="str">
        <f t="shared" si="317"/>
        <v>63522-Suivi des résultats des formations</v>
      </c>
    </row>
    <row r="2057" spans="1:30" s="22" customFormat="1" ht="45" customHeight="1" x14ac:dyDescent="0.8">
      <c r="A2057" s="14">
        <v>6</v>
      </c>
      <c r="B2057" s="15">
        <v>63</v>
      </c>
      <c r="C2057" s="15">
        <v>636</v>
      </c>
      <c r="D2057" s="74">
        <v>636</v>
      </c>
      <c r="E2057" s="14">
        <v>636</v>
      </c>
      <c r="F2057" s="16" t="s">
        <v>2526</v>
      </c>
      <c r="G2057" s="17"/>
      <c r="H2057" s="17"/>
      <c r="I2057" s="56">
        <v>0</v>
      </c>
      <c r="J2057" s="56"/>
      <c r="K2057" s="56"/>
      <c r="L2057" s="56"/>
      <c r="M2057" s="56"/>
      <c r="N2057" s="56"/>
      <c r="O2057" s="56"/>
      <c r="P2057" s="56"/>
      <c r="Q2057" s="56"/>
      <c r="R2057" s="56"/>
      <c r="S2057" s="56"/>
      <c r="T2057" s="33"/>
      <c r="U2057" s="18"/>
      <c r="V2057" s="19"/>
      <c r="W2057" s="18"/>
      <c r="X2057" s="18"/>
      <c r="Y2057" s="18"/>
      <c r="Z2057" s="19" t="str">
        <f>A2057 &amp; "-" &amp; VLOOKUP(A2057,[4]PROGRAMMES!$E$1:$F$7,2,FALSE)</f>
        <v>6-Education et alphabétisation des adultes</v>
      </c>
      <c r="AA2057" s="19" t="str">
        <f>B2057 &amp; "-" &amp; VLOOKUP(B2057,[4]SOUSPROGRAMMES!$E$1:$F$44,2,FALSE)</f>
        <v xml:space="preserve">63- Amélioration de la qualité </v>
      </c>
      <c r="AB2057" s="19" t="str">
        <f>C2057 &amp; "-" &amp; VLOOKUP(C2057,[4]RESULTATS!$E$1:$F$176,2,FALSE)</f>
        <v xml:space="preserve">636- Les capacités des opérateurs d’AENF en matière de mise en œuvre des activités d'AEA sont renforcées </v>
      </c>
      <c r="AC2057" s="20" t="str">
        <f>D2057 &amp; "-" &amp; VLOOKUP(D2057,[4]STRATEGIES!$E$1:$F$504,2,FALSE)</f>
        <v>636-Identification de l'ensemble des opérateurs de l'AEA</v>
      </c>
      <c r="AD2057" s="21" t="str">
        <f t="shared" si="317"/>
        <v xml:space="preserve">636- Les capacités des opérateurs d’AENF en matière de mise en œuvre des activités d'AEA sont renforcées </v>
      </c>
    </row>
    <row r="2058" spans="1:30" s="22" customFormat="1" ht="45" hidden="1" customHeight="1" x14ac:dyDescent="0.8">
      <c r="A2058" s="14">
        <v>6</v>
      </c>
      <c r="B2058" s="15">
        <v>63</v>
      </c>
      <c r="C2058" s="15">
        <v>636</v>
      </c>
      <c r="D2058" s="74">
        <v>636</v>
      </c>
      <c r="E2058" s="14">
        <v>63611</v>
      </c>
      <c r="F2058" s="16" t="s">
        <v>2527</v>
      </c>
      <c r="G2058" s="21" t="s">
        <v>2528</v>
      </c>
      <c r="H2058" s="17" t="s">
        <v>59</v>
      </c>
      <c r="I2058" s="56">
        <v>0</v>
      </c>
      <c r="J2058" s="56">
        <f>(5*20*1)*80.01%</f>
        <v>80.010000000000005</v>
      </c>
      <c r="K2058" s="56">
        <f>(5*20*1)*80.01%</f>
        <v>80.010000000000005</v>
      </c>
      <c r="L2058" s="56">
        <f>(5*20*1)*80.01%</f>
        <v>80.010000000000005</v>
      </c>
      <c r="M2058" s="56">
        <f>SUM(I2058:L2058)</f>
        <v>240.03000000000003</v>
      </c>
      <c r="N2058" s="56">
        <f>IF(OR(H2058="",H2058="sif",H2058="PM"),0,VLOOKUP(H2058,[5]CU!$C$4:$H$255,6,FALSE))</f>
        <v>0.8177777777777776</v>
      </c>
      <c r="O2058" s="56">
        <f>$N2058*I2058</f>
        <v>0</v>
      </c>
      <c r="P2058" s="56">
        <f>$N2058*J2058</f>
        <v>65.430399999999992</v>
      </c>
      <c r="Q2058" s="56">
        <f>$N2058*K2058</f>
        <v>65.430399999999992</v>
      </c>
      <c r="R2058" s="56">
        <f>$N2058*L2058</f>
        <v>65.430399999999992</v>
      </c>
      <c r="S2058" s="56">
        <f>SUM(O2058:R2058)</f>
        <v>196.29119999999998</v>
      </c>
      <c r="T2058" s="35" t="s">
        <v>56</v>
      </c>
      <c r="U2058" s="18" t="s">
        <v>330</v>
      </c>
      <c r="V2058" s="19" t="str">
        <f>IF(OR($H2058="",$H2058="sif",$H2058="PM"),"",VLOOKUP($H2058,[5]CU!$C$5:$J$255,8,FALSE))</f>
        <v>3. Dépenses de fonctionnement</v>
      </c>
      <c r="W2058" s="18" t="s">
        <v>331</v>
      </c>
      <c r="X2058" s="18" t="s">
        <v>2529</v>
      </c>
      <c r="Y2058" s="19" t="s">
        <v>32</v>
      </c>
      <c r="Z2058" s="19" t="str">
        <f>A2058 &amp; "-" &amp; VLOOKUP(A2058,[4]PROGRAMMES!$E$1:$F$7,2,FALSE)</f>
        <v>6-Education et alphabétisation des adultes</v>
      </c>
      <c r="AA2058" s="19" t="str">
        <f>B2058 &amp; "-" &amp; VLOOKUP(B2058,[4]SOUSPROGRAMMES!$E$1:$F$44,2,FALSE)</f>
        <v xml:space="preserve">63- Amélioration de la qualité </v>
      </c>
      <c r="AB2058" s="19" t="str">
        <f>C2058 &amp; "-" &amp; VLOOKUP(C2058,[4]RESULTATS!$E$1:$F$176,2,FALSE)</f>
        <v xml:space="preserve">636- Les capacités des opérateurs d’AENF en matière de mise en œuvre des activités d'AEA sont renforcées </v>
      </c>
      <c r="AC2058" s="20" t="str">
        <f>D2058 &amp; "-" &amp; VLOOKUP(D2058,[4]STRATEGIES!$E$1:$F$504,2,FALSE)</f>
        <v>636-Identification de l'ensemble des opérateurs de l'AEA</v>
      </c>
      <c r="AD2058" s="21" t="str">
        <f t="shared" si="317"/>
        <v>63611-Recensement des opérateurs par les réseaux</v>
      </c>
    </row>
    <row r="2059" spans="1:30" s="22" customFormat="1" ht="45" customHeight="1" x14ac:dyDescent="0.8">
      <c r="A2059" s="14">
        <v>6</v>
      </c>
      <c r="B2059" s="15">
        <v>63</v>
      </c>
      <c r="C2059" s="15">
        <v>636</v>
      </c>
      <c r="D2059" s="74">
        <v>636</v>
      </c>
      <c r="E2059" s="14">
        <v>63611</v>
      </c>
      <c r="F2059" s="16" t="s">
        <v>2527</v>
      </c>
      <c r="G2059" s="21" t="s">
        <v>2528</v>
      </c>
      <c r="H2059" s="17" t="s">
        <v>59</v>
      </c>
      <c r="I2059" s="56">
        <v>0</v>
      </c>
      <c r="J2059" s="56">
        <f>(5*20*1)*19.99%</f>
        <v>19.989999999999998</v>
      </c>
      <c r="K2059" s="56">
        <f>(5*20*1)*19.99%</f>
        <v>19.989999999999998</v>
      </c>
      <c r="L2059" s="56">
        <f>(5*20*1)*19.99%</f>
        <v>19.989999999999998</v>
      </c>
      <c r="M2059" s="56">
        <f t="shared" si="311"/>
        <v>59.97</v>
      </c>
      <c r="N2059" s="56">
        <f>IF(OR(H2059="",H2059="sif",H2059="PM"),0,VLOOKUP(H2059,[5]CU!$C$4:$H$255,6,FALSE))</f>
        <v>0.8177777777777776</v>
      </c>
      <c r="O2059" s="56">
        <f t="shared" si="318"/>
        <v>0</v>
      </c>
      <c r="P2059" s="56">
        <f t="shared" si="318"/>
        <v>16.347377777777773</v>
      </c>
      <c r="Q2059" s="56">
        <f t="shared" si="318"/>
        <v>16.347377777777773</v>
      </c>
      <c r="R2059" s="56">
        <f t="shared" si="318"/>
        <v>16.347377777777773</v>
      </c>
      <c r="S2059" s="56">
        <f>SUM(O2059:R2059)</f>
        <v>49.042133333333318</v>
      </c>
      <c r="T2059" s="35" t="s">
        <v>118</v>
      </c>
      <c r="U2059" s="18" t="s">
        <v>330</v>
      </c>
      <c r="V2059" s="19" t="str">
        <f>IF(OR($H2059="",$H2059="sif",$H2059="PM"),"",VLOOKUP($H2059,[5]CU!$C$5:$J$255,8,FALSE))</f>
        <v>3. Dépenses de fonctionnement</v>
      </c>
      <c r="W2059" s="18" t="s">
        <v>331</v>
      </c>
      <c r="X2059" s="18" t="s">
        <v>2529</v>
      </c>
      <c r="Y2059" s="19" t="s">
        <v>32</v>
      </c>
      <c r="Z2059" s="19" t="str">
        <f>A2059 &amp; "-" &amp; VLOOKUP(A2059,[4]PROGRAMMES!$E$1:$F$7,2,FALSE)</f>
        <v>6-Education et alphabétisation des adultes</v>
      </c>
      <c r="AA2059" s="19" t="str">
        <f>B2059 &amp; "-" &amp; VLOOKUP(B2059,[4]SOUSPROGRAMMES!$E$1:$F$44,2,FALSE)</f>
        <v xml:space="preserve">63- Amélioration de la qualité </v>
      </c>
      <c r="AB2059" s="19" t="str">
        <f>C2059 &amp; "-" &amp; VLOOKUP(C2059,[4]RESULTATS!$E$1:$F$176,2,FALSE)</f>
        <v xml:space="preserve">636- Les capacités des opérateurs d’AENF en matière de mise en œuvre des activités d'AEA sont renforcées </v>
      </c>
      <c r="AC2059" s="20" t="str">
        <f>D2059 &amp; "-" &amp; VLOOKUP(D2059,[4]STRATEGIES!$E$1:$F$504,2,FALSE)</f>
        <v>636-Identification de l'ensemble des opérateurs de l'AEA</v>
      </c>
      <c r="AD2059" s="21" t="str">
        <f t="shared" si="317"/>
        <v>63611-Recensement des opérateurs par les réseaux</v>
      </c>
    </row>
    <row r="2060" spans="1:30" s="22" customFormat="1" ht="45" hidden="1" customHeight="1" x14ac:dyDescent="0.8">
      <c r="A2060" s="14">
        <v>6</v>
      </c>
      <c r="B2060" s="15">
        <v>63</v>
      </c>
      <c r="C2060" s="15">
        <v>636</v>
      </c>
      <c r="D2060" s="74">
        <v>636</v>
      </c>
      <c r="E2060" s="14">
        <v>63612</v>
      </c>
      <c r="F2060" s="16" t="s">
        <v>2530</v>
      </c>
      <c r="G2060" s="21" t="s">
        <v>88</v>
      </c>
      <c r="H2060" s="17" t="s">
        <v>55</v>
      </c>
      <c r="I2060" s="56">
        <v>0</v>
      </c>
      <c r="J2060" s="56">
        <v>1</v>
      </c>
      <c r="K2060" s="56">
        <v>1</v>
      </c>
      <c r="L2060" s="56">
        <v>1</v>
      </c>
      <c r="M2060" s="56">
        <f t="shared" si="311"/>
        <v>3</v>
      </c>
      <c r="N2060" s="56">
        <f>IF(OR(H2060="",H2060="sif",H2060="PM"),0,VLOOKUP(H2060,[5]CU!$C$4:$H$255,6,FALSE))</f>
        <v>0</v>
      </c>
      <c r="O2060" s="56"/>
      <c r="P2060" s="56"/>
      <c r="Q2060" s="56"/>
      <c r="R2060" s="56"/>
      <c r="S2060" s="56"/>
      <c r="T2060" s="35" t="s">
        <v>56</v>
      </c>
      <c r="U2060" s="18" t="s">
        <v>330</v>
      </c>
      <c r="V2060" s="19" t="str">
        <f>IF(OR($H2060="",$H2060="sif",$H2060="PM"),"",VLOOKUP($H2060,[5]CU!$C$5:$J$255,8,FALSE))</f>
        <v/>
      </c>
      <c r="W2060" s="18" t="s">
        <v>331</v>
      </c>
      <c r="X2060" s="18" t="s">
        <v>2529</v>
      </c>
      <c r="Y2060" s="19" t="s">
        <v>32</v>
      </c>
      <c r="Z2060" s="19" t="str">
        <f>A2060 &amp; "-" &amp; VLOOKUP(A2060,[4]PROGRAMMES!$E$1:$F$7,2,FALSE)</f>
        <v>6-Education et alphabétisation des adultes</v>
      </c>
      <c r="AA2060" s="19" t="str">
        <f>B2060 &amp; "-" &amp; VLOOKUP(B2060,[4]SOUSPROGRAMMES!$E$1:$F$44,2,FALSE)</f>
        <v xml:space="preserve">63- Amélioration de la qualité </v>
      </c>
      <c r="AB2060" s="19" t="str">
        <f>C2060 &amp; "-" &amp; VLOOKUP(C2060,[4]RESULTATS!$E$1:$F$176,2,FALSE)</f>
        <v xml:space="preserve">636- Les capacités des opérateurs d’AENF en matière de mise en œuvre des activités d'AEA sont renforcées </v>
      </c>
      <c r="AC2060" s="20" t="str">
        <f>D2060 &amp; "-" &amp; VLOOKUP(D2060,[4]STRATEGIES!$E$1:$F$504,2,FALSE)</f>
        <v>636-Identification de l'ensemble des opérateurs de l'AEA</v>
      </c>
      <c r="AD2060" s="21" t="str">
        <f t="shared" si="317"/>
        <v>63612-Elaboration d'un annuaire des opérateurs</v>
      </c>
    </row>
    <row r="2061" spans="1:30" s="22" customFormat="1" ht="45" hidden="1" customHeight="1" x14ac:dyDescent="0.8">
      <c r="A2061" s="14">
        <v>6</v>
      </c>
      <c r="B2061" s="15">
        <v>63</v>
      </c>
      <c r="C2061" s="15">
        <v>636</v>
      </c>
      <c r="D2061" s="74">
        <v>636</v>
      </c>
      <c r="E2061" s="14">
        <v>63613</v>
      </c>
      <c r="F2061" s="16" t="s">
        <v>2531</v>
      </c>
      <c r="G2061" s="21" t="s">
        <v>298</v>
      </c>
      <c r="H2061" s="17" t="s">
        <v>66</v>
      </c>
      <c r="I2061" s="56">
        <v>0</v>
      </c>
      <c r="J2061" s="56">
        <f>10*4*1</f>
        <v>40</v>
      </c>
      <c r="K2061" s="56"/>
      <c r="L2061" s="56"/>
      <c r="M2061" s="56">
        <f t="shared" si="311"/>
        <v>40</v>
      </c>
      <c r="N2061" s="56">
        <f>IF(OR(H2061="",H2061="sif",H2061="PM"),0,VLOOKUP(H2061,[5]CU!$C$4:$H$255,6,FALSE))</f>
        <v>0.255</v>
      </c>
      <c r="O2061" s="56">
        <f t="shared" ref="O2061:R2068" si="319">$N2061*I2061</f>
        <v>0</v>
      </c>
      <c r="P2061" s="56">
        <f t="shared" si="319"/>
        <v>10.199999999999999</v>
      </c>
      <c r="Q2061" s="56">
        <f t="shared" si="319"/>
        <v>0</v>
      </c>
      <c r="R2061" s="56">
        <f t="shared" si="319"/>
        <v>0</v>
      </c>
      <c r="S2061" s="56">
        <f t="shared" ref="S2061:S2068" si="320">SUM(O2061:R2061)</f>
        <v>10.199999999999999</v>
      </c>
      <c r="T2061" s="35" t="s">
        <v>56</v>
      </c>
      <c r="U2061" s="18" t="s">
        <v>330</v>
      </c>
      <c r="V2061" s="19" t="str">
        <f>IF(OR($H2061="",$H2061="sif",$H2061="PM"),"",VLOOKUP($H2061,[5]CU!$C$5:$J$255,8,FALSE))</f>
        <v>3. Dépenses de fonctionnement</v>
      </c>
      <c r="W2061" s="18" t="s">
        <v>331</v>
      </c>
      <c r="X2061" s="18" t="s">
        <v>331</v>
      </c>
      <c r="Y2061" s="19" t="s">
        <v>32</v>
      </c>
      <c r="Z2061" s="19" t="str">
        <f>A2061 &amp; "-" &amp; VLOOKUP(A2061,[4]PROGRAMMES!$E$1:$F$7,2,FALSE)</f>
        <v>6-Education et alphabétisation des adultes</v>
      </c>
      <c r="AA2061" s="19" t="str">
        <f>B2061 &amp; "-" &amp; VLOOKUP(B2061,[4]SOUSPROGRAMMES!$E$1:$F$44,2,FALSE)</f>
        <v xml:space="preserve">63- Amélioration de la qualité </v>
      </c>
      <c r="AB2061" s="19" t="str">
        <f>C2061 &amp; "-" &amp; VLOOKUP(C2061,[4]RESULTATS!$E$1:$F$176,2,FALSE)</f>
        <v xml:space="preserve">636- Les capacités des opérateurs d’AENF en matière de mise en œuvre des activités d'AEA sont renforcées </v>
      </c>
      <c r="AC2061" s="20" t="str">
        <f>D2061 &amp; "-" &amp; VLOOKUP(D2061,[4]STRATEGIES!$E$1:$F$504,2,FALSE)</f>
        <v>636-Identification de l'ensemble des opérateurs de l'AEA</v>
      </c>
      <c r="AD2061" s="21" t="str">
        <f t="shared" si="317"/>
        <v>63613-Révision concertée du manuel de procédures d'alphabétisation (mode faire faire)</v>
      </c>
    </row>
    <row r="2062" spans="1:30" s="22" customFormat="1" ht="45" hidden="1" customHeight="1" x14ac:dyDescent="0.8">
      <c r="A2062" s="14">
        <v>6</v>
      </c>
      <c r="B2062" s="15">
        <v>63</v>
      </c>
      <c r="C2062" s="15">
        <v>636</v>
      </c>
      <c r="D2062" s="74">
        <v>636</v>
      </c>
      <c r="E2062" s="14">
        <v>63614</v>
      </c>
      <c r="F2062" s="16" t="s">
        <v>2532</v>
      </c>
      <c r="G2062" s="21" t="s">
        <v>298</v>
      </c>
      <c r="H2062" s="17" t="s">
        <v>38</v>
      </c>
      <c r="I2062" s="56">
        <v>0</v>
      </c>
      <c r="J2062" s="56">
        <f>30*1</f>
        <v>30</v>
      </c>
      <c r="K2062" s="56"/>
      <c r="L2062" s="56"/>
      <c r="M2062" s="56">
        <f t="shared" si="311"/>
        <v>30</v>
      </c>
      <c r="N2062" s="56">
        <f>IF(OR(H2062="",H2062="sif",H2062="PM"),0,VLOOKUP(H2062,[5]CU!$C$4:$H$255,6,FALSE))</f>
        <v>0.3133333333333333</v>
      </c>
      <c r="O2062" s="56">
        <f t="shared" si="319"/>
        <v>0</v>
      </c>
      <c r="P2062" s="56">
        <f t="shared" si="319"/>
        <v>9.3999999999999986</v>
      </c>
      <c r="Q2062" s="56">
        <f t="shared" si="319"/>
        <v>0</v>
      </c>
      <c r="R2062" s="56">
        <f t="shared" si="319"/>
        <v>0</v>
      </c>
      <c r="S2062" s="56">
        <f t="shared" si="320"/>
        <v>9.3999999999999986</v>
      </c>
      <c r="T2062" s="35" t="s">
        <v>56</v>
      </c>
      <c r="U2062" s="18" t="s">
        <v>330</v>
      </c>
      <c r="V2062" s="19" t="str">
        <f>IF(OR($H2062="",$H2062="sif",$H2062="PM"),"",VLOOKUP($H2062,[5]CU!$C$5:$J$255,8,FALSE))</f>
        <v>3. Formation</v>
      </c>
      <c r="W2062" s="18" t="s">
        <v>331</v>
      </c>
      <c r="X2062" s="18" t="s">
        <v>331</v>
      </c>
      <c r="Y2062" s="19" t="s">
        <v>32</v>
      </c>
      <c r="Z2062" s="19" t="str">
        <f>A2062 &amp; "-" &amp; VLOOKUP(A2062,[4]PROGRAMMES!$E$1:$F$7,2,FALSE)</f>
        <v>6-Education et alphabétisation des adultes</v>
      </c>
      <c r="AA2062" s="19" t="str">
        <f>B2062 &amp; "-" &amp; VLOOKUP(B2062,[4]SOUSPROGRAMMES!$E$1:$F$44,2,FALSE)</f>
        <v xml:space="preserve">63- Amélioration de la qualité </v>
      </c>
      <c r="AB2062" s="19" t="str">
        <f>C2062 &amp; "-" &amp; VLOOKUP(C2062,[4]RESULTATS!$E$1:$F$176,2,FALSE)</f>
        <v xml:space="preserve">636- Les capacités des opérateurs d’AENF en matière de mise en œuvre des activités d'AEA sont renforcées </v>
      </c>
      <c r="AC2062" s="20" t="str">
        <f>D2062 &amp; "-" &amp; VLOOKUP(D2062,[4]STRATEGIES!$E$1:$F$504,2,FALSE)</f>
        <v>636-Identification de l'ensemble des opérateurs de l'AEA</v>
      </c>
      <c r="AD2062" s="21" t="str">
        <f t="shared" si="317"/>
        <v>63614-Validation du manuel de procédure en mode faire-faire</v>
      </c>
    </row>
    <row r="2063" spans="1:30" s="22" customFormat="1" ht="45" hidden="1" customHeight="1" x14ac:dyDescent="0.8">
      <c r="A2063" s="14">
        <v>6</v>
      </c>
      <c r="B2063" s="15">
        <v>63</v>
      </c>
      <c r="C2063" s="15">
        <v>636</v>
      </c>
      <c r="D2063" s="74">
        <v>636</v>
      </c>
      <c r="E2063" s="14">
        <v>63614</v>
      </c>
      <c r="F2063" s="16" t="s">
        <v>2533</v>
      </c>
      <c r="G2063" s="21" t="s">
        <v>451</v>
      </c>
      <c r="H2063" s="17" t="s">
        <v>45</v>
      </c>
      <c r="I2063" s="56">
        <v>0</v>
      </c>
      <c r="J2063" s="56"/>
      <c r="K2063" s="56">
        <f>(500*1.5)</f>
        <v>750</v>
      </c>
      <c r="L2063" s="56"/>
      <c r="M2063" s="56">
        <f t="shared" si="311"/>
        <v>750</v>
      </c>
      <c r="N2063" s="56">
        <f>IF(OR(H2063="",H2063="sif",H2063="PM"),0,VLOOKUP(H2063,[5]CU!$C$4:$H$255,6,FALSE))</f>
        <v>0.03</v>
      </c>
      <c r="O2063" s="56">
        <f t="shared" si="319"/>
        <v>0</v>
      </c>
      <c r="P2063" s="56">
        <f t="shared" si="319"/>
        <v>0</v>
      </c>
      <c r="Q2063" s="56">
        <f t="shared" si="319"/>
        <v>22.5</v>
      </c>
      <c r="R2063" s="56">
        <f t="shared" si="319"/>
        <v>0</v>
      </c>
      <c r="S2063" s="56">
        <f t="shared" si="320"/>
        <v>22.5</v>
      </c>
      <c r="T2063" s="35" t="s">
        <v>56</v>
      </c>
      <c r="U2063" s="18" t="s">
        <v>330</v>
      </c>
      <c r="V2063" s="19" t="str">
        <f>IF(OR($H2063="",$H2063="sif",$H2063="PM"),"",VLOOKUP($H2063,[5]CU!$C$5:$J$255,8,FALSE))</f>
        <v>3. Manuels scolaires et matériels pédagogiques</v>
      </c>
      <c r="W2063" s="18" t="s">
        <v>331</v>
      </c>
      <c r="X2063" s="18" t="s">
        <v>331</v>
      </c>
      <c r="Y2063" s="19" t="s">
        <v>32</v>
      </c>
      <c r="Z2063" s="19" t="str">
        <f>A2063 &amp; "-" &amp; VLOOKUP(A2063,[4]PROGRAMMES!$E$1:$F$7,2,FALSE)</f>
        <v>6-Education et alphabétisation des adultes</v>
      </c>
      <c r="AA2063" s="19" t="str">
        <f>B2063 &amp; "-" &amp; VLOOKUP(B2063,[4]SOUSPROGRAMMES!$E$1:$F$44,2,FALSE)</f>
        <v xml:space="preserve">63- Amélioration de la qualité </v>
      </c>
      <c r="AB2063" s="19" t="str">
        <f>C2063 &amp; "-" &amp; VLOOKUP(C2063,[4]RESULTATS!$E$1:$F$176,2,FALSE)</f>
        <v xml:space="preserve">636- Les capacités des opérateurs d’AENF en matière de mise en œuvre des activités d'AEA sont renforcées </v>
      </c>
      <c r="AC2063" s="20" t="str">
        <f>D2063 &amp; "-" &amp; VLOOKUP(D2063,[4]STRATEGIES!$E$1:$F$504,2,FALSE)</f>
        <v>636-Identification de l'ensemble des opérateurs de l'AEA</v>
      </c>
      <c r="AD2063" s="21" t="str">
        <f t="shared" si="317"/>
        <v>63614-Partage et dissémination du nouveau manuel</v>
      </c>
    </row>
    <row r="2064" spans="1:30" s="22" customFormat="1" ht="45" customHeight="1" x14ac:dyDescent="0.8">
      <c r="A2064" s="14">
        <v>6</v>
      </c>
      <c r="B2064" s="15">
        <v>63</v>
      </c>
      <c r="C2064" s="15">
        <v>636</v>
      </c>
      <c r="D2064" s="74">
        <v>6362</v>
      </c>
      <c r="E2064" s="14">
        <v>6362</v>
      </c>
      <c r="F2064" s="16" t="s">
        <v>2534</v>
      </c>
      <c r="G2064" s="17"/>
      <c r="H2064" s="17"/>
      <c r="I2064" s="56">
        <v>0</v>
      </c>
      <c r="J2064" s="56"/>
      <c r="K2064" s="56"/>
      <c r="L2064" s="56"/>
      <c r="M2064" s="56"/>
      <c r="N2064" s="56"/>
      <c r="O2064" s="56"/>
      <c r="P2064" s="56"/>
      <c r="Q2064" s="56"/>
      <c r="R2064" s="56"/>
      <c r="S2064" s="56"/>
      <c r="T2064" s="33"/>
      <c r="U2064" s="18"/>
      <c r="V2064" s="19"/>
      <c r="W2064" s="18"/>
      <c r="X2064" s="18"/>
      <c r="Y2064" s="18"/>
      <c r="Z2064" s="19" t="str">
        <f>A2064 &amp; "-" &amp; VLOOKUP(A2064,[4]PROGRAMMES!$E$1:$F$7,2,FALSE)</f>
        <v>6-Education et alphabétisation des adultes</v>
      </c>
      <c r="AA2064" s="19" t="str">
        <f>B2064 &amp; "-" &amp; VLOOKUP(B2064,[4]SOUSPROGRAMMES!$E$1:$F$44,2,FALSE)</f>
        <v xml:space="preserve">63- Amélioration de la qualité </v>
      </c>
      <c r="AB2064" s="19" t="str">
        <f>C2064 &amp; "-" &amp; VLOOKUP(C2064,[4]RESULTATS!$E$1:$F$176,2,FALSE)</f>
        <v xml:space="preserve">636- Les capacités des opérateurs d’AENF en matière de mise en œuvre des activités d'AEA sont renforcées </v>
      </c>
      <c r="AC2064" s="20" t="str">
        <f>D2064 &amp; "-" &amp; VLOOKUP(D2064,[4]STRATEGIES!$E$1:$F$504,2,FALSE)</f>
        <v>6362-Production de livrets et de guides</v>
      </c>
      <c r="AD2064" s="21" t="str">
        <f t="shared" si="317"/>
        <v>6362-Production de livrets et de guides</v>
      </c>
    </row>
    <row r="2065" spans="1:30" s="22" customFormat="1" ht="45" hidden="1" customHeight="1" x14ac:dyDescent="0.8">
      <c r="A2065" s="14">
        <v>6</v>
      </c>
      <c r="B2065" s="15">
        <v>63</v>
      </c>
      <c r="C2065" s="15">
        <v>636</v>
      </c>
      <c r="D2065" s="74">
        <v>6362</v>
      </c>
      <c r="E2065" s="14">
        <v>63621</v>
      </c>
      <c r="F2065" s="16" t="s">
        <v>2535</v>
      </c>
      <c r="G2065" s="21" t="s">
        <v>298</v>
      </c>
      <c r="H2065" s="17" t="s">
        <v>66</v>
      </c>
      <c r="I2065" s="56">
        <v>0</v>
      </c>
      <c r="J2065" s="56">
        <f>16*5*2</f>
        <v>160</v>
      </c>
      <c r="K2065" s="56"/>
      <c r="L2065" s="56"/>
      <c r="M2065" s="56">
        <f t="shared" si="311"/>
        <v>160</v>
      </c>
      <c r="N2065" s="56">
        <f>IF(OR(H2065="",H2065="sif",H2065="PM"),0,VLOOKUP(H2065,[5]CU!$C$4:$H$255,6,FALSE))</f>
        <v>0.255</v>
      </c>
      <c r="O2065" s="56">
        <f t="shared" si="319"/>
        <v>0</v>
      </c>
      <c r="P2065" s="56">
        <f t="shared" si="319"/>
        <v>40.799999999999997</v>
      </c>
      <c r="Q2065" s="56">
        <f t="shared" si="319"/>
        <v>0</v>
      </c>
      <c r="R2065" s="56">
        <f t="shared" si="319"/>
        <v>0</v>
      </c>
      <c r="S2065" s="56">
        <f t="shared" si="320"/>
        <v>40.799999999999997</v>
      </c>
      <c r="T2065" s="35" t="s">
        <v>56</v>
      </c>
      <c r="U2065" s="18" t="s">
        <v>330</v>
      </c>
      <c r="V2065" s="19" t="str">
        <f>IF(OR($H2065="",$H2065="sif",$H2065="PM"),"",VLOOKUP($H2065,[5]CU!$C$5:$J$255,8,FALSE))</f>
        <v>3. Dépenses de fonctionnement</v>
      </c>
      <c r="W2065" s="18" t="s">
        <v>331</v>
      </c>
      <c r="X2065" s="18" t="s">
        <v>331</v>
      </c>
      <c r="Y2065" s="19" t="s">
        <v>32</v>
      </c>
      <c r="Z2065" s="19" t="str">
        <f>A2065 &amp; "-" &amp; VLOOKUP(A2065,[4]PROGRAMMES!$E$1:$F$7,2,FALSE)</f>
        <v>6-Education et alphabétisation des adultes</v>
      </c>
      <c r="AA2065" s="19" t="str">
        <f>B2065 &amp; "-" &amp; VLOOKUP(B2065,[4]SOUSPROGRAMMES!$E$1:$F$44,2,FALSE)</f>
        <v xml:space="preserve">63- Amélioration de la qualité </v>
      </c>
      <c r="AB2065" s="19" t="str">
        <f>C2065 &amp; "-" &amp; VLOOKUP(C2065,[4]RESULTATS!$E$1:$F$176,2,FALSE)</f>
        <v xml:space="preserve">636- Les capacités des opérateurs d’AENF en matière de mise en œuvre des activités d'AEA sont renforcées </v>
      </c>
      <c r="AC2065" s="20" t="str">
        <f>D2065 &amp; "-" &amp; VLOOKUP(D2065,[4]STRATEGIES!$E$1:$F$504,2,FALSE)</f>
        <v>6362-Production de livrets et de guides</v>
      </c>
      <c r="AD2065" s="21" t="str">
        <f t="shared" si="317"/>
        <v>63621-Elaboration des livrets et guides de formation</v>
      </c>
    </row>
    <row r="2066" spans="1:30" s="22" customFormat="1" ht="45" hidden="1" customHeight="1" x14ac:dyDescent="0.8">
      <c r="A2066" s="14">
        <v>6</v>
      </c>
      <c r="B2066" s="15">
        <v>63</v>
      </c>
      <c r="C2066" s="15">
        <v>636</v>
      </c>
      <c r="D2066" s="74">
        <v>6362</v>
      </c>
      <c r="E2066" s="14">
        <v>63622</v>
      </c>
      <c r="F2066" s="16" t="s">
        <v>2536</v>
      </c>
      <c r="G2066" s="21" t="s">
        <v>298</v>
      </c>
      <c r="H2066" s="17" t="s">
        <v>38</v>
      </c>
      <c r="I2066" s="56">
        <v>0</v>
      </c>
      <c r="J2066" s="56">
        <f>30*2</f>
        <v>60</v>
      </c>
      <c r="K2066" s="56"/>
      <c r="L2066" s="56"/>
      <c r="M2066" s="56">
        <f t="shared" si="311"/>
        <v>60</v>
      </c>
      <c r="N2066" s="56">
        <f>IF(OR(H2066="",H2066="sif",H2066="PM"),0,VLOOKUP(H2066,[5]CU!$C$4:$H$255,6,FALSE))</f>
        <v>0.3133333333333333</v>
      </c>
      <c r="O2066" s="56">
        <f t="shared" si="319"/>
        <v>0</v>
      </c>
      <c r="P2066" s="56">
        <f t="shared" si="319"/>
        <v>18.799999999999997</v>
      </c>
      <c r="Q2066" s="56">
        <f t="shared" si="319"/>
        <v>0</v>
      </c>
      <c r="R2066" s="56">
        <f t="shared" si="319"/>
        <v>0</v>
      </c>
      <c r="S2066" s="56">
        <f t="shared" si="320"/>
        <v>18.799999999999997</v>
      </c>
      <c r="T2066" s="35" t="s">
        <v>56</v>
      </c>
      <c r="U2066" s="18" t="s">
        <v>330</v>
      </c>
      <c r="V2066" s="19" t="str">
        <f>IF(OR($H2066="",$H2066="sif",$H2066="PM"),"",VLOOKUP($H2066,[5]CU!$C$5:$J$255,8,FALSE))</f>
        <v>3. Formation</v>
      </c>
      <c r="W2066" s="18" t="s">
        <v>331</v>
      </c>
      <c r="X2066" s="18" t="s">
        <v>331</v>
      </c>
      <c r="Y2066" s="19" t="s">
        <v>32</v>
      </c>
      <c r="Z2066" s="19" t="str">
        <f>A2066 &amp; "-" &amp; VLOOKUP(A2066,[4]PROGRAMMES!$E$1:$F$7,2,FALSE)</f>
        <v>6-Education et alphabétisation des adultes</v>
      </c>
      <c r="AA2066" s="19" t="str">
        <f>B2066 &amp; "-" &amp; VLOOKUP(B2066,[4]SOUSPROGRAMMES!$E$1:$F$44,2,FALSE)</f>
        <v xml:space="preserve">63- Amélioration de la qualité </v>
      </c>
      <c r="AB2066" s="19" t="str">
        <f>C2066 &amp; "-" &amp; VLOOKUP(C2066,[4]RESULTATS!$E$1:$F$176,2,FALSE)</f>
        <v xml:space="preserve">636- Les capacités des opérateurs d’AENF en matière de mise en œuvre des activités d'AEA sont renforcées </v>
      </c>
      <c r="AC2066" s="20" t="str">
        <f>D2066 &amp; "-" &amp; VLOOKUP(D2066,[4]STRATEGIES!$E$1:$F$504,2,FALSE)</f>
        <v>6362-Production de livrets et de guides</v>
      </c>
      <c r="AD2066" s="21" t="str">
        <f t="shared" si="317"/>
        <v>63622- Validation des livrets</v>
      </c>
    </row>
    <row r="2067" spans="1:30" s="22" customFormat="1" ht="45" customHeight="1" x14ac:dyDescent="0.8">
      <c r="A2067" s="14">
        <v>6</v>
      </c>
      <c r="B2067" s="15">
        <v>63</v>
      </c>
      <c r="C2067" s="15">
        <v>636</v>
      </c>
      <c r="D2067" s="74">
        <v>6363</v>
      </c>
      <c r="E2067" s="14">
        <v>6363</v>
      </c>
      <c r="F2067" s="16" t="s">
        <v>2537</v>
      </c>
      <c r="G2067" s="17"/>
      <c r="H2067" s="17"/>
      <c r="I2067" s="56">
        <v>0</v>
      </c>
      <c r="J2067" s="56"/>
      <c r="K2067" s="56"/>
      <c r="L2067" s="56"/>
      <c r="M2067" s="56"/>
      <c r="N2067" s="56"/>
      <c r="O2067" s="56"/>
      <c r="P2067" s="56"/>
      <c r="Q2067" s="56"/>
      <c r="R2067" s="56"/>
      <c r="S2067" s="56"/>
      <c r="T2067" s="33"/>
      <c r="U2067" s="18"/>
      <c r="V2067" s="19"/>
      <c r="W2067" s="18"/>
      <c r="X2067" s="18"/>
      <c r="Y2067" s="18"/>
      <c r="Z2067" s="19" t="str">
        <f>A2067 &amp; "-" &amp; VLOOKUP(A2067,[4]PROGRAMMES!$E$1:$F$7,2,FALSE)</f>
        <v>6-Education et alphabétisation des adultes</v>
      </c>
      <c r="AA2067" s="19" t="str">
        <f>B2067 &amp; "-" &amp; VLOOKUP(B2067,[4]SOUSPROGRAMMES!$E$1:$F$44,2,FALSE)</f>
        <v xml:space="preserve">63- Amélioration de la qualité </v>
      </c>
      <c r="AB2067" s="19" t="str">
        <f>C2067 &amp; "-" &amp; VLOOKUP(C2067,[4]RESULTATS!$E$1:$F$176,2,FALSE)</f>
        <v xml:space="preserve">636- Les capacités des opérateurs d’AENF en matière de mise en œuvre des activités d'AEA sont renforcées </v>
      </c>
      <c r="AC2067" s="20" t="str">
        <f>D2067 &amp; "-" &amp; VLOOKUP(D2067,[4]STRATEGIES!$E$1:$F$504,2,FALSE)</f>
        <v>6363-Financement des activités d'AENF pour les operateurs</v>
      </c>
      <c r="AD2067" s="21" t="str">
        <f t="shared" si="317"/>
        <v>6363-Financement des activités d'AENF pour les operateurs</v>
      </c>
    </row>
    <row r="2068" spans="1:30" s="22" customFormat="1" ht="45" hidden="1" customHeight="1" x14ac:dyDescent="0.8">
      <c r="A2068" s="14">
        <v>6</v>
      </c>
      <c r="B2068" s="15">
        <v>63</v>
      </c>
      <c r="C2068" s="15">
        <v>636</v>
      </c>
      <c r="D2068" s="74">
        <v>6363</v>
      </c>
      <c r="E2068" s="14">
        <v>63631</v>
      </c>
      <c r="F2068" s="16" t="s">
        <v>2538</v>
      </c>
      <c r="G2068" s="21" t="s">
        <v>2539</v>
      </c>
      <c r="H2068" s="17" t="s">
        <v>816</v>
      </c>
      <c r="I2068" s="56">
        <v>0</v>
      </c>
      <c r="J2068" s="56">
        <f>200</f>
        <v>200</v>
      </c>
      <c r="K2068" s="56">
        <v>200</v>
      </c>
      <c r="L2068" s="56">
        <v>200</v>
      </c>
      <c r="M2068" s="56">
        <f t="shared" si="311"/>
        <v>600</v>
      </c>
      <c r="N2068" s="56">
        <f>IF(OR(H2068="",H2068="sif",H2068="PM"),0,VLOOKUP(H2068,[5]CU!$C$4:$H$255,6,FALSE))</f>
        <v>7.4999999999999997E-3</v>
      </c>
      <c r="O2068" s="56">
        <f t="shared" si="319"/>
        <v>0</v>
      </c>
      <c r="P2068" s="56">
        <f t="shared" si="319"/>
        <v>1.5</v>
      </c>
      <c r="Q2068" s="56">
        <f t="shared" si="319"/>
        <v>1.5</v>
      </c>
      <c r="R2068" s="56">
        <f t="shared" si="319"/>
        <v>1.5</v>
      </c>
      <c r="S2068" s="56">
        <f t="shared" si="320"/>
        <v>4.5</v>
      </c>
      <c r="T2068" s="35" t="s">
        <v>56</v>
      </c>
      <c r="U2068" s="18" t="s">
        <v>330</v>
      </c>
      <c r="V2068" s="19" t="str">
        <f>IF(OR($H2068="",$H2068="sif",$H2068="PM"),"",VLOOKUP($H2068,[5]CU!$C$5:$J$255,8,FALSE))</f>
        <v>3. Dépenses de fonctionnement</v>
      </c>
      <c r="W2068" s="18" t="s">
        <v>331</v>
      </c>
      <c r="X2068" s="18" t="s">
        <v>521</v>
      </c>
      <c r="Y2068" s="19" t="s">
        <v>32</v>
      </c>
      <c r="Z2068" s="19" t="str">
        <f>A2068 &amp; "-" &amp; VLOOKUP(A2068,[4]PROGRAMMES!$E$1:$F$7,2,FALSE)</f>
        <v>6-Education et alphabétisation des adultes</v>
      </c>
      <c r="AA2068" s="19" t="str">
        <f>B2068 &amp; "-" &amp; VLOOKUP(B2068,[4]SOUSPROGRAMMES!$E$1:$F$44,2,FALSE)</f>
        <v xml:space="preserve">63- Amélioration de la qualité </v>
      </c>
      <c r="AB2068" s="19" t="str">
        <f>C2068 &amp; "-" &amp; VLOOKUP(C2068,[4]RESULTATS!$E$1:$F$176,2,FALSE)</f>
        <v xml:space="preserve">636- Les capacités des opérateurs d’AENF en matière de mise en œuvre des activités d'AEA sont renforcées </v>
      </c>
      <c r="AC2068" s="20" t="str">
        <f>D2068 &amp; "-" &amp; VLOOKUP(D2068,[4]STRATEGIES!$E$1:$F$504,2,FALSE)</f>
        <v>6363-Financement des activités d'AENF pour les operateurs</v>
      </c>
      <c r="AD2068" s="21" t="str">
        <f t="shared" si="317"/>
        <v>63631-appel d'offres pour le choix des opérateurs</v>
      </c>
    </row>
    <row r="2069" spans="1:30" s="22" customFormat="1" ht="45" hidden="1" customHeight="1" x14ac:dyDescent="0.8">
      <c r="A2069" s="14">
        <v>6</v>
      </c>
      <c r="B2069" s="15">
        <v>63</v>
      </c>
      <c r="C2069" s="15">
        <v>636</v>
      </c>
      <c r="D2069" s="74">
        <v>6363</v>
      </c>
      <c r="E2069" s="14">
        <v>63632</v>
      </c>
      <c r="F2069" s="16" t="s">
        <v>2540</v>
      </c>
      <c r="G2069" s="21" t="s">
        <v>88</v>
      </c>
      <c r="H2069" s="17" t="s">
        <v>55</v>
      </c>
      <c r="I2069" s="56">
        <v>0</v>
      </c>
      <c r="J2069" s="56">
        <f>1*1*1</f>
        <v>1</v>
      </c>
      <c r="K2069" s="56">
        <v>1</v>
      </c>
      <c r="L2069" s="56">
        <v>1</v>
      </c>
      <c r="M2069" s="56">
        <f t="shared" si="311"/>
        <v>3</v>
      </c>
      <c r="N2069" s="56">
        <f>IF(OR(H2069="",H2069="sif",H2069="PM"),0,VLOOKUP(H2069,[5]CU!$C$4:$H$255,6,FALSE))</f>
        <v>0</v>
      </c>
      <c r="O2069" s="56"/>
      <c r="P2069" s="56"/>
      <c r="Q2069" s="56"/>
      <c r="R2069" s="56"/>
      <c r="S2069" s="56"/>
      <c r="T2069" s="35" t="s">
        <v>56</v>
      </c>
      <c r="U2069" s="18" t="s">
        <v>330</v>
      </c>
      <c r="V2069" s="19" t="str">
        <f>IF(OR($H2069="",$H2069="sif",$H2069="PM"),"",VLOOKUP($H2069,[5]CU!$C$5:$J$255,8,FALSE))</f>
        <v/>
      </c>
      <c r="W2069" s="18" t="s">
        <v>331</v>
      </c>
      <c r="X2069" s="18" t="s">
        <v>521</v>
      </c>
      <c r="Y2069" s="19" t="s">
        <v>32</v>
      </c>
      <c r="Z2069" s="19" t="str">
        <f>A2069 &amp; "-" &amp; VLOOKUP(A2069,[4]PROGRAMMES!$E$1:$F$7,2,FALSE)</f>
        <v>6-Education et alphabétisation des adultes</v>
      </c>
      <c r="AA2069" s="19" t="str">
        <f>B2069 &amp; "-" &amp; VLOOKUP(B2069,[4]SOUSPROGRAMMES!$E$1:$F$44,2,FALSE)</f>
        <v xml:space="preserve">63- Amélioration de la qualité </v>
      </c>
      <c r="AB2069" s="19" t="str">
        <f>C2069 &amp; "-" &amp; VLOOKUP(C2069,[4]RESULTATS!$E$1:$F$176,2,FALSE)</f>
        <v xml:space="preserve">636- Les capacités des opérateurs d’AENF en matière de mise en œuvre des activités d'AEA sont renforcées </v>
      </c>
      <c r="AC2069" s="20" t="str">
        <f>D2069 &amp; "-" &amp; VLOOKUP(D2069,[4]STRATEGIES!$E$1:$F$504,2,FALSE)</f>
        <v>6363-Financement des activités d'AENF pour les operateurs</v>
      </c>
      <c r="AD2069" s="21" t="str">
        <f t="shared" si="317"/>
        <v>63632-Choix des opérateurs et signature des contrats</v>
      </c>
    </row>
    <row r="2070" spans="1:30" s="22" customFormat="1" ht="30" customHeight="1" x14ac:dyDescent="0.8">
      <c r="A2070" s="14">
        <v>6</v>
      </c>
      <c r="B2070" s="15">
        <v>63</v>
      </c>
      <c r="C2070" s="15">
        <v>637</v>
      </c>
      <c r="D2070" s="74">
        <v>637</v>
      </c>
      <c r="E2070" s="14">
        <v>637</v>
      </c>
      <c r="F2070" s="16" t="s">
        <v>2541</v>
      </c>
      <c r="G2070" s="17"/>
      <c r="H2070" s="17"/>
      <c r="I2070" s="56">
        <v>0</v>
      </c>
      <c r="J2070" s="56"/>
      <c r="K2070" s="56"/>
      <c r="L2070" s="56"/>
      <c r="M2070" s="56"/>
      <c r="N2070" s="56"/>
      <c r="O2070" s="56"/>
      <c r="P2070" s="56"/>
      <c r="Q2070" s="56"/>
      <c r="R2070" s="56"/>
      <c r="S2070" s="56"/>
      <c r="T2070" s="33"/>
      <c r="U2070" s="18"/>
      <c r="V2070" s="19"/>
      <c r="W2070" s="18"/>
      <c r="X2070" s="18"/>
      <c r="Y2070" s="18"/>
      <c r="Z2070" s="19" t="str">
        <f>A2070 &amp; "-" &amp; VLOOKUP(A2070,[4]PROGRAMMES!$E$1:$F$7,2,FALSE)</f>
        <v>6-Education et alphabétisation des adultes</v>
      </c>
      <c r="AA2070" s="19" t="str">
        <f>B2070 &amp; "-" &amp; VLOOKUP(B2070,[4]SOUSPROGRAMMES!$E$1:$F$44,2,FALSE)</f>
        <v xml:space="preserve">63- Amélioration de la qualité </v>
      </c>
      <c r="AB2070" s="19" t="str">
        <f>C2070 &amp; "-" &amp; VLOOKUP(C2070,[4]RESULTATS!$E$1:$F$176,2,FALSE)</f>
        <v xml:space="preserve">637-Le matériel didactique approprié est disponible en quantité suffisante </v>
      </c>
      <c r="AC2070" s="20" t="str">
        <f>D2070 &amp; "-" &amp; VLOOKUP(D2070,[4]STRATEGIES!$E$1:$F$504,2,FALSE)</f>
        <v xml:space="preserve">637-Le matériel didactique approprié est disponible en quantité suffisante </v>
      </c>
      <c r="AD2070" s="21" t="str">
        <f t="shared" si="317"/>
        <v xml:space="preserve">637-Le matériel didactique approprié est disponible en quantité suffisante </v>
      </c>
    </row>
    <row r="2071" spans="1:30" s="22" customFormat="1" ht="30" customHeight="1" x14ac:dyDescent="0.8">
      <c r="A2071" s="14">
        <v>6</v>
      </c>
      <c r="B2071" s="15">
        <v>63</v>
      </c>
      <c r="C2071" s="15">
        <v>637</v>
      </c>
      <c r="D2071" s="74">
        <v>6371</v>
      </c>
      <c r="E2071" s="14">
        <v>6371</v>
      </c>
      <c r="F2071" s="16" t="s">
        <v>2542</v>
      </c>
      <c r="G2071" s="17"/>
      <c r="H2071" s="17"/>
      <c r="I2071" s="56">
        <v>0</v>
      </c>
      <c r="J2071" s="56"/>
      <c r="K2071" s="56"/>
      <c r="L2071" s="56"/>
      <c r="M2071" s="56"/>
      <c r="N2071" s="56"/>
      <c r="O2071" s="56"/>
      <c r="P2071" s="56"/>
      <c r="Q2071" s="56"/>
      <c r="R2071" s="56"/>
      <c r="S2071" s="56"/>
      <c r="T2071" s="33"/>
      <c r="U2071" s="18"/>
      <c r="V2071" s="19"/>
      <c r="W2071" s="18"/>
      <c r="X2071" s="18"/>
      <c r="Y2071" s="18"/>
      <c r="Z2071" s="19" t="str">
        <f>A2071 &amp; "-" &amp; VLOOKUP(A2071,[4]PROGRAMMES!$E$1:$F$7,2,FALSE)</f>
        <v>6-Education et alphabétisation des adultes</v>
      </c>
      <c r="AA2071" s="19" t="str">
        <f>B2071 &amp; "-" &amp; VLOOKUP(B2071,[4]SOUSPROGRAMMES!$E$1:$F$44,2,FALSE)</f>
        <v xml:space="preserve">63- Amélioration de la qualité </v>
      </c>
      <c r="AB2071" s="19" t="str">
        <f>C2071 &amp; "-" &amp; VLOOKUP(C2071,[4]RESULTATS!$E$1:$F$176,2,FALSE)</f>
        <v xml:space="preserve">637-Le matériel didactique approprié est disponible en quantité suffisante </v>
      </c>
      <c r="AC2071" s="20" t="str">
        <f>D2071 &amp; "-" &amp; VLOOKUP(D2071,[4]STRATEGIES!$E$1:$F$504,2,FALSE)</f>
        <v>6371-Acquisition et distribution de matériel didactique</v>
      </c>
      <c r="AD2071" s="21" t="str">
        <f t="shared" si="317"/>
        <v>6371-Acquisition et distribution de matériel didactique</v>
      </c>
    </row>
    <row r="2072" spans="1:30" s="22" customFormat="1" ht="45" hidden="1" customHeight="1" x14ac:dyDescent="0.8">
      <c r="A2072" s="14">
        <v>6</v>
      </c>
      <c r="B2072" s="15">
        <v>63</v>
      </c>
      <c r="C2072" s="15">
        <v>637</v>
      </c>
      <c r="D2072" s="74">
        <v>6371</v>
      </c>
      <c r="E2072" s="14">
        <v>63721</v>
      </c>
      <c r="F2072" s="16" t="s">
        <v>2543</v>
      </c>
      <c r="G2072" s="21" t="s">
        <v>2544</v>
      </c>
      <c r="H2072" s="17" t="s">
        <v>2545</v>
      </c>
      <c r="I2072" s="56">
        <v>0</v>
      </c>
      <c r="J2072" s="56">
        <f>((1+2)*(J2002+J2003)/50)*96.01%</f>
        <v>163.35448632000001</v>
      </c>
      <c r="K2072" s="56">
        <f>((1+2)*(K2002+K2003)/50)*96.01%</f>
        <v>272.25747719999998</v>
      </c>
      <c r="L2072" s="56">
        <f>((1+2)*(L2002+L2003)/50)*96.01%</f>
        <v>272.25747719999998</v>
      </c>
      <c r="M2072" s="56">
        <f>SUM(I2072:L2072)</f>
        <v>707.86944072000006</v>
      </c>
      <c r="N2072" s="56">
        <f>IF(OR(H2072="",H2072="sif",H2072="PM"),0,VLOOKUP(H2072,[5]CU!$C$4:$H$255,6,FALSE))</f>
        <v>1.7999999999999999E-2</v>
      </c>
      <c r="O2072" s="56">
        <f>$N2072*I2072</f>
        <v>0</v>
      </c>
      <c r="P2072" s="56">
        <f>$N2072*J2072</f>
        <v>2.94038075376</v>
      </c>
      <c r="Q2072" s="56">
        <f>$N2072*K2072</f>
        <v>4.9006345895999992</v>
      </c>
      <c r="R2072" s="56">
        <f>$N2072*L2072</f>
        <v>4.9006345895999992</v>
      </c>
      <c r="S2072" s="56">
        <f>SUM(O2072:R2072)</f>
        <v>12.741649932959998</v>
      </c>
      <c r="T2072" s="35" t="s">
        <v>56</v>
      </c>
      <c r="U2072" s="18" t="s">
        <v>330</v>
      </c>
      <c r="V2072" s="19" t="str">
        <f>IF(OR($H2072="",$H2072="sif",$H2072="PM"),"",VLOOKUP($H2072,[5]CU!$C$5:$J$255,8,FALSE))</f>
        <v>3. Manuels scolaires et matériels pédagogiques</v>
      </c>
      <c r="W2072" s="18" t="s">
        <v>331</v>
      </c>
      <c r="X2072" s="18" t="s">
        <v>521</v>
      </c>
      <c r="Y2072" s="19" t="s">
        <v>32</v>
      </c>
      <c r="Z2072" s="19" t="str">
        <f>A2072 &amp; "-" &amp; VLOOKUP(A2072,[4]PROGRAMMES!$E$1:$F$7,2,FALSE)</f>
        <v>6-Education et alphabétisation des adultes</v>
      </c>
      <c r="AA2072" s="19" t="str">
        <f>B2072 &amp; "-" &amp; VLOOKUP(B2072,[4]SOUSPROGRAMMES!$E$1:$F$44,2,FALSE)</f>
        <v xml:space="preserve">63- Amélioration de la qualité </v>
      </c>
      <c r="AB2072" s="19" t="str">
        <f>C2072 &amp; "-" &amp; VLOOKUP(C2072,[4]RESULTATS!$E$1:$F$176,2,FALSE)</f>
        <v xml:space="preserve">637-Le matériel didactique approprié est disponible en quantité suffisante </v>
      </c>
      <c r="AC2072" s="20" t="str">
        <f>D2072 &amp; "-" &amp; VLOOKUP(D2072,[4]STRATEGIES!$E$1:$F$504,2,FALSE)</f>
        <v>6371-Acquisition et distribution de matériel didactique</v>
      </c>
      <c r="AD2072" s="21" t="str">
        <f t="shared" si="317"/>
        <v>63721-Acquisition et distribution de manuels et guides pour les alphabétiseurs</v>
      </c>
    </row>
    <row r="2073" spans="1:30" s="22" customFormat="1" ht="45" customHeight="1" x14ac:dyDescent="0.8">
      <c r="A2073" s="14">
        <v>6</v>
      </c>
      <c r="B2073" s="15">
        <v>63</v>
      </c>
      <c r="C2073" s="15">
        <v>637</v>
      </c>
      <c r="D2073" s="74">
        <v>6371</v>
      </c>
      <c r="E2073" s="14">
        <v>63721</v>
      </c>
      <c r="F2073" s="16" t="s">
        <v>2543</v>
      </c>
      <c r="G2073" s="21" t="s">
        <v>2544</v>
      </c>
      <c r="H2073" s="17" t="s">
        <v>2545</v>
      </c>
      <c r="I2073" s="56">
        <v>0</v>
      </c>
      <c r="J2073" s="56">
        <f>((1+2)*(J2002+J2003)/50)*3.99%</f>
        <v>6.7887136800000007</v>
      </c>
      <c r="K2073" s="56">
        <f>((1+2)*(K2002+K2003)/50)*3.99%</f>
        <v>11.314522799999999</v>
      </c>
      <c r="L2073" s="56">
        <f>((1+2)*(L2002+L2003)/50)*3.99%</f>
        <v>11.314522799999999</v>
      </c>
      <c r="M2073" s="56">
        <f t="shared" si="311"/>
        <v>29.417759279999999</v>
      </c>
      <c r="N2073" s="56">
        <f>IF(OR(H2073="",H2073="sif",H2073="PM"),0,VLOOKUP(H2073,[5]CU!$C$4:$H$255,6,FALSE))</f>
        <v>1.7999999999999999E-2</v>
      </c>
      <c r="O2073" s="56">
        <f t="shared" ref="O2073:R2085" si="321">$N2073*I2073</f>
        <v>0</v>
      </c>
      <c r="P2073" s="56">
        <f t="shared" si="321"/>
        <v>0.12219684624</v>
      </c>
      <c r="Q2073" s="56">
        <f t="shared" si="321"/>
        <v>0.20366141039999996</v>
      </c>
      <c r="R2073" s="56">
        <f t="shared" si="321"/>
        <v>0.20366141039999996</v>
      </c>
      <c r="S2073" s="56">
        <f t="shared" ref="S2073:S2085" si="322">SUM(O2073:R2073)</f>
        <v>0.52951966703999997</v>
      </c>
      <c r="T2073" s="35" t="s">
        <v>118</v>
      </c>
      <c r="U2073" s="18" t="s">
        <v>330</v>
      </c>
      <c r="V2073" s="19" t="str">
        <f>IF(OR($H2073="",$H2073="sif",$H2073="PM"),"",VLOOKUP($H2073,[5]CU!$C$5:$J$255,8,FALSE))</f>
        <v>3. Manuels scolaires et matériels pédagogiques</v>
      </c>
      <c r="W2073" s="18" t="s">
        <v>331</v>
      </c>
      <c r="X2073" s="18" t="s">
        <v>521</v>
      </c>
      <c r="Y2073" s="19" t="s">
        <v>32</v>
      </c>
      <c r="Z2073" s="19" t="str">
        <f>A2073 &amp; "-" &amp; VLOOKUP(A2073,[4]PROGRAMMES!$E$1:$F$7,2,FALSE)</f>
        <v>6-Education et alphabétisation des adultes</v>
      </c>
      <c r="AA2073" s="19" t="str">
        <f>B2073 &amp; "-" &amp; VLOOKUP(B2073,[4]SOUSPROGRAMMES!$E$1:$F$44,2,FALSE)</f>
        <v xml:space="preserve">63- Amélioration de la qualité </v>
      </c>
      <c r="AB2073" s="19" t="str">
        <f>C2073 &amp; "-" &amp; VLOOKUP(C2073,[4]RESULTATS!$E$1:$F$176,2,FALSE)</f>
        <v xml:space="preserve">637-Le matériel didactique approprié est disponible en quantité suffisante </v>
      </c>
      <c r="AC2073" s="20" t="str">
        <f>D2073 &amp; "-" &amp; VLOOKUP(D2073,[4]STRATEGIES!$E$1:$F$504,2,FALSE)</f>
        <v>6371-Acquisition et distribution de matériel didactique</v>
      </c>
      <c r="AD2073" s="21" t="str">
        <f t="shared" si="317"/>
        <v>63721-Acquisition et distribution de manuels et guides pour les alphabétiseurs</v>
      </c>
    </row>
    <row r="2074" spans="1:30" s="22" customFormat="1" ht="30" hidden="1" customHeight="1" x14ac:dyDescent="0.8">
      <c r="A2074" s="14">
        <v>6</v>
      </c>
      <c r="B2074" s="15">
        <v>63</v>
      </c>
      <c r="C2074" s="15">
        <v>637</v>
      </c>
      <c r="D2074" s="74">
        <v>6371</v>
      </c>
      <c r="E2074" s="14">
        <v>63722</v>
      </c>
      <c r="F2074" s="16" t="s">
        <v>2546</v>
      </c>
      <c r="G2074" s="21" t="s">
        <v>2547</v>
      </c>
      <c r="H2074" s="17" t="s">
        <v>2548</v>
      </c>
      <c r="I2074" s="56">
        <v>0</v>
      </c>
      <c r="J2074" s="56">
        <f>((J2002+J2003)*3)*96.01%</f>
        <v>8167.7243160000007</v>
      </c>
      <c r="K2074" s="56">
        <f>((K2002+K2003)*3)*96.01%</f>
        <v>13612.87386</v>
      </c>
      <c r="L2074" s="56">
        <f>((L2002+L2003)*3)*96.01%</f>
        <v>13612.87386</v>
      </c>
      <c r="M2074" s="56">
        <f>SUM(I2074:L2074)</f>
        <v>35393.472035999999</v>
      </c>
      <c r="N2074" s="56">
        <f>IF(OR(H2074="",H2074="sif",H2074="PM"),0,VLOOKUP(H2074,[5]CU!$C$4:$H$255,6,FALSE))</f>
        <v>1.7999999999999999E-2</v>
      </c>
      <c r="O2074" s="56">
        <f>$N2074*I2074</f>
        <v>0</v>
      </c>
      <c r="P2074" s="56">
        <f>$N2074*J2074</f>
        <v>147.019037688</v>
      </c>
      <c r="Q2074" s="56">
        <f>$N2074*K2074</f>
        <v>245.03172947999997</v>
      </c>
      <c r="R2074" s="56">
        <f>$N2074*L2074</f>
        <v>245.03172947999997</v>
      </c>
      <c r="S2074" s="56">
        <f>SUM(O2074:R2074)</f>
        <v>637.08249664799996</v>
      </c>
      <c r="T2074" s="35" t="s">
        <v>56</v>
      </c>
      <c r="U2074" s="18" t="s">
        <v>330</v>
      </c>
      <c r="V2074" s="19" t="str">
        <f>IF(OR($H2074="",$H2074="sif",$H2074="PM"),"",VLOOKUP($H2074,[5]CU!$C$5:$J$255,8,FALSE))</f>
        <v>3. Manuels scolaires et matériels pédagogiques</v>
      </c>
      <c r="W2074" s="18" t="s">
        <v>331</v>
      </c>
      <c r="X2074" s="18" t="s">
        <v>521</v>
      </c>
      <c r="Y2074" s="19" t="s">
        <v>32</v>
      </c>
      <c r="Z2074" s="19" t="str">
        <f>A2074 &amp; "-" &amp; VLOOKUP(A2074,[4]PROGRAMMES!$E$1:$F$7,2,FALSE)</f>
        <v>6-Education et alphabétisation des adultes</v>
      </c>
      <c r="AA2074" s="19" t="str">
        <f>B2074 &amp; "-" &amp; VLOOKUP(B2074,[4]SOUSPROGRAMMES!$E$1:$F$44,2,FALSE)</f>
        <v xml:space="preserve">63- Amélioration de la qualité </v>
      </c>
      <c r="AB2074" s="19" t="str">
        <f>C2074 &amp; "-" &amp; VLOOKUP(C2074,[4]RESULTATS!$E$1:$F$176,2,FALSE)</f>
        <v xml:space="preserve">637-Le matériel didactique approprié est disponible en quantité suffisante </v>
      </c>
      <c r="AC2074" s="20" t="str">
        <f>D2074 &amp; "-" &amp; VLOOKUP(D2074,[4]STRATEGIES!$E$1:$F$504,2,FALSE)</f>
        <v>6371-Acquisition et distribution de matériel didactique</v>
      </c>
      <c r="AD2074" s="21" t="str">
        <f t="shared" si="317"/>
        <v>63722-Acquisition de livrets pour les apprenants</v>
      </c>
    </row>
    <row r="2075" spans="1:30" s="22" customFormat="1" ht="30" customHeight="1" x14ac:dyDescent="0.8">
      <c r="A2075" s="14">
        <v>6</v>
      </c>
      <c r="B2075" s="15">
        <v>63</v>
      </c>
      <c r="C2075" s="15">
        <v>637</v>
      </c>
      <c r="D2075" s="74">
        <v>6371</v>
      </c>
      <c r="E2075" s="14">
        <v>63722</v>
      </c>
      <c r="F2075" s="16" t="s">
        <v>2546</v>
      </c>
      <c r="G2075" s="21" t="s">
        <v>2547</v>
      </c>
      <c r="H2075" s="17" t="s">
        <v>2548</v>
      </c>
      <c r="I2075" s="56">
        <v>0</v>
      </c>
      <c r="J2075" s="56">
        <f>((J2002+J2003)*3)*3.99%</f>
        <v>339.43568400000004</v>
      </c>
      <c r="K2075" s="56">
        <f>((K2002+K2003)*3)*3.99%</f>
        <v>565.72613999999999</v>
      </c>
      <c r="L2075" s="56">
        <f>((L2002+L2003)*3)*3.99%</f>
        <v>565.72613999999999</v>
      </c>
      <c r="M2075" s="56">
        <f t="shared" si="311"/>
        <v>1470.887964</v>
      </c>
      <c r="N2075" s="56">
        <f>IF(OR(H2075="",H2075="sif",H2075="PM"),0,VLOOKUP(H2075,[5]CU!$C$4:$H$255,6,FALSE))</f>
        <v>1.7999999999999999E-2</v>
      </c>
      <c r="O2075" s="56">
        <f t="shared" si="321"/>
        <v>0</v>
      </c>
      <c r="P2075" s="56">
        <f t="shared" si="321"/>
        <v>6.1098423120000005</v>
      </c>
      <c r="Q2075" s="56">
        <f t="shared" si="321"/>
        <v>10.183070519999999</v>
      </c>
      <c r="R2075" s="56">
        <f t="shared" si="321"/>
        <v>10.183070519999999</v>
      </c>
      <c r="S2075" s="56">
        <f t="shared" si="322"/>
        <v>26.475983352</v>
      </c>
      <c r="T2075" s="35" t="s">
        <v>118</v>
      </c>
      <c r="U2075" s="18" t="s">
        <v>330</v>
      </c>
      <c r="V2075" s="19" t="str">
        <f>IF(OR($H2075="",$H2075="sif",$H2075="PM"),"",VLOOKUP($H2075,[5]CU!$C$5:$J$255,8,FALSE))</f>
        <v>3. Manuels scolaires et matériels pédagogiques</v>
      </c>
      <c r="W2075" s="18" t="s">
        <v>331</v>
      </c>
      <c r="X2075" s="18" t="s">
        <v>521</v>
      </c>
      <c r="Y2075" s="19" t="s">
        <v>32</v>
      </c>
      <c r="Z2075" s="19" t="str">
        <f>A2075 &amp; "-" &amp; VLOOKUP(A2075,[4]PROGRAMMES!$E$1:$F$7,2,FALSE)</f>
        <v>6-Education et alphabétisation des adultes</v>
      </c>
      <c r="AA2075" s="19" t="str">
        <f>B2075 &amp; "-" &amp; VLOOKUP(B2075,[4]SOUSPROGRAMMES!$E$1:$F$44,2,FALSE)</f>
        <v xml:space="preserve">63- Amélioration de la qualité </v>
      </c>
      <c r="AB2075" s="19" t="str">
        <f>C2075 &amp; "-" &amp; VLOOKUP(C2075,[4]RESULTATS!$E$1:$F$176,2,FALSE)</f>
        <v xml:space="preserve">637-Le matériel didactique approprié est disponible en quantité suffisante </v>
      </c>
      <c r="AC2075" s="20" t="str">
        <f>D2075 &amp; "-" &amp; VLOOKUP(D2075,[4]STRATEGIES!$E$1:$F$504,2,FALSE)</f>
        <v>6371-Acquisition et distribution de matériel didactique</v>
      </c>
      <c r="AD2075" s="21" t="str">
        <f t="shared" si="317"/>
        <v>63722-Acquisition de livrets pour les apprenants</v>
      </c>
    </row>
    <row r="2076" spans="1:30" s="22" customFormat="1" ht="45" customHeight="1" x14ac:dyDescent="0.8">
      <c r="A2076" s="14">
        <v>6</v>
      </c>
      <c r="B2076" s="15">
        <v>63</v>
      </c>
      <c r="C2076" s="15">
        <v>638</v>
      </c>
      <c r="D2076" s="74">
        <v>638</v>
      </c>
      <c r="E2076" s="14">
        <v>638</v>
      </c>
      <c r="F2076" s="16" t="s">
        <v>2549</v>
      </c>
      <c r="G2076" s="17"/>
      <c r="H2076" s="17"/>
      <c r="I2076" s="56">
        <v>0</v>
      </c>
      <c r="J2076" s="56"/>
      <c r="K2076" s="56"/>
      <c r="L2076" s="56"/>
      <c r="M2076" s="56"/>
      <c r="N2076" s="56"/>
      <c r="O2076" s="56"/>
      <c r="P2076" s="56"/>
      <c r="Q2076" s="56"/>
      <c r="R2076" s="56"/>
      <c r="S2076" s="56"/>
      <c r="T2076" s="33"/>
      <c r="U2076" s="18"/>
      <c r="V2076" s="19"/>
      <c r="W2076" s="18"/>
      <c r="X2076" s="18"/>
      <c r="Y2076" s="18"/>
      <c r="Z2076" s="19" t="str">
        <f>A2076 &amp; "-" &amp; VLOOKUP(A2076,[4]PROGRAMMES!$E$1:$F$7,2,FALSE)</f>
        <v>6-Education et alphabétisation des adultes</v>
      </c>
      <c r="AA2076" s="19" t="str">
        <f>B2076 &amp; "-" &amp; VLOOKUP(B2076,[4]SOUSPROGRAMMES!$E$1:$F$44,2,FALSE)</f>
        <v xml:space="preserve">63- Amélioration de la qualité </v>
      </c>
      <c r="AB2076" s="19" t="str">
        <f>C2076 &amp; "-" &amp; VLOOKUP(C2076,[4]RESULTATS!$E$1:$F$176,2,FALSE)</f>
        <v xml:space="preserve">638- Le suivi évaluation des activités d'AEA est amélioré et systématisé au niveau central et déconcentré </v>
      </c>
      <c r="AC2076" s="20" t="str">
        <f>D2076 &amp; "-" &amp; VLOOKUP(D2076,[4]STRATEGIES!$E$1:$F$504,2,FALSE)</f>
        <v xml:space="preserve">638- Le suivi évaluation des activités d'AEA est amélioré et systématisé au niveau central et déconcentré </v>
      </c>
      <c r="AD2076" s="21" t="str">
        <f t="shared" si="317"/>
        <v xml:space="preserve">638- Le suivi évaluation des activités d'AEA est amélioré et systématisé au niveau central et déconcentré </v>
      </c>
    </row>
    <row r="2077" spans="1:30" s="22" customFormat="1" ht="45.75" x14ac:dyDescent="0.8">
      <c r="A2077" s="14">
        <v>6</v>
      </c>
      <c r="B2077" s="15">
        <v>63</v>
      </c>
      <c r="C2077" s="15">
        <v>638</v>
      </c>
      <c r="D2077" s="74">
        <v>6381</v>
      </c>
      <c r="E2077" s="14">
        <v>6381</v>
      </c>
      <c r="F2077" s="16" t="s">
        <v>2550</v>
      </c>
      <c r="G2077" s="17"/>
      <c r="H2077" s="17"/>
      <c r="I2077" s="56">
        <v>0</v>
      </c>
      <c r="J2077" s="56"/>
      <c r="K2077" s="56"/>
      <c r="L2077" s="56"/>
      <c r="M2077" s="56"/>
      <c r="N2077" s="56"/>
      <c r="O2077" s="56"/>
      <c r="P2077" s="56"/>
      <c r="Q2077" s="56"/>
      <c r="R2077" s="56"/>
      <c r="S2077" s="56"/>
      <c r="T2077" s="33"/>
      <c r="U2077" s="18"/>
      <c r="V2077" s="19"/>
      <c r="W2077" s="18"/>
      <c r="X2077" s="18"/>
      <c r="Y2077" s="18"/>
      <c r="Z2077" s="19" t="str">
        <f>A2077 &amp; "-" &amp; VLOOKUP(A2077,[4]PROGRAMMES!$E$1:$F$7,2,FALSE)</f>
        <v>6-Education et alphabétisation des adultes</v>
      </c>
      <c r="AA2077" s="19" t="str">
        <f>B2077 &amp; "-" &amp; VLOOKUP(B2077,[4]SOUSPROGRAMMES!$E$1:$F$44,2,FALSE)</f>
        <v xml:space="preserve">63- Amélioration de la qualité </v>
      </c>
      <c r="AB2077" s="19" t="str">
        <f>C2077 &amp; "-" &amp; VLOOKUP(C2077,[4]RESULTATS!$E$1:$F$176,2,FALSE)</f>
        <v xml:space="preserve">638- Le suivi évaluation des activités d'AEA est amélioré et systématisé au niveau central et déconcentré </v>
      </c>
      <c r="AC2077" s="20" t="str">
        <f>D2077 &amp; "-" &amp; VLOOKUP(D2077,[4]STRATEGIES!$E$1:$F$504,2,FALSE)</f>
        <v>6381-Renforcement des capacités en suivi, évaluation et contrôle au niveau central et local</v>
      </c>
      <c r="AD2077" s="21" t="str">
        <f t="shared" si="317"/>
        <v>6381-Renforcement des capacités en suivi, évaluation et contrôle au niveau central et local</v>
      </c>
    </row>
    <row r="2078" spans="1:30" s="22" customFormat="1" ht="45" hidden="1" customHeight="1" x14ac:dyDescent="0.8">
      <c r="A2078" s="14">
        <v>6</v>
      </c>
      <c r="B2078" s="15">
        <v>63</v>
      </c>
      <c r="C2078" s="15">
        <v>638</v>
      </c>
      <c r="D2078" s="74">
        <v>6381</v>
      </c>
      <c r="E2078" s="14">
        <v>63821</v>
      </c>
      <c r="F2078" s="16" t="s">
        <v>2551</v>
      </c>
      <c r="G2078" s="21" t="s">
        <v>37</v>
      </c>
      <c r="H2078" s="17" t="s">
        <v>66</v>
      </c>
      <c r="I2078" s="56">
        <v>0</v>
      </c>
      <c r="J2078" s="56">
        <f>8*5*1</f>
        <v>40</v>
      </c>
      <c r="K2078" s="56"/>
      <c r="L2078" s="56"/>
      <c r="M2078" s="56">
        <f t="shared" si="311"/>
        <v>40</v>
      </c>
      <c r="N2078" s="56">
        <f>IF(OR(H2078="",H2078="sif",H2078="PM"),0,VLOOKUP(H2078,[5]CU!$C$4:$H$255,6,FALSE))</f>
        <v>0.255</v>
      </c>
      <c r="O2078" s="56">
        <f t="shared" si="321"/>
        <v>0</v>
      </c>
      <c r="P2078" s="56">
        <f t="shared" si="321"/>
        <v>10.199999999999999</v>
      </c>
      <c r="Q2078" s="56">
        <f t="shared" si="321"/>
        <v>0</v>
      </c>
      <c r="R2078" s="56">
        <f t="shared" si="321"/>
        <v>0</v>
      </c>
      <c r="S2078" s="56">
        <f t="shared" si="322"/>
        <v>10.199999999999999</v>
      </c>
      <c r="T2078" s="35" t="s">
        <v>56</v>
      </c>
      <c r="U2078" s="18" t="s">
        <v>330</v>
      </c>
      <c r="V2078" s="19" t="str">
        <f>IF(OR($H2078="",$H2078="sif",$H2078="PM"),"",VLOOKUP($H2078,[5]CU!$C$5:$J$255,8,FALSE))</f>
        <v>3. Dépenses de fonctionnement</v>
      </c>
      <c r="W2078" s="18" t="s">
        <v>331</v>
      </c>
      <c r="X2078" s="18" t="s">
        <v>331</v>
      </c>
      <c r="Y2078" s="19" t="s">
        <v>32</v>
      </c>
      <c r="Z2078" s="19" t="str">
        <f>A2078 &amp; "-" &amp; VLOOKUP(A2078,[4]PROGRAMMES!$E$1:$F$7,2,FALSE)</f>
        <v>6-Education et alphabétisation des adultes</v>
      </c>
      <c r="AA2078" s="19" t="str">
        <f>B2078 &amp; "-" &amp; VLOOKUP(B2078,[4]SOUSPROGRAMMES!$E$1:$F$44,2,FALSE)</f>
        <v xml:space="preserve">63- Amélioration de la qualité </v>
      </c>
      <c r="AB2078" s="19" t="str">
        <f>C2078 &amp; "-" &amp; VLOOKUP(C2078,[4]RESULTATS!$E$1:$F$176,2,FALSE)</f>
        <v xml:space="preserve">638- Le suivi évaluation des activités d'AEA est amélioré et systématisé au niveau central et déconcentré </v>
      </c>
      <c r="AC2078" s="20" t="str">
        <f>D2078 &amp; "-" &amp; VLOOKUP(D2078,[4]STRATEGIES!$E$1:$F$504,2,FALSE)</f>
        <v>6381-Renforcement des capacités en suivi, évaluation et contrôle au niveau central et local</v>
      </c>
      <c r="AD2078" s="21" t="str">
        <f t="shared" si="317"/>
        <v>63821-Elaboration d'un guide pour le suivi et l'évaluation des activités d'alphabétisation</v>
      </c>
    </row>
    <row r="2079" spans="1:30" s="22" customFormat="1" ht="45" hidden="1" customHeight="1" x14ac:dyDescent="0.8">
      <c r="A2079" s="14">
        <v>6</v>
      </c>
      <c r="B2079" s="15">
        <v>63</v>
      </c>
      <c r="C2079" s="15">
        <v>638</v>
      </c>
      <c r="D2079" s="74">
        <v>6381</v>
      </c>
      <c r="E2079" s="14">
        <v>63822</v>
      </c>
      <c r="F2079" s="16" t="s">
        <v>2552</v>
      </c>
      <c r="G2079" s="21" t="s">
        <v>451</v>
      </c>
      <c r="H2079" s="17" t="s">
        <v>452</v>
      </c>
      <c r="I2079" s="56">
        <v>0</v>
      </c>
      <c r="J2079" s="56">
        <v>500</v>
      </c>
      <c r="K2079" s="56">
        <v>500</v>
      </c>
      <c r="L2079" s="56">
        <v>500</v>
      </c>
      <c r="M2079" s="56">
        <f t="shared" si="311"/>
        <v>1500</v>
      </c>
      <c r="N2079" s="56">
        <f>IF(OR(H2079="",H2079="sif",H2079="PM"),0,VLOOKUP(H2079,[5]CU!$C$4:$H$255,6,FALSE))</f>
        <v>7.4999999999999997E-3</v>
      </c>
      <c r="O2079" s="56">
        <f t="shared" si="321"/>
        <v>0</v>
      </c>
      <c r="P2079" s="56">
        <f t="shared" si="321"/>
        <v>3.75</v>
      </c>
      <c r="Q2079" s="56">
        <f t="shared" si="321"/>
        <v>3.75</v>
      </c>
      <c r="R2079" s="56">
        <f t="shared" si="321"/>
        <v>3.75</v>
      </c>
      <c r="S2079" s="56">
        <f t="shared" si="322"/>
        <v>11.25</v>
      </c>
      <c r="T2079" s="35" t="s">
        <v>56</v>
      </c>
      <c r="U2079" s="18" t="s">
        <v>330</v>
      </c>
      <c r="V2079" s="19" t="str">
        <f>IF(OR($H2079="",$H2079="sif",$H2079="PM"),"",VLOOKUP($H2079,[5]CU!$C$5:$J$255,8,FALSE))</f>
        <v>3. Dépenses de fonctionnement</v>
      </c>
      <c r="W2079" s="18" t="s">
        <v>331</v>
      </c>
      <c r="X2079" s="18" t="s">
        <v>521</v>
      </c>
      <c r="Y2079" s="19" t="s">
        <v>32</v>
      </c>
      <c r="Z2079" s="19" t="str">
        <f>A2079 &amp; "-" &amp; VLOOKUP(A2079,[4]PROGRAMMES!$E$1:$F$7,2,FALSE)</f>
        <v>6-Education et alphabétisation des adultes</v>
      </c>
      <c r="AA2079" s="19" t="str">
        <f>B2079 &amp; "-" &amp; VLOOKUP(B2079,[4]SOUSPROGRAMMES!$E$1:$F$44,2,FALSE)</f>
        <v xml:space="preserve">63- Amélioration de la qualité </v>
      </c>
      <c r="AB2079" s="19" t="str">
        <f>C2079 &amp; "-" &amp; VLOOKUP(C2079,[4]RESULTATS!$E$1:$F$176,2,FALSE)</f>
        <v xml:space="preserve">638- Le suivi évaluation des activités d'AEA est amélioré et systématisé au niveau central et déconcentré </v>
      </c>
      <c r="AC2079" s="20" t="str">
        <f>D2079 &amp; "-" &amp; VLOOKUP(D2079,[4]STRATEGIES!$E$1:$F$504,2,FALSE)</f>
        <v>6381-Renforcement des capacités en suivi, évaluation et contrôle au niveau central et local</v>
      </c>
      <c r="AD2079" s="21" t="str">
        <f t="shared" si="317"/>
        <v>63822-Reproduction et distribution des guide</v>
      </c>
    </row>
    <row r="2080" spans="1:30" s="22" customFormat="1" ht="45" hidden="1" customHeight="1" x14ac:dyDescent="0.8">
      <c r="A2080" s="14">
        <v>6</v>
      </c>
      <c r="B2080" s="15">
        <v>63</v>
      </c>
      <c r="C2080" s="15">
        <v>638</v>
      </c>
      <c r="D2080" s="74">
        <v>6381</v>
      </c>
      <c r="E2080" s="14">
        <v>63823</v>
      </c>
      <c r="F2080" s="16" t="s">
        <v>2553</v>
      </c>
      <c r="G2080" s="21" t="s">
        <v>979</v>
      </c>
      <c r="H2080" s="17" t="s">
        <v>1347</v>
      </c>
      <c r="I2080" s="56">
        <v>0</v>
      </c>
      <c r="J2080" s="56"/>
      <c r="K2080" s="56">
        <v>38</v>
      </c>
      <c r="L2080" s="56"/>
      <c r="M2080" s="56">
        <f t="shared" si="311"/>
        <v>38</v>
      </c>
      <c r="N2080" s="56">
        <f>IF(OR(H2080="",H2080="sif",H2080="PM"),0,VLOOKUP(H2080,[5]CU!$C$4:$H$255,6,FALSE))</f>
        <v>15</v>
      </c>
      <c r="O2080" s="56">
        <f t="shared" si="321"/>
        <v>0</v>
      </c>
      <c r="P2080" s="56">
        <f t="shared" si="321"/>
        <v>0</v>
      </c>
      <c r="Q2080" s="56">
        <f t="shared" si="321"/>
        <v>570</v>
      </c>
      <c r="R2080" s="56">
        <f t="shared" si="321"/>
        <v>0</v>
      </c>
      <c r="S2080" s="56">
        <f t="shared" si="322"/>
        <v>570</v>
      </c>
      <c r="T2080" s="35" t="s">
        <v>56</v>
      </c>
      <c r="U2080" s="18" t="s">
        <v>330</v>
      </c>
      <c r="V2080" s="19" t="str">
        <f>IF(OR($H2080="",$H2080="sif",$H2080="PM"),"",VLOOKUP($H2080,[5]CU!$C$5:$J$255,8,FALSE))</f>
        <v>5. Investissement</v>
      </c>
      <c r="W2080" s="18" t="s">
        <v>331</v>
      </c>
      <c r="X2080" s="18" t="s">
        <v>521</v>
      </c>
      <c r="Y2080" s="19" t="s">
        <v>32</v>
      </c>
      <c r="Z2080" s="19" t="str">
        <f>A2080 &amp; "-" &amp; VLOOKUP(A2080,[4]PROGRAMMES!$E$1:$F$7,2,FALSE)</f>
        <v>6-Education et alphabétisation des adultes</v>
      </c>
      <c r="AA2080" s="19" t="str">
        <f>B2080 &amp; "-" &amp; VLOOKUP(B2080,[4]SOUSPROGRAMMES!$E$1:$F$44,2,FALSE)</f>
        <v xml:space="preserve">63- Amélioration de la qualité </v>
      </c>
      <c r="AB2080" s="19" t="str">
        <f>C2080 &amp; "-" &amp; VLOOKUP(C2080,[4]RESULTATS!$E$1:$F$176,2,FALSE)</f>
        <v xml:space="preserve">638- Le suivi évaluation des activités d'AEA est amélioré et systématisé au niveau central et déconcentré </v>
      </c>
      <c r="AC2080" s="20" t="str">
        <f>D2080 &amp; "-" &amp; VLOOKUP(D2080,[4]STRATEGIES!$E$1:$F$504,2,FALSE)</f>
        <v>6381-Renforcement des capacités en suivi, évaluation et contrôle au niveau central et local</v>
      </c>
      <c r="AD2080" s="21" t="str">
        <f t="shared" si="317"/>
        <v>63823-Acquisition de matériel roulant pour les chefs section AENF</v>
      </c>
    </row>
    <row r="2081" spans="1:30" s="22" customFormat="1" ht="45" hidden="1" customHeight="1" x14ac:dyDescent="0.8">
      <c r="A2081" s="14">
        <v>6</v>
      </c>
      <c r="B2081" s="15">
        <v>63</v>
      </c>
      <c r="C2081" s="15">
        <v>638</v>
      </c>
      <c r="D2081" s="74">
        <v>6381</v>
      </c>
      <c r="E2081" s="14">
        <v>63824</v>
      </c>
      <c r="F2081" s="16" t="s">
        <v>2554</v>
      </c>
      <c r="G2081" s="21" t="s">
        <v>1701</v>
      </c>
      <c r="H2081" s="17" t="s">
        <v>970</v>
      </c>
      <c r="I2081" s="56">
        <v>0</v>
      </c>
      <c r="J2081" s="56"/>
      <c r="K2081" s="56">
        <v>10</v>
      </c>
      <c r="L2081" s="56"/>
      <c r="M2081" s="56">
        <f t="shared" si="311"/>
        <v>10</v>
      </c>
      <c r="N2081" s="56">
        <f>IF(OR(H2081="",H2081="sif",H2081="PM"),0,VLOOKUP(H2081,[5]CU!$C$4:$H$255,6,FALSE))</f>
        <v>10.034934666666667</v>
      </c>
      <c r="O2081" s="56">
        <f t="shared" si="321"/>
        <v>0</v>
      </c>
      <c r="P2081" s="56">
        <f t="shared" si="321"/>
        <v>0</v>
      </c>
      <c r="Q2081" s="56">
        <f t="shared" si="321"/>
        <v>100.34934666666666</v>
      </c>
      <c r="R2081" s="56">
        <f t="shared" si="321"/>
        <v>0</v>
      </c>
      <c r="S2081" s="56">
        <f t="shared" si="322"/>
        <v>100.34934666666666</v>
      </c>
      <c r="T2081" s="35" t="s">
        <v>56</v>
      </c>
      <c r="U2081" s="18" t="s">
        <v>330</v>
      </c>
      <c r="V2081" s="19" t="str">
        <f>IF(OR($H2081="",$H2081="sif",$H2081="PM"),"",VLOOKUP($H2081,[5]CU!$C$5:$J$255,8,FALSE))</f>
        <v>5. Investissement</v>
      </c>
      <c r="W2081" s="18" t="s">
        <v>331</v>
      </c>
      <c r="X2081" s="18" t="s">
        <v>521</v>
      </c>
      <c r="Y2081" s="19" t="s">
        <v>32</v>
      </c>
      <c r="Z2081" s="19" t="str">
        <f>A2081 &amp; "-" &amp; VLOOKUP(A2081,[4]PROGRAMMES!$E$1:$F$7,2,FALSE)</f>
        <v>6-Education et alphabétisation des adultes</v>
      </c>
      <c r="AA2081" s="19" t="str">
        <f>B2081 &amp; "-" &amp; VLOOKUP(B2081,[4]SOUSPROGRAMMES!$E$1:$F$44,2,FALSE)</f>
        <v xml:space="preserve">63- Amélioration de la qualité </v>
      </c>
      <c r="AB2081" s="19" t="str">
        <f>C2081 &amp; "-" &amp; VLOOKUP(C2081,[4]RESULTATS!$E$1:$F$176,2,FALSE)</f>
        <v xml:space="preserve">638- Le suivi évaluation des activités d'AEA est amélioré et systématisé au niveau central et déconcentré </v>
      </c>
      <c r="AC2081" s="20" t="str">
        <f>D2081 &amp; "-" &amp; VLOOKUP(D2081,[4]STRATEGIES!$E$1:$F$504,2,FALSE)</f>
        <v>6381-Renforcement des capacités en suivi, évaluation et contrôle au niveau central et local</v>
      </c>
      <c r="AD2081" s="21" t="str">
        <f t="shared" si="317"/>
        <v>63824-Acquisition d'équipement informatique pour la DNAENF</v>
      </c>
    </row>
    <row r="2082" spans="1:30" s="22" customFormat="1" ht="45" hidden="1" customHeight="1" x14ac:dyDescent="0.8">
      <c r="A2082" s="14">
        <v>6</v>
      </c>
      <c r="B2082" s="15">
        <v>63</v>
      </c>
      <c r="C2082" s="15">
        <v>638</v>
      </c>
      <c r="D2082" s="74">
        <v>6381</v>
      </c>
      <c r="E2082" s="14">
        <v>63825</v>
      </c>
      <c r="F2082" s="16" t="s">
        <v>2555</v>
      </c>
      <c r="G2082" s="21" t="s">
        <v>2556</v>
      </c>
      <c r="H2082" s="17" t="s">
        <v>1997</v>
      </c>
      <c r="I2082" s="56">
        <v>0</v>
      </c>
      <c r="J2082" s="56"/>
      <c r="K2082" s="56">
        <v>1</v>
      </c>
      <c r="L2082" s="56"/>
      <c r="M2082" s="56">
        <f t="shared" si="311"/>
        <v>1</v>
      </c>
      <c r="N2082" s="56">
        <f>IF(OR(H2082="",H2082="sif",H2082="PM"),0,VLOOKUP(H2082,[5]CU!$C$4:$H$255,6,FALSE))</f>
        <v>24</v>
      </c>
      <c r="O2082" s="56">
        <f t="shared" si="321"/>
        <v>0</v>
      </c>
      <c r="P2082" s="56">
        <f t="shared" si="321"/>
        <v>0</v>
      </c>
      <c r="Q2082" s="56">
        <f t="shared" si="321"/>
        <v>24</v>
      </c>
      <c r="R2082" s="56">
        <f t="shared" si="321"/>
        <v>0</v>
      </c>
      <c r="S2082" s="56">
        <f t="shared" si="322"/>
        <v>24</v>
      </c>
      <c r="T2082" s="35" t="s">
        <v>56</v>
      </c>
      <c r="U2082" s="18" t="s">
        <v>330</v>
      </c>
      <c r="V2082" s="19" t="str">
        <f>IF(OR($H2082="",$H2082="sif",$H2082="PM"),"",VLOOKUP($H2082,[5]CU!$C$5:$J$255,8,FALSE))</f>
        <v>3. Dépenses de fonctionnement</v>
      </c>
      <c r="W2082" s="18" t="s">
        <v>331</v>
      </c>
      <c r="X2082" s="18" t="s">
        <v>521</v>
      </c>
      <c r="Y2082" s="19" t="s">
        <v>32</v>
      </c>
      <c r="Z2082" s="19" t="str">
        <f>A2082 &amp; "-" &amp; VLOOKUP(A2082,[4]PROGRAMMES!$E$1:$F$7,2,FALSE)</f>
        <v>6-Education et alphabétisation des adultes</v>
      </c>
      <c r="AA2082" s="19" t="str">
        <f>B2082 &amp; "-" &amp; VLOOKUP(B2082,[4]SOUSPROGRAMMES!$E$1:$F$44,2,FALSE)</f>
        <v xml:space="preserve">63- Amélioration de la qualité </v>
      </c>
      <c r="AB2082" s="19" t="str">
        <f>C2082 &amp; "-" &amp; VLOOKUP(C2082,[4]RESULTATS!$E$1:$F$176,2,FALSE)</f>
        <v xml:space="preserve">638- Le suivi évaluation des activités d'AEA est amélioré et systématisé au niveau central et déconcentré </v>
      </c>
      <c r="AC2082" s="20" t="str">
        <f>D2082 &amp; "-" &amp; VLOOKUP(D2082,[4]STRATEGIES!$E$1:$F$504,2,FALSE)</f>
        <v>6381-Renforcement des capacités en suivi, évaluation et contrôle au niveau central et local</v>
      </c>
      <c r="AD2082" s="21" t="str">
        <f t="shared" si="317"/>
        <v>63825-installation de l'internet au niveau de la direction</v>
      </c>
    </row>
    <row r="2083" spans="1:30" s="22" customFormat="1" ht="45" customHeight="1" x14ac:dyDescent="0.8">
      <c r="A2083" s="14">
        <v>6</v>
      </c>
      <c r="B2083" s="15">
        <v>63</v>
      </c>
      <c r="C2083" s="15">
        <v>638</v>
      </c>
      <c r="D2083" s="74">
        <v>6382</v>
      </c>
      <c r="E2083" s="14">
        <v>6382</v>
      </c>
      <c r="F2083" s="16" t="s">
        <v>2557</v>
      </c>
      <c r="G2083" s="17"/>
      <c r="H2083" s="17"/>
      <c r="I2083" s="56">
        <v>0</v>
      </c>
      <c r="J2083" s="56"/>
      <c r="K2083" s="56"/>
      <c r="L2083" s="56"/>
      <c r="M2083" s="56"/>
      <c r="N2083" s="56"/>
      <c r="O2083" s="56"/>
      <c r="P2083" s="56"/>
      <c r="Q2083" s="56"/>
      <c r="R2083" s="56"/>
      <c r="S2083" s="56"/>
      <c r="T2083" s="33"/>
      <c r="U2083" s="18"/>
      <c r="V2083" s="19"/>
      <c r="W2083" s="18"/>
      <c r="X2083" s="18"/>
      <c r="Y2083" s="18"/>
      <c r="Z2083" s="19" t="str">
        <f>A2083 &amp; "-" &amp; VLOOKUP(A2083,[4]PROGRAMMES!$E$1:$F$7,2,FALSE)</f>
        <v>6-Education et alphabétisation des adultes</v>
      </c>
      <c r="AA2083" s="19" t="str">
        <f>B2083 &amp; "-" &amp; VLOOKUP(B2083,[4]SOUSPROGRAMMES!$E$1:$F$44,2,FALSE)</f>
        <v xml:space="preserve">63- Amélioration de la qualité </v>
      </c>
      <c r="AB2083" s="19" t="str">
        <f>C2083 &amp; "-" &amp; VLOOKUP(C2083,[4]RESULTATS!$E$1:$F$176,2,FALSE)</f>
        <v xml:space="preserve">638- Le suivi évaluation des activités d'AEA est amélioré et systématisé au niveau central et déconcentré </v>
      </c>
      <c r="AC2083" s="20" t="str">
        <f>D2083 &amp; "-" &amp; VLOOKUP(D2083,[4]STRATEGIES!$E$1:$F$504,2,FALSE)</f>
        <v>6382-Renforcement des capacités des cadres et agents d'encadrement</v>
      </c>
      <c r="AD2083" s="21" t="str">
        <f t="shared" si="317"/>
        <v>6382-Renforcement des capacités des cadres et agents d'encadrement</v>
      </c>
    </row>
    <row r="2084" spans="1:30" s="22" customFormat="1" ht="45" hidden="1" customHeight="1" x14ac:dyDescent="0.8">
      <c r="A2084" s="14">
        <v>6</v>
      </c>
      <c r="B2084" s="15">
        <v>63</v>
      </c>
      <c r="C2084" s="15">
        <v>638</v>
      </c>
      <c r="D2084" s="74">
        <v>6382</v>
      </c>
      <c r="E2084" s="14">
        <v>63821</v>
      </c>
      <c r="F2084" s="16" t="s">
        <v>2558</v>
      </c>
      <c r="G2084" s="21" t="s">
        <v>2559</v>
      </c>
      <c r="H2084" s="17" t="s">
        <v>501</v>
      </c>
      <c r="I2084" s="56">
        <v>0</v>
      </c>
      <c r="J2084" s="56">
        <f>1.5</f>
        <v>1.5</v>
      </c>
      <c r="K2084" s="56">
        <f>1.5</f>
        <v>1.5</v>
      </c>
      <c r="L2084" s="56">
        <f>1.5</f>
        <v>1.5</v>
      </c>
      <c r="M2084" s="56">
        <f t="shared" si="311"/>
        <v>4.5</v>
      </c>
      <c r="N2084" s="56">
        <f>IF(OR(H2084="",H2084="sif",H2084="PM"),0,VLOOKUP(H2084,[5]CU!$C$4:$H$255,6,FALSE))</f>
        <v>50.336534</v>
      </c>
      <c r="O2084" s="56">
        <f t="shared" si="321"/>
        <v>0</v>
      </c>
      <c r="P2084" s="56">
        <f t="shared" si="321"/>
        <v>75.504801</v>
      </c>
      <c r="Q2084" s="56">
        <f t="shared" si="321"/>
        <v>75.504801</v>
      </c>
      <c r="R2084" s="56">
        <f t="shared" si="321"/>
        <v>75.504801</v>
      </c>
      <c r="S2084" s="56">
        <f t="shared" si="322"/>
        <v>226.51440300000002</v>
      </c>
      <c r="T2084" s="35" t="s">
        <v>56</v>
      </c>
      <c r="U2084" s="18" t="s">
        <v>330</v>
      </c>
      <c r="V2084" s="19" t="str">
        <f>IF(OR($H2084="",$H2084="sif",$H2084="PM"),"",VLOOKUP($H2084,[5]CU!$C$5:$J$255,8,FALSE))</f>
        <v>3. Formation</v>
      </c>
      <c r="W2084" s="18" t="s">
        <v>331</v>
      </c>
      <c r="X2084" s="18" t="s">
        <v>521</v>
      </c>
      <c r="Y2084" s="19" t="s">
        <v>32</v>
      </c>
      <c r="Z2084" s="19" t="str">
        <f>A2084 &amp; "-" &amp; VLOOKUP(A2084,[4]PROGRAMMES!$E$1:$F$7,2,FALSE)</f>
        <v>6-Education et alphabétisation des adultes</v>
      </c>
      <c r="AA2084" s="19" t="str">
        <f>B2084 &amp; "-" &amp; VLOOKUP(B2084,[4]SOUSPROGRAMMES!$E$1:$F$44,2,FALSE)</f>
        <v xml:space="preserve">63- Amélioration de la qualité </v>
      </c>
      <c r="AB2084" s="19" t="str">
        <f>C2084 &amp; "-" &amp; VLOOKUP(C2084,[4]RESULTATS!$E$1:$F$176,2,FALSE)</f>
        <v xml:space="preserve">638- Le suivi évaluation des activités d'AEA est amélioré et systématisé au niveau central et déconcentré </v>
      </c>
      <c r="AC2084" s="20" t="str">
        <f>D2084 &amp; "-" &amp; VLOOKUP(D2084,[4]STRATEGIES!$E$1:$F$504,2,FALSE)</f>
        <v>6382-Renforcement des capacités des cadres et agents d'encadrement</v>
      </c>
      <c r="AD2084" s="21" t="str">
        <f t="shared" si="317"/>
        <v>63821-Participation des cadres aux rencontres nationale, sous régionale et internationale en AEA (budget mission)</v>
      </c>
    </row>
    <row r="2085" spans="1:30" s="22" customFormat="1" ht="45" customHeight="1" x14ac:dyDescent="0.8">
      <c r="A2085" s="14">
        <v>6</v>
      </c>
      <c r="B2085" s="15">
        <v>63</v>
      </c>
      <c r="C2085" s="15">
        <v>638</v>
      </c>
      <c r="D2085" s="74">
        <v>6382</v>
      </c>
      <c r="E2085" s="14">
        <v>63822</v>
      </c>
      <c r="F2085" s="16" t="s">
        <v>2560</v>
      </c>
      <c r="G2085" s="21" t="s">
        <v>436</v>
      </c>
      <c r="H2085" s="17" t="s">
        <v>501</v>
      </c>
      <c r="I2085" s="56">
        <v>0</v>
      </c>
      <c r="J2085" s="56">
        <v>2</v>
      </c>
      <c r="K2085" s="56">
        <v>2</v>
      </c>
      <c r="L2085" s="56">
        <v>2</v>
      </c>
      <c r="M2085" s="56">
        <f t="shared" ref="M2085:M2127" si="323">SUM(I2085:L2085)</f>
        <v>6</v>
      </c>
      <c r="N2085" s="56">
        <f>IF(OR(H2085="",H2085="sif",H2085="PM"),0,VLOOKUP(H2085,[5]CU!$C$4:$H$255,6,FALSE))</f>
        <v>50.336534</v>
      </c>
      <c r="O2085" s="56">
        <f t="shared" si="321"/>
        <v>0</v>
      </c>
      <c r="P2085" s="56">
        <f t="shared" si="321"/>
        <v>100.673068</v>
      </c>
      <c r="Q2085" s="56">
        <f t="shared" si="321"/>
        <v>100.673068</v>
      </c>
      <c r="R2085" s="56">
        <f t="shared" si="321"/>
        <v>100.673068</v>
      </c>
      <c r="S2085" s="56">
        <f t="shared" si="322"/>
        <v>302.019204</v>
      </c>
      <c r="T2085" s="35" t="s">
        <v>118</v>
      </c>
      <c r="U2085" s="18" t="s">
        <v>330</v>
      </c>
      <c r="V2085" s="19" t="str">
        <f>IF(OR($H2085="",$H2085="sif",$H2085="PM"),"",VLOOKUP($H2085,[5]CU!$C$5:$J$255,8,FALSE))</f>
        <v>3. Formation</v>
      </c>
      <c r="W2085" s="18" t="s">
        <v>331</v>
      </c>
      <c r="X2085" s="18" t="s">
        <v>521</v>
      </c>
      <c r="Y2085" s="19" t="s">
        <v>32</v>
      </c>
      <c r="Z2085" s="19" t="str">
        <f>A2085 &amp; "-" &amp; VLOOKUP(A2085,[4]PROGRAMMES!$E$1:$F$7,2,FALSE)</f>
        <v>6-Education et alphabétisation des adultes</v>
      </c>
      <c r="AA2085" s="19" t="str">
        <f>B2085 &amp; "-" &amp; VLOOKUP(B2085,[4]SOUSPROGRAMMES!$E$1:$F$44,2,FALSE)</f>
        <v xml:space="preserve">63- Amélioration de la qualité </v>
      </c>
      <c r="AB2085" s="19" t="str">
        <f>C2085 &amp; "-" &amp; VLOOKUP(C2085,[4]RESULTATS!$E$1:$F$176,2,FALSE)</f>
        <v xml:space="preserve">638- Le suivi évaluation des activités d'AEA est amélioré et systématisé au niveau central et déconcentré </v>
      </c>
      <c r="AC2085" s="20" t="str">
        <f>D2085 &amp; "-" &amp; VLOOKUP(D2085,[4]STRATEGIES!$E$1:$F$504,2,FALSE)</f>
        <v>6382-Renforcement des capacités des cadres et agents d'encadrement</v>
      </c>
      <c r="AD2085" s="21" t="str">
        <f t="shared" si="317"/>
        <v>63822-participation des cadres aux formations sous régionales et internationale en matière d'AEA (sur invitation)</v>
      </c>
    </row>
    <row r="2086" spans="1:30" s="22" customFormat="1" ht="45" customHeight="1" x14ac:dyDescent="0.8">
      <c r="A2086" s="14">
        <v>6</v>
      </c>
      <c r="B2086" s="15">
        <v>63</v>
      </c>
      <c r="C2086" s="15">
        <v>638</v>
      </c>
      <c r="D2086" s="74">
        <v>6383</v>
      </c>
      <c r="E2086" s="14">
        <v>6383</v>
      </c>
      <c r="F2086" s="16" t="s">
        <v>2561</v>
      </c>
      <c r="G2086" s="17"/>
      <c r="H2086" s="17"/>
      <c r="I2086" s="56">
        <v>0</v>
      </c>
      <c r="J2086" s="56"/>
      <c r="K2086" s="56"/>
      <c r="L2086" s="56"/>
      <c r="M2086" s="56"/>
      <c r="N2086" s="56"/>
      <c r="O2086" s="56"/>
      <c r="P2086" s="56"/>
      <c r="Q2086" s="56"/>
      <c r="R2086" s="56"/>
      <c r="S2086" s="56"/>
      <c r="T2086" s="33"/>
      <c r="U2086" s="18"/>
      <c r="V2086" s="19"/>
      <c r="W2086" s="18"/>
      <c r="X2086" s="18"/>
      <c r="Y2086" s="18"/>
      <c r="Z2086" s="19" t="str">
        <f>A2086 &amp; "-" &amp; VLOOKUP(A2086,[4]PROGRAMMES!$E$1:$F$7,2,FALSE)</f>
        <v>6-Education et alphabétisation des adultes</v>
      </c>
      <c r="AA2086" s="19" t="str">
        <f>B2086 &amp; "-" &amp; VLOOKUP(B2086,[4]SOUSPROGRAMMES!$E$1:$F$44,2,FALSE)</f>
        <v xml:space="preserve">63- Amélioration de la qualité </v>
      </c>
      <c r="AB2086" s="19" t="str">
        <f>C2086 &amp; "-" &amp; VLOOKUP(C2086,[4]RESULTATS!$E$1:$F$176,2,FALSE)</f>
        <v xml:space="preserve">638- Le suivi évaluation des activités d'AEA est amélioré et systématisé au niveau central et déconcentré </v>
      </c>
      <c r="AC2086" s="20" t="str">
        <f>D2086 &amp; "-" &amp; VLOOKUP(D2086,[4]STRATEGIES!$E$1:$F$504,2,FALSE)</f>
        <v>6383-Organisation annuelle de la journée internationale de l'alphabétisation</v>
      </c>
      <c r="AD2086" s="21" t="str">
        <f t="shared" si="317"/>
        <v>6383-Organisation annuelle de la journée internationale de l'alphabétisation</v>
      </c>
    </row>
    <row r="2087" spans="1:30" s="22" customFormat="1" ht="45" hidden="1" customHeight="1" x14ac:dyDescent="0.8">
      <c r="A2087" s="14">
        <v>6</v>
      </c>
      <c r="B2087" s="15">
        <v>63</v>
      </c>
      <c r="C2087" s="15">
        <v>638</v>
      </c>
      <c r="D2087" s="74">
        <v>6383</v>
      </c>
      <c r="E2087" s="14">
        <v>63831</v>
      </c>
      <c r="F2087" s="16" t="s">
        <v>2562</v>
      </c>
      <c r="G2087" s="21" t="s">
        <v>321</v>
      </c>
      <c r="H2087" s="17" t="s">
        <v>55</v>
      </c>
      <c r="I2087" s="56">
        <v>0</v>
      </c>
      <c r="J2087" s="56">
        <f>3*3*1</f>
        <v>9</v>
      </c>
      <c r="K2087" s="56"/>
      <c r="L2087" s="56"/>
      <c r="M2087" s="56">
        <f t="shared" si="323"/>
        <v>9</v>
      </c>
      <c r="N2087" s="56">
        <f>IF(OR(H2087="",H2087="sif",H2087="PM"),0,VLOOKUP(H2087,[5]CU!$C$4:$H$255,6,FALSE))</f>
        <v>0</v>
      </c>
      <c r="O2087" s="56"/>
      <c r="P2087" s="56"/>
      <c r="Q2087" s="56"/>
      <c r="R2087" s="56"/>
      <c r="S2087" s="56"/>
      <c r="T2087" s="35" t="s">
        <v>56</v>
      </c>
      <c r="U2087" s="18" t="s">
        <v>330</v>
      </c>
      <c r="V2087" s="19" t="str">
        <f>IF(OR($H2087="",$H2087="sif",$H2087="PM"),"",VLOOKUP($H2087,[5]CU!$C$5:$J$255,8,FALSE))</f>
        <v/>
      </c>
      <c r="W2087" s="18" t="s">
        <v>331</v>
      </c>
      <c r="X2087" s="18" t="s">
        <v>331</v>
      </c>
      <c r="Y2087" s="19" t="s">
        <v>32</v>
      </c>
      <c r="Z2087" s="19" t="str">
        <f>A2087 &amp; "-" &amp; VLOOKUP(A2087,[4]PROGRAMMES!$E$1:$F$7,2,FALSE)</f>
        <v>6-Education et alphabétisation des adultes</v>
      </c>
      <c r="AA2087" s="19" t="str">
        <f>B2087 &amp; "-" &amp; VLOOKUP(B2087,[4]SOUSPROGRAMMES!$E$1:$F$44,2,FALSE)</f>
        <v xml:space="preserve">63- Amélioration de la qualité </v>
      </c>
      <c r="AB2087" s="19" t="str">
        <f>C2087 &amp; "-" &amp; VLOOKUP(C2087,[4]RESULTATS!$E$1:$F$176,2,FALSE)</f>
        <v xml:space="preserve">638- Le suivi évaluation des activités d'AEA est amélioré et systématisé au niveau central et déconcentré </v>
      </c>
      <c r="AC2087" s="20" t="str">
        <f>D2087 &amp; "-" &amp; VLOOKUP(D2087,[4]STRATEGIES!$E$1:$F$504,2,FALSE)</f>
        <v>6383-Organisation annuelle de la journée internationale de l'alphabétisation</v>
      </c>
      <c r="AD2087" s="21" t="str">
        <f t="shared" si="317"/>
        <v>63831-Mise en place de la commission d'organisation</v>
      </c>
    </row>
    <row r="2088" spans="1:30" s="22" customFormat="1" ht="45" hidden="1" customHeight="1" x14ac:dyDescent="0.8">
      <c r="A2088" s="14">
        <v>6</v>
      </c>
      <c r="B2088" s="15">
        <v>63</v>
      </c>
      <c r="C2088" s="15">
        <v>638</v>
      </c>
      <c r="D2088" s="74">
        <v>6383</v>
      </c>
      <c r="E2088" s="14">
        <v>63832</v>
      </c>
      <c r="F2088" s="16" t="s">
        <v>2563</v>
      </c>
      <c r="G2088" s="21" t="s">
        <v>37</v>
      </c>
      <c r="H2088" s="17" t="s">
        <v>66</v>
      </c>
      <c r="I2088" s="56">
        <v>0</v>
      </c>
      <c r="J2088" s="56">
        <f>25*3*1</f>
        <v>75</v>
      </c>
      <c r="K2088" s="56">
        <f>25*3*1</f>
        <v>75</v>
      </c>
      <c r="L2088" s="56">
        <f>25*3*1</f>
        <v>75</v>
      </c>
      <c r="M2088" s="56">
        <f t="shared" si="323"/>
        <v>225</v>
      </c>
      <c r="N2088" s="56">
        <f>IF(OR(H2088="",H2088="sif",H2088="PM"),0,VLOOKUP(H2088,[5]CU!$C$4:$H$255,6,FALSE))</f>
        <v>0.255</v>
      </c>
      <c r="O2088" s="56">
        <f t="shared" ref="O2088:R2089" si="324">$N2088*I2088</f>
        <v>0</v>
      </c>
      <c r="P2088" s="56">
        <f t="shared" si="324"/>
        <v>19.125</v>
      </c>
      <c r="Q2088" s="56">
        <f t="shared" si="324"/>
        <v>19.125</v>
      </c>
      <c r="R2088" s="56">
        <f t="shared" si="324"/>
        <v>19.125</v>
      </c>
      <c r="S2088" s="56">
        <f>SUM(O2088:R2088)</f>
        <v>57.375</v>
      </c>
      <c r="T2088" s="35" t="s">
        <v>56</v>
      </c>
      <c r="U2088" s="18" t="s">
        <v>330</v>
      </c>
      <c r="V2088" s="19" t="str">
        <f>IF(OR($H2088="",$H2088="sif",$H2088="PM"),"",VLOOKUP($H2088,[5]CU!$C$5:$J$255,8,FALSE))</f>
        <v>3. Dépenses de fonctionnement</v>
      </c>
      <c r="W2088" s="18" t="s">
        <v>331</v>
      </c>
      <c r="X2088" s="18" t="s">
        <v>96</v>
      </c>
      <c r="Y2088" s="19" t="s">
        <v>32</v>
      </c>
      <c r="Z2088" s="19" t="str">
        <f>A2088 &amp; "-" &amp; VLOOKUP(A2088,[4]PROGRAMMES!$E$1:$F$7,2,FALSE)</f>
        <v>6-Education et alphabétisation des adultes</v>
      </c>
      <c r="AA2088" s="19" t="str">
        <f>B2088 &amp; "-" &amp; VLOOKUP(B2088,[4]SOUSPROGRAMMES!$E$1:$F$44,2,FALSE)</f>
        <v xml:space="preserve">63- Amélioration de la qualité </v>
      </c>
      <c r="AB2088" s="19" t="str">
        <f>C2088 &amp; "-" &amp; VLOOKUP(C2088,[4]RESULTATS!$E$1:$F$176,2,FALSE)</f>
        <v xml:space="preserve">638- Le suivi évaluation des activités d'AEA est amélioré et systématisé au niveau central et déconcentré </v>
      </c>
      <c r="AC2088" s="20" t="str">
        <f>D2088 &amp; "-" &amp; VLOOKUP(D2088,[4]STRATEGIES!$E$1:$F$504,2,FALSE)</f>
        <v>6383-Organisation annuelle de la journée internationale de l'alphabétisation</v>
      </c>
      <c r="AD2088" s="21" t="str">
        <f t="shared" si="317"/>
        <v>63832-Organisation de l'atelier bilan et collecte des informations</v>
      </c>
    </row>
    <row r="2089" spans="1:30" s="22" customFormat="1" ht="45" hidden="1" customHeight="1" x14ac:dyDescent="0.8">
      <c r="A2089" s="14">
        <v>6</v>
      </c>
      <c r="B2089" s="15">
        <v>63</v>
      </c>
      <c r="C2089" s="15">
        <v>638</v>
      </c>
      <c r="D2089" s="74">
        <v>6383</v>
      </c>
      <c r="E2089" s="14">
        <v>63831</v>
      </c>
      <c r="F2089" s="16" t="s">
        <v>2564</v>
      </c>
      <c r="G2089" s="21" t="s">
        <v>2565</v>
      </c>
      <c r="H2089" s="17" t="s">
        <v>2566</v>
      </c>
      <c r="I2089" s="56">
        <v>0</v>
      </c>
      <c r="J2089" s="56">
        <v>1</v>
      </c>
      <c r="K2089" s="56">
        <v>1</v>
      </c>
      <c r="L2089" s="56">
        <v>1</v>
      </c>
      <c r="M2089" s="56">
        <f t="shared" si="323"/>
        <v>3</v>
      </c>
      <c r="N2089" s="56">
        <f>IF(OR(H2089="",H2089="sif",H2089="PM"),0,VLOOKUP(H2089,[5]CU!$C$4:$H$255,6,FALSE))</f>
        <v>200</v>
      </c>
      <c r="O2089" s="56">
        <f t="shared" si="324"/>
        <v>0</v>
      </c>
      <c r="P2089" s="56">
        <f t="shared" si="324"/>
        <v>200</v>
      </c>
      <c r="Q2089" s="56">
        <f t="shared" si="324"/>
        <v>200</v>
      </c>
      <c r="R2089" s="56">
        <f t="shared" si="324"/>
        <v>200</v>
      </c>
      <c r="S2089" s="56">
        <f>SUM(O2089:R2089)</f>
        <v>600</v>
      </c>
      <c r="T2089" s="35" t="s">
        <v>56</v>
      </c>
      <c r="U2089" s="18" t="s">
        <v>330</v>
      </c>
      <c r="V2089" s="19" t="str">
        <f>IF(OR($H2089="",$H2089="sif",$H2089="PM"),"",VLOOKUP($H2089,[5]CU!$C$5:$J$255,8,FALSE))</f>
        <v>3. Dépenses de fonctionnement</v>
      </c>
      <c r="W2089" s="18" t="s">
        <v>331</v>
      </c>
      <c r="X2089" s="18" t="s">
        <v>331</v>
      </c>
      <c r="Y2089" s="19" t="s">
        <v>32</v>
      </c>
      <c r="Z2089" s="19" t="str">
        <f>A2089 &amp; "-" &amp; VLOOKUP(A2089,[4]PROGRAMMES!$E$1:$F$7,2,FALSE)</f>
        <v>6-Education et alphabétisation des adultes</v>
      </c>
      <c r="AA2089" s="19" t="str">
        <f>B2089 &amp; "-" &amp; VLOOKUP(B2089,[4]SOUSPROGRAMMES!$E$1:$F$44,2,FALSE)</f>
        <v xml:space="preserve">63- Amélioration de la qualité </v>
      </c>
      <c r="AB2089" s="19" t="str">
        <f>C2089 &amp; "-" &amp; VLOOKUP(C2089,[4]RESULTATS!$E$1:$F$176,2,FALSE)</f>
        <v xml:space="preserve">638- Le suivi évaluation des activités d'AEA est amélioré et systématisé au niveau central et déconcentré </v>
      </c>
      <c r="AC2089" s="20" t="str">
        <f>D2089 &amp; "-" &amp; VLOOKUP(D2089,[4]STRATEGIES!$E$1:$F$504,2,FALSE)</f>
        <v>6383-Organisation annuelle de la journée internationale de l'alphabétisation</v>
      </c>
      <c r="AD2089" s="21" t="str">
        <f t="shared" si="317"/>
        <v>63831-Organisation des cérémonies commémoratives du 8 septembre</v>
      </c>
    </row>
    <row r="2090" spans="1:30" s="22" customFormat="1" ht="30" customHeight="1" x14ac:dyDescent="0.8">
      <c r="A2090" s="14">
        <v>6</v>
      </c>
      <c r="B2090" s="15">
        <v>64</v>
      </c>
      <c r="C2090" s="15">
        <v>64</v>
      </c>
      <c r="D2090" s="74">
        <v>64</v>
      </c>
      <c r="E2090" s="14">
        <v>64</v>
      </c>
      <c r="F2090" s="16" t="s">
        <v>2567</v>
      </c>
      <c r="G2090" s="17"/>
      <c r="H2090" s="17"/>
      <c r="I2090" s="56">
        <v>0</v>
      </c>
      <c r="J2090" s="56"/>
      <c r="K2090" s="56"/>
      <c r="L2090" s="56"/>
      <c r="M2090" s="56"/>
      <c r="N2090" s="56"/>
      <c r="O2090" s="56"/>
      <c r="P2090" s="56"/>
      <c r="Q2090" s="56"/>
      <c r="R2090" s="56"/>
      <c r="S2090" s="56"/>
      <c r="T2090" s="33"/>
      <c r="U2090" s="18"/>
      <c r="V2090" s="19"/>
      <c r="W2090" s="18"/>
      <c r="X2090" s="18"/>
      <c r="Y2090" s="18"/>
      <c r="Z2090" s="19" t="str">
        <f>A2090 &amp; "-" &amp; VLOOKUP(A2090,[4]PROGRAMMES!$E$1:$F$7,2,FALSE)</f>
        <v>6-Education et alphabétisation des adultes</v>
      </c>
      <c r="AA2090" s="19" t="str">
        <f>B2090 &amp; "-" &amp; VLOOKUP(B2090,[4]SOUSPROGRAMMES!$E$1:$F$44,2,FALSE)</f>
        <v xml:space="preserve">64-Développement de la Post-alphabétisation </v>
      </c>
      <c r="AB2090" s="19" t="str">
        <f>C2090 &amp; "-" &amp; VLOOKUP(C2090,[4]RESULTATS!$E$1:$F$176,2,FALSE)</f>
        <v xml:space="preserve">64-Développement de la Post-alphabétisation </v>
      </c>
      <c r="AC2090" s="20" t="str">
        <f>D2090 &amp; "-" &amp; VLOOKUP(D2090,[4]STRATEGIES!$E$1:$F$504,2,FALSE)</f>
        <v xml:space="preserve">64-Développement de la Post-alphabétisation </v>
      </c>
      <c r="AD2090" s="21" t="str">
        <f t="shared" si="317"/>
        <v xml:space="preserve">64-Développement de la Post-alphabétisation </v>
      </c>
    </row>
    <row r="2091" spans="1:30" s="22" customFormat="1" ht="30" customHeight="1" x14ac:dyDescent="0.8">
      <c r="A2091" s="14">
        <v>6</v>
      </c>
      <c r="B2091" s="15">
        <v>64</v>
      </c>
      <c r="C2091" s="15">
        <v>641</v>
      </c>
      <c r="D2091" s="74">
        <v>641</v>
      </c>
      <c r="E2091" s="14">
        <v>641</v>
      </c>
      <c r="F2091" s="16" t="s">
        <v>2568</v>
      </c>
      <c r="G2091" s="17"/>
      <c r="H2091" s="17"/>
      <c r="I2091" s="56">
        <v>0</v>
      </c>
      <c r="J2091" s="56"/>
      <c r="K2091" s="56"/>
      <c r="L2091" s="56"/>
      <c r="M2091" s="56"/>
      <c r="N2091" s="56"/>
      <c r="O2091" s="56"/>
      <c r="P2091" s="56"/>
      <c r="Q2091" s="56"/>
      <c r="R2091" s="56"/>
      <c r="S2091" s="56"/>
      <c r="T2091" s="33"/>
      <c r="U2091" s="18"/>
      <c r="V2091" s="19"/>
      <c r="W2091" s="18"/>
      <c r="X2091" s="18"/>
      <c r="Y2091" s="18"/>
      <c r="Z2091" s="19" t="str">
        <f>A2091 &amp; "-" &amp; VLOOKUP(A2091,[4]PROGRAMMES!$E$1:$F$7,2,FALSE)</f>
        <v>6-Education et alphabétisation des adultes</v>
      </c>
      <c r="AA2091" s="19" t="str">
        <f>B2091 &amp; "-" &amp; VLOOKUP(B2091,[4]SOUSPROGRAMMES!$E$1:$F$44,2,FALSE)</f>
        <v xml:space="preserve">64-Développement de la Post-alphabétisation </v>
      </c>
      <c r="AB2091" s="19" t="str">
        <f>C2091 &amp; "-" &amp; VLOOKUP(C2091,[4]RESULTATS!$E$1:$F$176,2,FALSE)</f>
        <v xml:space="preserve">641-Promotion du développement de la production écrite en langues nationales </v>
      </c>
      <c r="AC2091" s="20" t="str">
        <f>D2091 &amp; "-" &amp; VLOOKUP(D2091,[4]STRATEGIES!$E$1:$F$504,2,FALSE)</f>
        <v xml:space="preserve">641-Promotion du développement de la production écrite en langues nationales </v>
      </c>
      <c r="AD2091" s="21" t="str">
        <f t="shared" si="317"/>
        <v xml:space="preserve">641-Promotion du développement de la production écrite en langues nationales </v>
      </c>
    </row>
    <row r="2092" spans="1:30" s="22" customFormat="1" ht="30" customHeight="1" x14ac:dyDescent="0.8">
      <c r="A2092" s="14">
        <v>6</v>
      </c>
      <c r="B2092" s="15">
        <v>64</v>
      </c>
      <c r="C2092" s="15">
        <v>641</v>
      </c>
      <c r="D2092" s="74">
        <v>6411</v>
      </c>
      <c r="E2092" s="14">
        <v>6411</v>
      </c>
      <c r="F2092" s="16" t="s">
        <v>2569</v>
      </c>
      <c r="G2092" s="17"/>
      <c r="H2092" s="17"/>
      <c r="I2092" s="56">
        <v>0</v>
      </c>
      <c r="J2092" s="56"/>
      <c r="K2092" s="56"/>
      <c r="L2092" s="56"/>
      <c r="M2092" s="56"/>
      <c r="N2092" s="56"/>
      <c r="O2092" s="56"/>
      <c r="P2092" s="56"/>
      <c r="Q2092" s="56"/>
      <c r="R2092" s="56"/>
      <c r="S2092" s="56"/>
      <c r="T2092" s="33"/>
      <c r="U2092" s="18"/>
      <c r="V2092" s="19"/>
      <c r="W2092" s="18"/>
      <c r="X2092" s="18"/>
      <c r="Y2092" s="18"/>
      <c r="Z2092" s="19" t="str">
        <f>A2092 &amp; "-" &amp; VLOOKUP(A2092,[4]PROGRAMMES!$E$1:$F$7,2,FALSE)</f>
        <v>6-Education et alphabétisation des adultes</v>
      </c>
      <c r="AA2092" s="19" t="str">
        <f>B2092 &amp; "-" &amp; VLOOKUP(B2092,[4]SOUSPROGRAMMES!$E$1:$F$44,2,FALSE)</f>
        <v xml:space="preserve">64-Développement de la Post-alphabétisation </v>
      </c>
      <c r="AB2092" s="19" t="str">
        <f>C2092 &amp; "-" &amp; VLOOKUP(C2092,[4]RESULTATS!$E$1:$F$176,2,FALSE)</f>
        <v xml:space="preserve">641-Promotion du développement de la production écrite en langues nationales </v>
      </c>
      <c r="AC2092" s="20" t="str">
        <f>D2092 &amp; "-" &amp; VLOOKUP(D2092,[4]STRATEGIES!$E$1:$F$504,2,FALSE)</f>
        <v>6411-Promouvoir la production endogène des ouvrages, journaux, etc écrits en langues nationales</v>
      </c>
      <c r="AD2092" s="21" t="str">
        <f t="shared" si="317"/>
        <v>6411-Promouvoir la production endogène des ouvrages, journaux, etc écrits en langues nationales</v>
      </c>
    </row>
    <row r="2093" spans="1:30" s="22" customFormat="1" ht="30" hidden="1" customHeight="1" x14ac:dyDescent="0.8">
      <c r="A2093" s="14">
        <v>6</v>
      </c>
      <c r="B2093" s="15">
        <v>64</v>
      </c>
      <c r="C2093" s="15">
        <v>641</v>
      </c>
      <c r="D2093" s="74">
        <v>6411</v>
      </c>
      <c r="E2093" s="14">
        <v>64111</v>
      </c>
      <c r="F2093" s="16" t="s">
        <v>2570</v>
      </c>
      <c r="G2093" s="21" t="s">
        <v>436</v>
      </c>
      <c r="H2093" s="17" t="s">
        <v>52</v>
      </c>
      <c r="I2093" s="56">
        <v>0</v>
      </c>
      <c r="J2093" s="56">
        <f>(10*4*3)*80%</f>
        <v>96</v>
      </c>
      <c r="K2093" s="56">
        <f>(10*4*3)*80%</f>
        <v>96</v>
      </c>
      <c r="L2093" s="56">
        <f>(10*4*3)*80%</f>
        <v>96</v>
      </c>
      <c r="M2093" s="56">
        <f>SUM(I2093:L2093)</f>
        <v>288</v>
      </c>
      <c r="N2093" s="56">
        <f>IF(OR(H2093="",H2093="sif",H2093="PM"),0,VLOOKUP(H2093,[5]CU!$C$4:$H$255,6,FALSE))</f>
        <v>1.5</v>
      </c>
      <c r="O2093" s="56">
        <f t="shared" ref="O2093:R2096" si="325">$N2093*I2093</f>
        <v>0</v>
      </c>
      <c r="P2093" s="56">
        <f t="shared" si="325"/>
        <v>144</v>
      </c>
      <c r="Q2093" s="56">
        <f t="shared" si="325"/>
        <v>144</v>
      </c>
      <c r="R2093" s="56">
        <f t="shared" si="325"/>
        <v>144</v>
      </c>
      <c r="S2093" s="56">
        <f>SUM(O2093:R2093)</f>
        <v>432</v>
      </c>
      <c r="T2093" s="35" t="s">
        <v>56</v>
      </c>
      <c r="U2093" s="18" t="s">
        <v>330</v>
      </c>
      <c r="V2093" s="19" t="str">
        <f>IF(OR($H2093="",$H2093="sif",$H2093="PM"),"",VLOOKUP($H2093,[5]CU!$C$5:$J$255,8,FALSE))</f>
        <v>3. Formation</v>
      </c>
      <c r="W2093" s="18" t="s">
        <v>331</v>
      </c>
      <c r="X2093" s="18" t="s">
        <v>2571</v>
      </c>
      <c r="Y2093" s="19" t="s">
        <v>32</v>
      </c>
      <c r="Z2093" s="19" t="str">
        <f>A2093 &amp; "-" &amp; VLOOKUP(A2093,[4]PROGRAMMES!$E$1:$F$7,2,FALSE)</f>
        <v>6-Education et alphabétisation des adultes</v>
      </c>
      <c r="AA2093" s="19" t="str">
        <f>B2093 &amp; "-" &amp; VLOOKUP(B2093,[4]SOUSPROGRAMMES!$E$1:$F$44,2,FALSE)</f>
        <v xml:space="preserve">64-Développement de la Post-alphabétisation </v>
      </c>
      <c r="AB2093" s="19" t="str">
        <f>C2093 &amp; "-" &amp; VLOOKUP(C2093,[4]RESULTATS!$E$1:$F$176,2,FALSE)</f>
        <v xml:space="preserve">641-Promotion du développement de la production écrite en langues nationales </v>
      </c>
      <c r="AC2093" s="20" t="str">
        <f>D2093 &amp; "-" &amp; VLOOKUP(D2093,[4]STRATEGIES!$E$1:$F$504,2,FALSE)</f>
        <v>6411-Promouvoir la production endogène des ouvrages, journaux, etc écrits en langues nationales</v>
      </c>
      <c r="AD2093" s="21" t="str">
        <f t="shared" si="317"/>
        <v>64111-identification et formation des écrivains en langues nationales parmi les néo alphabètes</v>
      </c>
    </row>
    <row r="2094" spans="1:30" s="22" customFormat="1" ht="30" customHeight="1" x14ac:dyDescent="0.8">
      <c r="A2094" s="14">
        <v>6</v>
      </c>
      <c r="B2094" s="15">
        <v>64</v>
      </c>
      <c r="C2094" s="15">
        <v>641</v>
      </c>
      <c r="D2094" s="74">
        <v>6411</v>
      </c>
      <c r="E2094" s="14">
        <v>64111</v>
      </c>
      <c r="F2094" s="16" t="s">
        <v>2570</v>
      </c>
      <c r="G2094" s="21" t="s">
        <v>436</v>
      </c>
      <c r="H2094" s="17" t="s">
        <v>52</v>
      </c>
      <c r="I2094" s="56">
        <v>0</v>
      </c>
      <c r="J2094" s="56">
        <f>(10*4*3)*20%</f>
        <v>24</v>
      </c>
      <c r="K2094" s="56">
        <f>(10*4*3)*20%</f>
        <v>24</v>
      </c>
      <c r="L2094" s="56">
        <f>(10*4*3)*20%</f>
        <v>24</v>
      </c>
      <c r="M2094" s="56">
        <f t="shared" si="323"/>
        <v>72</v>
      </c>
      <c r="N2094" s="56">
        <f>IF(OR(H2094="",H2094="sif",H2094="PM"),0,VLOOKUP(H2094,[5]CU!$C$4:$H$255,6,FALSE))</f>
        <v>1.5</v>
      </c>
      <c r="O2094" s="56">
        <f t="shared" si="325"/>
        <v>0</v>
      </c>
      <c r="P2094" s="56">
        <f t="shared" si="325"/>
        <v>36</v>
      </c>
      <c r="Q2094" s="56">
        <f t="shared" si="325"/>
        <v>36</v>
      </c>
      <c r="R2094" s="56">
        <f t="shared" si="325"/>
        <v>36</v>
      </c>
      <c r="S2094" s="56">
        <f>SUM(O2094:R2094)</f>
        <v>108</v>
      </c>
      <c r="T2094" s="35" t="s">
        <v>118</v>
      </c>
      <c r="U2094" s="18" t="s">
        <v>330</v>
      </c>
      <c r="V2094" s="19" t="str">
        <f>IF(OR($H2094="",$H2094="sif",$H2094="PM"),"",VLOOKUP($H2094,[5]CU!$C$5:$J$255,8,FALSE))</f>
        <v>3. Formation</v>
      </c>
      <c r="W2094" s="18" t="s">
        <v>331</v>
      </c>
      <c r="X2094" s="18" t="s">
        <v>2571</v>
      </c>
      <c r="Y2094" s="19" t="s">
        <v>32</v>
      </c>
      <c r="Z2094" s="19" t="str">
        <f>A2094 &amp; "-" &amp; VLOOKUP(A2094,[4]PROGRAMMES!$E$1:$F$7,2,FALSE)</f>
        <v>6-Education et alphabétisation des adultes</v>
      </c>
      <c r="AA2094" s="19" t="str">
        <f>B2094 &amp; "-" &amp; VLOOKUP(B2094,[4]SOUSPROGRAMMES!$E$1:$F$44,2,FALSE)</f>
        <v xml:space="preserve">64-Développement de la Post-alphabétisation </v>
      </c>
      <c r="AB2094" s="19" t="str">
        <f>C2094 &amp; "-" &amp; VLOOKUP(C2094,[4]RESULTATS!$E$1:$F$176,2,FALSE)</f>
        <v xml:space="preserve">641-Promotion du développement de la production écrite en langues nationales </v>
      </c>
      <c r="AC2094" s="20" t="str">
        <f>D2094 &amp; "-" &amp; VLOOKUP(D2094,[4]STRATEGIES!$E$1:$F$504,2,FALSE)</f>
        <v>6411-Promouvoir la production endogène des ouvrages, journaux, etc écrits en langues nationales</v>
      </c>
      <c r="AD2094" s="21" t="str">
        <f t="shared" si="317"/>
        <v>64111-identification et formation des écrivains en langues nationales parmi les néo alphabètes</v>
      </c>
    </row>
    <row r="2095" spans="1:30" s="22" customFormat="1" ht="30" hidden="1" customHeight="1" x14ac:dyDescent="0.8">
      <c r="A2095" s="14">
        <v>6</v>
      </c>
      <c r="B2095" s="15">
        <v>64</v>
      </c>
      <c r="C2095" s="15">
        <v>641</v>
      </c>
      <c r="D2095" s="74">
        <v>6411</v>
      </c>
      <c r="E2095" s="14">
        <v>64112</v>
      </c>
      <c r="F2095" s="16" t="s">
        <v>2572</v>
      </c>
      <c r="G2095" s="21" t="s">
        <v>2573</v>
      </c>
      <c r="H2095" s="17" t="s">
        <v>2574</v>
      </c>
      <c r="I2095" s="56">
        <v>0</v>
      </c>
      <c r="J2095" s="56">
        <f>1*80%</f>
        <v>0.8</v>
      </c>
      <c r="K2095" s="56">
        <f>1*80%</f>
        <v>0.8</v>
      </c>
      <c r="L2095" s="56">
        <f>1*80%</f>
        <v>0.8</v>
      </c>
      <c r="M2095" s="56">
        <f>SUM(I2095:L2095)</f>
        <v>2.4000000000000004</v>
      </c>
      <c r="N2095" s="56">
        <f>IF(OR(H2095="",H2095="sif",H2095="PM"),0,VLOOKUP(H2095,[5]CU!$C$4:$H$255,6,FALSE))</f>
        <v>100</v>
      </c>
      <c r="O2095" s="56">
        <f t="shared" si="325"/>
        <v>0</v>
      </c>
      <c r="P2095" s="56">
        <f t="shared" si="325"/>
        <v>80</v>
      </c>
      <c r="Q2095" s="56">
        <f t="shared" si="325"/>
        <v>80</v>
      </c>
      <c r="R2095" s="56">
        <f t="shared" si="325"/>
        <v>80</v>
      </c>
      <c r="S2095" s="56">
        <f>SUM(O2095:R2095)</f>
        <v>240</v>
      </c>
      <c r="T2095" s="35" t="s">
        <v>56</v>
      </c>
      <c r="U2095" s="18" t="s">
        <v>330</v>
      </c>
      <c r="V2095" s="19" t="str">
        <f>IF(OR($H2095="",$H2095="sif",$H2095="PM"),"",VLOOKUP($H2095,[5]CU!$C$5:$J$255,8,FALSE))</f>
        <v>4. Transferts et subventions</v>
      </c>
      <c r="W2095" s="18" t="s">
        <v>331</v>
      </c>
      <c r="X2095" s="18" t="s">
        <v>521</v>
      </c>
      <c r="Y2095" s="19" t="s">
        <v>32</v>
      </c>
      <c r="Z2095" s="19" t="str">
        <f>A2095 &amp; "-" &amp; VLOOKUP(A2095,[4]PROGRAMMES!$E$1:$F$7,2,FALSE)</f>
        <v>6-Education et alphabétisation des adultes</v>
      </c>
      <c r="AA2095" s="19" t="str">
        <f>B2095 &amp; "-" &amp; VLOOKUP(B2095,[4]SOUSPROGRAMMES!$E$1:$F$44,2,FALSE)</f>
        <v xml:space="preserve">64-Développement de la Post-alphabétisation </v>
      </c>
      <c r="AB2095" s="19" t="str">
        <f>C2095 &amp; "-" &amp; VLOOKUP(C2095,[4]RESULTATS!$E$1:$F$176,2,FALSE)</f>
        <v xml:space="preserve">641-Promotion du développement de la production écrite en langues nationales </v>
      </c>
      <c r="AC2095" s="20" t="str">
        <f>D2095 &amp; "-" &amp; VLOOKUP(D2095,[4]STRATEGIES!$E$1:$F$504,2,FALSE)</f>
        <v>6411-Promouvoir la production endogène des ouvrages, journaux, etc écrits en langues nationales</v>
      </c>
      <c r="AD2095" s="21" t="str">
        <f t="shared" si="317"/>
        <v xml:space="preserve">64112-Organisation de concours de meilleurs récits, histoires, monographies des villages……)  </v>
      </c>
    </row>
    <row r="2096" spans="1:30" s="22" customFormat="1" ht="30" customHeight="1" x14ac:dyDescent="0.8">
      <c r="A2096" s="14">
        <v>6</v>
      </c>
      <c r="B2096" s="15">
        <v>64</v>
      </c>
      <c r="C2096" s="15">
        <v>641</v>
      </c>
      <c r="D2096" s="74">
        <v>6411</v>
      </c>
      <c r="E2096" s="14">
        <v>64112</v>
      </c>
      <c r="F2096" s="16" t="s">
        <v>2572</v>
      </c>
      <c r="G2096" s="21" t="s">
        <v>2573</v>
      </c>
      <c r="H2096" s="17" t="s">
        <v>2574</v>
      </c>
      <c r="I2096" s="56">
        <v>0</v>
      </c>
      <c r="J2096" s="56">
        <f>1*20%</f>
        <v>0.2</v>
      </c>
      <c r="K2096" s="56">
        <f>1*20%</f>
        <v>0.2</v>
      </c>
      <c r="L2096" s="56">
        <f>1*20%</f>
        <v>0.2</v>
      </c>
      <c r="M2096" s="56">
        <f t="shared" si="323"/>
        <v>0.60000000000000009</v>
      </c>
      <c r="N2096" s="56">
        <f>IF(OR(H2096="",H2096="sif",H2096="PM"),0,VLOOKUP(H2096,[5]CU!$C$4:$H$255,6,FALSE))</f>
        <v>100</v>
      </c>
      <c r="O2096" s="56">
        <f t="shared" si="325"/>
        <v>0</v>
      </c>
      <c r="P2096" s="56">
        <f t="shared" si="325"/>
        <v>20</v>
      </c>
      <c r="Q2096" s="56">
        <f t="shared" si="325"/>
        <v>20</v>
      </c>
      <c r="R2096" s="56">
        <f t="shared" si="325"/>
        <v>20</v>
      </c>
      <c r="S2096" s="56">
        <f>SUM(O2096:R2096)</f>
        <v>60</v>
      </c>
      <c r="T2096" s="35" t="s">
        <v>118</v>
      </c>
      <c r="U2096" s="18" t="s">
        <v>330</v>
      </c>
      <c r="V2096" s="19" t="str">
        <f>IF(OR($H2096="",$H2096="sif",$H2096="PM"),"",VLOOKUP($H2096,[5]CU!$C$5:$J$255,8,FALSE))</f>
        <v>4. Transferts et subventions</v>
      </c>
      <c r="W2096" s="18" t="s">
        <v>331</v>
      </c>
      <c r="X2096" s="18" t="s">
        <v>521</v>
      </c>
      <c r="Y2096" s="19" t="s">
        <v>32</v>
      </c>
      <c r="Z2096" s="19" t="str">
        <f>A2096 &amp; "-" &amp; VLOOKUP(A2096,[4]PROGRAMMES!$E$1:$F$7,2,FALSE)</f>
        <v>6-Education et alphabétisation des adultes</v>
      </c>
      <c r="AA2096" s="19" t="str">
        <f>B2096 &amp; "-" &amp; VLOOKUP(B2096,[4]SOUSPROGRAMMES!$E$1:$F$44,2,FALSE)</f>
        <v xml:space="preserve">64-Développement de la Post-alphabétisation </v>
      </c>
      <c r="AB2096" s="19" t="str">
        <f>C2096 &amp; "-" &amp; VLOOKUP(C2096,[4]RESULTATS!$E$1:$F$176,2,FALSE)</f>
        <v xml:space="preserve">641-Promotion du développement de la production écrite en langues nationales </v>
      </c>
      <c r="AC2096" s="20" t="str">
        <f>D2096 &amp; "-" &amp; VLOOKUP(D2096,[4]STRATEGIES!$E$1:$F$504,2,FALSE)</f>
        <v>6411-Promouvoir la production endogène des ouvrages, journaux, etc écrits en langues nationales</v>
      </c>
      <c r="AD2096" s="21" t="str">
        <f t="shared" si="317"/>
        <v xml:space="preserve">64112-Organisation de concours de meilleurs récits, histoires, monographies des villages……)  </v>
      </c>
    </row>
    <row r="2097" spans="1:30" s="22" customFormat="1" ht="30" hidden="1" customHeight="1" x14ac:dyDescent="0.8">
      <c r="A2097" s="14">
        <v>6</v>
      </c>
      <c r="B2097" s="15">
        <v>64</v>
      </c>
      <c r="C2097" s="15">
        <v>641</v>
      </c>
      <c r="D2097" s="74">
        <v>6411</v>
      </c>
      <c r="E2097" s="14">
        <v>64113</v>
      </c>
      <c r="F2097" s="16" t="s">
        <v>2575</v>
      </c>
      <c r="G2097" s="21" t="s">
        <v>2576</v>
      </c>
      <c r="H2097" s="17" t="s">
        <v>55</v>
      </c>
      <c r="I2097" s="56">
        <v>0</v>
      </c>
      <c r="J2097" s="56"/>
      <c r="K2097" s="56">
        <v>1</v>
      </c>
      <c r="L2097" s="56">
        <v>1</v>
      </c>
      <c r="M2097" s="56">
        <f t="shared" si="323"/>
        <v>2</v>
      </c>
      <c r="N2097" s="56">
        <f>IF(OR(H2097="",H2097="sif",H2097="PM"),0,VLOOKUP(H2097,[5]CU!$C$4:$H$255,6,FALSE))</f>
        <v>0</v>
      </c>
      <c r="O2097" s="56"/>
      <c r="P2097" s="56"/>
      <c r="Q2097" s="56"/>
      <c r="R2097" s="56"/>
      <c r="S2097" s="56"/>
      <c r="T2097" s="35" t="s">
        <v>56</v>
      </c>
      <c r="U2097" s="18" t="s">
        <v>330</v>
      </c>
      <c r="V2097" s="19" t="str">
        <f>IF(OR($H2097="",$H2097="sif",$H2097="PM"),"",VLOOKUP($H2097,[5]CU!$C$5:$J$255,8,FALSE))</f>
        <v/>
      </c>
      <c r="W2097" s="18" t="s">
        <v>331</v>
      </c>
      <c r="X2097" s="18" t="s">
        <v>331</v>
      </c>
      <c r="Y2097" s="19" t="s">
        <v>32</v>
      </c>
      <c r="Z2097" s="19" t="str">
        <f>A2097 &amp; "-" &amp; VLOOKUP(A2097,[4]PROGRAMMES!$E$1:$F$7,2,FALSE)</f>
        <v>6-Education et alphabétisation des adultes</v>
      </c>
      <c r="AA2097" s="19" t="str">
        <f>B2097 &amp; "-" &amp; VLOOKUP(B2097,[4]SOUSPROGRAMMES!$E$1:$F$44,2,FALSE)</f>
        <v xml:space="preserve">64-Développement de la Post-alphabétisation </v>
      </c>
      <c r="AB2097" s="19" t="str">
        <f>C2097 &amp; "-" &amp; VLOOKUP(C2097,[4]RESULTATS!$E$1:$F$176,2,FALSE)</f>
        <v xml:space="preserve">641-Promotion du développement de la production écrite en langues nationales </v>
      </c>
      <c r="AC2097" s="20" t="str">
        <f>D2097 &amp; "-" &amp; VLOOKUP(D2097,[4]STRATEGIES!$E$1:$F$504,2,FALSE)</f>
        <v>6411-Promouvoir la production endogène des ouvrages, journaux, etc écrits en langues nationales</v>
      </c>
      <c r="AD2097" s="21" t="str">
        <f t="shared" si="317"/>
        <v xml:space="preserve">64113-Publication de la production dans les journaux locaux </v>
      </c>
    </row>
    <row r="2098" spans="1:30" s="22" customFormat="1" ht="30" hidden="1" customHeight="1" x14ac:dyDescent="0.8">
      <c r="A2098" s="14">
        <v>6</v>
      </c>
      <c r="B2098" s="15">
        <v>64</v>
      </c>
      <c r="C2098" s="15">
        <v>641</v>
      </c>
      <c r="D2098" s="74">
        <v>6411</v>
      </c>
      <c r="E2098" s="14">
        <v>64114</v>
      </c>
      <c r="F2098" s="16" t="s">
        <v>2577</v>
      </c>
      <c r="G2098" s="21" t="s">
        <v>298</v>
      </c>
      <c r="H2098" s="17" t="s">
        <v>38</v>
      </c>
      <c r="I2098" s="56">
        <v>0</v>
      </c>
      <c r="J2098" s="56">
        <f>(35*4*2)*80%</f>
        <v>224</v>
      </c>
      <c r="K2098" s="56">
        <f>(35*4*2)*80%</f>
        <v>224</v>
      </c>
      <c r="L2098" s="56">
        <f>(35*4*2)*80%</f>
        <v>224</v>
      </c>
      <c r="M2098" s="56">
        <f>SUM(I2098:L2098)</f>
        <v>672</v>
      </c>
      <c r="N2098" s="56">
        <f>IF(OR(H2098="",H2098="sif",H2098="PM"),0,VLOOKUP(H2098,[5]CU!$C$4:$H$255,6,FALSE))</f>
        <v>0.3133333333333333</v>
      </c>
      <c r="O2098" s="56">
        <f>$N2098*I2098</f>
        <v>0</v>
      </c>
      <c r="P2098" s="56">
        <f>$N2098*J2098</f>
        <v>70.186666666666653</v>
      </c>
      <c r="Q2098" s="56">
        <f>$N2098*K2098</f>
        <v>70.186666666666653</v>
      </c>
      <c r="R2098" s="56">
        <f>$N2098*L2098</f>
        <v>70.186666666666653</v>
      </c>
      <c r="S2098" s="56">
        <f>SUM(O2098:R2098)</f>
        <v>210.55999999999995</v>
      </c>
      <c r="T2098" s="35" t="s">
        <v>56</v>
      </c>
      <c r="U2098" s="18" t="s">
        <v>330</v>
      </c>
      <c r="V2098" s="19" t="str">
        <f>IF(OR($H2098="",$H2098="sif",$H2098="PM"),"",VLOOKUP($H2098,[5]CU!$C$5:$J$255,8,FALSE))</f>
        <v>3. Formation</v>
      </c>
      <c r="W2098" s="18" t="s">
        <v>331</v>
      </c>
      <c r="X2098" s="18" t="s">
        <v>2578</v>
      </c>
      <c r="Y2098" s="19" t="s">
        <v>32</v>
      </c>
      <c r="Z2098" s="19" t="str">
        <f>A2098 &amp; "-" &amp; VLOOKUP(A2098,[4]PROGRAMMES!$E$1:$F$7,2,FALSE)</f>
        <v>6-Education et alphabétisation des adultes</v>
      </c>
      <c r="AA2098" s="19" t="str">
        <f>B2098 &amp; "-" &amp; VLOOKUP(B2098,[4]SOUSPROGRAMMES!$E$1:$F$44,2,FALSE)</f>
        <v xml:space="preserve">64-Développement de la Post-alphabétisation </v>
      </c>
      <c r="AB2098" s="19" t="str">
        <f>C2098 &amp; "-" &amp; VLOOKUP(C2098,[4]RESULTATS!$E$1:$F$176,2,FALSE)</f>
        <v xml:space="preserve">641-Promotion du développement de la production écrite en langues nationales </v>
      </c>
      <c r="AC2098" s="20" t="str">
        <f>D2098 &amp; "-" &amp; VLOOKUP(D2098,[4]STRATEGIES!$E$1:$F$504,2,FALSE)</f>
        <v>6411-Promouvoir la production endogène des ouvrages, journaux, etc écrits en langues nationales</v>
      </c>
      <c r="AD2098" s="21" t="str">
        <f t="shared" si="317"/>
        <v xml:space="preserve">64114-Organisation d'atelier de rédaction d'articles en langues nationales par les néo alphabètes </v>
      </c>
    </row>
    <row r="2099" spans="1:30" s="22" customFormat="1" ht="30" customHeight="1" x14ac:dyDescent="0.8">
      <c r="A2099" s="14">
        <v>6</v>
      </c>
      <c r="B2099" s="15">
        <v>64</v>
      </c>
      <c r="C2099" s="15">
        <v>641</v>
      </c>
      <c r="D2099" s="74">
        <v>6411</v>
      </c>
      <c r="E2099" s="14">
        <v>64114</v>
      </c>
      <c r="F2099" s="16" t="s">
        <v>2577</v>
      </c>
      <c r="G2099" s="21" t="s">
        <v>298</v>
      </c>
      <c r="H2099" s="17" t="s">
        <v>38</v>
      </c>
      <c r="I2099" s="56">
        <v>0</v>
      </c>
      <c r="J2099" s="56">
        <f>(35*4*2)*20%</f>
        <v>56</v>
      </c>
      <c r="K2099" s="56">
        <f>(35*4*2)*20%</f>
        <v>56</v>
      </c>
      <c r="L2099" s="56">
        <f>(35*4*2)*20%</f>
        <v>56</v>
      </c>
      <c r="M2099" s="56">
        <f t="shared" si="323"/>
        <v>168</v>
      </c>
      <c r="N2099" s="56">
        <f>IF(OR(H2099="",H2099="sif",H2099="PM"),0,VLOOKUP(H2099,[5]CU!$C$4:$H$255,6,FALSE))</f>
        <v>0.3133333333333333</v>
      </c>
      <c r="O2099" s="56">
        <f t="shared" ref="O2099:R2102" si="326">$N2099*I2099</f>
        <v>0</v>
      </c>
      <c r="P2099" s="56">
        <f t="shared" si="326"/>
        <v>17.546666666666663</v>
      </c>
      <c r="Q2099" s="56">
        <f t="shared" si="326"/>
        <v>17.546666666666663</v>
      </c>
      <c r="R2099" s="56">
        <f t="shared" si="326"/>
        <v>17.546666666666663</v>
      </c>
      <c r="S2099" s="56">
        <f>SUM(O2099:R2099)</f>
        <v>52.639999999999986</v>
      </c>
      <c r="T2099" s="35" t="s">
        <v>118</v>
      </c>
      <c r="U2099" s="18" t="s">
        <v>330</v>
      </c>
      <c r="V2099" s="19" t="str">
        <f>IF(OR($H2099="",$H2099="sif",$H2099="PM"),"",VLOOKUP($H2099,[5]CU!$C$5:$J$255,8,FALSE))</f>
        <v>3. Formation</v>
      </c>
      <c r="W2099" s="18" t="s">
        <v>331</v>
      </c>
      <c r="X2099" s="18" t="s">
        <v>2578</v>
      </c>
      <c r="Y2099" s="19" t="s">
        <v>32</v>
      </c>
      <c r="Z2099" s="19" t="str">
        <f>A2099 &amp; "-" &amp; VLOOKUP(A2099,[4]PROGRAMMES!$E$1:$F$7,2,FALSE)</f>
        <v>6-Education et alphabétisation des adultes</v>
      </c>
      <c r="AA2099" s="19" t="str">
        <f>B2099 &amp; "-" &amp; VLOOKUP(B2099,[4]SOUSPROGRAMMES!$E$1:$F$44,2,FALSE)</f>
        <v xml:space="preserve">64-Développement de la Post-alphabétisation </v>
      </c>
      <c r="AB2099" s="19" t="str">
        <f>C2099 &amp; "-" &amp; VLOOKUP(C2099,[4]RESULTATS!$E$1:$F$176,2,FALSE)</f>
        <v xml:space="preserve">641-Promotion du développement de la production écrite en langues nationales </v>
      </c>
      <c r="AC2099" s="20" t="str">
        <f>D2099 &amp; "-" &amp; VLOOKUP(D2099,[4]STRATEGIES!$E$1:$F$504,2,FALSE)</f>
        <v>6411-Promouvoir la production endogène des ouvrages, journaux, etc écrits en langues nationales</v>
      </c>
      <c r="AD2099" s="21" t="str">
        <f t="shared" si="317"/>
        <v xml:space="preserve">64114-Organisation d'atelier de rédaction d'articles en langues nationales par les néo alphabètes </v>
      </c>
    </row>
    <row r="2100" spans="1:30" s="22" customFormat="1" ht="30" customHeight="1" x14ac:dyDescent="0.8">
      <c r="A2100" s="14">
        <v>6</v>
      </c>
      <c r="B2100" s="15">
        <v>64</v>
      </c>
      <c r="C2100" s="15">
        <v>641</v>
      </c>
      <c r="D2100" s="74">
        <v>6412</v>
      </c>
      <c r="E2100" s="14">
        <v>6412</v>
      </c>
      <c r="F2100" s="16" t="s">
        <v>2579</v>
      </c>
      <c r="G2100" s="17"/>
      <c r="H2100" s="17"/>
      <c r="I2100" s="56">
        <v>0</v>
      </c>
      <c r="J2100" s="56"/>
      <c r="K2100" s="56"/>
      <c r="L2100" s="56"/>
      <c r="M2100" s="56"/>
      <c r="N2100" s="56"/>
      <c r="O2100" s="56"/>
      <c r="P2100" s="56"/>
      <c r="Q2100" s="56"/>
      <c r="R2100" s="56"/>
      <c r="S2100" s="56"/>
      <c r="T2100" s="33"/>
      <c r="U2100" s="18"/>
      <c r="V2100" s="19"/>
      <c r="W2100" s="18"/>
      <c r="X2100" s="18"/>
      <c r="Y2100" s="18"/>
      <c r="Z2100" s="19" t="str">
        <f>A2100 &amp; "-" &amp; VLOOKUP(A2100,[4]PROGRAMMES!$E$1:$F$7,2,FALSE)</f>
        <v>6-Education et alphabétisation des adultes</v>
      </c>
      <c r="AA2100" s="19" t="str">
        <f>B2100 &amp; "-" &amp; VLOOKUP(B2100,[4]SOUSPROGRAMMES!$E$1:$F$44,2,FALSE)</f>
        <v xml:space="preserve">64-Développement de la Post-alphabétisation </v>
      </c>
      <c r="AB2100" s="19" t="str">
        <f>C2100 &amp; "-" &amp; VLOOKUP(C2100,[4]RESULTATS!$E$1:$F$176,2,FALSE)</f>
        <v xml:space="preserve">641-Promotion du développement de la production écrite en langues nationales </v>
      </c>
      <c r="AC2100" s="20" t="str">
        <f>D2100 &amp; "-" &amp; VLOOKUP(D2100,[4]STRATEGIES!$E$1:$F$504,2,FALSE)</f>
        <v>6412-Développement d'actions de plaidoyer pour la production d'enseignes et d'écriteaux en langues nationales</v>
      </c>
      <c r="AD2100" s="21" t="str">
        <f t="shared" si="317"/>
        <v>6412-Développement d'actions de plaidoyer pour la production d'enseignes et d'écriteaux en langues nationales</v>
      </c>
    </row>
    <row r="2101" spans="1:30" s="22" customFormat="1" ht="30" hidden="1" customHeight="1" x14ac:dyDescent="0.8">
      <c r="A2101" s="14">
        <v>6</v>
      </c>
      <c r="B2101" s="15">
        <v>64</v>
      </c>
      <c r="C2101" s="15">
        <v>641</v>
      </c>
      <c r="D2101" s="74">
        <v>6412</v>
      </c>
      <c r="E2101" s="14">
        <v>64121</v>
      </c>
      <c r="F2101" s="16" t="s">
        <v>2580</v>
      </c>
      <c r="G2101" s="21" t="s">
        <v>298</v>
      </c>
      <c r="H2101" s="17" t="s">
        <v>66</v>
      </c>
      <c r="I2101" s="56">
        <v>0</v>
      </c>
      <c r="J2101" s="56"/>
      <c r="K2101" s="56"/>
      <c r="L2101" s="56"/>
      <c r="M2101" s="56">
        <f t="shared" si="323"/>
        <v>0</v>
      </c>
      <c r="N2101" s="56">
        <f>IF(OR(H2101="",H2101="sif",H2101="PM"),0,VLOOKUP(H2101,[5]CU!$C$4:$H$255,6,FALSE))</f>
        <v>0.255</v>
      </c>
      <c r="O2101" s="56">
        <f t="shared" si="326"/>
        <v>0</v>
      </c>
      <c r="P2101" s="56">
        <f t="shared" si="326"/>
        <v>0</v>
      </c>
      <c r="Q2101" s="56">
        <f t="shared" si="326"/>
        <v>0</v>
      </c>
      <c r="R2101" s="56">
        <f t="shared" si="326"/>
        <v>0</v>
      </c>
      <c r="S2101" s="56">
        <f>SUM(O2101:R2101)</f>
        <v>0</v>
      </c>
      <c r="T2101" s="35" t="s">
        <v>56</v>
      </c>
      <c r="U2101" s="18" t="s">
        <v>330</v>
      </c>
      <c r="V2101" s="19" t="str">
        <f>IF(OR($H2101="",$H2101="sif",$H2101="PM"),"",VLOOKUP($H2101,[5]CU!$C$5:$J$255,8,FALSE))</f>
        <v>3. Dépenses de fonctionnement</v>
      </c>
      <c r="W2101" s="18" t="s">
        <v>331</v>
      </c>
      <c r="X2101" s="18" t="s">
        <v>331</v>
      </c>
      <c r="Y2101" s="19" t="s">
        <v>32</v>
      </c>
      <c r="Z2101" s="19" t="str">
        <f>A2101 &amp; "-" &amp; VLOOKUP(A2101,[4]PROGRAMMES!$E$1:$F$7,2,FALSE)</f>
        <v>6-Education et alphabétisation des adultes</v>
      </c>
      <c r="AA2101" s="19" t="str">
        <f>B2101 &amp; "-" &amp; VLOOKUP(B2101,[4]SOUSPROGRAMMES!$E$1:$F$44,2,FALSE)</f>
        <v xml:space="preserve">64-Développement de la Post-alphabétisation </v>
      </c>
      <c r="AB2101" s="19" t="str">
        <f>C2101 &amp; "-" &amp; VLOOKUP(C2101,[4]RESULTATS!$E$1:$F$176,2,FALSE)</f>
        <v xml:space="preserve">641-Promotion du développement de la production écrite en langues nationales </v>
      </c>
      <c r="AC2101" s="20" t="str">
        <f>D2101 &amp; "-" &amp; VLOOKUP(D2101,[4]STRATEGIES!$E$1:$F$504,2,FALSE)</f>
        <v>6412-Développement d'actions de plaidoyer pour la production d'enseignes et d'écriteaux en langues nationales</v>
      </c>
      <c r="AD2101" s="21" t="str">
        <f t="shared" si="317"/>
        <v>64121-Elaboration d'une stratégie nationale de création et de développement de foyers d'environnement lettré</v>
      </c>
    </row>
    <row r="2102" spans="1:30" s="22" customFormat="1" ht="30" hidden="1" customHeight="1" x14ac:dyDescent="0.8">
      <c r="A2102" s="14">
        <v>6</v>
      </c>
      <c r="B2102" s="15">
        <v>64</v>
      </c>
      <c r="C2102" s="15">
        <v>641</v>
      </c>
      <c r="D2102" s="74">
        <v>6412</v>
      </c>
      <c r="E2102" s="14">
        <v>64122</v>
      </c>
      <c r="F2102" s="16" t="s">
        <v>2581</v>
      </c>
      <c r="G2102" s="21" t="s">
        <v>37</v>
      </c>
      <c r="H2102" s="17" t="s">
        <v>66</v>
      </c>
      <c r="I2102" s="56">
        <v>0</v>
      </c>
      <c r="J2102" s="56">
        <f>25*2*1</f>
        <v>50</v>
      </c>
      <c r="K2102" s="56"/>
      <c r="L2102" s="56"/>
      <c r="M2102" s="56">
        <f t="shared" si="323"/>
        <v>50</v>
      </c>
      <c r="N2102" s="56">
        <f>IF(OR(H2102="",H2102="sif",H2102="PM"),0,VLOOKUP(H2102,[5]CU!$C$4:$H$255,6,FALSE))</f>
        <v>0.255</v>
      </c>
      <c r="O2102" s="56">
        <f t="shared" si="326"/>
        <v>0</v>
      </c>
      <c r="P2102" s="56">
        <f t="shared" si="326"/>
        <v>12.75</v>
      </c>
      <c r="Q2102" s="56">
        <f t="shared" si="326"/>
        <v>0</v>
      </c>
      <c r="R2102" s="56">
        <f t="shared" si="326"/>
        <v>0</v>
      </c>
      <c r="S2102" s="56">
        <f>SUM(O2102:R2102)</f>
        <v>12.75</v>
      </c>
      <c r="T2102" s="35" t="s">
        <v>56</v>
      </c>
      <c r="U2102" s="18" t="s">
        <v>330</v>
      </c>
      <c r="V2102" s="19" t="str">
        <f>IF(OR($H2102="",$H2102="sif",$H2102="PM"),"",VLOOKUP($H2102,[5]CU!$C$5:$J$255,8,FALSE))</f>
        <v>3. Dépenses de fonctionnement</v>
      </c>
      <c r="W2102" s="18" t="s">
        <v>331</v>
      </c>
      <c r="X2102" s="18" t="s">
        <v>331</v>
      </c>
      <c r="Y2102" s="19" t="s">
        <v>32</v>
      </c>
      <c r="Z2102" s="19" t="str">
        <f>A2102 &amp; "-" &amp; VLOOKUP(A2102,[4]PROGRAMMES!$E$1:$F$7,2,FALSE)</f>
        <v>6-Education et alphabétisation des adultes</v>
      </c>
      <c r="AA2102" s="19" t="str">
        <f>B2102 &amp; "-" &amp; VLOOKUP(B2102,[4]SOUSPROGRAMMES!$E$1:$F$44,2,FALSE)</f>
        <v xml:space="preserve">64-Développement de la Post-alphabétisation </v>
      </c>
      <c r="AB2102" s="19" t="str">
        <f>C2102 &amp; "-" &amp; VLOOKUP(C2102,[4]RESULTATS!$E$1:$F$176,2,FALSE)</f>
        <v xml:space="preserve">641-Promotion du développement de la production écrite en langues nationales </v>
      </c>
      <c r="AC2102" s="20" t="str">
        <f>D2102 &amp; "-" &amp; VLOOKUP(D2102,[4]STRATEGIES!$E$1:$F$504,2,FALSE)</f>
        <v>6412-Développement d'actions de plaidoyer pour la production d'enseignes et d'écriteaux en langues nationales</v>
      </c>
      <c r="AD2102" s="21" t="str">
        <f t="shared" si="317"/>
        <v>64122-Validation technique de la stratégie</v>
      </c>
    </row>
    <row r="2103" spans="1:30" s="22" customFormat="1" ht="30" hidden="1" customHeight="1" x14ac:dyDescent="0.8">
      <c r="A2103" s="14">
        <v>6</v>
      </c>
      <c r="B2103" s="15">
        <v>64</v>
      </c>
      <c r="C2103" s="15">
        <v>641</v>
      </c>
      <c r="D2103" s="74">
        <v>6412</v>
      </c>
      <c r="E2103" s="14">
        <v>64123</v>
      </c>
      <c r="F2103" s="16" t="s">
        <v>2582</v>
      </c>
      <c r="G2103" s="21" t="s">
        <v>88</v>
      </c>
      <c r="H2103" s="17" t="s">
        <v>55</v>
      </c>
      <c r="I2103" s="56">
        <v>0</v>
      </c>
      <c r="J2103" s="56">
        <f>1*1*1</f>
        <v>1</v>
      </c>
      <c r="K2103" s="56"/>
      <c r="L2103" s="56"/>
      <c r="M2103" s="56">
        <f t="shared" si="323"/>
        <v>1</v>
      </c>
      <c r="N2103" s="56">
        <f>IF(OR(H2103="",H2103="sif",H2103="PM"),0,VLOOKUP(H2103,[5]CU!$C$4:$H$255,6,FALSE))</f>
        <v>0</v>
      </c>
      <c r="O2103" s="56"/>
      <c r="P2103" s="56"/>
      <c r="Q2103" s="56"/>
      <c r="R2103" s="56"/>
      <c r="S2103" s="56"/>
      <c r="T2103" s="35" t="s">
        <v>56</v>
      </c>
      <c r="U2103" s="18" t="s">
        <v>330</v>
      </c>
      <c r="V2103" s="19" t="str">
        <f>IF(OR($H2103="",$H2103="sif",$H2103="PM"),"",VLOOKUP($H2103,[5]CU!$C$5:$J$255,8,FALSE))</f>
        <v/>
      </c>
      <c r="W2103" s="18" t="s">
        <v>331</v>
      </c>
      <c r="X2103" s="18" t="s">
        <v>2583</v>
      </c>
      <c r="Y2103" s="19" t="s">
        <v>32</v>
      </c>
      <c r="Z2103" s="19" t="str">
        <f>A2103 &amp; "-" &amp; VLOOKUP(A2103,[4]PROGRAMMES!$E$1:$F$7,2,FALSE)</f>
        <v>6-Education et alphabétisation des adultes</v>
      </c>
      <c r="AA2103" s="19" t="str">
        <f>B2103 &amp; "-" &amp; VLOOKUP(B2103,[4]SOUSPROGRAMMES!$E$1:$F$44,2,FALSE)</f>
        <v xml:space="preserve">64-Développement de la Post-alphabétisation </v>
      </c>
      <c r="AB2103" s="19" t="str">
        <f>C2103 &amp; "-" &amp; VLOOKUP(C2103,[4]RESULTATS!$E$1:$F$176,2,FALSE)</f>
        <v xml:space="preserve">641-Promotion du développement de la production écrite en langues nationales </v>
      </c>
      <c r="AC2103" s="20" t="str">
        <f>D2103 &amp; "-" &amp; VLOOKUP(D2103,[4]STRATEGIES!$E$1:$F$504,2,FALSE)</f>
        <v>6412-Développement d'actions de plaidoyer pour la production d'enseignes et d'écriteaux en langues nationales</v>
      </c>
      <c r="AD2103" s="21" t="str">
        <f t="shared" si="317"/>
        <v>64123-Soumission de la stratégie pour validation au gouvernement</v>
      </c>
    </row>
    <row r="2104" spans="1:30" s="22" customFormat="1" ht="30" hidden="1" customHeight="1" x14ac:dyDescent="0.8">
      <c r="A2104" s="14">
        <v>6</v>
      </c>
      <c r="B2104" s="15">
        <v>64</v>
      </c>
      <c r="C2104" s="15">
        <v>641</v>
      </c>
      <c r="D2104" s="74">
        <v>6412</v>
      </c>
      <c r="E2104" s="14">
        <v>64124</v>
      </c>
      <c r="F2104" s="16" t="s">
        <v>2584</v>
      </c>
      <c r="G2104" s="21" t="s">
        <v>2585</v>
      </c>
      <c r="H2104" s="17" t="s">
        <v>55</v>
      </c>
      <c r="I2104" s="56">
        <v>0</v>
      </c>
      <c r="J2104" s="56"/>
      <c r="K2104" s="56">
        <v>1</v>
      </c>
      <c r="L2104" s="56"/>
      <c r="M2104" s="56">
        <f t="shared" si="323"/>
        <v>1</v>
      </c>
      <c r="N2104" s="56">
        <f>IF(OR(H2104="",H2104="sif",H2104="PM"),0,VLOOKUP(H2104,[5]CU!$C$4:$H$255,6,FALSE))</f>
        <v>0</v>
      </c>
      <c r="O2104" s="56"/>
      <c r="P2104" s="56"/>
      <c r="Q2104" s="56"/>
      <c r="R2104" s="56"/>
      <c r="S2104" s="56"/>
      <c r="T2104" s="35" t="s">
        <v>56</v>
      </c>
      <c r="U2104" s="18" t="s">
        <v>330</v>
      </c>
      <c r="V2104" s="19" t="str">
        <f>IF(OR($H2104="",$H2104="sif",$H2104="PM"),"",VLOOKUP($H2104,[5]CU!$C$5:$J$255,8,FALSE))</f>
        <v/>
      </c>
      <c r="W2104" s="18" t="s">
        <v>32</v>
      </c>
      <c r="X2104" s="18" t="s">
        <v>2583</v>
      </c>
      <c r="Y2104" s="19" t="s">
        <v>32</v>
      </c>
      <c r="Z2104" s="19" t="str">
        <f>A2104 &amp; "-" &amp; VLOOKUP(A2104,[4]PROGRAMMES!$E$1:$F$7,2,FALSE)</f>
        <v>6-Education et alphabétisation des adultes</v>
      </c>
      <c r="AA2104" s="19" t="str">
        <f>B2104 &amp; "-" &amp; VLOOKUP(B2104,[4]SOUSPROGRAMMES!$E$1:$F$44,2,FALSE)</f>
        <v xml:space="preserve">64-Développement de la Post-alphabétisation </v>
      </c>
      <c r="AB2104" s="19" t="str">
        <f>C2104 &amp; "-" &amp; VLOOKUP(C2104,[4]RESULTATS!$E$1:$F$176,2,FALSE)</f>
        <v xml:space="preserve">641-Promotion du développement de la production écrite en langues nationales </v>
      </c>
      <c r="AC2104" s="20" t="str">
        <f>D2104 &amp; "-" &amp; VLOOKUP(D2104,[4]STRATEGIES!$E$1:$F$504,2,FALSE)</f>
        <v>6412-Développement d'actions de plaidoyer pour la production d'enseignes et d'écriteaux en langues nationales</v>
      </c>
      <c r="AD2104" s="21" t="str">
        <f t="shared" si="317"/>
        <v xml:space="preserve">64124-Adoption par le Gouvernement de la stratégie nationale pour le développement d'un environnement lettré en langues nationales </v>
      </c>
    </row>
    <row r="2105" spans="1:30" s="22" customFormat="1" ht="30" hidden="1" customHeight="1" x14ac:dyDescent="0.8">
      <c r="A2105" s="14">
        <v>6</v>
      </c>
      <c r="B2105" s="15">
        <v>64</v>
      </c>
      <c r="C2105" s="15">
        <v>641</v>
      </c>
      <c r="D2105" s="74">
        <v>6412</v>
      </c>
      <c r="E2105" s="14">
        <v>64125</v>
      </c>
      <c r="F2105" s="16" t="s">
        <v>2586</v>
      </c>
      <c r="G2105" s="21" t="s">
        <v>159</v>
      </c>
      <c r="H2105" s="17" t="s">
        <v>55</v>
      </c>
      <c r="I2105" s="56">
        <v>0</v>
      </c>
      <c r="J2105" s="56">
        <v>1</v>
      </c>
      <c r="K2105" s="56"/>
      <c r="L2105" s="56"/>
      <c r="M2105" s="56">
        <f t="shared" si="323"/>
        <v>1</v>
      </c>
      <c r="N2105" s="56">
        <f>IF(OR(H2105="",H2105="sif",H2105="PM"),0,VLOOKUP(H2105,[5]CU!$C$4:$H$255,6,FALSE))</f>
        <v>0</v>
      </c>
      <c r="O2105" s="56"/>
      <c r="P2105" s="56"/>
      <c r="Q2105" s="56"/>
      <c r="R2105" s="56"/>
      <c r="S2105" s="56"/>
      <c r="T2105" s="35" t="s">
        <v>56</v>
      </c>
      <c r="U2105" s="18" t="s">
        <v>330</v>
      </c>
      <c r="V2105" s="19" t="str">
        <f>IF(OR($H2105="",$H2105="sif",$H2105="PM"),"",VLOOKUP($H2105,[5]CU!$C$5:$J$255,8,FALSE))</f>
        <v/>
      </c>
      <c r="W2105" s="18" t="s">
        <v>331</v>
      </c>
      <c r="X2105" s="18" t="s">
        <v>2587</v>
      </c>
      <c r="Y2105" s="19" t="s">
        <v>32</v>
      </c>
      <c r="Z2105" s="19" t="str">
        <f>A2105 &amp; "-" &amp; VLOOKUP(A2105,[4]PROGRAMMES!$E$1:$F$7,2,FALSE)</f>
        <v>6-Education et alphabétisation des adultes</v>
      </c>
      <c r="AA2105" s="19" t="str">
        <f>B2105 &amp; "-" &amp; VLOOKUP(B2105,[4]SOUSPROGRAMMES!$E$1:$F$44,2,FALSE)</f>
        <v xml:space="preserve">64-Développement de la Post-alphabétisation </v>
      </c>
      <c r="AB2105" s="19" t="str">
        <f>C2105 &amp; "-" &amp; VLOOKUP(C2105,[4]RESULTATS!$E$1:$F$176,2,FALSE)</f>
        <v xml:space="preserve">641-Promotion du développement de la production écrite en langues nationales </v>
      </c>
      <c r="AC2105" s="20" t="str">
        <f>D2105 &amp; "-" &amp; VLOOKUP(D2105,[4]STRATEGIES!$E$1:$F$504,2,FALSE)</f>
        <v>6412-Développement d'actions de plaidoyer pour la production d'enseignes et d'écriteaux en langues nationales</v>
      </c>
      <c r="AD2105" s="21" t="str">
        <f t="shared" si="317"/>
        <v>64125-Poursuite de l'expérimentation sur l'utilisation du numérique pour renforcer la post alphabétisation (DVV)</v>
      </c>
    </row>
    <row r="2106" spans="1:30" s="22" customFormat="1" ht="30" hidden="1" customHeight="1" x14ac:dyDescent="0.8">
      <c r="A2106" s="14">
        <v>6</v>
      </c>
      <c r="B2106" s="15">
        <v>64</v>
      </c>
      <c r="C2106" s="15">
        <v>641</v>
      </c>
      <c r="D2106" s="74">
        <v>6412</v>
      </c>
      <c r="E2106" s="14">
        <v>64126</v>
      </c>
      <c r="F2106" s="16" t="s">
        <v>2588</v>
      </c>
      <c r="G2106" s="21" t="s">
        <v>159</v>
      </c>
      <c r="H2106" s="17" t="s">
        <v>55</v>
      </c>
      <c r="I2106" s="56">
        <v>0</v>
      </c>
      <c r="J2106" s="56">
        <v>1</v>
      </c>
      <c r="K2106" s="56"/>
      <c r="L2106" s="56"/>
      <c r="M2106" s="56">
        <f t="shared" si="323"/>
        <v>1</v>
      </c>
      <c r="N2106" s="56">
        <f>IF(OR(H2106="",H2106="sif",H2106="PM"),0,VLOOKUP(H2106,[5]CU!$C$4:$H$255,6,FALSE))</f>
        <v>0</v>
      </c>
      <c r="O2106" s="56"/>
      <c r="P2106" s="56"/>
      <c r="Q2106" s="56"/>
      <c r="R2106" s="56"/>
      <c r="S2106" s="56"/>
      <c r="T2106" s="35" t="s">
        <v>56</v>
      </c>
      <c r="U2106" s="18" t="s">
        <v>330</v>
      </c>
      <c r="V2106" s="19" t="str">
        <f>IF(OR($H2106="",$H2106="sif",$H2106="PM"),"",VLOOKUP($H2106,[5]CU!$C$5:$J$255,8,FALSE))</f>
        <v/>
      </c>
      <c r="W2106" s="18" t="s">
        <v>331</v>
      </c>
      <c r="X2106" s="18" t="s">
        <v>2587</v>
      </c>
      <c r="Y2106" s="19" t="s">
        <v>32</v>
      </c>
      <c r="Z2106" s="19" t="str">
        <f>A2106 &amp; "-" &amp; VLOOKUP(A2106,[4]PROGRAMMES!$E$1:$F$7,2,FALSE)</f>
        <v>6-Education et alphabétisation des adultes</v>
      </c>
      <c r="AA2106" s="19" t="str">
        <f>B2106 &amp; "-" &amp; VLOOKUP(B2106,[4]SOUSPROGRAMMES!$E$1:$F$44,2,FALSE)</f>
        <v xml:space="preserve">64-Développement de la Post-alphabétisation </v>
      </c>
      <c r="AB2106" s="19" t="str">
        <f>C2106 &amp; "-" &amp; VLOOKUP(C2106,[4]RESULTATS!$E$1:$F$176,2,FALSE)</f>
        <v xml:space="preserve">641-Promotion du développement de la production écrite en langues nationales </v>
      </c>
      <c r="AC2106" s="20" t="str">
        <f>D2106 &amp; "-" &amp; VLOOKUP(D2106,[4]STRATEGIES!$E$1:$F$504,2,FALSE)</f>
        <v>6412-Développement d'actions de plaidoyer pour la production d'enseignes et d'écriteaux en langues nationales</v>
      </c>
      <c r="AD2106" s="21" t="str">
        <f t="shared" si="317"/>
        <v>64126-Evaluation de l'expérimentation sur l'utilisation du numérique pour renforcer la post alphabétisation (DVV)</v>
      </c>
    </row>
    <row r="2107" spans="1:30" s="22" customFormat="1" ht="30" hidden="1" customHeight="1" x14ac:dyDescent="0.8">
      <c r="A2107" s="14">
        <v>6</v>
      </c>
      <c r="B2107" s="15">
        <v>64</v>
      </c>
      <c r="C2107" s="15">
        <v>641</v>
      </c>
      <c r="D2107" s="74">
        <v>6412</v>
      </c>
      <c r="E2107" s="14">
        <v>64127</v>
      </c>
      <c r="F2107" s="16" t="s">
        <v>2589</v>
      </c>
      <c r="G2107" s="21" t="s">
        <v>298</v>
      </c>
      <c r="H2107" s="17" t="s">
        <v>38</v>
      </c>
      <c r="I2107" s="56">
        <v>0</v>
      </c>
      <c r="J2107" s="56"/>
      <c r="K2107" s="56">
        <f>20*2</f>
        <v>40</v>
      </c>
      <c r="L2107" s="56"/>
      <c r="M2107" s="56">
        <f t="shared" si="323"/>
        <v>40</v>
      </c>
      <c r="N2107" s="56">
        <f>IF(OR(H2107="",H2107="sif",H2107="PM"),0,VLOOKUP(H2107,[5]CU!$C$4:$H$255,6,FALSE))</f>
        <v>0.3133333333333333</v>
      </c>
      <c r="O2107" s="56">
        <f t="shared" ref="O2107:R2110" si="327">$N2107*I2107</f>
        <v>0</v>
      </c>
      <c r="P2107" s="56">
        <f t="shared" si="327"/>
        <v>0</v>
      </c>
      <c r="Q2107" s="56">
        <f t="shared" si="327"/>
        <v>12.533333333333331</v>
      </c>
      <c r="R2107" s="56">
        <f t="shared" si="327"/>
        <v>0</v>
      </c>
      <c r="S2107" s="56">
        <f>SUM(O2107:R2107)</f>
        <v>12.533333333333331</v>
      </c>
      <c r="T2107" s="35" t="s">
        <v>56</v>
      </c>
      <c r="U2107" s="18" t="s">
        <v>330</v>
      </c>
      <c r="V2107" s="19" t="str">
        <f>IF(OR($H2107="",$H2107="sif",$H2107="PM"),"",VLOOKUP($H2107,[5]CU!$C$5:$J$255,8,FALSE))</f>
        <v>3. Formation</v>
      </c>
      <c r="W2107" s="18" t="s">
        <v>331</v>
      </c>
      <c r="X2107" s="18" t="s">
        <v>331</v>
      </c>
      <c r="Y2107" s="19" t="s">
        <v>32</v>
      </c>
      <c r="Z2107" s="19" t="str">
        <f>A2107 &amp; "-" &amp; VLOOKUP(A2107,[4]PROGRAMMES!$E$1:$F$7,2,FALSE)</f>
        <v>6-Education et alphabétisation des adultes</v>
      </c>
      <c r="AA2107" s="19" t="str">
        <f>B2107 &amp; "-" &amp; VLOOKUP(B2107,[4]SOUSPROGRAMMES!$E$1:$F$44,2,FALSE)</f>
        <v xml:space="preserve">64-Développement de la Post-alphabétisation </v>
      </c>
      <c r="AB2107" s="19" t="str">
        <f>C2107 &amp; "-" &amp; VLOOKUP(C2107,[4]RESULTATS!$E$1:$F$176,2,FALSE)</f>
        <v xml:space="preserve">641-Promotion du développement de la production écrite en langues nationales </v>
      </c>
      <c r="AC2107" s="20" t="str">
        <f>D2107 &amp; "-" &amp; VLOOKUP(D2107,[4]STRATEGIES!$E$1:$F$504,2,FALSE)</f>
        <v>6412-Développement d'actions de plaidoyer pour la production d'enseignes et d'écriteaux en langues nationales</v>
      </c>
      <c r="AD2107" s="21" t="str">
        <f t="shared" si="317"/>
        <v>64127-Analyse des résultats de l'expérimentation sur l'utilisation du numérique pour renforcer la post alphabétisation (DVV)</v>
      </c>
    </row>
    <row r="2108" spans="1:30" s="22" customFormat="1" ht="30" customHeight="1" x14ac:dyDescent="0.8">
      <c r="A2108" s="14">
        <v>6</v>
      </c>
      <c r="B2108" s="15">
        <v>64</v>
      </c>
      <c r="C2108" s="15">
        <v>641</v>
      </c>
      <c r="D2108" s="74">
        <v>6413</v>
      </c>
      <c r="E2108" s="14">
        <v>6413</v>
      </c>
      <c r="F2108" s="16" t="s">
        <v>2590</v>
      </c>
      <c r="G2108" s="17"/>
      <c r="H2108" s="17"/>
      <c r="I2108" s="56">
        <v>0</v>
      </c>
      <c r="J2108" s="56"/>
      <c r="K2108" s="56"/>
      <c r="L2108" s="56"/>
      <c r="M2108" s="56"/>
      <c r="N2108" s="56"/>
      <c r="O2108" s="56"/>
      <c r="P2108" s="56"/>
      <c r="Q2108" s="56"/>
      <c r="R2108" s="56"/>
      <c r="S2108" s="56"/>
      <c r="T2108" s="33"/>
      <c r="U2108" s="18"/>
      <c r="V2108" s="19"/>
      <c r="W2108" s="18"/>
      <c r="X2108" s="18"/>
      <c r="Y2108" s="18"/>
      <c r="Z2108" s="19" t="str">
        <f>A2108 &amp; "-" &amp; VLOOKUP(A2108,[4]PROGRAMMES!$E$1:$F$7,2,FALSE)</f>
        <v>6-Education et alphabétisation des adultes</v>
      </c>
      <c r="AA2108" s="19" t="str">
        <f>B2108 &amp; "-" &amp; VLOOKUP(B2108,[4]SOUSPROGRAMMES!$E$1:$F$44,2,FALSE)</f>
        <v xml:space="preserve">64-Développement de la Post-alphabétisation </v>
      </c>
      <c r="AB2108" s="19" t="str">
        <f>C2108 &amp; "-" &amp; VLOOKUP(C2108,[4]RESULTATS!$E$1:$F$176,2,FALSE)</f>
        <v xml:space="preserve">641-Promotion du développement de la production écrite en langues nationales </v>
      </c>
      <c r="AC2108" s="20" t="str">
        <f>D2108 &amp; "-" &amp; VLOOKUP(D2108,[4]STRATEGIES!$E$1:$F$504,2,FALSE)</f>
        <v>6413-Redynamisation des bibliothèques villageoise</v>
      </c>
      <c r="AD2108" s="21" t="str">
        <f t="shared" si="317"/>
        <v>6413-Redynamisation des bibliothèques villageoise</v>
      </c>
    </row>
    <row r="2109" spans="1:30" s="22" customFormat="1" ht="30" hidden="1" customHeight="1" x14ac:dyDescent="0.8">
      <c r="A2109" s="14">
        <v>6</v>
      </c>
      <c r="B2109" s="15">
        <v>64</v>
      </c>
      <c r="C2109" s="15">
        <v>641</v>
      </c>
      <c r="D2109" s="74">
        <v>6413</v>
      </c>
      <c r="E2109" s="14">
        <v>64131</v>
      </c>
      <c r="F2109" s="16" t="s">
        <v>2591</v>
      </c>
      <c r="G2109" s="21" t="s">
        <v>177</v>
      </c>
      <c r="H2109" s="17" t="s">
        <v>59</v>
      </c>
      <c r="I2109" s="56">
        <v>0</v>
      </c>
      <c r="J2109" s="56"/>
      <c r="K2109" s="56">
        <f>(15*12*1)*80.01%</f>
        <v>144.018</v>
      </c>
      <c r="L2109" s="56">
        <f>(15*12*1)*80.01%</f>
        <v>144.018</v>
      </c>
      <c r="M2109" s="56">
        <f>SUM(I2109:L2109)</f>
        <v>288.036</v>
      </c>
      <c r="N2109" s="56">
        <f>IF(OR(H2109="",H2109="sif",H2109="PM"),0,VLOOKUP(H2109,[5]CU!$C$4:$H$255,6,FALSE))</f>
        <v>0.8177777777777776</v>
      </c>
      <c r="O2109" s="56">
        <f>$N2109*I2109</f>
        <v>0</v>
      </c>
      <c r="P2109" s="56">
        <f>$N2109*J2109</f>
        <v>0</v>
      </c>
      <c r="Q2109" s="56">
        <f>$N2109*K2109</f>
        <v>117.77471999999997</v>
      </c>
      <c r="R2109" s="56">
        <f>$N2109*L2109</f>
        <v>117.77471999999997</v>
      </c>
      <c r="S2109" s="56">
        <f>SUM(O2109:R2109)</f>
        <v>235.54943999999995</v>
      </c>
      <c r="T2109" s="35" t="s">
        <v>56</v>
      </c>
      <c r="U2109" s="18" t="s">
        <v>330</v>
      </c>
      <c r="V2109" s="19" t="str">
        <f>IF(OR($H2109="",$H2109="sif",$H2109="PM"),"",VLOOKUP($H2109,[5]CU!$C$5:$J$255,8,FALSE))</f>
        <v>3. Dépenses de fonctionnement</v>
      </c>
      <c r="W2109" s="18" t="s">
        <v>331</v>
      </c>
      <c r="X2109" s="18" t="s">
        <v>222</v>
      </c>
      <c r="Y2109" s="19" t="s">
        <v>32</v>
      </c>
      <c r="Z2109" s="19" t="str">
        <f>A2109 &amp; "-" &amp; VLOOKUP(A2109,[4]PROGRAMMES!$E$1:$F$7,2,FALSE)</f>
        <v>6-Education et alphabétisation des adultes</v>
      </c>
      <c r="AA2109" s="19" t="str">
        <f>B2109 &amp; "-" &amp; VLOOKUP(B2109,[4]SOUSPROGRAMMES!$E$1:$F$44,2,FALSE)</f>
        <v xml:space="preserve">64-Développement de la Post-alphabétisation </v>
      </c>
      <c r="AB2109" s="19" t="str">
        <f>C2109 &amp; "-" &amp; VLOOKUP(C2109,[4]RESULTATS!$E$1:$F$176,2,FALSE)</f>
        <v xml:space="preserve">641-Promotion du développement de la production écrite en langues nationales </v>
      </c>
      <c r="AC2109" s="20" t="str">
        <f>D2109 &amp; "-" &amp; VLOOKUP(D2109,[4]STRATEGIES!$E$1:$F$504,2,FALSE)</f>
        <v>6413-Redynamisation des bibliothèques villageoise</v>
      </c>
      <c r="AD2109" s="21" t="str">
        <f t="shared" si="317"/>
        <v>64131-Etat des lieux des bibliothèques villageoises</v>
      </c>
    </row>
    <row r="2110" spans="1:30" s="22" customFormat="1" ht="30" customHeight="1" x14ac:dyDescent="0.8">
      <c r="A2110" s="14">
        <v>6</v>
      </c>
      <c r="B2110" s="15">
        <v>64</v>
      </c>
      <c r="C2110" s="15">
        <v>641</v>
      </c>
      <c r="D2110" s="74">
        <v>6413</v>
      </c>
      <c r="E2110" s="14">
        <v>64131</v>
      </c>
      <c r="F2110" s="16" t="s">
        <v>2591</v>
      </c>
      <c r="G2110" s="21" t="s">
        <v>177</v>
      </c>
      <c r="H2110" s="17" t="s">
        <v>59</v>
      </c>
      <c r="I2110" s="56">
        <v>0</v>
      </c>
      <c r="J2110" s="56"/>
      <c r="K2110" s="56">
        <f>(15*12*1)*19.99%</f>
        <v>35.981999999999999</v>
      </c>
      <c r="L2110" s="56">
        <f>(15*12*1)*19.99%</f>
        <v>35.981999999999999</v>
      </c>
      <c r="M2110" s="56">
        <f t="shared" si="323"/>
        <v>71.963999999999999</v>
      </c>
      <c r="N2110" s="56">
        <f>IF(OR(H2110="",H2110="sif",H2110="PM"),0,VLOOKUP(H2110,[5]CU!$C$4:$H$255,6,FALSE))</f>
        <v>0.8177777777777776</v>
      </c>
      <c r="O2110" s="56">
        <f t="shared" si="327"/>
        <v>0</v>
      </c>
      <c r="P2110" s="56">
        <f t="shared" si="327"/>
        <v>0</v>
      </c>
      <c r="Q2110" s="56">
        <f t="shared" si="327"/>
        <v>29.425279999999994</v>
      </c>
      <c r="R2110" s="56">
        <f t="shared" si="327"/>
        <v>29.425279999999994</v>
      </c>
      <c r="S2110" s="56">
        <f>SUM(O2110:R2110)</f>
        <v>58.850559999999987</v>
      </c>
      <c r="T2110" s="35" t="s">
        <v>118</v>
      </c>
      <c r="U2110" s="18" t="s">
        <v>330</v>
      </c>
      <c r="V2110" s="19" t="str">
        <f>IF(OR($H2110="",$H2110="sif",$H2110="PM"),"",VLOOKUP($H2110,[5]CU!$C$5:$J$255,8,FALSE))</f>
        <v>3. Dépenses de fonctionnement</v>
      </c>
      <c r="W2110" s="18" t="s">
        <v>331</v>
      </c>
      <c r="X2110" s="18" t="s">
        <v>222</v>
      </c>
      <c r="Y2110" s="19" t="s">
        <v>32</v>
      </c>
      <c r="Z2110" s="19" t="str">
        <f>A2110 &amp; "-" &amp; VLOOKUP(A2110,[4]PROGRAMMES!$E$1:$F$7,2,FALSE)</f>
        <v>6-Education et alphabétisation des adultes</v>
      </c>
      <c r="AA2110" s="19" t="str">
        <f>B2110 &amp; "-" &amp; VLOOKUP(B2110,[4]SOUSPROGRAMMES!$E$1:$F$44,2,FALSE)</f>
        <v xml:space="preserve">64-Développement de la Post-alphabétisation </v>
      </c>
      <c r="AB2110" s="19" t="str">
        <f>C2110 &amp; "-" &amp; VLOOKUP(C2110,[4]RESULTATS!$E$1:$F$176,2,FALSE)</f>
        <v xml:space="preserve">641-Promotion du développement de la production écrite en langues nationales </v>
      </c>
      <c r="AC2110" s="20" t="str">
        <f>D2110 &amp; "-" &amp; VLOOKUP(D2110,[4]STRATEGIES!$E$1:$F$504,2,FALSE)</f>
        <v>6413-Redynamisation des bibliothèques villageoise</v>
      </c>
      <c r="AD2110" s="21" t="str">
        <f t="shared" si="317"/>
        <v>64131-Etat des lieux des bibliothèques villageoises</v>
      </c>
    </row>
    <row r="2111" spans="1:30" s="22" customFormat="1" ht="30" hidden="1" customHeight="1" x14ac:dyDescent="0.8">
      <c r="A2111" s="14">
        <v>6</v>
      </c>
      <c r="B2111" s="15">
        <v>64</v>
      </c>
      <c r="C2111" s="15">
        <v>641</v>
      </c>
      <c r="D2111" s="74">
        <v>6413</v>
      </c>
      <c r="E2111" s="14">
        <v>64132</v>
      </c>
      <c r="F2111" s="16" t="s">
        <v>2592</v>
      </c>
      <c r="G2111" s="21" t="s">
        <v>88</v>
      </c>
      <c r="H2111" s="17" t="s">
        <v>55</v>
      </c>
      <c r="I2111" s="56">
        <v>0</v>
      </c>
      <c r="J2111" s="56">
        <v>1</v>
      </c>
      <c r="K2111" s="56">
        <v>1</v>
      </c>
      <c r="L2111" s="56">
        <v>1</v>
      </c>
      <c r="M2111" s="56">
        <f t="shared" si="323"/>
        <v>3</v>
      </c>
      <c r="N2111" s="56">
        <f>IF(OR(H2111="",H2111="sif",H2111="PM"),0,VLOOKUP(H2111,[5]CU!$C$4:$H$255,6,FALSE))</f>
        <v>0</v>
      </c>
      <c r="O2111" s="56"/>
      <c r="P2111" s="56"/>
      <c r="Q2111" s="56"/>
      <c r="R2111" s="56"/>
      <c r="S2111" s="56"/>
      <c r="T2111" s="35" t="s">
        <v>56</v>
      </c>
      <c r="U2111" s="18" t="s">
        <v>330</v>
      </c>
      <c r="V2111" s="19" t="str">
        <f>IF(OR($H2111="",$H2111="sif",$H2111="PM"),"",VLOOKUP($H2111,[5]CU!$C$5:$J$255,8,FALSE))</f>
        <v/>
      </c>
      <c r="W2111" s="18" t="s">
        <v>331</v>
      </c>
      <c r="X2111" s="18" t="s">
        <v>2593</v>
      </c>
      <c r="Y2111" s="19" t="s">
        <v>32</v>
      </c>
      <c r="Z2111" s="19" t="str">
        <f>A2111 &amp; "-" &amp; VLOOKUP(A2111,[4]PROGRAMMES!$E$1:$F$7,2,FALSE)</f>
        <v>6-Education et alphabétisation des adultes</v>
      </c>
      <c r="AA2111" s="19" t="str">
        <f>B2111 &amp; "-" &amp; VLOOKUP(B2111,[4]SOUSPROGRAMMES!$E$1:$F$44,2,FALSE)</f>
        <v xml:space="preserve">64-Développement de la Post-alphabétisation </v>
      </c>
      <c r="AB2111" s="19" t="str">
        <f>C2111 &amp; "-" &amp; VLOOKUP(C2111,[4]RESULTATS!$E$1:$F$176,2,FALSE)</f>
        <v xml:space="preserve">641-Promotion du développement de la production écrite en langues nationales </v>
      </c>
      <c r="AC2111" s="20" t="str">
        <f>D2111 &amp; "-" &amp; VLOOKUP(D2111,[4]STRATEGIES!$E$1:$F$504,2,FALSE)</f>
        <v>6413-Redynamisation des bibliothèques villageoise</v>
      </c>
      <c r="AD2111" s="21" t="str">
        <f t="shared" si="317"/>
        <v>64132-DéFinitions des besoins prioritaires</v>
      </c>
    </row>
    <row r="2112" spans="1:30" s="22" customFormat="1" ht="30" hidden="1" customHeight="1" x14ac:dyDescent="0.8">
      <c r="A2112" s="14">
        <v>6</v>
      </c>
      <c r="B2112" s="15">
        <v>64</v>
      </c>
      <c r="C2112" s="15">
        <v>641</v>
      </c>
      <c r="D2112" s="74">
        <v>6413</v>
      </c>
      <c r="E2112" s="14">
        <v>64133</v>
      </c>
      <c r="F2112" s="16" t="s">
        <v>2594</v>
      </c>
      <c r="G2112" s="21" t="s">
        <v>2595</v>
      </c>
      <c r="H2112" s="17" t="s">
        <v>2596</v>
      </c>
      <c r="I2112" s="56">
        <v>0</v>
      </c>
      <c r="J2112" s="56"/>
      <c r="K2112" s="56"/>
      <c r="L2112" s="56">
        <f>(50*1*1)*80%</f>
        <v>40</v>
      </c>
      <c r="M2112" s="56">
        <f>SUM(I2112:L2112)</f>
        <v>40</v>
      </c>
      <c r="N2112" s="56">
        <f>IF(OR(H2112="",H2112="sif",H2112="PM"),0,VLOOKUP(H2112,[5]CU!$C$4:$H$255,6,FALSE))</f>
        <v>69</v>
      </c>
      <c r="O2112" s="56">
        <f>$N2112*I2112</f>
        <v>0</v>
      </c>
      <c r="P2112" s="56">
        <f>$N2112*J2112</f>
        <v>0</v>
      </c>
      <c r="Q2112" s="56">
        <f>$N2112*K2112</f>
        <v>0</v>
      </c>
      <c r="R2112" s="56">
        <f>$N2112*L2112</f>
        <v>2760</v>
      </c>
      <c r="S2112" s="56">
        <f>SUM(O2112:R2112)</f>
        <v>2760</v>
      </c>
      <c r="T2112" s="35" t="s">
        <v>56</v>
      </c>
      <c r="U2112" s="18" t="s">
        <v>330</v>
      </c>
      <c r="V2112" s="19" t="str">
        <f>IF(OR($H2112="",$H2112="sif",$H2112="PM"),"",VLOOKUP($H2112,[5]CU!$C$5:$J$255,8,FALSE))</f>
        <v>5. Investissement</v>
      </c>
      <c r="W2112" s="18" t="s">
        <v>331</v>
      </c>
      <c r="X2112" s="18" t="s">
        <v>98</v>
      </c>
      <c r="Y2112" s="19" t="s">
        <v>32</v>
      </c>
      <c r="Z2112" s="19" t="str">
        <f>A2112 &amp; "-" &amp; VLOOKUP(A2112,[4]PROGRAMMES!$E$1:$F$7,2,FALSE)</f>
        <v>6-Education et alphabétisation des adultes</v>
      </c>
      <c r="AA2112" s="19" t="str">
        <f>B2112 &amp; "-" &amp; VLOOKUP(B2112,[4]SOUSPROGRAMMES!$E$1:$F$44,2,FALSE)</f>
        <v xml:space="preserve">64-Développement de la Post-alphabétisation </v>
      </c>
      <c r="AB2112" s="19" t="str">
        <f>C2112 &amp; "-" &amp; VLOOKUP(C2112,[4]RESULTATS!$E$1:$F$176,2,FALSE)</f>
        <v xml:space="preserve">641-Promotion du développement de la production écrite en langues nationales </v>
      </c>
      <c r="AC2112" s="20" t="str">
        <f>D2112 &amp; "-" &amp; VLOOKUP(D2112,[4]STRATEGIES!$E$1:$F$504,2,FALSE)</f>
        <v>6413-Redynamisation des bibliothèques villageoise</v>
      </c>
      <c r="AD2112" s="21" t="str">
        <f t="shared" si="317"/>
        <v>64133-construction de nouvelles bibliothèques villageoise</v>
      </c>
    </row>
    <row r="2113" spans="1:30" s="22" customFormat="1" ht="30" customHeight="1" x14ac:dyDescent="0.8">
      <c r="A2113" s="14">
        <v>6</v>
      </c>
      <c r="B2113" s="15">
        <v>64</v>
      </c>
      <c r="C2113" s="15">
        <v>641</v>
      </c>
      <c r="D2113" s="74">
        <v>6413</v>
      </c>
      <c r="E2113" s="14">
        <v>64133</v>
      </c>
      <c r="F2113" s="16" t="s">
        <v>2594</v>
      </c>
      <c r="G2113" s="21" t="s">
        <v>2595</v>
      </c>
      <c r="H2113" s="17" t="s">
        <v>2596</v>
      </c>
      <c r="I2113" s="56">
        <v>0</v>
      </c>
      <c r="J2113" s="56"/>
      <c r="K2113" s="56"/>
      <c r="L2113" s="56">
        <f>(50*1*1)*20%</f>
        <v>10</v>
      </c>
      <c r="M2113" s="56">
        <f t="shared" si="323"/>
        <v>10</v>
      </c>
      <c r="N2113" s="56">
        <f>IF(OR(H2113="",H2113="sif",H2113="PM"),0,VLOOKUP(H2113,[5]CU!$C$4:$H$255,6,FALSE))</f>
        <v>69</v>
      </c>
      <c r="O2113" s="56">
        <f t="shared" ref="O2113:R2115" si="328">$N2113*I2113</f>
        <v>0</v>
      </c>
      <c r="P2113" s="56">
        <f t="shared" si="328"/>
        <v>0</v>
      </c>
      <c r="Q2113" s="56">
        <f t="shared" si="328"/>
        <v>0</v>
      </c>
      <c r="R2113" s="56">
        <f t="shared" si="328"/>
        <v>690</v>
      </c>
      <c r="S2113" s="56">
        <f>SUM(O2113:R2113)</f>
        <v>690</v>
      </c>
      <c r="T2113" s="35" t="s">
        <v>118</v>
      </c>
      <c r="U2113" s="18" t="s">
        <v>330</v>
      </c>
      <c r="V2113" s="19" t="str">
        <f>IF(OR($H2113="",$H2113="sif",$H2113="PM"),"",VLOOKUP($H2113,[5]CU!$C$5:$J$255,8,FALSE))</f>
        <v>5. Investissement</v>
      </c>
      <c r="W2113" s="18" t="s">
        <v>331</v>
      </c>
      <c r="X2113" s="18" t="s">
        <v>98</v>
      </c>
      <c r="Y2113" s="19" t="s">
        <v>32</v>
      </c>
      <c r="Z2113" s="19" t="str">
        <f>A2113 &amp; "-" &amp; VLOOKUP(A2113,[4]PROGRAMMES!$E$1:$F$7,2,FALSE)</f>
        <v>6-Education et alphabétisation des adultes</v>
      </c>
      <c r="AA2113" s="19" t="str">
        <f>B2113 &amp; "-" &amp; VLOOKUP(B2113,[4]SOUSPROGRAMMES!$E$1:$F$44,2,FALSE)</f>
        <v xml:space="preserve">64-Développement de la Post-alphabétisation </v>
      </c>
      <c r="AB2113" s="19" t="str">
        <f>C2113 &amp; "-" &amp; VLOOKUP(C2113,[4]RESULTATS!$E$1:$F$176,2,FALSE)</f>
        <v xml:space="preserve">641-Promotion du développement de la production écrite en langues nationales </v>
      </c>
      <c r="AC2113" s="20" t="str">
        <f>D2113 &amp; "-" &amp; VLOOKUP(D2113,[4]STRATEGIES!$E$1:$F$504,2,FALSE)</f>
        <v>6413-Redynamisation des bibliothèques villageoise</v>
      </c>
      <c r="AD2113" s="21" t="str">
        <f t="shared" si="317"/>
        <v>64133-construction de nouvelles bibliothèques villageoise</v>
      </c>
    </row>
    <row r="2114" spans="1:30" s="22" customFormat="1" ht="30" hidden="1" customHeight="1" x14ac:dyDescent="0.8">
      <c r="A2114" s="14">
        <v>6</v>
      </c>
      <c r="B2114" s="15">
        <v>64</v>
      </c>
      <c r="C2114" s="15">
        <v>641</v>
      </c>
      <c r="D2114" s="74">
        <v>6413</v>
      </c>
      <c r="E2114" s="14">
        <v>64134</v>
      </c>
      <c r="F2114" s="16" t="s">
        <v>2597</v>
      </c>
      <c r="G2114" s="21" t="s">
        <v>2595</v>
      </c>
      <c r="H2114" s="17" t="s">
        <v>2598</v>
      </c>
      <c r="I2114" s="56">
        <v>0</v>
      </c>
      <c r="J2114" s="56"/>
      <c r="K2114" s="56"/>
      <c r="L2114" s="56">
        <f>50*1*1</f>
        <v>50</v>
      </c>
      <c r="M2114" s="56">
        <f t="shared" si="323"/>
        <v>50</v>
      </c>
      <c r="N2114" s="56">
        <f>IF(OR(H2114="",H2114="sif",H2114="PM"),0,VLOOKUP(H2114,[5]CU!$C$4:$H$255,6,FALSE))</f>
        <v>45</v>
      </c>
      <c r="O2114" s="56">
        <f t="shared" si="328"/>
        <v>0</v>
      </c>
      <c r="P2114" s="56">
        <f t="shared" si="328"/>
        <v>0</v>
      </c>
      <c r="Q2114" s="56">
        <f t="shared" si="328"/>
        <v>0</v>
      </c>
      <c r="R2114" s="56">
        <f t="shared" si="328"/>
        <v>2250</v>
      </c>
      <c r="S2114" s="56">
        <f>SUM(O2114:R2114)</f>
        <v>2250</v>
      </c>
      <c r="T2114" s="35" t="s">
        <v>56</v>
      </c>
      <c r="U2114" s="18" t="s">
        <v>330</v>
      </c>
      <c r="V2114" s="19" t="str">
        <f>IF(OR($H2114="",$H2114="sif",$H2114="PM"),"",VLOOKUP($H2114,[5]CU!$C$5:$J$255,8,FALSE))</f>
        <v>5. Investissement</v>
      </c>
      <c r="W2114" s="18" t="s">
        <v>331</v>
      </c>
      <c r="X2114" s="18" t="s">
        <v>98</v>
      </c>
      <c r="Y2114" s="19" t="s">
        <v>32</v>
      </c>
      <c r="Z2114" s="19" t="str">
        <f>A2114 &amp; "-" &amp; VLOOKUP(A2114,[4]PROGRAMMES!$E$1:$F$7,2,FALSE)</f>
        <v>6-Education et alphabétisation des adultes</v>
      </c>
      <c r="AA2114" s="19" t="str">
        <f>B2114 &amp; "-" &amp; VLOOKUP(B2114,[4]SOUSPROGRAMMES!$E$1:$F$44,2,FALSE)</f>
        <v xml:space="preserve">64-Développement de la Post-alphabétisation </v>
      </c>
      <c r="AB2114" s="19" t="str">
        <f>C2114 &amp; "-" &amp; VLOOKUP(C2114,[4]RESULTATS!$E$1:$F$176,2,FALSE)</f>
        <v xml:space="preserve">641-Promotion du développement de la production écrite en langues nationales </v>
      </c>
      <c r="AC2114" s="20" t="str">
        <f>D2114 &amp; "-" &amp; VLOOKUP(D2114,[4]STRATEGIES!$E$1:$F$504,2,FALSE)</f>
        <v>6413-Redynamisation des bibliothèques villageoise</v>
      </c>
      <c r="AD2114" s="21" t="str">
        <f t="shared" si="317"/>
        <v>64134-Equipement des bibliothèques villageoise</v>
      </c>
    </row>
    <row r="2115" spans="1:30" s="22" customFormat="1" ht="45" hidden="1" customHeight="1" x14ac:dyDescent="0.8">
      <c r="A2115" s="14">
        <v>6</v>
      </c>
      <c r="B2115" s="15">
        <v>64</v>
      </c>
      <c r="C2115" s="15">
        <v>641</v>
      </c>
      <c r="D2115" s="74">
        <v>6413</v>
      </c>
      <c r="E2115" s="14">
        <v>64135</v>
      </c>
      <c r="F2115" s="16" t="s">
        <v>2599</v>
      </c>
      <c r="G2115" s="21" t="s">
        <v>2600</v>
      </c>
      <c r="H2115" s="17" t="s">
        <v>2601</v>
      </c>
      <c r="I2115" s="56">
        <v>0</v>
      </c>
      <c r="J2115" s="56"/>
      <c r="K2115" s="56"/>
      <c r="L2115" s="56">
        <f>20*50*1</f>
        <v>1000</v>
      </c>
      <c r="M2115" s="56">
        <f t="shared" si="323"/>
        <v>1000</v>
      </c>
      <c r="N2115" s="56">
        <f>IF(OR(H2115="",H2115="sif",H2115="PM"),0,VLOOKUP(H2115,[5]CU!$C$4:$H$255,6,FALSE))</f>
        <v>0.27500000000000002</v>
      </c>
      <c r="O2115" s="56">
        <f t="shared" si="328"/>
        <v>0</v>
      </c>
      <c r="P2115" s="56">
        <f t="shared" si="328"/>
        <v>0</v>
      </c>
      <c r="Q2115" s="56">
        <f t="shared" si="328"/>
        <v>0</v>
      </c>
      <c r="R2115" s="56">
        <f t="shared" si="328"/>
        <v>275</v>
      </c>
      <c r="S2115" s="56">
        <f>SUM(O2115:R2115)</f>
        <v>275</v>
      </c>
      <c r="T2115" s="35" t="s">
        <v>56</v>
      </c>
      <c r="U2115" s="18" t="s">
        <v>330</v>
      </c>
      <c r="V2115" s="19" t="str">
        <f>IF(OR($H2115="",$H2115="sif",$H2115="PM"),"",VLOOKUP($H2115,[5]CU!$C$5:$J$255,8,FALSE))</f>
        <v>3. Manuels scolaires et matériels pédagogiques</v>
      </c>
      <c r="W2115" s="18" t="s">
        <v>331</v>
      </c>
      <c r="X2115" s="18" t="s">
        <v>521</v>
      </c>
      <c r="Y2115" s="19" t="s">
        <v>32</v>
      </c>
      <c r="Z2115" s="19" t="str">
        <f>A2115 &amp; "-" &amp; VLOOKUP(A2115,[4]PROGRAMMES!$E$1:$F$7,2,FALSE)</f>
        <v>6-Education et alphabétisation des adultes</v>
      </c>
      <c r="AA2115" s="19" t="str">
        <f>B2115 &amp; "-" &amp; VLOOKUP(B2115,[4]SOUSPROGRAMMES!$E$1:$F$44,2,FALSE)</f>
        <v xml:space="preserve">64-Développement de la Post-alphabétisation </v>
      </c>
      <c r="AB2115" s="19" t="str">
        <f>C2115 &amp; "-" &amp; VLOOKUP(C2115,[4]RESULTATS!$E$1:$F$176,2,FALSE)</f>
        <v xml:space="preserve">641-Promotion du développement de la production écrite en langues nationales </v>
      </c>
      <c r="AC2115" s="20" t="str">
        <f>D2115 &amp; "-" &amp; VLOOKUP(D2115,[4]STRATEGIES!$E$1:$F$504,2,FALSE)</f>
        <v>6413-Redynamisation des bibliothèques villageoise</v>
      </c>
      <c r="AD2115" s="21" t="str">
        <f t="shared" si="317"/>
        <v>64135-Reproduction et distribution des livrets et des productions en langues nationales</v>
      </c>
    </row>
    <row r="2116" spans="1:30" s="22" customFormat="1" ht="45" customHeight="1" x14ac:dyDescent="0.8">
      <c r="A2116" s="14">
        <v>6</v>
      </c>
      <c r="B2116" s="15">
        <v>64</v>
      </c>
      <c r="C2116" s="15">
        <v>642</v>
      </c>
      <c r="D2116" s="74">
        <v>642</v>
      </c>
      <c r="E2116" s="14">
        <v>642</v>
      </c>
      <c r="F2116" s="16" t="s">
        <v>2602</v>
      </c>
      <c r="G2116" s="17"/>
      <c r="H2116" s="17"/>
      <c r="I2116" s="56">
        <v>0</v>
      </c>
      <c r="J2116" s="56"/>
      <c r="K2116" s="56"/>
      <c r="L2116" s="56"/>
      <c r="M2116" s="56"/>
      <c r="N2116" s="56"/>
      <c r="O2116" s="56"/>
      <c r="P2116" s="56"/>
      <c r="Q2116" s="56"/>
      <c r="R2116" s="56"/>
      <c r="S2116" s="56"/>
      <c r="T2116" s="33"/>
      <c r="U2116" s="18"/>
      <c r="V2116" s="19"/>
      <c r="W2116" s="18"/>
      <c r="X2116" s="18"/>
      <c r="Y2116" s="18"/>
      <c r="Z2116" s="19" t="str">
        <f>A2116 &amp; "-" &amp; VLOOKUP(A2116,[4]PROGRAMMES!$E$1:$F$7,2,FALSE)</f>
        <v>6-Education et alphabétisation des adultes</v>
      </c>
      <c r="AA2116" s="19" t="str">
        <f>B2116 &amp; "-" &amp; VLOOKUP(B2116,[4]SOUSPROGRAMMES!$E$1:$F$44,2,FALSE)</f>
        <v xml:space="preserve">64-Développement de la Post-alphabétisation </v>
      </c>
      <c r="AB2116" s="19" t="str">
        <f>C2116 &amp; "-" &amp; VLOOKUP(C2116,[4]RESULTATS!$E$1:$F$176,2,FALSE)</f>
        <v>642- Les activités génératrices de revenus sont encouragées et soutenues (autour des structures d'alphabétisation)</v>
      </c>
      <c r="AC2116" s="20" t="str">
        <f>D2116 &amp; "-" &amp; VLOOKUP(D2116,[4]STRATEGIES!$E$1:$F$504,2,FALSE)</f>
        <v>642- Les activités génératrices de revenus sont encouragées et soutenues (autour des structures d'alphabétisation)</v>
      </c>
      <c r="AD2116" s="21" t="str">
        <f t="shared" si="317"/>
        <v>642- Les activités génératrices de revenus sont encouragées et soutenues (autour des structures d'alphabétisation)</v>
      </c>
    </row>
    <row r="2117" spans="1:30" s="22" customFormat="1" ht="45" customHeight="1" x14ac:dyDescent="0.8">
      <c r="A2117" s="14">
        <v>6</v>
      </c>
      <c r="B2117" s="15">
        <v>64</v>
      </c>
      <c r="C2117" s="15">
        <v>642</v>
      </c>
      <c r="D2117" s="74">
        <v>6421</v>
      </c>
      <c r="E2117" s="14">
        <v>6421</v>
      </c>
      <c r="F2117" s="16" t="s">
        <v>2603</v>
      </c>
      <c r="G2117" s="17"/>
      <c r="H2117" s="17"/>
      <c r="I2117" s="56">
        <v>0</v>
      </c>
      <c r="J2117" s="56"/>
      <c r="K2117" s="56"/>
      <c r="L2117" s="56"/>
      <c r="M2117" s="56"/>
      <c r="N2117" s="56"/>
      <c r="O2117" s="56"/>
      <c r="P2117" s="56"/>
      <c r="Q2117" s="56"/>
      <c r="R2117" s="56"/>
      <c r="S2117" s="56"/>
      <c r="T2117" s="33"/>
      <c r="U2117" s="18"/>
      <c r="V2117" s="19"/>
      <c r="W2117" s="18"/>
      <c r="X2117" s="18"/>
      <c r="Y2117" s="18"/>
      <c r="Z2117" s="19" t="str">
        <f>A2117 &amp; "-" &amp; VLOOKUP(A2117,[4]PROGRAMMES!$E$1:$F$7,2,FALSE)</f>
        <v>6-Education et alphabétisation des adultes</v>
      </c>
      <c r="AA2117" s="19" t="str">
        <f>B2117 &amp; "-" &amp; VLOOKUP(B2117,[4]SOUSPROGRAMMES!$E$1:$F$44,2,FALSE)</f>
        <v xml:space="preserve">64-Développement de la Post-alphabétisation </v>
      </c>
      <c r="AB2117" s="19" t="str">
        <f>C2117 &amp; "-" &amp; VLOOKUP(C2117,[4]RESULTATS!$E$1:$F$176,2,FALSE)</f>
        <v>642- Les activités génératrices de revenus sont encouragées et soutenues (autour des structures d'alphabétisation)</v>
      </c>
      <c r="AC2117" s="20" t="str">
        <f>D2117 &amp; "-" &amp; VLOOKUP(D2117,[4]STRATEGIES!$E$1:$F$504,2,FALSE)</f>
        <v>6421-Promotion de l'organisation des alphabétisés et des alphabétiseurs en Groupement de métier</v>
      </c>
      <c r="AD2117" s="21" t="str">
        <f t="shared" si="317"/>
        <v>6421-Promotion de l'organisation des alphabétisés et des alphabétiseurs en Groupement de métier</v>
      </c>
    </row>
    <row r="2118" spans="1:30" s="22" customFormat="1" ht="45" hidden="1" customHeight="1" x14ac:dyDescent="0.8">
      <c r="A2118" s="14">
        <v>6</v>
      </c>
      <c r="B2118" s="15">
        <v>64</v>
      </c>
      <c r="C2118" s="15">
        <v>642</v>
      </c>
      <c r="D2118" s="74">
        <v>6421</v>
      </c>
      <c r="E2118" s="14">
        <v>64211</v>
      </c>
      <c r="F2118" s="16" t="s">
        <v>2604</v>
      </c>
      <c r="G2118" s="21" t="s">
        <v>88</v>
      </c>
      <c r="H2118" s="17" t="s">
        <v>55</v>
      </c>
      <c r="I2118" s="56">
        <v>0</v>
      </c>
      <c r="J2118" s="56"/>
      <c r="K2118" s="56">
        <v>1</v>
      </c>
      <c r="L2118" s="56">
        <v>1</v>
      </c>
      <c r="M2118" s="56">
        <f t="shared" si="323"/>
        <v>2</v>
      </c>
      <c r="N2118" s="56">
        <f>IF(OR(H2118="",H2118="sif",H2118="PM"),0,VLOOKUP(H2118,[5]CU!$C$4:$H$255,6,FALSE))</f>
        <v>0</v>
      </c>
      <c r="O2118" s="56"/>
      <c r="P2118" s="56"/>
      <c r="Q2118" s="56"/>
      <c r="R2118" s="56"/>
      <c r="S2118" s="56"/>
      <c r="T2118" s="35" t="s">
        <v>56</v>
      </c>
      <c r="U2118" s="18" t="s">
        <v>330</v>
      </c>
      <c r="V2118" s="19" t="str">
        <f>IF(OR($H2118="",$H2118="sif",$H2118="PM"),"",VLOOKUP($H2118,[5]CU!$C$5:$J$255,8,FALSE))</f>
        <v/>
      </c>
      <c r="W2118" s="18" t="s">
        <v>331</v>
      </c>
      <c r="X2118" s="18" t="s">
        <v>222</v>
      </c>
      <c r="Y2118" s="19" t="s">
        <v>32</v>
      </c>
      <c r="Z2118" s="19" t="str">
        <f>A2118 &amp; "-" &amp; VLOOKUP(A2118,[4]PROGRAMMES!$E$1:$F$7,2,FALSE)</f>
        <v>6-Education et alphabétisation des adultes</v>
      </c>
      <c r="AA2118" s="19" t="str">
        <f>B2118 &amp; "-" &amp; VLOOKUP(B2118,[4]SOUSPROGRAMMES!$E$1:$F$44,2,FALSE)</f>
        <v xml:space="preserve">64-Développement de la Post-alphabétisation </v>
      </c>
      <c r="AB2118" s="19" t="str">
        <f>C2118 &amp; "-" &amp; VLOOKUP(C2118,[4]RESULTATS!$E$1:$F$176,2,FALSE)</f>
        <v>642- Les activités génératrices de revenus sont encouragées et soutenues (autour des structures d'alphabétisation)</v>
      </c>
      <c r="AC2118" s="20" t="str">
        <f>D2118 &amp; "-" &amp; VLOOKUP(D2118,[4]STRATEGIES!$E$1:$F$504,2,FALSE)</f>
        <v>6421-Promotion de l'organisation des alphabétisés et des alphabétiseurs en Groupement de métier</v>
      </c>
      <c r="AD2118" s="21" t="str">
        <f t="shared" si="317"/>
        <v xml:space="preserve">64211-Regroupement des néo alphabètes et des alphabétiseurs par groupement de métiers </v>
      </c>
    </row>
    <row r="2119" spans="1:30" s="22" customFormat="1" ht="45" hidden="1" customHeight="1" x14ac:dyDescent="0.8">
      <c r="A2119" s="14">
        <v>6</v>
      </c>
      <c r="B2119" s="15">
        <v>64</v>
      </c>
      <c r="C2119" s="15">
        <v>642</v>
      </c>
      <c r="D2119" s="74">
        <v>6421</v>
      </c>
      <c r="E2119" s="14">
        <v>64212</v>
      </c>
      <c r="F2119" s="16" t="s">
        <v>2605</v>
      </c>
      <c r="G2119" s="21" t="s">
        <v>2606</v>
      </c>
      <c r="H2119" s="17" t="s">
        <v>2607</v>
      </c>
      <c r="I2119" s="56">
        <v>0</v>
      </c>
      <c r="J2119" s="56"/>
      <c r="K2119" s="56">
        <v>50</v>
      </c>
      <c r="L2119" s="56">
        <v>80</v>
      </c>
      <c r="M2119" s="56">
        <f t="shared" si="323"/>
        <v>130</v>
      </c>
      <c r="N2119" s="56">
        <f>IF(OR(H2119="",H2119="sif",H2119="PM"),0,VLOOKUP(H2119,[5]CU!$C$4:$H$255,6,FALSE))</f>
        <v>20.175000000000001</v>
      </c>
      <c r="O2119" s="56">
        <f t="shared" ref="O2119:R2127" si="329">$N2119*I2119</f>
        <v>0</v>
      </c>
      <c r="P2119" s="56">
        <f t="shared" si="329"/>
        <v>0</v>
      </c>
      <c r="Q2119" s="56">
        <f t="shared" si="329"/>
        <v>1008.75</v>
      </c>
      <c r="R2119" s="56">
        <f t="shared" si="329"/>
        <v>1614</v>
      </c>
      <c r="S2119" s="56">
        <f>SUM(O2119:R2119)</f>
        <v>2622.75</v>
      </c>
      <c r="T2119" s="35" t="s">
        <v>56</v>
      </c>
      <c r="U2119" s="18" t="s">
        <v>330</v>
      </c>
      <c r="V2119" s="19" t="str">
        <f>IF(OR($H2119="",$H2119="sif",$H2119="PM"),"",VLOOKUP($H2119,[5]CU!$C$5:$J$255,8,FALSE))</f>
        <v>4. Transferts et subventions</v>
      </c>
      <c r="W2119" s="18" t="s">
        <v>331</v>
      </c>
      <c r="X2119" s="18" t="s">
        <v>521</v>
      </c>
      <c r="Y2119" s="19" t="s">
        <v>32</v>
      </c>
      <c r="Z2119" s="19" t="str">
        <f>A2119 &amp; "-" &amp; VLOOKUP(A2119,[4]PROGRAMMES!$E$1:$F$7,2,FALSE)</f>
        <v>6-Education et alphabétisation des adultes</v>
      </c>
      <c r="AA2119" s="19" t="str">
        <f>B2119 &amp; "-" &amp; VLOOKUP(B2119,[4]SOUSPROGRAMMES!$E$1:$F$44,2,FALSE)</f>
        <v xml:space="preserve">64-Développement de la Post-alphabétisation </v>
      </c>
      <c r="AB2119" s="19" t="str">
        <f>C2119 &amp; "-" &amp; VLOOKUP(C2119,[4]RESULTATS!$E$1:$F$176,2,FALSE)</f>
        <v>642- Les activités génératrices de revenus sont encouragées et soutenues (autour des structures d'alphabétisation)</v>
      </c>
      <c r="AC2119" s="20" t="str">
        <f>D2119 &amp; "-" &amp; VLOOKUP(D2119,[4]STRATEGIES!$E$1:$F$504,2,FALSE)</f>
        <v>6421-Promotion de l'organisation des alphabétisés et des alphabétiseurs en Groupement de métier</v>
      </c>
      <c r="AD2119" s="21" t="str">
        <f t="shared" ref="AD2119:AD2136" si="330">E2119 &amp; "-" &amp; F2119</f>
        <v>64212-Financement d'AGR en faveur de ces groupements</v>
      </c>
    </row>
    <row r="2120" spans="1:30" s="22" customFormat="1" ht="45" customHeight="1" x14ac:dyDescent="0.8">
      <c r="A2120" s="14">
        <v>6</v>
      </c>
      <c r="B2120" s="15">
        <v>64</v>
      </c>
      <c r="C2120" s="15">
        <v>642</v>
      </c>
      <c r="D2120" s="74">
        <v>6422</v>
      </c>
      <c r="E2120" s="14">
        <v>6422</v>
      </c>
      <c r="F2120" s="16" t="s">
        <v>2608</v>
      </c>
      <c r="G2120" s="17"/>
      <c r="H2120" s="17"/>
      <c r="I2120" s="56">
        <v>0</v>
      </c>
      <c r="J2120" s="56"/>
      <c r="K2120" s="56"/>
      <c r="L2120" s="56"/>
      <c r="M2120" s="56"/>
      <c r="N2120" s="56"/>
      <c r="O2120" s="56"/>
      <c r="P2120" s="56"/>
      <c r="Q2120" s="56"/>
      <c r="R2120" s="56"/>
      <c r="S2120" s="56"/>
      <c r="T2120" s="33"/>
      <c r="U2120" s="18"/>
      <c r="V2120" s="19"/>
      <c r="W2120" s="18"/>
      <c r="X2120" s="18"/>
      <c r="Y2120" s="18"/>
      <c r="Z2120" s="19" t="str">
        <f>A2120 &amp; "-" &amp; VLOOKUP(A2120,[4]PROGRAMMES!$E$1:$F$7,2,FALSE)</f>
        <v>6-Education et alphabétisation des adultes</v>
      </c>
      <c r="AA2120" s="19" t="str">
        <f>B2120 &amp; "-" &amp; VLOOKUP(B2120,[4]SOUSPROGRAMMES!$E$1:$F$44,2,FALSE)</f>
        <v xml:space="preserve">64-Développement de la Post-alphabétisation </v>
      </c>
      <c r="AB2120" s="19" t="str">
        <f>C2120 &amp; "-" &amp; VLOOKUP(C2120,[4]RESULTATS!$E$1:$F$176,2,FALSE)</f>
        <v>642- Les activités génératrices de revenus sont encouragées et soutenues (autour des structures d'alphabétisation)</v>
      </c>
      <c r="AC2120" s="20" t="str">
        <f>D2120 &amp; "-" &amp; VLOOKUP(D2120,[4]STRATEGIES!$E$1:$F$504,2,FALSE)</f>
        <v>6422-Développement de modules de formation en matière de gestion financière, organisation paysanne et communication et formation des membres des groupements</v>
      </c>
      <c r="AD2120" s="21" t="str">
        <f t="shared" si="330"/>
        <v>6422-Développement de modules de formation en matière de gestion Financière, organisation paysanne et communication et formation des membres des groupements</v>
      </c>
    </row>
    <row r="2121" spans="1:30" s="22" customFormat="1" ht="45" hidden="1" customHeight="1" x14ac:dyDescent="0.8">
      <c r="A2121" s="14">
        <v>6</v>
      </c>
      <c r="B2121" s="15">
        <v>64</v>
      </c>
      <c r="C2121" s="15">
        <v>642</v>
      </c>
      <c r="D2121" s="74">
        <v>6422</v>
      </c>
      <c r="E2121" s="14">
        <v>64221</v>
      </c>
      <c r="F2121" s="16" t="s">
        <v>2609</v>
      </c>
      <c r="G2121" s="21" t="s">
        <v>298</v>
      </c>
      <c r="H2121" s="17" t="s">
        <v>66</v>
      </c>
      <c r="I2121" s="56">
        <v>0</v>
      </c>
      <c r="J2121" s="56"/>
      <c r="K2121" s="56">
        <f>7*3*1</f>
        <v>21</v>
      </c>
      <c r="L2121" s="56">
        <f>7*3*1</f>
        <v>21</v>
      </c>
      <c r="M2121" s="56">
        <f t="shared" si="323"/>
        <v>42</v>
      </c>
      <c r="N2121" s="56">
        <f>IF(OR(H2121="",H2121="sif",H2121="PM"),0,VLOOKUP(H2121,[5]CU!$C$4:$H$255,6,FALSE))</f>
        <v>0.255</v>
      </c>
      <c r="O2121" s="56">
        <f t="shared" si="329"/>
        <v>0</v>
      </c>
      <c r="P2121" s="56">
        <f t="shared" si="329"/>
        <v>0</v>
      </c>
      <c r="Q2121" s="56">
        <f t="shared" si="329"/>
        <v>5.3550000000000004</v>
      </c>
      <c r="R2121" s="56">
        <f t="shared" si="329"/>
        <v>5.3550000000000004</v>
      </c>
      <c r="S2121" s="56">
        <f>SUM(O2121:R2121)</f>
        <v>10.71</v>
      </c>
      <c r="T2121" s="35" t="s">
        <v>56</v>
      </c>
      <c r="U2121" s="18" t="s">
        <v>330</v>
      </c>
      <c r="V2121" s="19" t="str">
        <f>IF(OR($H2121="",$H2121="sif",$H2121="PM"),"",VLOOKUP($H2121,[5]CU!$C$5:$J$255,8,FALSE))</f>
        <v>3. Dépenses de fonctionnement</v>
      </c>
      <c r="W2121" s="18" t="s">
        <v>331</v>
      </c>
      <c r="X2121" s="18" t="s">
        <v>331</v>
      </c>
      <c r="Y2121" s="19" t="s">
        <v>32</v>
      </c>
      <c r="Z2121" s="19" t="str">
        <f>A2121 &amp; "-" &amp; VLOOKUP(A2121,[4]PROGRAMMES!$E$1:$F$7,2,FALSE)</f>
        <v>6-Education et alphabétisation des adultes</v>
      </c>
      <c r="AA2121" s="19" t="str">
        <f>B2121 &amp; "-" &amp; VLOOKUP(B2121,[4]SOUSPROGRAMMES!$E$1:$F$44,2,FALSE)</f>
        <v xml:space="preserve">64-Développement de la Post-alphabétisation </v>
      </c>
      <c r="AB2121" s="19" t="str">
        <f>C2121 &amp; "-" &amp; VLOOKUP(C2121,[4]RESULTATS!$E$1:$F$176,2,FALSE)</f>
        <v>642- Les activités génératrices de revenus sont encouragées et soutenues (autour des structures d'alphabétisation)</v>
      </c>
      <c r="AC2121" s="20" t="str">
        <f>D2121 &amp; "-" &amp; VLOOKUP(D2121,[4]STRATEGIES!$E$1:$F$504,2,FALSE)</f>
        <v>6422-Développement de modules de formation en matière de gestion financière, organisation paysanne et communication et formation des membres des groupements</v>
      </c>
      <c r="AD2121" s="21" t="str">
        <f t="shared" si="330"/>
        <v>64221-Conception et élaboration de documents de gestion en faveur des groupements mis en place</v>
      </c>
    </row>
    <row r="2122" spans="1:30" s="22" customFormat="1" ht="45" hidden="1" customHeight="1" x14ac:dyDescent="0.8">
      <c r="A2122" s="14">
        <v>6</v>
      </c>
      <c r="B2122" s="15">
        <v>64</v>
      </c>
      <c r="C2122" s="15">
        <v>642</v>
      </c>
      <c r="D2122" s="74">
        <v>6422</v>
      </c>
      <c r="E2122" s="14">
        <v>64222</v>
      </c>
      <c r="F2122" s="16" t="s">
        <v>2610</v>
      </c>
      <c r="G2122" s="21" t="s">
        <v>298</v>
      </c>
      <c r="H2122" s="17" t="s">
        <v>301</v>
      </c>
      <c r="I2122" s="56">
        <v>0</v>
      </c>
      <c r="J2122" s="56"/>
      <c r="K2122" s="56">
        <f>3*K2119*3</f>
        <v>450</v>
      </c>
      <c r="L2122" s="56">
        <f>3*L2119*3</f>
        <v>720</v>
      </c>
      <c r="M2122" s="56">
        <f t="shared" si="323"/>
        <v>1170</v>
      </c>
      <c r="N2122" s="56">
        <f>IF(OR(H2122="",H2122="sif",H2122="PM"),0,VLOOKUP(H2122,[5]CU!$C$4:$H$255,6,FALSE))</f>
        <v>0.67666666666666664</v>
      </c>
      <c r="O2122" s="56">
        <f t="shared" si="329"/>
        <v>0</v>
      </c>
      <c r="P2122" s="56">
        <f t="shared" si="329"/>
        <v>0</v>
      </c>
      <c r="Q2122" s="56">
        <f t="shared" si="329"/>
        <v>304.5</v>
      </c>
      <c r="R2122" s="56">
        <f t="shared" si="329"/>
        <v>487.2</v>
      </c>
      <c r="S2122" s="56">
        <f>SUM(O2122:R2122)</f>
        <v>791.7</v>
      </c>
      <c r="T2122" s="35" t="s">
        <v>56</v>
      </c>
      <c r="U2122" s="18" t="s">
        <v>330</v>
      </c>
      <c r="V2122" s="19" t="str">
        <f>IF(OR($H2122="",$H2122="sif",$H2122="PM"),"",VLOOKUP($H2122,[5]CU!$C$5:$J$255,8,FALSE))</f>
        <v>3. Formation</v>
      </c>
      <c r="W2122" s="18" t="s">
        <v>331</v>
      </c>
      <c r="X2122" s="18" t="s">
        <v>222</v>
      </c>
      <c r="Y2122" s="19" t="s">
        <v>32</v>
      </c>
      <c r="Z2122" s="19" t="str">
        <f>A2122 &amp; "-" &amp; VLOOKUP(A2122,[4]PROGRAMMES!$E$1:$F$7,2,FALSE)</f>
        <v>6-Education et alphabétisation des adultes</v>
      </c>
      <c r="AA2122" s="19" t="str">
        <f>B2122 &amp; "-" &amp; VLOOKUP(B2122,[4]SOUSPROGRAMMES!$E$1:$F$44,2,FALSE)</f>
        <v xml:space="preserve">64-Développement de la Post-alphabétisation </v>
      </c>
      <c r="AB2122" s="19" t="str">
        <f>C2122 &amp; "-" &amp; VLOOKUP(C2122,[4]RESULTATS!$E$1:$F$176,2,FALSE)</f>
        <v>642- Les activités génératrices de revenus sont encouragées et soutenues (autour des structures d'alphabétisation)</v>
      </c>
      <c r="AC2122" s="20" t="str">
        <f>D2122 &amp; "-" &amp; VLOOKUP(D2122,[4]STRATEGIES!$E$1:$F$504,2,FALSE)</f>
        <v>6422-Développement de modules de formation en matière de gestion financière, organisation paysanne et communication et formation des membres des groupements</v>
      </c>
      <c r="AD2122" s="21" t="str">
        <f t="shared" si="330"/>
        <v>64222-formation des membres des groupements en gestion Financière</v>
      </c>
    </row>
    <row r="2123" spans="1:30" s="22" customFormat="1" ht="30" customHeight="1" x14ac:dyDescent="0.8">
      <c r="A2123" s="14">
        <v>6</v>
      </c>
      <c r="B2123" s="15">
        <v>64</v>
      </c>
      <c r="C2123" s="15">
        <v>643</v>
      </c>
      <c r="D2123" s="74">
        <v>643</v>
      </c>
      <c r="E2123" s="14">
        <v>643</v>
      </c>
      <c r="F2123" s="16" t="s">
        <v>2611</v>
      </c>
      <c r="G2123" s="17"/>
      <c r="H2123" s="17"/>
      <c r="I2123" s="56">
        <v>0</v>
      </c>
      <c r="J2123" s="56"/>
      <c r="K2123" s="56"/>
      <c r="L2123" s="56"/>
      <c r="M2123" s="56"/>
      <c r="N2123" s="56"/>
      <c r="O2123" s="56"/>
      <c r="P2123" s="56"/>
      <c r="Q2123" s="56"/>
      <c r="R2123" s="56"/>
      <c r="S2123" s="56"/>
      <c r="T2123" s="33"/>
      <c r="U2123" s="18"/>
      <c r="V2123" s="19"/>
      <c r="W2123" s="18"/>
      <c r="X2123" s="18"/>
      <c r="Y2123" s="18"/>
      <c r="Z2123" s="19" t="str">
        <f>A2123 &amp; "-" &amp; VLOOKUP(A2123,[4]PROGRAMMES!$E$1:$F$7,2,FALSE)</f>
        <v>6-Education et alphabétisation des adultes</v>
      </c>
      <c r="AA2123" s="19" t="str">
        <f>B2123 &amp; "-" &amp; VLOOKUP(B2123,[4]SOUSPROGRAMMES!$E$1:$F$44,2,FALSE)</f>
        <v xml:space="preserve">64-Développement de la Post-alphabétisation </v>
      </c>
      <c r="AB2123" s="19" t="str">
        <f>C2123 &amp; "-" &amp; VLOOKUP(C2123,[4]RESULTATS!$E$1:$F$176,2,FALSE)</f>
        <v xml:space="preserve">643- Les activités de post alphabétisation sont soutenues </v>
      </c>
      <c r="AC2123" s="20" t="str">
        <f>D2123 &amp; "-" &amp; VLOOKUP(D2123,[4]STRATEGIES!$E$1:$F$504,2,FALSE)</f>
        <v xml:space="preserve">643- Les activités de post alphabétisation sont soutenues </v>
      </c>
      <c r="AD2123" s="21" t="str">
        <f t="shared" si="330"/>
        <v xml:space="preserve">643- Les activités de post alphabétisation sont soutenues </v>
      </c>
    </row>
    <row r="2124" spans="1:30" s="22" customFormat="1" ht="30" customHeight="1" x14ac:dyDescent="0.8">
      <c r="A2124" s="14">
        <v>6</v>
      </c>
      <c r="B2124" s="15">
        <v>64</v>
      </c>
      <c r="C2124" s="15">
        <v>643</v>
      </c>
      <c r="D2124" s="74">
        <v>6431</v>
      </c>
      <c r="E2124" s="14">
        <v>6431</v>
      </c>
      <c r="F2124" s="16" t="s">
        <v>2612</v>
      </c>
      <c r="G2124" s="17"/>
      <c r="H2124" s="17"/>
      <c r="I2124" s="56">
        <v>0</v>
      </c>
      <c r="J2124" s="56"/>
      <c r="K2124" s="56"/>
      <c r="L2124" s="56"/>
      <c r="M2124" s="56"/>
      <c r="N2124" s="56"/>
      <c r="O2124" s="56"/>
      <c r="P2124" s="56"/>
      <c r="Q2124" s="56"/>
      <c r="R2124" s="56"/>
      <c r="S2124" s="56"/>
      <c r="T2124" s="33"/>
      <c r="U2124" s="18"/>
      <c r="V2124" s="19"/>
      <c r="W2124" s="18"/>
      <c r="X2124" s="18"/>
      <c r="Y2124" s="18"/>
      <c r="Z2124" s="19" t="str">
        <f>A2124 &amp; "-" &amp; VLOOKUP(A2124,[4]PROGRAMMES!$E$1:$F$7,2,FALSE)</f>
        <v>6-Education et alphabétisation des adultes</v>
      </c>
      <c r="AA2124" s="19" t="str">
        <f>B2124 &amp; "-" &amp; VLOOKUP(B2124,[4]SOUSPROGRAMMES!$E$1:$F$44,2,FALSE)</f>
        <v xml:space="preserve">64-Développement de la Post-alphabétisation </v>
      </c>
      <c r="AB2124" s="19" t="str">
        <f>C2124 &amp; "-" &amp; VLOOKUP(C2124,[4]RESULTATS!$E$1:$F$176,2,FALSE)</f>
        <v xml:space="preserve">643- Les activités de post alphabétisation sont soutenues </v>
      </c>
      <c r="AC2124" s="20" t="str">
        <f>D2124 &amp; "-" &amp; VLOOKUP(D2124,[4]STRATEGIES!$E$1:$F$504,2,FALSE)</f>
        <v>6431-Organisation systématique de formation en post alphabétisation pour les néoalphabétisés</v>
      </c>
      <c r="AD2124" s="21" t="str">
        <f t="shared" si="330"/>
        <v>6431-Organisation systématique de formation en post alphabétisation pour les néoalphabétisés</v>
      </c>
    </row>
    <row r="2125" spans="1:30" s="22" customFormat="1" ht="30" hidden="1" customHeight="1" x14ac:dyDescent="0.8">
      <c r="A2125" s="14">
        <v>6</v>
      </c>
      <c r="B2125" s="15">
        <v>64</v>
      </c>
      <c r="C2125" s="15">
        <v>643</v>
      </c>
      <c r="D2125" s="74">
        <v>6431</v>
      </c>
      <c r="E2125" s="14">
        <v>64311</v>
      </c>
      <c r="F2125" s="16" t="s">
        <v>2613</v>
      </c>
      <c r="G2125" s="21" t="s">
        <v>436</v>
      </c>
      <c r="H2125" s="17" t="s">
        <v>2614</v>
      </c>
      <c r="I2125" s="56">
        <v>0</v>
      </c>
      <c r="J2125" s="56"/>
      <c r="K2125" s="56"/>
      <c r="L2125" s="56"/>
      <c r="M2125" s="56">
        <f>SUM(I2125:L2125)</f>
        <v>0</v>
      </c>
      <c r="N2125" s="56">
        <f>IF(OR(H2125="",H2125="sif",H2125="PM"),0,VLOOKUP(H2125,[5]CU!$C$4:$H$255,6,FALSE))</f>
        <v>3.1150000000000001E-2</v>
      </c>
      <c r="O2125" s="56">
        <f>$N2125*I2125</f>
        <v>0</v>
      </c>
      <c r="P2125" s="56">
        <f>$N2125*J2125</f>
        <v>0</v>
      </c>
      <c r="Q2125" s="56">
        <f>$N2125*K2125</f>
        <v>0</v>
      </c>
      <c r="R2125" s="56">
        <f>$N2125*L2125</f>
        <v>0</v>
      </c>
      <c r="S2125" s="56">
        <f>SUM(O2125:R2125)</f>
        <v>0</v>
      </c>
      <c r="T2125" s="35" t="s">
        <v>178</v>
      </c>
      <c r="U2125" s="18" t="s">
        <v>330</v>
      </c>
      <c r="V2125" s="19" t="str">
        <f>IF(OR($H2125="",$H2125="sif",$H2125="PM"),"",VLOOKUP($H2125,[5]CU!$C$5:$J$255,8,FALSE))</f>
        <v>3. Manuels scolaires et matériels pédagogiques</v>
      </c>
      <c r="W2125" s="18" t="s">
        <v>331</v>
      </c>
      <c r="X2125" s="18" t="s">
        <v>222</v>
      </c>
      <c r="Y2125" s="19" t="s">
        <v>32</v>
      </c>
      <c r="Z2125" s="19" t="str">
        <f>A2125 &amp; "-" &amp; VLOOKUP(A2125,[4]PROGRAMMES!$E$1:$F$7,2,FALSE)</f>
        <v>6-Education et alphabétisation des adultes</v>
      </c>
      <c r="AA2125" s="19" t="str">
        <f>B2125 &amp; "-" &amp; VLOOKUP(B2125,[4]SOUSPROGRAMMES!$E$1:$F$44,2,FALSE)</f>
        <v xml:space="preserve">64-Développement de la Post-alphabétisation </v>
      </c>
      <c r="AB2125" s="19" t="str">
        <f>C2125 &amp; "-" &amp; VLOOKUP(C2125,[4]RESULTATS!$E$1:$F$176,2,FALSE)</f>
        <v xml:space="preserve">643- Les activités de post alphabétisation sont soutenues </v>
      </c>
      <c r="AC2125" s="20" t="str">
        <f>D2125 &amp; "-" &amp; VLOOKUP(D2125,[4]STRATEGIES!$E$1:$F$504,2,FALSE)</f>
        <v>6431-Organisation systématique de formation en post alphabétisation pour les néoalphabétisés</v>
      </c>
      <c r="AD2125" s="21" t="str">
        <f t="shared" si="330"/>
        <v>64311-Formation des néo alphabétisés</v>
      </c>
    </row>
    <row r="2126" spans="1:30" ht="45" hidden="1" customHeight="1" x14ac:dyDescent="0.8">
      <c r="A2126" s="25">
        <v>6</v>
      </c>
      <c r="B2126" s="16">
        <v>64</v>
      </c>
      <c r="C2126" s="16">
        <v>643</v>
      </c>
      <c r="D2126" s="74">
        <v>6431</v>
      </c>
      <c r="E2126" s="25">
        <v>64311</v>
      </c>
      <c r="F2126" s="16" t="s">
        <v>2613</v>
      </c>
      <c r="G2126" s="21" t="s">
        <v>436</v>
      </c>
      <c r="H2126" s="21" t="s">
        <v>2614</v>
      </c>
      <c r="I2126" s="57">
        <v>0</v>
      </c>
      <c r="J2126" s="57">
        <f>(I2002+I2003+I2004)*90%</f>
        <v>0</v>
      </c>
      <c r="K2126" s="57">
        <f>(J2002+J2003+J2004)*50%</f>
        <v>39227.46</v>
      </c>
      <c r="L2126" s="57">
        <f>(K2002+K2003+K2004)*50%</f>
        <v>44391.9</v>
      </c>
      <c r="M2126" s="57">
        <f t="shared" si="323"/>
        <v>83619.360000000001</v>
      </c>
      <c r="N2126" s="57">
        <f>IF(OR(H2126="",H2126="sif",H2126="PM"),0,VLOOKUP(H2126,[5]CU!$C$4:$H$255,6,FALSE))</f>
        <v>3.1150000000000001E-2</v>
      </c>
      <c r="O2126" s="57">
        <f t="shared" si="329"/>
        <v>0</v>
      </c>
      <c r="P2126" s="57">
        <f t="shared" si="329"/>
        <v>0</v>
      </c>
      <c r="Q2126" s="57">
        <f t="shared" si="329"/>
        <v>1221.935379</v>
      </c>
      <c r="R2126" s="57">
        <f t="shared" si="329"/>
        <v>1382.807685</v>
      </c>
      <c r="S2126" s="57">
        <f>SUM(O2126:R2126)</f>
        <v>2604.7430640000002</v>
      </c>
      <c r="T2126" s="38" t="s">
        <v>169</v>
      </c>
      <c r="U2126" s="19" t="s">
        <v>330</v>
      </c>
      <c r="V2126" s="19" t="str">
        <f>IF(OR($H2126="",$H2126="sif",$H2126="PM"),"",VLOOKUP($H2126,[5]CU!$C$5:$J$255,8,FALSE))</f>
        <v>3. Manuels scolaires et matériels pédagogiques</v>
      </c>
      <c r="W2126" s="19" t="s">
        <v>331</v>
      </c>
      <c r="X2126" s="19" t="s">
        <v>222</v>
      </c>
      <c r="Y2126" s="19" t="s">
        <v>32</v>
      </c>
      <c r="Z2126" s="19" t="str">
        <f>A2126 &amp; "-" &amp; VLOOKUP(A2126,[4]PROGRAMMES!$E$1:$F$7,2,FALSE)</f>
        <v>6-Education et alphabétisation des adultes</v>
      </c>
      <c r="AA2126" s="19" t="str">
        <f>B2126 &amp; "-" &amp; VLOOKUP(B2126,[4]SOUSPROGRAMMES!$E$1:$F$44,2,FALSE)</f>
        <v xml:space="preserve">64-Développement de la Post-alphabétisation </v>
      </c>
      <c r="AB2126" s="19" t="str">
        <f>C2126 &amp; "-" &amp; VLOOKUP(C2126,[4]RESULTATS!$E$1:$F$176,2,FALSE)</f>
        <v xml:space="preserve">643- Les activités de post alphabétisation sont soutenues </v>
      </c>
      <c r="AC2126" s="20" t="str">
        <f>D2126 &amp; "-" &amp; VLOOKUP(D2126,[4]STRATEGIES!$E$1:$F$504,2,FALSE)</f>
        <v>6431-Organisation systématique de formation en post alphabétisation pour les néoalphabétisés</v>
      </c>
      <c r="AD2126" s="21" t="str">
        <f t="shared" si="330"/>
        <v>64311-Formation des néo alphabétisés</v>
      </c>
    </row>
    <row r="2127" spans="1:30" s="22" customFormat="1" ht="30" hidden="1" customHeight="1" x14ac:dyDescent="0.8">
      <c r="A2127" s="14">
        <v>6</v>
      </c>
      <c r="B2127" s="15">
        <v>64</v>
      </c>
      <c r="C2127" s="15">
        <v>643</v>
      </c>
      <c r="D2127" s="74">
        <v>6431</v>
      </c>
      <c r="E2127" s="14">
        <v>64312</v>
      </c>
      <c r="F2127" s="16" t="s">
        <v>2615</v>
      </c>
      <c r="G2127" s="21" t="s">
        <v>763</v>
      </c>
      <c r="H2127" s="17" t="s">
        <v>59</v>
      </c>
      <c r="I2127" s="56"/>
      <c r="J2127" s="56"/>
      <c r="K2127" s="56">
        <f>4*10*4</f>
        <v>160</v>
      </c>
      <c r="L2127" s="56">
        <f>4*10*4</f>
        <v>160</v>
      </c>
      <c r="M2127" s="56">
        <f t="shared" si="323"/>
        <v>320</v>
      </c>
      <c r="N2127" s="56">
        <f>IF(OR(H2127="",H2127="sif",H2127="PM"),0,VLOOKUP(H2127,[5]CU!$C$4:$H$255,6,FALSE))</f>
        <v>0.8177777777777776</v>
      </c>
      <c r="O2127" s="56">
        <f t="shared" si="329"/>
        <v>0</v>
      </c>
      <c r="P2127" s="56">
        <f t="shared" si="329"/>
        <v>0</v>
      </c>
      <c r="Q2127" s="56">
        <f t="shared" si="329"/>
        <v>130.84444444444441</v>
      </c>
      <c r="R2127" s="56">
        <f t="shared" si="329"/>
        <v>130.84444444444441</v>
      </c>
      <c r="S2127" s="56">
        <f>SUM(O2127:R2127)</f>
        <v>261.68888888888881</v>
      </c>
      <c r="T2127" s="35" t="s">
        <v>56</v>
      </c>
      <c r="U2127" s="18" t="s">
        <v>330</v>
      </c>
      <c r="V2127" s="19" t="str">
        <f>IF(OR($H2127="",$H2127="sif",$H2127="PM"),"",VLOOKUP($H2127,[5]CU!$C$5:$J$255,8,FALSE))</f>
        <v>3. Dépenses de fonctionnement</v>
      </c>
      <c r="W2127" s="18" t="s">
        <v>331</v>
      </c>
      <c r="X2127" s="18" t="s">
        <v>331</v>
      </c>
      <c r="Y2127" s="18" t="s">
        <v>32</v>
      </c>
      <c r="Z2127" s="19" t="str">
        <f>A2127 &amp; "-" &amp; VLOOKUP(A2127,[4]PROGRAMMES!$E$1:$F$7,2,FALSE)</f>
        <v>6-Education et alphabétisation des adultes</v>
      </c>
      <c r="AA2127" s="19" t="str">
        <f>B2127 &amp; "-" &amp; VLOOKUP(B2127,[4]SOUSPROGRAMMES!$E$1:$F$44,2,FALSE)</f>
        <v xml:space="preserve">64-Développement de la Post-alphabétisation </v>
      </c>
      <c r="AB2127" s="19" t="str">
        <f>C2127 &amp; "-" &amp; VLOOKUP(C2127,[4]RESULTATS!$E$1:$F$176,2,FALSE)</f>
        <v xml:space="preserve">643- Les activités de post alphabétisation sont soutenues </v>
      </c>
      <c r="AC2127" s="20" t="str">
        <f>D2127 &amp; "-" &amp; VLOOKUP(D2127,[4]STRATEGIES!$E$1:$F$504,2,FALSE)</f>
        <v>6431-Organisation systématique de formation en post alphabétisation pour les néoalphabétisés</v>
      </c>
      <c r="AD2127" s="21" t="str">
        <f t="shared" si="330"/>
        <v>64312-suivi des formation</v>
      </c>
    </row>
    <row r="2128" spans="1:30" s="82" customFormat="1" ht="66" customHeight="1" x14ac:dyDescent="0.8">
      <c r="A2128" s="73">
        <v>1</v>
      </c>
      <c r="B2128" s="74">
        <v>11</v>
      </c>
      <c r="C2128" s="74">
        <v>113</v>
      </c>
      <c r="D2128" s="74">
        <v>1234</v>
      </c>
      <c r="E2128" s="73">
        <v>11345</v>
      </c>
      <c r="F2128" s="75" t="s">
        <v>2617</v>
      </c>
      <c r="G2128" s="76" t="s">
        <v>2618</v>
      </c>
      <c r="H2128" s="76" t="s">
        <v>38</v>
      </c>
      <c r="I2128" s="77"/>
      <c r="J2128" s="77">
        <v>9</v>
      </c>
      <c r="K2128" s="77">
        <v>9</v>
      </c>
      <c r="L2128" s="77"/>
      <c r="M2128" s="77">
        <f>I2128+J2128+K2128+L2128</f>
        <v>18</v>
      </c>
      <c r="N2128" s="77">
        <v>439</v>
      </c>
      <c r="O2128" s="77">
        <v>395410</v>
      </c>
      <c r="P2128" s="77">
        <v>48000</v>
      </c>
      <c r="Q2128" s="77">
        <v>32000</v>
      </c>
      <c r="R2128" s="78"/>
      <c r="S2128" s="79">
        <f>O2128+P2128+Q2128</f>
        <v>475410</v>
      </c>
      <c r="T2128" s="80" t="s">
        <v>60</v>
      </c>
      <c r="U2128" s="18" t="s">
        <v>40</v>
      </c>
      <c r="V2128" s="19" t="str">
        <f>IF(OR($H2128="",$H2128="sif",$H2128="PM"),"",VLOOKUP($H2128,[5]CU!$C$5:$J$255,8,FALSE))</f>
        <v>3. Formation</v>
      </c>
      <c r="W2128" s="81"/>
      <c r="X2128" s="81"/>
      <c r="Y2128" s="19" t="s">
        <v>32</v>
      </c>
      <c r="Z2128" s="19" t="str">
        <f>A2128 &amp; "-" &amp; VLOOKUP(A2128,[4]PROGRAMMES!$E$1:$F$7,2,FALSE)</f>
        <v>1-Accès et équité à l'enseignement général</v>
      </c>
      <c r="AA2128" s="19" t="str">
        <f>B2128 &amp; "-" &amp; VLOOKUP(B2128,[4]SOUSPROGRAMMES!$E$1:$F$44,2,FALSE)</f>
        <v>11- Accès équitable au préscolaire</v>
      </c>
      <c r="AB2128" s="57" t="str">
        <f>C2128 &amp; "-" &amp; VLOOKUP(C2128,[4]RESULTATS!$E$1:$F$176,2,FALSE)</f>
        <v>113- Les capacités d’accueil au préscolaire public et communautaires augmentent en milieux rural et urbain</v>
      </c>
      <c r="AC2128" s="20" t="str">
        <f>D2128 &amp; "-" &amp; VLOOKUP(D2128,[4]STRATEGIES!$E$1:$F$504,2,FALSE)</f>
        <v>1234-Renforcement des mesures incitatives pour le maintien des enseignants dans les zones difficiles</v>
      </c>
      <c r="AD2128" s="21" t="str">
        <f t="shared" si="330"/>
        <v xml:space="preserve">11345-Organisations des activités de CCC sur l’accès des enfants dépourvus, exclus et vulnérables aux soins affectifs, psychosociaux, services de santé et d’éducation de qualité y compris en situation d’urgence </v>
      </c>
    </row>
    <row r="2129" spans="1:30" s="71" customFormat="1" ht="28.9" customHeight="1" x14ac:dyDescent="0.8">
      <c r="A2129" s="73">
        <v>1</v>
      </c>
      <c r="B2129" s="74">
        <v>11</v>
      </c>
      <c r="C2129" s="74">
        <v>113</v>
      </c>
      <c r="D2129" s="74">
        <v>1234</v>
      </c>
      <c r="E2129" s="73">
        <v>11346</v>
      </c>
      <c r="F2129" s="75" t="s">
        <v>2619</v>
      </c>
      <c r="G2129" s="76" t="s">
        <v>2620</v>
      </c>
      <c r="H2129" s="76" t="s">
        <v>2674</v>
      </c>
      <c r="I2129" s="77">
        <v>4</v>
      </c>
      <c r="J2129" s="77">
        <v>4</v>
      </c>
      <c r="K2129" s="77">
        <v>4</v>
      </c>
      <c r="L2129" s="77"/>
      <c r="M2129" s="77">
        <f>I2129+J2129+K2129+L2129</f>
        <v>12</v>
      </c>
      <c r="N2129" s="77">
        <v>4389</v>
      </c>
      <c r="O2129" s="77">
        <v>30000</v>
      </c>
      <c r="P2129" s="83">
        <v>74667</v>
      </c>
      <c r="Q2129" s="83">
        <v>49778</v>
      </c>
      <c r="R2129" s="78"/>
      <c r="S2129" s="79">
        <f t="shared" ref="S2129:S2136" si="331">O2129+P2129+Q2129</f>
        <v>154445</v>
      </c>
      <c r="T2129" s="80" t="s">
        <v>60</v>
      </c>
      <c r="U2129" s="18" t="s">
        <v>40</v>
      </c>
      <c r="V2129" s="19" t="str">
        <f>IF(OR($H2129="",$H2129="sif",$H2129="PM"),"",VLOOKUP($H2129,[5]CU!$C$5:$J$255,8,FALSE))</f>
        <v>3. Dépenses de fonctionnement</v>
      </c>
      <c r="W2129" s="70"/>
      <c r="X2129" s="70"/>
      <c r="Y2129" s="19" t="s">
        <v>32</v>
      </c>
      <c r="Z2129" s="19" t="str">
        <f>A2129 &amp; "-" &amp; VLOOKUP(A2129,[4]PROGRAMMES!$E$1:$F$7,2,FALSE)</f>
        <v>1-Accès et équité à l'enseignement général</v>
      </c>
      <c r="AA2129" s="19" t="str">
        <f>B2129 &amp; "-" &amp; VLOOKUP(B2129,[4]SOUSPROGRAMMES!$E$1:$F$44,2,FALSE)</f>
        <v>11- Accès équitable au préscolaire</v>
      </c>
      <c r="AB2129" s="19" t="str">
        <f>C2129 &amp; "-" &amp; VLOOKUP(C2129,[4]RESULTATS!$E$1:$F$176,2,FALSE)</f>
        <v>113- Les capacités d’accueil au préscolaire public et communautaires augmentent en milieux rural et urbain</v>
      </c>
      <c r="AC2129" s="20" t="str">
        <f>D2129 &amp; "-" &amp; VLOOKUP(D2129,[4]STRATEGIES!$E$1:$F$504,2,FALSE)</f>
        <v>1234-Renforcement des mesures incitatives pour le maintien des enseignants dans les zones difficiles</v>
      </c>
      <c r="AD2129" s="21" t="str">
        <f t="shared" si="330"/>
        <v>11346-Appuis aux communautés pour l’experientation de l’approche Maman Modele pour soutenir et promouvoir le développement de la petite enfance (santé, nutrition, la protection et le développement psycho moteur et cognitif de l’enfant) et la responsabilité parentale</v>
      </c>
    </row>
    <row r="2130" spans="1:30" s="71" customFormat="1" ht="61" x14ac:dyDescent="0.8">
      <c r="A2130" s="73">
        <v>1</v>
      </c>
      <c r="B2130" s="74">
        <v>11</v>
      </c>
      <c r="C2130" s="74">
        <v>113</v>
      </c>
      <c r="D2130" s="74">
        <v>1121</v>
      </c>
      <c r="E2130" s="73">
        <v>11347</v>
      </c>
      <c r="F2130" s="75" t="s">
        <v>2621</v>
      </c>
      <c r="G2130" s="76" t="s">
        <v>2622</v>
      </c>
      <c r="H2130" s="76" t="s">
        <v>2674</v>
      </c>
      <c r="I2130" s="77"/>
      <c r="J2130" s="77">
        <v>12</v>
      </c>
      <c r="K2130" s="77">
        <v>12</v>
      </c>
      <c r="L2130" s="77"/>
      <c r="M2130" s="77">
        <f t="shared" ref="M2130:M2132" si="332">I2130+J2130+K2130</f>
        <v>24</v>
      </c>
      <c r="N2130" s="77">
        <v>2743</v>
      </c>
      <c r="O2130" s="77"/>
      <c r="P2130" s="77">
        <v>40000</v>
      </c>
      <c r="Q2130" s="77">
        <v>26667</v>
      </c>
      <c r="R2130" s="78"/>
      <c r="S2130" s="79">
        <f t="shared" si="331"/>
        <v>66667</v>
      </c>
      <c r="T2130" s="80" t="s">
        <v>60</v>
      </c>
      <c r="U2130" s="18" t="s">
        <v>40</v>
      </c>
      <c r="V2130" s="19" t="str">
        <f>IF(OR($H2130="",$H2130="sif",$H2130="PM"),"",VLOOKUP($H2130,[5]CU!$C$5:$J$255,8,FALSE))</f>
        <v>3. Dépenses de fonctionnement</v>
      </c>
      <c r="W2130" s="70"/>
      <c r="X2130" s="70"/>
      <c r="Y2130" s="19" t="s">
        <v>32</v>
      </c>
      <c r="Z2130" s="19" t="str">
        <f>A2130 &amp; "-" &amp; VLOOKUP(A2130,[4]PROGRAMMES!$E$1:$F$7,2,FALSE)</f>
        <v>1-Accès et équité à l'enseignement général</v>
      </c>
      <c r="AA2130" s="19" t="str">
        <f>B2130 &amp; "-" &amp; VLOOKUP(B2130,[4]SOUSPROGRAMMES!$E$1:$F$44,2,FALSE)</f>
        <v>11- Accès équitable au préscolaire</v>
      </c>
      <c r="AB2130" s="19" t="str">
        <f>C2130 &amp; "-" &amp; VLOOKUP(C2130,[4]RESULTATS!$E$1:$F$176,2,FALSE)</f>
        <v>113- Les capacités d’accueil au préscolaire public et communautaires augmentent en milieux rural et urbain</v>
      </c>
      <c r="AC2130" s="20" t="str">
        <f>D2130 &amp; "-" &amp; VLOOKUP(D2130,[4]STRATEGIES!$E$1:$F$504,2,FALSE)</f>
        <v>1121-Sensibilisation des communautés sur l'importance de la préscolarisation des enfants et la nouvelle organisation du préscolaire</v>
      </c>
      <c r="AD2130" s="21" t="str">
        <f t="shared" si="330"/>
        <v>11347-Participation active aux réseaux déjà existants et alliances sur le Développement de la petite enfance (ECDAN, Cadre des ONG I en Guinea, African Early Childhood Network (AfECN), Clusters, etc...);</v>
      </c>
    </row>
    <row r="2131" spans="1:30" s="71" customFormat="1" ht="45.75" x14ac:dyDescent="0.8">
      <c r="A2131" s="73">
        <v>1</v>
      </c>
      <c r="B2131" s="74">
        <v>11</v>
      </c>
      <c r="C2131" s="74">
        <v>113</v>
      </c>
      <c r="D2131" s="74">
        <v>1121</v>
      </c>
      <c r="E2131" s="73">
        <v>11348</v>
      </c>
      <c r="F2131" s="75" t="s">
        <v>2623</v>
      </c>
      <c r="G2131" s="76" t="s">
        <v>2624</v>
      </c>
      <c r="H2131" s="76" t="s">
        <v>2674</v>
      </c>
      <c r="I2131" s="77"/>
      <c r="J2131" s="77">
        <v>16</v>
      </c>
      <c r="K2131" s="77">
        <v>16</v>
      </c>
      <c r="L2131" s="77"/>
      <c r="M2131" s="77">
        <f t="shared" si="332"/>
        <v>32</v>
      </c>
      <c r="N2131" s="77">
        <v>36460</v>
      </c>
      <c r="O2131" s="77">
        <v>3269236</v>
      </c>
      <c r="P2131" s="77">
        <v>170667</v>
      </c>
      <c r="Q2131" s="77">
        <v>113778</v>
      </c>
      <c r="R2131" s="78"/>
      <c r="S2131" s="79">
        <f t="shared" si="331"/>
        <v>3553681</v>
      </c>
      <c r="T2131" s="80" t="s">
        <v>60</v>
      </c>
      <c r="U2131" s="18" t="s">
        <v>40</v>
      </c>
      <c r="V2131" s="19" t="str">
        <f>IF(OR($H2131="",$H2131="sif",$H2131="PM"),"",VLOOKUP($H2131,[5]CU!$C$5:$J$255,8,FALSE))</f>
        <v>3. Dépenses de fonctionnement</v>
      </c>
      <c r="W2131" s="70"/>
      <c r="X2131" s="70"/>
      <c r="Y2131" s="19" t="s">
        <v>32</v>
      </c>
      <c r="Z2131" s="19" t="str">
        <f>A2131 &amp; "-" &amp; VLOOKUP(A2131,[4]PROGRAMMES!$E$1:$F$7,2,FALSE)</f>
        <v>1-Accès et équité à l'enseignement général</v>
      </c>
      <c r="AA2131" s="19" t="str">
        <f>B2131 &amp; "-" &amp; VLOOKUP(B2131,[4]SOUSPROGRAMMES!$E$1:$F$44,2,FALSE)</f>
        <v>11- Accès équitable au préscolaire</v>
      </c>
      <c r="AB2131" s="19" t="str">
        <f>C2131 &amp; "-" &amp; VLOOKUP(C2131,[4]RESULTATS!$E$1:$F$176,2,FALSE)</f>
        <v>113- Les capacités d’accueil au préscolaire public et communautaires augmentent en milieux rural et urbain</v>
      </c>
      <c r="AC2131" s="20" t="str">
        <f>D2131 &amp; "-" &amp; VLOOKUP(D2131,[4]STRATEGIES!$E$1:$F$504,2,FALSE)</f>
        <v>1121-Sensibilisation des communautés sur l'importance de la préscolarisation des enfants et la nouvelle organisation du préscolaire</v>
      </c>
      <c r="AD2131" s="21" t="str">
        <f t="shared" si="330"/>
        <v>11348-Implication des OSC, des medias dans les campagnes d’éducation à la parentalité positive.(Participation des OCB,  des medias dans les campagnes d’éducation à la parentalité positive)</v>
      </c>
    </row>
    <row r="2132" spans="1:30" s="71" customFormat="1" ht="61" x14ac:dyDescent="0.8">
      <c r="A2132" s="73">
        <v>5</v>
      </c>
      <c r="B2132" s="74">
        <v>52</v>
      </c>
      <c r="C2132" s="74">
        <v>521</v>
      </c>
      <c r="D2132" s="74">
        <v>5211</v>
      </c>
      <c r="E2132" s="73">
        <v>52111</v>
      </c>
      <c r="F2132" s="75" t="s">
        <v>2625</v>
      </c>
      <c r="G2132" s="76" t="s">
        <v>58</v>
      </c>
      <c r="H2132" s="76" t="s">
        <v>59</v>
      </c>
      <c r="I2132" s="77">
        <v>4</v>
      </c>
      <c r="J2132" s="77">
        <v>4</v>
      </c>
      <c r="K2132" s="77">
        <v>4</v>
      </c>
      <c r="L2132" s="77"/>
      <c r="M2132" s="77">
        <f t="shared" si="332"/>
        <v>12</v>
      </c>
      <c r="N2132" s="77"/>
      <c r="O2132" s="77">
        <v>7984</v>
      </c>
      <c r="P2132" s="77">
        <v>4000</v>
      </c>
      <c r="Q2132" s="77">
        <v>2667</v>
      </c>
      <c r="R2132" s="78"/>
      <c r="S2132" s="79">
        <f t="shared" si="331"/>
        <v>14651</v>
      </c>
      <c r="T2132" s="80" t="s">
        <v>60</v>
      </c>
      <c r="U2132" s="18" t="s">
        <v>40</v>
      </c>
      <c r="V2132" s="19" t="str">
        <f>IF(OR($H2132="",$H2132="sif",$H2132="PM"),"",VLOOKUP($H2132,[5]CU!$C$5:$J$255,8,FALSE))</f>
        <v>3. Dépenses de fonctionnement</v>
      </c>
      <c r="W2132" s="70"/>
      <c r="X2132" s="70"/>
      <c r="Y2132" s="19" t="s">
        <v>32</v>
      </c>
      <c r="Z2132" s="19" t="str">
        <f>A2132 &amp; "-" &amp; VLOOKUP(A2132,[4]PROGRAMMES!$E$1:$F$7,2,FALSE)</f>
        <v>5-Gouvernance et pilotage du secteur</v>
      </c>
      <c r="AA2132" s="19" t="str">
        <f>B2132 &amp; "-" &amp; VLOOKUP(B2132,[4]SOUSPROGRAMMES!$E$1:$F$44,2,FALSE)</f>
        <v>52-Déconcentration, décentralisation, et partenariats (implication des communautés et des autres parties prenantes)</v>
      </c>
      <c r="AB2132" s="19" t="str">
        <f>C2132 &amp; "-" &amp; VLOOKUP(C2132,[4]RESULTATS!$E$1:$F$176,2,FALSE)</f>
        <v>521-Les rôles et responsabilités des acteurs sont clairement définis</v>
      </c>
      <c r="AC2132" s="20" t="str">
        <f>D2132 &amp; "-" &amp; VLOOKUP(D2132,[4]STRATEGIES!$E$1:$F$504,2,FALSE)</f>
        <v>5211-Production de manuels de procédures pour les différents acteurs (rôles et responsabilités)</v>
      </c>
      <c r="AD2132" s="21" t="str">
        <f t="shared" si="330"/>
        <v>52111-Appui a la realisation des supervisions conjointes CO/LP/IRE/DPE</v>
      </c>
    </row>
    <row r="2133" spans="1:30" s="71" customFormat="1" ht="61" x14ac:dyDescent="0.8">
      <c r="A2133" s="73">
        <v>1</v>
      </c>
      <c r="B2133" s="74">
        <v>58</v>
      </c>
      <c r="C2133" s="74">
        <v>581</v>
      </c>
      <c r="D2133" s="74">
        <v>5811</v>
      </c>
      <c r="E2133" s="73">
        <v>58111</v>
      </c>
      <c r="F2133" s="75" t="s">
        <v>2626</v>
      </c>
      <c r="G2133" s="76" t="s">
        <v>436</v>
      </c>
      <c r="H2133" s="76" t="s">
        <v>301</v>
      </c>
      <c r="I2133" s="77"/>
      <c r="J2133" s="77">
        <v>75</v>
      </c>
      <c r="K2133" s="77">
        <v>75</v>
      </c>
      <c r="L2133" s="77"/>
      <c r="M2133" s="77"/>
      <c r="N2133" s="77">
        <v>3000</v>
      </c>
      <c r="O2133" s="77">
        <v>3000</v>
      </c>
      <c r="P2133" s="77">
        <v>3000</v>
      </c>
      <c r="Q2133" s="77">
        <v>3000</v>
      </c>
      <c r="R2133" s="77">
        <v>3000</v>
      </c>
      <c r="S2133" s="77">
        <v>3000</v>
      </c>
      <c r="T2133" s="80" t="s">
        <v>60</v>
      </c>
      <c r="U2133" s="18" t="s">
        <v>40</v>
      </c>
      <c r="V2133" s="19" t="str">
        <f>IF(OR($H2133="",$H2133="sif",$H2133="PM"),"",VLOOKUP($H2133,[5]CU!$C$5:$J$255,8,FALSE))</f>
        <v>3. Formation</v>
      </c>
      <c r="W2133" s="70"/>
      <c r="X2133" s="70"/>
      <c r="Y2133" s="19" t="s">
        <v>32</v>
      </c>
      <c r="Z2133" s="19" t="str">
        <f>A2133 &amp; "-" &amp; VLOOKUP(A2133,[4]PROGRAMMES!$E$1:$F$7,2,FALSE)</f>
        <v>1-Accès et équité à l'enseignement général</v>
      </c>
      <c r="AA2133" s="19" t="str">
        <f>B2133 &amp; "-" &amp; VLOOKUP(B2133,[4]SOUSPROGRAMMES!$E$1:$F$44,2,FALSE)</f>
        <v>58- Renforcement des compétences de l’administration (cadre normatif, poste-profil, évaluation, équipement, formations…)</v>
      </c>
      <c r="AB2133" s="19" t="str">
        <f>C2133 &amp; "-" &amp; VLOOKUP(C2133,[4]RESULTATS!$E$1:$F$176,2,FALSE)</f>
        <v xml:space="preserve">581- Les cadres organiques des différentes structures sont redéfinis pour que leur efficacité s’améliore </v>
      </c>
      <c r="AC2133" s="20" t="str">
        <f>D2133 &amp; "-" &amp; VLOOKUP(D2133,[4]STRATEGIES!$E$1:$F$504,2,FALSE)</f>
        <v>5811-Évaluation des forces et faiblesses des cadres organiques à tous les niveaux</v>
      </c>
      <c r="AD2133" s="21" t="str">
        <f t="shared" si="330"/>
        <v>58111-Appui aux DPE/IRE pour le renforcement des capacites des DE, Chefs d'etablissement en leadership administratif et pedagogique et la gestion des classes multigrades</v>
      </c>
    </row>
    <row r="2134" spans="1:30" s="71" customFormat="1" ht="61" x14ac:dyDescent="0.8">
      <c r="A2134" s="73">
        <v>5</v>
      </c>
      <c r="B2134" s="74">
        <v>52</v>
      </c>
      <c r="C2134" s="74">
        <v>521</v>
      </c>
      <c r="D2134" s="74">
        <v>5211</v>
      </c>
      <c r="E2134" s="73">
        <v>52111</v>
      </c>
      <c r="F2134" s="75" t="s">
        <v>2627</v>
      </c>
      <c r="G2134" s="76" t="s">
        <v>2628</v>
      </c>
      <c r="H2134" s="76" t="s">
        <v>506</v>
      </c>
      <c r="I2134" s="77">
        <v>60</v>
      </c>
      <c r="J2134" s="77"/>
      <c r="K2134" s="77"/>
      <c r="L2134" s="77"/>
      <c r="M2134" s="77"/>
      <c r="N2134" s="77"/>
      <c r="O2134" s="77">
        <v>44147</v>
      </c>
      <c r="P2134" s="77"/>
      <c r="Q2134" s="77"/>
      <c r="R2134" s="77"/>
      <c r="S2134" s="79">
        <f t="shared" si="331"/>
        <v>44147</v>
      </c>
      <c r="T2134" s="80" t="s">
        <v>60</v>
      </c>
      <c r="U2134" s="18" t="s">
        <v>40</v>
      </c>
      <c r="V2134" s="19" t="str">
        <f>IF(OR($H2134="",$H2134="sif",$H2134="PM"),"",VLOOKUP($H2134,[5]CU!$C$5:$J$255,8,FALSE))</f>
        <v>3. Formation</v>
      </c>
      <c r="W2134" s="70"/>
      <c r="X2134" s="70"/>
      <c r="Y2134" s="19" t="s">
        <v>32</v>
      </c>
      <c r="Z2134" s="19" t="str">
        <f>A2134 &amp; "-" &amp; VLOOKUP(A2134,[4]PROGRAMMES!$E$1:$F$7,2,FALSE)</f>
        <v>5-Gouvernance et pilotage du secteur</v>
      </c>
      <c r="AA2134" s="19" t="str">
        <f>B2134 &amp; "-" &amp; VLOOKUP(B2134,[4]SOUSPROGRAMMES!$E$1:$F$44,2,FALSE)</f>
        <v>52-Déconcentration, décentralisation, et partenariats (implication des communautés et des autres parties prenantes)</v>
      </c>
      <c r="AB2134" s="19" t="str">
        <f>C2134 &amp; "-" &amp; VLOOKUP(C2134,[4]RESULTATS!$E$1:$F$176,2,FALSE)</f>
        <v>521-Les rôles et responsabilités des acteurs sont clairement définis</v>
      </c>
      <c r="AC2134" s="20" t="str">
        <f>D2134 &amp; "-" &amp; VLOOKUP(D2134,[4]STRATEGIES!$E$1:$F$504,2,FALSE)</f>
        <v>5211-Production de manuels de procédures pour les différents acteurs (rôles et responsabilités)</v>
      </c>
      <c r="AD2134" s="21" t="str">
        <f t="shared" si="330"/>
        <v>52111-Amélioration des compétences d'apprentissage et des services de base pour les femmes et les filles fréquentant le Centre d'Autonomisation et de Promotion des Femmes de la Fria »</v>
      </c>
    </row>
    <row r="2135" spans="1:30" s="71" customFormat="1" ht="30.5" x14ac:dyDescent="0.8">
      <c r="A2135" s="73">
        <v>1</v>
      </c>
      <c r="B2135" s="74">
        <v>11</v>
      </c>
      <c r="C2135" s="74">
        <v>113</v>
      </c>
      <c r="D2135" s="74">
        <v>5211</v>
      </c>
      <c r="E2135" s="73">
        <v>11351</v>
      </c>
      <c r="F2135" s="75" t="s">
        <v>2629</v>
      </c>
      <c r="G2135" s="76" t="s">
        <v>2624</v>
      </c>
      <c r="H2135" s="76" t="s">
        <v>2674</v>
      </c>
      <c r="I2135" s="77">
        <v>1</v>
      </c>
      <c r="J2135" s="77"/>
      <c r="K2135" s="77"/>
      <c r="L2135" s="77"/>
      <c r="M2135" s="77"/>
      <c r="N2135" s="77"/>
      <c r="O2135" s="77">
        <v>88901</v>
      </c>
      <c r="P2135" s="77"/>
      <c r="Q2135" s="77"/>
      <c r="R2135" s="77"/>
      <c r="S2135" s="79">
        <f t="shared" si="331"/>
        <v>88901</v>
      </c>
      <c r="T2135" s="80" t="s">
        <v>60</v>
      </c>
      <c r="U2135" s="18" t="s">
        <v>40</v>
      </c>
      <c r="V2135" s="19" t="str">
        <f>IF(OR($H2135="",$H2135="sif",$H2135="PM"),"",VLOOKUP($H2135,[5]CU!$C$5:$J$255,8,FALSE))</f>
        <v>3. Dépenses de fonctionnement</v>
      </c>
      <c r="W2135" s="70"/>
      <c r="X2135" s="70"/>
      <c r="Y2135" s="19" t="s">
        <v>32</v>
      </c>
      <c r="Z2135" s="19" t="str">
        <f>A2135 &amp; "-" &amp; VLOOKUP(A2135,[4]PROGRAMMES!$E$1:$F$7,2,FALSE)</f>
        <v>1-Accès et équité à l'enseignement général</v>
      </c>
      <c r="AA2135" s="19" t="str">
        <f>B2135 &amp; "-" &amp; VLOOKUP(B2135,[4]SOUSPROGRAMMES!$E$1:$F$44,2,FALSE)</f>
        <v>11- Accès équitable au préscolaire</v>
      </c>
      <c r="AB2135" s="19" t="str">
        <f>C2135 &amp; "-" &amp; VLOOKUP(C2135,[4]RESULTATS!$E$1:$F$176,2,FALSE)</f>
        <v>113- Les capacités d’accueil au préscolaire public et communautaires augmentent en milieux rural et urbain</v>
      </c>
      <c r="AC2135" s="20" t="str">
        <f>D2135 &amp; "-" &amp; VLOOKUP(D2135,[4]STRATEGIES!$E$1:$F$504,2,FALSE)</f>
        <v>5211-Production de manuels de procédures pour les différents acteurs (rôles et responsabilités)</v>
      </c>
      <c r="AD2135" s="21" t="str">
        <f t="shared" si="330"/>
        <v xml:space="preserve">11351-Building community and youth response capacity for child protection during crisis </v>
      </c>
    </row>
    <row r="2136" spans="1:30" s="71" customFormat="1" ht="30.5" x14ac:dyDescent="0.8">
      <c r="A2136" s="73">
        <v>1</v>
      </c>
      <c r="B2136" s="74">
        <v>11</v>
      </c>
      <c r="C2136" s="74">
        <v>521</v>
      </c>
      <c r="D2136" s="74">
        <v>5211</v>
      </c>
      <c r="E2136" s="73">
        <v>52111</v>
      </c>
      <c r="F2136" s="75" t="s">
        <v>2630</v>
      </c>
      <c r="G2136" s="76" t="s">
        <v>80</v>
      </c>
      <c r="H2136" s="76" t="s">
        <v>2674</v>
      </c>
      <c r="I2136" s="77">
        <v>100</v>
      </c>
      <c r="J2136" s="77"/>
      <c r="K2136" s="77"/>
      <c r="L2136" s="77"/>
      <c r="M2136" s="77"/>
      <c r="N2136" s="77"/>
      <c r="O2136" s="77">
        <v>22882</v>
      </c>
      <c r="P2136" s="77"/>
      <c r="Q2136" s="77"/>
      <c r="R2136" s="77"/>
      <c r="S2136" s="79">
        <f t="shared" si="331"/>
        <v>22882</v>
      </c>
      <c r="T2136" s="80" t="s">
        <v>60</v>
      </c>
      <c r="U2136" s="18" t="s">
        <v>40</v>
      </c>
      <c r="V2136" s="19" t="str">
        <f>IF(OR($H2136="",$H2136="sif",$H2136="PM"),"",VLOOKUP($H2136,[5]CU!$C$5:$J$255,8,FALSE))</f>
        <v>3. Dépenses de fonctionnement</v>
      </c>
      <c r="W2136" s="70"/>
      <c r="X2136" s="70"/>
      <c r="Y2136" s="19" t="s">
        <v>32</v>
      </c>
      <c r="Z2136" s="19" t="str">
        <f>A2136 &amp; "-" &amp; VLOOKUP(A2136,[4]PROGRAMMES!$E$1:$F$7,2,FALSE)</f>
        <v>1-Accès et équité à l'enseignement général</v>
      </c>
      <c r="AA2136" s="19" t="str">
        <f>B2136 &amp; "-" &amp; VLOOKUP(B2136,[4]SOUSPROGRAMMES!$E$1:$F$44,2,FALSE)</f>
        <v>11- Accès équitable au préscolaire</v>
      </c>
      <c r="AB2136" s="19" t="str">
        <f>C2136 &amp; "-" &amp; VLOOKUP(C2136,[4]RESULTATS!$E$1:$F$176,2,FALSE)</f>
        <v>521-Les rôles et responsabilités des acteurs sont clairement définis</v>
      </c>
      <c r="AC2136" s="20" t="str">
        <f>D2136 &amp; "-" &amp; VLOOKUP(D2136,[4]STRATEGIES!$E$1:$F$504,2,FALSE)</f>
        <v>5211-Production de manuels de procédures pour les différents acteurs (rôles et responsabilités)</v>
      </c>
      <c r="AD2136" s="21" t="str">
        <f t="shared" si="330"/>
        <v>52111-Amelioration de  l'acces des enfants aux services d'education prescolaire par  l'octroi des velos a Dabola</v>
      </c>
    </row>
    <row r="2137" spans="1:30" s="71" customFormat="1" ht="45.75" x14ac:dyDescent="0.8">
      <c r="A2137" s="63">
        <v>1</v>
      </c>
      <c r="B2137" s="74">
        <v>11</v>
      </c>
      <c r="C2137" s="74">
        <v>521</v>
      </c>
      <c r="D2137" s="74">
        <v>112</v>
      </c>
      <c r="E2137" s="73">
        <v>52112</v>
      </c>
      <c r="F2137" s="64" t="s">
        <v>2631</v>
      </c>
      <c r="G2137" s="65" t="s">
        <v>2632</v>
      </c>
      <c r="H2137" s="17" t="s">
        <v>104</v>
      </c>
      <c r="I2137" s="67">
        <v>10</v>
      </c>
      <c r="J2137" s="68">
        <v>10</v>
      </c>
      <c r="K2137" s="68">
        <v>5</v>
      </c>
      <c r="L2137" s="68">
        <v>5</v>
      </c>
      <c r="M2137" s="68">
        <v>30</v>
      </c>
      <c r="N2137" s="68">
        <v>5.0000000000000001E-3</v>
      </c>
      <c r="O2137" s="68">
        <v>0.05</v>
      </c>
      <c r="P2137" s="68">
        <v>0.5</v>
      </c>
      <c r="Q2137" s="68">
        <v>2.5</v>
      </c>
      <c r="R2137" s="68">
        <v>12.5</v>
      </c>
      <c r="S2137" s="68">
        <v>15.55</v>
      </c>
      <c r="T2137" s="69" t="s">
        <v>129</v>
      </c>
      <c r="U2137" s="19" t="s">
        <v>40</v>
      </c>
      <c r="V2137" s="19" t="str">
        <f>IF(OR($H2137="",$H2137="sif",$H2137="PM"),"",VLOOKUP($H2137,[5]CU!$C$5:$J$255,8,FALSE))</f>
        <v>5. Investissement</v>
      </c>
      <c r="W2137" s="70"/>
      <c r="X2137" s="70"/>
      <c r="Y2137" s="19" t="s">
        <v>32</v>
      </c>
      <c r="Z2137" s="19" t="str">
        <f>A2137 &amp; "-" &amp; VLOOKUP(A2137,[4]PROGRAMMES!$E$1:$F$7,2,FALSE)</f>
        <v>1-Accès et équité à l'enseignement général</v>
      </c>
      <c r="AA2137" s="19" t="str">
        <f>B2137 &amp; "-" &amp; VLOOKUP(B2137,[4]SOUSPROGRAMMES!$E$1:$F$44,2,FALSE)</f>
        <v>11- Accès équitable au préscolaire</v>
      </c>
      <c r="AB2137" s="19" t="str">
        <f>C2137 &amp; "-" &amp; VLOOKUP(C2137,[4]RESULTATS!$E$1:$F$176,2,FALSE)</f>
        <v>521-Les rôles et responsabilités des acteurs sont clairement définis</v>
      </c>
      <c r="AC2137" s="20" t="str">
        <f>D2137 &amp; "-" &amp; VLOOKUP(D2137,[4]STRATEGIES!$E$1:$F$504,2,FALSE)</f>
        <v>112- La demande de préscolarisation est stimulée</v>
      </c>
      <c r="AD2137" s="21" t="str">
        <f t="shared" ref="AD2137:AD2167" si="333">E2137 &amp; "-" &amp; F2137</f>
        <v>52112-Amenagement des aires de jeux au niveau des CEC</v>
      </c>
    </row>
    <row r="2138" spans="1:30" s="71" customFormat="1" ht="45.75" x14ac:dyDescent="0.8">
      <c r="A2138" s="63">
        <v>1</v>
      </c>
      <c r="B2138" s="74">
        <v>11</v>
      </c>
      <c r="C2138" s="74">
        <v>521</v>
      </c>
      <c r="D2138" s="74">
        <v>112</v>
      </c>
      <c r="E2138" s="73">
        <v>52113</v>
      </c>
      <c r="F2138" s="64" t="s">
        <v>2633</v>
      </c>
      <c r="G2138" s="65" t="s">
        <v>2634</v>
      </c>
      <c r="H2138" s="17" t="s">
        <v>896</v>
      </c>
      <c r="I2138" s="67">
        <v>10</v>
      </c>
      <c r="J2138" s="68">
        <v>10</v>
      </c>
      <c r="K2138" s="68">
        <v>5</v>
      </c>
      <c r="L2138" s="68">
        <v>5</v>
      </c>
      <c r="M2138" s="68">
        <v>30</v>
      </c>
      <c r="N2138" s="68">
        <v>0.01</v>
      </c>
      <c r="O2138" s="68">
        <v>0.1</v>
      </c>
      <c r="P2138" s="68">
        <v>1</v>
      </c>
      <c r="Q2138" s="68">
        <v>5</v>
      </c>
      <c r="R2138" s="68">
        <v>25</v>
      </c>
      <c r="S2138" s="68">
        <v>31.1</v>
      </c>
      <c r="T2138" s="69" t="s">
        <v>129</v>
      </c>
      <c r="U2138" s="19" t="s">
        <v>40</v>
      </c>
      <c r="V2138" s="19" t="str">
        <f>IF(OR($H2138="",$H2138="sif",$H2138="PM"),"",VLOOKUP($H2138,[5]CU!$C$5:$J$255,8,FALSE))</f>
        <v>3. Manuels scolaires et matériels pédagogiques</v>
      </c>
      <c r="W2138" s="70"/>
      <c r="X2138" s="70"/>
      <c r="Y2138" s="19" t="s">
        <v>32</v>
      </c>
      <c r="Z2138" s="19" t="str">
        <f>A2138 &amp; "-" &amp; VLOOKUP(A2138,[4]PROGRAMMES!$E$1:$F$7,2,FALSE)</f>
        <v>1-Accès et équité à l'enseignement général</v>
      </c>
      <c r="AA2138" s="19" t="str">
        <f>B2138 &amp; "-" &amp; VLOOKUP(B2138,[4]SOUSPROGRAMMES!$E$1:$F$44,2,FALSE)</f>
        <v>11- Accès équitable au préscolaire</v>
      </c>
      <c r="AB2138" s="19" t="str">
        <f>C2138 &amp; "-" &amp; VLOOKUP(C2138,[4]RESULTATS!$E$1:$F$176,2,FALSE)</f>
        <v>521-Les rôles et responsabilités des acteurs sont clairement définis</v>
      </c>
      <c r="AC2138" s="20" t="str">
        <f>D2138 &amp; "-" &amp; VLOOKUP(D2138,[4]STRATEGIES!$E$1:$F$504,2,FALSE)</f>
        <v>112- La demande de préscolarisation est stimulée</v>
      </c>
      <c r="AD2138" s="21" t="str">
        <f t="shared" si="333"/>
        <v>52113-Acquisition des équipements et matériels diactiques/ludiques pour les CEC</v>
      </c>
    </row>
    <row r="2139" spans="1:30" s="71" customFormat="1" ht="45.75" x14ac:dyDescent="0.8">
      <c r="A2139" s="63">
        <v>1</v>
      </c>
      <c r="B2139" s="73">
        <v>11</v>
      </c>
      <c r="C2139" s="73">
        <v>521</v>
      </c>
      <c r="D2139" s="74">
        <v>112</v>
      </c>
      <c r="E2139" s="73">
        <v>52114</v>
      </c>
      <c r="F2139" s="64" t="s">
        <v>2635</v>
      </c>
      <c r="G2139" s="65" t="s">
        <v>2636</v>
      </c>
      <c r="H2139" s="17" t="s">
        <v>2674</v>
      </c>
      <c r="I2139" s="67">
        <v>3000</v>
      </c>
      <c r="J2139" s="68">
        <v>3000</v>
      </c>
      <c r="K2139" s="68">
        <v>3000</v>
      </c>
      <c r="L2139" s="68">
        <v>3000</v>
      </c>
      <c r="M2139" s="68">
        <v>12000</v>
      </c>
      <c r="N2139" s="68">
        <v>5.0000000000000001E-3</v>
      </c>
      <c r="O2139" s="68">
        <v>15</v>
      </c>
      <c r="P2139" s="68">
        <v>15</v>
      </c>
      <c r="Q2139" s="68">
        <v>15</v>
      </c>
      <c r="R2139" s="68">
        <v>15</v>
      </c>
      <c r="S2139" s="68">
        <v>60</v>
      </c>
      <c r="T2139" s="69" t="s">
        <v>129</v>
      </c>
      <c r="U2139" s="19" t="s">
        <v>40</v>
      </c>
      <c r="V2139" s="19" t="str">
        <f>IF(OR($H2139="",$H2139="sif",$H2139="PM"),"",VLOOKUP($H2139,[5]CU!$C$5:$J$255,8,FALSE))</f>
        <v>3. Dépenses de fonctionnement</v>
      </c>
      <c r="W2139" s="70"/>
      <c r="X2139" s="70"/>
      <c r="Y2139" s="19" t="s">
        <v>32</v>
      </c>
      <c r="Z2139" s="19" t="str">
        <f>A2139 &amp; "-" &amp; VLOOKUP(A2139,[4]PROGRAMMES!$E$1:$F$7,2,FALSE)</f>
        <v>1-Accès et équité à l'enseignement général</v>
      </c>
      <c r="AA2139" s="19" t="str">
        <f>B2139 &amp; "-" &amp; VLOOKUP(B2139,[4]SOUSPROGRAMMES!$E$1:$F$44,2,FALSE)</f>
        <v>11- Accès équitable au préscolaire</v>
      </c>
      <c r="AB2139" s="19" t="str">
        <f>C2139 &amp; "-" &amp; VLOOKUP(C2139,[4]RESULTATS!$E$1:$F$176,2,FALSE)</f>
        <v>521-Les rôles et responsabilités des acteurs sont clairement définis</v>
      </c>
      <c r="AC2139" s="20" t="str">
        <f>D2139 &amp; "-" &amp; VLOOKUP(D2139,[4]STRATEGIES!$E$1:$F$504,2,FALSE)</f>
        <v>112- La demande de préscolarisation est stimulée</v>
      </c>
      <c r="AD2139" s="21" t="str">
        <f t="shared" si="333"/>
        <v>52114-Organisation des visites medicales en faveur des enfants des CEC</v>
      </c>
    </row>
    <row r="2140" spans="1:30" s="71" customFormat="1" ht="45.75" x14ac:dyDescent="0.8">
      <c r="A2140" s="63">
        <v>1</v>
      </c>
      <c r="B2140" s="73">
        <v>23</v>
      </c>
      <c r="C2140" s="73">
        <v>521</v>
      </c>
      <c r="D2140" s="74">
        <v>112</v>
      </c>
      <c r="E2140" s="73">
        <v>52115</v>
      </c>
      <c r="F2140" s="64" t="s">
        <v>2637</v>
      </c>
      <c r="G2140" s="65" t="s">
        <v>51</v>
      </c>
      <c r="H2140" s="66" t="s">
        <v>301</v>
      </c>
      <c r="I2140" s="67">
        <v>50</v>
      </c>
      <c r="J2140" s="68">
        <v>50</v>
      </c>
      <c r="K2140" s="68">
        <v>30</v>
      </c>
      <c r="L2140" s="68">
        <v>0</v>
      </c>
      <c r="M2140" s="68">
        <v>130</v>
      </c>
      <c r="N2140" s="68">
        <v>0.1</v>
      </c>
      <c r="O2140" s="68">
        <v>5</v>
      </c>
      <c r="P2140" s="68">
        <v>5</v>
      </c>
      <c r="Q2140" s="68">
        <v>3</v>
      </c>
      <c r="R2140" s="68">
        <v>0</v>
      </c>
      <c r="S2140" s="68">
        <v>13</v>
      </c>
      <c r="T2140" s="69" t="s">
        <v>129</v>
      </c>
      <c r="U2140" s="19" t="s">
        <v>40</v>
      </c>
      <c r="V2140" s="19" t="str">
        <f>IF(OR($H2140="",$H2140="sif",$H2140="PM"),"",VLOOKUP($H2140,[5]CU!$C$5:$J$255,8,FALSE))</f>
        <v>3. Formation</v>
      </c>
      <c r="W2140" s="70"/>
      <c r="X2140" s="70"/>
      <c r="Y2140" s="19" t="s">
        <v>32</v>
      </c>
      <c r="Z2140" s="19" t="str">
        <f>A2140 &amp; "-" &amp; VLOOKUP(A2140,[4]PROGRAMMES!$E$1:$F$7,2,FALSE)</f>
        <v>1-Accès et équité à l'enseignement général</v>
      </c>
      <c r="AA2140" s="19" t="str">
        <f>B2140 &amp; "-" &amp; VLOOKUP(B2140,[4]SOUSPROGRAMMES!$E$1:$F$44,2,FALSE)</f>
        <v xml:space="preserve">23- Formation initiale et continue des enseignants/éducateurs y compris dans les méthodes pédagogiques innovatntes  </v>
      </c>
      <c r="AB2140" s="19" t="str">
        <f>C2140 &amp; "-" &amp; VLOOKUP(C2140,[4]RESULTATS!$E$1:$F$176,2,FALSE)</f>
        <v>521-Les rôles et responsabilités des acteurs sont clairement définis</v>
      </c>
      <c r="AC2140" s="20" t="str">
        <f>D2140 &amp; "-" &amp; VLOOKUP(D2140,[4]STRATEGIES!$E$1:$F$504,2,FALSE)</f>
        <v>112- La demande de préscolarisation est stimulée</v>
      </c>
      <c r="AD2140" s="21" t="str">
        <f t="shared" si="333"/>
        <v>52115-Formation des eduacteurs des CEC</v>
      </c>
    </row>
    <row r="2141" spans="1:30" s="71" customFormat="1" ht="45.75" x14ac:dyDescent="0.8">
      <c r="A2141" s="63">
        <v>1</v>
      </c>
      <c r="B2141" s="73">
        <v>25</v>
      </c>
      <c r="C2141" s="73">
        <v>521</v>
      </c>
      <c r="D2141" s="74">
        <v>1122</v>
      </c>
      <c r="E2141" s="73">
        <v>52116</v>
      </c>
      <c r="F2141" s="64" t="s">
        <v>518</v>
      </c>
      <c r="G2141" s="65" t="s">
        <v>519</v>
      </c>
      <c r="H2141" s="66" t="s">
        <v>520</v>
      </c>
      <c r="I2141" s="67">
        <v>500</v>
      </c>
      <c r="J2141" s="68">
        <v>500</v>
      </c>
      <c r="K2141" s="68">
        <v>0</v>
      </c>
      <c r="L2141" s="68">
        <v>0</v>
      </c>
      <c r="M2141" s="68">
        <v>1000</v>
      </c>
      <c r="N2141" s="68">
        <v>0.03</v>
      </c>
      <c r="O2141" s="68">
        <v>15</v>
      </c>
      <c r="P2141" s="68">
        <v>15</v>
      </c>
      <c r="Q2141" s="68">
        <v>0</v>
      </c>
      <c r="R2141" s="68">
        <v>0</v>
      </c>
      <c r="S2141" s="68">
        <v>30</v>
      </c>
      <c r="T2141" s="69" t="s">
        <v>129</v>
      </c>
      <c r="U2141" s="88" t="s">
        <v>170</v>
      </c>
      <c r="V2141" s="19" t="str">
        <f>IF(OR($H2141="",$H2141="sif",$H2141="PM"),"",VLOOKUP($H2141,[5]CU!$C$5:$J$255,8,FALSE))</f>
        <v>3. Manuels scolaires et matériels pédagogiques</v>
      </c>
      <c r="W2141" s="70"/>
      <c r="X2141" s="70"/>
      <c r="Y2141" s="19" t="s">
        <v>32</v>
      </c>
      <c r="Z2141" s="19" t="str">
        <f>A2141 &amp; "-" &amp; VLOOKUP(A2141,[4]PROGRAMMES!$E$1:$F$7,2,FALSE)</f>
        <v>1-Accès et équité à l'enseignement général</v>
      </c>
      <c r="AA2141" s="19" t="str">
        <f>B2141 &amp; "-" &amp; VLOOKUP(B2141,[4]SOUSPROGRAMMES!$E$1:$F$44,2,FALSE)</f>
        <v xml:space="preserve">25- Conditions d’apprentissage améliorées </v>
      </c>
      <c r="AB2141" s="19" t="str">
        <f>C2141 &amp; "-" &amp; VLOOKUP(C2141,[4]RESULTATS!$E$1:$F$176,2,FALSE)</f>
        <v>521-Les rôles et responsabilités des acteurs sont clairement définis</v>
      </c>
      <c r="AC2141" s="20" t="str">
        <f>D2141 &amp; "-" &amp; VLOOKUP(D2141,[4]STRATEGIES!$E$1:$F$504,2,FALSE)</f>
        <v>1122-Prise en charge des enfants du préscolaire par les cantines des écoles situées à proximité</v>
      </c>
      <c r="AD2141" s="21" t="str">
        <f t="shared" si="333"/>
        <v>52116-Acquisition et distribution des fournitures aux enfants défavorisés</v>
      </c>
    </row>
    <row r="2142" spans="1:30" s="71" customFormat="1" ht="45.75" x14ac:dyDescent="0.8">
      <c r="A2142" s="63">
        <v>1</v>
      </c>
      <c r="B2142" s="73">
        <v>11</v>
      </c>
      <c r="C2142" s="73">
        <v>521</v>
      </c>
      <c r="D2142" s="74">
        <v>2335</v>
      </c>
      <c r="E2142" s="73">
        <v>52117</v>
      </c>
      <c r="F2142" s="64" t="s">
        <v>2638</v>
      </c>
      <c r="G2142" s="65" t="s">
        <v>1332</v>
      </c>
      <c r="H2142" s="66" t="s">
        <v>2674</v>
      </c>
      <c r="I2142" s="67">
        <v>1</v>
      </c>
      <c r="J2142" s="68">
        <v>1</v>
      </c>
      <c r="K2142" s="68">
        <v>1</v>
      </c>
      <c r="L2142" s="68">
        <v>1</v>
      </c>
      <c r="M2142" s="68">
        <v>4</v>
      </c>
      <c r="N2142" s="68">
        <v>1</v>
      </c>
      <c r="O2142" s="68">
        <v>1</v>
      </c>
      <c r="P2142" s="68">
        <v>1</v>
      </c>
      <c r="Q2142" s="68">
        <v>1</v>
      </c>
      <c r="R2142" s="68">
        <v>1</v>
      </c>
      <c r="S2142" s="68">
        <v>4</v>
      </c>
      <c r="T2142" s="69" t="s">
        <v>129</v>
      </c>
      <c r="U2142" s="19" t="s">
        <v>40</v>
      </c>
      <c r="V2142" s="19" t="str">
        <f>IF(OR($H2142="",$H2142="sif",$H2142="PM"),"",VLOOKUP($H2142,[5]CU!$C$5:$J$255,8,FALSE))</f>
        <v>3. Dépenses de fonctionnement</v>
      </c>
      <c r="W2142" s="70"/>
      <c r="X2142" s="70"/>
      <c r="Y2142" s="19" t="s">
        <v>32</v>
      </c>
      <c r="Z2142" s="19" t="str">
        <f>A2142 &amp; "-" &amp; VLOOKUP(A2142,[4]PROGRAMMES!$E$1:$F$7,2,FALSE)</f>
        <v>1-Accès et équité à l'enseignement général</v>
      </c>
      <c r="AA2142" s="19" t="str">
        <f>B2142 &amp; "-" &amp; VLOOKUP(B2142,[4]SOUSPROGRAMMES!$E$1:$F$44,2,FALSE)</f>
        <v>11- Accès équitable au préscolaire</v>
      </c>
      <c r="AB2142" s="19" t="str">
        <f>C2142 &amp; "-" &amp; VLOOKUP(C2142,[4]RESULTATS!$E$1:$F$176,2,FALSE)</f>
        <v>521-Les rôles et responsabilités des acteurs sont clairement définis</v>
      </c>
      <c r="AC2142" s="20" t="str">
        <f>D2142 &amp; "-" &amp; VLOOKUP(D2142,[4]STRATEGIES!$E$1:$F$504,2,FALSE)</f>
        <v>2335-Suivi pédagogique par le directeur d’école et les Chef d’Unité Pédagogique</v>
      </c>
      <c r="AD2142" s="21" t="str">
        <f t="shared" si="333"/>
        <v>52117-Appui au   suivi pedagogique au CEC</v>
      </c>
    </row>
    <row r="2143" spans="1:30" s="71" customFormat="1" ht="45.75" x14ac:dyDescent="0.8">
      <c r="A2143" s="63">
        <v>1</v>
      </c>
      <c r="B2143" s="73">
        <v>15</v>
      </c>
      <c r="C2143" s="73">
        <v>521</v>
      </c>
      <c r="D2143" s="74">
        <v>2521</v>
      </c>
      <c r="E2143" s="73">
        <v>52118</v>
      </c>
      <c r="F2143" s="64" t="s">
        <v>2639</v>
      </c>
      <c r="G2143" s="65" t="s">
        <v>454</v>
      </c>
      <c r="H2143" s="66" t="s">
        <v>2674</v>
      </c>
      <c r="I2143" s="67">
        <v>5</v>
      </c>
      <c r="J2143" s="68">
        <v>10</v>
      </c>
      <c r="K2143" s="68">
        <v>5</v>
      </c>
      <c r="L2143" s="68">
        <v>20</v>
      </c>
      <c r="M2143" s="68">
        <v>40</v>
      </c>
      <c r="N2143" s="68">
        <v>2</v>
      </c>
      <c r="O2143" s="68">
        <v>10</v>
      </c>
      <c r="P2143" s="68">
        <v>20</v>
      </c>
      <c r="Q2143" s="68">
        <v>10</v>
      </c>
      <c r="R2143" s="68">
        <v>40</v>
      </c>
      <c r="S2143" s="68">
        <v>80</v>
      </c>
      <c r="T2143" s="69" t="s">
        <v>129</v>
      </c>
      <c r="U2143" s="19" t="s">
        <v>40</v>
      </c>
      <c r="V2143" s="19" t="str">
        <f>IF(OR($H2143="",$H2143="sif",$H2143="PM"),"",VLOOKUP($H2143,[5]CU!$C$5:$J$255,8,FALSE))</f>
        <v>3. Dépenses de fonctionnement</v>
      </c>
      <c r="W2143" s="70"/>
      <c r="X2143" s="70"/>
      <c r="Y2143" s="19" t="s">
        <v>32</v>
      </c>
      <c r="Z2143" s="19" t="str">
        <f>A2143 &amp; "-" &amp; VLOOKUP(A2143,[4]PROGRAMMES!$E$1:$F$7,2,FALSE)</f>
        <v>1-Accès et équité à l'enseignement général</v>
      </c>
      <c r="AA2143" s="19" t="str">
        <f>B2143 &amp; "-" &amp; VLOOKUP(B2143,[4]SOUSPROGRAMMES!$E$1:$F$44,2,FALSE)</f>
        <v>15- Promotion de l'éducation inclusive, y compris les FA</v>
      </c>
      <c r="AB2143" s="19" t="str">
        <f>C2143 &amp; "-" &amp; VLOOKUP(C2143,[4]RESULTATS!$E$1:$F$176,2,FALSE)</f>
        <v>521-Les rôles et responsabilités des acteurs sont clairement définis</v>
      </c>
      <c r="AC2143" s="20" t="str">
        <f>D2143 &amp; "-" &amp; VLOOKUP(D2143,[4]STRATEGIES!$E$1:$F$504,2,FALSE)</f>
        <v>2521-Sensibilisation et Formation des enseignants et éducateurs à l'utilisation des guides et manuels d'enseignants</v>
      </c>
      <c r="AD2143" s="21" t="str">
        <f t="shared" si="333"/>
        <v>52118-Sensibilisation sur  l'education des filles et les enfants en situation de handicap</v>
      </c>
    </row>
    <row r="2144" spans="1:30" s="71" customFormat="1" ht="45.75" x14ac:dyDescent="0.8">
      <c r="A2144" s="63">
        <v>1</v>
      </c>
      <c r="B2144" s="73">
        <v>15</v>
      </c>
      <c r="C2144" s="73">
        <v>521</v>
      </c>
      <c r="D2144" s="74">
        <v>6371</v>
      </c>
      <c r="E2144" s="73">
        <v>52119</v>
      </c>
      <c r="F2144" s="64" t="s">
        <v>2640</v>
      </c>
      <c r="G2144" s="65" t="s">
        <v>2641</v>
      </c>
      <c r="H2144" s="66" t="s">
        <v>520</v>
      </c>
      <c r="I2144" s="67">
        <v>300</v>
      </c>
      <c r="J2144" s="68">
        <v>300</v>
      </c>
      <c r="K2144" s="68">
        <v>300</v>
      </c>
      <c r="L2144" s="68">
        <v>300</v>
      </c>
      <c r="M2144" s="68">
        <v>1200</v>
      </c>
      <c r="N2144" s="68">
        <v>0.03</v>
      </c>
      <c r="O2144" s="68">
        <v>9</v>
      </c>
      <c r="P2144" s="68">
        <v>9</v>
      </c>
      <c r="Q2144" s="68">
        <v>9</v>
      </c>
      <c r="R2144" s="68">
        <v>9</v>
      </c>
      <c r="S2144" s="68">
        <v>36</v>
      </c>
      <c r="T2144" s="69" t="s">
        <v>129</v>
      </c>
      <c r="U2144" s="88" t="s">
        <v>170</v>
      </c>
      <c r="V2144" s="19" t="str">
        <f>IF(OR($H2144="",$H2144="sif",$H2144="PM"),"",VLOOKUP($H2144,[5]CU!$C$5:$J$255,8,FALSE))</f>
        <v>3. Manuels scolaires et matériels pédagogiques</v>
      </c>
      <c r="W2144" s="70"/>
      <c r="X2144" s="70"/>
      <c r="Y2144" s="19" t="s">
        <v>32</v>
      </c>
      <c r="Z2144" s="19" t="str">
        <f>A2144 &amp; "-" &amp; VLOOKUP(A2144,[4]PROGRAMMES!$E$1:$F$7,2,FALSE)</f>
        <v>1-Accès et équité à l'enseignement général</v>
      </c>
      <c r="AA2144" s="19" t="str">
        <f>B2144 &amp; "-" &amp; VLOOKUP(B2144,[4]SOUSPROGRAMMES!$E$1:$F$44,2,FALSE)</f>
        <v>15- Promotion de l'éducation inclusive, y compris les FA</v>
      </c>
      <c r="AB2144" s="19" t="str">
        <f>C2144 &amp; "-" &amp; VLOOKUP(C2144,[4]RESULTATS!$E$1:$F$176,2,FALSE)</f>
        <v>521-Les rôles et responsabilités des acteurs sont clairement définis</v>
      </c>
      <c r="AC2144" s="20" t="str">
        <f>D2144 &amp; "-" &amp; VLOOKUP(D2144,[4]STRATEGIES!$E$1:$F$504,2,FALSE)</f>
        <v>6371-Acquisition et distribution de matériel didactique</v>
      </c>
      <c r="AD2144" s="21" t="str">
        <f t="shared" si="333"/>
        <v>52119-Acquisition et distribution des fournitures et kits aux enfants défavorisés</v>
      </c>
    </row>
    <row r="2145" spans="1:30" s="71" customFormat="1" ht="45.75" x14ac:dyDescent="0.8">
      <c r="A2145" s="63">
        <v>1</v>
      </c>
      <c r="B2145" s="73">
        <v>23</v>
      </c>
      <c r="C2145" s="73">
        <v>521</v>
      </c>
      <c r="D2145" s="74">
        <v>6422</v>
      </c>
      <c r="E2145" s="73">
        <v>521201</v>
      </c>
      <c r="F2145" s="64" t="s">
        <v>2642</v>
      </c>
      <c r="G2145" s="65" t="s">
        <v>51</v>
      </c>
      <c r="H2145" s="66" t="s">
        <v>301</v>
      </c>
      <c r="I2145" s="67">
        <v>572</v>
      </c>
      <c r="J2145" s="68">
        <v>100</v>
      </c>
      <c r="K2145" s="68">
        <v>100</v>
      </c>
      <c r="L2145" s="68">
        <v>100</v>
      </c>
      <c r="M2145" s="68">
        <v>872</v>
      </c>
      <c r="N2145" s="68">
        <v>7.0000000000000007E-2</v>
      </c>
      <c r="O2145" s="68">
        <v>40.040000000000006</v>
      </c>
      <c r="P2145" s="68">
        <v>7.0000000000000009</v>
      </c>
      <c r="Q2145" s="68">
        <v>7.0000000000000009</v>
      </c>
      <c r="R2145" s="68">
        <v>7.0000000000000009</v>
      </c>
      <c r="S2145" s="68">
        <v>61.040000000000006</v>
      </c>
      <c r="T2145" s="69" t="s">
        <v>129</v>
      </c>
      <c r="U2145" s="88" t="s">
        <v>170</v>
      </c>
      <c r="V2145" s="19" t="str">
        <f>IF(OR($H2145="",$H2145="sif",$H2145="PM"),"",VLOOKUP($H2145,[5]CU!$C$5:$J$255,8,FALSE))</f>
        <v>3. Formation</v>
      </c>
      <c r="W2145" s="70"/>
      <c r="X2145" s="70"/>
      <c r="Y2145" s="19" t="s">
        <v>32</v>
      </c>
      <c r="Z2145" s="19" t="str">
        <f>A2145 &amp; "-" &amp; VLOOKUP(A2145,[4]PROGRAMMES!$E$1:$F$7,2,FALSE)</f>
        <v>1-Accès et équité à l'enseignement général</v>
      </c>
      <c r="AA2145" s="19" t="str">
        <f>B2145 &amp; "-" &amp; VLOOKUP(B2145,[4]SOUSPROGRAMMES!$E$1:$F$44,2,FALSE)</f>
        <v xml:space="preserve">23- Formation initiale et continue des enseignants/éducateurs y compris dans les méthodes pédagogiques innovatntes  </v>
      </c>
      <c r="AB2145" s="19" t="str">
        <f>C2145 &amp; "-" &amp; VLOOKUP(C2145,[4]RESULTATS!$E$1:$F$176,2,FALSE)</f>
        <v>521-Les rôles et responsabilités des acteurs sont clairement définis</v>
      </c>
      <c r="AC2145" s="20" t="str">
        <f>D2145 &amp; "-" &amp; VLOOKUP(D2145,[4]STRATEGIES!$E$1:$F$504,2,FALSE)</f>
        <v>6422-Développement de modules de formation en matière de gestion financière, organisation paysanne et communication et formation des membres des groupements</v>
      </c>
      <c r="AD2145" s="21" t="str">
        <f t="shared" si="333"/>
        <v>521201-Formation des enseignants l'ECS, accent un accent sur les IST/VIH-Sida en milieu scolaire et sur la prévention des grossesses et mariage precoce</v>
      </c>
    </row>
    <row r="2146" spans="1:30" s="71" customFormat="1" ht="45.75" x14ac:dyDescent="0.8">
      <c r="A2146" s="63">
        <v>1</v>
      </c>
      <c r="B2146" s="73">
        <v>23</v>
      </c>
      <c r="C2146" s="73">
        <v>521</v>
      </c>
      <c r="D2146" s="74">
        <v>5211</v>
      </c>
      <c r="E2146" s="73">
        <v>521202</v>
      </c>
      <c r="F2146" s="64" t="s">
        <v>2643</v>
      </c>
      <c r="G2146" s="65" t="s">
        <v>454</v>
      </c>
      <c r="H2146" s="66" t="s">
        <v>2674</v>
      </c>
      <c r="I2146" s="67">
        <v>300</v>
      </c>
      <c r="J2146" s="68">
        <v>100</v>
      </c>
      <c r="K2146" s="68">
        <v>400</v>
      </c>
      <c r="L2146" s="68">
        <v>500</v>
      </c>
      <c r="M2146" s="68">
        <v>1300</v>
      </c>
      <c r="N2146" s="68">
        <v>0.5</v>
      </c>
      <c r="O2146" s="68">
        <v>150</v>
      </c>
      <c r="P2146" s="68">
        <v>50</v>
      </c>
      <c r="Q2146" s="68">
        <v>200</v>
      </c>
      <c r="R2146" s="68">
        <v>250</v>
      </c>
      <c r="S2146" s="68">
        <v>650</v>
      </c>
      <c r="T2146" s="69" t="s">
        <v>129</v>
      </c>
      <c r="U2146" s="88" t="s">
        <v>170</v>
      </c>
      <c r="V2146" s="19" t="str">
        <f>IF(OR($H2146="",$H2146="sif",$H2146="PM"),"",VLOOKUP($H2146,[5]CU!$C$5:$J$255,8,FALSE))</f>
        <v>3. Dépenses de fonctionnement</v>
      </c>
      <c r="W2146" s="70"/>
      <c r="X2146" s="70"/>
      <c r="Y2146" s="70"/>
      <c r="Z2146" s="19" t="str">
        <f>A2146 &amp; "-" &amp; VLOOKUP(A2146,[4]PROGRAMMES!$E$1:$F$7,2,FALSE)</f>
        <v>1-Accès et équité à l'enseignement général</v>
      </c>
      <c r="AA2146" s="19" t="str">
        <f>B2146 &amp; "-" &amp; VLOOKUP(B2146,[4]SOUSPROGRAMMES!$E$1:$F$44,2,FALSE)</f>
        <v xml:space="preserve">23- Formation initiale et continue des enseignants/éducateurs y compris dans les méthodes pédagogiques innovatntes  </v>
      </c>
      <c r="AB2146" s="19" t="str">
        <f>C2146 &amp; "-" &amp; VLOOKUP(C2146,[4]RESULTATS!$E$1:$F$176,2,FALSE)</f>
        <v>521-Les rôles et responsabilités des acteurs sont clairement définis</v>
      </c>
      <c r="AC2146" s="20" t="str">
        <f>D2146 &amp; "-" &amp; VLOOKUP(D2146,[4]STRATEGIES!$E$1:$F$504,2,FALSE)</f>
        <v>5211-Production de manuels de procédures pour les différents acteurs (rôles et responsabilités)</v>
      </c>
      <c r="AD2146" s="21" t="str">
        <f t="shared" si="333"/>
        <v xml:space="preserve">521202-Sensibilisation des élèves sur la prévention des grossesses précoces et non désirées, les IST/VIH-Sida en milieu scolaire </v>
      </c>
    </row>
    <row r="2147" spans="1:30" s="71" customFormat="1" ht="45.75" x14ac:dyDescent="0.8">
      <c r="A2147" s="63">
        <v>1</v>
      </c>
      <c r="B2147" s="73">
        <v>25</v>
      </c>
      <c r="C2147" s="73">
        <v>521</v>
      </c>
      <c r="D2147" s="74">
        <v>3312</v>
      </c>
      <c r="E2147" s="73">
        <v>521203</v>
      </c>
      <c r="F2147" s="64" t="s">
        <v>2644</v>
      </c>
      <c r="G2147" s="65" t="s">
        <v>2634</v>
      </c>
      <c r="H2147" s="66" t="s">
        <v>520</v>
      </c>
      <c r="I2147" s="67">
        <v>572</v>
      </c>
      <c r="J2147" s="68">
        <v>0</v>
      </c>
      <c r="K2147" s="68">
        <v>100</v>
      </c>
      <c r="L2147" s="68">
        <v>0</v>
      </c>
      <c r="M2147" s="68">
        <v>672</v>
      </c>
      <c r="N2147" s="68">
        <v>0.51</v>
      </c>
      <c r="O2147" s="68">
        <v>291.72000000000003</v>
      </c>
      <c r="P2147" s="68">
        <v>0</v>
      </c>
      <c r="Q2147" s="68">
        <v>51</v>
      </c>
      <c r="R2147" s="68">
        <v>0</v>
      </c>
      <c r="S2147" s="68">
        <v>342.72</v>
      </c>
      <c r="T2147" s="69" t="s">
        <v>129</v>
      </c>
      <c r="U2147" s="19" t="s">
        <v>647</v>
      </c>
      <c r="V2147" s="19" t="str">
        <f>IF(OR($H2147="",$H2147="sif",$H2147="PM"),"",VLOOKUP($H2147,[5]CU!$C$5:$J$255,8,FALSE))</f>
        <v>3. Manuels scolaires et matériels pédagogiques</v>
      </c>
      <c r="W2147" s="70"/>
      <c r="X2147" s="70"/>
      <c r="Y2147" s="19" t="s">
        <v>32</v>
      </c>
      <c r="Z2147" s="19" t="str">
        <f>A2147 &amp; "-" &amp; VLOOKUP(A2147,[4]PROGRAMMES!$E$1:$F$7,2,FALSE)</f>
        <v>1-Accès et équité à l'enseignement général</v>
      </c>
      <c r="AA2147" s="19" t="str">
        <f>B2147 &amp; "-" &amp; VLOOKUP(B2147,[4]SOUSPROGRAMMES!$E$1:$F$44,2,FALSE)</f>
        <v xml:space="preserve">25- Conditions d’apprentissage améliorées </v>
      </c>
      <c r="AB2147" s="19" t="str">
        <f>C2147 &amp; "-" &amp; VLOOKUP(C2147,[4]RESULTATS!$E$1:$F$176,2,FALSE)</f>
        <v>521-Les rôles et responsabilités des acteurs sont clairement définis</v>
      </c>
      <c r="AC2147" s="20" t="str">
        <f>D2147 &amp; "-" &amp; VLOOKUP(D2147,[4]STRATEGIES!$E$1:$F$504,2,FALSE)</f>
        <v>3312-Dotation des établissements en personnel qualifié suffisant</v>
      </c>
      <c r="AD2147" s="21" t="str">
        <f t="shared" si="333"/>
        <v>521203-Dotation des ecoles des planches du ruban rouge et des fiches pedagogiques sur l'ECS</v>
      </c>
    </row>
    <row r="2148" spans="1:30" s="71" customFormat="1" ht="61" x14ac:dyDescent="0.8">
      <c r="A2148" s="63">
        <v>1</v>
      </c>
      <c r="B2148" s="73">
        <v>23</v>
      </c>
      <c r="C2148" s="73">
        <v>521</v>
      </c>
      <c r="D2148" s="74">
        <v>5852</v>
      </c>
      <c r="E2148" s="73">
        <v>521204</v>
      </c>
      <c r="F2148" s="64" t="s">
        <v>2645</v>
      </c>
      <c r="G2148" s="65" t="s">
        <v>454</v>
      </c>
      <c r="H2148" s="66" t="s">
        <v>2674</v>
      </c>
      <c r="I2148" s="67">
        <v>1000</v>
      </c>
      <c r="J2148" s="68">
        <v>2000</v>
      </c>
      <c r="K2148" s="68">
        <v>3000</v>
      </c>
      <c r="L2148" s="68">
        <v>1000</v>
      </c>
      <c r="M2148" s="68">
        <v>7000</v>
      </c>
      <c r="N2148" s="68">
        <v>0.05</v>
      </c>
      <c r="O2148" s="68">
        <v>50</v>
      </c>
      <c r="P2148" s="68">
        <v>100</v>
      </c>
      <c r="Q2148" s="68">
        <v>150</v>
      </c>
      <c r="R2148" s="68">
        <v>50</v>
      </c>
      <c r="S2148" s="68">
        <v>350</v>
      </c>
      <c r="T2148" s="69" t="s">
        <v>129</v>
      </c>
      <c r="U2148" s="19" t="s">
        <v>647</v>
      </c>
      <c r="V2148" s="19" t="str">
        <f>IF(OR($H2148="",$H2148="sif",$H2148="PM"),"",VLOOKUP($H2148,[5]CU!$C$5:$J$255,8,FALSE))</f>
        <v>3. Dépenses de fonctionnement</v>
      </c>
      <c r="W2148" s="70"/>
      <c r="X2148" s="70"/>
      <c r="Y2148" s="19" t="s">
        <v>32</v>
      </c>
      <c r="Z2148" s="19" t="str">
        <f>A2148 &amp; "-" &amp; VLOOKUP(A2148,[4]PROGRAMMES!$E$1:$F$7,2,FALSE)</f>
        <v>1-Accès et équité à l'enseignement général</v>
      </c>
      <c r="AA2148" s="19" t="str">
        <f>B2148 &amp; "-" &amp; VLOOKUP(B2148,[4]SOUSPROGRAMMES!$E$1:$F$44,2,FALSE)</f>
        <v xml:space="preserve">23- Formation initiale et continue des enseignants/éducateurs y compris dans les méthodes pédagogiques innovatntes  </v>
      </c>
      <c r="AB2148" s="19" t="str">
        <f>C2148 &amp; "-" &amp; VLOOKUP(C2148,[4]RESULTATS!$E$1:$F$176,2,FALSE)</f>
        <v>521-Les rôles et responsabilités des acteurs sont clairement définis</v>
      </c>
      <c r="AC2148" s="20" t="str">
        <f>D2148 &amp; "-" &amp; VLOOKUP(D2148,[4]STRATEGIES!$E$1:$F$504,2,FALSE)</f>
        <v>5852-Sensibilisation des acteurs</v>
      </c>
      <c r="AD2148" s="21" t="str">
        <f t="shared" si="333"/>
        <v>521204-Sensibilisation des menages et communautes sur la prevention des mariages precoces, les grossesses precoces, le suivi des enfants a l'ecole, la reduction des charges domestiques pour les filles, et les violences sur les enfants e particulier sur les filles</v>
      </c>
    </row>
    <row r="2149" spans="1:30" s="71" customFormat="1" ht="45.75" x14ac:dyDescent="0.8">
      <c r="A2149" s="63">
        <v>1</v>
      </c>
      <c r="B2149" s="73">
        <v>23</v>
      </c>
      <c r="C2149" s="73">
        <v>521</v>
      </c>
      <c r="D2149" s="74">
        <v>5852</v>
      </c>
      <c r="E2149" s="73">
        <v>521205</v>
      </c>
      <c r="F2149" s="64" t="s">
        <v>2646</v>
      </c>
      <c r="G2149" s="65" t="s">
        <v>454</v>
      </c>
      <c r="H2149" s="66" t="s">
        <v>2674</v>
      </c>
      <c r="I2149" s="67">
        <v>59</v>
      </c>
      <c r="J2149" s="68">
        <v>59</v>
      </c>
      <c r="K2149" s="68">
        <v>59</v>
      </c>
      <c r="L2149" s="68">
        <v>59</v>
      </c>
      <c r="M2149" s="68">
        <v>236</v>
      </c>
      <c r="N2149" s="68">
        <v>0.5</v>
      </c>
      <c r="O2149" s="68">
        <v>29.5</v>
      </c>
      <c r="P2149" s="68">
        <v>29.5</v>
      </c>
      <c r="Q2149" s="68">
        <v>29.5</v>
      </c>
      <c r="R2149" s="68">
        <v>29.5</v>
      </c>
      <c r="S2149" s="68">
        <v>118</v>
      </c>
      <c r="T2149" s="69" t="s">
        <v>129</v>
      </c>
      <c r="U2149" s="19" t="s">
        <v>647</v>
      </c>
      <c r="V2149" s="19" t="str">
        <f>IF(OR($H2149="",$H2149="sif",$H2149="PM"),"",VLOOKUP($H2149,[5]CU!$C$5:$J$255,8,FALSE))</f>
        <v>3. Dépenses de fonctionnement</v>
      </c>
      <c r="W2149" s="70"/>
      <c r="X2149" s="70"/>
      <c r="Y2149" s="19" t="s">
        <v>32</v>
      </c>
      <c r="Z2149" s="19" t="str">
        <f>A2149 &amp; "-" &amp; VLOOKUP(A2149,[4]PROGRAMMES!$E$1:$F$7,2,FALSE)</f>
        <v>1-Accès et équité à l'enseignement général</v>
      </c>
      <c r="AA2149" s="19" t="str">
        <f>B2149 &amp; "-" &amp; VLOOKUP(B2149,[4]SOUSPROGRAMMES!$E$1:$F$44,2,FALSE)</f>
        <v xml:space="preserve">23- Formation initiale et continue des enseignants/éducateurs y compris dans les méthodes pédagogiques innovatntes  </v>
      </c>
      <c r="AB2149" s="19" t="str">
        <f>C2149 &amp; "-" &amp; VLOOKUP(C2149,[4]RESULTATS!$E$1:$F$176,2,FALSE)</f>
        <v>521-Les rôles et responsabilités des acteurs sont clairement définis</v>
      </c>
      <c r="AC2149" s="20" t="str">
        <f>D2149 &amp; "-" &amp; VLOOKUP(D2149,[4]STRATEGIES!$E$1:$F$504,2,FALSE)</f>
        <v>5852-Sensibilisation des acteurs</v>
      </c>
      <c r="AD2149" s="21" t="str">
        <f t="shared" si="333"/>
        <v>521205-Sensibilisation des elus locaux  des collectivites sur la prevention des mariages precoces, les grossesses precoces, et les violences sur les enfants en particulier sur les filles</v>
      </c>
    </row>
    <row r="2150" spans="1:30" s="71" customFormat="1" ht="45.75" x14ac:dyDescent="0.8">
      <c r="A2150" s="63">
        <v>1</v>
      </c>
      <c r="B2150" s="73">
        <v>23</v>
      </c>
      <c r="C2150" s="73">
        <v>521</v>
      </c>
      <c r="D2150" s="74">
        <v>5852</v>
      </c>
      <c r="E2150" s="73">
        <v>521206</v>
      </c>
      <c r="F2150" s="64" t="s">
        <v>2647</v>
      </c>
      <c r="G2150" s="65" t="s">
        <v>2648</v>
      </c>
      <c r="H2150" s="66" t="s">
        <v>52</v>
      </c>
      <c r="I2150" s="67">
        <v>500</v>
      </c>
      <c r="J2150" s="68">
        <v>1000</v>
      </c>
      <c r="K2150" s="68">
        <v>1000</v>
      </c>
      <c r="L2150" s="68">
        <v>1000</v>
      </c>
      <c r="M2150" s="68">
        <v>3500</v>
      </c>
      <c r="N2150" s="68">
        <v>0.1</v>
      </c>
      <c r="O2150" s="68">
        <v>50</v>
      </c>
      <c r="P2150" s="68">
        <v>100</v>
      </c>
      <c r="Q2150" s="68">
        <v>100</v>
      </c>
      <c r="R2150" s="68">
        <v>100</v>
      </c>
      <c r="S2150" s="68">
        <v>350</v>
      </c>
      <c r="T2150" s="69" t="s">
        <v>129</v>
      </c>
      <c r="U2150" s="19" t="s">
        <v>647</v>
      </c>
      <c r="V2150" s="19" t="str">
        <f>IF(OR($H2150="",$H2150="sif",$H2150="PM"),"",VLOOKUP($H2150,[5]CU!$C$5:$J$255,8,FALSE))</f>
        <v>3. Formation</v>
      </c>
      <c r="W2150" s="70"/>
      <c r="X2150" s="70"/>
      <c r="Y2150" s="19" t="s">
        <v>32</v>
      </c>
      <c r="Z2150" s="19" t="str">
        <f>A2150 &amp; "-" &amp; VLOOKUP(A2150,[4]PROGRAMMES!$E$1:$F$7,2,FALSE)</f>
        <v>1-Accès et équité à l'enseignement général</v>
      </c>
      <c r="AA2150" s="19" t="str">
        <f>B2150 &amp; "-" &amp; VLOOKUP(B2150,[4]SOUSPROGRAMMES!$E$1:$F$44,2,FALSE)</f>
        <v xml:space="preserve">23- Formation initiale et continue des enseignants/éducateurs y compris dans les méthodes pédagogiques innovatntes  </v>
      </c>
      <c r="AB2150" s="19" t="str">
        <f>C2150 &amp; "-" &amp; VLOOKUP(C2150,[4]RESULTATS!$E$1:$F$176,2,FALSE)</f>
        <v>521-Les rôles et responsabilités des acteurs sont clairement définis</v>
      </c>
      <c r="AC2150" s="20" t="str">
        <f>D2150 &amp; "-" &amp; VLOOKUP(D2150,[4]STRATEGIES!$E$1:$F$504,2,FALSE)</f>
        <v>5852-Sensibilisation des acteurs</v>
      </c>
      <c r="AD2150" s="21" t="str">
        <f>E2152 &amp; "-" &amp; F2150</f>
        <v>522208-Renforcement des capacites des organisations Communautaires de base (APEAE, AME,GDE,CDE)</v>
      </c>
    </row>
    <row r="2151" spans="1:30" s="71" customFormat="1" ht="61" x14ac:dyDescent="0.8">
      <c r="A2151" s="63">
        <v>1</v>
      </c>
      <c r="B2151" s="73">
        <v>58</v>
      </c>
      <c r="C2151" s="73">
        <v>521</v>
      </c>
      <c r="D2151" s="74">
        <v>571</v>
      </c>
      <c r="E2151" s="73">
        <v>521207</v>
      </c>
      <c r="F2151" s="64" t="s">
        <v>2649</v>
      </c>
      <c r="G2151" s="65" t="s">
        <v>199</v>
      </c>
      <c r="H2151" s="66" t="s">
        <v>2674</v>
      </c>
      <c r="I2151" s="67">
        <v>500</v>
      </c>
      <c r="J2151" s="68">
        <v>1000</v>
      </c>
      <c r="K2151" s="68">
        <v>1000</v>
      </c>
      <c r="L2151" s="68">
        <v>1000</v>
      </c>
      <c r="M2151" s="68">
        <v>3500</v>
      </c>
      <c r="N2151" s="68">
        <v>0.1</v>
      </c>
      <c r="O2151" s="68">
        <v>50</v>
      </c>
      <c r="P2151" s="68">
        <v>100</v>
      </c>
      <c r="Q2151" s="68">
        <v>100</v>
      </c>
      <c r="R2151" s="68">
        <v>100</v>
      </c>
      <c r="S2151" s="68">
        <v>350</v>
      </c>
      <c r="T2151" s="69" t="s">
        <v>129</v>
      </c>
      <c r="U2151" s="19" t="s">
        <v>170</v>
      </c>
      <c r="V2151" s="19" t="str">
        <f>IF(OR($H2151="",$H2151="sif",$H2151="PM"),"",VLOOKUP($H2151,[5]CU!$C$5:$J$255,8,FALSE))</f>
        <v>3. Dépenses de fonctionnement</v>
      </c>
      <c r="W2151" s="70"/>
      <c r="X2151" s="70"/>
      <c r="Y2151" s="19" t="s">
        <v>32</v>
      </c>
      <c r="Z2151" s="19" t="str">
        <f>A2151 &amp; "-" &amp; VLOOKUP(A2151,[4]PROGRAMMES!$E$1:$F$7,2,FALSE)</f>
        <v>1-Accès et équité à l'enseignement général</v>
      </c>
      <c r="AA2151" s="19" t="str">
        <f>B2151 &amp; "-" &amp; VLOOKUP(B2151,[4]SOUSPROGRAMMES!$E$1:$F$44,2,FALSE)</f>
        <v>58- Renforcement des compétences de l’administration (cadre normatif, poste-profil, évaluation, équipement, formations…)</v>
      </c>
      <c r="AB2151" s="19" t="str">
        <f>C2151 &amp; "-" &amp; VLOOKUP(C2151,[4]RESULTATS!$E$1:$F$176,2,FALSE)</f>
        <v>521-Les rôles et responsabilités des acteurs sont clairement définis</v>
      </c>
      <c r="AC2151" s="20" t="str">
        <f>D2151 &amp; "-" &amp; VLOOKUP(D2151,[4]STRATEGIES!$E$1:$F$504,2,FALSE)</f>
        <v>571- Des organes de pilotage et de coordination interministérielles existent et fonctionnent éfficacement</v>
      </c>
      <c r="AD2151" s="21" t="str">
        <f>E2153 &amp; "-" &amp; F2151</f>
        <v>12181-Appui a la participation des organisations des enfants et des jeunes dans la gestion des ecoles</v>
      </c>
    </row>
    <row r="2152" spans="1:30" s="71" customFormat="1" ht="61" x14ac:dyDescent="0.8">
      <c r="A2152" s="63">
        <v>1</v>
      </c>
      <c r="B2152" s="73">
        <v>58</v>
      </c>
      <c r="C2152" s="73">
        <v>521</v>
      </c>
      <c r="D2152" s="74">
        <v>5713</v>
      </c>
      <c r="E2152" s="73">
        <v>522208</v>
      </c>
      <c r="F2152" s="64" t="s">
        <v>2650</v>
      </c>
      <c r="G2152" s="65" t="s">
        <v>2651</v>
      </c>
      <c r="H2152" s="66" t="s">
        <v>2674</v>
      </c>
      <c r="I2152" s="67">
        <v>50</v>
      </c>
      <c r="J2152" s="68">
        <v>50</v>
      </c>
      <c r="K2152" s="68">
        <v>50</v>
      </c>
      <c r="L2152" s="68">
        <v>50</v>
      </c>
      <c r="M2152" s="68">
        <v>200</v>
      </c>
      <c r="N2152" s="68">
        <v>1</v>
      </c>
      <c r="O2152" s="68">
        <v>50</v>
      </c>
      <c r="P2152" s="68">
        <v>50</v>
      </c>
      <c r="Q2152" s="68">
        <v>50</v>
      </c>
      <c r="R2152" s="68">
        <v>50</v>
      </c>
      <c r="S2152" s="68">
        <v>200</v>
      </c>
      <c r="T2152" s="69" t="s">
        <v>129</v>
      </c>
      <c r="U2152" s="19" t="s">
        <v>647</v>
      </c>
      <c r="V2152" s="19" t="str">
        <f>IF(OR($H2152="",$H2152="sif",$H2152="PM"),"",VLOOKUP($H2152,[5]CU!$C$5:$J$255,8,FALSE))</f>
        <v>3. Dépenses de fonctionnement</v>
      </c>
      <c r="W2152" s="70"/>
      <c r="X2152" s="70"/>
      <c r="Y2152" s="19" t="s">
        <v>32</v>
      </c>
      <c r="Z2152" s="19" t="str">
        <f>A2152 &amp; "-" &amp; VLOOKUP(A2152,[4]PROGRAMMES!$E$1:$F$7,2,FALSE)</f>
        <v>1-Accès et équité à l'enseignement général</v>
      </c>
      <c r="AA2152" s="19" t="str">
        <f>B2152 &amp; "-" &amp; VLOOKUP(B2152,[4]SOUSPROGRAMMES!$E$1:$F$44,2,FALSE)</f>
        <v>58- Renforcement des compétences de l’administration (cadre normatif, poste-profil, évaluation, équipement, formations…)</v>
      </c>
      <c r="AB2152" s="19" t="str">
        <f>C2152 &amp; "-" &amp; VLOOKUP(C2152,[4]RESULTATS!$E$1:$F$176,2,FALSE)</f>
        <v>521-Les rôles et responsabilités des acteurs sont clairement définis</v>
      </c>
      <c r="AC2152" s="20" t="str">
        <f>D2152 &amp; "-" &amp; VLOOKUP(D2152,[4]STRATEGIES!$E$1:$F$504,2,FALSE)</f>
        <v>5713-Appui au fonctionnement des structures de coordination et de pilotage</v>
      </c>
      <c r="AD2152" s="21" t="str">
        <f>E2154 &amp; "-" &amp; F2152</f>
        <v>12191-Soutien des actions de plaidoyer des OCB et societe civile</v>
      </c>
    </row>
    <row r="2153" spans="1:30" s="71" customFormat="1" ht="45.75" x14ac:dyDescent="0.8">
      <c r="A2153" s="63">
        <v>1</v>
      </c>
      <c r="B2153" s="73">
        <v>15</v>
      </c>
      <c r="C2153" s="73">
        <v>151</v>
      </c>
      <c r="D2153" s="74">
        <v>151</v>
      </c>
      <c r="E2153" s="73">
        <v>12181</v>
      </c>
      <c r="F2153" s="64" t="s">
        <v>2652</v>
      </c>
      <c r="G2153" s="65" t="s">
        <v>2632</v>
      </c>
      <c r="H2153" s="66" t="s">
        <v>2674</v>
      </c>
      <c r="I2153" s="67">
        <v>5</v>
      </c>
      <c r="J2153" s="68">
        <v>15</v>
      </c>
      <c r="K2153" s="68">
        <v>20</v>
      </c>
      <c r="L2153" s="68">
        <v>20</v>
      </c>
      <c r="M2153" s="68">
        <v>60</v>
      </c>
      <c r="N2153" s="68">
        <v>20</v>
      </c>
      <c r="O2153" s="68">
        <v>100</v>
      </c>
      <c r="P2153" s="68">
        <v>300</v>
      </c>
      <c r="Q2153" s="68">
        <v>400</v>
      </c>
      <c r="R2153" s="68">
        <v>400</v>
      </c>
      <c r="S2153" s="68">
        <v>1200</v>
      </c>
      <c r="T2153" s="69" t="s">
        <v>129</v>
      </c>
      <c r="U2153" s="19" t="s">
        <v>647</v>
      </c>
      <c r="V2153" s="19" t="str">
        <f>IF(OR($H2153="",$H2153="sif",$H2153="PM"),"",VLOOKUP($H2153,[5]CU!$C$5:$J$255,8,FALSE))</f>
        <v>3. Dépenses de fonctionnement</v>
      </c>
      <c r="W2153" s="70"/>
      <c r="X2153" s="70"/>
      <c r="Y2153" s="19" t="s">
        <v>32</v>
      </c>
      <c r="Z2153" s="19" t="str">
        <f>A2153 &amp; "-" &amp; VLOOKUP(A2153,[4]PROGRAMMES!$E$1:$F$7,2,FALSE)</f>
        <v>1-Accès et équité à l'enseignement général</v>
      </c>
      <c r="AA2153" s="19" t="str">
        <f>B2153 &amp; "-" &amp; VLOOKUP(B2153,[4]SOUSPROGRAMMES!$E$1:$F$44,2,FALSE)</f>
        <v>15- Promotion de l'éducation inclusive, y compris les FA</v>
      </c>
      <c r="AB2153" s="19" t="str">
        <f>C2153 &amp; "-" &amp; VLOOKUP(C2153,[4]RESULTATS!$E$1:$F$176,2,FALSE)</f>
        <v>151- L'environnement d’enseignement et d'apprentissage est adapté aux besoins spécifiques  des enfants en situation de handicap</v>
      </c>
      <c r="AC2153" s="20" t="str">
        <f>D2153 &amp; "-" &amp; VLOOKUP(D2153,[4]STRATEGIES!$E$1:$F$504,2,FALSE)</f>
        <v>151-Construction de rampes d'accès pour les écoles/établissements qui n'en disposent pas</v>
      </c>
      <c r="AD2153" s="21" t="str">
        <f>E2155 &amp; "-" &amp; F2153</f>
        <v>24201-Amelioration de l'environnement d'apprentissage avec prise en compte des besoins des filles (latrines, lavage des mains, espaces des jeux)</v>
      </c>
    </row>
    <row r="2154" spans="1:30" s="71" customFormat="1" ht="45.75" x14ac:dyDescent="0.8">
      <c r="A2154" s="63">
        <v>1</v>
      </c>
      <c r="B2154" s="73">
        <v>15</v>
      </c>
      <c r="C2154" s="73">
        <v>151</v>
      </c>
      <c r="D2154" s="74">
        <v>1219</v>
      </c>
      <c r="E2154" s="73">
        <v>12191</v>
      </c>
      <c r="F2154" s="64" t="s">
        <v>2653</v>
      </c>
      <c r="G2154" s="65" t="s">
        <v>2654</v>
      </c>
      <c r="H2154" s="17" t="s">
        <v>896</v>
      </c>
      <c r="I2154" s="67">
        <v>1</v>
      </c>
      <c r="J2154" s="68">
        <v>1</v>
      </c>
      <c r="K2154" s="68">
        <v>0</v>
      </c>
      <c r="L2154" s="68">
        <v>0</v>
      </c>
      <c r="M2154" s="68">
        <v>2</v>
      </c>
      <c r="N2154" s="68">
        <v>100</v>
      </c>
      <c r="O2154" s="68">
        <v>100</v>
      </c>
      <c r="P2154" s="68">
        <v>100</v>
      </c>
      <c r="Q2154" s="68">
        <v>0</v>
      </c>
      <c r="R2154" s="68">
        <v>0</v>
      </c>
      <c r="S2154" s="68">
        <v>200</v>
      </c>
      <c r="T2154" s="69" t="s">
        <v>129</v>
      </c>
      <c r="U2154" s="19" t="s">
        <v>647</v>
      </c>
      <c r="V2154" s="19" t="str">
        <f>IF(OR($H2154="",$H2154="sif",$H2154="PM"),"",VLOOKUP($H2154,[5]CU!$C$5:$J$255,8,FALSE))</f>
        <v>3. Manuels scolaires et matériels pédagogiques</v>
      </c>
      <c r="W2154" s="70"/>
      <c r="X2154" s="70"/>
      <c r="Y2154" s="70"/>
      <c r="Z2154" s="19" t="str">
        <f>A2154 &amp; "-" &amp; VLOOKUP(A2154,[4]PROGRAMMES!$E$1:$F$7,2,FALSE)</f>
        <v>1-Accès et équité à l'enseignement général</v>
      </c>
      <c r="AA2154" s="19" t="str">
        <f>B2154 &amp; "-" &amp; VLOOKUP(B2154,[4]SOUSPROGRAMMES!$E$1:$F$44,2,FALSE)</f>
        <v>15- Promotion de l'éducation inclusive, y compris les FA</v>
      </c>
      <c r="AB2154" s="19" t="str">
        <f>C2154 &amp; "-" &amp; VLOOKUP(C2154,[4]RESULTATS!$E$1:$F$176,2,FALSE)</f>
        <v>151- L'environnement d’enseignement et d'apprentissage est adapté aux besoins spécifiques  des enfants en situation de handicap</v>
      </c>
      <c r="AC2154" s="20" t="str">
        <f>D2156 &amp; "-" &amp; VLOOKUP(D2156,[4]STRATEGIES!$E$1:$F$504,2,FALSE)</f>
        <v>1531-Renforcement des capacités en éducation inclusive (pilotage, directeurs, enseignants)</v>
      </c>
      <c r="AD2154" s="21" t="str">
        <f>E2156 &amp; "-" &amp; F2154</f>
        <v>52221-Appui a l'emelioration des programmes d'enseignements avec prise en compte des besoins specifiques des filles ( MGF/E, autres violences, )</v>
      </c>
    </row>
    <row r="2155" spans="1:30" s="71" customFormat="1" ht="30.5" x14ac:dyDescent="0.8">
      <c r="A2155" s="63">
        <v>1</v>
      </c>
      <c r="B2155" s="73">
        <v>24</v>
      </c>
      <c r="C2155" s="73">
        <v>242</v>
      </c>
      <c r="D2155" s="74">
        <v>2335</v>
      </c>
      <c r="E2155" s="73">
        <v>24201</v>
      </c>
      <c r="F2155" s="64" t="s">
        <v>2655</v>
      </c>
      <c r="G2155" s="65" t="s">
        <v>1332</v>
      </c>
      <c r="H2155" s="17" t="s">
        <v>1333</v>
      </c>
      <c r="I2155" s="67">
        <v>1</v>
      </c>
      <c r="J2155" s="68">
        <v>1</v>
      </c>
      <c r="K2155" s="68">
        <v>1</v>
      </c>
      <c r="L2155" s="68">
        <v>1</v>
      </c>
      <c r="M2155" s="68">
        <v>4</v>
      </c>
      <c r="N2155" s="68">
        <v>25</v>
      </c>
      <c r="O2155" s="68">
        <v>25</v>
      </c>
      <c r="P2155" s="68">
        <v>25</v>
      </c>
      <c r="Q2155" s="68">
        <v>25</v>
      </c>
      <c r="R2155" s="68">
        <v>25</v>
      </c>
      <c r="S2155" s="68">
        <v>100</v>
      </c>
      <c r="T2155" s="69" t="s">
        <v>129</v>
      </c>
      <c r="U2155" s="19" t="s">
        <v>647</v>
      </c>
      <c r="V2155" s="19" t="str">
        <f>IF(OR($H2155="",$H2155="sif",$H2155="PM"),"",VLOOKUP($H2155,[5]CU!$C$5:$J$255,8,FALSE))</f>
        <v>3. Dépenses de fonctionnement</v>
      </c>
      <c r="W2155" s="70"/>
      <c r="X2155" s="70"/>
      <c r="Y2155" s="19" t="s">
        <v>32</v>
      </c>
      <c r="Z2155" s="19" t="str">
        <f>A2155 &amp; "-" &amp; VLOOKUP(A2155,[4]PROGRAMMES!$E$1:$F$7,2,FALSE)</f>
        <v>1-Accès et équité à l'enseignement général</v>
      </c>
      <c r="AA2155" s="19" t="str">
        <f>B2155 &amp; "-" &amp; VLOOKUP(B2155,[4]SOUSPROGRAMMES!$E$1:$F$44,2,FALSE)</f>
        <v>24- Encadrement des enseignants : appui et contrôle</v>
      </c>
      <c r="AB2155" s="19" t="str">
        <f>C2155 &amp; "-" &amp; VLOOKUP(C2155,[4]RESULTATS!$E$1:$F$176,2,FALSE)</f>
        <v>242- L’encadrement dispose des ressources humaines en nombre nécessaire et en profil pertinent</v>
      </c>
      <c r="AC2155" s="20" t="str">
        <f>D2155 &amp; "-" &amp; VLOOKUP(D2155,[4]STRATEGIES!$E$1:$F$504,2,FALSE)</f>
        <v>2335-Suivi pédagogique par le directeur d’école et les Chef d’Unité Pédagogique</v>
      </c>
      <c r="AD2155" s="21" t="str">
        <f t="shared" ref="AD2155:AD2156" si="334">E2157 &amp; "-" &amp; F2155</f>
        <v>23111-Suivi pedagogique des enseignants au niveau des ecoles</v>
      </c>
    </row>
    <row r="2156" spans="1:30" s="71" customFormat="1" ht="61" x14ac:dyDescent="0.8">
      <c r="A2156" s="63">
        <v>1</v>
      </c>
      <c r="B2156" s="73">
        <v>23</v>
      </c>
      <c r="C2156" s="73">
        <v>231</v>
      </c>
      <c r="D2156" s="74">
        <v>1531</v>
      </c>
      <c r="E2156" s="73">
        <v>52221</v>
      </c>
      <c r="F2156" s="64" t="s">
        <v>2656</v>
      </c>
      <c r="G2156" s="65" t="s">
        <v>51</v>
      </c>
      <c r="H2156" s="66" t="s">
        <v>52</v>
      </c>
      <c r="I2156" s="67">
        <v>500</v>
      </c>
      <c r="J2156" s="68">
        <v>500</v>
      </c>
      <c r="K2156" s="68">
        <v>500</v>
      </c>
      <c r="L2156" s="68">
        <v>500</v>
      </c>
      <c r="M2156" s="68">
        <v>2000</v>
      </c>
      <c r="N2156" s="68">
        <v>0.1</v>
      </c>
      <c r="O2156" s="68">
        <v>50</v>
      </c>
      <c r="P2156" s="68">
        <v>50</v>
      </c>
      <c r="Q2156" s="68">
        <v>50</v>
      </c>
      <c r="R2156" s="68">
        <v>50</v>
      </c>
      <c r="S2156" s="68">
        <v>200</v>
      </c>
      <c r="T2156" s="69" t="s">
        <v>129</v>
      </c>
      <c r="U2156" s="19" t="s">
        <v>647</v>
      </c>
      <c r="V2156" s="19" t="str">
        <f>IF(OR($H2156="",$H2156="sif",$H2156="PM"),"",VLOOKUP($H2156,[5]CU!$C$5:$J$255,8,FALSE))</f>
        <v>3. Formation</v>
      </c>
      <c r="W2156" s="70"/>
      <c r="X2156" s="70"/>
      <c r="Y2156" s="19" t="s">
        <v>32</v>
      </c>
      <c r="Z2156" s="19" t="str">
        <f>A2156 &amp; "-" &amp; VLOOKUP(A2156,[4]PROGRAMMES!$E$1:$F$7,2,FALSE)</f>
        <v>1-Accès et équité à l'enseignement général</v>
      </c>
      <c r="AA2156" s="19" t="str">
        <f>B2156 &amp; "-" &amp; VLOOKUP(B2156,[4]SOUSPROGRAMMES!$E$1:$F$44,2,FALSE)</f>
        <v xml:space="preserve">23- Formation initiale et continue des enseignants/éducateurs y compris dans les méthodes pédagogiques innovatntes  </v>
      </c>
      <c r="AB2156" s="19" t="str">
        <f>C2156 &amp; "-" &amp; VLOOKUP(C2156,[4]RESULTATS!$E$1:$F$176,2,FALSE)</f>
        <v>231- Une formation initiale de qualité (polyvalence, méthodes pédagogiques innovantes, éducation inclusive et gestion des classes multigrades) des formateurs et cohérente avec les curricula, est mise en place</v>
      </c>
      <c r="AC2156" s="20" t="str">
        <f>D2156 &amp; "-" &amp; VLOOKUP(D2156,[4]STRATEGIES!$E$1:$F$504,2,FALSE)</f>
        <v>1531-Renforcement des capacités en éducation inclusive (pilotage, directeurs, enseignants)</v>
      </c>
      <c r="AD2156" s="21" t="str">
        <f t="shared" si="334"/>
        <v>23121-Formation des enseignants sur l'education inclusive, les pedagogies actives et les didactiques en francais, mathematique, secience d'observations et autres displines</v>
      </c>
    </row>
    <row r="2157" spans="1:30" s="71" customFormat="1" ht="61" x14ac:dyDescent="0.8">
      <c r="A2157" s="63">
        <v>1</v>
      </c>
      <c r="B2157" s="73">
        <v>23</v>
      </c>
      <c r="C2157" s="73">
        <v>231</v>
      </c>
      <c r="D2157" s="73">
        <v>2311</v>
      </c>
      <c r="E2157" s="73">
        <v>23111</v>
      </c>
      <c r="F2157" s="64" t="s">
        <v>2642</v>
      </c>
      <c r="G2157" s="65" t="s">
        <v>51</v>
      </c>
      <c r="H2157" s="66" t="s">
        <v>52</v>
      </c>
      <c r="I2157" s="67">
        <v>154</v>
      </c>
      <c r="J2157" s="68">
        <v>50</v>
      </c>
      <c r="K2157" s="68">
        <v>50</v>
      </c>
      <c r="L2157" s="68">
        <v>50</v>
      </c>
      <c r="M2157" s="68">
        <v>304</v>
      </c>
      <c r="N2157" s="68">
        <v>7.0000000000000007E-2</v>
      </c>
      <c r="O2157" s="68">
        <v>10.780000000000001</v>
      </c>
      <c r="P2157" s="68">
        <v>3.5000000000000004</v>
      </c>
      <c r="Q2157" s="68">
        <v>3.5000000000000004</v>
      </c>
      <c r="R2157" s="68">
        <v>3.5000000000000004</v>
      </c>
      <c r="S2157" s="68">
        <v>21.28</v>
      </c>
      <c r="T2157" s="69" t="s">
        <v>129</v>
      </c>
      <c r="U2157" s="19" t="s">
        <v>647</v>
      </c>
      <c r="V2157" s="19" t="str">
        <f>IF(OR($H2157="",$H2157="sif",$H2157="PM"),"",VLOOKUP($H2157,[5]CU!$C$5:$J$255,8,FALSE))</f>
        <v>3. Formation</v>
      </c>
      <c r="W2157" s="70"/>
      <c r="X2157" s="70"/>
      <c r="Y2157" s="70"/>
      <c r="Z2157" s="19" t="str">
        <f>A2157 &amp; "-" &amp; VLOOKUP(A2157,[4]PROGRAMMES!$E$1:$F$7,2,FALSE)</f>
        <v>1-Accès et équité à l'enseignement général</v>
      </c>
      <c r="AA2157" s="19" t="str">
        <f>B2157 &amp; "-" &amp; VLOOKUP(B2157,[4]SOUSPROGRAMMES!$E$1:$F$44,2,FALSE)</f>
        <v xml:space="preserve">23- Formation initiale et continue des enseignants/éducateurs y compris dans les méthodes pédagogiques innovatntes  </v>
      </c>
      <c r="AB2157" s="19" t="str">
        <f>C2157 &amp; "-" &amp; VLOOKUP(C2157,[4]RESULTATS!$E$1:$F$176,2,FALSE)</f>
        <v>231- Une formation initiale de qualité (polyvalence, méthodes pédagogiques innovantes, éducation inclusive et gestion des classes multigrades) des formateurs et cohérente avec les curricula, est mise en place</v>
      </c>
      <c r="AC2157" s="20" t="str">
        <f>D2157 &amp; "-" &amp; VLOOKUP(D2157,[4]STRATEGIES!$E$1:$F$504,2,FALSE)</f>
        <v>2311-La mise en place des standards de qualité sur la formation initiale (ENI)</v>
      </c>
      <c r="AD2157" s="21" t="str">
        <f t="shared" si="333"/>
        <v>23111-Formation des enseignants l'ECS, accent un accent sur les IST/VIH-Sida en milieu scolaire et sur la prévention des grossesses et mariage precoce</v>
      </c>
    </row>
    <row r="2158" spans="1:30" s="71" customFormat="1" ht="61" x14ac:dyDescent="0.8">
      <c r="A2158" s="63">
        <v>1</v>
      </c>
      <c r="B2158" s="73">
        <v>23</v>
      </c>
      <c r="C2158" s="73">
        <v>231</v>
      </c>
      <c r="D2158" s="73">
        <v>2312</v>
      </c>
      <c r="E2158" s="73">
        <v>23121</v>
      </c>
      <c r="F2158" s="64" t="s">
        <v>2657</v>
      </c>
      <c r="G2158" s="72" t="s">
        <v>454</v>
      </c>
      <c r="H2158" s="72" t="s">
        <v>2674</v>
      </c>
      <c r="I2158" s="67">
        <v>154</v>
      </c>
      <c r="J2158" s="68">
        <v>100</v>
      </c>
      <c r="K2158" s="68">
        <v>100</v>
      </c>
      <c r="L2158" s="68">
        <v>100</v>
      </c>
      <c r="M2158" s="68">
        <v>454</v>
      </c>
      <c r="N2158" s="68">
        <v>0.5</v>
      </c>
      <c r="O2158" s="68">
        <v>77</v>
      </c>
      <c r="P2158" s="68">
        <v>50</v>
      </c>
      <c r="Q2158" s="68">
        <v>50</v>
      </c>
      <c r="R2158" s="68">
        <v>50</v>
      </c>
      <c r="S2158" s="68">
        <v>227</v>
      </c>
      <c r="T2158" s="69" t="s">
        <v>129</v>
      </c>
      <c r="U2158" s="19" t="s">
        <v>647</v>
      </c>
      <c r="V2158" s="19" t="str">
        <f>IF(OR($H2158="",$H2158="sif",$H2158="PM"),"",VLOOKUP($H2158,[5]CU!$C$5:$J$255,8,FALSE))</f>
        <v>3. Dépenses de fonctionnement</v>
      </c>
      <c r="W2158" s="70"/>
      <c r="X2158" s="70"/>
      <c r="Y2158" s="70"/>
      <c r="Z2158" s="19" t="str">
        <f>A2158 &amp; "-" &amp; VLOOKUP(A2158,[4]PROGRAMMES!$E$1:$F$7,2,FALSE)</f>
        <v>1-Accès et équité à l'enseignement général</v>
      </c>
      <c r="AA2158" s="19" t="str">
        <f>B2158 &amp; "-" &amp; VLOOKUP(B2158,[4]SOUSPROGRAMMES!$E$1:$F$44,2,FALSE)</f>
        <v xml:space="preserve">23- Formation initiale et continue des enseignants/éducateurs y compris dans les méthodes pédagogiques innovatntes  </v>
      </c>
      <c r="AB2158" s="19" t="str">
        <f>C2158 &amp; "-" &amp; VLOOKUP(C2158,[4]RESULTATS!$E$1:$F$176,2,FALSE)</f>
        <v>231- Une formation initiale de qualité (polyvalence, méthodes pédagogiques innovantes, éducation inclusive et gestion des classes multigrades) des formateurs et cohérente avec les curricula, est mise en place</v>
      </c>
      <c r="AC2158" s="20" t="str">
        <f>D2158 &amp; "-" &amp; VLOOKUP(D2158,[4]STRATEGIES!$E$1:$F$504,2,FALSE)</f>
        <v>2312-Extension de la formation des éducateurs du préscolaire dans les ENI</v>
      </c>
      <c r="AD2158" s="21" t="str">
        <f t="shared" si="333"/>
        <v xml:space="preserve">23121-Sensibilisation des élèves sur la prévention des grossesses précoces et non désirées et les IST/VIH-Sida en milieu scolaire </v>
      </c>
    </row>
    <row r="2159" spans="1:30" s="71" customFormat="1" ht="45.75" x14ac:dyDescent="0.8">
      <c r="A2159" s="63">
        <v>1</v>
      </c>
      <c r="B2159" s="73">
        <v>25</v>
      </c>
      <c r="C2159" s="73">
        <v>251</v>
      </c>
      <c r="D2159" s="73">
        <v>2511</v>
      </c>
      <c r="E2159" s="73">
        <v>25111</v>
      </c>
      <c r="F2159" s="64" t="s">
        <v>2644</v>
      </c>
      <c r="G2159" s="65" t="s">
        <v>2634</v>
      </c>
      <c r="H2159" s="66" t="s">
        <v>520</v>
      </c>
      <c r="I2159" s="67">
        <v>154</v>
      </c>
      <c r="J2159" s="68">
        <v>0</v>
      </c>
      <c r="K2159" s="68">
        <v>50</v>
      </c>
      <c r="L2159" s="68">
        <v>0</v>
      </c>
      <c r="M2159" s="68">
        <v>204</v>
      </c>
      <c r="N2159" s="68">
        <v>0.51</v>
      </c>
      <c r="O2159" s="68">
        <v>78.540000000000006</v>
      </c>
      <c r="P2159" s="68">
        <v>0</v>
      </c>
      <c r="Q2159" s="68">
        <v>25.5</v>
      </c>
      <c r="R2159" s="68">
        <v>0</v>
      </c>
      <c r="S2159" s="68">
        <v>104.04</v>
      </c>
      <c r="T2159" s="69" t="s">
        <v>129</v>
      </c>
      <c r="U2159" s="19" t="s">
        <v>647</v>
      </c>
      <c r="V2159" s="19" t="str">
        <f>IF(OR($H2159="",$H2159="sif",$H2159="PM"),"",VLOOKUP($H2159,[5]CU!$C$5:$J$255,8,FALSE))</f>
        <v>3. Manuels scolaires et matériels pédagogiques</v>
      </c>
      <c r="W2159" s="70"/>
      <c r="X2159" s="70"/>
      <c r="Y2159" s="70"/>
      <c r="Z2159" s="19" t="str">
        <f>A2159 &amp; "-" &amp; VLOOKUP(A2159,[4]PROGRAMMES!$E$1:$F$7,2,FALSE)</f>
        <v>1-Accès et équité à l'enseignement général</v>
      </c>
      <c r="AA2159" s="19" t="str">
        <f>B2159 &amp; "-" &amp; VLOOKUP(B2159,[4]SOUSPROGRAMMES!$E$1:$F$44,2,FALSE)</f>
        <v xml:space="preserve">25- Conditions d’apprentissage améliorées </v>
      </c>
      <c r="AB2159" s="19" t="str">
        <f>C2159 &amp; "-" &amp; VLOOKUP(C2159,[4]RESULTATS!$E$1:$F$176,2,FALSE)</f>
        <v>251- Les manuels et guides adaptés aux nouveaux curricula sont développés</v>
      </c>
      <c r="AC2159" s="20" t="str">
        <f>D2159 &amp; "-" &amp; VLOOKUP(D2159,[4]STRATEGIES!$E$1:$F$504,2,FALSE)</f>
        <v>2511-Formation des groupes disciplinaires et rédaction des manuels et guides</v>
      </c>
      <c r="AD2159" s="21" t="str">
        <f t="shared" si="333"/>
        <v>25111-Dotation des ecoles des planches du ruban rouge et des fiches pedagogiques sur l'ECS</v>
      </c>
    </row>
    <row r="2160" spans="1:30" s="71" customFormat="1" ht="61" x14ac:dyDescent="0.8">
      <c r="A2160" s="63">
        <v>1</v>
      </c>
      <c r="B2160" s="73">
        <v>58</v>
      </c>
      <c r="C2160" s="73">
        <v>581</v>
      </c>
      <c r="D2160" s="73">
        <v>5812</v>
      </c>
      <c r="E2160" s="73">
        <v>58121</v>
      </c>
      <c r="F2160" s="64" t="s">
        <v>2649</v>
      </c>
      <c r="G2160" s="65" t="s">
        <v>199</v>
      </c>
      <c r="H2160" s="66" t="s">
        <v>52</v>
      </c>
      <c r="I2160" s="67">
        <v>79</v>
      </c>
      <c r="J2160" s="68">
        <v>50</v>
      </c>
      <c r="K2160" s="68">
        <v>60</v>
      </c>
      <c r="L2160" s="68">
        <v>40</v>
      </c>
      <c r="M2160" s="68">
        <v>229</v>
      </c>
      <c r="N2160" s="68">
        <v>0.1</v>
      </c>
      <c r="O2160" s="68">
        <v>7.9</v>
      </c>
      <c r="P2160" s="68">
        <v>5</v>
      </c>
      <c r="Q2160" s="68">
        <v>6</v>
      </c>
      <c r="R2160" s="68">
        <v>4</v>
      </c>
      <c r="S2160" s="68">
        <v>22.9</v>
      </c>
      <c r="T2160" s="69" t="s">
        <v>129</v>
      </c>
      <c r="U2160" s="19" t="s">
        <v>647</v>
      </c>
      <c r="V2160" s="19" t="str">
        <f>IF(OR($H2160="",$H2160="sif",$H2160="PM"),"",VLOOKUP($H2160,[5]CU!$C$5:$J$255,8,FALSE))</f>
        <v>3. Formation</v>
      </c>
      <c r="W2160" s="70"/>
      <c r="X2160" s="70"/>
      <c r="Y2160" s="70"/>
      <c r="Z2160" s="19" t="str">
        <f>A2160 &amp; "-" &amp; VLOOKUP(A2160,[4]PROGRAMMES!$E$1:$F$7,2,FALSE)</f>
        <v>1-Accès et équité à l'enseignement général</v>
      </c>
      <c r="AA2160" s="19" t="str">
        <f>B2160 &amp; "-" &amp; VLOOKUP(B2160,[4]SOUSPROGRAMMES!$E$1:$F$44,2,FALSE)</f>
        <v>58- Renforcement des compétences de l’administration (cadre normatif, poste-profil, évaluation, équipement, formations…)</v>
      </c>
      <c r="AB2160" s="19" t="str">
        <f>C2160 &amp; "-" &amp; VLOOKUP(C2160,[4]RESULTATS!$E$1:$F$176,2,FALSE)</f>
        <v xml:space="preserve">581- Les cadres organiques des différentes structures sont redéfinis pour que leur efficacité s’améliore </v>
      </c>
      <c r="AC2160" s="20" t="str">
        <f>D2160 &amp; "-" &amp; VLOOKUP(D2160,[4]STRATEGIES!$E$1:$F$504,2,FALSE)</f>
        <v>5812-Développement des cadres organiques adaptés (mission, attributions, organisation, nombre et profil de postes…)</v>
      </c>
      <c r="AD2160" s="21" t="str">
        <f t="shared" si="333"/>
        <v>58121-Appui a la participation des organisations des enfants et des jeunes dans la gestion des ecoles</v>
      </c>
    </row>
    <row r="2161" spans="1:30" s="71" customFormat="1" ht="45.75" x14ac:dyDescent="0.8">
      <c r="A2161" s="63">
        <v>1</v>
      </c>
      <c r="B2161" s="73">
        <v>25</v>
      </c>
      <c r="C2161" s="73">
        <v>251</v>
      </c>
      <c r="D2161" s="74">
        <v>3231</v>
      </c>
      <c r="E2161" s="73">
        <v>25131</v>
      </c>
      <c r="F2161" s="64" t="s">
        <v>2658</v>
      </c>
      <c r="G2161" s="65" t="s">
        <v>103</v>
      </c>
      <c r="H2161" s="66" t="s">
        <v>2674</v>
      </c>
      <c r="I2161" s="67">
        <v>0</v>
      </c>
      <c r="J2161" s="68">
        <v>10</v>
      </c>
      <c r="K2161" s="68">
        <v>10</v>
      </c>
      <c r="L2161" s="68">
        <v>10</v>
      </c>
      <c r="M2161" s="68">
        <v>30</v>
      </c>
      <c r="N2161" s="68">
        <v>30</v>
      </c>
      <c r="O2161" s="68">
        <v>0</v>
      </c>
      <c r="P2161" s="68">
        <v>300</v>
      </c>
      <c r="Q2161" s="68">
        <v>300</v>
      </c>
      <c r="R2161" s="68">
        <v>300</v>
      </c>
      <c r="S2161" s="68">
        <v>900</v>
      </c>
      <c r="T2161" s="69" t="s">
        <v>129</v>
      </c>
      <c r="U2161" s="19" t="s">
        <v>170</v>
      </c>
      <c r="V2161" s="19" t="str">
        <f>IF(OR($H2161="",$H2161="sif",$H2161="PM"),"",VLOOKUP($H2161,[5]CU!$C$5:$J$255,8,FALSE))</f>
        <v>3. Dépenses de fonctionnement</v>
      </c>
      <c r="W2161" s="70"/>
      <c r="X2161" s="70"/>
      <c r="Y2161" s="19" t="s">
        <v>32</v>
      </c>
      <c r="Z2161" s="19" t="str">
        <f>A2161 &amp; "-" &amp; VLOOKUP(A2161,[4]PROGRAMMES!$E$1:$F$7,2,FALSE)</f>
        <v>1-Accès et équité à l'enseignement général</v>
      </c>
      <c r="AA2161" s="19" t="str">
        <f>B2161 &amp; "-" &amp; VLOOKUP(B2161,[4]SOUSPROGRAMMES!$E$1:$F$44,2,FALSE)</f>
        <v xml:space="preserve">25- Conditions d’apprentissage améliorées </v>
      </c>
      <c r="AB2161" s="19" t="str">
        <f>C2161 &amp; "-" &amp; VLOOKUP(C2161,[4]RESULTATS!$E$1:$F$176,2,FALSE)</f>
        <v>251- Les manuels et guides adaptés aux nouveaux curricula sont développés</v>
      </c>
      <c r="AC2161" s="20" t="str">
        <f>D2161 &amp; "-" &amp; VLOOKUP(D2161,[4]STRATEGIES!$E$1:$F$504,2,FALSE)</f>
        <v>3231-Définition d’un cadre de développement de l’apprentissage</v>
      </c>
      <c r="AD2161" s="21" t="str">
        <f t="shared" si="333"/>
        <v>25131-Amelioration de l'envoronnement d'apprentissage avec prise en compte des besoins des filles (latrines, rampes,points d'eau, spaces des jeux )</v>
      </c>
    </row>
    <row r="2162" spans="1:30" s="71" customFormat="1" ht="30.5" x14ac:dyDescent="0.8">
      <c r="A2162" s="63">
        <v>1</v>
      </c>
      <c r="B2162" s="73">
        <v>24</v>
      </c>
      <c r="C2162" s="73">
        <v>241</v>
      </c>
      <c r="D2162" s="74">
        <v>2411</v>
      </c>
      <c r="E2162" s="73">
        <v>24111</v>
      </c>
      <c r="F2162" s="64" t="s">
        <v>2655</v>
      </c>
      <c r="G2162" s="65" t="s">
        <v>1332</v>
      </c>
      <c r="H2162" s="17" t="s">
        <v>1333</v>
      </c>
      <c r="I2162" s="67">
        <v>1</v>
      </c>
      <c r="J2162" s="68">
        <v>1</v>
      </c>
      <c r="K2162" s="68">
        <v>1</v>
      </c>
      <c r="L2162" s="68">
        <v>1</v>
      </c>
      <c r="M2162" s="68">
        <v>4</v>
      </c>
      <c r="N2162" s="68">
        <v>10</v>
      </c>
      <c r="O2162" s="68">
        <v>10</v>
      </c>
      <c r="P2162" s="68">
        <v>10</v>
      </c>
      <c r="Q2162" s="68">
        <v>10</v>
      </c>
      <c r="R2162" s="68">
        <v>10</v>
      </c>
      <c r="S2162" s="68">
        <v>40</v>
      </c>
      <c r="T2162" s="69" t="s">
        <v>129</v>
      </c>
      <c r="U2162" s="19" t="s">
        <v>647</v>
      </c>
      <c r="V2162" s="19" t="str">
        <f>IF(OR($H2162="",$H2162="sif",$H2162="PM"),"",VLOOKUP($H2162,[5]CU!$C$5:$J$255,8,FALSE))</f>
        <v>3. Dépenses de fonctionnement</v>
      </c>
      <c r="W2162" s="70"/>
      <c r="X2162" s="70"/>
      <c r="Y2162" s="70"/>
      <c r="Z2162" s="19" t="str">
        <f>A2162 &amp; "-" &amp; VLOOKUP(A2162,[4]PROGRAMMES!$E$1:$F$7,2,FALSE)</f>
        <v>1-Accès et équité à l'enseignement général</v>
      </c>
      <c r="AA2162" s="19" t="str">
        <f>B2162 &amp; "-" &amp; VLOOKUP(B2162,[4]SOUSPROGRAMMES!$E$1:$F$44,2,FALSE)</f>
        <v>24- Encadrement des enseignants : appui et contrôle</v>
      </c>
      <c r="AB2162" s="19" t="str">
        <f>C2162 &amp; "-" &amp; VLOOKUP(C2162,[4]RESULTATS!$E$1:$F$176,2,FALSE)</f>
        <v>241- Un dispositif efficace d’encadrement est défini (organisation, rôles des différents acteurs)</v>
      </c>
      <c r="AC2162" s="20" t="str">
        <f>D2162 &amp; "-" &amp; VLOOKUP(D2162,[4]STRATEGIES!$E$1:$F$504,2,FALSE)</f>
        <v>2411-Etat des lieux de l’encadrement (Forces et faiblesses)</v>
      </c>
      <c r="AD2162" s="21" t="str">
        <f t="shared" si="333"/>
        <v>24111-Suivi pedagogique des enseignants au niveau des ecoles</v>
      </c>
    </row>
    <row r="2163" spans="1:30" s="71" customFormat="1" ht="45.75" x14ac:dyDescent="0.8">
      <c r="A2163" s="63">
        <v>1</v>
      </c>
      <c r="B2163" s="73">
        <v>15</v>
      </c>
      <c r="C2163" s="73">
        <v>151</v>
      </c>
      <c r="D2163" s="74">
        <v>153</v>
      </c>
      <c r="E2163" s="73">
        <v>15111</v>
      </c>
      <c r="F2163" s="64" t="s">
        <v>2656</v>
      </c>
      <c r="G2163" s="65" t="s">
        <v>51</v>
      </c>
      <c r="H2163" s="66" t="s">
        <v>52</v>
      </c>
      <c r="I2163" s="67">
        <v>200</v>
      </c>
      <c r="J2163" s="68">
        <v>200</v>
      </c>
      <c r="K2163" s="68">
        <v>200</v>
      </c>
      <c r="L2163" s="68">
        <v>200</v>
      </c>
      <c r="M2163" s="68">
        <v>800</v>
      </c>
      <c r="N2163" s="68">
        <v>0.15</v>
      </c>
      <c r="O2163" s="68">
        <v>30</v>
      </c>
      <c r="P2163" s="68">
        <v>30</v>
      </c>
      <c r="Q2163" s="68">
        <v>30</v>
      </c>
      <c r="R2163" s="68">
        <v>30</v>
      </c>
      <c r="S2163" s="68">
        <v>120</v>
      </c>
      <c r="T2163" s="69" t="s">
        <v>129</v>
      </c>
      <c r="U2163" s="19" t="s">
        <v>647</v>
      </c>
      <c r="V2163" s="19" t="str">
        <f>IF(OR($H2163="",$H2163="sif",$H2163="PM"),"",VLOOKUP($H2163,[5]CU!$C$5:$J$255,8,FALSE))</f>
        <v>3. Formation</v>
      </c>
      <c r="W2163" s="70"/>
      <c r="X2163" s="70"/>
      <c r="Y2163" s="19" t="s">
        <v>32</v>
      </c>
      <c r="Z2163" s="19" t="str">
        <f>A2163 &amp; "-" &amp; VLOOKUP(A2163,[4]PROGRAMMES!$E$1:$F$7,2,FALSE)</f>
        <v>1-Accès et équité à l'enseignement général</v>
      </c>
      <c r="AA2163" s="19" t="str">
        <f>B2163 &amp; "-" &amp; VLOOKUP(B2163,[4]SOUSPROGRAMMES!$E$1:$F$44,2,FALSE)</f>
        <v>15- Promotion de l'éducation inclusive, y compris les FA</v>
      </c>
      <c r="AB2163" s="19" t="str">
        <f>C2163 &amp; "-" &amp; VLOOKUP(C2163,[4]RESULTATS!$E$1:$F$176,2,FALSE)</f>
        <v>151- L'environnement d’enseignement et d'apprentissage est adapté aux besoins spécifiques  des enfants en situation de handicap</v>
      </c>
      <c r="AC2163" s="20" t="str">
        <f>D2163 &amp; "-" &amp; VLOOKUP(D2163,[4]STRATEGIES!$E$1:$F$504,2,FALSE)</f>
        <v>153- L'éducation inclusive est intégrée dans la prise de décision par les différents acteurs</v>
      </c>
      <c r="AD2163" s="21" t="str">
        <f t="shared" si="333"/>
        <v>15111-Formation des enseignants sur l'education inclusive, les pedagogies actives et les didactiques en francais, mathematique, secience d'observations et autres displines</v>
      </c>
    </row>
    <row r="2164" spans="1:30" s="71" customFormat="1" ht="30.5" x14ac:dyDescent="0.8">
      <c r="A2164" s="63">
        <v>1</v>
      </c>
      <c r="B2164" s="73">
        <v>15</v>
      </c>
      <c r="C2164" s="73">
        <v>152</v>
      </c>
      <c r="D2164" s="73">
        <v>1521</v>
      </c>
      <c r="E2164" s="73">
        <v>15211</v>
      </c>
      <c r="F2164" s="64" t="s">
        <v>2659</v>
      </c>
      <c r="G2164" s="65" t="s">
        <v>2660</v>
      </c>
      <c r="H2164" s="66" t="s">
        <v>52</v>
      </c>
      <c r="I2164" s="67">
        <v>30</v>
      </c>
      <c r="J2164" s="68">
        <v>50</v>
      </c>
      <c r="K2164" s="68">
        <v>50</v>
      </c>
      <c r="L2164" s="68">
        <v>50</v>
      </c>
      <c r="M2164" s="68">
        <v>180</v>
      </c>
      <c r="N2164" s="68">
        <v>1</v>
      </c>
      <c r="O2164" s="68">
        <v>30</v>
      </c>
      <c r="P2164" s="68">
        <v>50</v>
      </c>
      <c r="Q2164" s="68">
        <v>50</v>
      </c>
      <c r="R2164" s="68">
        <v>50</v>
      </c>
      <c r="S2164" s="68">
        <v>180</v>
      </c>
      <c r="T2164" s="69" t="s">
        <v>129</v>
      </c>
      <c r="U2164" s="19" t="s">
        <v>397</v>
      </c>
      <c r="V2164" s="19" t="str">
        <f>IF(OR($H2164="",$H2164="sif",$H2164="PM"),"",VLOOKUP($H2164,[5]CU!$C$5:$J$255,8,FALSE))</f>
        <v>3. Formation</v>
      </c>
      <c r="W2164" s="70"/>
      <c r="X2164" s="70"/>
      <c r="Y2164" s="70"/>
      <c r="Z2164" s="19" t="str">
        <f>A2164 &amp; "-" &amp; VLOOKUP(A2164,[4]PROGRAMMES!$E$1:$F$7,2,FALSE)</f>
        <v>1-Accès et équité à l'enseignement général</v>
      </c>
      <c r="AA2164" s="19" t="str">
        <f>B2164 &amp; "-" &amp; VLOOKUP(B2164,[4]SOUSPROGRAMMES!$E$1:$F$44,2,FALSE)</f>
        <v>15- Promotion de l'éducation inclusive, y compris les FA</v>
      </c>
      <c r="AB2164" s="19" t="str">
        <f>C2164 &amp; "-" &amp; VLOOKUP(C2164,[4]RESULTATS!$E$1:$F$176,2,FALSE)</f>
        <v>152- Un protocole d’assistance matérielle, humaine et technique est élaboré et adopté</v>
      </c>
      <c r="AC2164" s="20" t="str">
        <f>D2164 &amp; "-" &amp; VLOOKUP(D2164,[4]STRATEGIES!$E$1:$F$504,2,FALSE)</f>
        <v>1521-Mise en place et actualisation de la cartographie des enfants en situation de handicap (ESH)</v>
      </c>
      <c r="AD2164" s="21" t="str">
        <f t="shared" si="333"/>
        <v>15211-Insertion des enfants et jeunes dans les centres d'apprentissages des metiers</v>
      </c>
    </row>
    <row r="2165" spans="1:30" s="71" customFormat="1" ht="30.5" x14ac:dyDescent="0.8">
      <c r="A2165" s="63">
        <v>1</v>
      </c>
      <c r="B2165" s="73">
        <v>15</v>
      </c>
      <c r="C2165" s="73">
        <v>153</v>
      </c>
      <c r="D2165" s="73">
        <v>1531</v>
      </c>
      <c r="E2165" s="73">
        <v>15311</v>
      </c>
      <c r="F2165" s="64" t="s">
        <v>2661</v>
      </c>
      <c r="G2165" s="65" t="s">
        <v>2660</v>
      </c>
      <c r="H2165" s="66" t="s">
        <v>2674</v>
      </c>
      <c r="I2165" s="67">
        <v>10</v>
      </c>
      <c r="J2165" s="68">
        <v>10</v>
      </c>
      <c r="K2165" s="68">
        <v>10</v>
      </c>
      <c r="L2165" s="68">
        <v>10</v>
      </c>
      <c r="M2165" s="68">
        <v>40</v>
      </c>
      <c r="N2165" s="68">
        <v>0.6</v>
      </c>
      <c r="O2165" s="68">
        <v>6</v>
      </c>
      <c r="P2165" s="68">
        <v>6</v>
      </c>
      <c r="Q2165" s="68">
        <v>6</v>
      </c>
      <c r="R2165" s="68">
        <v>6</v>
      </c>
      <c r="S2165" s="68">
        <v>24</v>
      </c>
      <c r="T2165" s="69" t="s">
        <v>129</v>
      </c>
      <c r="U2165" s="19" t="s">
        <v>397</v>
      </c>
      <c r="V2165" s="19" t="str">
        <f>IF(OR($H2165="",$H2165="sif",$H2165="PM"),"",VLOOKUP($H2165,[5]CU!$C$5:$J$255,8,FALSE))</f>
        <v>3. Dépenses de fonctionnement</v>
      </c>
      <c r="W2165" s="70"/>
      <c r="X2165" s="70"/>
      <c r="Y2165" s="70"/>
      <c r="Z2165" s="19" t="str">
        <f>A2165 &amp; "-" &amp; VLOOKUP(A2165,[4]PROGRAMMES!$E$1:$F$7,2,FALSE)</f>
        <v>1-Accès et équité à l'enseignement général</v>
      </c>
      <c r="AA2165" s="19" t="str">
        <f>B2165 &amp; "-" &amp; VLOOKUP(B2165,[4]SOUSPROGRAMMES!$E$1:$F$44,2,FALSE)</f>
        <v>15- Promotion de l'éducation inclusive, y compris les FA</v>
      </c>
      <c r="AB2165" s="19" t="str">
        <f>C2165 &amp; "-" &amp; VLOOKUP(C2165,[4]RESULTATS!$E$1:$F$176,2,FALSE)</f>
        <v>153- L'éducation inclusive est intégrée dans la prise de décision par les différents acteurs</v>
      </c>
      <c r="AC2165" s="20" t="str">
        <f>D2165 &amp; "-" &amp; VLOOKUP(D2165,[4]STRATEGIES!$E$1:$F$504,2,FALSE)</f>
        <v>1531-Renforcement des capacités en éducation inclusive (pilotage, directeurs, enseignants)</v>
      </c>
      <c r="AD2165" s="21" t="str">
        <f t="shared" si="333"/>
        <v>15311-Promotion de l'employabilite des filles</v>
      </c>
    </row>
    <row r="2166" spans="1:30" s="71" customFormat="1" ht="30.5" x14ac:dyDescent="0.8">
      <c r="A2166" s="63">
        <v>1</v>
      </c>
      <c r="B2166" s="73">
        <v>56</v>
      </c>
      <c r="C2166" s="73">
        <v>561</v>
      </c>
      <c r="D2166" s="73">
        <v>5611</v>
      </c>
      <c r="E2166" s="73">
        <v>56111</v>
      </c>
      <c r="F2166" s="64" t="s">
        <v>2662</v>
      </c>
      <c r="G2166" s="65" t="s">
        <v>2651</v>
      </c>
      <c r="H2166" s="66" t="s">
        <v>2674</v>
      </c>
      <c r="I2166" s="67">
        <v>500</v>
      </c>
      <c r="J2166" s="68">
        <v>500</v>
      </c>
      <c r="K2166" s="68">
        <v>500</v>
      </c>
      <c r="L2166" s="68">
        <v>500</v>
      </c>
      <c r="M2166" s="68">
        <v>2000</v>
      </c>
      <c r="N2166" s="68">
        <v>0.01</v>
      </c>
      <c r="O2166" s="68">
        <v>5</v>
      </c>
      <c r="P2166" s="68">
        <v>5</v>
      </c>
      <c r="Q2166" s="68">
        <v>5</v>
      </c>
      <c r="R2166" s="68">
        <v>5</v>
      </c>
      <c r="S2166" s="68">
        <v>20</v>
      </c>
      <c r="T2166" s="69" t="s">
        <v>129</v>
      </c>
      <c r="U2166" s="19" t="s">
        <v>647</v>
      </c>
      <c r="V2166" s="19" t="str">
        <f>IF(OR($H2166="",$H2166="sif",$H2166="PM"),"",VLOOKUP($H2166,[5]CU!$C$5:$J$255,8,FALSE))</f>
        <v>3. Dépenses de fonctionnement</v>
      </c>
      <c r="W2166" s="70"/>
      <c r="X2166" s="70"/>
      <c r="Y2166" s="70"/>
      <c r="Z2166" s="19" t="str">
        <f>A2166 &amp; "-" &amp; VLOOKUP(A2166,[4]PROGRAMMES!$E$1:$F$7,2,FALSE)</f>
        <v>1-Accès et équité à l'enseignement général</v>
      </c>
      <c r="AA2166" s="19" t="str">
        <f>B2166 &amp; "-" &amp; VLOOKUP(B2166,[4]SOUSPROGRAMMES!$E$1:$F$44,2,FALSE)</f>
        <v>56- Gestion des ressources financières</v>
      </c>
      <c r="AB2166" s="19" t="str">
        <f>C2166 &amp; "-" &amp; VLOOKUP(C2166,[4]RESULTATS!$E$1:$F$176,2,FALSE)</f>
        <v>561-Le financement du secteur est en adéquation avec les objectifs</v>
      </c>
      <c r="AC2166" s="20" t="str">
        <f>D2166 &amp; "-" &amp; VLOOKUP(D2166,[4]STRATEGIES!$E$1:$F$504,2,FALSE)</f>
        <v>5611-Sessions de sensibilisation sur l’importance de l’éducation comme investissement auprès de différents publics (parlementaires, médias, communes, …)</v>
      </c>
      <c r="AD2166" s="21" t="str">
        <f t="shared" si="333"/>
        <v>56111-Soutien  aux familles ( revenu, information, gestion des enfants..)</v>
      </c>
    </row>
    <row r="2167" spans="1:30" s="71" customFormat="1" ht="30.5" x14ac:dyDescent="0.8">
      <c r="A2167" s="63">
        <v>1</v>
      </c>
      <c r="B2167" s="73">
        <v>57</v>
      </c>
      <c r="C2167" s="73">
        <v>571</v>
      </c>
      <c r="D2167" s="73">
        <v>5711</v>
      </c>
      <c r="E2167" s="73">
        <v>57111</v>
      </c>
      <c r="F2167" s="64" t="s">
        <v>2663</v>
      </c>
      <c r="G2167" s="65" t="s">
        <v>2664</v>
      </c>
      <c r="H2167" s="66" t="s">
        <v>2212</v>
      </c>
      <c r="I2167" s="67">
        <v>50</v>
      </c>
      <c r="J2167" s="68">
        <v>50</v>
      </c>
      <c r="K2167" s="68">
        <v>50</v>
      </c>
      <c r="L2167" s="68">
        <v>50</v>
      </c>
      <c r="M2167" s="68">
        <v>200</v>
      </c>
      <c r="N2167" s="68">
        <v>1</v>
      </c>
      <c r="O2167" s="68">
        <v>50</v>
      </c>
      <c r="P2167" s="68">
        <v>50</v>
      </c>
      <c r="Q2167" s="68">
        <v>50</v>
      </c>
      <c r="R2167" s="68">
        <v>50</v>
      </c>
      <c r="S2167" s="68">
        <v>200</v>
      </c>
      <c r="T2167" s="69" t="s">
        <v>129</v>
      </c>
      <c r="U2167" s="19" t="s">
        <v>647</v>
      </c>
      <c r="V2167" s="19" t="str">
        <f>IF(OR($H2167="",$H2167="sif",$H2167="PM"),"",VLOOKUP($H2167,[5]CU!$C$5:$J$255,8,FALSE))</f>
        <v>3. Dépenses de fonctionnement</v>
      </c>
      <c r="W2167" s="70"/>
      <c r="X2167" s="70"/>
      <c r="Y2167" s="70"/>
      <c r="Z2167" s="19" t="str">
        <f>A2167 &amp; "-" &amp; VLOOKUP(A2167,[4]PROGRAMMES!$E$1:$F$7,2,FALSE)</f>
        <v>1-Accès et équité à l'enseignement général</v>
      </c>
      <c r="AA2167" s="19" t="str">
        <f>B2167 &amp; "-" &amp; VLOOKUP(B2167,[4]SOUSPROGRAMMES!$E$1:$F$44,2,FALSE)</f>
        <v>57- Coordination sectorielle</v>
      </c>
      <c r="AB2167" s="19" t="str">
        <f>C2167 &amp; "-" &amp; VLOOKUP(C2167,[4]RESULTATS!$E$1:$F$176,2,FALSE)</f>
        <v>571- Des organes de pilotage et de coordination interministérielles existent et fonctionnent éfficacement</v>
      </c>
      <c r="AC2167" s="20" t="str">
        <f>D2167 &amp; "-" &amp; VLOOKUP(D2167,[4]STRATEGIES!$E$1:$F$504,2,FALSE)</f>
        <v>5711-Analyse du fonctionnement des structures de coordination et de pilotage existantes et recommandations pour l’amélioration de la coordination et de pilotage</v>
      </c>
      <c r="AD2167" s="21" t="str">
        <f t="shared" si="333"/>
        <v>57111-Appui aux fonctionnement des structures de dialogue sectorielle (CSPPE,CPPE,CRPE)</v>
      </c>
    </row>
    <row r="2168" spans="1:30" ht="15" customHeight="1" x14ac:dyDescent="0.8">
      <c r="A2168" s="25"/>
      <c r="B2168" s="16"/>
      <c r="C2168" s="16"/>
      <c r="D2168" s="16"/>
      <c r="E2168" s="25"/>
      <c r="F2168" s="16"/>
      <c r="G2168" s="21"/>
      <c r="H2168" s="21"/>
      <c r="I2168" s="57"/>
      <c r="J2168" s="57"/>
      <c r="K2168" s="57"/>
      <c r="L2168" s="57"/>
      <c r="M2168" s="57"/>
      <c r="N2168" s="57"/>
      <c r="O2168" s="57">
        <f>N2168*I2168</f>
        <v>0</v>
      </c>
      <c r="P2168" s="57"/>
      <c r="Q2168" s="57"/>
      <c r="R2168" s="57"/>
      <c r="S2168" s="57"/>
      <c r="T2168" s="38"/>
      <c r="U2168" s="19"/>
      <c r="V2168" s="19"/>
      <c r="W2168" s="19"/>
      <c r="X2168" s="19"/>
      <c r="Y2168" s="19"/>
      <c r="Z2168" s="19"/>
      <c r="AA2168" s="19"/>
      <c r="AB2168" s="19"/>
      <c r="AC2168" s="20"/>
    </row>
    <row r="2169" spans="1:30" ht="15" customHeight="1" x14ac:dyDescent="0.8">
      <c r="A2169" s="40" t="s">
        <v>2616</v>
      </c>
      <c r="B2169" s="40" t="s">
        <v>2616</v>
      </c>
      <c r="C2169" s="40" t="s">
        <v>2616</v>
      </c>
      <c r="D2169" s="40" t="s">
        <v>2616</v>
      </c>
      <c r="E2169" s="40" t="s">
        <v>2616</v>
      </c>
      <c r="F2169" s="40" t="s">
        <v>2616</v>
      </c>
      <c r="G2169" s="40" t="s">
        <v>2616</v>
      </c>
      <c r="H2169" s="40" t="s">
        <v>2616</v>
      </c>
      <c r="I2169" s="62" t="s">
        <v>2616</v>
      </c>
      <c r="J2169" s="62" t="s">
        <v>2616</v>
      </c>
      <c r="K2169" s="62" t="s">
        <v>2616</v>
      </c>
      <c r="L2169" s="62" t="s">
        <v>2616</v>
      </c>
      <c r="M2169" s="62" t="s">
        <v>2616</v>
      </c>
      <c r="N2169" s="62" t="s">
        <v>2616</v>
      </c>
      <c r="O2169" s="62" t="s">
        <v>2616</v>
      </c>
      <c r="P2169" s="62" t="s">
        <v>2616</v>
      </c>
      <c r="Q2169" s="62" t="s">
        <v>2616</v>
      </c>
      <c r="R2169" s="62" t="s">
        <v>2616</v>
      </c>
      <c r="S2169" s="62" t="s">
        <v>2616</v>
      </c>
      <c r="T2169" s="40" t="s">
        <v>2616</v>
      </c>
      <c r="U2169" s="40" t="s">
        <v>2616</v>
      </c>
      <c r="V2169" s="40" t="s">
        <v>2616</v>
      </c>
      <c r="W2169" s="40" t="s">
        <v>2616</v>
      </c>
      <c r="X2169" s="40" t="s">
        <v>2616</v>
      </c>
      <c r="Y2169" s="40" t="s">
        <v>2616</v>
      </c>
      <c r="Z2169" s="40" t="s">
        <v>2616</v>
      </c>
      <c r="AA2169" s="40" t="s">
        <v>2616</v>
      </c>
      <c r="AB2169" s="40" t="s">
        <v>2616</v>
      </c>
      <c r="AC2169" s="40" t="s">
        <v>2616</v>
      </c>
      <c r="AD2169" s="40" t="s">
        <v>2616</v>
      </c>
    </row>
  </sheetData>
  <autoFilter ref="A2:AD2169" xr:uid="{00000000-0009-0000-0000-000001000000}">
    <filterColumn colId="19">
      <filters blank="1">
        <filter val="AFD"/>
        <filter val="AFD/PAFISAM"/>
        <filter val="AIDE ET ACTION"/>
        <filter val="Allemagne"/>
        <filter val="AR"/>
        <filter val="BID"/>
        <filter val="BM"/>
        <filter val="BM/BoCEJ"/>
        <filter val="CHILDFUND"/>
        <filter val="Fin"/>
        <filter val="FONDS KOWEITIEN"/>
        <filter val="FONDS SAOUDIEN"/>
        <filter val="JICA"/>
        <filter val="PAM"/>
        <filter val="PLAN"/>
        <filter val="PNUD"/>
        <filter val="UE"/>
        <filter val="UNESCO"/>
        <filter val="UNICEF"/>
      </filters>
    </filterColumn>
  </autoFilter>
  <phoneticPr fontId="28"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FFFF00"/>
  </sheetPr>
  <dimension ref="A1:R2168"/>
  <sheetViews>
    <sheetView zoomScale="135" zoomScaleNormal="80" workbookViewId="0">
      <pane ySplit="2" topLeftCell="A156" activePane="bottomLeft" state="frozen"/>
      <selection pane="bottomLeft" activeCell="N10" sqref="N10"/>
    </sheetView>
  </sheetViews>
  <sheetFormatPr baseColWidth="10" defaultColWidth="11" defaultRowHeight="13" x14ac:dyDescent="0.8"/>
  <cols>
    <col min="1" max="1" width="8.125" style="247" customWidth="1"/>
    <col min="2" max="2" width="38.75" style="248" customWidth="1"/>
    <col min="3" max="3" width="11.125" style="249" customWidth="1"/>
    <col min="4" max="4" width="8" style="245" hidden="1" customWidth="1"/>
    <col min="5" max="5" width="8.5" style="245" bestFit="1" customWidth="1"/>
    <col min="6" max="6" width="8.875" style="245" hidden="1" customWidth="1"/>
    <col min="7" max="7" width="8.25" style="245" hidden="1" customWidth="1"/>
    <col min="8" max="8" width="8.875" style="245" hidden="1" customWidth="1"/>
    <col min="9" max="9" width="9.125" style="245" customWidth="1"/>
    <col min="10" max="10" width="14.375" style="245" hidden="1" customWidth="1"/>
    <col min="11" max="11" width="13.75" style="245" hidden="1" customWidth="1"/>
    <col min="12" max="12" width="12.5" style="245" hidden="1" customWidth="1"/>
    <col min="13" max="13" width="12.875" style="245" hidden="1" customWidth="1"/>
    <col min="14" max="14" width="13.125" style="245" bestFit="1" customWidth="1"/>
    <col min="15" max="15" width="8.375" style="245" customWidth="1"/>
    <col min="16" max="16" width="10.75" style="245" customWidth="1"/>
    <col min="17" max="17" width="6.375" style="245" customWidth="1"/>
    <col min="18" max="18" width="7.25" style="246" customWidth="1"/>
    <col min="19" max="16384" width="11" style="109"/>
  </cols>
  <sheetData>
    <row r="1" spans="1:18" s="257" customFormat="1" ht="17.649999999999999" customHeight="1" x14ac:dyDescent="0.8">
      <c r="A1" s="255"/>
      <c r="B1" s="255" t="s">
        <v>2676</v>
      </c>
      <c r="C1" s="255"/>
      <c r="D1" s="256" t="s">
        <v>3482</v>
      </c>
      <c r="E1" s="256"/>
      <c r="F1" s="256"/>
      <c r="G1" s="256"/>
      <c r="H1" s="256"/>
      <c r="I1" s="256"/>
      <c r="J1" s="256" t="s">
        <v>3484</v>
      </c>
      <c r="K1" s="256"/>
      <c r="L1" s="256"/>
      <c r="M1" s="256"/>
      <c r="N1" s="256"/>
      <c r="O1" s="256"/>
      <c r="P1" s="256" t="s">
        <v>3189</v>
      </c>
      <c r="Q1" s="256"/>
      <c r="R1" s="250"/>
    </row>
    <row r="2" spans="1:18" s="269" customFormat="1" ht="17.649999999999999" customHeight="1" x14ac:dyDescent="0.8">
      <c r="A2" s="255" t="s">
        <v>5</v>
      </c>
      <c r="B2" s="264" t="s">
        <v>6</v>
      </c>
      <c r="C2" s="265" t="s">
        <v>8</v>
      </c>
      <c r="D2" s="266">
        <v>2019</v>
      </c>
      <c r="E2" s="266">
        <v>2020</v>
      </c>
      <c r="F2" s="266">
        <v>2021</v>
      </c>
      <c r="G2" s="266">
        <v>2022</v>
      </c>
      <c r="H2" s="266" t="s">
        <v>3483</v>
      </c>
      <c r="I2" s="266" t="s">
        <v>14</v>
      </c>
      <c r="J2" s="267">
        <v>2019</v>
      </c>
      <c r="K2" s="267">
        <v>2020</v>
      </c>
      <c r="L2" s="267">
        <v>2021</v>
      </c>
      <c r="M2" s="267">
        <v>2022</v>
      </c>
      <c r="N2" s="266" t="s">
        <v>3485</v>
      </c>
      <c r="O2" s="266" t="s">
        <v>3192</v>
      </c>
      <c r="P2" s="266" t="s">
        <v>3190</v>
      </c>
      <c r="Q2" s="266" t="s">
        <v>3191</v>
      </c>
      <c r="R2" s="268" t="s">
        <v>25</v>
      </c>
    </row>
    <row r="3" spans="1:18" ht="17.649999999999999" customHeight="1" x14ac:dyDescent="0.8">
      <c r="A3" s="247">
        <v>1</v>
      </c>
      <c r="B3" s="248" t="s">
        <v>31</v>
      </c>
      <c r="R3" s="246" t="s">
        <v>32</v>
      </c>
    </row>
    <row r="4" spans="1:18" ht="17.649999999999999" customHeight="1" x14ac:dyDescent="0.8">
      <c r="A4" s="247">
        <v>11</v>
      </c>
      <c r="B4" s="248" t="s">
        <v>33</v>
      </c>
      <c r="R4" s="246" t="s">
        <v>32</v>
      </c>
    </row>
    <row r="5" spans="1:18" ht="17.649999999999999" customHeight="1" x14ac:dyDescent="0.8">
      <c r="A5" s="247">
        <v>111</v>
      </c>
      <c r="B5" s="248" t="s">
        <v>34</v>
      </c>
      <c r="R5" s="246" t="s">
        <v>32</v>
      </c>
    </row>
    <row r="6" spans="1:18" ht="26" x14ac:dyDescent="0.8">
      <c r="A6" s="247">
        <v>1111</v>
      </c>
      <c r="B6" s="248" t="s">
        <v>35</v>
      </c>
      <c r="R6" s="246" t="s">
        <v>32</v>
      </c>
    </row>
    <row r="7" spans="1:18" ht="26" x14ac:dyDescent="0.8">
      <c r="A7" s="247">
        <v>11111</v>
      </c>
      <c r="B7" s="248" t="s">
        <v>36</v>
      </c>
      <c r="C7" s="249" t="s">
        <v>38</v>
      </c>
      <c r="D7" s="245">
        <v>50</v>
      </c>
      <c r="H7" s="245">
        <v>50</v>
      </c>
      <c r="I7" s="245">
        <v>0.3133333333333333</v>
      </c>
      <c r="J7" s="245">
        <v>15.666666666666664</v>
      </c>
      <c r="K7" s="245">
        <v>0</v>
      </c>
      <c r="L7" s="245">
        <v>0</v>
      </c>
      <c r="M7" s="245">
        <v>0</v>
      </c>
      <c r="N7" s="245">
        <v>15.666666666666664</v>
      </c>
      <c r="O7" s="245" t="s">
        <v>39</v>
      </c>
      <c r="P7" s="245" t="s">
        <v>41</v>
      </c>
      <c r="Q7" s="245" t="s">
        <v>41</v>
      </c>
      <c r="R7" s="246" t="s">
        <v>32</v>
      </c>
    </row>
    <row r="8" spans="1:18" x14ac:dyDescent="0.8">
      <c r="A8" s="247">
        <v>11112</v>
      </c>
      <c r="B8" s="248" t="s">
        <v>42</v>
      </c>
      <c r="C8" s="249" t="s">
        <v>38</v>
      </c>
      <c r="D8" s="245">
        <v>125</v>
      </c>
      <c r="E8" s="245">
        <v>125</v>
      </c>
      <c r="H8" s="245">
        <v>250</v>
      </c>
      <c r="I8" s="245">
        <v>0.3133333333333333</v>
      </c>
      <c r="J8" s="245">
        <v>39.166666666666664</v>
      </c>
      <c r="K8" s="245">
        <v>39.166666666666664</v>
      </c>
      <c r="L8" s="245">
        <v>0</v>
      </c>
      <c r="M8" s="245">
        <v>0</v>
      </c>
      <c r="N8" s="245">
        <v>78.333333333333329</v>
      </c>
      <c r="O8" s="245" t="s">
        <v>39</v>
      </c>
      <c r="P8" s="245" t="s">
        <v>41</v>
      </c>
      <c r="Q8" s="245" t="s">
        <v>41</v>
      </c>
      <c r="R8" s="246" t="s">
        <v>32</v>
      </c>
    </row>
    <row r="9" spans="1:18" ht="26" x14ac:dyDescent="0.8">
      <c r="A9" s="247">
        <v>11113</v>
      </c>
      <c r="B9" s="248" t="s">
        <v>43</v>
      </c>
      <c r="C9" s="249" t="s">
        <v>45</v>
      </c>
      <c r="E9" s="245">
        <v>2000</v>
      </c>
      <c r="H9" s="245">
        <v>2000</v>
      </c>
      <c r="I9" s="245">
        <v>0.03</v>
      </c>
      <c r="J9" s="245">
        <v>0</v>
      </c>
      <c r="K9" s="245">
        <v>60</v>
      </c>
      <c r="L9" s="245">
        <v>0</v>
      </c>
      <c r="M9" s="245">
        <v>0</v>
      </c>
      <c r="N9" s="245">
        <v>60</v>
      </c>
      <c r="O9" s="245" t="s">
        <v>39</v>
      </c>
      <c r="P9" s="245" t="s">
        <v>41</v>
      </c>
      <c r="Q9" s="245" t="s">
        <v>41</v>
      </c>
      <c r="R9" s="246" t="s">
        <v>32</v>
      </c>
    </row>
    <row r="10" spans="1:18" ht="26" x14ac:dyDescent="0.8">
      <c r="A10" s="247">
        <v>11114</v>
      </c>
      <c r="B10" s="248" t="s">
        <v>46</v>
      </c>
      <c r="C10" s="249" t="s">
        <v>38</v>
      </c>
      <c r="E10" s="245">
        <v>640</v>
      </c>
      <c r="H10" s="245">
        <v>640</v>
      </c>
      <c r="I10" s="245">
        <v>0.3133333333333333</v>
      </c>
      <c r="J10" s="245">
        <v>0</v>
      </c>
      <c r="K10" s="245">
        <v>200.5333333333333</v>
      </c>
      <c r="L10" s="245">
        <v>0</v>
      </c>
      <c r="M10" s="245">
        <v>0</v>
      </c>
      <c r="N10" s="245">
        <v>200.5333333333333</v>
      </c>
      <c r="O10" s="245" t="s">
        <v>39</v>
      </c>
      <c r="P10" s="245" t="s">
        <v>41</v>
      </c>
      <c r="Q10" s="245" t="s">
        <v>41</v>
      </c>
      <c r="R10" s="246" t="s">
        <v>32</v>
      </c>
    </row>
    <row r="11" spans="1:18" ht="39" x14ac:dyDescent="0.8">
      <c r="A11" s="247">
        <v>11115</v>
      </c>
      <c r="B11" s="248" t="s">
        <v>48</v>
      </c>
      <c r="C11" s="249" t="s">
        <v>38</v>
      </c>
      <c r="E11" s="245">
        <v>1708</v>
      </c>
      <c r="F11" s="245">
        <v>1708</v>
      </c>
      <c r="H11" s="245">
        <v>3416</v>
      </c>
      <c r="I11" s="245">
        <v>0.3133333333333333</v>
      </c>
      <c r="J11" s="245">
        <v>0</v>
      </c>
      <c r="K11" s="245">
        <v>535.17333333333329</v>
      </c>
      <c r="L11" s="245">
        <v>535.17333333333329</v>
      </c>
      <c r="M11" s="245">
        <v>0</v>
      </c>
      <c r="N11" s="245">
        <v>1070.3466666666666</v>
      </c>
      <c r="O11" s="245" t="s">
        <v>39</v>
      </c>
      <c r="P11" s="245" t="s">
        <v>41</v>
      </c>
      <c r="Q11" s="245" t="s">
        <v>41</v>
      </c>
      <c r="R11" s="246" t="s">
        <v>32</v>
      </c>
    </row>
    <row r="12" spans="1:18" ht="26" x14ac:dyDescent="0.8">
      <c r="A12" s="247">
        <v>1112</v>
      </c>
      <c r="B12" s="248" t="s">
        <v>49</v>
      </c>
      <c r="R12" s="246" t="s">
        <v>32</v>
      </c>
    </row>
    <row r="13" spans="1:18" ht="31.5" customHeight="1" x14ac:dyDescent="0.8">
      <c r="A13" s="247">
        <v>11121</v>
      </c>
      <c r="B13" s="248" t="s">
        <v>50</v>
      </c>
      <c r="C13" s="249" t="s">
        <v>52</v>
      </c>
      <c r="E13" s="245">
        <v>483</v>
      </c>
      <c r="H13" s="245">
        <v>483</v>
      </c>
      <c r="I13" s="245">
        <v>1.5</v>
      </c>
      <c r="J13" s="245">
        <v>67.2</v>
      </c>
      <c r="K13" s="245">
        <v>724.5</v>
      </c>
      <c r="L13" s="245">
        <v>0</v>
      </c>
      <c r="M13" s="245">
        <v>0</v>
      </c>
      <c r="N13" s="245">
        <v>791.7</v>
      </c>
      <c r="O13" s="245" t="s">
        <v>39</v>
      </c>
      <c r="P13" s="245" t="s">
        <v>41</v>
      </c>
      <c r="Q13" s="245" t="s">
        <v>41</v>
      </c>
      <c r="R13" s="246" t="s">
        <v>32</v>
      </c>
    </row>
    <row r="14" spans="1:18" ht="26" hidden="1" x14ac:dyDescent="0.8">
      <c r="A14" s="247">
        <v>11122</v>
      </c>
      <c r="B14" s="248" t="s">
        <v>53</v>
      </c>
      <c r="C14" s="249" t="s">
        <v>55</v>
      </c>
      <c r="E14" s="245">
        <v>1</v>
      </c>
      <c r="F14" s="245">
        <v>1</v>
      </c>
      <c r="G14" s="245">
        <v>1</v>
      </c>
      <c r="H14" s="245">
        <v>3</v>
      </c>
      <c r="I14" s="245">
        <v>0</v>
      </c>
      <c r="O14" s="245" t="s">
        <v>56</v>
      </c>
      <c r="P14" s="245" t="s">
        <v>41</v>
      </c>
      <c r="Q14" s="245" t="s">
        <v>41</v>
      </c>
      <c r="R14" s="246" t="s">
        <v>32</v>
      </c>
    </row>
    <row r="15" spans="1:18" ht="26" hidden="1" x14ac:dyDescent="0.8">
      <c r="A15" s="247">
        <v>11123</v>
      </c>
      <c r="B15" s="248" t="s">
        <v>57</v>
      </c>
      <c r="C15" s="249" t="s">
        <v>59</v>
      </c>
      <c r="D15" s="245">
        <v>132.53760000000003</v>
      </c>
      <c r="E15" s="245">
        <v>132.53760000000003</v>
      </c>
      <c r="F15" s="245">
        <v>220.89600000000002</v>
      </c>
      <c r="G15" s="245">
        <v>220.89600000000002</v>
      </c>
      <c r="H15" s="245">
        <v>706.86720000000014</v>
      </c>
      <c r="I15" s="245">
        <v>0.8177777777777776</v>
      </c>
      <c r="J15" s="245">
        <v>108.386304</v>
      </c>
      <c r="K15" s="245">
        <v>108.386304</v>
      </c>
      <c r="L15" s="245">
        <v>180.64383999999998</v>
      </c>
      <c r="M15" s="245">
        <v>180.64383999999998</v>
      </c>
      <c r="N15" s="245">
        <v>578.0602879999999</v>
      </c>
      <c r="O15" s="245" t="s">
        <v>56</v>
      </c>
      <c r="P15" s="245" t="s">
        <v>41</v>
      </c>
      <c r="Q15" s="245" t="s">
        <v>41</v>
      </c>
      <c r="R15" s="246" t="s">
        <v>32</v>
      </c>
    </row>
    <row r="16" spans="1:18" ht="26" x14ac:dyDescent="0.8">
      <c r="A16" s="247">
        <v>11123</v>
      </c>
      <c r="B16" s="248" t="s">
        <v>57</v>
      </c>
      <c r="C16" s="249" t="s">
        <v>59</v>
      </c>
      <c r="D16" s="245">
        <v>11.462400000000001</v>
      </c>
      <c r="E16" s="245">
        <v>11.462400000000001</v>
      </c>
      <c r="F16" s="245">
        <v>19.103999999999999</v>
      </c>
      <c r="G16" s="245">
        <v>19.103999999999999</v>
      </c>
      <c r="H16" s="245">
        <v>61.132800000000003</v>
      </c>
      <c r="I16" s="245">
        <v>0.8177777777777776</v>
      </c>
      <c r="J16" s="245">
        <v>9.3736959999999989</v>
      </c>
      <c r="K16" s="245">
        <v>9.3736959999999989</v>
      </c>
      <c r="L16" s="245">
        <v>15.622826666666663</v>
      </c>
      <c r="M16" s="245">
        <v>15.622826666666663</v>
      </c>
      <c r="N16" s="245">
        <v>49.99304533333332</v>
      </c>
      <c r="O16" s="245" t="s">
        <v>60</v>
      </c>
      <c r="P16" s="245" t="s">
        <v>41</v>
      </c>
      <c r="Q16" s="245" t="s">
        <v>41</v>
      </c>
      <c r="R16" s="246" t="s">
        <v>32</v>
      </c>
    </row>
    <row r="17" spans="1:18" ht="26" x14ac:dyDescent="0.8">
      <c r="A17" s="247">
        <v>11124</v>
      </c>
      <c r="B17" s="248" t="s">
        <v>61</v>
      </c>
      <c r="C17" s="249" t="s">
        <v>52</v>
      </c>
      <c r="D17" s="245">
        <v>11.200000000000001</v>
      </c>
      <c r="E17" s="245">
        <v>129</v>
      </c>
      <c r="F17" s="245">
        <v>129</v>
      </c>
      <c r="G17" s="245">
        <v>129</v>
      </c>
      <c r="H17" s="245">
        <v>398.2</v>
      </c>
      <c r="I17" s="245">
        <v>1.5</v>
      </c>
      <c r="J17" s="245">
        <v>16.8</v>
      </c>
      <c r="K17" s="245">
        <v>193.5</v>
      </c>
      <c r="L17" s="245">
        <v>193.5</v>
      </c>
      <c r="M17" s="245">
        <v>193.5</v>
      </c>
      <c r="N17" s="245">
        <v>597.29999999999995</v>
      </c>
      <c r="O17" s="245" t="s">
        <v>39</v>
      </c>
      <c r="P17" s="245" t="s">
        <v>41</v>
      </c>
      <c r="Q17" s="245" t="s">
        <v>62</v>
      </c>
      <c r="R17" s="246" t="s">
        <v>32</v>
      </c>
    </row>
    <row r="18" spans="1:18" ht="26" x14ac:dyDescent="0.8">
      <c r="A18" s="247">
        <v>11124</v>
      </c>
      <c r="B18" s="248" t="s">
        <v>61</v>
      </c>
      <c r="C18" s="249" t="s">
        <v>52</v>
      </c>
      <c r="D18" s="245">
        <v>44.800000000000004</v>
      </c>
      <c r="E18" s="245">
        <v>516</v>
      </c>
      <c r="F18" s="245">
        <v>516</v>
      </c>
      <c r="G18" s="245">
        <v>516</v>
      </c>
      <c r="H18" s="245">
        <v>1592.8</v>
      </c>
      <c r="I18" s="245">
        <v>1.5</v>
      </c>
      <c r="J18" s="245">
        <v>67.2</v>
      </c>
      <c r="K18" s="245">
        <v>774</v>
      </c>
      <c r="L18" s="245">
        <v>774</v>
      </c>
      <c r="M18" s="245">
        <v>774</v>
      </c>
      <c r="N18" s="245">
        <v>2389.1999999999998</v>
      </c>
      <c r="O18" s="245" t="s">
        <v>39</v>
      </c>
      <c r="P18" s="245" t="s">
        <v>41</v>
      </c>
      <c r="Q18" s="245" t="s">
        <v>62</v>
      </c>
      <c r="R18" s="246" t="s">
        <v>32</v>
      </c>
    </row>
    <row r="19" spans="1:18" ht="17.649999999999999" customHeight="1" x14ac:dyDescent="0.8">
      <c r="A19" s="247">
        <v>112</v>
      </c>
      <c r="B19" s="248" t="s">
        <v>63</v>
      </c>
      <c r="R19" s="246" t="s">
        <v>32</v>
      </c>
    </row>
    <row r="20" spans="1:18" ht="39" x14ac:dyDescent="0.8">
      <c r="A20" s="247">
        <v>1121</v>
      </c>
      <c r="B20" s="248" t="s">
        <v>64</v>
      </c>
      <c r="R20" s="246" t="s">
        <v>32</v>
      </c>
    </row>
    <row r="21" spans="1:18" ht="26" x14ac:dyDescent="0.8">
      <c r="A21" s="247">
        <v>11211</v>
      </c>
      <c r="B21" s="248" t="s">
        <v>65</v>
      </c>
      <c r="C21" s="249" t="s">
        <v>66</v>
      </c>
      <c r="E21" s="245">
        <v>100</v>
      </c>
      <c r="H21" s="245">
        <v>100</v>
      </c>
      <c r="I21" s="245">
        <v>0.255</v>
      </c>
      <c r="J21" s="245">
        <v>0</v>
      </c>
      <c r="K21" s="245">
        <v>25.5</v>
      </c>
      <c r="L21" s="245">
        <v>0</v>
      </c>
      <c r="M21" s="245">
        <v>0</v>
      </c>
      <c r="N21" s="245">
        <v>25.5</v>
      </c>
      <c r="O21" s="245" t="s">
        <v>67</v>
      </c>
      <c r="P21" s="245" t="s">
        <v>41</v>
      </c>
      <c r="Q21" s="245" t="s">
        <v>41</v>
      </c>
      <c r="R21" s="246" t="s">
        <v>32</v>
      </c>
    </row>
    <row r="22" spans="1:18" ht="43.15" customHeight="1" x14ac:dyDescent="0.8">
      <c r="A22" s="247">
        <v>11212</v>
      </c>
      <c r="B22" s="248" t="s">
        <v>68</v>
      </c>
      <c r="C22" s="249" t="s">
        <v>70</v>
      </c>
      <c r="E22" s="245">
        <v>30</v>
      </c>
      <c r="F22" s="245">
        <v>27</v>
      </c>
      <c r="G22" s="245">
        <v>25</v>
      </c>
      <c r="H22" s="245">
        <v>82</v>
      </c>
      <c r="I22" s="245">
        <v>30.702576112412178</v>
      </c>
      <c r="J22" s="245">
        <v>0</v>
      </c>
      <c r="K22" s="245">
        <v>921.07728337236529</v>
      </c>
      <c r="L22" s="245">
        <v>828.96955503512879</v>
      </c>
      <c r="M22" s="245">
        <v>767.5644028103045</v>
      </c>
      <c r="N22" s="245">
        <v>2517.6112412177986</v>
      </c>
      <c r="O22" s="245" t="s">
        <v>67</v>
      </c>
      <c r="P22" s="245" t="s">
        <v>41</v>
      </c>
      <c r="Q22" s="245" t="s">
        <v>41</v>
      </c>
      <c r="R22" s="246" t="s">
        <v>32</v>
      </c>
    </row>
    <row r="23" spans="1:18" ht="40.15" customHeight="1" x14ac:dyDescent="0.8">
      <c r="A23" s="247">
        <v>11212</v>
      </c>
      <c r="B23" s="248" t="s">
        <v>68</v>
      </c>
      <c r="C23" s="249" t="s">
        <v>70</v>
      </c>
      <c r="E23" s="245">
        <v>70</v>
      </c>
      <c r="F23" s="245">
        <v>70</v>
      </c>
      <c r="G23" s="245">
        <v>70</v>
      </c>
      <c r="H23" s="245">
        <v>210</v>
      </c>
      <c r="I23" s="245">
        <v>30.702576112412178</v>
      </c>
      <c r="J23" s="245">
        <v>0</v>
      </c>
      <c r="K23" s="245">
        <v>2149.1803278688526</v>
      </c>
      <c r="L23" s="245">
        <v>2149.1803278688526</v>
      </c>
      <c r="M23" s="245">
        <v>2149.1803278688526</v>
      </c>
      <c r="N23" s="245">
        <v>6447.5409836065573</v>
      </c>
      <c r="O23" s="245" t="s">
        <v>39</v>
      </c>
      <c r="P23" s="245" t="s">
        <v>41</v>
      </c>
      <c r="Q23" s="245" t="s">
        <v>41</v>
      </c>
      <c r="R23" s="246" t="s">
        <v>32</v>
      </c>
    </row>
    <row r="24" spans="1:18" ht="52" hidden="1" x14ac:dyDescent="0.8">
      <c r="A24" s="247">
        <v>11212</v>
      </c>
      <c r="B24" s="248" t="s">
        <v>68</v>
      </c>
      <c r="C24" s="249" t="s">
        <v>70</v>
      </c>
      <c r="D24" s="245">
        <v>8</v>
      </c>
      <c r="E24" s="245">
        <v>20</v>
      </c>
      <c r="F24" s="245">
        <v>10</v>
      </c>
      <c r="G24" s="245">
        <v>5</v>
      </c>
      <c r="H24" s="245">
        <v>43</v>
      </c>
      <c r="I24" s="245">
        <v>30.702576112412178</v>
      </c>
      <c r="J24" s="245">
        <v>245.62060889929742</v>
      </c>
      <c r="K24" s="245">
        <v>614.0515222482436</v>
      </c>
      <c r="L24" s="245">
        <v>307.0257611241218</v>
      </c>
      <c r="M24" s="245">
        <v>153.5128805620609</v>
      </c>
      <c r="N24" s="245">
        <v>1320.2107728337237</v>
      </c>
      <c r="O24" s="245" t="s">
        <v>56</v>
      </c>
      <c r="P24" s="245" t="s">
        <v>41</v>
      </c>
      <c r="Q24" s="245" t="s">
        <v>41</v>
      </c>
      <c r="R24" s="246" t="s">
        <v>32</v>
      </c>
    </row>
    <row r="25" spans="1:18" ht="26" x14ac:dyDescent="0.8">
      <c r="A25" s="247">
        <v>11213</v>
      </c>
      <c r="B25" s="248" t="s">
        <v>71</v>
      </c>
      <c r="C25" s="249" t="s">
        <v>73</v>
      </c>
      <c r="E25" s="245">
        <v>346</v>
      </c>
      <c r="F25" s="245">
        <v>346</v>
      </c>
      <c r="G25" s="245">
        <v>346</v>
      </c>
      <c r="H25" s="245">
        <v>1038</v>
      </c>
      <c r="I25" s="245">
        <v>0.4</v>
      </c>
      <c r="J25" s="245">
        <v>0</v>
      </c>
      <c r="K25" s="245">
        <v>138.4</v>
      </c>
      <c r="L25" s="245">
        <v>138.4</v>
      </c>
      <c r="M25" s="245">
        <v>138.4</v>
      </c>
      <c r="N25" s="245">
        <v>415.20000000000005</v>
      </c>
      <c r="O25" s="245" t="s">
        <v>67</v>
      </c>
      <c r="P25" s="245" t="s">
        <v>41</v>
      </c>
      <c r="Q25" s="245" t="s">
        <v>41</v>
      </c>
      <c r="R25" s="246" t="s">
        <v>32</v>
      </c>
    </row>
    <row r="26" spans="1:18" ht="26" hidden="1" x14ac:dyDescent="0.8">
      <c r="A26" s="247">
        <v>11213</v>
      </c>
      <c r="B26" s="248" t="s">
        <v>71</v>
      </c>
      <c r="C26" s="249" t="s">
        <v>73</v>
      </c>
      <c r="D26" s="245">
        <v>29</v>
      </c>
      <c r="E26" s="245">
        <v>149</v>
      </c>
      <c r="F26" s="245">
        <v>149</v>
      </c>
      <c r="G26" s="245">
        <v>149</v>
      </c>
      <c r="H26" s="245">
        <v>476</v>
      </c>
      <c r="I26" s="245">
        <v>0.4</v>
      </c>
      <c r="J26" s="245">
        <v>11.600000000000001</v>
      </c>
      <c r="K26" s="245">
        <v>59.6</v>
      </c>
      <c r="L26" s="245">
        <v>59.6</v>
      </c>
      <c r="M26" s="245">
        <v>59.6</v>
      </c>
      <c r="N26" s="245">
        <v>190.4</v>
      </c>
      <c r="O26" s="245" t="s">
        <v>56</v>
      </c>
      <c r="P26" s="245" t="s">
        <v>41</v>
      </c>
      <c r="Q26" s="245" t="s">
        <v>41</v>
      </c>
      <c r="R26" s="246" t="s">
        <v>32</v>
      </c>
    </row>
    <row r="27" spans="1:18" ht="26" x14ac:dyDescent="0.8">
      <c r="A27" s="247">
        <v>11214</v>
      </c>
      <c r="B27" s="248" t="s">
        <v>74</v>
      </c>
      <c r="C27" s="249" t="s">
        <v>76</v>
      </c>
      <c r="D27" s="245">
        <v>8</v>
      </c>
      <c r="E27" s="245">
        <v>7</v>
      </c>
      <c r="F27" s="245">
        <v>1</v>
      </c>
      <c r="G27" s="245">
        <v>1</v>
      </c>
      <c r="H27" s="245">
        <v>17</v>
      </c>
      <c r="I27" s="245">
        <v>45.936799999999998</v>
      </c>
      <c r="J27" s="245">
        <v>367.49439999999998</v>
      </c>
      <c r="K27" s="245">
        <v>321.55759999999998</v>
      </c>
      <c r="L27" s="245">
        <v>45.936799999999998</v>
      </c>
      <c r="M27" s="245">
        <v>45.936799999999998</v>
      </c>
      <c r="N27" s="245">
        <v>780.9255999999998</v>
      </c>
      <c r="O27" s="245" t="s">
        <v>67</v>
      </c>
      <c r="P27" s="245" t="s">
        <v>41</v>
      </c>
      <c r="Q27" s="245" t="s">
        <v>77</v>
      </c>
      <c r="R27" s="246" t="s">
        <v>32</v>
      </c>
    </row>
    <row r="28" spans="1:18" ht="26" hidden="1" x14ac:dyDescent="0.8">
      <c r="A28" s="247">
        <v>11214</v>
      </c>
      <c r="B28" s="248" t="s">
        <v>74</v>
      </c>
      <c r="C28" s="249" t="s">
        <v>76</v>
      </c>
      <c r="D28" s="245">
        <v>276.13800000000003</v>
      </c>
      <c r="E28" s="245">
        <v>1</v>
      </c>
      <c r="F28" s="245">
        <v>1</v>
      </c>
      <c r="G28" s="245">
        <v>1</v>
      </c>
      <c r="H28" s="245">
        <v>279.13800000000003</v>
      </c>
      <c r="I28" s="245">
        <v>45.936799999999998</v>
      </c>
      <c r="J28" s="245">
        <v>12684.896078400001</v>
      </c>
      <c r="K28" s="245">
        <v>45.936799999999998</v>
      </c>
      <c r="L28" s="245">
        <v>45.936799999999998</v>
      </c>
      <c r="M28" s="245">
        <v>45.936799999999998</v>
      </c>
      <c r="N28" s="245">
        <v>12822.706478399999</v>
      </c>
      <c r="O28" s="245" t="s">
        <v>56</v>
      </c>
      <c r="P28" s="245" t="s">
        <v>41</v>
      </c>
      <c r="Q28" s="245" t="s">
        <v>77</v>
      </c>
      <c r="R28" s="246" t="s">
        <v>32</v>
      </c>
    </row>
    <row r="29" spans="1:18" ht="26" x14ac:dyDescent="0.8">
      <c r="A29" s="247">
        <v>1122</v>
      </c>
      <c r="B29" s="248" t="s">
        <v>78</v>
      </c>
      <c r="D29" s="245">
        <v>183.86199999999999</v>
      </c>
      <c r="R29" s="246" t="s">
        <v>32</v>
      </c>
    </row>
    <row r="30" spans="1:18" ht="26" hidden="1" x14ac:dyDescent="0.8">
      <c r="A30" s="247">
        <v>11221</v>
      </c>
      <c r="B30" s="248" t="s">
        <v>79</v>
      </c>
      <c r="C30" s="249" t="s">
        <v>55</v>
      </c>
      <c r="D30" s="245">
        <v>203.80499999999998</v>
      </c>
      <c r="H30" s="245">
        <v>203.80499999999998</v>
      </c>
      <c r="I30" s="245">
        <v>0</v>
      </c>
      <c r="O30" s="245" t="s">
        <v>56</v>
      </c>
      <c r="P30" s="245" t="s">
        <v>41</v>
      </c>
      <c r="Q30" s="245" t="s">
        <v>81</v>
      </c>
      <c r="R30" s="246" t="s">
        <v>32</v>
      </c>
    </row>
    <row r="31" spans="1:18" ht="26" x14ac:dyDescent="0.8">
      <c r="A31" s="247">
        <v>11222</v>
      </c>
      <c r="B31" s="248" t="s">
        <v>82</v>
      </c>
      <c r="C31" s="249" t="s">
        <v>84</v>
      </c>
      <c r="D31" s="245">
        <v>0</v>
      </c>
      <c r="F31" s="245">
        <v>6000</v>
      </c>
      <c r="G31" s="245">
        <v>18000</v>
      </c>
      <c r="H31" s="245">
        <v>24000</v>
      </c>
      <c r="I31" s="245">
        <v>0.25</v>
      </c>
      <c r="J31" s="245">
        <v>0</v>
      </c>
      <c r="K31" s="245">
        <v>0</v>
      </c>
      <c r="L31" s="245">
        <v>1500</v>
      </c>
      <c r="M31" s="245">
        <v>4500</v>
      </c>
      <c r="N31" s="245">
        <v>6000</v>
      </c>
      <c r="O31" s="245" t="s">
        <v>39</v>
      </c>
      <c r="P31" s="245" t="s">
        <v>41</v>
      </c>
      <c r="Q31" s="245" t="s">
        <v>81</v>
      </c>
      <c r="R31" s="246" t="s">
        <v>32</v>
      </c>
    </row>
    <row r="32" spans="1:18" x14ac:dyDescent="0.8">
      <c r="A32" s="247">
        <v>11223</v>
      </c>
      <c r="B32" s="248" t="s">
        <v>85</v>
      </c>
      <c r="C32" s="249" t="s">
        <v>59</v>
      </c>
      <c r="D32" s="245">
        <v>0</v>
      </c>
      <c r="E32" s="245">
        <v>300</v>
      </c>
      <c r="F32" s="245">
        <v>450</v>
      </c>
      <c r="G32" s="245">
        <v>600</v>
      </c>
      <c r="H32" s="245">
        <v>1350</v>
      </c>
      <c r="I32" s="245">
        <v>0.8177777777777776</v>
      </c>
      <c r="J32" s="245">
        <v>0</v>
      </c>
      <c r="K32" s="245">
        <v>245.33333333333329</v>
      </c>
      <c r="L32" s="245">
        <v>367.99999999999994</v>
      </c>
      <c r="M32" s="245">
        <v>490.66666666666657</v>
      </c>
      <c r="N32" s="245">
        <v>1103.9999999999998</v>
      </c>
      <c r="O32" s="245" t="s">
        <v>39</v>
      </c>
      <c r="P32" s="245" t="s">
        <v>41</v>
      </c>
      <c r="Q32" s="245" t="s">
        <v>81</v>
      </c>
      <c r="R32" s="246" t="s">
        <v>32</v>
      </c>
    </row>
    <row r="33" spans="1:18" ht="26" x14ac:dyDescent="0.8">
      <c r="A33" s="247">
        <v>1123</v>
      </c>
      <c r="B33" s="248" t="s">
        <v>86</v>
      </c>
      <c r="D33" s="245">
        <v>0</v>
      </c>
      <c r="R33" s="246" t="s">
        <v>32</v>
      </c>
    </row>
    <row r="34" spans="1:18" ht="26" hidden="1" x14ac:dyDescent="0.8">
      <c r="A34" s="247">
        <v>11231</v>
      </c>
      <c r="B34" s="248" t="s">
        <v>87</v>
      </c>
      <c r="C34" s="249" t="s">
        <v>55</v>
      </c>
      <c r="D34" s="245">
        <v>0</v>
      </c>
      <c r="F34" s="245">
        <v>2</v>
      </c>
      <c r="H34" s="245">
        <v>2</v>
      </c>
      <c r="I34" s="245">
        <v>0</v>
      </c>
      <c r="O34" s="245" t="s">
        <v>56</v>
      </c>
      <c r="P34" s="245" t="s">
        <v>41</v>
      </c>
      <c r="Q34" s="245" t="s">
        <v>81</v>
      </c>
      <c r="R34" s="246" t="s">
        <v>32</v>
      </c>
    </row>
    <row r="35" spans="1:18" ht="26" hidden="1" x14ac:dyDescent="0.8">
      <c r="A35" s="247">
        <v>11232</v>
      </c>
      <c r="B35" s="248" t="s">
        <v>89</v>
      </c>
      <c r="C35" s="249" t="s">
        <v>59</v>
      </c>
      <c r="D35" s="245">
        <v>0</v>
      </c>
      <c r="E35" s="245">
        <v>1</v>
      </c>
      <c r="H35" s="245">
        <v>1</v>
      </c>
      <c r="I35" s="245">
        <v>0.8177777777777776</v>
      </c>
      <c r="J35" s="245">
        <v>0</v>
      </c>
      <c r="K35" s="245">
        <v>0.8177777777777776</v>
      </c>
      <c r="L35" s="245">
        <v>0</v>
      </c>
      <c r="M35" s="245">
        <v>0</v>
      </c>
      <c r="N35" s="245">
        <v>0.8177777777777776</v>
      </c>
      <c r="O35" s="245" t="s">
        <v>56</v>
      </c>
      <c r="P35" s="245" t="s">
        <v>41</v>
      </c>
      <c r="Q35" s="245" t="s">
        <v>81</v>
      </c>
      <c r="R35" s="246" t="s">
        <v>32</v>
      </c>
    </row>
    <row r="36" spans="1:18" ht="26" x14ac:dyDescent="0.8">
      <c r="A36" s="247">
        <v>11233</v>
      </c>
      <c r="B36" s="248" t="s">
        <v>90</v>
      </c>
      <c r="C36" s="249" t="s">
        <v>84</v>
      </c>
      <c r="D36" s="245">
        <v>0</v>
      </c>
      <c r="E36" s="245">
        <v>2897</v>
      </c>
      <c r="F36" s="245">
        <v>3488</v>
      </c>
      <c r="G36" s="245">
        <v>4134</v>
      </c>
      <c r="H36" s="245">
        <v>10519</v>
      </c>
      <c r="I36" s="245">
        <v>0.25</v>
      </c>
      <c r="J36" s="245">
        <v>0</v>
      </c>
      <c r="K36" s="245">
        <v>724.25</v>
      </c>
      <c r="L36" s="245">
        <v>872</v>
      </c>
      <c r="M36" s="245">
        <v>1033.5</v>
      </c>
      <c r="N36" s="245">
        <v>2629.75</v>
      </c>
      <c r="O36" s="245" t="s">
        <v>60</v>
      </c>
      <c r="P36" s="245" t="s">
        <v>41</v>
      </c>
      <c r="Q36" s="245" t="s">
        <v>81</v>
      </c>
      <c r="R36" s="246" t="s">
        <v>32</v>
      </c>
    </row>
    <row r="37" spans="1:18" ht="26" hidden="1" x14ac:dyDescent="0.8">
      <c r="A37" s="247">
        <v>11233</v>
      </c>
      <c r="B37" s="248" t="s">
        <v>90</v>
      </c>
      <c r="C37" s="249" t="s">
        <v>84</v>
      </c>
      <c r="D37" s="245">
        <v>0</v>
      </c>
      <c r="E37" s="245">
        <v>2896</v>
      </c>
      <c r="F37" s="245">
        <v>3488</v>
      </c>
      <c r="G37" s="245">
        <v>4134</v>
      </c>
      <c r="H37" s="245">
        <v>10518</v>
      </c>
      <c r="I37" s="245">
        <v>0.25</v>
      </c>
      <c r="J37" s="245">
        <v>0</v>
      </c>
      <c r="K37" s="245">
        <v>724</v>
      </c>
      <c r="L37" s="245">
        <v>872</v>
      </c>
      <c r="M37" s="245">
        <v>1033.5</v>
      </c>
      <c r="N37" s="245">
        <v>2629.5</v>
      </c>
      <c r="O37" s="245" t="s">
        <v>56</v>
      </c>
      <c r="P37" s="245" t="s">
        <v>41</v>
      </c>
      <c r="Q37" s="245" t="s">
        <v>81</v>
      </c>
      <c r="R37" s="246" t="s">
        <v>32</v>
      </c>
    </row>
    <row r="38" spans="1:18" ht="26" hidden="1" x14ac:dyDescent="0.8">
      <c r="A38" s="247">
        <v>11234</v>
      </c>
      <c r="B38" s="248" t="s">
        <v>91</v>
      </c>
      <c r="C38" s="249" t="s">
        <v>55</v>
      </c>
      <c r="D38" s="245">
        <v>0</v>
      </c>
      <c r="F38" s="245">
        <v>1</v>
      </c>
      <c r="G38" s="245">
        <v>1</v>
      </c>
      <c r="H38" s="245">
        <v>2</v>
      </c>
      <c r="I38" s="245">
        <v>0</v>
      </c>
      <c r="O38" s="245" t="s">
        <v>56</v>
      </c>
      <c r="P38" s="245" t="s">
        <v>41</v>
      </c>
      <c r="Q38" s="245" t="s">
        <v>81</v>
      </c>
      <c r="R38" s="246" t="s">
        <v>32</v>
      </c>
    </row>
    <row r="39" spans="1:18" ht="39" x14ac:dyDescent="0.8">
      <c r="A39" s="247">
        <v>113</v>
      </c>
      <c r="B39" s="248" t="s">
        <v>93</v>
      </c>
      <c r="D39" s="245">
        <v>0</v>
      </c>
      <c r="R39" s="246" t="s">
        <v>32</v>
      </c>
    </row>
    <row r="40" spans="1:18" ht="26" x14ac:dyDescent="0.8">
      <c r="A40" s="247">
        <v>1131</v>
      </c>
      <c r="B40" s="248" t="s">
        <v>94</v>
      </c>
      <c r="D40" s="245">
        <v>100</v>
      </c>
      <c r="R40" s="246" t="s">
        <v>32</v>
      </c>
    </row>
    <row r="41" spans="1:18" ht="26" hidden="1" x14ac:dyDescent="0.8">
      <c r="A41" s="247">
        <v>11311</v>
      </c>
      <c r="B41" s="248" t="s">
        <v>95</v>
      </c>
      <c r="C41" s="249" t="s">
        <v>55</v>
      </c>
      <c r="D41" s="245">
        <v>100</v>
      </c>
      <c r="H41" s="245">
        <v>100</v>
      </c>
      <c r="I41" s="245">
        <v>0</v>
      </c>
      <c r="O41" s="245" t="s">
        <v>56</v>
      </c>
      <c r="P41" s="245" t="s">
        <v>41</v>
      </c>
      <c r="Q41" s="245" t="s">
        <v>96</v>
      </c>
      <c r="R41" s="246" t="s">
        <v>32</v>
      </c>
    </row>
    <row r="42" spans="1:18" ht="26" hidden="1" x14ac:dyDescent="0.8">
      <c r="A42" s="247">
        <v>11312</v>
      </c>
      <c r="B42" s="248" t="s">
        <v>97</v>
      </c>
      <c r="C42" s="249" t="s">
        <v>59</v>
      </c>
      <c r="D42" s="245">
        <v>0</v>
      </c>
      <c r="E42" s="245">
        <v>40</v>
      </c>
      <c r="F42" s="245">
        <v>80</v>
      </c>
      <c r="G42" s="245">
        <v>120</v>
      </c>
      <c r="H42" s="245">
        <v>240</v>
      </c>
      <c r="I42" s="245">
        <v>0.8177777777777776</v>
      </c>
      <c r="J42" s="245">
        <v>0</v>
      </c>
      <c r="K42" s="245">
        <v>32.711111111111101</v>
      </c>
      <c r="L42" s="245">
        <v>65.422222222222203</v>
      </c>
      <c r="M42" s="245">
        <v>98.133333333333312</v>
      </c>
      <c r="N42" s="245">
        <v>196.26666666666659</v>
      </c>
      <c r="O42" s="245" t="s">
        <v>56</v>
      </c>
      <c r="P42" s="245" t="s">
        <v>96</v>
      </c>
      <c r="Q42" s="245" t="s">
        <v>98</v>
      </c>
      <c r="R42" s="246" t="s">
        <v>32</v>
      </c>
    </row>
    <row r="43" spans="1:18" ht="26" x14ac:dyDescent="0.8">
      <c r="A43" s="247">
        <v>11313</v>
      </c>
      <c r="B43" s="248" t="s">
        <v>99</v>
      </c>
      <c r="C43" s="249" t="s">
        <v>101</v>
      </c>
      <c r="D43" s="245">
        <v>1</v>
      </c>
      <c r="E43" s="245">
        <v>15</v>
      </c>
      <c r="H43" s="245">
        <v>16</v>
      </c>
      <c r="I43" s="245">
        <v>2.651545</v>
      </c>
      <c r="J43" s="245">
        <v>2.651545</v>
      </c>
      <c r="K43" s="245">
        <v>39.773175000000002</v>
      </c>
      <c r="L43" s="245">
        <v>0</v>
      </c>
      <c r="M43" s="245">
        <v>0</v>
      </c>
      <c r="N43" s="245">
        <v>42.424720000000001</v>
      </c>
      <c r="O43" s="245" t="s">
        <v>39</v>
      </c>
      <c r="P43" s="245" t="s">
        <v>41</v>
      </c>
      <c r="Q43" s="245" t="s">
        <v>98</v>
      </c>
      <c r="R43" s="246" t="s">
        <v>32</v>
      </c>
    </row>
    <row r="44" spans="1:18" ht="26" hidden="1" x14ac:dyDescent="0.8">
      <c r="A44" s="247">
        <v>11314</v>
      </c>
      <c r="B44" s="248" t="s">
        <v>102</v>
      </c>
      <c r="C44" s="249" t="s">
        <v>104</v>
      </c>
      <c r="D44" s="245">
        <v>0</v>
      </c>
      <c r="E44" s="245">
        <v>24</v>
      </c>
      <c r="F44" s="245">
        <v>48</v>
      </c>
      <c r="G44" s="245">
        <v>72</v>
      </c>
      <c r="H44" s="245">
        <v>144</v>
      </c>
      <c r="I44" s="245">
        <v>168.65</v>
      </c>
      <c r="J44" s="245">
        <v>0</v>
      </c>
      <c r="K44" s="245">
        <v>4047.6000000000004</v>
      </c>
      <c r="L44" s="245">
        <v>8095.2000000000007</v>
      </c>
      <c r="M44" s="245">
        <v>12142.800000000001</v>
      </c>
      <c r="N44" s="245">
        <v>24285.600000000002</v>
      </c>
      <c r="O44" s="245" t="s">
        <v>56</v>
      </c>
      <c r="P44" s="245" t="s">
        <v>41</v>
      </c>
      <c r="Q44" s="245" t="s">
        <v>98</v>
      </c>
      <c r="R44" s="246" t="s">
        <v>32</v>
      </c>
    </row>
    <row r="45" spans="1:18" ht="26" hidden="1" x14ac:dyDescent="0.8">
      <c r="A45" s="247">
        <v>11315</v>
      </c>
      <c r="B45" s="248" t="s">
        <v>105</v>
      </c>
      <c r="C45" s="249" t="s">
        <v>107</v>
      </c>
      <c r="D45" s="245">
        <v>23</v>
      </c>
      <c r="F45" s="245">
        <v>24</v>
      </c>
      <c r="G45" s="245">
        <v>48</v>
      </c>
      <c r="H45" s="245">
        <v>95</v>
      </c>
      <c r="I45" s="245">
        <v>31.675000000000001</v>
      </c>
      <c r="J45" s="245">
        <v>728.52499999999998</v>
      </c>
      <c r="K45" s="245">
        <v>0</v>
      </c>
      <c r="L45" s="245">
        <v>760.2</v>
      </c>
      <c r="M45" s="245">
        <v>1520.4</v>
      </c>
      <c r="N45" s="245">
        <v>3009.125</v>
      </c>
      <c r="O45" s="245" t="s">
        <v>56</v>
      </c>
      <c r="P45" s="245" t="s">
        <v>41</v>
      </c>
      <c r="Q45" s="245" t="s">
        <v>98</v>
      </c>
      <c r="R45" s="246" t="s">
        <v>32</v>
      </c>
    </row>
    <row r="46" spans="1:18" ht="26" hidden="1" x14ac:dyDescent="0.8">
      <c r="A46" s="247">
        <v>11316</v>
      </c>
      <c r="B46" s="248" t="s">
        <v>108</v>
      </c>
      <c r="C46" s="249" t="s">
        <v>110</v>
      </c>
      <c r="D46" s="245">
        <v>453</v>
      </c>
      <c r="E46" s="245">
        <v>24</v>
      </c>
      <c r="F46" s="245">
        <v>48</v>
      </c>
      <c r="G46" s="245">
        <v>72</v>
      </c>
      <c r="H46" s="245">
        <v>597</v>
      </c>
      <c r="I46" s="245">
        <v>7.1760000000000002</v>
      </c>
      <c r="J46" s="245">
        <v>3250.7280000000001</v>
      </c>
      <c r="K46" s="245">
        <v>172.22399999999999</v>
      </c>
      <c r="L46" s="245">
        <v>344.44799999999998</v>
      </c>
      <c r="M46" s="245">
        <v>516.67200000000003</v>
      </c>
      <c r="N46" s="245">
        <v>4284.0720000000001</v>
      </c>
      <c r="O46" s="245" t="s">
        <v>56</v>
      </c>
      <c r="P46" s="245" t="s">
        <v>98</v>
      </c>
      <c r="Q46" s="245" t="s">
        <v>98</v>
      </c>
      <c r="R46" s="246" t="s">
        <v>32</v>
      </c>
    </row>
    <row r="47" spans="1:18" ht="39" x14ac:dyDescent="0.8">
      <c r="A47" s="247">
        <v>1132</v>
      </c>
      <c r="B47" s="248" t="s">
        <v>111</v>
      </c>
      <c r="D47" s="245">
        <v>0</v>
      </c>
      <c r="R47" s="246" t="s">
        <v>32</v>
      </c>
    </row>
    <row r="48" spans="1:18" ht="26" hidden="1" x14ac:dyDescent="0.8">
      <c r="A48" s="247">
        <v>11321</v>
      </c>
      <c r="B48" s="248" t="s">
        <v>112</v>
      </c>
      <c r="C48" s="249" t="s">
        <v>55</v>
      </c>
      <c r="D48" s="245">
        <v>12102.9548</v>
      </c>
      <c r="H48" s="245">
        <v>12102.9548</v>
      </c>
      <c r="I48" s="245">
        <v>0</v>
      </c>
      <c r="O48" s="245" t="s">
        <v>56</v>
      </c>
      <c r="P48" s="245" t="s">
        <v>41</v>
      </c>
      <c r="Q48" s="245" t="s">
        <v>96</v>
      </c>
      <c r="R48" s="246" t="s">
        <v>32</v>
      </c>
    </row>
    <row r="49" spans="1:18" ht="26" x14ac:dyDescent="0.8">
      <c r="A49" s="247">
        <v>11322</v>
      </c>
      <c r="B49" s="248" t="s">
        <v>113</v>
      </c>
      <c r="C49" s="249" t="s">
        <v>59</v>
      </c>
      <c r="D49" s="245">
        <v>537970.24</v>
      </c>
      <c r="E49" s="245">
        <v>80</v>
      </c>
      <c r="F49" s="245">
        <v>112</v>
      </c>
      <c r="G49" s="245">
        <v>160</v>
      </c>
      <c r="H49" s="245">
        <v>538322.24</v>
      </c>
      <c r="I49" s="245">
        <v>0.8177777777777776</v>
      </c>
      <c r="J49" s="245">
        <v>439940.10737777769</v>
      </c>
      <c r="K49" s="245">
        <v>65.422222222222203</v>
      </c>
      <c r="L49" s="245">
        <v>91.59111111111109</v>
      </c>
      <c r="M49" s="245">
        <v>130.84444444444441</v>
      </c>
      <c r="N49" s="245">
        <v>440227.96515555546</v>
      </c>
      <c r="O49" s="245" t="s">
        <v>39</v>
      </c>
      <c r="P49" s="245" t="s">
        <v>96</v>
      </c>
      <c r="Q49" s="245" t="s">
        <v>98</v>
      </c>
      <c r="R49" s="246" t="s">
        <v>32</v>
      </c>
    </row>
    <row r="50" spans="1:18" ht="26" x14ac:dyDescent="0.8">
      <c r="A50" s="247">
        <v>11323</v>
      </c>
      <c r="B50" s="248" t="s">
        <v>114</v>
      </c>
      <c r="C50" s="249" t="s">
        <v>104</v>
      </c>
      <c r="D50" s="245">
        <v>0</v>
      </c>
      <c r="E50" s="245">
        <v>200</v>
      </c>
      <c r="F50" s="245">
        <v>300</v>
      </c>
      <c r="G50" s="245">
        <v>300</v>
      </c>
      <c r="H50" s="245">
        <v>800</v>
      </c>
      <c r="I50" s="245">
        <v>168.65</v>
      </c>
      <c r="J50" s="245">
        <v>0</v>
      </c>
      <c r="K50" s="245">
        <v>33730</v>
      </c>
      <c r="L50" s="245">
        <v>50595</v>
      </c>
      <c r="M50" s="245">
        <v>50595</v>
      </c>
      <c r="N50" s="245">
        <v>134920</v>
      </c>
      <c r="O50" s="245" t="s">
        <v>39</v>
      </c>
      <c r="P50" s="245" t="s">
        <v>41</v>
      </c>
      <c r="Q50" s="245" t="s">
        <v>98</v>
      </c>
      <c r="R50" s="246" t="s">
        <v>32</v>
      </c>
    </row>
    <row r="51" spans="1:18" ht="26" x14ac:dyDescent="0.8">
      <c r="A51" s="247">
        <v>11324</v>
      </c>
      <c r="B51" s="248" t="s">
        <v>116</v>
      </c>
      <c r="C51" s="249" t="s">
        <v>107</v>
      </c>
      <c r="D51" s="245">
        <v>0</v>
      </c>
      <c r="E51" s="245">
        <v>40</v>
      </c>
      <c r="F51" s="245">
        <v>56</v>
      </c>
      <c r="G51" s="245">
        <v>80</v>
      </c>
      <c r="H51" s="245">
        <v>176</v>
      </c>
      <c r="I51" s="245">
        <v>31.675000000000001</v>
      </c>
      <c r="J51" s="245">
        <v>0</v>
      </c>
      <c r="K51" s="245">
        <v>1267</v>
      </c>
      <c r="L51" s="245">
        <v>1773.8</v>
      </c>
      <c r="M51" s="245">
        <v>2534</v>
      </c>
      <c r="N51" s="245">
        <v>5574.8</v>
      </c>
      <c r="O51" s="245" t="s">
        <v>39</v>
      </c>
      <c r="P51" s="245" t="s">
        <v>41</v>
      </c>
      <c r="Q51" s="245" t="s">
        <v>98</v>
      </c>
      <c r="R51" s="246" t="s">
        <v>32</v>
      </c>
    </row>
    <row r="52" spans="1:18" ht="26" x14ac:dyDescent="0.8">
      <c r="A52" s="247">
        <v>11324</v>
      </c>
      <c r="B52" s="248" t="s">
        <v>116</v>
      </c>
      <c r="C52" s="249" t="s">
        <v>107</v>
      </c>
      <c r="D52" s="245">
        <v>0</v>
      </c>
      <c r="E52" s="245">
        <v>40</v>
      </c>
      <c r="F52" s="245">
        <v>56</v>
      </c>
      <c r="G52" s="245">
        <v>80</v>
      </c>
      <c r="H52" s="245">
        <v>176</v>
      </c>
      <c r="I52" s="245">
        <v>31.675000000000001</v>
      </c>
      <c r="J52" s="245">
        <v>0</v>
      </c>
      <c r="K52" s="245">
        <v>1267</v>
      </c>
      <c r="L52" s="245">
        <v>1773.8</v>
      </c>
      <c r="M52" s="245">
        <v>2534</v>
      </c>
      <c r="N52" s="245">
        <v>5574.8</v>
      </c>
      <c r="O52" s="245" t="s">
        <v>39</v>
      </c>
      <c r="P52" s="245" t="s">
        <v>41</v>
      </c>
      <c r="Q52" s="245" t="s">
        <v>98</v>
      </c>
      <c r="R52" s="246" t="s">
        <v>32</v>
      </c>
    </row>
    <row r="53" spans="1:18" ht="26" x14ac:dyDescent="0.8">
      <c r="A53" s="247">
        <v>11325</v>
      </c>
      <c r="B53" s="248" t="s">
        <v>119</v>
      </c>
      <c r="C53" s="249" t="s">
        <v>110</v>
      </c>
      <c r="D53" s="245">
        <v>0</v>
      </c>
      <c r="E53" s="245">
        <v>200</v>
      </c>
      <c r="F53" s="245">
        <v>300</v>
      </c>
      <c r="G53" s="245">
        <v>300</v>
      </c>
      <c r="H53" s="245">
        <v>800</v>
      </c>
      <c r="I53" s="245">
        <v>7.1760000000000002</v>
      </c>
      <c r="J53" s="245">
        <v>0</v>
      </c>
      <c r="K53" s="245">
        <v>1435.2</v>
      </c>
      <c r="L53" s="245">
        <v>2152.8000000000002</v>
      </c>
      <c r="M53" s="245">
        <v>2152.8000000000002</v>
      </c>
      <c r="N53" s="245">
        <v>5740.8</v>
      </c>
      <c r="O53" s="245" t="s">
        <v>39</v>
      </c>
      <c r="P53" s="245" t="s">
        <v>98</v>
      </c>
      <c r="Q53" s="245" t="s">
        <v>98</v>
      </c>
      <c r="R53" s="246" t="s">
        <v>32</v>
      </c>
    </row>
    <row r="54" spans="1:18" x14ac:dyDescent="0.8">
      <c r="A54" s="247">
        <v>1133</v>
      </c>
      <c r="B54" s="248" t="s">
        <v>120</v>
      </c>
      <c r="D54" s="245">
        <v>0</v>
      </c>
      <c r="R54" s="246" t="s">
        <v>32</v>
      </c>
    </row>
    <row r="55" spans="1:18" hidden="1" x14ac:dyDescent="0.8">
      <c r="A55" s="247">
        <v>11331</v>
      </c>
      <c r="B55" s="248" t="s">
        <v>121</v>
      </c>
      <c r="C55" s="249" t="s">
        <v>55</v>
      </c>
      <c r="D55" s="245">
        <v>189</v>
      </c>
      <c r="H55" s="245">
        <v>189</v>
      </c>
      <c r="I55" s="245">
        <v>0</v>
      </c>
      <c r="O55" s="245" t="s">
        <v>56</v>
      </c>
      <c r="P55" s="245" t="s">
        <v>41</v>
      </c>
      <c r="Q55" s="245" t="s">
        <v>96</v>
      </c>
      <c r="R55" s="246" t="s">
        <v>32</v>
      </c>
    </row>
    <row r="56" spans="1:18" hidden="1" x14ac:dyDescent="0.8">
      <c r="A56" s="247">
        <v>11332</v>
      </c>
      <c r="B56" s="248" t="s">
        <v>122</v>
      </c>
      <c r="C56" s="249" t="s">
        <v>55</v>
      </c>
      <c r="D56" s="245">
        <v>912</v>
      </c>
      <c r="H56" s="245">
        <v>912</v>
      </c>
      <c r="I56" s="245">
        <v>0</v>
      </c>
      <c r="O56" s="245" t="s">
        <v>56</v>
      </c>
      <c r="P56" s="245" t="s">
        <v>41</v>
      </c>
      <c r="Q56" s="245" t="s">
        <v>96</v>
      </c>
      <c r="R56" s="246" t="s">
        <v>32</v>
      </c>
    </row>
    <row r="57" spans="1:18" ht="26" hidden="1" x14ac:dyDescent="0.8">
      <c r="A57" s="247">
        <v>11333</v>
      </c>
      <c r="B57" s="248" t="s">
        <v>124</v>
      </c>
      <c r="C57" s="249" t="s">
        <v>55</v>
      </c>
      <c r="D57" s="245">
        <v>20</v>
      </c>
      <c r="E57" s="245">
        <v>1</v>
      </c>
      <c r="F57" s="245">
        <v>1</v>
      </c>
      <c r="G57" s="245">
        <v>1</v>
      </c>
      <c r="H57" s="245">
        <v>23</v>
      </c>
      <c r="I57" s="245">
        <v>0</v>
      </c>
      <c r="O57" s="245" t="s">
        <v>56</v>
      </c>
      <c r="P57" s="245" t="s">
        <v>96</v>
      </c>
      <c r="Q57" s="245" t="s">
        <v>98</v>
      </c>
      <c r="R57" s="246" t="s">
        <v>32</v>
      </c>
    </row>
    <row r="58" spans="1:18" ht="26" x14ac:dyDescent="0.8">
      <c r="A58" s="247">
        <v>11334</v>
      </c>
      <c r="B58" s="248" t="s">
        <v>125</v>
      </c>
      <c r="C58" s="249" t="s">
        <v>126</v>
      </c>
      <c r="D58" s="245">
        <v>18</v>
      </c>
      <c r="E58" s="245">
        <v>10.199999999999999</v>
      </c>
      <c r="F58" s="245">
        <v>10.199999999999999</v>
      </c>
      <c r="G58" s="245">
        <v>34</v>
      </c>
      <c r="H58" s="245">
        <v>72.400000000000006</v>
      </c>
      <c r="I58" s="245">
        <v>24.340499999999999</v>
      </c>
      <c r="J58" s="245">
        <v>438.12899999999996</v>
      </c>
      <c r="K58" s="245">
        <v>248.27309999999997</v>
      </c>
      <c r="L58" s="245">
        <v>248.27309999999997</v>
      </c>
      <c r="M58" s="245">
        <v>827.577</v>
      </c>
      <c r="N58" s="245">
        <v>1762.2521999999999</v>
      </c>
      <c r="O58" s="245" t="s">
        <v>67</v>
      </c>
      <c r="P58" s="245" t="s">
        <v>41</v>
      </c>
      <c r="Q58" s="245" t="s">
        <v>98</v>
      </c>
      <c r="R58" s="246" t="s">
        <v>32</v>
      </c>
    </row>
    <row r="59" spans="1:18" ht="26" x14ac:dyDescent="0.8">
      <c r="A59" s="247">
        <v>11335</v>
      </c>
      <c r="B59" s="248" t="s">
        <v>127</v>
      </c>
      <c r="C59" s="249" t="s">
        <v>128</v>
      </c>
      <c r="D59" s="245">
        <v>29</v>
      </c>
      <c r="E59" s="245">
        <v>20</v>
      </c>
      <c r="H59" s="245">
        <v>49</v>
      </c>
      <c r="I59" s="245">
        <v>81.135000000000005</v>
      </c>
      <c r="J59" s="245">
        <v>2352.915</v>
      </c>
      <c r="K59" s="245">
        <v>1622.7</v>
      </c>
      <c r="L59" s="245">
        <v>0</v>
      </c>
      <c r="M59" s="245">
        <v>0</v>
      </c>
      <c r="N59" s="245">
        <v>3975.6149999999998</v>
      </c>
      <c r="O59" s="245" t="s">
        <v>67</v>
      </c>
      <c r="P59" s="245" t="s">
        <v>41</v>
      </c>
      <c r="Q59" s="245" t="s">
        <v>98</v>
      </c>
      <c r="R59" s="246" t="s">
        <v>32</v>
      </c>
    </row>
    <row r="60" spans="1:18" ht="26" x14ac:dyDescent="0.8">
      <c r="A60" s="247">
        <v>11335</v>
      </c>
      <c r="B60" s="248" t="s">
        <v>127</v>
      </c>
      <c r="C60" s="249" t="s">
        <v>128</v>
      </c>
      <c r="D60" s="245">
        <v>0</v>
      </c>
      <c r="F60" s="245">
        <v>7</v>
      </c>
      <c r="H60" s="245">
        <v>7</v>
      </c>
      <c r="I60" s="245">
        <v>81.135000000000005</v>
      </c>
      <c r="J60" s="245">
        <v>0</v>
      </c>
      <c r="K60" s="245">
        <v>0</v>
      </c>
      <c r="L60" s="245">
        <v>567.94500000000005</v>
      </c>
      <c r="M60" s="245">
        <v>0</v>
      </c>
      <c r="N60" s="245">
        <v>567.94500000000005</v>
      </c>
      <c r="O60" s="245" t="s">
        <v>60</v>
      </c>
      <c r="P60" s="245" t="s">
        <v>41</v>
      </c>
      <c r="Q60" s="245" t="s">
        <v>98</v>
      </c>
      <c r="R60" s="246" t="s">
        <v>32</v>
      </c>
    </row>
    <row r="61" spans="1:18" ht="26" x14ac:dyDescent="0.8">
      <c r="A61" s="247">
        <v>11335</v>
      </c>
      <c r="B61" s="248" t="s">
        <v>127</v>
      </c>
      <c r="C61" s="249" t="s">
        <v>128</v>
      </c>
      <c r="D61" s="245">
        <v>8</v>
      </c>
      <c r="F61" s="245">
        <v>10</v>
      </c>
      <c r="H61" s="245">
        <v>18</v>
      </c>
      <c r="I61" s="245">
        <v>81.135000000000005</v>
      </c>
      <c r="J61" s="245">
        <v>649.08000000000004</v>
      </c>
      <c r="K61" s="245">
        <v>0</v>
      </c>
      <c r="L61" s="245">
        <v>811.35</v>
      </c>
      <c r="M61" s="245">
        <v>0</v>
      </c>
      <c r="N61" s="245">
        <v>1460.43</v>
      </c>
      <c r="O61" s="245" t="s">
        <v>129</v>
      </c>
      <c r="P61" s="245" t="s">
        <v>41</v>
      </c>
      <c r="Q61" s="245" t="s">
        <v>98</v>
      </c>
      <c r="R61" s="246" t="s">
        <v>32</v>
      </c>
    </row>
    <row r="62" spans="1:18" ht="26" hidden="1" x14ac:dyDescent="0.8">
      <c r="A62" s="247">
        <v>11335</v>
      </c>
      <c r="B62" s="248" t="s">
        <v>127</v>
      </c>
      <c r="C62" s="249" t="s">
        <v>128</v>
      </c>
      <c r="D62" s="245">
        <v>50</v>
      </c>
      <c r="G62" s="245">
        <v>5</v>
      </c>
      <c r="H62" s="245">
        <v>55</v>
      </c>
      <c r="I62" s="245">
        <v>81.135000000000005</v>
      </c>
      <c r="J62" s="245">
        <v>4056.7500000000005</v>
      </c>
      <c r="K62" s="245">
        <v>0</v>
      </c>
      <c r="L62" s="245">
        <v>0</v>
      </c>
      <c r="M62" s="245">
        <v>405.67500000000001</v>
      </c>
      <c r="N62" s="245">
        <v>4462.4250000000002</v>
      </c>
      <c r="O62" s="245" t="s">
        <v>56</v>
      </c>
      <c r="P62" s="245" t="s">
        <v>41</v>
      </c>
      <c r="Q62" s="245" t="s">
        <v>98</v>
      </c>
      <c r="R62" s="246" t="s">
        <v>32</v>
      </c>
    </row>
    <row r="63" spans="1:18" x14ac:dyDescent="0.8">
      <c r="A63" s="247">
        <v>11336</v>
      </c>
      <c r="B63" s="248" t="s">
        <v>130</v>
      </c>
      <c r="C63" s="249" t="s">
        <v>132</v>
      </c>
      <c r="D63" s="245">
        <v>29</v>
      </c>
      <c r="E63" s="245">
        <v>20</v>
      </c>
      <c r="F63" s="245">
        <v>0</v>
      </c>
      <c r="G63" s="245">
        <v>0</v>
      </c>
      <c r="H63" s="245">
        <v>49</v>
      </c>
      <c r="I63" s="245">
        <v>18.75</v>
      </c>
      <c r="J63" s="245">
        <v>543.75</v>
      </c>
      <c r="K63" s="245">
        <v>375</v>
      </c>
      <c r="L63" s="245">
        <v>0</v>
      </c>
      <c r="M63" s="245">
        <v>0</v>
      </c>
      <c r="N63" s="245">
        <v>918.75</v>
      </c>
      <c r="O63" s="245" t="s">
        <v>67</v>
      </c>
      <c r="P63" s="245" t="s">
        <v>41</v>
      </c>
      <c r="Q63" s="245" t="s">
        <v>98</v>
      </c>
      <c r="R63" s="246" t="s">
        <v>32</v>
      </c>
    </row>
    <row r="64" spans="1:18" hidden="1" x14ac:dyDescent="0.8">
      <c r="A64" s="247">
        <v>11336</v>
      </c>
      <c r="B64" s="248" t="s">
        <v>130</v>
      </c>
      <c r="C64" s="249" t="s">
        <v>132</v>
      </c>
      <c r="D64" s="245">
        <v>68</v>
      </c>
      <c r="E64" s="245">
        <v>10.199999999999999</v>
      </c>
      <c r="F64" s="245">
        <v>10.199999999999999</v>
      </c>
      <c r="G64" s="245">
        <v>39</v>
      </c>
      <c r="H64" s="245">
        <v>127.4</v>
      </c>
      <c r="I64" s="245">
        <v>18.75</v>
      </c>
      <c r="J64" s="245">
        <v>1275</v>
      </c>
      <c r="K64" s="245">
        <v>191.25</v>
      </c>
      <c r="L64" s="245">
        <v>191.25</v>
      </c>
      <c r="M64" s="245">
        <v>731.25</v>
      </c>
      <c r="N64" s="245">
        <v>2388.75</v>
      </c>
      <c r="O64" s="245" t="s">
        <v>56</v>
      </c>
      <c r="P64" s="245" t="s">
        <v>41</v>
      </c>
      <c r="Q64" s="245" t="s">
        <v>98</v>
      </c>
      <c r="R64" s="246" t="s">
        <v>32</v>
      </c>
    </row>
    <row r="65" spans="1:18" x14ac:dyDescent="0.8">
      <c r="A65" s="247">
        <v>11337</v>
      </c>
      <c r="B65" s="248" t="s">
        <v>133</v>
      </c>
      <c r="C65" s="249" t="s">
        <v>135</v>
      </c>
      <c r="D65" s="245">
        <v>276.13800000000003</v>
      </c>
      <c r="E65" s="245">
        <v>18.72936</v>
      </c>
      <c r="F65" s="245">
        <v>16.928460000000001</v>
      </c>
      <c r="G65" s="245">
        <v>21.0105</v>
      </c>
      <c r="H65" s="245">
        <v>332.80632000000003</v>
      </c>
      <c r="I65" s="245">
        <v>3.5</v>
      </c>
      <c r="J65" s="245">
        <v>966.48300000000017</v>
      </c>
      <c r="K65" s="245">
        <v>65.552760000000006</v>
      </c>
      <c r="L65" s="245">
        <v>59.249610000000004</v>
      </c>
      <c r="M65" s="245">
        <v>73.536749999999998</v>
      </c>
      <c r="N65" s="245">
        <v>1164.8221200000003</v>
      </c>
      <c r="O65" s="245" t="s">
        <v>67</v>
      </c>
      <c r="P65" s="245" t="s">
        <v>41</v>
      </c>
      <c r="Q65" s="245" t="s">
        <v>98</v>
      </c>
      <c r="R65" s="246" t="s">
        <v>32</v>
      </c>
    </row>
    <row r="66" spans="1:18" x14ac:dyDescent="0.8">
      <c r="A66" s="247">
        <v>11337</v>
      </c>
      <c r="B66" s="248" t="s">
        <v>133</v>
      </c>
      <c r="C66" s="249" t="s">
        <v>135</v>
      </c>
      <c r="D66" s="245">
        <v>183.86199999999999</v>
      </c>
      <c r="E66" s="245">
        <v>12.47064</v>
      </c>
      <c r="F66" s="245">
        <v>11.27154</v>
      </c>
      <c r="G66" s="245">
        <v>13.9895</v>
      </c>
      <c r="H66" s="245">
        <v>221.59367999999998</v>
      </c>
      <c r="I66" s="245">
        <v>3.5</v>
      </c>
      <c r="J66" s="245">
        <v>643.51699999999994</v>
      </c>
      <c r="K66" s="245">
        <v>43.647239999999996</v>
      </c>
      <c r="L66" s="245">
        <v>39.450389999999999</v>
      </c>
      <c r="M66" s="245">
        <v>48.963250000000002</v>
      </c>
      <c r="N66" s="245">
        <v>775.57787999999994</v>
      </c>
      <c r="O66" s="245" t="s">
        <v>39</v>
      </c>
      <c r="P66" s="245" t="s">
        <v>41</v>
      </c>
      <c r="Q66" s="245" t="s">
        <v>98</v>
      </c>
      <c r="R66" s="246" t="s">
        <v>32</v>
      </c>
    </row>
    <row r="67" spans="1:18" ht="26" x14ac:dyDescent="0.8">
      <c r="A67" s="247">
        <v>11338</v>
      </c>
      <c r="B67" s="248" t="s">
        <v>136</v>
      </c>
      <c r="C67" s="249" t="s">
        <v>138</v>
      </c>
      <c r="D67" s="245">
        <v>183.86199999999999</v>
      </c>
      <c r="E67" s="245">
        <v>12.47064</v>
      </c>
      <c r="F67" s="245">
        <v>11.27154</v>
      </c>
      <c r="G67" s="245">
        <v>13.9895</v>
      </c>
      <c r="H67" s="245">
        <v>221.59367999999998</v>
      </c>
      <c r="I67" s="245">
        <v>1.7549999999999999</v>
      </c>
      <c r="J67" s="245">
        <v>322.67780999999997</v>
      </c>
      <c r="K67" s="245">
        <v>21.885973199999999</v>
      </c>
      <c r="L67" s="245">
        <v>19.781552699999999</v>
      </c>
      <c r="M67" s="245">
        <v>24.551572499999999</v>
      </c>
      <c r="N67" s="245">
        <v>388.89690840000003</v>
      </c>
      <c r="O67" s="245" t="s">
        <v>67</v>
      </c>
      <c r="P67" s="245" t="s">
        <v>98</v>
      </c>
      <c r="Q67" s="245" t="s">
        <v>98</v>
      </c>
      <c r="R67" s="246" t="s">
        <v>32</v>
      </c>
    </row>
    <row r="68" spans="1:18" ht="26" hidden="1" x14ac:dyDescent="0.8">
      <c r="A68" s="247">
        <v>11338</v>
      </c>
      <c r="B68" s="248" t="s">
        <v>136</v>
      </c>
      <c r="C68" s="249" t="s">
        <v>138</v>
      </c>
      <c r="D68" s="245">
        <v>50</v>
      </c>
      <c r="E68" s="245">
        <v>0</v>
      </c>
      <c r="F68" s="245">
        <v>0</v>
      </c>
      <c r="G68" s="245">
        <v>5</v>
      </c>
      <c r="H68" s="245">
        <v>55</v>
      </c>
      <c r="I68" s="245">
        <v>1.7549999999999999</v>
      </c>
      <c r="J68" s="245">
        <v>87.75</v>
      </c>
      <c r="K68" s="245">
        <v>0</v>
      </c>
      <c r="L68" s="245">
        <v>0</v>
      </c>
      <c r="M68" s="245">
        <v>8.7749999999999986</v>
      </c>
      <c r="N68" s="245">
        <v>96.525000000000006</v>
      </c>
      <c r="O68" s="245" t="s">
        <v>56</v>
      </c>
      <c r="P68" s="245" t="s">
        <v>98</v>
      </c>
      <c r="Q68" s="245" t="s">
        <v>98</v>
      </c>
      <c r="R68" s="246" t="s">
        <v>32</v>
      </c>
    </row>
    <row r="69" spans="1:18" ht="26" x14ac:dyDescent="0.8">
      <c r="A69" s="247">
        <v>114</v>
      </c>
      <c r="B69" s="248" t="s">
        <v>139</v>
      </c>
      <c r="R69" s="246" t="s">
        <v>32</v>
      </c>
    </row>
    <row r="70" spans="1:18" x14ac:dyDescent="0.8">
      <c r="A70" s="247">
        <v>1141</v>
      </c>
      <c r="B70" s="248" t="s">
        <v>140</v>
      </c>
      <c r="R70" s="246" t="s">
        <v>32</v>
      </c>
    </row>
    <row r="71" spans="1:18" ht="26" hidden="1" x14ac:dyDescent="0.8">
      <c r="A71" s="247">
        <v>11411</v>
      </c>
      <c r="B71" s="248" t="s">
        <v>141</v>
      </c>
      <c r="C71" s="249" t="s">
        <v>55</v>
      </c>
      <c r="D71" s="245">
        <v>1</v>
      </c>
      <c r="E71" s="245">
        <v>1</v>
      </c>
      <c r="F71" s="245">
        <v>1</v>
      </c>
      <c r="G71" s="245">
        <v>1</v>
      </c>
      <c r="H71" s="245">
        <v>4</v>
      </c>
      <c r="I71" s="245">
        <v>0</v>
      </c>
      <c r="O71" s="245" t="s">
        <v>56</v>
      </c>
      <c r="P71" s="245" t="s">
        <v>142</v>
      </c>
      <c r="Q71" s="245" t="s">
        <v>96</v>
      </c>
      <c r="R71" s="246" t="s">
        <v>32</v>
      </c>
    </row>
    <row r="72" spans="1:18" ht="39" hidden="1" x14ac:dyDescent="0.8">
      <c r="A72" s="247">
        <v>11412</v>
      </c>
      <c r="B72" s="248" t="s">
        <v>143</v>
      </c>
      <c r="C72" s="249" t="s">
        <v>55</v>
      </c>
      <c r="D72" s="245">
        <v>1</v>
      </c>
      <c r="E72" s="245">
        <v>1</v>
      </c>
      <c r="F72" s="245">
        <v>1</v>
      </c>
      <c r="G72" s="245">
        <v>1</v>
      </c>
      <c r="H72" s="245">
        <v>4</v>
      </c>
      <c r="I72" s="245">
        <v>0</v>
      </c>
      <c r="O72" s="245" t="s">
        <v>56</v>
      </c>
      <c r="P72" s="245" t="s">
        <v>142</v>
      </c>
      <c r="Q72" s="245" t="s">
        <v>144</v>
      </c>
      <c r="R72" s="246" t="s">
        <v>32</v>
      </c>
    </row>
    <row r="73" spans="1:18" ht="26" hidden="1" x14ac:dyDescent="0.8">
      <c r="A73" s="247">
        <v>11413</v>
      </c>
      <c r="B73" s="248" t="s">
        <v>145</v>
      </c>
      <c r="C73" s="249" t="s">
        <v>147</v>
      </c>
      <c r="E73" s="245">
        <v>64.137599999999992</v>
      </c>
      <c r="F73" s="245">
        <v>62.251199999999997</v>
      </c>
      <c r="G73" s="245">
        <v>59.421599999999998</v>
      </c>
      <c r="H73" s="245">
        <v>185.81039999999999</v>
      </c>
      <c r="I73" s="245">
        <v>26.97945149076298</v>
      </c>
      <c r="J73" s="245">
        <v>0</v>
      </c>
      <c r="K73" s="245">
        <v>1730.3972679339595</v>
      </c>
      <c r="L73" s="245">
        <v>1679.5032306417843</v>
      </c>
      <c r="M73" s="245">
        <v>1603.1621747035215</v>
      </c>
      <c r="N73" s="245">
        <v>5013.0626732792653</v>
      </c>
      <c r="O73" s="245" t="s">
        <v>56</v>
      </c>
      <c r="P73" s="245" t="s">
        <v>142</v>
      </c>
      <c r="Q73" s="245" t="s">
        <v>144</v>
      </c>
      <c r="R73" s="246" t="s">
        <v>32</v>
      </c>
    </row>
    <row r="74" spans="1:18" ht="26" hidden="1" x14ac:dyDescent="0.8">
      <c r="A74" s="247">
        <v>11413</v>
      </c>
      <c r="B74" s="248" t="s">
        <v>145</v>
      </c>
      <c r="C74" s="249" t="s">
        <v>147</v>
      </c>
      <c r="E74" s="245">
        <v>3.8623999999999996</v>
      </c>
      <c r="F74" s="245">
        <v>3.7487999999999997</v>
      </c>
      <c r="G74" s="245">
        <v>3.5783999999999998</v>
      </c>
      <c r="H74" s="245">
        <v>11.189599999999999</v>
      </c>
      <c r="I74" s="245">
        <v>26.97945149076298</v>
      </c>
      <c r="J74" s="245">
        <v>0</v>
      </c>
      <c r="K74" s="245">
        <v>104.20543343792292</v>
      </c>
      <c r="L74" s="245">
        <v>101.14056774857225</v>
      </c>
      <c r="M74" s="245">
        <v>96.543269214546243</v>
      </c>
      <c r="N74" s="245">
        <v>301.88927040104141</v>
      </c>
      <c r="O74" s="245" t="s">
        <v>56</v>
      </c>
      <c r="P74" s="245" t="s">
        <v>142</v>
      </c>
      <c r="Q74" s="245" t="s">
        <v>144</v>
      </c>
      <c r="R74" s="246" t="s">
        <v>32</v>
      </c>
    </row>
    <row r="75" spans="1:18" ht="26" hidden="1" x14ac:dyDescent="0.8">
      <c r="A75" s="247">
        <v>11414</v>
      </c>
      <c r="B75" s="248" t="s">
        <v>148</v>
      </c>
      <c r="C75" s="249" t="s">
        <v>150</v>
      </c>
      <c r="D75" s="245">
        <v>0.64587672675183305</v>
      </c>
      <c r="E75" s="245">
        <v>0.65612691651796995</v>
      </c>
      <c r="F75" s="245">
        <v>0.98880131112164604</v>
      </c>
      <c r="G75" s="245">
        <v>1.35507177236038</v>
      </c>
      <c r="H75" s="245">
        <v>3.6458767267518288</v>
      </c>
      <c r="I75" s="245">
        <v>46555.023127581044</v>
      </c>
      <c r="J75" s="245">
        <v>30068.805951497929</v>
      </c>
      <c r="K75" s="245">
        <v>30546.003773122527</v>
      </c>
      <c r="L75" s="245">
        <v>46033.667907850693</v>
      </c>
      <c r="M75" s="245">
        <v>63085.397701769725</v>
      </c>
      <c r="N75" s="245">
        <v>169733.87533424087</v>
      </c>
      <c r="O75" s="245" t="s">
        <v>56</v>
      </c>
      <c r="P75" s="245" t="s">
        <v>142</v>
      </c>
      <c r="Q75" s="245" t="s">
        <v>96</v>
      </c>
      <c r="R75" s="246" t="s">
        <v>32</v>
      </c>
    </row>
    <row r="76" spans="1:18" ht="26" hidden="1" x14ac:dyDescent="0.8">
      <c r="A76" s="247">
        <v>11415</v>
      </c>
      <c r="B76" s="248" t="s">
        <v>151</v>
      </c>
      <c r="C76" s="249" t="s">
        <v>55</v>
      </c>
      <c r="D76" s="245">
        <v>1</v>
      </c>
      <c r="E76" s="245">
        <v>1</v>
      </c>
      <c r="F76" s="245">
        <v>1</v>
      </c>
      <c r="G76" s="245">
        <v>1</v>
      </c>
      <c r="I76" s="245">
        <v>0</v>
      </c>
      <c r="O76" s="245" t="s">
        <v>56</v>
      </c>
      <c r="P76" s="245" t="s">
        <v>142</v>
      </c>
      <c r="Q76" s="245" t="s">
        <v>142</v>
      </c>
      <c r="R76" s="246" t="s">
        <v>32</v>
      </c>
    </row>
    <row r="77" spans="1:18" ht="26" x14ac:dyDescent="0.8">
      <c r="A77" s="247">
        <v>1142</v>
      </c>
      <c r="B77" s="248" t="s">
        <v>152</v>
      </c>
      <c r="R77" s="246" t="s">
        <v>32</v>
      </c>
    </row>
    <row r="78" spans="1:18" ht="26" hidden="1" x14ac:dyDescent="0.8">
      <c r="A78" s="247">
        <v>11421</v>
      </c>
      <c r="B78" s="248" t="s">
        <v>153</v>
      </c>
      <c r="C78" s="249" t="s">
        <v>59</v>
      </c>
      <c r="E78" s="245">
        <v>160</v>
      </c>
      <c r="H78" s="245">
        <v>160</v>
      </c>
      <c r="I78" s="245">
        <v>0.8177777777777776</v>
      </c>
      <c r="J78" s="245">
        <v>0</v>
      </c>
      <c r="K78" s="245">
        <v>130.84444444444441</v>
      </c>
      <c r="L78" s="245">
        <v>0</v>
      </c>
      <c r="M78" s="245">
        <v>0</v>
      </c>
      <c r="N78" s="245">
        <v>130.84444444444441</v>
      </c>
      <c r="O78" s="245" t="s">
        <v>56</v>
      </c>
      <c r="P78" s="245" t="s">
        <v>142</v>
      </c>
      <c r="Q78" s="245" t="s">
        <v>144</v>
      </c>
      <c r="R78" s="246" t="s">
        <v>32</v>
      </c>
    </row>
    <row r="79" spans="1:18" ht="26" hidden="1" x14ac:dyDescent="0.8">
      <c r="A79" s="247">
        <v>11422</v>
      </c>
      <c r="B79" s="248" t="s">
        <v>154</v>
      </c>
      <c r="C79" s="249" t="s">
        <v>156</v>
      </c>
      <c r="E79" s="245">
        <v>145</v>
      </c>
      <c r="F79" s="245">
        <v>211</v>
      </c>
      <c r="G79" s="245">
        <v>293</v>
      </c>
      <c r="H79" s="245">
        <v>649</v>
      </c>
      <c r="I79" s="245">
        <v>13.489725745381435</v>
      </c>
      <c r="J79" s="245">
        <v>0</v>
      </c>
      <c r="K79" s="245">
        <v>1956.0102330803081</v>
      </c>
      <c r="L79" s="245">
        <v>2846.3321322754828</v>
      </c>
      <c r="M79" s="245">
        <v>3952.4896433967606</v>
      </c>
      <c r="N79" s="245">
        <v>8754.8320087525517</v>
      </c>
      <c r="O79" s="245" t="s">
        <v>56</v>
      </c>
      <c r="P79" s="245" t="s">
        <v>142</v>
      </c>
      <c r="Q79" s="245" t="s">
        <v>142</v>
      </c>
      <c r="R79" s="246" t="s">
        <v>32</v>
      </c>
    </row>
    <row r="80" spans="1:18" ht="26" x14ac:dyDescent="0.8">
      <c r="A80" s="247">
        <v>1143</v>
      </c>
      <c r="B80" s="248" t="s">
        <v>157</v>
      </c>
      <c r="R80" s="246" t="s">
        <v>32</v>
      </c>
    </row>
    <row r="81" spans="1:18" ht="26" hidden="1" x14ac:dyDescent="0.8">
      <c r="A81" s="247">
        <v>11431</v>
      </c>
      <c r="B81" s="248" t="s">
        <v>158</v>
      </c>
      <c r="C81" s="249" t="s">
        <v>55</v>
      </c>
      <c r="E81" s="245">
        <v>1</v>
      </c>
      <c r="H81" s="245">
        <v>1</v>
      </c>
      <c r="I81" s="245">
        <v>0</v>
      </c>
      <c r="O81" s="245" t="s">
        <v>56</v>
      </c>
      <c r="P81" s="245" t="s">
        <v>41</v>
      </c>
      <c r="Q81" s="245" t="s">
        <v>160</v>
      </c>
      <c r="R81" s="246" t="s">
        <v>32</v>
      </c>
    </row>
    <row r="82" spans="1:18" ht="39" hidden="1" x14ac:dyDescent="0.8">
      <c r="A82" s="247">
        <v>11432</v>
      </c>
      <c r="B82" s="248" t="s">
        <v>161</v>
      </c>
      <c r="C82" s="249" t="s">
        <v>66</v>
      </c>
      <c r="E82" s="245">
        <v>90</v>
      </c>
      <c r="H82" s="245">
        <v>90</v>
      </c>
      <c r="I82" s="245">
        <v>0.255</v>
      </c>
      <c r="J82" s="245">
        <v>0</v>
      </c>
      <c r="K82" s="245">
        <v>22.95</v>
      </c>
      <c r="L82" s="245">
        <v>0</v>
      </c>
      <c r="M82" s="245">
        <v>0</v>
      </c>
      <c r="N82" s="245">
        <v>22.95</v>
      </c>
      <c r="O82" s="245" t="s">
        <v>56</v>
      </c>
      <c r="P82" s="245" t="s">
        <v>41</v>
      </c>
      <c r="Q82" s="245" t="s">
        <v>160</v>
      </c>
      <c r="R82" s="246" t="s">
        <v>32</v>
      </c>
    </row>
    <row r="83" spans="1:18" ht="26" hidden="1" x14ac:dyDescent="0.8">
      <c r="A83" s="247">
        <v>11433</v>
      </c>
      <c r="B83" s="248" t="s">
        <v>162</v>
      </c>
      <c r="C83" s="249" t="s">
        <v>55</v>
      </c>
      <c r="E83" s="245">
        <v>872</v>
      </c>
      <c r="F83" s="245">
        <v>970</v>
      </c>
      <c r="G83" s="245">
        <v>1074</v>
      </c>
      <c r="H83" s="245">
        <v>2916</v>
      </c>
      <c r="I83" s="245">
        <v>0</v>
      </c>
      <c r="O83" s="245" t="s">
        <v>56</v>
      </c>
      <c r="P83" s="245" t="s">
        <v>41</v>
      </c>
      <c r="Q83" s="245" t="s">
        <v>160</v>
      </c>
      <c r="R83" s="246" t="s">
        <v>32</v>
      </c>
    </row>
    <row r="84" spans="1:18" x14ac:dyDescent="0.8">
      <c r="A84" s="247">
        <v>12</v>
      </c>
      <c r="B84" s="248" t="s">
        <v>163</v>
      </c>
      <c r="R84" s="246" t="s">
        <v>32</v>
      </c>
    </row>
    <row r="85" spans="1:18" x14ac:dyDescent="0.8">
      <c r="A85" s="247">
        <v>121</v>
      </c>
      <c r="B85" s="248" t="s">
        <v>164</v>
      </c>
      <c r="R85" s="246" t="s">
        <v>32</v>
      </c>
    </row>
    <row r="86" spans="1:18" ht="26" x14ac:dyDescent="0.8">
      <c r="A86" s="247">
        <v>1211</v>
      </c>
      <c r="B86" s="248" t="s">
        <v>165</v>
      </c>
      <c r="R86" s="246" t="s">
        <v>32</v>
      </c>
    </row>
    <row r="87" spans="1:18" hidden="1" x14ac:dyDescent="0.8">
      <c r="A87" s="247">
        <v>12111</v>
      </c>
      <c r="B87" s="248" t="s">
        <v>166</v>
      </c>
      <c r="C87" s="249" t="s">
        <v>168</v>
      </c>
      <c r="D87" s="245">
        <v>0</v>
      </c>
      <c r="F87" s="245">
        <v>1</v>
      </c>
      <c r="H87" s="245">
        <v>1</v>
      </c>
      <c r="I87" s="245">
        <v>262.5</v>
      </c>
      <c r="J87" s="245">
        <v>0</v>
      </c>
      <c r="K87" s="245">
        <v>0</v>
      </c>
      <c r="L87" s="245">
        <v>262.5</v>
      </c>
      <c r="M87" s="245">
        <v>0</v>
      </c>
      <c r="N87" s="245">
        <v>262.5</v>
      </c>
      <c r="O87" s="245" t="s">
        <v>169</v>
      </c>
      <c r="P87" s="245" t="s">
        <v>96</v>
      </c>
      <c r="Q87" s="245" t="s">
        <v>96</v>
      </c>
      <c r="R87" s="246" t="s">
        <v>32</v>
      </c>
    </row>
    <row r="88" spans="1:18" ht="39" x14ac:dyDescent="0.8">
      <c r="A88" s="247">
        <v>1212</v>
      </c>
      <c r="B88" s="248" t="s">
        <v>171</v>
      </c>
      <c r="R88" s="246" t="s">
        <v>32</v>
      </c>
    </row>
    <row r="89" spans="1:18" hidden="1" x14ac:dyDescent="0.8">
      <c r="A89" s="247">
        <v>12121</v>
      </c>
      <c r="B89" s="248" t="s">
        <v>172</v>
      </c>
      <c r="C89" s="249" t="s">
        <v>38</v>
      </c>
      <c r="D89" s="245">
        <v>0</v>
      </c>
      <c r="H89" s="245">
        <v>0</v>
      </c>
      <c r="I89" s="245">
        <v>0.3133333333333333</v>
      </c>
      <c r="J89" s="245">
        <v>0</v>
      </c>
      <c r="K89" s="245">
        <v>0</v>
      </c>
      <c r="L89" s="245">
        <v>0</v>
      </c>
      <c r="M89" s="245">
        <v>0</v>
      </c>
      <c r="N89" s="245">
        <v>0</v>
      </c>
      <c r="O89" s="245" t="s">
        <v>169</v>
      </c>
      <c r="P89" s="245" t="s">
        <v>173</v>
      </c>
      <c r="Q89" s="245" t="s">
        <v>173</v>
      </c>
      <c r="R89" s="246" t="s">
        <v>32</v>
      </c>
    </row>
    <row r="90" spans="1:18" hidden="1" x14ac:dyDescent="0.8">
      <c r="A90" s="247">
        <v>12122</v>
      </c>
      <c r="B90" s="248" t="s">
        <v>174</v>
      </c>
      <c r="C90" s="249" t="s">
        <v>73</v>
      </c>
      <c r="D90" s="245">
        <v>0</v>
      </c>
      <c r="E90" s="245">
        <v>228</v>
      </c>
      <c r="F90" s="245">
        <v>570</v>
      </c>
      <c r="G90" s="245">
        <v>570</v>
      </c>
      <c r="H90" s="245">
        <v>1368</v>
      </c>
      <c r="I90" s="245">
        <v>0.4</v>
      </c>
      <c r="J90" s="245">
        <v>0</v>
      </c>
      <c r="K90" s="245">
        <v>91.2</v>
      </c>
      <c r="L90" s="245">
        <v>228</v>
      </c>
      <c r="M90" s="245">
        <v>228</v>
      </c>
      <c r="N90" s="245">
        <v>547.20000000000005</v>
      </c>
      <c r="O90" s="245" t="s">
        <v>169</v>
      </c>
      <c r="P90" s="245" t="s">
        <v>173</v>
      </c>
      <c r="Q90" s="245" t="s">
        <v>173</v>
      </c>
      <c r="R90" s="246" t="s">
        <v>32</v>
      </c>
    </row>
    <row r="91" spans="1:18" x14ac:dyDescent="0.8">
      <c r="A91" s="247">
        <v>12122</v>
      </c>
      <c r="B91" s="248" t="s">
        <v>174</v>
      </c>
      <c r="C91" s="249" t="s">
        <v>73</v>
      </c>
      <c r="D91" s="245">
        <v>0</v>
      </c>
      <c r="E91" s="245">
        <v>570</v>
      </c>
      <c r="F91" s="245">
        <v>570</v>
      </c>
      <c r="G91" s="245">
        <v>570</v>
      </c>
      <c r="H91" s="245">
        <v>1710</v>
      </c>
      <c r="I91" s="245">
        <v>0.4</v>
      </c>
      <c r="J91" s="245">
        <v>0</v>
      </c>
      <c r="K91" s="245">
        <v>228</v>
      </c>
      <c r="L91" s="245">
        <v>228</v>
      </c>
      <c r="M91" s="245">
        <v>228</v>
      </c>
      <c r="N91" s="245">
        <v>684</v>
      </c>
      <c r="O91" s="245" t="s">
        <v>39</v>
      </c>
      <c r="P91" s="245" t="s">
        <v>173</v>
      </c>
      <c r="Q91" s="245" t="s">
        <v>173</v>
      </c>
      <c r="R91" s="246" t="s">
        <v>32</v>
      </c>
    </row>
    <row r="92" spans="1:18" ht="39" x14ac:dyDescent="0.8">
      <c r="A92" s="247">
        <v>12123</v>
      </c>
      <c r="B92" s="248" t="s">
        <v>175</v>
      </c>
      <c r="C92" s="249" t="s">
        <v>59</v>
      </c>
      <c r="D92" s="245">
        <v>203.80499999999998</v>
      </c>
      <c r="E92" s="245">
        <v>203.80499999999998</v>
      </c>
      <c r="F92" s="245">
        <v>203.80499999999998</v>
      </c>
      <c r="G92" s="245">
        <v>203.80499999999998</v>
      </c>
      <c r="H92" s="245">
        <v>815.21999999999991</v>
      </c>
      <c r="I92" s="245">
        <v>0.8177777777777776</v>
      </c>
      <c r="J92" s="245">
        <v>166.66719999999995</v>
      </c>
      <c r="K92" s="245">
        <v>166.66719999999995</v>
      </c>
      <c r="L92" s="245">
        <v>166.66719999999995</v>
      </c>
      <c r="M92" s="245">
        <v>166.66719999999995</v>
      </c>
      <c r="N92" s="245">
        <v>666.66879999999981</v>
      </c>
      <c r="O92" s="245" t="s">
        <v>67</v>
      </c>
      <c r="P92" s="245" t="s">
        <v>173</v>
      </c>
      <c r="Q92" s="245" t="s">
        <v>173</v>
      </c>
      <c r="R92" s="246" t="s">
        <v>32</v>
      </c>
    </row>
    <row r="93" spans="1:18" ht="39" x14ac:dyDescent="0.8">
      <c r="A93" s="247">
        <v>12123</v>
      </c>
      <c r="B93" s="248" t="s">
        <v>175</v>
      </c>
      <c r="C93" s="249" t="s">
        <v>59</v>
      </c>
      <c r="D93" s="245">
        <v>0</v>
      </c>
      <c r="E93" s="245">
        <v>6.1950000000000003</v>
      </c>
      <c r="F93" s="245">
        <v>6.1950000000000003</v>
      </c>
      <c r="G93" s="245">
        <v>6.1950000000000003</v>
      </c>
      <c r="H93" s="245">
        <v>18.585000000000001</v>
      </c>
      <c r="I93" s="245">
        <v>0.8177777777777776</v>
      </c>
      <c r="J93" s="245">
        <v>0</v>
      </c>
      <c r="K93" s="245">
        <v>5.0661333333333323</v>
      </c>
      <c r="L93" s="245">
        <v>5.0661333333333323</v>
      </c>
      <c r="M93" s="245">
        <v>5.0661333333333323</v>
      </c>
      <c r="N93" s="245">
        <v>15.198399999999996</v>
      </c>
      <c r="O93" s="245" t="s">
        <v>2669</v>
      </c>
      <c r="P93" s="245" t="s">
        <v>173</v>
      </c>
      <c r="Q93" s="245" t="s">
        <v>173</v>
      </c>
      <c r="R93" s="246" t="s">
        <v>32</v>
      </c>
    </row>
    <row r="94" spans="1:18" ht="26" x14ac:dyDescent="0.8">
      <c r="A94" s="247">
        <v>12124</v>
      </c>
      <c r="B94" s="248" t="s">
        <v>176</v>
      </c>
      <c r="C94" s="249" t="s">
        <v>59</v>
      </c>
      <c r="D94" s="245">
        <v>0</v>
      </c>
      <c r="E94" s="245">
        <v>0</v>
      </c>
      <c r="F94" s="245">
        <v>0</v>
      </c>
      <c r="G94" s="245">
        <v>0</v>
      </c>
      <c r="H94" s="245">
        <v>0</v>
      </c>
      <c r="I94" s="245">
        <v>0.8177777777777776</v>
      </c>
      <c r="J94" s="245">
        <v>0</v>
      </c>
      <c r="N94" s="245">
        <v>0</v>
      </c>
      <c r="O94" s="245" t="s">
        <v>178</v>
      </c>
      <c r="P94" s="245" t="s">
        <v>173</v>
      </c>
      <c r="Q94" s="245" t="s">
        <v>179</v>
      </c>
      <c r="R94" s="246" t="s">
        <v>32</v>
      </c>
    </row>
    <row r="95" spans="1:18" ht="26" hidden="1" x14ac:dyDescent="0.8">
      <c r="A95" s="247">
        <v>12124</v>
      </c>
      <c r="B95" s="248" t="s">
        <v>176</v>
      </c>
      <c r="C95" s="249" t="s">
        <v>59</v>
      </c>
      <c r="D95" s="245">
        <v>0</v>
      </c>
      <c r="E95" s="245">
        <v>160</v>
      </c>
      <c r="F95" s="245">
        <v>160</v>
      </c>
      <c r="G95" s="245">
        <v>160</v>
      </c>
      <c r="H95" s="245">
        <v>480</v>
      </c>
      <c r="I95" s="245">
        <v>0.8177777777777776</v>
      </c>
      <c r="K95" s="245">
        <v>130.84444444444441</v>
      </c>
      <c r="L95" s="245">
        <v>130.84444444444441</v>
      </c>
      <c r="M95" s="245">
        <v>130.84444444444441</v>
      </c>
      <c r="N95" s="245">
        <v>392.53333333333319</v>
      </c>
      <c r="O95" s="245" t="s">
        <v>56</v>
      </c>
      <c r="P95" s="245" t="s">
        <v>173</v>
      </c>
      <c r="Q95" s="245" t="s">
        <v>179</v>
      </c>
      <c r="R95" s="246" t="s">
        <v>32</v>
      </c>
    </row>
    <row r="96" spans="1:18" ht="39" x14ac:dyDescent="0.8">
      <c r="A96" s="247">
        <v>1213</v>
      </c>
      <c r="B96" s="248" t="s">
        <v>180</v>
      </c>
      <c r="D96" s="245">
        <v>0</v>
      </c>
      <c r="R96" s="246" t="s">
        <v>32</v>
      </c>
    </row>
    <row r="97" spans="1:18" ht="26" hidden="1" x14ac:dyDescent="0.8">
      <c r="A97" s="247">
        <v>12131</v>
      </c>
      <c r="B97" s="248" t="s">
        <v>181</v>
      </c>
      <c r="C97" s="249" t="s">
        <v>55</v>
      </c>
      <c r="D97" s="245">
        <v>0</v>
      </c>
      <c r="E97" s="245">
        <v>1</v>
      </c>
      <c r="H97" s="245">
        <v>1</v>
      </c>
      <c r="I97" s="245">
        <v>0</v>
      </c>
      <c r="O97" s="245" t="s">
        <v>56</v>
      </c>
      <c r="P97" s="245" t="s">
        <v>96</v>
      </c>
      <c r="Q97" s="245" t="s">
        <v>96</v>
      </c>
      <c r="R97" s="246" t="s">
        <v>32</v>
      </c>
    </row>
    <row r="98" spans="1:18" ht="26" hidden="1" x14ac:dyDescent="0.8">
      <c r="A98" s="247">
        <v>12132</v>
      </c>
      <c r="B98" s="248" t="s">
        <v>183</v>
      </c>
      <c r="C98" s="249" t="s">
        <v>55</v>
      </c>
      <c r="D98" s="245">
        <v>0</v>
      </c>
      <c r="E98" s="245">
        <v>1</v>
      </c>
      <c r="F98" s="245">
        <v>1</v>
      </c>
      <c r="G98" s="245">
        <v>1</v>
      </c>
      <c r="H98" s="245">
        <v>3</v>
      </c>
      <c r="I98" s="245">
        <v>0</v>
      </c>
      <c r="O98" s="245" t="s">
        <v>56</v>
      </c>
      <c r="P98" s="245" t="s">
        <v>96</v>
      </c>
      <c r="Q98" s="245" t="s">
        <v>96</v>
      </c>
      <c r="R98" s="246" t="s">
        <v>32</v>
      </c>
    </row>
    <row r="99" spans="1:18" ht="26" hidden="1" x14ac:dyDescent="0.8">
      <c r="A99" s="247">
        <v>12133</v>
      </c>
      <c r="B99" s="248" t="s">
        <v>184</v>
      </c>
      <c r="C99" s="249" t="s">
        <v>59</v>
      </c>
      <c r="D99" s="245">
        <v>0</v>
      </c>
      <c r="E99" s="245">
        <v>80</v>
      </c>
      <c r="F99" s="245">
        <v>56</v>
      </c>
      <c r="G99" s="245">
        <v>56</v>
      </c>
      <c r="H99" s="245">
        <v>192</v>
      </c>
      <c r="I99" s="245">
        <v>0.8177777777777776</v>
      </c>
      <c r="J99" s="245">
        <v>0</v>
      </c>
      <c r="K99" s="245">
        <v>65.422222222222203</v>
      </c>
      <c r="L99" s="245">
        <v>45.795555555555545</v>
      </c>
      <c r="M99" s="245">
        <v>45.795555555555545</v>
      </c>
      <c r="N99" s="245">
        <v>157.01333333333329</v>
      </c>
      <c r="O99" s="245" t="s">
        <v>56</v>
      </c>
      <c r="P99" s="245" t="s">
        <v>81</v>
      </c>
      <c r="Q99" s="245" t="s">
        <v>81</v>
      </c>
      <c r="R99" s="246" t="s">
        <v>32</v>
      </c>
    </row>
    <row r="100" spans="1:18" ht="26" x14ac:dyDescent="0.8">
      <c r="A100" s="247">
        <v>12133</v>
      </c>
      <c r="B100" s="248" t="s">
        <v>184</v>
      </c>
      <c r="C100" s="249" t="s">
        <v>59</v>
      </c>
      <c r="D100" s="245">
        <v>0</v>
      </c>
      <c r="E100" s="245">
        <v>320</v>
      </c>
      <c r="F100" s="245">
        <v>224</v>
      </c>
      <c r="G100" s="245">
        <v>224</v>
      </c>
      <c r="H100" s="245">
        <v>768</v>
      </c>
      <c r="I100" s="245">
        <v>0.8177777777777776</v>
      </c>
      <c r="J100" s="245">
        <v>0</v>
      </c>
      <c r="K100" s="245">
        <v>261.68888888888881</v>
      </c>
      <c r="L100" s="245">
        <v>183.18222222222218</v>
      </c>
      <c r="M100" s="245">
        <v>183.18222222222218</v>
      </c>
      <c r="N100" s="245">
        <v>628.05333333333317</v>
      </c>
      <c r="O100" s="245" t="s">
        <v>187</v>
      </c>
      <c r="P100" s="245" t="s">
        <v>81</v>
      </c>
      <c r="Q100" s="245" t="s">
        <v>81</v>
      </c>
      <c r="R100" s="246" t="s">
        <v>32</v>
      </c>
    </row>
    <row r="101" spans="1:18" ht="26" hidden="1" x14ac:dyDescent="0.8">
      <c r="A101" s="247">
        <v>12134</v>
      </c>
      <c r="B101" s="248" t="s">
        <v>185</v>
      </c>
      <c r="C101" s="249" t="s">
        <v>186</v>
      </c>
      <c r="D101" s="245">
        <v>0</v>
      </c>
      <c r="E101" s="245">
        <v>39795.351353295802</v>
      </c>
      <c r="F101" s="245">
        <v>45505.129520436807</v>
      </c>
      <c r="G101" s="245">
        <v>51355.324285016402</v>
      </c>
      <c r="H101" s="245">
        <v>136655.80515874902</v>
      </c>
      <c r="I101" s="245">
        <v>0.25</v>
      </c>
      <c r="J101" s="245">
        <v>0</v>
      </c>
      <c r="K101" s="245">
        <v>9948.8378383239506</v>
      </c>
      <c r="L101" s="245">
        <v>11376.282380109202</v>
      </c>
      <c r="M101" s="245">
        <v>12838.831071254101</v>
      </c>
      <c r="N101" s="245">
        <v>34163.951289687255</v>
      </c>
      <c r="O101" s="245" t="s">
        <v>56</v>
      </c>
      <c r="P101" s="245" t="s">
        <v>81</v>
      </c>
      <c r="Q101" s="245" t="s">
        <v>81</v>
      </c>
      <c r="R101" s="246" t="s">
        <v>32</v>
      </c>
    </row>
    <row r="102" spans="1:18" ht="26" x14ac:dyDescent="0.8">
      <c r="A102" s="247">
        <v>12134</v>
      </c>
      <c r="B102" s="248" t="s">
        <v>185</v>
      </c>
      <c r="C102" s="249" t="s">
        <v>186</v>
      </c>
      <c r="D102" s="245">
        <v>0</v>
      </c>
      <c r="E102" s="245">
        <v>149232.56757485925</v>
      </c>
      <c r="F102" s="245">
        <v>170644.23570163801</v>
      </c>
      <c r="G102" s="245">
        <v>192582.46606881151</v>
      </c>
      <c r="H102" s="245">
        <v>512459.26934530877</v>
      </c>
      <c r="I102" s="245">
        <v>0.25</v>
      </c>
      <c r="J102" s="245">
        <v>0</v>
      </c>
      <c r="K102" s="245">
        <v>37308.141893714812</v>
      </c>
      <c r="L102" s="245">
        <v>42661.058925409503</v>
      </c>
      <c r="M102" s="245">
        <v>48145.616517202878</v>
      </c>
      <c r="N102" s="245">
        <v>128114.81733632719</v>
      </c>
      <c r="O102" s="245" t="s">
        <v>187</v>
      </c>
      <c r="P102" s="245" t="s">
        <v>81</v>
      </c>
      <c r="Q102" s="245" t="s">
        <v>81</v>
      </c>
      <c r="R102" s="246" t="s">
        <v>32</v>
      </c>
    </row>
    <row r="103" spans="1:18" ht="26" x14ac:dyDescent="0.8">
      <c r="A103" s="247">
        <v>12134</v>
      </c>
      <c r="B103" s="248" t="s">
        <v>185</v>
      </c>
      <c r="C103" s="249" t="s">
        <v>186</v>
      </c>
      <c r="D103" s="245">
        <v>0</v>
      </c>
      <c r="E103" s="245">
        <v>9948.8378383239615</v>
      </c>
      <c r="F103" s="245">
        <v>11376.282380109187</v>
      </c>
      <c r="G103" s="245">
        <v>12838.831071254099</v>
      </c>
      <c r="H103" s="245">
        <v>34163.951289687247</v>
      </c>
      <c r="I103" s="245">
        <v>0.25</v>
      </c>
      <c r="J103" s="245">
        <v>0</v>
      </c>
      <c r="K103" s="245">
        <v>2487.2094595809904</v>
      </c>
      <c r="L103" s="245">
        <v>2844.0705950272968</v>
      </c>
      <c r="M103" s="245">
        <v>3209.7077678135247</v>
      </c>
      <c r="N103" s="245">
        <v>8540.9878224218119</v>
      </c>
      <c r="O103" s="245" t="s">
        <v>187</v>
      </c>
      <c r="P103" s="245" t="s">
        <v>81</v>
      </c>
      <c r="Q103" s="245" t="s">
        <v>81</v>
      </c>
      <c r="R103" s="246" t="s">
        <v>32</v>
      </c>
    </row>
    <row r="104" spans="1:18" x14ac:dyDescent="0.8">
      <c r="A104" s="247">
        <v>12135</v>
      </c>
      <c r="B104" s="248" t="s">
        <v>188</v>
      </c>
      <c r="C104" s="249" t="s">
        <v>59</v>
      </c>
      <c r="D104" s="245">
        <v>0</v>
      </c>
      <c r="E104" s="245">
        <v>48.032000000000004</v>
      </c>
      <c r="F104" s="245">
        <v>48.032000000000004</v>
      </c>
      <c r="G104" s="245">
        <v>72.048000000000002</v>
      </c>
      <c r="H104" s="245">
        <v>168.11200000000002</v>
      </c>
      <c r="I104" s="245">
        <v>0.8177777777777776</v>
      </c>
      <c r="J104" s="245">
        <v>0</v>
      </c>
      <c r="K104" s="245">
        <v>39.27950222222222</v>
      </c>
      <c r="L104" s="245">
        <v>39.27950222222222</v>
      </c>
      <c r="M104" s="245">
        <v>58.919253333333323</v>
      </c>
      <c r="N104" s="245">
        <v>137.47825777777777</v>
      </c>
      <c r="O104" s="245" t="s">
        <v>39</v>
      </c>
      <c r="P104" s="245" t="s">
        <v>81</v>
      </c>
      <c r="Q104" s="245" t="s">
        <v>81</v>
      </c>
      <c r="R104" s="246" t="s">
        <v>32</v>
      </c>
    </row>
    <row r="105" spans="1:18" x14ac:dyDescent="0.8">
      <c r="A105" s="247">
        <v>12135</v>
      </c>
      <c r="B105" s="248" t="s">
        <v>188</v>
      </c>
      <c r="C105" s="249" t="s">
        <v>59</v>
      </c>
      <c r="D105" s="245">
        <v>0</v>
      </c>
      <c r="E105" s="245">
        <v>223.96799999999999</v>
      </c>
      <c r="F105" s="245">
        <v>223.96799999999999</v>
      </c>
      <c r="G105" s="245">
        <v>335.952</v>
      </c>
      <c r="H105" s="245">
        <v>783.88799999999992</v>
      </c>
      <c r="I105" s="245">
        <v>0.8177777777777776</v>
      </c>
      <c r="J105" s="245">
        <v>0</v>
      </c>
      <c r="K105" s="245">
        <v>183.15605333333329</v>
      </c>
      <c r="L105" s="245">
        <v>183.15605333333329</v>
      </c>
      <c r="M105" s="245">
        <v>274.73407999999995</v>
      </c>
      <c r="N105" s="245">
        <v>641.04618666666647</v>
      </c>
      <c r="O105" s="245" t="s">
        <v>187</v>
      </c>
      <c r="P105" s="245" t="s">
        <v>81</v>
      </c>
      <c r="Q105" s="245" t="s">
        <v>81</v>
      </c>
      <c r="R105" s="246" t="s">
        <v>32</v>
      </c>
    </row>
    <row r="106" spans="1:18" x14ac:dyDescent="0.8">
      <c r="A106" s="247">
        <v>12135</v>
      </c>
      <c r="B106" s="248" t="s">
        <v>188</v>
      </c>
      <c r="C106" s="249" t="s">
        <v>59</v>
      </c>
      <c r="D106" s="245">
        <v>0</v>
      </c>
      <c r="E106" s="245">
        <v>48</v>
      </c>
      <c r="F106" s="245">
        <v>48</v>
      </c>
      <c r="G106" s="245">
        <v>72</v>
      </c>
      <c r="H106" s="245">
        <v>168</v>
      </c>
      <c r="I106" s="245">
        <v>0.8177777777777776</v>
      </c>
      <c r="J106" s="245">
        <v>0</v>
      </c>
      <c r="K106" s="245">
        <v>39.253333333333323</v>
      </c>
      <c r="L106" s="245">
        <v>39.253333333333323</v>
      </c>
      <c r="M106" s="245">
        <v>58.879999999999988</v>
      </c>
      <c r="N106" s="245">
        <v>137.38666666666663</v>
      </c>
      <c r="O106" s="245" t="s">
        <v>39</v>
      </c>
      <c r="P106" s="245" t="s">
        <v>81</v>
      </c>
      <c r="Q106" s="245" t="s">
        <v>81</v>
      </c>
      <c r="R106" s="246" t="s">
        <v>32</v>
      </c>
    </row>
    <row r="107" spans="1:18" ht="39" x14ac:dyDescent="0.8">
      <c r="A107" s="247">
        <v>1214</v>
      </c>
      <c r="B107" s="248" t="s">
        <v>189</v>
      </c>
      <c r="D107" s="245">
        <v>0</v>
      </c>
      <c r="R107" s="246" t="s">
        <v>32</v>
      </c>
    </row>
    <row r="108" spans="1:18" ht="39" x14ac:dyDescent="0.8">
      <c r="A108" s="247">
        <v>12141</v>
      </c>
      <c r="B108" s="248" t="s">
        <v>190</v>
      </c>
      <c r="C108" s="249" t="s">
        <v>59</v>
      </c>
      <c r="D108" s="245">
        <v>0</v>
      </c>
      <c r="E108" s="245">
        <v>2562</v>
      </c>
      <c r="H108" s="245">
        <v>2562</v>
      </c>
      <c r="I108" s="245">
        <v>0.8177777777777776</v>
      </c>
      <c r="J108" s="245">
        <v>0</v>
      </c>
      <c r="K108" s="245">
        <v>2095.1466666666661</v>
      </c>
      <c r="L108" s="245">
        <v>0</v>
      </c>
      <c r="M108" s="245">
        <v>0</v>
      </c>
      <c r="N108" s="245">
        <v>2095.1466666666661</v>
      </c>
      <c r="O108" s="245" t="s">
        <v>191</v>
      </c>
      <c r="P108" s="245" t="s">
        <v>192</v>
      </c>
      <c r="Q108" s="245" t="s">
        <v>193</v>
      </c>
      <c r="R108" s="246" t="s">
        <v>32</v>
      </c>
    </row>
    <row r="109" spans="1:18" ht="52" x14ac:dyDescent="0.8">
      <c r="A109" s="247">
        <v>12142</v>
      </c>
      <c r="B109" s="248" t="s">
        <v>194</v>
      </c>
      <c r="C109" s="249" t="s">
        <v>101</v>
      </c>
      <c r="D109" s="245">
        <v>0</v>
      </c>
      <c r="E109" s="245">
        <v>59.967999999999996</v>
      </c>
      <c r="H109" s="245">
        <v>59.967999999999996</v>
      </c>
      <c r="I109" s="245">
        <v>2.651545</v>
      </c>
      <c r="J109" s="245">
        <v>0</v>
      </c>
      <c r="K109" s="245">
        <v>159.00785055999998</v>
      </c>
      <c r="L109" s="245">
        <v>0</v>
      </c>
      <c r="M109" s="245">
        <v>0</v>
      </c>
      <c r="N109" s="245">
        <v>159.00785055999998</v>
      </c>
      <c r="O109" s="245" t="s">
        <v>191</v>
      </c>
      <c r="P109" s="245" t="s">
        <v>192</v>
      </c>
      <c r="Q109" s="245" t="s">
        <v>196</v>
      </c>
      <c r="R109" s="246" t="s">
        <v>32</v>
      </c>
    </row>
    <row r="110" spans="1:18" ht="52" x14ac:dyDescent="0.8">
      <c r="A110" s="247">
        <v>12142</v>
      </c>
      <c r="B110" s="248" t="s">
        <v>194</v>
      </c>
      <c r="C110" s="249" t="s">
        <v>101</v>
      </c>
      <c r="D110" s="245">
        <v>0</v>
      </c>
      <c r="E110" s="245">
        <v>20.032</v>
      </c>
      <c r="H110" s="245">
        <v>20.032</v>
      </c>
      <c r="I110" s="245">
        <v>2.651545</v>
      </c>
      <c r="J110" s="245">
        <v>0</v>
      </c>
      <c r="K110" s="245">
        <v>53.115749440000002</v>
      </c>
      <c r="L110" s="245">
        <v>0</v>
      </c>
      <c r="M110" s="245">
        <v>0</v>
      </c>
      <c r="N110" s="245">
        <v>53.115749440000002</v>
      </c>
      <c r="O110" s="245" t="s">
        <v>2128</v>
      </c>
      <c r="P110" s="245" t="s">
        <v>192</v>
      </c>
      <c r="Q110" s="245" t="s">
        <v>196</v>
      </c>
      <c r="R110" s="246" t="s">
        <v>32</v>
      </c>
    </row>
    <row r="111" spans="1:18" ht="52" x14ac:dyDescent="0.8">
      <c r="A111" s="247">
        <v>12143</v>
      </c>
      <c r="B111" s="248" t="s">
        <v>197</v>
      </c>
      <c r="C111" s="249" t="s">
        <v>38</v>
      </c>
      <c r="D111" s="245">
        <v>0</v>
      </c>
      <c r="F111" s="245">
        <v>90</v>
      </c>
      <c r="H111" s="245">
        <v>90</v>
      </c>
      <c r="I111" s="245">
        <v>0.3133333333333333</v>
      </c>
      <c r="J111" s="245">
        <v>0</v>
      </c>
      <c r="K111" s="245">
        <v>0</v>
      </c>
      <c r="L111" s="245">
        <v>28.199999999999996</v>
      </c>
      <c r="M111" s="245">
        <v>0</v>
      </c>
      <c r="N111" s="245">
        <v>28.199999999999996</v>
      </c>
      <c r="O111" s="245" t="s">
        <v>191</v>
      </c>
      <c r="P111" s="245" t="s">
        <v>192</v>
      </c>
      <c r="Q111" s="245" t="s">
        <v>196</v>
      </c>
      <c r="R111" s="246" t="s">
        <v>32</v>
      </c>
    </row>
    <row r="112" spans="1:18" ht="52" x14ac:dyDescent="0.8">
      <c r="A112" s="247">
        <v>12144</v>
      </c>
      <c r="B112" s="248" t="s">
        <v>198</v>
      </c>
      <c r="C112" s="249" t="s">
        <v>200</v>
      </c>
      <c r="D112" s="245">
        <v>0</v>
      </c>
      <c r="G112" s="245">
        <v>0.5</v>
      </c>
      <c r="H112" s="245">
        <v>0.5</v>
      </c>
      <c r="I112" s="245">
        <v>1046</v>
      </c>
      <c r="J112" s="245">
        <v>0</v>
      </c>
      <c r="K112" s="245">
        <v>0</v>
      </c>
      <c r="L112" s="245">
        <v>0</v>
      </c>
      <c r="M112" s="245">
        <v>523</v>
      </c>
      <c r="N112" s="245">
        <v>523</v>
      </c>
      <c r="O112" s="245" t="s">
        <v>191</v>
      </c>
      <c r="P112" s="245" t="s">
        <v>192</v>
      </c>
      <c r="Q112" s="245" t="s">
        <v>192</v>
      </c>
      <c r="R112" s="246" t="s">
        <v>32</v>
      </c>
    </row>
    <row r="113" spans="1:18" ht="52" x14ac:dyDescent="0.8">
      <c r="A113" s="247">
        <v>12144</v>
      </c>
      <c r="B113" s="248" t="s">
        <v>198</v>
      </c>
      <c r="C113" s="249" t="s">
        <v>200</v>
      </c>
      <c r="D113" s="245">
        <v>0</v>
      </c>
      <c r="G113" s="245">
        <v>0.5</v>
      </c>
      <c r="H113" s="245">
        <v>0.5</v>
      </c>
      <c r="I113" s="245">
        <v>1046</v>
      </c>
      <c r="J113" s="245">
        <v>0</v>
      </c>
      <c r="K113" s="245">
        <v>0</v>
      </c>
      <c r="L113" s="245">
        <v>0</v>
      </c>
      <c r="M113" s="245">
        <v>523</v>
      </c>
      <c r="N113" s="245">
        <v>523</v>
      </c>
      <c r="O113" s="245" t="s">
        <v>2128</v>
      </c>
      <c r="P113" s="245" t="s">
        <v>192</v>
      </c>
      <c r="Q113" s="245" t="s">
        <v>192</v>
      </c>
      <c r="R113" s="246" t="s">
        <v>32</v>
      </c>
    </row>
    <row r="114" spans="1:18" x14ac:dyDescent="0.8">
      <c r="A114" s="247">
        <v>12145</v>
      </c>
      <c r="B114" s="248" t="s">
        <v>201</v>
      </c>
      <c r="C114" s="249" t="s">
        <v>59</v>
      </c>
      <c r="D114" s="245">
        <v>0</v>
      </c>
      <c r="F114" s="245">
        <v>160</v>
      </c>
      <c r="G114" s="245">
        <v>80</v>
      </c>
      <c r="H114" s="245">
        <v>240</v>
      </c>
      <c r="I114" s="245">
        <v>0.8177777777777776</v>
      </c>
      <c r="J114" s="245">
        <v>0</v>
      </c>
      <c r="K114" s="245">
        <v>0</v>
      </c>
      <c r="L114" s="245">
        <v>130.84444444444441</v>
      </c>
      <c r="M114" s="245">
        <v>65.422222222222203</v>
      </c>
      <c r="N114" s="245">
        <v>196.26666666666659</v>
      </c>
      <c r="O114" s="245" t="s">
        <v>191</v>
      </c>
      <c r="P114" s="245" t="s">
        <v>192</v>
      </c>
      <c r="Q114" s="245" t="s">
        <v>192</v>
      </c>
      <c r="R114" s="246" t="s">
        <v>32</v>
      </c>
    </row>
    <row r="115" spans="1:18" x14ac:dyDescent="0.8">
      <c r="A115" s="247">
        <v>12145</v>
      </c>
      <c r="B115" s="248" t="s">
        <v>201</v>
      </c>
      <c r="C115" s="249" t="s">
        <v>59</v>
      </c>
      <c r="D115" s="245">
        <v>0</v>
      </c>
      <c r="F115" s="245">
        <v>160</v>
      </c>
      <c r="G115" s="245">
        <v>80</v>
      </c>
      <c r="H115" s="245">
        <v>240</v>
      </c>
      <c r="I115" s="245">
        <v>0.8177777777777776</v>
      </c>
      <c r="J115" s="245">
        <v>0</v>
      </c>
      <c r="K115" s="245">
        <v>0</v>
      </c>
      <c r="L115" s="245">
        <v>130.84444444444441</v>
      </c>
      <c r="M115" s="245">
        <v>65.422222222222203</v>
      </c>
      <c r="N115" s="245">
        <v>196.26666666666659</v>
      </c>
      <c r="O115" s="245" t="s">
        <v>2128</v>
      </c>
      <c r="P115" s="245" t="s">
        <v>192</v>
      </c>
      <c r="Q115" s="245" t="s">
        <v>192</v>
      </c>
      <c r="R115" s="246" t="s">
        <v>32</v>
      </c>
    </row>
    <row r="116" spans="1:18" ht="26" x14ac:dyDescent="0.8">
      <c r="A116" s="247">
        <v>122</v>
      </c>
      <c r="B116" s="248" t="s">
        <v>202</v>
      </c>
      <c r="D116" s="245">
        <v>0</v>
      </c>
      <c r="R116" s="246" t="s">
        <v>32</v>
      </c>
    </row>
    <row r="117" spans="1:18" ht="39" x14ac:dyDescent="0.8">
      <c r="A117" s="247">
        <v>1221</v>
      </c>
      <c r="B117" s="248" t="s">
        <v>203</v>
      </c>
      <c r="D117" s="245">
        <v>0</v>
      </c>
      <c r="R117" s="246" t="s">
        <v>32</v>
      </c>
    </row>
    <row r="118" spans="1:18" ht="52" hidden="1" x14ac:dyDescent="0.8">
      <c r="A118" s="247">
        <v>12211</v>
      </c>
      <c r="B118" s="248" t="s">
        <v>204</v>
      </c>
      <c r="C118" s="249" t="s">
        <v>55</v>
      </c>
      <c r="D118" s="245">
        <v>0</v>
      </c>
      <c r="I118" s="245">
        <v>0</v>
      </c>
      <c r="O118" s="245" t="s">
        <v>56</v>
      </c>
      <c r="P118" s="245" t="s">
        <v>205</v>
      </c>
      <c r="Q118" s="245" t="s">
        <v>206</v>
      </c>
      <c r="R118" s="246" t="s">
        <v>32</v>
      </c>
    </row>
    <row r="119" spans="1:18" ht="26" hidden="1" x14ac:dyDescent="0.8">
      <c r="A119" s="247">
        <v>12212</v>
      </c>
      <c r="B119" s="248" t="s">
        <v>207</v>
      </c>
      <c r="C119" s="249" t="s">
        <v>209</v>
      </c>
      <c r="D119" s="245">
        <v>0</v>
      </c>
      <c r="E119" s="245">
        <v>232</v>
      </c>
      <c r="F119" s="245">
        <v>232</v>
      </c>
      <c r="G119" s="245">
        <v>232</v>
      </c>
      <c r="H119" s="245">
        <v>696</v>
      </c>
      <c r="I119" s="245">
        <v>25</v>
      </c>
      <c r="J119" s="245">
        <v>0</v>
      </c>
      <c r="K119" s="245">
        <v>5800</v>
      </c>
      <c r="L119" s="245">
        <v>5800</v>
      </c>
      <c r="M119" s="245">
        <v>5800</v>
      </c>
      <c r="N119" s="245">
        <v>17400</v>
      </c>
      <c r="O119" s="245" t="s">
        <v>56</v>
      </c>
      <c r="P119" s="245" t="s">
        <v>205</v>
      </c>
      <c r="Q119" s="245" t="s">
        <v>210</v>
      </c>
      <c r="R119" s="246" t="s">
        <v>32</v>
      </c>
    </row>
    <row r="120" spans="1:18" ht="26" hidden="1" x14ac:dyDescent="0.8">
      <c r="A120" s="247">
        <v>12213</v>
      </c>
      <c r="B120" s="248" t="s">
        <v>211</v>
      </c>
      <c r="C120" s="249" t="s">
        <v>138</v>
      </c>
      <c r="D120" s="245">
        <v>0</v>
      </c>
      <c r="E120" s="245">
        <v>232</v>
      </c>
      <c r="F120" s="245">
        <v>232</v>
      </c>
      <c r="G120" s="245">
        <v>232</v>
      </c>
      <c r="H120" s="245">
        <v>696</v>
      </c>
      <c r="I120" s="245">
        <v>1.7549999999999999</v>
      </c>
      <c r="J120" s="245">
        <v>0</v>
      </c>
      <c r="K120" s="245">
        <v>407.15999999999997</v>
      </c>
      <c r="L120" s="245">
        <v>407.15999999999997</v>
      </c>
      <c r="M120" s="245">
        <v>407.15999999999997</v>
      </c>
      <c r="N120" s="245">
        <v>1221.48</v>
      </c>
      <c r="O120" s="245" t="s">
        <v>56</v>
      </c>
      <c r="P120" s="245" t="s">
        <v>205</v>
      </c>
      <c r="Q120" s="245" t="s">
        <v>210</v>
      </c>
      <c r="R120" s="246" t="s">
        <v>32</v>
      </c>
    </row>
    <row r="121" spans="1:18" ht="39" hidden="1" x14ac:dyDescent="0.8">
      <c r="A121" s="247">
        <v>12214</v>
      </c>
      <c r="B121" s="248" t="s">
        <v>212</v>
      </c>
      <c r="C121" s="249" t="s">
        <v>55</v>
      </c>
      <c r="D121" s="245">
        <v>0</v>
      </c>
      <c r="E121" s="245">
        <v>1</v>
      </c>
      <c r="F121" s="245">
        <v>1</v>
      </c>
      <c r="G121" s="245">
        <v>1</v>
      </c>
      <c r="H121" s="245">
        <v>3</v>
      </c>
      <c r="I121" s="245">
        <v>0</v>
      </c>
      <c r="O121" s="245" t="s">
        <v>56</v>
      </c>
      <c r="P121" s="245" t="s">
        <v>205</v>
      </c>
      <c r="Q121" s="245" t="s">
        <v>210</v>
      </c>
      <c r="R121" s="246" t="s">
        <v>32</v>
      </c>
    </row>
    <row r="122" spans="1:18" ht="39" x14ac:dyDescent="0.8">
      <c r="A122" s="247">
        <v>1222</v>
      </c>
      <c r="B122" s="248" t="s">
        <v>214</v>
      </c>
      <c r="D122" s="245">
        <v>0</v>
      </c>
      <c r="R122" s="246" t="s">
        <v>32</v>
      </c>
    </row>
    <row r="123" spans="1:18" ht="26" hidden="1" x14ac:dyDescent="0.8">
      <c r="A123" s="247">
        <v>12221</v>
      </c>
      <c r="B123" s="248" t="s">
        <v>215</v>
      </c>
      <c r="C123" s="249" t="s">
        <v>55</v>
      </c>
      <c r="D123" s="245">
        <v>0</v>
      </c>
      <c r="E123" s="245">
        <v>1</v>
      </c>
      <c r="F123" s="245">
        <v>1</v>
      </c>
      <c r="G123" s="245">
        <v>1</v>
      </c>
      <c r="H123" s="245">
        <v>3</v>
      </c>
      <c r="I123" s="245">
        <v>0</v>
      </c>
      <c r="O123" s="245" t="s">
        <v>56</v>
      </c>
      <c r="P123" s="245" t="s">
        <v>96</v>
      </c>
      <c r="Q123" s="245" t="s">
        <v>77</v>
      </c>
      <c r="R123" s="246" t="s">
        <v>32</v>
      </c>
    </row>
    <row r="124" spans="1:18" ht="26" hidden="1" x14ac:dyDescent="0.8">
      <c r="A124" s="247">
        <v>12222</v>
      </c>
      <c r="B124" s="248" t="s">
        <v>216</v>
      </c>
      <c r="C124" s="249" t="s">
        <v>59</v>
      </c>
      <c r="D124" s="245">
        <v>0</v>
      </c>
      <c r="F124" s="245">
        <v>300</v>
      </c>
      <c r="G124" s="245">
        <v>150</v>
      </c>
      <c r="H124" s="245">
        <v>450</v>
      </c>
      <c r="I124" s="245">
        <v>0.8177777777777776</v>
      </c>
      <c r="J124" s="245">
        <v>0</v>
      </c>
      <c r="K124" s="245">
        <v>0</v>
      </c>
      <c r="L124" s="245">
        <v>245.33333333333329</v>
      </c>
      <c r="M124" s="245">
        <v>122.66666666666664</v>
      </c>
      <c r="N124" s="245">
        <v>367.99999999999994</v>
      </c>
      <c r="O124" s="245" t="s">
        <v>169</v>
      </c>
      <c r="P124" s="245" t="s">
        <v>96</v>
      </c>
      <c r="Q124" s="245" t="s">
        <v>98</v>
      </c>
      <c r="R124" s="246" t="s">
        <v>32</v>
      </c>
    </row>
    <row r="125" spans="1:18" s="263" customFormat="1" ht="26" hidden="1" x14ac:dyDescent="0.8">
      <c r="A125" s="258">
        <v>12223</v>
      </c>
      <c r="B125" s="259" t="s">
        <v>217</v>
      </c>
      <c r="C125" s="260" t="s">
        <v>218</v>
      </c>
      <c r="D125" s="261">
        <v>0</v>
      </c>
      <c r="E125" s="261">
        <v>416.70000000000005</v>
      </c>
      <c r="F125" s="261">
        <v>1041.75</v>
      </c>
      <c r="G125" s="261">
        <v>625.04999999999995</v>
      </c>
      <c r="H125" s="261">
        <v>2083.5</v>
      </c>
      <c r="I125" s="261">
        <v>138</v>
      </c>
      <c r="J125" s="261">
        <v>0</v>
      </c>
      <c r="K125" s="261">
        <v>57504.600000000006</v>
      </c>
      <c r="L125" s="261">
        <v>143761.5</v>
      </c>
      <c r="M125" s="261">
        <v>86256.9</v>
      </c>
      <c r="N125" s="261">
        <v>287523</v>
      </c>
      <c r="O125" s="261" t="s">
        <v>56</v>
      </c>
      <c r="P125" s="261" t="s">
        <v>206</v>
      </c>
      <c r="Q125" s="261" t="s">
        <v>205</v>
      </c>
      <c r="R125" s="262" t="s">
        <v>32</v>
      </c>
    </row>
    <row r="126" spans="1:18" ht="26" x14ac:dyDescent="0.8">
      <c r="A126" s="247">
        <v>12224</v>
      </c>
      <c r="B126" s="248" t="s">
        <v>219</v>
      </c>
      <c r="C126" s="249" t="s">
        <v>218</v>
      </c>
      <c r="D126" s="245">
        <v>0</v>
      </c>
      <c r="H126" s="245">
        <v>0</v>
      </c>
      <c r="I126" s="245">
        <v>138</v>
      </c>
      <c r="J126" s="245">
        <v>0</v>
      </c>
      <c r="K126" s="245">
        <v>0</v>
      </c>
      <c r="L126" s="245">
        <v>0</v>
      </c>
      <c r="M126" s="245">
        <v>0</v>
      </c>
      <c r="N126" s="245">
        <v>0</v>
      </c>
      <c r="O126" s="245" t="s">
        <v>178</v>
      </c>
      <c r="P126" s="245" t="s">
        <v>98</v>
      </c>
      <c r="Q126" s="245" t="s">
        <v>98</v>
      </c>
      <c r="R126" s="246" t="s">
        <v>32</v>
      </c>
    </row>
    <row r="127" spans="1:18" ht="26" hidden="1" x14ac:dyDescent="0.8">
      <c r="A127" s="247">
        <v>12224</v>
      </c>
      <c r="B127" s="248" t="s">
        <v>219</v>
      </c>
      <c r="C127" s="249" t="s">
        <v>218</v>
      </c>
      <c r="D127" s="245">
        <v>0</v>
      </c>
      <c r="E127" s="245">
        <v>0</v>
      </c>
      <c r="F127" s="245">
        <v>180</v>
      </c>
      <c r="G127" s="245">
        <v>90</v>
      </c>
      <c r="H127" s="245">
        <v>270</v>
      </c>
      <c r="I127" s="245">
        <v>138</v>
      </c>
      <c r="J127" s="245">
        <v>0</v>
      </c>
      <c r="K127" s="245">
        <v>0</v>
      </c>
      <c r="L127" s="245">
        <v>24840</v>
      </c>
      <c r="M127" s="245">
        <v>12420</v>
      </c>
      <c r="N127" s="245">
        <v>37260</v>
      </c>
      <c r="O127" s="245" t="s">
        <v>169</v>
      </c>
      <c r="P127" s="245" t="s">
        <v>98</v>
      </c>
      <c r="Q127" s="245" t="s">
        <v>98</v>
      </c>
      <c r="R127" s="246" t="s">
        <v>32</v>
      </c>
    </row>
    <row r="128" spans="1:18" ht="26" hidden="1" x14ac:dyDescent="0.8">
      <c r="A128" s="247">
        <v>12224</v>
      </c>
      <c r="B128" s="248" t="s">
        <v>219</v>
      </c>
      <c r="C128" s="249" t="s">
        <v>218</v>
      </c>
      <c r="D128" s="245">
        <v>0</v>
      </c>
      <c r="E128" s="245">
        <v>208.35</v>
      </c>
      <c r="F128" s="245">
        <v>340.875</v>
      </c>
      <c r="G128" s="245">
        <v>222.52499999999998</v>
      </c>
      <c r="H128" s="245">
        <v>771.75</v>
      </c>
      <c r="I128" s="245">
        <v>138</v>
      </c>
      <c r="J128" s="245">
        <v>0</v>
      </c>
      <c r="K128" s="245">
        <v>28752.3</v>
      </c>
      <c r="L128" s="245">
        <v>47040.75</v>
      </c>
      <c r="M128" s="245">
        <v>30708.449999999997</v>
      </c>
      <c r="N128" s="245">
        <v>106501.5</v>
      </c>
      <c r="O128" s="245" t="s">
        <v>56</v>
      </c>
      <c r="P128" s="245" t="s">
        <v>98</v>
      </c>
      <c r="Q128" s="245" t="s">
        <v>98</v>
      </c>
      <c r="R128" s="246" t="s">
        <v>32</v>
      </c>
    </row>
    <row r="129" spans="1:18" ht="26" x14ac:dyDescent="0.8">
      <c r="A129" s="247">
        <v>12225</v>
      </c>
      <c r="B129" s="248" t="s">
        <v>220</v>
      </c>
      <c r="C129" s="249" t="s">
        <v>218</v>
      </c>
      <c r="D129" s="245">
        <v>0</v>
      </c>
      <c r="E129" s="245">
        <v>0</v>
      </c>
      <c r="F129" s="245">
        <v>123.35999999999999</v>
      </c>
      <c r="G129" s="245">
        <v>61.679999999999993</v>
      </c>
      <c r="H129" s="245">
        <v>185.03999999999996</v>
      </c>
      <c r="I129" s="245">
        <v>138</v>
      </c>
      <c r="J129" s="245">
        <v>0</v>
      </c>
      <c r="K129" s="245">
        <v>0</v>
      </c>
      <c r="L129" s="245">
        <v>17023.679999999997</v>
      </c>
      <c r="M129" s="245">
        <v>8511.8399999999983</v>
      </c>
      <c r="N129" s="245">
        <v>25535.519999999997</v>
      </c>
      <c r="O129" s="245" t="s">
        <v>221</v>
      </c>
      <c r="P129" s="245" t="s">
        <v>98</v>
      </c>
      <c r="Q129" s="245" t="s">
        <v>222</v>
      </c>
      <c r="R129" s="246" t="s">
        <v>32</v>
      </c>
    </row>
    <row r="130" spans="1:18" ht="26" x14ac:dyDescent="0.8">
      <c r="A130" s="247">
        <v>12225</v>
      </c>
      <c r="B130" s="248" t="s">
        <v>220</v>
      </c>
      <c r="C130" s="249" t="s">
        <v>218</v>
      </c>
      <c r="D130" s="245">
        <v>0</v>
      </c>
      <c r="E130" s="245">
        <v>0</v>
      </c>
      <c r="F130" s="245">
        <v>26.64</v>
      </c>
      <c r="G130" s="245">
        <v>13.32</v>
      </c>
      <c r="H130" s="245">
        <v>39.96</v>
      </c>
      <c r="I130" s="245">
        <v>138</v>
      </c>
      <c r="J130" s="245">
        <v>0</v>
      </c>
      <c r="K130" s="245">
        <v>0</v>
      </c>
      <c r="L130" s="245">
        <v>3676.32</v>
      </c>
      <c r="M130" s="245">
        <v>1838.16</v>
      </c>
      <c r="N130" s="245">
        <v>5514.4800000000005</v>
      </c>
      <c r="O130" s="245" t="s">
        <v>118</v>
      </c>
      <c r="P130" s="245" t="s">
        <v>98</v>
      </c>
      <c r="Q130" s="245" t="s">
        <v>222</v>
      </c>
      <c r="R130" s="246" t="s">
        <v>32</v>
      </c>
    </row>
    <row r="131" spans="1:18" ht="39" x14ac:dyDescent="0.8">
      <c r="A131" s="247">
        <v>12226</v>
      </c>
      <c r="B131" s="248" t="s">
        <v>223</v>
      </c>
      <c r="C131" s="249" t="s">
        <v>224</v>
      </c>
      <c r="D131" s="245">
        <v>0</v>
      </c>
      <c r="H131" s="245">
        <v>0</v>
      </c>
      <c r="I131" s="245">
        <v>655.52327147401945</v>
      </c>
      <c r="J131" s="245">
        <v>0</v>
      </c>
      <c r="K131" s="245">
        <v>0</v>
      </c>
      <c r="L131" s="245">
        <v>0</v>
      </c>
      <c r="M131" s="245">
        <v>0</v>
      </c>
      <c r="N131" s="245">
        <v>0</v>
      </c>
      <c r="O131" s="245" t="s">
        <v>178</v>
      </c>
      <c r="P131" s="245" t="s">
        <v>206</v>
      </c>
      <c r="Q131" s="245" t="s">
        <v>205</v>
      </c>
      <c r="R131" s="246" t="s">
        <v>32</v>
      </c>
    </row>
    <row r="132" spans="1:18" ht="26" hidden="1" x14ac:dyDescent="0.8">
      <c r="A132" s="247">
        <v>12227</v>
      </c>
      <c r="B132" s="248" t="s">
        <v>225</v>
      </c>
      <c r="C132" s="249" t="s">
        <v>226</v>
      </c>
      <c r="D132" s="245">
        <v>0</v>
      </c>
      <c r="E132" s="245">
        <v>416.70000000000005</v>
      </c>
      <c r="F132" s="245">
        <v>1041.75</v>
      </c>
      <c r="G132" s="245">
        <v>625.04999999999995</v>
      </c>
      <c r="H132" s="245">
        <v>2083.5</v>
      </c>
      <c r="I132" s="245">
        <v>23.333333333333332</v>
      </c>
      <c r="J132" s="245">
        <v>0</v>
      </c>
      <c r="K132" s="245">
        <v>9723</v>
      </c>
      <c r="L132" s="245">
        <v>24307.5</v>
      </c>
      <c r="M132" s="245">
        <v>14584.499999999998</v>
      </c>
      <c r="N132" s="245">
        <v>48615</v>
      </c>
      <c r="O132" s="245" t="s">
        <v>56</v>
      </c>
      <c r="P132" s="245" t="s">
        <v>98</v>
      </c>
      <c r="Q132" s="245" t="s">
        <v>98</v>
      </c>
      <c r="R132" s="246" t="s">
        <v>32</v>
      </c>
    </row>
    <row r="133" spans="1:18" ht="26" x14ac:dyDescent="0.8">
      <c r="A133" s="247">
        <v>12228</v>
      </c>
      <c r="B133" s="248" t="s">
        <v>227</v>
      </c>
      <c r="C133" s="249" t="s">
        <v>226</v>
      </c>
      <c r="D133" s="245">
        <v>0</v>
      </c>
      <c r="H133" s="245">
        <v>0</v>
      </c>
      <c r="I133" s="245">
        <v>23.333333333333332</v>
      </c>
      <c r="J133" s="245">
        <v>0</v>
      </c>
      <c r="K133" s="245">
        <v>0</v>
      </c>
      <c r="L133" s="245">
        <v>0</v>
      </c>
      <c r="M133" s="245">
        <v>0</v>
      </c>
      <c r="N133" s="245">
        <v>0</v>
      </c>
      <c r="O133" s="245" t="s">
        <v>178</v>
      </c>
      <c r="P133" s="245" t="s">
        <v>98</v>
      </c>
      <c r="Q133" s="245" t="s">
        <v>222</v>
      </c>
      <c r="R133" s="246" t="s">
        <v>32</v>
      </c>
    </row>
    <row r="134" spans="1:18" ht="26" hidden="1" x14ac:dyDescent="0.8">
      <c r="A134" s="247">
        <v>12228</v>
      </c>
      <c r="B134" s="248" t="s">
        <v>227</v>
      </c>
      <c r="C134" s="249" t="s">
        <v>226</v>
      </c>
      <c r="D134" s="245">
        <v>0</v>
      </c>
      <c r="F134" s="245">
        <v>360</v>
      </c>
      <c r="G134" s="245">
        <v>90</v>
      </c>
      <c r="H134" s="245">
        <v>450</v>
      </c>
      <c r="I134" s="245">
        <v>23.333333333333332</v>
      </c>
      <c r="J134" s="245">
        <v>0</v>
      </c>
      <c r="K134" s="245">
        <v>0</v>
      </c>
      <c r="L134" s="245">
        <v>8400</v>
      </c>
      <c r="M134" s="245">
        <v>2100</v>
      </c>
      <c r="N134" s="245">
        <v>10500</v>
      </c>
      <c r="O134" s="245" t="s">
        <v>169</v>
      </c>
      <c r="P134" s="245" t="s">
        <v>98</v>
      </c>
      <c r="Q134" s="245" t="s">
        <v>222</v>
      </c>
      <c r="R134" s="246" t="s">
        <v>32</v>
      </c>
    </row>
    <row r="135" spans="1:18" ht="26" x14ac:dyDescent="0.8">
      <c r="A135" s="247">
        <v>12228</v>
      </c>
      <c r="B135" s="248" t="s">
        <v>227</v>
      </c>
      <c r="C135" s="249" t="s">
        <v>226</v>
      </c>
      <c r="D135" s="245">
        <v>0</v>
      </c>
      <c r="E135" s="245">
        <v>208.35</v>
      </c>
      <c r="F135" s="245">
        <v>340.875</v>
      </c>
      <c r="G135" s="245">
        <v>222.52499999999998</v>
      </c>
      <c r="H135" s="245">
        <v>771.75</v>
      </c>
      <c r="I135" s="245">
        <v>23.333333333333332</v>
      </c>
      <c r="J135" s="245">
        <v>0</v>
      </c>
      <c r="K135" s="245">
        <v>4861.5</v>
      </c>
      <c r="L135" s="245">
        <v>7953.75</v>
      </c>
      <c r="M135" s="245">
        <v>5192.2499999999991</v>
      </c>
      <c r="N135" s="245">
        <v>18007.5</v>
      </c>
      <c r="O135" s="245" t="s">
        <v>191</v>
      </c>
      <c r="P135" s="245" t="s">
        <v>98</v>
      </c>
      <c r="Q135" s="245" t="s">
        <v>222</v>
      </c>
      <c r="R135" s="246" t="s">
        <v>32</v>
      </c>
    </row>
    <row r="136" spans="1:18" ht="26" x14ac:dyDescent="0.8">
      <c r="A136" s="247">
        <v>12229</v>
      </c>
      <c r="B136" s="248" t="s">
        <v>228</v>
      </c>
      <c r="C136" s="249" t="s">
        <v>226</v>
      </c>
      <c r="D136" s="245">
        <v>0</v>
      </c>
      <c r="E136" s="245">
        <v>0</v>
      </c>
      <c r="F136" s="245">
        <v>26.64</v>
      </c>
      <c r="G136" s="245">
        <v>13.32</v>
      </c>
      <c r="H136" s="245">
        <v>39.96</v>
      </c>
      <c r="I136" s="245">
        <v>23.333333333333332</v>
      </c>
      <c r="J136" s="245">
        <v>0</v>
      </c>
      <c r="K136" s="245">
        <v>0</v>
      </c>
      <c r="L136" s="245">
        <v>621.6</v>
      </c>
      <c r="M136" s="245">
        <v>310.8</v>
      </c>
      <c r="N136" s="245">
        <v>932.40000000000009</v>
      </c>
      <c r="O136" s="245" t="s">
        <v>221</v>
      </c>
      <c r="P136" s="245" t="s">
        <v>98</v>
      </c>
      <c r="Q136" s="245" t="s">
        <v>98</v>
      </c>
      <c r="R136" s="246" t="s">
        <v>32</v>
      </c>
    </row>
    <row r="137" spans="1:18" ht="39" hidden="1" x14ac:dyDescent="0.8">
      <c r="A137" s="247">
        <v>122210</v>
      </c>
      <c r="B137" s="248" t="s">
        <v>229</v>
      </c>
      <c r="C137" s="249" t="s">
        <v>110</v>
      </c>
      <c r="D137" s="245">
        <v>0</v>
      </c>
      <c r="E137" s="245">
        <v>416.70000000000005</v>
      </c>
      <c r="F137" s="245">
        <v>1041.75</v>
      </c>
      <c r="G137" s="245">
        <v>625.04999999999995</v>
      </c>
      <c r="H137" s="245">
        <v>2083.5</v>
      </c>
      <c r="I137" s="245">
        <v>7.1760000000000002</v>
      </c>
      <c r="J137" s="245">
        <v>0</v>
      </c>
      <c r="K137" s="245">
        <v>2990.2392000000004</v>
      </c>
      <c r="L137" s="245">
        <v>7475.598</v>
      </c>
      <c r="M137" s="245">
        <v>4485.3588</v>
      </c>
      <c r="N137" s="245">
        <v>14951.196</v>
      </c>
      <c r="O137" s="245" t="s">
        <v>56</v>
      </c>
      <c r="P137" s="245" t="s">
        <v>98</v>
      </c>
      <c r="Q137" s="245" t="s">
        <v>98</v>
      </c>
      <c r="R137" s="246" t="s">
        <v>32</v>
      </c>
    </row>
    <row r="138" spans="1:18" ht="39" hidden="1" x14ac:dyDescent="0.8">
      <c r="A138" s="247">
        <v>122210</v>
      </c>
      <c r="B138" s="248" t="s">
        <v>230</v>
      </c>
      <c r="C138" s="249" t="s">
        <v>110</v>
      </c>
      <c r="D138" s="245">
        <v>0</v>
      </c>
      <c r="E138" s="245">
        <v>0</v>
      </c>
      <c r="F138" s="245">
        <v>360</v>
      </c>
      <c r="G138" s="245">
        <v>90</v>
      </c>
      <c r="H138" s="245">
        <v>450</v>
      </c>
      <c r="I138" s="245">
        <v>7.1760000000000002</v>
      </c>
      <c r="J138" s="245">
        <v>0</v>
      </c>
      <c r="K138" s="245">
        <v>0</v>
      </c>
      <c r="L138" s="245">
        <v>2583.36</v>
      </c>
      <c r="M138" s="245">
        <v>645.84</v>
      </c>
      <c r="N138" s="245">
        <v>3229.2000000000003</v>
      </c>
      <c r="O138" s="245" t="s">
        <v>169</v>
      </c>
      <c r="P138" s="245" t="s">
        <v>98</v>
      </c>
      <c r="Q138" s="245" t="s">
        <v>98</v>
      </c>
      <c r="R138" s="246" t="s">
        <v>32</v>
      </c>
    </row>
    <row r="139" spans="1:18" ht="39" x14ac:dyDescent="0.8">
      <c r="A139" s="247">
        <v>122210</v>
      </c>
      <c r="B139" s="248" t="s">
        <v>231</v>
      </c>
      <c r="C139" s="249" t="s">
        <v>110</v>
      </c>
      <c r="D139" s="245">
        <v>0</v>
      </c>
      <c r="E139" s="245">
        <v>0</v>
      </c>
      <c r="F139" s="245">
        <v>26.64</v>
      </c>
      <c r="G139" s="245">
        <v>13.32</v>
      </c>
      <c r="H139" s="245">
        <v>39.96</v>
      </c>
      <c r="I139" s="245">
        <v>7.1760000000000002</v>
      </c>
      <c r="J139" s="245">
        <v>0</v>
      </c>
      <c r="K139" s="245">
        <v>0</v>
      </c>
      <c r="L139" s="245">
        <v>191.16864000000001</v>
      </c>
      <c r="M139" s="245">
        <v>95.584320000000005</v>
      </c>
      <c r="N139" s="245">
        <v>286.75296000000003</v>
      </c>
      <c r="O139" s="245" t="s">
        <v>221</v>
      </c>
      <c r="P139" s="245" t="s">
        <v>98</v>
      </c>
      <c r="Q139" s="245" t="s">
        <v>98</v>
      </c>
      <c r="R139" s="246" t="s">
        <v>32</v>
      </c>
    </row>
    <row r="140" spans="1:18" ht="39" hidden="1" x14ac:dyDescent="0.8">
      <c r="A140" s="247">
        <v>122211</v>
      </c>
      <c r="B140" s="248" t="s">
        <v>232</v>
      </c>
      <c r="C140" s="249" t="s">
        <v>59</v>
      </c>
      <c r="D140" s="245">
        <v>0</v>
      </c>
      <c r="E140" s="245">
        <v>0</v>
      </c>
      <c r="F140" s="245">
        <v>240</v>
      </c>
      <c r="G140" s="245">
        <v>120</v>
      </c>
      <c r="H140" s="245">
        <v>360</v>
      </c>
      <c r="I140" s="245">
        <v>0.8177777777777776</v>
      </c>
      <c r="J140" s="245">
        <v>0</v>
      </c>
      <c r="K140" s="245">
        <v>0</v>
      </c>
      <c r="L140" s="245">
        <v>196.26666666666662</v>
      </c>
      <c r="M140" s="245">
        <v>98.133333333333312</v>
      </c>
      <c r="N140" s="245">
        <v>294.39999999999992</v>
      </c>
      <c r="O140" s="245" t="s">
        <v>169</v>
      </c>
      <c r="P140" s="245" t="s">
        <v>96</v>
      </c>
      <c r="Q140" s="245" t="s">
        <v>96</v>
      </c>
      <c r="R140" s="246" t="s">
        <v>32</v>
      </c>
    </row>
    <row r="141" spans="1:18" ht="39" x14ac:dyDescent="0.8">
      <c r="A141" s="247">
        <v>122211</v>
      </c>
      <c r="B141" s="248" t="s">
        <v>232</v>
      </c>
      <c r="C141" s="249" t="s">
        <v>59</v>
      </c>
      <c r="D141" s="245">
        <v>0</v>
      </c>
      <c r="E141" s="245">
        <v>120</v>
      </c>
      <c r="F141" s="245">
        <v>120</v>
      </c>
      <c r="G141" s="245">
        <v>120</v>
      </c>
      <c r="H141" s="245">
        <v>360</v>
      </c>
      <c r="I141" s="245">
        <v>0.8177777777777776</v>
      </c>
      <c r="J141" s="245">
        <v>0</v>
      </c>
      <c r="K141" s="245">
        <v>98.133333333333312</v>
      </c>
      <c r="L141" s="245">
        <v>98.133333333333312</v>
      </c>
      <c r="M141" s="245">
        <v>98.133333333333312</v>
      </c>
      <c r="N141" s="245">
        <v>294.39999999999992</v>
      </c>
      <c r="O141" s="245" t="s">
        <v>191</v>
      </c>
      <c r="P141" s="245" t="s">
        <v>96</v>
      </c>
      <c r="Q141" s="245" t="s">
        <v>96</v>
      </c>
      <c r="R141" s="246" t="s">
        <v>32</v>
      </c>
    </row>
    <row r="142" spans="1:18" ht="39" x14ac:dyDescent="0.8">
      <c r="A142" s="247">
        <v>123</v>
      </c>
      <c r="B142" s="248" t="s">
        <v>233</v>
      </c>
      <c r="D142" s="245">
        <v>0</v>
      </c>
      <c r="R142" s="246" t="s">
        <v>32</v>
      </c>
    </row>
    <row r="143" spans="1:18" x14ac:dyDescent="0.8">
      <c r="A143" s="247">
        <v>1231</v>
      </c>
      <c r="B143" s="248" t="s">
        <v>234</v>
      </c>
      <c r="D143" s="245">
        <v>0</v>
      </c>
      <c r="R143" s="246" t="s">
        <v>32</v>
      </c>
    </row>
    <row r="144" spans="1:18" hidden="1" x14ac:dyDescent="0.8">
      <c r="A144" s="247">
        <v>12311</v>
      </c>
      <c r="B144" s="248" t="s">
        <v>235</v>
      </c>
      <c r="C144" s="249" t="s">
        <v>55</v>
      </c>
      <c r="D144" s="245">
        <v>0</v>
      </c>
      <c r="E144" s="245">
        <v>1</v>
      </c>
      <c r="F144" s="245">
        <v>1</v>
      </c>
      <c r="G144" s="245">
        <v>1</v>
      </c>
      <c r="H144" s="245">
        <v>3</v>
      </c>
      <c r="I144" s="245">
        <v>0</v>
      </c>
      <c r="O144" s="245" t="s">
        <v>56</v>
      </c>
      <c r="P144" s="245" t="s">
        <v>142</v>
      </c>
      <c r="Q144" s="245" t="s">
        <v>236</v>
      </c>
      <c r="R144" s="246" t="s">
        <v>32</v>
      </c>
    </row>
    <row r="145" spans="1:18" ht="39" hidden="1" x14ac:dyDescent="0.8">
      <c r="A145" s="247">
        <v>12312</v>
      </c>
      <c r="B145" s="248" t="s">
        <v>237</v>
      </c>
      <c r="C145" s="249" t="s">
        <v>55</v>
      </c>
      <c r="D145" s="245">
        <v>0</v>
      </c>
      <c r="E145" s="245">
        <v>1</v>
      </c>
      <c r="F145" s="245">
        <v>1</v>
      </c>
      <c r="G145" s="245">
        <v>1</v>
      </c>
      <c r="H145" s="245">
        <v>3</v>
      </c>
      <c r="I145" s="245">
        <v>0</v>
      </c>
      <c r="O145" s="245" t="s">
        <v>56</v>
      </c>
      <c r="P145" s="245" t="s">
        <v>142</v>
      </c>
      <c r="Q145" s="245" t="s">
        <v>239</v>
      </c>
      <c r="R145" s="246" t="s">
        <v>32</v>
      </c>
    </row>
    <row r="146" spans="1:18" ht="26" hidden="1" x14ac:dyDescent="0.8">
      <c r="A146" s="247">
        <v>12313</v>
      </c>
      <c r="B146" s="248" t="s">
        <v>145</v>
      </c>
      <c r="C146" s="249" t="s">
        <v>241</v>
      </c>
      <c r="D146" s="245">
        <v>0</v>
      </c>
      <c r="E146" s="245">
        <v>2509</v>
      </c>
      <c r="F146" s="245">
        <v>2554</v>
      </c>
      <c r="G146" s="245">
        <v>2528</v>
      </c>
      <c r="H146" s="245">
        <v>7591</v>
      </c>
      <c r="I146" s="245">
        <v>25.101235436167226</v>
      </c>
      <c r="J146" s="245">
        <v>0</v>
      </c>
      <c r="K146" s="245">
        <v>62978.999709343567</v>
      </c>
      <c r="L146" s="245">
        <v>64108.555303971094</v>
      </c>
      <c r="M146" s="245">
        <v>63455.923182630744</v>
      </c>
      <c r="N146" s="245">
        <v>190543.47819594541</v>
      </c>
      <c r="O146" s="245" t="s">
        <v>56</v>
      </c>
      <c r="P146" s="245" t="s">
        <v>142</v>
      </c>
      <c r="Q146" s="245" t="s">
        <v>242</v>
      </c>
      <c r="R146" s="246" t="s">
        <v>32</v>
      </c>
    </row>
    <row r="147" spans="1:18" x14ac:dyDescent="0.8">
      <c r="A147" s="247">
        <v>12314</v>
      </c>
      <c r="B147" s="248" t="s">
        <v>243</v>
      </c>
      <c r="C147" s="249" t="s">
        <v>59</v>
      </c>
      <c r="D147" s="245">
        <v>0</v>
      </c>
      <c r="E147" s="245">
        <v>1064</v>
      </c>
      <c r="F147" s="245">
        <v>1064</v>
      </c>
      <c r="G147" s="245">
        <v>1064</v>
      </c>
      <c r="H147" s="245">
        <v>3192</v>
      </c>
      <c r="I147" s="245">
        <v>0.8177777777777776</v>
      </c>
      <c r="J147" s="245">
        <v>0</v>
      </c>
      <c r="K147" s="245">
        <v>870.11555555555537</v>
      </c>
      <c r="L147" s="245">
        <v>870.11555555555537</v>
      </c>
      <c r="M147" s="245">
        <v>870.11555555555537</v>
      </c>
      <c r="N147" s="245">
        <v>2610.3466666666664</v>
      </c>
      <c r="O147" s="245" t="s">
        <v>39</v>
      </c>
      <c r="P147" s="245" t="s">
        <v>142</v>
      </c>
      <c r="Q147" s="245" t="s">
        <v>242</v>
      </c>
      <c r="R147" s="246" t="s">
        <v>32</v>
      </c>
    </row>
    <row r="148" spans="1:18" ht="26" x14ac:dyDescent="0.8">
      <c r="A148" s="247">
        <v>1232</v>
      </c>
      <c r="B148" s="248" t="s">
        <v>244</v>
      </c>
      <c r="D148" s="245">
        <v>0</v>
      </c>
      <c r="R148" s="246" t="s">
        <v>32</v>
      </c>
    </row>
    <row r="149" spans="1:18" ht="26" hidden="1" x14ac:dyDescent="0.8">
      <c r="A149" s="247">
        <v>12321</v>
      </c>
      <c r="B149" s="248" t="s">
        <v>245</v>
      </c>
      <c r="C149" s="249" t="s">
        <v>55</v>
      </c>
      <c r="D149" s="245">
        <v>0</v>
      </c>
      <c r="E149" s="245">
        <v>1</v>
      </c>
      <c r="H149" s="245">
        <v>1</v>
      </c>
      <c r="I149" s="245">
        <v>0</v>
      </c>
      <c r="O149" s="245" t="s">
        <v>56</v>
      </c>
      <c r="P149" s="245" t="s">
        <v>142</v>
      </c>
      <c r="Q149" s="245" t="s">
        <v>246</v>
      </c>
      <c r="R149" s="246" t="s">
        <v>32</v>
      </c>
    </row>
    <row r="150" spans="1:18" ht="26" hidden="1" x14ac:dyDescent="0.8">
      <c r="A150" s="247">
        <v>12322</v>
      </c>
      <c r="B150" s="248" t="s">
        <v>247</v>
      </c>
      <c r="C150" s="249" t="s">
        <v>55</v>
      </c>
      <c r="D150" s="245">
        <v>0</v>
      </c>
      <c r="E150" s="245">
        <v>1</v>
      </c>
      <c r="F150" s="245">
        <v>1</v>
      </c>
      <c r="G150" s="245">
        <v>1</v>
      </c>
      <c r="H150" s="245">
        <v>3</v>
      </c>
      <c r="I150" s="245">
        <v>0</v>
      </c>
      <c r="O150" s="245" t="s">
        <v>56</v>
      </c>
      <c r="P150" s="245" t="s">
        <v>142</v>
      </c>
      <c r="Q150" s="245" t="s">
        <v>248</v>
      </c>
      <c r="R150" s="246" t="s">
        <v>32</v>
      </c>
    </row>
    <row r="151" spans="1:18" ht="26" hidden="1" x14ac:dyDescent="0.8">
      <c r="A151" s="247">
        <v>12323</v>
      </c>
      <c r="B151" s="248" t="s">
        <v>249</v>
      </c>
      <c r="C151" s="249" t="s">
        <v>55</v>
      </c>
      <c r="D151" s="245">
        <v>0</v>
      </c>
      <c r="E151" s="245">
        <v>1</v>
      </c>
      <c r="F151" s="245">
        <v>1</v>
      </c>
      <c r="G151" s="245">
        <v>1</v>
      </c>
      <c r="H151" s="245">
        <v>3</v>
      </c>
      <c r="I151" s="245">
        <v>0</v>
      </c>
      <c r="O151" s="245" t="s">
        <v>56</v>
      </c>
      <c r="P151" s="245" t="s">
        <v>142</v>
      </c>
      <c r="Q151" s="245" t="s">
        <v>142</v>
      </c>
      <c r="R151" s="246" t="s">
        <v>32</v>
      </c>
    </row>
    <row r="152" spans="1:18" x14ac:dyDescent="0.8">
      <c r="A152" s="247">
        <v>1233</v>
      </c>
      <c r="B152" s="248" t="s">
        <v>250</v>
      </c>
      <c r="D152" s="245">
        <v>0</v>
      </c>
      <c r="R152" s="246" t="s">
        <v>32</v>
      </c>
    </row>
    <row r="153" spans="1:18" ht="26" hidden="1" x14ac:dyDescent="0.8">
      <c r="A153" s="247">
        <v>12331</v>
      </c>
      <c r="B153" s="248" t="s">
        <v>251</v>
      </c>
      <c r="C153" s="249" t="s">
        <v>66</v>
      </c>
      <c r="D153" s="245">
        <v>0</v>
      </c>
      <c r="E153" s="245">
        <v>150</v>
      </c>
      <c r="F153" s="245">
        <v>150</v>
      </c>
      <c r="G153" s="245">
        <v>150</v>
      </c>
      <c r="H153" s="245">
        <v>450</v>
      </c>
      <c r="I153" s="245">
        <v>0.255</v>
      </c>
      <c r="J153" s="245">
        <v>0</v>
      </c>
      <c r="K153" s="245">
        <v>38.25</v>
      </c>
      <c r="L153" s="245">
        <v>38.25</v>
      </c>
      <c r="M153" s="245">
        <v>38.25</v>
      </c>
      <c r="N153" s="245">
        <v>114.75</v>
      </c>
      <c r="O153" s="245" t="s">
        <v>169</v>
      </c>
      <c r="P153" s="245" t="s">
        <v>142</v>
      </c>
      <c r="Q153" s="245" t="s">
        <v>142</v>
      </c>
      <c r="R153" s="246" t="s">
        <v>32</v>
      </c>
    </row>
    <row r="154" spans="1:18" ht="39" hidden="1" x14ac:dyDescent="0.8">
      <c r="A154" s="247">
        <v>12332</v>
      </c>
      <c r="B154" s="248" t="s">
        <v>252</v>
      </c>
      <c r="C154" s="249" t="s">
        <v>55</v>
      </c>
      <c r="D154" s="245">
        <v>0</v>
      </c>
      <c r="E154" s="245">
        <v>1</v>
      </c>
      <c r="F154" s="245">
        <v>1</v>
      </c>
      <c r="G154" s="245">
        <v>1</v>
      </c>
      <c r="H154" s="245">
        <v>3</v>
      </c>
      <c r="I154" s="245">
        <v>0</v>
      </c>
      <c r="O154" s="245" t="s">
        <v>56</v>
      </c>
      <c r="P154" s="245" t="s">
        <v>142</v>
      </c>
      <c r="Q154" s="245" t="s">
        <v>77</v>
      </c>
      <c r="R154" s="246" t="s">
        <v>32</v>
      </c>
    </row>
    <row r="155" spans="1:18" ht="26" hidden="1" x14ac:dyDescent="0.8">
      <c r="A155" s="247">
        <v>12333</v>
      </c>
      <c r="B155" s="248" t="s">
        <v>253</v>
      </c>
      <c r="C155" s="249" t="s">
        <v>55</v>
      </c>
      <c r="D155" s="245">
        <v>0</v>
      </c>
      <c r="E155" s="245">
        <v>1</v>
      </c>
      <c r="F155" s="245">
        <v>1</v>
      </c>
      <c r="G155" s="245">
        <v>1</v>
      </c>
      <c r="H155" s="245">
        <v>3</v>
      </c>
      <c r="I155" s="245">
        <v>0</v>
      </c>
      <c r="O155" s="245" t="s">
        <v>56</v>
      </c>
      <c r="P155" s="245" t="s">
        <v>254</v>
      </c>
      <c r="Q155" s="245" t="s">
        <v>255</v>
      </c>
      <c r="R155" s="246" t="s">
        <v>32</v>
      </c>
    </row>
    <row r="156" spans="1:18" ht="26" hidden="1" x14ac:dyDescent="0.8">
      <c r="A156" s="247">
        <v>12334</v>
      </c>
      <c r="B156" s="248" t="s">
        <v>256</v>
      </c>
      <c r="C156" s="249" t="s">
        <v>55</v>
      </c>
      <c r="D156" s="245">
        <v>0</v>
      </c>
      <c r="E156" s="245">
        <v>1</v>
      </c>
      <c r="F156" s="245">
        <v>1</v>
      </c>
      <c r="G156" s="245">
        <v>1</v>
      </c>
      <c r="H156" s="245">
        <v>3</v>
      </c>
      <c r="I156" s="245">
        <v>0</v>
      </c>
      <c r="O156" s="245" t="s">
        <v>56</v>
      </c>
      <c r="P156" s="245" t="s">
        <v>142</v>
      </c>
      <c r="Q156" s="245" t="s">
        <v>142</v>
      </c>
      <c r="R156" s="246" t="s">
        <v>32</v>
      </c>
    </row>
    <row r="157" spans="1:18" hidden="1" x14ac:dyDescent="0.8">
      <c r="A157" s="247">
        <v>12335</v>
      </c>
      <c r="B157" s="248" t="s">
        <v>257</v>
      </c>
      <c r="C157" s="249" t="s">
        <v>258</v>
      </c>
      <c r="D157" s="245">
        <v>0</v>
      </c>
      <c r="E157" s="245">
        <v>0.92965546113574704</v>
      </c>
      <c r="F157" s="245">
        <v>1.02623733201423</v>
      </c>
      <c r="G157" s="245">
        <v>1.12897507139086</v>
      </c>
      <c r="H157" s="245">
        <v>3.0848678645408372</v>
      </c>
      <c r="I157" s="245">
        <v>853398.98543631705</v>
      </c>
      <c r="J157" s="245">
        <v>0</v>
      </c>
      <c r="K157" s="245">
        <v>793367.02733857802</v>
      </c>
      <c r="L157" s="245">
        <v>875789.89795781672</v>
      </c>
      <c r="M157" s="245">
        <v>963466.18050785351</v>
      </c>
      <c r="N157" s="245">
        <v>2632623.1058042482</v>
      </c>
      <c r="O157" s="245" t="s">
        <v>56</v>
      </c>
      <c r="P157" s="245" t="s">
        <v>142</v>
      </c>
      <c r="Q157" s="245" t="s">
        <v>142</v>
      </c>
      <c r="R157" s="246" t="s">
        <v>32</v>
      </c>
    </row>
    <row r="158" spans="1:18" ht="26" x14ac:dyDescent="0.8">
      <c r="A158" s="247">
        <v>1234</v>
      </c>
      <c r="B158" s="248" t="s">
        <v>259</v>
      </c>
      <c r="D158" s="245">
        <v>0</v>
      </c>
      <c r="R158" s="246" t="s">
        <v>32</v>
      </c>
    </row>
    <row r="159" spans="1:18" ht="65" hidden="1" x14ac:dyDescent="0.8">
      <c r="A159" s="247">
        <v>12341</v>
      </c>
      <c r="B159" s="248" t="s">
        <v>260</v>
      </c>
      <c r="C159" s="249" t="s">
        <v>55</v>
      </c>
      <c r="D159" s="245">
        <v>0</v>
      </c>
      <c r="E159" s="245">
        <v>1</v>
      </c>
      <c r="H159" s="245">
        <v>1</v>
      </c>
      <c r="I159" s="245">
        <v>0</v>
      </c>
      <c r="O159" s="245" t="s">
        <v>56</v>
      </c>
      <c r="P159" s="245" t="s">
        <v>142</v>
      </c>
      <c r="Q159" s="245" t="s">
        <v>142</v>
      </c>
      <c r="R159" s="246" t="s">
        <v>32</v>
      </c>
    </row>
    <row r="160" spans="1:18" ht="52" hidden="1" x14ac:dyDescent="0.8">
      <c r="A160" s="247">
        <v>12342</v>
      </c>
      <c r="B160" s="248" t="s">
        <v>261</v>
      </c>
      <c r="C160" s="249" t="s">
        <v>38</v>
      </c>
      <c r="D160" s="245">
        <v>0</v>
      </c>
      <c r="E160" s="245">
        <v>648</v>
      </c>
      <c r="F160" s="245">
        <v>648</v>
      </c>
      <c r="G160" s="245">
        <v>648</v>
      </c>
      <c r="H160" s="245">
        <v>1944</v>
      </c>
      <c r="I160" s="245">
        <v>0.3133333333333333</v>
      </c>
      <c r="J160" s="245">
        <v>0</v>
      </c>
      <c r="K160" s="245">
        <v>203.03999999999996</v>
      </c>
      <c r="L160" s="245">
        <v>203.03999999999996</v>
      </c>
      <c r="M160" s="245">
        <v>203.03999999999996</v>
      </c>
      <c r="N160" s="245">
        <v>609.11999999999989</v>
      </c>
      <c r="O160" s="245" t="s">
        <v>169</v>
      </c>
      <c r="P160" s="245" t="s">
        <v>263</v>
      </c>
      <c r="Q160" s="245" t="s">
        <v>142</v>
      </c>
      <c r="R160" s="246" t="s">
        <v>32</v>
      </c>
    </row>
    <row r="161" spans="1:18" ht="39" hidden="1" x14ac:dyDescent="0.8">
      <c r="A161" s="247">
        <v>12343</v>
      </c>
      <c r="B161" s="248" t="s">
        <v>264</v>
      </c>
      <c r="C161" s="249" t="s">
        <v>38</v>
      </c>
      <c r="D161" s="245">
        <v>0</v>
      </c>
      <c r="F161" s="245">
        <v>150</v>
      </c>
      <c r="H161" s="245">
        <v>150</v>
      </c>
      <c r="I161" s="245">
        <v>0.3133333333333333</v>
      </c>
      <c r="J161" s="245">
        <v>0</v>
      </c>
      <c r="K161" s="245">
        <v>0</v>
      </c>
      <c r="L161" s="245">
        <v>46.999999999999993</v>
      </c>
      <c r="M161" s="245">
        <v>0</v>
      </c>
      <c r="N161" s="245">
        <v>46.999999999999993</v>
      </c>
      <c r="O161" s="245" t="s">
        <v>169</v>
      </c>
      <c r="P161" s="245" t="s">
        <v>263</v>
      </c>
      <c r="Q161" s="245" t="s">
        <v>142</v>
      </c>
      <c r="R161" s="246" t="s">
        <v>32</v>
      </c>
    </row>
    <row r="162" spans="1:18" ht="39" hidden="1" x14ac:dyDescent="0.8">
      <c r="A162" s="247">
        <v>12344</v>
      </c>
      <c r="B162" s="248" t="s">
        <v>265</v>
      </c>
      <c r="C162" s="249" t="s">
        <v>55</v>
      </c>
      <c r="D162" s="245">
        <v>0</v>
      </c>
      <c r="E162" s="245">
        <v>1</v>
      </c>
      <c r="H162" s="245">
        <v>1</v>
      </c>
      <c r="I162" s="245">
        <v>0</v>
      </c>
      <c r="O162" s="245" t="s">
        <v>56</v>
      </c>
      <c r="P162" s="245" t="s">
        <v>263</v>
      </c>
      <c r="Q162" s="245" t="s">
        <v>142</v>
      </c>
      <c r="R162" s="246" t="s">
        <v>32</v>
      </c>
    </row>
    <row r="163" spans="1:18" ht="39" hidden="1" x14ac:dyDescent="0.8">
      <c r="A163" s="247">
        <v>12345</v>
      </c>
      <c r="B163" s="248" t="s">
        <v>266</v>
      </c>
      <c r="C163" s="249" t="s">
        <v>55</v>
      </c>
      <c r="D163" s="245">
        <v>0</v>
      </c>
      <c r="F163" s="245">
        <v>1</v>
      </c>
      <c r="G163" s="245">
        <v>1</v>
      </c>
      <c r="H163" s="245">
        <v>2</v>
      </c>
      <c r="I163" s="245">
        <v>0</v>
      </c>
      <c r="O163" s="245" t="s">
        <v>56</v>
      </c>
      <c r="P163" s="245" t="s">
        <v>142</v>
      </c>
      <c r="Q163" s="245" t="s">
        <v>77</v>
      </c>
      <c r="R163" s="246" t="s">
        <v>32</v>
      </c>
    </row>
    <row r="164" spans="1:18" ht="39" hidden="1" x14ac:dyDescent="0.8">
      <c r="A164" s="247">
        <v>12346</v>
      </c>
      <c r="B164" s="248" t="s">
        <v>267</v>
      </c>
      <c r="C164" s="249" t="s">
        <v>55</v>
      </c>
      <c r="D164" s="245">
        <v>0</v>
      </c>
      <c r="E164" s="245">
        <v>1</v>
      </c>
      <c r="F164" s="245">
        <v>1</v>
      </c>
      <c r="G164" s="245">
        <v>1</v>
      </c>
      <c r="H164" s="245">
        <v>3</v>
      </c>
      <c r="I164" s="245">
        <v>0</v>
      </c>
      <c r="O164" s="245" t="s">
        <v>56</v>
      </c>
      <c r="P164" s="245" t="s">
        <v>142</v>
      </c>
      <c r="Q164" s="245" t="s">
        <v>268</v>
      </c>
      <c r="R164" s="246" t="s">
        <v>32</v>
      </c>
    </row>
    <row r="165" spans="1:18" ht="26" hidden="1" x14ac:dyDescent="0.8">
      <c r="A165" s="247">
        <v>12347</v>
      </c>
      <c r="B165" s="248" t="s">
        <v>269</v>
      </c>
      <c r="C165" s="249" t="s">
        <v>59</v>
      </c>
      <c r="D165" s="245">
        <v>0</v>
      </c>
      <c r="F165" s="245">
        <v>640</v>
      </c>
      <c r="G165" s="245">
        <v>320</v>
      </c>
      <c r="H165" s="245">
        <v>960</v>
      </c>
      <c r="I165" s="245">
        <v>0.8177777777777776</v>
      </c>
      <c r="J165" s="245">
        <v>0</v>
      </c>
      <c r="K165" s="245">
        <v>0</v>
      </c>
      <c r="L165" s="245">
        <v>523.37777777777762</v>
      </c>
      <c r="M165" s="245">
        <v>261.68888888888881</v>
      </c>
      <c r="N165" s="245">
        <v>785.06666666666638</v>
      </c>
      <c r="O165" s="245" t="s">
        <v>169</v>
      </c>
      <c r="P165" s="245" t="s">
        <v>142</v>
      </c>
      <c r="Q165" s="245" t="s">
        <v>270</v>
      </c>
      <c r="R165" s="246" t="s">
        <v>32</v>
      </c>
    </row>
    <row r="166" spans="1:18" ht="26" x14ac:dyDescent="0.8">
      <c r="A166" s="247">
        <v>1235</v>
      </c>
      <c r="B166" s="248" t="s">
        <v>271</v>
      </c>
      <c r="D166" s="245">
        <v>0</v>
      </c>
      <c r="R166" s="246" t="s">
        <v>32</v>
      </c>
    </row>
    <row r="167" spans="1:18" ht="26" x14ac:dyDescent="0.8">
      <c r="A167" s="247">
        <v>12351</v>
      </c>
      <c r="B167" s="248" t="s">
        <v>272</v>
      </c>
      <c r="C167" s="249" t="s">
        <v>59</v>
      </c>
      <c r="D167" s="245">
        <v>0</v>
      </c>
      <c r="E167" s="245">
        <v>480</v>
      </c>
      <c r="H167" s="245">
        <v>480</v>
      </c>
      <c r="I167" s="245">
        <v>0.8177777777777776</v>
      </c>
      <c r="J167" s="245">
        <v>0</v>
      </c>
      <c r="K167" s="245">
        <v>392.53333333333325</v>
      </c>
      <c r="L167" s="245">
        <v>0</v>
      </c>
      <c r="M167" s="245">
        <v>0</v>
      </c>
      <c r="N167" s="245">
        <v>392.53333333333325</v>
      </c>
      <c r="O167" s="245" t="s">
        <v>191</v>
      </c>
      <c r="P167" s="245" t="s">
        <v>273</v>
      </c>
      <c r="Q167" s="245" t="s">
        <v>77</v>
      </c>
      <c r="R167" s="246" t="s">
        <v>32</v>
      </c>
    </row>
    <row r="168" spans="1:18" ht="26" x14ac:dyDescent="0.8">
      <c r="A168" s="247">
        <v>12352</v>
      </c>
      <c r="B168" s="248" t="s">
        <v>274</v>
      </c>
      <c r="C168" s="249" t="s">
        <v>66</v>
      </c>
      <c r="D168" s="245">
        <v>0</v>
      </c>
      <c r="E168" s="245">
        <v>50</v>
      </c>
      <c r="H168" s="245">
        <v>50</v>
      </c>
      <c r="I168" s="245">
        <v>0.255</v>
      </c>
      <c r="J168" s="245">
        <v>0</v>
      </c>
      <c r="K168" s="245">
        <v>12.75</v>
      </c>
      <c r="L168" s="245">
        <v>0</v>
      </c>
      <c r="M168" s="245">
        <v>0</v>
      </c>
      <c r="N168" s="245">
        <v>12.75</v>
      </c>
      <c r="O168" s="245" t="s">
        <v>191</v>
      </c>
      <c r="P168" s="245" t="s">
        <v>273</v>
      </c>
      <c r="Q168" s="245" t="s">
        <v>273</v>
      </c>
      <c r="R168" s="246" t="s">
        <v>32</v>
      </c>
    </row>
    <row r="169" spans="1:18" ht="26" x14ac:dyDescent="0.8">
      <c r="A169" s="247">
        <v>12353</v>
      </c>
      <c r="B169" s="248" t="s">
        <v>275</v>
      </c>
      <c r="C169" s="249" t="s">
        <v>38</v>
      </c>
      <c r="D169" s="245">
        <v>0</v>
      </c>
      <c r="E169" s="245">
        <v>100</v>
      </c>
      <c r="H169" s="245">
        <v>100</v>
      </c>
      <c r="I169" s="245">
        <v>0.3133333333333333</v>
      </c>
      <c r="J169" s="245">
        <v>0</v>
      </c>
      <c r="K169" s="245">
        <v>31.333333333333329</v>
      </c>
      <c r="L169" s="245">
        <v>0</v>
      </c>
      <c r="M169" s="245">
        <v>0</v>
      </c>
      <c r="N169" s="245">
        <v>31.333333333333329</v>
      </c>
      <c r="O169" s="245" t="s">
        <v>191</v>
      </c>
      <c r="P169" s="245" t="s">
        <v>273</v>
      </c>
      <c r="Q169" s="245" t="s">
        <v>273</v>
      </c>
      <c r="R169" s="246" t="s">
        <v>32</v>
      </c>
    </row>
    <row r="170" spans="1:18" ht="26" x14ac:dyDescent="0.8">
      <c r="A170" s="247">
        <v>12354</v>
      </c>
      <c r="B170" s="248" t="s">
        <v>276</v>
      </c>
      <c r="C170" s="249" t="s">
        <v>55</v>
      </c>
      <c r="D170" s="245">
        <v>0</v>
      </c>
      <c r="E170" s="245">
        <v>1</v>
      </c>
      <c r="G170" s="245">
        <v>1</v>
      </c>
      <c r="H170" s="245">
        <v>2</v>
      </c>
      <c r="I170" s="245">
        <v>0</v>
      </c>
      <c r="O170" s="245" t="s">
        <v>191</v>
      </c>
      <c r="P170" s="245" t="s">
        <v>273</v>
      </c>
      <c r="Q170" s="245" t="s">
        <v>277</v>
      </c>
      <c r="R170" s="246" t="s">
        <v>32</v>
      </c>
    </row>
    <row r="171" spans="1:18" ht="26" x14ac:dyDescent="0.8">
      <c r="A171" s="247">
        <v>12355</v>
      </c>
      <c r="B171" s="248" t="s">
        <v>278</v>
      </c>
      <c r="C171" s="249" t="s">
        <v>55</v>
      </c>
      <c r="D171" s="245">
        <v>0</v>
      </c>
      <c r="E171" s="245">
        <v>1</v>
      </c>
      <c r="G171" s="245">
        <v>1</v>
      </c>
      <c r="H171" s="245">
        <v>2</v>
      </c>
      <c r="I171" s="245">
        <v>0</v>
      </c>
      <c r="O171" s="245" t="s">
        <v>191</v>
      </c>
      <c r="P171" s="245" t="s">
        <v>273</v>
      </c>
      <c r="Q171" s="245" t="s">
        <v>273</v>
      </c>
      <c r="R171" s="246" t="s">
        <v>32</v>
      </c>
    </row>
    <row r="172" spans="1:18" x14ac:dyDescent="0.8">
      <c r="A172" s="247">
        <v>12356</v>
      </c>
      <c r="B172" s="248" t="s">
        <v>279</v>
      </c>
      <c r="C172" s="249" t="s">
        <v>281</v>
      </c>
      <c r="D172" s="245">
        <v>0</v>
      </c>
      <c r="E172" s="245">
        <v>0.76753395380891098</v>
      </c>
      <c r="F172" s="245">
        <v>1.0611362869919501</v>
      </c>
      <c r="G172" s="245">
        <v>1.1713297591991401</v>
      </c>
      <c r="H172" s="245">
        <v>3.0000000000000009</v>
      </c>
      <c r="I172" s="245">
        <v>16029.6606705131</v>
      </c>
      <c r="J172" s="245">
        <v>0</v>
      </c>
      <c r="K172" s="245">
        <v>12303.308832654118</v>
      </c>
      <c r="L172" s="245">
        <v>17009.654605649164</v>
      </c>
      <c r="M172" s="245">
        <v>18776.018573236037</v>
      </c>
      <c r="N172" s="245">
        <v>48088.982011539323</v>
      </c>
      <c r="O172" s="245" t="s">
        <v>191</v>
      </c>
      <c r="P172" s="245" t="s">
        <v>273</v>
      </c>
      <c r="Q172" s="245" t="s">
        <v>282</v>
      </c>
      <c r="R172" s="246" t="s">
        <v>32</v>
      </c>
    </row>
    <row r="173" spans="1:18" x14ac:dyDescent="0.8">
      <c r="A173" s="247">
        <v>12357</v>
      </c>
      <c r="B173" s="248" t="s">
        <v>283</v>
      </c>
      <c r="C173" s="249" t="s">
        <v>59</v>
      </c>
      <c r="D173" s="245">
        <v>0</v>
      </c>
      <c r="E173" s="245">
        <v>20</v>
      </c>
      <c r="F173" s="245">
        <v>100</v>
      </c>
      <c r="G173" s="245">
        <v>60</v>
      </c>
      <c r="H173" s="245">
        <v>180</v>
      </c>
      <c r="I173" s="245">
        <v>0.8177777777777776</v>
      </c>
      <c r="J173" s="245">
        <v>0</v>
      </c>
      <c r="K173" s="245">
        <v>16.355555555555551</v>
      </c>
      <c r="L173" s="245">
        <v>81.777777777777757</v>
      </c>
      <c r="M173" s="245">
        <v>49.066666666666656</v>
      </c>
      <c r="N173" s="245">
        <v>147.19999999999996</v>
      </c>
      <c r="O173" s="245" t="s">
        <v>191</v>
      </c>
      <c r="P173" s="245" t="s">
        <v>273</v>
      </c>
      <c r="Q173" s="245" t="s">
        <v>282</v>
      </c>
      <c r="R173" s="246" t="s">
        <v>32</v>
      </c>
    </row>
    <row r="174" spans="1:18" ht="26" x14ac:dyDescent="0.8">
      <c r="A174" s="247">
        <v>1236</v>
      </c>
      <c r="B174" s="248" t="s">
        <v>284</v>
      </c>
      <c r="D174" s="245">
        <v>0</v>
      </c>
      <c r="R174" s="246" t="s">
        <v>32</v>
      </c>
    </row>
    <row r="175" spans="1:18" ht="26" hidden="1" x14ac:dyDescent="0.8">
      <c r="A175" s="247">
        <v>12361</v>
      </c>
      <c r="B175" s="248" t="s">
        <v>285</v>
      </c>
      <c r="C175" s="249" t="s">
        <v>55</v>
      </c>
      <c r="D175" s="245">
        <v>0</v>
      </c>
      <c r="E175" s="245">
        <v>1</v>
      </c>
      <c r="F175" s="245">
        <v>1</v>
      </c>
      <c r="G175" s="245">
        <v>1</v>
      </c>
      <c r="H175" s="245">
        <v>3</v>
      </c>
      <c r="I175" s="245">
        <v>0</v>
      </c>
      <c r="L175" s="245">
        <v>0</v>
      </c>
      <c r="O175" s="245" t="s">
        <v>169</v>
      </c>
      <c r="P175" s="245" t="s">
        <v>96</v>
      </c>
      <c r="Q175" s="245" t="s">
        <v>77</v>
      </c>
      <c r="R175" s="246" t="s">
        <v>32</v>
      </c>
    </row>
    <row r="176" spans="1:18" ht="39" hidden="1" x14ac:dyDescent="0.8">
      <c r="A176" s="247">
        <v>12362</v>
      </c>
      <c r="B176" s="248" t="s">
        <v>286</v>
      </c>
      <c r="C176" s="249" t="s">
        <v>218</v>
      </c>
      <c r="D176" s="245">
        <v>0</v>
      </c>
      <c r="E176" s="245">
        <v>53.400000000000006</v>
      </c>
      <c r="F176" s="245">
        <v>133.5</v>
      </c>
      <c r="G176" s="245">
        <v>80.099999999999994</v>
      </c>
      <c r="H176" s="245">
        <v>267</v>
      </c>
      <c r="I176" s="245">
        <v>138</v>
      </c>
      <c r="J176" s="245">
        <v>0</v>
      </c>
      <c r="K176" s="245">
        <v>7369.2000000000007</v>
      </c>
      <c r="L176" s="245">
        <v>18423</v>
      </c>
      <c r="M176" s="245">
        <v>11053.8</v>
      </c>
      <c r="N176" s="245">
        <v>36846</v>
      </c>
      <c r="O176" s="245" t="s">
        <v>56</v>
      </c>
      <c r="P176" s="245" t="s">
        <v>206</v>
      </c>
      <c r="Q176" s="245" t="s">
        <v>205</v>
      </c>
      <c r="R176" s="246" t="s">
        <v>32</v>
      </c>
    </row>
    <row r="177" spans="1:18" ht="39" hidden="1" x14ac:dyDescent="0.8">
      <c r="A177" s="247">
        <v>12363</v>
      </c>
      <c r="B177" s="248" t="s">
        <v>287</v>
      </c>
      <c r="C177" s="249" t="s">
        <v>218</v>
      </c>
      <c r="D177" s="245">
        <v>0</v>
      </c>
      <c r="E177" s="245">
        <v>0</v>
      </c>
      <c r="F177" s="245">
        <v>90</v>
      </c>
      <c r="G177" s="245">
        <v>45</v>
      </c>
      <c r="H177" s="245">
        <v>135</v>
      </c>
      <c r="I177" s="245">
        <v>138</v>
      </c>
      <c r="J177" s="245">
        <v>0</v>
      </c>
      <c r="K177" s="245">
        <v>0</v>
      </c>
      <c r="L177" s="245">
        <v>12420</v>
      </c>
      <c r="M177" s="245">
        <v>6210</v>
      </c>
      <c r="N177" s="245">
        <v>18630</v>
      </c>
      <c r="O177" s="245" t="s">
        <v>169</v>
      </c>
      <c r="P177" s="245" t="s">
        <v>98</v>
      </c>
      <c r="Q177" s="245" t="s">
        <v>98</v>
      </c>
      <c r="R177" s="246" t="s">
        <v>32</v>
      </c>
    </row>
    <row r="178" spans="1:18" ht="39" x14ac:dyDescent="0.8">
      <c r="A178" s="247">
        <v>12364</v>
      </c>
      <c r="B178" s="248" t="s">
        <v>288</v>
      </c>
      <c r="C178" s="249" t="s">
        <v>218</v>
      </c>
      <c r="D178" s="245">
        <v>0</v>
      </c>
      <c r="E178" s="245">
        <v>26.700000000000003</v>
      </c>
      <c r="F178" s="245">
        <v>66.75</v>
      </c>
      <c r="G178" s="245">
        <v>40.049999999999997</v>
      </c>
      <c r="H178" s="245">
        <v>133.5</v>
      </c>
      <c r="I178" s="245">
        <v>138</v>
      </c>
      <c r="J178" s="245">
        <v>0</v>
      </c>
      <c r="K178" s="245">
        <v>3684.6000000000004</v>
      </c>
      <c r="L178" s="245">
        <v>9211.5</v>
      </c>
      <c r="M178" s="245">
        <v>5526.9</v>
      </c>
      <c r="N178" s="245">
        <v>18423</v>
      </c>
      <c r="O178" s="245" t="s">
        <v>221</v>
      </c>
      <c r="P178" s="245" t="s">
        <v>98</v>
      </c>
      <c r="Q178" s="245" t="s">
        <v>222</v>
      </c>
      <c r="R178" s="246" t="s">
        <v>32</v>
      </c>
    </row>
    <row r="179" spans="1:18" ht="26" hidden="1" x14ac:dyDescent="0.8">
      <c r="A179" s="247">
        <v>12365</v>
      </c>
      <c r="B179" s="248" t="s">
        <v>289</v>
      </c>
      <c r="C179" s="249" t="s">
        <v>226</v>
      </c>
      <c r="D179" s="245">
        <v>0</v>
      </c>
      <c r="E179" s="245">
        <v>53.400000000000006</v>
      </c>
      <c r="F179" s="245">
        <v>133.5</v>
      </c>
      <c r="G179" s="245">
        <v>80.099999999999994</v>
      </c>
      <c r="H179" s="245">
        <v>267</v>
      </c>
      <c r="I179" s="245">
        <v>23.333333333333332</v>
      </c>
      <c r="J179" s="245">
        <v>0</v>
      </c>
      <c r="K179" s="245">
        <v>1246</v>
      </c>
      <c r="L179" s="245">
        <v>3115</v>
      </c>
      <c r="M179" s="245">
        <v>1868.9999999999998</v>
      </c>
      <c r="N179" s="245">
        <v>6230</v>
      </c>
      <c r="O179" s="245" t="s">
        <v>56</v>
      </c>
      <c r="P179" s="245" t="s">
        <v>206</v>
      </c>
      <c r="Q179" s="245" t="s">
        <v>205</v>
      </c>
      <c r="R179" s="246" t="s">
        <v>32</v>
      </c>
    </row>
    <row r="180" spans="1:18" ht="26" hidden="1" x14ac:dyDescent="0.8">
      <c r="A180" s="247">
        <v>12366</v>
      </c>
      <c r="B180" s="248" t="s">
        <v>227</v>
      </c>
      <c r="C180" s="249" t="s">
        <v>226</v>
      </c>
      <c r="D180" s="245">
        <v>0</v>
      </c>
      <c r="E180" s="245">
        <v>0</v>
      </c>
      <c r="F180" s="245">
        <v>180</v>
      </c>
      <c r="G180" s="245">
        <v>45</v>
      </c>
      <c r="H180" s="245">
        <v>225</v>
      </c>
      <c r="I180" s="245">
        <v>23.333333333333332</v>
      </c>
      <c r="J180" s="245">
        <v>0</v>
      </c>
      <c r="K180" s="245">
        <v>0</v>
      </c>
      <c r="L180" s="245">
        <v>4200</v>
      </c>
      <c r="M180" s="245">
        <v>1050</v>
      </c>
      <c r="N180" s="245">
        <v>5250</v>
      </c>
      <c r="O180" s="245" t="s">
        <v>169</v>
      </c>
      <c r="P180" s="245" t="s">
        <v>98</v>
      </c>
      <c r="Q180" s="245" t="s">
        <v>98</v>
      </c>
      <c r="R180" s="246" t="s">
        <v>32</v>
      </c>
    </row>
    <row r="181" spans="1:18" ht="26" x14ac:dyDescent="0.8">
      <c r="A181" s="247">
        <v>12367</v>
      </c>
      <c r="B181" s="248" t="s">
        <v>228</v>
      </c>
      <c r="C181" s="249" t="s">
        <v>226</v>
      </c>
      <c r="D181" s="245">
        <v>0</v>
      </c>
      <c r="E181" s="245">
        <v>26.700000000000003</v>
      </c>
      <c r="F181" s="245">
        <v>66.75</v>
      </c>
      <c r="G181" s="245">
        <v>40.049999999999997</v>
      </c>
      <c r="H181" s="245">
        <v>133.5</v>
      </c>
      <c r="I181" s="245">
        <v>23.333333333333332</v>
      </c>
      <c r="J181" s="245">
        <v>0</v>
      </c>
      <c r="K181" s="245">
        <v>623</v>
      </c>
      <c r="L181" s="245">
        <v>1557.5</v>
      </c>
      <c r="M181" s="245">
        <v>934.49999999999989</v>
      </c>
      <c r="N181" s="245">
        <v>3115</v>
      </c>
      <c r="O181" s="245" t="s">
        <v>221</v>
      </c>
      <c r="P181" s="245" t="s">
        <v>98</v>
      </c>
      <c r="Q181" s="245" t="s">
        <v>222</v>
      </c>
      <c r="R181" s="246" t="s">
        <v>32</v>
      </c>
    </row>
    <row r="182" spans="1:18" ht="39" hidden="1" x14ac:dyDescent="0.8">
      <c r="A182" s="247">
        <v>12368</v>
      </c>
      <c r="B182" s="248" t="s">
        <v>290</v>
      </c>
      <c r="C182" s="249" t="s">
        <v>110</v>
      </c>
      <c r="D182" s="245">
        <v>0</v>
      </c>
      <c r="E182" s="245">
        <v>0</v>
      </c>
      <c r="F182" s="245">
        <v>279.23309999999998</v>
      </c>
      <c r="G182" s="245">
        <v>78.421589999999995</v>
      </c>
      <c r="H182" s="245">
        <v>357.65468999999996</v>
      </c>
      <c r="I182" s="245">
        <v>7.1760000000000002</v>
      </c>
      <c r="J182" s="245">
        <v>0</v>
      </c>
      <c r="K182" s="245">
        <v>0</v>
      </c>
      <c r="L182" s="245">
        <v>2003.7767256</v>
      </c>
      <c r="M182" s="245">
        <v>562.75332983999999</v>
      </c>
      <c r="N182" s="245">
        <v>2566.5300554400001</v>
      </c>
      <c r="O182" s="245" t="s">
        <v>169</v>
      </c>
      <c r="P182" s="245" t="s">
        <v>98</v>
      </c>
      <c r="Q182" s="245" t="s">
        <v>98</v>
      </c>
      <c r="R182" s="246" t="s">
        <v>32</v>
      </c>
    </row>
    <row r="183" spans="1:18" ht="39" x14ac:dyDescent="0.8">
      <c r="A183" s="247">
        <v>12368</v>
      </c>
      <c r="B183" s="248" t="s">
        <v>290</v>
      </c>
      <c r="C183" s="249" t="s">
        <v>110</v>
      </c>
      <c r="D183" s="245">
        <v>0</v>
      </c>
      <c r="E183" s="245">
        <v>20.568640000000006</v>
      </c>
      <c r="F183" s="245">
        <v>84.883450000000011</v>
      </c>
      <c r="G183" s="245">
        <v>47.678410000000007</v>
      </c>
      <c r="H183" s="245">
        <v>153.13050000000001</v>
      </c>
      <c r="I183" s="245">
        <v>7.1760000000000002</v>
      </c>
      <c r="J183" s="245">
        <v>0</v>
      </c>
      <c r="K183" s="245">
        <v>147.60056064000005</v>
      </c>
      <c r="L183" s="245">
        <v>609.12363720000008</v>
      </c>
      <c r="M183" s="245">
        <v>342.14027016000006</v>
      </c>
      <c r="N183" s="245">
        <v>1098.8644680000002</v>
      </c>
      <c r="O183" s="245" t="s">
        <v>191</v>
      </c>
      <c r="P183" s="245" t="s">
        <v>98</v>
      </c>
      <c r="Q183" s="245" t="s">
        <v>98</v>
      </c>
      <c r="R183" s="246" t="s">
        <v>32</v>
      </c>
    </row>
    <row r="184" spans="1:18" ht="39" hidden="1" x14ac:dyDescent="0.8">
      <c r="A184" s="247">
        <v>12369</v>
      </c>
      <c r="B184" s="248" t="s">
        <v>212</v>
      </c>
      <c r="C184" s="249" t="s">
        <v>55</v>
      </c>
      <c r="D184" s="245">
        <v>0</v>
      </c>
      <c r="E184" s="245">
        <v>1</v>
      </c>
      <c r="F184" s="245">
        <v>1</v>
      </c>
      <c r="G184" s="245">
        <v>1</v>
      </c>
      <c r="H184" s="245">
        <v>3</v>
      </c>
      <c r="I184" s="245">
        <v>0</v>
      </c>
      <c r="O184" s="245" t="s">
        <v>56</v>
      </c>
      <c r="P184" s="245" t="s">
        <v>205</v>
      </c>
      <c r="Q184" s="245" t="s">
        <v>210</v>
      </c>
      <c r="R184" s="246" t="s">
        <v>32</v>
      </c>
    </row>
    <row r="185" spans="1:18" ht="39" x14ac:dyDescent="0.8">
      <c r="A185" s="247">
        <v>124</v>
      </c>
      <c r="B185" s="248" t="s">
        <v>291</v>
      </c>
      <c r="D185" s="245">
        <v>0</v>
      </c>
      <c r="R185" s="246" t="s">
        <v>32</v>
      </c>
    </row>
    <row r="186" spans="1:18" ht="39" x14ac:dyDescent="0.8">
      <c r="A186" s="247">
        <v>1241</v>
      </c>
      <c r="B186" s="248" t="s">
        <v>292</v>
      </c>
      <c r="D186" s="245">
        <v>0</v>
      </c>
      <c r="R186" s="246" t="s">
        <v>32</v>
      </c>
    </row>
    <row r="187" spans="1:18" ht="39" x14ac:dyDescent="0.8">
      <c r="A187" s="247">
        <v>12411</v>
      </c>
      <c r="B187" s="248" t="s">
        <v>293</v>
      </c>
      <c r="C187" s="249" t="s">
        <v>295</v>
      </c>
      <c r="D187" s="245">
        <v>0</v>
      </c>
      <c r="H187" s="245">
        <v>0</v>
      </c>
      <c r="I187" s="245">
        <v>40.32</v>
      </c>
      <c r="J187" s="245">
        <v>0</v>
      </c>
      <c r="K187" s="245">
        <v>0</v>
      </c>
      <c r="L187" s="245">
        <v>0</v>
      </c>
      <c r="M187" s="245">
        <v>0</v>
      </c>
      <c r="N187" s="245">
        <v>0</v>
      </c>
      <c r="O187" s="245" t="s">
        <v>178</v>
      </c>
      <c r="P187" s="245" t="s">
        <v>192</v>
      </c>
      <c r="Q187" s="245" t="s">
        <v>296</v>
      </c>
      <c r="R187" s="246" t="s">
        <v>32</v>
      </c>
    </row>
    <row r="188" spans="1:18" ht="52" x14ac:dyDescent="0.8">
      <c r="A188" s="247">
        <v>12412</v>
      </c>
      <c r="B188" s="248" t="s">
        <v>297</v>
      </c>
      <c r="C188" s="249" t="s">
        <v>38</v>
      </c>
      <c r="D188" s="245">
        <v>0</v>
      </c>
      <c r="H188" s="245">
        <v>0</v>
      </c>
      <c r="I188" s="245">
        <v>0.3133333333333333</v>
      </c>
      <c r="J188" s="245">
        <v>0</v>
      </c>
      <c r="K188" s="245">
        <v>0</v>
      </c>
      <c r="L188" s="245">
        <v>0</v>
      </c>
      <c r="M188" s="245">
        <v>0</v>
      </c>
      <c r="N188" s="245">
        <v>0</v>
      </c>
      <c r="O188" s="245" t="s">
        <v>178</v>
      </c>
      <c r="P188" s="245" t="s">
        <v>192</v>
      </c>
      <c r="Q188" s="245" t="s">
        <v>296</v>
      </c>
      <c r="R188" s="246" t="s">
        <v>32</v>
      </c>
    </row>
    <row r="189" spans="1:18" ht="52" x14ac:dyDescent="0.8">
      <c r="A189" s="247">
        <v>12412</v>
      </c>
      <c r="B189" s="248" t="s">
        <v>297</v>
      </c>
      <c r="C189" s="249" t="s">
        <v>38</v>
      </c>
      <c r="D189" s="245">
        <v>0</v>
      </c>
      <c r="H189" s="245">
        <v>0</v>
      </c>
      <c r="I189" s="245">
        <v>0.3133333333333333</v>
      </c>
      <c r="J189" s="245">
        <v>0</v>
      </c>
      <c r="K189" s="245">
        <v>0</v>
      </c>
      <c r="L189" s="245">
        <v>0</v>
      </c>
      <c r="M189" s="245">
        <v>0</v>
      </c>
      <c r="N189" s="245">
        <v>0</v>
      </c>
      <c r="O189" s="245" t="s">
        <v>118</v>
      </c>
      <c r="P189" s="245" t="s">
        <v>192</v>
      </c>
      <c r="Q189" s="245" t="s">
        <v>296</v>
      </c>
      <c r="R189" s="246" t="s">
        <v>32</v>
      </c>
    </row>
    <row r="190" spans="1:18" ht="39" hidden="1" x14ac:dyDescent="0.8">
      <c r="A190" s="247">
        <v>12413</v>
      </c>
      <c r="B190" s="248" t="s">
        <v>299</v>
      </c>
      <c r="C190" s="249" t="s">
        <v>66</v>
      </c>
      <c r="D190" s="245">
        <v>0</v>
      </c>
      <c r="E190" s="245">
        <v>125</v>
      </c>
      <c r="H190" s="245">
        <v>125</v>
      </c>
      <c r="I190" s="245">
        <v>0.255</v>
      </c>
      <c r="J190" s="245">
        <v>0</v>
      </c>
      <c r="K190" s="245">
        <v>31.875</v>
      </c>
      <c r="L190" s="245">
        <v>0</v>
      </c>
      <c r="M190" s="245">
        <v>0</v>
      </c>
      <c r="N190" s="245">
        <v>31.875</v>
      </c>
      <c r="O190" s="245" t="s">
        <v>169</v>
      </c>
      <c r="P190" s="245" t="s">
        <v>192</v>
      </c>
      <c r="Q190" s="245" t="s">
        <v>192</v>
      </c>
      <c r="R190" s="246" t="s">
        <v>32</v>
      </c>
    </row>
    <row r="191" spans="1:18" ht="52" hidden="1" x14ac:dyDescent="0.8">
      <c r="A191" s="247">
        <v>12414</v>
      </c>
      <c r="B191" s="248" t="s">
        <v>300</v>
      </c>
      <c r="C191" s="249" t="s">
        <v>301</v>
      </c>
      <c r="D191" s="245">
        <v>0</v>
      </c>
      <c r="E191" s="245">
        <v>750</v>
      </c>
      <c r="F191" s="245">
        <v>900</v>
      </c>
      <c r="G191" s="245">
        <v>900</v>
      </c>
      <c r="H191" s="245">
        <v>2550</v>
      </c>
      <c r="I191" s="245">
        <v>0.67666666666666664</v>
      </c>
      <c r="J191" s="245">
        <v>0</v>
      </c>
      <c r="K191" s="245">
        <v>507.5</v>
      </c>
      <c r="L191" s="245">
        <v>609</v>
      </c>
      <c r="M191" s="245">
        <v>609</v>
      </c>
      <c r="N191" s="245">
        <v>1725.5</v>
      </c>
      <c r="O191" s="245" t="s">
        <v>169</v>
      </c>
      <c r="P191" s="245" t="s">
        <v>192</v>
      </c>
      <c r="Q191" s="245" t="s">
        <v>192</v>
      </c>
      <c r="R191" s="246" t="s">
        <v>32</v>
      </c>
    </row>
    <row r="192" spans="1:18" ht="39" hidden="1" x14ac:dyDescent="0.8">
      <c r="A192" s="247">
        <v>12415</v>
      </c>
      <c r="B192" s="248" t="s">
        <v>302</v>
      </c>
      <c r="C192" s="249" t="s">
        <v>55</v>
      </c>
      <c r="D192" s="245">
        <v>0</v>
      </c>
      <c r="E192" s="245">
        <v>1</v>
      </c>
      <c r="F192" s="245">
        <v>1</v>
      </c>
      <c r="G192" s="245">
        <v>1</v>
      </c>
      <c r="H192" s="245">
        <v>3</v>
      </c>
      <c r="I192" s="245">
        <v>0</v>
      </c>
      <c r="O192" s="245" t="s">
        <v>56</v>
      </c>
      <c r="P192" s="245" t="s">
        <v>192</v>
      </c>
      <c r="Q192" s="245" t="s">
        <v>246</v>
      </c>
      <c r="R192" s="246" t="s">
        <v>32</v>
      </c>
    </row>
    <row r="193" spans="1:18" ht="39" x14ac:dyDescent="0.8">
      <c r="A193" s="247">
        <v>12416</v>
      </c>
      <c r="B193" s="248" t="s">
        <v>303</v>
      </c>
      <c r="C193" s="249" t="s">
        <v>52</v>
      </c>
      <c r="D193" s="245">
        <v>0</v>
      </c>
      <c r="H193" s="245">
        <v>0</v>
      </c>
      <c r="I193" s="245">
        <v>1.5</v>
      </c>
      <c r="J193" s="245">
        <v>0</v>
      </c>
      <c r="K193" s="245">
        <v>0</v>
      </c>
      <c r="L193" s="245">
        <v>0</v>
      </c>
      <c r="M193" s="245">
        <v>0</v>
      </c>
      <c r="N193" s="245">
        <v>0</v>
      </c>
      <c r="O193" s="245" t="s">
        <v>178</v>
      </c>
      <c r="P193" s="245" t="s">
        <v>192</v>
      </c>
      <c r="Q193" s="245" t="s">
        <v>304</v>
      </c>
      <c r="R193" s="246" t="s">
        <v>32</v>
      </c>
    </row>
    <row r="194" spans="1:18" ht="39" hidden="1" x14ac:dyDescent="0.8">
      <c r="A194" s="247">
        <v>12416</v>
      </c>
      <c r="B194" s="248" t="s">
        <v>303</v>
      </c>
      <c r="C194" s="249" t="s">
        <v>52</v>
      </c>
      <c r="D194" s="245">
        <v>0</v>
      </c>
      <c r="F194" s="245">
        <v>6000</v>
      </c>
      <c r="G194" s="245">
        <v>6000</v>
      </c>
      <c r="H194" s="245">
        <v>12000</v>
      </c>
      <c r="I194" s="245">
        <v>1.5</v>
      </c>
      <c r="J194" s="245">
        <v>0</v>
      </c>
      <c r="K194" s="245">
        <v>0</v>
      </c>
      <c r="L194" s="245">
        <v>9000</v>
      </c>
      <c r="M194" s="245">
        <v>9000</v>
      </c>
      <c r="N194" s="245">
        <v>18000</v>
      </c>
      <c r="O194" s="245" t="s">
        <v>169</v>
      </c>
      <c r="P194" s="245" t="s">
        <v>192</v>
      </c>
      <c r="Q194" s="245" t="s">
        <v>304</v>
      </c>
      <c r="R194" s="246" t="s">
        <v>32</v>
      </c>
    </row>
    <row r="195" spans="1:18" ht="26" x14ac:dyDescent="0.8">
      <c r="A195" s="247">
        <v>12417</v>
      </c>
      <c r="B195" s="248" t="s">
        <v>305</v>
      </c>
      <c r="C195" s="249" t="s">
        <v>59</v>
      </c>
      <c r="D195" s="245">
        <v>0</v>
      </c>
      <c r="H195" s="245">
        <v>0</v>
      </c>
      <c r="I195" s="245">
        <v>0.8177777777777776</v>
      </c>
      <c r="J195" s="245">
        <v>0</v>
      </c>
      <c r="K195" s="245">
        <v>0</v>
      </c>
      <c r="L195" s="245">
        <v>0</v>
      </c>
      <c r="M195" s="245">
        <v>0</v>
      </c>
      <c r="N195" s="245">
        <v>0</v>
      </c>
      <c r="O195" s="245" t="s">
        <v>178</v>
      </c>
      <c r="P195" s="245" t="s">
        <v>192</v>
      </c>
      <c r="Q195" s="245" t="s">
        <v>192</v>
      </c>
      <c r="R195" s="246" t="s">
        <v>32</v>
      </c>
    </row>
    <row r="196" spans="1:18" ht="26" hidden="1" x14ac:dyDescent="0.8">
      <c r="A196" s="247">
        <v>12417</v>
      </c>
      <c r="B196" s="248" t="s">
        <v>305</v>
      </c>
      <c r="C196" s="249" t="s">
        <v>59</v>
      </c>
      <c r="D196" s="245">
        <v>0</v>
      </c>
      <c r="F196" s="245">
        <v>800</v>
      </c>
      <c r="G196" s="245">
        <v>160</v>
      </c>
      <c r="H196" s="245">
        <v>960</v>
      </c>
      <c r="I196" s="245">
        <v>0.8177777777777776</v>
      </c>
      <c r="J196" s="245">
        <v>0</v>
      </c>
      <c r="K196" s="245">
        <v>0</v>
      </c>
      <c r="L196" s="245">
        <v>654.22222222222206</v>
      </c>
      <c r="M196" s="245">
        <v>130.84444444444441</v>
      </c>
      <c r="N196" s="245">
        <v>785.06666666666649</v>
      </c>
      <c r="O196" s="245" t="s">
        <v>169</v>
      </c>
      <c r="P196" s="245" t="s">
        <v>192</v>
      </c>
      <c r="Q196" s="245" t="s">
        <v>192</v>
      </c>
      <c r="R196" s="246" t="s">
        <v>32</v>
      </c>
    </row>
    <row r="197" spans="1:18" ht="39" x14ac:dyDescent="0.8">
      <c r="A197" s="247">
        <v>1242</v>
      </c>
      <c r="B197" s="248" t="s">
        <v>306</v>
      </c>
      <c r="D197" s="245">
        <v>0</v>
      </c>
      <c r="R197" s="246" t="s">
        <v>32</v>
      </c>
    </row>
    <row r="198" spans="1:18" hidden="1" x14ac:dyDescent="0.8">
      <c r="A198" s="247">
        <v>12421</v>
      </c>
      <c r="B198" s="248" t="s">
        <v>307</v>
      </c>
      <c r="C198" s="249" t="s">
        <v>308</v>
      </c>
      <c r="D198" s="245">
        <v>0</v>
      </c>
      <c r="F198" s="245">
        <v>1</v>
      </c>
      <c r="H198" s="245">
        <v>1</v>
      </c>
      <c r="I198" s="245">
        <v>855</v>
      </c>
      <c r="J198" s="245">
        <v>0</v>
      </c>
      <c r="K198" s="245">
        <v>0</v>
      </c>
      <c r="L198" s="245">
        <v>855</v>
      </c>
      <c r="M198" s="245">
        <v>0</v>
      </c>
      <c r="N198" s="245">
        <v>855</v>
      </c>
      <c r="O198" s="245" t="s">
        <v>169</v>
      </c>
      <c r="P198" s="245" t="s">
        <v>309</v>
      </c>
      <c r="Q198" s="245" t="s">
        <v>309</v>
      </c>
      <c r="R198" s="246" t="s">
        <v>32</v>
      </c>
    </row>
    <row r="199" spans="1:18" ht="26" hidden="1" x14ac:dyDescent="0.8">
      <c r="A199" s="247">
        <v>12422</v>
      </c>
      <c r="B199" s="248" t="s">
        <v>310</v>
      </c>
      <c r="C199" s="249" t="s">
        <v>66</v>
      </c>
      <c r="D199" s="245">
        <v>0</v>
      </c>
      <c r="E199" s="245">
        <v>100</v>
      </c>
      <c r="H199" s="245">
        <v>100</v>
      </c>
      <c r="I199" s="245">
        <v>0.255</v>
      </c>
      <c r="J199" s="245">
        <v>0</v>
      </c>
      <c r="K199" s="245">
        <v>25.5</v>
      </c>
      <c r="L199" s="245">
        <v>0</v>
      </c>
      <c r="M199" s="245">
        <v>0</v>
      </c>
      <c r="N199" s="245">
        <v>25.5</v>
      </c>
      <c r="O199" s="245" t="s">
        <v>169</v>
      </c>
      <c r="P199" s="245" t="s">
        <v>309</v>
      </c>
      <c r="Q199" s="245" t="s">
        <v>311</v>
      </c>
      <c r="R199" s="246" t="s">
        <v>32</v>
      </c>
    </row>
    <row r="200" spans="1:18" ht="26" hidden="1" x14ac:dyDescent="0.8">
      <c r="A200" s="247">
        <v>12423</v>
      </c>
      <c r="B200" s="248" t="s">
        <v>312</v>
      </c>
      <c r="C200" s="249" t="s">
        <v>313</v>
      </c>
      <c r="D200" s="245">
        <v>0</v>
      </c>
      <c r="F200" s="245">
        <v>1000000</v>
      </c>
      <c r="H200" s="245">
        <v>1000000</v>
      </c>
      <c r="I200" s="245">
        <v>7.4999999999999997E-3</v>
      </c>
      <c r="J200" s="245">
        <v>0</v>
      </c>
      <c r="K200" s="245">
        <v>0</v>
      </c>
      <c r="L200" s="245">
        <v>7500</v>
      </c>
      <c r="M200" s="245">
        <v>0</v>
      </c>
      <c r="N200" s="245">
        <v>7500</v>
      </c>
      <c r="O200" s="245" t="s">
        <v>169</v>
      </c>
      <c r="P200" s="245" t="s">
        <v>309</v>
      </c>
      <c r="Q200" s="245" t="s">
        <v>309</v>
      </c>
      <c r="R200" s="246" t="s">
        <v>32</v>
      </c>
    </row>
    <row r="201" spans="1:18" ht="26" hidden="1" x14ac:dyDescent="0.8">
      <c r="A201" s="247">
        <v>12424</v>
      </c>
      <c r="B201" s="248" t="s">
        <v>314</v>
      </c>
      <c r="C201" s="249" t="s">
        <v>38</v>
      </c>
      <c r="D201" s="245">
        <v>0</v>
      </c>
      <c r="F201" s="245">
        <v>2400</v>
      </c>
      <c r="H201" s="245">
        <v>2400</v>
      </c>
      <c r="I201" s="245">
        <v>0.3133333333333333</v>
      </c>
      <c r="J201" s="245">
        <v>0</v>
      </c>
      <c r="K201" s="245">
        <v>0</v>
      </c>
      <c r="L201" s="245">
        <v>751.99999999999989</v>
      </c>
      <c r="M201" s="245">
        <v>0</v>
      </c>
      <c r="N201" s="245">
        <v>751.99999999999989</v>
      </c>
      <c r="O201" s="245" t="s">
        <v>169</v>
      </c>
      <c r="P201" s="245" t="s">
        <v>309</v>
      </c>
      <c r="Q201" s="245" t="s">
        <v>316</v>
      </c>
      <c r="R201" s="246" t="s">
        <v>32</v>
      </c>
    </row>
    <row r="202" spans="1:18" ht="39" hidden="1" x14ac:dyDescent="0.8">
      <c r="A202" s="247">
        <v>12425</v>
      </c>
      <c r="B202" s="248" t="s">
        <v>317</v>
      </c>
      <c r="C202" s="249" t="s">
        <v>59</v>
      </c>
      <c r="D202" s="245">
        <v>0</v>
      </c>
      <c r="F202" s="245">
        <v>2562</v>
      </c>
      <c r="G202" s="245">
        <v>1193.8920000000001</v>
      </c>
      <c r="H202" s="245">
        <v>3755.8919999999998</v>
      </c>
      <c r="I202" s="245">
        <v>0.8177777777777776</v>
      </c>
      <c r="J202" s="245">
        <v>0</v>
      </c>
      <c r="K202" s="245">
        <v>0</v>
      </c>
      <c r="L202" s="245">
        <v>2095.1466666666661</v>
      </c>
      <c r="M202" s="245">
        <v>976.33834666666655</v>
      </c>
      <c r="N202" s="245">
        <v>3071.4850133333325</v>
      </c>
      <c r="O202" s="245" t="s">
        <v>169</v>
      </c>
      <c r="P202" s="245" t="s">
        <v>309</v>
      </c>
      <c r="Q202" s="245" t="s">
        <v>77</v>
      </c>
      <c r="R202" s="246" t="s">
        <v>32</v>
      </c>
    </row>
    <row r="203" spans="1:18" ht="39" x14ac:dyDescent="0.8">
      <c r="A203" s="247">
        <v>12425</v>
      </c>
      <c r="B203" s="248" t="s">
        <v>317</v>
      </c>
      <c r="C203" s="249" t="s">
        <v>59</v>
      </c>
      <c r="D203" s="245">
        <v>0</v>
      </c>
      <c r="E203" s="245">
        <v>1193.8920000000001</v>
      </c>
      <c r="F203" s="245">
        <v>1193.8920000000001</v>
      </c>
      <c r="G203" s="245">
        <v>1193.8920000000001</v>
      </c>
      <c r="H203" s="245">
        <v>3581.6760000000004</v>
      </c>
      <c r="I203" s="245">
        <v>0.8177777777777776</v>
      </c>
      <c r="J203" s="245">
        <v>0</v>
      </c>
      <c r="K203" s="245">
        <v>976.33834666666655</v>
      </c>
      <c r="L203" s="245">
        <v>976.33834666666655</v>
      </c>
      <c r="M203" s="245">
        <v>976.33834666666655</v>
      </c>
      <c r="N203" s="245">
        <v>2929.0150399999998</v>
      </c>
      <c r="O203" s="245" t="s">
        <v>118</v>
      </c>
      <c r="P203" s="245" t="s">
        <v>309</v>
      </c>
      <c r="Q203" s="245" t="s">
        <v>77</v>
      </c>
      <c r="R203" s="246" t="s">
        <v>32</v>
      </c>
    </row>
    <row r="204" spans="1:18" ht="39" x14ac:dyDescent="0.8">
      <c r="A204" s="247">
        <v>12425</v>
      </c>
      <c r="B204" s="248" t="s">
        <v>317</v>
      </c>
      <c r="C204" s="249" t="s">
        <v>59</v>
      </c>
      <c r="E204" s="245">
        <v>174.21600000000001</v>
      </c>
      <c r="F204" s="245">
        <v>174.21600000000001</v>
      </c>
      <c r="G204" s="245">
        <v>174.21600000000001</v>
      </c>
      <c r="H204" s="245">
        <v>522.64800000000002</v>
      </c>
      <c r="I204" s="245">
        <v>0.8177777777777776</v>
      </c>
      <c r="J204" s="245">
        <v>0</v>
      </c>
      <c r="K204" s="245">
        <v>142.46997333333331</v>
      </c>
      <c r="L204" s="245">
        <v>142.46997333333331</v>
      </c>
      <c r="M204" s="245">
        <v>142.46997333333331</v>
      </c>
      <c r="N204" s="245">
        <v>427.40991999999994</v>
      </c>
      <c r="O204" s="245" t="s">
        <v>67</v>
      </c>
      <c r="P204" s="245" t="s">
        <v>309</v>
      </c>
      <c r="Q204" s="245" t="s">
        <v>77</v>
      </c>
      <c r="R204" s="246" t="s">
        <v>32</v>
      </c>
    </row>
    <row r="205" spans="1:18" ht="26" hidden="1" x14ac:dyDescent="0.8">
      <c r="A205" s="247">
        <v>12426</v>
      </c>
      <c r="B205" s="248" t="s">
        <v>318</v>
      </c>
      <c r="C205" s="249" t="s">
        <v>59</v>
      </c>
      <c r="D205" s="245">
        <v>0</v>
      </c>
      <c r="F205" s="245">
        <v>4270</v>
      </c>
      <c r="H205" s="245">
        <v>4270</v>
      </c>
      <c r="I205" s="245">
        <v>0.8177777777777776</v>
      </c>
      <c r="J205" s="245">
        <v>0</v>
      </c>
      <c r="K205" s="245">
        <v>0</v>
      </c>
      <c r="L205" s="245">
        <v>3491.9111111111106</v>
      </c>
      <c r="M205" s="245">
        <v>0</v>
      </c>
      <c r="N205" s="245">
        <v>3491.9111111111106</v>
      </c>
      <c r="O205" s="245" t="s">
        <v>169</v>
      </c>
      <c r="P205" s="245" t="s">
        <v>309</v>
      </c>
      <c r="Q205" s="245" t="s">
        <v>77</v>
      </c>
      <c r="R205" s="246" t="s">
        <v>32</v>
      </c>
    </row>
    <row r="206" spans="1:18" ht="26" x14ac:dyDescent="0.8">
      <c r="A206" s="247">
        <v>12426</v>
      </c>
      <c r="B206" s="248" t="s">
        <v>318</v>
      </c>
      <c r="C206" s="249" t="s">
        <v>59</v>
      </c>
      <c r="D206" s="245">
        <v>0</v>
      </c>
      <c r="F206" s="245">
        <v>3416</v>
      </c>
      <c r="H206" s="245">
        <v>3416</v>
      </c>
      <c r="I206" s="245">
        <v>0.8177777777777776</v>
      </c>
      <c r="J206" s="245">
        <v>0</v>
      </c>
      <c r="K206" s="245">
        <v>0</v>
      </c>
      <c r="L206" s="245">
        <v>2793.5288888888881</v>
      </c>
      <c r="M206" s="245">
        <v>0</v>
      </c>
      <c r="N206" s="245">
        <v>2793.5288888888881</v>
      </c>
      <c r="O206" s="245" t="s">
        <v>2669</v>
      </c>
      <c r="P206" s="245" t="s">
        <v>309</v>
      </c>
      <c r="Q206" s="245" t="s">
        <v>77</v>
      </c>
      <c r="R206" s="246" t="s">
        <v>32</v>
      </c>
    </row>
    <row r="207" spans="1:18" ht="26" x14ac:dyDescent="0.8">
      <c r="A207" s="247">
        <v>12426</v>
      </c>
      <c r="B207" s="248" t="s">
        <v>318</v>
      </c>
      <c r="C207" s="249" t="s">
        <v>59</v>
      </c>
      <c r="F207" s="245">
        <v>854</v>
      </c>
      <c r="H207" s="245">
        <v>854</v>
      </c>
      <c r="I207" s="245">
        <v>0.8177777777777776</v>
      </c>
      <c r="J207" s="245">
        <v>0</v>
      </c>
      <c r="K207" s="245">
        <v>0</v>
      </c>
      <c r="L207" s="245">
        <v>698.38222222222203</v>
      </c>
      <c r="M207" s="245">
        <v>0</v>
      </c>
      <c r="N207" s="245">
        <v>698.38222222222203</v>
      </c>
      <c r="O207" s="245" t="s">
        <v>67</v>
      </c>
      <c r="P207" s="245" t="s">
        <v>309</v>
      </c>
      <c r="Q207" s="245" t="s">
        <v>77</v>
      </c>
      <c r="R207" s="246" t="s">
        <v>32</v>
      </c>
    </row>
    <row r="208" spans="1:18" ht="26" hidden="1" x14ac:dyDescent="0.8">
      <c r="A208" s="247">
        <v>12427</v>
      </c>
      <c r="B208" s="248" t="s">
        <v>319</v>
      </c>
      <c r="C208" s="249" t="s">
        <v>55</v>
      </c>
      <c r="D208" s="245">
        <v>0</v>
      </c>
      <c r="E208" s="245">
        <v>1</v>
      </c>
      <c r="H208" s="245">
        <v>1</v>
      </c>
      <c r="I208" s="245">
        <v>0</v>
      </c>
      <c r="O208" s="245" t="s">
        <v>56</v>
      </c>
      <c r="P208" s="245" t="s">
        <v>273</v>
      </c>
      <c r="Q208" s="245" t="s">
        <v>77</v>
      </c>
      <c r="R208" s="246" t="s">
        <v>32</v>
      </c>
    </row>
    <row r="209" spans="1:18" ht="39" hidden="1" x14ac:dyDescent="0.8">
      <c r="A209" s="247">
        <v>12428</v>
      </c>
      <c r="B209" s="248" t="s">
        <v>320</v>
      </c>
      <c r="C209" s="249" t="s">
        <v>55</v>
      </c>
      <c r="D209" s="245">
        <v>0</v>
      </c>
      <c r="E209" s="245">
        <v>1</v>
      </c>
      <c r="F209" s="245">
        <v>1</v>
      </c>
      <c r="G209" s="245">
        <v>1</v>
      </c>
      <c r="H209" s="245">
        <v>3</v>
      </c>
      <c r="I209" s="245">
        <v>0</v>
      </c>
      <c r="O209" s="245" t="s">
        <v>56</v>
      </c>
      <c r="P209" s="245" t="s">
        <v>322</v>
      </c>
      <c r="Q209" s="245" t="s">
        <v>205</v>
      </c>
      <c r="R209" s="246" t="s">
        <v>32</v>
      </c>
    </row>
    <row r="210" spans="1:18" ht="26" hidden="1" x14ac:dyDescent="0.8">
      <c r="A210" s="247">
        <v>12429</v>
      </c>
      <c r="B210" s="248" t="s">
        <v>323</v>
      </c>
      <c r="C210" s="249" t="s">
        <v>324</v>
      </c>
      <c r="D210" s="245">
        <v>0</v>
      </c>
      <c r="F210" s="245">
        <v>256.2</v>
      </c>
      <c r="G210" s="245">
        <v>124.47049999999999</v>
      </c>
      <c r="H210" s="245">
        <v>380.67049999999995</v>
      </c>
      <c r="I210" s="245">
        <v>2</v>
      </c>
      <c r="J210" s="245">
        <v>0</v>
      </c>
      <c r="K210" s="245">
        <v>0</v>
      </c>
      <c r="L210" s="245">
        <v>512.4</v>
      </c>
      <c r="M210" s="245">
        <v>248.94099999999997</v>
      </c>
      <c r="N210" s="245">
        <v>761.34099999999989</v>
      </c>
      <c r="O210" s="245" t="s">
        <v>169</v>
      </c>
      <c r="P210" s="245" t="s">
        <v>309</v>
      </c>
      <c r="Q210" s="245" t="s">
        <v>193</v>
      </c>
      <c r="R210" s="246" t="s">
        <v>32</v>
      </c>
    </row>
    <row r="211" spans="1:18" ht="26" x14ac:dyDescent="0.8">
      <c r="A211" s="247">
        <v>12429</v>
      </c>
      <c r="B211" s="248" t="s">
        <v>323</v>
      </c>
      <c r="C211" s="249" t="s">
        <v>324</v>
      </c>
      <c r="D211" s="245">
        <v>0</v>
      </c>
      <c r="E211" s="245">
        <v>124.42779999999999</v>
      </c>
      <c r="F211" s="245">
        <v>124.42779999999999</v>
      </c>
      <c r="G211" s="245">
        <v>124.42779999999999</v>
      </c>
      <c r="H211" s="245">
        <v>373.28339999999997</v>
      </c>
      <c r="I211" s="245">
        <v>2</v>
      </c>
      <c r="J211" s="245">
        <v>0</v>
      </c>
      <c r="K211" s="245">
        <v>248.85559999999998</v>
      </c>
      <c r="L211" s="245">
        <v>248.85559999999998</v>
      </c>
      <c r="M211" s="245">
        <v>248.85559999999998</v>
      </c>
      <c r="N211" s="245">
        <v>746.56679999999994</v>
      </c>
      <c r="O211" s="245" t="s">
        <v>2669</v>
      </c>
      <c r="P211" s="245" t="s">
        <v>309</v>
      </c>
      <c r="Q211" s="245" t="s">
        <v>193</v>
      </c>
      <c r="R211" s="246" t="s">
        <v>32</v>
      </c>
    </row>
    <row r="212" spans="1:18" ht="26" x14ac:dyDescent="0.8">
      <c r="A212" s="247">
        <v>12429</v>
      </c>
      <c r="B212" s="248" t="s">
        <v>323</v>
      </c>
      <c r="C212" s="249" t="s">
        <v>324</v>
      </c>
      <c r="E212" s="245">
        <v>178.10170000000002</v>
      </c>
      <c r="F212" s="245">
        <v>178.10170000000002</v>
      </c>
      <c r="G212" s="245">
        <v>178.10170000000002</v>
      </c>
      <c r="H212" s="245">
        <v>534.30510000000004</v>
      </c>
      <c r="I212" s="245">
        <v>2</v>
      </c>
      <c r="J212" s="245">
        <v>0</v>
      </c>
      <c r="K212" s="245">
        <v>356.20340000000004</v>
      </c>
      <c r="L212" s="245">
        <v>356.20340000000004</v>
      </c>
      <c r="M212" s="245">
        <v>356.20340000000004</v>
      </c>
      <c r="N212" s="245">
        <v>1068.6102000000001</v>
      </c>
      <c r="O212" s="245" t="s">
        <v>2670</v>
      </c>
      <c r="P212" s="245" t="s">
        <v>309</v>
      </c>
      <c r="Q212" s="245" t="s">
        <v>193</v>
      </c>
      <c r="R212" s="246" t="s">
        <v>32</v>
      </c>
    </row>
    <row r="213" spans="1:18" ht="26" hidden="1" x14ac:dyDescent="0.8">
      <c r="A213" s="247">
        <v>124210</v>
      </c>
      <c r="B213" s="248" t="s">
        <v>325</v>
      </c>
      <c r="C213" s="249" t="s">
        <v>59</v>
      </c>
      <c r="D213" s="245">
        <v>0</v>
      </c>
      <c r="E213" s="245">
        <v>63.2</v>
      </c>
      <c r="F213" s="245">
        <v>160</v>
      </c>
      <c r="G213" s="245">
        <v>63.2</v>
      </c>
      <c r="H213" s="245">
        <v>286.39999999999998</v>
      </c>
      <c r="I213" s="245">
        <v>0.8177777777777776</v>
      </c>
      <c r="J213" s="245">
        <v>0</v>
      </c>
      <c r="K213" s="245">
        <v>51.68355555555555</v>
      </c>
      <c r="L213" s="245">
        <v>130.84444444444441</v>
      </c>
      <c r="M213" s="245">
        <v>51.68355555555555</v>
      </c>
      <c r="N213" s="245">
        <v>234.21155555555552</v>
      </c>
      <c r="O213" s="245" t="s">
        <v>169</v>
      </c>
      <c r="P213" s="245" t="s">
        <v>309</v>
      </c>
      <c r="Q213" s="245" t="s">
        <v>326</v>
      </c>
      <c r="R213" s="246" t="s">
        <v>32</v>
      </c>
    </row>
    <row r="214" spans="1:18" ht="26" x14ac:dyDescent="0.8">
      <c r="A214" s="247">
        <v>124210</v>
      </c>
      <c r="B214" s="248" t="s">
        <v>325</v>
      </c>
      <c r="C214" s="249" t="s">
        <v>59</v>
      </c>
      <c r="E214" s="245">
        <v>96.8</v>
      </c>
      <c r="F214" s="245">
        <v>96.8</v>
      </c>
      <c r="G214" s="245">
        <v>96.8</v>
      </c>
      <c r="H214" s="245">
        <v>290.39999999999998</v>
      </c>
      <c r="I214" s="245">
        <v>0.8177777777777776</v>
      </c>
      <c r="J214" s="245">
        <v>0</v>
      </c>
      <c r="K214" s="245">
        <v>79.160888888888863</v>
      </c>
      <c r="L214" s="245">
        <v>79.160888888888863</v>
      </c>
      <c r="M214" s="245">
        <v>79.160888888888863</v>
      </c>
      <c r="N214" s="245">
        <v>237.4826666666666</v>
      </c>
      <c r="O214" s="245" t="s">
        <v>67</v>
      </c>
      <c r="P214" s="245" t="s">
        <v>309</v>
      </c>
      <c r="Q214" s="245" t="s">
        <v>326</v>
      </c>
      <c r="R214" s="246" t="s">
        <v>32</v>
      </c>
    </row>
    <row r="215" spans="1:18" x14ac:dyDescent="0.8">
      <c r="A215" s="247">
        <v>13</v>
      </c>
      <c r="B215" s="248" t="s">
        <v>327</v>
      </c>
      <c r="D215" s="245">
        <v>0</v>
      </c>
      <c r="R215" s="246" t="s">
        <v>32</v>
      </c>
    </row>
    <row r="216" spans="1:18" ht="39" x14ac:dyDescent="0.8">
      <c r="A216" s="247">
        <v>131</v>
      </c>
      <c r="B216" s="248" t="s">
        <v>328</v>
      </c>
      <c r="D216" s="245">
        <v>0</v>
      </c>
      <c r="R216" s="246" t="s">
        <v>32</v>
      </c>
    </row>
    <row r="217" spans="1:18" ht="26" x14ac:dyDescent="0.8">
      <c r="A217" s="247">
        <v>1311</v>
      </c>
      <c r="B217" s="248" t="s">
        <v>329</v>
      </c>
      <c r="D217" s="245">
        <v>0</v>
      </c>
      <c r="R217" s="246" t="s">
        <v>32</v>
      </c>
    </row>
    <row r="218" spans="1:18" hidden="1" x14ac:dyDescent="0.8">
      <c r="A218" s="247">
        <v>13111</v>
      </c>
      <c r="B218" s="248" t="s">
        <v>172</v>
      </c>
      <c r="C218" s="249" t="s">
        <v>66</v>
      </c>
      <c r="D218" s="245">
        <v>0</v>
      </c>
      <c r="F218" s="245">
        <v>250</v>
      </c>
      <c r="H218" s="245">
        <v>250</v>
      </c>
      <c r="I218" s="245">
        <v>0.255</v>
      </c>
      <c r="J218" s="245">
        <v>0</v>
      </c>
      <c r="K218" s="245">
        <v>0</v>
      </c>
      <c r="L218" s="245">
        <v>63.75</v>
      </c>
      <c r="M218" s="245">
        <v>0</v>
      </c>
      <c r="N218" s="245">
        <v>63.75</v>
      </c>
      <c r="O218" s="245" t="s">
        <v>169</v>
      </c>
      <c r="P218" s="245" t="s">
        <v>331</v>
      </c>
      <c r="Q218" s="245" t="s">
        <v>331</v>
      </c>
      <c r="R218" s="246" t="s">
        <v>32</v>
      </c>
    </row>
    <row r="219" spans="1:18" hidden="1" x14ac:dyDescent="0.8">
      <c r="A219" s="247">
        <v>13112</v>
      </c>
      <c r="B219" s="248" t="s">
        <v>174</v>
      </c>
      <c r="C219" s="249" t="s">
        <v>73</v>
      </c>
      <c r="D219" s="245">
        <v>0</v>
      </c>
      <c r="E219" s="245">
        <v>0</v>
      </c>
      <c r="F219" s="245">
        <v>6600</v>
      </c>
      <c r="G219" s="245">
        <v>990</v>
      </c>
      <c r="H219" s="245">
        <v>7590</v>
      </c>
      <c r="I219" s="245">
        <v>0.4</v>
      </c>
      <c r="J219" s="245">
        <v>0</v>
      </c>
      <c r="K219" s="245">
        <v>0</v>
      </c>
      <c r="L219" s="245">
        <v>2640</v>
      </c>
      <c r="M219" s="245">
        <v>396</v>
      </c>
      <c r="N219" s="245">
        <v>3036</v>
      </c>
      <c r="O219" s="245" t="s">
        <v>169</v>
      </c>
      <c r="P219" s="245" t="s">
        <v>331</v>
      </c>
      <c r="Q219" s="245" t="s">
        <v>77</v>
      </c>
      <c r="R219" s="246" t="s">
        <v>32</v>
      </c>
    </row>
    <row r="220" spans="1:18" hidden="1" x14ac:dyDescent="0.8">
      <c r="A220" s="247">
        <v>13113</v>
      </c>
      <c r="B220" s="248" t="s">
        <v>332</v>
      </c>
      <c r="C220" s="249" t="s">
        <v>59</v>
      </c>
      <c r="D220" s="245">
        <v>0</v>
      </c>
      <c r="F220" s="245">
        <v>1280</v>
      </c>
      <c r="G220" s="245">
        <v>640</v>
      </c>
      <c r="H220" s="245">
        <v>1920</v>
      </c>
      <c r="I220" s="245">
        <v>0.8177777777777776</v>
      </c>
      <c r="J220" s="245">
        <v>0</v>
      </c>
      <c r="K220" s="245">
        <v>1046.7555555555552</v>
      </c>
      <c r="L220" s="245">
        <v>1046.7555555555552</v>
      </c>
      <c r="M220" s="245">
        <v>523.37777777777762</v>
      </c>
      <c r="N220" s="245">
        <v>2616.8888888888882</v>
      </c>
      <c r="O220" s="245" t="s">
        <v>169</v>
      </c>
      <c r="P220" s="245" t="s">
        <v>331</v>
      </c>
      <c r="Q220" s="245" t="s">
        <v>77</v>
      </c>
      <c r="R220" s="246" t="s">
        <v>32</v>
      </c>
    </row>
    <row r="221" spans="1:18" x14ac:dyDescent="0.8">
      <c r="A221" s="247">
        <v>1312</v>
      </c>
      <c r="B221" s="248" t="s">
        <v>333</v>
      </c>
      <c r="D221" s="245">
        <v>0</v>
      </c>
      <c r="R221" s="246" t="s">
        <v>32</v>
      </c>
    </row>
    <row r="222" spans="1:18" hidden="1" x14ac:dyDescent="0.8">
      <c r="A222" s="247">
        <v>13121</v>
      </c>
      <c r="B222" s="248" t="s">
        <v>334</v>
      </c>
      <c r="C222" s="249" t="s">
        <v>336</v>
      </c>
      <c r="D222" s="245">
        <v>0</v>
      </c>
      <c r="E222" s="245">
        <v>2073.6</v>
      </c>
      <c r="F222" s="245">
        <v>3856.8</v>
      </c>
      <c r="G222" s="245">
        <v>5399.2000000000007</v>
      </c>
      <c r="H222" s="245">
        <v>11329.6</v>
      </c>
      <c r="I222" s="245">
        <v>0.12</v>
      </c>
      <c r="J222" s="245">
        <v>248.83199999999999</v>
      </c>
      <c r="K222" s="245">
        <v>248.83199999999999</v>
      </c>
      <c r="L222" s="245">
        <v>462.81600000000003</v>
      </c>
      <c r="M222" s="245">
        <v>647.90400000000011</v>
      </c>
      <c r="N222" s="245">
        <v>1608.384</v>
      </c>
      <c r="O222" s="245" t="s">
        <v>56</v>
      </c>
      <c r="P222" s="245" t="s">
        <v>331</v>
      </c>
      <c r="Q222" s="245" t="s">
        <v>331</v>
      </c>
      <c r="R222" s="246" t="s">
        <v>32</v>
      </c>
    </row>
    <row r="223" spans="1:18" x14ac:dyDescent="0.8">
      <c r="A223" s="247">
        <v>13121</v>
      </c>
      <c r="B223" s="248" t="s">
        <v>334</v>
      </c>
      <c r="C223" s="249" t="s">
        <v>336</v>
      </c>
      <c r="D223" s="245">
        <v>0</v>
      </c>
      <c r="E223" s="245">
        <v>518.4</v>
      </c>
      <c r="F223" s="245">
        <v>964.2</v>
      </c>
      <c r="G223" s="245">
        <v>1349.8000000000002</v>
      </c>
      <c r="H223" s="245">
        <v>2832.4</v>
      </c>
      <c r="I223" s="245">
        <v>0.12</v>
      </c>
      <c r="J223" s="245">
        <v>62.207999999999998</v>
      </c>
      <c r="K223" s="245">
        <v>62.207999999999998</v>
      </c>
      <c r="L223" s="245">
        <v>115.70400000000001</v>
      </c>
      <c r="M223" s="245">
        <v>161.97600000000003</v>
      </c>
      <c r="N223" s="245">
        <v>402.096</v>
      </c>
      <c r="O223" s="245" t="s">
        <v>2670</v>
      </c>
      <c r="P223" s="245" t="s">
        <v>331</v>
      </c>
      <c r="Q223" s="245" t="s">
        <v>331</v>
      </c>
      <c r="R223" s="246" t="s">
        <v>32</v>
      </c>
    </row>
    <row r="224" spans="1:18" hidden="1" x14ac:dyDescent="0.8">
      <c r="A224" s="247">
        <v>13122</v>
      </c>
      <c r="B224" s="248" t="s">
        <v>337</v>
      </c>
      <c r="C224" s="249" t="s">
        <v>110</v>
      </c>
      <c r="D224" s="245">
        <v>0</v>
      </c>
      <c r="E224" s="245">
        <v>256.03200000000004</v>
      </c>
      <c r="F224" s="245">
        <v>256.03200000000004</v>
      </c>
      <c r="G224" s="245">
        <v>256.03200000000004</v>
      </c>
      <c r="H224" s="245">
        <v>768.09600000000012</v>
      </c>
      <c r="I224" s="245">
        <v>7.1760000000000002</v>
      </c>
      <c r="J224" s="245">
        <v>1837.2856320000003</v>
      </c>
      <c r="K224" s="245">
        <v>1837.2856320000003</v>
      </c>
      <c r="L224" s="245">
        <v>1837.2856320000003</v>
      </c>
      <c r="M224" s="245">
        <v>1837.2856320000003</v>
      </c>
      <c r="N224" s="245">
        <v>7349.1425280000012</v>
      </c>
      <c r="O224" s="245" t="s">
        <v>56</v>
      </c>
      <c r="P224" s="245" t="s">
        <v>331</v>
      </c>
      <c r="Q224" s="245" t="s">
        <v>282</v>
      </c>
      <c r="R224" s="246" t="s">
        <v>32</v>
      </c>
    </row>
    <row r="225" spans="1:18" x14ac:dyDescent="0.8">
      <c r="A225" s="247">
        <v>13122</v>
      </c>
      <c r="B225" s="248" t="s">
        <v>337</v>
      </c>
      <c r="C225" s="249" t="s">
        <v>110</v>
      </c>
      <c r="D225" s="245">
        <v>0</v>
      </c>
      <c r="E225" s="245">
        <v>63.967999999999996</v>
      </c>
      <c r="F225" s="245">
        <v>63.967999999999996</v>
      </c>
      <c r="G225" s="245">
        <v>63.967999999999996</v>
      </c>
      <c r="H225" s="245">
        <v>191.904</v>
      </c>
      <c r="I225" s="245">
        <v>7.1760000000000002</v>
      </c>
      <c r="J225" s="245">
        <v>459.03436799999997</v>
      </c>
      <c r="K225" s="245">
        <v>459.03436799999997</v>
      </c>
      <c r="L225" s="245">
        <v>459.03436799999997</v>
      </c>
      <c r="M225" s="245">
        <v>459.03436799999997</v>
      </c>
      <c r="N225" s="245">
        <v>1836.1374719999999</v>
      </c>
      <c r="O225" s="245" t="s">
        <v>2670</v>
      </c>
      <c r="P225" s="245" t="s">
        <v>331</v>
      </c>
      <c r="Q225" s="245" t="s">
        <v>282</v>
      </c>
      <c r="R225" s="246" t="s">
        <v>32</v>
      </c>
    </row>
    <row r="226" spans="1:18" ht="26" x14ac:dyDescent="0.8">
      <c r="A226" s="247">
        <v>1313</v>
      </c>
      <c r="B226" s="248" t="s">
        <v>338</v>
      </c>
      <c r="D226" s="245">
        <v>0</v>
      </c>
      <c r="R226" s="246" t="s">
        <v>32</v>
      </c>
    </row>
    <row r="227" spans="1:18" ht="26" hidden="1" x14ac:dyDescent="0.8">
      <c r="A227" s="247">
        <v>13131</v>
      </c>
      <c r="B227" s="248" t="s">
        <v>339</v>
      </c>
      <c r="C227" s="249" t="s">
        <v>59</v>
      </c>
      <c r="D227" s="245">
        <v>0</v>
      </c>
      <c r="E227" s="245">
        <v>128.01600000000002</v>
      </c>
      <c r="H227" s="245">
        <v>128.01600000000002</v>
      </c>
      <c r="I227" s="245">
        <v>0.8177777777777776</v>
      </c>
      <c r="J227" s="245">
        <v>104.68863999999999</v>
      </c>
      <c r="K227" s="245">
        <v>104.68863999999999</v>
      </c>
      <c r="L227" s="245">
        <v>0</v>
      </c>
      <c r="M227" s="245">
        <v>0</v>
      </c>
      <c r="N227" s="245">
        <v>209.37727999999998</v>
      </c>
      <c r="O227" s="245" t="s">
        <v>56</v>
      </c>
      <c r="P227" s="245" t="s">
        <v>331</v>
      </c>
      <c r="Q227" s="245" t="s">
        <v>77</v>
      </c>
      <c r="R227" s="246" t="s">
        <v>32</v>
      </c>
    </row>
    <row r="228" spans="1:18" ht="26" x14ac:dyDescent="0.8">
      <c r="A228" s="247">
        <v>13131</v>
      </c>
      <c r="B228" s="248" t="s">
        <v>339</v>
      </c>
      <c r="C228" s="249" t="s">
        <v>59</v>
      </c>
      <c r="D228" s="245">
        <v>0</v>
      </c>
      <c r="E228" s="245">
        <v>31.983999999999998</v>
      </c>
      <c r="H228" s="245">
        <v>31.983999999999998</v>
      </c>
      <c r="I228" s="245">
        <v>0.8177777777777776</v>
      </c>
      <c r="J228" s="245">
        <v>26.155804444444438</v>
      </c>
      <c r="K228" s="245">
        <v>26.155804444444438</v>
      </c>
      <c r="L228" s="245">
        <v>0</v>
      </c>
      <c r="M228" s="245">
        <v>0</v>
      </c>
      <c r="N228" s="245">
        <v>52.311608888888877</v>
      </c>
      <c r="O228" s="245" t="s">
        <v>2671</v>
      </c>
      <c r="P228" s="245" t="s">
        <v>331</v>
      </c>
      <c r="Q228" s="245" t="s">
        <v>77</v>
      </c>
      <c r="R228" s="246" t="s">
        <v>32</v>
      </c>
    </row>
    <row r="229" spans="1:18" ht="26" hidden="1" x14ac:dyDescent="0.8">
      <c r="A229" s="247">
        <v>13132</v>
      </c>
      <c r="B229" s="248" t="s">
        <v>82</v>
      </c>
      <c r="C229" s="249" t="s">
        <v>84</v>
      </c>
      <c r="D229" s="245">
        <v>0</v>
      </c>
      <c r="E229" s="245">
        <v>51.03606528000001</v>
      </c>
      <c r="F229" s="245">
        <v>104.18566680000002</v>
      </c>
      <c r="G229" s="245">
        <v>159.89622816000008</v>
      </c>
      <c r="H229" s="245">
        <v>315.11796024000012</v>
      </c>
      <c r="I229" s="245">
        <v>0.25</v>
      </c>
      <c r="J229" s="245">
        <v>12.759016320000002</v>
      </c>
      <c r="K229" s="245">
        <v>12.759016320000002</v>
      </c>
      <c r="L229" s="245">
        <v>26.046416700000005</v>
      </c>
      <c r="M229" s="245">
        <v>39.974057040000019</v>
      </c>
      <c r="N229" s="245">
        <v>91.53850638000003</v>
      </c>
      <c r="O229" s="245" t="s">
        <v>56</v>
      </c>
      <c r="P229" s="245" t="s">
        <v>81</v>
      </c>
      <c r="Q229" s="245" t="s">
        <v>81</v>
      </c>
      <c r="R229" s="246" t="s">
        <v>32</v>
      </c>
    </row>
    <row r="230" spans="1:18" ht="26" x14ac:dyDescent="0.8">
      <c r="A230" s="247">
        <v>13132</v>
      </c>
      <c r="B230" s="248" t="s">
        <v>82</v>
      </c>
      <c r="C230" s="249" t="s">
        <v>84</v>
      </c>
      <c r="D230" s="245">
        <v>0</v>
      </c>
      <c r="E230" s="245">
        <v>204.01673471999999</v>
      </c>
      <c r="F230" s="245">
        <v>416.48233319999997</v>
      </c>
      <c r="G230" s="245">
        <v>639.18537184000013</v>
      </c>
      <c r="H230" s="245">
        <v>1259.6844397600003</v>
      </c>
      <c r="I230" s="245">
        <v>0.25</v>
      </c>
      <c r="J230" s="245">
        <v>51.004183679999997</v>
      </c>
      <c r="K230" s="245">
        <v>51.004183679999997</v>
      </c>
      <c r="L230" s="245">
        <v>104.12058329999999</v>
      </c>
      <c r="M230" s="245">
        <v>159.79634296000003</v>
      </c>
      <c r="N230" s="245">
        <v>365.92529362000005</v>
      </c>
      <c r="O230" s="245" t="s">
        <v>2671</v>
      </c>
      <c r="P230" s="245" t="s">
        <v>81</v>
      </c>
      <c r="Q230" s="245" t="s">
        <v>81</v>
      </c>
      <c r="R230" s="246" t="s">
        <v>32</v>
      </c>
    </row>
    <row r="231" spans="1:18" ht="26" hidden="1" x14ac:dyDescent="0.8">
      <c r="A231" s="247">
        <v>13133</v>
      </c>
      <c r="B231" s="248" t="s">
        <v>341</v>
      </c>
      <c r="C231" s="249" t="s">
        <v>55</v>
      </c>
      <c r="D231" s="245">
        <v>0</v>
      </c>
      <c r="E231" s="245">
        <v>1</v>
      </c>
      <c r="F231" s="245">
        <v>1</v>
      </c>
      <c r="G231" s="245">
        <v>1</v>
      </c>
      <c r="I231" s="245">
        <v>0</v>
      </c>
      <c r="O231" s="245" t="s">
        <v>56</v>
      </c>
      <c r="P231" s="245" t="s">
        <v>81</v>
      </c>
      <c r="Q231" s="245" t="s">
        <v>81</v>
      </c>
      <c r="R231" s="246" t="s">
        <v>32</v>
      </c>
    </row>
    <row r="232" spans="1:18" x14ac:dyDescent="0.8">
      <c r="A232" s="247">
        <v>132</v>
      </c>
      <c r="B232" s="248" t="s">
        <v>342</v>
      </c>
      <c r="D232" s="245">
        <v>0</v>
      </c>
      <c r="R232" s="246" t="s">
        <v>32</v>
      </c>
    </row>
    <row r="233" spans="1:18" ht="26" x14ac:dyDescent="0.8">
      <c r="A233" s="247">
        <v>1321</v>
      </c>
      <c r="B233" s="248" t="s">
        <v>343</v>
      </c>
      <c r="D233" s="245">
        <v>0</v>
      </c>
      <c r="R233" s="246" t="s">
        <v>32</v>
      </c>
    </row>
    <row r="234" spans="1:18" ht="26" hidden="1" x14ac:dyDescent="0.8">
      <c r="A234" s="247">
        <v>13211</v>
      </c>
      <c r="B234" s="248" t="s">
        <v>344</v>
      </c>
      <c r="C234" s="249" t="s">
        <v>55</v>
      </c>
      <c r="D234" s="245">
        <v>0</v>
      </c>
      <c r="E234" s="245">
        <v>1</v>
      </c>
      <c r="H234" s="245">
        <v>1</v>
      </c>
      <c r="I234" s="245">
        <v>0</v>
      </c>
      <c r="L234" s="245">
        <v>0</v>
      </c>
      <c r="O234" s="245" t="s">
        <v>169</v>
      </c>
      <c r="P234" s="245" t="s">
        <v>331</v>
      </c>
      <c r="Q234" s="245" t="s">
        <v>255</v>
      </c>
      <c r="R234" s="246" t="s">
        <v>32</v>
      </c>
    </row>
    <row r="235" spans="1:18" ht="26" hidden="1" x14ac:dyDescent="0.8">
      <c r="A235" s="247">
        <v>13212</v>
      </c>
      <c r="B235" s="248" t="s">
        <v>345</v>
      </c>
      <c r="C235" s="249" t="s">
        <v>38</v>
      </c>
      <c r="D235" s="245">
        <v>0</v>
      </c>
      <c r="E235" s="245">
        <v>150</v>
      </c>
      <c r="F235" s="245">
        <v>150</v>
      </c>
      <c r="H235" s="245">
        <v>300</v>
      </c>
      <c r="I235" s="245">
        <v>0.3133333333333333</v>
      </c>
      <c r="J235" s="245">
        <v>0</v>
      </c>
      <c r="K235" s="245">
        <v>46.999999999999993</v>
      </c>
      <c r="L235" s="245">
        <v>46.999999999999993</v>
      </c>
      <c r="M235" s="245">
        <v>0</v>
      </c>
      <c r="N235" s="245">
        <v>93.999999999999986</v>
      </c>
      <c r="O235" s="245" t="s">
        <v>169</v>
      </c>
      <c r="P235" s="245" t="s">
        <v>331</v>
      </c>
      <c r="Q235" s="245" t="s">
        <v>331</v>
      </c>
      <c r="R235" s="246" t="s">
        <v>32</v>
      </c>
    </row>
    <row r="236" spans="1:18" hidden="1" x14ac:dyDescent="0.8">
      <c r="A236" s="247">
        <v>13213</v>
      </c>
      <c r="B236" s="248" t="s">
        <v>346</v>
      </c>
      <c r="C236" s="249" t="s">
        <v>66</v>
      </c>
      <c r="D236" s="245">
        <v>0</v>
      </c>
      <c r="E236" s="245">
        <v>100</v>
      </c>
      <c r="F236" s="245">
        <v>100</v>
      </c>
      <c r="H236" s="245">
        <v>200</v>
      </c>
      <c r="I236" s="245">
        <v>0.255</v>
      </c>
      <c r="J236" s="245">
        <v>0</v>
      </c>
      <c r="K236" s="245">
        <v>25.5</v>
      </c>
      <c r="L236" s="245">
        <v>25.5</v>
      </c>
      <c r="M236" s="245">
        <v>0</v>
      </c>
      <c r="N236" s="245">
        <v>51</v>
      </c>
      <c r="O236" s="245" t="s">
        <v>169</v>
      </c>
      <c r="P236" s="245" t="s">
        <v>331</v>
      </c>
      <c r="Q236" s="245" t="s">
        <v>347</v>
      </c>
      <c r="R236" s="246" t="s">
        <v>32</v>
      </c>
    </row>
    <row r="237" spans="1:18" hidden="1" x14ac:dyDescent="0.8">
      <c r="A237" s="247">
        <v>13214</v>
      </c>
      <c r="B237" s="248" t="s">
        <v>348</v>
      </c>
      <c r="C237" s="249" t="s">
        <v>38</v>
      </c>
      <c r="D237" s="245">
        <v>0</v>
      </c>
      <c r="E237" s="245">
        <v>60</v>
      </c>
      <c r="H237" s="245">
        <v>60</v>
      </c>
      <c r="I237" s="245">
        <v>0.3133333333333333</v>
      </c>
      <c r="J237" s="245">
        <v>0</v>
      </c>
      <c r="K237" s="245">
        <v>18.799999999999997</v>
      </c>
      <c r="L237" s="245">
        <v>0</v>
      </c>
      <c r="M237" s="245">
        <v>0</v>
      </c>
      <c r="N237" s="245">
        <v>18.799999999999997</v>
      </c>
      <c r="O237" s="245" t="s">
        <v>169</v>
      </c>
      <c r="P237" s="245" t="s">
        <v>331</v>
      </c>
      <c r="Q237" s="245" t="s">
        <v>331</v>
      </c>
      <c r="R237" s="246" t="s">
        <v>32</v>
      </c>
    </row>
    <row r="238" spans="1:18" ht="26" hidden="1" x14ac:dyDescent="0.8">
      <c r="A238" s="247">
        <v>13215</v>
      </c>
      <c r="B238" s="248" t="s">
        <v>349</v>
      </c>
      <c r="C238" s="249" t="s">
        <v>350</v>
      </c>
      <c r="D238" s="245">
        <v>0</v>
      </c>
      <c r="F238" s="245">
        <v>1440</v>
      </c>
      <c r="H238" s="245">
        <v>1440</v>
      </c>
      <c r="I238" s="245">
        <v>0.03</v>
      </c>
      <c r="J238" s="245">
        <v>0</v>
      </c>
      <c r="K238" s="245">
        <v>0</v>
      </c>
      <c r="L238" s="245">
        <v>43.199999999999996</v>
      </c>
      <c r="M238" s="245">
        <v>0</v>
      </c>
      <c r="N238" s="245">
        <v>43.199999999999996</v>
      </c>
      <c r="O238" s="245" t="s">
        <v>169</v>
      </c>
      <c r="P238" s="245" t="s">
        <v>331</v>
      </c>
      <c r="Q238" s="245" t="s">
        <v>331</v>
      </c>
      <c r="R238" s="246" t="s">
        <v>32</v>
      </c>
    </row>
    <row r="239" spans="1:18" ht="26" hidden="1" x14ac:dyDescent="0.8">
      <c r="A239" s="247">
        <v>13216</v>
      </c>
      <c r="B239" s="248" t="s">
        <v>351</v>
      </c>
      <c r="C239" s="249" t="s">
        <v>352</v>
      </c>
      <c r="D239" s="245">
        <v>0</v>
      </c>
      <c r="E239" s="245">
        <v>20</v>
      </c>
      <c r="F239" s="245">
        <v>2000</v>
      </c>
      <c r="G239" s="245">
        <v>320.04000000000002</v>
      </c>
      <c r="H239" s="245">
        <v>2340.04</v>
      </c>
      <c r="I239" s="245">
        <v>0.54600000000000004</v>
      </c>
      <c r="J239" s="245">
        <v>0</v>
      </c>
      <c r="K239" s="245">
        <v>10.920000000000002</v>
      </c>
      <c r="L239" s="245">
        <v>1092</v>
      </c>
      <c r="M239" s="245">
        <v>174.74184000000002</v>
      </c>
      <c r="N239" s="245">
        <v>1277.6618400000002</v>
      </c>
      <c r="O239" s="245" t="s">
        <v>169</v>
      </c>
      <c r="P239" s="245" t="s">
        <v>331</v>
      </c>
      <c r="Q239" s="245" t="s">
        <v>282</v>
      </c>
      <c r="R239" s="246" t="s">
        <v>32</v>
      </c>
    </row>
    <row r="240" spans="1:18" ht="26" x14ac:dyDescent="0.8">
      <c r="A240" s="247">
        <v>13216</v>
      </c>
      <c r="B240" s="248" t="s">
        <v>351</v>
      </c>
      <c r="C240" s="249" t="s">
        <v>352</v>
      </c>
      <c r="D240" s="245">
        <v>0</v>
      </c>
      <c r="E240" s="245">
        <v>79.959999999999994</v>
      </c>
      <c r="G240" s="245">
        <v>79.959999999999994</v>
      </c>
      <c r="H240" s="245">
        <v>159.91999999999999</v>
      </c>
      <c r="I240" s="245">
        <v>0.54600000000000004</v>
      </c>
      <c r="J240" s="245">
        <v>43.658160000000002</v>
      </c>
      <c r="K240" s="245">
        <v>43.658160000000002</v>
      </c>
      <c r="L240" s="245">
        <v>0</v>
      </c>
      <c r="M240" s="245">
        <v>43.658160000000002</v>
      </c>
      <c r="N240" s="245">
        <v>130.97448</v>
      </c>
      <c r="O240" s="245" t="s">
        <v>118</v>
      </c>
      <c r="P240" s="245" t="s">
        <v>331</v>
      </c>
      <c r="Q240" s="245" t="s">
        <v>282</v>
      </c>
      <c r="R240" s="246" t="s">
        <v>32</v>
      </c>
    </row>
    <row r="241" spans="1:18" ht="39" x14ac:dyDescent="0.8">
      <c r="A241" s="247">
        <v>13217</v>
      </c>
      <c r="B241" s="248" t="s">
        <v>353</v>
      </c>
      <c r="C241" s="249" t="s">
        <v>52</v>
      </c>
      <c r="E241" s="245">
        <v>60</v>
      </c>
      <c r="F241" s="245">
        <v>60</v>
      </c>
      <c r="G241" s="245">
        <v>60</v>
      </c>
      <c r="H241" s="245">
        <v>180</v>
      </c>
      <c r="I241" s="245">
        <v>1.5</v>
      </c>
      <c r="J241" s="245">
        <v>90</v>
      </c>
      <c r="K241" s="245">
        <v>90</v>
      </c>
      <c r="L241" s="245">
        <v>90</v>
      </c>
      <c r="M241" s="245">
        <v>90</v>
      </c>
      <c r="N241" s="245">
        <v>360</v>
      </c>
      <c r="O241" s="245" t="s">
        <v>67</v>
      </c>
      <c r="P241" s="245" t="s">
        <v>331</v>
      </c>
      <c r="Q241" s="245" t="s">
        <v>282</v>
      </c>
      <c r="R241" s="246" t="s">
        <v>32</v>
      </c>
    </row>
    <row r="242" spans="1:18" ht="39" hidden="1" x14ac:dyDescent="0.8">
      <c r="A242" s="247">
        <v>13217</v>
      </c>
      <c r="B242" s="248" t="s">
        <v>353</v>
      </c>
      <c r="C242" s="249" t="s">
        <v>52</v>
      </c>
      <c r="D242" s="245">
        <v>0</v>
      </c>
      <c r="E242" s="245">
        <v>180</v>
      </c>
      <c r="F242" s="245">
        <v>240</v>
      </c>
      <c r="G242" s="245">
        <v>300</v>
      </c>
      <c r="H242" s="245">
        <v>720</v>
      </c>
      <c r="I242" s="245">
        <v>1.5</v>
      </c>
      <c r="J242" s="245">
        <v>270</v>
      </c>
      <c r="K242" s="245">
        <v>270</v>
      </c>
      <c r="L242" s="245">
        <v>360</v>
      </c>
      <c r="M242" s="245">
        <v>450</v>
      </c>
      <c r="N242" s="245">
        <v>1350</v>
      </c>
      <c r="O242" s="245" t="s">
        <v>56</v>
      </c>
      <c r="P242" s="245" t="s">
        <v>331</v>
      </c>
      <c r="Q242" s="245" t="s">
        <v>282</v>
      </c>
      <c r="R242" s="246" t="s">
        <v>32</v>
      </c>
    </row>
    <row r="243" spans="1:18" ht="39" hidden="1" x14ac:dyDescent="0.8">
      <c r="A243" s="247">
        <v>13218</v>
      </c>
      <c r="B243" s="248" t="s">
        <v>354</v>
      </c>
      <c r="C243" s="249" t="s">
        <v>59</v>
      </c>
      <c r="D243" s="245">
        <v>0</v>
      </c>
      <c r="F243" s="245">
        <v>960</v>
      </c>
      <c r="G243" s="245">
        <v>468.96</v>
      </c>
      <c r="H243" s="245">
        <v>1428.96</v>
      </c>
      <c r="I243" s="245">
        <v>0.8177777777777776</v>
      </c>
      <c r="J243" s="245">
        <v>0</v>
      </c>
      <c r="K243" s="245">
        <v>0</v>
      </c>
      <c r="L243" s="245">
        <v>785.06666666666649</v>
      </c>
      <c r="M243" s="245">
        <v>383.50506666666655</v>
      </c>
      <c r="N243" s="245">
        <v>1168.571733333333</v>
      </c>
      <c r="O243" s="245" t="s">
        <v>169</v>
      </c>
      <c r="P243" s="245" t="s">
        <v>331</v>
      </c>
      <c r="Q243" s="245" t="s">
        <v>77</v>
      </c>
      <c r="R243" s="246" t="s">
        <v>32</v>
      </c>
    </row>
    <row r="244" spans="1:18" ht="39" x14ac:dyDescent="0.8">
      <c r="A244" s="247">
        <v>13218</v>
      </c>
      <c r="B244" s="248" t="s">
        <v>354</v>
      </c>
      <c r="C244" s="249" t="s">
        <v>59</v>
      </c>
      <c r="E244" s="245">
        <v>331.04</v>
      </c>
      <c r="F244" s="245">
        <v>331.04</v>
      </c>
      <c r="G244" s="245">
        <v>331.04</v>
      </c>
      <c r="H244" s="245">
        <v>993.12000000000012</v>
      </c>
      <c r="I244" s="245">
        <v>0.8177777777777776</v>
      </c>
      <c r="J244" s="245">
        <v>0</v>
      </c>
      <c r="K244" s="245">
        <v>270.71715555555551</v>
      </c>
      <c r="L244" s="245">
        <v>270.71715555555551</v>
      </c>
      <c r="M244" s="245">
        <v>270.71715555555551</v>
      </c>
      <c r="N244" s="245">
        <v>812.15146666666647</v>
      </c>
      <c r="O244" s="245" t="s">
        <v>67</v>
      </c>
      <c r="P244" s="245" t="s">
        <v>331</v>
      </c>
      <c r="Q244" s="245" t="s">
        <v>77</v>
      </c>
      <c r="R244" s="246" t="s">
        <v>32</v>
      </c>
    </row>
    <row r="245" spans="1:18" ht="26" hidden="1" x14ac:dyDescent="0.8">
      <c r="A245" s="247">
        <v>13219</v>
      </c>
      <c r="B245" s="248" t="s">
        <v>356</v>
      </c>
      <c r="C245" s="249" t="s">
        <v>55</v>
      </c>
      <c r="D245" s="245">
        <v>0</v>
      </c>
      <c r="F245" s="245">
        <v>1</v>
      </c>
      <c r="G245" s="245">
        <v>1</v>
      </c>
      <c r="H245" s="245">
        <v>2</v>
      </c>
      <c r="I245" s="245">
        <v>0</v>
      </c>
      <c r="L245" s="245">
        <v>0</v>
      </c>
      <c r="O245" s="245" t="s">
        <v>169</v>
      </c>
      <c r="P245" s="245" t="s">
        <v>331</v>
      </c>
      <c r="Q245" s="245" t="s">
        <v>77</v>
      </c>
      <c r="R245" s="246" t="s">
        <v>32</v>
      </c>
    </row>
    <row r="246" spans="1:18" ht="26" hidden="1" x14ac:dyDescent="0.8">
      <c r="A246" s="247">
        <v>132110</v>
      </c>
      <c r="B246" s="248" t="s">
        <v>357</v>
      </c>
      <c r="C246" s="249" t="s">
        <v>359</v>
      </c>
      <c r="D246" s="245">
        <v>0</v>
      </c>
      <c r="E246" s="245">
        <v>0.80010000000000003</v>
      </c>
      <c r="F246" s="245">
        <v>1</v>
      </c>
      <c r="G246" s="245">
        <v>0.80010000000000003</v>
      </c>
      <c r="H246" s="245">
        <v>2.6002000000000001</v>
      </c>
      <c r="I246" s="245">
        <v>60.923138000000002</v>
      </c>
      <c r="J246" s="245">
        <v>0</v>
      </c>
      <c r="K246" s="245">
        <v>48.744602713800006</v>
      </c>
      <c r="L246" s="245">
        <v>60.923138000000002</v>
      </c>
      <c r="M246" s="245">
        <v>48.744602713800006</v>
      </c>
      <c r="N246" s="245">
        <v>158.41234342760004</v>
      </c>
      <c r="O246" s="245" t="s">
        <v>169</v>
      </c>
      <c r="P246" s="245" t="s">
        <v>331</v>
      </c>
      <c r="Q246" s="245" t="s">
        <v>77</v>
      </c>
      <c r="R246" s="246" t="s">
        <v>32</v>
      </c>
    </row>
    <row r="247" spans="1:18" ht="26" x14ac:dyDescent="0.8">
      <c r="A247" s="247">
        <v>132110</v>
      </c>
      <c r="B247" s="248" t="s">
        <v>357</v>
      </c>
      <c r="C247" s="249" t="s">
        <v>359</v>
      </c>
      <c r="D247" s="245">
        <v>0</v>
      </c>
      <c r="E247" s="245">
        <v>0.19989999999999999</v>
      </c>
      <c r="F247" s="245">
        <v>0.19989999999999999</v>
      </c>
      <c r="G247" s="245">
        <v>0.19989999999999999</v>
      </c>
      <c r="H247" s="245">
        <v>0.59970000000000001</v>
      </c>
      <c r="I247" s="245">
        <v>60.923138000000002</v>
      </c>
      <c r="J247" s="245">
        <v>0</v>
      </c>
      <c r="K247" s="245">
        <v>12.178535286200001</v>
      </c>
      <c r="L247" s="245">
        <v>12.178535286200001</v>
      </c>
      <c r="M247" s="245">
        <v>12.178535286200001</v>
      </c>
      <c r="N247" s="245">
        <v>36.5356058586</v>
      </c>
      <c r="O247" s="245" t="s">
        <v>118</v>
      </c>
      <c r="P247" s="245" t="s">
        <v>331</v>
      </c>
      <c r="Q247" s="245" t="s">
        <v>77</v>
      </c>
      <c r="R247" s="246" t="s">
        <v>32</v>
      </c>
    </row>
    <row r="248" spans="1:18" ht="39" hidden="1" x14ac:dyDescent="0.8">
      <c r="A248" s="247">
        <v>132111</v>
      </c>
      <c r="B248" s="248" t="s">
        <v>360</v>
      </c>
      <c r="C248" s="249" t="s">
        <v>55</v>
      </c>
      <c r="D248" s="245">
        <v>0</v>
      </c>
      <c r="E248" s="245">
        <v>1</v>
      </c>
      <c r="F248" s="245">
        <v>1</v>
      </c>
      <c r="G248" s="245">
        <v>1</v>
      </c>
      <c r="H248" s="245">
        <v>3</v>
      </c>
      <c r="I248" s="245">
        <v>0</v>
      </c>
      <c r="O248" s="245" t="s">
        <v>56</v>
      </c>
      <c r="P248" s="245" t="s">
        <v>331</v>
      </c>
      <c r="Q248" s="245" t="s">
        <v>282</v>
      </c>
      <c r="R248" s="246" t="s">
        <v>32</v>
      </c>
    </row>
    <row r="249" spans="1:18" ht="26" hidden="1" x14ac:dyDescent="0.8">
      <c r="A249" s="247">
        <v>132112</v>
      </c>
      <c r="B249" s="248" t="s">
        <v>361</v>
      </c>
      <c r="C249" s="249" t="s">
        <v>59</v>
      </c>
      <c r="D249" s="245">
        <v>0</v>
      </c>
      <c r="F249" s="245">
        <v>304</v>
      </c>
      <c r="G249" s="245">
        <v>256.03200000000004</v>
      </c>
      <c r="H249" s="245">
        <v>560.03200000000004</v>
      </c>
      <c r="I249" s="245">
        <v>0.8177777777777776</v>
      </c>
      <c r="J249" s="245">
        <v>0</v>
      </c>
      <c r="K249" s="245">
        <v>0</v>
      </c>
      <c r="L249" s="245">
        <v>248.6044444444444</v>
      </c>
      <c r="M249" s="245">
        <v>209.37727999999998</v>
      </c>
      <c r="N249" s="245">
        <v>457.98172444444435</v>
      </c>
      <c r="O249" s="245" t="s">
        <v>169</v>
      </c>
      <c r="P249" s="245" t="s">
        <v>331</v>
      </c>
      <c r="Q249" s="245" t="s">
        <v>331</v>
      </c>
      <c r="R249" s="246" t="s">
        <v>32</v>
      </c>
    </row>
    <row r="250" spans="1:18" ht="26" x14ac:dyDescent="0.8">
      <c r="A250" s="247">
        <v>132112</v>
      </c>
      <c r="B250" s="248" t="s">
        <v>361</v>
      </c>
      <c r="C250" s="249" t="s">
        <v>59</v>
      </c>
      <c r="D250" s="245">
        <v>0</v>
      </c>
      <c r="F250" s="245">
        <v>63.967999999999996</v>
      </c>
      <c r="G250" s="245">
        <v>63.967999999999996</v>
      </c>
      <c r="H250" s="245">
        <v>127.93599999999999</v>
      </c>
      <c r="I250" s="245">
        <v>0.8177777777777776</v>
      </c>
      <c r="J250" s="245">
        <v>0</v>
      </c>
      <c r="K250" s="245">
        <v>0</v>
      </c>
      <c r="L250" s="245">
        <v>52.311608888888877</v>
      </c>
      <c r="M250" s="245">
        <v>52.311608888888877</v>
      </c>
      <c r="N250" s="245">
        <v>104.62321777777775</v>
      </c>
      <c r="O250" s="245" t="s">
        <v>118</v>
      </c>
      <c r="P250" s="245" t="s">
        <v>331</v>
      </c>
      <c r="Q250" s="245" t="s">
        <v>331</v>
      </c>
      <c r="R250" s="246" t="s">
        <v>32</v>
      </c>
    </row>
    <row r="251" spans="1:18" ht="52" x14ac:dyDescent="0.8">
      <c r="A251" s="247">
        <v>1322</v>
      </c>
      <c r="B251" s="248" t="s">
        <v>362</v>
      </c>
      <c r="D251" s="245">
        <v>0</v>
      </c>
      <c r="R251" s="246" t="s">
        <v>32</v>
      </c>
    </row>
    <row r="252" spans="1:18" ht="26" hidden="1" x14ac:dyDescent="0.8">
      <c r="A252" s="247">
        <v>13221</v>
      </c>
      <c r="B252" s="248" t="s">
        <v>363</v>
      </c>
      <c r="C252" s="249" t="s">
        <v>66</v>
      </c>
      <c r="D252" s="245">
        <v>0</v>
      </c>
      <c r="F252" s="245">
        <v>640</v>
      </c>
      <c r="H252" s="245">
        <v>640</v>
      </c>
      <c r="I252" s="245">
        <v>0.255</v>
      </c>
      <c r="J252" s="245">
        <v>0</v>
      </c>
      <c r="K252" s="245">
        <v>0</v>
      </c>
      <c r="L252" s="245">
        <v>163.19999999999999</v>
      </c>
      <c r="M252" s="245">
        <v>0</v>
      </c>
      <c r="N252" s="245">
        <v>163.19999999999999</v>
      </c>
      <c r="O252" s="245" t="s">
        <v>169</v>
      </c>
      <c r="P252" s="245" t="s">
        <v>331</v>
      </c>
      <c r="Q252" s="245" t="s">
        <v>347</v>
      </c>
      <c r="R252" s="246" t="s">
        <v>32</v>
      </c>
    </row>
    <row r="253" spans="1:18" hidden="1" x14ac:dyDescent="0.8">
      <c r="A253" s="247">
        <v>13222</v>
      </c>
      <c r="B253" s="248" t="s">
        <v>348</v>
      </c>
      <c r="C253" s="249" t="s">
        <v>38</v>
      </c>
      <c r="D253" s="245">
        <v>0</v>
      </c>
      <c r="E253" s="245">
        <v>60</v>
      </c>
      <c r="H253" s="245">
        <v>60</v>
      </c>
      <c r="I253" s="245">
        <v>0.3133333333333333</v>
      </c>
      <c r="J253" s="245">
        <v>0</v>
      </c>
      <c r="K253" s="245">
        <v>18.799999999999997</v>
      </c>
      <c r="L253" s="245">
        <v>0</v>
      </c>
      <c r="M253" s="245">
        <v>0</v>
      </c>
      <c r="N253" s="245">
        <v>18.799999999999997</v>
      </c>
      <c r="O253" s="245" t="s">
        <v>169</v>
      </c>
      <c r="P253" s="245" t="s">
        <v>331</v>
      </c>
      <c r="Q253" s="245" t="s">
        <v>347</v>
      </c>
      <c r="R253" s="246" t="s">
        <v>32</v>
      </c>
    </row>
    <row r="254" spans="1:18" ht="26" hidden="1" x14ac:dyDescent="0.8">
      <c r="A254" s="247">
        <v>13223</v>
      </c>
      <c r="B254" s="248" t="s">
        <v>349</v>
      </c>
      <c r="C254" s="249" t="s">
        <v>350</v>
      </c>
      <c r="D254" s="245">
        <v>0</v>
      </c>
      <c r="F254" s="245">
        <v>25000</v>
      </c>
      <c r="H254" s="245">
        <v>25000</v>
      </c>
      <c r="I254" s="245">
        <v>0.03</v>
      </c>
      <c r="J254" s="245">
        <v>0</v>
      </c>
      <c r="K254" s="245">
        <v>0</v>
      </c>
      <c r="L254" s="245">
        <v>750</v>
      </c>
      <c r="M254" s="245">
        <v>0</v>
      </c>
      <c r="N254" s="245">
        <v>750</v>
      </c>
      <c r="O254" s="245" t="s">
        <v>169</v>
      </c>
      <c r="P254" s="245" t="s">
        <v>331</v>
      </c>
      <c r="Q254" s="245" t="s">
        <v>331</v>
      </c>
      <c r="R254" s="246" t="s">
        <v>32</v>
      </c>
    </row>
    <row r="255" spans="1:18" hidden="1" x14ac:dyDescent="0.8">
      <c r="A255" s="247">
        <v>13224</v>
      </c>
      <c r="B255" s="248" t="s">
        <v>364</v>
      </c>
      <c r="C255" s="249" t="s">
        <v>52</v>
      </c>
      <c r="D255" s="245">
        <v>0</v>
      </c>
      <c r="E255" s="245">
        <v>46</v>
      </c>
      <c r="F255" s="245">
        <v>184</v>
      </c>
      <c r="H255" s="245">
        <v>230</v>
      </c>
      <c r="I255" s="245">
        <v>1.5</v>
      </c>
      <c r="J255" s="245">
        <v>0</v>
      </c>
      <c r="K255" s="245">
        <v>69</v>
      </c>
      <c r="L255" s="245">
        <v>276</v>
      </c>
      <c r="M255" s="245">
        <v>0</v>
      </c>
      <c r="N255" s="245">
        <v>345</v>
      </c>
      <c r="O255" s="245" t="s">
        <v>169</v>
      </c>
      <c r="P255" s="245" t="s">
        <v>331</v>
      </c>
      <c r="Q255" s="245" t="s">
        <v>331</v>
      </c>
      <c r="R255" s="246" t="s">
        <v>32</v>
      </c>
    </row>
    <row r="256" spans="1:18" x14ac:dyDescent="0.8">
      <c r="A256" s="247">
        <v>13224</v>
      </c>
      <c r="B256" s="248" t="s">
        <v>364</v>
      </c>
      <c r="C256" s="249" t="s">
        <v>52</v>
      </c>
      <c r="D256" s="245">
        <v>0</v>
      </c>
      <c r="E256" s="245">
        <v>46</v>
      </c>
      <c r="F256" s="245">
        <v>46</v>
      </c>
      <c r="H256" s="245">
        <v>92</v>
      </c>
      <c r="I256" s="245">
        <v>1.5</v>
      </c>
      <c r="J256" s="245">
        <v>0</v>
      </c>
      <c r="K256" s="245">
        <v>69</v>
      </c>
      <c r="L256" s="245">
        <v>69</v>
      </c>
      <c r="M256" s="245">
        <v>0</v>
      </c>
      <c r="N256" s="245">
        <v>138</v>
      </c>
      <c r="O256" s="245" t="s">
        <v>414</v>
      </c>
      <c r="P256" s="245" t="s">
        <v>331</v>
      </c>
      <c r="Q256" s="245" t="s">
        <v>331</v>
      </c>
      <c r="R256" s="246" t="s">
        <v>32</v>
      </c>
    </row>
    <row r="257" spans="1:18" hidden="1" x14ac:dyDescent="0.8">
      <c r="A257" s="247">
        <v>13225</v>
      </c>
      <c r="B257" s="248" t="s">
        <v>365</v>
      </c>
      <c r="C257" s="249" t="s">
        <v>55</v>
      </c>
      <c r="D257" s="245">
        <v>0</v>
      </c>
      <c r="E257" s="245">
        <v>1</v>
      </c>
      <c r="F257" s="245">
        <v>1</v>
      </c>
      <c r="G257" s="245">
        <v>1</v>
      </c>
      <c r="H257" s="245">
        <v>3</v>
      </c>
      <c r="I257" s="245">
        <v>0</v>
      </c>
      <c r="L257" s="245">
        <v>0</v>
      </c>
      <c r="O257" s="245" t="s">
        <v>169</v>
      </c>
      <c r="P257" s="245" t="s">
        <v>282</v>
      </c>
      <c r="Q257" s="245" t="s">
        <v>367</v>
      </c>
      <c r="R257" s="246" t="s">
        <v>32</v>
      </c>
    </row>
    <row r="258" spans="1:18" ht="26" hidden="1" x14ac:dyDescent="0.8">
      <c r="A258" s="247">
        <v>13226</v>
      </c>
      <c r="B258" s="248" t="s">
        <v>368</v>
      </c>
      <c r="C258" s="249" t="s">
        <v>55</v>
      </c>
      <c r="D258" s="245">
        <v>0</v>
      </c>
      <c r="H258" s="245">
        <v>0</v>
      </c>
      <c r="I258" s="245">
        <v>0</v>
      </c>
      <c r="L258" s="245">
        <v>0</v>
      </c>
      <c r="O258" s="245" t="s">
        <v>169</v>
      </c>
      <c r="P258" s="245" t="s">
        <v>331</v>
      </c>
      <c r="Q258" s="245" t="s">
        <v>331</v>
      </c>
      <c r="R258" s="246" t="s">
        <v>32</v>
      </c>
    </row>
    <row r="259" spans="1:18" hidden="1" x14ac:dyDescent="0.8">
      <c r="A259" s="247">
        <v>13227</v>
      </c>
      <c r="B259" s="248" t="s">
        <v>369</v>
      </c>
      <c r="C259" s="249" t="s">
        <v>52</v>
      </c>
      <c r="D259" s="245">
        <v>0</v>
      </c>
      <c r="F259" s="245">
        <v>1500</v>
      </c>
      <c r="G259" s="245">
        <v>800</v>
      </c>
      <c r="H259" s="245">
        <v>2300</v>
      </c>
      <c r="I259" s="245">
        <v>1.5</v>
      </c>
      <c r="J259" s="245">
        <v>0</v>
      </c>
      <c r="K259" s="245">
        <v>0</v>
      </c>
      <c r="L259" s="245">
        <v>2250</v>
      </c>
      <c r="M259" s="245">
        <v>1200</v>
      </c>
      <c r="N259" s="245">
        <v>3450</v>
      </c>
      <c r="O259" s="245" t="s">
        <v>169</v>
      </c>
      <c r="P259" s="245" t="s">
        <v>331</v>
      </c>
      <c r="Q259" s="245" t="s">
        <v>331</v>
      </c>
      <c r="R259" s="246" t="s">
        <v>32</v>
      </c>
    </row>
    <row r="260" spans="1:18" x14ac:dyDescent="0.8">
      <c r="A260" s="247">
        <v>13227</v>
      </c>
      <c r="B260" s="248" t="s">
        <v>369</v>
      </c>
      <c r="C260" s="249" t="s">
        <v>52</v>
      </c>
      <c r="D260" s="245">
        <v>0</v>
      </c>
      <c r="E260" s="245">
        <v>200</v>
      </c>
      <c r="G260" s="245">
        <v>200</v>
      </c>
      <c r="H260" s="245">
        <v>400</v>
      </c>
      <c r="I260" s="245">
        <v>1.5</v>
      </c>
      <c r="J260" s="245">
        <v>0</v>
      </c>
      <c r="K260" s="245">
        <v>300</v>
      </c>
      <c r="L260" s="245">
        <v>0</v>
      </c>
      <c r="M260" s="245">
        <v>300</v>
      </c>
      <c r="N260" s="245">
        <v>600</v>
      </c>
      <c r="O260" s="245" t="s">
        <v>414</v>
      </c>
      <c r="P260" s="245" t="s">
        <v>331</v>
      </c>
      <c r="Q260" s="245" t="s">
        <v>331</v>
      </c>
      <c r="R260" s="246" t="s">
        <v>32</v>
      </c>
    </row>
    <row r="261" spans="1:18" ht="26" x14ac:dyDescent="0.8">
      <c r="A261" s="247">
        <v>133</v>
      </c>
      <c r="B261" s="248" t="s">
        <v>370</v>
      </c>
      <c r="D261" s="245">
        <v>0</v>
      </c>
      <c r="R261" s="246" t="s">
        <v>32</v>
      </c>
    </row>
    <row r="262" spans="1:18" ht="26" x14ac:dyDescent="0.8">
      <c r="A262" s="247">
        <v>1331</v>
      </c>
      <c r="B262" s="248" t="s">
        <v>371</v>
      </c>
      <c r="D262" s="245">
        <v>0</v>
      </c>
      <c r="R262" s="246" t="s">
        <v>32</v>
      </c>
    </row>
    <row r="263" spans="1:18" ht="39" hidden="1" x14ac:dyDescent="0.8">
      <c r="A263" s="247">
        <v>13311</v>
      </c>
      <c r="B263" s="248" t="s">
        <v>372</v>
      </c>
      <c r="C263" s="249" t="s">
        <v>55</v>
      </c>
      <c r="D263" s="245">
        <v>0</v>
      </c>
      <c r="I263" s="245">
        <v>0</v>
      </c>
      <c r="L263" s="245">
        <v>0</v>
      </c>
      <c r="O263" s="245" t="s">
        <v>169</v>
      </c>
      <c r="P263" s="245" t="s">
        <v>331</v>
      </c>
      <c r="Q263" s="245" t="s">
        <v>96</v>
      </c>
      <c r="R263" s="246" t="s">
        <v>32</v>
      </c>
    </row>
    <row r="264" spans="1:18" hidden="1" x14ac:dyDescent="0.8">
      <c r="A264" s="247">
        <v>13312</v>
      </c>
      <c r="B264" s="248" t="s">
        <v>373</v>
      </c>
      <c r="C264" s="249" t="s">
        <v>375</v>
      </c>
      <c r="D264" s="245">
        <v>0</v>
      </c>
      <c r="E264" s="245">
        <v>4.0005000000000006</v>
      </c>
      <c r="F264" s="245">
        <v>4</v>
      </c>
      <c r="G264" s="245">
        <v>4.8006000000000002</v>
      </c>
      <c r="H264" s="245">
        <v>12.801100000000002</v>
      </c>
      <c r="I264" s="245">
        <v>48</v>
      </c>
      <c r="J264" s="245">
        <v>0</v>
      </c>
      <c r="K264" s="245">
        <v>192.02400000000003</v>
      </c>
      <c r="L264" s="245">
        <v>192</v>
      </c>
      <c r="M264" s="245">
        <v>230.42880000000002</v>
      </c>
      <c r="N264" s="245">
        <v>614.45280000000002</v>
      </c>
      <c r="O264" s="245" t="s">
        <v>169</v>
      </c>
      <c r="P264" s="245" t="s">
        <v>98</v>
      </c>
      <c r="Q264" s="245" t="s">
        <v>98</v>
      </c>
      <c r="R264" s="246" t="s">
        <v>32</v>
      </c>
    </row>
    <row r="265" spans="1:18" x14ac:dyDescent="0.8">
      <c r="A265" s="247">
        <v>13312</v>
      </c>
      <c r="B265" s="248" t="s">
        <v>373</v>
      </c>
      <c r="C265" s="249" t="s">
        <v>375</v>
      </c>
      <c r="D265" s="245">
        <v>0</v>
      </c>
      <c r="E265" s="245">
        <v>0.99949999999999994</v>
      </c>
      <c r="F265" s="245">
        <v>0.99949999999999994</v>
      </c>
      <c r="G265" s="245">
        <v>1.1994</v>
      </c>
      <c r="H265" s="245">
        <v>3.1983999999999999</v>
      </c>
      <c r="I265" s="245">
        <v>48</v>
      </c>
      <c r="J265" s="245">
        <v>0</v>
      </c>
      <c r="K265" s="245">
        <v>47.975999999999999</v>
      </c>
      <c r="L265" s="245">
        <v>47.975999999999999</v>
      </c>
      <c r="M265" s="245">
        <v>57.571200000000005</v>
      </c>
      <c r="N265" s="245">
        <v>153.5232</v>
      </c>
      <c r="O265" s="245" t="s">
        <v>414</v>
      </c>
      <c r="P265" s="245" t="s">
        <v>98</v>
      </c>
      <c r="Q265" s="245" t="s">
        <v>98</v>
      </c>
      <c r="R265" s="246" t="s">
        <v>32</v>
      </c>
    </row>
    <row r="266" spans="1:18" hidden="1" x14ac:dyDescent="0.8">
      <c r="A266" s="247">
        <v>13313</v>
      </c>
      <c r="B266" s="248" t="s">
        <v>376</v>
      </c>
      <c r="C266" s="249" t="s">
        <v>377</v>
      </c>
      <c r="D266" s="245">
        <v>0</v>
      </c>
      <c r="F266" s="245">
        <v>8</v>
      </c>
      <c r="G266" s="245">
        <v>8.8000000000000007</v>
      </c>
      <c r="H266" s="245">
        <v>16.8</v>
      </c>
      <c r="I266" s="245">
        <v>320</v>
      </c>
      <c r="J266" s="245">
        <v>0</v>
      </c>
      <c r="K266" s="245">
        <v>0</v>
      </c>
      <c r="L266" s="245">
        <v>2560</v>
      </c>
      <c r="M266" s="245">
        <v>2816</v>
      </c>
      <c r="N266" s="245">
        <v>5376</v>
      </c>
      <c r="O266" s="245" t="s">
        <v>169</v>
      </c>
      <c r="P266" s="245" t="s">
        <v>98</v>
      </c>
      <c r="Q266" s="245" t="s">
        <v>98</v>
      </c>
      <c r="R266" s="246" t="s">
        <v>32</v>
      </c>
    </row>
    <row r="267" spans="1:18" x14ac:dyDescent="0.8">
      <c r="A267" s="247">
        <v>13313</v>
      </c>
      <c r="B267" s="248" t="s">
        <v>376</v>
      </c>
      <c r="C267" s="249" t="s">
        <v>377</v>
      </c>
      <c r="D267" s="245">
        <v>0</v>
      </c>
      <c r="F267" s="245">
        <v>2</v>
      </c>
      <c r="G267" s="245">
        <v>2.2000000000000002</v>
      </c>
      <c r="H267" s="245">
        <v>4.2</v>
      </c>
      <c r="I267" s="245">
        <v>320</v>
      </c>
      <c r="J267" s="245">
        <v>0</v>
      </c>
      <c r="K267" s="245">
        <v>0</v>
      </c>
      <c r="L267" s="245">
        <v>640</v>
      </c>
      <c r="M267" s="245">
        <v>704</v>
      </c>
      <c r="N267" s="245">
        <v>1344</v>
      </c>
      <c r="O267" s="245" t="s">
        <v>414</v>
      </c>
      <c r="P267" s="245" t="s">
        <v>98</v>
      </c>
      <c r="Q267" s="245" t="s">
        <v>98</v>
      </c>
      <c r="R267" s="246" t="s">
        <v>32</v>
      </c>
    </row>
    <row r="268" spans="1:18" ht="26" hidden="1" x14ac:dyDescent="0.8">
      <c r="A268" s="247">
        <v>13314</v>
      </c>
      <c r="B268" s="248" t="s">
        <v>378</v>
      </c>
      <c r="C268" s="249" t="s">
        <v>110</v>
      </c>
      <c r="D268" s="245">
        <v>0</v>
      </c>
      <c r="E268" s="245">
        <v>0</v>
      </c>
      <c r="F268" s="245">
        <v>2.9994999999999998</v>
      </c>
      <c r="G268" s="245">
        <v>3.3994</v>
      </c>
      <c r="H268" s="245">
        <v>6.3988999999999994</v>
      </c>
      <c r="I268" s="245">
        <v>7.1760000000000002</v>
      </c>
      <c r="J268" s="245">
        <v>0</v>
      </c>
      <c r="K268" s="245">
        <v>0</v>
      </c>
      <c r="L268" s="245">
        <v>21.524411999999998</v>
      </c>
      <c r="M268" s="245">
        <v>24.3940944</v>
      </c>
      <c r="N268" s="245">
        <v>45.918506399999998</v>
      </c>
      <c r="O268" s="245" t="s">
        <v>169</v>
      </c>
      <c r="P268" s="245" t="s">
        <v>98</v>
      </c>
      <c r="Q268" s="245" t="s">
        <v>179</v>
      </c>
      <c r="R268" s="246" t="s">
        <v>32</v>
      </c>
    </row>
    <row r="269" spans="1:18" ht="26" x14ac:dyDescent="0.8">
      <c r="A269" s="247">
        <v>1332</v>
      </c>
      <c r="B269" s="248" t="s">
        <v>379</v>
      </c>
      <c r="D269" s="245">
        <v>0</v>
      </c>
      <c r="R269" s="246" t="s">
        <v>32</v>
      </c>
    </row>
    <row r="270" spans="1:18" ht="26" hidden="1" x14ac:dyDescent="0.8">
      <c r="A270" s="247">
        <v>13321</v>
      </c>
      <c r="B270" s="248" t="s">
        <v>380</v>
      </c>
      <c r="C270" s="249" t="s">
        <v>55</v>
      </c>
      <c r="D270" s="245">
        <v>0</v>
      </c>
      <c r="E270" s="245">
        <v>1</v>
      </c>
      <c r="H270" s="245">
        <v>1</v>
      </c>
      <c r="I270" s="245">
        <v>0</v>
      </c>
      <c r="L270" s="245">
        <v>0</v>
      </c>
      <c r="O270" s="245" t="s">
        <v>169</v>
      </c>
      <c r="P270" s="245" t="s">
        <v>331</v>
      </c>
      <c r="Q270" s="245" t="s">
        <v>96</v>
      </c>
      <c r="R270" s="246" t="s">
        <v>32</v>
      </c>
    </row>
    <row r="271" spans="1:18" ht="26" hidden="1" x14ac:dyDescent="0.8">
      <c r="A271" s="247">
        <v>13322</v>
      </c>
      <c r="B271" s="248" t="s">
        <v>381</v>
      </c>
      <c r="C271" s="249" t="s">
        <v>383</v>
      </c>
      <c r="D271" s="245">
        <v>0</v>
      </c>
      <c r="F271" s="245">
        <v>2</v>
      </c>
      <c r="G271" s="245">
        <v>2.2000000000000002</v>
      </c>
      <c r="H271" s="245">
        <v>4.2</v>
      </c>
      <c r="I271" s="245">
        <v>10.012499999999999</v>
      </c>
      <c r="J271" s="245">
        <v>0</v>
      </c>
      <c r="K271" s="245">
        <v>0</v>
      </c>
      <c r="L271" s="245">
        <v>20.024999999999999</v>
      </c>
      <c r="M271" s="245">
        <v>22.0275</v>
      </c>
      <c r="N271" s="245">
        <v>42.052499999999995</v>
      </c>
      <c r="O271" s="245" t="s">
        <v>169</v>
      </c>
      <c r="P271" s="245" t="s">
        <v>98</v>
      </c>
      <c r="Q271" s="245" t="s">
        <v>98</v>
      </c>
      <c r="R271" s="246" t="s">
        <v>32</v>
      </c>
    </row>
    <row r="272" spans="1:18" ht="26" hidden="1" x14ac:dyDescent="0.8">
      <c r="A272" s="247">
        <v>13323</v>
      </c>
      <c r="B272" s="248" t="s">
        <v>384</v>
      </c>
      <c r="C272" s="249" t="s">
        <v>386</v>
      </c>
      <c r="D272" s="245">
        <v>0</v>
      </c>
      <c r="E272" s="245">
        <v>0.79929990000000017</v>
      </c>
      <c r="F272" s="245">
        <v>2.3976000000000002</v>
      </c>
      <c r="G272" s="245">
        <v>2.7173998799999999</v>
      </c>
      <c r="H272" s="245">
        <v>5.9142997800000003</v>
      </c>
      <c r="I272" s="245">
        <v>8.3363318181818169</v>
      </c>
      <c r="J272" s="245">
        <v>0</v>
      </c>
      <c r="K272" s="245">
        <v>6.6632291886395461</v>
      </c>
      <c r="L272" s="245">
        <v>19.987189167272724</v>
      </c>
      <c r="M272" s="245">
        <v>22.65314708236745</v>
      </c>
      <c r="N272" s="245">
        <v>49.303565438279719</v>
      </c>
      <c r="O272" s="245" t="s">
        <v>169</v>
      </c>
      <c r="P272" s="245" t="s">
        <v>331</v>
      </c>
      <c r="Q272" s="245" t="s">
        <v>331</v>
      </c>
      <c r="R272" s="246" t="s">
        <v>32</v>
      </c>
    </row>
    <row r="273" spans="1:18" ht="26" x14ac:dyDescent="0.8">
      <c r="A273" s="247">
        <v>13323</v>
      </c>
      <c r="B273" s="248" t="s">
        <v>384</v>
      </c>
      <c r="C273" s="249" t="s">
        <v>386</v>
      </c>
      <c r="D273" s="245">
        <v>0</v>
      </c>
      <c r="E273" s="245">
        <v>3.2012001000000003</v>
      </c>
      <c r="F273" s="245">
        <v>9.6023999999999994</v>
      </c>
      <c r="G273" s="245">
        <v>10.88320012</v>
      </c>
      <c r="H273" s="245">
        <v>23.686800220000002</v>
      </c>
      <c r="I273" s="245">
        <v>8.3363318181818169</v>
      </c>
      <c r="J273" s="245">
        <v>0</v>
      </c>
      <c r="K273" s="245">
        <v>26.686266249996816</v>
      </c>
      <c r="L273" s="245">
        <v>80.048792650909078</v>
      </c>
      <c r="M273" s="245">
        <v>90.725967443996169</v>
      </c>
      <c r="N273" s="245">
        <v>197.46102634490205</v>
      </c>
      <c r="O273" s="245" t="s">
        <v>414</v>
      </c>
      <c r="P273" s="245" t="s">
        <v>331</v>
      </c>
      <c r="Q273" s="245" t="s">
        <v>331</v>
      </c>
      <c r="R273" s="246" t="s">
        <v>32</v>
      </c>
    </row>
    <row r="274" spans="1:18" ht="26" hidden="1" x14ac:dyDescent="0.8">
      <c r="A274" s="247">
        <v>13324</v>
      </c>
      <c r="B274" s="248" t="s">
        <v>387</v>
      </c>
      <c r="C274" s="249" t="s">
        <v>55</v>
      </c>
      <c r="D274" s="245">
        <v>0</v>
      </c>
      <c r="E274" s="245">
        <v>1</v>
      </c>
      <c r="F274" s="245">
        <v>1</v>
      </c>
      <c r="G274" s="245">
        <v>1</v>
      </c>
      <c r="H274" s="245">
        <v>3</v>
      </c>
      <c r="I274" s="245">
        <v>0</v>
      </c>
      <c r="L274" s="245">
        <v>0</v>
      </c>
      <c r="O274" s="245" t="s">
        <v>169</v>
      </c>
      <c r="P274" s="245" t="s">
        <v>331</v>
      </c>
      <c r="Q274" s="245" t="s">
        <v>179</v>
      </c>
      <c r="R274" s="246" t="s">
        <v>32</v>
      </c>
    </row>
    <row r="275" spans="1:18" x14ac:dyDescent="0.8">
      <c r="A275" s="247">
        <v>1333</v>
      </c>
      <c r="B275" s="248" t="s">
        <v>388</v>
      </c>
      <c r="D275" s="245">
        <v>0</v>
      </c>
      <c r="R275" s="246" t="s">
        <v>32</v>
      </c>
    </row>
    <row r="276" spans="1:18" x14ac:dyDescent="0.8">
      <c r="A276" s="247">
        <v>13331</v>
      </c>
      <c r="B276" s="248" t="s">
        <v>389</v>
      </c>
      <c r="C276" s="249" t="s">
        <v>391</v>
      </c>
      <c r="D276" s="245">
        <v>0</v>
      </c>
      <c r="H276" s="245">
        <v>0</v>
      </c>
      <c r="I276" s="245">
        <v>5.75</v>
      </c>
      <c r="J276" s="245">
        <v>0</v>
      </c>
      <c r="K276" s="245">
        <v>0</v>
      </c>
      <c r="L276" s="245">
        <v>0</v>
      </c>
      <c r="M276" s="245">
        <v>0</v>
      </c>
      <c r="N276" s="245">
        <v>0</v>
      </c>
      <c r="O276" s="245" t="s">
        <v>178</v>
      </c>
      <c r="P276" s="245" t="s">
        <v>331</v>
      </c>
      <c r="Q276" s="245" t="s">
        <v>282</v>
      </c>
      <c r="R276" s="246" t="s">
        <v>32</v>
      </c>
    </row>
    <row r="277" spans="1:18" hidden="1" x14ac:dyDescent="0.8">
      <c r="A277" s="247">
        <v>13331</v>
      </c>
      <c r="B277" s="248" t="s">
        <v>389</v>
      </c>
      <c r="C277" s="249" t="s">
        <v>391</v>
      </c>
      <c r="D277" s="245">
        <v>0</v>
      </c>
      <c r="E277" s="245">
        <v>112</v>
      </c>
      <c r="F277" s="245">
        <v>230.40240019999999</v>
      </c>
      <c r="G277" s="245">
        <v>240.00480019999998</v>
      </c>
      <c r="H277" s="245">
        <v>582.40720039999997</v>
      </c>
      <c r="I277" s="245">
        <v>5.75</v>
      </c>
      <c r="J277" s="245">
        <v>0</v>
      </c>
      <c r="K277" s="245">
        <v>644</v>
      </c>
      <c r="L277" s="245">
        <v>1324.81380115</v>
      </c>
      <c r="M277" s="245">
        <v>1380.0276011499998</v>
      </c>
      <c r="N277" s="245">
        <v>3348.8414022999996</v>
      </c>
      <c r="O277" s="245" t="s">
        <v>169</v>
      </c>
      <c r="P277" s="245" t="s">
        <v>331</v>
      </c>
      <c r="Q277" s="245" t="s">
        <v>282</v>
      </c>
      <c r="R277" s="246" t="s">
        <v>32</v>
      </c>
    </row>
    <row r="278" spans="1:18" ht="26" hidden="1" x14ac:dyDescent="0.8">
      <c r="A278" s="247">
        <v>13332</v>
      </c>
      <c r="B278" s="248" t="s">
        <v>392</v>
      </c>
      <c r="C278" s="249" t="s">
        <v>59</v>
      </c>
      <c r="D278" s="245">
        <v>0</v>
      </c>
      <c r="E278" s="245">
        <v>112</v>
      </c>
      <c r="F278" s="245">
        <v>112</v>
      </c>
      <c r="G278" s="245">
        <v>112</v>
      </c>
      <c r="H278" s="245">
        <v>336</v>
      </c>
      <c r="I278" s="245">
        <v>0.8177777777777776</v>
      </c>
      <c r="J278" s="245">
        <v>0</v>
      </c>
      <c r="K278" s="245">
        <v>91.59111111111109</v>
      </c>
      <c r="L278" s="245">
        <v>91.59111111111109</v>
      </c>
      <c r="M278" s="245">
        <v>91.59111111111109</v>
      </c>
      <c r="N278" s="245">
        <v>274.77333333333326</v>
      </c>
      <c r="O278" s="245" t="s">
        <v>169</v>
      </c>
      <c r="P278" s="245" t="s">
        <v>331</v>
      </c>
      <c r="Q278" s="245" t="s">
        <v>331</v>
      </c>
      <c r="R278" s="246" t="s">
        <v>32</v>
      </c>
    </row>
    <row r="279" spans="1:18" x14ac:dyDescent="0.8">
      <c r="A279" s="247">
        <v>14</v>
      </c>
      <c r="B279" s="248" t="s">
        <v>393</v>
      </c>
      <c r="D279" s="245">
        <v>0</v>
      </c>
      <c r="R279" s="246" t="s">
        <v>32</v>
      </c>
    </row>
    <row r="280" spans="1:18" ht="39" x14ac:dyDescent="0.8">
      <c r="A280" s="247">
        <v>141</v>
      </c>
      <c r="B280" s="248" t="s">
        <v>394</v>
      </c>
      <c r="D280" s="245">
        <v>0</v>
      </c>
      <c r="R280" s="246" t="s">
        <v>32</v>
      </c>
    </row>
    <row r="281" spans="1:18" ht="26" x14ac:dyDescent="0.8">
      <c r="A281" s="247">
        <v>1411</v>
      </c>
      <c r="B281" s="248" t="s">
        <v>395</v>
      </c>
      <c r="D281" s="245">
        <v>0</v>
      </c>
      <c r="R281" s="246" t="s">
        <v>32</v>
      </c>
    </row>
    <row r="282" spans="1:18" ht="26" hidden="1" x14ac:dyDescent="0.8">
      <c r="A282" s="247">
        <v>14111</v>
      </c>
      <c r="B282" s="248" t="s">
        <v>396</v>
      </c>
      <c r="C282" s="249" t="s">
        <v>55</v>
      </c>
      <c r="D282" s="245">
        <v>0</v>
      </c>
      <c r="E282" s="245">
        <v>1</v>
      </c>
      <c r="H282" s="245">
        <v>1</v>
      </c>
      <c r="I282" s="245">
        <v>0</v>
      </c>
      <c r="O282" s="245" t="s">
        <v>56</v>
      </c>
      <c r="P282" s="245" t="s">
        <v>398</v>
      </c>
      <c r="Q282" s="245" t="s">
        <v>398</v>
      </c>
      <c r="R282" s="246" t="s">
        <v>32</v>
      </c>
    </row>
    <row r="283" spans="1:18" hidden="1" x14ac:dyDescent="0.8">
      <c r="A283" s="247">
        <v>14112</v>
      </c>
      <c r="B283" s="248" t="s">
        <v>399</v>
      </c>
      <c r="C283" s="249" t="s">
        <v>38</v>
      </c>
      <c r="D283" s="245">
        <v>0</v>
      </c>
      <c r="E283" s="245">
        <v>432</v>
      </c>
      <c r="H283" s="245">
        <v>432</v>
      </c>
      <c r="I283" s="245">
        <v>0.3133333333333333</v>
      </c>
      <c r="J283" s="245">
        <v>0</v>
      </c>
      <c r="K283" s="245">
        <v>135.35999999999999</v>
      </c>
      <c r="L283" s="245">
        <v>0</v>
      </c>
      <c r="M283" s="245">
        <v>0</v>
      </c>
      <c r="N283" s="245">
        <v>135.35999999999999</v>
      </c>
      <c r="O283" s="245" t="s">
        <v>169</v>
      </c>
      <c r="P283" s="245" t="s">
        <v>398</v>
      </c>
      <c r="Q283" s="245" t="s">
        <v>398</v>
      </c>
      <c r="R283" s="246" t="s">
        <v>32</v>
      </c>
    </row>
    <row r="284" spans="1:18" hidden="1" x14ac:dyDescent="0.8">
      <c r="A284" s="247">
        <v>14113</v>
      </c>
      <c r="B284" s="248" t="s">
        <v>400</v>
      </c>
      <c r="C284" s="249" t="s">
        <v>55</v>
      </c>
      <c r="D284" s="245">
        <v>0</v>
      </c>
      <c r="I284" s="245">
        <v>0</v>
      </c>
      <c r="O284" s="245" t="s">
        <v>56</v>
      </c>
      <c r="P284" s="245" t="s">
        <v>398</v>
      </c>
      <c r="Q284" s="245" t="s">
        <v>347</v>
      </c>
      <c r="R284" s="246" t="s">
        <v>32</v>
      </c>
    </row>
    <row r="285" spans="1:18" ht="26" hidden="1" x14ac:dyDescent="0.8">
      <c r="A285" s="247">
        <v>14114</v>
      </c>
      <c r="B285" s="248" t="s">
        <v>401</v>
      </c>
      <c r="C285" s="249" t="s">
        <v>55</v>
      </c>
      <c r="D285" s="245">
        <v>0</v>
      </c>
      <c r="F285" s="245">
        <v>1</v>
      </c>
      <c r="H285" s="245">
        <v>1</v>
      </c>
      <c r="I285" s="245">
        <v>0</v>
      </c>
      <c r="O285" s="245" t="s">
        <v>56</v>
      </c>
      <c r="P285" s="245" t="s">
        <v>398</v>
      </c>
      <c r="Q285" s="245" t="s">
        <v>398</v>
      </c>
      <c r="R285" s="246" t="s">
        <v>32</v>
      </c>
    </row>
    <row r="286" spans="1:18" ht="39" hidden="1" x14ac:dyDescent="0.8">
      <c r="A286" s="247">
        <v>14115</v>
      </c>
      <c r="B286" s="248" t="s">
        <v>402</v>
      </c>
      <c r="C286" s="249" t="s">
        <v>55</v>
      </c>
      <c r="D286" s="245">
        <v>0</v>
      </c>
      <c r="I286" s="245">
        <v>0</v>
      </c>
      <c r="O286" s="245" t="s">
        <v>56</v>
      </c>
      <c r="P286" s="245" t="s">
        <v>398</v>
      </c>
      <c r="Q286" s="245" t="s">
        <v>273</v>
      </c>
      <c r="R286" s="246" t="s">
        <v>32</v>
      </c>
    </row>
    <row r="287" spans="1:18" ht="26" x14ac:dyDescent="0.8">
      <c r="A287" s="247">
        <v>1412</v>
      </c>
      <c r="B287" s="248" t="s">
        <v>403</v>
      </c>
      <c r="D287" s="245">
        <v>0</v>
      </c>
      <c r="R287" s="246" t="s">
        <v>32</v>
      </c>
    </row>
    <row r="288" spans="1:18" ht="26" hidden="1" x14ac:dyDescent="0.8">
      <c r="A288" s="247">
        <v>14121</v>
      </c>
      <c r="B288" s="248" t="s">
        <v>404</v>
      </c>
      <c r="C288" s="249" t="s">
        <v>55</v>
      </c>
      <c r="D288" s="245">
        <v>0</v>
      </c>
      <c r="F288" s="245">
        <v>1</v>
      </c>
      <c r="H288" s="245">
        <v>1</v>
      </c>
      <c r="I288" s="245">
        <v>0</v>
      </c>
      <c r="O288" s="245" t="s">
        <v>56</v>
      </c>
      <c r="P288" s="245" t="s">
        <v>398</v>
      </c>
      <c r="Q288" s="245" t="s">
        <v>398</v>
      </c>
      <c r="R288" s="246" t="s">
        <v>32</v>
      </c>
    </row>
    <row r="289" spans="1:18" ht="39" hidden="1" x14ac:dyDescent="0.8">
      <c r="A289" s="247">
        <v>14122</v>
      </c>
      <c r="B289" s="248" t="s">
        <v>405</v>
      </c>
      <c r="C289" s="249" t="s">
        <v>55</v>
      </c>
      <c r="D289" s="245">
        <v>0</v>
      </c>
      <c r="G289" s="245">
        <v>1</v>
      </c>
      <c r="H289" s="245">
        <v>1</v>
      </c>
      <c r="I289" s="245">
        <v>0</v>
      </c>
      <c r="O289" s="245" t="s">
        <v>56</v>
      </c>
      <c r="P289" s="245" t="s">
        <v>398</v>
      </c>
      <c r="Q289" s="245" t="s">
        <v>273</v>
      </c>
      <c r="R289" s="246" t="s">
        <v>32</v>
      </c>
    </row>
    <row r="290" spans="1:18" ht="52" x14ac:dyDescent="0.8">
      <c r="A290" s="247">
        <v>1413</v>
      </c>
      <c r="B290" s="248" t="s">
        <v>406</v>
      </c>
      <c r="D290" s="245">
        <v>0</v>
      </c>
      <c r="R290" s="246" t="s">
        <v>32</v>
      </c>
    </row>
    <row r="291" spans="1:18" ht="52" hidden="1" x14ac:dyDescent="0.8">
      <c r="A291" s="247">
        <v>14131</v>
      </c>
      <c r="B291" s="248" t="s">
        <v>407</v>
      </c>
      <c r="C291" s="249" t="s">
        <v>55</v>
      </c>
      <c r="D291" s="245">
        <v>0</v>
      </c>
      <c r="E291" s="245">
        <v>1</v>
      </c>
      <c r="F291" s="245">
        <v>1</v>
      </c>
      <c r="G291" s="245">
        <v>1</v>
      </c>
      <c r="H291" s="245">
        <v>3</v>
      </c>
      <c r="I291" s="245">
        <v>0</v>
      </c>
      <c r="O291" s="245" t="s">
        <v>56</v>
      </c>
      <c r="P291" s="245" t="s">
        <v>96</v>
      </c>
      <c r="Q291" s="245" t="s">
        <v>282</v>
      </c>
      <c r="R291" s="246" t="s">
        <v>32</v>
      </c>
    </row>
    <row r="292" spans="1:18" ht="26" hidden="1" x14ac:dyDescent="0.8">
      <c r="A292" s="247">
        <v>14132</v>
      </c>
      <c r="B292" s="248" t="s">
        <v>216</v>
      </c>
      <c r="C292" s="249" t="s">
        <v>59</v>
      </c>
      <c r="D292" s="245">
        <v>0</v>
      </c>
      <c r="E292" s="245">
        <v>140</v>
      </c>
      <c r="F292" s="245">
        <v>96</v>
      </c>
      <c r="G292" s="245">
        <v>112</v>
      </c>
      <c r="H292" s="245">
        <v>348</v>
      </c>
      <c r="I292" s="245">
        <v>0.8177777777777776</v>
      </c>
      <c r="J292" s="245">
        <v>0</v>
      </c>
      <c r="K292" s="245">
        <v>114.48888888888887</v>
      </c>
      <c r="L292" s="245">
        <v>78.506666666666646</v>
      </c>
      <c r="M292" s="245">
        <v>91.59111111111109</v>
      </c>
      <c r="N292" s="245">
        <v>284.58666666666659</v>
      </c>
      <c r="O292" s="245" t="s">
        <v>169</v>
      </c>
      <c r="P292" s="245" t="s">
        <v>96</v>
      </c>
      <c r="Q292" s="245" t="s">
        <v>98</v>
      </c>
      <c r="R292" s="246" t="s">
        <v>32</v>
      </c>
    </row>
    <row r="293" spans="1:18" ht="26" hidden="1" x14ac:dyDescent="0.8">
      <c r="A293" s="247">
        <v>14133</v>
      </c>
      <c r="B293" s="248" t="s">
        <v>408</v>
      </c>
      <c r="C293" s="249" t="s">
        <v>409</v>
      </c>
      <c r="D293" s="245">
        <v>0</v>
      </c>
      <c r="E293" s="245">
        <v>21.6</v>
      </c>
      <c r="F293" s="245">
        <v>54</v>
      </c>
      <c r="G293" s="245">
        <v>32.4</v>
      </c>
      <c r="H293" s="245">
        <v>108</v>
      </c>
      <c r="I293" s="245">
        <v>33.75</v>
      </c>
      <c r="J293" s="245">
        <v>0</v>
      </c>
      <c r="K293" s="245">
        <v>729</v>
      </c>
      <c r="L293" s="245">
        <v>1822.5</v>
      </c>
      <c r="M293" s="245">
        <v>1093.5</v>
      </c>
      <c r="N293" s="245">
        <v>3645</v>
      </c>
      <c r="O293" s="245" t="s">
        <v>56</v>
      </c>
      <c r="P293" s="245" t="s">
        <v>98</v>
      </c>
      <c r="Q293" s="245" t="s">
        <v>98</v>
      </c>
      <c r="R293" s="246" t="s">
        <v>32</v>
      </c>
    </row>
    <row r="294" spans="1:18" ht="26" x14ac:dyDescent="0.8">
      <c r="A294" s="247">
        <v>14134</v>
      </c>
      <c r="B294" s="248" t="s">
        <v>410</v>
      </c>
      <c r="C294" s="249" t="s">
        <v>411</v>
      </c>
      <c r="D294" s="245">
        <v>0</v>
      </c>
      <c r="H294" s="245">
        <v>0</v>
      </c>
      <c r="I294" s="245">
        <v>187.5</v>
      </c>
      <c r="J294" s="245">
        <v>0</v>
      </c>
      <c r="K294" s="245">
        <v>0</v>
      </c>
      <c r="L294" s="245">
        <v>0</v>
      </c>
      <c r="M294" s="245">
        <v>0</v>
      </c>
      <c r="N294" s="245">
        <v>0</v>
      </c>
      <c r="O294" s="245" t="s">
        <v>178</v>
      </c>
      <c r="P294" s="245" t="s">
        <v>98</v>
      </c>
      <c r="Q294" s="245" t="s">
        <v>98</v>
      </c>
      <c r="R294" s="246" t="s">
        <v>32</v>
      </c>
    </row>
    <row r="295" spans="1:18" ht="26" hidden="1" x14ac:dyDescent="0.8">
      <c r="A295" s="247">
        <v>14134</v>
      </c>
      <c r="B295" s="248" t="s">
        <v>410</v>
      </c>
      <c r="C295" s="249" t="s">
        <v>411</v>
      </c>
      <c r="D295" s="245">
        <v>0</v>
      </c>
      <c r="E295" s="245">
        <v>376.20000000000005</v>
      </c>
      <c r="F295" s="245">
        <v>840.5</v>
      </c>
      <c r="G295" s="245">
        <v>464.29999999999995</v>
      </c>
      <c r="H295" s="245">
        <v>1681</v>
      </c>
      <c r="I295" s="245">
        <v>187.5</v>
      </c>
      <c r="J295" s="245">
        <v>0</v>
      </c>
      <c r="K295" s="245">
        <v>70537.500000000015</v>
      </c>
      <c r="L295" s="245">
        <v>157593.75</v>
      </c>
      <c r="M295" s="245">
        <v>87056.249999999985</v>
      </c>
      <c r="N295" s="245">
        <v>315187.5</v>
      </c>
      <c r="O295" s="245" t="s">
        <v>56</v>
      </c>
      <c r="P295" s="245" t="s">
        <v>98</v>
      </c>
      <c r="Q295" s="245" t="s">
        <v>98</v>
      </c>
      <c r="R295" s="246" t="s">
        <v>32</v>
      </c>
    </row>
    <row r="296" spans="1:18" ht="26" hidden="1" x14ac:dyDescent="0.8">
      <c r="A296" s="247">
        <v>14134</v>
      </c>
      <c r="B296" s="248" t="s">
        <v>410</v>
      </c>
      <c r="C296" s="249" t="s">
        <v>411</v>
      </c>
      <c r="D296" s="245">
        <v>0</v>
      </c>
      <c r="E296" s="245">
        <v>0</v>
      </c>
      <c r="F296" s="245">
        <v>100</v>
      </c>
      <c r="G296" s="245">
        <v>100</v>
      </c>
      <c r="H296" s="245">
        <v>200</v>
      </c>
      <c r="I296" s="245">
        <v>187.5</v>
      </c>
      <c r="J296" s="245">
        <v>0</v>
      </c>
      <c r="K296" s="245">
        <v>0</v>
      </c>
      <c r="L296" s="245">
        <v>18750</v>
      </c>
      <c r="M296" s="245">
        <v>18750</v>
      </c>
      <c r="N296" s="245">
        <v>37500</v>
      </c>
      <c r="O296" s="245" t="s">
        <v>169</v>
      </c>
      <c r="P296" s="245" t="s">
        <v>98</v>
      </c>
      <c r="Q296" s="245" t="s">
        <v>98</v>
      </c>
      <c r="R296" s="246" t="s">
        <v>32</v>
      </c>
    </row>
    <row r="297" spans="1:18" ht="26" x14ac:dyDescent="0.8">
      <c r="A297" s="247">
        <v>14135</v>
      </c>
      <c r="B297" s="248" t="s">
        <v>412</v>
      </c>
      <c r="C297" s="249" t="s">
        <v>413</v>
      </c>
      <c r="D297" s="245">
        <v>0</v>
      </c>
      <c r="H297" s="245">
        <v>0</v>
      </c>
      <c r="I297" s="245">
        <v>619.27313664596227</v>
      </c>
      <c r="J297" s="245">
        <v>0</v>
      </c>
      <c r="K297" s="245">
        <v>0</v>
      </c>
      <c r="L297" s="245">
        <v>0</v>
      </c>
      <c r="M297" s="245">
        <v>0</v>
      </c>
      <c r="N297" s="245">
        <v>0</v>
      </c>
      <c r="O297" s="245" t="s">
        <v>414</v>
      </c>
      <c r="P297" s="245" t="s">
        <v>98</v>
      </c>
      <c r="Q297" s="245" t="s">
        <v>98</v>
      </c>
      <c r="R297" s="246" t="s">
        <v>32</v>
      </c>
    </row>
    <row r="298" spans="1:18" ht="26" x14ac:dyDescent="0.8">
      <c r="A298" s="247">
        <v>14136</v>
      </c>
      <c r="B298" s="248" t="s">
        <v>415</v>
      </c>
      <c r="C298" s="249" t="s">
        <v>417</v>
      </c>
      <c r="D298" s="245">
        <v>0</v>
      </c>
      <c r="H298" s="245">
        <v>0</v>
      </c>
      <c r="I298" s="245">
        <v>35</v>
      </c>
      <c r="J298" s="245">
        <v>0</v>
      </c>
      <c r="K298" s="245">
        <v>0</v>
      </c>
      <c r="L298" s="245">
        <v>0</v>
      </c>
      <c r="M298" s="245">
        <v>0</v>
      </c>
      <c r="N298" s="245">
        <v>0</v>
      </c>
      <c r="O298" s="245" t="s">
        <v>178</v>
      </c>
      <c r="P298" s="245" t="s">
        <v>98</v>
      </c>
      <c r="Q298" s="245" t="s">
        <v>98</v>
      </c>
      <c r="R298" s="246" t="s">
        <v>32</v>
      </c>
    </row>
    <row r="299" spans="1:18" ht="26" hidden="1" x14ac:dyDescent="0.8">
      <c r="A299" s="247">
        <v>14136</v>
      </c>
      <c r="B299" s="248" t="s">
        <v>415</v>
      </c>
      <c r="C299" s="249" t="s">
        <v>417</v>
      </c>
      <c r="D299" s="245">
        <v>0</v>
      </c>
      <c r="E299" s="245">
        <v>0</v>
      </c>
      <c r="F299" s="245">
        <v>100</v>
      </c>
      <c r="G299" s="245">
        <v>100</v>
      </c>
      <c r="H299" s="245">
        <v>200</v>
      </c>
      <c r="I299" s="245">
        <v>35</v>
      </c>
      <c r="J299" s="245">
        <v>0</v>
      </c>
      <c r="K299" s="245">
        <v>0</v>
      </c>
      <c r="L299" s="245">
        <v>3500</v>
      </c>
      <c r="M299" s="245">
        <v>3500</v>
      </c>
      <c r="N299" s="245">
        <v>7000</v>
      </c>
      <c r="O299" s="245" t="s">
        <v>169</v>
      </c>
      <c r="P299" s="245" t="s">
        <v>98</v>
      </c>
      <c r="Q299" s="245" t="s">
        <v>98</v>
      </c>
      <c r="R299" s="246" t="s">
        <v>32</v>
      </c>
    </row>
    <row r="300" spans="1:18" ht="26" hidden="1" x14ac:dyDescent="0.8">
      <c r="A300" s="247">
        <v>14136</v>
      </c>
      <c r="B300" s="248" t="s">
        <v>415</v>
      </c>
      <c r="C300" s="249" t="s">
        <v>417</v>
      </c>
      <c r="D300" s="245">
        <v>0</v>
      </c>
      <c r="E300" s="245">
        <v>21.6</v>
      </c>
      <c r="F300" s="245">
        <v>54</v>
      </c>
      <c r="G300" s="245">
        <v>32.4</v>
      </c>
      <c r="H300" s="245">
        <v>108</v>
      </c>
      <c r="I300" s="245">
        <v>35</v>
      </c>
      <c r="J300" s="245">
        <v>0</v>
      </c>
      <c r="K300" s="245">
        <v>756</v>
      </c>
      <c r="L300" s="245">
        <v>1890</v>
      </c>
      <c r="M300" s="245">
        <v>1134</v>
      </c>
      <c r="N300" s="245">
        <v>3780</v>
      </c>
      <c r="O300" s="245" t="s">
        <v>56</v>
      </c>
      <c r="P300" s="245" t="s">
        <v>98</v>
      </c>
      <c r="Q300" s="245" t="s">
        <v>98</v>
      </c>
      <c r="R300" s="246" t="s">
        <v>32</v>
      </c>
    </row>
    <row r="301" spans="1:18" ht="26" x14ac:dyDescent="0.8">
      <c r="A301" s="247">
        <v>14137</v>
      </c>
      <c r="B301" s="248" t="s">
        <v>418</v>
      </c>
      <c r="C301" s="249" t="s">
        <v>110</v>
      </c>
      <c r="D301" s="245">
        <v>0</v>
      </c>
      <c r="H301" s="245">
        <v>0</v>
      </c>
      <c r="I301" s="245">
        <v>7.1760000000000002</v>
      </c>
      <c r="J301" s="245">
        <v>0</v>
      </c>
      <c r="K301" s="245">
        <v>0</v>
      </c>
      <c r="L301" s="245">
        <v>0</v>
      </c>
      <c r="M301" s="245">
        <v>0</v>
      </c>
      <c r="N301" s="245">
        <v>0</v>
      </c>
      <c r="O301" s="245" t="s">
        <v>178</v>
      </c>
      <c r="P301" s="245" t="s">
        <v>98</v>
      </c>
      <c r="Q301" s="245" t="s">
        <v>282</v>
      </c>
      <c r="R301" s="246" t="s">
        <v>32</v>
      </c>
    </row>
    <row r="302" spans="1:18" ht="26" x14ac:dyDescent="0.8">
      <c r="A302" s="247">
        <v>14137</v>
      </c>
      <c r="B302" s="248" t="s">
        <v>418</v>
      </c>
      <c r="C302" s="249" t="s">
        <v>110</v>
      </c>
      <c r="D302" s="245">
        <v>0</v>
      </c>
      <c r="H302" s="245">
        <v>0</v>
      </c>
      <c r="I302" s="245">
        <v>7.1760000000000002</v>
      </c>
      <c r="J302" s="245">
        <v>0</v>
      </c>
      <c r="K302" s="245">
        <v>0</v>
      </c>
      <c r="L302" s="245">
        <v>0</v>
      </c>
      <c r="M302" s="245">
        <v>0</v>
      </c>
      <c r="N302" s="245">
        <v>0</v>
      </c>
      <c r="O302" s="245" t="s">
        <v>178</v>
      </c>
      <c r="P302" s="245" t="s">
        <v>98</v>
      </c>
      <c r="Q302" s="245" t="s">
        <v>282</v>
      </c>
      <c r="R302" s="246" t="s">
        <v>32</v>
      </c>
    </row>
    <row r="303" spans="1:18" ht="26" hidden="1" x14ac:dyDescent="0.8">
      <c r="A303" s="247">
        <v>14137</v>
      </c>
      <c r="B303" s="248" t="s">
        <v>418</v>
      </c>
      <c r="C303" s="249" t="s">
        <v>110</v>
      </c>
      <c r="D303" s="245">
        <v>0</v>
      </c>
      <c r="E303" s="245">
        <v>0</v>
      </c>
      <c r="F303" s="245">
        <v>100</v>
      </c>
      <c r="G303" s="245">
        <v>100</v>
      </c>
      <c r="H303" s="245">
        <v>200</v>
      </c>
      <c r="I303" s="245">
        <v>7.1760000000000002</v>
      </c>
      <c r="J303" s="245">
        <v>0</v>
      </c>
      <c r="K303" s="245">
        <v>0</v>
      </c>
      <c r="L303" s="245">
        <v>717.6</v>
      </c>
      <c r="M303" s="245">
        <v>717.6</v>
      </c>
      <c r="N303" s="245">
        <v>1435.2</v>
      </c>
      <c r="O303" s="245" t="s">
        <v>169</v>
      </c>
      <c r="P303" s="245" t="s">
        <v>98</v>
      </c>
      <c r="Q303" s="245" t="s">
        <v>282</v>
      </c>
      <c r="R303" s="246" t="s">
        <v>32</v>
      </c>
    </row>
    <row r="304" spans="1:18" ht="26" hidden="1" x14ac:dyDescent="0.8">
      <c r="A304" s="247">
        <v>14137</v>
      </c>
      <c r="B304" s="248" t="s">
        <v>418</v>
      </c>
      <c r="C304" s="249" t="s">
        <v>110</v>
      </c>
      <c r="D304" s="245">
        <v>0</v>
      </c>
      <c r="E304" s="245">
        <v>21.6</v>
      </c>
      <c r="F304" s="245">
        <v>54</v>
      </c>
      <c r="G304" s="245">
        <v>32.4</v>
      </c>
      <c r="H304" s="245">
        <v>108</v>
      </c>
      <c r="I304" s="245">
        <v>7.1760000000000002</v>
      </c>
      <c r="J304" s="245">
        <v>0</v>
      </c>
      <c r="K304" s="245">
        <v>155.00160000000002</v>
      </c>
      <c r="L304" s="245">
        <v>387.50400000000002</v>
      </c>
      <c r="M304" s="245">
        <v>232.50239999999999</v>
      </c>
      <c r="N304" s="245">
        <v>775.00800000000004</v>
      </c>
      <c r="O304" s="245" t="s">
        <v>56</v>
      </c>
      <c r="P304" s="245" t="s">
        <v>98</v>
      </c>
      <c r="Q304" s="245" t="s">
        <v>282</v>
      </c>
      <c r="R304" s="246" t="s">
        <v>32</v>
      </c>
    </row>
    <row r="305" spans="1:18" ht="26" x14ac:dyDescent="0.8">
      <c r="A305" s="247">
        <v>142</v>
      </c>
      <c r="B305" s="248" t="s">
        <v>419</v>
      </c>
      <c r="D305" s="245">
        <v>0</v>
      </c>
      <c r="R305" s="246" t="s">
        <v>32</v>
      </c>
    </row>
    <row r="306" spans="1:18" x14ac:dyDescent="0.8">
      <c r="A306" s="247">
        <v>1421</v>
      </c>
      <c r="B306" s="248" t="s">
        <v>420</v>
      </c>
      <c r="D306" s="245">
        <v>0</v>
      </c>
      <c r="R306" s="246" t="s">
        <v>32</v>
      </c>
    </row>
    <row r="307" spans="1:18" ht="26" hidden="1" x14ac:dyDescent="0.8">
      <c r="A307" s="247">
        <v>14211</v>
      </c>
      <c r="B307" s="248" t="s">
        <v>141</v>
      </c>
      <c r="C307" s="249" t="s">
        <v>55</v>
      </c>
      <c r="D307" s="245">
        <v>0</v>
      </c>
      <c r="E307" s="245">
        <v>1</v>
      </c>
      <c r="F307" s="245">
        <v>1</v>
      </c>
      <c r="G307" s="245">
        <v>1</v>
      </c>
      <c r="H307" s="245">
        <v>3</v>
      </c>
      <c r="I307" s="245">
        <v>0</v>
      </c>
      <c r="O307" s="245" t="s">
        <v>56</v>
      </c>
      <c r="P307" s="245" t="s">
        <v>142</v>
      </c>
      <c r="Q307" s="245" t="s">
        <v>421</v>
      </c>
      <c r="R307" s="246" t="s">
        <v>32</v>
      </c>
    </row>
    <row r="308" spans="1:18" ht="26" hidden="1" x14ac:dyDescent="0.8">
      <c r="A308" s="247">
        <v>14212</v>
      </c>
      <c r="B308" s="248" t="s">
        <v>422</v>
      </c>
      <c r="C308" s="249" t="s">
        <v>55</v>
      </c>
      <c r="D308" s="245">
        <v>0</v>
      </c>
      <c r="E308" s="245">
        <v>1</v>
      </c>
      <c r="F308" s="245">
        <v>1</v>
      </c>
      <c r="G308" s="245">
        <v>1</v>
      </c>
      <c r="H308" s="245">
        <v>3</v>
      </c>
      <c r="I308" s="245">
        <v>0</v>
      </c>
      <c r="O308" s="245" t="s">
        <v>56</v>
      </c>
      <c r="P308" s="245" t="s">
        <v>142</v>
      </c>
      <c r="Q308" s="245" t="s">
        <v>282</v>
      </c>
      <c r="R308" s="246" t="s">
        <v>32</v>
      </c>
    </row>
    <row r="309" spans="1:18" ht="26" hidden="1" x14ac:dyDescent="0.8">
      <c r="A309" s="247">
        <v>14213</v>
      </c>
      <c r="B309" s="248" t="s">
        <v>145</v>
      </c>
      <c r="C309" s="249" t="s">
        <v>424</v>
      </c>
      <c r="D309" s="245">
        <v>0</v>
      </c>
      <c r="E309" s="245">
        <v>1103</v>
      </c>
      <c r="F309" s="245">
        <v>1198</v>
      </c>
      <c r="G309" s="245">
        <v>1292</v>
      </c>
      <c r="H309" s="245">
        <v>3593</v>
      </c>
      <c r="I309" s="245">
        <v>24.008179985529882</v>
      </c>
      <c r="J309" s="245">
        <v>0</v>
      </c>
      <c r="K309" s="245">
        <v>26481.022524039461</v>
      </c>
      <c r="L309" s="245">
        <v>28761.799622664799</v>
      </c>
      <c r="M309" s="245">
        <v>31018.568541304609</v>
      </c>
      <c r="N309" s="245">
        <v>86261.390688008862</v>
      </c>
      <c r="O309" s="245" t="s">
        <v>56</v>
      </c>
      <c r="P309" s="245" t="s">
        <v>142</v>
      </c>
      <c r="Q309" s="245" t="s">
        <v>144</v>
      </c>
      <c r="R309" s="246" t="s">
        <v>32</v>
      </c>
    </row>
    <row r="310" spans="1:18" ht="26" hidden="1" x14ac:dyDescent="0.8">
      <c r="A310" s="247">
        <v>14214</v>
      </c>
      <c r="B310" s="248" t="s">
        <v>425</v>
      </c>
      <c r="C310" s="249" t="s">
        <v>426</v>
      </c>
      <c r="D310" s="245">
        <v>0</v>
      </c>
      <c r="E310" s="245">
        <v>0.90884271076613798</v>
      </c>
      <c r="F310" s="245">
        <v>1.03044911307633</v>
      </c>
      <c r="G310" s="245">
        <v>1.1660636487281899</v>
      </c>
      <c r="H310" s="245">
        <v>3.1053554725706576</v>
      </c>
      <c r="I310" s="245">
        <v>217355.719702717</v>
      </c>
      <c r="J310" s="245">
        <v>0</v>
      </c>
      <c r="K310" s="245">
        <v>197542.16149514218</v>
      </c>
      <c r="L310" s="245">
        <v>223974.00858973214</v>
      </c>
      <c r="M310" s="245">
        <v>253450.60358849191</v>
      </c>
      <c r="N310" s="245">
        <v>674966.77367336629</v>
      </c>
      <c r="O310" s="245" t="s">
        <v>56</v>
      </c>
      <c r="P310" s="245" t="s">
        <v>142</v>
      </c>
      <c r="Q310" s="245" t="s">
        <v>144</v>
      </c>
      <c r="R310" s="246" t="s">
        <v>32</v>
      </c>
    </row>
    <row r="311" spans="1:18" hidden="1" x14ac:dyDescent="0.8">
      <c r="A311" s="247">
        <v>14215</v>
      </c>
      <c r="B311" s="248" t="s">
        <v>243</v>
      </c>
      <c r="C311" s="249" t="s">
        <v>59</v>
      </c>
      <c r="D311" s="245">
        <v>0</v>
      </c>
      <c r="F311" s="245">
        <v>320</v>
      </c>
      <c r="G311" s="245">
        <v>160</v>
      </c>
      <c r="H311" s="245">
        <v>480</v>
      </c>
      <c r="I311" s="245">
        <v>0.8177777777777776</v>
      </c>
      <c r="J311" s="245">
        <v>0</v>
      </c>
      <c r="K311" s="245">
        <v>0</v>
      </c>
      <c r="L311" s="245">
        <v>261.68888888888881</v>
      </c>
      <c r="M311" s="245">
        <v>130.84444444444441</v>
      </c>
      <c r="N311" s="245">
        <v>392.53333333333319</v>
      </c>
      <c r="O311" s="245" t="s">
        <v>169</v>
      </c>
      <c r="P311" s="245" t="s">
        <v>142</v>
      </c>
      <c r="Q311" s="245" t="s">
        <v>421</v>
      </c>
      <c r="R311" s="246" t="s">
        <v>32</v>
      </c>
    </row>
    <row r="312" spans="1:18" ht="26" x14ac:dyDescent="0.8">
      <c r="A312" s="247">
        <v>1422</v>
      </c>
      <c r="B312" s="248" t="s">
        <v>427</v>
      </c>
      <c r="D312" s="245">
        <v>0</v>
      </c>
      <c r="R312" s="246" t="s">
        <v>32</v>
      </c>
    </row>
    <row r="313" spans="1:18" ht="26" hidden="1" x14ac:dyDescent="0.8">
      <c r="A313" s="247">
        <v>14221</v>
      </c>
      <c r="B313" s="248" t="s">
        <v>428</v>
      </c>
      <c r="C313" s="249" t="s">
        <v>59</v>
      </c>
      <c r="D313" s="245">
        <v>0</v>
      </c>
      <c r="E313" s="245">
        <v>320</v>
      </c>
      <c r="H313" s="245">
        <v>320</v>
      </c>
      <c r="I313" s="245">
        <v>0.8177777777777776</v>
      </c>
      <c r="J313" s="245">
        <v>0</v>
      </c>
      <c r="K313" s="245">
        <v>261.68888888888881</v>
      </c>
      <c r="L313" s="245">
        <v>0</v>
      </c>
      <c r="M313" s="245">
        <v>0</v>
      </c>
      <c r="N313" s="245">
        <v>261.68888888888881</v>
      </c>
      <c r="O313" s="245" t="s">
        <v>56</v>
      </c>
      <c r="P313" s="245" t="s">
        <v>142</v>
      </c>
      <c r="Q313" s="245" t="s">
        <v>429</v>
      </c>
      <c r="R313" s="246" t="s">
        <v>32</v>
      </c>
    </row>
    <row r="314" spans="1:18" ht="39" hidden="1" x14ac:dyDescent="0.8">
      <c r="A314" s="247">
        <v>14222</v>
      </c>
      <c r="B314" s="248" t="s">
        <v>430</v>
      </c>
      <c r="C314" s="249" t="s">
        <v>55</v>
      </c>
      <c r="D314" s="245">
        <v>0</v>
      </c>
      <c r="E314" s="245">
        <v>1</v>
      </c>
      <c r="F314" s="245">
        <v>1</v>
      </c>
      <c r="G314" s="245">
        <v>1</v>
      </c>
      <c r="H314" s="245">
        <v>3</v>
      </c>
      <c r="I314" s="245">
        <v>0</v>
      </c>
      <c r="O314" s="245" t="s">
        <v>56</v>
      </c>
      <c r="P314" s="245" t="s">
        <v>142</v>
      </c>
      <c r="Q314" s="245" t="s">
        <v>431</v>
      </c>
      <c r="R314" s="246" t="s">
        <v>32</v>
      </c>
    </row>
    <row r="315" spans="1:18" ht="39" hidden="1" x14ac:dyDescent="0.8">
      <c r="A315" s="247">
        <v>14223</v>
      </c>
      <c r="B315" s="248" t="s">
        <v>432</v>
      </c>
      <c r="C315" s="249" t="s">
        <v>55</v>
      </c>
      <c r="D315" s="245">
        <v>0</v>
      </c>
      <c r="G315" s="245">
        <v>1</v>
      </c>
      <c r="H315" s="245">
        <v>1</v>
      </c>
      <c r="I315" s="245">
        <v>0</v>
      </c>
      <c r="O315" s="245" t="s">
        <v>56</v>
      </c>
      <c r="P315" s="245" t="s">
        <v>142</v>
      </c>
      <c r="Q315" s="245" t="s">
        <v>144</v>
      </c>
      <c r="R315" s="246" t="s">
        <v>32</v>
      </c>
    </row>
    <row r="316" spans="1:18" x14ac:dyDescent="0.8">
      <c r="A316" s="247">
        <v>1423</v>
      </c>
      <c r="B316" s="248" t="s">
        <v>250</v>
      </c>
      <c r="D316" s="245">
        <v>0</v>
      </c>
      <c r="R316" s="246" t="s">
        <v>32</v>
      </c>
    </row>
    <row r="317" spans="1:18" ht="39" hidden="1" x14ac:dyDescent="0.8">
      <c r="A317" s="247">
        <v>14231</v>
      </c>
      <c r="B317" s="248" t="s">
        <v>433</v>
      </c>
      <c r="C317" s="249" t="s">
        <v>66</v>
      </c>
      <c r="D317" s="245">
        <v>0</v>
      </c>
      <c r="E317" s="245">
        <v>30</v>
      </c>
      <c r="H317" s="245">
        <v>30</v>
      </c>
      <c r="I317" s="245">
        <v>0.255</v>
      </c>
      <c r="J317" s="245">
        <v>0</v>
      </c>
      <c r="K317" s="245">
        <v>7.65</v>
      </c>
      <c r="L317" s="245">
        <v>0</v>
      </c>
      <c r="M317" s="245">
        <v>0</v>
      </c>
      <c r="N317" s="245">
        <v>7.65</v>
      </c>
      <c r="O317" s="245" t="s">
        <v>169</v>
      </c>
      <c r="P317" s="245" t="s">
        <v>398</v>
      </c>
      <c r="Q317" s="245" t="s">
        <v>273</v>
      </c>
      <c r="R317" s="246" t="s">
        <v>32</v>
      </c>
    </row>
    <row r="318" spans="1:18" ht="39" hidden="1" x14ac:dyDescent="0.8">
      <c r="A318" s="247">
        <v>14232</v>
      </c>
      <c r="B318" s="248" t="s">
        <v>434</v>
      </c>
      <c r="C318" s="249" t="s">
        <v>66</v>
      </c>
      <c r="D318" s="245">
        <v>0</v>
      </c>
      <c r="E318" s="245">
        <v>80</v>
      </c>
      <c r="H318" s="245">
        <v>80</v>
      </c>
      <c r="I318" s="245">
        <v>0.255</v>
      </c>
      <c r="J318" s="245">
        <v>0</v>
      </c>
      <c r="K318" s="245">
        <v>20.399999999999999</v>
      </c>
      <c r="L318" s="245">
        <v>0</v>
      </c>
      <c r="M318" s="245">
        <v>0</v>
      </c>
      <c r="N318" s="245">
        <v>20.399999999999999</v>
      </c>
      <c r="O318" s="245" t="s">
        <v>169</v>
      </c>
      <c r="P318" s="245" t="s">
        <v>398</v>
      </c>
      <c r="Q318" s="245" t="s">
        <v>273</v>
      </c>
      <c r="R318" s="246" t="s">
        <v>32</v>
      </c>
    </row>
    <row r="319" spans="1:18" ht="39" hidden="1" x14ac:dyDescent="0.8">
      <c r="A319" s="247">
        <v>14233</v>
      </c>
      <c r="B319" s="248" t="s">
        <v>435</v>
      </c>
      <c r="C319" s="249" t="s">
        <v>352</v>
      </c>
      <c r="D319" s="245">
        <v>0</v>
      </c>
      <c r="F319" s="245">
        <v>240</v>
      </c>
      <c r="H319" s="245">
        <v>240</v>
      </c>
      <c r="I319" s="245">
        <v>0.54600000000000004</v>
      </c>
      <c r="J319" s="245">
        <v>0</v>
      </c>
      <c r="K319" s="245">
        <v>0</v>
      </c>
      <c r="L319" s="245">
        <v>131.04000000000002</v>
      </c>
      <c r="M319" s="245">
        <v>0</v>
      </c>
      <c r="N319" s="245">
        <v>131.04000000000002</v>
      </c>
      <c r="O319" s="245" t="s">
        <v>169</v>
      </c>
      <c r="P319" s="245" t="s">
        <v>398</v>
      </c>
      <c r="Q319" s="245" t="s">
        <v>398</v>
      </c>
      <c r="R319" s="246" t="s">
        <v>32</v>
      </c>
    </row>
    <row r="320" spans="1:18" ht="39" hidden="1" x14ac:dyDescent="0.8">
      <c r="A320" s="247">
        <v>14234</v>
      </c>
      <c r="B320" s="248" t="s">
        <v>437</v>
      </c>
      <c r="C320" s="249" t="s">
        <v>55</v>
      </c>
      <c r="D320" s="245">
        <v>0</v>
      </c>
      <c r="E320" s="245">
        <v>1</v>
      </c>
      <c r="F320" s="245">
        <v>1</v>
      </c>
      <c r="G320" s="245">
        <v>1</v>
      </c>
      <c r="H320" s="245">
        <v>3</v>
      </c>
      <c r="I320" s="245">
        <v>0</v>
      </c>
      <c r="L320" s="245">
        <v>0</v>
      </c>
      <c r="O320" s="245" t="s">
        <v>169</v>
      </c>
      <c r="P320" s="245" t="s">
        <v>398</v>
      </c>
      <c r="Q320" s="245" t="s">
        <v>282</v>
      </c>
      <c r="R320" s="246" t="s">
        <v>32</v>
      </c>
    </row>
    <row r="321" spans="1:18" ht="26" x14ac:dyDescent="0.8">
      <c r="A321" s="247">
        <v>1424</v>
      </c>
      <c r="B321" s="248" t="s">
        <v>259</v>
      </c>
      <c r="D321" s="245">
        <v>0</v>
      </c>
      <c r="R321" s="246" t="s">
        <v>32</v>
      </c>
    </row>
    <row r="322" spans="1:18" ht="52" hidden="1" x14ac:dyDescent="0.8">
      <c r="A322" s="247">
        <v>14241</v>
      </c>
      <c r="B322" s="248" t="s">
        <v>438</v>
      </c>
      <c r="C322" s="249" t="s">
        <v>55</v>
      </c>
      <c r="D322" s="245">
        <v>0</v>
      </c>
      <c r="E322" s="245">
        <v>1</v>
      </c>
      <c r="F322" s="245">
        <v>1</v>
      </c>
      <c r="G322" s="245">
        <v>1</v>
      </c>
      <c r="H322" s="245">
        <v>3</v>
      </c>
      <c r="I322" s="245">
        <v>0</v>
      </c>
      <c r="L322" s="245">
        <v>0</v>
      </c>
      <c r="O322" s="245" t="s">
        <v>169</v>
      </c>
      <c r="P322" s="245" t="s">
        <v>142</v>
      </c>
      <c r="Q322" s="245" t="s">
        <v>142</v>
      </c>
      <c r="R322" s="246" t="s">
        <v>32</v>
      </c>
    </row>
    <row r="323" spans="1:18" ht="26" hidden="1" x14ac:dyDescent="0.8">
      <c r="A323" s="247">
        <v>14242</v>
      </c>
      <c r="B323" s="248" t="s">
        <v>439</v>
      </c>
      <c r="C323" s="249" t="s">
        <v>55</v>
      </c>
      <c r="D323" s="245">
        <v>0</v>
      </c>
      <c r="E323" s="245">
        <v>1</v>
      </c>
      <c r="F323" s="245">
        <v>1</v>
      </c>
      <c r="G323" s="245">
        <v>1</v>
      </c>
      <c r="H323" s="245">
        <v>3</v>
      </c>
      <c r="I323" s="245">
        <v>0</v>
      </c>
      <c r="L323" s="245">
        <v>0</v>
      </c>
      <c r="O323" s="245" t="s">
        <v>169</v>
      </c>
      <c r="P323" s="245" t="s">
        <v>142</v>
      </c>
      <c r="Q323" s="245" t="s">
        <v>144</v>
      </c>
      <c r="R323" s="246" t="s">
        <v>32</v>
      </c>
    </row>
    <row r="324" spans="1:18" ht="39" hidden="1" x14ac:dyDescent="0.8">
      <c r="A324" s="247">
        <v>14243</v>
      </c>
      <c r="B324" s="248" t="s">
        <v>440</v>
      </c>
      <c r="C324" s="249" t="s">
        <v>55</v>
      </c>
      <c r="D324" s="245">
        <v>0</v>
      </c>
      <c r="E324" s="245">
        <v>1</v>
      </c>
      <c r="F324" s="245">
        <v>1</v>
      </c>
      <c r="G324" s="245">
        <v>1</v>
      </c>
      <c r="H324" s="245">
        <v>3</v>
      </c>
      <c r="I324" s="245">
        <v>0</v>
      </c>
      <c r="L324" s="245">
        <v>0</v>
      </c>
      <c r="O324" s="245" t="s">
        <v>169</v>
      </c>
      <c r="P324" s="245" t="s">
        <v>142</v>
      </c>
      <c r="Q324" s="245" t="s">
        <v>96</v>
      </c>
      <c r="R324" s="246" t="s">
        <v>32</v>
      </c>
    </row>
    <row r="325" spans="1:18" ht="39" hidden="1" x14ac:dyDescent="0.8">
      <c r="A325" s="247">
        <v>14244</v>
      </c>
      <c r="B325" s="248" t="s">
        <v>267</v>
      </c>
      <c r="C325" s="249" t="s">
        <v>55</v>
      </c>
      <c r="D325" s="245">
        <v>0</v>
      </c>
      <c r="I325" s="245">
        <v>0</v>
      </c>
      <c r="O325" s="245" t="s">
        <v>56</v>
      </c>
      <c r="P325" s="245" t="s">
        <v>142</v>
      </c>
      <c r="Q325" s="245" t="s">
        <v>441</v>
      </c>
      <c r="R325" s="246" t="s">
        <v>32</v>
      </c>
    </row>
    <row r="326" spans="1:18" ht="26" hidden="1" x14ac:dyDescent="0.8">
      <c r="A326" s="247">
        <v>14245</v>
      </c>
      <c r="B326" s="248" t="s">
        <v>442</v>
      </c>
      <c r="C326" s="249" t="s">
        <v>55</v>
      </c>
      <c r="D326" s="245">
        <v>0</v>
      </c>
      <c r="F326" s="245">
        <v>1</v>
      </c>
      <c r="G326" s="245">
        <v>1</v>
      </c>
      <c r="H326" s="245">
        <v>2</v>
      </c>
      <c r="I326" s="245">
        <v>0</v>
      </c>
      <c r="O326" s="245" t="s">
        <v>56</v>
      </c>
      <c r="P326" s="245" t="s">
        <v>142</v>
      </c>
      <c r="Q326" s="245" t="s">
        <v>142</v>
      </c>
      <c r="R326" s="246" t="s">
        <v>32</v>
      </c>
    </row>
    <row r="327" spans="1:18" ht="26" x14ac:dyDescent="0.8">
      <c r="A327" s="247">
        <v>143</v>
      </c>
      <c r="B327" s="248" t="s">
        <v>443</v>
      </c>
      <c r="D327" s="245">
        <v>0</v>
      </c>
      <c r="R327" s="246" t="s">
        <v>32</v>
      </c>
    </row>
    <row r="328" spans="1:18" ht="39" x14ac:dyDescent="0.8">
      <c r="A328" s="247">
        <v>1431</v>
      </c>
      <c r="B328" s="248" t="s">
        <v>444</v>
      </c>
      <c r="D328" s="245">
        <v>0</v>
      </c>
      <c r="R328" s="246" t="s">
        <v>32</v>
      </c>
    </row>
    <row r="329" spans="1:18" ht="65" hidden="1" x14ac:dyDescent="0.8">
      <c r="A329" s="247">
        <v>14311</v>
      </c>
      <c r="B329" s="248" t="s">
        <v>445</v>
      </c>
      <c r="C329" s="249" t="s">
        <v>55</v>
      </c>
      <c r="D329" s="245">
        <v>0</v>
      </c>
      <c r="E329" s="245">
        <v>1</v>
      </c>
      <c r="H329" s="245">
        <v>1</v>
      </c>
      <c r="I329" s="245">
        <v>0</v>
      </c>
      <c r="O329" s="245" t="s">
        <v>56</v>
      </c>
      <c r="P329" s="245" t="s">
        <v>398</v>
      </c>
      <c r="Q329" s="245" t="s">
        <v>282</v>
      </c>
      <c r="R329" s="246" t="s">
        <v>32</v>
      </c>
    </row>
    <row r="330" spans="1:18" ht="26" hidden="1" x14ac:dyDescent="0.8">
      <c r="A330" s="247">
        <v>14312</v>
      </c>
      <c r="B330" s="248" t="s">
        <v>446</v>
      </c>
      <c r="C330" s="249" t="s">
        <v>55</v>
      </c>
      <c r="D330" s="245">
        <v>0</v>
      </c>
      <c r="F330" s="245">
        <v>1</v>
      </c>
      <c r="G330" s="245">
        <v>1</v>
      </c>
      <c r="H330" s="245">
        <v>2</v>
      </c>
      <c r="I330" s="245">
        <v>0</v>
      </c>
      <c r="O330" s="245" t="s">
        <v>56</v>
      </c>
      <c r="P330" s="245" t="s">
        <v>398</v>
      </c>
      <c r="Q330" s="245" t="s">
        <v>179</v>
      </c>
      <c r="R330" s="246" t="s">
        <v>32</v>
      </c>
    </row>
    <row r="331" spans="1:18" ht="39" x14ac:dyDescent="0.8">
      <c r="A331" s="247">
        <v>1432</v>
      </c>
      <c r="B331" s="248" t="s">
        <v>448</v>
      </c>
      <c r="D331" s="245">
        <v>0</v>
      </c>
      <c r="R331" s="246" t="s">
        <v>32</v>
      </c>
    </row>
    <row r="332" spans="1:18" ht="39" hidden="1" x14ac:dyDescent="0.8">
      <c r="A332" s="247">
        <v>14321</v>
      </c>
      <c r="B332" s="248" t="s">
        <v>449</v>
      </c>
      <c r="C332" s="249" t="s">
        <v>55</v>
      </c>
      <c r="D332" s="245">
        <v>0</v>
      </c>
      <c r="E332" s="245">
        <v>1</v>
      </c>
      <c r="H332" s="245">
        <v>1</v>
      </c>
      <c r="I332" s="245">
        <v>0</v>
      </c>
      <c r="O332" s="245" t="s">
        <v>56</v>
      </c>
      <c r="P332" s="245" t="s">
        <v>309</v>
      </c>
      <c r="Q332" s="245" t="s">
        <v>311</v>
      </c>
      <c r="R332" s="246" t="s">
        <v>32</v>
      </c>
    </row>
    <row r="333" spans="1:18" ht="26" hidden="1" x14ac:dyDescent="0.8">
      <c r="A333" s="247">
        <v>14322</v>
      </c>
      <c r="B333" s="248" t="s">
        <v>450</v>
      </c>
      <c r="C333" s="249" t="s">
        <v>452</v>
      </c>
      <c r="D333" s="245">
        <v>0</v>
      </c>
      <c r="F333" s="245">
        <v>1000</v>
      </c>
      <c r="H333" s="245">
        <v>1000</v>
      </c>
      <c r="I333" s="245">
        <v>7.4999999999999997E-3</v>
      </c>
      <c r="J333" s="245">
        <v>0</v>
      </c>
      <c r="K333" s="245">
        <v>0</v>
      </c>
      <c r="L333" s="245">
        <v>7.5</v>
      </c>
      <c r="M333" s="245">
        <v>0</v>
      </c>
      <c r="N333" s="245">
        <v>7.5</v>
      </c>
      <c r="O333" s="245" t="s">
        <v>169</v>
      </c>
      <c r="P333" s="245" t="s">
        <v>309</v>
      </c>
      <c r="Q333" s="245" t="s">
        <v>309</v>
      </c>
      <c r="R333" s="246" t="s">
        <v>32</v>
      </c>
    </row>
    <row r="334" spans="1:18" ht="39" hidden="1" x14ac:dyDescent="0.8">
      <c r="A334" s="247">
        <v>14323</v>
      </c>
      <c r="B334" s="248" t="s">
        <v>453</v>
      </c>
      <c r="C334" s="249" t="s">
        <v>55</v>
      </c>
      <c r="D334" s="245">
        <v>0</v>
      </c>
      <c r="E334" s="245">
        <v>1</v>
      </c>
      <c r="H334" s="245">
        <v>1</v>
      </c>
      <c r="I334" s="245">
        <v>0</v>
      </c>
      <c r="L334" s="245">
        <v>0</v>
      </c>
      <c r="O334" s="245" t="s">
        <v>169</v>
      </c>
      <c r="P334" s="245" t="s">
        <v>309</v>
      </c>
      <c r="Q334" s="245" t="s">
        <v>316</v>
      </c>
      <c r="R334" s="246" t="s">
        <v>32</v>
      </c>
    </row>
    <row r="335" spans="1:18" ht="39" hidden="1" x14ac:dyDescent="0.8">
      <c r="A335" s="247">
        <v>14324</v>
      </c>
      <c r="B335" s="248" t="s">
        <v>317</v>
      </c>
      <c r="C335" s="249" t="s">
        <v>76</v>
      </c>
      <c r="D335" s="245">
        <v>0</v>
      </c>
      <c r="E335" s="245">
        <v>1</v>
      </c>
      <c r="F335" s="245">
        <v>3</v>
      </c>
      <c r="G335" s="245">
        <v>2</v>
      </c>
      <c r="H335" s="245">
        <v>6</v>
      </c>
      <c r="I335" s="245">
        <v>45.936799999999998</v>
      </c>
      <c r="J335" s="245">
        <v>0</v>
      </c>
      <c r="K335" s="245">
        <v>45.936799999999998</v>
      </c>
      <c r="L335" s="245">
        <v>137.81039999999999</v>
      </c>
      <c r="M335" s="245">
        <v>91.873599999999996</v>
      </c>
      <c r="N335" s="245">
        <v>275.62079999999997</v>
      </c>
      <c r="O335" s="245" t="s">
        <v>169</v>
      </c>
      <c r="P335" s="245" t="s">
        <v>309</v>
      </c>
      <c r="Q335" s="245" t="s">
        <v>77</v>
      </c>
      <c r="R335" s="246" t="s">
        <v>32</v>
      </c>
    </row>
    <row r="336" spans="1:18" ht="26" hidden="1" x14ac:dyDescent="0.8">
      <c r="A336" s="247">
        <v>14325</v>
      </c>
      <c r="B336" s="248" t="s">
        <v>455</v>
      </c>
      <c r="C336" s="249" t="s">
        <v>55</v>
      </c>
      <c r="D336" s="245">
        <v>0</v>
      </c>
      <c r="F336" s="245">
        <v>1</v>
      </c>
      <c r="G336" s="245">
        <v>1</v>
      </c>
      <c r="H336" s="245">
        <v>2</v>
      </c>
      <c r="I336" s="245">
        <v>0</v>
      </c>
      <c r="O336" s="245" t="s">
        <v>56</v>
      </c>
      <c r="P336" s="245" t="s">
        <v>309</v>
      </c>
      <c r="Q336" s="245" t="s">
        <v>309</v>
      </c>
      <c r="R336" s="246" t="s">
        <v>32</v>
      </c>
    </row>
    <row r="337" spans="1:18" ht="26" hidden="1" x14ac:dyDescent="0.8">
      <c r="A337" s="247">
        <v>14326</v>
      </c>
      <c r="B337" s="248" t="s">
        <v>319</v>
      </c>
      <c r="C337" s="249" t="s">
        <v>55</v>
      </c>
      <c r="D337" s="245">
        <v>0</v>
      </c>
      <c r="I337" s="245">
        <v>0</v>
      </c>
      <c r="O337" s="245" t="s">
        <v>56</v>
      </c>
      <c r="P337" s="245" t="s">
        <v>309</v>
      </c>
      <c r="Q337" s="245" t="s">
        <v>282</v>
      </c>
      <c r="R337" s="246" t="s">
        <v>32</v>
      </c>
    </row>
    <row r="338" spans="1:18" ht="26" hidden="1" x14ac:dyDescent="0.8">
      <c r="A338" s="247">
        <v>14327</v>
      </c>
      <c r="B338" s="248" t="s">
        <v>456</v>
      </c>
      <c r="C338" s="249" t="s">
        <v>55</v>
      </c>
      <c r="D338" s="245">
        <v>0</v>
      </c>
      <c r="E338" s="245">
        <v>1</v>
      </c>
      <c r="F338" s="245">
        <v>1</v>
      </c>
      <c r="G338" s="245">
        <v>1</v>
      </c>
      <c r="H338" s="245">
        <v>3</v>
      </c>
      <c r="I338" s="245">
        <v>0</v>
      </c>
      <c r="O338" s="245" t="s">
        <v>56</v>
      </c>
      <c r="P338" s="245" t="s">
        <v>322</v>
      </c>
      <c r="Q338" s="245" t="s">
        <v>322</v>
      </c>
      <c r="R338" s="246" t="s">
        <v>32</v>
      </c>
    </row>
    <row r="339" spans="1:18" ht="26" hidden="1" x14ac:dyDescent="0.8">
      <c r="A339" s="247">
        <v>14328</v>
      </c>
      <c r="B339" s="248" t="s">
        <v>323</v>
      </c>
      <c r="C339" s="249" t="s">
        <v>458</v>
      </c>
      <c r="D339" s="245">
        <v>0</v>
      </c>
      <c r="E339" s="245">
        <v>0</v>
      </c>
      <c r="F339" s="245">
        <v>38</v>
      </c>
      <c r="G339" s="245">
        <v>19.003799999999998</v>
      </c>
      <c r="H339" s="245">
        <v>57.003799999999998</v>
      </c>
      <c r="I339" s="245">
        <v>100</v>
      </c>
      <c r="J339" s="245">
        <v>0</v>
      </c>
      <c r="K339" s="245">
        <v>0</v>
      </c>
      <c r="L339" s="245">
        <v>3800</v>
      </c>
      <c r="M339" s="245">
        <v>1900.3799999999999</v>
      </c>
      <c r="N339" s="245">
        <v>5700.38</v>
      </c>
      <c r="O339" s="245" t="s">
        <v>169</v>
      </c>
      <c r="P339" s="245" t="s">
        <v>309</v>
      </c>
      <c r="Q339" s="245" t="s">
        <v>322</v>
      </c>
      <c r="R339" s="246" t="s">
        <v>32</v>
      </c>
    </row>
    <row r="340" spans="1:18" ht="26" x14ac:dyDescent="0.8">
      <c r="A340" s="247">
        <v>14328</v>
      </c>
      <c r="B340" s="248" t="s">
        <v>323</v>
      </c>
      <c r="C340" s="249" t="s">
        <v>458</v>
      </c>
      <c r="D340" s="245">
        <v>0</v>
      </c>
      <c r="E340" s="245">
        <v>11.798999999999999</v>
      </c>
      <c r="F340" s="245">
        <v>11.798999999999999</v>
      </c>
      <c r="G340" s="245">
        <v>11.798999999999999</v>
      </c>
      <c r="H340" s="245">
        <v>35.396999999999998</v>
      </c>
      <c r="I340" s="245">
        <v>100</v>
      </c>
      <c r="J340" s="245">
        <v>0</v>
      </c>
      <c r="K340" s="245">
        <v>1179.8999999999999</v>
      </c>
      <c r="L340" s="245">
        <v>1179.8999999999999</v>
      </c>
      <c r="M340" s="245">
        <v>1179.8999999999999</v>
      </c>
      <c r="N340" s="245">
        <v>3539.7</v>
      </c>
      <c r="O340" s="245" t="s">
        <v>118</v>
      </c>
      <c r="P340" s="245" t="s">
        <v>309</v>
      </c>
      <c r="Q340" s="245" t="s">
        <v>322</v>
      </c>
      <c r="R340" s="246" t="s">
        <v>32</v>
      </c>
    </row>
    <row r="341" spans="1:18" ht="26" x14ac:dyDescent="0.8">
      <c r="A341" s="247">
        <v>14328</v>
      </c>
      <c r="B341" s="248" t="s">
        <v>323</v>
      </c>
      <c r="C341" s="249" t="s">
        <v>458</v>
      </c>
      <c r="E341" s="245">
        <v>7.1972000000000005</v>
      </c>
      <c r="F341" s="245">
        <v>7.1972000000000005</v>
      </c>
      <c r="G341" s="245">
        <v>7.1972000000000005</v>
      </c>
      <c r="H341" s="245">
        <v>21.5916</v>
      </c>
      <c r="I341" s="245">
        <v>100</v>
      </c>
      <c r="J341" s="245">
        <v>0</v>
      </c>
      <c r="K341" s="245">
        <v>719.72</v>
      </c>
      <c r="L341" s="245">
        <v>719.72</v>
      </c>
      <c r="M341" s="245">
        <v>719.72</v>
      </c>
      <c r="N341" s="245">
        <v>2159.16</v>
      </c>
      <c r="O341" s="245" t="s">
        <v>67</v>
      </c>
      <c r="P341" s="245" t="s">
        <v>309</v>
      </c>
      <c r="Q341" s="245" t="s">
        <v>322</v>
      </c>
      <c r="R341" s="246" t="s">
        <v>32</v>
      </c>
    </row>
    <row r="342" spans="1:18" ht="26" hidden="1" x14ac:dyDescent="0.8">
      <c r="A342" s="247">
        <v>14329</v>
      </c>
      <c r="B342" s="248" t="s">
        <v>459</v>
      </c>
      <c r="C342" s="249" t="s">
        <v>55</v>
      </c>
      <c r="D342" s="245">
        <v>0</v>
      </c>
      <c r="E342" s="245">
        <v>1</v>
      </c>
      <c r="F342" s="245">
        <v>1</v>
      </c>
      <c r="G342" s="245">
        <v>1</v>
      </c>
      <c r="H342" s="245">
        <v>3</v>
      </c>
      <c r="I342" s="245">
        <v>0</v>
      </c>
      <c r="L342" s="245">
        <v>0</v>
      </c>
      <c r="O342" s="245" t="s">
        <v>169</v>
      </c>
      <c r="P342" s="245" t="s">
        <v>309</v>
      </c>
      <c r="Q342" s="245" t="s">
        <v>322</v>
      </c>
      <c r="R342" s="246" t="s">
        <v>32</v>
      </c>
    </row>
    <row r="343" spans="1:18" ht="26" x14ac:dyDescent="0.8">
      <c r="A343" s="247">
        <v>15</v>
      </c>
      <c r="B343" s="248" t="s">
        <v>460</v>
      </c>
      <c r="D343" s="245">
        <v>0</v>
      </c>
      <c r="R343" s="246" t="s">
        <v>32</v>
      </c>
    </row>
    <row r="344" spans="1:18" ht="39" x14ac:dyDescent="0.8">
      <c r="A344" s="247">
        <v>151</v>
      </c>
      <c r="B344" s="248" t="s">
        <v>461</v>
      </c>
      <c r="D344" s="245">
        <v>0</v>
      </c>
      <c r="R344" s="246" t="s">
        <v>32</v>
      </c>
    </row>
    <row r="345" spans="1:18" ht="26" hidden="1" x14ac:dyDescent="0.8">
      <c r="A345" s="247">
        <v>15111</v>
      </c>
      <c r="B345" s="248" t="s">
        <v>462</v>
      </c>
      <c r="C345" s="249" t="s">
        <v>55</v>
      </c>
      <c r="D345" s="245">
        <v>0</v>
      </c>
      <c r="E345" s="245">
        <v>1</v>
      </c>
      <c r="F345" s="245">
        <v>1</v>
      </c>
      <c r="H345" s="245">
        <v>2</v>
      </c>
      <c r="I345" s="245">
        <v>0</v>
      </c>
      <c r="L345" s="245">
        <v>0</v>
      </c>
      <c r="O345" s="245" t="s">
        <v>169</v>
      </c>
      <c r="P345" s="245" t="s">
        <v>192</v>
      </c>
      <c r="Q345" s="245" t="s">
        <v>463</v>
      </c>
      <c r="R345" s="246" t="s">
        <v>32</v>
      </c>
    </row>
    <row r="346" spans="1:18" ht="26" hidden="1" x14ac:dyDescent="0.8">
      <c r="A346" s="247">
        <v>15112</v>
      </c>
      <c r="B346" s="248" t="s">
        <v>464</v>
      </c>
      <c r="C346" s="249" t="s">
        <v>465</v>
      </c>
      <c r="D346" s="245">
        <v>0</v>
      </c>
      <c r="F346" s="245">
        <v>1070.0000000000002</v>
      </c>
      <c r="G346" s="245">
        <v>535.00000000000011</v>
      </c>
      <c r="H346" s="245">
        <v>1605.0000000000005</v>
      </c>
      <c r="I346" s="245">
        <v>2.76</v>
      </c>
      <c r="J346" s="245">
        <v>0</v>
      </c>
      <c r="K346" s="245">
        <v>0</v>
      </c>
      <c r="L346" s="245">
        <v>2953.2000000000003</v>
      </c>
      <c r="M346" s="245">
        <v>1476.6000000000001</v>
      </c>
      <c r="N346" s="245">
        <v>4429.8</v>
      </c>
      <c r="O346" s="245" t="s">
        <v>169</v>
      </c>
      <c r="P346" s="245" t="s">
        <v>98</v>
      </c>
      <c r="Q346" s="245" t="s">
        <v>282</v>
      </c>
      <c r="R346" s="246" t="s">
        <v>32</v>
      </c>
    </row>
    <row r="347" spans="1:18" ht="26" x14ac:dyDescent="0.8">
      <c r="A347" s="247">
        <v>15112</v>
      </c>
      <c r="B347" s="248" t="s">
        <v>464</v>
      </c>
      <c r="C347" s="249" t="s">
        <v>465</v>
      </c>
      <c r="D347" s="245">
        <v>0</v>
      </c>
      <c r="E347" s="245">
        <v>356.66666666666674</v>
      </c>
      <c r="F347" s="245">
        <v>356.66666666666674</v>
      </c>
      <c r="G347" s="245">
        <v>356.66666666666674</v>
      </c>
      <c r="H347" s="245">
        <v>1070.0000000000002</v>
      </c>
      <c r="I347" s="245">
        <v>2.76</v>
      </c>
      <c r="J347" s="245">
        <v>0</v>
      </c>
      <c r="K347" s="245">
        <v>984.40000000000009</v>
      </c>
      <c r="L347" s="245">
        <v>984.40000000000009</v>
      </c>
      <c r="M347" s="245">
        <v>984.40000000000009</v>
      </c>
      <c r="N347" s="245">
        <v>2953.2000000000003</v>
      </c>
      <c r="O347" s="245" t="s">
        <v>414</v>
      </c>
      <c r="P347" s="245" t="s">
        <v>98</v>
      </c>
      <c r="Q347" s="245" t="s">
        <v>282</v>
      </c>
      <c r="R347" s="246" t="s">
        <v>32</v>
      </c>
    </row>
    <row r="348" spans="1:18" ht="39" hidden="1" x14ac:dyDescent="0.8">
      <c r="A348" s="247">
        <v>15113</v>
      </c>
      <c r="B348" s="248" t="s">
        <v>466</v>
      </c>
      <c r="C348" s="249" t="s">
        <v>55</v>
      </c>
      <c r="D348" s="245">
        <v>0</v>
      </c>
      <c r="E348" s="245">
        <v>1</v>
      </c>
      <c r="F348" s="245">
        <v>1</v>
      </c>
      <c r="G348" s="245">
        <v>1</v>
      </c>
      <c r="H348" s="245">
        <v>3</v>
      </c>
      <c r="I348" s="245">
        <v>0</v>
      </c>
      <c r="L348" s="245">
        <v>0</v>
      </c>
      <c r="O348" s="245" t="s">
        <v>169</v>
      </c>
      <c r="P348" s="245" t="s">
        <v>98</v>
      </c>
      <c r="Q348" s="245" t="s">
        <v>282</v>
      </c>
      <c r="R348" s="246" t="s">
        <v>32</v>
      </c>
    </row>
    <row r="349" spans="1:18" ht="52" hidden="1" x14ac:dyDescent="0.8">
      <c r="A349" s="247">
        <v>15121</v>
      </c>
      <c r="B349" s="248" t="s">
        <v>467</v>
      </c>
      <c r="C349" s="249" t="s">
        <v>55</v>
      </c>
      <c r="D349" s="245">
        <v>0</v>
      </c>
      <c r="E349" s="245">
        <v>1</v>
      </c>
      <c r="F349" s="245">
        <v>1</v>
      </c>
      <c r="G349" s="245">
        <v>1</v>
      </c>
      <c r="H349" s="245">
        <v>3</v>
      </c>
      <c r="I349" s="245">
        <v>0</v>
      </c>
      <c r="L349" s="245">
        <v>0</v>
      </c>
      <c r="O349" s="245" t="s">
        <v>169</v>
      </c>
      <c r="P349" s="245" t="s">
        <v>96</v>
      </c>
      <c r="Q349" s="245" t="s">
        <v>77</v>
      </c>
      <c r="R349" s="246" t="s">
        <v>32</v>
      </c>
    </row>
    <row r="350" spans="1:18" ht="52" hidden="1" x14ac:dyDescent="0.8">
      <c r="A350" s="247">
        <v>15122</v>
      </c>
      <c r="B350" s="248" t="s">
        <v>468</v>
      </c>
      <c r="C350" s="249" t="s">
        <v>55</v>
      </c>
      <c r="D350" s="245">
        <v>0</v>
      </c>
      <c r="E350" s="245">
        <v>1</v>
      </c>
      <c r="F350" s="245">
        <v>1</v>
      </c>
      <c r="G350" s="245">
        <v>1</v>
      </c>
      <c r="H350" s="245">
        <v>3</v>
      </c>
      <c r="I350" s="245">
        <v>0</v>
      </c>
      <c r="L350" s="245">
        <v>0</v>
      </c>
      <c r="O350" s="245" t="s">
        <v>169</v>
      </c>
      <c r="P350" s="245" t="s">
        <v>98</v>
      </c>
      <c r="Q350" s="245" t="s">
        <v>469</v>
      </c>
      <c r="R350" s="246" t="s">
        <v>32</v>
      </c>
    </row>
    <row r="351" spans="1:18" ht="26" x14ac:dyDescent="0.8">
      <c r="A351" s="247">
        <v>15123</v>
      </c>
      <c r="B351" s="248" t="s">
        <v>470</v>
      </c>
      <c r="C351" s="249" t="s">
        <v>472</v>
      </c>
      <c r="D351" s="245">
        <v>0</v>
      </c>
      <c r="E351" s="245">
        <v>28.95</v>
      </c>
      <c r="F351" s="245">
        <v>48.25</v>
      </c>
      <c r="G351" s="245">
        <v>19.3</v>
      </c>
      <c r="H351" s="245">
        <v>96.5</v>
      </c>
      <c r="I351" s="245">
        <v>48.949999999999996</v>
      </c>
      <c r="J351" s="245">
        <v>0</v>
      </c>
      <c r="K351" s="245">
        <v>1417.1024999999997</v>
      </c>
      <c r="L351" s="245">
        <v>2361.8374999999996</v>
      </c>
      <c r="M351" s="245">
        <v>944.7349999999999</v>
      </c>
      <c r="N351" s="245">
        <v>4723.6749999999993</v>
      </c>
      <c r="O351" s="245" t="s">
        <v>414</v>
      </c>
      <c r="P351" s="245" t="s">
        <v>98</v>
      </c>
      <c r="Q351" s="245" t="s">
        <v>282</v>
      </c>
      <c r="R351" s="246" t="s">
        <v>32</v>
      </c>
    </row>
    <row r="352" spans="1:18" ht="26" x14ac:dyDescent="0.8">
      <c r="A352" s="247">
        <v>15123</v>
      </c>
      <c r="B352" s="248" t="s">
        <v>470</v>
      </c>
      <c r="C352" s="249" t="s">
        <v>472</v>
      </c>
      <c r="D352" s="245">
        <v>0</v>
      </c>
      <c r="E352" s="245">
        <v>28.95</v>
      </c>
      <c r="F352" s="245">
        <v>48.25</v>
      </c>
      <c r="G352" s="245">
        <v>19.3</v>
      </c>
      <c r="H352" s="245">
        <v>96.5</v>
      </c>
      <c r="I352" s="245">
        <v>48.949999999999996</v>
      </c>
      <c r="J352" s="245">
        <v>0</v>
      </c>
      <c r="K352" s="245">
        <v>1417.1024999999997</v>
      </c>
      <c r="L352" s="245">
        <v>2361.8374999999996</v>
      </c>
      <c r="M352" s="245">
        <v>944.7349999999999</v>
      </c>
      <c r="N352" s="245">
        <v>4723.6749999999993</v>
      </c>
      <c r="O352" s="245" t="s">
        <v>118</v>
      </c>
      <c r="P352" s="245" t="s">
        <v>98</v>
      </c>
      <c r="Q352" s="245" t="s">
        <v>282</v>
      </c>
      <c r="R352" s="246" t="s">
        <v>32</v>
      </c>
    </row>
    <row r="353" spans="1:18" ht="26" hidden="1" x14ac:dyDescent="0.8">
      <c r="A353" s="247">
        <v>15124</v>
      </c>
      <c r="B353" s="248" t="s">
        <v>473</v>
      </c>
      <c r="C353" s="249" t="s">
        <v>55</v>
      </c>
      <c r="D353" s="245">
        <v>0</v>
      </c>
      <c r="I353" s="245">
        <v>0</v>
      </c>
      <c r="L353" s="245">
        <v>0</v>
      </c>
      <c r="O353" s="245" t="s">
        <v>169</v>
      </c>
      <c r="P353" s="245" t="s">
        <v>98</v>
      </c>
      <c r="Q353" s="245" t="s">
        <v>98</v>
      </c>
      <c r="R353" s="246" t="s">
        <v>32</v>
      </c>
    </row>
    <row r="354" spans="1:18" ht="39" hidden="1" x14ac:dyDescent="0.8">
      <c r="A354" s="247">
        <v>15125</v>
      </c>
      <c r="B354" s="248" t="s">
        <v>474</v>
      </c>
      <c r="C354" s="249" t="s">
        <v>55</v>
      </c>
      <c r="D354" s="245">
        <v>0</v>
      </c>
      <c r="E354" s="245">
        <v>1</v>
      </c>
      <c r="F354" s="245">
        <v>1</v>
      </c>
      <c r="G354" s="245">
        <v>1</v>
      </c>
      <c r="H354" s="245">
        <v>3</v>
      </c>
      <c r="I354" s="245">
        <v>0</v>
      </c>
      <c r="L354" s="245">
        <v>0</v>
      </c>
      <c r="O354" s="245" t="s">
        <v>169</v>
      </c>
      <c r="P354" s="245" t="s">
        <v>98</v>
      </c>
      <c r="Q354" s="245" t="s">
        <v>77</v>
      </c>
      <c r="R354" s="246" t="s">
        <v>32</v>
      </c>
    </row>
    <row r="355" spans="1:18" ht="26" x14ac:dyDescent="0.8">
      <c r="A355" s="247">
        <v>152</v>
      </c>
      <c r="B355" s="248" t="s">
        <v>475</v>
      </c>
      <c r="D355" s="245">
        <v>0</v>
      </c>
      <c r="R355" s="246" t="s">
        <v>32</v>
      </c>
    </row>
    <row r="356" spans="1:18" ht="26" x14ac:dyDescent="0.8">
      <c r="A356" s="247">
        <v>1521</v>
      </c>
      <c r="B356" s="248" t="s">
        <v>476</v>
      </c>
      <c r="D356" s="245">
        <v>0</v>
      </c>
      <c r="R356" s="246" t="s">
        <v>32</v>
      </c>
    </row>
    <row r="357" spans="1:18" ht="39" hidden="1" x14ac:dyDescent="0.8">
      <c r="A357" s="247">
        <v>15211</v>
      </c>
      <c r="B357" s="248" t="s">
        <v>477</v>
      </c>
      <c r="C357" s="249" t="s">
        <v>66</v>
      </c>
      <c r="D357" s="245">
        <v>0</v>
      </c>
      <c r="F357" s="245">
        <v>60</v>
      </c>
      <c r="H357" s="245">
        <v>60</v>
      </c>
      <c r="I357" s="245">
        <v>0.255</v>
      </c>
      <c r="J357" s="245">
        <v>0</v>
      </c>
      <c r="K357" s="245">
        <v>0</v>
      </c>
      <c r="L357" s="245">
        <v>15.3</v>
      </c>
      <c r="M357" s="245">
        <v>0</v>
      </c>
      <c r="N357" s="245">
        <v>15.3</v>
      </c>
      <c r="O357" s="245" t="s">
        <v>169</v>
      </c>
      <c r="P357" s="245" t="s">
        <v>192</v>
      </c>
      <c r="Q357" s="245" t="s">
        <v>96</v>
      </c>
      <c r="R357" s="246" t="s">
        <v>32</v>
      </c>
    </row>
    <row r="358" spans="1:18" ht="39" hidden="1" x14ac:dyDescent="0.8">
      <c r="A358" s="247">
        <v>15212</v>
      </c>
      <c r="B358" s="248" t="s">
        <v>478</v>
      </c>
      <c r="C358" s="249" t="s">
        <v>66</v>
      </c>
      <c r="D358" s="245">
        <v>0</v>
      </c>
      <c r="E358" s="245">
        <v>50</v>
      </c>
      <c r="H358" s="245">
        <v>50</v>
      </c>
      <c r="I358" s="245">
        <v>0.255</v>
      </c>
      <c r="J358" s="245">
        <v>0</v>
      </c>
      <c r="K358" s="245">
        <v>12.75</v>
      </c>
      <c r="L358" s="245">
        <v>0</v>
      </c>
      <c r="M358" s="245">
        <v>0</v>
      </c>
      <c r="N358" s="245">
        <v>12.75</v>
      </c>
      <c r="O358" s="245" t="s">
        <v>169</v>
      </c>
      <c r="P358" s="245" t="s">
        <v>192</v>
      </c>
      <c r="Q358" s="245" t="s">
        <v>192</v>
      </c>
      <c r="R358" s="246" t="s">
        <v>32</v>
      </c>
    </row>
    <row r="359" spans="1:18" ht="39" hidden="1" x14ac:dyDescent="0.8">
      <c r="A359" s="247">
        <v>15213</v>
      </c>
      <c r="B359" s="248" t="s">
        <v>479</v>
      </c>
      <c r="C359" s="249" t="s">
        <v>55</v>
      </c>
      <c r="D359" s="245">
        <v>0</v>
      </c>
      <c r="F359" s="245">
        <v>1</v>
      </c>
      <c r="H359" s="245">
        <v>1</v>
      </c>
      <c r="I359" s="245">
        <v>0</v>
      </c>
      <c r="L359" s="245">
        <v>0</v>
      </c>
      <c r="O359" s="245" t="s">
        <v>169</v>
      </c>
      <c r="P359" s="245" t="s">
        <v>192</v>
      </c>
      <c r="Q359" s="245" t="s">
        <v>96</v>
      </c>
      <c r="R359" s="246" t="s">
        <v>32</v>
      </c>
    </row>
    <row r="360" spans="1:18" ht="26" hidden="1" x14ac:dyDescent="0.8">
      <c r="A360" s="247">
        <v>15214</v>
      </c>
      <c r="B360" s="248" t="s">
        <v>480</v>
      </c>
      <c r="C360" s="249" t="s">
        <v>55</v>
      </c>
      <c r="D360" s="245">
        <v>0</v>
      </c>
      <c r="F360" s="245">
        <v>1</v>
      </c>
      <c r="H360" s="245">
        <v>1</v>
      </c>
      <c r="I360" s="245">
        <v>0</v>
      </c>
      <c r="L360" s="245">
        <v>0</v>
      </c>
      <c r="O360" s="245" t="s">
        <v>169</v>
      </c>
      <c r="P360" s="245" t="s">
        <v>96</v>
      </c>
      <c r="Q360" s="245" t="s">
        <v>192</v>
      </c>
      <c r="R360" s="246" t="s">
        <v>32</v>
      </c>
    </row>
    <row r="361" spans="1:18" ht="26" hidden="1" x14ac:dyDescent="0.8">
      <c r="A361" s="247">
        <v>15215</v>
      </c>
      <c r="B361" s="248" t="s">
        <v>481</v>
      </c>
      <c r="C361" s="249" t="s">
        <v>55</v>
      </c>
      <c r="D361" s="245">
        <v>0</v>
      </c>
      <c r="F361" s="245">
        <v>1</v>
      </c>
      <c r="G361" s="245">
        <v>1</v>
      </c>
      <c r="H361" s="245">
        <v>2</v>
      </c>
      <c r="I361" s="245">
        <v>0</v>
      </c>
      <c r="L361" s="245">
        <v>0</v>
      </c>
      <c r="O361" s="245" t="s">
        <v>169</v>
      </c>
      <c r="P361" s="245" t="s">
        <v>96</v>
      </c>
      <c r="Q361" s="245" t="s">
        <v>96</v>
      </c>
      <c r="R361" s="246" t="s">
        <v>32</v>
      </c>
    </row>
    <row r="362" spans="1:18" ht="26" hidden="1" x14ac:dyDescent="0.8">
      <c r="A362" s="247">
        <v>15216</v>
      </c>
      <c r="B362" s="248" t="s">
        <v>482</v>
      </c>
      <c r="C362" s="249" t="s">
        <v>55</v>
      </c>
      <c r="D362" s="245">
        <v>0</v>
      </c>
      <c r="F362" s="245">
        <v>1</v>
      </c>
      <c r="G362" s="245">
        <v>1</v>
      </c>
      <c r="H362" s="245">
        <v>2</v>
      </c>
      <c r="I362" s="245">
        <v>0</v>
      </c>
      <c r="L362" s="245">
        <v>0</v>
      </c>
      <c r="O362" s="245" t="s">
        <v>169</v>
      </c>
      <c r="P362" s="245" t="s">
        <v>96</v>
      </c>
      <c r="Q362" s="245" t="s">
        <v>96</v>
      </c>
      <c r="R362" s="246" t="s">
        <v>32</v>
      </c>
    </row>
    <row r="363" spans="1:18" ht="26" x14ac:dyDescent="0.8">
      <c r="A363" s="247">
        <v>1522</v>
      </c>
      <c r="B363" s="248" t="s">
        <v>483</v>
      </c>
      <c r="D363" s="245">
        <v>0</v>
      </c>
      <c r="R363" s="246" t="s">
        <v>32</v>
      </c>
    </row>
    <row r="364" spans="1:18" ht="26" x14ac:dyDescent="0.8">
      <c r="A364" s="247">
        <v>15221</v>
      </c>
      <c r="B364" s="248" t="s">
        <v>484</v>
      </c>
      <c r="C364" s="249" t="s">
        <v>55</v>
      </c>
      <c r="I364" s="245">
        <v>0</v>
      </c>
      <c r="O364" s="245" t="s">
        <v>67</v>
      </c>
      <c r="P364" s="245" t="s">
        <v>192</v>
      </c>
      <c r="Q364" s="245" t="s">
        <v>192</v>
      </c>
      <c r="R364" s="246" t="s">
        <v>32</v>
      </c>
    </row>
    <row r="365" spans="1:18" ht="52" x14ac:dyDescent="0.8">
      <c r="A365" s="247">
        <v>15222</v>
      </c>
      <c r="B365" s="248" t="s">
        <v>486</v>
      </c>
      <c r="C365" s="249" t="s">
        <v>38</v>
      </c>
      <c r="D365" s="245">
        <v>100</v>
      </c>
      <c r="E365" s="245">
        <v>50</v>
      </c>
      <c r="G365" s="245">
        <v>50</v>
      </c>
      <c r="H365" s="245">
        <v>200</v>
      </c>
      <c r="I365" s="245">
        <v>0.3133333333333333</v>
      </c>
      <c r="J365" s="245">
        <v>31.333333333333329</v>
      </c>
      <c r="K365" s="245">
        <v>15.666666666666664</v>
      </c>
      <c r="L365" s="245">
        <v>0</v>
      </c>
      <c r="M365" s="245">
        <v>15.666666666666664</v>
      </c>
      <c r="N365" s="245">
        <v>62.666666666666657</v>
      </c>
      <c r="O365" s="245" t="s">
        <v>67</v>
      </c>
      <c r="P365" s="245" t="s">
        <v>192</v>
      </c>
      <c r="Q365" s="245" t="s">
        <v>192</v>
      </c>
      <c r="R365" s="246" t="s">
        <v>32</v>
      </c>
    </row>
    <row r="366" spans="1:18" ht="52" x14ac:dyDescent="0.8">
      <c r="A366" s="247">
        <v>15222</v>
      </c>
      <c r="B366" s="248" t="s">
        <v>486</v>
      </c>
      <c r="C366" s="249" t="s">
        <v>38</v>
      </c>
      <c r="D366" s="245">
        <v>0</v>
      </c>
      <c r="E366" s="245">
        <v>50</v>
      </c>
      <c r="G366" s="245">
        <v>50</v>
      </c>
      <c r="H366" s="245">
        <v>100</v>
      </c>
      <c r="I366" s="245">
        <v>0.3133333333333333</v>
      </c>
      <c r="J366" s="245">
        <v>0</v>
      </c>
      <c r="K366" s="245">
        <v>15.666666666666664</v>
      </c>
      <c r="L366" s="245">
        <v>0</v>
      </c>
      <c r="M366" s="245">
        <v>15.666666666666664</v>
      </c>
      <c r="N366" s="245">
        <v>31.333333333333329</v>
      </c>
      <c r="O366" s="245" t="s">
        <v>118</v>
      </c>
      <c r="P366" s="245" t="s">
        <v>192</v>
      </c>
      <c r="Q366" s="245" t="s">
        <v>192</v>
      </c>
      <c r="R366" s="246" t="s">
        <v>32</v>
      </c>
    </row>
    <row r="367" spans="1:18" ht="39" x14ac:dyDescent="0.8">
      <c r="A367" s="247">
        <v>15223</v>
      </c>
      <c r="B367" s="248" t="s">
        <v>488</v>
      </c>
      <c r="C367" s="249" t="s">
        <v>55</v>
      </c>
      <c r="I367" s="245">
        <v>0</v>
      </c>
      <c r="O367" s="245" t="s">
        <v>67</v>
      </c>
      <c r="P367" s="245" t="s">
        <v>192</v>
      </c>
      <c r="Q367" s="245" t="s">
        <v>192</v>
      </c>
      <c r="R367" s="246" t="s">
        <v>32</v>
      </c>
    </row>
    <row r="368" spans="1:18" ht="39" x14ac:dyDescent="0.8">
      <c r="A368" s="247">
        <v>15224</v>
      </c>
      <c r="B368" s="248" t="s">
        <v>489</v>
      </c>
      <c r="C368" s="249" t="s">
        <v>491</v>
      </c>
      <c r="D368" s="245">
        <v>100</v>
      </c>
      <c r="E368" s="245">
        <v>0.5</v>
      </c>
      <c r="F368" s="245">
        <v>0.5</v>
      </c>
      <c r="G368" s="245">
        <v>0.5</v>
      </c>
      <c r="H368" s="245">
        <v>101.5</v>
      </c>
      <c r="I368" s="245">
        <v>548.04149641382298</v>
      </c>
      <c r="J368" s="245">
        <v>54804.149641382297</v>
      </c>
      <c r="K368" s="245">
        <v>274.02074820691149</v>
      </c>
      <c r="L368" s="245">
        <v>274.02074820691149</v>
      </c>
      <c r="M368" s="245">
        <v>274.02074820691149</v>
      </c>
      <c r="N368" s="245">
        <v>55626.211886003024</v>
      </c>
      <c r="O368" s="245" t="s">
        <v>67</v>
      </c>
      <c r="P368" s="245" t="s">
        <v>192</v>
      </c>
      <c r="Q368" s="245" t="s">
        <v>192</v>
      </c>
      <c r="R368" s="246" t="s">
        <v>32</v>
      </c>
    </row>
    <row r="369" spans="1:18" ht="39" x14ac:dyDescent="0.8">
      <c r="A369" s="247">
        <v>15224</v>
      </c>
      <c r="B369" s="248" t="s">
        <v>489</v>
      </c>
      <c r="C369" s="249" t="s">
        <v>491</v>
      </c>
      <c r="D369" s="245">
        <v>0</v>
      </c>
      <c r="E369" s="245">
        <v>0.5</v>
      </c>
      <c r="F369" s="245">
        <v>0.5</v>
      </c>
      <c r="G369" s="245">
        <v>0.5</v>
      </c>
      <c r="H369" s="245">
        <v>1.5</v>
      </c>
      <c r="I369" s="245">
        <v>548.04149641382298</v>
      </c>
      <c r="J369" s="245">
        <v>0</v>
      </c>
      <c r="K369" s="245">
        <v>274.02074820691149</v>
      </c>
      <c r="L369" s="245">
        <v>274.02074820691149</v>
      </c>
      <c r="M369" s="245">
        <v>274.02074820691149</v>
      </c>
      <c r="N369" s="245">
        <v>822.06224462073442</v>
      </c>
      <c r="O369" s="245" t="s">
        <v>118</v>
      </c>
      <c r="P369" s="245" t="s">
        <v>192</v>
      </c>
      <c r="Q369" s="245" t="s">
        <v>192</v>
      </c>
      <c r="R369" s="246" t="s">
        <v>32</v>
      </c>
    </row>
    <row r="370" spans="1:18" ht="39" x14ac:dyDescent="0.8">
      <c r="A370" s="247">
        <v>15225</v>
      </c>
      <c r="B370" s="248" t="s">
        <v>492</v>
      </c>
      <c r="C370" s="249" t="s">
        <v>76</v>
      </c>
      <c r="E370" s="245">
        <v>0.5</v>
      </c>
      <c r="G370" s="245">
        <v>0.5</v>
      </c>
      <c r="H370" s="245">
        <v>1</v>
      </c>
      <c r="I370" s="245">
        <v>45.936799999999998</v>
      </c>
      <c r="J370" s="245">
        <v>0</v>
      </c>
      <c r="K370" s="245">
        <v>22.968399999999999</v>
      </c>
      <c r="L370" s="245">
        <v>0</v>
      </c>
      <c r="M370" s="245">
        <v>22.968399999999999</v>
      </c>
      <c r="N370" s="245">
        <v>45.936799999999998</v>
      </c>
      <c r="O370" s="245" t="s">
        <v>67</v>
      </c>
      <c r="P370" s="245" t="s">
        <v>192</v>
      </c>
      <c r="Q370" s="245" t="s">
        <v>192</v>
      </c>
      <c r="R370" s="246" t="s">
        <v>32</v>
      </c>
    </row>
    <row r="371" spans="1:18" ht="39" x14ac:dyDescent="0.8">
      <c r="A371" s="247">
        <v>15225</v>
      </c>
      <c r="B371" s="248" t="s">
        <v>492</v>
      </c>
      <c r="C371" s="249" t="s">
        <v>76</v>
      </c>
      <c r="D371" s="245">
        <v>0</v>
      </c>
      <c r="E371" s="245">
        <v>0.5</v>
      </c>
      <c r="G371" s="245">
        <v>0.5</v>
      </c>
      <c r="H371" s="245">
        <v>1</v>
      </c>
      <c r="I371" s="245">
        <v>45.936799999999998</v>
      </c>
      <c r="J371" s="245">
        <v>0</v>
      </c>
      <c r="K371" s="245">
        <v>22.968399999999999</v>
      </c>
      <c r="L371" s="245">
        <v>0</v>
      </c>
      <c r="M371" s="245">
        <v>22.968399999999999</v>
      </c>
      <c r="N371" s="245">
        <v>45.936799999999998</v>
      </c>
      <c r="O371" s="245" t="s">
        <v>118</v>
      </c>
      <c r="P371" s="245" t="s">
        <v>192</v>
      </c>
      <c r="Q371" s="245" t="s">
        <v>192</v>
      </c>
      <c r="R371" s="246" t="s">
        <v>32</v>
      </c>
    </row>
    <row r="372" spans="1:18" ht="26" x14ac:dyDescent="0.8">
      <c r="A372" s="247">
        <v>153</v>
      </c>
      <c r="B372" s="248" t="s">
        <v>493</v>
      </c>
      <c r="D372" s="245">
        <v>0</v>
      </c>
      <c r="R372" s="246" t="s">
        <v>32</v>
      </c>
    </row>
    <row r="373" spans="1:18" ht="26" x14ac:dyDescent="0.8">
      <c r="A373" s="247">
        <v>1531</v>
      </c>
      <c r="B373" s="248" t="s">
        <v>494</v>
      </c>
      <c r="D373" s="245">
        <v>0</v>
      </c>
      <c r="R373" s="246" t="s">
        <v>32</v>
      </c>
    </row>
    <row r="374" spans="1:18" ht="39" x14ac:dyDescent="0.8">
      <c r="A374" s="247">
        <v>15311</v>
      </c>
      <c r="B374" s="248" t="s">
        <v>495</v>
      </c>
      <c r="C374" s="249" t="s">
        <v>497</v>
      </c>
      <c r="H374" s="245">
        <v>0</v>
      </c>
      <c r="I374" s="245">
        <v>285</v>
      </c>
      <c r="J374" s="245">
        <v>0</v>
      </c>
      <c r="K374" s="245">
        <v>0</v>
      </c>
      <c r="L374" s="245">
        <v>0</v>
      </c>
      <c r="M374" s="245">
        <v>0</v>
      </c>
      <c r="N374" s="245">
        <v>0</v>
      </c>
      <c r="O374" s="245" t="s">
        <v>67</v>
      </c>
      <c r="P374" s="245" t="s">
        <v>192</v>
      </c>
      <c r="Q374" s="245" t="s">
        <v>192</v>
      </c>
      <c r="R374" s="246" t="s">
        <v>32</v>
      </c>
    </row>
    <row r="375" spans="1:18" ht="26" hidden="1" x14ac:dyDescent="0.8">
      <c r="A375" s="247">
        <v>15312</v>
      </c>
      <c r="B375" s="248" t="s">
        <v>498</v>
      </c>
      <c r="C375" s="249" t="s">
        <v>55</v>
      </c>
      <c r="D375" s="245">
        <v>0</v>
      </c>
      <c r="H375" s="245">
        <v>0</v>
      </c>
      <c r="I375" s="245">
        <v>0</v>
      </c>
      <c r="L375" s="245">
        <v>0</v>
      </c>
      <c r="O375" s="245" t="s">
        <v>169</v>
      </c>
      <c r="P375" s="245" t="s">
        <v>192</v>
      </c>
      <c r="Q375" s="245" t="s">
        <v>192</v>
      </c>
      <c r="R375" s="246" t="s">
        <v>32</v>
      </c>
    </row>
    <row r="376" spans="1:18" ht="26" hidden="1" x14ac:dyDescent="0.8">
      <c r="A376" s="247">
        <v>15313</v>
      </c>
      <c r="B376" s="248" t="s">
        <v>499</v>
      </c>
      <c r="C376" s="249" t="s">
        <v>501</v>
      </c>
      <c r="D376" s="245">
        <v>0</v>
      </c>
      <c r="E376" s="245">
        <v>2.5004999999999997</v>
      </c>
      <c r="H376" s="245">
        <v>2.5004999999999997</v>
      </c>
      <c r="I376" s="245">
        <v>50.336534</v>
      </c>
      <c r="J376" s="245">
        <v>0</v>
      </c>
      <c r="K376" s="245">
        <v>125.86650326699998</v>
      </c>
      <c r="L376" s="245">
        <v>0</v>
      </c>
      <c r="M376" s="245">
        <v>0</v>
      </c>
      <c r="N376" s="245">
        <v>125.86650326699998</v>
      </c>
      <c r="O376" s="245" t="s">
        <v>169</v>
      </c>
      <c r="P376" s="245" t="s">
        <v>192</v>
      </c>
      <c r="Q376" s="245" t="s">
        <v>192</v>
      </c>
      <c r="R376" s="246" t="s">
        <v>32</v>
      </c>
    </row>
    <row r="377" spans="1:18" ht="26" x14ac:dyDescent="0.8">
      <c r="A377" s="247">
        <v>15313</v>
      </c>
      <c r="B377" s="248" t="s">
        <v>499</v>
      </c>
      <c r="C377" s="249" t="s">
        <v>501</v>
      </c>
      <c r="D377" s="245">
        <v>0</v>
      </c>
      <c r="E377" s="245">
        <v>2.2164999999999999</v>
      </c>
      <c r="H377" s="245">
        <v>2.2164999999999999</v>
      </c>
      <c r="I377" s="245">
        <v>50.336534</v>
      </c>
      <c r="J377" s="245">
        <v>0</v>
      </c>
      <c r="K377" s="245">
        <v>111.570927611</v>
      </c>
      <c r="L377" s="245">
        <v>0</v>
      </c>
      <c r="M377" s="245">
        <v>0</v>
      </c>
      <c r="N377" s="245">
        <v>111.570927611</v>
      </c>
      <c r="O377" s="245" t="s">
        <v>118</v>
      </c>
      <c r="P377" s="245" t="s">
        <v>192</v>
      </c>
      <c r="Q377" s="245" t="s">
        <v>192</v>
      </c>
      <c r="R377" s="246" t="s">
        <v>32</v>
      </c>
    </row>
    <row r="378" spans="1:18" ht="26" x14ac:dyDescent="0.8">
      <c r="A378" s="247">
        <v>15313</v>
      </c>
      <c r="B378" s="248" t="s">
        <v>499</v>
      </c>
      <c r="C378" s="249" t="s">
        <v>501</v>
      </c>
      <c r="E378" s="245">
        <v>0.28300000000000003</v>
      </c>
      <c r="H378" s="245">
        <v>0.28300000000000003</v>
      </c>
      <c r="I378" s="245">
        <v>50.336534</v>
      </c>
      <c r="J378" s="245">
        <v>0</v>
      </c>
      <c r="K378" s="245">
        <v>14.245239122000001</v>
      </c>
      <c r="L378" s="245">
        <v>0</v>
      </c>
      <c r="M378" s="245">
        <v>0</v>
      </c>
      <c r="N378" s="245">
        <v>14.245239122000001</v>
      </c>
      <c r="O378" s="245" t="s">
        <v>67</v>
      </c>
      <c r="P378" s="245" t="s">
        <v>192</v>
      </c>
      <c r="Q378" s="245" t="s">
        <v>192</v>
      </c>
      <c r="R378" s="246" t="s">
        <v>32</v>
      </c>
    </row>
    <row r="379" spans="1:18" hidden="1" x14ac:dyDescent="0.8">
      <c r="A379" s="247">
        <v>15314</v>
      </c>
      <c r="B379" s="248" t="s">
        <v>502</v>
      </c>
      <c r="C379" s="249" t="s">
        <v>452</v>
      </c>
      <c r="D379" s="245">
        <v>0</v>
      </c>
      <c r="F379" s="245">
        <v>50</v>
      </c>
      <c r="H379" s="245">
        <v>50</v>
      </c>
      <c r="I379" s="245">
        <v>7.4999999999999997E-3</v>
      </c>
      <c r="J379" s="245">
        <v>0</v>
      </c>
      <c r="K379" s="245">
        <v>0</v>
      </c>
      <c r="L379" s="245">
        <v>0.375</v>
      </c>
      <c r="M379" s="245">
        <v>0</v>
      </c>
      <c r="N379" s="245">
        <v>0.375</v>
      </c>
      <c r="O379" s="245" t="s">
        <v>169</v>
      </c>
      <c r="P379" s="245" t="s">
        <v>192</v>
      </c>
      <c r="Q379" s="245" t="s">
        <v>192</v>
      </c>
      <c r="R379" s="246" t="s">
        <v>32</v>
      </c>
    </row>
    <row r="380" spans="1:18" ht="39" hidden="1" x14ac:dyDescent="0.8">
      <c r="A380" s="247">
        <v>15315</v>
      </c>
      <c r="B380" s="248" t="s">
        <v>504</v>
      </c>
      <c r="C380" s="249" t="s">
        <v>352</v>
      </c>
      <c r="D380" s="245">
        <v>0</v>
      </c>
      <c r="E380" s="245">
        <v>60</v>
      </c>
      <c r="H380" s="245">
        <v>60</v>
      </c>
      <c r="I380" s="245">
        <v>0.54600000000000004</v>
      </c>
      <c r="J380" s="245">
        <v>0</v>
      </c>
      <c r="K380" s="245">
        <v>32.760000000000005</v>
      </c>
      <c r="L380" s="245">
        <v>0</v>
      </c>
      <c r="M380" s="245">
        <v>0</v>
      </c>
      <c r="N380" s="245">
        <v>32.760000000000005</v>
      </c>
      <c r="O380" s="245" t="s">
        <v>169</v>
      </c>
      <c r="P380" s="245" t="s">
        <v>192</v>
      </c>
      <c r="Q380" s="245" t="s">
        <v>192</v>
      </c>
      <c r="R380" s="246" t="s">
        <v>32</v>
      </c>
    </row>
    <row r="381" spans="1:18" ht="39" x14ac:dyDescent="0.8">
      <c r="A381" s="247">
        <v>15315</v>
      </c>
      <c r="B381" s="248" t="s">
        <v>504</v>
      </c>
      <c r="C381" s="249" t="s">
        <v>352</v>
      </c>
      <c r="D381" s="245">
        <v>0</v>
      </c>
      <c r="E381" s="245">
        <v>547.79999999999995</v>
      </c>
      <c r="H381" s="245">
        <v>547.79999999999995</v>
      </c>
      <c r="I381" s="245">
        <v>0.54600000000000004</v>
      </c>
      <c r="J381" s="245">
        <v>0</v>
      </c>
      <c r="K381" s="245">
        <v>299.09879999999998</v>
      </c>
      <c r="L381" s="245">
        <v>0</v>
      </c>
      <c r="M381" s="245">
        <v>0</v>
      </c>
      <c r="N381" s="245">
        <v>299.09879999999998</v>
      </c>
      <c r="O381" s="245" t="s">
        <v>118</v>
      </c>
      <c r="P381" s="245" t="s">
        <v>192</v>
      </c>
      <c r="Q381" s="245" t="s">
        <v>192</v>
      </c>
      <c r="R381" s="246" t="s">
        <v>32</v>
      </c>
    </row>
    <row r="382" spans="1:18" ht="39" x14ac:dyDescent="0.8">
      <c r="A382" s="247">
        <v>15315</v>
      </c>
      <c r="B382" s="248" t="s">
        <v>504</v>
      </c>
      <c r="C382" s="249" t="s">
        <v>352</v>
      </c>
      <c r="D382" s="245">
        <v>23</v>
      </c>
      <c r="E382" s="245">
        <v>52.08</v>
      </c>
      <c r="H382" s="245">
        <v>75.08</v>
      </c>
      <c r="I382" s="245">
        <v>0.54600000000000004</v>
      </c>
      <c r="J382" s="245">
        <v>12.558000000000002</v>
      </c>
      <c r="K382" s="245">
        <v>28.435680000000001</v>
      </c>
      <c r="L382" s="245">
        <v>0</v>
      </c>
      <c r="M382" s="245">
        <v>0</v>
      </c>
      <c r="N382" s="245">
        <v>40.993680000000005</v>
      </c>
      <c r="O382" s="245" t="s">
        <v>67</v>
      </c>
      <c r="P382" s="245" t="s">
        <v>192</v>
      </c>
      <c r="Q382" s="245" t="s">
        <v>192</v>
      </c>
      <c r="R382" s="246" t="s">
        <v>32</v>
      </c>
    </row>
    <row r="383" spans="1:18" ht="39" hidden="1" x14ac:dyDescent="0.8">
      <c r="A383" s="247">
        <v>15316</v>
      </c>
      <c r="B383" s="248" t="s">
        <v>505</v>
      </c>
      <c r="C383" s="249" t="s">
        <v>506</v>
      </c>
      <c r="D383" s="245">
        <v>0</v>
      </c>
      <c r="F383" s="245">
        <v>125</v>
      </c>
      <c r="G383" s="245">
        <v>500.25000000000006</v>
      </c>
      <c r="H383" s="245">
        <v>625.25</v>
      </c>
      <c r="I383" s="245">
        <v>0.45</v>
      </c>
      <c r="J383" s="245">
        <v>0</v>
      </c>
      <c r="K383" s="245">
        <v>0</v>
      </c>
      <c r="L383" s="245">
        <v>56.25</v>
      </c>
      <c r="M383" s="245">
        <v>225.11250000000004</v>
      </c>
      <c r="N383" s="245">
        <v>281.36250000000007</v>
      </c>
      <c r="O383" s="245" t="s">
        <v>169</v>
      </c>
      <c r="P383" s="245" t="s">
        <v>192</v>
      </c>
      <c r="Q383" s="245" t="s">
        <v>77</v>
      </c>
      <c r="R383" s="246" t="s">
        <v>32</v>
      </c>
    </row>
    <row r="384" spans="1:18" ht="39" x14ac:dyDescent="0.8">
      <c r="A384" s="247">
        <v>15316</v>
      </c>
      <c r="B384" s="248" t="s">
        <v>505</v>
      </c>
      <c r="C384" s="249" t="s">
        <v>506</v>
      </c>
      <c r="D384" s="245">
        <v>0</v>
      </c>
      <c r="E384" s="245">
        <v>1266.5999999999999</v>
      </c>
      <c r="F384" s="245">
        <v>1583.25</v>
      </c>
      <c r="G384" s="245">
        <v>1583.25</v>
      </c>
      <c r="H384" s="245">
        <v>4433.1000000000004</v>
      </c>
      <c r="I384" s="245">
        <v>0.45</v>
      </c>
      <c r="J384" s="245">
        <v>0</v>
      </c>
      <c r="K384" s="245">
        <v>569.97</v>
      </c>
      <c r="L384" s="245">
        <v>712.46249999999998</v>
      </c>
      <c r="M384" s="245">
        <v>712.46249999999998</v>
      </c>
      <c r="N384" s="245">
        <v>1994.895</v>
      </c>
      <c r="O384" s="245" t="s">
        <v>118</v>
      </c>
      <c r="P384" s="245" t="s">
        <v>192</v>
      </c>
      <c r="Q384" s="245" t="s">
        <v>77</v>
      </c>
      <c r="R384" s="246" t="s">
        <v>32</v>
      </c>
    </row>
    <row r="385" spans="1:18" ht="39" x14ac:dyDescent="0.8">
      <c r="A385" s="247">
        <v>15316</v>
      </c>
      <c r="B385" s="248" t="s">
        <v>505</v>
      </c>
      <c r="C385" s="249" t="s">
        <v>506</v>
      </c>
      <c r="D385" s="245">
        <v>453</v>
      </c>
      <c r="E385" s="245">
        <v>333.2</v>
      </c>
      <c r="F385" s="245">
        <v>416.5</v>
      </c>
      <c r="G385" s="245">
        <v>416.5</v>
      </c>
      <c r="H385" s="245">
        <v>1619.2</v>
      </c>
      <c r="I385" s="245">
        <v>0.45</v>
      </c>
      <c r="J385" s="245">
        <v>203.85</v>
      </c>
      <c r="K385" s="245">
        <v>149.94</v>
      </c>
      <c r="L385" s="245">
        <v>187.42500000000001</v>
      </c>
      <c r="M385" s="245">
        <v>187.42500000000001</v>
      </c>
      <c r="N385" s="245">
        <v>728.63999999999987</v>
      </c>
      <c r="O385" s="245" t="s">
        <v>67</v>
      </c>
      <c r="P385" s="245" t="s">
        <v>192</v>
      </c>
      <c r="Q385" s="245" t="s">
        <v>77</v>
      </c>
      <c r="R385" s="246" t="s">
        <v>32</v>
      </c>
    </row>
    <row r="386" spans="1:18" ht="26" x14ac:dyDescent="0.8">
      <c r="A386" s="247">
        <v>1532</v>
      </c>
      <c r="B386" s="248" t="s">
        <v>507</v>
      </c>
      <c r="D386" s="245">
        <v>0</v>
      </c>
      <c r="R386" s="246" t="s">
        <v>32</v>
      </c>
    </row>
    <row r="387" spans="1:18" ht="65" hidden="1" x14ac:dyDescent="0.8">
      <c r="A387" s="247">
        <v>15321</v>
      </c>
      <c r="B387" s="248" t="s">
        <v>508</v>
      </c>
      <c r="C387" s="249" t="s">
        <v>66</v>
      </c>
      <c r="D387" s="245">
        <v>0</v>
      </c>
      <c r="F387" s="245">
        <v>100</v>
      </c>
      <c r="H387" s="245">
        <v>100</v>
      </c>
      <c r="I387" s="245">
        <v>0.255</v>
      </c>
      <c r="J387" s="245">
        <v>0</v>
      </c>
      <c r="K387" s="245">
        <v>0</v>
      </c>
      <c r="L387" s="245">
        <v>25.5</v>
      </c>
      <c r="M387" s="245">
        <v>0</v>
      </c>
      <c r="N387" s="245">
        <v>25.5</v>
      </c>
      <c r="O387" s="245" t="s">
        <v>169</v>
      </c>
      <c r="P387" s="245" t="s">
        <v>192</v>
      </c>
      <c r="Q387" s="245" t="s">
        <v>192</v>
      </c>
      <c r="R387" s="246" t="s">
        <v>32</v>
      </c>
    </row>
    <row r="388" spans="1:18" ht="39" hidden="1" x14ac:dyDescent="0.8">
      <c r="A388" s="247">
        <v>15322</v>
      </c>
      <c r="B388" s="248" t="s">
        <v>509</v>
      </c>
      <c r="C388" s="249" t="s">
        <v>73</v>
      </c>
      <c r="D388" s="245">
        <v>0</v>
      </c>
      <c r="E388" s="245">
        <v>28.5</v>
      </c>
      <c r="F388" s="245">
        <v>114</v>
      </c>
      <c r="H388" s="245">
        <v>142.5</v>
      </c>
      <c r="I388" s="245">
        <v>0.4</v>
      </c>
      <c r="J388" s="245">
        <v>0</v>
      </c>
      <c r="K388" s="245">
        <v>11.4</v>
      </c>
      <c r="L388" s="245">
        <v>45.6</v>
      </c>
      <c r="M388" s="245">
        <v>0</v>
      </c>
      <c r="N388" s="245">
        <v>57</v>
      </c>
      <c r="O388" s="245" t="s">
        <v>169</v>
      </c>
      <c r="P388" s="245" t="s">
        <v>192</v>
      </c>
      <c r="Q388" s="245" t="s">
        <v>192</v>
      </c>
      <c r="R388" s="246" t="s">
        <v>32</v>
      </c>
    </row>
    <row r="389" spans="1:18" ht="39" x14ac:dyDescent="0.8">
      <c r="A389" s="247">
        <v>15322</v>
      </c>
      <c r="B389" s="248" t="s">
        <v>509</v>
      </c>
      <c r="C389" s="249" t="s">
        <v>73</v>
      </c>
      <c r="D389" s="245">
        <v>0</v>
      </c>
      <c r="E389" s="245">
        <v>266.81700000000001</v>
      </c>
      <c r="F389" s="245">
        <v>266.81700000000001</v>
      </c>
      <c r="H389" s="245">
        <v>533.63400000000001</v>
      </c>
      <c r="I389" s="245">
        <v>0.4</v>
      </c>
      <c r="J389" s="245">
        <v>0</v>
      </c>
      <c r="K389" s="245">
        <v>106.72680000000001</v>
      </c>
      <c r="L389" s="245">
        <v>106.72680000000001</v>
      </c>
      <c r="M389" s="245">
        <v>0</v>
      </c>
      <c r="N389" s="245">
        <v>213.45360000000002</v>
      </c>
      <c r="O389" s="245" t="s">
        <v>118</v>
      </c>
      <c r="P389" s="245" t="s">
        <v>192</v>
      </c>
      <c r="Q389" s="245" t="s">
        <v>192</v>
      </c>
      <c r="R389" s="246" t="s">
        <v>32</v>
      </c>
    </row>
    <row r="390" spans="1:18" ht="39" x14ac:dyDescent="0.8">
      <c r="A390" s="247">
        <v>15322</v>
      </c>
      <c r="B390" s="248" t="s">
        <v>509</v>
      </c>
      <c r="C390" s="249" t="s">
        <v>73</v>
      </c>
      <c r="E390" s="245">
        <v>189.126</v>
      </c>
      <c r="F390" s="245">
        <v>189.126</v>
      </c>
      <c r="H390" s="245">
        <v>378.25200000000001</v>
      </c>
      <c r="I390" s="245">
        <v>0.4</v>
      </c>
      <c r="J390" s="245">
        <v>0</v>
      </c>
      <c r="K390" s="245">
        <v>75.650400000000005</v>
      </c>
      <c r="L390" s="245">
        <v>75.650400000000005</v>
      </c>
      <c r="M390" s="245">
        <v>0</v>
      </c>
      <c r="N390" s="245">
        <v>151.30080000000001</v>
      </c>
      <c r="O390" s="245" t="s">
        <v>118</v>
      </c>
      <c r="P390" s="245" t="s">
        <v>192</v>
      </c>
      <c r="Q390" s="245" t="s">
        <v>192</v>
      </c>
      <c r="R390" s="246" t="s">
        <v>32</v>
      </c>
    </row>
    <row r="391" spans="1:18" ht="26" hidden="1" x14ac:dyDescent="0.8">
      <c r="A391" s="247">
        <v>15323</v>
      </c>
      <c r="B391" s="248" t="s">
        <v>511</v>
      </c>
      <c r="C391" s="249" t="s">
        <v>76</v>
      </c>
      <c r="D391" s="245">
        <v>0</v>
      </c>
      <c r="E391" s="245">
        <v>0</v>
      </c>
      <c r="F391" s="245">
        <v>2</v>
      </c>
      <c r="G391" s="245">
        <v>2</v>
      </c>
      <c r="H391" s="245">
        <v>4</v>
      </c>
      <c r="I391" s="245">
        <v>45.936799999999998</v>
      </c>
      <c r="J391" s="245">
        <v>0</v>
      </c>
      <c r="K391" s="245">
        <v>0</v>
      </c>
      <c r="L391" s="245">
        <v>91.873599999999996</v>
      </c>
      <c r="M391" s="245">
        <v>91.873599999999996</v>
      </c>
      <c r="N391" s="245">
        <v>183.74719999999999</v>
      </c>
      <c r="O391" s="245" t="s">
        <v>169</v>
      </c>
      <c r="P391" s="245" t="s">
        <v>512</v>
      </c>
      <c r="Q391" s="245" t="s">
        <v>513</v>
      </c>
      <c r="R391" s="246" t="s">
        <v>32</v>
      </c>
    </row>
    <row r="392" spans="1:18" ht="26" x14ac:dyDescent="0.8">
      <c r="A392" s="247">
        <v>15323</v>
      </c>
      <c r="B392" s="248" t="s">
        <v>511</v>
      </c>
      <c r="C392" s="249" t="s">
        <v>76</v>
      </c>
      <c r="D392" s="245">
        <v>0</v>
      </c>
      <c r="E392" s="245">
        <v>0.1714</v>
      </c>
      <c r="F392" s="245">
        <v>0.1714</v>
      </c>
      <c r="G392" s="245">
        <v>0.1714</v>
      </c>
      <c r="H392" s="245">
        <v>0.51419999999999999</v>
      </c>
      <c r="I392" s="245">
        <v>45.936799999999998</v>
      </c>
      <c r="J392" s="245">
        <v>0</v>
      </c>
      <c r="K392" s="245">
        <v>7.8735675199999999</v>
      </c>
      <c r="L392" s="245">
        <v>7.8735675199999999</v>
      </c>
      <c r="M392" s="245">
        <v>7.8735675199999999</v>
      </c>
      <c r="N392" s="245">
        <v>23.620702559999998</v>
      </c>
      <c r="O392" s="245" t="s">
        <v>118</v>
      </c>
      <c r="P392" s="245" t="s">
        <v>512</v>
      </c>
      <c r="Q392" s="245" t="s">
        <v>513</v>
      </c>
      <c r="R392" s="246" t="s">
        <v>32</v>
      </c>
    </row>
    <row r="393" spans="1:18" x14ac:dyDescent="0.8">
      <c r="A393" s="247">
        <v>1533</v>
      </c>
      <c r="B393" s="248" t="s">
        <v>514</v>
      </c>
      <c r="D393" s="245">
        <v>0</v>
      </c>
      <c r="R393" s="246" t="s">
        <v>32</v>
      </c>
    </row>
    <row r="394" spans="1:18" ht="52" hidden="1" x14ac:dyDescent="0.8">
      <c r="A394" s="247">
        <v>15331</v>
      </c>
      <c r="B394" s="248" t="s">
        <v>515</v>
      </c>
      <c r="C394" s="249" t="s">
        <v>308</v>
      </c>
      <c r="D394" s="245">
        <v>0</v>
      </c>
      <c r="E394" s="245">
        <v>1</v>
      </c>
      <c r="H394" s="245">
        <v>1</v>
      </c>
      <c r="I394" s="245">
        <v>855</v>
      </c>
      <c r="J394" s="245">
        <v>0</v>
      </c>
      <c r="K394" s="245">
        <v>855</v>
      </c>
      <c r="L394" s="245">
        <v>0</v>
      </c>
      <c r="M394" s="245">
        <v>0</v>
      </c>
      <c r="N394" s="245">
        <v>855</v>
      </c>
      <c r="O394" s="245" t="s">
        <v>169</v>
      </c>
      <c r="P394" s="245" t="s">
        <v>192</v>
      </c>
      <c r="Q394" s="245" t="s">
        <v>192</v>
      </c>
      <c r="R394" s="246" t="s">
        <v>32</v>
      </c>
    </row>
    <row r="395" spans="1:18" ht="26" hidden="1" x14ac:dyDescent="0.8">
      <c r="A395" s="247">
        <v>15332</v>
      </c>
      <c r="B395" s="248" t="s">
        <v>516</v>
      </c>
      <c r="C395" s="249" t="s">
        <v>55</v>
      </c>
      <c r="D395" s="245">
        <v>0</v>
      </c>
      <c r="E395" s="245">
        <v>1</v>
      </c>
      <c r="H395" s="245">
        <v>1</v>
      </c>
      <c r="I395" s="245">
        <v>0</v>
      </c>
      <c r="O395" s="245" t="s">
        <v>56</v>
      </c>
      <c r="P395" s="245" t="s">
        <v>192</v>
      </c>
      <c r="Q395" s="245" t="s">
        <v>192</v>
      </c>
      <c r="R395" s="246" t="s">
        <v>32</v>
      </c>
    </row>
    <row r="396" spans="1:18" ht="26" hidden="1" x14ac:dyDescent="0.8">
      <c r="A396" s="247">
        <v>15333</v>
      </c>
      <c r="B396" s="248" t="s">
        <v>517</v>
      </c>
      <c r="C396" s="249" t="s">
        <v>55</v>
      </c>
      <c r="D396" s="245">
        <v>0</v>
      </c>
      <c r="E396" s="245">
        <v>1</v>
      </c>
      <c r="F396" s="245">
        <v>1</v>
      </c>
      <c r="G396" s="245">
        <v>1</v>
      </c>
      <c r="H396" s="245">
        <v>3</v>
      </c>
      <c r="I396" s="245">
        <v>0</v>
      </c>
      <c r="O396" s="245" t="s">
        <v>56</v>
      </c>
      <c r="P396" s="245" t="s">
        <v>192</v>
      </c>
      <c r="Q396" s="245" t="s">
        <v>179</v>
      </c>
      <c r="R396" s="246" t="s">
        <v>32</v>
      </c>
    </row>
    <row r="397" spans="1:18" ht="26" hidden="1" x14ac:dyDescent="0.8">
      <c r="A397" s="247">
        <v>15334</v>
      </c>
      <c r="B397" s="248" t="s">
        <v>518</v>
      </c>
      <c r="C397" s="249" t="s">
        <v>520</v>
      </c>
      <c r="D397" s="245">
        <v>0</v>
      </c>
      <c r="E397" s="245">
        <v>81151.4476</v>
      </c>
      <c r="F397" s="245">
        <v>84062.761660000004</v>
      </c>
      <c r="G397" s="245">
        <v>867132.8144400001</v>
      </c>
      <c r="H397" s="245">
        <v>1032347.0237000001</v>
      </c>
      <c r="I397" s="245">
        <v>0.1</v>
      </c>
      <c r="J397" s="245">
        <v>0</v>
      </c>
      <c r="K397" s="245">
        <v>8115.1447600000001</v>
      </c>
      <c r="L397" s="245">
        <v>8406.2761660000015</v>
      </c>
      <c r="M397" s="245">
        <v>86713.281444000022</v>
      </c>
      <c r="N397" s="245">
        <v>103234.70237000003</v>
      </c>
      <c r="O397" s="245" t="s">
        <v>56</v>
      </c>
      <c r="P397" s="245" t="s">
        <v>192</v>
      </c>
      <c r="Q397" s="245" t="s">
        <v>521</v>
      </c>
      <c r="R397" s="246" t="s">
        <v>32</v>
      </c>
    </row>
    <row r="398" spans="1:18" ht="26" x14ac:dyDescent="0.8">
      <c r="A398" s="247">
        <v>15334</v>
      </c>
      <c r="B398" s="248" t="s">
        <v>518</v>
      </c>
      <c r="C398" s="249" t="s">
        <v>520</v>
      </c>
      <c r="D398" s="245">
        <v>0</v>
      </c>
      <c r="E398" s="245">
        <v>53635.882799999999</v>
      </c>
      <c r="F398" s="245">
        <v>55560.073980000008</v>
      </c>
      <c r="G398" s="245">
        <v>573118.96932000003</v>
      </c>
      <c r="H398" s="245">
        <v>682314.92610000004</v>
      </c>
      <c r="I398" s="245">
        <v>0.1</v>
      </c>
      <c r="J398" s="245">
        <v>0</v>
      </c>
      <c r="K398" s="245">
        <v>5363.5882799999999</v>
      </c>
      <c r="L398" s="245">
        <v>5556.0073980000016</v>
      </c>
      <c r="M398" s="245">
        <v>57311.896932000003</v>
      </c>
      <c r="N398" s="245">
        <v>68231.492610000001</v>
      </c>
      <c r="O398" s="245" t="s">
        <v>118</v>
      </c>
      <c r="P398" s="245" t="s">
        <v>192</v>
      </c>
      <c r="Q398" s="245" t="s">
        <v>521</v>
      </c>
      <c r="R398" s="246" t="s">
        <v>32</v>
      </c>
    </row>
    <row r="399" spans="1:18" ht="26" x14ac:dyDescent="0.8">
      <c r="A399" s="247">
        <v>15334</v>
      </c>
      <c r="B399" s="248" t="s">
        <v>518</v>
      </c>
      <c r="C399" s="249" t="s">
        <v>520</v>
      </c>
      <c r="D399" s="245">
        <v>0</v>
      </c>
      <c r="E399" s="245">
        <v>210.90939999999998</v>
      </c>
      <c r="F399" s="245">
        <v>218.47579000000002</v>
      </c>
      <c r="G399" s="245">
        <v>2253.6438600000001</v>
      </c>
      <c r="H399" s="245">
        <v>2683.0290500000001</v>
      </c>
      <c r="I399" s="245">
        <v>0.1</v>
      </c>
      <c r="J399" s="245">
        <v>0</v>
      </c>
      <c r="K399" s="245">
        <v>21.09094</v>
      </c>
      <c r="L399" s="245">
        <v>21.847579000000003</v>
      </c>
      <c r="M399" s="245">
        <v>225.36438600000002</v>
      </c>
      <c r="N399" s="245">
        <v>268.30290500000001</v>
      </c>
      <c r="O399" s="245" t="s">
        <v>129</v>
      </c>
      <c r="P399" s="245" t="s">
        <v>192</v>
      </c>
      <c r="Q399" s="245" t="s">
        <v>521</v>
      </c>
      <c r="R399" s="246" t="s">
        <v>32</v>
      </c>
    </row>
    <row r="400" spans="1:18" ht="26" x14ac:dyDescent="0.8">
      <c r="A400" s="247">
        <v>15334</v>
      </c>
      <c r="B400" s="248" t="s">
        <v>518</v>
      </c>
      <c r="C400" s="249" t="s">
        <v>520</v>
      </c>
      <c r="D400" s="245">
        <v>0</v>
      </c>
      <c r="E400" s="245">
        <v>15136.805399999999</v>
      </c>
      <c r="F400" s="245">
        <v>15679.839390000001</v>
      </c>
      <c r="G400" s="245">
        <v>161742.28625999999</v>
      </c>
      <c r="H400" s="245">
        <v>192558.93104999998</v>
      </c>
      <c r="I400" s="245">
        <v>0.1</v>
      </c>
      <c r="J400" s="245">
        <v>0</v>
      </c>
      <c r="K400" s="245">
        <v>1513.6805400000001</v>
      </c>
      <c r="L400" s="245">
        <v>1567.9839390000002</v>
      </c>
      <c r="M400" s="245">
        <v>16174.228626</v>
      </c>
      <c r="N400" s="245">
        <v>19255.893104999999</v>
      </c>
      <c r="O400" s="245" t="s">
        <v>221</v>
      </c>
      <c r="P400" s="245" t="s">
        <v>192</v>
      </c>
      <c r="Q400" s="245" t="s">
        <v>521</v>
      </c>
      <c r="R400" s="246" t="s">
        <v>32</v>
      </c>
    </row>
    <row r="401" spans="1:18" ht="26" x14ac:dyDescent="0.8">
      <c r="A401" s="247">
        <v>15334</v>
      </c>
      <c r="B401" s="248" t="s">
        <v>518</v>
      </c>
      <c r="C401" s="249" t="s">
        <v>520</v>
      </c>
      <c r="D401" s="245">
        <v>12102.9548</v>
      </c>
      <c r="E401" s="245">
        <v>12102.9548</v>
      </c>
      <c r="F401" s="245">
        <v>12537.14918</v>
      </c>
      <c r="G401" s="245">
        <v>129324.48612000002</v>
      </c>
      <c r="H401" s="245">
        <v>166067.54490000001</v>
      </c>
      <c r="I401" s="245">
        <v>0.1</v>
      </c>
      <c r="J401" s="245">
        <v>1210.29548</v>
      </c>
      <c r="K401" s="245">
        <v>1210.29548</v>
      </c>
      <c r="L401" s="245">
        <v>1253.7149180000001</v>
      </c>
      <c r="M401" s="245">
        <v>12932.448612000002</v>
      </c>
      <c r="N401" s="245">
        <v>16606.754490000003</v>
      </c>
      <c r="O401" s="245" t="s">
        <v>67</v>
      </c>
      <c r="P401" s="245" t="s">
        <v>192</v>
      </c>
      <c r="Q401" s="245" t="s">
        <v>521</v>
      </c>
      <c r="R401" s="246" t="s">
        <v>32</v>
      </c>
    </row>
    <row r="402" spans="1:18" ht="26" hidden="1" x14ac:dyDescent="0.8">
      <c r="A402" s="247">
        <v>15335</v>
      </c>
      <c r="B402" s="248" t="s">
        <v>522</v>
      </c>
      <c r="C402" s="249" t="s">
        <v>59</v>
      </c>
      <c r="D402" s="245">
        <v>0</v>
      </c>
      <c r="E402" s="245">
        <v>346.5</v>
      </c>
      <c r="F402" s="245">
        <v>346.5</v>
      </c>
      <c r="G402" s="245">
        <v>346.5</v>
      </c>
      <c r="H402" s="245">
        <v>1039.5</v>
      </c>
      <c r="I402" s="245">
        <v>0.8177777777777776</v>
      </c>
      <c r="J402" s="245">
        <v>0</v>
      </c>
      <c r="K402" s="245">
        <v>283.35999999999996</v>
      </c>
      <c r="L402" s="245">
        <v>283.35999999999996</v>
      </c>
      <c r="M402" s="245">
        <v>283.35999999999996</v>
      </c>
      <c r="N402" s="245">
        <v>850.07999999999993</v>
      </c>
      <c r="O402" s="245" t="s">
        <v>56</v>
      </c>
      <c r="P402" s="245" t="s">
        <v>192</v>
      </c>
      <c r="Q402" s="245" t="s">
        <v>523</v>
      </c>
      <c r="R402" s="246" t="s">
        <v>32</v>
      </c>
    </row>
    <row r="403" spans="1:18" ht="26" x14ac:dyDescent="0.8">
      <c r="A403" s="247">
        <v>15335</v>
      </c>
      <c r="B403" s="248" t="s">
        <v>522</v>
      </c>
      <c r="C403" s="249" t="s">
        <v>59</v>
      </c>
      <c r="D403" s="245">
        <v>0</v>
      </c>
      <c r="E403" s="245">
        <v>346.5</v>
      </c>
      <c r="F403" s="245">
        <v>346.5</v>
      </c>
      <c r="G403" s="245">
        <v>346.5</v>
      </c>
      <c r="H403" s="245">
        <v>1039.5</v>
      </c>
      <c r="I403" s="245">
        <v>0.8177777777777776</v>
      </c>
      <c r="J403" s="245">
        <v>0</v>
      </c>
      <c r="K403" s="245">
        <v>283.35999999999996</v>
      </c>
      <c r="L403" s="245">
        <v>283.35999999999996</v>
      </c>
      <c r="M403" s="245">
        <v>283.35999999999996</v>
      </c>
      <c r="N403" s="245">
        <v>850.07999999999993</v>
      </c>
      <c r="O403" s="245" t="s">
        <v>118</v>
      </c>
      <c r="P403" s="245" t="s">
        <v>192</v>
      </c>
      <c r="Q403" s="245" t="s">
        <v>523</v>
      </c>
      <c r="R403" s="246" t="s">
        <v>32</v>
      </c>
    </row>
    <row r="404" spans="1:18" x14ac:dyDescent="0.8">
      <c r="A404" s="247">
        <v>16</v>
      </c>
      <c r="B404" s="248" t="s">
        <v>524</v>
      </c>
      <c r="D404" s="245">
        <v>0</v>
      </c>
      <c r="R404" s="246" t="s">
        <v>32</v>
      </c>
    </row>
    <row r="405" spans="1:18" ht="26" x14ac:dyDescent="0.8">
      <c r="A405" s="247">
        <v>161</v>
      </c>
      <c r="B405" s="248" t="s">
        <v>525</v>
      </c>
      <c r="D405" s="245">
        <v>0</v>
      </c>
      <c r="R405" s="246" t="s">
        <v>32</v>
      </c>
    </row>
    <row r="406" spans="1:18" x14ac:dyDescent="0.8">
      <c r="A406" s="247">
        <v>1611</v>
      </c>
      <c r="B406" s="248" t="s">
        <v>526</v>
      </c>
      <c r="D406" s="245">
        <v>0</v>
      </c>
      <c r="R406" s="246" t="s">
        <v>32</v>
      </c>
    </row>
    <row r="407" spans="1:18" hidden="1" x14ac:dyDescent="0.8">
      <c r="A407" s="247">
        <v>16111</v>
      </c>
      <c r="B407" s="248" t="s">
        <v>527</v>
      </c>
      <c r="C407" s="249" t="s">
        <v>528</v>
      </c>
      <c r="D407" s="245">
        <v>0</v>
      </c>
      <c r="F407" s="245">
        <v>0.5</v>
      </c>
      <c r="G407" s="245">
        <v>0.5</v>
      </c>
      <c r="H407" s="245">
        <v>1</v>
      </c>
      <c r="I407" s="245">
        <v>16000</v>
      </c>
      <c r="J407" s="245">
        <v>0</v>
      </c>
      <c r="K407" s="245">
        <v>0</v>
      </c>
      <c r="L407" s="245">
        <v>8000</v>
      </c>
      <c r="M407" s="245">
        <v>8000</v>
      </c>
      <c r="N407" s="245">
        <v>16000</v>
      </c>
      <c r="O407" s="245" t="s">
        <v>56</v>
      </c>
      <c r="P407" s="245" t="s">
        <v>398</v>
      </c>
      <c r="Q407" s="245" t="s">
        <v>98</v>
      </c>
      <c r="R407" s="246" t="s">
        <v>32</v>
      </c>
    </row>
    <row r="408" spans="1:18" ht="26" x14ac:dyDescent="0.8">
      <c r="A408" s="247">
        <v>1612</v>
      </c>
      <c r="B408" s="248" t="s">
        <v>530</v>
      </c>
      <c r="D408" s="245">
        <v>0</v>
      </c>
      <c r="R408" s="246" t="s">
        <v>32</v>
      </c>
    </row>
    <row r="409" spans="1:18" ht="39" hidden="1" x14ac:dyDescent="0.8">
      <c r="A409" s="247">
        <v>16121</v>
      </c>
      <c r="B409" s="248" t="s">
        <v>531</v>
      </c>
      <c r="C409" s="249" t="s">
        <v>55</v>
      </c>
      <c r="D409" s="245">
        <v>0</v>
      </c>
      <c r="E409" s="245">
        <v>1</v>
      </c>
      <c r="H409" s="245">
        <v>1</v>
      </c>
      <c r="I409" s="245">
        <v>0</v>
      </c>
      <c r="O409" s="245" t="s">
        <v>56</v>
      </c>
      <c r="P409" s="245" t="s">
        <v>398</v>
      </c>
      <c r="Q409" s="245" t="s">
        <v>398</v>
      </c>
      <c r="R409" s="246" t="s">
        <v>32</v>
      </c>
    </row>
    <row r="410" spans="1:18" ht="39" hidden="1" x14ac:dyDescent="0.8">
      <c r="A410" s="247">
        <v>16122</v>
      </c>
      <c r="B410" s="248" t="s">
        <v>532</v>
      </c>
      <c r="C410" s="249" t="s">
        <v>55</v>
      </c>
      <c r="D410" s="245">
        <v>0</v>
      </c>
      <c r="E410" s="245">
        <v>1</v>
      </c>
      <c r="H410" s="245">
        <v>1</v>
      </c>
      <c r="I410" s="245">
        <v>0</v>
      </c>
      <c r="O410" s="245" t="s">
        <v>56</v>
      </c>
      <c r="P410" s="245" t="s">
        <v>398</v>
      </c>
      <c r="Q410" s="245" t="s">
        <v>398</v>
      </c>
      <c r="R410" s="246" t="s">
        <v>32</v>
      </c>
    </row>
    <row r="411" spans="1:18" ht="39" hidden="1" x14ac:dyDescent="0.8">
      <c r="A411" s="247">
        <v>16123</v>
      </c>
      <c r="B411" s="248" t="s">
        <v>533</v>
      </c>
      <c r="C411" s="249" t="s">
        <v>55</v>
      </c>
      <c r="D411" s="245">
        <v>0</v>
      </c>
      <c r="E411" s="245">
        <v>1</v>
      </c>
      <c r="F411" s="245">
        <v>1</v>
      </c>
      <c r="G411" s="245">
        <v>1</v>
      </c>
      <c r="H411" s="245">
        <v>3</v>
      </c>
      <c r="I411" s="245">
        <v>0</v>
      </c>
      <c r="O411" s="245" t="s">
        <v>56</v>
      </c>
      <c r="P411" s="245" t="s">
        <v>398</v>
      </c>
      <c r="Q411" s="245" t="s">
        <v>282</v>
      </c>
      <c r="R411" s="246" t="s">
        <v>32</v>
      </c>
    </row>
    <row r="412" spans="1:18" ht="39" x14ac:dyDescent="0.8">
      <c r="A412" s="247">
        <v>1613</v>
      </c>
      <c r="B412" s="248" t="s">
        <v>535</v>
      </c>
      <c r="D412" s="245">
        <v>0</v>
      </c>
      <c r="R412" s="246" t="s">
        <v>32</v>
      </c>
    </row>
    <row r="413" spans="1:18" ht="52" hidden="1" x14ac:dyDescent="0.8">
      <c r="A413" s="247">
        <v>16131</v>
      </c>
      <c r="B413" s="248" t="s">
        <v>536</v>
      </c>
      <c r="C413" s="249" t="s">
        <v>55</v>
      </c>
      <c r="D413" s="245">
        <v>0</v>
      </c>
      <c r="E413" s="245">
        <v>1</v>
      </c>
      <c r="F413" s="245">
        <v>1</v>
      </c>
      <c r="G413" s="245">
        <v>1</v>
      </c>
      <c r="H413" s="245">
        <v>3</v>
      </c>
      <c r="I413" s="245">
        <v>0</v>
      </c>
      <c r="O413" s="245" t="s">
        <v>56</v>
      </c>
      <c r="P413" s="245" t="s">
        <v>96</v>
      </c>
      <c r="Q413" s="245" t="s">
        <v>282</v>
      </c>
      <c r="R413" s="246" t="s">
        <v>32</v>
      </c>
    </row>
    <row r="414" spans="1:18" ht="39" hidden="1" x14ac:dyDescent="0.8">
      <c r="A414" s="247">
        <v>16132</v>
      </c>
      <c r="B414" s="248" t="s">
        <v>537</v>
      </c>
      <c r="C414" s="249" t="s">
        <v>55</v>
      </c>
      <c r="D414" s="245">
        <v>0</v>
      </c>
      <c r="I414" s="245">
        <v>0</v>
      </c>
      <c r="O414" s="245" t="s">
        <v>56</v>
      </c>
      <c r="P414" s="245" t="s">
        <v>98</v>
      </c>
      <c r="Q414" s="245" t="s">
        <v>538</v>
      </c>
      <c r="R414" s="246" t="s">
        <v>32</v>
      </c>
    </row>
    <row r="415" spans="1:18" ht="26" hidden="1" x14ac:dyDescent="0.8">
      <c r="A415" s="247">
        <v>16133</v>
      </c>
      <c r="B415" s="248" t="s">
        <v>410</v>
      </c>
      <c r="C415" s="249" t="s">
        <v>539</v>
      </c>
      <c r="D415" s="245">
        <v>0</v>
      </c>
      <c r="E415" s="245">
        <v>78.75</v>
      </c>
      <c r="F415" s="245">
        <v>131.25</v>
      </c>
      <c r="G415" s="245">
        <v>52.5</v>
      </c>
      <c r="H415" s="245">
        <v>262.5</v>
      </c>
      <c r="I415" s="245">
        <v>500</v>
      </c>
      <c r="J415" s="245">
        <v>0</v>
      </c>
      <c r="K415" s="245">
        <v>39375</v>
      </c>
      <c r="L415" s="245">
        <v>65625</v>
      </c>
      <c r="M415" s="245">
        <v>26250</v>
      </c>
      <c r="N415" s="245">
        <v>131250</v>
      </c>
      <c r="O415" s="245" t="s">
        <v>56</v>
      </c>
      <c r="P415" s="245" t="s">
        <v>98</v>
      </c>
      <c r="Q415" s="245" t="s">
        <v>98</v>
      </c>
      <c r="R415" s="246" t="s">
        <v>32</v>
      </c>
    </row>
    <row r="416" spans="1:18" ht="26" x14ac:dyDescent="0.8">
      <c r="A416" s="247">
        <v>16133</v>
      </c>
      <c r="B416" s="248" t="s">
        <v>410</v>
      </c>
      <c r="C416" s="249" t="s">
        <v>539</v>
      </c>
      <c r="D416" s="245">
        <v>0</v>
      </c>
      <c r="E416" s="245">
        <v>78.75</v>
      </c>
      <c r="F416" s="245">
        <v>131.25</v>
      </c>
      <c r="G416" s="245">
        <v>52.5</v>
      </c>
      <c r="H416" s="245">
        <v>262.5</v>
      </c>
      <c r="I416" s="245">
        <v>500</v>
      </c>
      <c r="J416" s="245">
        <v>0</v>
      </c>
      <c r="K416" s="245">
        <v>39375</v>
      </c>
      <c r="L416" s="245">
        <v>65625</v>
      </c>
      <c r="M416" s="245">
        <v>26250</v>
      </c>
      <c r="N416" s="245">
        <v>131250</v>
      </c>
      <c r="O416" s="245" t="s">
        <v>118</v>
      </c>
      <c r="P416" s="245" t="s">
        <v>98</v>
      </c>
      <c r="Q416" s="245" t="s">
        <v>98</v>
      </c>
      <c r="R416" s="246" t="s">
        <v>32</v>
      </c>
    </row>
    <row r="417" spans="1:18" ht="26" hidden="1" x14ac:dyDescent="0.8">
      <c r="A417" s="247">
        <v>16134</v>
      </c>
      <c r="B417" s="248" t="s">
        <v>415</v>
      </c>
      <c r="C417" s="249" t="s">
        <v>540</v>
      </c>
      <c r="D417" s="245">
        <v>0</v>
      </c>
      <c r="E417" s="245">
        <v>39.375</v>
      </c>
      <c r="F417" s="245">
        <v>65.625</v>
      </c>
      <c r="G417" s="245">
        <v>26.25</v>
      </c>
      <c r="H417" s="245">
        <v>131.25</v>
      </c>
      <c r="I417" s="245">
        <v>45.833333333333336</v>
      </c>
      <c r="J417" s="245">
        <v>0</v>
      </c>
      <c r="K417" s="245">
        <v>1804.6875</v>
      </c>
      <c r="L417" s="245">
        <v>3007.8125</v>
      </c>
      <c r="M417" s="245">
        <v>1203.125</v>
      </c>
      <c r="N417" s="245">
        <v>6015.625</v>
      </c>
      <c r="O417" s="245" t="s">
        <v>56</v>
      </c>
      <c r="P417" s="245" t="s">
        <v>98</v>
      </c>
      <c r="Q417" s="245" t="s">
        <v>98</v>
      </c>
      <c r="R417" s="246" t="s">
        <v>32</v>
      </c>
    </row>
    <row r="418" spans="1:18" ht="26" x14ac:dyDescent="0.8">
      <c r="A418" s="247">
        <v>16134</v>
      </c>
      <c r="B418" s="248" t="s">
        <v>415</v>
      </c>
      <c r="C418" s="249" t="s">
        <v>540</v>
      </c>
      <c r="D418" s="245">
        <v>0</v>
      </c>
      <c r="E418" s="245">
        <v>39.375</v>
      </c>
      <c r="F418" s="245">
        <v>65.625</v>
      </c>
      <c r="G418" s="245">
        <v>26.25</v>
      </c>
      <c r="H418" s="245">
        <v>131.25</v>
      </c>
      <c r="I418" s="245">
        <v>45.833333333333336</v>
      </c>
      <c r="J418" s="245">
        <v>0</v>
      </c>
      <c r="K418" s="245">
        <v>1804.6875</v>
      </c>
      <c r="L418" s="245">
        <v>3007.8125</v>
      </c>
      <c r="M418" s="245">
        <v>1203.125</v>
      </c>
      <c r="N418" s="245">
        <v>6015.625</v>
      </c>
      <c r="O418" s="245" t="s">
        <v>118</v>
      </c>
      <c r="P418" s="245" t="s">
        <v>98</v>
      </c>
      <c r="Q418" s="245" t="s">
        <v>98</v>
      </c>
      <c r="R418" s="246" t="s">
        <v>32</v>
      </c>
    </row>
    <row r="419" spans="1:18" hidden="1" x14ac:dyDescent="0.8">
      <c r="A419" s="247">
        <v>16135</v>
      </c>
      <c r="B419" s="248" t="s">
        <v>541</v>
      </c>
      <c r="C419" s="249" t="s">
        <v>110</v>
      </c>
      <c r="D419" s="245">
        <v>0</v>
      </c>
      <c r="E419" s="245">
        <v>39.375</v>
      </c>
      <c r="F419" s="245">
        <v>65.625</v>
      </c>
      <c r="G419" s="245">
        <v>26.25</v>
      </c>
      <c r="H419" s="245">
        <v>131.25</v>
      </c>
      <c r="I419" s="245">
        <v>7.1760000000000002</v>
      </c>
      <c r="J419" s="245">
        <v>0</v>
      </c>
      <c r="K419" s="245">
        <v>282.55500000000001</v>
      </c>
      <c r="L419" s="245">
        <v>470.92500000000001</v>
      </c>
      <c r="M419" s="245">
        <v>188.37</v>
      </c>
      <c r="N419" s="245">
        <v>941.85</v>
      </c>
      <c r="O419" s="245" t="s">
        <v>56</v>
      </c>
      <c r="P419" s="245" t="s">
        <v>98</v>
      </c>
      <c r="Q419" s="245" t="s">
        <v>98</v>
      </c>
      <c r="R419" s="246" t="s">
        <v>32</v>
      </c>
    </row>
    <row r="420" spans="1:18" x14ac:dyDescent="0.8">
      <c r="A420" s="247">
        <v>16135</v>
      </c>
      <c r="B420" s="248" t="s">
        <v>541</v>
      </c>
      <c r="C420" s="249" t="s">
        <v>110</v>
      </c>
      <c r="D420" s="245">
        <v>0</v>
      </c>
      <c r="E420" s="245">
        <v>39.375</v>
      </c>
      <c r="F420" s="245">
        <v>65.625</v>
      </c>
      <c r="G420" s="245">
        <v>26.25</v>
      </c>
      <c r="H420" s="245">
        <v>131.25</v>
      </c>
      <c r="I420" s="245">
        <v>7.1760000000000002</v>
      </c>
      <c r="J420" s="245">
        <v>0</v>
      </c>
      <c r="K420" s="245">
        <v>282.55500000000001</v>
      </c>
      <c r="L420" s="245">
        <v>470.92500000000001</v>
      </c>
      <c r="M420" s="245">
        <v>188.37</v>
      </c>
      <c r="N420" s="245">
        <v>941.85</v>
      </c>
      <c r="O420" s="245" t="s">
        <v>118</v>
      </c>
      <c r="P420" s="245" t="s">
        <v>98</v>
      </c>
      <c r="Q420" s="245" t="s">
        <v>98</v>
      </c>
      <c r="R420" s="246" t="s">
        <v>32</v>
      </c>
    </row>
    <row r="421" spans="1:18" ht="39" x14ac:dyDescent="0.8">
      <c r="A421" s="247">
        <v>1614</v>
      </c>
      <c r="B421" s="248" t="s">
        <v>542</v>
      </c>
      <c r="D421" s="245">
        <v>0</v>
      </c>
      <c r="R421" s="246" t="s">
        <v>32</v>
      </c>
    </row>
    <row r="422" spans="1:18" ht="39" hidden="1" x14ac:dyDescent="0.8">
      <c r="A422" s="247">
        <v>16141</v>
      </c>
      <c r="B422" s="248" t="s">
        <v>543</v>
      </c>
      <c r="C422" s="249" t="s">
        <v>55</v>
      </c>
      <c r="D422" s="245">
        <v>0</v>
      </c>
      <c r="E422" s="245">
        <v>1</v>
      </c>
      <c r="F422" s="245">
        <v>1</v>
      </c>
      <c r="G422" s="245">
        <v>1</v>
      </c>
      <c r="H422" s="245">
        <v>3</v>
      </c>
      <c r="I422" s="245">
        <v>0</v>
      </c>
      <c r="O422" s="245" t="s">
        <v>56</v>
      </c>
      <c r="P422" s="245" t="s">
        <v>96</v>
      </c>
      <c r="Q422" s="245" t="s">
        <v>421</v>
      </c>
      <c r="R422" s="246" t="s">
        <v>32</v>
      </c>
    </row>
    <row r="423" spans="1:18" ht="26" hidden="1" x14ac:dyDescent="0.8">
      <c r="A423" s="247">
        <v>16142</v>
      </c>
      <c r="B423" s="248" t="s">
        <v>544</v>
      </c>
      <c r="C423" s="249" t="s">
        <v>55</v>
      </c>
      <c r="D423" s="245">
        <v>0</v>
      </c>
      <c r="E423" s="245">
        <v>1</v>
      </c>
      <c r="F423" s="245">
        <v>1</v>
      </c>
      <c r="G423" s="245">
        <v>1</v>
      </c>
      <c r="H423" s="245">
        <v>3</v>
      </c>
      <c r="I423" s="245">
        <v>0</v>
      </c>
      <c r="O423" s="245" t="s">
        <v>56</v>
      </c>
      <c r="P423" s="245" t="s">
        <v>98</v>
      </c>
      <c r="Q423" s="245" t="s">
        <v>469</v>
      </c>
      <c r="R423" s="246" t="s">
        <v>32</v>
      </c>
    </row>
    <row r="424" spans="1:18" ht="26" hidden="1" x14ac:dyDescent="0.8">
      <c r="A424" s="247">
        <v>16143</v>
      </c>
      <c r="B424" s="248" t="s">
        <v>408</v>
      </c>
      <c r="C424" s="249" t="s">
        <v>545</v>
      </c>
      <c r="D424" s="245">
        <v>0</v>
      </c>
      <c r="E424" s="245">
        <v>9</v>
      </c>
      <c r="F424" s="245">
        <v>15</v>
      </c>
      <c r="G424" s="245">
        <v>6</v>
      </c>
      <c r="H424" s="245">
        <v>30</v>
      </c>
      <c r="I424" s="245">
        <v>83.35</v>
      </c>
      <c r="J424" s="245">
        <v>0</v>
      </c>
      <c r="K424" s="245">
        <v>750.15</v>
      </c>
      <c r="L424" s="245">
        <v>1250.25</v>
      </c>
      <c r="M424" s="245">
        <v>500.09999999999997</v>
      </c>
      <c r="N424" s="245">
        <v>2500.5</v>
      </c>
      <c r="O424" s="245" t="s">
        <v>56</v>
      </c>
      <c r="P424" s="245" t="s">
        <v>98</v>
      </c>
      <c r="Q424" s="245" t="s">
        <v>546</v>
      </c>
      <c r="R424" s="246" t="s">
        <v>32</v>
      </c>
    </row>
    <row r="425" spans="1:18" ht="26" hidden="1" x14ac:dyDescent="0.8">
      <c r="A425" s="247">
        <v>16144</v>
      </c>
      <c r="B425" s="248" t="s">
        <v>415</v>
      </c>
      <c r="C425" s="249" t="s">
        <v>540</v>
      </c>
      <c r="D425" s="245">
        <v>0</v>
      </c>
      <c r="E425" s="245">
        <v>9</v>
      </c>
      <c r="F425" s="245">
        <v>15</v>
      </c>
      <c r="G425" s="245">
        <v>6</v>
      </c>
      <c r="H425" s="245">
        <v>30</v>
      </c>
      <c r="I425" s="245">
        <v>45.833333333333336</v>
      </c>
      <c r="J425" s="245">
        <v>0</v>
      </c>
      <c r="K425" s="245">
        <v>412.5</v>
      </c>
      <c r="L425" s="245">
        <v>687.5</v>
      </c>
      <c r="M425" s="245">
        <v>275</v>
      </c>
      <c r="N425" s="245">
        <v>1375</v>
      </c>
      <c r="O425" s="245" t="s">
        <v>56</v>
      </c>
      <c r="P425" s="245" t="s">
        <v>98</v>
      </c>
      <c r="Q425" s="245" t="s">
        <v>546</v>
      </c>
      <c r="R425" s="246" t="s">
        <v>32</v>
      </c>
    </row>
    <row r="426" spans="1:18" ht="26" hidden="1" x14ac:dyDescent="0.8">
      <c r="A426" s="247">
        <v>16145</v>
      </c>
      <c r="B426" s="248" t="s">
        <v>547</v>
      </c>
      <c r="C426" s="249" t="s">
        <v>138</v>
      </c>
      <c r="D426" s="245">
        <v>0</v>
      </c>
      <c r="E426" s="245">
        <v>9</v>
      </c>
      <c r="F426" s="245">
        <v>15</v>
      </c>
      <c r="G426" s="245">
        <v>6</v>
      </c>
      <c r="H426" s="245">
        <v>30</v>
      </c>
      <c r="I426" s="245">
        <v>1.7549999999999999</v>
      </c>
      <c r="J426" s="245">
        <v>0</v>
      </c>
      <c r="K426" s="245">
        <v>15.794999999999998</v>
      </c>
      <c r="L426" s="245">
        <v>26.324999999999999</v>
      </c>
      <c r="M426" s="245">
        <v>10.53</v>
      </c>
      <c r="N426" s="245">
        <v>52.65</v>
      </c>
      <c r="O426" s="245" t="s">
        <v>56</v>
      </c>
      <c r="P426" s="245" t="s">
        <v>98</v>
      </c>
      <c r="Q426" s="245" t="s">
        <v>548</v>
      </c>
      <c r="R426" s="246" t="s">
        <v>32</v>
      </c>
    </row>
    <row r="427" spans="1:18" ht="26" x14ac:dyDescent="0.8">
      <c r="A427" s="247">
        <v>162</v>
      </c>
      <c r="B427" s="248" t="s">
        <v>549</v>
      </c>
      <c r="D427" s="245">
        <v>0</v>
      </c>
      <c r="R427" s="246" t="s">
        <v>32</v>
      </c>
    </row>
    <row r="428" spans="1:18" ht="26" x14ac:dyDescent="0.8">
      <c r="A428" s="247">
        <v>1621</v>
      </c>
      <c r="B428" s="248" t="s">
        <v>550</v>
      </c>
      <c r="D428" s="245">
        <v>0</v>
      </c>
      <c r="R428" s="246" t="s">
        <v>32</v>
      </c>
    </row>
    <row r="429" spans="1:18" ht="26" hidden="1" x14ac:dyDescent="0.8">
      <c r="A429" s="247">
        <v>16211</v>
      </c>
      <c r="B429" s="248" t="s">
        <v>141</v>
      </c>
      <c r="C429" s="249" t="s">
        <v>55</v>
      </c>
      <c r="D429" s="245">
        <v>0</v>
      </c>
      <c r="I429" s="245">
        <v>0</v>
      </c>
      <c r="O429" s="245" t="s">
        <v>56</v>
      </c>
      <c r="P429" s="245" t="s">
        <v>142</v>
      </c>
      <c r="Q429" s="245" t="s">
        <v>421</v>
      </c>
      <c r="R429" s="246" t="s">
        <v>32</v>
      </c>
    </row>
    <row r="430" spans="1:18" ht="26" hidden="1" x14ac:dyDescent="0.8">
      <c r="A430" s="247">
        <v>16212</v>
      </c>
      <c r="B430" s="248" t="s">
        <v>551</v>
      </c>
      <c r="C430" s="249" t="s">
        <v>55</v>
      </c>
      <c r="D430" s="245">
        <v>0</v>
      </c>
      <c r="E430" s="245">
        <v>1</v>
      </c>
      <c r="F430" s="245">
        <v>1</v>
      </c>
      <c r="G430" s="245">
        <v>1</v>
      </c>
      <c r="H430" s="245">
        <v>3</v>
      </c>
      <c r="I430" s="245">
        <v>0</v>
      </c>
      <c r="O430" s="245" t="s">
        <v>56</v>
      </c>
      <c r="P430" s="245" t="s">
        <v>142</v>
      </c>
      <c r="Q430" s="245" t="s">
        <v>552</v>
      </c>
      <c r="R430" s="246" t="s">
        <v>32</v>
      </c>
    </row>
    <row r="431" spans="1:18" ht="26" hidden="1" x14ac:dyDescent="0.8">
      <c r="A431" s="247">
        <v>16213</v>
      </c>
      <c r="B431" s="248" t="s">
        <v>145</v>
      </c>
      <c r="C431" s="249" t="s">
        <v>554</v>
      </c>
      <c r="D431" s="245">
        <v>0</v>
      </c>
      <c r="E431" s="245">
        <v>392</v>
      </c>
      <c r="F431" s="245">
        <v>427</v>
      </c>
      <c r="G431" s="245">
        <v>463</v>
      </c>
      <c r="H431" s="245">
        <v>1282</v>
      </c>
      <c r="I431" s="245">
        <v>35.366873292398708</v>
      </c>
      <c r="J431" s="245">
        <v>0</v>
      </c>
      <c r="K431" s="245">
        <v>13863.814330620293</v>
      </c>
      <c r="L431" s="245">
        <v>15101.654895854248</v>
      </c>
      <c r="M431" s="245">
        <v>16374.862334380601</v>
      </c>
      <c r="N431" s="245">
        <v>45340.331560855142</v>
      </c>
      <c r="O431" s="245" t="s">
        <v>56</v>
      </c>
      <c r="P431" s="245" t="s">
        <v>142</v>
      </c>
      <c r="Q431" s="245" t="s">
        <v>239</v>
      </c>
      <c r="R431" s="246" t="s">
        <v>32</v>
      </c>
    </row>
    <row r="432" spans="1:18" ht="26" hidden="1" x14ac:dyDescent="0.8">
      <c r="A432" s="247">
        <v>16214</v>
      </c>
      <c r="B432" s="248" t="s">
        <v>555</v>
      </c>
      <c r="C432" s="249" t="s">
        <v>557</v>
      </c>
      <c r="D432" s="245">
        <v>0</v>
      </c>
      <c r="E432" s="245">
        <v>0.90732456960101504</v>
      </c>
      <c r="F432" s="245">
        <v>1.0302361279168499</v>
      </c>
      <c r="G432" s="245">
        <v>1.16928919941153</v>
      </c>
      <c r="H432" s="245">
        <v>3.1068498969293952</v>
      </c>
      <c r="I432" s="245">
        <v>105961.45768181</v>
      </c>
      <c r="J432" s="245">
        <v>0</v>
      </c>
      <c r="K432" s="245">
        <v>96141.433985444426</v>
      </c>
      <c r="L432" s="245">
        <v>109165.32187053309</v>
      </c>
      <c r="M432" s="245">
        <v>123899.58802124234</v>
      </c>
      <c r="N432" s="245">
        <v>329206.34387721989</v>
      </c>
      <c r="O432" s="245" t="s">
        <v>56</v>
      </c>
      <c r="P432" s="245" t="s">
        <v>142</v>
      </c>
      <c r="Q432" s="245" t="s">
        <v>239</v>
      </c>
      <c r="R432" s="246" t="s">
        <v>32</v>
      </c>
    </row>
    <row r="433" spans="1:18" ht="26" hidden="1" x14ac:dyDescent="0.8">
      <c r="A433" s="247">
        <v>16215</v>
      </c>
      <c r="B433" s="248" t="s">
        <v>558</v>
      </c>
      <c r="C433" s="249" t="s">
        <v>55</v>
      </c>
      <c r="D433" s="245">
        <v>0</v>
      </c>
      <c r="E433" s="245">
        <v>1</v>
      </c>
      <c r="F433" s="245">
        <v>1</v>
      </c>
      <c r="G433" s="245">
        <v>1</v>
      </c>
      <c r="H433" s="245">
        <v>3</v>
      </c>
      <c r="I433" s="245">
        <v>0</v>
      </c>
      <c r="O433" s="245" t="s">
        <v>56</v>
      </c>
      <c r="P433" s="245" t="s">
        <v>398</v>
      </c>
      <c r="Q433" s="245" t="s">
        <v>273</v>
      </c>
      <c r="R433" s="246" t="s">
        <v>32</v>
      </c>
    </row>
    <row r="434" spans="1:18" ht="26" x14ac:dyDescent="0.8">
      <c r="A434" s="247">
        <v>1622</v>
      </c>
      <c r="B434" s="248" t="s">
        <v>559</v>
      </c>
      <c r="D434" s="245">
        <v>0</v>
      </c>
      <c r="R434" s="246" t="s">
        <v>32</v>
      </c>
    </row>
    <row r="435" spans="1:18" ht="26" hidden="1" x14ac:dyDescent="0.8">
      <c r="A435" s="247">
        <v>16221</v>
      </c>
      <c r="B435" s="248" t="s">
        <v>560</v>
      </c>
      <c r="C435" s="249" t="s">
        <v>59</v>
      </c>
      <c r="D435" s="245">
        <v>0</v>
      </c>
      <c r="E435" s="245">
        <v>320</v>
      </c>
      <c r="H435" s="245">
        <v>320</v>
      </c>
      <c r="I435" s="245">
        <v>0.8177777777777776</v>
      </c>
      <c r="J435" s="245">
        <v>0</v>
      </c>
      <c r="K435" s="245">
        <v>261.68888888888881</v>
      </c>
      <c r="L435" s="245">
        <v>0</v>
      </c>
      <c r="M435" s="245">
        <v>0</v>
      </c>
      <c r="N435" s="245">
        <v>261.68888888888881</v>
      </c>
      <c r="O435" s="245" t="s">
        <v>56</v>
      </c>
      <c r="P435" s="245" t="s">
        <v>142</v>
      </c>
      <c r="Q435" s="245" t="s">
        <v>429</v>
      </c>
      <c r="R435" s="246" t="s">
        <v>32</v>
      </c>
    </row>
    <row r="436" spans="1:18" ht="39" hidden="1" x14ac:dyDescent="0.8">
      <c r="A436" s="247">
        <v>16222</v>
      </c>
      <c r="B436" s="248" t="s">
        <v>430</v>
      </c>
      <c r="C436" s="249" t="s">
        <v>55</v>
      </c>
      <c r="D436" s="245">
        <v>0</v>
      </c>
      <c r="E436" s="245">
        <v>1</v>
      </c>
      <c r="F436" s="245">
        <v>1</v>
      </c>
      <c r="G436" s="245">
        <v>1</v>
      </c>
      <c r="H436" s="245">
        <v>3</v>
      </c>
      <c r="I436" s="245">
        <v>0</v>
      </c>
      <c r="O436" s="245" t="s">
        <v>56</v>
      </c>
      <c r="P436" s="245" t="s">
        <v>142</v>
      </c>
      <c r="Q436" s="245" t="s">
        <v>431</v>
      </c>
      <c r="R436" s="246" t="s">
        <v>32</v>
      </c>
    </row>
    <row r="437" spans="1:18" ht="39" hidden="1" x14ac:dyDescent="0.8">
      <c r="A437" s="247">
        <v>16223</v>
      </c>
      <c r="B437" s="248" t="s">
        <v>561</v>
      </c>
      <c r="C437" s="249" t="s">
        <v>55</v>
      </c>
      <c r="D437" s="245">
        <v>0</v>
      </c>
      <c r="G437" s="245">
        <v>1</v>
      </c>
      <c r="H437" s="245">
        <v>1</v>
      </c>
      <c r="I437" s="245">
        <v>0</v>
      </c>
      <c r="O437" s="245" t="s">
        <v>56</v>
      </c>
      <c r="P437" s="245" t="s">
        <v>142</v>
      </c>
      <c r="Q437" s="245" t="s">
        <v>144</v>
      </c>
      <c r="R437" s="246" t="s">
        <v>32</v>
      </c>
    </row>
    <row r="438" spans="1:18" ht="26" x14ac:dyDescent="0.8">
      <c r="A438" s="247">
        <v>1623</v>
      </c>
      <c r="B438" s="248" t="s">
        <v>562</v>
      </c>
      <c r="D438" s="245">
        <v>0</v>
      </c>
      <c r="R438" s="246" t="s">
        <v>32</v>
      </c>
    </row>
    <row r="439" spans="1:18" ht="39" hidden="1" x14ac:dyDescent="0.8">
      <c r="A439" s="247">
        <v>16231</v>
      </c>
      <c r="B439" s="248" t="s">
        <v>563</v>
      </c>
      <c r="C439" s="249" t="s">
        <v>66</v>
      </c>
      <c r="D439" s="245">
        <v>0</v>
      </c>
      <c r="E439" s="245">
        <v>60</v>
      </c>
      <c r="H439" s="245">
        <v>60</v>
      </c>
      <c r="I439" s="245">
        <v>0.255</v>
      </c>
      <c r="J439" s="245">
        <v>0</v>
      </c>
      <c r="K439" s="245">
        <v>15.3</v>
      </c>
      <c r="L439" s="245">
        <v>0</v>
      </c>
      <c r="M439" s="245">
        <v>0</v>
      </c>
      <c r="N439" s="245">
        <v>15.3</v>
      </c>
      <c r="O439" s="245" t="s">
        <v>56</v>
      </c>
      <c r="P439" s="245" t="s">
        <v>398</v>
      </c>
      <c r="Q439" s="245" t="s">
        <v>273</v>
      </c>
      <c r="R439" s="246" t="s">
        <v>32</v>
      </c>
    </row>
    <row r="440" spans="1:18" ht="39" hidden="1" x14ac:dyDescent="0.8">
      <c r="A440" s="247">
        <v>16232</v>
      </c>
      <c r="B440" s="248" t="s">
        <v>564</v>
      </c>
      <c r="C440" s="249" t="s">
        <v>66</v>
      </c>
      <c r="D440" s="245">
        <v>0</v>
      </c>
      <c r="E440" s="245">
        <v>80</v>
      </c>
      <c r="H440" s="245">
        <v>80</v>
      </c>
      <c r="I440" s="245">
        <v>0.255</v>
      </c>
      <c r="J440" s="245">
        <v>0</v>
      </c>
      <c r="K440" s="245">
        <v>20.399999999999999</v>
      </c>
      <c r="L440" s="245">
        <v>0</v>
      </c>
      <c r="M440" s="245">
        <v>0</v>
      </c>
      <c r="N440" s="245">
        <v>20.399999999999999</v>
      </c>
      <c r="O440" s="245" t="s">
        <v>56</v>
      </c>
      <c r="P440" s="245" t="s">
        <v>398</v>
      </c>
      <c r="Q440" s="245" t="s">
        <v>273</v>
      </c>
      <c r="R440" s="246" t="s">
        <v>32</v>
      </c>
    </row>
    <row r="441" spans="1:18" ht="39" hidden="1" x14ac:dyDescent="0.8">
      <c r="A441" s="247">
        <v>16233</v>
      </c>
      <c r="B441" s="248" t="s">
        <v>435</v>
      </c>
      <c r="C441" s="249" t="s">
        <v>352</v>
      </c>
      <c r="D441" s="245">
        <v>0</v>
      </c>
      <c r="F441" s="245">
        <v>360</v>
      </c>
      <c r="H441" s="245">
        <v>360</v>
      </c>
      <c r="I441" s="245">
        <v>0.54600000000000004</v>
      </c>
      <c r="J441" s="245">
        <v>0</v>
      </c>
      <c r="K441" s="245">
        <v>0</v>
      </c>
      <c r="L441" s="245">
        <v>196.56</v>
      </c>
      <c r="M441" s="245">
        <v>0</v>
      </c>
      <c r="N441" s="245">
        <v>196.56</v>
      </c>
      <c r="O441" s="245" t="s">
        <v>56</v>
      </c>
      <c r="P441" s="245" t="s">
        <v>398</v>
      </c>
      <c r="Q441" s="245" t="s">
        <v>398</v>
      </c>
      <c r="R441" s="246" t="s">
        <v>32</v>
      </c>
    </row>
    <row r="442" spans="1:18" ht="39" hidden="1" x14ac:dyDescent="0.8">
      <c r="A442" s="247">
        <v>16234</v>
      </c>
      <c r="B442" s="248" t="s">
        <v>437</v>
      </c>
      <c r="C442" s="249" t="s">
        <v>55</v>
      </c>
      <c r="D442" s="245">
        <v>0</v>
      </c>
      <c r="E442" s="245">
        <v>1</v>
      </c>
      <c r="F442" s="245">
        <v>1</v>
      </c>
      <c r="G442" s="245">
        <v>1</v>
      </c>
      <c r="H442" s="245">
        <v>3</v>
      </c>
      <c r="I442" s="245">
        <v>0</v>
      </c>
      <c r="O442" s="245" t="s">
        <v>56</v>
      </c>
      <c r="P442" s="245" t="s">
        <v>398</v>
      </c>
      <c r="Q442" s="245" t="s">
        <v>282</v>
      </c>
      <c r="R442" s="246" t="s">
        <v>32</v>
      </c>
    </row>
    <row r="443" spans="1:18" x14ac:dyDescent="0.8">
      <c r="A443" s="247">
        <v>17</v>
      </c>
      <c r="B443" s="248" t="s">
        <v>565</v>
      </c>
      <c r="D443" s="245">
        <v>0</v>
      </c>
      <c r="R443" s="246" t="s">
        <v>32</v>
      </c>
    </row>
    <row r="444" spans="1:18" ht="26" x14ac:dyDescent="0.8">
      <c r="A444" s="247">
        <v>171</v>
      </c>
      <c r="B444" s="248" t="s">
        <v>566</v>
      </c>
      <c r="D444" s="245">
        <v>0</v>
      </c>
      <c r="R444" s="246" t="s">
        <v>32</v>
      </c>
    </row>
    <row r="445" spans="1:18" x14ac:dyDescent="0.8">
      <c r="A445" s="247">
        <v>1711</v>
      </c>
      <c r="B445" s="248" t="s">
        <v>567</v>
      </c>
      <c r="D445" s="245">
        <v>0</v>
      </c>
      <c r="R445" s="246" t="s">
        <v>32</v>
      </c>
    </row>
    <row r="446" spans="1:18" ht="39" hidden="1" x14ac:dyDescent="0.8">
      <c r="A446" s="247">
        <v>17111</v>
      </c>
      <c r="B446" s="248" t="s">
        <v>568</v>
      </c>
      <c r="C446" s="249" t="s">
        <v>55</v>
      </c>
      <c r="D446" s="245">
        <v>0</v>
      </c>
      <c r="I446" s="245">
        <v>0</v>
      </c>
      <c r="L446" s="245">
        <v>0</v>
      </c>
      <c r="O446" s="245" t="s">
        <v>169</v>
      </c>
      <c r="P446" s="245" t="s">
        <v>96</v>
      </c>
      <c r="Q446" s="245" t="s">
        <v>179</v>
      </c>
      <c r="R446" s="246" t="s">
        <v>32</v>
      </c>
    </row>
    <row r="447" spans="1:18" ht="26" hidden="1" x14ac:dyDescent="0.8">
      <c r="A447" s="247">
        <v>17112</v>
      </c>
      <c r="B447" s="248" t="s">
        <v>569</v>
      </c>
      <c r="C447" s="249" t="s">
        <v>55</v>
      </c>
      <c r="D447" s="245">
        <v>0</v>
      </c>
      <c r="I447" s="245">
        <v>0</v>
      </c>
      <c r="L447" s="245">
        <v>0</v>
      </c>
      <c r="O447" s="245" t="s">
        <v>169</v>
      </c>
      <c r="P447" s="245" t="s">
        <v>98</v>
      </c>
      <c r="Q447" s="245" t="s">
        <v>469</v>
      </c>
      <c r="R447" s="246" t="s">
        <v>32</v>
      </c>
    </row>
    <row r="448" spans="1:18" ht="52" hidden="1" x14ac:dyDescent="0.8">
      <c r="A448" s="247">
        <v>17113</v>
      </c>
      <c r="B448" s="248" t="s">
        <v>570</v>
      </c>
      <c r="C448" s="249" t="s">
        <v>571</v>
      </c>
      <c r="D448" s="245">
        <v>0</v>
      </c>
      <c r="E448" s="245">
        <v>138.97737000000001</v>
      </c>
      <c r="F448" s="245">
        <v>231.62895</v>
      </c>
      <c r="G448" s="245">
        <v>92.65158000000001</v>
      </c>
      <c r="H448" s="245">
        <v>463.25790000000001</v>
      </c>
      <c r="I448" s="245">
        <v>15.444000000000001</v>
      </c>
      <c r="J448" s="245">
        <v>0</v>
      </c>
      <c r="K448" s="245">
        <v>2146.3665022800001</v>
      </c>
      <c r="L448" s="245">
        <v>3577.2775038000004</v>
      </c>
      <c r="M448" s="245">
        <v>1430.9110015200001</v>
      </c>
      <c r="N448" s="245">
        <v>7154.5550076000009</v>
      </c>
      <c r="O448" s="245" t="s">
        <v>56</v>
      </c>
      <c r="P448" s="245" t="s">
        <v>98</v>
      </c>
      <c r="Q448" s="245" t="s">
        <v>98</v>
      </c>
      <c r="R448" s="246" t="s">
        <v>32</v>
      </c>
    </row>
    <row r="449" spans="1:18" ht="52" x14ac:dyDescent="0.8">
      <c r="A449" s="247">
        <v>17113</v>
      </c>
      <c r="B449" s="248" t="s">
        <v>570</v>
      </c>
      <c r="C449" s="249" t="s">
        <v>571</v>
      </c>
      <c r="D449" s="245">
        <v>0</v>
      </c>
      <c r="E449" s="245">
        <v>34.722629999999995</v>
      </c>
      <c r="F449" s="245">
        <v>57.871049999999997</v>
      </c>
      <c r="G449" s="245">
        <v>23.148420000000002</v>
      </c>
      <c r="H449" s="245">
        <v>115.74209999999999</v>
      </c>
      <c r="I449" s="245">
        <v>15.444000000000001</v>
      </c>
      <c r="J449" s="245">
        <v>0</v>
      </c>
      <c r="K449" s="245">
        <v>536.25629771999991</v>
      </c>
      <c r="L449" s="245">
        <v>893.76049620000003</v>
      </c>
      <c r="M449" s="245">
        <v>357.50419848000007</v>
      </c>
      <c r="N449" s="245">
        <v>1787.5209924000001</v>
      </c>
      <c r="O449" s="245" t="s">
        <v>118</v>
      </c>
      <c r="P449" s="245" t="s">
        <v>98</v>
      </c>
      <c r="Q449" s="245" t="s">
        <v>98</v>
      </c>
      <c r="R449" s="246" t="s">
        <v>32</v>
      </c>
    </row>
    <row r="450" spans="1:18" ht="52" x14ac:dyDescent="0.8">
      <c r="A450" s="247">
        <v>17114</v>
      </c>
      <c r="B450" s="248" t="s">
        <v>572</v>
      </c>
      <c r="C450" s="249" t="s">
        <v>573</v>
      </c>
      <c r="D450" s="245">
        <v>0</v>
      </c>
      <c r="H450" s="245">
        <v>0</v>
      </c>
      <c r="I450" s="245">
        <v>65.8</v>
      </c>
      <c r="J450" s="245">
        <v>0</v>
      </c>
      <c r="K450" s="245">
        <v>0</v>
      </c>
      <c r="L450" s="245">
        <v>0</v>
      </c>
      <c r="M450" s="245">
        <v>0</v>
      </c>
      <c r="N450" s="245">
        <v>0</v>
      </c>
      <c r="O450" s="245" t="s">
        <v>178</v>
      </c>
      <c r="P450" s="245" t="s">
        <v>98</v>
      </c>
      <c r="Q450" s="245" t="s">
        <v>98</v>
      </c>
      <c r="R450" s="246" t="s">
        <v>32</v>
      </c>
    </row>
    <row r="451" spans="1:18" ht="52" hidden="1" x14ac:dyDescent="0.8">
      <c r="A451" s="247">
        <v>17114</v>
      </c>
      <c r="B451" s="248" t="s">
        <v>572</v>
      </c>
      <c r="C451" s="249" t="s">
        <v>573</v>
      </c>
      <c r="D451" s="245">
        <v>0</v>
      </c>
      <c r="E451" s="245">
        <v>146.79999999999998</v>
      </c>
      <c r="F451" s="245">
        <v>176.79999999999998</v>
      </c>
      <c r="G451" s="245">
        <v>176.79999999999998</v>
      </c>
      <c r="H451" s="245">
        <v>500.4</v>
      </c>
      <c r="I451" s="245">
        <v>65.8</v>
      </c>
      <c r="J451" s="245">
        <v>0</v>
      </c>
      <c r="K451" s="245">
        <v>9659.4399999999987</v>
      </c>
      <c r="L451" s="245">
        <v>11633.439999999999</v>
      </c>
      <c r="M451" s="245">
        <v>11633.439999999999</v>
      </c>
      <c r="N451" s="245">
        <v>32926.319999999992</v>
      </c>
      <c r="O451" s="245" t="s">
        <v>56</v>
      </c>
      <c r="P451" s="245" t="s">
        <v>98</v>
      </c>
      <c r="Q451" s="245" t="s">
        <v>98</v>
      </c>
      <c r="R451" s="246" t="s">
        <v>32</v>
      </c>
    </row>
    <row r="452" spans="1:18" ht="52" x14ac:dyDescent="0.8">
      <c r="A452" s="247">
        <v>17114</v>
      </c>
      <c r="B452" s="248" t="s">
        <v>572</v>
      </c>
      <c r="C452" s="249" t="s">
        <v>573</v>
      </c>
      <c r="D452" s="245">
        <v>0</v>
      </c>
      <c r="E452" s="245">
        <v>100</v>
      </c>
      <c r="F452" s="245">
        <v>70</v>
      </c>
      <c r="G452" s="245">
        <v>70</v>
      </c>
      <c r="H452" s="245">
        <v>240</v>
      </c>
      <c r="I452" s="245">
        <v>65.8</v>
      </c>
      <c r="J452" s="245">
        <v>0</v>
      </c>
      <c r="K452" s="245">
        <v>6580</v>
      </c>
      <c r="L452" s="245">
        <v>4606</v>
      </c>
      <c r="M452" s="245">
        <v>4606</v>
      </c>
      <c r="N452" s="245">
        <v>15792</v>
      </c>
      <c r="O452" s="245" t="s">
        <v>118</v>
      </c>
      <c r="P452" s="245" t="s">
        <v>98</v>
      </c>
      <c r="Q452" s="245" t="s">
        <v>98</v>
      </c>
      <c r="R452" s="246" t="s">
        <v>32</v>
      </c>
    </row>
    <row r="453" spans="1:18" ht="52" x14ac:dyDescent="0.8">
      <c r="A453" s="247">
        <v>17115</v>
      </c>
      <c r="B453" s="248" t="s">
        <v>574</v>
      </c>
      <c r="C453" s="249" t="s">
        <v>573</v>
      </c>
      <c r="D453" s="245">
        <v>0</v>
      </c>
      <c r="H453" s="245">
        <v>0</v>
      </c>
      <c r="I453" s="245">
        <v>65.8</v>
      </c>
      <c r="J453" s="245">
        <v>0</v>
      </c>
      <c r="K453" s="245">
        <v>0</v>
      </c>
      <c r="L453" s="245">
        <v>0</v>
      </c>
      <c r="M453" s="245">
        <v>0</v>
      </c>
      <c r="N453" s="245">
        <v>0</v>
      </c>
      <c r="O453" s="245" t="s">
        <v>178</v>
      </c>
      <c r="P453" s="245" t="s">
        <v>98</v>
      </c>
      <c r="Q453" s="245" t="s">
        <v>98</v>
      </c>
      <c r="R453" s="246" t="s">
        <v>32</v>
      </c>
    </row>
    <row r="454" spans="1:18" ht="52" hidden="1" x14ac:dyDescent="0.8">
      <c r="A454" s="247">
        <v>17115</v>
      </c>
      <c r="B454" s="248" t="s">
        <v>574</v>
      </c>
      <c r="C454" s="249" t="s">
        <v>573</v>
      </c>
      <c r="D454" s="245">
        <v>0</v>
      </c>
      <c r="E454" s="245">
        <v>40</v>
      </c>
      <c r="F454" s="245">
        <v>50</v>
      </c>
      <c r="G454" s="245">
        <v>35</v>
      </c>
      <c r="H454" s="245">
        <v>125</v>
      </c>
      <c r="I454" s="245">
        <v>65.8</v>
      </c>
      <c r="J454" s="245">
        <v>0</v>
      </c>
      <c r="K454" s="245">
        <v>2632</v>
      </c>
      <c r="L454" s="245">
        <v>3290</v>
      </c>
      <c r="M454" s="245">
        <v>2303</v>
      </c>
      <c r="N454" s="245">
        <v>8225</v>
      </c>
      <c r="O454" s="245" t="s">
        <v>169</v>
      </c>
      <c r="P454" s="245" t="s">
        <v>98</v>
      </c>
      <c r="Q454" s="245" t="s">
        <v>98</v>
      </c>
      <c r="R454" s="246" t="s">
        <v>32</v>
      </c>
    </row>
    <row r="455" spans="1:18" ht="52" hidden="1" x14ac:dyDescent="0.8">
      <c r="A455" s="247">
        <v>17115</v>
      </c>
      <c r="B455" s="248" t="s">
        <v>574</v>
      </c>
      <c r="C455" s="249" t="s">
        <v>573</v>
      </c>
      <c r="D455" s="245">
        <v>0</v>
      </c>
      <c r="E455" s="245">
        <v>428.59999999999997</v>
      </c>
      <c r="F455" s="245">
        <v>731</v>
      </c>
      <c r="G455" s="245">
        <v>277.40000000000003</v>
      </c>
      <c r="H455" s="245">
        <v>1437</v>
      </c>
      <c r="I455" s="245">
        <v>65.8</v>
      </c>
      <c r="J455" s="245">
        <v>0</v>
      </c>
      <c r="K455" s="245">
        <v>28201.879999999997</v>
      </c>
      <c r="L455" s="245">
        <v>48099.799999999996</v>
      </c>
      <c r="M455" s="245">
        <v>18252.920000000002</v>
      </c>
      <c r="N455" s="245">
        <v>94554.599999999991</v>
      </c>
      <c r="O455" s="245" t="s">
        <v>56</v>
      </c>
      <c r="P455" s="245" t="s">
        <v>98</v>
      </c>
      <c r="Q455" s="245" t="s">
        <v>98</v>
      </c>
      <c r="R455" s="246" t="s">
        <v>32</v>
      </c>
    </row>
    <row r="456" spans="1:18" ht="26" hidden="1" x14ac:dyDescent="0.8">
      <c r="A456" s="247">
        <v>17116</v>
      </c>
      <c r="B456" s="248" t="s">
        <v>473</v>
      </c>
      <c r="C456" s="249" t="s">
        <v>55</v>
      </c>
      <c r="D456" s="245">
        <v>0</v>
      </c>
      <c r="I456" s="245">
        <v>0</v>
      </c>
      <c r="L456" s="245">
        <v>0</v>
      </c>
      <c r="O456" s="245" t="s">
        <v>169</v>
      </c>
      <c r="P456" s="245" t="s">
        <v>98</v>
      </c>
      <c r="Q456" s="245" t="s">
        <v>98</v>
      </c>
      <c r="R456" s="246" t="s">
        <v>32</v>
      </c>
    </row>
    <row r="457" spans="1:18" ht="26" x14ac:dyDescent="0.8">
      <c r="A457" s="247">
        <v>17117</v>
      </c>
      <c r="B457" s="248" t="s">
        <v>575</v>
      </c>
      <c r="C457" s="249" t="s">
        <v>576</v>
      </c>
      <c r="D457" s="245">
        <v>0</v>
      </c>
      <c r="E457" s="245">
        <v>0</v>
      </c>
      <c r="F457" s="245">
        <v>0</v>
      </c>
      <c r="G457" s="245">
        <v>0</v>
      </c>
      <c r="H457" s="245">
        <v>0</v>
      </c>
      <c r="I457" s="245">
        <v>3.4216000000000002</v>
      </c>
      <c r="J457" s="245">
        <v>0</v>
      </c>
      <c r="K457" s="245">
        <v>0</v>
      </c>
      <c r="L457" s="245">
        <v>0</v>
      </c>
      <c r="M457" s="245">
        <v>0</v>
      </c>
      <c r="N457" s="245">
        <v>0</v>
      </c>
      <c r="O457" s="245" t="s">
        <v>178</v>
      </c>
      <c r="P457" s="245" t="s">
        <v>98</v>
      </c>
      <c r="Q457" s="245" t="s">
        <v>98</v>
      </c>
      <c r="R457" s="246" t="s">
        <v>32</v>
      </c>
    </row>
    <row r="458" spans="1:18" ht="26" hidden="1" x14ac:dyDescent="0.8">
      <c r="A458" s="247">
        <v>17118</v>
      </c>
      <c r="B458" s="248" t="s">
        <v>577</v>
      </c>
      <c r="C458" s="249" t="s">
        <v>55</v>
      </c>
      <c r="D458" s="245">
        <v>0</v>
      </c>
      <c r="E458" s="245">
        <v>1</v>
      </c>
      <c r="F458" s="245">
        <v>1</v>
      </c>
      <c r="G458" s="245">
        <v>1</v>
      </c>
      <c r="H458" s="245">
        <v>3</v>
      </c>
      <c r="I458" s="245">
        <v>0</v>
      </c>
      <c r="L458" s="245">
        <v>0</v>
      </c>
      <c r="O458" s="245" t="s">
        <v>169</v>
      </c>
      <c r="P458" s="245" t="s">
        <v>96</v>
      </c>
      <c r="Q458" s="245" t="s">
        <v>578</v>
      </c>
      <c r="R458" s="246" t="s">
        <v>32</v>
      </c>
    </row>
    <row r="459" spans="1:18" x14ac:dyDescent="0.8">
      <c r="A459" s="247">
        <v>1712</v>
      </c>
      <c r="B459" s="248" t="s">
        <v>579</v>
      </c>
      <c r="D459" s="245">
        <v>0</v>
      </c>
      <c r="R459" s="246" t="s">
        <v>32</v>
      </c>
    </row>
    <row r="460" spans="1:18" ht="39" hidden="1" x14ac:dyDescent="0.8">
      <c r="A460" s="247">
        <v>17121</v>
      </c>
      <c r="B460" s="248" t="s">
        <v>580</v>
      </c>
      <c r="D460" s="245">
        <v>0</v>
      </c>
      <c r="I460" s="245">
        <v>0</v>
      </c>
      <c r="L460" s="245">
        <v>0</v>
      </c>
      <c r="O460" s="245" t="s">
        <v>169</v>
      </c>
      <c r="P460" s="245" t="s">
        <v>96</v>
      </c>
      <c r="Q460" s="245" t="s">
        <v>179</v>
      </c>
      <c r="R460" s="246" t="s">
        <v>32</v>
      </c>
    </row>
    <row r="461" spans="1:18" ht="26" hidden="1" x14ac:dyDescent="0.8">
      <c r="A461" s="247">
        <v>17122</v>
      </c>
      <c r="B461" s="248" t="s">
        <v>581</v>
      </c>
      <c r="D461" s="245">
        <v>0</v>
      </c>
      <c r="I461" s="245">
        <v>0</v>
      </c>
      <c r="L461" s="245">
        <v>0</v>
      </c>
      <c r="O461" s="245" t="s">
        <v>169</v>
      </c>
      <c r="P461" s="245" t="s">
        <v>98</v>
      </c>
      <c r="Q461" s="245" t="s">
        <v>469</v>
      </c>
      <c r="R461" s="246" t="s">
        <v>32</v>
      </c>
    </row>
    <row r="462" spans="1:18" ht="26" hidden="1" x14ac:dyDescent="0.8">
      <c r="A462" s="247">
        <v>17123</v>
      </c>
      <c r="B462" s="248" t="s">
        <v>582</v>
      </c>
      <c r="C462" s="249" t="s">
        <v>584</v>
      </c>
      <c r="D462" s="245">
        <v>0</v>
      </c>
      <c r="E462" s="245">
        <v>58.327289999999998</v>
      </c>
      <c r="F462" s="245">
        <v>97.212150000000008</v>
      </c>
      <c r="G462" s="245">
        <v>38.884860000000003</v>
      </c>
      <c r="H462" s="245">
        <v>194.42430000000002</v>
      </c>
      <c r="I462" s="245">
        <v>19.5</v>
      </c>
      <c r="J462" s="245">
        <v>0</v>
      </c>
      <c r="K462" s="245">
        <v>1137.382155</v>
      </c>
      <c r="L462" s="245">
        <v>1895.6369250000002</v>
      </c>
      <c r="M462" s="245">
        <v>758.25477000000001</v>
      </c>
      <c r="N462" s="245">
        <v>3791.27385</v>
      </c>
      <c r="O462" s="245" t="s">
        <v>56</v>
      </c>
      <c r="P462" s="245" t="s">
        <v>98</v>
      </c>
      <c r="Q462" s="245" t="s">
        <v>98</v>
      </c>
      <c r="R462" s="246" t="s">
        <v>32</v>
      </c>
    </row>
    <row r="463" spans="1:18" ht="26" x14ac:dyDescent="0.8">
      <c r="A463" s="247">
        <v>17123</v>
      </c>
      <c r="B463" s="248" t="s">
        <v>582</v>
      </c>
      <c r="C463" s="249" t="s">
        <v>584</v>
      </c>
      <c r="D463" s="245">
        <v>0</v>
      </c>
      <c r="E463" s="245">
        <v>14.572709999999997</v>
      </c>
      <c r="F463" s="245">
        <v>24.287849999999999</v>
      </c>
      <c r="G463" s="245">
        <v>9.7151399999999999</v>
      </c>
      <c r="H463" s="245">
        <v>48.575699999999991</v>
      </c>
      <c r="I463" s="245">
        <v>19.5</v>
      </c>
      <c r="J463" s="245">
        <v>0</v>
      </c>
      <c r="K463" s="245">
        <v>284.16784499999994</v>
      </c>
      <c r="L463" s="245">
        <v>473.61307499999998</v>
      </c>
      <c r="M463" s="245">
        <v>189.44523000000001</v>
      </c>
      <c r="N463" s="245">
        <v>947.22614999999996</v>
      </c>
      <c r="O463" s="245" t="s">
        <v>118</v>
      </c>
      <c r="P463" s="245" t="s">
        <v>98</v>
      </c>
      <c r="Q463" s="245" t="s">
        <v>98</v>
      </c>
      <c r="R463" s="246" t="s">
        <v>32</v>
      </c>
    </row>
    <row r="464" spans="1:18" ht="26" x14ac:dyDescent="0.8">
      <c r="A464" s="247">
        <v>17124</v>
      </c>
      <c r="B464" s="248" t="s">
        <v>585</v>
      </c>
      <c r="C464" s="249" t="s">
        <v>586</v>
      </c>
      <c r="D464" s="245">
        <v>0</v>
      </c>
      <c r="H464" s="245">
        <v>0</v>
      </c>
      <c r="I464" s="245">
        <v>60</v>
      </c>
      <c r="J464" s="245">
        <v>0</v>
      </c>
      <c r="K464" s="245">
        <v>0</v>
      </c>
      <c r="L464" s="245">
        <v>0</v>
      </c>
      <c r="M464" s="245">
        <v>0</v>
      </c>
      <c r="N464" s="245">
        <v>0</v>
      </c>
      <c r="O464" s="245" t="s">
        <v>178</v>
      </c>
      <c r="P464" s="245" t="s">
        <v>98</v>
      </c>
      <c r="Q464" s="245" t="s">
        <v>98</v>
      </c>
      <c r="R464" s="246" t="s">
        <v>32</v>
      </c>
    </row>
    <row r="465" spans="1:18" ht="26" hidden="1" x14ac:dyDescent="0.8">
      <c r="A465" s="247">
        <v>17124</v>
      </c>
      <c r="B465" s="248" t="s">
        <v>585</v>
      </c>
      <c r="C465" s="249" t="s">
        <v>586</v>
      </c>
      <c r="D465" s="245">
        <v>0</v>
      </c>
      <c r="F465" s="245">
        <v>105</v>
      </c>
      <c r="G465" s="245">
        <v>55</v>
      </c>
      <c r="H465" s="245">
        <v>160</v>
      </c>
      <c r="I465" s="245">
        <v>60</v>
      </c>
      <c r="J465" s="245">
        <v>0</v>
      </c>
      <c r="K465" s="245">
        <v>0</v>
      </c>
      <c r="L465" s="245">
        <v>6300</v>
      </c>
      <c r="M465" s="245">
        <v>3300</v>
      </c>
      <c r="N465" s="245">
        <v>9600</v>
      </c>
      <c r="O465" s="245" t="s">
        <v>169</v>
      </c>
      <c r="P465" s="245" t="s">
        <v>98</v>
      </c>
      <c r="Q465" s="245" t="s">
        <v>98</v>
      </c>
      <c r="R465" s="246" t="s">
        <v>32</v>
      </c>
    </row>
    <row r="466" spans="1:18" ht="26" x14ac:dyDescent="0.8">
      <c r="A466" s="247">
        <v>17124</v>
      </c>
      <c r="B466" s="248" t="s">
        <v>585</v>
      </c>
      <c r="C466" s="249" t="s">
        <v>586</v>
      </c>
      <c r="D466" s="245">
        <v>0</v>
      </c>
      <c r="E466" s="245">
        <v>399.77499999999901</v>
      </c>
      <c r="F466" s="245">
        <v>561.29166666666504</v>
      </c>
      <c r="G466" s="245">
        <v>211.51666666666603</v>
      </c>
      <c r="H466" s="245">
        <v>1172.5833333333301</v>
      </c>
      <c r="I466" s="245">
        <v>60</v>
      </c>
      <c r="J466" s="245">
        <v>0</v>
      </c>
      <c r="K466" s="245">
        <v>23986.499999999942</v>
      </c>
      <c r="L466" s="245">
        <v>33677.499999999905</v>
      </c>
      <c r="M466" s="245">
        <v>12690.999999999962</v>
      </c>
      <c r="N466" s="245">
        <v>70354.999999999811</v>
      </c>
      <c r="O466" s="245" t="s">
        <v>118</v>
      </c>
      <c r="P466" s="245" t="s">
        <v>98</v>
      </c>
      <c r="Q466" s="245" t="s">
        <v>98</v>
      </c>
      <c r="R466" s="246" t="s">
        <v>32</v>
      </c>
    </row>
    <row r="467" spans="1:18" ht="39" x14ac:dyDescent="0.8">
      <c r="A467" s="247">
        <v>17125</v>
      </c>
      <c r="B467" s="248" t="s">
        <v>587</v>
      </c>
      <c r="C467" s="249" t="s">
        <v>586</v>
      </c>
      <c r="D467" s="245">
        <v>0</v>
      </c>
      <c r="H467" s="245">
        <v>0</v>
      </c>
      <c r="I467" s="245">
        <v>60</v>
      </c>
      <c r="J467" s="245">
        <v>0</v>
      </c>
      <c r="K467" s="245">
        <v>0</v>
      </c>
      <c r="L467" s="245">
        <v>0</v>
      </c>
      <c r="M467" s="245">
        <v>0</v>
      </c>
      <c r="N467" s="245">
        <v>0</v>
      </c>
      <c r="O467" s="245" t="s">
        <v>178</v>
      </c>
      <c r="P467" s="245" t="s">
        <v>98</v>
      </c>
      <c r="Q467" s="245" t="s">
        <v>98</v>
      </c>
      <c r="R467" s="246" t="s">
        <v>32</v>
      </c>
    </row>
    <row r="468" spans="1:18" ht="39" hidden="1" x14ac:dyDescent="0.8">
      <c r="A468" s="247">
        <v>17125</v>
      </c>
      <c r="B468" s="248" t="s">
        <v>587</v>
      </c>
      <c r="C468" s="249" t="s">
        <v>586</v>
      </c>
      <c r="D468" s="245">
        <v>0</v>
      </c>
      <c r="F468" s="245">
        <v>260</v>
      </c>
      <c r="G468" s="245">
        <v>130</v>
      </c>
      <c r="H468" s="245">
        <v>390</v>
      </c>
      <c r="I468" s="245">
        <v>60</v>
      </c>
      <c r="J468" s="245">
        <v>0</v>
      </c>
      <c r="K468" s="245">
        <v>0</v>
      </c>
      <c r="L468" s="245">
        <v>15600</v>
      </c>
      <c r="M468" s="245">
        <v>7800</v>
      </c>
      <c r="N468" s="245">
        <v>23400</v>
      </c>
      <c r="O468" s="245" t="s">
        <v>169</v>
      </c>
      <c r="P468" s="245" t="s">
        <v>98</v>
      </c>
      <c r="Q468" s="245" t="s">
        <v>98</v>
      </c>
      <c r="R468" s="246" t="s">
        <v>32</v>
      </c>
    </row>
    <row r="469" spans="1:18" ht="39" x14ac:dyDescent="0.8">
      <c r="A469" s="247">
        <v>17125</v>
      </c>
      <c r="B469" s="248" t="s">
        <v>587</v>
      </c>
      <c r="C469" s="249" t="s">
        <v>586</v>
      </c>
      <c r="D469" s="245">
        <v>0</v>
      </c>
      <c r="E469" s="245">
        <v>391.46666666666664</v>
      </c>
      <c r="F469" s="245">
        <v>131.46666666666664</v>
      </c>
      <c r="G469" s="245">
        <v>261.46666666666664</v>
      </c>
      <c r="H469" s="245">
        <v>784.39999999999986</v>
      </c>
      <c r="I469" s="245">
        <v>60</v>
      </c>
      <c r="J469" s="245">
        <v>0</v>
      </c>
      <c r="K469" s="245">
        <v>23488</v>
      </c>
      <c r="L469" s="245">
        <v>7887.9999999999982</v>
      </c>
      <c r="M469" s="245">
        <v>15687.999999999998</v>
      </c>
      <c r="N469" s="245">
        <v>47064</v>
      </c>
      <c r="O469" s="245" t="s">
        <v>118</v>
      </c>
      <c r="P469" s="245" t="s">
        <v>98</v>
      </c>
      <c r="Q469" s="245" t="s">
        <v>98</v>
      </c>
      <c r="R469" s="246" t="s">
        <v>32</v>
      </c>
    </row>
    <row r="470" spans="1:18" ht="39" hidden="1" x14ac:dyDescent="0.8">
      <c r="A470" s="247">
        <v>17126</v>
      </c>
      <c r="B470" s="248" t="s">
        <v>588</v>
      </c>
      <c r="C470" s="249" t="s">
        <v>55</v>
      </c>
      <c r="D470" s="245">
        <v>0</v>
      </c>
      <c r="E470" s="245">
        <v>1</v>
      </c>
      <c r="F470" s="245">
        <v>1</v>
      </c>
      <c r="G470" s="245">
        <v>1</v>
      </c>
      <c r="H470" s="245">
        <v>3</v>
      </c>
      <c r="I470" s="245">
        <v>0</v>
      </c>
      <c r="L470" s="245">
        <v>0</v>
      </c>
      <c r="O470" s="245" t="s">
        <v>169</v>
      </c>
      <c r="P470" s="245" t="s">
        <v>98</v>
      </c>
      <c r="Q470" s="245" t="s">
        <v>98</v>
      </c>
      <c r="R470" s="246" t="s">
        <v>32</v>
      </c>
    </row>
    <row r="471" spans="1:18" ht="26" hidden="1" x14ac:dyDescent="0.8">
      <c r="A471" s="247">
        <v>17127</v>
      </c>
      <c r="B471" s="248" t="s">
        <v>589</v>
      </c>
      <c r="C471" s="249" t="s">
        <v>55</v>
      </c>
      <c r="D471" s="245">
        <v>0</v>
      </c>
      <c r="E471" s="245">
        <v>1</v>
      </c>
      <c r="F471" s="245">
        <v>1</v>
      </c>
      <c r="G471" s="245">
        <v>1</v>
      </c>
      <c r="H471" s="245">
        <v>3</v>
      </c>
      <c r="I471" s="245">
        <v>0</v>
      </c>
      <c r="L471" s="245">
        <v>0</v>
      </c>
      <c r="O471" s="245" t="s">
        <v>169</v>
      </c>
      <c r="P471" s="245" t="s">
        <v>96</v>
      </c>
      <c r="Q471" s="245" t="s">
        <v>578</v>
      </c>
      <c r="R471" s="246" t="s">
        <v>32</v>
      </c>
    </row>
    <row r="472" spans="1:18" ht="26" x14ac:dyDescent="0.8">
      <c r="A472" s="247">
        <v>1713</v>
      </c>
      <c r="B472" s="248" t="s">
        <v>590</v>
      </c>
      <c r="D472" s="245">
        <v>0</v>
      </c>
      <c r="R472" s="246" t="s">
        <v>32</v>
      </c>
    </row>
    <row r="473" spans="1:18" ht="39" x14ac:dyDescent="0.8">
      <c r="A473" s="247">
        <v>17131</v>
      </c>
      <c r="B473" s="248" t="s">
        <v>591</v>
      </c>
      <c r="C473" s="249" t="s">
        <v>55</v>
      </c>
      <c r="D473" s="245">
        <v>0</v>
      </c>
      <c r="I473" s="245">
        <v>0</v>
      </c>
      <c r="O473" s="245" t="s">
        <v>221</v>
      </c>
      <c r="P473" s="245" t="s">
        <v>96</v>
      </c>
      <c r="Q473" s="245" t="s">
        <v>179</v>
      </c>
      <c r="R473" s="246" t="s">
        <v>32</v>
      </c>
    </row>
    <row r="474" spans="1:18" ht="26" x14ac:dyDescent="0.8">
      <c r="A474" s="247">
        <v>17132</v>
      </c>
      <c r="B474" s="248" t="s">
        <v>592</v>
      </c>
      <c r="C474" s="249" t="s">
        <v>594</v>
      </c>
      <c r="D474" s="245">
        <v>0</v>
      </c>
      <c r="E474" s="245">
        <v>1222.7</v>
      </c>
      <c r="F474" s="245">
        <v>666.5</v>
      </c>
      <c r="G474" s="245">
        <v>666.5</v>
      </c>
      <c r="H474" s="245">
        <v>2555.6999999999998</v>
      </c>
      <c r="I474" s="245">
        <v>1.5</v>
      </c>
      <c r="J474" s="245">
        <v>0</v>
      </c>
      <c r="K474" s="245">
        <v>1834.0500000000002</v>
      </c>
      <c r="L474" s="245">
        <v>999.75</v>
      </c>
      <c r="M474" s="245">
        <v>999.75</v>
      </c>
      <c r="N474" s="245">
        <v>3833.55</v>
      </c>
      <c r="O474" s="245" t="s">
        <v>221</v>
      </c>
      <c r="P474" s="245" t="s">
        <v>595</v>
      </c>
      <c r="Q474" s="245" t="s">
        <v>595</v>
      </c>
      <c r="R474" s="246" t="s">
        <v>32</v>
      </c>
    </row>
    <row r="475" spans="1:18" ht="26" x14ac:dyDescent="0.8">
      <c r="A475" s="247">
        <v>17132</v>
      </c>
      <c r="B475" s="248" t="s">
        <v>592</v>
      </c>
      <c r="C475" s="249" t="s">
        <v>594</v>
      </c>
      <c r="D475" s="245">
        <v>0</v>
      </c>
      <c r="E475" s="245">
        <v>1222.7</v>
      </c>
      <c r="F475" s="245">
        <v>666.5</v>
      </c>
      <c r="G475" s="245">
        <v>666.5</v>
      </c>
      <c r="H475" s="245">
        <v>2555.6999999999998</v>
      </c>
      <c r="I475" s="245">
        <v>1.5</v>
      </c>
      <c r="J475" s="245">
        <v>0</v>
      </c>
      <c r="K475" s="245">
        <v>1834.0500000000002</v>
      </c>
      <c r="L475" s="245">
        <v>999.75</v>
      </c>
      <c r="M475" s="245">
        <v>999.75</v>
      </c>
      <c r="N475" s="245">
        <v>3833.55</v>
      </c>
      <c r="O475" s="245" t="s">
        <v>118</v>
      </c>
      <c r="P475" s="245" t="s">
        <v>595</v>
      </c>
      <c r="Q475" s="245" t="s">
        <v>595</v>
      </c>
      <c r="R475" s="246" t="s">
        <v>32</v>
      </c>
    </row>
    <row r="476" spans="1:18" ht="39" x14ac:dyDescent="0.8">
      <c r="A476" s="247">
        <v>17133</v>
      </c>
      <c r="B476" s="248" t="s">
        <v>596</v>
      </c>
      <c r="D476" s="245">
        <v>0</v>
      </c>
      <c r="I476" s="245">
        <v>0</v>
      </c>
      <c r="O476" s="245" t="s">
        <v>221</v>
      </c>
      <c r="P476" s="245" t="s">
        <v>595</v>
      </c>
      <c r="Q476" s="245" t="s">
        <v>595</v>
      </c>
      <c r="R476" s="246" t="s">
        <v>32</v>
      </c>
    </row>
    <row r="477" spans="1:18" ht="26" x14ac:dyDescent="0.8">
      <c r="A477" s="247">
        <v>17134</v>
      </c>
      <c r="B477" s="248" t="s">
        <v>597</v>
      </c>
      <c r="C477" s="249" t="s">
        <v>55</v>
      </c>
      <c r="D477" s="245">
        <v>0</v>
      </c>
      <c r="I477" s="245">
        <v>0</v>
      </c>
      <c r="O477" s="245" t="s">
        <v>221</v>
      </c>
      <c r="P477" s="245" t="s">
        <v>77</v>
      </c>
      <c r="Q477" s="245" t="s">
        <v>598</v>
      </c>
      <c r="R477" s="246" t="s">
        <v>32</v>
      </c>
    </row>
    <row r="478" spans="1:18" ht="26" x14ac:dyDescent="0.8">
      <c r="A478" s="247">
        <v>17135</v>
      </c>
      <c r="B478" s="248" t="s">
        <v>599</v>
      </c>
      <c r="C478" s="249" t="s">
        <v>55</v>
      </c>
      <c r="D478" s="245">
        <v>0</v>
      </c>
      <c r="I478" s="245">
        <v>0</v>
      </c>
      <c r="O478" s="245" t="s">
        <v>221</v>
      </c>
      <c r="P478" s="245" t="s">
        <v>96</v>
      </c>
      <c r="Q478" s="245" t="s">
        <v>77</v>
      </c>
      <c r="R478" s="246" t="s">
        <v>32</v>
      </c>
    </row>
    <row r="479" spans="1:18" ht="26" x14ac:dyDescent="0.8">
      <c r="A479" s="247">
        <v>172</v>
      </c>
      <c r="B479" s="248" t="s">
        <v>600</v>
      </c>
      <c r="D479" s="245">
        <v>0</v>
      </c>
      <c r="R479" s="246" t="s">
        <v>32</v>
      </c>
    </row>
    <row r="480" spans="1:18" ht="26" x14ac:dyDescent="0.8">
      <c r="A480" s="247">
        <v>1721</v>
      </c>
      <c r="B480" s="248" t="s">
        <v>601</v>
      </c>
      <c r="D480" s="245">
        <v>0</v>
      </c>
      <c r="R480" s="246" t="s">
        <v>32</v>
      </c>
    </row>
    <row r="481" spans="1:18" ht="39" hidden="1" x14ac:dyDescent="0.8">
      <c r="A481" s="247">
        <v>17211</v>
      </c>
      <c r="B481" s="248" t="s">
        <v>602</v>
      </c>
      <c r="C481" s="249" t="s">
        <v>55</v>
      </c>
      <c r="D481" s="245">
        <v>0</v>
      </c>
      <c r="I481" s="245">
        <v>0</v>
      </c>
      <c r="O481" s="245" t="s">
        <v>56</v>
      </c>
      <c r="P481" s="245" t="s">
        <v>595</v>
      </c>
      <c r="Q481" s="245" t="s">
        <v>96</v>
      </c>
      <c r="R481" s="246" t="s">
        <v>32</v>
      </c>
    </row>
    <row r="482" spans="1:18" hidden="1" x14ac:dyDescent="0.8">
      <c r="A482" s="247">
        <v>17212</v>
      </c>
      <c r="B482" s="248" t="s">
        <v>603</v>
      </c>
      <c r="C482" s="249" t="s">
        <v>605</v>
      </c>
      <c r="D482" s="245">
        <v>0</v>
      </c>
      <c r="E482" s="245">
        <v>9.9</v>
      </c>
      <c r="F482" s="245">
        <v>16.5</v>
      </c>
      <c r="G482" s="245">
        <v>6.6000000000000005</v>
      </c>
      <c r="H482" s="245">
        <v>33</v>
      </c>
      <c r="I482" s="245">
        <v>33.75</v>
      </c>
      <c r="J482" s="245">
        <v>0</v>
      </c>
      <c r="K482" s="245">
        <v>334.125</v>
      </c>
      <c r="L482" s="245">
        <v>556.875</v>
      </c>
      <c r="M482" s="245">
        <v>222.75000000000003</v>
      </c>
      <c r="N482" s="245">
        <v>1113.75</v>
      </c>
      <c r="O482" s="245" t="s">
        <v>56</v>
      </c>
      <c r="P482" s="245" t="s">
        <v>98</v>
      </c>
      <c r="Q482" s="245" t="s">
        <v>606</v>
      </c>
      <c r="R482" s="246" t="s">
        <v>32</v>
      </c>
    </row>
    <row r="483" spans="1:18" hidden="1" x14ac:dyDescent="0.8">
      <c r="A483" s="247">
        <v>17213</v>
      </c>
      <c r="B483" s="248" t="s">
        <v>607</v>
      </c>
      <c r="C483" s="249" t="s">
        <v>608</v>
      </c>
      <c r="D483" s="245">
        <v>0</v>
      </c>
      <c r="E483" s="245">
        <v>19.899999999999999</v>
      </c>
      <c r="F483" s="245">
        <v>26.5</v>
      </c>
      <c r="G483" s="245">
        <v>16.600000000000001</v>
      </c>
      <c r="H483" s="245">
        <v>63</v>
      </c>
      <c r="I483" s="245">
        <v>39.549999999999997</v>
      </c>
      <c r="J483" s="245">
        <v>0</v>
      </c>
      <c r="K483" s="245">
        <v>787.04499999999985</v>
      </c>
      <c r="L483" s="245">
        <v>1048.0749999999998</v>
      </c>
      <c r="M483" s="245">
        <v>656.53</v>
      </c>
      <c r="N483" s="245">
        <v>2491.6499999999996</v>
      </c>
      <c r="O483" s="245" t="s">
        <v>56</v>
      </c>
      <c r="P483" s="245" t="s">
        <v>595</v>
      </c>
      <c r="Q483" s="245" t="s">
        <v>609</v>
      </c>
      <c r="R483" s="246" t="s">
        <v>32</v>
      </c>
    </row>
    <row r="484" spans="1:18" ht="26" hidden="1" x14ac:dyDescent="0.8">
      <c r="A484" s="247">
        <v>17214</v>
      </c>
      <c r="B484" s="248" t="s">
        <v>610</v>
      </c>
      <c r="C484" s="249" t="s">
        <v>611</v>
      </c>
      <c r="D484" s="245">
        <v>0</v>
      </c>
      <c r="E484" s="245">
        <v>29.9</v>
      </c>
      <c r="F484" s="245">
        <v>66.400000000000006</v>
      </c>
      <c r="G484" s="245">
        <v>93</v>
      </c>
      <c r="H484" s="245">
        <v>189.3</v>
      </c>
      <c r="I484" s="245">
        <v>41.19</v>
      </c>
      <c r="J484" s="245">
        <v>0</v>
      </c>
      <c r="K484" s="245">
        <v>1231.5809999999999</v>
      </c>
      <c r="L484" s="245">
        <v>2735.0160000000001</v>
      </c>
      <c r="M484" s="245">
        <v>3830.6699999999996</v>
      </c>
      <c r="N484" s="245">
        <v>7797.2669999999998</v>
      </c>
      <c r="O484" s="245" t="s">
        <v>56</v>
      </c>
      <c r="P484" s="245" t="s">
        <v>595</v>
      </c>
      <c r="Q484" s="245" t="s">
        <v>609</v>
      </c>
      <c r="R484" s="246" t="s">
        <v>32</v>
      </c>
    </row>
    <row r="485" spans="1:18" ht="26" hidden="1" x14ac:dyDescent="0.8">
      <c r="A485" s="247">
        <v>17215</v>
      </c>
      <c r="B485" s="248" t="s">
        <v>612</v>
      </c>
      <c r="C485" s="249" t="s">
        <v>55</v>
      </c>
      <c r="D485" s="245">
        <v>0</v>
      </c>
      <c r="E485" s="245">
        <v>10</v>
      </c>
      <c r="F485" s="245">
        <v>17</v>
      </c>
      <c r="G485" s="245">
        <v>7</v>
      </c>
      <c r="H485" s="245">
        <v>34</v>
      </c>
      <c r="I485" s="245">
        <v>0</v>
      </c>
      <c r="O485" s="245" t="s">
        <v>56</v>
      </c>
      <c r="P485" s="245" t="s">
        <v>595</v>
      </c>
      <c r="Q485" s="245" t="s">
        <v>609</v>
      </c>
      <c r="R485" s="246" t="s">
        <v>32</v>
      </c>
    </row>
    <row r="486" spans="1:18" ht="39" hidden="1" x14ac:dyDescent="0.8">
      <c r="A486" s="247">
        <v>17216</v>
      </c>
      <c r="B486" s="248" t="s">
        <v>614</v>
      </c>
      <c r="C486" s="249" t="s">
        <v>615</v>
      </c>
      <c r="D486" s="245">
        <v>0</v>
      </c>
      <c r="E486" s="245">
        <v>8264.1</v>
      </c>
      <c r="F486" s="245">
        <v>8227.6</v>
      </c>
      <c r="G486" s="245">
        <v>8201</v>
      </c>
      <c r="H486" s="245">
        <v>24692.7</v>
      </c>
      <c r="I486" s="245">
        <v>0.25</v>
      </c>
      <c r="J486" s="245">
        <v>0</v>
      </c>
      <c r="K486" s="245">
        <v>2066.0250000000001</v>
      </c>
      <c r="L486" s="245">
        <v>2056.9</v>
      </c>
      <c r="M486" s="245">
        <v>2050.25</v>
      </c>
      <c r="N486" s="245">
        <v>6173.1750000000002</v>
      </c>
      <c r="O486" s="245" t="s">
        <v>56</v>
      </c>
      <c r="P486" s="245" t="s">
        <v>595</v>
      </c>
      <c r="Q486" s="245" t="s">
        <v>609</v>
      </c>
      <c r="R486" s="246" t="s">
        <v>32</v>
      </c>
    </row>
    <row r="487" spans="1:18" ht="26" hidden="1" x14ac:dyDescent="0.8">
      <c r="A487" s="247">
        <v>17217</v>
      </c>
      <c r="B487" s="248" t="s">
        <v>616</v>
      </c>
      <c r="C487" s="249" t="s">
        <v>301</v>
      </c>
      <c r="D487" s="245">
        <v>0</v>
      </c>
      <c r="E487" s="245">
        <v>2000</v>
      </c>
      <c r="F487" s="245">
        <v>8228</v>
      </c>
      <c r="G487" s="245">
        <v>8201</v>
      </c>
      <c r="H487" s="245">
        <v>18429</v>
      </c>
      <c r="I487" s="245">
        <v>0.67666666666666664</v>
      </c>
      <c r="J487" s="245">
        <v>0</v>
      </c>
      <c r="K487" s="245">
        <v>1353.3333333333333</v>
      </c>
      <c r="L487" s="245">
        <v>5567.6133333333328</v>
      </c>
      <c r="M487" s="245">
        <v>5549.3433333333332</v>
      </c>
      <c r="N487" s="245">
        <v>12470.289999999999</v>
      </c>
      <c r="O487" s="245" t="s">
        <v>56</v>
      </c>
      <c r="P487" s="245" t="s">
        <v>595</v>
      </c>
      <c r="Q487" s="245" t="s">
        <v>595</v>
      </c>
      <c r="R487" s="246" t="s">
        <v>32</v>
      </c>
    </row>
    <row r="488" spans="1:18" ht="26" hidden="1" x14ac:dyDescent="0.8">
      <c r="A488" s="247">
        <v>17218</v>
      </c>
      <c r="B488" s="248" t="s">
        <v>617</v>
      </c>
      <c r="C488" s="249" t="s">
        <v>59</v>
      </c>
      <c r="D488" s="245">
        <v>0</v>
      </c>
      <c r="F488" s="245">
        <v>800</v>
      </c>
      <c r="G488" s="245">
        <v>400</v>
      </c>
      <c r="H488" s="245">
        <v>1200</v>
      </c>
      <c r="I488" s="245">
        <v>0.8177777777777776</v>
      </c>
      <c r="J488" s="245">
        <v>0</v>
      </c>
      <c r="K488" s="245">
        <v>0</v>
      </c>
      <c r="L488" s="245">
        <v>654.22222222222206</v>
      </c>
      <c r="M488" s="245">
        <v>327.11111111111103</v>
      </c>
      <c r="N488" s="245">
        <v>981.33333333333303</v>
      </c>
      <c r="O488" s="245" t="s">
        <v>169</v>
      </c>
      <c r="P488" s="245" t="s">
        <v>595</v>
      </c>
      <c r="Q488" s="245" t="s">
        <v>578</v>
      </c>
      <c r="R488" s="246" t="s">
        <v>32</v>
      </c>
    </row>
    <row r="489" spans="1:18" ht="26" x14ac:dyDescent="0.8">
      <c r="A489" s="247">
        <v>1722</v>
      </c>
      <c r="B489" s="248" t="s">
        <v>618</v>
      </c>
      <c r="D489" s="245">
        <v>0</v>
      </c>
      <c r="R489" s="246" t="s">
        <v>32</v>
      </c>
    </row>
    <row r="490" spans="1:18" ht="39" hidden="1" x14ac:dyDescent="0.8">
      <c r="A490" s="247">
        <v>17221</v>
      </c>
      <c r="B490" s="248" t="s">
        <v>619</v>
      </c>
      <c r="C490" s="249" t="s">
        <v>73</v>
      </c>
      <c r="D490" s="245">
        <v>0</v>
      </c>
      <c r="E490" s="245">
        <v>456</v>
      </c>
      <c r="F490" s="245">
        <v>456</v>
      </c>
      <c r="G490" s="245">
        <v>456</v>
      </c>
      <c r="H490" s="245">
        <v>1368</v>
      </c>
      <c r="I490" s="245">
        <v>0.4</v>
      </c>
      <c r="J490" s="245">
        <v>0</v>
      </c>
      <c r="K490" s="245">
        <v>182.4</v>
      </c>
      <c r="L490" s="245">
        <v>182.4</v>
      </c>
      <c r="M490" s="245">
        <v>182.4</v>
      </c>
      <c r="N490" s="245">
        <v>547.20000000000005</v>
      </c>
      <c r="O490" s="245" t="s">
        <v>56</v>
      </c>
      <c r="P490" s="245" t="s">
        <v>595</v>
      </c>
      <c r="Q490" s="245" t="s">
        <v>595</v>
      </c>
      <c r="R490" s="246" t="s">
        <v>32</v>
      </c>
    </row>
    <row r="491" spans="1:18" ht="39" x14ac:dyDescent="0.8">
      <c r="A491" s="247">
        <v>17221</v>
      </c>
      <c r="B491" s="248" t="s">
        <v>619</v>
      </c>
      <c r="C491" s="249" t="s">
        <v>73</v>
      </c>
      <c r="D491" s="245">
        <v>0</v>
      </c>
      <c r="E491" s="245">
        <v>684</v>
      </c>
      <c r="F491" s="245">
        <v>684</v>
      </c>
      <c r="G491" s="245">
        <v>684</v>
      </c>
      <c r="H491" s="245">
        <v>2052</v>
      </c>
      <c r="I491" s="245">
        <v>0.4</v>
      </c>
      <c r="J491" s="245">
        <v>0</v>
      </c>
      <c r="K491" s="245">
        <v>273.60000000000002</v>
      </c>
      <c r="L491" s="245">
        <v>273.60000000000002</v>
      </c>
      <c r="M491" s="245">
        <v>273.60000000000002</v>
      </c>
      <c r="N491" s="245">
        <v>820.80000000000007</v>
      </c>
      <c r="O491" s="245" t="s">
        <v>118</v>
      </c>
      <c r="P491" s="245" t="s">
        <v>595</v>
      </c>
      <c r="Q491" s="245" t="s">
        <v>595</v>
      </c>
      <c r="R491" s="246" t="s">
        <v>32</v>
      </c>
    </row>
    <row r="492" spans="1:18" ht="65" hidden="1" x14ac:dyDescent="0.8">
      <c r="A492" s="247">
        <v>17222</v>
      </c>
      <c r="B492" s="248" t="s">
        <v>621</v>
      </c>
      <c r="C492" s="249" t="s">
        <v>623</v>
      </c>
      <c r="D492" s="245">
        <v>0</v>
      </c>
      <c r="E492" s="245">
        <v>46428.571428571398</v>
      </c>
      <c r="F492" s="245">
        <v>48749.999999999971</v>
      </c>
      <c r="G492" s="245">
        <v>51187.499999999971</v>
      </c>
      <c r="H492" s="245">
        <v>146366.07142857133</v>
      </c>
      <c r="I492" s="245">
        <v>0.05</v>
      </c>
      <c r="J492" s="245">
        <v>0</v>
      </c>
      <c r="K492" s="245">
        <v>2321.4285714285702</v>
      </c>
      <c r="L492" s="245">
        <v>2437.4999999999986</v>
      </c>
      <c r="M492" s="245">
        <v>2559.3749999999986</v>
      </c>
      <c r="N492" s="245">
        <v>7318.303571428567</v>
      </c>
      <c r="O492" s="245" t="s">
        <v>56</v>
      </c>
      <c r="P492" s="245" t="s">
        <v>595</v>
      </c>
      <c r="Q492" s="245" t="s">
        <v>624</v>
      </c>
      <c r="R492" s="246" t="s">
        <v>32</v>
      </c>
    </row>
    <row r="493" spans="1:18" hidden="1" x14ac:dyDescent="0.8">
      <c r="A493" s="247">
        <v>17223</v>
      </c>
      <c r="B493" s="248" t="s">
        <v>625</v>
      </c>
      <c r="C493" s="249" t="s">
        <v>627</v>
      </c>
      <c r="D493" s="245">
        <v>0</v>
      </c>
      <c r="E493" s="245">
        <v>840746.61569999997</v>
      </c>
      <c r="F493" s="245">
        <v>878667.19829999993</v>
      </c>
      <c r="G493" s="245">
        <v>913946.75280000002</v>
      </c>
      <c r="H493" s="245">
        <v>2633360.5667999997</v>
      </c>
      <c r="I493" s="245">
        <v>0.05</v>
      </c>
      <c r="J493" s="245">
        <v>0</v>
      </c>
      <c r="K493" s="245">
        <v>42037.330784999998</v>
      </c>
      <c r="L493" s="245">
        <v>43933.359915000001</v>
      </c>
      <c r="M493" s="245">
        <v>45697.337640000005</v>
      </c>
      <c r="N493" s="245">
        <v>131668.02834000002</v>
      </c>
      <c r="O493" s="245" t="s">
        <v>56</v>
      </c>
      <c r="P493" s="245" t="s">
        <v>595</v>
      </c>
      <c r="Q493" s="245" t="s">
        <v>609</v>
      </c>
      <c r="R493" s="246" t="s">
        <v>32</v>
      </c>
    </row>
    <row r="494" spans="1:18" x14ac:dyDescent="0.8">
      <c r="A494" s="247">
        <v>17223</v>
      </c>
      <c r="B494" s="248" t="s">
        <v>625</v>
      </c>
      <c r="C494" s="249" t="s">
        <v>627</v>
      </c>
      <c r="D494" s="245">
        <v>0</v>
      </c>
      <c r="E494" s="245">
        <v>302440.14429999999</v>
      </c>
      <c r="F494" s="245">
        <v>316081.24169999996</v>
      </c>
      <c r="G494" s="245">
        <v>328772.28719999996</v>
      </c>
      <c r="H494" s="245">
        <v>947293.67319999984</v>
      </c>
      <c r="I494" s="245">
        <v>0.05</v>
      </c>
      <c r="J494" s="245">
        <v>0</v>
      </c>
      <c r="K494" s="245">
        <v>15122.007215</v>
      </c>
      <c r="L494" s="245">
        <v>15804.062084999998</v>
      </c>
      <c r="M494" s="245">
        <v>16438.61436</v>
      </c>
      <c r="N494" s="245">
        <v>47364.683659999995</v>
      </c>
      <c r="O494" s="245" t="s">
        <v>118</v>
      </c>
      <c r="P494" s="245" t="s">
        <v>595</v>
      </c>
      <c r="Q494" s="245" t="s">
        <v>609</v>
      </c>
      <c r="R494" s="246" t="s">
        <v>32</v>
      </c>
    </row>
    <row r="495" spans="1:18" x14ac:dyDescent="0.8">
      <c r="A495" s="247">
        <v>17223</v>
      </c>
      <c r="B495" s="248" t="s">
        <v>625</v>
      </c>
      <c r="C495" s="249" t="s">
        <v>627</v>
      </c>
      <c r="D495" s="245">
        <v>537970.24</v>
      </c>
      <c r="E495" s="245">
        <v>537970.24</v>
      </c>
      <c r="F495" s="245">
        <v>562234.56000000006</v>
      </c>
      <c r="G495" s="245">
        <v>584808.95999999996</v>
      </c>
      <c r="H495" s="245">
        <v>2222984</v>
      </c>
      <c r="I495" s="245">
        <v>0.05</v>
      </c>
      <c r="J495" s="245">
        <v>26898.512000000002</v>
      </c>
      <c r="K495" s="245">
        <v>26898.512000000002</v>
      </c>
      <c r="L495" s="245">
        <v>28111.728000000003</v>
      </c>
      <c r="M495" s="245">
        <v>29240.448</v>
      </c>
      <c r="N495" s="245">
        <v>111149.20000000001</v>
      </c>
      <c r="O495" s="245" t="s">
        <v>67</v>
      </c>
      <c r="P495" s="245" t="s">
        <v>595</v>
      </c>
      <c r="Q495" s="245" t="s">
        <v>609</v>
      </c>
      <c r="R495" s="246" t="s">
        <v>32</v>
      </c>
    </row>
    <row r="496" spans="1:18" ht="26" hidden="1" x14ac:dyDescent="0.8">
      <c r="A496" s="247">
        <v>17224</v>
      </c>
      <c r="B496" s="248" t="s">
        <v>628</v>
      </c>
      <c r="C496" s="249" t="s">
        <v>629</v>
      </c>
      <c r="D496" s="245">
        <v>0</v>
      </c>
      <c r="E496" s="245">
        <v>338.97053519999997</v>
      </c>
      <c r="F496" s="245">
        <v>217.02780000000001</v>
      </c>
      <c r="G496" s="245">
        <v>215.10720000000001</v>
      </c>
      <c r="H496" s="245">
        <v>771.10553519999996</v>
      </c>
      <c r="I496" s="245">
        <v>0.05</v>
      </c>
      <c r="J496" s="245">
        <v>0</v>
      </c>
      <c r="K496" s="245">
        <v>16.94852676</v>
      </c>
      <c r="L496" s="245">
        <v>10.851390000000002</v>
      </c>
      <c r="M496" s="245">
        <v>10.755360000000001</v>
      </c>
      <c r="N496" s="245">
        <v>38.555276760000005</v>
      </c>
      <c r="O496" s="245" t="s">
        <v>56</v>
      </c>
      <c r="P496" s="245" t="s">
        <v>595</v>
      </c>
      <c r="Q496" s="245" t="s">
        <v>609</v>
      </c>
      <c r="R496" s="246" t="s">
        <v>32</v>
      </c>
    </row>
    <row r="497" spans="1:18" ht="26" x14ac:dyDescent="0.8">
      <c r="A497" s="247">
        <v>17224</v>
      </c>
      <c r="B497" s="248" t="s">
        <v>628</v>
      </c>
      <c r="C497" s="249" t="s">
        <v>629</v>
      </c>
      <c r="D497" s="245">
        <v>0</v>
      </c>
      <c r="E497" s="245">
        <v>7.0596800000000001E-2</v>
      </c>
      <c r="F497" s="245">
        <v>4.5200000000000004E-2</v>
      </c>
      <c r="G497" s="245">
        <v>4.48E-2</v>
      </c>
      <c r="H497" s="245">
        <v>0.16059680000000001</v>
      </c>
      <c r="I497" s="245">
        <v>0.05</v>
      </c>
      <c r="J497" s="245">
        <v>0</v>
      </c>
      <c r="K497" s="245">
        <v>3.5298400000000002E-3</v>
      </c>
      <c r="L497" s="245">
        <v>2.2600000000000003E-3</v>
      </c>
      <c r="M497" s="245">
        <v>2.2400000000000002E-3</v>
      </c>
      <c r="N497" s="245">
        <v>8.0298400000000016E-3</v>
      </c>
      <c r="O497" s="245" t="s">
        <v>118</v>
      </c>
      <c r="P497" s="245" t="s">
        <v>595</v>
      </c>
      <c r="Q497" s="245" t="s">
        <v>609</v>
      </c>
      <c r="R497" s="246" t="s">
        <v>32</v>
      </c>
    </row>
    <row r="498" spans="1:18" ht="26" x14ac:dyDescent="0.8">
      <c r="A498" s="247">
        <v>17224</v>
      </c>
      <c r="B498" s="248" t="s">
        <v>628</v>
      </c>
      <c r="C498" s="249" t="s">
        <v>629</v>
      </c>
      <c r="D498" s="245">
        <v>0</v>
      </c>
      <c r="E498" s="245">
        <v>1688.4033030337444</v>
      </c>
      <c r="F498" s="245">
        <v>1939.3439498958537</v>
      </c>
      <c r="G498" s="245">
        <v>2198.1442102704682</v>
      </c>
      <c r="H498" s="245">
        <v>5825.8914632000669</v>
      </c>
      <c r="I498" s="245">
        <v>0.05</v>
      </c>
      <c r="J498" s="245">
        <v>0</v>
      </c>
      <c r="K498" s="245">
        <v>84.420165151687229</v>
      </c>
      <c r="L498" s="245">
        <v>96.967197494792686</v>
      </c>
      <c r="M498" s="245">
        <v>109.90721051352341</v>
      </c>
      <c r="N498" s="245">
        <v>291.29457316000332</v>
      </c>
      <c r="O498" s="245" t="s">
        <v>187</v>
      </c>
      <c r="P498" s="245" t="s">
        <v>595</v>
      </c>
      <c r="Q498" s="245" t="s">
        <v>609</v>
      </c>
      <c r="R498" s="246" t="s">
        <v>32</v>
      </c>
    </row>
    <row r="499" spans="1:18" ht="39" hidden="1" x14ac:dyDescent="0.8">
      <c r="A499" s="247">
        <v>17225</v>
      </c>
      <c r="B499" s="248" t="s">
        <v>630</v>
      </c>
      <c r="C499" s="249" t="s">
        <v>55</v>
      </c>
      <c r="D499" s="245">
        <v>0</v>
      </c>
      <c r="I499" s="245">
        <v>0</v>
      </c>
      <c r="O499" s="245" t="s">
        <v>56</v>
      </c>
      <c r="P499" s="245" t="s">
        <v>595</v>
      </c>
      <c r="Q499" s="245" t="s">
        <v>624</v>
      </c>
      <c r="R499" s="246" t="s">
        <v>32</v>
      </c>
    </row>
    <row r="500" spans="1:18" ht="52" hidden="1" x14ac:dyDescent="0.8">
      <c r="A500" s="247">
        <v>17226</v>
      </c>
      <c r="B500" s="248" t="s">
        <v>631</v>
      </c>
      <c r="C500" s="249" t="s">
        <v>55</v>
      </c>
      <c r="D500" s="245">
        <v>0</v>
      </c>
      <c r="I500" s="245">
        <v>0</v>
      </c>
      <c r="O500" s="245" t="s">
        <v>56</v>
      </c>
      <c r="P500" s="245" t="s">
        <v>595</v>
      </c>
      <c r="Q500" s="245" t="s">
        <v>624</v>
      </c>
      <c r="R500" s="246" t="s">
        <v>32</v>
      </c>
    </row>
    <row r="501" spans="1:18" ht="39" hidden="1" x14ac:dyDescent="0.8">
      <c r="A501" s="247">
        <v>17227</v>
      </c>
      <c r="B501" s="248" t="s">
        <v>632</v>
      </c>
      <c r="C501" s="249" t="s">
        <v>38</v>
      </c>
      <c r="D501" s="245">
        <v>0</v>
      </c>
      <c r="E501" s="245">
        <v>600</v>
      </c>
      <c r="F501" s="245">
        <v>600</v>
      </c>
      <c r="G501" s="245">
        <v>600</v>
      </c>
      <c r="H501" s="245">
        <v>1800</v>
      </c>
      <c r="I501" s="245">
        <v>0.3133333333333333</v>
      </c>
      <c r="J501" s="245">
        <v>0</v>
      </c>
      <c r="K501" s="245">
        <v>187.99999999999997</v>
      </c>
      <c r="L501" s="245">
        <v>187.99999999999997</v>
      </c>
      <c r="M501" s="245">
        <v>187.99999999999997</v>
      </c>
      <c r="N501" s="245">
        <v>563.99999999999989</v>
      </c>
      <c r="O501" s="245" t="s">
        <v>56</v>
      </c>
      <c r="P501" s="245" t="s">
        <v>595</v>
      </c>
      <c r="Q501" s="245" t="s">
        <v>595</v>
      </c>
      <c r="R501" s="246" t="s">
        <v>32</v>
      </c>
    </row>
    <row r="502" spans="1:18" ht="39" x14ac:dyDescent="0.8">
      <c r="A502" s="247">
        <v>17227</v>
      </c>
      <c r="B502" s="248" t="s">
        <v>632</v>
      </c>
      <c r="C502" s="249" t="s">
        <v>38</v>
      </c>
      <c r="D502" s="245">
        <v>0</v>
      </c>
      <c r="E502" s="245">
        <v>600</v>
      </c>
      <c r="F502" s="245">
        <v>600</v>
      </c>
      <c r="G502" s="245">
        <v>600</v>
      </c>
      <c r="H502" s="245">
        <v>1800</v>
      </c>
      <c r="I502" s="245">
        <v>0.3133333333333333</v>
      </c>
      <c r="J502" s="245">
        <v>0</v>
      </c>
      <c r="K502" s="245">
        <v>187.99999999999997</v>
      </c>
      <c r="L502" s="245">
        <v>187.99999999999997</v>
      </c>
      <c r="M502" s="245">
        <v>187.99999999999997</v>
      </c>
      <c r="N502" s="245">
        <v>563.99999999999989</v>
      </c>
      <c r="O502" s="245" t="s">
        <v>118</v>
      </c>
      <c r="P502" s="245" t="s">
        <v>595</v>
      </c>
      <c r="Q502" s="245" t="s">
        <v>595</v>
      </c>
      <c r="R502" s="246" t="s">
        <v>32</v>
      </c>
    </row>
    <row r="503" spans="1:18" ht="26" hidden="1" x14ac:dyDescent="0.8">
      <c r="A503" s="247">
        <v>17228</v>
      </c>
      <c r="B503" s="248" t="s">
        <v>633</v>
      </c>
      <c r="C503" s="249" t="s">
        <v>76</v>
      </c>
      <c r="D503" s="245">
        <v>0</v>
      </c>
      <c r="E503" s="245">
        <v>1</v>
      </c>
      <c r="F503" s="245">
        <v>1</v>
      </c>
      <c r="G503" s="245">
        <v>1</v>
      </c>
      <c r="H503" s="245">
        <v>3</v>
      </c>
      <c r="I503" s="245">
        <v>45.936799999999998</v>
      </c>
      <c r="J503" s="245">
        <v>0</v>
      </c>
      <c r="K503" s="245">
        <v>45.936799999999998</v>
      </c>
      <c r="L503" s="245">
        <v>45.936799999999998</v>
      </c>
      <c r="M503" s="245">
        <v>45.936799999999998</v>
      </c>
      <c r="N503" s="245">
        <v>137.81039999999999</v>
      </c>
      <c r="O503" s="245" t="s">
        <v>169</v>
      </c>
      <c r="P503" s="245" t="s">
        <v>595</v>
      </c>
      <c r="Q503" s="245" t="s">
        <v>77</v>
      </c>
      <c r="R503" s="246" t="s">
        <v>32</v>
      </c>
    </row>
    <row r="504" spans="1:18" ht="26" hidden="1" x14ac:dyDescent="0.8">
      <c r="A504" s="247">
        <v>17229</v>
      </c>
      <c r="B504" s="248" t="s">
        <v>634</v>
      </c>
      <c r="C504" s="249" t="s">
        <v>59</v>
      </c>
      <c r="D504" s="245">
        <v>0</v>
      </c>
      <c r="F504" s="245">
        <v>760</v>
      </c>
      <c r="G504" s="245">
        <v>380</v>
      </c>
      <c r="H504" s="245">
        <v>1140</v>
      </c>
      <c r="I504" s="245">
        <v>0.8177777777777776</v>
      </c>
      <c r="J504" s="245">
        <v>0</v>
      </c>
      <c r="K504" s="245">
        <v>0</v>
      </c>
      <c r="L504" s="245">
        <v>621.51111111111095</v>
      </c>
      <c r="M504" s="245">
        <v>310.75555555555547</v>
      </c>
      <c r="N504" s="245">
        <v>932.26666666666642</v>
      </c>
      <c r="O504" s="245" t="s">
        <v>169</v>
      </c>
      <c r="P504" s="245" t="s">
        <v>595</v>
      </c>
      <c r="Q504" s="245" t="s">
        <v>77</v>
      </c>
      <c r="R504" s="246" t="s">
        <v>32</v>
      </c>
    </row>
    <row r="505" spans="1:18" ht="26" x14ac:dyDescent="0.8">
      <c r="A505" s="247">
        <v>17229</v>
      </c>
      <c r="B505" s="248" t="s">
        <v>634</v>
      </c>
      <c r="C505" s="249" t="s">
        <v>59</v>
      </c>
      <c r="D505" s="245">
        <v>0</v>
      </c>
      <c r="E505" s="245">
        <v>380</v>
      </c>
      <c r="F505" s="245">
        <v>380</v>
      </c>
      <c r="G505" s="245">
        <v>380</v>
      </c>
      <c r="H505" s="245">
        <v>1140</v>
      </c>
      <c r="I505" s="245">
        <v>0.8177777777777776</v>
      </c>
      <c r="J505" s="245">
        <v>0</v>
      </c>
      <c r="K505" s="245">
        <v>310.75555555555547</v>
      </c>
      <c r="L505" s="245">
        <v>310.75555555555547</v>
      </c>
      <c r="M505" s="245">
        <v>310.75555555555547</v>
      </c>
      <c r="N505" s="245">
        <v>932.26666666666642</v>
      </c>
      <c r="O505" s="245" t="s">
        <v>118</v>
      </c>
      <c r="P505" s="245" t="s">
        <v>595</v>
      </c>
      <c r="Q505" s="245" t="s">
        <v>77</v>
      </c>
      <c r="R505" s="246" t="s">
        <v>32</v>
      </c>
    </row>
    <row r="506" spans="1:18" ht="26" x14ac:dyDescent="0.8">
      <c r="A506" s="247">
        <v>1723</v>
      </c>
      <c r="B506" s="248" t="s">
        <v>635</v>
      </c>
      <c r="D506" s="245">
        <v>0</v>
      </c>
      <c r="R506" s="246" t="s">
        <v>32</v>
      </c>
    </row>
    <row r="507" spans="1:18" hidden="1" x14ac:dyDescent="0.8">
      <c r="A507" s="247">
        <v>17231</v>
      </c>
      <c r="B507" s="248" t="s">
        <v>636</v>
      </c>
      <c r="C507" s="249" t="s">
        <v>55</v>
      </c>
      <c r="D507" s="245">
        <v>0</v>
      </c>
      <c r="E507" s="245">
        <v>1</v>
      </c>
      <c r="F507" s="245">
        <v>1</v>
      </c>
      <c r="G507" s="245">
        <v>1</v>
      </c>
      <c r="H507" s="245">
        <v>3</v>
      </c>
      <c r="I507" s="245">
        <v>0</v>
      </c>
      <c r="O507" s="245" t="s">
        <v>56</v>
      </c>
      <c r="P507" s="245" t="s">
        <v>595</v>
      </c>
      <c r="Q507" s="245" t="s">
        <v>595</v>
      </c>
      <c r="R507" s="246" t="s">
        <v>32</v>
      </c>
    </row>
    <row r="508" spans="1:18" ht="26" x14ac:dyDescent="0.8">
      <c r="A508" s="247">
        <v>17232</v>
      </c>
      <c r="B508" s="248" t="s">
        <v>637</v>
      </c>
      <c r="C508" s="249" t="s">
        <v>639</v>
      </c>
      <c r="E508" s="245">
        <v>50000</v>
      </c>
      <c r="F508" s="245">
        <v>60000</v>
      </c>
      <c r="G508" s="245">
        <v>60000</v>
      </c>
      <c r="H508" s="245">
        <v>170000</v>
      </c>
      <c r="I508" s="245">
        <v>0.1</v>
      </c>
      <c r="J508" s="245">
        <v>0</v>
      </c>
      <c r="K508" s="245">
        <v>5000</v>
      </c>
      <c r="L508" s="245">
        <v>6000</v>
      </c>
      <c r="M508" s="245">
        <v>6000</v>
      </c>
      <c r="N508" s="245">
        <v>17000</v>
      </c>
      <c r="O508" s="245" t="s">
        <v>67</v>
      </c>
      <c r="P508" s="245" t="s">
        <v>595</v>
      </c>
      <c r="Q508" s="245" t="s">
        <v>595</v>
      </c>
      <c r="R508" s="246" t="s">
        <v>32</v>
      </c>
    </row>
    <row r="509" spans="1:18" ht="26" x14ac:dyDescent="0.8">
      <c r="A509" s="247">
        <v>17232</v>
      </c>
      <c r="B509" s="248" t="s">
        <v>637</v>
      </c>
      <c r="C509" s="249" t="s">
        <v>639</v>
      </c>
      <c r="E509" s="245">
        <v>50000</v>
      </c>
      <c r="F509" s="245">
        <v>60000</v>
      </c>
      <c r="G509" s="245">
        <v>60000</v>
      </c>
      <c r="H509" s="245">
        <v>170000</v>
      </c>
      <c r="I509" s="245">
        <v>0.1</v>
      </c>
      <c r="J509" s="245">
        <v>0</v>
      </c>
      <c r="K509" s="245">
        <v>5000</v>
      </c>
      <c r="L509" s="245">
        <v>6000</v>
      </c>
      <c r="M509" s="245">
        <v>6000</v>
      </c>
      <c r="N509" s="245">
        <v>17000</v>
      </c>
      <c r="O509" s="245" t="s">
        <v>118</v>
      </c>
      <c r="P509" s="245" t="s">
        <v>595</v>
      </c>
      <c r="Q509" s="245" t="s">
        <v>595</v>
      </c>
      <c r="R509" s="246" t="s">
        <v>32</v>
      </c>
    </row>
    <row r="510" spans="1:18" ht="26" x14ac:dyDescent="0.8">
      <c r="A510" s="247">
        <v>17233</v>
      </c>
      <c r="B510" s="248" t="s">
        <v>640</v>
      </c>
      <c r="C510" s="249" t="s">
        <v>55</v>
      </c>
      <c r="E510" s="245">
        <v>1</v>
      </c>
      <c r="F510" s="245">
        <v>1</v>
      </c>
      <c r="G510" s="245">
        <v>1</v>
      </c>
      <c r="H510" s="245">
        <v>3</v>
      </c>
      <c r="I510" s="245">
        <v>0</v>
      </c>
      <c r="O510" s="245" t="s">
        <v>67</v>
      </c>
      <c r="P510" s="245" t="s">
        <v>595</v>
      </c>
      <c r="Q510" s="245" t="s">
        <v>578</v>
      </c>
      <c r="R510" s="246" t="s">
        <v>32</v>
      </c>
    </row>
    <row r="511" spans="1:18" x14ac:dyDescent="0.8">
      <c r="A511" s="247">
        <v>2</v>
      </c>
      <c r="B511" s="248" t="s">
        <v>641</v>
      </c>
      <c r="D511" s="245">
        <v>0</v>
      </c>
      <c r="R511" s="246" t="s">
        <v>32</v>
      </c>
    </row>
    <row r="512" spans="1:18" ht="52" x14ac:dyDescent="0.8">
      <c r="A512" s="247">
        <v>21</v>
      </c>
      <c r="B512" s="248" t="s">
        <v>642</v>
      </c>
      <c r="D512" s="245">
        <v>0</v>
      </c>
      <c r="R512" s="246" t="s">
        <v>32</v>
      </c>
    </row>
    <row r="513" spans="1:18" ht="39" x14ac:dyDescent="0.8">
      <c r="A513" s="247">
        <v>211</v>
      </c>
      <c r="B513" s="248" t="s">
        <v>643</v>
      </c>
      <c r="D513" s="245">
        <v>0</v>
      </c>
      <c r="R513" s="246" t="s">
        <v>32</v>
      </c>
    </row>
    <row r="514" spans="1:18" ht="78" x14ac:dyDescent="0.8">
      <c r="A514" s="247">
        <v>2111</v>
      </c>
      <c r="B514" s="248" t="s">
        <v>644</v>
      </c>
      <c r="D514" s="245">
        <v>0</v>
      </c>
      <c r="R514" s="246" t="s">
        <v>32</v>
      </c>
    </row>
    <row r="515" spans="1:18" ht="52" x14ac:dyDescent="0.8">
      <c r="A515" s="247">
        <v>21111</v>
      </c>
      <c r="B515" s="248" t="s">
        <v>645</v>
      </c>
      <c r="C515" s="249" t="s">
        <v>646</v>
      </c>
      <c r="D515" s="245">
        <v>0</v>
      </c>
      <c r="H515" s="245">
        <v>0</v>
      </c>
      <c r="I515" s="245">
        <v>10.404797</v>
      </c>
      <c r="J515" s="245">
        <v>0</v>
      </c>
      <c r="K515" s="245">
        <v>0</v>
      </c>
      <c r="L515" s="245">
        <v>0</v>
      </c>
      <c r="M515" s="245">
        <v>0</v>
      </c>
      <c r="N515" s="245">
        <v>0</v>
      </c>
      <c r="O515" s="245" t="s">
        <v>178</v>
      </c>
      <c r="P515" s="245" t="s">
        <v>255</v>
      </c>
      <c r="Q515" s="245" t="s">
        <v>347</v>
      </c>
      <c r="R515" s="246" t="s">
        <v>32</v>
      </c>
    </row>
    <row r="516" spans="1:18" ht="39" x14ac:dyDescent="0.8">
      <c r="A516" s="247">
        <v>21112</v>
      </c>
      <c r="B516" s="248" t="s">
        <v>648</v>
      </c>
      <c r="C516" s="249" t="s">
        <v>295</v>
      </c>
      <c r="D516" s="245">
        <v>0</v>
      </c>
      <c r="H516" s="245">
        <v>0</v>
      </c>
      <c r="I516" s="245">
        <v>40.32</v>
      </c>
      <c r="J516" s="245">
        <v>0</v>
      </c>
      <c r="K516" s="245">
        <v>0</v>
      </c>
      <c r="L516" s="245">
        <v>0</v>
      </c>
      <c r="M516" s="245">
        <v>0</v>
      </c>
      <c r="N516" s="245">
        <v>0</v>
      </c>
      <c r="O516" s="245" t="s">
        <v>178</v>
      </c>
      <c r="P516" s="245" t="s">
        <v>255</v>
      </c>
      <c r="Q516" s="245" t="s">
        <v>347</v>
      </c>
      <c r="R516" s="246" t="s">
        <v>32</v>
      </c>
    </row>
    <row r="517" spans="1:18" ht="52" hidden="1" x14ac:dyDescent="0.8">
      <c r="A517" s="247">
        <v>21113</v>
      </c>
      <c r="B517" s="248" t="s">
        <v>650</v>
      </c>
      <c r="C517" s="249" t="s">
        <v>55</v>
      </c>
      <c r="D517" s="245">
        <v>0</v>
      </c>
      <c r="E517" s="245">
        <v>1</v>
      </c>
      <c r="H517" s="245">
        <v>1</v>
      </c>
      <c r="I517" s="245">
        <v>0</v>
      </c>
      <c r="O517" s="245" t="s">
        <v>56</v>
      </c>
      <c r="P517" s="245" t="s">
        <v>255</v>
      </c>
      <c r="Q517" s="245" t="s">
        <v>347</v>
      </c>
      <c r="R517" s="246" t="s">
        <v>32</v>
      </c>
    </row>
    <row r="518" spans="1:18" ht="65" hidden="1" x14ac:dyDescent="0.8">
      <c r="A518" s="247">
        <v>21114</v>
      </c>
      <c r="B518" s="248" t="s">
        <v>652</v>
      </c>
      <c r="C518" s="249" t="s">
        <v>55</v>
      </c>
      <c r="D518" s="245">
        <v>0</v>
      </c>
      <c r="E518" s="245">
        <v>1</v>
      </c>
      <c r="H518" s="245">
        <v>1</v>
      </c>
      <c r="I518" s="245">
        <v>0</v>
      </c>
      <c r="O518" s="245" t="s">
        <v>56</v>
      </c>
      <c r="P518" s="245" t="s">
        <v>653</v>
      </c>
      <c r="Q518" s="245" t="s">
        <v>347</v>
      </c>
      <c r="R518" s="246" t="s">
        <v>32</v>
      </c>
    </row>
    <row r="519" spans="1:18" ht="52" x14ac:dyDescent="0.8">
      <c r="A519" s="247">
        <v>21115</v>
      </c>
      <c r="B519" s="248" t="s">
        <v>654</v>
      </c>
      <c r="C519" s="249" t="s">
        <v>646</v>
      </c>
      <c r="D519" s="245">
        <v>0</v>
      </c>
      <c r="E519" s="245">
        <v>60</v>
      </c>
      <c r="F519" s="245">
        <v>30</v>
      </c>
      <c r="H519" s="245">
        <v>90</v>
      </c>
      <c r="I519" s="245">
        <v>10.404797</v>
      </c>
      <c r="J519" s="245">
        <v>0</v>
      </c>
      <c r="K519" s="245">
        <v>624.28782000000001</v>
      </c>
      <c r="L519" s="245">
        <v>312.14391000000001</v>
      </c>
      <c r="M519" s="245">
        <v>0</v>
      </c>
      <c r="N519" s="245">
        <v>936.43173000000002</v>
      </c>
      <c r="O519" s="245" t="s">
        <v>39</v>
      </c>
      <c r="P519" s="245" t="s">
        <v>655</v>
      </c>
      <c r="Q519" s="245" t="s">
        <v>347</v>
      </c>
      <c r="R519" s="246" t="s">
        <v>32</v>
      </c>
    </row>
    <row r="520" spans="1:18" x14ac:dyDescent="0.8">
      <c r="A520" s="247">
        <v>21116</v>
      </c>
      <c r="B520" s="248" t="s">
        <v>656</v>
      </c>
      <c r="C520" s="249" t="s">
        <v>38</v>
      </c>
      <c r="D520" s="245">
        <v>0</v>
      </c>
      <c r="F520" s="245">
        <v>250</v>
      </c>
      <c r="H520" s="245">
        <v>250</v>
      </c>
      <c r="I520" s="245">
        <v>0.3133333333333333</v>
      </c>
      <c r="J520" s="245">
        <v>0</v>
      </c>
      <c r="K520" s="245">
        <v>0</v>
      </c>
      <c r="L520" s="245">
        <v>78.333333333333329</v>
      </c>
      <c r="M520" s="245">
        <v>0</v>
      </c>
      <c r="N520" s="245">
        <v>78.333333333333329</v>
      </c>
      <c r="O520" s="245" t="s">
        <v>39</v>
      </c>
      <c r="P520" s="245" t="s">
        <v>655</v>
      </c>
      <c r="Q520" s="245" t="s">
        <v>347</v>
      </c>
      <c r="R520" s="246" t="s">
        <v>32</v>
      </c>
    </row>
    <row r="521" spans="1:18" x14ac:dyDescent="0.8">
      <c r="A521" s="247">
        <v>21117</v>
      </c>
      <c r="B521" s="248" t="s">
        <v>657</v>
      </c>
      <c r="C521" s="249" t="s">
        <v>38</v>
      </c>
      <c r="D521" s="245">
        <v>0</v>
      </c>
      <c r="F521" s="245">
        <v>75</v>
      </c>
      <c r="H521" s="245">
        <v>75</v>
      </c>
      <c r="I521" s="245">
        <v>0.3133333333333333</v>
      </c>
      <c r="J521" s="245">
        <v>0</v>
      </c>
      <c r="K521" s="245">
        <v>0</v>
      </c>
      <c r="L521" s="245">
        <v>23.499999999999996</v>
      </c>
      <c r="M521" s="245">
        <v>0</v>
      </c>
      <c r="N521" s="245">
        <v>23.499999999999996</v>
      </c>
      <c r="O521" s="245" t="s">
        <v>39</v>
      </c>
      <c r="P521" s="245" t="s">
        <v>655</v>
      </c>
      <c r="Q521" s="245" t="s">
        <v>347</v>
      </c>
      <c r="R521" s="246" t="s">
        <v>32</v>
      </c>
    </row>
    <row r="522" spans="1:18" ht="26" x14ac:dyDescent="0.8">
      <c r="A522" s="247">
        <v>2112</v>
      </c>
      <c r="B522" s="248" t="s">
        <v>658</v>
      </c>
      <c r="D522" s="245">
        <v>0</v>
      </c>
      <c r="R522" s="246" t="s">
        <v>32</v>
      </c>
    </row>
    <row r="523" spans="1:18" ht="26" hidden="1" x14ac:dyDescent="0.8">
      <c r="A523" s="247">
        <v>21121</v>
      </c>
      <c r="B523" s="248" t="s">
        <v>659</v>
      </c>
      <c r="C523" s="249" t="s">
        <v>55</v>
      </c>
      <c r="D523" s="245">
        <v>0</v>
      </c>
      <c r="F523" s="245">
        <v>1</v>
      </c>
      <c r="H523" s="245">
        <v>1</v>
      </c>
      <c r="I523" s="245">
        <v>0</v>
      </c>
      <c r="O523" s="245" t="s">
        <v>56</v>
      </c>
      <c r="P523" s="245" t="s">
        <v>255</v>
      </c>
      <c r="Q523" s="245" t="s">
        <v>655</v>
      </c>
      <c r="R523" s="246" t="s">
        <v>32</v>
      </c>
    </row>
    <row r="524" spans="1:18" ht="26" x14ac:dyDescent="0.8">
      <c r="A524" s="247">
        <v>21122</v>
      </c>
      <c r="B524" s="248" t="s">
        <v>661</v>
      </c>
      <c r="C524" s="249" t="s">
        <v>662</v>
      </c>
      <c r="D524" s="245">
        <v>0</v>
      </c>
      <c r="F524" s="245">
        <v>6</v>
      </c>
      <c r="G524" s="245">
        <v>6</v>
      </c>
      <c r="H524" s="245">
        <v>12</v>
      </c>
      <c r="I524" s="245">
        <v>219.54797350000001</v>
      </c>
      <c r="J524" s="245">
        <v>0</v>
      </c>
      <c r="K524" s="245">
        <v>0</v>
      </c>
      <c r="L524" s="245">
        <v>1317.2878410000001</v>
      </c>
      <c r="M524" s="245">
        <v>1317.2878410000001</v>
      </c>
      <c r="N524" s="245">
        <v>2634.5756820000001</v>
      </c>
      <c r="O524" s="245" t="s">
        <v>39</v>
      </c>
      <c r="P524" s="245" t="s">
        <v>663</v>
      </c>
      <c r="Q524" s="245" t="s">
        <v>655</v>
      </c>
      <c r="R524" s="246" t="s">
        <v>32</v>
      </c>
    </row>
    <row r="525" spans="1:18" x14ac:dyDescent="0.8">
      <c r="A525" s="247">
        <v>21123</v>
      </c>
      <c r="B525" s="248" t="s">
        <v>664</v>
      </c>
      <c r="C525" s="249" t="s">
        <v>66</v>
      </c>
      <c r="D525" s="245">
        <v>0</v>
      </c>
      <c r="F525" s="245">
        <v>250</v>
      </c>
      <c r="H525" s="245">
        <v>250</v>
      </c>
      <c r="I525" s="245">
        <v>0.255</v>
      </c>
      <c r="J525" s="245">
        <v>0</v>
      </c>
      <c r="K525" s="245">
        <v>0</v>
      </c>
      <c r="L525" s="245">
        <v>63.75</v>
      </c>
      <c r="M525" s="245">
        <v>0</v>
      </c>
      <c r="N525" s="245">
        <v>63.75</v>
      </c>
      <c r="O525" s="245" t="s">
        <v>39</v>
      </c>
      <c r="P525" s="245" t="s">
        <v>665</v>
      </c>
      <c r="Q525" s="245" t="s">
        <v>347</v>
      </c>
      <c r="R525" s="246" t="s">
        <v>32</v>
      </c>
    </row>
    <row r="526" spans="1:18" x14ac:dyDescent="0.8">
      <c r="A526" s="247">
        <v>21124</v>
      </c>
      <c r="B526" s="248" t="s">
        <v>666</v>
      </c>
      <c r="C526" s="249" t="s">
        <v>66</v>
      </c>
      <c r="D526" s="245">
        <v>0</v>
      </c>
      <c r="F526" s="245">
        <v>3600</v>
      </c>
      <c r="H526" s="245">
        <v>3600</v>
      </c>
      <c r="I526" s="245">
        <v>0.255</v>
      </c>
      <c r="J526" s="245">
        <v>0</v>
      </c>
      <c r="K526" s="245">
        <v>0</v>
      </c>
      <c r="L526" s="245">
        <v>918</v>
      </c>
      <c r="M526" s="245">
        <v>0</v>
      </c>
      <c r="N526" s="245">
        <v>918</v>
      </c>
      <c r="O526" s="245" t="s">
        <v>39</v>
      </c>
      <c r="P526" s="245" t="s">
        <v>192</v>
      </c>
      <c r="Q526" s="245" t="s">
        <v>347</v>
      </c>
      <c r="R526" s="246" t="s">
        <v>32</v>
      </c>
    </row>
    <row r="527" spans="1:18" ht="26" x14ac:dyDescent="0.8">
      <c r="A527" s="247">
        <v>21125</v>
      </c>
      <c r="B527" s="248" t="s">
        <v>667</v>
      </c>
      <c r="C527" s="249" t="s">
        <v>66</v>
      </c>
      <c r="D527" s="245">
        <v>0</v>
      </c>
      <c r="F527" s="245">
        <v>1200</v>
      </c>
      <c r="G527" s="245">
        <v>600</v>
      </c>
      <c r="H527" s="245">
        <v>1800</v>
      </c>
      <c r="I527" s="245">
        <v>0.255</v>
      </c>
      <c r="J527" s="245">
        <v>0</v>
      </c>
      <c r="K527" s="245">
        <v>0</v>
      </c>
      <c r="L527" s="245">
        <v>306</v>
      </c>
      <c r="M527" s="245">
        <v>153</v>
      </c>
      <c r="N527" s="245">
        <v>459</v>
      </c>
      <c r="O527" s="245" t="s">
        <v>39</v>
      </c>
      <c r="P527" s="245" t="s">
        <v>398</v>
      </c>
      <c r="Q527" s="245" t="s">
        <v>347</v>
      </c>
      <c r="R527" s="246" t="s">
        <v>32</v>
      </c>
    </row>
    <row r="528" spans="1:18" ht="26" x14ac:dyDescent="0.8">
      <c r="A528" s="247">
        <v>21126</v>
      </c>
      <c r="B528" s="248" t="s">
        <v>668</v>
      </c>
      <c r="C528" s="249" t="s">
        <v>66</v>
      </c>
      <c r="D528" s="245">
        <v>0</v>
      </c>
      <c r="F528" s="245">
        <v>150</v>
      </c>
      <c r="H528" s="245">
        <v>150</v>
      </c>
      <c r="I528" s="245">
        <v>0.255</v>
      </c>
      <c r="J528" s="245">
        <v>0</v>
      </c>
      <c r="K528" s="245">
        <v>0</v>
      </c>
      <c r="L528" s="245">
        <v>38.25</v>
      </c>
      <c r="M528" s="245">
        <v>0</v>
      </c>
      <c r="N528" s="245">
        <v>38.25</v>
      </c>
      <c r="O528" s="245" t="s">
        <v>39</v>
      </c>
      <c r="P528" s="245" t="s">
        <v>665</v>
      </c>
      <c r="Q528" s="245" t="s">
        <v>248</v>
      </c>
      <c r="R528" s="246" t="s">
        <v>32</v>
      </c>
    </row>
    <row r="529" spans="1:18" ht="52" x14ac:dyDescent="0.8">
      <c r="A529" s="247">
        <v>21127</v>
      </c>
      <c r="B529" s="248" t="s">
        <v>670</v>
      </c>
      <c r="C529" s="249" t="s">
        <v>66</v>
      </c>
      <c r="D529" s="245">
        <v>0</v>
      </c>
      <c r="G529" s="245">
        <v>250</v>
      </c>
      <c r="H529" s="245">
        <v>250</v>
      </c>
      <c r="I529" s="245">
        <v>0.255</v>
      </c>
      <c r="J529" s="245">
        <v>0</v>
      </c>
      <c r="K529" s="245">
        <v>0</v>
      </c>
      <c r="L529" s="245">
        <v>0</v>
      </c>
      <c r="M529" s="245">
        <v>63.75</v>
      </c>
      <c r="N529" s="245">
        <v>63.75</v>
      </c>
      <c r="O529" s="245" t="s">
        <v>39</v>
      </c>
      <c r="P529" s="245" t="s">
        <v>192</v>
      </c>
      <c r="Q529" s="245" t="s">
        <v>431</v>
      </c>
      <c r="R529" s="246" t="s">
        <v>32</v>
      </c>
    </row>
    <row r="530" spans="1:18" ht="39" x14ac:dyDescent="0.8">
      <c r="A530" s="247">
        <v>21128</v>
      </c>
      <c r="B530" s="248" t="s">
        <v>671</v>
      </c>
      <c r="C530" s="249" t="s">
        <v>66</v>
      </c>
      <c r="D530" s="245">
        <v>0</v>
      </c>
      <c r="F530" s="245">
        <v>150</v>
      </c>
      <c r="G530" s="245">
        <v>150</v>
      </c>
      <c r="H530" s="245">
        <v>300</v>
      </c>
      <c r="I530" s="245">
        <v>0.255</v>
      </c>
      <c r="J530" s="245">
        <v>0</v>
      </c>
      <c r="K530" s="245">
        <v>0</v>
      </c>
      <c r="L530" s="245">
        <v>38.25</v>
      </c>
      <c r="M530" s="245">
        <v>38.25</v>
      </c>
      <c r="N530" s="245">
        <v>76.5</v>
      </c>
      <c r="O530" s="245" t="s">
        <v>39</v>
      </c>
      <c r="P530" s="245" t="s">
        <v>398</v>
      </c>
      <c r="Q530" s="245" t="s">
        <v>431</v>
      </c>
      <c r="R530" s="246" t="s">
        <v>32</v>
      </c>
    </row>
    <row r="531" spans="1:18" ht="26" x14ac:dyDescent="0.8">
      <c r="A531" s="247">
        <v>21129</v>
      </c>
      <c r="B531" s="248" t="s">
        <v>672</v>
      </c>
      <c r="C531" s="249" t="s">
        <v>52</v>
      </c>
      <c r="D531" s="245">
        <v>0</v>
      </c>
      <c r="F531" s="245">
        <v>300</v>
      </c>
      <c r="H531" s="245">
        <v>300</v>
      </c>
      <c r="I531" s="245">
        <v>1.5</v>
      </c>
      <c r="J531" s="245">
        <v>0</v>
      </c>
      <c r="K531" s="245">
        <v>0</v>
      </c>
      <c r="L531" s="245">
        <v>450</v>
      </c>
      <c r="M531" s="245">
        <v>0</v>
      </c>
      <c r="N531" s="245">
        <v>450</v>
      </c>
      <c r="O531" s="245" t="s">
        <v>39</v>
      </c>
      <c r="P531" s="245" t="s">
        <v>665</v>
      </c>
      <c r="Q531" s="245" t="s">
        <v>248</v>
      </c>
      <c r="R531" s="246" t="s">
        <v>32</v>
      </c>
    </row>
    <row r="532" spans="1:18" ht="39" x14ac:dyDescent="0.8">
      <c r="A532" s="247">
        <v>211210</v>
      </c>
      <c r="B532" s="248" t="s">
        <v>673</v>
      </c>
      <c r="C532" s="249" t="s">
        <v>301</v>
      </c>
      <c r="D532" s="245">
        <v>0</v>
      </c>
      <c r="G532" s="245">
        <v>800</v>
      </c>
      <c r="H532" s="245">
        <v>800</v>
      </c>
      <c r="I532" s="245">
        <v>0.67666666666666664</v>
      </c>
      <c r="J532" s="245">
        <v>0</v>
      </c>
      <c r="K532" s="245">
        <v>0</v>
      </c>
      <c r="L532" s="245">
        <v>0</v>
      </c>
      <c r="M532" s="245">
        <v>541.33333333333326</v>
      </c>
      <c r="N532" s="245">
        <v>541.33333333333326</v>
      </c>
      <c r="O532" s="245" t="s">
        <v>39</v>
      </c>
      <c r="P532" s="245" t="s">
        <v>192</v>
      </c>
      <c r="Q532" s="245" t="s">
        <v>431</v>
      </c>
      <c r="R532" s="246" t="s">
        <v>32</v>
      </c>
    </row>
    <row r="533" spans="1:18" ht="39" hidden="1" x14ac:dyDescent="0.8">
      <c r="A533" s="247">
        <v>211211</v>
      </c>
      <c r="B533" s="248" t="s">
        <v>674</v>
      </c>
      <c r="C533" s="249" t="s">
        <v>55</v>
      </c>
      <c r="D533" s="245">
        <v>0</v>
      </c>
      <c r="F533" s="245">
        <v>1</v>
      </c>
      <c r="G533" s="245">
        <v>1</v>
      </c>
      <c r="H533" s="245">
        <v>2</v>
      </c>
      <c r="I533" s="245">
        <v>0</v>
      </c>
      <c r="O533" s="245" t="s">
        <v>56</v>
      </c>
      <c r="P533" s="245" t="s">
        <v>255</v>
      </c>
      <c r="Q533" s="245" t="s">
        <v>655</v>
      </c>
      <c r="R533" s="246" t="s">
        <v>32</v>
      </c>
    </row>
    <row r="534" spans="1:18" ht="26" hidden="1" x14ac:dyDescent="0.8">
      <c r="A534" s="247">
        <v>211212</v>
      </c>
      <c r="B534" s="248" t="s">
        <v>675</v>
      </c>
      <c r="C534" s="249" t="s">
        <v>301</v>
      </c>
      <c r="D534" s="245">
        <v>0</v>
      </c>
      <c r="G534" s="245">
        <v>800</v>
      </c>
      <c r="H534" s="245">
        <v>800</v>
      </c>
      <c r="I534" s="245">
        <v>0.67666666666666664</v>
      </c>
      <c r="J534" s="245">
        <v>0</v>
      </c>
      <c r="K534" s="245">
        <v>0</v>
      </c>
      <c r="L534" s="245">
        <v>0</v>
      </c>
      <c r="M534" s="245">
        <v>541.33333333333326</v>
      </c>
      <c r="N534" s="245">
        <v>541.33333333333326</v>
      </c>
      <c r="O534" s="245" t="s">
        <v>56</v>
      </c>
      <c r="P534" s="245" t="s">
        <v>398</v>
      </c>
      <c r="Q534" s="245" t="s">
        <v>431</v>
      </c>
      <c r="R534" s="246" t="s">
        <v>32</v>
      </c>
    </row>
    <row r="535" spans="1:18" ht="26" x14ac:dyDescent="0.8">
      <c r="A535" s="247">
        <v>211213</v>
      </c>
      <c r="B535" s="248" t="s">
        <v>676</v>
      </c>
      <c r="C535" s="249" t="s">
        <v>301</v>
      </c>
      <c r="D535" s="245">
        <v>0</v>
      </c>
      <c r="G535" s="245">
        <v>300</v>
      </c>
      <c r="H535" s="245">
        <v>300</v>
      </c>
      <c r="I535" s="245">
        <v>0.67666666666666664</v>
      </c>
      <c r="J535" s="245">
        <v>0</v>
      </c>
      <c r="K535" s="245">
        <v>0</v>
      </c>
      <c r="L535" s="245">
        <v>0</v>
      </c>
      <c r="M535" s="245">
        <v>203</v>
      </c>
      <c r="N535" s="245">
        <v>203</v>
      </c>
      <c r="O535" s="245" t="s">
        <v>39</v>
      </c>
      <c r="P535" s="245" t="s">
        <v>655</v>
      </c>
      <c r="Q535" s="245" t="s">
        <v>248</v>
      </c>
      <c r="R535" s="246" t="s">
        <v>677</v>
      </c>
    </row>
    <row r="536" spans="1:18" ht="26" x14ac:dyDescent="0.8">
      <c r="A536" s="247">
        <v>211214</v>
      </c>
      <c r="B536" s="248" t="s">
        <v>678</v>
      </c>
      <c r="C536" s="249" t="s">
        <v>301</v>
      </c>
      <c r="D536" s="245">
        <v>0</v>
      </c>
      <c r="G536" s="245">
        <v>300</v>
      </c>
      <c r="H536" s="245">
        <v>300</v>
      </c>
      <c r="I536" s="245">
        <v>0.67666666666666664</v>
      </c>
      <c r="J536" s="245">
        <v>0</v>
      </c>
      <c r="K536" s="245">
        <v>0</v>
      </c>
      <c r="L536" s="245">
        <v>0</v>
      </c>
      <c r="M536" s="245">
        <v>203</v>
      </c>
      <c r="N536" s="245">
        <v>203</v>
      </c>
      <c r="O536" s="245" t="s">
        <v>39</v>
      </c>
      <c r="P536" s="245" t="s">
        <v>655</v>
      </c>
      <c r="Q536" s="245" t="s">
        <v>431</v>
      </c>
      <c r="R536" s="246" t="s">
        <v>679</v>
      </c>
    </row>
    <row r="537" spans="1:18" ht="26" x14ac:dyDescent="0.8">
      <c r="A537" s="247">
        <v>211215</v>
      </c>
      <c r="B537" s="248" t="s">
        <v>680</v>
      </c>
      <c r="C537" s="249" t="s">
        <v>59</v>
      </c>
      <c r="D537" s="245">
        <v>0</v>
      </c>
      <c r="G537" s="245">
        <v>300</v>
      </c>
      <c r="H537" s="245">
        <v>300</v>
      </c>
      <c r="I537" s="245">
        <v>0.8177777777777776</v>
      </c>
      <c r="J537" s="245">
        <v>0</v>
      </c>
      <c r="K537" s="245">
        <v>0</v>
      </c>
      <c r="L537" s="245">
        <v>0</v>
      </c>
      <c r="M537" s="245">
        <v>245.33333333333329</v>
      </c>
      <c r="N537" s="245">
        <v>245.33333333333329</v>
      </c>
      <c r="O537" s="245" t="s">
        <v>39</v>
      </c>
      <c r="P537" s="245" t="s">
        <v>655</v>
      </c>
      <c r="Q537" s="245" t="s">
        <v>347</v>
      </c>
      <c r="R537" s="246" t="s">
        <v>32</v>
      </c>
    </row>
    <row r="538" spans="1:18" ht="26" x14ac:dyDescent="0.8">
      <c r="A538" s="247">
        <v>211216</v>
      </c>
      <c r="B538" s="248" t="s">
        <v>681</v>
      </c>
      <c r="C538" s="249" t="s">
        <v>66</v>
      </c>
      <c r="D538" s="245">
        <v>0</v>
      </c>
      <c r="G538" s="245">
        <v>70</v>
      </c>
      <c r="H538" s="245">
        <v>70</v>
      </c>
      <c r="I538" s="245">
        <v>0.255</v>
      </c>
      <c r="J538" s="245">
        <v>0</v>
      </c>
      <c r="K538" s="245">
        <v>0</v>
      </c>
      <c r="L538" s="245">
        <v>0</v>
      </c>
      <c r="M538" s="245">
        <v>17.850000000000001</v>
      </c>
      <c r="N538" s="245">
        <v>17.850000000000001</v>
      </c>
      <c r="O538" s="245" t="s">
        <v>39</v>
      </c>
      <c r="P538" s="245" t="s">
        <v>665</v>
      </c>
      <c r="Q538" s="245" t="s">
        <v>347</v>
      </c>
      <c r="R538" s="246" t="s">
        <v>32</v>
      </c>
    </row>
    <row r="539" spans="1:18" ht="26" hidden="1" x14ac:dyDescent="0.8">
      <c r="A539" s="247">
        <v>211217</v>
      </c>
      <c r="B539" s="248" t="s">
        <v>682</v>
      </c>
      <c r="C539" s="249" t="s">
        <v>59</v>
      </c>
      <c r="D539" s="245">
        <v>0</v>
      </c>
      <c r="G539" s="245">
        <v>300</v>
      </c>
      <c r="H539" s="245">
        <v>300</v>
      </c>
      <c r="I539" s="245">
        <v>0.8177777777777776</v>
      </c>
      <c r="J539" s="245">
        <v>0</v>
      </c>
      <c r="K539" s="245">
        <v>0</v>
      </c>
      <c r="L539" s="245">
        <v>0</v>
      </c>
      <c r="M539" s="245">
        <v>245.33333333333329</v>
      </c>
      <c r="N539" s="245">
        <v>245.33333333333329</v>
      </c>
      <c r="O539" s="245" t="s">
        <v>56</v>
      </c>
      <c r="P539" s="245" t="s">
        <v>398</v>
      </c>
      <c r="Q539" s="245" t="s">
        <v>347</v>
      </c>
      <c r="R539" s="246" t="s">
        <v>32</v>
      </c>
    </row>
    <row r="540" spans="1:18" ht="26" x14ac:dyDescent="0.8">
      <c r="A540" s="247">
        <v>2113</v>
      </c>
      <c r="B540" s="248" t="s">
        <v>683</v>
      </c>
      <c r="D540" s="245">
        <v>0</v>
      </c>
      <c r="R540" s="246" t="s">
        <v>32</v>
      </c>
    </row>
    <row r="541" spans="1:18" ht="26" x14ac:dyDescent="0.8">
      <c r="B541" s="248" t="s">
        <v>684</v>
      </c>
      <c r="D541" s="245">
        <v>0</v>
      </c>
      <c r="O541" s="245" t="s">
        <v>39</v>
      </c>
      <c r="R541" s="246" t="s">
        <v>32</v>
      </c>
    </row>
    <row r="542" spans="1:18" ht="39" x14ac:dyDescent="0.8">
      <c r="A542" s="247">
        <v>2114</v>
      </c>
      <c r="B542" s="248" t="s">
        <v>685</v>
      </c>
      <c r="D542" s="245">
        <v>0</v>
      </c>
      <c r="R542" s="246" t="s">
        <v>32</v>
      </c>
    </row>
    <row r="543" spans="1:18" ht="26" x14ac:dyDescent="0.8">
      <c r="A543" s="247">
        <v>21141</v>
      </c>
      <c r="B543" s="248" t="s">
        <v>686</v>
      </c>
      <c r="C543" s="249" t="s">
        <v>66</v>
      </c>
      <c r="D543" s="245">
        <v>0</v>
      </c>
      <c r="F543" s="245">
        <v>175</v>
      </c>
      <c r="H543" s="245">
        <v>175</v>
      </c>
      <c r="I543" s="245">
        <v>0.255</v>
      </c>
      <c r="J543" s="245">
        <v>0</v>
      </c>
      <c r="K543" s="245">
        <v>0</v>
      </c>
      <c r="L543" s="245">
        <v>44.625</v>
      </c>
      <c r="M543" s="245">
        <v>0</v>
      </c>
      <c r="N543" s="245">
        <v>44.625</v>
      </c>
      <c r="O543" s="245" t="s">
        <v>39</v>
      </c>
      <c r="P543" s="245" t="s">
        <v>665</v>
      </c>
      <c r="Q543" s="245" t="s">
        <v>347</v>
      </c>
      <c r="R543" s="246" t="s">
        <v>32</v>
      </c>
    </row>
    <row r="544" spans="1:18" ht="26" x14ac:dyDescent="0.8">
      <c r="A544" s="247">
        <v>21142</v>
      </c>
      <c r="B544" s="248" t="s">
        <v>687</v>
      </c>
      <c r="C544" s="249" t="s">
        <v>301</v>
      </c>
      <c r="D544" s="245">
        <v>0</v>
      </c>
      <c r="G544" s="245">
        <v>800</v>
      </c>
      <c r="H544" s="245">
        <v>800</v>
      </c>
      <c r="I544" s="245">
        <v>0.67666666666666664</v>
      </c>
      <c r="J544" s="245">
        <v>0</v>
      </c>
      <c r="K544" s="245">
        <v>0</v>
      </c>
      <c r="L544" s="245">
        <v>0</v>
      </c>
      <c r="M544" s="245">
        <v>541.33333333333326</v>
      </c>
      <c r="N544" s="245">
        <v>541.33333333333326</v>
      </c>
      <c r="O544" s="245" t="s">
        <v>39</v>
      </c>
      <c r="P544" s="245" t="s">
        <v>347</v>
      </c>
      <c r="Q544" s="245" t="s">
        <v>688</v>
      </c>
      <c r="R544" s="246" t="s">
        <v>32</v>
      </c>
    </row>
    <row r="545" spans="1:18" ht="26" x14ac:dyDescent="0.8">
      <c r="A545" s="247">
        <v>2115</v>
      </c>
      <c r="B545" s="248" t="s">
        <v>689</v>
      </c>
      <c r="D545" s="245">
        <v>0</v>
      </c>
      <c r="R545" s="246" t="s">
        <v>32</v>
      </c>
    </row>
    <row r="546" spans="1:18" ht="26" x14ac:dyDescent="0.8">
      <c r="A546" s="247">
        <v>21151</v>
      </c>
      <c r="B546" s="248" t="s">
        <v>690</v>
      </c>
      <c r="C546" s="249" t="s">
        <v>66</v>
      </c>
      <c r="D546" s="245">
        <v>0</v>
      </c>
      <c r="H546" s="245">
        <v>0</v>
      </c>
      <c r="I546" s="245">
        <v>0.255</v>
      </c>
      <c r="J546" s="245">
        <v>0</v>
      </c>
      <c r="K546" s="245">
        <v>0</v>
      </c>
      <c r="L546" s="245">
        <v>0</v>
      </c>
      <c r="M546" s="245">
        <v>0</v>
      </c>
      <c r="N546" s="245">
        <v>0</v>
      </c>
      <c r="O546" s="245" t="s">
        <v>178</v>
      </c>
      <c r="P546" s="245" t="s">
        <v>347</v>
      </c>
      <c r="Q546" s="245" t="s">
        <v>347</v>
      </c>
      <c r="R546" s="246" t="s">
        <v>32</v>
      </c>
    </row>
    <row r="547" spans="1:18" ht="26" x14ac:dyDescent="0.8">
      <c r="A547" s="247">
        <v>21152</v>
      </c>
      <c r="B547" s="248" t="s">
        <v>691</v>
      </c>
      <c r="C547" s="249" t="s">
        <v>693</v>
      </c>
      <c r="D547" s="245">
        <v>0</v>
      </c>
      <c r="H547" s="245">
        <v>0</v>
      </c>
      <c r="I547" s="245">
        <v>891</v>
      </c>
      <c r="J547" s="245">
        <v>0</v>
      </c>
      <c r="K547" s="245">
        <v>0</v>
      </c>
      <c r="L547" s="245">
        <v>0</v>
      </c>
      <c r="M547" s="245">
        <v>0</v>
      </c>
      <c r="N547" s="245">
        <v>0</v>
      </c>
      <c r="O547" s="245" t="s">
        <v>178</v>
      </c>
      <c r="P547" s="245" t="s">
        <v>347</v>
      </c>
      <c r="Q547" s="245" t="s">
        <v>347</v>
      </c>
      <c r="R547" s="246" t="s">
        <v>32</v>
      </c>
    </row>
    <row r="548" spans="1:18" ht="52" x14ac:dyDescent="0.8">
      <c r="A548" s="247">
        <v>21153</v>
      </c>
      <c r="B548" s="248" t="s">
        <v>694</v>
      </c>
      <c r="C548" s="249" t="s">
        <v>52</v>
      </c>
      <c r="D548" s="245">
        <v>0</v>
      </c>
      <c r="E548" s="245">
        <v>84.179999999999993</v>
      </c>
      <c r="F548" s="245">
        <v>126.26999999999998</v>
      </c>
      <c r="G548" s="245">
        <v>168.35999999999999</v>
      </c>
      <c r="H548" s="245">
        <v>378.80999999999995</v>
      </c>
      <c r="I548" s="245">
        <v>1.5</v>
      </c>
      <c r="J548" s="245">
        <v>0</v>
      </c>
      <c r="K548" s="245">
        <v>126.26999999999998</v>
      </c>
      <c r="L548" s="245">
        <v>189.40499999999997</v>
      </c>
      <c r="M548" s="245">
        <v>252.53999999999996</v>
      </c>
      <c r="N548" s="245">
        <v>568.21499999999992</v>
      </c>
      <c r="O548" s="245" t="s">
        <v>39</v>
      </c>
      <c r="P548" s="245" t="s">
        <v>347</v>
      </c>
      <c r="Q548" s="245" t="s">
        <v>347</v>
      </c>
      <c r="R548" s="246" t="s">
        <v>32</v>
      </c>
    </row>
    <row r="549" spans="1:18" ht="52" x14ac:dyDescent="0.8">
      <c r="A549" s="247">
        <v>21153</v>
      </c>
      <c r="B549" s="248" t="s">
        <v>694</v>
      </c>
      <c r="C549" s="249" t="s">
        <v>52</v>
      </c>
      <c r="D549" s="245">
        <v>0</v>
      </c>
      <c r="E549" s="245">
        <v>76.38</v>
      </c>
      <c r="F549" s="245">
        <v>114.57</v>
      </c>
      <c r="G549" s="245">
        <v>152.76</v>
      </c>
      <c r="H549" s="245">
        <v>343.71</v>
      </c>
      <c r="I549" s="245">
        <v>1.5</v>
      </c>
      <c r="J549" s="245">
        <v>0</v>
      </c>
      <c r="K549" s="245">
        <v>114.57</v>
      </c>
      <c r="L549" s="245">
        <v>171.85499999999999</v>
      </c>
      <c r="M549" s="245">
        <v>229.14</v>
      </c>
      <c r="N549" s="245">
        <v>515.56499999999994</v>
      </c>
      <c r="O549" s="245" t="s">
        <v>221</v>
      </c>
      <c r="P549" s="245" t="s">
        <v>347</v>
      </c>
      <c r="Q549" s="245" t="s">
        <v>347</v>
      </c>
      <c r="R549" s="246" t="s">
        <v>32</v>
      </c>
    </row>
    <row r="550" spans="1:18" ht="52" x14ac:dyDescent="0.8">
      <c r="A550" s="247">
        <v>21153</v>
      </c>
      <c r="B550" s="248" t="s">
        <v>694</v>
      </c>
      <c r="C550" s="249" t="s">
        <v>52</v>
      </c>
      <c r="D550" s="245">
        <v>0</v>
      </c>
      <c r="E550" s="245">
        <v>439.43999999999994</v>
      </c>
      <c r="F550" s="245">
        <v>659.16</v>
      </c>
      <c r="G550" s="245">
        <v>878.87999999999988</v>
      </c>
      <c r="H550" s="245">
        <v>1977.4799999999998</v>
      </c>
      <c r="I550" s="245">
        <v>1.5</v>
      </c>
      <c r="J550" s="245">
        <v>0</v>
      </c>
      <c r="K550" s="245">
        <v>659.15999999999985</v>
      </c>
      <c r="L550" s="245">
        <v>988.74</v>
      </c>
      <c r="M550" s="245">
        <v>1318.3199999999997</v>
      </c>
      <c r="N550" s="245">
        <v>2966.2199999999993</v>
      </c>
      <c r="O550" s="245" t="s">
        <v>39</v>
      </c>
      <c r="P550" s="245" t="s">
        <v>347</v>
      </c>
      <c r="Q550" s="245" t="s">
        <v>347</v>
      </c>
      <c r="R550" s="246" t="s">
        <v>32</v>
      </c>
    </row>
    <row r="551" spans="1:18" x14ac:dyDescent="0.8">
      <c r="A551" s="247">
        <v>22</v>
      </c>
      <c r="B551" s="248" t="s">
        <v>695</v>
      </c>
      <c r="D551" s="245">
        <v>0</v>
      </c>
      <c r="R551" s="246" t="s">
        <v>32</v>
      </c>
    </row>
    <row r="552" spans="1:18" ht="26" x14ac:dyDescent="0.8">
      <c r="A552" s="247">
        <v>221</v>
      </c>
      <c r="B552" s="248" t="s">
        <v>696</v>
      </c>
      <c r="D552" s="245">
        <v>0</v>
      </c>
      <c r="R552" s="246" t="s">
        <v>32</v>
      </c>
    </row>
    <row r="553" spans="1:18" ht="26" x14ac:dyDescent="0.8">
      <c r="A553" s="247">
        <v>2211</v>
      </c>
      <c r="B553" s="248" t="s">
        <v>697</v>
      </c>
      <c r="D553" s="245">
        <v>0</v>
      </c>
      <c r="R553" s="246" t="s">
        <v>32</v>
      </c>
    </row>
    <row r="554" spans="1:18" ht="26" hidden="1" x14ac:dyDescent="0.8">
      <c r="A554" s="247">
        <v>22111</v>
      </c>
      <c r="B554" s="248" t="s">
        <v>698</v>
      </c>
      <c r="C554" s="249" t="s">
        <v>55</v>
      </c>
      <c r="D554" s="245">
        <v>0</v>
      </c>
      <c r="E554" s="245">
        <v>1</v>
      </c>
      <c r="H554" s="245">
        <v>1</v>
      </c>
      <c r="I554" s="245">
        <v>0</v>
      </c>
      <c r="O554" s="245" t="s">
        <v>56</v>
      </c>
      <c r="P554" s="245" t="s">
        <v>255</v>
      </c>
      <c r="Q554" s="245" t="s">
        <v>398</v>
      </c>
      <c r="R554" s="246" t="s">
        <v>32</v>
      </c>
    </row>
    <row r="555" spans="1:18" ht="39" hidden="1" x14ac:dyDescent="0.8">
      <c r="A555" s="247">
        <v>22112</v>
      </c>
      <c r="B555" s="248" t="s">
        <v>699</v>
      </c>
      <c r="C555" s="249" t="s">
        <v>55</v>
      </c>
      <c r="D555" s="245">
        <v>0</v>
      </c>
      <c r="E555" s="245">
        <v>1</v>
      </c>
      <c r="H555" s="245">
        <v>1</v>
      </c>
      <c r="I555" s="245">
        <v>0</v>
      </c>
      <c r="O555" s="245" t="s">
        <v>56</v>
      </c>
      <c r="P555" s="245" t="s">
        <v>398</v>
      </c>
      <c r="Q555" s="245" t="s">
        <v>347</v>
      </c>
      <c r="R555" s="246" t="s">
        <v>32</v>
      </c>
    </row>
    <row r="556" spans="1:18" ht="39" hidden="1" x14ac:dyDescent="0.8">
      <c r="A556" s="247">
        <v>22113</v>
      </c>
      <c r="B556" s="248" t="s">
        <v>700</v>
      </c>
      <c r="C556" s="249" t="s">
        <v>55</v>
      </c>
      <c r="D556" s="245">
        <v>0</v>
      </c>
      <c r="F556" s="245">
        <v>1</v>
      </c>
      <c r="G556" s="245">
        <v>1</v>
      </c>
      <c r="H556" s="245">
        <v>2</v>
      </c>
      <c r="I556" s="245">
        <v>0</v>
      </c>
      <c r="O556" s="245" t="s">
        <v>56</v>
      </c>
      <c r="P556" s="245" t="s">
        <v>398</v>
      </c>
      <c r="Q556" s="245" t="s">
        <v>347</v>
      </c>
      <c r="R556" s="246" t="s">
        <v>32</v>
      </c>
    </row>
    <row r="557" spans="1:18" x14ac:dyDescent="0.8">
      <c r="A557" s="247">
        <v>2212</v>
      </c>
      <c r="B557" s="248" t="s">
        <v>701</v>
      </c>
      <c r="D557" s="245">
        <v>0</v>
      </c>
      <c r="R557" s="246" t="s">
        <v>32</v>
      </c>
    </row>
    <row r="558" spans="1:18" ht="26" hidden="1" x14ac:dyDescent="0.8">
      <c r="B558" s="248" t="s">
        <v>684</v>
      </c>
      <c r="D558" s="245">
        <v>0</v>
      </c>
      <c r="I558" s="245" t="s">
        <v>707</v>
      </c>
      <c r="O558" s="245" t="s">
        <v>56</v>
      </c>
      <c r="R558" s="246" t="s">
        <v>32</v>
      </c>
    </row>
    <row r="559" spans="1:18" ht="39" x14ac:dyDescent="0.8">
      <c r="A559" s="247">
        <v>2213</v>
      </c>
      <c r="B559" s="248" t="s">
        <v>702</v>
      </c>
      <c r="D559" s="245">
        <v>0</v>
      </c>
      <c r="R559" s="246" t="s">
        <v>32</v>
      </c>
    </row>
    <row r="560" spans="1:18" ht="26" hidden="1" x14ac:dyDescent="0.8">
      <c r="B560" s="248" t="s">
        <v>684</v>
      </c>
      <c r="D560" s="245">
        <v>0</v>
      </c>
      <c r="I560" s="245" t="s">
        <v>707</v>
      </c>
      <c r="O560" s="245" t="s">
        <v>56</v>
      </c>
      <c r="R560" s="246" t="s">
        <v>32</v>
      </c>
    </row>
    <row r="561" spans="1:18" ht="39" x14ac:dyDescent="0.8">
      <c r="A561" s="247">
        <v>23</v>
      </c>
      <c r="B561" s="248" t="s">
        <v>703</v>
      </c>
      <c r="D561" s="245">
        <v>0</v>
      </c>
      <c r="R561" s="246" t="s">
        <v>32</v>
      </c>
    </row>
    <row r="562" spans="1:18" ht="65" x14ac:dyDescent="0.8">
      <c r="A562" s="247">
        <v>231</v>
      </c>
      <c r="B562" s="248" t="s">
        <v>704</v>
      </c>
      <c r="D562" s="245">
        <v>0</v>
      </c>
      <c r="R562" s="246" t="s">
        <v>32</v>
      </c>
    </row>
    <row r="563" spans="1:18" ht="26" x14ac:dyDescent="0.8">
      <c r="A563" s="247">
        <v>2311</v>
      </c>
      <c r="B563" s="248" t="s">
        <v>705</v>
      </c>
      <c r="D563" s="245">
        <v>0</v>
      </c>
      <c r="R563" s="246" t="s">
        <v>32</v>
      </c>
    </row>
    <row r="564" spans="1:18" ht="39" hidden="1" x14ac:dyDescent="0.8">
      <c r="A564" s="247">
        <v>23111</v>
      </c>
      <c r="B564" s="248" t="s">
        <v>706</v>
      </c>
      <c r="C564" s="249" t="s">
        <v>55</v>
      </c>
      <c r="D564" s="245">
        <v>0</v>
      </c>
      <c r="E564" s="245">
        <v>1</v>
      </c>
      <c r="H564" s="245">
        <v>1</v>
      </c>
      <c r="I564" s="245">
        <v>0</v>
      </c>
      <c r="O564" s="245" t="s">
        <v>56</v>
      </c>
      <c r="P564" s="245" t="s">
        <v>255</v>
      </c>
      <c r="Q564" s="245" t="s">
        <v>708</v>
      </c>
      <c r="R564" s="246" t="s">
        <v>32</v>
      </c>
    </row>
    <row r="565" spans="1:18" ht="26" x14ac:dyDescent="0.8">
      <c r="A565" s="247">
        <v>23112</v>
      </c>
      <c r="B565" s="248" t="s">
        <v>709</v>
      </c>
      <c r="C565" s="249" t="s">
        <v>646</v>
      </c>
      <c r="D565" s="245">
        <v>0</v>
      </c>
      <c r="F565" s="245">
        <v>48</v>
      </c>
      <c r="H565" s="245">
        <v>48</v>
      </c>
      <c r="I565" s="245">
        <v>10.404797</v>
      </c>
      <c r="J565" s="245">
        <v>0</v>
      </c>
      <c r="K565" s="245">
        <v>0</v>
      </c>
      <c r="L565" s="245">
        <v>499.43025599999999</v>
      </c>
      <c r="M565" s="245">
        <v>0</v>
      </c>
      <c r="N565" s="245">
        <v>499.43025599999999</v>
      </c>
      <c r="O565" s="245" t="s">
        <v>39</v>
      </c>
      <c r="P565" s="245" t="s">
        <v>663</v>
      </c>
      <c r="Q565" s="245" t="s">
        <v>708</v>
      </c>
      <c r="R565" s="246" t="s">
        <v>32</v>
      </c>
    </row>
    <row r="566" spans="1:18" ht="26" x14ac:dyDescent="0.8">
      <c r="A566" s="247">
        <v>23113</v>
      </c>
      <c r="B566" s="248" t="s">
        <v>710</v>
      </c>
      <c r="C566" s="249" t="s">
        <v>66</v>
      </c>
      <c r="D566" s="245">
        <v>0</v>
      </c>
      <c r="F566" s="245">
        <v>75</v>
      </c>
      <c r="H566" s="245">
        <v>75</v>
      </c>
      <c r="I566" s="245">
        <v>0.255</v>
      </c>
      <c r="J566" s="245">
        <v>0</v>
      </c>
      <c r="K566" s="245">
        <v>0</v>
      </c>
      <c r="L566" s="245">
        <v>19.125</v>
      </c>
      <c r="M566" s="245">
        <v>0</v>
      </c>
      <c r="N566" s="245">
        <v>19.125</v>
      </c>
      <c r="O566" s="245" t="s">
        <v>39</v>
      </c>
      <c r="P566" s="245" t="s">
        <v>708</v>
      </c>
      <c r="Q566" s="245" t="s">
        <v>711</v>
      </c>
      <c r="R566" s="246" t="s">
        <v>32</v>
      </c>
    </row>
    <row r="567" spans="1:18" ht="26" x14ac:dyDescent="0.8">
      <c r="A567" s="247">
        <v>23114</v>
      </c>
      <c r="B567" s="248" t="s">
        <v>712</v>
      </c>
      <c r="C567" s="249" t="s">
        <v>38</v>
      </c>
      <c r="D567" s="245">
        <v>0</v>
      </c>
      <c r="F567" s="245">
        <v>50</v>
      </c>
      <c r="H567" s="245">
        <v>50</v>
      </c>
      <c r="I567" s="245">
        <v>0.3133333333333333</v>
      </c>
      <c r="J567" s="245">
        <v>0</v>
      </c>
      <c r="K567" s="245">
        <v>0</v>
      </c>
      <c r="L567" s="245">
        <v>15.666666666666664</v>
      </c>
      <c r="M567" s="245">
        <v>0</v>
      </c>
      <c r="N567" s="245">
        <v>15.666666666666664</v>
      </c>
      <c r="O567" s="245" t="s">
        <v>39</v>
      </c>
      <c r="P567" s="245" t="s">
        <v>708</v>
      </c>
      <c r="Q567" s="245" t="s">
        <v>273</v>
      </c>
      <c r="R567" s="246" t="s">
        <v>32</v>
      </c>
    </row>
    <row r="568" spans="1:18" ht="26" x14ac:dyDescent="0.8">
      <c r="A568" s="247">
        <v>23116</v>
      </c>
      <c r="B568" s="248" t="s">
        <v>713</v>
      </c>
      <c r="C568" s="249" t="s">
        <v>38</v>
      </c>
      <c r="D568" s="245">
        <v>0</v>
      </c>
      <c r="G568" s="245">
        <v>54</v>
      </c>
      <c r="H568" s="245">
        <v>54</v>
      </c>
      <c r="I568" s="245">
        <v>0.3133333333333333</v>
      </c>
      <c r="J568" s="245">
        <v>0</v>
      </c>
      <c r="K568" s="245">
        <v>0</v>
      </c>
      <c r="L568" s="245">
        <v>0</v>
      </c>
      <c r="M568" s="245">
        <v>16.919999999999998</v>
      </c>
      <c r="N568" s="245">
        <v>16.919999999999998</v>
      </c>
      <c r="O568" s="245" t="s">
        <v>39</v>
      </c>
      <c r="P568" s="245" t="s">
        <v>708</v>
      </c>
      <c r="Q568" s="245" t="s">
        <v>273</v>
      </c>
      <c r="R568" s="246" t="s">
        <v>32</v>
      </c>
    </row>
    <row r="569" spans="1:18" hidden="1" x14ac:dyDescent="0.8">
      <c r="A569" s="247">
        <v>23117</v>
      </c>
      <c r="B569" s="248" t="s">
        <v>714</v>
      </c>
      <c r="C569" s="249" t="s">
        <v>716</v>
      </c>
      <c r="D569" s="245">
        <v>0</v>
      </c>
      <c r="E569" s="245">
        <v>0.94137365202581103</v>
      </c>
      <c r="F569" s="245">
        <v>1.0918583057434701</v>
      </c>
      <c r="G569" s="245">
        <v>1.2054357578161301</v>
      </c>
      <c r="H569" s="245">
        <v>3.2386677155854109</v>
      </c>
      <c r="I569" s="245">
        <v>9719.1358885830705</v>
      </c>
      <c r="J569" s="245">
        <v>0</v>
      </c>
      <c r="K569" s="245">
        <v>9149.3384459705703</v>
      </c>
      <c r="L569" s="245">
        <v>10611.919244598866</v>
      </c>
      <c r="M569" s="245">
        <v>11715.79393517208</v>
      </c>
      <c r="N569" s="245">
        <v>31477.051625741515</v>
      </c>
      <c r="O569" s="245" t="s">
        <v>56</v>
      </c>
      <c r="P569" s="245" t="s">
        <v>708</v>
      </c>
      <c r="Q569" s="245" t="s">
        <v>273</v>
      </c>
      <c r="R569" s="246" t="s">
        <v>32</v>
      </c>
    </row>
    <row r="570" spans="1:18" ht="26" hidden="1" x14ac:dyDescent="0.8">
      <c r="A570" s="247">
        <v>23118</v>
      </c>
      <c r="B570" s="248" t="s">
        <v>717</v>
      </c>
      <c r="C570" s="249" t="s">
        <v>719</v>
      </c>
      <c r="D570" s="245">
        <v>0</v>
      </c>
      <c r="E570" s="245">
        <v>2</v>
      </c>
      <c r="F570" s="245">
        <v>3</v>
      </c>
      <c r="G570" s="245">
        <v>4</v>
      </c>
      <c r="H570" s="245">
        <v>9</v>
      </c>
      <c r="I570" s="245">
        <v>2253.8783451118597</v>
      </c>
      <c r="J570" s="245">
        <v>0</v>
      </c>
      <c r="K570" s="245">
        <v>4507.7566902237195</v>
      </c>
      <c r="L570" s="245">
        <v>6761.6350353355792</v>
      </c>
      <c r="M570" s="245">
        <v>9015.513380447439</v>
      </c>
      <c r="N570" s="245">
        <v>20284.905106006736</v>
      </c>
      <c r="O570" s="245" t="s">
        <v>169</v>
      </c>
      <c r="P570" s="245" t="s">
        <v>708</v>
      </c>
      <c r="Q570" s="245" t="s">
        <v>273</v>
      </c>
      <c r="R570" s="246" t="s">
        <v>32</v>
      </c>
    </row>
    <row r="571" spans="1:18" ht="26" x14ac:dyDescent="0.8">
      <c r="A571" s="247">
        <v>2312</v>
      </c>
      <c r="B571" s="248" t="s">
        <v>720</v>
      </c>
      <c r="D571" s="245">
        <v>0</v>
      </c>
      <c r="R571" s="246" t="s">
        <v>32</v>
      </c>
    </row>
    <row r="572" spans="1:18" ht="26" x14ac:dyDescent="0.8">
      <c r="A572" s="247">
        <v>23121</v>
      </c>
      <c r="B572" s="248" t="s">
        <v>721</v>
      </c>
      <c r="C572" s="249" t="s">
        <v>723</v>
      </c>
      <c r="E572" s="245">
        <v>0.75</v>
      </c>
      <c r="F572" s="245">
        <v>0.75</v>
      </c>
      <c r="G572" s="245">
        <v>0.75</v>
      </c>
      <c r="H572" s="245">
        <v>2.25</v>
      </c>
      <c r="I572" s="245">
        <v>570</v>
      </c>
      <c r="J572" s="245">
        <v>0</v>
      </c>
      <c r="K572" s="245">
        <v>427.5</v>
      </c>
      <c r="L572" s="245">
        <v>427.5</v>
      </c>
      <c r="M572" s="245">
        <v>427.5</v>
      </c>
      <c r="N572" s="245">
        <v>1282.5</v>
      </c>
      <c r="O572" s="245" t="s">
        <v>67</v>
      </c>
      <c r="P572" s="245" t="s">
        <v>41</v>
      </c>
      <c r="Q572" s="245" t="s">
        <v>248</v>
      </c>
      <c r="R572" s="246" t="s">
        <v>32</v>
      </c>
    </row>
    <row r="573" spans="1:18" ht="26" x14ac:dyDescent="0.8">
      <c r="A573" s="247">
        <v>23121</v>
      </c>
      <c r="B573" s="248" t="s">
        <v>721</v>
      </c>
      <c r="C573" s="249" t="s">
        <v>723</v>
      </c>
      <c r="D573" s="245">
        <v>0</v>
      </c>
      <c r="E573" s="245">
        <v>0.25</v>
      </c>
      <c r="F573" s="245">
        <v>0.25</v>
      </c>
      <c r="G573" s="245">
        <v>0.25</v>
      </c>
      <c r="H573" s="245">
        <v>0.75</v>
      </c>
      <c r="I573" s="245">
        <v>570</v>
      </c>
      <c r="J573" s="245">
        <v>0</v>
      </c>
      <c r="K573" s="245">
        <v>142.5</v>
      </c>
      <c r="L573" s="245">
        <v>142.5</v>
      </c>
      <c r="M573" s="245">
        <v>142.5</v>
      </c>
      <c r="N573" s="245">
        <v>427.5</v>
      </c>
      <c r="O573" s="245" t="s">
        <v>39</v>
      </c>
      <c r="P573" s="245" t="s">
        <v>41</v>
      </c>
      <c r="Q573" s="245" t="s">
        <v>248</v>
      </c>
      <c r="R573" s="246" t="s">
        <v>32</v>
      </c>
    </row>
    <row r="574" spans="1:18" ht="26" x14ac:dyDescent="0.8">
      <c r="A574" s="247">
        <v>2313</v>
      </c>
      <c r="B574" s="248" t="s">
        <v>724</v>
      </c>
      <c r="D574" s="245">
        <v>0</v>
      </c>
      <c r="R574" s="246" t="s">
        <v>32</v>
      </c>
    </row>
    <row r="575" spans="1:18" ht="26" x14ac:dyDescent="0.8">
      <c r="A575" s="247">
        <v>23131</v>
      </c>
      <c r="B575" s="248" t="s">
        <v>725</v>
      </c>
      <c r="C575" s="249" t="s">
        <v>66</v>
      </c>
      <c r="D575" s="245">
        <v>0</v>
      </c>
      <c r="H575" s="245">
        <v>0</v>
      </c>
      <c r="I575" s="245">
        <v>0.255</v>
      </c>
      <c r="J575" s="245">
        <v>0</v>
      </c>
      <c r="K575" s="245">
        <v>0</v>
      </c>
      <c r="L575" s="245">
        <v>0</v>
      </c>
      <c r="M575" s="245">
        <v>0</v>
      </c>
      <c r="N575" s="245">
        <v>0</v>
      </c>
      <c r="O575" s="245" t="s">
        <v>178</v>
      </c>
      <c r="P575" s="245" t="s">
        <v>192</v>
      </c>
      <c r="Q575" s="245" t="s">
        <v>192</v>
      </c>
      <c r="R575" s="246" t="s">
        <v>32</v>
      </c>
    </row>
    <row r="576" spans="1:18" ht="26" x14ac:dyDescent="0.8">
      <c r="A576" s="247">
        <v>23132</v>
      </c>
      <c r="B576" s="248" t="s">
        <v>726</v>
      </c>
      <c r="C576" s="249" t="s">
        <v>66</v>
      </c>
      <c r="D576" s="245">
        <v>0</v>
      </c>
      <c r="H576" s="245">
        <v>0</v>
      </c>
      <c r="I576" s="245">
        <v>0.255</v>
      </c>
      <c r="J576" s="245">
        <v>0</v>
      </c>
      <c r="K576" s="245">
        <v>0</v>
      </c>
      <c r="L576" s="245">
        <v>0</v>
      </c>
      <c r="M576" s="245">
        <v>0</v>
      </c>
      <c r="N576" s="245">
        <v>0</v>
      </c>
      <c r="O576" s="245" t="s">
        <v>178</v>
      </c>
      <c r="P576" s="245" t="s">
        <v>192</v>
      </c>
      <c r="Q576" s="245" t="s">
        <v>192</v>
      </c>
      <c r="R576" s="246" t="s">
        <v>32</v>
      </c>
    </row>
    <row r="577" spans="1:18" ht="26" x14ac:dyDescent="0.8">
      <c r="A577" s="247">
        <v>23133</v>
      </c>
      <c r="B577" s="248" t="s">
        <v>727</v>
      </c>
      <c r="C577" s="249" t="s">
        <v>66</v>
      </c>
      <c r="D577" s="245">
        <v>0</v>
      </c>
      <c r="H577" s="245">
        <v>0</v>
      </c>
      <c r="I577" s="245">
        <v>0.255</v>
      </c>
      <c r="J577" s="245">
        <v>0</v>
      </c>
      <c r="K577" s="245">
        <v>0</v>
      </c>
      <c r="L577" s="245">
        <v>0</v>
      </c>
      <c r="M577" s="245">
        <v>0</v>
      </c>
      <c r="N577" s="245">
        <v>0</v>
      </c>
      <c r="O577" s="245" t="s">
        <v>178</v>
      </c>
      <c r="P577" s="245" t="s">
        <v>192</v>
      </c>
      <c r="Q577" s="245" t="s">
        <v>248</v>
      </c>
      <c r="R577" s="246" t="s">
        <v>32</v>
      </c>
    </row>
    <row r="578" spans="1:18" ht="39" x14ac:dyDescent="0.8">
      <c r="A578" s="247">
        <v>23134</v>
      </c>
      <c r="B578" s="248" t="s">
        <v>728</v>
      </c>
      <c r="C578" s="249" t="s">
        <v>729</v>
      </c>
      <c r="D578" s="245">
        <v>0</v>
      </c>
      <c r="H578" s="245">
        <v>0</v>
      </c>
      <c r="I578" s="245">
        <v>52.8</v>
      </c>
      <c r="J578" s="245">
        <v>0</v>
      </c>
      <c r="K578" s="245">
        <v>0</v>
      </c>
      <c r="L578" s="245">
        <v>0</v>
      </c>
      <c r="M578" s="245">
        <v>0</v>
      </c>
      <c r="N578" s="245">
        <v>0</v>
      </c>
      <c r="O578" s="245" t="s">
        <v>178</v>
      </c>
      <c r="P578" s="245" t="s">
        <v>192</v>
      </c>
      <c r="Q578" s="245" t="s">
        <v>192</v>
      </c>
      <c r="R578" s="246" t="s">
        <v>32</v>
      </c>
    </row>
    <row r="579" spans="1:18" ht="26" x14ac:dyDescent="0.8">
      <c r="A579" s="247">
        <v>232</v>
      </c>
      <c r="B579" s="248" t="s">
        <v>730</v>
      </c>
      <c r="D579" s="245">
        <v>0</v>
      </c>
      <c r="R579" s="246" t="s">
        <v>32</v>
      </c>
    </row>
    <row r="580" spans="1:18" ht="26" x14ac:dyDescent="0.8">
      <c r="A580" s="247">
        <v>2321</v>
      </c>
      <c r="B580" s="248" t="s">
        <v>731</v>
      </c>
      <c r="D580" s="245">
        <v>0</v>
      </c>
      <c r="R580" s="246" t="s">
        <v>32</v>
      </c>
    </row>
    <row r="581" spans="1:18" ht="39" hidden="1" x14ac:dyDescent="0.8">
      <c r="A581" s="247">
        <v>23211</v>
      </c>
      <c r="B581" s="248" t="s">
        <v>732</v>
      </c>
      <c r="C581" s="249" t="s">
        <v>55</v>
      </c>
      <c r="D581" s="245">
        <v>0</v>
      </c>
      <c r="E581" s="245">
        <v>1</v>
      </c>
      <c r="H581" s="245">
        <v>1</v>
      </c>
      <c r="I581" s="245">
        <v>0</v>
      </c>
      <c r="O581" s="245" t="s">
        <v>56</v>
      </c>
      <c r="P581" s="245" t="s">
        <v>255</v>
      </c>
      <c r="Q581" s="245" t="s">
        <v>273</v>
      </c>
      <c r="R581" s="246" t="s">
        <v>32</v>
      </c>
    </row>
    <row r="582" spans="1:18" ht="26" x14ac:dyDescent="0.8">
      <c r="A582" s="247">
        <v>23212</v>
      </c>
      <c r="B582" s="248" t="s">
        <v>733</v>
      </c>
      <c r="C582" s="249" t="s">
        <v>301</v>
      </c>
      <c r="D582" s="245">
        <v>0</v>
      </c>
      <c r="F582" s="245">
        <v>250</v>
      </c>
      <c r="H582" s="245">
        <v>250</v>
      </c>
      <c r="I582" s="245">
        <v>0.67666666666666664</v>
      </c>
      <c r="J582" s="245">
        <v>0</v>
      </c>
      <c r="K582" s="245">
        <v>0</v>
      </c>
      <c r="L582" s="245">
        <v>169.16666666666666</v>
      </c>
      <c r="M582" s="245">
        <v>0</v>
      </c>
      <c r="N582" s="245">
        <v>169.16666666666666</v>
      </c>
      <c r="O582" s="245" t="s">
        <v>39</v>
      </c>
      <c r="P582" s="245" t="s">
        <v>708</v>
      </c>
      <c r="Q582" s="245" t="s">
        <v>734</v>
      </c>
      <c r="R582" s="246" t="s">
        <v>32</v>
      </c>
    </row>
    <row r="583" spans="1:18" x14ac:dyDescent="0.8">
      <c r="A583" s="247">
        <v>23213</v>
      </c>
      <c r="B583" s="248" t="s">
        <v>735</v>
      </c>
      <c r="C583" s="249" t="s">
        <v>38</v>
      </c>
      <c r="D583" s="245">
        <v>0</v>
      </c>
      <c r="G583" s="245">
        <v>384</v>
      </c>
      <c r="H583" s="245">
        <v>384</v>
      </c>
      <c r="I583" s="245">
        <v>0.3133333333333333</v>
      </c>
      <c r="J583" s="245">
        <v>0</v>
      </c>
      <c r="K583" s="245">
        <v>0</v>
      </c>
      <c r="L583" s="245">
        <v>0</v>
      </c>
      <c r="M583" s="245">
        <v>120.32</v>
      </c>
      <c r="N583" s="245">
        <v>120.32</v>
      </c>
      <c r="O583" s="245" t="s">
        <v>39</v>
      </c>
      <c r="P583" s="245" t="s">
        <v>708</v>
      </c>
      <c r="Q583" s="245" t="s">
        <v>737</v>
      </c>
      <c r="R583" s="246" t="s">
        <v>32</v>
      </c>
    </row>
    <row r="584" spans="1:18" ht="39" x14ac:dyDescent="0.8">
      <c r="A584" s="247">
        <v>23214</v>
      </c>
      <c r="B584" s="248" t="s">
        <v>738</v>
      </c>
      <c r="C584" s="249" t="s">
        <v>38</v>
      </c>
      <c r="D584" s="245">
        <v>0</v>
      </c>
      <c r="G584" s="245">
        <v>160</v>
      </c>
      <c r="H584" s="245">
        <v>160</v>
      </c>
      <c r="I584" s="245">
        <v>0.3133333333333333</v>
      </c>
      <c r="J584" s="245">
        <v>0</v>
      </c>
      <c r="K584" s="245">
        <v>0</v>
      </c>
      <c r="L584" s="245">
        <v>0</v>
      </c>
      <c r="M584" s="245">
        <v>50.133333333333326</v>
      </c>
      <c r="N584" s="245">
        <v>50.133333333333326</v>
      </c>
      <c r="O584" s="245" t="s">
        <v>39</v>
      </c>
      <c r="P584" s="245" t="s">
        <v>708</v>
      </c>
      <c r="Q584" s="245" t="s">
        <v>273</v>
      </c>
      <c r="R584" s="246" t="s">
        <v>32</v>
      </c>
    </row>
    <row r="585" spans="1:18" ht="78" x14ac:dyDescent="0.8">
      <c r="A585" s="247">
        <v>233</v>
      </c>
      <c r="B585" s="248" t="s">
        <v>740</v>
      </c>
      <c r="D585" s="245">
        <v>0</v>
      </c>
      <c r="R585" s="246" t="s">
        <v>32</v>
      </c>
    </row>
    <row r="586" spans="1:18" ht="26" x14ac:dyDescent="0.8">
      <c r="A586" s="247">
        <v>2331</v>
      </c>
      <c r="B586" s="248" t="s">
        <v>741</v>
      </c>
      <c r="D586" s="245">
        <v>0</v>
      </c>
      <c r="R586" s="246" t="s">
        <v>32</v>
      </c>
    </row>
    <row r="587" spans="1:18" ht="52" hidden="1" x14ac:dyDescent="0.8">
      <c r="A587" s="247">
        <v>23311</v>
      </c>
      <c r="B587" s="248" t="s">
        <v>742</v>
      </c>
      <c r="C587" s="249" t="s">
        <v>55</v>
      </c>
      <c r="D587" s="245">
        <v>0</v>
      </c>
      <c r="E587" s="245">
        <v>1</v>
      </c>
      <c r="H587" s="245">
        <v>1</v>
      </c>
      <c r="I587" s="245">
        <v>0</v>
      </c>
      <c r="O587" s="245" t="s">
        <v>56</v>
      </c>
      <c r="P587" s="245" t="s">
        <v>255</v>
      </c>
      <c r="Q587" s="245" t="s">
        <v>708</v>
      </c>
      <c r="R587" s="246" t="s">
        <v>32</v>
      </c>
    </row>
    <row r="588" spans="1:18" ht="26" x14ac:dyDescent="0.8">
      <c r="A588" s="247">
        <v>23312</v>
      </c>
      <c r="B588" s="248" t="s">
        <v>743</v>
      </c>
      <c r="C588" s="249" t="s">
        <v>646</v>
      </c>
      <c r="D588" s="245">
        <v>0</v>
      </c>
      <c r="E588" s="245">
        <v>60</v>
      </c>
      <c r="F588" s="245">
        <v>10</v>
      </c>
      <c r="H588" s="245">
        <v>70</v>
      </c>
      <c r="I588" s="245">
        <v>10.404797</v>
      </c>
      <c r="J588" s="245">
        <v>0</v>
      </c>
      <c r="K588" s="245">
        <v>624.28782000000001</v>
      </c>
      <c r="L588" s="245">
        <v>104.04797000000001</v>
      </c>
      <c r="M588" s="245">
        <v>0</v>
      </c>
      <c r="N588" s="245">
        <v>728.33578999999997</v>
      </c>
      <c r="O588" s="245" t="s">
        <v>39</v>
      </c>
      <c r="P588" s="245" t="s">
        <v>708</v>
      </c>
      <c r="Q588" s="245" t="s">
        <v>663</v>
      </c>
      <c r="R588" s="246" t="s">
        <v>32</v>
      </c>
    </row>
    <row r="589" spans="1:18" ht="39" x14ac:dyDescent="0.8">
      <c r="A589" s="247">
        <v>23313</v>
      </c>
      <c r="B589" s="248" t="s">
        <v>744</v>
      </c>
      <c r="C589" s="249" t="s">
        <v>66</v>
      </c>
      <c r="D589" s="245">
        <v>0</v>
      </c>
      <c r="E589" s="245">
        <v>50</v>
      </c>
      <c r="H589" s="245">
        <v>50</v>
      </c>
      <c r="I589" s="245">
        <v>0.255</v>
      </c>
      <c r="J589" s="245">
        <v>0</v>
      </c>
      <c r="K589" s="245">
        <v>12.75</v>
      </c>
      <c r="L589" s="245">
        <v>0</v>
      </c>
      <c r="M589" s="245">
        <v>0</v>
      </c>
      <c r="N589" s="245">
        <v>12.75</v>
      </c>
      <c r="O589" s="245" t="s">
        <v>39</v>
      </c>
      <c r="P589" s="245" t="s">
        <v>708</v>
      </c>
      <c r="Q589" s="245" t="s">
        <v>745</v>
      </c>
      <c r="R589" s="246" t="s">
        <v>32</v>
      </c>
    </row>
    <row r="590" spans="1:18" ht="39" x14ac:dyDescent="0.8">
      <c r="A590" s="247">
        <v>23314</v>
      </c>
      <c r="B590" s="248" t="s">
        <v>746</v>
      </c>
      <c r="C590" s="249" t="s">
        <v>38</v>
      </c>
      <c r="D590" s="245">
        <v>0</v>
      </c>
      <c r="E590" s="245">
        <v>50</v>
      </c>
      <c r="H590" s="245">
        <v>50</v>
      </c>
      <c r="I590" s="245">
        <v>0.3133333333333333</v>
      </c>
      <c r="J590" s="245">
        <v>0</v>
      </c>
      <c r="K590" s="245">
        <v>15.666666666666664</v>
      </c>
      <c r="L590" s="245">
        <v>0</v>
      </c>
      <c r="M590" s="245">
        <v>0</v>
      </c>
      <c r="N590" s="245">
        <v>15.666666666666664</v>
      </c>
      <c r="O590" s="245" t="s">
        <v>39</v>
      </c>
      <c r="P590" s="245" t="s">
        <v>708</v>
      </c>
      <c r="Q590" s="245" t="s">
        <v>273</v>
      </c>
      <c r="R590" s="246" t="s">
        <v>32</v>
      </c>
    </row>
    <row r="591" spans="1:18" ht="26" x14ac:dyDescent="0.8">
      <c r="A591" s="247">
        <v>2332</v>
      </c>
      <c r="B591" s="248" t="s">
        <v>747</v>
      </c>
      <c r="D591" s="245">
        <v>0</v>
      </c>
      <c r="R591" s="246" t="s">
        <v>32</v>
      </c>
    </row>
    <row r="592" spans="1:18" ht="26" x14ac:dyDescent="0.8">
      <c r="A592" s="247">
        <v>23321</v>
      </c>
      <c r="B592" s="248" t="s">
        <v>748</v>
      </c>
      <c r="C592" s="249" t="s">
        <v>55</v>
      </c>
      <c r="D592" s="245">
        <v>0</v>
      </c>
      <c r="E592" s="245">
        <v>1</v>
      </c>
      <c r="H592" s="245">
        <v>1</v>
      </c>
      <c r="I592" s="245">
        <v>0</v>
      </c>
      <c r="O592" s="245" t="s">
        <v>39</v>
      </c>
      <c r="P592" s="245" t="s">
        <v>708</v>
      </c>
      <c r="Q592" s="245" t="s">
        <v>663</v>
      </c>
      <c r="R592" s="246" t="s">
        <v>32</v>
      </c>
    </row>
    <row r="593" spans="1:18" ht="52" hidden="1" x14ac:dyDescent="0.8">
      <c r="A593" s="247">
        <v>23322</v>
      </c>
      <c r="B593" s="248" t="s">
        <v>749</v>
      </c>
      <c r="C593" s="249" t="s">
        <v>55</v>
      </c>
      <c r="D593" s="245">
        <v>0</v>
      </c>
      <c r="E593" s="245">
        <v>1</v>
      </c>
      <c r="H593" s="245">
        <v>1</v>
      </c>
      <c r="I593" s="245">
        <v>0</v>
      </c>
      <c r="O593" s="245" t="s">
        <v>56</v>
      </c>
      <c r="P593" s="245" t="s">
        <v>708</v>
      </c>
      <c r="Q593" s="245" t="s">
        <v>750</v>
      </c>
      <c r="R593" s="246" t="s">
        <v>32</v>
      </c>
    </row>
    <row r="594" spans="1:18" ht="26" x14ac:dyDescent="0.8">
      <c r="A594" s="247">
        <v>23323</v>
      </c>
      <c r="B594" s="248" t="s">
        <v>751</v>
      </c>
      <c r="C594" s="249" t="s">
        <v>66</v>
      </c>
      <c r="D594" s="245">
        <v>0</v>
      </c>
      <c r="E594" s="245">
        <v>100</v>
      </c>
      <c r="H594" s="245">
        <v>100</v>
      </c>
      <c r="I594" s="245">
        <v>0.255</v>
      </c>
      <c r="J594" s="245">
        <v>0</v>
      </c>
      <c r="K594" s="245">
        <v>25.5</v>
      </c>
      <c r="L594" s="245">
        <v>0</v>
      </c>
      <c r="M594" s="245">
        <v>0</v>
      </c>
      <c r="N594" s="245">
        <v>25.5</v>
      </c>
      <c r="O594" s="245" t="s">
        <v>39</v>
      </c>
      <c r="P594" s="245" t="s">
        <v>708</v>
      </c>
      <c r="Q594" s="245" t="s">
        <v>750</v>
      </c>
      <c r="R594" s="246" t="s">
        <v>32</v>
      </c>
    </row>
    <row r="595" spans="1:18" x14ac:dyDescent="0.8">
      <c r="A595" s="247">
        <v>23324</v>
      </c>
      <c r="B595" s="248" t="s">
        <v>752</v>
      </c>
      <c r="C595" s="249" t="s">
        <v>38</v>
      </c>
      <c r="D595" s="245">
        <v>0</v>
      </c>
      <c r="E595" s="245">
        <v>32</v>
      </c>
      <c r="H595" s="245">
        <v>32</v>
      </c>
      <c r="I595" s="245">
        <v>0.3133333333333333</v>
      </c>
      <c r="J595" s="245">
        <v>0</v>
      </c>
      <c r="K595" s="245">
        <v>10.026666666666666</v>
      </c>
      <c r="L595" s="245">
        <v>0</v>
      </c>
      <c r="M595" s="245">
        <v>0</v>
      </c>
      <c r="N595" s="245">
        <v>10.026666666666666</v>
      </c>
      <c r="O595" s="245" t="s">
        <v>39</v>
      </c>
      <c r="P595" s="245" t="s">
        <v>708</v>
      </c>
      <c r="Q595" s="245" t="s">
        <v>745</v>
      </c>
      <c r="R595" s="246" t="s">
        <v>32</v>
      </c>
    </row>
    <row r="596" spans="1:18" ht="26" hidden="1" x14ac:dyDescent="0.8">
      <c r="A596" s="247">
        <v>23325</v>
      </c>
      <c r="B596" s="248" t="s">
        <v>753</v>
      </c>
      <c r="C596" s="249" t="s">
        <v>55</v>
      </c>
      <c r="D596" s="245">
        <v>0</v>
      </c>
      <c r="F596" s="245">
        <v>1</v>
      </c>
      <c r="H596" s="245">
        <v>1</v>
      </c>
      <c r="I596" s="245">
        <v>0</v>
      </c>
      <c r="O596" s="245" t="s">
        <v>56</v>
      </c>
      <c r="P596" s="245" t="s">
        <v>708</v>
      </c>
      <c r="Q596" s="245" t="s">
        <v>745</v>
      </c>
      <c r="R596" s="246" t="s">
        <v>32</v>
      </c>
    </row>
    <row r="597" spans="1:18" ht="26" x14ac:dyDescent="0.8">
      <c r="A597" s="247">
        <v>23326</v>
      </c>
      <c r="B597" s="248" t="s">
        <v>755</v>
      </c>
      <c r="C597" s="249" t="s">
        <v>66</v>
      </c>
      <c r="D597" s="245">
        <v>0</v>
      </c>
      <c r="F597" s="245">
        <v>100</v>
      </c>
      <c r="H597" s="245">
        <v>100</v>
      </c>
      <c r="I597" s="245">
        <v>0.255</v>
      </c>
      <c r="J597" s="245">
        <v>0</v>
      </c>
      <c r="K597" s="245">
        <v>0</v>
      </c>
      <c r="L597" s="245">
        <v>25.5</v>
      </c>
      <c r="M597" s="245">
        <v>0</v>
      </c>
      <c r="N597" s="245">
        <v>25.5</v>
      </c>
      <c r="O597" s="245" t="s">
        <v>39</v>
      </c>
      <c r="P597" s="245" t="s">
        <v>708</v>
      </c>
      <c r="Q597" s="245" t="s">
        <v>745</v>
      </c>
      <c r="R597" s="246" t="s">
        <v>32</v>
      </c>
    </row>
    <row r="598" spans="1:18" ht="39" x14ac:dyDescent="0.8">
      <c r="A598" s="247">
        <v>23327</v>
      </c>
      <c r="B598" s="248" t="s">
        <v>756</v>
      </c>
      <c r="C598" s="249" t="s">
        <v>52</v>
      </c>
      <c r="D598" s="245">
        <v>0</v>
      </c>
      <c r="E598" s="245">
        <v>413.3184</v>
      </c>
      <c r="F598" s="245">
        <v>211.60320000000002</v>
      </c>
      <c r="G598" s="245">
        <v>217.2064</v>
      </c>
      <c r="H598" s="245">
        <v>842.12800000000004</v>
      </c>
      <c r="I598" s="245">
        <v>1.5</v>
      </c>
      <c r="J598" s="245">
        <v>0</v>
      </c>
      <c r="K598" s="245">
        <v>619.97759999999994</v>
      </c>
      <c r="L598" s="245">
        <v>317.40480000000002</v>
      </c>
      <c r="M598" s="245">
        <v>325.80959999999999</v>
      </c>
      <c r="N598" s="245">
        <v>1263.192</v>
      </c>
      <c r="O598" s="245" t="s">
        <v>39</v>
      </c>
      <c r="P598" s="245" t="s">
        <v>708</v>
      </c>
      <c r="Q598" s="245" t="s">
        <v>745</v>
      </c>
      <c r="R598" s="246" t="s">
        <v>32</v>
      </c>
    </row>
    <row r="599" spans="1:18" ht="39" x14ac:dyDescent="0.8">
      <c r="A599" s="247">
        <v>23327</v>
      </c>
      <c r="B599" s="248" t="s">
        <v>756</v>
      </c>
      <c r="C599" s="249" t="s">
        <v>52</v>
      </c>
      <c r="D599" s="245">
        <v>0</v>
      </c>
      <c r="E599" s="245">
        <v>400.77839999999998</v>
      </c>
      <c r="F599" s="245">
        <v>205.1832</v>
      </c>
      <c r="G599" s="245">
        <v>210.6164</v>
      </c>
      <c r="H599" s="245">
        <v>816.57799999999997</v>
      </c>
      <c r="I599" s="245">
        <v>1.5</v>
      </c>
      <c r="J599" s="245">
        <v>0</v>
      </c>
      <c r="K599" s="245">
        <v>601.16759999999999</v>
      </c>
      <c r="L599" s="245">
        <v>307.77480000000003</v>
      </c>
      <c r="M599" s="245">
        <v>315.9246</v>
      </c>
      <c r="N599" s="245">
        <v>1224.867</v>
      </c>
      <c r="O599" s="245" t="s">
        <v>118</v>
      </c>
      <c r="P599" s="245" t="s">
        <v>708</v>
      </c>
      <c r="Q599" s="245" t="s">
        <v>745</v>
      </c>
      <c r="R599" s="246" t="s">
        <v>32</v>
      </c>
    </row>
    <row r="600" spans="1:18" ht="39" x14ac:dyDescent="0.8">
      <c r="A600" s="247">
        <v>23327</v>
      </c>
      <c r="B600" s="248" t="s">
        <v>756</v>
      </c>
      <c r="C600" s="249" t="s">
        <v>52</v>
      </c>
      <c r="D600" s="245">
        <v>0</v>
      </c>
      <c r="E600" s="245">
        <v>51.6648</v>
      </c>
      <c r="F600" s="245">
        <v>26.450400000000002</v>
      </c>
      <c r="G600" s="245">
        <v>27.1508</v>
      </c>
      <c r="H600" s="245">
        <v>105.26600000000001</v>
      </c>
      <c r="I600" s="245">
        <v>1.5</v>
      </c>
      <c r="J600" s="245">
        <v>0</v>
      </c>
      <c r="K600" s="245">
        <v>77.497199999999992</v>
      </c>
      <c r="L600" s="245">
        <v>39.675600000000003</v>
      </c>
      <c r="M600" s="245">
        <v>40.726199999999999</v>
      </c>
      <c r="N600" s="245">
        <v>157.899</v>
      </c>
      <c r="O600" s="245" t="s">
        <v>129</v>
      </c>
      <c r="P600" s="245" t="s">
        <v>708</v>
      </c>
      <c r="Q600" s="245" t="s">
        <v>745</v>
      </c>
      <c r="R600" s="246" t="s">
        <v>32</v>
      </c>
    </row>
    <row r="601" spans="1:18" ht="39" x14ac:dyDescent="0.8">
      <c r="A601" s="247">
        <v>23327</v>
      </c>
      <c r="B601" s="248" t="s">
        <v>756</v>
      </c>
      <c r="C601" s="249" t="s">
        <v>52</v>
      </c>
      <c r="D601" s="245">
        <v>0</v>
      </c>
      <c r="E601" s="245">
        <v>388.23839999999996</v>
      </c>
      <c r="F601" s="245">
        <v>198.76319999999998</v>
      </c>
      <c r="G601" s="245">
        <v>204.0264</v>
      </c>
      <c r="H601" s="245">
        <v>791.02799999999991</v>
      </c>
      <c r="I601" s="245">
        <v>1.5</v>
      </c>
      <c r="J601" s="245">
        <v>0</v>
      </c>
      <c r="K601" s="245">
        <v>582.35759999999993</v>
      </c>
      <c r="L601" s="245">
        <v>298.14479999999998</v>
      </c>
      <c r="M601" s="245">
        <v>306.03960000000001</v>
      </c>
      <c r="N601" s="245">
        <v>1186.5419999999999</v>
      </c>
      <c r="O601" s="245" t="s">
        <v>39</v>
      </c>
      <c r="P601" s="245" t="s">
        <v>708</v>
      </c>
      <c r="Q601" s="245" t="s">
        <v>745</v>
      </c>
      <c r="R601" s="246" t="s">
        <v>32</v>
      </c>
    </row>
    <row r="602" spans="1:18" ht="26" hidden="1" x14ac:dyDescent="0.8">
      <c r="A602" s="247">
        <v>23328</v>
      </c>
      <c r="B602" s="248" t="s">
        <v>758</v>
      </c>
      <c r="C602" s="249" t="s">
        <v>52</v>
      </c>
      <c r="D602" s="245">
        <v>0</v>
      </c>
      <c r="E602" s="245">
        <v>1141.5</v>
      </c>
      <c r="F602" s="245">
        <v>599</v>
      </c>
      <c r="G602" s="245">
        <v>6260</v>
      </c>
      <c r="H602" s="245">
        <v>8000.5</v>
      </c>
      <c r="I602" s="245">
        <v>1.5</v>
      </c>
      <c r="J602" s="245">
        <v>0</v>
      </c>
      <c r="K602" s="245">
        <v>1712.25</v>
      </c>
      <c r="L602" s="245">
        <v>898.5</v>
      </c>
      <c r="M602" s="245">
        <v>9390</v>
      </c>
      <c r="N602" s="245">
        <v>12000.75</v>
      </c>
      <c r="O602" s="245" t="s">
        <v>169</v>
      </c>
      <c r="P602" s="245" t="s">
        <v>708</v>
      </c>
      <c r="Q602" s="245" t="s">
        <v>745</v>
      </c>
      <c r="R602" s="246" t="s">
        <v>32</v>
      </c>
    </row>
    <row r="603" spans="1:18" ht="26" x14ac:dyDescent="0.8">
      <c r="A603" s="247">
        <v>23328</v>
      </c>
      <c r="B603" s="248" t="s">
        <v>758</v>
      </c>
      <c r="C603" s="249" t="s">
        <v>52</v>
      </c>
      <c r="D603" s="245">
        <v>0</v>
      </c>
      <c r="E603" s="245">
        <v>6057.9404999999997</v>
      </c>
      <c r="F603" s="245">
        <v>6357.7859999999991</v>
      </c>
      <c r="G603" s="245">
        <v>6644.3639999999996</v>
      </c>
      <c r="H603" s="245">
        <v>19060.090499999998</v>
      </c>
      <c r="I603" s="245">
        <v>1.5</v>
      </c>
      <c r="J603" s="245">
        <v>0</v>
      </c>
      <c r="K603" s="245">
        <v>9086.9107499999991</v>
      </c>
      <c r="L603" s="245">
        <v>9536.6789999999983</v>
      </c>
      <c r="M603" s="245">
        <v>9966.5459999999985</v>
      </c>
      <c r="N603" s="245">
        <v>28590.135749999998</v>
      </c>
      <c r="O603" s="245" t="s">
        <v>118</v>
      </c>
      <c r="P603" s="245" t="s">
        <v>708</v>
      </c>
      <c r="Q603" s="245" t="s">
        <v>745</v>
      </c>
      <c r="R603" s="246" t="s">
        <v>32</v>
      </c>
    </row>
    <row r="604" spans="1:18" ht="26" x14ac:dyDescent="0.8">
      <c r="A604" s="247">
        <v>23328</v>
      </c>
      <c r="B604" s="248" t="s">
        <v>758</v>
      </c>
      <c r="C604" s="249" t="s">
        <v>52</v>
      </c>
      <c r="D604" s="245">
        <v>0</v>
      </c>
      <c r="E604" s="245">
        <v>3028.3995000000004</v>
      </c>
      <c r="F604" s="245">
        <v>3178.2940000000003</v>
      </c>
      <c r="G604" s="245">
        <v>3321.5560000000005</v>
      </c>
      <c r="H604" s="245">
        <v>9528.2495000000017</v>
      </c>
      <c r="I604" s="245">
        <v>1.5</v>
      </c>
      <c r="J604" s="245">
        <v>0</v>
      </c>
      <c r="K604" s="245">
        <v>4542.5992500000011</v>
      </c>
      <c r="L604" s="245">
        <v>4767.4410000000007</v>
      </c>
      <c r="M604" s="245">
        <v>4982.3340000000007</v>
      </c>
      <c r="N604" s="245">
        <v>14292.374250000003</v>
      </c>
      <c r="O604" s="245" t="s">
        <v>39</v>
      </c>
      <c r="P604" s="245" t="s">
        <v>708</v>
      </c>
      <c r="Q604" s="245" t="s">
        <v>745</v>
      </c>
      <c r="R604" s="246" t="s">
        <v>32</v>
      </c>
    </row>
    <row r="605" spans="1:18" ht="26" x14ac:dyDescent="0.8">
      <c r="A605" s="247">
        <v>23328</v>
      </c>
      <c r="B605" s="248" t="s">
        <v>758</v>
      </c>
      <c r="C605" s="249" t="s">
        <v>52</v>
      </c>
      <c r="E605" s="245">
        <v>458.88299999999992</v>
      </c>
      <c r="F605" s="245">
        <v>481.59599999999989</v>
      </c>
      <c r="G605" s="245">
        <v>503.30399999999992</v>
      </c>
      <c r="H605" s="245">
        <v>1443.7829999999997</v>
      </c>
      <c r="I605" s="245">
        <v>1.5</v>
      </c>
      <c r="J605" s="245">
        <v>0</v>
      </c>
      <c r="K605" s="245">
        <v>688.32449999999994</v>
      </c>
      <c r="L605" s="245">
        <v>722.39399999999978</v>
      </c>
      <c r="M605" s="245">
        <v>754.9559999999999</v>
      </c>
      <c r="N605" s="245">
        <v>2165.6744999999996</v>
      </c>
      <c r="O605" s="245" t="s">
        <v>67</v>
      </c>
      <c r="P605" s="245" t="s">
        <v>708</v>
      </c>
      <c r="Q605" s="245" t="s">
        <v>745</v>
      </c>
      <c r="R605" s="246" t="s">
        <v>32</v>
      </c>
    </row>
    <row r="606" spans="1:18" ht="26" hidden="1" x14ac:dyDescent="0.8">
      <c r="A606" s="247">
        <v>23329</v>
      </c>
      <c r="B606" s="248" t="s">
        <v>759</v>
      </c>
      <c r="C606" s="249" t="s">
        <v>52</v>
      </c>
      <c r="D606" s="245">
        <v>0</v>
      </c>
      <c r="E606" s="245">
        <v>500</v>
      </c>
      <c r="F606" s="245">
        <v>500</v>
      </c>
      <c r="G606" s="245">
        <v>3500</v>
      </c>
      <c r="H606" s="245">
        <v>4500</v>
      </c>
      <c r="I606" s="245">
        <v>1.5</v>
      </c>
      <c r="J606" s="245">
        <v>0</v>
      </c>
      <c r="K606" s="245">
        <v>750</v>
      </c>
      <c r="L606" s="245">
        <v>750</v>
      </c>
      <c r="M606" s="245">
        <v>5250</v>
      </c>
      <c r="N606" s="245">
        <v>6750</v>
      </c>
      <c r="O606" s="245" t="s">
        <v>169</v>
      </c>
      <c r="P606" s="245" t="s">
        <v>708</v>
      </c>
      <c r="Q606" s="245" t="s">
        <v>745</v>
      </c>
      <c r="R606" s="246" t="s">
        <v>32</v>
      </c>
    </row>
    <row r="607" spans="1:18" ht="26" x14ac:dyDescent="0.8">
      <c r="A607" s="247">
        <v>23329</v>
      </c>
      <c r="B607" s="248" t="s">
        <v>759</v>
      </c>
      <c r="C607" s="249" t="s">
        <v>52</v>
      </c>
      <c r="D607" s="245">
        <v>0</v>
      </c>
      <c r="E607" s="245">
        <v>2882.3112466551606</v>
      </c>
      <c r="F607" s="245">
        <v>3228.8238737649549</v>
      </c>
      <c r="G607" s="245">
        <v>3505.4598587078754</v>
      </c>
      <c r="H607" s="245">
        <v>9616.5949791279909</v>
      </c>
      <c r="I607" s="245">
        <v>1.5</v>
      </c>
      <c r="J607" s="245">
        <v>0</v>
      </c>
      <c r="K607" s="245">
        <v>4323.4668699827407</v>
      </c>
      <c r="L607" s="245">
        <v>4843.2358106474321</v>
      </c>
      <c r="M607" s="245">
        <v>5258.1897880618126</v>
      </c>
      <c r="N607" s="245">
        <v>14424.892468691985</v>
      </c>
      <c r="O607" s="245" t="s">
        <v>118</v>
      </c>
      <c r="P607" s="245" t="s">
        <v>708</v>
      </c>
      <c r="Q607" s="245" t="s">
        <v>745</v>
      </c>
      <c r="R607" s="246" t="s">
        <v>32</v>
      </c>
    </row>
    <row r="608" spans="1:18" ht="26" hidden="1" x14ac:dyDescent="0.8">
      <c r="A608" s="247">
        <v>233210</v>
      </c>
      <c r="B608" s="248" t="s">
        <v>760</v>
      </c>
      <c r="C608" s="249" t="s">
        <v>52</v>
      </c>
      <c r="D608" s="245">
        <v>0</v>
      </c>
      <c r="E608" s="245">
        <v>58</v>
      </c>
      <c r="F608" s="245">
        <v>58</v>
      </c>
      <c r="G608" s="245">
        <v>1287.9000000000001</v>
      </c>
      <c r="H608" s="245">
        <v>1403.9</v>
      </c>
      <c r="I608" s="245">
        <v>1.5</v>
      </c>
      <c r="J608" s="245">
        <v>0</v>
      </c>
      <c r="K608" s="245">
        <v>87</v>
      </c>
      <c r="L608" s="245">
        <v>87</v>
      </c>
      <c r="M608" s="245">
        <v>1931.8500000000001</v>
      </c>
      <c r="N608" s="245">
        <v>2105.8500000000004</v>
      </c>
      <c r="O608" s="245" t="s">
        <v>169</v>
      </c>
      <c r="P608" s="245" t="s">
        <v>708</v>
      </c>
      <c r="Q608" s="245" t="s">
        <v>745</v>
      </c>
      <c r="R608" s="246" t="s">
        <v>32</v>
      </c>
    </row>
    <row r="609" spans="1:18" ht="26" x14ac:dyDescent="0.8">
      <c r="A609" s="247">
        <v>233210</v>
      </c>
      <c r="B609" s="248" t="s">
        <v>760</v>
      </c>
      <c r="C609" s="249" t="s">
        <v>52</v>
      </c>
      <c r="D609" s="245">
        <v>0</v>
      </c>
      <c r="E609" s="245">
        <v>928</v>
      </c>
      <c r="F609" s="245">
        <v>1052.8</v>
      </c>
      <c r="G609" s="245">
        <v>1144.8</v>
      </c>
      <c r="H609" s="245">
        <v>3125.6</v>
      </c>
      <c r="I609" s="245">
        <v>1.5</v>
      </c>
      <c r="J609" s="245">
        <v>0</v>
      </c>
      <c r="K609" s="245">
        <v>1392</v>
      </c>
      <c r="L609" s="245">
        <v>1579.1999999999998</v>
      </c>
      <c r="M609" s="245">
        <v>1717.1999999999998</v>
      </c>
      <c r="N609" s="245">
        <v>4688.3999999999996</v>
      </c>
      <c r="O609" s="245" t="s">
        <v>118</v>
      </c>
      <c r="P609" s="245" t="s">
        <v>708</v>
      </c>
      <c r="Q609" s="245" t="s">
        <v>745</v>
      </c>
      <c r="R609" s="246" t="s">
        <v>32</v>
      </c>
    </row>
    <row r="610" spans="1:18" ht="26" hidden="1" x14ac:dyDescent="0.8">
      <c r="A610" s="247">
        <v>233211</v>
      </c>
      <c r="B610" s="248" t="s">
        <v>761</v>
      </c>
      <c r="C610" s="249" t="s">
        <v>52</v>
      </c>
      <c r="D610" s="245">
        <v>0</v>
      </c>
      <c r="E610" s="245">
        <v>50</v>
      </c>
      <c r="F610" s="245">
        <v>100</v>
      </c>
      <c r="G610" s="245">
        <v>600</v>
      </c>
      <c r="H610" s="245">
        <v>750</v>
      </c>
      <c r="I610" s="245">
        <v>1.5</v>
      </c>
      <c r="J610" s="245">
        <v>0</v>
      </c>
      <c r="K610" s="245">
        <v>75</v>
      </c>
      <c r="L610" s="245">
        <v>150</v>
      </c>
      <c r="M610" s="245">
        <v>900</v>
      </c>
      <c r="N610" s="245">
        <v>1125</v>
      </c>
      <c r="O610" s="245" t="s">
        <v>169</v>
      </c>
      <c r="P610" s="245" t="s">
        <v>331</v>
      </c>
      <c r="Q610" s="245" t="s">
        <v>331</v>
      </c>
      <c r="R610" s="246" t="s">
        <v>32</v>
      </c>
    </row>
    <row r="611" spans="1:18" x14ac:dyDescent="0.8">
      <c r="A611" s="247">
        <v>233212</v>
      </c>
      <c r="B611" s="248" t="s">
        <v>762</v>
      </c>
      <c r="C611" s="249" t="s">
        <v>59</v>
      </c>
      <c r="D611" s="245">
        <v>0</v>
      </c>
      <c r="E611" s="245">
        <v>128.06400000000002</v>
      </c>
      <c r="F611" s="245">
        <v>128.06400000000002</v>
      </c>
      <c r="G611" s="245">
        <v>128.06400000000002</v>
      </c>
      <c r="H611" s="245">
        <v>384.19200000000006</v>
      </c>
      <c r="I611" s="245">
        <v>0.8177777777777776</v>
      </c>
      <c r="J611" s="245">
        <v>0</v>
      </c>
      <c r="K611" s="245">
        <v>104.72789333333333</v>
      </c>
      <c r="L611" s="245">
        <v>104.72789333333333</v>
      </c>
      <c r="M611" s="245">
        <v>104.72789333333333</v>
      </c>
      <c r="N611" s="245">
        <v>314.18367999999998</v>
      </c>
      <c r="O611" s="245" t="s">
        <v>39</v>
      </c>
      <c r="P611" s="245" t="s">
        <v>708</v>
      </c>
      <c r="Q611" s="245" t="s">
        <v>764</v>
      </c>
      <c r="R611" s="246" t="s">
        <v>32</v>
      </c>
    </row>
    <row r="612" spans="1:18" x14ac:dyDescent="0.8">
      <c r="A612" s="247">
        <v>233212</v>
      </c>
      <c r="B612" s="248" t="s">
        <v>762</v>
      </c>
      <c r="C612" s="249" t="s">
        <v>59</v>
      </c>
      <c r="D612" s="245">
        <v>0</v>
      </c>
      <c r="E612" s="245">
        <v>325.82400000000001</v>
      </c>
      <c r="F612" s="245">
        <v>325.82400000000001</v>
      </c>
      <c r="G612" s="245">
        <v>325.82400000000001</v>
      </c>
      <c r="H612" s="245">
        <v>977.47199999999998</v>
      </c>
      <c r="I612" s="245">
        <v>0.8177777777777776</v>
      </c>
      <c r="J612" s="245">
        <v>0</v>
      </c>
      <c r="K612" s="245">
        <v>266.45162666666664</v>
      </c>
      <c r="L612" s="245">
        <v>266.45162666666664</v>
      </c>
      <c r="M612" s="245">
        <v>266.45162666666664</v>
      </c>
      <c r="N612" s="245">
        <v>799.35487999999987</v>
      </c>
      <c r="O612" s="245" t="s">
        <v>118</v>
      </c>
      <c r="P612" s="245" t="s">
        <v>708</v>
      </c>
      <c r="Q612" s="245" t="s">
        <v>764</v>
      </c>
      <c r="R612" s="246" t="s">
        <v>32</v>
      </c>
    </row>
    <row r="613" spans="1:18" x14ac:dyDescent="0.8">
      <c r="A613" s="247">
        <v>233212</v>
      </c>
      <c r="B613" s="248" t="s">
        <v>762</v>
      </c>
      <c r="C613" s="249" t="s">
        <v>59</v>
      </c>
      <c r="D613" s="245">
        <v>0</v>
      </c>
      <c r="E613" s="245">
        <v>28.544</v>
      </c>
      <c r="F613" s="245">
        <v>28.544</v>
      </c>
      <c r="G613" s="245">
        <v>28.544</v>
      </c>
      <c r="H613" s="245">
        <v>85.632000000000005</v>
      </c>
      <c r="I613" s="245">
        <v>0.8177777777777776</v>
      </c>
      <c r="J613" s="245">
        <v>0</v>
      </c>
      <c r="K613" s="245">
        <v>23.342648888888885</v>
      </c>
      <c r="L613" s="245">
        <v>23.342648888888885</v>
      </c>
      <c r="M613" s="245">
        <v>23.342648888888885</v>
      </c>
      <c r="N613" s="245">
        <v>70.027946666666651</v>
      </c>
      <c r="O613" s="245" t="s">
        <v>39</v>
      </c>
      <c r="P613" s="245" t="s">
        <v>708</v>
      </c>
      <c r="Q613" s="245" t="s">
        <v>764</v>
      </c>
      <c r="R613" s="246" t="s">
        <v>32</v>
      </c>
    </row>
    <row r="614" spans="1:18" x14ac:dyDescent="0.8">
      <c r="A614" s="247">
        <v>233212</v>
      </c>
      <c r="B614" s="248" t="s">
        <v>762</v>
      </c>
      <c r="C614" s="249" t="s">
        <v>59</v>
      </c>
      <c r="D614" s="245">
        <v>0</v>
      </c>
      <c r="H614" s="245">
        <v>0</v>
      </c>
      <c r="I614" s="245">
        <v>0.8177777777777776</v>
      </c>
      <c r="J614" s="245">
        <v>0</v>
      </c>
      <c r="K614" s="245">
        <v>0</v>
      </c>
      <c r="L614" s="245">
        <v>0</v>
      </c>
      <c r="M614" s="245">
        <v>0</v>
      </c>
      <c r="N614" s="245">
        <v>0</v>
      </c>
      <c r="O614" s="245" t="s">
        <v>178</v>
      </c>
      <c r="P614" s="245" t="s">
        <v>708</v>
      </c>
      <c r="Q614" s="245" t="s">
        <v>764</v>
      </c>
      <c r="R614" s="246" t="s">
        <v>32</v>
      </c>
    </row>
    <row r="615" spans="1:18" ht="26" x14ac:dyDescent="0.8">
      <c r="A615" s="247">
        <v>233213</v>
      </c>
      <c r="B615" s="248" t="s">
        <v>765</v>
      </c>
      <c r="C615" s="249" t="s">
        <v>59</v>
      </c>
      <c r="D615" s="245">
        <v>0</v>
      </c>
      <c r="F615" s="245">
        <v>192</v>
      </c>
      <c r="G615" s="245">
        <v>320</v>
      </c>
      <c r="H615" s="245">
        <v>512</v>
      </c>
      <c r="I615" s="245">
        <v>0.8177777777777776</v>
      </c>
      <c r="J615" s="245">
        <v>0</v>
      </c>
      <c r="K615" s="245">
        <v>0</v>
      </c>
      <c r="L615" s="245">
        <v>157.01333333333329</v>
      </c>
      <c r="M615" s="245">
        <v>261.68888888888881</v>
      </c>
      <c r="N615" s="245">
        <v>418.70222222222208</v>
      </c>
      <c r="O615" s="245" t="s">
        <v>39</v>
      </c>
      <c r="P615" s="245" t="s">
        <v>708</v>
      </c>
      <c r="Q615" s="245" t="s">
        <v>764</v>
      </c>
      <c r="R615" s="246" t="s">
        <v>32</v>
      </c>
    </row>
    <row r="616" spans="1:18" ht="26" x14ac:dyDescent="0.8">
      <c r="A616" s="247">
        <v>233214</v>
      </c>
      <c r="B616" s="248" t="s">
        <v>766</v>
      </c>
      <c r="C616" s="249" t="s">
        <v>66</v>
      </c>
      <c r="D616" s="245">
        <v>0</v>
      </c>
      <c r="G616" s="245">
        <v>105</v>
      </c>
      <c r="H616" s="245">
        <v>105</v>
      </c>
      <c r="I616" s="245">
        <v>0.255</v>
      </c>
      <c r="J616" s="245">
        <v>0</v>
      </c>
      <c r="K616" s="245">
        <v>0</v>
      </c>
      <c r="L616" s="245">
        <v>0</v>
      </c>
      <c r="M616" s="245">
        <v>26.775000000000002</v>
      </c>
      <c r="N616" s="245">
        <v>26.775000000000002</v>
      </c>
      <c r="O616" s="245" t="s">
        <v>39</v>
      </c>
      <c r="P616" s="245" t="s">
        <v>708</v>
      </c>
      <c r="Q616" s="245" t="s">
        <v>764</v>
      </c>
      <c r="R616" s="246" t="s">
        <v>32</v>
      </c>
    </row>
    <row r="617" spans="1:18" x14ac:dyDescent="0.8">
      <c r="A617" s="247">
        <v>233215</v>
      </c>
      <c r="B617" s="248" t="s">
        <v>767</v>
      </c>
      <c r="C617" s="249" t="s">
        <v>66</v>
      </c>
      <c r="D617" s="245">
        <v>0</v>
      </c>
      <c r="G617" s="245">
        <v>40</v>
      </c>
      <c r="H617" s="245">
        <v>40</v>
      </c>
      <c r="I617" s="245">
        <v>0.255</v>
      </c>
      <c r="J617" s="245">
        <v>0</v>
      </c>
      <c r="K617" s="245">
        <v>0</v>
      </c>
      <c r="L617" s="245">
        <v>0</v>
      </c>
      <c r="M617" s="245">
        <v>10.199999999999999</v>
      </c>
      <c r="N617" s="245">
        <v>10.199999999999999</v>
      </c>
      <c r="O617" s="245" t="s">
        <v>39</v>
      </c>
      <c r="P617" s="245" t="s">
        <v>708</v>
      </c>
      <c r="Q617" s="245" t="s">
        <v>764</v>
      </c>
      <c r="R617" s="246" t="s">
        <v>32</v>
      </c>
    </row>
    <row r="618" spans="1:18" x14ac:dyDescent="0.8">
      <c r="A618" s="247">
        <v>2333</v>
      </c>
      <c r="B618" s="248" t="s">
        <v>768</v>
      </c>
      <c r="D618" s="245">
        <v>0</v>
      </c>
      <c r="R618" s="246" t="s">
        <v>32</v>
      </c>
    </row>
    <row r="619" spans="1:18" ht="26" x14ac:dyDescent="0.8">
      <c r="A619" s="247">
        <v>23331</v>
      </c>
      <c r="B619" s="248" t="s">
        <v>769</v>
      </c>
      <c r="C619" s="249" t="s">
        <v>646</v>
      </c>
      <c r="D619" s="245">
        <v>0</v>
      </c>
      <c r="F619" s="245">
        <v>60</v>
      </c>
      <c r="G619" s="245">
        <v>30</v>
      </c>
      <c r="H619" s="245">
        <v>90</v>
      </c>
      <c r="I619" s="245">
        <v>10.404797</v>
      </c>
      <c r="J619" s="245">
        <v>0</v>
      </c>
      <c r="K619" s="245">
        <v>0</v>
      </c>
      <c r="L619" s="245">
        <v>624.28782000000001</v>
      </c>
      <c r="M619" s="245">
        <v>312.14391000000001</v>
      </c>
      <c r="N619" s="245">
        <v>936.43173000000002</v>
      </c>
      <c r="O619" s="245" t="s">
        <v>39</v>
      </c>
      <c r="P619" s="245" t="s">
        <v>708</v>
      </c>
      <c r="Q619" s="245" t="s">
        <v>745</v>
      </c>
      <c r="R619" s="246" t="s">
        <v>32</v>
      </c>
    </row>
    <row r="620" spans="1:18" x14ac:dyDescent="0.8">
      <c r="A620" s="247">
        <v>23332</v>
      </c>
      <c r="B620" s="248" t="s">
        <v>770</v>
      </c>
      <c r="C620" s="249" t="s">
        <v>646</v>
      </c>
      <c r="D620" s="245">
        <v>0</v>
      </c>
      <c r="F620" s="245">
        <v>60</v>
      </c>
      <c r="H620" s="245">
        <v>60</v>
      </c>
      <c r="I620" s="245">
        <v>10.404797</v>
      </c>
      <c r="J620" s="245">
        <v>0</v>
      </c>
      <c r="K620" s="245">
        <v>0</v>
      </c>
      <c r="L620" s="245">
        <v>624.28782000000001</v>
      </c>
      <c r="M620" s="245">
        <v>0</v>
      </c>
      <c r="N620" s="245">
        <v>624.28782000000001</v>
      </c>
      <c r="O620" s="245" t="s">
        <v>39</v>
      </c>
      <c r="P620" s="245" t="s">
        <v>708</v>
      </c>
      <c r="Q620" s="245" t="s">
        <v>745</v>
      </c>
      <c r="R620" s="246" t="s">
        <v>32</v>
      </c>
    </row>
    <row r="621" spans="1:18" ht="26" hidden="1" x14ac:dyDescent="0.8">
      <c r="A621" s="247">
        <v>23333</v>
      </c>
      <c r="B621" s="248" t="s">
        <v>771</v>
      </c>
      <c r="C621" s="249" t="s">
        <v>55</v>
      </c>
      <c r="D621" s="245">
        <v>0</v>
      </c>
      <c r="G621" s="245">
        <v>1</v>
      </c>
      <c r="H621" s="245">
        <v>1</v>
      </c>
      <c r="I621" s="245">
        <v>0</v>
      </c>
      <c r="O621" s="245" t="s">
        <v>56</v>
      </c>
      <c r="P621" s="245" t="s">
        <v>708</v>
      </c>
      <c r="Q621" s="245" t="s">
        <v>745</v>
      </c>
      <c r="R621" s="246" t="s">
        <v>32</v>
      </c>
    </row>
    <row r="622" spans="1:18" ht="26" x14ac:dyDescent="0.8">
      <c r="A622" s="247">
        <v>23334</v>
      </c>
      <c r="B622" s="248" t="s">
        <v>772</v>
      </c>
      <c r="C622" s="249" t="s">
        <v>38</v>
      </c>
      <c r="D622" s="245">
        <v>0</v>
      </c>
      <c r="G622" s="245">
        <v>50</v>
      </c>
      <c r="H622" s="245">
        <v>50</v>
      </c>
      <c r="I622" s="245">
        <v>0.3133333333333333</v>
      </c>
      <c r="J622" s="245">
        <v>0</v>
      </c>
      <c r="K622" s="245">
        <v>0</v>
      </c>
      <c r="L622" s="245">
        <v>0</v>
      </c>
      <c r="M622" s="245">
        <v>15.666666666666664</v>
      </c>
      <c r="N622" s="245">
        <v>15.666666666666664</v>
      </c>
      <c r="O622" s="245" t="s">
        <v>39</v>
      </c>
      <c r="P622" s="245" t="s">
        <v>708</v>
      </c>
      <c r="Q622" s="245" t="s">
        <v>745</v>
      </c>
      <c r="R622" s="246" t="s">
        <v>32</v>
      </c>
    </row>
    <row r="623" spans="1:18" x14ac:dyDescent="0.8">
      <c r="A623" s="247">
        <v>2334</v>
      </c>
      <c r="B623" s="248" t="s">
        <v>773</v>
      </c>
      <c r="D623" s="245">
        <v>0</v>
      </c>
      <c r="R623" s="246" t="s">
        <v>32</v>
      </c>
    </row>
    <row r="624" spans="1:18" ht="26" hidden="1" x14ac:dyDescent="0.8">
      <c r="A624" s="247">
        <v>23341</v>
      </c>
      <c r="B624" s="248" t="s">
        <v>774</v>
      </c>
      <c r="C624" s="249" t="s">
        <v>55</v>
      </c>
      <c r="D624" s="245">
        <v>0</v>
      </c>
      <c r="E624" s="245">
        <v>1</v>
      </c>
      <c r="H624" s="245">
        <v>1</v>
      </c>
      <c r="I624" s="245">
        <v>0</v>
      </c>
      <c r="O624" s="245" t="s">
        <v>56</v>
      </c>
      <c r="P624" s="245" t="s">
        <v>255</v>
      </c>
      <c r="Q624" s="245" t="s">
        <v>745</v>
      </c>
      <c r="R624" s="246" t="s">
        <v>32</v>
      </c>
    </row>
    <row r="625" spans="1:18" ht="26" x14ac:dyDescent="0.8">
      <c r="A625" s="247">
        <v>23342</v>
      </c>
      <c r="B625" s="248" t="s">
        <v>775</v>
      </c>
      <c r="C625" s="249" t="s">
        <v>66</v>
      </c>
      <c r="D625" s="245">
        <v>0</v>
      </c>
      <c r="E625" s="245">
        <v>50</v>
      </c>
      <c r="H625" s="245">
        <v>50</v>
      </c>
      <c r="I625" s="245">
        <v>0.255</v>
      </c>
      <c r="J625" s="245">
        <v>0</v>
      </c>
      <c r="K625" s="245">
        <v>12.75</v>
      </c>
      <c r="L625" s="245">
        <v>0</v>
      </c>
      <c r="M625" s="245">
        <v>0</v>
      </c>
      <c r="N625" s="245">
        <v>12.75</v>
      </c>
      <c r="O625" s="245" t="s">
        <v>39</v>
      </c>
      <c r="P625" s="245" t="s">
        <v>708</v>
      </c>
      <c r="Q625" s="245" t="s">
        <v>776</v>
      </c>
      <c r="R625" s="246" t="s">
        <v>32</v>
      </c>
    </row>
    <row r="626" spans="1:18" ht="39" hidden="1" x14ac:dyDescent="0.8">
      <c r="A626" s="247">
        <v>23343</v>
      </c>
      <c r="B626" s="248" t="s">
        <v>777</v>
      </c>
      <c r="C626" s="249" t="s">
        <v>55</v>
      </c>
      <c r="D626" s="245">
        <v>0</v>
      </c>
      <c r="F626" s="245">
        <v>38</v>
      </c>
      <c r="G626" s="245">
        <v>38</v>
      </c>
      <c r="H626" s="245">
        <v>76</v>
      </c>
      <c r="I626" s="245">
        <v>0</v>
      </c>
      <c r="O626" s="245" t="s">
        <v>56</v>
      </c>
      <c r="P626" s="245" t="s">
        <v>708</v>
      </c>
      <c r="Q626" s="245" t="s">
        <v>776</v>
      </c>
      <c r="R626" s="246" t="s">
        <v>32</v>
      </c>
    </row>
    <row r="627" spans="1:18" x14ac:dyDescent="0.8">
      <c r="A627" s="247">
        <v>23344</v>
      </c>
      <c r="B627" s="248" t="s">
        <v>779</v>
      </c>
      <c r="C627" s="249" t="s">
        <v>59</v>
      </c>
      <c r="D627" s="245">
        <v>0</v>
      </c>
      <c r="F627" s="245">
        <v>192</v>
      </c>
      <c r="G627" s="245">
        <v>192</v>
      </c>
      <c r="H627" s="245">
        <v>384</v>
      </c>
      <c r="I627" s="245">
        <v>0.8177777777777776</v>
      </c>
      <c r="J627" s="245">
        <v>0</v>
      </c>
      <c r="K627" s="245">
        <v>0</v>
      </c>
      <c r="L627" s="245">
        <v>157.01333333333329</v>
      </c>
      <c r="M627" s="245">
        <v>157.01333333333329</v>
      </c>
      <c r="N627" s="245">
        <v>314.02666666666659</v>
      </c>
      <c r="O627" s="245" t="s">
        <v>39</v>
      </c>
      <c r="P627" s="245" t="s">
        <v>708</v>
      </c>
      <c r="Q627" s="245" t="s">
        <v>398</v>
      </c>
      <c r="R627" s="246" t="s">
        <v>32</v>
      </c>
    </row>
    <row r="628" spans="1:18" ht="26" x14ac:dyDescent="0.8">
      <c r="A628" s="247">
        <v>2335</v>
      </c>
      <c r="B628" s="248" t="s">
        <v>780</v>
      </c>
      <c r="D628" s="245">
        <v>0</v>
      </c>
      <c r="R628" s="246" t="s">
        <v>32</v>
      </c>
    </row>
    <row r="629" spans="1:18" ht="26" x14ac:dyDescent="0.8">
      <c r="A629" s="247">
        <v>23351</v>
      </c>
      <c r="B629" s="248" t="s">
        <v>781</v>
      </c>
      <c r="C629" s="249" t="s">
        <v>66</v>
      </c>
      <c r="D629" s="245">
        <v>0</v>
      </c>
      <c r="E629" s="245">
        <v>100</v>
      </c>
      <c r="H629" s="245">
        <v>100</v>
      </c>
      <c r="I629" s="245">
        <v>0.255</v>
      </c>
      <c r="J629" s="245">
        <v>0</v>
      </c>
      <c r="K629" s="245">
        <v>25.5</v>
      </c>
      <c r="L629" s="245">
        <v>0</v>
      </c>
      <c r="M629" s="245">
        <v>0</v>
      </c>
      <c r="N629" s="245">
        <v>25.5</v>
      </c>
      <c r="O629" s="245" t="s">
        <v>39</v>
      </c>
      <c r="P629" s="245" t="s">
        <v>708</v>
      </c>
      <c r="Q629" s="245" t="s">
        <v>782</v>
      </c>
      <c r="R629" s="246" t="s">
        <v>32</v>
      </c>
    </row>
    <row r="630" spans="1:18" x14ac:dyDescent="0.8">
      <c r="A630" s="247">
        <v>23352</v>
      </c>
      <c r="B630" s="248" t="s">
        <v>783</v>
      </c>
      <c r="C630" s="249" t="s">
        <v>66</v>
      </c>
      <c r="D630" s="245">
        <v>0</v>
      </c>
      <c r="E630" s="245">
        <v>50</v>
      </c>
      <c r="H630" s="245">
        <v>50</v>
      </c>
      <c r="I630" s="245">
        <v>0.255</v>
      </c>
      <c r="J630" s="245">
        <v>0</v>
      </c>
      <c r="K630" s="245">
        <v>12.75</v>
      </c>
      <c r="L630" s="245">
        <v>0</v>
      </c>
      <c r="M630" s="245">
        <v>0</v>
      </c>
      <c r="N630" s="245">
        <v>12.75</v>
      </c>
      <c r="O630" s="245" t="s">
        <v>39</v>
      </c>
      <c r="P630" s="245" t="s">
        <v>708</v>
      </c>
      <c r="Q630" s="245" t="s">
        <v>782</v>
      </c>
      <c r="R630" s="246" t="s">
        <v>32</v>
      </c>
    </row>
    <row r="631" spans="1:18" x14ac:dyDescent="0.8">
      <c r="A631" s="247">
        <v>23353</v>
      </c>
      <c r="B631" s="248" t="s">
        <v>784</v>
      </c>
      <c r="C631" s="249" t="s">
        <v>38</v>
      </c>
      <c r="D631" s="245">
        <v>0</v>
      </c>
      <c r="E631" s="245">
        <v>50</v>
      </c>
      <c r="H631" s="245">
        <v>50</v>
      </c>
      <c r="I631" s="245">
        <v>0.3133333333333333</v>
      </c>
      <c r="J631" s="245">
        <v>0</v>
      </c>
      <c r="K631" s="245">
        <v>15.666666666666664</v>
      </c>
      <c r="L631" s="245">
        <v>0</v>
      </c>
      <c r="M631" s="245">
        <v>0</v>
      </c>
      <c r="N631" s="245">
        <v>15.666666666666664</v>
      </c>
      <c r="O631" s="245" t="s">
        <v>39</v>
      </c>
      <c r="P631" s="245" t="s">
        <v>708</v>
      </c>
      <c r="Q631" s="245" t="s">
        <v>782</v>
      </c>
      <c r="R631" s="246" t="s">
        <v>32</v>
      </c>
    </row>
    <row r="632" spans="1:18" ht="26" x14ac:dyDescent="0.8">
      <c r="A632" s="247">
        <v>23354</v>
      </c>
      <c r="B632" s="248" t="s">
        <v>785</v>
      </c>
      <c r="C632" s="249" t="s">
        <v>786</v>
      </c>
      <c r="D632" s="245">
        <v>0</v>
      </c>
      <c r="F632" s="245">
        <v>22050.600000000002</v>
      </c>
      <c r="H632" s="245">
        <v>22050.600000000002</v>
      </c>
      <c r="I632" s="245">
        <v>7.4999999999999997E-3</v>
      </c>
      <c r="J632" s="245">
        <v>0</v>
      </c>
      <c r="K632" s="245">
        <v>0</v>
      </c>
      <c r="L632" s="245">
        <v>165.37950000000001</v>
      </c>
      <c r="M632" s="245">
        <v>0</v>
      </c>
      <c r="N632" s="245">
        <v>165.37950000000001</v>
      </c>
      <c r="O632" s="245" t="s">
        <v>39</v>
      </c>
      <c r="P632" s="245" t="s">
        <v>708</v>
      </c>
      <c r="Q632" s="245" t="s">
        <v>782</v>
      </c>
      <c r="R632" s="246" t="s">
        <v>32</v>
      </c>
    </row>
    <row r="633" spans="1:18" ht="39" x14ac:dyDescent="0.8">
      <c r="A633" s="247">
        <v>2336</v>
      </c>
      <c r="B633" s="248" t="s">
        <v>787</v>
      </c>
      <c r="D633" s="245">
        <v>0</v>
      </c>
      <c r="R633" s="246" t="s">
        <v>32</v>
      </c>
    </row>
    <row r="634" spans="1:18" ht="39" x14ac:dyDescent="0.8">
      <c r="A634" s="247">
        <v>23361</v>
      </c>
      <c r="B634" s="248" t="s">
        <v>788</v>
      </c>
      <c r="C634" s="249" t="s">
        <v>66</v>
      </c>
      <c r="D634" s="245">
        <v>0</v>
      </c>
      <c r="F634" s="245">
        <v>150</v>
      </c>
      <c r="H634" s="245">
        <v>150</v>
      </c>
      <c r="I634" s="245">
        <v>0.255</v>
      </c>
      <c r="J634" s="245">
        <v>0</v>
      </c>
      <c r="K634" s="245">
        <v>0</v>
      </c>
      <c r="L634" s="245">
        <v>38.25</v>
      </c>
      <c r="M634" s="245">
        <v>0</v>
      </c>
      <c r="N634" s="245">
        <v>38.25</v>
      </c>
      <c r="O634" s="245" t="s">
        <v>39</v>
      </c>
      <c r="P634" s="245" t="s">
        <v>708</v>
      </c>
      <c r="Q634" s="245" t="s">
        <v>142</v>
      </c>
      <c r="R634" s="246" t="s">
        <v>32</v>
      </c>
    </row>
    <row r="635" spans="1:18" ht="39" x14ac:dyDescent="0.8">
      <c r="A635" s="247">
        <v>23362</v>
      </c>
      <c r="B635" s="248" t="s">
        <v>789</v>
      </c>
      <c r="C635" s="249" t="s">
        <v>101</v>
      </c>
      <c r="D635" s="245">
        <v>0</v>
      </c>
      <c r="F635" s="245">
        <v>60</v>
      </c>
      <c r="G635" s="245">
        <v>10</v>
      </c>
      <c r="H635" s="245">
        <v>70</v>
      </c>
      <c r="I635" s="245">
        <v>2.651545</v>
      </c>
      <c r="J635" s="245">
        <v>0</v>
      </c>
      <c r="K635" s="245">
        <v>0</v>
      </c>
      <c r="L635" s="245">
        <v>159.09270000000001</v>
      </c>
      <c r="M635" s="245">
        <v>26.515450000000001</v>
      </c>
      <c r="N635" s="245">
        <v>185.60815000000002</v>
      </c>
      <c r="O635" s="245" t="s">
        <v>39</v>
      </c>
      <c r="P635" s="245" t="s">
        <v>708</v>
      </c>
      <c r="Q635" s="245" t="s">
        <v>142</v>
      </c>
      <c r="R635" s="246" t="s">
        <v>32</v>
      </c>
    </row>
    <row r="636" spans="1:18" ht="39" hidden="1" x14ac:dyDescent="0.8">
      <c r="A636" s="247">
        <v>23363</v>
      </c>
      <c r="B636" s="248" t="s">
        <v>790</v>
      </c>
      <c r="C636" s="249" t="s">
        <v>55</v>
      </c>
      <c r="D636" s="245">
        <v>0</v>
      </c>
      <c r="G636" s="245">
        <v>1</v>
      </c>
      <c r="H636" s="245">
        <v>1</v>
      </c>
      <c r="I636" s="245">
        <v>0</v>
      </c>
      <c r="O636" s="245" t="s">
        <v>56</v>
      </c>
      <c r="P636" s="245" t="s">
        <v>708</v>
      </c>
      <c r="Q636" s="245" t="s">
        <v>142</v>
      </c>
      <c r="R636" s="246" t="s">
        <v>32</v>
      </c>
    </row>
    <row r="637" spans="1:18" ht="39" hidden="1" x14ac:dyDescent="0.8">
      <c r="A637" s="247">
        <v>23364</v>
      </c>
      <c r="B637" s="248" t="s">
        <v>791</v>
      </c>
      <c r="C637" s="249" t="s">
        <v>55</v>
      </c>
      <c r="D637" s="245">
        <v>0</v>
      </c>
      <c r="G637" s="245">
        <v>1</v>
      </c>
      <c r="H637" s="245">
        <v>1</v>
      </c>
      <c r="I637" s="245">
        <v>0</v>
      </c>
      <c r="O637" s="245" t="s">
        <v>56</v>
      </c>
      <c r="P637" s="245" t="s">
        <v>708</v>
      </c>
      <c r="Q637" s="245" t="s">
        <v>142</v>
      </c>
      <c r="R637" s="246" t="s">
        <v>32</v>
      </c>
    </row>
    <row r="638" spans="1:18" ht="26" x14ac:dyDescent="0.8">
      <c r="A638" s="247">
        <v>23365</v>
      </c>
      <c r="B638" s="248" t="s">
        <v>792</v>
      </c>
      <c r="C638" s="249" t="s">
        <v>38</v>
      </c>
      <c r="D638" s="245">
        <v>0</v>
      </c>
      <c r="G638" s="245">
        <v>50</v>
      </c>
      <c r="H638" s="245">
        <v>50</v>
      </c>
      <c r="I638" s="245">
        <v>0.3133333333333333</v>
      </c>
      <c r="J638" s="245">
        <v>0</v>
      </c>
      <c r="K638" s="245">
        <v>0</v>
      </c>
      <c r="L638" s="245">
        <v>0</v>
      </c>
      <c r="M638" s="245">
        <v>15.666666666666664</v>
      </c>
      <c r="N638" s="245">
        <v>15.666666666666664</v>
      </c>
      <c r="O638" s="245" t="s">
        <v>39</v>
      </c>
      <c r="P638" s="245" t="s">
        <v>708</v>
      </c>
      <c r="Q638" s="245" t="s">
        <v>273</v>
      </c>
      <c r="R638" s="246" t="s">
        <v>32</v>
      </c>
    </row>
    <row r="639" spans="1:18" ht="26" x14ac:dyDescent="0.8">
      <c r="A639" s="247">
        <v>23366</v>
      </c>
      <c r="B639" s="248" t="s">
        <v>793</v>
      </c>
      <c r="C639" s="249" t="s">
        <v>352</v>
      </c>
      <c r="D639" s="245">
        <v>0</v>
      </c>
      <c r="G639" s="245">
        <v>80</v>
      </c>
      <c r="H639" s="245">
        <v>80</v>
      </c>
      <c r="I639" s="245">
        <v>0.54600000000000004</v>
      </c>
      <c r="J639" s="245">
        <v>0</v>
      </c>
      <c r="K639" s="245">
        <v>0</v>
      </c>
      <c r="L639" s="245">
        <v>0</v>
      </c>
      <c r="M639" s="245">
        <v>43.680000000000007</v>
      </c>
      <c r="N639" s="245">
        <v>43.680000000000007</v>
      </c>
      <c r="O639" s="245" t="s">
        <v>39</v>
      </c>
      <c r="P639" s="245" t="s">
        <v>708</v>
      </c>
      <c r="Q639" s="245" t="s">
        <v>142</v>
      </c>
      <c r="R639" s="246" t="s">
        <v>32</v>
      </c>
    </row>
    <row r="640" spans="1:18" ht="26" x14ac:dyDescent="0.8">
      <c r="A640" s="247">
        <v>23367</v>
      </c>
      <c r="B640" s="248" t="s">
        <v>794</v>
      </c>
      <c r="C640" s="249" t="s">
        <v>66</v>
      </c>
      <c r="D640" s="245">
        <v>0</v>
      </c>
      <c r="G640" s="245">
        <v>100</v>
      </c>
      <c r="H640" s="245">
        <v>100</v>
      </c>
      <c r="I640" s="245">
        <v>0.255</v>
      </c>
      <c r="J640" s="245">
        <v>0</v>
      </c>
      <c r="K640" s="245">
        <v>0</v>
      </c>
      <c r="L640" s="245">
        <v>0</v>
      </c>
      <c r="M640" s="245">
        <v>25.5</v>
      </c>
      <c r="N640" s="245">
        <v>25.5</v>
      </c>
      <c r="O640" s="245" t="s">
        <v>39</v>
      </c>
      <c r="P640" s="245" t="s">
        <v>708</v>
      </c>
      <c r="Q640" s="245" t="s">
        <v>795</v>
      </c>
      <c r="R640" s="246" t="s">
        <v>32</v>
      </c>
    </row>
    <row r="641" spans="1:18" x14ac:dyDescent="0.8">
      <c r="A641" s="247">
        <v>23368</v>
      </c>
      <c r="B641" s="248" t="s">
        <v>796</v>
      </c>
      <c r="C641" s="249" t="s">
        <v>66</v>
      </c>
      <c r="D641" s="245">
        <v>0</v>
      </c>
      <c r="G641" s="245">
        <v>40</v>
      </c>
      <c r="H641" s="245">
        <v>40</v>
      </c>
      <c r="I641" s="245">
        <v>0.255</v>
      </c>
      <c r="J641" s="245">
        <v>0</v>
      </c>
      <c r="K641" s="245">
        <v>0</v>
      </c>
      <c r="L641" s="245">
        <v>0</v>
      </c>
      <c r="M641" s="245">
        <v>10.199999999999999</v>
      </c>
      <c r="N641" s="245">
        <v>10.199999999999999</v>
      </c>
      <c r="O641" s="245" t="s">
        <v>39</v>
      </c>
      <c r="P641" s="245" t="s">
        <v>708</v>
      </c>
      <c r="Q641" s="245" t="s">
        <v>795</v>
      </c>
      <c r="R641" s="246" t="s">
        <v>32</v>
      </c>
    </row>
    <row r="642" spans="1:18" ht="26" x14ac:dyDescent="0.8">
      <c r="A642" s="247">
        <v>23369</v>
      </c>
      <c r="B642" s="248" t="s">
        <v>797</v>
      </c>
      <c r="C642" s="249" t="s">
        <v>38</v>
      </c>
      <c r="D642" s="245">
        <v>0</v>
      </c>
      <c r="G642" s="245">
        <v>50</v>
      </c>
      <c r="H642" s="245">
        <v>50</v>
      </c>
      <c r="I642" s="245">
        <v>0.3133333333333333</v>
      </c>
      <c r="J642" s="245">
        <v>0</v>
      </c>
      <c r="K642" s="245">
        <v>0</v>
      </c>
      <c r="L642" s="245">
        <v>0</v>
      </c>
      <c r="M642" s="245">
        <v>15.666666666666664</v>
      </c>
      <c r="N642" s="245">
        <v>15.666666666666664</v>
      </c>
      <c r="O642" s="245" t="s">
        <v>39</v>
      </c>
      <c r="P642" s="245" t="s">
        <v>708</v>
      </c>
      <c r="Q642" s="245" t="s">
        <v>795</v>
      </c>
      <c r="R642" s="246" t="s">
        <v>32</v>
      </c>
    </row>
    <row r="643" spans="1:18" ht="26" x14ac:dyDescent="0.8">
      <c r="A643" s="247">
        <v>2337</v>
      </c>
      <c r="B643" s="248" t="s">
        <v>798</v>
      </c>
      <c r="D643" s="245">
        <v>0</v>
      </c>
      <c r="R643" s="246" t="s">
        <v>32</v>
      </c>
    </row>
    <row r="644" spans="1:18" ht="65" x14ac:dyDescent="0.8">
      <c r="A644" s="247">
        <v>23371</v>
      </c>
      <c r="B644" s="248" t="s">
        <v>799</v>
      </c>
      <c r="D644" s="245">
        <v>0</v>
      </c>
      <c r="I644" s="245">
        <v>0</v>
      </c>
      <c r="O644" s="245" t="s">
        <v>39</v>
      </c>
      <c r="P644" s="245" t="s">
        <v>347</v>
      </c>
      <c r="Q644" s="245" t="s">
        <v>801</v>
      </c>
      <c r="R644" s="246" t="s">
        <v>32</v>
      </c>
    </row>
    <row r="645" spans="1:18" x14ac:dyDescent="0.8">
      <c r="A645" s="247">
        <v>24</v>
      </c>
      <c r="B645" s="248" t="s">
        <v>802</v>
      </c>
      <c r="D645" s="245">
        <v>0</v>
      </c>
      <c r="R645" s="246" t="s">
        <v>32</v>
      </c>
    </row>
    <row r="646" spans="1:18" ht="26" x14ac:dyDescent="0.8">
      <c r="A646" s="247">
        <v>241</v>
      </c>
      <c r="B646" s="248" t="s">
        <v>803</v>
      </c>
      <c r="D646" s="245">
        <v>0</v>
      </c>
      <c r="R646" s="246" t="s">
        <v>32</v>
      </c>
    </row>
    <row r="647" spans="1:18" ht="26" x14ac:dyDescent="0.8">
      <c r="A647" s="247">
        <v>2411</v>
      </c>
      <c r="B647" s="248" t="s">
        <v>804</v>
      </c>
      <c r="D647" s="245">
        <v>0</v>
      </c>
      <c r="R647" s="246" t="s">
        <v>32</v>
      </c>
    </row>
    <row r="648" spans="1:18" x14ac:dyDescent="0.8">
      <c r="A648" s="247">
        <v>24111</v>
      </c>
      <c r="B648" s="248" t="s">
        <v>805</v>
      </c>
      <c r="C648" s="249" t="s">
        <v>66</v>
      </c>
      <c r="D648" s="245">
        <v>0</v>
      </c>
      <c r="E648" s="245">
        <v>75</v>
      </c>
      <c r="H648" s="245">
        <v>75</v>
      </c>
      <c r="I648" s="245">
        <v>0.255</v>
      </c>
      <c r="J648" s="245">
        <v>0</v>
      </c>
      <c r="K648" s="245">
        <v>19.125</v>
      </c>
      <c r="L648" s="245">
        <v>0</v>
      </c>
      <c r="M648" s="245">
        <v>0</v>
      </c>
      <c r="N648" s="245">
        <v>19.125</v>
      </c>
      <c r="O648" s="245" t="s">
        <v>39</v>
      </c>
      <c r="P648" s="245" t="s">
        <v>708</v>
      </c>
      <c r="Q648" s="245" t="s">
        <v>806</v>
      </c>
      <c r="R648" s="246" t="s">
        <v>32</v>
      </c>
    </row>
    <row r="649" spans="1:18" ht="39" x14ac:dyDescent="0.8">
      <c r="A649" s="247">
        <v>24112</v>
      </c>
      <c r="B649" s="248" t="s">
        <v>807</v>
      </c>
      <c r="C649" s="249" t="s">
        <v>59</v>
      </c>
      <c r="D649" s="245">
        <v>0</v>
      </c>
      <c r="E649" s="245">
        <v>40</v>
      </c>
      <c r="H649" s="245">
        <v>40</v>
      </c>
      <c r="I649" s="245">
        <v>0.8177777777777776</v>
      </c>
      <c r="J649" s="245">
        <v>0</v>
      </c>
      <c r="K649" s="245">
        <v>32.711111111111101</v>
      </c>
      <c r="L649" s="245">
        <v>0</v>
      </c>
      <c r="M649" s="245">
        <v>0</v>
      </c>
      <c r="N649" s="245">
        <v>32.711111111111101</v>
      </c>
      <c r="O649" s="245" t="s">
        <v>39</v>
      </c>
      <c r="P649" s="245" t="s">
        <v>708</v>
      </c>
      <c r="Q649" s="245" t="s">
        <v>806</v>
      </c>
      <c r="R649" s="246" t="s">
        <v>32</v>
      </c>
    </row>
    <row r="650" spans="1:18" x14ac:dyDescent="0.8">
      <c r="A650" s="247">
        <v>24113</v>
      </c>
      <c r="B650" s="248" t="s">
        <v>808</v>
      </c>
      <c r="C650" s="249" t="s">
        <v>66</v>
      </c>
      <c r="D650" s="245">
        <v>0</v>
      </c>
      <c r="E650" s="245">
        <v>45</v>
      </c>
      <c r="H650" s="245">
        <v>45</v>
      </c>
      <c r="I650" s="245">
        <v>0.255</v>
      </c>
      <c r="J650" s="245">
        <v>0</v>
      </c>
      <c r="K650" s="245">
        <v>11.475</v>
      </c>
      <c r="L650" s="245">
        <v>0</v>
      </c>
      <c r="M650" s="245">
        <v>0</v>
      </c>
      <c r="N650" s="245">
        <v>11.475</v>
      </c>
      <c r="O650" s="245" t="s">
        <v>39</v>
      </c>
      <c r="P650" s="245" t="s">
        <v>708</v>
      </c>
      <c r="Q650" s="245" t="s">
        <v>806</v>
      </c>
      <c r="R650" s="246" t="s">
        <v>32</v>
      </c>
    </row>
    <row r="651" spans="1:18" ht="26" x14ac:dyDescent="0.8">
      <c r="A651" s="247">
        <v>24114</v>
      </c>
      <c r="B651" s="248" t="s">
        <v>809</v>
      </c>
      <c r="C651" s="249" t="s">
        <v>38</v>
      </c>
      <c r="D651" s="245">
        <v>0</v>
      </c>
      <c r="E651" s="245">
        <v>75</v>
      </c>
      <c r="H651" s="245">
        <v>75</v>
      </c>
      <c r="I651" s="245">
        <v>0.3133333333333333</v>
      </c>
      <c r="J651" s="245">
        <v>0</v>
      </c>
      <c r="K651" s="245">
        <v>23.499999999999996</v>
      </c>
      <c r="L651" s="245">
        <v>0</v>
      </c>
      <c r="M651" s="245">
        <v>0</v>
      </c>
      <c r="N651" s="245">
        <v>23.499999999999996</v>
      </c>
      <c r="O651" s="245" t="s">
        <v>39</v>
      </c>
      <c r="P651" s="245" t="s">
        <v>708</v>
      </c>
      <c r="Q651" s="245" t="s">
        <v>806</v>
      </c>
      <c r="R651" s="246" t="s">
        <v>32</v>
      </c>
    </row>
    <row r="652" spans="1:18" ht="39" x14ac:dyDescent="0.8">
      <c r="A652" s="247">
        <v>2412</v>
      </c>
      <c r="B652" s="248" t="s">
        <v>810</v>
      </c>
      <c r="D652" s="245">
        <v>0</v>
      </c>
      <c r="R652" s="246" t="s">
        <v>32</v>
      </c>
    </row>
    <row r="653" spans="1:18" ht="26" x14ac:dyDescent="0.8">
      <c r="A653" s="247">
        <v>24121</v>
      </c>
      <c r="B653" s="248" t="s">
        <v>811</v>
      </c>
      <c r="C653" s="249" t="s">
        <v>38</v>
      </c>
      <c r="D653" s="245">
        <v>0</v>
      </c>
      <c r="F653" s="245">
        <v>20</v>
      </c>
      <c r="H653" s="245">
        <v>20</v>
      </c>
      <c r="I653" s="245">
        <v>0.3133333333333333</v>
      </c>
      <c r="J653" s="245">
        <v>0</v>
      </c>
      <c r="K653" s="245">
        <v>0</v>
      </c>
      <c r="L653" s="245">
        <v>6.2666666666666657</v>
      </c>
      <c r="M653" s="245">
        <v>0</v>
      </c>
      <c r="N653" s="245">
        <v>6.2666666666666657</v>
      </c>
      <c r="O653" s="245" t="s">
        <v>39</v>
      </c>
      <c r="P653" s="245" t="s">
        <v>708</v>
      </c>
      <c r="Q653" s="245" t="s">
        <v>273</v>
      </c>
      <c r="R653" s="246" t="s">
        <v>32</v>
      </c>
    </row>
    <row r="654" spans="1:18" ht="52" x14ac:dyDescent="0.8">
      <c r="A654" s="247">
        <v>24122</v>
      </c>
      <c r="B654" s="248" t="s">
        <v>812</v>
      </c>
      <c r="C654" s="249" t="s">
        <v>38</v>
      </c>
      <c r="D654" s="245">
        <v>0</v>
      </c>
      <c r="F654" s="245">
        <v>100</v>
      </c>
      <c r="H654" s="245">
        <v>100</v>
      </c>
      <c r="I654" s="245">
        <v>0.3133333333333333</v>
      </c>
      <c r="J654" s="245">
        <v>0</v>
      </c>
      <c r="K654" s="245">
        <v>0</v>
      </c>
      <c r="L654" s="245">
        <v>31.333333333333329</v>
      </c>
      <c r="M654" s="245">
        <v>0</v>
      </c>
      <c r="N654" s="245">
        <v>31.333333333333329</v>
      </c>
      <c r="O654" s="245" t="s">
        <v>39</v>
      </c>
      <c r="P654" s="245" t="s">
        <v>708</v>
      </c>
      <c r="Q654" s="245" t="s">
        <v>273</v>
      </c>
      <c r="R654" s="246" t="s">
        <v>32</v>
      </c>
    </row>
    <row r="655" spans="1:18" ht="26" x14ac:dyDescent="0.8">
      <c r="A655" s="247">
        <v>2413</v>
      </c>
      <c r="B655" s="248" t="s">
        <v>813</v>
      </c>
      <c r="D655" s="245">
        <v>0</v>
      </c>
      <c r="R655" s="246" t="s">
        <v>32</v>
      </c>
    </row>
    <row r="656" spans="1:18" ht="26" x14ac:dyDescent="0.8">
      <c r="A656" s="247">
        <v>24131</v>
      </c>
      <c r="B656" s="248" t="s">
        <v>814</v>
      </c>
      <c r="C656" s="249" t="s">
        <v>816</v>
      </c>
      <c r="D656" s="245">
        <v>0</v>
      </c>
      <c r="F656" s="245">
        <v>647.79999999999995</v>
      </c>
      <c r="H656" s="245">
        <v>647.79999999999995</v>
      </c>
      <c r="I656" s="245">
        <v>7.4999999999999997E-3</v>
      </c>
      <c r="J656" s="245">
        <v>0</v>
      </c>
      <c r="K656" s="245">
        <v>0</v>
      </c>
      <c r="L656" s="245">
        <v>4.8584999999999994</v>
      </c>
      <c r="M656" s="245">
        <v>0</v>
      </c>
      <c r="N656" s="245">
        <v>4.8584999999999994</v>
      </c>
      <c r="O656" s="245" t="s">
        <v>39</v>
      </c>
      <c r="P656" s="245" t="s">
        <v>708</v>
      </c>
      <c r="Q656" s="245" t="s">
        <v>817</v>
      </c>
      <c r="R656" s="246" t="s">
        <v>32</v>
      </c>
    </row>
    <row r="657" spans="1:18" ht="26" x14ac:dyDescent="0.8">
      <c r="A657" s="247">
        <v>24132</v>
      </c>
      <c r="B657" s="248" t="s">
        <v>818</v>
      </c>
      <c r="C657" s="249" t="s">
        <v>59</v>
      </c>
      <c r="D657" s="245">
        <v>0</v>
      </c>
      <c r="G657" s="245">
        <v>288</v>
      </c>
      <c r="H657" s="245">
        <v>288</v>
      </c>
      <c r="I657" s="245">
        <v>0.8177777777777776</v>
      </c>
      <c r="J657" s="245">
        <v>0</v>
      </c>
      <c r="K657" s="245">
        <v>0</v>
      </c>
      <c r="L657" s="245">
        <v>0</v>
      </c>
      <c r="M657" s="245">
        <v>235.51999999999995</v>
      </c>
      <c r="N657" s="245">
        <v>235.51999999999995</v>
      </c>
      <c r="O657" s="245" t="s">
        <v>39</v>
      </c>
      <c r="P657" s="245" t="s">
        <v>708</v>
      </c>
      <c r="Q657" s="245" t="s">
        <v>273</v>
      </c>
      <c r="R657" s="246" t="s">
        <v>32</v>
      </c>
    </row>
    <row r="658" spans="1:18" ht="26" x14ac:dyDescent="0.8">
      <c r="A658" s="247">
        <v>242</v>
      </c>
      <c r="B658" s="248" t="s">
        <v>819</v>
      </c>
      <c r="D658" s="245">
        <v>0</v>
      </c>
      <c r="R658" s="246" t="s">
        <v>32</v>
      </c>
    </row>
    <row r="659" spans="1:18" ht="26" x14ac:dyDescent="0.8">
      <c r="A659" s="247">
        <v>2421</v>
      </c>
      <c r="B659" s="248" t="s">
        <v>820</v>
      </c>
      <c r="D659" s="245">
        <v>0</v>
      </c>
      <c r="R659" s="246" t="s">
        <v>32</v>
      </c>
    </row>
    <row r="660" spans="1:18" ht="26" x14ac:dyDescent="0.8">
      <c r="A660" s="247">
        <v>24211</v>
      </c>
      <c r="B660" s="248" t="s">
        <v>821</v>
      </c>
      <c r="C660" s="249" t="s">
        <v>646</v>
      </c>
      <c r="D660" s="245">
        <v>0</v>
      </c>
      <c r="E660" s="245">
        <v>90</v>
      </c>
      <c r="H660" s="245">
        <v>90</v>
      </c>
      <c r="I660" s="245">
        <v>10.404797</v>
      </c>
      <c r="J660" s="245">
        <v>0</v>
      </c>
      <c r="K660" s="245">
        <v>936.43173000000002</v>
      </c>
      <c r="L660" s="245">
        <v>0</v>
      </c>
      <c r="M660" s="245">
        <v>0</v>
      </c>
      <c r="N660" s="245">
        <v>936.43173000000002</v>
      </c>
      <c r="O660" s="245" t="s">
        <v>39</v>
      </c>
      <c r="P660" s="245" t="s">
        <v>708</v>
      </c>
      <c r="Q660" s="245" t="s">
        <v>822</v>
      </c>
      <c r="R660" s="246" t="s">
        <v>32</v>
      </c>
    </row>
    <row r="661" spans="1:18" x14ac:dyDescent="0.8">
      <c r="A661" s="247">
        <v>24212</v>
      </c>
      <c r="B661" s="248" t="s">
        <v>823</v>
      </c>
      <c r="C661" s="249" t="s">
        <v>38</v>
      </c>
      <c r="D661" s="245">
        <v>0</v>
      </c>
      <c r="E661" s="245">
        <v>30</v>
      </c>
      <c r="H661" s="245">
        <v>30</v>
      </c>
      <c r="I661" s="245">
        <v>0.3133333333333333</v>
      </c>
      <c r="J661" s="245">
        <v>0</v>
      </c>
      <c r="K661" s="245">
        <v>9.3999999999999986</v>
      </c>
      <c r="L661" s="245">
        <v>0</v>
      </c>
      <c r="M661" s="245">
        <v>0</v>
      </c>
      <c r="N661" s="245">
        <v>9.3999999999999986</v>
      </c>
      <c r="O661" s="245" t="s">
        <v>39</v>
      </c>
      <c r="P661" s="245" t="s">
        <v>273</v>
      </c>
      <c r="Q661" s="245" t="s">
        <v>708</v>
      </c>
      <c r="R661" s="246" t="s">
        <v>32</v>
      </c>
    </row>
    <row r="662" spans="1:18" ht="52" hidden="1" x14ac:dyDescent="0.8">
      <c r="A662" s="247">
        <v>24213</v>
      </c>
      <c r="B662" s="248" t="s">
        <v>824</v>
      </c>
      <c r="C662" s="249" t="s">
        <v>55</v>
      </c>
      <c r="D662" s="245">
        <v>0</v>
      </c>
      <c r="E662" s="245">
        <v>1</v>
      </c>
      <c r="H662" s="245">
        <v>1</v>
      </c>
      <c r="I662" s="245">
        <v>0</v>
      </c>
      <c r="J662" s="245">
        <v>0</v>
      </c>
      <c r="K662" s="245">
        <v>0</v>
      </c>
      <c r="L662" s="245">
        <v>0</v>
      </c>
      <c r="M662" s="245">
        <v>0</v>
      </c>
      <c r="O662" s="245" t="s">
        <v>56</v>
      </c>
      <c r="P662" s="245" t="s">
        <v>708</v>
      </c>
      <c r="Q662" s="245" t="s">
        <v>142</v>
      </c>
      <c r="R662" s="246" t="s">
        <v>32</v>
      </c>
    </row>
    <row r="663" spans="1:18" ht="26" hidden="1" x14ac:dyDescent="0.8">
      <c r="A663" s="247">
        <v>24214</v>
      </c>
      <c r="B663" s="248" t="s">
        <v>825</v>
      </c>
      <c r="C663" s="249" t="s">
        <v>55</v>
      </c>
      <c r="D663" s="245">
        <v>0</v>
      </c>
      <c r="F663" s="245">
        <v>1</v>
      </c>
      <c r="H663" s="245">
        <v>1</v>
      </c>
      <c r="I663" s="245">
        <v>0</v>
      </c>
      <c r="J663" s="245">
        <v>0</v>
      </c>
      <c r="K663" s="245">
        <v>0</v>
      </c>
      <c r="L663" s="245">
        <v>0</v>
      </c>
      <c r="M663" s="245">
        <v>0</v>
      </c>
      <c r="O663" s="245" t="s">
        <v>56</v>
      </c>
      <c r="P663" s="245" t="s">
        <v>708</v>
      </c>
      <c r="Q663" s="245" t="s">
        <v>142</v>
      </c>
      <c r="R663" s="246" t="s">
        <v>32</v>
      </c>
    </row>
    <row r="664" spans="1:18" x14ac:dyDescent="0.8">
      <c r="A664" s="247">
        <v>24215</v>
      </c>
      <c r="B664" s="248" t="s">
        <v>827</v>
      </c>
      <c r="C664" s="249" t="s">
        <v>501</v>
      </c>
      <c r="D664" s="245">
        <v>0</v>
      </c>
      <c r="H664" s="245">
        <v>0</v>
      </c>
      <c r="I664" s="245">
        <v>50.336534</v>
      </c>
      <c r="J664" s="245">
        <v>0</v>
      </c>
      <c r="K664" s="245">
        <v>0</v>
      </c>
      <c r="L664" s="245">
        <v>0</v>
      </c>
      <c r="M664" s="245">
        <v>0</v>
      </c>
      <c r="N664" s="245">
        <v>0</v>
      </c>
      <c r="O664" s="245" t="s">
        <v>178</v>
      </c>
      <c r="P664" s="245" t="s">
        <v>708</v>
      </c>
      <c r="Q664" s="245" t="s">
        <v>142</v>
      </c>
      <c r="R664" s="246" t="s">
        <v>32</v>
      </c>
    </row>
    <row r="665" spans="1:18" ht="26" x14ac:dyDescent="0.8">
      <c r="A665" s="247">
        <v>24216</v>
      </c>
      <c r="B665" s="248" t="s">
        <v>828</v>
      </c>
      <c r="C665" s="249" t="s">
        <v>352</v>
      </c>
      <c r="D665" s="245">
        <v>0</v>
      </c>
      <c r="H665" s="245">
        <v>0</v>
      </c>
      <c r="I665" s="245">
        <v>0.54600000000000004</v>
      </c>
      <c r="J665" s="245">
        <v>0</v>
      </c>
      <c r="K665" s="245">
        <v>0</v>
      </c>
      <c r="L665" s="245">
        <v>0</v>
      </c>
      <c r="M665" s="245">
        <v>0</v>
      </c>
      <c r="N665" s="245">
        <v>0</v>
      </c>
      <c r="O665" s="245" t="s">
        <v>178</v>
      </c>
      <c r="P665" s="245" t="s">
        <v>708</v>
      </c>
      <c r="Q665" s="245" t="s">
        <v>142</v>
      </c>
      <c r="R665" s="246" t="s">
        <v>32</v>
      </c>
    </row>
    <row r="666" spans="1:18" ht="26" x14ac:dyDescent="0.8">
      <c r="A666" s="247">
        <v>24216</v>
      </c>
      <c r="B666" s="248" t="s">
        <v>828</v>
      </c>
      <c r="C666" s="249" t="s">
        <v>352</v>
      </c>
      <c r="D666" s="245">
        <v>0</v>
      </c>
      <c r="H666" s="245">
        <v>0</v>
      </c>
      <c r="I666" s="245">
        <v>0.54600000000000004</v>
      </c>
      <c r="J666" s="245">
        <v>0</v>
      </c>
      <c r="K666" s="245">
        <v>0</v>
      </c>
      <c r="L666" s="245">
        <v>0</v>
      </c>
      <c r="M666" s="245">
        <v>0</v>
      </c>
      <c r="N666" s="245">
        <v>0</v>
      </c>
      <c r="O666" s="245" t="s">
        <v>118</v>
      </c>
      <c r="P666" s="245" t="s">
        <v>708</v>
      </c>
      <c r="Q666" s="245" t="s">
        <v>142</v>
      </c>
      <c r="R666" s="246" t="s">
        <v>32</v>
      </c>
    </row>
    <row r="667" spans="1:18" x14ac:dyDescent="0.8">
      <c r="A667" s="247">
        <v>2422</v>
      </c>
      <c r="B667" s="248" t="s">
        <v>829</v>
      </c>
      <c r="D667" s="245">
        <v>0</v>
      </c>
      <c r="R667" s="246" t="s">
        <v>32</v>
      </c>
    </row>
    <row r="668" spans="1:18" ht="39" hidden="1" x14ac:dyDescent="0.8">
      <c r="A668" s="247">
        <v>24221</v>
      </c>
      <c r="B668" s="248" t="s">
        <v>830</v>
      </c>
      <c r="C668" s="249" t="s">
        <v>66</v>
      </c>
      <c r="D668" s="245">
        <v>0</v>
      </c>
      <c r="F668" s="245">
        <v>80</v>
      </c>
      <c r="H668" s="245">
        <v>80</v>
      </c>
      <c r="I668" s="245">
        <v>0.255</v>
      </c>
      <c r="J668" s="245">
        <v>0</v>
      </c>
      <c r="K668" s="245">
        <v>0</v>
      </c>
      <c r="L668" s="245">
        <v>20.399999999999999</v>
      </c>
      <c r="M668" s="245">
        <v>0</v>
      </c>
      <c r="N668" s="245">
        <v>20.399999999999999</v>
      </c>
      <c r="O668" s="245" t="s">
        <v>169</v>
      </c>
      <c r="P668" s="245" t="s">
        <v>708</v>
      </c>
      <c r="Q668" s="245" t="s">
        <v>273</v>
      </c>
      <c r="R668" s="246" t="s">
        <v>32</v>
      </c>
    </row>
    <row r="669" spans="1:18" ht="26" hidden="1" x14ac:dyDescent="0.8">
      <c r="A669" s="247">
        <v>24222</v>
      </c>
      <c r="B669" s="248" t="s">
        <v>831</v>
      </c>
      <c r="C669" s="249" t="s">
        <v>38</v>
      </c>
      <c r="D669" s="245">
        <v>0</v>
      </c>
      <c r="F669" s="245">
        <v>400</v>
      </c>
      <c r="H669" s="245">
        <v>400</v>
      </c>
      <c r="I669" s="245">
        <v>0.3133333333333333</v>
      </c>
      <c r="J669" s="245">
        <v>0</v>
      </c>
      <c r="K669" s="245">
        <v>0</v>
      </c>
      <c r="L669" s="245">
        <v>125.33333333333331</v>
      </c>
      <c r="M669" s="245">
        <v>0</v>
      </c>
      <c r="N669" s="245">
        <v>125.33333333333331</v>
      </c>
      <c r="O669" s="245" t="s">
        <v>169</v>
      </c>
      <c r="P669" s="245" t="s">
        <v>708</v>
      </c>
      <c r="Q669" s="245" t="s">
        <v>273</v>
      </c>
      <c r="R669" s="246" t="s">
        <v>32</v>
      </c>
    </row>
    <row r="670" spans="1:18" ht="26" hidden="1" x14ac:dyDescent="0.8">
      <c r="A670" s="247">
        <v>24223</v>
      </c>
      <c r="B670" s="248" t="s">
        <v>832</v>
      </c>
      <c r="C670" s="249" t="s">
        <v>55</v>
      </c>
      <c r="D670" s="245">
        <v>0</v>
      </c>
      <c r="F670" s="245">
        <v>1</v>
      </c>
      <c r="H670" s="245">
        <v>1</v>
      </c>
      <c r="I670" s="245">
        <v>0</v>
      </c>
      <c r="J670" s="245">
        <v>0</v>
      </c>
      <c r="K670" s="245">
        <v>0</v>
      </c>
      <c r="L670" s="245">
        <v>0</v>
      </c>
      <c r="M670" s="245">
        <v>0</v>
      </c>
      <c r="O670" s="245" t="s">
        <v>56</v>
      </c>
      <c r="P670" s="245" t="s">
        <v>708</v>
      </c>
      <c r="Q670" s="245" t="s">
        <v>142</v>
      </c>
      <c r="R670" s="246" t="s">
        <v>32</v>
      </c>
    </row>
    <row r="671" spans="1:18" x14ac:dyDescent="0.8">
      <c r="A671" s="247">
        <v>2423</v>
      </c>
      <c r="B671" s="248" t="s">
        <v>833</v>
      </c>
      <c r="D671" s="245">
        <v>0</v>
      </c>
      <c r="R671" s="246" t="s">
        <v>32</v>
      </c>
    </row>
    <row r="672" spans="1:18" ht="26" hidden="1" x14ac:dyDescent="0.8">
      <c r="A672" s="247">
        <v>24231</v>
      </c>
      <c r="B672" s="248" t="s">
        <v>834</v>
      </c>
      <c r="C672" s="249" t="s">
        <v>59</v>
      </c>
      <c r="D672" s="245">
        <v>0</v>
      </c>
      <c r="G672" s="245">
        <v>448</v>
      </c>
      <c r="H672" s="245">
        <v>448</v>
      </c>
      <c r="I672" s="245">
        <v>0.8177777777777776</v>
      </c>
      <c r="J672" s="245">
        <v>0</v>
      </c>
      <c r="K672" s="245">
        <v>0</v>
      </c>
      <c r="L672" s="245">
        <v>0</v>
      </c>
      <c r="M672" s="245">
        <v>366.36444444444436</v>
      </c>
      <c r="N672" s="245">
        <v>366.36444444444436</v>
      </c>
      <c r="O672" s="245" t="s">
        <v>169</v>
      </c>
      <c r="P672" s="245" t="s">
        <v>708</v>
      </c>
      <c r="Q672" s="245" t="s">
        <v>142</v>
      </c>
      <c r="R672" s="246" t="s">
        <v>32</v>
      </c>
    </row>
    <row r="673" spans="1:18" ht="26" hidden="1" x14ac:dyDescent="0.8">
      <c r="A673" s="247">
        <v>24232</v>
      </c>
      <c r="B673" s="248" t="s">
        <v>835</v>
      </c>
      <c r="C673" s="249" t="s">
        <v>55</v>
      </c>
      <c r="D673" s="245">
        <v>0</v>
      </c>
      <c r="G673" s="245">
        <v>1</v>
      </c>
      <c r="H673" s="245">
        <v>1</v>
      </c>
      <c r="I673" s="245">
        <v>0</v>
      </c>
      <c r="J673" s="245">
        <v>0</v>
      </c>
      <c r="K673" s="245">
        <v>0</v>
      </c>
      <c r="L673" s="245">
        <v>0</v>
      </c>
      <c r="M673" s="245">
        <v>0</v>
      </c>
      <c r="O673" s="245" t="s">
        <v>169</v>
      </c>
      <c r="P673" s="245" t="s">
        <v>708</v>
      </c>
      <c r="Q673" s="245" t="s">
        <v>273</v>
      </c>
      <c r="R673" s="246" t="s">
        <v>32</v>
      </c>
    </row>
    <row r="674" spans="1:18" ht="39" x14ac:dyDescent="0.8">
      <c r="A674" s="247">
        <v>243</v>
      </c>
      <c r="B674" s="248" t="s">
        <v>837</v>
      </c>
      <c r="D674" s="245">
        <v>0</v>
      </c>
      <c r="R674" s="246" t="s">
        <v>32</v>
      </c>
    </row>
    <row r="675" spans="1:18" ht="39" x14ac:dyDescent="0.8">
      <c r="A675" s="247">
        <v>2431</v>
      </c>
      <c r="B675" s="248" t="s">
        <v>838</v>
      </c>
      <c r="D675" s="245">
        <v>0</v>
      </c>
      <c r="R675" s="246" t="s">
        <v>32</v>
      </c>
    </row>
    <row r="676" spans="1:18" ht="39" hidden="1" x14ac:dyDescent="0.8">
      <c r="A676" s="247">
        <v>24311</v>
      </c>
      <c r="B676" s="248" t="s">
        <v>839</v>
      </c>
      <c r="C676" s="249" t="s">
        <v>55</v>
      </c>
      <c r="D676" s="245">
        <v>0</v>
      </c>
      <c r="G676" s="245">
        <v>1</v>
      </c>
      <c r="H676" s="245">
        <v>1</v>
      </c>
      <c r="I676" s="245">
        <v>0</v>
      </c>
      <c r="J676" s="245">
        <v>0</v>
      </c>
      <c r="K676" s="245">
        <v>0</v>
      </c>
      <c r="L676" s="245">
        <v>0</v>
      </c>
      <c r="M676" s="245">
        <v>0</v>
      </c>
      <c r="O676" s="245" t="s">
        <v>169</v>
      </c>
      <c r="P676" s="245" t="s">
        <v>708</v>
      </c>
      <c r="Q676" s="245" t="s">
        <v>840</v>
      </c>
      <c r="R676" s="246" t="s">
        <v>32</v>
      </c>
    </row>
    <row r="677" spans="1:18" ht="26" hidden="1" x14ac:dyDescent="0.8">
      <c r="A677" s="247">
        <v>24312</v>
      </c>
      <c r="B677" s="248" t="s">
        <v>841</v>
      </c>
      <c r="C677" s="249" t="s">
        <v>55</v>
      </c>
      <c r="D677" s="245">
        <v>0</v>
      </c>
      <c r="F677" s="245">
        <v>1</v>
      </c>
      <c r="H677" s="245">
        <v>1</v>
      </c>
      <c r="I677" s="245">
        <v>0</v>
      </c>
      <c r="J677" s="245">
        <v>0</v>
      </c>
      <c r="K677" s="245">
        <v>0</v>
      </c>
      <c r="L677" s="245">
        <v>0</v>
      </c>
      <c r="M677" s="245">
        <v>0</v>
      </c>
      <c r="O677" s="245" t="s">
        <v>169</v>
      </c>
      <c r="P677" s="245" t="s">
        <v>708</v>
      </c>
      <c r="Q677" s="245" t="s">
        <v>273</v>
      </c>
      <c r="R677" s="246" t="s">
        <v>32</v>
      </c>
    </row>
    <row r="678" spans="1:18" ht="26" x14ac:dyDescent="0.8">
      <c r="A678" s="247">
        <v>24313</v>
      </c>
      <c r="B678" s="248" t="s">
        <v>842</v>
      </c>
      <c r="C678" s="249" t="s">
        <v>844</v>
      </c>
      <c r="D678" s="245">
        <v>189</v>
      </c>
      <c r="G678" s="245">
        <v>0.5</v>
      </c>
      <c r="H678" s="245">
        <v>189.5</v>
      </c>
      <c r="I678" s="245">
        <v>950</v>
      </c>
      <c r="J678" s="245">
        <v>179550</v>
      </c>
      <c r="K678" s="245">
        <v>0</v>
      </c>
      <c r="L678" s="245">
        <v>0</v>
      </c>
      <c r="M678" s="245">
        <v>475</v>
      </c>
      <c r="N678" s="245">
        <v>180025</v>
      </c>
      <c r="O678" s="245" t="s">
        <v>67</v>
      </c>
      <c r="P678" s="245" t="s">
        <v>663</v>
      </c>
      <c r="Q678" s="245" t="s">
        <v>273</v>
      </c>
      <c r="R678" s="246" t="s">
        <v>32</v>
      </c>
    </row>
    <row r="679" spans="1:18" ht="26" x14ac:dyDescent="0.8">
      <c r="A679" s="247">
        <v>24313</v>
      </c>
      <c r="B679" s="248" t="s">
        <v>842</v>
      </c>
      <c r="C679" s="249" t="s">
        <v>844</v>
      </c>
      <c r="D679" s="245">
        <v>0</v>
      </c>
      <c r="G679" s="245">
        <v>0.5</v>
      </c>
      <c r="H679" s="245">
        <v>0.5</v>
      </c>
      <c r="I679" s="245">
        <v>950</v>
      </c>
      <c r="J679" s="245">
        <v>0</v>
      </c>
      <c r="K679" s="245">
        <v>0</v>
      </c>
      <c r="L679" s="245">
        <v>0</v>
      </c>
      <c r="M679" s="245">
        <v>475</v>
      </c>
      <c r="N679" s="245">
        <v>475</v>
      </c>
      <c r="O679" s="245" t="s">
        <v>118</v>
      </c>
      <c r="P679" s="245" t="s">
        <v>663</v>
      </c>
      <c r="Q679" s="245" t="s">
        <v>273</v>
      </c>
      <c r="R679" s="246" t="s">
        <v>32</v>
      </c>
    </row>
    <row r="680" spans="1:18" x14ac:dyDescent="0.8">
      <c r="A680" s="247">
        <v>2432</v>
      </c>
      <c r="B680" s="248" t="s">
        <v>845</v>
      </c>
      <c r="D680" s="245">
        <v>0</v>
      </c>
      <c r="R680" s="246" t="s">
        <v>32</v>
      </c>
    </row>
    <row r="681" spans="1:18" ht="26" x14ac:dyDescent="0.8">
      <c r="A681" s="247">
        <v>24321</v>
      </c>
      <c r="B681" s="248" t="s">
        <v>846</v>
      </c>
      <c r="C681" s="249" t="s">
        <v>646</v>
      </c>
      <c r="D681" s="245">
        <v>0</v>
      </c>
      <c r="H681" s="245">
        <v>0</v>
      </c>
      <c r="I681" s="245">
        <v>10.404797</v>
      </c>
      <c r="J681" s="245">
        <v>0</v>
      </c>
      <c r="K681" s="245">
        <v>0</v>
      </c>
      <c r="L681" s="245">
        <v>0</v>
      </c>
      <c r="M681" s="245">
        <v>0</v>
      </c>
      <c r="N681" s="245">
        <v>0</v>
      </c>
      <c r="O681" s="245" t="s">
        <v>178</v>
      </c>
      <c r="P681" s="245" t="s">
        <v>273</v>
      </c>
      <c r="Q681" s="245" t="s">
        <v>273</v>
      </c>
      <c r="R681" s="246" t="s">
        <v>32</v>
      </c>
    </row>
    <row r="682" spans="1:18" ht="39" x14ac:dyDescent="0.8">
      <c r="A682" s="247">
        <v>24322</v>
      </c>
      <c r="B682" s="248" t="s">
        <v>847</v>
      </c>
      <c r="C682" s="249" t="s">
        <v>352</v>
      </c>
      <c r="D682" s="245">
        <v>0</v>
      </c>
      <c r="H682" s="245">
        <v>0</v>
      </c>
      <c r="I682" s="245">
        <v>0.54600000000000004</v>
      </c>
      <c r="J682" s="245">
        <v>0</v>
      </c>
      <c r="K682" s="245">
        <v>0</v>
      </c>
      <c r="L682" s="245">
        <v>0</v>
      </c>
      <c r="M682" s="245">
        <v>0</v>
      </c>
      <c r="N682" s="245">
        <v>0</v>
      </c>
      <c r="O682" s="245" t="s">
        <v>178</v>
      </c>
      <c r="P682" s="245" t="s">
        <v>273</v>
      </c>
      <c r="Q682" s="245" t="s">
        <v>77</v>
      </c>
      <c r="R682" s="246" t="s">
        <v>32</v>
      </c>
    </row>
    <row r="683" spans="1:18" ht="26" x14ac:dyDescent="0.8">
      <c r="A683" s="247">
        <v>24323</v>
      </c>
      <c r="B683" s="248" t="s">
        <v>848</v>
      </c>
      <c r="C683" s="249" t="s">
        <v>59</v>
      </c>
      <c r="D683" s="245">
        <v>0</v>
      </c>
      <c r="H683" s="245">
        <v>0</v>
      </c>
      <c r="I683" s="245">
        <v>0.8177777777777776</v>
      </c>
      <c r="J683" s="245">
        <v>0</v>
      </c>
      <c r="K683" s="245">
        <v>0</v>
      </c>
      <c r="L683" s="245">
        <v>0</v>
      </c>
      <c r="M683" s="245">
        <v>0</v>
      </c>
      <c r="N683" s="245">
        <v>0</v>
      </c>
      <c r="O683" s="245" t="s">
        <v>178</v>
      </c>
      <c r="P683" s="245" t="s">
        <v>273</v>
      </c>
      <c r="Q683" s="245" t="s">
        <v>77</v>
      </c>
      <c r="R683" s="246" t="s">
        <v>32</v>
      </c>
    </row>
    <row r="684" spans="1:18" ht="26" hidden="1" x14ac:dyDescent="0.8">
      <c r="A684" s="247">
        <v>24323</v>
      </c>
      <c r="B684" s="248" t="s">
        <v>848</v>
      </c>
      <c r="C684" s="249" t="s">
        <v>59</v>
      </c>
      <c r="D684" s="245">
        <v>0</v>
      </c>
      <c r="E684" s="245">
        <v>40</v>
      </c>
      <c r="F684" s="245">
        <v>100</v>
      </c>
      <c r="G684" s="245">
        <v>200</v>
      </c>
      <c r="H684" s="245">
        <v>340</v>
      </c>
      <c r="I684" s="245">
        <v>0.8177777777777776</v>
      </c>
      <c r="J684" s="245">
        <v>0</v>
      </c>
      <c r="K684" s="245">
        <v>32.711111111111101</v>
      </c>
      <c r="L684" s="245">
        <v>81.777777777777757</v>
      </c>
      <c r="M684" s="245">
        <v>163.55555555555551</v>
      </c>
      <c r="N684" s="245">
        <v>278.04444444444437</v>
      </c>
      <c r="O684" s="245" t="s">
        <v>169</v>
      </c>
      <c r="P684" s="245" t="s">
        <v>273</v>
      </c>
      <c r="Q684" s="245" t="s">
        <v>77</v>
      </c>
      <c r="R684" s="246" t="s">
        <v>32</v>
      </c>
    </row>
    <row r="685" spans="1:18" ht="39" x14ac:dyDescent="0.8">
      <c r="A685" s="247">
        <v>24324</v>
      </c>
      <c r="B685" s="248" t="s">
        <v>849</v>
      </c>
      <c r="C685" s="249" t="s">
        <v>352</v>
      </c>
      <c r="D685" s="245">
        <v>0</v>
      </c>
      <c r="H685" s="245">
        <v>0</v>
      </c>
      <c r="I685" s="245">
        <v>0.54600000000000004</v>
      </c>
      <c r="J685" s="245">
        <v>0</v>
      </c>
      <c r="K685" s="245">
        <v>0</v>
      </c>
      <c r="L685" s="245">
        <v>0</v>
      </c>
      <c r="M685" s="245">
        <v>0</v>
      </c>
      <c r="N685" s="245">
        <v>0</v>
      </c>
      <c r="O685" s="245" t="s">
        <v>178</v>
      </c>
      <c r="P685" s="245" t="s">
        <v>192</v>
      </c>
      <c r="Q685" s="245" t="s">
        <v>192</v>
      </c>
      <c r="R685" s="246" t="s">
        <v>32</v>
      </c>
    </row>
    <row r="686" spans="1:18" ht="39" hidden="1" x14ac:dyDescent="0.8">
      <c r="A686" s="247">
        <v>24324</v>
      </c>
      <c r="B686" s="248" t="s">
        <v>849</v>
      </c>
      <c r="C686" s="249" t="s">
        <v>352</v>
      </c>
      <c r="D686" s="245">
        <v>0</v>
      </c>
      <c r="G686" s="245">
        <v>500</v>
      </c>
      <c r="H686" s="245">
        <v>500</v>
      </c>
      <c r="I686" s="245">
        <v>0.54600000000000004</v>
      </c>
      <c r="J686" s="245">
        <v>0</v>
      </c>
      <c r="K686" s="245">
        <v>0</v>
      </c>
      <c r="L686" s="245">
        <v>0</v>
      </c>
      <c r="M686" s="245">
        <v>273</v>
      </c>
      <c r="N686" s="245">
        <v>273</v>
      </c>
      <c r="O686" s="245" t="s">
        <v>169</v>
      </c>
      <c r="P686" s="245" t="s">
        <v>192</v>
      </c>
      <c r="Q686" s="245" t="s">
        <v>192</v>
      </c>
      <c r="R686" s="246" t="s">
        <v>32</v>
      </c>
    </row>
    <row r="687" spans="1:18" ht="26" x14ac:dyDescent="0.8">
      <c r="A687" s="247">
        <v>24325</v>
      </c>
      <c r="B687" s="248" t="s">
        <v>850</v>
      </c>
      <c r="C687" s="249" t="s">
        <v>851</v>
      </c>
      <c r="D687" s="245">
        <v>912</v>
      </c>
      <c r="E687" s="245">
        <v>0.25</v>
      </c>
      <c r="F687" s="245">
        <v>0.25</v>
      </c>
      <c r="G687" s="245">
        <v>0.25</v>
      </c>
      <c r="H687" s="245">
        <v>912.75</v>
      </c>
      <c r="I687" s="245">
        <v>950</v>
      </c>
      <c r="J687" s="245">
        <v>866400</v>
      </c>
      <c r="K687" s="245">
        <v>237.5</v>
      </c>
      <c r="L687" s="245">
        <v>237.5</v>
      </c>
      <c r="M687" s="245">
        <v>237.5</v>
      </c>
      <c r="N687" s="245">
        <v>867112.5</v>
      </c>
      <c r="O687" s="245" t="s">
        <v>67</v>
      </c>
      <c r="P687" s="245" t="s">
        <v>192</v>
      </c>
      <c r="Q687" s="245" t="s">
        <v>77</v>
      </c>
      <c r="R687" s="246" t="s">
        <v>32</v>
      </c>
    </row>
    <row r="688" spans="1:18" ht="26" x14ac:dyDescent="0.8">
      <c r="A688" s="247">
        <v>24325</v>
      </c>
      <c r="B688" s="248" t="s">
        <v>850</v>
      </c>
      <c r="C688" s="249" t="s">
        <v>851</v>
      </c>
      <c r="D688" s="245">
        <v>0</v>
      </c>
      <c r="E688" s="245">
        <v>0.75</v>
      </c>
      <c r="F688" s="245">
        <v>0.75</v>
      </c>
      <c r="G688" s="245">
        <v>0.75</v>
      </c>
      <c r="H688" s="245">
        <v>2.25</v>
      </c>
      <c r="I688" s="245">
        <v>950</v>
      </c>
      <c r="J688" s="245">
        <v>0</v>
      </c>
      <c r="K688" s="245">
        <v>712.5</v>
      </c>
      <c r="L688" s="245">
        <v>712.5</v>
      </c>
      <c r="M688" s="245">
        <v>712.5</v>
      </c>
      <c r="N688" s="245">
        <v>2137.5</v>
      </c>
      <c r="O688" s="245" t="s">
        <v>118</v>
      </c>
      <c r="P688" s="245" t="s">
        <v>192</v>
      </c>
      <c r="Q688" s="245" t="s">
        <v>77</v>
      </c>
      <c r="R688" s="246" t="s">
        <v>32</v>
      </c>
    </row>
    <row r="689" spans="1:18" ht="39" x14ac:dyDescent="0.8">
      <c r="A689" s="247">
        <v>24326</v>
      </c>
      <c r="B689" s="248" t="s">
        <v>852</v>
      </c>
      <c r="C689" s="249" t="s">
        <v>854</v>
      </c>
      <c r="D689" s="245">
        <v>0</v>
      </c>
      <c r="H689" s="245">
        <v>0</v>
      </c>
      <c r="I689" s="245">
        <v>2.2348566207357279</v>
      </c>
      <c r="J689" s="245">
        <v>0</v>
      </c>
      <c r="K689" s="245">
        <v>0</v>
      </c>
      <c r="L689" s="245">
        <v>0</v>
      </c>
      <c r="M689" s="245">
        <v>0</v>
      </c>
      <c r="N689" s="245">
        <v>0</v>
      </c>
      <c r="O689" s="245" t="s">
        <v>178</v>
      </c>
      <c r="P689" s="245" t="s">
        <v>192</v>
      </c>
      <c r="Q689" s="245" t="s">
        <v>77</v>
      </c>
      <c r="R689" s="246" t="s">
        <v>32</v>
      </c>
    </row>
    <row r="690" spans="1:18" x14ac:dyDescent="0.8">
      <c r="A690" s="247">
        <v>24327</v>
      </c>
      <c r="B690" s="248" t="s">
        <v>855</v>
      </c>
      <c r="C690" s="249" t="s">
        <v>59</v>
      </c>
      <c r="D690" s="245">
        <v>0</v>
      </c>
      <c r="H690" s="245">
        <v>0</v>
      </c>
      <c r="I690" s="245">
        <v>0.8177777777777776</v>
      </c>
      <c r="J690" s="245">
        <v>0</v>
      </c>
      <c r="K690" s="245">
        <v>0</v>
      </c>
      <c r="L690" s="245">
        <v>0</v>
      </c>
      <c r="M690" s="245">
        <v>0</v>
      </c>
      <c r="N690" s="245">
        <v>0</v>
      </c>
      <c r="O690" s="245" t="s">
        <v>178</v>
      </c>
      <c r="P690" s="245" t="s">
        <v>192</v>
      </c>
      <c r="Q690" s="245" t="s">
        <v>192</v>
      </c>
      <c r="R690" s="246" t="s">
        <v>32</v>
      </c>
    </row>
    <row r="691" spans="1:18" ht="39" x14ac:dyDescent="0.8">
      <c r="A691" s="247">
        <v>24326</v>
      </c>
      <c r="B691" s="248" t="s">
        <v>852</v>
      </c>
      <c r="C691" s="249" t="s">
        <v>854</v>
      </c>
      <c r="D691" s="245">
        <v>0</v>
      </c>
      <c r="E691" s="245">
        <v>4188.5375399999994</v>
      </c>
      <c r="F691" s="245">
        <v>4397.9644170000001</v>
      </c>
      <c r="G691" s="245">
        <v>4617.8626378500003</v>
      </c>
      <c r="H691" s="245">
        <v>13204.364594850002</v>
      </c>
      <c r="I691" s="245">
        <v>2.2348566207357279</v>
      </c>
      <c r="J691" s="245">
        <v>0</v>
      </c>
      <c r="K691" s="245">
        <v>9360.7808524691372</v>
      </c>
      <c r="L691" s="245">
        <v>9828.8198950925962</v>
      </c>
      <c r="M691" s="245">
        <v>10320.260889847226</v>
      </c>
      <c r="N691" s="245">
        <v>29509.861637408962</v>
      </c>
      <c r="O691" s="245" t="s">
        <v>39</v>
      </c>
      <c r="P691" s="245" t="s">
        <v>192</v>
      </c>
      <c r="Q691" s="245" t="s">
        <v>77</v>
      </c>
      <c r="R691" s="246" t="s">
        <v>32</v>
      </c>
    </row>
    <row r="692" spans="1:18" ht="39" x14ac:dyDescent="0.8">
      <c r="A692" s="247">
        <v>24326</v>
      </c>
      <c r="B692" s="248" t="s">
        <v>852</v>
      </c>
      <c r="C692" s="249" t="s">
        <v>854</v>
      </c>
      <c r="D692" s="245">
        <v>0</v>
      </c>
      <c r="E692" s="245">
        <v>1712.7692999999999</v>
      </c>
      <c r="F692" s="245">
        <v>1798.4077649999999</v>
      </c>
      <c r="G692" s="245">
        <v>1888.32815325</v>
      </c>
      <c r="H692" s="245">
        <v>5399.5052182500003</v>
      </c>
      <c r="I692" s="245">
        <v>2.2348566207357279</v>
      </c>
      <c r="J692" s="245">
        <v>0</v>
      </c>
      <c r="K692" s="245">
        <v>3827.793809897898</v>
      </c>
      <c r="L692" s="245">
        <v>4019.1835003927927</v>
      </c>
      <c r="M692" s="245">
        <v>4220.1426754124332</v>
      </c>
      <c r="N692" s="245">
        <v>12067.119985703124</v>
      </c>
      <c r="O692" s="245" t="s">
        <v>118</v>
      </c>
      <c r="P692" s="245" t="s">
        <v>192</v>
      </c>
      <c r="Q692" s="245" t="s">
        <v>77</v>
      </c>
      <c r="R692" s="246" t="s">
        <v>32</v>
      </c>
    </row>
    <row r="693" spans="1:18" ht="39" x14ac:dyDescent="0.8">
      <c r="A693" s="247">
        <v>24326</v>
      </c>
      <c r="B693" s="248" t="s">
        <v>852</v>
      </c>
      <c r="C693" s="249" t="s">
        <v>854</v>
      </c>
      <c r="D693" s="245">
        <v>0</v>
      </c>
      <c r="E693" s="245">
        <v>2093.85</v>
      </c>
      <c r="F693" s="245">
        <v>2198.5425</v>
      </c>
      <c r="G693" s="245">
        <v>2308.4696250000002</v>
      </c>
      <c r="H693" s="245">
        <v>6600.8621249999997</v>
      </c>
      <c r="I693" s="245">
        <v>2.2348566207357279</v>
      </c>
      <c r="J693" s="245">
        <v>0</v>
      </c>
      <c r="K693" s="245">
        <v>4679.4545353275034</v>
      </c>
      <c r="L693" s="245">
        <v>4913.4272620938791</v>
      </c>
      <c r="M693" s="245">
        <v>5159.0986251985732</v>
      </c>
      <c r="N693" s="245">
        <v>14751.980422619956</v>
      </c>
      <c r="O693" s="245" t="s">
        <v>39</v>
      </c>
      <c r="P693" s="245" t="s">
        <v>192</v>
      </c>
      <c r="Q693" s="245" t="s">
        <v>77</v>
      </c>
      <c r="R693" s="246" t="s">
        <v>32</v>
      </c>
    </row>
    <row r="694" spans="1:18" ht="39" x14ac:dyDescent="0.8">
      <c r="A694" s="247">
        <v>24326</v>
      </c>
      <c r="B694" s="248" t="s">
        <v>852</v>
      </c>
      <c r="C694" s="249" t="s">
        <v>854</v>
      </c>
      <c r="D694" s="245">
        <v>0</v>
      </c>
      <c r="E694" s="245">
        <v>0</v>
      </c>
      <c r="F694" s="245">
        <v>0</v>
      </c>
      <c r="G694" s="245">
        <v>0</v>
      </c>
      <c r="H694" s="245">
        <v>0</v>
      </c>
      <c r="I694" s="245">
        <v>2.2348566207357279</v>
      </c>
      <c r="J694" s="245">
        <v>0</v>
      </c>
      <c r="K694" s="245">
        <v>0</v>
      </c>
      <c r="L694" s="245">
        <v>0</v>
      </c>
      <c r="M694" s="245">
        <v>0</v>
      </c>
      <c r="N694" s="245">
        <v>0</v>
      </c>
      <c r="O694" s="245" t="s">
        <v>178</v>
      </c>
      <c r="P694" s="245" t="s">
        <v>192</v>
      </c>
      <c r="Q694" s="245" t="s">
        <v>77</v>
      </c>
      <c r="R694" s="246" t="s">
        <v>32</v>
      </c>
    </row>
    <row r="695" spans="1:18" x14ac:dyDescent="0.8">
      <c r="A695" s="247">
        <v>24327</v>
      </c>
      <c r="B695" s="248" t="s">
        <v>855</v>
      </c>
      <c r="C695" s="249" t="s">
        <v>59</v>
      </c>
      <c r="D695" s="245">
        <v>0</v>
      </c>
      <c r="E695" s="245">
        <v>60.02000000000001</v>
      </c>
      <c r="F695" s="245">
        <v>66.022000000000006</v>
      </c>
      <c r="G695" s="245">
        <v>69.02300000000001</v>
      </c>
      <c r="H695" s="245">
        <v>195.06500000000003</v>
      </c>
      <c r="I695" s="245">
        <v>0.8177777777777776</v>
      </c>
      <c r="J695" s="245">
        <v>0</v>
      </c>
      <c r="K695" s="245">
        <v>49.083022222222219</v>
      </c>
      <c r="L695" s="245">
        <v>53.991324444444437</v>
      </c>
      <c r="M695" s="245">
        <v>56.445475555555554</v>
      </c>
      <c r="N695" s="245">
        <v>159.51982222222222</v>
      </c>
      <c r="O695" s="245" t="s">
        <v>39</v>
      </c>
      <c r="P695" s="245" t="s">
        <v>192</v>
      </c>
      <c r="Q695" s="245" t="s">
        <v>192</v>
      </c>
      <c r="R695" s="246" t="s">
        <v>32</v>
      </c>
    </row>
    <row r="696" spans="1:18" x14ac:dyDescent="0.8">
      <c r="A696" s="247">
        <v>24327</v>
      </c>
      <c r="B696" s="248" t="s">
        <v>855</v>
      </c>
      <c r="C696" s="249" t="s">
        <v>59</v>
      </c>
      <c r="D696" s="245">
        <v>0</v>
      </c>
      <c r="E696" s="245">
        <v>89.2</v>
      </c>
      <c r="F696" s="245">
        <v>98.12</v>
      </c>
      <c r="G696" s="245">
        <v>102.58</v>
      </c>
      <c r="H696" s="245">
        <v>289.89999999999998</v>
      </c>
      <c r="I696" s="245">
        <v>0.8177777777777776</v>
      </c>
      <c r="J696" s="245">
        <v>0</v>
      </c>
      <c r="K696" s="245">
        <v>72.945777777777764</v>
      </c>
      <c r="L696" s="245">
        <v>80.240355555555539</v>
      </c>
      <c r="M696" s="245">
        <v>83.887644444444419</v>
      </c>
      <c r="N696" s="245">
        <v>237.07377777777774</v>
      </c>
      <c r="O696" s="245" t="s">
        <v>118</v>
      </c>
      <c r="P696" s="245" t="s">
        <v>192</v>
      </c>
      <c r="Q696" s="245" t="s">
        <v>192</v>
      </c>
      <c r="R696" s="246" t="s">
        <v>32</v>
      </c>
    </row>
    <row r="697" spans="1:18" x14ac:dyDescent="0.8">
      <c r="A697" s="247">
        <v>24327</v>
      </c>
      <c r="B697" s="248" t="s">
        <v>855</v>
      </c>
      <c r="C697" s="249" t="s">
        <v>59</v>
      </c>
      <c r="D697" s="245">
        <v>0</v>
      </c>
      <c r="E697" s="245">
        <v>0</v>
      </c>
      <c r="F697" s="245">
        <v>0</v>
      </c>
      <c r="G697" s="245">
        <v>0</v>
      </c>
      <c r="H697" s="245">
        <v>0</v>
      </c>
      <c r="I697" s="245">
        <v>0.8177777777777776</v>
      </c>
      <c r="J697" s="245">
        <v>0</v>
      </c>
      <c r="K697" s="245">
        <v>0</v>
      </c>
      <c r="L697" s="245">
        <v>0</v>
      </c>
      <c r="M697" s="245">
        <v>0</v>
      </c>
      <c r="N697" s="245">
        <v>0</v>
      </c>
      <c r="O697" s="245" t="s">
        <v>178</v>
      </c>
      <c r="P697" s="245" t="s">
        <v>192</v>
      </c>
      <c r="Q697" s="245" t="s">
        <v>192</v>
      </c>
      <c r="R697" s="246" t="s">
        <v>32</v>
      </c>
    </row>
    <row r="698" spans="1:18" ht="26" x14ac:dyDescent="0.8">
      <c r="A698" s="247">
        <v>24328</v>
      </c>
      <c r="B698" s="248" t="s">
        <v>856</v>
      </c>
      <c r="C698" s="249" t="s">
        <v>857</v>
      </c>
      <c r="D698" s="245">
        <v>0</v>
      </c>
      <c r="E698" s="245">
        <v>0.90634441087613304</v>
      </c>
      <c r="F698" s="245">
        <v>0.99697885196374603</v>
      </c>
      <c r="G698" s="245">
        <v>1.09667673716012</v>
      </c>
      <c r="H698" s="245">
        <v>2.9999999999999991</v>
      </c>
      <c r="I698" s="245">
        <v>4092.96781691769</v>
      </c>
      <c r="J698" s="245">
        <v>0</v>
      </c>
      <c r="K698" s="245">
        <v>3709.6385047592362</v>
      </c>
      <c r="L698" s="245">
        <v>4080.6023552351585</v>
      </c>
      <c r="M698" s="245">
        <v>4488.6625907586722</v>
      </c>
      <c r="N698" s="245">
        <v>12278.903450753067</v>
      </c>
      <c r="O698" s="245" t="s">
        <v>39</v>
      </c>
      <c r="P698" s="245" t="s">
        <v>398</v>
      </c>
      <c r="Q698" s="245" t="s">
        <v>398</v>
      </c>
      <c r="R698" s="246" t="s">
        <v>32</v>
      </c>
    </row>
    <row r="699" spans="1:18" ht="26" hidden="1" x14ac:dyDescent="0.8">
      <c r="A699" s="247">
        <v>24329</v>
      </c>
      <c r="B699" s="248" t="s">
        <v>858</v>
      </c>
      <c r="C699" s="249" t="s">
        <v>859</v>
      </c>
      <c r="D699" s="245">
        <v>0</v>
      </c>
      <c r="E699" s="245">
        <v>0.82417582417582502</v>
      </c>
      <c r="F699" s="245">
        <v>0.98901098901099005</v>
      </c>
      <c r="G699" s="245">
        <v>1.1868131868131899</v>
      </c>
      <c r="H699" s="245">
        <v>3.0000000000000053</v>
      </c>
      <c r="I699" s="245">
        <v>1900.63291916205</v>
      </c>
      <c r="J699" s="245">
        <v>0</v>
      </c>
      <c r="K699" s="245">
        <v>1566.4557026060868</v>
      </c>
      <c r="L699" s="245">
        <v>1879.7468431273041</v>
      </c>
      <c r="M699" s="245">
        <v>2255.6962117527687</v>
      </c>
      <c r="N699" s="245">
        <v>5701.8987574861603</v>
      </c>
      <c r="O699" s="245" t="s">
        <v>56</v>
      </c>
      <c r="P699" s="245" t="s">
        <v>398</v>
      </c>
      <c r="Q699" s="245" t="s">
        <v>398</v>
      </c>
      <c r="R699" s="246" t="s">
        <v>32</v>
      </c>
    </row>
    <row r="700" spans="1:18" x14ac:dyDescent="0.8">
      <c r="A700" s="247">
        <v>25</v>
      </c>
      <c r="B700" s="248" t="s">
        <v>860</v>
      </c>
      <c r="D700" s="245">
        <v>0</v>
      </c>
      <c r="R700" s="246" t="s">
        <v>32</v>
      </c>
    </row>
    <row r="701" spans="1:18" ht="26" x14ac:dyDescent="0.8">
      <c r="A701" s="247">
        <v>251</v>
      </c>
      <c r="B701" s="248" t="s">
        <v>861</v>
      </c>
      <c r="D701" s="245">
        <v>0</v>
      </c>
      <c r="R701" s="246" t="s">
        <v>32</v>
      </c>
    </row>
    <row r="702" spans="1:18" ht="26" x14ac:dyDescent="0.8">
      <c r="A702" s="247">
        <v>2511</v>
      </c>
      <c r="B702" s="248" t="s">
        <v>862</v>
      </c>
      <c r="D702" s="245">
        <v>0</v>
      </c>
      <c r="R702" s="246" t="s">
        <v>32</v>
      </c>
    </row>
    <row r="703" spans="1:18" ht="39" hidden="1" x14ac:dyDescent="0.8">
      <c r="A703" s="247">
        <v>25112</v>
      </c>
      <c r="B703" s="248" t="s">
        <v>863</v>
      </c>
      <c r="C703" s="249" t="s">
        <v>55</v>
      </c>
      <c r="D703" s="245">
        <v>0</v>
      </c>
      <c r="E703" s="245">
        <v>1</v>
      </c>
      <c r="H703" s="245">
        <v>1</v>
      </c>
      <c r="I703" s="245">
        <v>0</v>
      </c>
      <c r="J703" s="245">
        <v>0</v>
      </c>
      <c r="K703" s="245">
        <v>0</v>
      </c>
      <c r="L703" s="245">
        <v>0</v>
      </c>
      <c r="M703" s="245">
        <v>0</v>
      </c>
      <c r="O703" s="245" t="s">
        <v>56</v>
      </c>
      <c r="P703" s="245" t="s">
        <v>255</v>
      </c>
      <c r="Q703" s="245" t="s">
        <v>708</v>
      </c>
      <c r="R703" s="246" t="s">
        <v>32</v>
      </c>
    </row>
    <row r="704" spans="1:18" ht="26" hidden="1" x14ac:dyDescent="0.8">
      <c r="A704" s="247">
        <v>25113</v>
      </c>
      <c r="B704" s="248" t="s">
        <v>864</v>
      </c>
      <c r="C704" s="249" t="s">
        <v>55</v>
      </c>
      <c r="D704" s="245">
        <v>0</v>
      </c>
      <c r="E704" s="245">
        <v>1</v>
      </c>
      <c r="H704" s="245">
        <v>1</v>
      </c>
      <c r="I704" s="245">
        <v>0</v>
      </c>
      <c r="J704" s="245">
        <v>0</v>
      </c>
      <c r="K704" s="245">
        <v>0</v>
      </c>
      <c r="L704" s="245">
        <v>0</v>
      </c>
      <c r="M704" s="245">
        <v>0</v>
      </c>
      <c r="O704" s="245" t="s">
        <v>56</v>
      </c>
      <c r="P704" s="245" t="s">
        <v>708</v>
      </c>
      <c r="Q704" s="245" t="s">
        <v>347</v>
      </c>
      <c r="R704" s="246" t="s">
        <v>32</v>
      </c>
    </row>
    <row r="705" spans="1:18" ht="26" x14ac:dyDescent="0.8">
      <c r="A705" s="247">
        <v>25114</v>
      </c>
      <c r="B705" s="248" t="s">
        <v>866</v>
      </c>
      <c r="C705" s="249" t="s">
        <v>301</v>
      </c>
      <c r="D705" s="245">
        <v>0</v>
      </c>
      <c r="F705" s="245">
        <v>50</v>
      </c>
      <c r="G705" s="245">
        <v>500</v>
      </c>
      <c r="H705" s="245">
        <v>550</v>
      </c>
      <c r="I705" s="245">
        <v>0.67666666666666664</v>
      </c>
      <c r="J705" s="245">
        <v>0</v>
      </c>
      <c r="K705" s="245">
        <v>0</v>
      </c>
      <c r="L705" s="245">
        <v>33.833333333333329</v>
      </c>
      <c r="M705" s="245">
        <v>338.33333333333331</v>
      </c>
      <c r="N705" s="245">
        <v>372.16666666666663</v>
      </c>
      <c r="O705" s="245" t="s">
        <v>39</v>
      </c>
      <c r="P705" s="245" t="s">
        <v>708</v>
      </c>
      <c r="Q705" s="245" t="s">
        <v>347</v>
      </c>
      <c r="R705" s="246" t="s">
        <v>32</v>
      </c>
    </row>
    <row r="706" spans="1:18" x14ac:dyDescent="0.8">
      <c r="A706" s="247">
        <v>25115</v>
      </c>
      <c r="B706" s="248" t="s">
        <v>867</v>
      </c>
      <c r="C706" s="249" t="s">
        <v>66</v>
      </c>
      <c r="D706" s="245">
        <v>0</v>
      </c>
      <c r="F706" s="245">
        <v>100</v>
      </c>
      <c r="G706" s="245">
        <v>2000</v>
      </c>
      <c r="H706" s="245">
        <v>2100</v>
      </c>
      <c r="I706" s="245">
        <v>0.255</v>
      </c>
      <c r="J706" s="245">
        <v>0</v>
      </c>
      <c r="K706" s="245">
        <v>0</v>
      </c>
      <c r="L706" s="245">
        <v>25.5</v>
      </c>
      <c r="M706" s="245">
        <v>510</v>
      </c>
      <c r="N706" s="245">
        <v>535.5</v>
      </c>
      <c r="O706" s="245" t="s">
        <v>39</v>
      </c>
      <c r="P706" s="245" t="s">
        <v>708</v>
      </c>
      <c r="Q706" s="245" t="s">
        <v>868</v>
      </c>
      <c r="R706" s="246" t="s">
        <v>32</v>
      </c>
    </row>
    <row r="707" spans="1:18" hidden="1" x14ac:dyDescent="0.8">
      <c r="A707" s="247">
        <v>2512</v>
      </c>
      <c r="B707" s="248" t="s">
        <v>869</v>
      </c>
      <c r="C707" s="249" t="s">
        <v>66</v>
      </c>
      <c r="D707" s="245">
        <v>0</v>
      </c>
      <c r="O707" s="245" t="s">
        <v>56</v>
      </c>
      <c r="P707" s="245" t="s">
        <v>255</v>
      </c>
      <c r="R707" s="246" t="s">
        <v>32</v>
      </c>
    </row>
    <row r="708" spans="1:18" ht="26" hidden="1" x14ac:dyDescent="0.8">
      <c r="A708" s="247">
        <v>25121</v>
      </c>
      <c r="B708" s="248" t="s">
        <v>870</v>
      </c>
      <c r="C708" s="249" t="s">
        <v>55</v>
      </c>
      <c r="D708" s="245">
        <v>0</v>
      </c>
      <c r="F708" s="245">
        <v>1</v>
      </c>
      <c r="G708" s="245">
        <v>1</v>
      </c>
      <c r="H708" s="245">
        <v>2</v>
      </c>
      <c r="I708" s="245">
        <v>0</v>
      </c>
      <c r="J708" s="245">
        <v>0</v>
      </c>
      <c r="K708" s="245">
        <v>0</v>
      </c>
      <c r="L708" s="245">
        <v>0</v>
      </c>
      <c r="M708" s="245">
        <v>0</v>
      </c>
      <c r="O708" s="245" t="s">
        <v>56</v>
      </c>
      <c r="P708" s="245" t="s">
        <v>255</v>
      </c>
      <c r="Q708" s="245" t="s">
        <v>273</v>
      </c>
      <c r="R708" s="246" t="s">
        <v>32</v>
      </c>
    </row>
    <row r="709" spans="1:18" ht="26" x14ac:dyDescent="0.8">
      <c r="A709" s="247">
        <v>25122</v>
      </c>
      <c r="B709" s="248" t="s">
        <v>871</v>
      </c>
      <c r="C709" s="249" t="s">
        <v>38</v>
      </c>
      <c r="D709" s="245">
        <v>0</v>
      </c>
      <c r="F709" s="245">
        <v>90</v>
      </c>
      <c r="G709" s="245">
        <v>600</v>
      </c>
      <c r="H709" s="245">
        <v>690</v>
      </c>
      <c r="I709" s="245">
        <v>0.3133333333333333</v>
      </c>
      <c r="J709" s="245">
        <v>0</v>
      </c>
      <c r="K709" s="245">
        <v>0</v>
      </c>
      <c r="L709" s="245">
        <v>28.199999999999996</v>
      </c>
      <c r="M709" s="245">
        <v>187.99999999999997</v>
      </c>
      <c r="N709" s="245">
        <v>216.19999999999996</v>
      </c>
      <c r="O709" s="245" t="s">
        <v>39</v>
      </c>
      <c r="P709" s="245" t="s">
        <v>708</v>
      </c>
      <c r="Q709" s="245" t="s">
        <v>872</v>
      </c>
      <c r="R709" s="246" t="s">
        <v>32</v>
      </c>
    </row>
    <row r="710" spans="1:18" ht="39" x14ac:dyDescent="0.8">
      <c r="A710" s="247">
        <v>25123</v>
      </c>
      <c r="B710" s="248" t="s">
        <v>873</v>
      </c>
      <c r="C710" s="249" t="s">
        <v>816</v>
      </c>
      <c r="D710" s="245">
        <v>0</v>
      </c>
      <c r="F710" s="245">
        <v>7920</v>
      </c>
      <c r="H710" s="245">
        <v>7920</v>
      </c>
      <c r="I710" s="245">
        <v>7.4999999999999997E-3</v>
      </c>
      <c r="J710" s="245">
        <v>0</v>
      </c>
      <c r="K710" s="245">
        <v>0</v>
      </c>
      <c r="L710" s="245">
        <v>59.4</v>
      </c>
      <c r="M710" s="245">
        <v>0</v>
      </c>
      <c r="N710" s="245">
        <v>59.4</v>
      </c>
      <c r="O710" s="245" t="s">
        <v>39</v>
      </c>
      <c r="P710" s="245" t="s">
        <v>663</v>
      </c>
      <c r="Q710" s="245" t="s">
        <v>665</v>
      </c>
      <c r="R710" s="246" t="s">
        <v>32</v>
      </c>
    </row>
    <row r="711" spans="1:18" ht="39" hidden="1" x14ac:dyDescent="0.8">
      <c r="A711" s="247">
        <v>25124</v>
      </c>
      <c r="B711" s="248" t="s">
        <v>875</v>
      </c>
      <c r="C711" s="249" t="s">
        <v>816</v>
      </c>
      <c r="D711" s="245">
        <v>0</v>
      </c>
      <c r="G711" s="245">
        <v>230578.24675324676</v>
      </c>
      <c r="H711" s="245">
        <v>230578.24675324676</v>
      </c>
      <c r="I711" s="245">
        <v>7.4999999999999997E-3</v>
      </c>
      <c r="J711" s="245">
        <v>0</v>
      </c>
      <c r="K711" s="245">
        <v>0</v>
      </c>
      <c r="L711" s="245">
        <v>0</v>
      </c>
      <c r="M711" s="245">
        <v>1729.3368506493507</v>
      </c>
      <c r="N711" s="245">
        <v>1729.3368506493507</v>
      </c>
      <c r="O711" s="245" t="s">
        <v>169</v>
      </c>
      <c r="P711" s="245" t="s">
        <v>663</v>
      </c>
      <c r="Q711" s="245" t="s">
        <v>398</v>
      </c>
      <c r="R711" s="246" t="s">
        <v>32</v>
      </c>
    </row>
    <row r="712" spans="1:18" ht="26" x14ac:dyDescent="0.8">
      <c r="A712" s="247">
        <v>25125</v>
      </c>
      <c r="B712" s="248" t="s">
        <v>876</v>
      </c>
      <c r="C712" s="249" t="s">
        <v>878</v>
      </c>
      <c r="D712" s="245">
        <v>0</v>
      </c>
      <c r="G712" s="245">
        <v>92093.023255813954</v>
      </c>
      <c r="H712" s="245">
        <v>92093.023255813954</v>
      </c>
      <c r="I712" s="245">
        <v>0.12690560000000001</v>
      </c>
      <c r="J712" s="245">
        <v>0</v>
      </c>
      <c r="K712" s="245">
        <v>0</v>
      </c>
      <c r="L712" s="245">
        <v>0</v>
      </c>
      <c r="M712" s="245">
        <v>11687.120372093024</v>
      </c>
      <c r="N712" s="245">
        <v>11687.120372093024</v>
      </c>
      <c r="O712" s="245" t="s">
        <v>39</v>
      </c>
      <c r="P712" s="245" t="s">
        <v>663</v>
      </c>
      <c r="Q712" s="245" t="s">
        <v>665</v>
      </c>
      <c r="R712" s="246" t="s">
        <v>32</v>
      </c>
    </row>
    <row r="713" spans="1:18" ht="26" x14ac:dyDescent="0.8">
      <c r="A713" s="247">
        <v>252</v>
      </c>
      <c r="B713" s="248" t="s">
        <v>879</v>
      </c>
      <c r="D713" s="245">
        <v>0</v>
      </c>
      <c r="R713" s="246" t="s">
        <v>32</v>
      </c>
    </row>
    <row r="714" spans="1:18" ht="39" x14ac:dyDescent="0.8">
      <c r="A714" s="247">
        <v>2521</v>
      </c>
      <c r="B714" s="248" t="s">
        <v>880</v>
      </c>
      <c r="D714" s="245">
        <v>0</v>
      </c>
      <c r="R714" s="246" t="s">
        <v>32</v>
      </c>
    </row>
    <row r="715" spans="1:18" ht="39" x14ac:dyDescent="0.8">
      <c r="A715" s="247">
        <v>25211</v>
      </c>
      <c r="B715" s="248" t="s">
        <v>881</v>
      </c>
      <c r="C715" s="249" t="s">
        <v>52</v>
      </c>
      <c r="D715" s="245">
        <v>0</v>
      </c>
      <c r="G715" s="245">
        <v>500</v>
      </c>
      <c r="H715" s="245">
        <v>500</v>
      </c>
      <c r="I715" s="245">
        <v>1.5</v>
      </c>
      <c r="J715" s="245">
        <v>0</v>
      </c>
      <c r="K715" s="245">
        <v>0</v>
      </c>
      <c r="L715" s="245">
        <v>0</v>
      </c>
      <c r="M715" s="245">
        <v>750</v>
      </c>
      <c r="N715" s="245">
        <v>750</v>
      </c>
      <c r="O715" s="245" t="s">
        <v>39</v>
      </c>
      <c r="P715" s="245" t="s">
        <v>665</v>
      </c>
      <c r="Q715" s="245" t="s">
        <v>347</v>
      </c>
      <c r="R715" s="246" t="s">
        <v>32</v>
      </c>
    </row>
    <row r="716" spans="1:18" ht="26" x14ac:dyDescent="0.8">
      <c r="A716" s="247">
        <v>25212</v>
      </c>
      <c r="B716" s="248" t="s">
        <v>882</v>
      </c>
      <c r="C716" s="249" t="s">
        <v>52</v>
      </c>
      <c r="D716" s="245">
        <v>0</v>
      </c>
      <c r="H716" s="245">
        <v>0</v>
      </c>
      <c r="I716" s="245">
        <v>1.5</v>
      </c>
      <c r="J716" s="245">
        <v>0</v>
      </c>
      <c r="K716" s="245">
        <v>0</v>
      </c>
      <c r="L716" s="245">
        <v>0</v>
      </c>
      <c r="M716" s="245">
        <v>0</v>
      </c>
      <c r="N716" s="245">
        <v>0</v>
      </c>
      <c r="O716" s="245" t="s">
        <v>178</v>
      </c>
      <c r="P716" s="245" t="s">
        <v>665</v>
      </c>
      <c r="Q716" s="245" t="s">
        <v>347</v>
      </c>
      <c r="R716" s="246" t="s">
        <v>32</v>
      </c>
    </row>
    <row r="717" spans="1:18" ht="26" x14ac:dyDescent="0.8">
      <c r="A717" s="247">
        <v>25212</v>
      </c>
      <c r="B717" s="248" t="s">
        <v>882</v>
      </c>
      <c r="C717" s="249" t="s">
        <v>52</v>
      </c>
      <c r="D717" s="245">
        <v>0</v>
      </c>
      <c r="E717" s="245">
        <v>230</v>
      </c>
      <c r="F717" s="245">
        <v>500</v>
      </c>
      <c r="G717" s="245">
        <v>400</v>
      </c>
      <c r="H717" s="245">
        <v>1130</v>
      </c>
      <c r="I717" s="245">
        <v>1.5</v>
      </c>
      <c r="J717" s="245">
        <v>0</v>
      </c>
      <c r="K717" s="245">
        <v>345</v>
      </c>
      <c r="L717" s="245">
        <v>750</v>
      </c>
      <c r="M717" s="245">
        <v>600</v>
      </c>
      <c r="N717" s="245">
        <v>1695</v>
      </c>
      <c r="O717" s="245" t="s">
        <v>39</v>
      </c>
      <c r="P717" s="245" t="s">
        <v>665</v>
      </c>
      <c r="Q717" s="245" t="s">
        <v>347</v>
      </c>
      <c r="R717" s="246" t="s">
        <v>32</v>
      </c>
    </row>
    <row r="718" spans="1:18" ht="26" x14ac:dyDescent="0.8">
      <c r="A718" s="247">
        <v>25213</v>
      </c>
      <c r="B718" s="248" t="s">
        <v>883</v>
      </c>
      <c r="C718" s="249" t="s">
        <v>66</v>
      </c>
      <c r="D718" s="245">
        <v>0</v>
      </c>
      <c r="G718" s="245">
        <v>50</v>
      </c>
      <c r="H718" s="245">
        <v>50</v>
      </c>
      <c r="I718" s="245">
        <v>0.255</v>
      </c>
      <c r="J718" s="245">
        <v>0</v>
      </c>
      <c r="K718" s="245">
        <v>0</v>
      </c>
      <c r="L718" s="245">
        <v>0</v>
      </c>
      <c r="M718" s="245">
        <v>12.75</v>
      </c>
      <c r="N718" s="245">
        <v>12.75</v>
      </c>
      <c r="O718" s="245" t="s">
        <v>39</v>
      </c>
      <c r="P718" s="245" t="s">
        <v>708</v>
      </c>
      <c r="Q718" s="245" t="s">
        <v>347</v>
      </c>
      <c r="R718" s="246" t="s">
        <v>32</v>
      </c>
    </row>
    <row r="719" spans="1:18" ht="26" x14ac:dyDescent="0.8">
      <c r="A719" s="247">
        <v>25214</v>
      </c>
      <c r="B719" s="248" t="s">
        <v>884</v>
      </c>
      <c r="C719" s="249" t="s">
        <v>55</v>
      </c>
      <c r="D719" s="245">
        <v>0</v>
      </c>
      <c r="G719" s="245">
        <v>1</v>
      </c>
      <c r="H719" s="245">
        <v>1</v>
      </c>
      <c r="I719" s="245">
        <v>0</v>
      </c>
      <c r="J719" s="245">
        <v>0</v>
      </c>
      <c r="K719" s="245">
        <v>0</v>
      </c>
      <c r="L719" s="245">
        <v>0</v>
      </c>
      <c r="M719" s="245">
        <v>0</v>
      </c>
      <c r="O719" s="245" t="s">
        <v>39</v>
      </c>
      <c r="P719" s="245" t="s">
        <v>708</v>
      </c>
      <c r="Q719" s="245" t="s">
        <v>347</v>
      </c>
      <c r="R719" s="246" t="s">
        <v>32</v>
      </c>
    </row>
    <row r="720" spans="1:18" ht="26" x14ac:dyDescent="0.8">
      <c r="A720" s="247">
        <v>25215</v>
      </c>
      <c r="B720" s="248" t="s">
        <v>885</v>
      </c>
      <c r="C720" s="249" t="s">
        <v>55</v>
      </c>
      <c r="D720" s="245">
        <v>0</v>
      </c>
      <c r="G720" s="245">
        <v>1</v>
      </c>
      <c r="H720" s="245">
        <v>1</v>
      </c>
      <c r="I720" s="245">
        <v>0</v>
      </c>
      <c r="J720" s="245">
        <v>0</v>
      </c>
      <c r="K720" s="245">
        <v>0</v>
      </c>
      <c r="L720" s="245">
        <v>0</v>
      </c>
      <c r="M720" s="245">
        <v>0</v>
      </c>
      <c r="O720" s="245" t="s">
        <v>39</v>
      </c>
      <c r="P720" s="245" t="s">
        <v>708</v>
      </c>
      <c r="Q720" s="245" t="s">
        <v>887</v>
      </c>
      <c r="R720" s="246" t="s">
        <v>32</v>
      </c>
    </row>
    <row r="721" spans="1:18" x14ac:dyDescent="0.8">
      <c r="A721" s="247">
        <v>25216</v>
      </c>
      <c r="B721" s="248" t="s">
        <v>888</v>
      </c>
      <c r="C721" s="249" t="s">
        <v>66</v>
      </c>
      <c r="D721" s="245">
        <v>0</v>
      </c>
      <c r="G721" s="245">
        <v>50</v>
      </c>
      <c r="H721" s="245">
        <v>50</v>
      </c>
      <c r="I721" s="245">
        <v>0.255</v>
      </c>
      <c r="J721" s="245">
        <v>0</v>
      </c>
      <c r="K721" s="245">
        <v>0</v>
      </c>
      <c r="L721" s="245">
        <v>0</v>
      </c>
      <c r="M721" s="245">
        <v>12.75</v>
      </c>
      <c r="N721" s="245">
        <v>12.75</v>
      </c>
      <c r="O721" s="245" t="s">
        <v>39</v>
      </c>
      <c r="P721" s="245" t="s">
        <v>273</v>
      </c>
      <c r="Q721" s="245" t="s">
        <v>889</v>
      </c>
      <c r="R721" s="246" t="s">
        <v>32</v>
      </c>
    </row>
    <row r="722" spans="1:18" ht="39" x14ac:dyDescent="0.8">
      <c r="A722" s="247">
        <v>253</v>
      </c>
      <c r="B722" s="248" t="s">
        <v>890</v>
      </c>
      <c r="D722" s="245">
        <v>0</v>
      </c>
      <c r="R722" s="246" t="s">
        <v>32</v>
      </c>
    </row>
    <row r="723" spans="1:18" x14ac:dyDescent="0.8">
      <c r="A723" s="247">
        <v>2531</v>
      </c>
      <c r="B723" s="248" t="s">
        <v>891</v>
      </c>
      <c r="D723" s="245">
        <v>0</v>
      </c>
      <c r="R723" s="246" t="s">
        <v>32</v>
      </c>
    </row>
    <row r="724" spans="1:18" x14ac:dyDescent="0.8">
      <c r="A724" s="247">
        <v>25311</v>
      </c>
      <c r="B724" s="248" t="s">
        <v>892</v>
      </c>
      <c r="C724" s="249" t="s">
        <v>894</v>
      </c>
      <c r="D724" s="245">
        <v>0</v>
      </c>
      <c r="H724" s="245">
        <v>0</v>
      </c>
      <c r="I724" s="245">
        <v>2.2272E-2</v>
      </c>
      <c r="J724" s="245">
        <v>0</v>
      </c>
      <c r="K724" s="245">
        <v>0</v>
      </c>
      <c r="L724" s="245">
        <v>0</v>
      </c>
      <c r="M724" s="245">
        <v>0</v>
      </c>
      <c r="N724" s="245">
        <v>0</v>
      </c>
      <c r="O724" s="245" t="s">
        <v>178</v>
      </c>
      <c r="P724" s="245" t="s">
        <v>192</v>
      </c>
      <c r="Q724" s="245" t="s">
        <v>347</v>
      </c>
      <c r="R724" s="246" t="s">
        <v>32</v>
      </c>
    </row>
    <row r="725" spans="1:18" x14ac:dyDescent="0.8">
      <c r="A725" s="247">
        <v>25312</v>
      </c>
      <c r="B725" s="248" t="s">
        <v>895</v>
      </c>
      <c r="C725" s="249" t="s">
        <v>896</v>
      </c>
      <c r="D725" s="245">
        <v>0</v>
      </c>
      <c r="H725" s="245">
        <v>0</v>
      </c>
      <c r="I725" s="245">
        <v>2.1999999999999999E-2</v>
      </c>
      <c r="J725" s="245">
        <v>0</v>
      </c>
      <c r="K725" s="245">
        <v>0</v>
      </c>
      <c r="L725" s="245">
        <v>0</v>
      </c>
      <c r="M725" s="245">
        <v>0</v>
      </c>
      <c r="N725" s="245">
        <v>0</v>
      </c>
      <c r="O725" s="245" t="s">
        <v>178</v>
      </c>
      <c r="P725" s="245" t="s">
        <v>192</v>
      </c>
      <c r="Q725" s="245" t="s">
        <v>347</v>
      </c>
      <c r="R725" s="246" t="s">
        <v>32</v>
      </c>
    </row>
    <row r="726" spans="1:18" x14ac:dyDescent="0.8">
      <c r="A726" s="247">
        <v>25311</v>
      </c>
      <c r="B726" s="248" t="s">
        <v>892</v>
      </c>
      <c r="C726" s="249" t="s">
        <v>894</v>
      </c>
      <c r="D726" s="245">
        <v>0</v>
      </c>
      <c r="E726" s="245">
        <v>576107.85</v>
      </c>
      <c r="F726" s="245">
        <v>589913.69999999995</v>
      </c>
      <c r="G726" s="245">
        <v>599525.1</v>
      </c>
      <c r="H726" s="245">
        <v>1765546.65</v>
      </c>
      <c r="I726" s="245">
        <v>2.2272E-2</v>
      </c>
      <c r="J726" s="245">
        <v>0</v>
      </c>
      <c r="K726" s="245">
        <v>12831.074035199999</v>
      </c>
      <c r="L726" s="245">
        <v>13138.557926399999</v>
      </c>
      <c r="M726" s="245">
        <v>13352.623027199999</v>
      </c>
      <c r="N726" s="245">
        <v>39322.254988799992</v>
      </c>
      <c r="O726" s="245" t="s">
        <v>39</v>
      </c>
      <c r="P726" s="245" t="s">
        <v>192</v>
      </c>
      <c r="Q726" s="245" t="s">
        <v>347</v>
      </c>
      <c r="R726" s="246" t="s">
        <v>32</v>
      </c>
    </row>
    <row r="727" spans="1:18" hidden="1" x14ac:dyDescent="0.8">
      <c r="A727" s="247">
        <v>25311</v>
      </c>
      <c r="B727" s="248" t="s">
        <v>892</v>
      </c>
      <c r="C727" s="249" t="s">
        <v>894</v>
      </c>
      <c r="D727" s="245">
        <v>0</v>
      </c>
      <c r="E727" s="245">
        <v>600000</v>
      </c>
      <c r="F727" s="245">
        <v>1200000</v>
      </c>
      <c r="G727" s="245">
        <v>1998417</v>
      </c>
      <c r="H727" s="245">
        <v>3798417</v>
      </c>
      <c r="I727" s="245">
        <v>2.2272E-2</v>
      </c>
      <c r="J727" s="245">
        <v>0</v>
      </c>
      <c r="K727" s="245">
        <v>13363.2</v>
      </c>
      <c r="L727" s="245">
        <v>26726.400000000001</v>
      </c>
      <c r="M727" s="245">
        <v>44508.743424</v>
      </c>
      <c r="N727" s="245">
        <v>84598.343424000006</v>
      </c>
      <c r="O727" s="245" t="s">
        <v>169</v>
      </c>
      <c r="P727" s="245" t="s">
        <v>192</v>
      </c>
      <c r="Q727" s="245" t="s">
        <v>347</v>
      </c>
      <c r="R727" s="246" t="s">
        <v>32</v>
      </c>
    </row>
    <row r="728" spans="1:18" hidden="1" x14ac:dyDescent="0.8">
      <c r="A728" s="247">
        <v>25311</v>
      </c>
      <c r="B728" s="248" t="s">
        <v>892</v>
      </c>
      <c r="C728" s="249" t="s">
        <v>894</v>
      </c>
      <c r="D728" s="245">
        <v>0</v>
      </c>
      <c r="E728" s="245">
        <v>1920359.5</v>
      </c>
      <c r="F728" s="245">
        <v>1966379</v>
      </c>
      <c r="G728" s="245">
        <v>1998417</v>
      </c>
      <c r="H728" s="245">
        <v>5885155.5</v>
      </c>
      <c r="I728" s="245">
        <v>2.2272E-2</v>
      </c>
      <c r="J728" s="245">
        <v>0</v>
      </c>
      <c r="K728" s="245">
        <v>42770.246784000003</v>
      </c>
      <c r="L728" s="245">
        <v>43795.193088</v>
      </c>
      <c r="M728" s="245">
        <v>44508.743424</v>
      </c>
      <c r="N728" s="245">
        <v>131074.183296</v>
      </c>
      <c r="O728" s="245" t="s">
        <v>56</v>
      </c>
      <c r="P728" s="245" t="s">
        <v>192</v>
      </c>
      <c r="Q728" s="245" t="s">
        <v>347</v>
      </c>
      <c r="R728" s="246" t="s">
        <v>32</v>
      </c>
    </row>
    <row r="729" spans="1:18" x14ac:dyDescent="0.8">
      <c r="A729" s="247">
        <v>25312</v>
      </c>
      <c r="B729" s="248" t="s">
        <v>895</v>
      </c>
      <c r="C729" s="249" t="s">
        <v>896</v>
      </c>
      <c r="D729" s="245">
        <v>0</v>
      </c>
      <c r="E729" s="245">
        <v>32197.350600000002</v>
      </c>
      <c r="F729" s="245">
        <v>33062.226800000004</v>
      </c>
      <c r="G729" s="245">
        <v>3589.4914000000003</v>
      </c>
      <c r="H729" s="245">
        <v>68849.068800000008</v>
      </c>
      <c r="I729" s="245">
        <v>2.1999999999999999E-2</v>
      </c>
      <c r="J729" s="245">
        <v>0</v>
      </c>
      <c r="K729" s="245">
        <v>708.34171319999996</v>
      </c>
      <c r="L729" s="245">
        <v>727.36898960000008</v>
      </c>
      <c r="M729" s="245">
        <v>78.9688108</v>
      </c>
      <c r="N729" s="245">
        <v>1514.6795136000001</v>
      </c>
      <c r="O729" s="245" t="s">
        <v>39</v>
      </c>
      <c r="P729" s="245" t="s">
        <v>192</v>
      </c>
      <c r="Q729" s="245" t="s">
        <v>347</v>
      </c>
      <c r="R729" s="246" t="s">
        <v>32</v>
      </c>
    </row>
    <row r="730" spans="1:18" x14ac:dyDescent="0.8">
      <c r="A730" s="247">
        <v>25312</v>
      </c>
      <c r="B730" s="248" t="s">
        <v>895</v>
      </c>
      <c r="C730" s="249" t="s">
        <v>896</v>
      </c>
      <c r="D730" s="245">
        <v>0</v>
      </c>
      <c r="E730" s="245">
        <v>19541.496599999999</v>
      </c>
      <c r="F730" s="245">
        <v>20066.414799999999</v>
      </c>
      <c r="G730" s="245">
        <v>2178.5654</v>
      </c>
      <c r="H730" s="245">
        <v>41786.476799999997</v>
      </c>
      <c r="I730" s="245">
        <v>2.1999999999999999E-2</v>
      </c>
      <c r="J730" s="245">
        <v>0</v>
      </c>
      <c r="K730" s="245">
        <v>429.91292519999996</v>
      </c>
      <c r="L730" s="245">
        <v>441.46112559999995</v>
      </c>
      <c r="M730" s="245">
        <v>47.928438799999995</v>
      </c>
      <c r="N730" s="245">
        <v>919.30248959999983</v>
      </c>
      <c r="O730" s="245" t="s">
        <v>118</v>
      </c>
      <c r="P730" s="245" t="s">
        <v>192</v>
      </c>
      <c r="Q730" s="245" t="s">
        <v>347</v>
      </c>
      <c r="R730" s="246" t="s">
        <v>32</v>
      </c>
    </row>
    <row r="731" spans="1:18" x14ac:dyDescent="0.8">
      <c r="A731" s="247">
        <v>25312</v>
      </c>
      <c r="B731" s="248" t="s">
        <v>895</v>
      </c>
      <c r="C731" s="249" t="s">
        <v>896</v>
      </c>
      <c r="D731" s="245">
        <v>0</v>
      </c>
      <c r="E731" s="245">
        <v>21246.819299999999</v>
      </c>
      <c r="F731" s="245">
        <v>21817.545399999999</v>
      </c>
      <c r="G731" s="245">
        <v>2368.6817000000001</v>
      </c>
      <c r="H731" s="245">
        <v>45433.046399999999</v>
      </c>
      <c r="I731" s="245">
        <v>2.1999999999999999E-2</v>
      </c>
      <c r="J731" s="245">
        <v>0</v>
      </c>
      <c r="K731" s="245">
        <v>467.43002459999997</v>
      </c>
      <c r="L731" s="245">
        <v>479.98599879999995</v>
      </c>
      <c r="M731" s="245">
        <v>52.110997400000002</v>
      </c>
      <c r="N731" s="245">
        <v>999.52702079999983</v>
      </c>
      <c r="O731" s="245" t="s">
        <v>39</v>
      </c>
      <c r="P731" s="245" t="s">
        <v>192</v>
      </c>
      <c r="Q731" s="245" t="s">
        <v>347</v>
      </c>
      <c r="R731" s="246" t="s">
        <v>32</v>
      </c>
    </row>
    <row r="732" spans="1:18" x14ac:dyDescent="0.8">
      <c r="A732" s="247">
        <v>25312</v>
      </c>
      <c r="B732" s="248" t="s">
        <v>895</v>
      </c>
      <c r="C732" s="249" t="s">
        <v>896</v>
      </c>
      <c r="D732" s="245">
        <v>0</v>
      </c>
      <c r="E732" s="245">
        <v>0</v>
      </c>
      <c r="F732" s="245">
        <v>0</v>
      </c>
      <c r="G732" s="245">
        <v>0</v>
      </c>
      <c r="H732" s="245">
        <v>0</v>
      </c>
      <c r="I732" s="245">
        <v>2.1999999999999999E-2</v>
      </c>
      <c r="J732" s="245">
        <v>0</v>
      </c>
      <c r="K732" s="245">
        <v>0</v>
      </c>
      <c r="L732" s="245">
        <v>0</v>
      </c>
      <c r="M732" s="245">
        <v>0</v>
      </c>
      <c r="N732" s="245">
        <v>0</v>
      </c>
      <c r="O732" s="245" t="s">
        <v>178</v>
      </c>
      <c r="P732" s="245" t="s">
        <v>192</v>
      </c>
      <c r="Q732" s="245" t="s">
        <v>347</v>
      </c>
      <c r="R732" s="246" t="s">
        <v>32</v>
      </c>
    </row>
    <row r="733" spans="1:18" ht="26" x14ac:dyDescent="0.8">
      <c r="A733" s="247">
        <v>25313</v>
      </c>
      <c r="B733" s="248" t="s">
        <v>897</v>
      </c>
      <c r="C733" s="249" t="s">
        <v>898</v>
      </c>
      <c r="D733" s="245">
        <v>0</v>
      </c>
      <c r="E733" s="245">
        <v>3006184.5260999999</v>
      </c>
      <c r="F733" s="245">
        <v>731715.45299999998</v>
      </c>
      <c r="H733" s="245">
        <v>3737899.9791000001</v>
      </c>
      <c r="I733" s="245">
        <v>4.0752999999999998E-2</v>
      </c>
      <c r="J733" s="245">
        <v>0</v>
      </c>
      <c r="K733" s="245">
        <v>122511.03799215329</v>
      </c>
      <c r="L733" s="245">
        <v>29819.599856108998</v>
      </c>
      <c r="M733" s="245">
        <v>0</v>
      </c>
      <c r="N733" s="245">
        <v>152330.6378482623</v>
      </c>
      <c r="O733" s="245" t="s">
        <v>118</v>
      </c>
      <c r="P733" s="245" t="s">
        <v>192</v>
      </c>
      <c r="Q733" s="245" t="s">
        <v>347</v>
      </c>
      <c r="R733" s="246" t="s">
        <v>32</v>
      </c>
    </row>
    <row r="734" spans="1:18" ht="26" x14ac:dyDescent="0.8">
      <c r="A734" s="247">
        <v>25313</v>
      </c>
      <c r="B734" s="248" t="s">
        <v>897</v>
      </c>
      <c r="C734" s="249" t="s">
        <v>898</v>
      </c>
      <c r="D734" s="245">
        <v>0</v>
      </c>
      <c r="E734" s="245">
        <v>751076.47389999998</v>
      </c>
      <c r="F734" s="245">
        <v>182814.54699999999</v>
      </c>
      <c r="H734" s="245">
        <v>933891.0209</v>
      </c>
      <c r="I734" s="245">
        <v>4.0752999999999998E-2</v>
      </c>
      <c r="J734" s="245">
        <v>0</v>
      </c>
      <c r="K734" s="245">
        <v>30608.619540846699</v>
      </c>
      <c r="L734" s="245">
        <v>7450.241233890999</v>
      </c>
      <c r="M734" s="245">
        <v>0</v>
      </c>
      <c r="N734" s="245">
        <v>38058.860774737695</v>
      </c>
      <c r="O734" s="245" t="s">
        <v>118</v>
      </c>
      <c r="P734" s="245" t="s">
        <v>192</v>
      </c>
      <c r="Q734" s="245" t="s">
        <v>347</v>
      </c>
      <c r="R734" s="246" t="s">
        <v>32</v>
      </c>
    </row>
    <row r="735" spans="1:18" ht="26" x14ac:dyDescent="0.8">
      <c r="A735" s="247">
        <v>25314</v>
      </c>
      <c r="B735" s="248" t="s">
        <v>899</v>
      </c>
      <c r="C735" s="249" t="s">
        <v>900</v>
      </c>
      <c r="D735" s="245">
        <v>0</v>
      </c>
      <c r="H735" s="245">
        <v>0</v>
      </c>
      <c r="I735" s="245">
        <v>4.5999999999999999E-2</v>
      </c>
      <c r="J735" s="245">
        <v>0</v>
      </c>
      <c r="K735" s="245">
        <v>0</v>
      </c>
      <c r="L735" s="245">
        <v>0</v>
      </c>
      <c r="M735" s="245">
        <v>0</v>
      </c>
      <c r="N735" s="245">
        <v>0</v>
      </c>
      <c r="O735" s="245" t="s">
        <v>178</v>
      </c>
      <c r="P735" s="245" t="s">
        <v>192</v>
      </c>
      <c r="Q735" s="245" t="s">
        <v>347</v>
      </c>
      <c r="R735" s="246" t="s">
        <v>32</v>
      </c>
    </row>
    <row r="736" spans="1:18" ht="26" x14ac:dyDescent="0.8">
      <c r="A736" s="247">
        <v>25314</v>
      </c>
      <c r="B736" s="248" t="s">
        <v>899</v>
      </c>
      <c r="C736" s="249" t="s">
        <v>900</v>
      </c>
      <c r="D736" s="245">
        <v>0</v>
      </c>
      <c r="E736" s="245">
        <v>77310</v>
      </c>
      <c r="F736" s="245">
        <v>11000</v>
      </c>
      <c r="H736" s="245">
        <v>88310</v>
      </c>
      <c r="I736" s="245">
        <v>4.5999999999999999E-2</v>
      </c>
      <c r="J736" s="245">
        <v>0</v>
      </c>
      <c r="K736" s="245">
        <v>3556.2599999999998</v>
      </c>
      <c r="L736" s="245">
        <v>506</v>
      </c>
      <c r="M736" s="245">
        <v>0</v>
      </c>
      <c r="N736" s="245">
        <v>4062.2599999999998</v>
      </c>
      <c r="O736" s="245" t="s">
        <v>39</v>
      </c>
      <c r="P736" s="245" t="s">
        <v>192</v>
      </c>
      <c r="Q736" s="245" t="s">
        <v>347</v>
      </c>
      <c r="R736" s="246" t="s">
        <v>32</v>
      </c>
    </row>
    <row r="737" spans="1:18" ht="26" hidden="1" x14ac:dyDescent="0.8">
      <c r="A737" s="247">
        <v>25315</v>
      </c>
      <c r="B737" s="248" t="s">
        <v>901</v>
      </c>
      <c r="C737" s="249" t="s">
        <v>902</v>
      </c>
      <c r="D737" s="245">
        <v>0</v>
      </c>
      <c r="E737" s="245">
        <v>419947</v>
      </c>
      <c r="F737" s="245">
        <v>101330</v>
      </c>
      <c r="H737" s="245">
        <v>521277</v>
      </c>
      <c r="I737" s="245">
        <v>5.6649999999999999E-2</v>
      </c>
      <c r="J737" s="245">
        <v>0</v>
      </c>
      <c r="K737" s="245">
        <v>23789.99755</v>
      </c>
      <c r="L737" s="245">
        <v>5740.3445000000002</v>
      </c>
      <c r="M737" s="245">
        <v>0</v>
      </c>
      <c r="N737" s="245">
        <v>29530.342049999999</v>
      </c>
      <c r="O737" s="245" t="s">
        <v>56</v>
      </c>
      <c r="P737" s="245" t="s">
        <v>398</v>
      </c>
      <c r="Q737" s="245" t="s">
        <v>347</v>
      </c>
      <c r="R737" s="246" t="s">
        <v>32</v>
      </c>
    </row>
    <row r="738" spans="1:18" ht="26" hidden="1" x14ac:dyDescent="0.8">
      <c r="A738" s="247">
        <v>25316</v>
      </c>
      <c r="B738" s="248" t="s">
        <v>903</v>
      </c>
      <c r="C738" s="249" t="s">
        <v>900</v>
      </c>
      <c r="D738" s="245">
        <v>0</v>
      </c>
      <c r="E738" s="245">
        <v>38483.288699999997</v>
      </c>
      <c r="F738" s="245">
        <v>40820.538699999997</v>
      </c>
      <c r="H738" s="245">
        <v>79303.827399999995</v>
      </c>
      <c r="I738" s="245">
        <v>4.5999999999999999E-2</v>
      </c>
      <c r="J738" s="245">
        <v>0</v>
      </c>
      <c r="K738" s="245">
        <v>1770.2312801999999</v>
      </c>
      <c r="L738" s="245">
        <v>1877.7447801999999</v>
      </c>
      <c r="M738" s="245">
        <v>0</v>
      </c>
      <c r="N738" s="245">
        <v>3647.9760603999998</v>
      </c>
      <c r="O738" s="245" t="s">
        <v>56</v>
      </c>
      <c r="P738" s="245" t="s">
        <v>192</v>
      </c>
      <c r="Q738" s="245" t="s">
        <v>347</v>
      </c>
      <c r="R738" s="246" t="s">
        <v>32</v>
      </c>
    </row>
    <row r="739" spans="1:18" ht="26" x14ac:dyDescent="0.8">
      <c r="A739" s="247">
        <v>25316</v>
      </c>
      <c r="B739" s="248" t="s">
        <v>903</v>
      </c>
      <c r="C739" s="249" t="s">
        <v>900</v>
      </c>
      <c r="D739" s="245">
        <v>0</v>
      </c>
      <c r="E739" s="245">
        <v>0</v>
      </c>
      <c r="F739" s="245">
        <v>0</v>
      </c>
      <c r="G739" s="245">
        <v>0</v>
      </c>
      <c r="H739" s="245">
        <v>0</v>
      </c>
      <c r="I739" s="245">
        <v>4.5999999999999999E-2</v>
      </c>
      <c r="J739" s="245">
        <v>0</v>
      </c>
      <c r="K739" s="245">
        <v>0</v>
      </c>
      <c r="L739" s="245">
        <v>0</v>
      </c>
      <c r="M739" s="245">
        <v>0</v>
      </c>
      <c r="N739" s="245">
        <v>0</v>
      </c>
      <c r="O739" s="245" t="s">
        <v>178</v>
      </c>
      <c r="P739" s="245" t="s">
        <v>192</v>
      </c>
      <c r="Q739" s="245" t="s">
        <v>347</v>
      </c>
      <c r="R739" s="246" t="s">
        <v>32</v>
      </c>
    </row>
    <row r="740" spans="1:18" x14ac:dyDescent="0.8">
      <c r="A740" s="247">
        <v>2532</v>
      </c>
      <c r="B740" s="248" t="s">
        <v>904</v>
      </c>
      <c r="D740" s="245">
        <v>0</v>
      </c>
      <c r="R740" s="246" t="s">
        <v>32</v>
      </c>
    </row>
    <row r="741" spans="1:18" ht="26" x14ac:dyDescent="0.8">
      <c r="A741" s="247">
        <v>25321</v>
      </c>
      <c r="B741" s="248" t="s">
        <v>905</v>
      </c>
      <c r="C741" s="249" t="s">
        <v>76</v>
      </c>
      <c r="D741" s="245">
        <v>0</v>
      </c>
      <c r="H741" s="245">
        <v>0</v>
      </c>
      <c r="I741" s="245">
        <v>45.936799999999998</v>
      </c>
      <c r="J741" s="245">
        <v>0</v>
      </c>
      <c r="K741" s="245">
        <v>0</v>
      </c>
      <c r="L741" s="245">
        <v>0</v>
      </c>
      <c r="M741" s="245">
        <v>0</v>
      </c>
      <c r="N741" s="245">
        <v>0</v>
      </c>
      <c r="O741" s="245" t="s">
        <v>178</v>
      </c>
      <c r="P741" s="245" t="s">
        <v>708</v>
      </c>
      <c r="Q741" s="245" t="s">
        <v>273</v>
      </c>
      <c r="R741" s="246" t="s">
        <v>32</v>
      </c>
    </row>
    <row r="742" spans="1:18" ht="39" hidden="1" x14ac:dyDescent="0.8">
      <c r="A742" s="247">
        <v>25322</v>
      </c>
      <c r="B742" s="248" t="s">
        <v>906</v>
      </c>
      <c r="C742" s="249" t="s">
        <v>55</v>
      </c>
      <c r="D742" s="245">
        <v>0</v>
      </c>
      <c r="E742" s="245">
        <v>1</v>
      </c>
      <c r="H742" s="245">
        <v>1</v>
      </c>
      <c r="I742" s="245">
        <v>0</v>
      </c>
      <c r="J742" s="245">
        <v>0</v>
      </c>
      <c r="K742" s="245">
        <v>0</v>
      </c>
      <c r="L742" s="245">
        <v>0</v>
      </c>
      <c r="M742" s="245">
        <v>0</v>
      </c>
      <c r="O742" s="245" t="s">
        <v>56</v>
      </c>
      <c r="P742" s="245" t="s">
        <v>255</v>
      </c>
      <c r="Q742" s="245" t="s">
        <v>708</v>
      </c>
      <c r="R742" s="246" t="s">
        <v>32</v>
      </c>
    </row>
    <row r="743" spans="1:18" hidden="1" x14ac:dyDescent="0.8">
      <c r="A743" s="247">
        <v>25323</v>
      </c>
      <c r="B743" s="248" t="s">
        <v>908</v>
      </c>
      <c r="C743" s="249" t="s">
        <v>816</v>
      </c>
      <c r="D743" s="245">
        <v>0</v>
      </c>
      <c r="E743" s="245">
        <v>14231.800000000001</v>
      </c>
      <c r="H743" s="245">
        <v>14231.800000000001</v>
      </c>
      <c r="I743" s="245">
        <v>7.4999999999999997E-3</v>
      </c>
      <c r="J743" s="245">
        <v>0</v>
      </c>
      <c r="K743" s="245">
        <v>106.7385</v>
      </c>
      <c r="L743" s="245">
        <v>0</v>
      </c>
      <c r="M743" s="245">
        <v>0</v>
      </c>
      <c r="N743" s="245">
        <v>106.7385</v>
      </c>
      <c r="O743" s="245" t="s">
        <v>169</v>
      </c>
      <c r="P743" s="245" t="s">
        <v>708</v>
      </c>
      <c r="Q743" s="245" t="s">
        <v>273</v>
      </c>
      <c r="R743" s="246" t="s">
        <v>32</v>
      </c>
    </row>
    <row r="744" spans="1:18" x14ac:dyDescent="0.8">
      <c r="A744" s="247">
        <v>2533</v>
      </c>
      <c r="B744" s="248" t="s">
        <v>909</v>
      </c>
      <c r="D744" s="245">
        <v>0</v>
      </c>
      <c r="R744" s="246" t="s">
        <v>32</v>
      </c>
    </row>
    <row r="745" spans="1:18" ht="26" hidden="1" x14ac:dyDescent="0.8">
      <c r="A745" s="247">
        <v>25331</v>
      </c>
      <c r="B745" s="248" t="s">
        <v>910</v>
      </c>
      <c r="C745" s="249" t="s">
        <v>646</v>
      </c>
      <c r="D745" s="245">
        <v>0</v>
      </c>
      <c r="H745" s="245">
        <v>0</v>
      </c>
      <c r="I745" s="245">
        <v>10.404797</v>
      </c>
      <c r="J745" s="245">
        <v>0</v>
      </c>
      <c r="K745" s="245">
        <v>0</v>
      </c>
      <c r="L745" s="245">
        <v>0</v>
      </c>
      <c r="M745" s="245">
        <v>0</v>
      </c>
      <c r="N745" s="245">
        <v>0</v>
      </c>
      <c r="O745" s="245" t="s">
        <v>169</v>
      </c>
      <c r="P745" s="245" t="s">
        <v>273</v>
      </c>
      <c r="Q745" s="245" t="s">
        <v>911</v>
      </c>
      <c r="R745" s="246" t="s">
        <v>32</v>
      </c>
    </row>
    <row r="746" spans="1:18" ht="52" hidden="1" x14ac:dyDescent="0.8">
      <c r="A746" s="247">
        <v>25332</v>
      </c>
      <c r="B746" s="248" t="s">
        <v>912</v>
      </c>
      <c r="C746" s="249" t="s">
        <v>66</v>
      </c>
      <c r="D746" s="245">
        <v>0</v>
      </c>
      <c r="E746" s="245">
        <v>50</v>
      </c>
      <c r="H746" s="245">
        <v>50</v>
      </c>
      <c r="I746" s="245">
        <v>0.255</v>
      </c>
      <c r="J746" s="245">
        <v>0</v>
      </c>
      <c r="K746" s="245">
        <v>12.75</v>
      </c>
      <c r="L746" s="245">
        <v>0</v>
      </c>
      <c r="M746" s="245">
        <v>0</v>
      </c>
      <c r="N746" s="245">
        <v>12.75</v>
      </c>
      <c r="O746" s="245" t="s">
        <v>169</v>
      </c>
      <c r="P746" s="245" t="s">
        <v>708</v>
      </c>
      <c r="Q746" s="245" t="s">
        <v>273</v>
      </c>
      <c r="R746" s="246" t="s">
        <v>32</v>
      </c>
    </row>
    <row r="747" spans="1:18" ht="39" hidden="1" x14ac:dyDescent="0.8">
      <c r="A747" s="247">
        <v>25333</v>
      </c>
      <c r="B747" s="248" t="s">
        <v>913</v>
      </c>
      <c r="C747" s="249" t="s">
        <v>59</v>
      </c>
      <c r="D747" s="245">
        <v>0</v>
      </c>
      <c r="F747" s="245">
        <v>320</v>
      </c>
      <c r="G747" s="245">
        <v>640</v>
      </c>
      <c r="H747" s="245">
        <v>960</v>
      </c>
      <c r="I747" s="245">
        <v>0.8177777777777776</v>
      </c>
      <c r="J747" s="245">
        <v>0</v>
      </c>
      <c r="K747" s="245">
        <v>0</v>
      </c>
      <c r="L747" s="245">
        <v>261.68888888888881</v>
      </c>
      <c r="M747" s="245">
        <v>523.37777777777762</v>
      </c>
      <c r="N747" s="245">
        <v>785.06666666666638</v>
      </c>
      <c r="O747" s="245" t="s">
        <v>169</v>
      </c>
      <c r="P747" s="245" t="s">
        <v>273</v>
      </c>
      <c r="Q747" s="245" t="s">
        <v>273</v>
      </c>
      <c r="R747" s="246" t="s">
        <v>32</v>
      </c>
    </row>
    <row r="748" spans="1:18" hidden="1" x14ac:dyDescent="0.8">
      <c r="A748" s="247">
        <v>25334</v>
      </c>
      <c r="B748" s="248" t="s">
        <v>914</v>
      </c>
      <c r="C748" s="249" t="s">
        <v>38</v>
      </c>
      <c r="D748" s="245">
        <v>0</v>
      </c>
      <c r="F748" s="245">
        <v>20</v>
      </c>
      <c r="G748" s="245">
        <v>180</v>
      </c>
      <c r="H748" s="245">
        <v>200</v>
      </c>
      <c r="I748" s="245">
        <v>0.3133333333333333</v>
      </c>
      <c r="J748" s="245">
        <v>0</v>
      </c>
      <c r="K748" s="245">
        <v>0</v>
      </c>
      <c r="L748" s="245">
        <v>6.2666666666666657</v>
      </c>
      <c r="M748" s="245">
        <v>56.399999999999991</v>
      </c>
      <c r="N748" s="245">
        <v>62.666666666666657</v>
      </c>
      <c r="O748" s="245" t="s">
        <v>169</v>
      </c>
      <c r="P748" s="245" t="s">
        <v>273</v>
      </c>
      <c r="Q748" s="245" t="s">
        <v>273</v>
      </c>
      <c r="R748" s="246" t="s">
        <v>32</v>
      </c>
    </row>
    <row r="749" spans="1:18" ht="26" hidden="1" x14ac:dyDescent="0.8">
      <c r="A749" s="247">
        <v>25335</v>
      </c>
      <c r="B749" s="248" t="s">
        <v>915</v>
      </c>
      <c r="C749" s="249" t="s">
        <v>55</v>
      </c>
      <c r="D749" s="245">
        <v>0</v>
      </c>
      <c r="F749" s="245">
        <v>1</v>
      </c>
      <c r="G749" s="245">
        <v>1</v>
      </c>
      <c r="H749" s="245">
        <v>2</v>
      </c>
      <c r="I749" s="245">
        <v>0</v>
      </c>
      <c r="J749" s="245">
        <v>0</v>
      </c>
      <c r="K749" s="245">
        <v>0</v>
      </c>
      <c r="L749" s="245">
        <v>0</v>
      </c>
      <c r="M749" s="245">
        <v>0</v>
      </c>
      <c r="O749" s="245" t="s">
        <v>56</v>
      </c>
      <c r="P749" s="245" t="s">
        <v>273</v>
      </c>
      <c r="Q749" s="245" t="s">
        <v>273</v>
      </c>
      <c r="R749" s="246" t="s">
        <v>32</v>
      </c>
    </row>
    <row r="750" spans="1:18" ht="26" x14ac:dyDescent="0.8">
      <c r="A750" s="247">
        <v>254</v>
      </c>
      <c r="B750" s="248" t="s">
        <v>917</v>
      </c>
      <c r="D750" s="245">
        <v>0</v>
      </c>
      <c r="R750" s="246" t="s">
        <v>32</v>
      </c>
    </row>
    <row r="751" spans="1:18" ht="26" x14ac:dyDescent="0.8">
      <c r="A751" s="247">
        <v>2541</v>
      </c>
      <c r="B751" s="248" t="s">
        <v>918</v>
      </c>
      <c r="D751" s="245">
        <v>0</v>
      </c>
      <c r="R751" s="246" t="s">
        <v>32</v>
      </c>
    </row>
    <row r="752" spans="1:18" ht="26" hidden="1" x14ac:dyDescent="0.8">
      <c r="A752" s="247">
        <v>25411</v>
      </c>
      <c r="B752" s="248" t="s">
        <v>919</v>
      </c>
      <c r="C752" s="249" t="s">
        <v>55</v>
      </c>
      <c r="D752" s="245">
        <v>0</v>
      </c>
      <c r="E752" s="245">
        <v>1</v>
      </c>
      <c r="F752" s="245">
        <v>1</v>
      </c>
      <c r="G752" s="245">
        <v>1</v>
      </c>
      <c r="H752" s="245">
        <v>3</v>
      </c>
      <c r="I752" s="245">
        <v>0</v>
      </c>
      <c r="J752" s="245">
        <v>0</v>
      </c>
      <c r="K752" s="245">
        <v>0</v>
      </c>
      <c r="L752" s="245">
        <v>0</v>
      </c>
      <c r="M752" s="245">
        <v>0</v>
      </c>
      <c r="O752" s="245" t="s">
        <v>56</v>
      </c>
      <c r="P752" s="245" t="s">
        <v>255</v>
      </c>
      <c r="Q752" s="245" t="s">
        <v>347</v>
      </c>
      <c r="R752" s="246" t="s">
        <v>32</v>
      </c>
    </row>
    <row r="753" spans="1:18" ht="39" x14ac:dyDescent="0.8">
      <c r="A753" s="247">
        <v>25412</v>
      </c>
      <c r="B753" s="248" t="s">
        <v>920</v>
      </c>
      <c r="C753" s="249" t="s">
        <v>101</v>
      </c>
      <c r="D753" s="245">
        <v>20</v>
      </c>
      <c r="E753" s="245">
        <v>20</v>
      </c>
      <c r="H753" s="245">
        <v>40</v>
      </c>
      <c r="I753" s="245">
        <v>2.651545</v>
      </c>
      <c r="J753" s="245">
        <v>53.030900000000003</v>
      </c>
      <c r="K753" s="245">
        <v>53.030900000000003</v>
      </c>
      <c r="L753" s="245">
        <v>0</v>
      </c>
      <c r="M753" s="245">
        <v>0</v>
      </c>
      <c r="N753" s="245">
        <v>106.06180000000001</v>
      </c>
      <c r="O753" s="245" t="s">
        <v>67</v>
      </c>
      <c r="P753" s="245" t="s">
        <v>347</v>
      </c>
      <c r="Q753" s="245" t="s">
        <v>921</v>
      </c>
      <c r="R753" s="246" t="s">
        <v>32</v>
      </c>
    </row>
    <row r="754" spans="1:18" ht="39" x14ac:dyDescent="0.8">
      <c r="A754" s="247">
        <v>25413</v>
      </c>
      <c r="B754" s="248" t="s">
        <v>922</v>
      </c>
      <c r="C754" s="249" t="s">
        <v>301</v>
      </c>
      <c r="E754" s="245">
        <v>100</v>
      </c>
      <c r="H754" s="245">
        <v>100</v>
      </c>
      <c r="I754" s="245">
        <v>0.67666666666666664</v>
      </c>
      <c r="J754" s="245">
        <v>0</v>
      </c>
      <c r="K754" s="245">
        <v>67.666666666666657</v>
      </c>
      <c r="L754" s="245">
        <v>0</v>
      </c>
      <c r="M754" s="245">
        <v>0</v>
      </c>
      <c r="N754" s="245">
        <v>67.666666666666657</v>
      </c>
      <c r="O754" s="245" t="s">
        <v>118</v>
      </c>
      <c r="P754" s="245" t="s">
        <v>347</v>
      </c>
      <c r="Q754" s="245" t="s">
        <v>921</v>
      </c>
      <c r="R754" s="246" t="s">
        <v>32</v>
      </c>
    </row>
    <row r="755" spans="1:18" ht="39" x14ac:dyDescent="0.8">
      <c r="A755" s="247">
        <v>25414</v>
      </c>
      <c r="B755" s="248" t="s">
        <v>923</v>
      </c>
      <c r="C755" s="249" t="s">
        <v>301</v>
      </c>
      <c r="E755" s="245">
        <v>100</v>
      </c>
      <c r="H755" s="245">
        <v>100</v>
      </c>
      <c r="I755" s="245">
        <v>0.67666666666666664</v>
      </c>
      <c r="J755" s="245">
        <v>0</v>
      </c>
      <c r="K755" s="245">
        <v>67.666666666666657</v>
      </c>
      <c r="L755" s="245">
        <v>0</v>
      </c>
      <c r="M755" s="245">
        <v>0</v>
      </c>
      <c r="N755" s="245">
        <v>67.666666666666657</v>
      </c>
      <c r="O755" s="245" t="s">
        <v>118</v>
      </c>
      <c r="P755" s="245" t="s">
        <v>347</v>
      </c>
      <c r="Q755" s="245" t="s">
        <v>921</v>
      </c>
      <c r="R755" s="246" t="s">
        <v>32</v>
      </c>
    </row>
    <row r="756" spans="1:18" ht="39" x14ac:dyDescent="0.8">
      <c r="A756" s="247">
        <v>25415</v>
      </c>
      <c r="B756" s="248" t="s">
        <v>924</v>
      </c>
      <c r="C756" s="249" t="s">
        <v>38</v>
      </c>
      <c r="D756" s="245">
        <v>0</v>
      </c>
      <c r="F756" s="245">
        <v>213.5</v>
      </c>
      <c r="G756" s="245">
        <v>213.5</v>
      </c>
      <c r="H756" s="245">
        <v>427</v>
      </c>
      <c r="I756" s="245">
        <v>0.3133333333333333</v>
      </c>
      <c r="J756" s="245">
        <v>0</v>
      </c>
      <c r="K756" s="245">
        <v>0</v>
      </c>
      <c r="L756" s="245">
        <v>66.896666666666661</v>
      </c>
      <c r="M756" s="245">
        <v>66.896666666666661</v>
      </c>
      <c r="N756" s="245">
        <v>133.79333333333332</v>
      </c>
      <c r="O756" s="245" t="s">
        <v>39</v>
      </c>
      <c r="P756" s="245" t="s">
        <v>708</v>
      </c>
      <c r="Q756" s="245" t="s">
        <v>347</v>
      </c>
      <c r="R756" s="246" t="s">
        <v>32</v>
      </c>
    </row>
    <row r="757" spans="1:18" ht="39" x14ac:dyDescent="0.8">
      <c r="A757" s="247">
        <v>25415</v>
      </c>
      <c r="B757" s="248" t="s">
        <v>924</v>
      </c>
      <c r="C757" s="249" t="s">
        <v>38</v>
      </c>
      <c r="D757" s="245">
        <v>0</v>
      </c>
      <c r="F757" s="245">
        <v>213.5</v>
      </c>
      <c r="G757" s="245">
        <v>213.5</v>
      </c>
      <c r="H757" s="245">
        <v>427</v>
      </c>
      <c r="I757" s="245">
        <v>0.3133333333333333</v>
      </c>
      <c r="J757" s="245">
        <v>0</v>
      </c>
      <c r="K757" s="245">
        <v>0</v>
      </c>
      <c r="L757" s="245">
        <v>66.896666666666661</v>
      </c>
      <c r="M757" s="245">
        <v>66.896666666666661</v>
      </c>
      <c r="N757" s="245">
        <v>133.79333333333332</v>
      </c>
      <c r="O757" s="245" t="s">
        <v>39</v>
      </c>
      <c r="P757" s="245" t="s">
        <v>708</v>
      </c>
      <c r="Q757" s="245" t="s">
        <v>347</v>
      </c>
      <c r="R757" s="246" t="s">
        <v>32</v>
      </c>
    </row>
    <row r="758" spans="1:18" ht="26" x14ac:dyDescent="0.8">
      <c r="A758" s="247">
        <v>25416</v>
      </c>
      <c r="B758" s="248" t="s">
        <v>925</v>
      </c>
      <c r="C758" s="249" t="s">
        <v>66</v>
      </c>
      <c r="F758" s="245">
        <v>30</v>
      </c>
      <c r="H758" s="245">
        <v>30</v>
      </c>
      <c r="I758" s="245">
        <v>0.255</v>
      </c>
      <c r="J758" s="245">
        <v>0</v>
      </c>
      <c r="K758" s="245">
        <v>0</v>
      </c>
      <c r="L758" s="245">
        <v>7.65</v>
      </c>
      <c r="M758" s="245">
        <v>0</v>
      </c>
      <c r="N758" s="245">
        <v>7.65</v>
      </c>
      <c r="O758" s="245" t="s">
        <v>67</v>
      </c>
      <c r="P758" s="245" t="s">
        <v>708</v>
      </c>
      <c r="Q758" s="245" t="s">
        <v>347</v>
      </c>
      <c r="R758" s="246" t="s">
        <v>32</v>
      </c>
    </row>
    <row r="759" spans="1:18" ht="26" x14ac:dyDescent="0.8">
      <c r="A759" s="247">
        <v>25417</v>
      </c>
      <c r="B759" s="248" t="s">
        <v>926</v>
      </c>
      <c r="C759" s="249" t="s">
        <v>301</v>
      </c>
      <c r="D759" s="245">
        <v>8</v>
      </c>
      <c r="F759" s="245">
        <v>400</v>
      </c>
      <c r="H759" s="245">
        <v>408</v>
      </c>
      <c r="I759" s="245">
        <v>0.67666666666666664</v>
      </c>
      <c r="J759" s="245">
        <v>5.4133333333333331</v>
      </c>
      <c r="K759" s="245">
        <v>0</v>
      </c>
      <c r="L759" s="245">
        <v>270.66666666666663</v>
      </c>
      <c r="M759" s="245">
        <v>0</v>
      </c>
      <c r="N759" s="245">
        <v>276.08</v>
      </c>
      <c r="O759" s="245" t="s">
        <v>67</v>
      </c>
      <c r="P759" s="245" t="s">
        <v>708</v>
      </c>
      <c r="Q759" s="245" t="s">
        <v>347</v>
      </c>
      <c r="R759" s="246" t="s">
        <v>32</v>
      </c>
    </row>
    <row r="760" spans="1:18" ht="26" x14ac:dyDescent="0.8">
      <c r="A760" s="247">
        <v>25417</v>
      </c>
      <c r="B760" s="248" t="s">
        <v>926</v>
      </c>
      <c r="C760" s="249" t="s">
        <v>301</v>
      </c>
      <c r="D760" s="245">
        <v>0</v>
      </c>
      <c r="F760" s="245">
        <v>400</v>
      </c>
      <c r="H760" s="245">
        <v>400</v>
      </c>
      <c r="I760" s="245">
        <v>0.67666666666666664</v>
      </c>
      <c r="J760" s="245">
        <v>0</v>
      </c>
      <c r="K760" s="245">
        <v>0</v>
      </c>
      <c r="L760" s="245">
        <v>270.66666666666663</v>
      </c>
      <c r="M760" s="245">
        <v>0</v>
      </c>
      <c r="N760" s="245">
        <v>270.66666666666663</v>
      </c>
      <c r="O760" s="245" t="s">
        <v>39</v>
      </c>
      <c r="P760" s="245" t="s">
        <v>708</v>
      </c>
      <c r="Q760" s="245" t="s">
        <v>347</v>
      </c>
      <c r="R760" s="246" t="s">
        <v>32</v>
      </c>
    </row>
    <row r="761" spans="1:18" ht="26" x14ac:dyDescent="0.8">
      <c r="A761" s="247">
        <v>2542</v>
      </c>
      <c r="B761" s="248" t="s">
        <v>927</v>
      </c>
      <c r="D761" s="245">
        <v>0</v>
      </c>
      <c r="R761" s="246" t="s">
        <v>32</v>
      </c>
    </row>
    <row r="762" spans="1:18" ht="26" x14ac:dyDescent="0.8">
      <c r="A762" s="247">
        <v>25421</v>
      </c>
      <c r="B762" s="248" t="s">
        <v>928</v>
      </c>
      <c r="C762" s="249" t="s">
        <v>930</v>
      </c>
      <c r="D762" s="245">
        <v>50</v>
      </c>
      <c r="F762" s="245">
        <v>50</v>
      </c>
      <c r="G762" s="245">
        <v>75</v>
      </c>
      <c r="H762" s="245">
        <v>175</v>
      </c>
      <c r="I762" s="245">
        <v>1</v>
      </c>
      <c r="J762" s="245">
        <v>50</v>
      </c>
      <c r="K762" s="245">
        <v>0</v>
      </c>
      <c r="L762" s="245">
        <v>50</v>
      </c>
      <c r="M762" s="245">
        <v>75</v>
      </c>
      <c r="N762" s="245">
        <v>175</v>
      </c>
      <c r="O762" s="245" t="s">
        <v>67</v>
      </c>
      <c r="P762" s="245" t="s">
        <v>665</v>
      </c>
      <c r="Q762" s="245" t="s">
        <v>347</v>
      </c>
      <c r="R762" s="246" t="s">
        <v>32</v>
      </c>
    </row>
    <row r="763" spans="1:18" ht="26" x14ac:dyDescent="0.8">
      <c r="A763" s="247">
        <v>25421</v>
      </c>
      <c r="B763" s="248" t="s">
        <v>928</v>
      </c>
      <c r="C763" s="249" t="s">
        <v>930</v>
      </c>
      <c r="D763" s="245">
        <v>0</v>
      </c>
      <c r="F763" s="245">
        <v>50</v>
      </c>
      <c r="G763" s="245">
        <v>75</v>
      </c>
      <c r="H763" s="245">
        <v>125</v>
      </c>
      <c r="I763" s="245">
        <v>1</v>
      </c>
      <c r="J763" s="245">
        <v>0</v>
      </c>
      <c r="K763" s="245">
        <v>0</v>
      </c>
      <c r="L763" s="245">
        <v>50</v>
      </c>
      <c r="M763" s="245">
        <v>75</v>
      </c>
      <c r="N763" s="245">
        <v>125</v>
      </c>
      <c r="O763" s="245" t="s">
        <v>39</v>
      </c>
      <c r="P763" s="245" t="s">
        <v>665</v>
      </c>
      <c r="Q763" s="245" t="s">
        <v>347</v>
      </c>
      <c r="R763" s="246" t="s">
        <v>32</v>
      </c>
    </row>
    <row r="764" spans="1:18" ht="26" hidden="1" x14ac:dyDescent="0.8">
      <c r="A764" s="247">
        <v>25422</v>
      </c>
      <c r="B764" s="248" t="s">
        <v>931</v>
      </c>
      <c r="C764" s="249" t="s">
        <v>55</v>
      </c>
      <c r="D764" s="245">
        <v>0</v>
      </c>
      <c r="F764" s="245">
        <v>1</v>
      </c>
      <c r="G764" s="245">
        <v>1</v>
      </c>
      <c r="H764" s="245">
        <v>2</v>
      </c>
      <c r="I764" s="245">
        <v>0</v>
      </c>
      <c r="J764" s="245">
        <v>0</v>
      </c>
      <c r="K764" s="245">
        <v>0</v>
      </c>
      <c r="L764" s="245">
        <v>0</v>
      </c>
      <c r="M764" s="245">
        <v>0</v>
      </c>
      <c r="O764" s="245" t="s">
        <v>56</v>
      </c>
      <c r="P764" s="245" t="s">
        <v>708</v>
      </c>
      <c r="Q764" s="245" t="s">
        <v>347</v>
      </c>
      <c r="R764" s="246" t="s">
        <v>32</v>
      </c>
    </row>
    <row r="765" spans="1:18" ht="26" hidden="1" x14ac:dyDescent="0.8">
      <c r="A765" s="247">
        <v>25423</v>
      </c>
      <c r="B765" s="248" t="s">
        <v>933</v>
      </c>
      <c r="C765" s="249" t="s">
        <v>55</v>
      </c>
      <c r="D765" s="245">
        <v>0</v>
      </c>
      <c r="F765" s="245">
        <v>1</v>
      </c>
      <c r="G765" s="245">
        <v>1</v>
      </c>
      <c r="H765" s="245">
        <v>2</v>
      </c>
      <c r="I765" s="245">
        <v>0</v>
      </c>
      <c r="J765" s="245">
        <v>0</v>
      </c>
      <c r="K765" s="245">
        <v>0</v>
      </c>
      <c r="L765" s="245">
        <v>0</v>
      </c>
      <c r="M765" s="245">
        <v>0</v>
      </c>
      <c r="O765" s="245" t="s">
        <v>56</v>
      </c>
      <c r="P765" s="245" t="s">
        <v>708</v>
      </c>
      <c r="Q765" s="245" t="s">
        <v>347</v>
      </c>
      <c r="R765" s="246" t="s">
        <v>32</v>
      </c>
    </row>
    <row r="766" spans="1:18" ht="26" x14ac:dyDescent="0.8">
      <c r="A766" s="247">
        <v>25424</v>
      </c>
      <c r="B766" s="248" t="s">
        <v>935</v>
      </c>
      <c r="C766" s="249" t="s">
        <v>936</v>
      </c>
      <c r="E766" s="245">
        <v>0.12504999999999999</v>
      </c>
      <c r="F766" s="245">
        <v>0.12504999999999999</v>
      </c>
      <c r="G766" s="245">
        <v>0.12504999999999999</v>
      </c>
      <c r="H766" s="245">
        <v>0.37514999999999998</v>
      </c>
      <c r="I766" s="245">
        <v>2850</v>
      </c>
      <c r="J766" s="245">
        <v>2850</v>
      </c>
      <c r="K766" s="245">
        <v>356.39249999999998</v>
      </c>
      <c r="L766" s="245">
        <v>356.39249999999998</v>
      </c>
      <c r="M766" s="245">
        <v>356.39249999999998</v>
      </c>
      <c r="N766" s="245">
        <v>3919.1774999999998</v>
      </c>
      <c r="O766" s="245" t="s">
        <v>118</v>
      </c>
      <c r="P766" s="245" t="s">
        <v>665</v>
      </c>
      <c r="Q766" s="245" t="s">
        <v>665</v>
      </c>
      <c r="R766" s="246" t="s">
        <v>32</v>
      </c>
    </row>
    <row r="767" spans="1:18" ht="26" x14ac:dyDescent="0.8">
      <c r="A767" s="247">
        <v>25424</v>
      </c>
      <c r="B767" s="248" t="s">
        <v>935</v>
      </c>
      <c r="C767" s="249" t="s">
        <v>936</v>
      </c>
      <c r="D767" s="245">
        <v>0</v>
      </c>
      <c r="E767" s="245">
        <v>0.15759999999999999</v>
      </c>
      <c r="F767" s="245">
        <v>0.15759999999999999</v>
      </c>
      <c r="G767" s="245">
        <v>0.15759999999999999</v>
      </c>
      <c r="H767" s="245">
        <v>0.4728</v>
      </c>
      <c r="I767" s="245">
        <v>2850</v>
      </c>
      <c r="J767" s="245">
        <v>0</v>
      </c>
      <c r="K767" s="245">
        <v>449.15999999999997</v>
      </c>
      <c r="L767" s="245">
        <v>449.15999999999997</v>
      </c>
      <c r="M767" s="245">
        <v>449.15999999999997</v>
      </c>
      <c r="N767" s="245">
        <v>1347.48</v>
      </c>
      <c r="O767" s="245" t="s">
        <v>118</v>
      </c>
      <c r="P767" s="245" t="s">
        <v>665</v>
      </c>
      <c r="Q767" s="245" t="s">
        <v>665</v>
      </c>
      <c r="R767" s="246" t="s">
        <v>32</v>
      </c>
    </row>
    <row r="768" spans="1:18" ht="26" x14ac:dyDescent="0.8">
      <c r="A768" s="247">
        <v>25424</v>
      </c>
      <c r="B768" s="248" t="s">
        <v>935</v>
      </c>
      <c r="C768" s="249" t="s">
        <v>936</v>
      </c>
      <c r="D768" s="245">
        <v>0</v>
      </c>
      <c r="E768" s="245">
        <v>0.21734999999999999</v>
      </c>
      <c r="F768" s="245">
        <v>0.21734999999999999</v>
      </c>
      <c r="G768" s="245">
        <v>0.21734999999999999</v>
      </c>
      <c r="H768" s="245">
        <v>0.65205000000000002</v>
      </c>
      <c r="I768" s="245">
        <v>2850</v>
      </c>
      <c r="J768" s="245">
        <v>0</v>
      </c>
      <c r="K768" s="245">
        <v>619.44749999999999</v>
      </c>
      <c r="L768" s="245">
        <v>619.44749999999999</v>
      </c>
      <c r="M768" s="245">
        <v>619.44749999999999</v>
      </c>
      <c r="N768" s="245">
        <v>1858.3425</v>
      </c>
      <c r="O768" s="245" t="s">
        <v>67</v>
      </c>
      <c r="P768" s="245" t="s">
        <v>665</v>
      </c>
      <c r="Q768" s="245" t="s">
        <v>665</v>
      </c>
      <c r="R768" s="246" t="s">
        <v>32</v>
      </c>
    </row>
    <row r="769" spans="1:18" x14ac:dyDescent="0.8">
      <c r="A769" s="247">
        <v>2543</v>
      </c>
      <c r="B769" s="248" t="s">
        <v>937</v>
      </c>
      <c r="D769" s="245">
        <v>0</v>
      </c>
      <c r="R769" s="246" t="s">
        <v>32</v>
      </c>
    </row>
    <row r="770" spans="1:18" ht="39" hidden="1" x14ac:dyDescent="0.8">
      <c r="A770" s="247">
        <v>25431</v>
      </c>
      <c r="B770" s="248" t="s">
        <v>938</v>
      </c>
      <c r="C770" s="249" t="s">
        <v>55</v>
      </c>
      <c r="D770" s="245">
        <v>0</v>
      </c>
      <c r="F770" s="245">
        <v>1</v>
      </c>
      <c r="G770" s="245">
        <v>1</v>
      </c>
      <c r="H770" s="245">
        <v>2</v>
      </c>
      <c r="I770" s="245">
        <v>0</v>
      </c>
      <c r="J770" s="245">
        <v>0</v>
      </c>
      <c r="K770" s="245">
        <v>0</v>
      </c>
      <c r="L770" s="245">
        <v>0</v>
      </c>
      <c r="M770" s="245">
        <v>0</v>
      </c>
      <c r="O770" s="245" t="s">
        <v>56</v>
      </c>
      <c r="P770" s="245" t="s">
        <v>708</v>
      </c>
      <c r="Q770" s="245" t="s">
        <v>347</v>
      </c>
      <c r="R770" s="246" t="s">
        <v>32</v>
      </c>
    </row>
    <row r="771" spans="1:18" ht="26" x14ac:dyDescent="0.8">
      <c r="A771" s="247">
        <v>25432</v>
      </c>
      <c r="B771" s="248" t="s">
        <v>939</v>
      </c>
      <c r="C771" s="249" t="s">
        <v>38</v>
      </c>
      <c r="D771" s="245">
        <v>0</v>
      </c>
      <c r="F771" s="245">
        <v>125</v>
      </c>
      <c r="G771" s="245">
        <v>125</v>
      </c>
      <c r="H771" s="245">
        <v>250</v>
      </c>
      <c r="I771" s="245">
        <v>0.3133333333333333</v>
      </c>
      <c r="J771" s="245">
        <v>0</v>
      </c>
      <c r="K771" s="245">
        <v>0</v>
      </c>
      <c r="L771" s="245">
        <v>39.166666666666664</v>
      </c>
      <c r="M771" s="245">
        <v>39.166666666666664</v>
      </c>
      <c r="N771" s="245">
        <v>78.333333333333329</v>
      </c>
      <c r="O771" s="245" t="s">
        <v>39</v>
      </c>
      <c r="P771" s="245" t="s">
        <v>708</v>
      </c>
      <c r="Q771" s="245" t="s">
        <v>940</v>
      </c>
      <c r="R771" s="246" t="s">
        <v>32</v>
      </c>
    </row>
    <row r="772" spans="1:18" x14ac:dyDescent="0.8">
      <c r="A772" s="247">
        <v>2544</v>
      </c>
      <c r="B772" s="248" t="s">
        <v>941</v>
      </c>
      <c r="D772" s="245">
        <v>0</v>
      </c>
      <c r="R772" s="246" t="s">
        <v>32</v>
      </c>
    </row>
    <row r="773" spans="1:18" x14ac:dyDescent="0.8">
      <c r="A773" s="247">
        <v>25441</v>
      </c>
      <c r="B773" s="248" t="s">
        <v>942</v>
      </c>
      <c r="C773" s="249" t="s">
        <v>944</v>
      </c>
      <c r="D773" s="245">
        <v>0</v>
      </c>
      <c r="E773" s="245">
        <v>1</v>
      </c>
      <c r="F773" s="245">
        <v>1</v>
      </c>
      <c r="G773" s="245">
        <v>1</v>
      </c>
      <c r="H773" s="245">
        <v>3</v>
      </c>
      <c r="I773" s="245">
        <v>300</v>
      </c>
      <c r="J773" s="245">
        <v>0</v>
      </c>
      <c r="K773" s="245">
        <v>300</v>
      </c>
      <c r="L773" s="245">
        <v>300</v>
      </c>
      <c r="M773" s="245">
        <v>300</v>
      </c>
      <c r="N773" s="245">
        <v>900</v>
      </c>
      <c r="O773" s="245" t="s">
        <v>39</v>
      </c>
      <c r="P773" s="245" t="s">
        <v>708</v>
      </c>
      <c r="Q773" s="245" t="s">
        <v>347</v>
      </c>
      <c r="R773" s="246" t="s">
        <v>32</v>
      </c>
    </row>
    <row r="774" spans="1:18" ht="26" x14ac:dyDescent="0.8">
      <c r="A774" s="247">
        <v>255</v>
      </c>
      <c r="B774" s="248" t="s">
        <v>945</v>
      </c>
      <c r="D774" s="245">
        <v>0</v>
      </c>
      <c r="R774" s="246" t="s">
        <v>32</v>
      </c>
    </row>
    <row r="775" spans="1:18" x14ac:dyDescent="0.8">
      <c r="A775" s="247">
        <v>2551</v>
      </c>
      <c r="B775" s="248" t="s">
        <v>946</v>
      </c>
      <c r="D775" s="245">
        <v>0</v>
      </c>
      <c r="R775" s="246" t="s">
        <v>32</v>
      </c>
    </row>
    <row r="776" spans="1:18" ht="39" hidden="1" x14ac:dyDescent="0.8">
      <c r="A776" s="247">
        <v>25511</v>
      </c>
      <c r="B776" s="248" t="s">
        <v>947</v>
      </c>
      <c r="C776" s="249" t="s">
        <v>38</v>
      </c>
      <c r="D776" s="245">
        <v>0</v>
      </c>
      <c r="H776" s="245">
        <v>0</v>
      </c>
      <c r="I776" s="245">
        <v>0.3133333333333333</v>
      </c>
      <c r="J776" s="245">
        <v>0</v>
      </c>
      <c r="K776" s="245">
        <v>0</v>
      </c>
      <c r="L776" s="245">
        <v>0</v>
      </c>
      <c r="M776" s="245">
        <v>0</v>
      </c>
      <c r="N776" s="245">
        <v>0</v>
      </c>
      <c r="O776" s="245" t="s">
        <v>56</v>
      </c>
      <c r="P776" s="245" t="s">
        <v>142</v>
      </c>
      <c r="Q776" s="245" t="s">
        <v>273</v>
      </c>
      <c r="R776" s="246" t="s">
        <v>32</v>
      </c>
    </row>
    <row r="777" spans="1:18" ht="26" hidden="1" x14ac:dyDescent="0.8">
      <c r="A777" s="247">
        <v>25512</v>
      </c>
      <c r="B777" s="248" t="s">
        <v>948</v>
      </c>
      <c r="C777" s="249" t="s">
        <v>38</v>
      </c>
      <c r="D777" s="245">
        <v>0</v>
      </c>
      <c r="H777" s="245">
        <v>0</v>
      </c>
      <c r="I777" s="245">
        <v>0.3133333333333333</v>
      </c>
      <c r="J777" s="245">
        <v>0</v>
      </c>
      <c r="K777" s="245">
        <v>0</v>
      </c>
      <c r="L777" s="245">
        <v>0</v>
      </c>
      <c r="M777" s="245">
        <v>0</v>
      </c>
      <c r="N777" s="245">
        <v>0</v>
      </c>
      <c r="O777" s="245" t="s">
        <v>56</v>
      </c>
      <c r="P777" s="245" t="s">
        <v>949</v>
      </c>
      <c r="Q777" s="245" t="s">
        <v>142</v>
      </c>
      <c r="R777" s="246" t="s">
        <v>32</v>
      </c>
    </row>
    <row r="778" spans="1:18" ht="26" hidden="1" x14ac:dyDescent="0.8">
      <c r="A778" s="247">
        <v>25513</v>
      </c>
      <c r="B778" s="248" t="s">
        <v>950</v>
      </c>
      <c r="C778" s="249" t="s">
        <v>38</v>
      </c>
      <c r="D778" s="245">
        <v>0</v>
      </c>
      <c r="E778" s="245">
        <v>175</v>
      </c>
      <c r="H778" s="245">
        <v>175</v>
      </c>
      <c r="I778" s="245">
        <v>0.3133333333333333</v>
      </c>
      <c r="J778" s="245">
        <v>0</v>
      </c>
      <c r="K778" s="245">
        <v>54.833333333333329</v>
      </c>
      <c r="L778" s="245">
        <v>0</v>
      </c>
      <c r="M778" s="245">
        <v>0</v>
      </c>
      <c r="N778" s="245">
        <v>54.833333333333329</v>
      </c>
      <c r="O778" s="245" t="s">
        <v>56</v>
      </c>
      <c r="P778" s="245" t="s">
        <v>949</v>
      </c>
      <c r="Q778" s="245" t="s">
        <v>142</v>
      </c>
      <c r="R778" s="246" t="s">
        <v>32</v>
      </c>
    </row>
    <row r="779" spans="1:18" ht="39" x14ac:dyDescent="0.8">
      <c r="A779" s="247">
        <v>256</v>
      </c>
      <c r="B779" s="248" t="s">
        <v>951</v>
      </c>
      <c r="D779" s="245">
        <v>0</v>
      </c>
      <c r="R779" s="246" t="s">
        <v>32</v>
      </c>
    </row>
    <row r="780" spans="1:18" x14ac:dyDescent="0.8">
      <c r="A780" s="247">
        <v>2561</v>
      </c>
      <c r="B780" s="248" t="s">
        <v>952</v>
      </c>
      <c r="D780" s="245">
        <v>0</v>
      </c>
      <c r="R780" s="246" t="s">
        <v>32</v>
      </c>
    </row>
    <row r="781" spans="1:18" ht="39" hidden="1" x14ac:dyDescent="0.8">
      <c r="A781" s="247">
        <v>25611</v>
      </c>
      <c r="B781" s="248" t="s">
        <v>953</v>
      </c>
      <c r="C781" s="249" t="s">
        <v>55</v>
      </c>
      <c r="D781" s="245">
        <v>0</v>
      </c>
      <c r="E781" s="245">
        <v>1</v>
      </c>
      <c r="H781" s="245">
        <v>1</v>
      </c>
      <c r="I781" s="245">
        <v>0</v>
      </c>
      <c r="J781" s="245">
        <v>0</v>
      </c>
      <c r="K781" s="245">
        <v>0</v>
      </c>
      <c r="L781" s="245">
        <v>0</v>
      </c>
      <c r="M781" s="245">
        <v>0</v>
      </c>
      <c r="O781" s="245" t="s">
        <v>56</v>
      </c>
      <c r="P781" s="245" t="s">
        <v>255</v>
      </c>
      <c r="Q781" s="245" t="s">
        <v>398</v>
      </c>
      <c r="R781" s="246" t="s">
        <v>32</v>
      </c>
    </row>
    <row r="782" spans="1:18" ht="26" hidden="1" x14ac:dyDescent="0.8">
      <c r="A782" s="247">
        <v>25612</v>
      </c>
      <c r="B782" s="248" t="s">
        <v>954</v>
      </c>
      <c r="C782" s="249" t="s">
        <v>38</v>
      </c>
      <c r="D782" s="245">
        <v>0</v>
      </c>
      <c r="F782" s="245">
        <v>100</v>
      </c>
      <c r="H782" s="245">
        <v>100</v>
      </c>
      <c r="I782" s="245">
        <v>0.3133333333333333</v>
      </c>
      <c r="J782" s="245">
        <v>0</v>
      </c>
      <c r="K782" s="245">
        <v>0</v>
      </c>
      <c r="L782" s="245">
        <v>31.333333333333329</v>
      </c>
      <c r="M782" s="245">
        <v>0</v>
      </c>
      <c r="N782" s="245">
        <v>31.333333333333329</v>
      </c>
      <c r="O782" s="245" t="s">
        <v>56</v>
      </c>
      <c r="P782" s="245" t="s">
        <v>398</v>
      </c>
      <c r="Q782" s="245" t="s">
        <v>940</v>
      </c>
      <c r="R782" s="246" t="s">
        <v>32</v>
      </c>
    </row>
    <row r="783" spans="1:18" ht="26" hidden="1" x14ac:dyDescent="0.8">
      <c r="A783" s="247">
        <v>25613</v>
      </c>
      <c r="B783" s="248" t="s">
        <v>955</v>
      </c>
      <c r="C783" s="249" t="s">
        <v>956</v>
      </c>
      <c r="D783" s="245">
        <v>0</v>
      </c>
      <c r="F783" s="245">
        <v>1</v>
      </c>
      <c r="G783" s="245">
        <v>1</v>
      </c>
      <c r="H783" s="245">
        <v>2</v>
      </c>
      <c r="I783" s="245">
        <v>5000</v>
      </c>
      <c r="J783" s="245">
        <v>0</v>
      </c>
      <c r="K783" s="245">
        <v>0</v>
      </c>
      <c r="L783" s="245">
        <v>5000</v>
      </c>
      <c r="M783" s="245">
        <v>5000</v>
      </c>
      <c r="N783" s="245">
        <v>10000</v>
      </c>
      <c r="O783" s="245" t="s">
        <v>56</v>
      </c>
      <c r="P783" s="245" t="s">
        <v>663</v>
      </c>
      <c r="Q783" s="245" t="s">
        <v>398</v>
      </c>
      <c r="R783" s="246" t="s">
        <v>32</v>
      </c>
    </row>
    <row r="784" spans="1:18" ht="26" hidden="1" x14ac:dyDescent="0.8">
      <c r="A784" s="247">
        <v>25614</v>
      </c>
      <c r="B784" s="248" t="s">
        <v>957</v>
      </c>
      <c r="C784" s="249" t="s">
        <v>55</v>
      </c>
      <c r="D784" s="245">
        <v>0</v>
      </c>
      <c r="G784" s="245">
        <v>1</v>
      </c>
      <c r="H784" s="245">
        <v>1</v>
      </c>
      <c r="I784" s="245">
        <v>0</v>
      </c>
      <c r="J784" s="245">
        <v>0</v>
      </c>
      <c r="K784" s="245">
        <v>0</v>
      </c>
      <c r="L784" s="245">
        <v>0</v>
      </c>
      <c r="M784" s="245">
        <v>0</v>
      </c>
      <c r="O784" s="245" t="s">
        <v>56</v>
      </c>
      <c r="P784" s="245" t="s">
        <v>708</v>
      </c>
      <c r="Q784" s="245" t="s">
        <v>398</v>
      </c>
      <c r="R784" s="246" t="s">
        <v>32</v>
      </c>
    </row>
    <row r="785" spans="1:18" hidden="1" x14ac:dyDescent="0.8">
      <c r="A785" s="247">
        <v>25615</v>
      </c>
      <c r="B785" s="248" t="s">
        <v>958</v>
      </c>
      <c r="C785" s="249" t="s">
        <v>59</v>
      </c>
      <c r="D785" s="245">
        <v>0</v>
      </c>
      <c r="F785" s="245">
        <v>100</v>
      </c>
      <c r="G785" s="245">
        <v>100</v>
      </c>
      <c r="H785" s="245">
        <v>200</v>
      </c>
      <c r="I785" s="245">
        <v>0.8177777777777776</v>
      </c>
      <c r="J785" s="245">
        <v>0</v>
      </c>
      <c r="K785" s="245">
        <v>0</v>
      </c>
      <c r="L785" s="245">
        <v>81.777777777777757</v>
      </c>
      <c r="M785" s="245">
        <v>81.777777777777757</v>
      </c>
      <c r="N785" s="245">
        <v>163.55555555555551</v>
      </c>
      <c r="O785" s="245" t="s">
        <v>56</v>
      </c>
      <c r="P785" s="245" t="s">
        <v>708</v>
      </c>
      <c r="Q785" s="245" t="s">
        <v>398</v>
      </c>
      <c r="R785" s="246" t="s">
        <v>32</v>
      </c>
    </row>
    <row r="786" spans="1:18" x14ac:dyDescent="0.8">
      <c r="A786" s="247">
        <v>25616</v>
      </c>
      <c r="B786" s="248" t="s">
        <v>959</v>
      </c>
      <c r="C786" s="249" t="s">
        <v>961</v>
      </c>
      <c r="D786" s="245">
        <v>0</v>
      </c>
      <c r="H786" s="245">
        <v>0</v>
      </c>
      <c r="I786" s="245">
        <v>1.764</v>
      </c>
      <c r="J786" s="245">
        <v>0</v>
      </c>
      <c r="K786" s="245">
        <v>0</v>
      </c>
      <c r="L786" s="245">
        <v>0</v>
      </c>
      <c r="M786" s="245">
        <v>0</v>
      </c>
      <c r="N786" s="245">
        <v>0</v>
      </c>
      <c r="O786" s="245" t="s">
        <v>178</v>
      </c>
      <c r="P786" s="245" t="s">
        <v>708</v>
      </c>
      <c r="Q786" s="245" t="s">
        <v>398</v>
      </c>
      <c r="R786" s="246" t="s">
        <v>32</v>
      </c>
    </row>
    <row r="787" spans="1:18" ht="26" x14ac:dyDescent="0.8">
      <c r="A787" s="247">
        <v>2562</v>
      </c>
      <c r="B787" s="248" t="s">
        <v>962</v>
      </c>
      <c r="D787" s="245">
        <v>0</v>
      </c>
      <c r="R787" s="246" t="s">
        <v>32</v>
      </c>
    </row>
    <row r="788" spans="1:18" hidden="1" x14ac:dyDescent="0.8">
      <c r="A788" s="247">
        <v>25621</v>
      </c>
      <c r="B788" s="248" t="s">
        <v>963</v>
      </c>
      <c r="C788" s="249" t="s">
        <v>55</v>
      </c>
      <c r="D788" s="245">
        <v>0</v>
      </c>
      <c r="E788" s="245">
        <v>1</v>
      </c>
      <c r="H788" s="245">
        <v>1</v>
      </c>
      <c r="I788" s="245">
        <v>0</v>
      </c>
      <c r="J788" s="245">
        <v>0</v>
      </c>
      <c r="K788" s="245">
        <v>0</v>
      </c>
      <c r="L788" s="245">
        <v>0</v>
      </c>
      <c r="M788" s="245">
        <v>0</v>
      </c>
      <c r="O788" s="245" t="s">
        <v>56</v>
      </c>
      <c r="P788" s="245" t="s">
        <v>255</v>
      </c>
      <c r="Q788" s="245" t="s">
        <v>398</v>
      </c>
      <c r="R788" s="246" t="s">
        <v>32</v>
      </c>
    </row>
    <row r="789" spans="1:18" ht="26" hidden="1" x14ac:dyDescent="0.8">
      <c r="A789" s="247">
        <v>25622</v>
      </c>
      <c r="B789" s="248" t="s">
        <v>964</v>
      </c>
      <c r="C789" s="249" t="s">
        <v>55</v>
      </c>
      <c r="D789" s="245">
        <v>0</v>
      </c>
      <c r="E789" s="245">
        <v>1</v>
      </c>
      <c r="H789" s="245">
        <v>1</v>
      </c>
      <c r="I789" s="245">
        <v>0</v>
      </c>
      <c r="J789" s="245">
        <v>0</v>
      </c>
      <c r="K789" s="245">
        <v>0</v>
      </c>
      <c r="L789" s="245">
        <v>0</v>
      </c>
      <c r="M789" s="245">
        <v>0</v>
      </c>
      <c r="O789" s="245" t="s">
        <v>56</v>
      </c>
      <c r="P789" s="245" t="s">
        <v>398</v>
      </c>
      <c r="Q789" s="245" t="s">
        <v>965</v>
      </c>
      <c r="R789" s="246" t="s">
        <v>32</v>
      </c>
    </row>
    <row r="790" spans="1:18" ht="26" hidden="1" x14ac:dyDescent="0.8">
      <c r="A790" s="247">
        <v>25623</v>
      </c>
      <c r="B790" s="248" t="s">
        <v>966</v>
      </c>
      <c r="C790" s="249" t="s">
        <v>55</v>
      </c>
      <c r="D790" s="245">
        <v>0</v>
      </c>
      <c r="E790" s="245">
        <v>1</v>
      </c>
      <c r="H790" s="245">
        <v>1</v>
      </c>
      <c r="I790" s="245">
        <v>0</v>
      </c>
      <c r="J790" s="245">
        <v>0</v>
      </c>
      <c r="K790" s="245">
        <v>0</v>
      </c>
      <c r="L790" s="245">
        <v>0</v>
      </c>
      <c r="M790" s="245">
        <v>0</v>
      </c>
      <c r="O790" s="245" t="s">
        <v>56</v>
      </c>
      <c r="P790" s="245" t="s">
        <v>398</v>
      </c>
      <c r="Q790" s="245" t="s">
        <v>965</v>
      </c>
      <c r="R790" s="246" t="s">
        <v>32</v>
      </c>
    </row>
    <row r="791" spans="1:18" ht="26" x14ac:dyDescent="0.8">
      <c r="A791" s="247">
        <v>25624</v>
      </c>
      <c r="B791" s="248" t="s">
        <v>967</v>
      </c>
      <c r="C791" s="249" t="s">
        <v>501</v>
      </c>
      <c r="D791" s="245">
        <v>0</v>
      </c>
      <c r="E791" s="245">
        <v>20</v>
      </c>
      <c r="H791" s="245">
        <v>20</v>
      </c>
      <c r="I791" s="245">
        <v>50.336534</v>
      </c>
      <c r="J791" s="245">
        <v>0</v>
      </c>
      <c r="K791" s="245">
        <v>1006.73068</v>
      </c>
      <c r="L791" s="245">
        <v>0</v>
      </c>
      <c r="M791" s="245">
        <v>0</v>
      </c>
      <c r="N791" s="245">
        <v>1006.73068</v>
      </c>
      <c r="O791" s="245" t="s">
        <v>39</v>
      </c>
      <c r="P791" s="245" t="s">
        <v>663</v>
      </c>
      <c r="Q791" s="245" t="s">
        <v>398</v>
      </c>
      <c r="R791" s="246" t="s">
        <v>32</v>
      </c>
    </row>
    <row r="792" spans="1:18" ht="26" x14ac:dyDescent="0.8">
      <c r="A792" s="247">
        <v>25625</v>
      </c>
      <c r="B792" s="248" t="s">
        <v>968</v>
      </c>
      <c r="C792" s="249" t="s">
        <v>970</v>
      </c>
      <c r="D792" s="245">
        <v>0</v>
      </c>
      <c r="E792" s="245">
        <v>20</v>
      </c>
      <c r="H792" s="245">
        <v>20</v>
      </c>
      <c r="I792" s="245">
        <v>10.034934666666667</v>
      </c>
      <c r="J792" s="245">
        <v>0</v>
      </c>
      <c r="K792" s="245">
        <v>200.69869333333332</v>
      </c>
      <c r="L792" s="245">
        <v>0</v>
      </c>
      <c r="M792" s="245">
        <v>0</v>
      </c>
      <c r="N792" s="245">
        <v>200.69869333333332</v>
      </c>
      <c r="O792" s="245" t="s">
        <v>39</v>
      </c>
      <c r="P792" s="245" t="s">
        <v>663</v>
      </c>
      <c r="Q792" s="245" t="s">
        <v>398</v>
      </c>
      <c r="R792" s="246" t="s">
        <v>32</v>
      </c>
    </row>
    <row r="793" spans="1:18" ht="26" x14ac:dyDescent="0.8">
      <c r="A793" s="247">
        <v>25626</v>
      </c>
      <c r="B793" s="248" t="s">
        <v>971</v>
      </c>
      <c r="C793" s="249" t="s">
        <v>972</v>
      </c>
      <c r="D793" s="245">
        <v>0</v>
      </c>
      <c r="E793" s="245">
        <v>20</v>
      </c>
      <c r="H793" s="245">
        <v>20</v>
      </c>
      <c r="I793" s="245">
        <v>5</v>
      </c>
      <c r="J793" s="245">
        <v>0</v>
      </c>
      <c r="K793" s="245">
        <v>100</v>
      </c>
      <c r="L793" s="245">
        <v>0</v>
      </c>
      <c r="M793" s="245">
        <v>0</v>
      </c>
      <c r="N793" s="245">
        <v>100</v>
      </c>
      <c r="O793" s="245" t="s">
        <v>39</v>
      </c>
      <c r="P793" s="245" t="s">
        <v>663</v>
      </c>
      <c r="Q793" s="245" t="s">
        <v>398</v>
      </c>
      <c r="R793" s="246" t="s">
        <v>32</v>
      </c>
    </row>
    <row r="794" spans="1:18" ht="26" x14ac:dyDescent="0.8">
      <c r="A794" s="247">
        <v>25627</v>
      </c>
      <c r="B794" s="248" t="s">
        <v>973</v>
      </c>
      <c r="C794" s="249" t="s">
        <v>974</v>
      </c>
      <c r="D794" s="245">
        <v>0</v>
      </c>
      <c r="E794" s="245">
        <v>11</v>
      </c>
      <c r="H794" s="245">
        <v>11</v>
      </c>
      <c r="I794" s="245">
        <v>6.333333333333333</v>
      </c>
      <c r="J794" s="245">
        <v>0</v>
      </c>
      <c r="K794" s="245">
        <v>69.666666666666657</v>
      </c>
      <c r="L794" s="245">
        <v>0</v>
      </c>
      <c r="M794" s="245">
        <v>0</v>
      </c>
      <c r="N794" s="245">
        <v>69.666666666666657</v>
      </c>
      <c r="O794" s="245" t="s">
        <v>39</v>
      </c>
      <c r="P794" s="245" t="s">
        <v>663</v>
      </c>
      <c r="Q794" s="245" t="s">
        <v>398</v>
      </c>
      <c r="R794" s="246" t="s">
        <v>32</v>
      </c>
    </row>
    <row r="795" spans="1:18" ht="26" x14ac:dyDescent="0.8">
      <c r="A795" s="247">
        <v>25628</v>
      </c>
      <c r="B795" s="248" t="s">
        <v>975</v>
      </c>
      <c r="C795" s="249" t="s">
        <v>977</v>
      </c>
      <c r="D795" s="245">
        <v>0</v>
      </c>
      <c r="E795" s="245">
        <v>1</v>
      </c>
      <c r="H795" s="245">
        <v>1</v>
      </c>
      <c r="I795" s="245">
        <v>241.2</v>
      </c>
      <c r="J795" s="245">
        <v>0</v>
      </c>
      <c r="K795" s="245">
        <v>241.2</v>
      </c>
      <c r="L795" s="245">
        <v>0</v>
      </c>
      <c r="M795" s="245">
        <v>0</v>
      </c>
      <c r="N795" s="245">
        <v>241.2</v>
      </c>
      <c r="O795" s="245" t="s">
        <v>39</v>
      </c>
      <c r="P795" s="245" t="s">
        <v>663</v>
      </c>
      <c r="Q795" s="245" t="s">
        <v>398</v>
      </c>
      <c r="R795" s="246" t="s">
        <v>32</v>
      </c>
    </row>
    <row r="796" spans="1:18" x14ac:dyDescent="0.8">
      <c r="A796" s="247">
        <v>25629</v>
      </c>
      <c r="B796" s="248" t="s">
        <v>978</v>
      </c>
      <c r="C796" s="249" t="s">
        <v>980</v>
      </c>
      <c r="D796" s="245">
        <v>0</v>
      </c>
      <c r="F796" s="245">
        <v>1</v>
      </c>
      <c r="H796" s="245">
        <v>1</v>
      </c>
      <c r="I796" s="245">
        <v>300</v>
      </c>
      <c r="J796" s="245">
        <v>0</v>
      </c>
      <c r="K796" s="245">
        <v>0</v>
      </c>
      <c r="L796" s="245">
        <v>300</v>
      </c>
      <c r="M796" s="245">
        <v>0</v>
      </c>
      <c r="N796" s="245">
        <v>300</v>
      </c>
      <c r="O796" s="245" t="s">
        <v>39</v>
      </c>
      <c r="P796" s="245" t="s">
        <v>663</v>
      </c>
      <c r="Q796" s="245" t="s">
        <v>398</v>
      </c>
      <c r="R796" s="246" t="s">
        <v>32</v>
      </c>
    </row>
    <row r="797" spans="1:18" x14ac:dyDescent="0.8">
      <c r="A797" s="247">
        <v>256210</v>
      </c>
      <c r="B797" s="248" t="s">
        <v>981</v>
      </c>
      <c r="C797" s="249" t="s">
        <v>452</v>
      </c>
      <c r="D797" s="245">
        <v>0</v>
      </c>
      <c r="E797" s="245">
        <v>63900</v>
      </c>
      <c r="H797" s="245">
        <v>63900</v>
      </c>
      <c r="I797" s="245">
        <v>7.4999999999999997E-3</v>
      </c>
      <c r="J797" s="245">
        <v>0</v>
      </c>
      <c r="K797" s="245">
        <v>479.25</v>
      </c>
      <c r="L797" s="245">
        <v>0</v>
      </c>
      <c r="M797" s="245">
        <v>0</v>
      </c>
      <c r="N797" s="245">
        <v>479.25</v>
      </c>
      <c r="O797" s="245" t="s">
        <v>39</v>
      </c>
      <c r="P797" s="245" t="s">
        <v>398</v>
      </c>
      <c r="Q797" s="245" t="s">
        <v>398</v>
      </c>
      <c r="R797" s="246" t="s">
        <v>32</v>
      </c>
    </row>
    <row r="798" spans="1:18" x14ac:dyDescent="0.8">
      <c r="A798" s="247">
        <v>256211</v>
      </c>
      <c r="B798" s="248" t="s">
        <v>982</v>
      </c>
      <c r="C798" s="249" t="s">
        <v>55</v>
      </c>
      <c r="D798" s="245">
        <v>0</v>
      </c>
      <c r="F798" s="245">
        <v>1</v>
      </c>
      <c r="G798" s="245">
        <v>1</v>
      </c>
      <c r="H798" s="245">
        <v>2</v>
      </c>
      <c r="I798" s="245">
        <v>0</v>
      </c>
      <c r="J798" s="245">
        <v>0</v>
      </c>
      <c r="K798" s="245">
        <v>0</v>
      </c>
      <c r="L798" s="245">
        <v>0</v>
      </c>
      <c r="M798" s="245">
        <v>0</v>
      </c>
      <c r="O798" s="245" t="s">
        <v>39</v>
      </c>
      <c r="P798" s="245" t="s">
        <v>398</v>
      </c>
      <c r="Q798" s="245" t="s">
        <v>965</v>
      </c>
      <c r="R798" s="246" t="s">
        <v>32</v>
      </c>
    </row>
    <row r="799" spans="1:18" ht="26" x14ac:dyDescent="0.8">
      <c r="A799" s="247">
        <v>256212</v>
      </c>
      <c r="B799" s="248" t="s">
        <v>983</v>
      </c>
      <c r="C799" s="249" t="s">
        <v>66</v>
      </c>
      <c r="D799" s="245">
        <v>0</v>
      </c>
      <c r="F799" s="245">
        <v>20</v>
      </c>
      <c r="H799" s="245">
        <v>20</v>
      </c>
      <c r="I799" s="245">
        <v>0.255</v>
      </c>
      <c r="J799" s="245">
        <v>0</v>
      </c>
      <c r="K799" s="245">
        <v>0</v>
      </c>
      <c r="L799" s="245">
        <v>5.0999999999999996</v>
      </c>
      <c r="M799" s="245">
        <v>0</v>
      </c>
      <c r="N799" s="245">
        <v>5.0999999999999996</v>
      </c>
      <c r="O799" s="245" t="s">
        <v>39</v>
      </c>
      <c r="P799" s="245" t="s">
        <v>398</v>
      </c>
      <c r="Q799" s="245" t="s">
        <v>984</v>
      </c>
      <c r="R799" s="246" t="s">
        <v>32</v>
      </c>
    </row>
    <row r="800" spans="1:18" ht="26" x14ac:dyDescent="0.8">
      <c r="A800" s="247">
        <v>256213</v>
      </c>
      <c r="B800" s="248" t="s">
        <v>985</v>
      </c>
      <c r="C800" s="249" t="s">
        <v>59</v>
      </c>
      <c r="D800" s="245">
        <v>0</v>
      </c>
      <c r="F800" s="245">
        <v>50</v>
      </c>
      <c r="G800" s="245">
        <v>50</v>
      </c>
      <c r="H800" s="245">
        <v>100</v>
      </c>
      <c r="I800" s="245">
        <v>0.8177777777777776</v>
      </c>
      <c r="J800" s="245">
        <v>0</v>
      </c>
      <c r="K800" s="245">
        <v>0</v>
      </c>
      <c r="L800" s="245">
        <v>40.888888888888879</v>
      </c>
      <c r="M800" s="245">
        <v>40.888888888888879</v>
      </c>
      <c r="N800" s="245">
        <v>81.777777777777757</v>
      </c>
      <c r="O800" s="245" t="s">
        <v>39</v>
      </c>
      <c r="P800" s="245" t="s">
        <v>398</v>
      </c>
      <c r="Q800" s="245" t="s">
        <v>273</v>
      </c>
      <c r="R800" s="246" t="s">
        <v>32</v>
      </c>
    </row>
    <row r="801" spans="1:18" ht="26" x14ac:dyDescent="0.8">
      <c r="A801" s="247">
        <v>256214</v>
      </c>
      <c r="B801" s="248" t="s">
        <v>986</v>
      </c>
      <c r="C801" s="249" t="s">
        <v>66</v>
      </c>
      <c r="D801" s="245">
        <v>0</v>
      </c>
      <c r="F801" s="245">
        <v>30</v>
      </c>
      <c r="G801" s="245">
        <v>24</v>
      </c>
      <c r="H801" s="245">
        <v>54</v>
      </c>
      <c r="I801" s="245">
        <v>0.255</v>
      </c>
      <c r="J801" s="245">
        <v>0</v>
      </c>
      <c r="K801" s="245">
        <v>0</v>
      </c>
      <c r="L801" s="245">
        <v>7.65</v>
      </c>
      <c r="M801" s="245">
        <v>6.12</v>
      </c>
      <c r="N801" s="245">
        <v>13.77</v>
      </c>
      <c r="O801" s="245" t="s">
        <v>39</v>
      </c>
      <c r="P801" s="245" t="s">
        <v>398</v>
      </c>
      <c r="Q801" s="245" t="s">
        <v>987</v>
      </c>
      <c r="R801" s="246" t="s">
        <v>32</v>
      </c>
    </row>
    <row r="802" spans="1:18" x14ac:dyDescent="0.8">
      <c r="A802" s="247">
        <v>256215</v>
      </c>
      <c r="B802" s="248" t="s">
        <v>988</v>
      </c>
      <c r="C802" s="249" t="s">
        <v>66</v>
      </c>
      <c r="D802" s="245">
        <v>0</v>
      </c>
      <c r="G802" s="245">
        <v>60</v>
      </c>
      <c r="H802" s="245">
        <v>60</v>
      </c>
      <c r="I802" s="245">
        <v>0.255</v>
      </c>
      <c r="J802" s="245">
        <v>0</v>
      </c>
      <c r="K802" s="245">
        <v>0</v>
      </c>
      <c r="L802" s="245">
        <v>0</v>
      </c>
      <c r="M802" s="245">
        <v>15.3</v>
      </c>
      <c r="N802" s="245">
        <v>15.3</v>
      </c>
      <c r="O802" s="245" t="s">
        <v>39</v>
      </c>
      <c r="P802" s="245" t="s">
        <v>398</v>
      </c>
      <c r="Q802" s="245" t="s">
        <v>987</v>
      </c>
      <c r="R802" s="246" t="s">
        <v>32</v>
      </c>
    </row>
    <row r="803" spans="1:18" ht="26" x14ac:dyDescent="0.8">
      <c r="A803" s="247">
        <v>2563</v>
      </c>
      <c r="B803" s="248" t="s">
        <v>989</v>
      </c>
      <c r="D803" s="245">
        <v>0</v>
      </c>
      <c r="R803" s="246" t="s">
        <v>32</v>
      </c>
    </row>
    <row r="804" spans="1:18" ht="26" x14ac:dyDescent="0.8">
      <c r="A804" s="247">
        <v>25631</v>
      </c>
      <c r="B804" s="248" t="s">
        <v>990</v>
      </c>
      <c r="C804" s="249" t="s">
        <v>992</v>
      </c>
      <c r="D804" s="245">
        <v>0</v>
      </c>
      <c r="H804" s="245">
        <v>0</v>
      </c>
      <c r="I804" s="245">
        <v>475</v>
      </c>
      <c r="J804" s="245">
        <v>0</v>
      </c>
      <c r="K804" s="245">
        <v>0</v>
      </c>
      <c r="L804" s="245">
        <v>0</v>
      </c>
      <c r="M804" s="245">
        <v>0</v>
      </c>
      <c r="N804" s="245">
        <v>0</v>
      </c>
      <c r="O804" s="245" t="s">
        <v>67</v>
      </c>
      <c r="P804" s="245" t="s">
        <v>993</v>
      </c>
      <c r="Q804" s="245" t="s">
        <v>993</v>
      </c>
      <c r="R804" s="246" t="s">
        <v>32</v>
      </c>
    </row>
    <row r="805" spans="1:18" ht="39" x14ac:dyDescent="0.8">
      <c r="A805" s="247">
        <v>25632</v>
      </c>
      <c r="B805" s="248" t="s">
        <v>994</v>
      </c>
      <c r="C805" s="249" t="s">
        <v>66</v>
      </c>
      <c r="D805" s="245">
        <v>0</v>
      </c>
      <c r="E805" s="245">
        <v>50</v>
      </c>
      <c r="H805" s="245">
        <v>50</v>
      </c>
      <c r="I805" s="245">
        <v>0.255</v>
      </c>
      <c r="J805" s="245">
        <v>0</v>
      </c>
      <c r="K805" s="245">
        <v>12.75</v>
      </c>
      <c r="L805" s="245">
        <v>0</v>
      </c>
      <c r="M805" s="245">
        <v>0</v>
      </c>
      <c r="N805" s="245">
        <v>12.75</v>
      </c>
      <c r="O805" s="245" t="s">
        <v>39</v>
      </c>
      <c r="P805" s="245" t="s">
        <v>993</v>
      </c>
      <c r="Q805" s="245" t="s">
        <v>995</v>
      </c>
      <c r="R805" s="246" t="s">
        <v>32</v>
      </c>
    </row>
    <row r="806" spans="1:18" x14ac:dyDescent="0.8">
      <c r="A806" s="247">
        <v>25633</v>
      </c>
      <c r="B806" s="248" t="s">
        <v>996</v>
      </c>
      <c r="C806" s="249" t="s">
        <v>38</v>
      </c>
      <c r="D806" s="245">
        <v>0</v>
      </c>
      <c r="E806" s="245">
        <v>20</v>
      </c>
      <c r="H806" s="245">
        <v>20</v>
      </c>
      <c r="I806" s="245">
        <v>0.3133333333333333</v>
      </c>
      <c r="J806" s="245">
        <v>0</v>
      </c>
      <c r="K806" s="245">
        <v>6.2666666666666657</v>
      </c>
      <c r="L806" s="245">
        <v>0</v>
      </c>
      <c r="M806" s="245">
        <v>0</v>
      </c>
      <c r="N806" s="245">
        <v>6.2666666666666657</v>
      </c>
      <c r="O806" s="245" t="s">
        <v>39</v>
      </c>
      <c r="P806" s="245" t="s">
        <v>993</v>
      </c>
      <c r="Q806" s="245" t="s">
        <v>995</v>
      </c>
      <c r="R806" s="246" t="s">
        <v>32</v>
      </c>
    </row>
    <row r="807" spans="1:18" ht="26" x14ac:dyDescent="0.8">
      <c r="A807" s="247">
        <v>25634</v>
      </c>
      <c r="B807" s="248" t="s">
        <v>997</v>
      </c>
      <c r="C807" s="249" t="s">
        <v>55</v>
      </c>
      <c r="D807" s="245">
        <v>0</v>
      </c>
      <c r="E807" s="245">
        <v>1</v>
      </c>
      <c r="H807" s="245">
        <v>1</v>
      </c>
      <c r="I807" s="245">
        <v>0</v>
      </c>
      <c r="J807" s="245">
        <v>0</v>
      </c>
      <c r="K807" s="245">
        <v>0</v>
      </c>
      <c r="L807" s="245">
        <v>0</v>
      </c>
      <c r="M807" s="245">
        <v>0</v>
      </c>
      <c r="O807" s="245" t="s">
        <v>39</v>
      </c>
      <c r="P807" s="245" t="s">
        <v>993</v>
      </c>
      <c r="Q807" s="245" t="s">
        <v>995</v>
      </c>
      <c r="R807" s="246" t="s">
        <v>32</v>
      </c>
    </row>
    <row r="808" spans="1:18" ht="26" x14ac:dyDescent="0.8">
      <c r="A808" s="247">
        <v>25635</v>
      </c>
      <c r="B808" s="248" t="s">
        <v>998</v>
      </c>
      <c r="C808" s="249" t="s">
        <v>55</v>
      </c>
      <c r="D808" s="245">
        <v>0</v>
      </c>
      <c r="F808" s="245">
        <v>1</v>
      </c>
      <c r="H808" s="245">
        <v>1</v>
      </c>
      <c r="I808" s="245">
        <v>0</v>
      </c>
      <c r="J808" s="245">
        <v>0</v>
      </c>
      <c r="K808" s="245">
        <v>0</v>
      </c>
      <c r="L808" s="245">
        <v>0</v>
      </c>
      <c r="M808" s="245">
        <v>0</v>
      </c>
      <c r="O808" s="245" t="s">
        <v>39</v>
      </c>
      <c r="P808" s="245" t="s">
        <v>993</v>
      </c>
      <c r="Q808" s="245" t="s">
        <v>96</v>
      </c>
      <c r="R808" s="246" t="s">
        <v>32</v>
      </c>
    </row>
    <row r="809" spans="1:18" ht="26" x14ac:dyDescent="0.8">
      <c r="A809" s="247">
        <v>25636</v>
      </c>
      <c r="B809" s="248" t="s">
        <v>999</v>
      </c>
      <c r="C809" s="249" t="s">
        <v>55</v>
      </c>
      <c r="D809" s="245">
        <v>0</v>
      </c>
      <c r="F809" s="245">
        <v>1</v>
      </c>
      <c r="H809" s="245">
        <v>1</v>
      </c>
      <c r="I809" s="245">
        <v>0</v>
      </c>
      <c r="J809" s="245">
        <v>0</v>
      </c>
      <c r="K809" s="245">
        <v>0</v>
      </c>
      <c r="L809" s="245">
        <v>0</v>
      </c>
      <c r="M809" s="245">
        <v>0</v>
      </c>
      <c r="O809" s="245" t="s">
        <v>39</v>
      </c>
      <c r="P809" s="245" t="s">
        <v>993</v>
      </c>
      <c r="Q809" s="245" t="s">
        <v>96</v>
      </c>
      <c r="R809" s="246" t="s">
        <v>32</v>
      </c>
    </row>
    <row r="810" spans="1:18" x14ac:dyDescent="0.8">
      <c r="A810" s="247">
        <v>25637</v>
      </c>
      <c r="B810" s="248" t="s">
        <v>1000</v>
      </c>
      <c r="C810" s="249" t="s">
        <v>38</v>
      </c>
      <c r="D810" s="245">
        <v>0</v>
      </c>
      <c r="F810" s="245">
        <v>60</v>
      </c>
      <c r="H810" s="245">
        <v>60</v>
      </c>
      <c r="I810" s="245">
        <v>0.3133333333333333</v>
      </c>
      <c r="J810" s="245">
        <v>0</v>
      </c>
      <c r="K810" s="245">
        <v>0</v>
      </c>
      <c r="L810" s="245">
        <v>18.799999999999997</v>
      </c>
      <c r="M810" s="245">
        <v>0</v>
      </c>
      <c r="N810" s="245">
        <v>18.799999999999997</v>
      </c>
      <c r="O810" s="245" t="s">
        <v>39</v>
      </c>
      <c r="P810" s="245" t="s">
        <v>993</v>
      </c>
      <c r="Q810" s="245" t="s">
        <v>398</v>
      </c>
      <c r="R810" s="246" t="s">
        <v>32</v>
      </c>
    </row>
    <row r="811" spans="1:18" ht="26" x14ac:dyDescent="0.8">
      <c r="A811" s="247">
        <v>25638</v>
      </c>
      <c r="B811" s="248" t="s">
        <v>1001</v>
      </c>
      <c r="C811" s="249" t="s">
        <v>66</v>
      </c>
      <c r="D811" s="245">
        <v>0</v>
      </c>
      <c r="F811" s="245">
        <v>100</v>
      </c>
      <c r="H811" s="245">
        <v>100</v>
      </c>
      <c r="I811" s="245">
        <v>0.255</v>
      </c>
      <c r="J811" s="245">
        <v>0</v>
      </c>
      <c r="K811" s="245">
        <v>0</v>
      </c>
      <c r="L811" s="245">
        <v>25.5</v>
      </c>
      <c r="M811" s="245">
        <v>0</v>
      </c>
      <c r="N811" s="245">
        <v>25.5</v>
      </c>
      <c r="O811" s="245" t="s">
        <v>39</v>
      </c>
      <c r="P811" s="245" t="s">
        <v>993</v>
      </c>
      <c r="Q811" s="245" t="s">
        <v>398</v>
      </c>
      <c r="R811" s="246" t="s">
        <v>32</v>
      </c>
    </row>
    <row r="812" spans="1:18" ht="39" x14ac:dyDescent="0.8">
      <c r="A812" s="247">
        <v>25639</v>
      </c>
      <c r="B812" s="248" t="s">
        <v>1002</v>
      </c>
      <c r="C812" s="249" t="s">
        <v>501</v>
      </c>
      <c r="D812" s="245">
        <v>0</v>
      </c>
      <c r="F812" s="245">
        <v>4</v>
      </c>
      <c r="H812" s="245">
        <v>4</v>
      </c>
      <c r="I812" s="245">
        <v>50.336534</v>
      </c>
      <c r="J812" s="245">
        <v>0</v>
      </c>
      <c r="K812" s="245">
        <v>0</v>
      </c>
      <c r="L812" s="245">
        <v>201.346136</v>
      </c>
      <c r="M812" s="245">
        <v>0</v>
      </c>
      <c r="N812" s="245">
        <v>201.346136</v>
      </c>
      <c r="O812" s="245" t="s">
        <v>39</v>
      </c>
      <c r="P812" s="245" t="s">
        <v>663</v>
      </c>
      <c r="Q812" s="245" t="s">
        <v>993</v>
      </c>
      <c r="R812" s="246" t="s">
        <v>32</v>
      </c>
    </row>
    <row r="813" spans="1:18" ht="26" hidden="1" x14ac:dyDescent="0.8">
      <c r="A813" s="247">
        <v>256310</v>
      </c>
      <c r="B813" s="248" t="s">
        <v>1003</v>
      </c>
      <c r="C813" s="249" t="s">
        <v>55</v>
      </c>
      <c r="D813" s="245">
        <v>0</v>
      </c>
      <c r="G813" s="245">
        <v>1</v>
      </c>
      <c r="H813" s="245">
        <v>1</v>
      </c>
      <c r="I813" s="245">
        <v>0</v>
      </c>
      <c r="J813" s="245">
        <v>0</v>
      </c>
      <c r="K813" s="245">
        <v>0</v>
      </c>
      <c r="L813" s="245">
        <v>0</v>
      </c>
      <c r="M813" s="245">
        <v>0</v>
      </c>
      <c r="O813" s="245" t="s">
        <v>56</v>
      </c>
      <c r="P813" s="245" t="s">
        <v>993</v>
      </c>
      <c r="Q813" s="245" t="s">
        <v>398</v>
      </c>
      <c r="R813" s="246" t="s">
        <v>32</v>
      </c>
    </row>
    <row r="814" spans="1:18" ht="39" x14ac:dyDescent="0.8">
      <c r="A814" s="247">
        <v>256311</v>
      </c>
      <c r="B814" s="248" t="s">
        <v>1004</v>
      </c>
      <c r="C814" s="249" t="s">
        <v>66</v>
      </c>
      <c r="D814" s="245">
        <v>0</v>
      </c>
      <c r="E814" s="245">
        <v>50</v>
      </c>
      <c r="H814" s="245">
        <v>50</v>
      </c>
      <c r="I814" s="245">
        <v>0.255</v>
      </c>
      <c r="J814" s="245">
        <v>0</v>
      </c>
      <c r="K814" s="245">
        <v>12.75</v>
      </c>
      <c r="L814" s="245">
        <v>0</v>
      </c>
      <c r="M814" s="245">
        <v>0</v>
      </c>
      <c r="N814" s="245">
        <v>12.75</v>
      </c>
      <c r="O814" s="245" t="s">
        <v>39</v>
      </c>
      <c r="P814" s="245" t="s">
        <v>993</v>
      </c>
      <c r="Q814" s="245" t="s">
        <v>398</v>
      </c>
      <c r="R814" s="246" t="s">
        <v>32</v>
      </c>
    </row>
    <row r="815" spans="1:18" ht="39" x14ac:dyDescent="0.8">
      <c r="A815" s="247">
        <v>256312</v>
      </c>
      <c r="B815" s="248" t="s">
        <v>1005</v>
      </c>
      <c r="C815" s="249" t="s">
        <v>55</v>
      </c>
      <c r="D815" s="245">
        <v>0</v>
      </c>
      <c r="F815" s="245">
        <v>1</v>
      </c>
      <c r="H815" s="245">
        <v>1</v>
      </c>
      <c r="I815" s="245">
        <v>0</v>
      </c>
      <c r="J815" s="245">
        <v>0</v>
      </c>
      <c r="K815" s="245">
        <v>0</v>
      </c>
      <c r="L815" s="245">
        <v>0</v>
      </c>
      <c r="M815" s="245">
        <v>0</v>
      </c>
      <c r="O815" s="245" t="s">
        <v>39</v>
      </c>
      <c r="P815" s="245" t="s">
        <v>255</v>
      </c>
      <c r="Q815" s="245" t="s">
        <v>398</v>
      </c>
      <c r="R815" s="246" t="s">
        <v>32</v>
      </c>
    </row>
    <row r="816" spans="1:18" ht="26" x14ac:dyDescent="0.8">
      <c r="A816" s="247">
        <v>256313</v>
      </c>
      <c r="B816" s="248" t="s">
        <v>1006</v>
      </c>
      <c r="C816" s="249" t="s">
        <v>301</v>
      </c>
      <c r="D816" s="245">
        <v>0</v>
      </c>
      <c r="F816" s="245">
        <v>150</v>
      </c>
      <c r="H816" s="245">
        <v>150</v>
      </c>
      <c r="I816" s="245">
        <v>0.67666666666666664</v>
      </c>
      <c r="J816" s="245">
        <v>0</v>
      </c>
      <c r="K816" s="245">
        <v>0</v>
      </c>
      <c r="L816" s="245">
        <v>101.5</v>
      </c>
      <c r="M816" s="245">
        <v>0</v>
      </c>
      <c r="N816" s="245">
        <v>101.5</v>
      </c>
      <c r="O816" s="245" t="s">
        <v>39</v>
      </c>
      <c r="P816" s="245" t="s">
        <v>993</v>
      </c>
      <c r="Q816" s="245" t="s">
        <v>398</v>
      </c>
      <c r="R816" s="246" t="s">
        <v>32</v>
      </c>
    </row>
    <row r="817" spans="1:18" ht="26" x14ac:dyDescent="0.8">
      <c r="A817" s="247">
        <v>256314</v>
      </c>
      <c r="B817" s="248" t="s">
        <v>1007</v>
      </c>
      <c r="C817" s="249" t="s">
        <v>1009</v>
      </c>
      <c r="D817" s="245">
        <v>0</v>
      </c>
      <c r="F817" s="245">
        <v>30</v>
      </c>
      <c r="H817" s="245">
        <v>30</v>
      </c>
      <c r="I817" s="245">
        <v>12.79101</v>
      </c>
      <c r="J817" s="245">
        <v>0</v>
      </c>
      <c r="K817" s="245">
        <v>0</v>
      </c>
      <c r="L817" s="245">
        <v>383.7303</v>
      </c>
      <c r="M817" s="245">
        <v>0</v>
      </c>
      <c r="N817" s="245">
        <v>383.7303</v>
      </c>
      <c r="O817" s="245" t="s">
        <v>39</v>
      </c>
      <c r="P817" s="245" t="s">
        <v>663</v>
      </c>
      <c r="Q817" s="245" t="s">
        <v>398</v>
      </c>
      <c r="R817" s="246" t="s">
        <v>32</v>
      </c>
    </row>
    <row r="818" spans="1:18" x14ac:dyDescent="0.8">
      <c r="A818" s="247">
        <v>256315</v>
      </c>
      <c r="B818" s="248" t="s">
        <v>1010</v>
      </c>
      <c r="C818" s="249" t="s">
        <v>59</v>
      </c>
      <c r="D818" s="245">
        <v>0</v>
      </c>
      <c r="G818" s="245">
        <v>128</v>
      </c>
      <c r="H818" s="245">
        <v>128</v>
      </c>
      <c r="I818" s="245">
        <v>0.8177777777777776</v>
      </c>
      <c r="J818" s="245">
        <v>0</v>
      </c>
      <c r="K818" s="245">
        <v>0</v>
      </c>
      <c r="L818" s="245">
        <v>0</v>
      </c>
      <c r="M818" s="245">
        <v>104.67555555555553</v>
      </c>
      <c r="N818" s="245">
        <v>104.67555555555553</v>
      </c>
      <c r="O818" s="245" t="s">
        <v>39</v>
      </c>
      <c r="P818" s="245" t="s">
        <v>993</v>
      </c>
      <c r="Q818" s="245" t="s">
        <v>398</v>
      </c>
      <c r="R818" s="246" t="s">
        <v>32</v>
      </c>
    </row>
    <row r="819" spans="1:18" x14ac:dyDescent="0.8">
      <c r="A819" s="247">
        <v>256316</v>
      </c>
      <c r="B819" s="248" t="s">
        <v>1011</v>
      </c>
      <c r="C819" s="249" t="s">
        <v>38</v>
      </c>
      <c r="D819" s="245">
        <v>0</v>
      </c>
      <c r="G819" s="245">
        <v>50</v>
      </c>
      <c r="H819" s="245">
        <v>50</v>
      </c>
      <c r="I819" s="245">
        <v>0.3133333333333333</v>
      </c>
      <c r="J819" s="245">
        <v>0</v>
      </c>
      <c r="K819" s="245">
        <v>0</v>
      </c>
      <c r="L819" s="245">
        <v>0</v>
      </c>
      <c r="M819" s="245">
        <v>15.666666666666664</v>
      </c>
      <c r="N819" s="245">
        <v>15.666666666666664</v>
      </c>
      <c r="O819" s="245" t="s">
        <v>39</v>
      </c>
      <c r="P819" s="245" t="s">
        <v>993</v>
      </c>
      <c r="Q819" s="245" t="s">
        <v>398</v>
      </c>
      <c r="R819" s="246" t="s">
        <v>32</v>
      </c>
    </row>
    <row r="820" spans="1:18" ht="26" x14ac:dyDescent="0.8">
      <c r="A820" s="247">
        <v>256317</v>
      </c>
      <c r="B820" s="248" t="s">
        <v>1012</v>
      </c>
      <c r="C820" s="249" t="s">
        <v>66</v>
      </c>
      <c r="D820" s="245">
        <v>0</v>
      </c>
      <c r="G820" s="245">
        <v>40</v>
      </c>
      <c r="H820" s="245">
        <v>40</v>
      </c>
      <c r="I820" s="245">
        <v>0.255</v>
      </c>
      <c r="J820" s="245">
        <v>0</v>
      </c>
      <c r="K820" s="245">
        <v>0</v>
      </c>
      <c r="L820" s="245">
        <v>0</v>
      </c>
      <c r="M820" s="245">
        <v>10.199999999999999</v>
      </c>
      <c r="N820" s="245">
        <v>10.199999999999999</v>
      </c>
      <c r="O820" s="245" t="s">
        <v>39</v>
      </c>
      <c r="P820" s="245" t="s">
        <v>993</v>
      </c>
      <c r="Q820" s="245" t="s">
        <v>398</v>
      </c>
      <c r="R820" s="246" t="s">
        <v>32</v>
      </c>
    </row>
    <row r="821" spans="1:18" ht="26" x14ac:dyDescent="0.8">
      <c r="A821" s="247">
        <v>256318</v>
      </c>
      <c r="B821" s="248" t="s">
        <v>1013</v>
      </c>
      <c r="C821" s="249" t="s">
        <v>55</v>
      </c>
      <c r="D821" s="245">
        <v>0</v>
      </c>
      <c r="G821" s="245">
        <v>1</v>
      </c>
      <c r="H821" s="245">
        <v>1</v>
      </c>
      <c r="I821" s="245">
        <v>0</v>
      </c>
      <c r="J821" s="245">
        <v>0</v>
      </c>
      <c r="K821" s="245">
        <v>0</v>
      </c>
      <c r="L821" s="245">
        <v>0</v>
      </c>
      <c r="M821" s="245">
        <v>0</v>
      </c>
      <c r="O821" s="245" t="s">
        <v>39</v>
      </c>
      <c r="P821" s="245" t="s">
        <v>993</v>
      </c>
      <c r="Q821" s="245" t="s">
        <v>398</v>
      </c>
      <c r="R821" s="246" t="s">
        <v>32</v>
      </c>
    </row>
    <row r="822" spans="1:18" ht="26" x14ac:dyDescent="0.8">
      <c r="A822" s="247">
        <v>257</v>
      </c>
      <c r="B822" s="248" t="s">
        <v>1014</v>
      </c>
      <c r="D822" s="245">
        <v>0</v>
      </c>
      <c r="R822" s="246" t="s">
        <v>32</v>
      </c>
    </row>
    <row r="823" spans="1:18" ht="26" x14ac:dyDescent="0.8">
      <c r="A823" s="247">
        <v>2571</v>
      </c>
      <c r="B823" s="248" t="s">
        <v>1015</v>
      </c>
      <c r="D823" s="245">
        <v>0</v>
      </c>
      <c r="R823" s="246" t="s">
        <v>32</v>
      </c>
    </row>
    <row r="824" spans="1:18" ht="65" x14ac:dyDescent="0.8">
      <c r="A824" s="247">
        <v>25711</v>
      </c>
      <c r="B824" s="248" t="s">
        <v>1016</v>
      </c>
      <c r="C824" s="249" t="s">
        <v>59</v>
      </c>
      <c r="D824" s="245">
        <v>0</v>
      </c>
      <c r="E824" s="245">
        <v>320</v>
      </c>
      <c r="H824" s="245">
        <v>320</v>
      </c>
      <c r="I824" s="245">
        <v>0.8177777777777776</v>
      </c>
      <c r="J824" s="245">
        <v>0</v>
      </c>
      <c r="K824" s="245">
        <v>261.68888888888881</v>
      </c>
      <c r="L824" s="245">
        <v>0</v>
      </c>
      <c r="M824" s="245">
        <v>0</v>
      </c>
      <c r="N824" s="245">
        <v>261.68888888888881</v>
      </c>
      <c r="O824" s="245" t="s">
        <v>118</v>
      </c>
      <c r="P824" s="245" t="s">
        <v>1018</v>
      </c>
      <c r="Q824" s="245" t="s">
        <v>398</v>
      </c>
      <c r="R824" s="246" t="s">
        <v>32</v>
      </c>
    </row>
    <row r="825" spans="1:18" x14ac:dyDescent="0.8">
      <c r="A825" s="247">
        <v>25712</v>
      </c>
      <c r="B825" s="248" t="s">
        <v>1019</v>
      </c>
      <c r="C825" s="249" t="s">
        <v>38</v>
      </c>
      <c r="D825" s="245">
        <v>0</v>
      </c>
      <c r="E825" s="245">
        <v>50</v>
      </c>
      <c r="H825" s="245">
        <v>50</v>
      </c>
      <c r="I825" s="245">
        <v>0.3133333333333333</v>
      </c>
      <c r="J825" s="245">
        <v>0</v>
      </c>
      <c r="K825" s="245">
        <v>15.666666666666664</v>
      </c>
      <c r="L825" s="245">
        <v>0</v>
      </c>
      <c r="M825" s="245">
        <v>0</v>
      </c>
      <c r="N825" s="245">
        <v>15.666666666666664</v>
      </c>
      <c r="O825" s="245" t="s">
        <v>118</v>
      </c>
      <c r="P825" s="245" t="s">
        <v>1018</v>
      </c>
      <c r="Q825" s="245" t="s">
        <v>398</v>
      </c>
      <c r="R825" s="246" t="s">
        <v>32</v>
      </c>
    </row>
    <row r="826" spans="1:18" x14ac:dyDescent="0.8">
      <c r="A826" s="247">
        <v>25713</v>
      </c>
      <c r="B826" s="248" t="s">
        <v>1020</v>
      </c>
      <c r="C826" s="249" t="s">
        <v>1022</v>
      </c>
      <c r="D826" s="245">
        <v>0</v>
      </c>
      <c r="I826" s="245">
        <v>0</v>
      </c>
      <c r="O826" s="245" t="s">
        <v>118</v>
      </c>
      <c r="P826" s="245" t="s">
        <v>142</v>
      </c>
      <c r="Q826" s="245" t="s">
        <v>398</v>
      </c>
      <c r="R826" s="246" t="s">
        <v>32</v>
      </c>
    </row>
    <row r="827" spans="1:18" ht="26" x14ac:dyDescent="0.8">
      <c r="A827" s="247">
        <v>25714</v>
      </c>
      <c r="B827" s="248" t="s">
        <v>1023</v>
      </c>
      <c r="C827" s="249" t="s">
        <v>38</v>
      </c>
      <c r="D827" s="245">
        <v>0</v>
      </c>
      <c r="E827" s="245">
        <v>700</v>
      </c>
      <c r="H827" s="245">
        <v>700</v>
      </c>
      <c r="I827" s="245">
        <v>0.3133333333333333</v>
      </c>
      <c r="J827" s="245">
        <v>0</v>
      </c>
      <c r="K827" s="245">
        <v>219.33333333333331</v>
      </c>
      <c r="L827" s="245">
        <v>0</v>
      </c>
      <c r="M827" s="245">
        <v>0</v>
      </c>
      <c r="N827" s="245">
        <v>219.33333333333331</v>
      </c>
      <c r="O827" s="245" t="s">
        <v>118</v>
      </c>
      <c r="P827" s="245" t="s">
        <v>1018</v>
      </c>
      <c r="Q827" s="245" t="s">
        <v>398</v>
      </c>
      <c r="R827" s="246" t="s">
        <v>32</v>
      </c>
    </row>
    <row r="828" spans="1:18" x14ac:dyDescent="0.8">
      <c r="A828" s="247">
        <v>258</v>
      </c>
      <c r="B828" s="248" t="s">
        <v>1024</v>
      </c>
      <c r="D828" s="245">
        <v>0</v>
      </c>
      <c r="R828" s="246" t="s">
        <v>32</v>
      </c>
    </row>
    <row r="829" spans="1:18" ht="26" x14ac:dyDescent="0.8">
      <c r="A829" s="247">
        <v>2581</v>
      </c>
      <c r="B829" s="248" t="s">
        <v>1025</v>
      </c>
      <c r="D829" s="245">
        <v>0</v>
      </c>
      <c r="R829" s="246" t="s">
        <v>32</v>
      </c>
    </row>
    <row r="830" spans="1:18" ht="39" x14ac:dyDescent="0.8">
      <c r="A830" s="247">
        <v>25811</v>
      </c>
      <c r="B830" s="248" t="s">
        <v>1026</v>
      </c>
      <c r="C830" s="249" t="s">
        <v>66</v>
      </c>
      <c r="D830" s="245">
        <v>0</v>
      </c>
      <c r="E830" s="245">
        <v>100</v>
      </c>
      <c r="H830" s="245">
        <v>100</v>
      </c>
      <c r="I830" s="245">
        <v>0.255</v>
      </c>
      <c r="J830" s="245">
        <v>0</v>
      </c>
      <c r="K830" s="245">
        <v>25.5</v>
      </c>
      <c r="L830" s="245">
        <v>0</v>
      </c>
      <c r="M830" s="245">
        <v>0</v>
      </c>
      <c r="N830" s="245">
        <v>25.5</v>
      </c>
      <c r="O830" s="245" t="s">
        <v>118</v>
      </c>
      <c r="P830" s="245" t="s">
        <v>1027</v>
      </c>
      <c r="Q830" s="245" t="s">
        <v>1027</v>
      </c>
      <c r="R830" s="246" t="s">
        <v>32</v>
      </c>
    </row>
    <row r="831" spans="1:18" ht="39" x14ac:dyDescent="0.8">
      <c r="A831" s="247">
        <v>25812</v>
      </c>
      <c r="B831" s="248" t="s">
        <v>1028</v>
      </c>
      <c r="C831" s="249" t="s">
        <v>38</v>
      </c>
      <c r="D831" s="245">
        <v>0</v>
      </c>
      <c r="E831" s="245">
        <v>100</v>
      </c>
      <c r="H831" s="245">
        <v>100</v>
      </c>
      <c r="I831" s="245">
        <v>0.3133333333333333</v>
      </c>
      <c r="J831" s="245">
        <v>0</v>
      </c>
      <c r="K831" s="245">
        <v>31.333333333333329</v>
      </c>
      <c r="L831" s="245">
        <v>0</v>
      </c>
      <c r="M831" s="245">
        <v>0</v>
      </c>
      <c r="N831" s="245">
        <v>31.333333333333329</v>
      </c>
      <c r="O831" s="245" t="s">
        <v>118</v>
      </c>
      <c r="P831" s="245" t="s">
        <v>1027</v>
      </c>
      <c r="Q831" s="245" t="s">
        <v>1027</v>
      </c>
      <c r="R831" s="246" t="s">
        <v>32</v>
      </c>
    </row>
    <row r="832" spans="1:18" ht="39" x14ac:dyDescent="0.8">
      <c r="A832" s="247">
        <v>25813</v>
      </c>
      <c r="B832" s="248" t="s">
        <v>1029</v>
      </c>
      <c r="C832" s="249" t="s">
        <v>313</v>
      </c>
      <c r="D832" s="245">
        <v>0</v>
      </c>
      <c r="E832" s="245">
        <v>1000</v>
      </c>
      <c r="H832" s="245">
        <v>1000</v>
      </c>
      <c r="I832" s="245">
        <v>7.4999999999999997E-3</v>
      </c>
      <c r="J832" s="245">
        <v>0</v>
      </c>
      <c r="K832" s="245">
        <v>7.5</v>
      </c>
      <c r="L832" s="245">
        <v>0</v>
      </c>
      <c r="M832" s="245">
        <v>0</v>
      </c>
      <c r="N832" s="245">
        <v>7.5</v>
      </c>
      <c r="O832" s="245" t="s">
        <v>118</v>
      </c>
      <c r="P832" s="245" t="s">
        <v>1027</v>
      </c>
      <c r="Q832" s="245" t="s">
        <v>1027</v>
      </c>
      <c r="R832" s="246" t="s">
        <v>32</v>
      </c>
    </row>
    <row r="833" spans="1:18" ht="39" x14ac:dyDescent="0.8">
      <c r="A833" s="247">
        <v>25814</v>
      </c>
      <c r="B833" s="248" t="s">
        <v>1030</v>
      </c>
      <c r="C833" s="249" t="s">
        <v>38</v>
      </c>
      <c r="D833" s="245">
        <v>0</v>
      </c>
      <c r="F833" s="245">
        <v>480</v>
      </c>
      <c r="H833" s="245">
        <v>480</v>
      </c>
      <c r="I833" s="245">
        <v>0.3133333333333333</v>
      </c>
      <c r="J833" s="245">
        <v>0</v>
      </c>
      <c r="K833" s="245">
        <v>0</v>
      </c>
      <c r="L833" s="245">
        <v>150.39999999999998</v>
      </c>
      <c r="M833" s="245">
        <v>0</v>
      </c>
      <c r="N833" s="245">
        <v>150.39999999999998</v>
      </c>
      <c r="O833" s="245" t="s">
        <v>118</v>
      </c>
      <c r="P833" s="245" t="s">
        <v>1027</v>
      </c>
      <c r="Q833" s="245" t="s">
        <v>1027</v>
      </c>
      <c r="R833" s="246" t="s">
        <v>32</v>
      </c>
    </row>
    <row r="834" spans="1:18" ht="39" hidden="1" x14ac:dyDescent="0.8">
      <c r="A834" s="247">
        <v>25815</v>
      </c>
      <c r="B834" s="248" t="s">
        <v>1031</v>
      </c>
      <c r="C834" s="249" t="s">
        <v>55</v>
      </c>
      <c r="D834" s="245">
        <v>0</v>
      </c>
      <c r="E834" s="245">
        <v>427</v>
      </c>
      <c r="F834" s="245">
        <v>427</v>
      </c>
      <c r="G834" s="245">
        <v>427</v>
      </c>
      <c r="H834" s="245">
        <v>1281</v>
      </c>
      <c r="I834" s="245">
        <v>0</v>
      </c>
      <c r="J834" s="245">
        <v>0</v>
      </c>
      <c r="K834" s="245">
        <v>0</v>
      </c>
      <c r="L834" s="245">
        <v>0</v>
      </c>
      <c r="M834" s="245">
        <v>0</v>
      </c>
      <c r="O834" s="245" t="s">
        <v>56</v>
      </c>
      <c r="P834" s="245" t="s">
        <v>77</v>
      </c>
      <c r="Q834" s="245" t="s">
        <v>193</v>
      </c>
      <c r="R834" s="246" t="s">
        <v>32</v>
      </c>
    </row>
    <row r="835" spans="1:18" ht="39" hidden="1" x14ac:dyDescent="0.8">
      <c r="A835" s="247">
        <v>25816</v>
      </c>
      <c r="B835" s="248" t="s">
        <v>1032</v>
      </c>
      <c r="C835" s="249" t="s">
        <v>55</v>
      </c>
      <c r="D835" s="245">
        <v>0</v>
      </c>
      <c r="E835" s="245">
        <v>38</v>
      </c>
      <c r="F835" s="245">
        <v>38</v>
      </c>
      <c r="G835" s="245">
        <v>38</v>
      </c>
      <c r="H835" s="245">
        <v>114</v>
      </c>
      <c r="I835" s="245">
        <v>0</v>
      </c>
      <c r="J835" s="245">
        <v>0</v>
      </c>
      <c r="K835" s="245">
        <v>0</v>
      </c>
      <c r="L835" s="245">
        <v>0</v>
      </c>
      <c r="M835" s="245">
        <v>0</v>
      </c>
      <c r="O835" s="245" t="s">
        <v>56</v>
      </c>
      <c r="P835" s="245" t="s">
        <v>282</v>
      </c>
      <c r="Q835" s="245" t="s">
        <v>77</v>
      </c>
      <c r="R835" s="246" t="s">
        <v>32</v>
      </c>
    </row>
    <row r="836" spans="1:18" ht="39" hidden="1" x14ac:dyDescent="0.8">
      <c r="A836" s="247">
        <v>25817</v>
      </c>
      <c r="B836" s="248" t="s">
        <v>1033</v>
      </c>
      <c r="C836" s="249" t="s">
        <v>55</v>
      </c>
      <c r="D836" s="245">
        <v>0</v>
      </c>
      <c r="E836" s="245">
        <v>8</v>
      </c>
      <c r="F836" s="245">
        <v>8</v>
      </c>
      <c r="G836" s="245">
        <v>8</v>
      </c>
      <c r="H836" s="245">
        <v>24</v>
      </c>
      <c r="I836" s="245">
        <v>0</v>
      </c>
      <c r="J836" s="245">
        <v>0</v>
      </c>
      <c r="K836" s="245">
        <v>0</v>
      </c>
      <c r="L836" s="245">
        <v>0</v>
      </c>
      <c r="M836" s="245">
        <v>0</v>
      </c>
      <c r="O836" s="245" t="s">
        <v>56</v>
      </c>
      <c r="P836" s="245" t="s">
        <v>1027</v>
      </c>
      <c r="Q836" s="245" t="s">
        <v>282</v>
      </c>
      <c r="R836" s="246" t="s">
        <v>32</v>
      </c>
    </row>
    <row r="837" spans="1:18" ht="26" hidden="1" x14ac:dyDescent="0.8">
      <c r="A837" s="247">
        <v>25818</v>
      </c>
      <c r="B837" s="248" t="s">
        <v>1034</v>
      </c>
      <c r="C837" s="249" t="s">
        <v>1036</v>
      </c>
      <c r="D837" s="245">
        <v>0</v>
      </c>
      <c r="E837" s="245">
        <v>1</v>
      </c>
      <c r="F837" s="245">
        <v>1</v>
      </c>
      <c r="G837" s="245">
        <v>1</v>
      </c>
      <c r="H837" s="245">
        <v>3</v>
      </c>
      <c r="I837" s="245">
        <v>185.47499999999999</v>
      </c>
      <c r="J837" s="245">
        <v>0</v>
      </c>
      <c r="K837" s="245">
        <v>185.47499999999999</v>
      </c>
      <c r="L837" s="245">
        <v>185.47499999999999</v>
      </c>
      <c r="M837" s="245">
        <v>185.47499999999999</v>
      </c>
      <c r="N837" s="245">
        <v>556.42499999999995</v>
      </c>
      <c r="O837" s="245" t="s">
        <v>56</v>
      </c>
      <c r="P837" s="245" t="s">
        <v>1027</v>
      </c>
      <c r="Q837" s="245" t="s">
        <v>1027</v>
      </c>
      <c r="R837" s="246" t="s">
        <v>32</v>
      </c>
    </row>
    <row r="838" spans="1:18" x14ac:dyDescent="0.8">
      <c r="A838" s="247">
        <v>26</v>
      </c>
      <c r="B838" s="248" t="s">
        <v>1037</v>
      </c>
      <c r="D838" s="245">
        <v>0</v>
      </c>
      <c r="R838" s="246" t="s">
        <v>32</v>
      </c>
    </row>
    <row r="839" spans="1:18" ht="39" x14ac:dyDescent="0.8">
      <c r="A839" s="247">
        <v>261</v>
      </c>
      <c r="B839" s="248" t="s">
        <v>1038</v>
      </c>
      <c r="D839" s="245">
        <v>0</v>
      </c>
      <c r="R839" s="246" t="s">
        <v>32</v>
      </c>
    </row>
    <row r="840" spans="1:18" ht="26" x14ac:dyDescent="0.8">
      <c r="A840" s="247">
        <v>2611</v>
      </c>
      <c r="B840" s="248" t="s">
        <v>1039</v>
      </c>
      <c r="D840" s="245">
        <v>0</v>
      </c>
      <c r="R840" s="246" t="s">
        <v>32</v>
      </c>
    </row>
    <row r="841" spans="1:18" x14ac:dyDescent="0.8">
      <c r="A841" s="247">
        <v>26111</v>
      </c>
      <c r="B841" s="248" t="s">
        <v>1040</v>
      </c>
      <c r="C841" s="249" t="s">
        <v>66</v>
      </c>
      <c r="D841" s="245">
        <v>0</v>
      </c>
      <c r="F841" s="245">
        <v>70</v>
      </c>
      <c r="H841" s="245">
        <v>70</v>
      </c>
      <c r="I841" s="245">
        <v>0.255</v>
      </c>
      <c r="J841" s="245">
        <v>0</v>
      </c>
      <c r="K841" s="245">
        <v>0</v>
      </c>
      <c r="L841" s="245">
        <v>17.850000000000001</v>
      </c>
      <c r="M841" s="245">
        <v>0</v>
      </c>
      <c r="N841" s="245">
        <v>17.850000000000001</v>
      </c>
      <c r="O841" s="245" t="s">
        <v>39</v>
      </c>
      <c r="P841" s="245" t="s">
        <v>192</v>
      </c>
      <c r="Q841" s="245" t="s">
        <v>764</v>
      </c>
      <c r="R841" s="246" t="s">
        <v>32</v>
      </c>
    </row>
    <row r="842" spans="1:18" ht="26" x14ac:dyDescent="0.8">
      <c r="A842" s="247">
        <v>26112</v>
      </c>
      <c r="B842" s="248" t="s">
        <v>1041</v>
      </c>
      <c r="C842" s="249" t="s">
        <v>38</v>
      </c>
      <c r="D842" s="245">
        <v>0</v>
      </c>
      <c r="F842" s="245">
        <v>175</v>
      </c>
      <c r="H842" s="245">
        <v>175</v>
      </c>
      <c r="I842" s="245">
        <v>0.3133333333333333</v>
      </c>
      <c r="J842" s="245">
        <v>0</v>
      </c>
      <c r="K842" s="245">
        <v>0</v>
      </c>
      <c r="L842" s="245">
        <v>54.833333333333329</v>
      </c>
      <c r="M842" s="245">
        <v>0</v>
      </c>
      <c r="N842" s="245">
        <v>54.833333333333329</v>
      </c>
      <c r="O842" s="245" t="s">
        <v>39</v>
      </c>
      <c r="P842" s="245" t="s">
        <v>398</v>
      </c>
      <c r="Q842" s="245" t="s">
        <v>764</v>
      </c>
      <c r="R842" s="246" t="s">
        <v>32</v>
      </c>
    </row>
    <row r="843" spans="1:18" ht="26" x14ac:dyDescent="0.8">
      <c r="A843" s="247">
        <v>26113</v>
      </c>
      <c r="B843" s="248" t="s">
        <v>1042</v>
      </c>
      <c r="C843" s="249" t="s">
        <v>38</v>
      </c>
      <c r="D843" s="245">
        <v>0</v>
      </c>
      <c r="F843" s="245">
        <v>80</v>
      </c>
      <c r="H843" s="245">
        <v>80</v>
      </c>
      <c r="I843" s="245">
        <v>0.3133333333333333</v>
      </c>
      <c r="J843" s="245">
        <v>0</v>
      </c>
      <c r="K843" s="245">
        <v>0</v>
      </c>
      <c r="L843" s="245">
        <v>25.066666666666663</v>
      </c>
      <c r="M843" s="245">
        <v>0</v>
      </c>
      <c r="N843" s="245">
        <v>25.066666666666663</v>
      </c>
      <c r="O843" s="245" t="s">
        <v>39</v>
      </c>
      <c r="P843" s="245" t="s">
        <v>764</v>
      </c>
      <c r="Q843" s="245" t="s">
        <v>764</v>
      </c>
      <c r="R843" s="246" t="s">
        <v>32</v>
      </c>
    </row>
    <row r="844" spans="1:18" ht="26" x14ac:dyDescent="0.8">
      <c r="A844" s="247">
        <v>26114</v>
      </c>
      <c r="B844" s="248" t="s">
        <v>1043</v>
      </c>
      <c r="C844" s="249" t="s">
        <v>38</v>
      </c>
      <c r="D844" s="245">
        <v>0</v>
      </c>
      <c r="F844" s="245">
        <v>80</v>
      </c>
      <c r="H844" s="245">
        <v>80</v>
      </c>
      <c r="I844" s="245">
        <v>0.3133333333333333</v>
      </c>
      <c r="J844" s="245">
        <v>0</v>
      </c>
      <c r="K844" s="245">
        <v>0</v>
      </c>
      <c r="L844" s="245">
        <v>25.066666666666663</v>
      </c>
      <c r="M844" s="245">
        <v>0</v>
      </c>
      <c r="N844" s="245">
        <v>25.066666666666663</v>
      </c>
      <c r="O844" s="245" t="s">
        <v>39</v>
      </c>
      <c r="P844" s="245" t="s">
        <v>764</v>
      </c>
      <c r="Q844" s="245" t="s">
        <v>764</v>
      </c>
      <c r="R844" s="246" t="s">
        <v>32</v>
      </c>
    </row>
    <row r="845" spans="1:18" ht="26" x14ac:dyDescent="0.8">
      <c r="A845" s="247">
        <v>26115</v>
      </c>
      <c r="B845" s="248" t="s">
        <v>1044</v>
      </c>
      <c r="C845" s="249" t="s">
        <v>66</v>
      </c>
      <c r="D845" s="245">
        <v>0</v>
      </c>
      <c r="F845" s="245">
        <v>100</v>
      </c>
      <c r="H845" s="245">
        <v>100</v>
      </c>
      <c r="I845" s="245">
        <v>0.255</v>
      </c>
      <c r="J845" s="245">
        <v>0</v>
      </c>
      <c r="K845" s="245">
        <v>0</v>
      </c>
      <c r="L845" s="245">
        <v>25.5</v>
      </c>
      <c r="M845" s="245">
        <v>0</v>
      </c>
      <c r="N845" s="245">
        <v>25.5</v>
      </c>
      <c r="O845" s="245" t="s">
        <v>39</v>
      </c>
      <c r="P845" s="245" t="s">
        <v>764</v>
      </c>
      <c r="Q845" s="245" t="s">
        <v>764</v>
      </c>
      <c r="R845" s="246" t="s">
        <v>32</v>
      </c>
    </row>
    <row r="846" spans="1:18" ht="39" x14ac:dyDescent="0.8">
      <c r="A846" s="247">
        <v>2612</v>
      </c>
      <c r="B846" s="248" t="s">
        <v>1045</v>
      </c>
      <c r="D846" s="245">
        <v>0</v>
      </c>
      <c r="R846" s="246" t="s">
        <v>32</v>
      </c>
    </row>
    <row r="847" spans="1:18" ht="52" x14ac:dyDescent="0.8">
      <c r="A847" s="247">
        <v>26121</v>
      </c>
      <c r="B847" s="248" t="s">
        <v>1046</v>
      </c>
      <c r="C847" s="249" t="s">
        <v>1048</v>
      </c>
      <c r="D847" s="245">
        <v>0</v>
      </c>
      <c r="G847" s="245">
        <v>1</v>
      </c>
      <c r="H847" s="245">
        <v>1</v>
      </c>
      <c r="I847" s="245">
        <v>1152</v>
      </c>
      <c r="J847" s="245">
        <v>0</v>
      </c>
      <c r="K847" s="245">
        <v>0</v>
      </c>
      <c r="L847" s="245">
        <v>0</v>
      </c>
      <c r="M847" s="245">
        <v>1152</v>
      </c>
      <c r="N847" s="245">
        <v>1152</v>
      </c>
      <c r="O847" s="245" t="s">
        <v>39</v>
      </c>
      <c r="P847" s="245" t="s">
        <v>192</v>
      </c>
      <c r="Q847" s="245" t="s">
        <v>764</v>
      </c>
      <c r="R847" s="246" t="s">
        <v>32</v>
      </c>
    </row>
    <row r="848" spans="1:18" ht="52" x14ac:dyDescent="0.8">
      <c r="A848" s="247">
        <v>26122</v>
      </c>
      <c r="B848" s="248" t="s">
        <v>1049</v>
      </c>
      <c r="C848" s="249" t="s">
        <v>1048</v>
      </c>
      <c r="D848" s="245">
        <v>0</v>
      </c>
      <c r="F848" s="245">
        <v>1</v>
      </c>
      <c r="H848" s="245">
        <v>1</v>
      </c>
      <c r="I848" s="245">
        <v>1152</v>
      </c>
      <c r="J848" s="245">
        <v>0</v>
      </c>
      <c r="K848" s="245">
        <v>0</v>
      </c>
      <c r="L848" s="245">
        <v>1152</v>
      </c>
      <c r="M848" s="245">
        <v>0</v>
      </c>
      <c r="N848" s="245">
        <v>1152</v>
      </c>
      <c r="O848" s="245" t="s">
        <v>39</v>
      </c>
      <c r="P848" s="245" t="s">
        <v>192</v>
      </c>
      <c r="Q848" s="245" t="s">
        <v>764</v>
      </c>
      <c r="R848" s="246" t="s">
        <v>32</v>
      </c>
    </row>
    <row r="849" spans="1:18" ht="52" x14ac:dyDescent="0.8">
      <c r="A849" s="247">
        <v>26123</v>
      </c>
      <c r="B849" s="248" t="s">
        <v>1050</v>
      </c>
      <c r="C849" s="249" t="s">
        <v>1048</v>
      </c>
      <c r="D849" s="245">
        <v>0</v>
      </c>
      <c r="E849" s="245">
        <v>1</v>
      </c>
      <c r="H849" s="245">
        <v>1</v>
      </c>
      <c r="I849" s="245">
        <v>1152</v>
      </c>
      <c r="J849" s="245">
        <v>0</v>
      </c>
      <c r="K849" s="245">
        <v>1152</v>
      </c>
      <c r="L849" s="245">
        <v>0</v>
      </c>
      <c r="M849" s="245">
        <v>0</v>
      </c>
      <c r="N849" s="245">
        <v>1152</v>
      </c>
      <c r="O849" s="245" t="s">
        <v>39</v>
      </c>
      <c r="P849" s="245" t="s">
        <v>192</v>
      </c>
      <c r="Q849" s="245" t="s">
        <v>764</v>
      </c>
      <c r="R849" s="246" t="s">
        <v>32</v>
      </c>
    </row>
    <row r="850" spans="1:18" x14ac:dyDescent="0.8">
      <c r="A850" s="247">
        <v>26124</v>
      </c>
      <c r="B850" s="248" t="s">
        <v>1051</v>
      </c>
      <c r="C850" s="249" t="s">
        <v>1052</v>
      </c>
      <c r="D850" s="245">
        <v>0</v>
      </c>
      <c r="H850" s="245">
        <v>0</v>
      </c>
      <c r="I850" s="245">
        <v>3325</v>
      </c>
      <c r="J850" s="245">
        <v>0</v>
      </c>
      <c r="K850" s="245">
        <v>0</v>
      </c>
      <c r="L850" s="245">
        <v>0</v>
      </c>
      <c r="M850" s="245">
        <v>0</v>
      </c>
      <c r="N850" s="245">
        <v>0</v>
      </c>
      <c r="O850" s="245" t="s">
        <v>178</v>
      </c>
      <c r="P850" s="245" t="s">
        <v>1053</v>
      </c>
      <c r="Q850" s="245" t="s">
        <v>1054</v>
      </c>
      <c r="R850" s="246" t="s">
        <v>32</v>
      </c>
    </row>
    <row r="851" spans="1:18" x14ac:dyDescent="0.8">
      <c r="A851" s="247">
        <v>26125</v>
      </c>
      <c r="B851" s="248" t="s">
        <v>1055</v>
      </c>
      <c r="C851" s="249" t="s">
        <v>1057</v>
      </c>
      <c r="D851" s="245">
        <v>0</v>
      </c>
      <c r="H851" s="245">
        <v>0</v>
      </c>
      <c r="I851" s="245">
        <v>538.00300000000004</v>
      </c>
      <c r="J851" s="245">
        <v>0</v>
      </c>
      <c r="K851" s="245">
        <v>0</v>
      </c>
      <c r="L851" s="245">
        <v>0</v>
      </c>
      <c r="M851" s="245">
        <v>0</v>
      </c>
      <c r="N851" s="245">
        <v>0</v>
      </c>
      <c r="O851" s="245" t="s">
        <v>178</v>
      </c>
      <c r="P851" s="245" t="s">
        <v>347</v>
      </c>
      <c r="Q851" s="245" t="s">
        <v>764</v>
      </c>
      <c r="R851" s="246" t="s">
        <v>32</v>
      </c>
    </row>
    <row r="852" spans="1:18" x14ac:dyDescent="0.8">
      <c r="A852" s="247">
        <v>26125</v>
      </c>
      <c r="B852" s="248" t="s">
        <v>1055</v>
      </c>
      <c r="C852" s="249" t="s">
        <v>1057</v>
      </c>
      <c r="D852" s="245">
        <v>0</v>
      </c>
      <c r="G852" s="245">
        <v>1</v>
      </c>
      <c r="H852" s="245">
        <v>1</v>
      </c>
      <c r="I852" s="245">
        <v>538.00300000000004</v>
      </c>
      <c r="J852" s="245">
        <v>0</v>
      </c>
      <c r="K852" s="245">
        <v>0</v>
      </c>
      <c r="L852" s="245">
        <v>0</v>
      </c>
      <c r="M852" s="245">
        <v>538.00300000000004</v>
      </c>
      <c r="N852" s="245">
        <v>538.00300000000004</v>
      </c>
      <c r="O852" s="245" t="s">
        <v>39</v>
      </c>
      <c r="P852" s="245" t="s">
        <v>347</v>
      </c>
      <c r="Q852" s="245" t="s">
        <v>764</v>
      </c>
      <c r="R852" s="246" t="s">
        <v>32</v>
      </c>
    </row>
    <row r="853" spans="1:18" ht="39" x14ac:dyDescent="0.8">
      <c r="A853" s="247">
        <v>2613</v>
      </c>
      <c r="B853" s="248" t="s">
        <v>1058</v>
      </c>
      <c r="D853" s="245">
        <v>0</v>
      </c>
      <c r="R853" s="246" t="s">
        <v>32</v>
      </c>
    </row>
    <row r="854" spans="1:18" ht="52" x14ac:dyDescent="0.8">
      <c r="A854" s="247">
        <v>26131</v>
      </c>
      <c r="B854" s="248" t="s">
        <v>1059</v>
      </c>
      <c r="C854" s="249" t="s">
        <v>1060</v>
      </c>
      <c r="D854" s="245">
        <v>0</v>
      </c>
      <c r="G854" s="245">
        <v>1</v>
      </c>
      <c r="H854" s="245">
        <v>1</v>
      </c>
      <c r="I854" s="245">
        <v>889.63750000000005</v>
      </c>
      <c r="J854" s="245">
        <v>0</v>
      </c>
      <c r="K854" s="245">
        <v>0</v>
      </c>
      <c r="L854" s="245">
        <v>0</v>
      </c>
      <c r="M854" s="245">
        <v>889.63750000000005</v>
      </c>
      <c r="N854" s="245">
        <v>889.63750000000005</v>
      </c>
      <c r="O854" s="245" t="s">
        <v>39</v>
      </c>
      <c r="P854" s="245" t="s">
        <v>398</v>
      </c>
      <c r="Q854" s="245" t="s">
        <v>764</v>
      </c>
      <c r="R854" s="246" t="s">
        <v>32</v>
      </c>
    </row>
    <row r="855" spans="1:18" ht="26" x14ac:dyDescent="0.8">
      <c r="A855" s="247">
        <v>2614</v>
      </c>
      <c r="B855" s="248" t="s">
        <v>1061</v>
      </c>
      <c r="D855" s="245">
        <v>0</v>
      </c>
      <c r="R855" s="246" t="s">
        <v>32</v>
      </c>
    </row>
    <row r="856" spans="1:18" ht="26" x14ac:dyDescent="0.8">
      <c r="A856" s="247">
        <v>26141</v>
      </c>
      <c r="B856" s="248" t="s">
        <v>1062</v>
      </c>
      <c r="C856" s="249" t="s">
        <v>38</v>
      </c>
      <c r="D856" s="245">
        <v>0</v>
      </c>
      <c r="F856" s="245">
        <v>184</v>
      </c>
      <c r="G856" s="245">
        <v>184</v>
      </c>
      <c r="H856" s="245">
        <v>368</v>
      </c>
      <c r="I856" s="245">
        <v>0.3133333333333333</v>
      </c>
      <c r="J856" s="245">
        <v>0</v>
      </c>
      <c r="K856" s="245">
        <v>0</v>
      </c>
      <c r="L856" s="245">
        <v>57.653333333333329</v>
      </c>
      <c r="M856" s="245">
        <v>57.653333333333329</v>
      </c>
      <c r="N856" s="245">
        <v>115.30666666666666</v>
      </c>
      <c r="O856" s="245" t="s">
        <v>39</v>
      </c>
      <c r="P856" s="245" t="s">
        <v>764</v>
      </c>
      <c r="Q856" s="245" t="s">
        <v>764</v>
      </c>
      <c r="R856" s="246" t="s">
        <v>32</v>
      </c>
    </row>
    <row r="857" spans="1:18" ht="26" x14ac:dyDescent="0.8">
      <c r="A857" s="247">
        <v>26142</v>
      </c>
      <c r="B857" s="248" t="s">
        <v>1063</v>
      </c>
      <c r="C857" s="249" t="s">
        <v>301</v>
      </c>
      <c r="D857" s="245">
        <v>0</v>
      </c>
      <c r="F857" s="245">
        <v>184</v>
      </c>
      <c r="G857" s="245">
        <v>184</v>
      </c>
      <c r="H857" s="245">
        <v>92</v>
      </c>
      <c r="I857" s="245">
        <v>0.67666666666666664</v>
      </c>
      <c r="J857" s="245">
        <v>0</v>
      </c>
      <c r="K857" s="245">
        <v>0</v>
      </c>
      <c r="L857" s="245">
        <v>124.50666666666666</v>
      </c>
      <c r="M857" s="245">
        <v>124.50666666666666</v>
      </c>
      <c r="N857" s="245">
        <v>249.01333333333332</v>
      </c>
      <c r="O857" s="245" t="s">
        <v>39</v>
      </c>
      <c r="P857" s="245" t="s">
        <v>1064</v>
      </c>
      <c r="Q857" s="245" t="s">
        <v>764</v>
      </c>
      <c r="R857" s="246" t="s">
        <v>32</v>
      </c>
    </row>
    <row r="858" spans="1:18" ht="26" x14ac:dyDescent="0.8">
      <c r="A858" s="247">
        <v>2615</v>
      </c>
      <c r="B858" s="248" t="s">
        <v>1065</v>
      </c>
      <c r="D858" s="245">
        <v>0</v>
      </c>
      <c r="R858" s="246" t="s">
        <v>32</v>
      </c>
    </row>
    <row r="859" spans="1:18" ht="26" x14ac:dyDescent="0.8">
      <c r="A859" s="247">
        <v>26151</v>
      </c>
      <c r="B859" s="248" t="s">
        <v>1066</v>
      </c>
      <c r="C859" s="249" t="s">
        <v>1068</v>
      </c>
      <c r="D859" s="245">
        <v>0</v>
      </c>
      <c r="E859" s="245">
        <v>2</v>
      </c>
      <c r="F859" s="245">
        <v>2</v>
      </c>
      <c r="H859" s="245">
        <v>4</v>
      </c>
      <c r="I859" s="245">
        <v>107.95</v>
      </c>
      <c r="J859" s="245">
        <v>0</v>
      </c>
      <c r="K859" s="245">
        <v>215.9</v>
      </c>
      <c r="L859" s="245">
        <v>215.9</v>
      </c>
      <c r="M859" s="245">
        <v>0</v>
      </c>
      <c r="N859" s="245">
        <v>431.8</v>
      </c>
      <c r="O859" s="245" t="s">
        <v>39</v>
      </c>
      <c r="P859" s="245" t="s">
        <v>663</v>
      </c>
      <c r="Q859" s="245" t="s">
        <v>764</v>
      </c>
      <c r="R859" s="246" t="s">
        <v>32</v>
      </c>
    </row>
    <row r="860" spans="1:18" ht="52" x14ac:dyDescent="0.8">
      <c r="A860" s="247">
        <v>26152</v>
      </c>
      <c r="B860" s="248" t="s">
        <v>1069</v>
      </c>
      <c r="C860" s="249" t="s">
        <v>55</v>
      </c>
      <c r="D860" s="245">
        <v>0</v>
      </c>
      <c r="F860" s="245">
        <v>1</v>
      </c>
      <c r="G860" s="245">
        <v>1</v>
      </c>
      <c r="H860" s="245">
        <v>2</v>
      </c>
      <c r="I860" s="245">
        <v>0</v>
      </c>
      <c r="J860" s="245">
        <v>0</v>
      </c>
      <c r="K860" s="245">
        <v>0</v>
      </c>
      <c r="L860" s="245">
        <v>0</v>
      </c>
      <c r="M860" s="245">
        <v>0</v>
      </c>
      <c r="O860" s="245" t="s">
        <v>39</v>
      </c>
      <c r="P860" s="245" t="s">
        <v>764</v>
      </c>
      <c r="Q860" s="245" t="s">
        <v>764</v>
      </c>
      <c r="R860" s="246" t="s">
        <v>32</v>
      </c>
    </row>
    <row r="861" spans="1:18" ht="26" x14ac:dyDescent="0.8">
      <c r="A861" s="247">
        <v>26153</v>
      </c>
      <c r="B861" s="248" t="s">
        <v>1071</v>
      </c>
      <c r="C861" s="249" t="s">
        <v>970</v>
      </c>
      <c r="D861" s="245">
        <v>0</v>
      </c>
      <c r="F861" s="245">
        <v>20</v>
      </c>
      <c r="G861" s="245">
        <v>10</v>
      </c>
      <c r="H861" s="245">
        <v>30</v>
      </c>
      <c r="I861" s="245">
        <v>10.034934666666667</v>
      </c>
      <c r="J861" s="245">
        <v>0</v>
      </c>
      <c r="K861" s="245">
        <v>0</v>
      </c>
      <c r="L861" s="245">
        <v>200.69869333333332</v>
      </c>
      <c r="M861" s="245">
        <v>100.34934666666666</v>
      </c>
      <c r="N861" s="245">
        <v>301.04804000000001</v>
      </c>
      <c r="O861" s="245" t="s">
        <v>39</v>
      </c>
      <c r="P861" s="245" t="s">
        <v>663</v>
      </c>
      <c r="Q861" s="245" t="s">
        <v>764</v>
      </c>
      <c r="R861" s="246" t="s">
        <v>32</v>
      </c>
    </row>
    <row r="862" spans="1:18" ht="26" x14ac:dyDescent="0.8">
      <c r="A862" s="247">
        <v>26154</v>
      </c>
      <c r="B862" s="248" t="s">
        <v>1073</v>
      </c>
      <c r="C862" s="249" t="s">
        <v>1075</v>
      </c>
      <c r="D862" s="245">
        <v>0</v>
      </c>
      <c r="F862" s="245">
        <v>16</v>
      </c>
      <c r="H862" s="245">
        <v>16</v>
      </c>
      <c r="I862" s="245">
        <v>10.5</v>
      </c>
      <c r="J862" s="245">
        <v>0</v>
      </c>
      <c r="K862" s="245">
        <v>0</v>
      </c>
      <c r="L862" s="245">
        <v>168</v>
      </c>
      <c r="M862" s="245">
        <v>0</v>
      </c>
      <c r="N862" s="245">
        <v>168</v>
      </c>
      <c r="O862" s="245" t="s">
        <v>39</v>
      </c>
      <c r="P862" s="245" t="s">
        <v>663</v>
      </c>
      <c r="Q862" s="245" t="s">
        <v>764</v>
      </c>
      <c r="R862" s="246" t="s">
        <v>32</v>
      </c>
    </row>
    <row r="863" spans="1:18" ht="26" x14ac:dyDescent="0.8">
      <c r="A863" s="247">
        <v>26155</v>
      </c>
      <c r="B863" s="248" t="s">
        <v>1076</v>
      </c>
      <c r="C863" s="249" t="s">
        <v>980</v>
      </c>
      <c r="D863" s="245">
        <v>0</v>
      </c>
      <c r="F863" s="245">
        <v>1</v>
      </c>
      <c r="H863" s="245">
        <v>1</v>
      </c>
      <c r="I863" s="245">
        <v>300</v>
      </c>
      <c r="J863" s="245">
        <v>0</v>
      </c>
      <c r="K863" s="245">
        <v>0</v>
      </c>
      <c r="L863" s="245">
        <v>300</v>
      </c>
      <c r="M863" s="245">
        <v>0</v>
      </c>
      <c r="N863" s="245">
        <v>300</v>
      </c>
      <c r="O863" s="245" t="s">
        <v>39</v>
      </c>
      <c r="P863" s="245" t="s">
        <v>663</v>
      </c>
      <c r="Q863" s="245" t="s">
        <v>764</v>
      </c>
      <c r="R863" s="246" t="s">
        <v>32</v>
      </c>
    </row>
    <row r="864" spans="1:18" x14ac:dyDescent="0.8">
      <c r="A864" s="247">
        <v>2616</v>
      </c>
      <c r="B864" s="248" t="s">
        <v>1077</v>
      </c>
      <c r="D864" s="245">
        <v>0</v>
      </c>
      <c r="R864" s="246" t="s">
        <v>32</v>
      </c>
    </row>
    <row r="865" spans="1:18" ht="26" x14ac:dyDescent="0.8">
      <c r="A865" s="247">
        <v>26161</v>
      </c>
      <c r="B865" s="248" t="s">
        <v>1078</v>
      </c>
      <c r="C865" s="249" t="s">
        <v>1079</v>
      </c>
      <c r="D865" s="245">
        <v>1</v>
      </c>
      <c r="H865" s="245">
        <v>1</v>
      </c>
      <c r="I865" s="245">
        <v>570</v>
      </c>
      <c r="J865" s="245">
        <v>0</v>
      </c>
      <c r="K865" s="245">
        <v>0</v>
      </c>
      <c r="L865" s="245">
        <v>0</v>
      </c>
      <c r="M865" s="245">
        <v>0</v>
      </c>
      <c r="N865" s="245">
        <v>0</v>
      </c>
      <c r="O865" s="245" t="s">
        <v>67</v>
      </c>
      <c r="P865" s="245" t="s">
        <v>764</v>
      </c>
      <c r="Q865" s="245" t="s">
        <v>764</v>
      </c>
      <c r="R865" s="246" t="s">
        <v>32</v>
      </c>
    </row>
    <row r="866" spans="1:18" x14ac:dyDescent="0.8">
      <c r="A866" s="247">
        <v>262</v>
      </c>
      <c r="B866" s="248" t="s">
        <v>1080</v>
      </c>
      <c r="D866" s="245">
        <v>0</v>
      </c>
      <c r="R866" s="246" t="s">
        <v>32</v>
      </c>
    </row>
    <row r="867" spans="1:18" x14ac:dyDescent="0.8">
      <c r="A867" s="247">
        <v>2621</v>
      </c>
      <c r="B867" s="248" t="s">
        <v>1081</v>
      </c>
      <c r="D867" s="245">
        <v>0</v>
      </c>
      <c r="R867" s="246" t="s">
        <v>32</v>
      </c>
    </row>
    <row r="868" spans="1:18" ht="26" hidden="1" x14ac:dyDescent="0.8">
      <c r="A868" s="247">
        <v>26211</v>
      </c>
      <c r="B868" s="248" t="s">
        <v>1082</v>
      </c>
      <c r="C868" s="249" t="s">
        <v>66</v>
      </c>
      <c r="D868" s="245">
        <v>0</v>
      </c>
      <c r="E868" s="245">
        <v>50</v>
      </c>
      <c r="H868" s="245">
        <v>50</v>
      </c>
      <c r="I868" s="245">
        <v>0.255</v>
      </c>
      <c r="J868" s="245">
        <v>0</v>
      </c>
      <c r="K868" s="245">
        <v>12.75</v>
      </c>
      <c r="L868" s="245">
        <v>0</v>
      </c>
      <c r="M868" s="245">
        <v>0</v>
      </c>
      <c r="N868" s="245">
        <v>12.75</v>
      </c>
      <c r="O868" s="245" t="s">
        <v>56</v>
      </c>
      <c r="P868" s="245" t="s">
        <v>708</v>
      </c>
      <c r="Q868" s="245" t="s">
        <v>764</v>
      </c>
      <c r="R868" s="246" t="s">
        <v>32</v>
      </c>
    </row>
    <row r="869" spans="1:18" ht="39" hidden="1" x14ac:dyDescent="0.8">
      <c r="A869" s="247">
        <v>26212</v>
      </c>
      <c r="B869" s="248" t="s">
        <v>1083</v>
      </c>
      <c r="C869" s="249" t="s">
        <v>55</v>
      </c>
      <c r="D869" s="245">
        <v>0</v>
      </c>
      <c r="E869" s="245">
        <v>1</v>
      </c>
      <c r="F869" s="245">
        <v>1</v>
      </c>
      <c r="G869" s="245">
        <v>1</v>
      </c>
      <c r="H869" s="245">
        <v>3</v>
      </c>
      <c r="I869" s="245">
        <v>0</v>
      </c>
      <c r="J869" s="245">
        <v>0</v>
      </c>
      <c r="K869" s="245">
        <v>0</v>
      </c>
      <c r="L869" s="245">
        <v>0</v>
      </c>
      <c r="M869" s="245">
        <v>0</v>
      </c>
      <c r="O869" s="245" t="s">
        <v>56</v>
      </c>
      <c r="P869" s="245" t="s">
        <v>708</v>
      </c>
      <c r="Q869" s="245" t="s">
        <v>764</v>
      </c>
      <c r="R869" s="246" t="s">
        <v>32</v>
      </c>
    </row>
    <row r="870" spans="1:18" ht="26" hidden="1" x14ac:dyDescent="0.8">
      <c r="A870" s="247">
        <v>26213</v>
      </c>
      <c r="B870" s="248" t="s">
        <v>1084</v>
      </c>
      <c r="C870" s="249" t="s">
        <v>301</v>
      </c>
      <c r="D870" s="245">
        <v>0</v>
      </c>
      <c r="E870" s="245">
        <v>38</v>
      </c>
      <c r="F870" s="245">
        <v>38</v>
      </c>
      <c r="G870" s="245">
        <v>38</v>
      </c>
      <c r="H870" s="245">
        <v>114</v>
      </c>
      <c r="I870" s="245">
        <v>0.67666666666666664</v>
      </c>
      <c r="J870" s="245">
        <v>0</v>
      </c>
      <c r="K870" s="245">
        <v>25.713333333333331</v>
      </c>
      <c r="L870" s="245">
        <v>25.713333333333331</v>
      </c>
      <c r="M870" s="245">
        <v>25.713333333333331</v>
      </c>
      <c r="N870" s="245">
        <v>77.139999999999986</v>
      </c>
      <c r="O870" s="245" t="s">
        <v>56</v>
      </c>
      <c r="P870" s="245" t="s">
        <v>764</v>
      </c>
      <c r="Q870" s="245" t="s">
        <v>764</v>
      </c>
      <c r="R870" s="246" t="s">
        <v>32</v>
      </c>
    </row>
    <row r="871" spans="1:18" hidden="1" x14ac:dyDescent="0.8">
      <c r="A871" s="247">
        <v>26214</v>
      </c>
      <c r="B871" s="248" t="s">
        <v>1085</v>
      </c>
      <c r="C871" s="249" t="s">
        <v>816</v>
      </c>
      <c r="D871" s="245">
        <v>0</v>
      </c>
      <c r="E871" s="245">
        <v>7600</v>
      </c>
      <c r="F871" s="245">
        <v>7600</v>
      </c>
      <c r="G871" s="245">
        <v>7600</v>
      </c>
      <c r="H871" s="245">
        <v>22800</v>
      </c>
      <c r="I871" s="245">
        <v>7.4999999999999997E-3</v>
      </c>
      <c r="J871" s="245">
        <v>0</v>
      </c>
      <c r="K871" s="245">
        <v>57</v>
      </c>
      <c r="L871" s="245">
        <v>57</v>
      </c>
      <c r="M871" s="245">
        <v>57</v>
      </c>
      <c r="N871" s="245">
        <v>171</v>
      </c>
      <c r="O871" s="245" t="s">
        <v>56</v>
      </c>
      <c r="P871" s="245" t="s">
        <v>764</v>
      </c>
      <c r="Q871" s="245" t="s">
        <v>764</v>
      </c>
      <c r="R871" s="246" t="s">
        <v>32</v>
      </c>
    </row>
    <row r="872" spans="1:18" ht="39" hidden="1" x14ac:dyDescent="0.8">
      <c r="A872" s="247">
        <v>26215</v>
      </c>
      <c r="B872" s="248" t="s">
        <v>1086</v>
      </c>
      <c r="C872" s="249" t="s">
        <v>55</v>
      </c>
      <c r="D872" s="245">
        <v>0</v>
      </c>
      <c r="I872" s="245">
        <v>0</v>
      </c>
      <c r="O872" s="245" t="s">
        <v>56</v>
      </c>
      <c r="P872" s="245" t="s">
        <v>764</v>
      </c>
      <c r="Q872" s="245" t="s">
        <v>764</v>
      </c>
      <c r="R872" s="246" t="s">
        <v>32</v>
      </c>
    </row>
    <row r="873" spans="1:18" ht="26" hidden="1" x14ac:dyDescent="0.8">
      <c r="A873" s="247">
        <v>26216</v>
      </c>
      <c r="B873" s="248" t="s">
        <v>1087</v>
      </c>
      <c r="C873" s="249" t="s">
        <v>66</v>
      </c>
      <c r="D873" s="245">
        <v>0</v>
      </c>
      <c r="E873" s="245">
        <v>120</v>
      </c>
      <c r="F873" s="245">
        <v>120</v>
      </c>
      <c r="G873" s="245">
        <v>120</v>
      </c>
      <c r="H873" s="245">
        <v>360</v>
      </c>
      <c r="I873" s="245">
        <v>0.255</v>
      </c>
      <c r="J873" s="245">
        <v>0</v>
      </c>
      <c r="K873" s="245">
        <v>30.6</v>
      </c>
      <c r="L873" s="245">
        <v>30.6</v>
      </c>
      <c r="M873" s="245">
        <v>30.6</v>
      </c>
      <c r="N873" s="245">
        <v>91.800000000000011</v>
      </c>
      <c r="O873" s="245" t="s">
        <v>56</v>
      </c>
      <c r="P873" s="245" t="s">
        <v>764</v>
      </c>
      <c r="Q873" s="245" t="s">
        <v>764</v>
      </c>
      <c r="R873" s="246" t="s">
        <v>32</v>
      </c>
    </row>
    <row r="874" spans="1:18" hidden="1" x14ac:dyDescent="0.8">
      <c r="A874" s="247">
        <v>26217</v>
      </c>
      <c r="B874" s="248" t="s">
        <v>1088</v>
      </c>
      <c r="C874" s="249" t="s">
        <v>66</v>
      </c>
      <c r="D874" s="245">
        <v>0</v>
      </c>
      <c r="E874" s="245">
        <v>100</v>
      </c>
      <c r="F874" s="245">
        <v>100</v>
      </c>
      <c r="G874" s="245">
        <v>100</v>
      </c>
      <c r="H874" s="245">
        <v>300</v>
      </c>
      <c r="I874" s="245">
        <v>0.255</v>
      </c>
      <c r="J874" s="245">
        <v>0</v>
      </c>
      <c r="K874" s="245">
        <v>25.5</v>
      </c>
      <c r="L874" s="245">
        <v>25.5</v>
      </c>
      <c r="M874" s="245">
        <v>25.5</v>
      </c>
      <c r="N874" s="245">
        <v>76.5</v>
      </c>
      <c r="O874" s="245" t="s">
        <v>56</v>
      </c>
      <c r="P874" s="245" t="s">
        <v>764</v>
      </c>
      <c r="Q874" s="245" t="s">
        <v>764</v>
      </c>
      <c r="R874" s="246" t="s">
        <v>32</v>
      </c>
    </row>
    <row r="875" spans="1:18" x14ac:dyDescent="0.8">
      <c r="A875" s="247">
        <v>2622</v>
      </c>
      <c r="B875" s="248" t="s">
        <v>1089</v>
      </c>
      <c r="D875" s="245">
        <v>0</v>
      </c>
      <c r="R875" s="246" t="s">
        <v>32</v>
      </c>
    </row>
    <row r="876" spans="1:18" ht="52" hidden="1" x14ac:dyDescent="0.8">
      <c r="A876" s="247">
        <v>26221</v>
      </c>
      <c r="B876" s="248" t="s">
        <v>1090</v>
      </c>
      <c r="C876" s="249" t="s">
        <v>59</v>
      </c>
      <c r="D876" s="245">
        <v>0</v>
      </c>
      <c r="E876" s="245">
        <v>224</v>
      </c>
      <c r="F876" s="245">
        <v>224</v>
      </c>
      <c r="G876" s="245">
        <v>224</v>
      </c>
      <c r="H876" s="245">
        <v>672</v>
      </c>
      <c r="I876" s="245">
        <v>0.8177777777777776</v>
      </c>
      <c r="J876" s="245">
        <v>0</v>
      </c>
      <c r="K876" s="245">
        <v>183.18222222222218</v>
      </c>
      <c r="L876" s="245">
        <v>183.18222222222218</v>
      </c>
      <c r="M876" s="245">
        <v>183.18222222222218</v>
      </c>
      <c r="N876" s="245">
        <v>549.54666666666651</v>
      </c>
      <c r="O876" s="245" t="s">
        <v>56</v>
      </c>
      <c r="P876" s="245" t="s">
        <v>273</v>
      </c>
      <c r="Q876" s="245" t="s">
        <v>1091</v>
      </c>
      <c r="R876" s="246" t="s">
        <v>32</v>
      </c>
    </row>
    <row r="877" spans="1:18" hidden="1" x14ac:dyDescent="0.8">
      <c r="A877" s="247">
        <v>26222</v>
      </c>
      <c r="B877" s="248" t="s">
        <v>1092</v>
      </c>
      <c r="C877" s="249" t="s">
        <v>38</v>
      </c>
      <c r="D877" s="245">
        <v>0</v>
      </c>
      <c r="E877" s="245">
        <v>160</v>
      </c>
      <c r="F877" s="245">
        <v>160</v>
      </c>
      <c r="G877" s="245">
        <v>160</v>
      </c>
      <c r="H877" s="245">
        <v>480</v>
      </c>
      <c r="I877" s="245">
        <v>0.3133333333333333</v>
      </c>
      <c r="J877" s="245">
        <v>0</v>
      </c>
      <c r="K877" s="245">
        <v>50.133333333333326</v>
      </c>
      <c r="L877" s="245">
        <v>50.133333333333326</v>
      </c>
      <c r="M877" s="245">
        <v>50.133333333333326</v>
      </c>
      <c r="N877" s="245">
        <v>150.39999999999998</v>
      </c>
      <c r="O877" s="245" t="s">
        <v>56</v>
      </c>
      <c r="P877" s="245" t="s">
        <v>273</v>
      </c>
      <c r="Q877" s="245" t="s">
        <v>1091</v>
      </c>
      <c r="R877" s="246" t="s">
        <v>32</v>
      </c>
    </row>
    <row r="878" spans="1:18" ht="26" x14ac:dyDescent="0.8">
      <c r="A878" s="247">
        <v>2623</v>
      </c>
      <c r="B878" s="248" t="s">
        <v>1093</v>
      </c>
      <c r="D878" s="245">
        <v>0</v>
      </c>
      <c r="R878" s="246" t="s">
        <v>32</v>
      </c>
    </row>
    <row r="879" spans="1:18" ht="39" hidden="1" x14ac:dyDescent="0.8">
      <c r="A879" s="247">
        <v>26231</v>
      </c>
      <c r="B879" s="248" t="s">
        <v>1094</v>
      </c>
      <c r="C879" s="249" t="s">
        <v>55</v>
      </c>
      <c r="D879" s="245">
        <v>0</v>
      </c>
      <c r="E879" s="245">
        <v>1</v>
      </c>
      <c r="H879" s="245">
        <v>1</v>
      </c>
      <c r="I879" s="245">
        <v>0</v>
      </c>
      <c r="J879" s="245">
        <v>0</v>
      </c>
      <c r="K879" s="245">
        <v>0</v>
      </c>
      <c r="L879" s="245">
        <v>0</v>
      </c>
      <c r="M879" s="245">
        <v>0</v>
      </c>
      <c r="O879" s="245" t="s">
        <v>56</v>
      </c>
      <c r="P879" s="245" t="s">
        <v>708</v>
      </c>
      <c r="Q879" s="245" t="s">
        <v>273</v>
      </c>
      <c r="R879" s="246" t="s">
        <v>32</v>
      </c>
    </row>
    <row r="880" spans="1:18" ht="65" hidden="1" x14ac:dyDescent="0.8">
      <c r="A880" s="247">
        <v>26232</v>
      </c>
      <c r="B880" s="248" t="s">
        <v>1096</v>
      </c>
      <c r="C880" s="249" t="s">
        <v>38</v>
      </c>
      <c r="D880" s="245">
        <v>0</v>
      </c>
      <c r="E880" s="245">
        <v>160</v>
      </c>
      <c r="H880" s="245">
        <v>160</v>
      </c>
      <c r="I880" s="245">
        <v>0.3133333333333333</v>
      </c>
      <c r="J880" s="245">
        <v>0</v>
      </c>
      <c r="K880" s="245">
        <v>50.133333333333326</v>
      </c>
      <c r="L880" s="245">
        <v>0</v>
      </c>
      <c r="M880" s="245">
        <v>0</v>
      </c>
      <c r="N880" s="245">
        <v>50.133333333333326</v>
      </c>
      <c r="O880" s="245" t="s">
        <v>56</v>
      </c>
      <c r="P880" s="245" t="s">
        <v>708</v>
      </c>
      <c r="Q880" s="245" t="s">
        <v>273</v>
      </c>
      <c r="R880" s="246" t="s">
        <v>32</v>
      </c>
    </row>
    <row r="881" spans="1:18" ht="26" hidden="1" x14ac:dyDescent="0.8">
      <c r="A881" s="247">
        <v>26233</v>
      </c>
      <c r="B881" s="248" t="s">
        <v>1097</v>
      </c>
      <c r="C881" s="249" t="s">
        <v>38</v>
      </c>
      <c r="D881" s="245">
        <v>0</v>
      </c>
      <c r="E881" s="245">
        <v>30</v>
      </c>
      <c r="H881" s="245">
        <v>30</v>
      </c>
      <c r="I881" s="245">
        <v>0.3133333333333333</v>
      </c>
      <c r="J881" s="245">
        <v>0</v>
      </c>
      <c r="K881" s="245">
        <v>9.3999999999999986</v>
      </c>
      <c r="L881" s="245">
        <v>0</v>
      </c>
      <c r="M881" s="245">
        <v>0</v>
      </c>
      <c r="N881" s="245">
        <v>9.3999999999999986</v>
      </c>
      <c r="O881" s="245" t="s">
        <v>56</v>
      </c>
      <c r="P881" s="245" t="s">
        <v>708</v>
      </c>
      <c r="Q881" s="245" t="s">
        <v>273</v>
      </c>
      <c r="R881" s="246" t="s">
        <v>32</v>
      </c>
    </row>
    <row r="882" spans="1:18" ht="26" hidden="1" x14ac:dyDescent="0.8">
      <c r="A882" s="247">
        <v>26234</v>
      </c>
      <c r="B882" s="248" t="s">
        <v>1098</v>
      </c>
      <c r="C882" s="249" t="s">
        <v>55</v>
      </c>
      <c r="D882" s="245">
        <v>0</v>
      </c>
      <c r="F882" s="245">
        <v>1</v>
      </c>
      <c r="H882" s="245">
        <v>1</v>
      </c>
      <c r="I882" s="245">
        <v>0</v>
      </c>
      <c r="J882" s="245">
        <v>0</v>
      </c>
      <c r="K882" s="245">
        <v>0</v>
      </c>
      <c r="L882" s="245">
        <v>0</v>
      </c>
      <c r="M882" s="245">
        <v>0</v>
      </c>
      <c r="O882" s="245" t="s">
        <v>56</v>
      </c>
      <c r="P882" s="245" t="s">
        <v>708</v>
      </c>
      <c r="Q882" s="245" t="s">
        <v>273</v>
      </c>
      <c r="R882" s="246" t="s">
        <v>32</v>
      </c>
    </row>
    <row r="883" spans="1:18" hidden="1" x14ac:dyDescent="0.8">
      <c r="A883" s="247">
        <v>26235</v>
      </c>
      <c r="B883" s="248" t="s">
        <v>1099</v>
      </c>
      <c r="C883" s="249" t="s">
        <v>1101</v>
      </c>
      <c r="D883" s="245">
        <v>0</v>
      </c>
      <c r="E883" s="245">
        <v>0.94444920263311705</v>
      </c>
      <c r="F883" s="245">
        <v>0.99959583372921401</v>
      </c>
      <c r="G883" s="245">
        <v>1.0559549636376699</v>
      </c>
      <c r="H883" s="245">
        <v>3.0000000000000009</v>
      </c>
      <c r="I883" s="245">
        <v>45791.453339168198</v>
      </c>
      <c r="J883" s="245">
        <v>0</v>
      </c>
      <c r="K883" s="245">
        <v>43247.701593588987</v>
      </c>
      <c r="L883" s="245">
        <v>45772.945978238233</v>
      </c>
      <c r="M883" s="245">
        <v>48353.712445677411</v>
      </c>
      <c r="N883" s="245">
        <v>137374.36001750463</v>
      </c>
      <c r="O883" s="245" t="s">
        <v>56</v>
      </c>
      <c r="P883" s="245" t="s">
        <v>708</v>
      </c>
      <c r="Q883" s="245" t="s">
        <v>273</v>
      </c>
      <c r="R883" s="246" t="s">
        <v>32</v>
      </c>
    </row>
    <row r="884" spans="1:18" ht="39" x14ac:dyDescent="0.8">
      <c r="A884" s="247">
        <v>263</v>
      </c>
      <c r="B884" s="248" t="s">
        <v>1102</v>
      </c>
      <c r="D884" s="245">
        <v>0</v>
      </c>
      <c r="R884" s="246" t="s">
        <v>32</v>
      </c>
    </row>
    <row r="885" spans="1:18" x14ac:dyDescent="0.8">
      <c r="A885" s="247">
        <v>2631</v>
      </c>
      <c r="B885" s="248" t="s">
        <v>1103</v>
      </c>
      <c r="D885" s="245">
        <v>0</v>
      </c>
      <c r="R885" s="246" t="s">
        <v>32</v>
      </c>
    </row>
    <row r="886" spans="1:18" ht="39" hidden="1" x14ac:dyDescent="0.8">
      <c r="A886" s="247">
        <v>26311</v>
      </c>
      <c r="B886" s="248" t="s">
        <v>1104</v>
      </c>
      <c r="C886" s="249" t="s">
        <v>55</v>
      </c>
      <c r="D886" s="245">
        <v>0</v>
      </c>
      <c r="I886" s="245">
        <v>0</v>
      </c>
      <c r="O886" s="245" t="s">
        <v>56</v>
      </c>
      <c r="P886" s="245" t="s">
        <v>255</v>
      </c>
      <c r="Q886" s="245" t="s">
        <v>764</v>
      </c>
      <c r="R886" s="246" t="s">
        <v>32</v>
      </c>
    </row>
    <row r="887" spans="1:18" ht="26" x14ac:dyDescent="0.8">
      <c r="A887" s="247">
        <v>26312</v>
      </c>
      <c r="B887" s="248" t="s">
        <v>709</v>
      </c>
      <c r="C887" s="249" t="s">
        <v>646</v>
      </c>
      <c r="D887" s="245">
        <v>0</v>
      </c>
      <c r="E887" s="245">
        <v>20</v>
      </c>
      <c r="H887" s="245">
        <v>20</v>
      </c>
      <c r="I887" s="245">
        <v>10.404797</v>
      </c>
      <c r="J887" s="245">
        <v>0</v>
      </c>
      <c r="K887" s="245">
        <v>208.09594000000001</v>
      </c>
      <c r="L887" s="245">
        <v>0</v>
      </c>
      <c r="M887" s="245">
        <v>0</v>
      </c>
      <c r="N887" s="245">
        <v>208.09594000000001</v>
      </c>
      <c r="O887" s="245" t="s">
        <v>39</v>
      </c>
      <c r="P887" s="245" t="s">
        <v>708</v>
      </c>
      <c r="Q887" s="245" t="s">
        <v>764</v>
      </c>
      <c r="R887" s="246" t="s">
        <v>32</v>
      </c>
    </row>
    <row r="888" spans="1:18" ht="39" x14ac:dyDescent="0.8">
      <c r="A888" s="247">
        <v>26313</v>
      </c>
      <c r="B888" s="248" t="s">
        <v>1105</v>
      </c>
      <c r="C888" s="249" t="s">
        <v>66</v>
      </c>
      <c r="D888" s="245">
        <v>0</v>
      </c>
      <c r="E888" s="245">
        <v>200</v>
      </c>
      <c r="H888" s="245">
        <v>200</v>
      </c>
      <c r="I888" s="245">
        <v>0.255</v>
      </c>
      <c r="J888" s="245">
        <v>0</v>
      </c>
      <c r="K888" s="245">
        <v>51</v>
      </c>
      <c r="L888" s="245">
        <v>0</v>
      </c>
      <c r="M888" s="245">
        <v>0</v>
      </c>
      <c r="N888" s="245">
        <v>51</v>
      </c>
      <c r="O888" s="245" t="s">
        <v>39</v>
      </c>
      <c r="P888" s="245" t="s">
        <v>708</v>
      </c>
      <c r="Q888" s="245" t="s">
        <v>764</v>
      </c>
      <c r="R888" s="246" t="s">
        <v>32</v>
      </c>
    </row>
    <row r="889" spans="1:18" x14ac:dyDescent="0.8">
      <c r="A889" s="247">
        <v>26314</v>
      </c>
      <c r="B889" s="248" t="s">
        <v>1106</v>
      </c>
      <c r="C889" s="249" t="s">
        <v>38</v>
      </c>
      <c r="D889" s="245">
        <v>0</v>
      </c>
      <c r="E889" s="245">
        <v>30</v>
      </c>
      <c r="H889" s="245">
        <v>30</v>
      </c>
      <c r="I889" s="245">
        <v>0.3133333333333333</v>
      </c>
      <c r="J889" s="245">
        <v>0</v>
      </c>
      <c r="K889" s="245">
        <v>9.3999999999999986</v>
      </c>
      <c r="L889" s="245">
        <v>0</v>
      </c>
      <c r="M889" s="245">
        <v>0</v>
      </c>
      <c r="N889" s="245">
        <v>9.3999999999999986</v>
      </c>
      <c r="O889" s="245" t="s">
        <v>39</v>
      </c>
      <c r="P889" s="245" t="s">
        <v>708</v>
      </c>
      <c r="Q889" s="245" t="s">
        <v>764</v>
      </c>
      <c r="R889" s="246" t="s">
        <v>32</v>
      </c>
    </row>
    <row r="890" spans="1:18" ht="26" x14ac:dyDescent="0.8">
      <c r="A890" s="247">
        <v>26315</v>
      </c>
      <c r="B890" s="248" t="s">
        <v>1107</v>
      </c>
      <c r="C890" s="249" t="s">
        <v>816</v>
      </c>
      <c r="D890" s="245">
        <v>0</v>
      </c>
      <c r="F890" s="245">
        <v>532</v>
      </c>
      <c r="H890" s="245">
        <v>532</v>
      </c>
      <c r="I890" s="245">
        <v>7.4999999999999997E-3</v>
      </c>
      <c r="J890" s="245">
        <v>0</v>
      </c>
      <c r="K890" s="245">
        <v>0</v>
      </c>
      <c r="L890" s="245">
        <v>3.9899999999999998</v>
      </c>
      <c r="M890" s="245">
        <v>0</v>
      </c>
      <c r="N890" s="245">
        <v>3.9899999999999998</v>
      </c>
      <c r="O890" s="245" t="s">
        <v>39</v>
      </c>
      <c r="P890" s="245" t="s">
        <v>764</v>
      </c>
      <c r="Q890" s="245" t="s">
        <v>708</v>
      </c>
      <c r="R890" s="246" t="s">
        <v>32</v>
      </c>
    </row>
    <row r="891" spans="1:18" ht="26" x14ac:dyDescent="0.8">
      <c r="A891" s="247">
        <v>264</v>
      </c>
      <c r="B891" s="248" t="s">
        <v>1109</v>
      </c>
      <c r="D891" s="245">
        <v>0</v>
      </c>
      <c r="R891" s="246" t="s">
        <v>32</v>
      </c>
    </row>
    <row r="892" spans="1:18" ht="26" x14ac:dyDescent="0.8">
      <c r="A892" s="247">
        <v>2641</v>
      </c>
      <c r="B892" s="248" t="s">
        <v>1110</v>
      </c>
      <c r="D892" s="245">
        <v>0</v>
      </c>
      <c r="R892" s="246" t="s">
        <v>32</v>
      </c>
    </row>
    <row r="893" spans="1:18" ht="26" hidden="1" x14ac:dyDescent="0.8">
      <c r="A893" s="247">
        <v>26411</v>
      </c>
      <c r="B893" s="248" t="s">
        <v>1111</v>
      </c>
      <c r="C893" s="249" t="s">
        <v>301</v>
      </c>
      <c r="D893" s="245">
        <v>0</v>
      </c>
      <c r="F893" s="245">
        <v>160</v>
      </c>
      <c r="H893" s="245">
        <v>160</v>
      </c>
      <c r="I893" s="245">
        <v>0.67666666666666664</v>
      </c>
      <c r="J893" s="245">
        <v>0</v>
      </c>
      <c r="K893" s="245">
        <v>0</v>
      </c>
      <c r="L893" s="245">
        <v>108.26666666666667</v>
      </c>
      <c r="M893" s="245">
        <v>0</v>
      </c>
      <c r="N893" s="245">
        <v>108.26666666666667</v>
      </c>
      <c r="O893" s="245" t="s">
        <v>169</v>
      </c>
      <c r="P893" s="245" t="s">
        <v>764</v>
      </c>
      <c r="Q893" s="245" t="s">
        <v>1112</v>
      </c>
      <c r="R893" s="246" t="s">
        <v>32</v>
      </c>
    </row>
    <row r="894" spans="1:18" ht="39" hidden="1" x14ac:dyDescent="0.8">
      <c r="A894" s="247">
        <v>26412</v>
      </c>
      <c r="B894" s="248" t="s">
        <v>1113</v>
      </c>
      <c r="C894" s="249" t="s">
        <v>352</v>
      </c>
      <c r="D894" s="245">
        <v>0</v>
      </c>
      <c r="F894" s="245">
        <v>300</v>
      </c>
      <c r="G894" s="245">
        <v>500</v>
      </c>
      <c r="H894" s="245">
        <v>800</v>
      </c>
      <c r="I894" s="245">
        <v>0.54600000000000004</v>
      </c>
      <c r="J894" s="245">
        <v>0</v>
      </c>
      <c r="K894" s="245">
        <v>0</v>
      </c>
      <c r="L894" s="245">
        <v>163.80000000000001</v>
      </c>
      <c r="M894" s="245">
        <v>273</v>
      </c>
      <c r="N894" s="245">
        <v>436.8</v>
      </c>
      <c r="O894" s="245" t="s">
        <v>169</v>
      </c>
      <c r="P894" s="245" t="s">
        <v>764</v>
      </c>
      <c r="Q894" s="245" t="s">
        <v>1114</v>
      </c>
      <c r="R894" s="246" t="s">
        <v>32</v>
      </c>
    </row>
    <row r="895" spans="1:18" ht="26" x14ac:dyDescent="0.8">
      <c r="A895" s="247">
        <v>27</v>
      </c>
      <c r="B895" s="248" t="s">
        <v>1115</v>
      </c>
      <c r="D895" s="245">
        <v>0</v>
      </c>
      <c r="R895" s="246" t="s">
        <v>32</v>
      </c>
    </row>
    <row r="896" spans="1:18" ht="65" x14ac:dyDescent="0.8">
      <c r="A896" s="247">
        <v>271</v>
      </c>
      <c r="B896" s="248" t="s">
        <v>1116</v>
      </c>
      <c r="D896" s="245">
        <v>0</v>
      </c>
      <c r="R896" s="246" t="s">
        <v>32</v>
      </c>
    </row>
    <row r="897" spans="1:18" ht="26" x14ac:dyDescent="0.8">
      <c r="A897" s="247">
        <v>2711</v>
      </c>
      <c r="B897" s="248" t="s">
        <v>1117</v>
      </c>
      <c r="D897" s="245">
        <v>0</v>
      </c>
      <c r="R897" s="246" t="s">
        <v>32</v>
      </c>
    </row>
    <row r="898" spans="1:18" ht="26" hidden="1" x14ac:dyDescent="0.8">
      <c r="A898" s="247">
        <v>27111</v>
      </c>
      <c r="B898" s="248" t="s">
        <v>1118</v>
      </c>
      <c r="C898" s="249" t="s">
        <v>55</v>
      </c>
      <c r="D898" s="245">
        <v>0</v>
      </c>
      <c r="H898" s="245">
        <v>0</v>
      </c>
      <c r="I898" s="245">
        <v>0</v>
      </c>
      <c r="J898" s="245">
        <v>0</v>
      </c>
      <c r="K898" s="245">
        <v>0</v>
      </c>
      <c r="L898" s="245">
        <v>0</v>
      </c>
      <c r="M898" s="245">
        <v>0</v>
      </c>
      <c r="O898" s="245" t="s">
        <v>56</v>
      </c>
      <c r="P898" s="245" t="s">
        <v>1120</v>
      </c>
      <c r="Q898" s="245" t="s">
        <v>192</v>
      </c>
      <c r="R898" s="246" t="s">
        <v>32</v>
      </c>
    </row>
    <row r="899" spans="1:18" ht="26" x14ac:dyDescent="0.8">
      <c r="A899" s="247">
        <v>27112</v>
      </c>
      <c r="B899" s="248" t="s">
        <v>1121</v>
      </c>
      <c r="C899" s="249" t="s">
        <v>1123</v>
      </c>
      <c r="D899" s="245">
        <v>0</v>
      </c>
      <c r="H899" s="245">
        <v>0</v>
      </c>
      <c r="I899" s="245">
        <v>327.75</v>
      </c>
      <c r="J899" s="245">
        <v>0</v>
      </c>
      <c r="K899" s="245">
        <v>0</v>
      </c>
      <c r="L899" s="245">
        <v>0</v>
      </c>
      <c r="M899" s="245">
        <v>0</v>
      </c>
      <c r="N899" s="245">
        <v>0</v>
      </c>
      <c r="O899" s="245" t="s">
        <v>67</v>
      </c>
      <c r="P899" s="245" t="s">
        <v>255</v>
      </c>
      <c r="Q899" s="245" t="s">
        <v>192</v>
      </c>
      <c r="R899" s="246" t="s">
        <v>32</v>
      </c>
    </row>
    <row r="900" spans="1:18" ht="26" hidden="1" x14ac:dyDescent="0.8">
      <c r="A900" s="247">
        <v>27112</v>
      </c>
      <c r="B900" s="248" t="s">
        <v>1121</v>
      </c>
      <c r="C900" s="249" t="s">
        <v>1123</v>
      </c>
      <c r="D900" s="245">
        <v>0</v>
      </c>
      <c r="E900" s="245">
        <v>10</v>
      </c>
      <c r="F900" s="245">
        <v>20</v>
      </c>
      <c r="G900" s="245">
        <v>25</v>
      </c>
      <c r="H900" s="245">
        <v>55</v>
      </c>
      <c r="I900" s="245">
        <v>327.75</v>
      </c>
      <c r="J900" s="245">
        <v>0</v>
      </c>
      <c r="K900" s="245">
        <v>3277.5</v>
      </c>
      <c r="L900" s="245">
        <v>6555</v>
      </c>
      <c r="M900" s="245">
        <v>8193.75</v>
      </c>
      <c r="N900" s="245">
        <v>18026.25</v>
      </c>
      <c r="O900" s="245" t="s">
        <v>56</v>
      </c>
      <c r="P900" s="245" t="s">
        <v>255</v>
      </c>
      <c r="Q900" s="245" t="s">
        <v>192</v>
      </c>
      <c r="R900" s="246" t="s">
        <v>32</v>
      </c>
    </row>
    <row r="901" spans="1:18" hidden="1" x14ac:dyDescent="0.8">
      <c r="A901" s="247">
        <v>27113</v>
      </c>
      <c r="B901" s="248" t="s">
        <v>1124</v>
      </c>
      <c r="C901" s="249" t="s">
        <v>1125</v>
      </c>
      <c r="D901" s="245">
        <v>0</v>
      </c>
      <c r="G901" s="245">
        <v>1</v>
      </c>
      <c r="H901" s="245">
        <v>1</v>
      </c>
      <c r="I901" s="245">
        <v>285</v>
      </c>
      <c r="J901" s="245">
        <v>0</v>
      </c>
      <c r="K901" s="245">
        <v>0</v>
      </c>
      <c r="L901" s="245">
        <v>0</v>
      </c>
      <c r="M901" s="245">
        <v>285</v>
      </c>
      <c r="N901" s="245">
        <v>285</v>
      </c>
      <c r="O901" s="245" t="s">
        <v>56</v>
      </c>
      <c r="P901" s="245" t="s">
        <v>1126</v>
      </c>
      <c r="Q901" s="245" t="s">
        <v>192</v>
      </c>
      <c r="R901" s="246" t="s">
        <v>32</v>
      </c>
    </row>
    <row r="902" spans="1:18" hidden="1" x14ac:dyDescent="0.8">
      <c r="A902" s="247">
        <v>27114</v>
      </c>
      <c r="B902" s="248" t="s">
        <v>1127</v>
      </c>
      <c r="C902" s="249" t="s">
        <v>59</v>
      </c>
      <c r="D902" s="245">
        <v>0</v>
      </c>
      <c r="E902" s="245">
        <v>320</v>
      </c>
      <c r="F902" s="245">
        <v>320</v>
      </c>
      <c r="G902" s="245">
        <v>320</v>
      </c>
      <c r="H902" s="245">
        <v>960</v>
      </c>
      <c r="I902" s="245">
        <v>0.8177777777777776</v>
      </c>
      <c r="J902" s="245">
        <v>0</v>
      </c>
      <c r="K902" s="245">
        <v>261.68888888888881</v>
      </c>
      <c r="L902" s="245">
        <v>261.68888888888881</v>
      </c>
      <c r="M902" s="245">
        <v>261.68888888888881</v>
      </c>
      <c r="N902" s="245">
        <v>785.06666666666638</v>
      </c>
      <c r="O902" s="245" t="s">
        <v>56</v>
      </c>
      <c r="P902" s="245" t="s">
        <v>192</v>
      </c>
      <c r="Q902" s="245" t="s">
        <v>192</v>
      </c>
      <c r="R902" s="246" t="s">
        <v>32</v>
      </c>
    </row>
    <row r="903" spans="1:18" ht="26" x14ac:dyDescent="0.8">
      <c r="A903" s="247">
        <v>272</v>
      </c>
      <c r="B903" s="248" t="s">
        <v>1129</v>
      </c>
      <c r="D903" s="245">
        <v>0</v>
      </c>
      <c r="R903" s="246" t="s">
        <v>32</v>
      </c>
    </row>
    <row r="904" spans="1:18" ht="26" x14ac:dyDescent="0.8">
      <c r="A904" s="247">
        <v>2721</v>
      </c>
      <c r="B904" s="248" t="s">
        <v>1130</v>
      </c>
      <c r="D904" s="245">
        <v>0</v>
      </c>
      <c r="R904" s="246" t="s">
        <v>32</v>
      </c>
    </row>
    <row r="905" spans="1:18" hidden="1" x14ac:dyDescent="0.8">
      <c r="A905" s="247">
        <v>27211</v>
      </c>
      <c r="B905" s="248" t="s">
        <v>1131</v>
      </c>
      <c r="C905" s="249" t="s">
        <v>55</v>
      </c>
      <c r="D905" s="245">
        <v>0</v>
      </c>
      <c r="E905" s="245">
        <v>1</v>
      </c>
      <c r="H905" s="245">
        <v>1</v>
      </c>
      <c r="I905" s="245">
        <v>0</v>
      </c>
      <c r="J905" s="245">
        <v>0</v>
      </c>
      <c r="K905" s="245">
        <v>0</v>
      </c>
      <c r="L905" s="245">
        <v>0</v>
      </c>
      <c r="M905" s="245">
        <v>0</v>
      </c>
      <c r="O905" s="245" t="s">
        <v>56</v>
      </c>
      <c r="P905" s="245" t="s">
        <v>1132</v>
      </c>
      <c r="Q905" s="245" t="s">
        <v>192</v>
      </c>
      <c r="R905" s="246" t="s">
        <v>32</v>
      </c>
    </row>
    <row r="906" spans="1:18" ht="39" hidden="1" x14ac:dyDescent="0.8">
      <c r="A906" s="247">
        <v>27212</v>
      </c>
      <c r="B906" s="248" t="s">
        <v>1133</v>
      </c>
      <c r="C906" s="249" t="s">
        <v>646</v>
      </c>
      <c r="D906" s="245">
        <v>0</v>
      </c>
      <c r="E906" s="245">
        <v>270</v>
      </c>
      <c r="F906" s="245">
        <v>270</v>
      </c>
      <c r="H906" s="245">
        <v>540</v>
      </c>
      <c r="I906" s="245">
        <v>10.404797</v>
      </c>
      <c r="J906" s="245">
        <v>0</v>
      </c>
      <c r="K906" s="245">
        <v>2809.2951900000003</v>
      </c>
      <c r="L906" s="245">
        <v>2809.2951900000003</v>
      </c>
      <c r="M906" s="245">
        <v>0</v>
      </c>
      <c r="N906" s="245">
        <v>5618.5903800000006</v>
      </c>
      <c r="O906" s="245" t="s">
        <v>56</v>
      </c>
      <c r="P906" s="245" t="s">
        <v>1132</v>
      </c>
      <c r="Q906" s="245" t="s">
        <v>192</v>
      </c>
      <c r="R906" s="246" t="s">
        <v>32</v>
      </c>
    </row>
    <row r="907" spans="1:18" hidden="1" x14ac:dyDescent="0.8">
      <c r="A907" s="247">
        <v>27213</v>
      </c>
      <c r="B907" s="248" t="s">
        <v>1134</v>
      </c>
      <c r="C907" s="249" t="s">
        <v>38</v>
      </c>
      <c r="D907" s="245">
        <v>0</v>
      </c>
      <c r="E907" s="245">
        <v>180</v>
      </c>
      <c r="F907" s="245">
        <v>160</v>
      </c>
      <c r="H907" s="245">
        <v>340</v>
      </c>
      <c r="I907" s="245">
        <v>0.3133333333333333</v>
      </c>
      <c r="J907" s="245">
        <v>0</v>
      </c>
      <c r="K907" s="245">
        <v>56.399999999999991</v>
      </c>
      <c r="L907" s="245">
        <v>50.133333333333326</v>
      </c>
      <c r="M907" s="245">
        <v>0</v>
      </c>
      <c r="N907" s="245">
        <v>106.53333333333332</v>
      </c>
      <c r="O907" s="245" t="s">
        <v>56</v>
      </c>
      <c r="P907" s="245" t="s">
        <v>1132</v>
      </c>
      <c r="Q907" s="245" t="s">
        <v>192</v>
      </c>
      <c r="R907" s="246" t="s">
        <v>32</v>
      </c>
    </row>
    <row r="908" spans="1:18" ht="26" x14ac:dyDescent="0.8">
      <c r="A908" s="247">
        <v>273</v>
      </c>
      <c r="B908" s="248" t="s">
        <v>1135</v>
      </c>
      <c r="D908" s="245">
        <v>0</v>
      </c>
      <c r="R908" s="246" t="s">
        <v>32</v>
      </c>
    </row>
    <row r="909" spans="1:18" ht="26" x14ac:dyDescent="0.8">
      <c r="A909" s="247">
        <v>2731</v>
      </c>
      <c r="B909" s="248" t="s">
        <v>1136</v>
      </c>
      <c r="D909" s="245">
        <v>0</v>
      </c>
      <c r="R909" s="246" t="s">
        <v>32</v>
      </c>
    </row>
    <row r="910" spans="1:18" hidden="1" x14ac:dyDescent="0.8">
      <c r="A910" s="247">
        <v>27311</v>
      </c>
      <c r="B910" s="248" t="s">
        <v>1137</v>
      </c>
      <c r="D910" s="245">
        <v>0</v>
      </c>
      <c r="E910" s="245">
        <v>1</v>
      </c>
      <c r="H910" s="245">
        <v>1</v>
      </c>
      <c r="I910" s="245">
        <v>0</v>
      </c>
      <c r="J910" s="245">
        <v>0</v>
      </c>
      <c r="K910" s="245">
        <v>0</v>
      </c>
      <c r="L910" s="245">
        <v>0</v>
      </c>
      <c r="M910" s="245">
        <v>0</v>
      </c>
      <c r="O910" s="245" t="s">
        <v>56</v>
      </c>
      <c r="P910" s="245" t="s">
        <v>255</v>
      </c>
      <c r="Q910" s="245" t="s">
        <v>192</v>
      </c>
      <c r="R910" s="246" t="s">
        <v>32</v>
      </c>
    </row>
    <row r="911" spans="1:18" hidden="1" x14ac:dyDescent="0.8">
      <c r="A911" s="247">
        <v>27312</v>
      </c>
      <c r="B911" s="248" t="s">
        <v>1019</v>
      </c>
      <c r="C911" s="249" t="s">
        <v>66</v>
      </c>
      <c r="D911" s="245">
        <v>0</v>
      </c>
      <c r="E911" s="245">
        <v>350</v>
      </c>
      <c r="H911" s="245">
        <v>350</v>
      </c>
      <c r="I911" s="245">
        <v>0.255</v>
      </c>
      <c r="J911" s="245">
        <v>0</v>
      </c>
      <c r="K911" s="245">
        <v>89.25</v>
      </c>
      <c r="L911" s="245">
        <v>0</v>
      </c>
      <c r="M911" s="245">
        <v>0</v>
      </c>
      <c r="N911" s="245">
        <v>89.25</v>
      </c>
      <c r="O911" s="245" t="s">
        <v>56</v>
      </c>
      <c r="P911" s="245" t="s">
        <v>1132</v>
      </c>
      <c r="Q911" s="245" t="s">
        <v>192</v>
      </c>
      <c r="R911" s="246" t="s">
        <v>32</v>
      </c>
    </row>
    <row r="912" spans="1:18" hidden="1" x14ac:dyDescent="0.8">
      <c r="A912" s="247">
        <v>27313</v>
      </c>
      <c r="B912" s="248" t="s">
        <v>1138</v>
      </c>
      <c r="C912" s="249" t="s">
        <v>52</v>
      </c>
      <c r="D912" s="245">
        <v>0</v>
      </c>
      <c r="E912" s="245">
        <v>500</v>
      </c>
      <c r="H912" s="245">
        <v>500</v>
      </c>
      <c r="I912" s="245">
        <v>1.5</v>
      </c>
      <c r="J912" s="245">
        <v>0</v>
      </c>
      <c r="K912" s="245">
        <v>750</v>
      </c>
      <c r="L912" s="245">
        <v>0</v>
      </c>
      <c r="M912" s="245">
        <v>0</v>
      </c>
      <c r="N912" s="245">
        <v>750</v>
      </c>
      <c r="O912" s="245" t="s">
        <v>56</v>
      </c>
      <c r="P912" s="245" t="s">
        <v>1132</v>
      </c>
      <c r="Q912" s="245" t="s">
        <v>192</v>
      </c>
      <c r="R912" s="246" t="s">
        <v>32</v>
      </c>
    </row>
    <row r="913" spans="1:18" ht="26" hidden="1" x14ac:dyDescent="0.8">
      <c r="A913" s="247">
        <v>27314</v>
      </c>
      <c r="B913" s="248" t="s">
        <v>1139</v>
      </c>
      <c r="C913" s="249" t="s">
        <v>66</v>
      </c>
      <c r="D913" s="245">
        <v>0</v>
      </c>
      <c r="E913" s="245">
        <v>600</v>
      </c>
      <c r="H913" s="245">
        <v>600</v>
      </c>
      <c r="I913" s="245">
        <v>0.255</v>
      </c>
      <c r="J913" s="245">
        <v>0</v>
      </c>
      <c r="K913" s="245">
        <v>153</v>
      </c>
      <c r="L913" s="245">
        <v>0</v>
      </c>
      <c r="M913" s="245">
        <v>0</v>
      </c>
      <c r="N913" s="245">
        <v>153</v>
      </c>
      <c r="O913" s="245" t="s">
        <v>56</v>
      </c>
      <c r="P913" s="245" t="s">
        <v>1132</v>
      </c>
      <c r="Q913" s="245" t="s">
        <v>192</v>
      </c>
      <c r="R913" s="246" t="s">
        <v>32</v>
      </c>
    </row>
    <row r="914" spans="1:18" ht="39" x14ac:dyDescent="0.8">
      <c r="A914" s="247">
        <v>274</v>
      </c>
      <c r="B914" s="248" t="s">
        <v>1140</v>
      </c>
      <c r="D914" s="245">
        <v>0</v>
      </c>
      <c r="R914" s="246" t="s">
        <v>32</v>
      </c>
    </row>
    <row r="915" spans="1:18" x14ac:dyDescent="0.8">
      <c r="A915" s="247">
        <v>2741</v>
      </c>
      <c r="B915" s="248" t="s">
        <v>1141</v>
      </c>
      <c r="D915" s="245">
        <v>0</v>
      </c>
      <c r="R915" s="246" t="s">
        <v>32</v>
      </c>
    </row>
    <row r="916" spans="1:18" ht="26" hidden="1" x14ac:dyDescent="0.8">
      <c r="A916" s="247">
        <v>27411</v>
      </c>
      <c r="B916" s="248" t="s">
        <v>1142</v>
      </c>
      <c r="C916" s="249" t="s">
        <v>73</v>
      </c>
      <c r="D916" s="245">
        <v>0</v>
      </c>
      <c r="E916" s="245">
        <v>120</v>
      </c>
      <c r="H916" s="245">
        <v>120</v>
      </c>
      <c r="I916" s="245">
        <v>0.4</v>
      </c>
      <c r="J916" s="245">
        <v>0</v>
      </c>
      <c r="K916" s="245">
        <v>48</v>
      </c>
      <c r="L916" s="245">
        <v>0</v>
      </c>
      <c r="M916" s="245">
        <v>0</v>
      </c>
      <c r="N916" s="245">
        <v>48</v>
      </c>
      <c r="O916" s="245" t="s">
        <v>56</v>
      </c>
      <c r="P916" s="245" t="s">
        <v>1132</v>
      </c>
      <c r="Q916" s="245" t="s">
        <v>192</v>
      </c>
      <c r="R916" s="246" t="s">
        <v>32</v>
      </c>
    </row>
    <row r="917" spans="1:18" hidden="1" x14ac:dyDescent="0.8">
      <c r="A917" s="247">
        <v>27412</v>
      </c>
      <c r="B917" s="248" t="s">
        <v>1144</v>
      </c>
      <c r="C917" s="249" t="s">
        <v>59</v>
      </c>
      <c r="D917" s="245">
        <v>0</v>
      </c>
      <c r="E917" s="245">
        <v>192</v>
      </c>
      <c r="H917" s="245">
        <v>192</v>
      </c>
      <c r="I917" s="245">
        <v>0.8177777777777776</v>
      </c>
      <c r="J917" s="245">
        <v>0</v>
      </c>
      <c r="K917" s="245">
        <v>157.01333333333329</v>
      </c>
      <c r="L917" s="245">
        <v>0</v>
      </c>
      <c r="M917" s="245">
        <v>0</v>
      </c>
      <c r="N917" s="245">
        <v>157.01333333333329</v>
      </c>
      <c r="O917" s="245" t="s">
        <v>56</v>
      </c>
      <c r="P917" s="245" t="s">
        <v>1132</v>
      </c>
      <c r="Q917" s="245" t="s">
        <v>192</v>
      </c>
      <c r="R917" s="246" t="s">
        <v>32</v>
      </c>
    </row>
    <row r="918" spans="1:18" hidden="1" x14ac:dyDescent="0.8">
      <c r="A918" s="247">
        <v>27413</v>
      </c>
      <c r="B918" s="248" t="s">
        <v>1145</v>
      </c>
      <c r="C918" s="249" t="s">
        <v>66</v>
      </c>
      <c r="D918" s="245">
        <v>0</v>
      </c>
      <c r="F918" s="245">
        <v>120</v>
      </c>
      <c r="H918" s="245">
        <v>120</v>
      </c>
      <c r="I918" s="245">
        <v>0.255</v>
      </c>
      <c r="J918" s="245">
        <v>0</v>
      </c>
      <c r="K918" s="245">
        <v>0</v>
      </c>
      <c r="L918" s="245">
        <v>30.6</v>
      </c>
      <c r="M918" s="245">
        <v>0</v>
      </c>
      <c r="N918" s="245">
        <v>30.6</v>
      </c>
      <c r="O918" s="245" t="s">
        <v>56</v>
      </c>
      <c r="P918" s="245" t="s">
        <v>1132</v>
      </c>
      <c r="Q918" s="245" t="s">
        <v>192</v>
      </c>
      <c r="R918" s="246" t="s">
        <v>32</v>
      </c>
    </row>
    <row r="919" spans="1:18" ht="26" x14ac:dyDescent="0.8">
      <c r="A919" s="247">
        <v>275</v>
      </c>
      <c r="B919" s="248" t="s">
        <v>1146</v>
      </c>
      <c r="D919" s="245">
        <v>0</v>
      </c>
      <c r="R919" s="246" t="s">
        <v>32</v>
      </c>
    </row>
    <row r="920" spans="1:18" ht="26" x14ac:dyDescent="0.8">
      <c r="A920" s="247">
        <v>2751</v>
      </c>
      <c r="B920" s="248" t="s">
        <v>1147</v>
      </c>
      <c r="D920" s="245">
        <v>0</v>
      </c>
      <c r="R920" s="246" t="s">
        <v>32</v>
      </c>
    </row>
    <row r="921" spans="1:18" hidden="1" x14ac:dyDescent="0.8">
      <c r="A921" s="247">
        <v>27511</v>
      </c>
      <c r="B921" s="248" t="s">
        <v>1148</v>
      </c>
      <c r="C921" s="249" t="s">
        <v>38</v>
      </c>
      <c r="D921" s="245">
        <v>0</v>
      </c>
      <c r="G921" s="245">
        <v>150</v>
      </c>
      <c r="H921" s="245">
        <v>150</v>
      </c>
      <c r="I921" s="245">
        <v>0.3133333333333333</v>
      </c>
      <c r="J921" s="245">
        <v>0</v>
      </c>
      <c r="K921" s="245">
        <v>0</v>
      </c>
      <c r="L921" s="245">
        <v>0</v>
      </c>
      <c r="M921" s="245">
        <v>46.999999999999993</v>
      </c>
      <c r="N921" s="245">
        <v>46.999999999999993</v>
      </c>
      <c r="O921" s="245" t="s">
        <v>56</v>
      </c>
      <c r="P921" s="245" t="s">
        <v>1132</v>
      </c>
      <c r="Q921" s="245" t="s">
        <v>192</v>
      </c>
      <c r="R921" s="246" t="s">
        <v>32</v>
      </c>
    </row>
    <row r="922" spans="1:18" hidden="1" x14ac:dyDescent="0.8">
      <c r="A922" s="247">
        <v>27512</v>
      </c>
      <c r="B922" s="248" t="s">
        <v>1149</v>
      </c>
      <c r="C922" s="249" t="s">
        <v>59</v>
      </c>
      <c r="D922" s="245">
        <v>0</v>
      </c>
      <c r="G922" s="245">
        <v>1140</v>
      </c>
      <c r="H922" s="245">
        <v>1140</v>
      </c>
      <c r="I922" s="245">
        <v>0.8177777777777776</v>
      </c>
      <c r="J922" s="245">
        <v>0</v>
      </c>
      <c r="K922" s="245">
        <v>0</v>
      </c>
      <c r="L922" s="245">
        <v>0</v>
      </c>
      <c r="M922" s="245">
        <v>932.26666666666642</v>
      </c>
      <c r="N922" s="245">
        <v>932.26666666666642</v>
      </c>
      <c r="O922" s="245" t="s">
        <v>56</v>
      </c>
      <c r="P922" s="245" t="s">
        <v>192</v>
      </c>
      <c r="Q922" s="245" t="s">
        <v>192</v>
      </c>
      <c r="R922" s="246" t="s">
        <v>32</v>
      </c>
    </row>
    <row r="923" spans="1:18" hidden="1" x14ac:dyDescent="0.8">
      <c r="A923" s="247">
        <v>27513</v>
      </c>
      <c r="B923" s="248" t="s">
        <v>1150</v>
      </c>
      <c r="C923" s="249" t="s">
        <v>52</v>
      </c>
      <c r="D923" s="245">
        <v>0</v>
      </c>
      <c r="G923" s="245">
        <v>244</v>
      </c>
      <c r="H923" s="245">
        <v>244</v>
      </c>
      <c r="I923" s="245">
        <v>1.5</v>
      </c>
      <c r="J923" s="245">
        <v>0</v>
      </c>
      <c r="K923" s="245">
        <v>0</v>
      </c>
      <c r="L923" s="245">
        <v>0</v>
      </c>
      <c r="M923" s="245">
        <v>366</v>
      </c>
      <c r="N923" s="245">
        <v>366</v>
      </c>
      <c r="O923" s="245" t="s">
        <v>56</v>
      </c>
      <c r="P923" s="245" t="s">
        <v>192</v>
      </c>
      <c r="Q923" s="245" t="s">
        <v>192</v>
      </c>
      <c r="R923" s="246" t="s">
        <v>32</v>
      </c>
    </row>
    <row r="924" spans="1:18" x14ac:dyDescent="0.8">
      <c r="A924" s="247">
        <v>3</v>
      </c>
      <c r="B924" s="248" t="s">
        <v>1151</v>
      </c>
      <c r="D924" s="245">
        <v>0</v>
      </c>
      <c r="R924" s="246" t="s">
        <v>677</v>
      </c>
    </row>
    <row r="925" spans="1:18" ht="26" x14ac:dyDescent="0.8">
      <c r="A925" s="247">
        <v>31</v>
      </c>
      <c r="B925" s="248" t="s">
        <v>1152</v>
      </c>
      <c r="D925" s="245">
        <v>0</v>
      </c>
      <c r="R925" s="246" t="s">
        <v>677</v>
      </c>
    </row>
    <row r="926" spans="1:18" ht="26" x14ac:dyDescent="0.8">
      <c r="A926" s="247">
        <v>311</v>
      </c>
      <c r="B926" s="248" t="s">
        <v>1153</v>
      </c>
      <c r="D926" s="245">
        <v>0</v>
      </c>
      <c r="R926" s="246" t="s">
        <v>677</v>
      </c>
    </row>
    <row r="927" spans="1:18" ht="26" x14ac:dyDescent="0.8">
      <c r="A927" s="247">
        <v>3111</v>
      </c>
      <c r="B927" s="248" t="s">
        <v>1154</v>
      </c>
      <c r="D927" s="245">
        <v>0</v>
      </c>
      <c r="R927" s="246" t="s">
        <v>677</v>
      </c>
    </row>
    <row r="928" spans="1:18" ht="39" hidden="1" x14ac:dyDescent="0.8">
      <c r="A928" s="247">
        <v>31111</v>
      </c>
      <c r="B928" s="248" t="s">
        <v>1155</v>
      </c>
      <c r="C928" s="249" t="s">
        <v>646</v>
      </c>
      <c r="D928" s="245">
        <v>0</v>
      </c>
      <c r="E928" s="245">
        <v>0</v>
      </c>
      <c r="H928" s="245">
        <v>0</v>
      </c>
      <c r="I928" s="245">
        <v>10.404797</v>
      </c>
      <c r="J928" s="245">
        <v>0</v>
      </c>
      <c r="K928" s="245">
        <v>0</v>
      </c>
      <c r="L928" s="245">
        <v>0</v>
      </c>
      <c r="M928" s="245">
        <v>0</v>
      </c>
      <c r="N928" s="245">
        <v>0</v>
      </c>
      <c r="O928" s="245" t="s">
        <v>56</v>
      </c>
      <c r="P928" s="245" t="s">
        <v>96</v>
      </c>
      <c r="Q928" s="245" t="s">
        <v>1157</v>
      </c>
      <c r="R928" s="246" t="s">
        <v>677</v>
      </c>
    </row>
    <row r="929" spans="1:18" hidden="1" x14ac:dyDescent="0.8">
      <c r="A929" s="247">
        <v>31112</v>
      </c>
      <c r="B929" s="248" t="s">
        <v>1158</v>
      </c>
      <c r="C929" s="249" t="s">
        <v>662</v>
      </c>
      <c r="D929" s="245">
        <v>0</v>
      </c>
      <c r="E929" s="245">
        <v>0</v>
      </c>
      <c r="F929" s="245">
        <v>6</v>
      </c>
      <c r="G929" s="245">
        <v>0</v>
      </c>
      <c r="H929" s="245">
        <v>6</v>
      </c>
      <c r="I929" s="245">
        <v>219.54797350000001</v>
      </c>
      <c r="J929" s="245">
        <v>0</v>
      </c>
      <c r="K929" s="245">
        <v>0</v>
      </c>
      <c r="L929" s="245">
        <v>1317.2878410000001</v>
      </c>
      <c r="M929" s="245">
        <v>0</v>
      </c>
      <c r="N929" s="245">
        <v>1317.2878410000001</v>
      </c>
      <c r="O929" s="245" t="s">
        <v>169</v>
      </c>
      <c r="P929" s="245" t="s">
        <v>96</v>
      </c>
      <c r="Q929" s="245" t="s">
        <v>1157</v>
      </c>
      <c r="R929" s="246" t="s">
        <v>677</v>
      </c>
    </row>
    <row r="930" spans="1:18" ht="39" hidden="1" x14ac:dyDescent="0.8">
      <c r="A930" s="247">
        <v>31113</v>
      </c>
      <c r="B930" s="248" t="s">
        <v>1159</v>
      </c>
      <c r="C930" s="249" t="s">
        <v>59</v>
      </c>
      <c r="D930" s="245">
        <v>0</v>
      </c>
      <c r="E930" s="245">
        <v>8</v>
      </c>
      <c r="F930" s="245">
        <v>1</v>
      </c>
      <c r="H930" s="245">
        <v>9</v>
      </c>
      <c r="I930" s="245">
        <v>0.8177777777777776</v>
      </c>
      <c r="J930" s="245">
        <v>0</v>
      </c>
      <c r="K930" s="245">
        <v>6.5422222222222208</v>
      </c>
      <c r="L930" s="245">
        <v>0.8177777777777776</v>
      </c>
      <c r="M930" s="245">
        <v>0</v>
      </c>
      <c r="N930" s="245">
        <v>7.3599999999999985</v>
      </c>
      <c r="O930" s="245" t="s">
        <v>169</v>
      </c>
      <c r="P930" s="245" t="s">
        <v>1161</v>
      </c>
      <c r="Q930" s="245" t="s">
        <v>1162</v>
      </c>
      <c r="R930" s="246" t="s">
        <v>677</v>
      </c>
    </row>
    <row r="931" spans="1:18" ht="39" x14ac:dyDescent="0.8">
      <c r="A931" s="247">
        <v>3112</v>
      </c>
      <c r="B931" s="248" t="s">
        <v>1163</v>
      </c>
      <c r="D931" s="245">
        <v>0</v>
      </c>
      <c r="R931" s="246" t="s">
        <v>677</v>
      </c>
    </row>
    <row r="932" spans="1:18" ht="26" x14ac:dyDescent="0.8">
      <c r="A932" s="247">
        <v>31121</v>
      </c>
      <c r="B932" s="248" t="s">
        <v>1164</v>
      </c>
      <c r="C932" s="249" t="s">
        <v>38</v>
      </c>
      <c r="D932" s="245">
        <v>0</v>
      </c>
      <c r="F932" s="245">
        <v>540</v>
      </c>
      <c r="H932" s="245">
        <v>540</v>
      </c>
      <c r="I932" s="245">
        <v>0.3133333333333333</v>
      </c>
      <c r="J932" s="245">
        <v>0</v>
      </c>
      <c r="K932" s="245">
        <v>0</v>
      </c>
      <c r="L932" s="245">
        <v>169.2</v>
      </c>
      <c r="M932" s="245">
        <v>0</v>
      </c>
      <c r="N932" s="245">
        <v>169.2</v>
      </c>
      <c r="O932" s="245" t="s">
        <v>118</v>
      </c>
      <c r="P932" s="245" t="s">
        <v>1165</v>
      </c>
      <c r="Q932" s="245" t="s">
        <v>1166</v>
      </c>
      <c r="R932" s="246" t="s">
        <v>677</v>
      </c>
    </row>
    <row r="933" spans="1:18" x14ac:dyDescent="0.8">
      <c r="A933" s="247">
        <v>31122</v>
      </c>
      <c r="B933" s="248" t="s">
        <v>1167</v>
      </c>
      <c r="C933" s="249" t="s">
        <v>646</v>
      </c>
      <c r="D933" s="245">
        <v>0</v>
      </c>
      <c r="F933" s="245">
        <v>45</v>
      </c>
      <c r="H933" s="245">
        <v>45</v>
      </c>
      <c r="I933" s="245">
        <v>10.404797</v>
      </c>
      <c r="J933" s="245">
        <v>0</v>
      </c>
      <c r="K933" s="245">
        <v>0</v>
      </c>
      <c r="L933" s="245">
        <v>468.21586500000001</v>
      </c>
      <c r="M933" s="245">
        <v>0</v>
      </c>
      <c r="N933" s="245">
        <v>468.21586500000001</v>
      </c>
      <c r="O933" s="245" t="s">
        <v>118</v>
      </c>
      <c r="P933" s="245" t="s">
        <v>1165</v>
      </c>
      <c r="Q933" s="245" t="s">
        <v>1168</v>
      </c>
      <c r="R933" s="246" t="s">
        <v>677</v>
      </c>
    </row>
    <row r="934" spans="1:18" hidden="1" x14ac:dyDescent="0.8">
      <c r="A934" s="247">
        <v>31123</v>
      </c>
      <c r="B934" s="248" t="s">
        <v>1169</v>
      </c>
      <c r="C934" s="249" t="s">
        <v>38</v>
      </c>
      <c r="D934" s="245">
        <v>0</v>
      </c>
      <c r="F934" s="245">
        <v>60</v>
      </c>
      <c r="H934" s="245">
        <v>60</v>
      </c>
      <c r="I934" s="245">
        <v>0.3133333333333333</v>
      </c>
      <c r="J934" s="245">
        <v>0</v>
      </c>
      <c r="K934" s="245">
        <v>0</v>
      </c>
      <c r="L934" s="245">
        <v>18.799999999999997</v>
      </c>
      <c r="M934" s="245">
        <v>0</v>
      </c>
      <c r="N934" s="245">
        <v>18.799999999999997</v>
      </c>
      <c r="O934" s="245" t="s">
        <v>56</v>
      </c>
      <c r="P934" s="245" t="s">
        <v>1165</v>
      </c>
      <c r="Q934" s="245" t="s">
        <v>1170</v>
      </c>
      <c r="R934" s="246" t="s">
        <v>677</v>
      </c>
    </row>
    <row r="935" spans="1:18" ht="39" x14ac:dyDescent="0.8">
      <c r="A935" s="247">
        <v>312</v>
      </c>
      <c r="B935" s="248" t="s">
        <v>1171</v>
      </c>
      <c r="D935" s="245">
        <v>0</v>
      </c>
      <c r="R935" s="246" t="s">
        <v>677</v>
      </c>
    </row>
    <row r="936" spans="1:18" ht="26" x14ac:dyDescent="0.8">
      <c r="A936" s="247">
        <v>3121</v>
      </c>
      <c r="B936" s="248" t="s">
        <v>1172</v>
      </c>
      <c r="D936" s="245">
        <v>0</v>
      </c>
      <c r="R936" s="246" t="s">
        <v>677</v>
      </c>
    </row>
    <row r="937" spans="1:18" ht="39" x14ac:dyDescent="0.8">
      <c r="A937" s="247">
        <v>31211</v>
      </c>
      <c r="B937" s="248" t="s">
        <v>1173</v>
      </c>
      <c r="C937" s="249" t="s">
        <v>66</v>
      </c>
      <c r="D937" s="245">
        <v>0</v>
      </c>
      <c r="E937" s="245">
        <v>540</v>
      </c>
      <c r="H937" s="245">
        <v>540</v>
      </c>
      <c r="I937" s="245">
        <v>0.255</v>
      </c>
      <c r="J937" s="245">
        <v>0</v>
      </c>
      <c r="K937" s="245">
        <v>137.69999999999999</v>
      </c>
      <c r="L937" s="245">
        <v>0</v>
      </c>
      <c r="M937" s="245">
        <v>0</v>
      </c>
      <c r="N937" s="245">
        <v>137.69999999999999</v>
      </c>
      <c r="O937" s="245" t="s">
        <v>118</v>
      </c>
      <c r="P937" s="245" t="s">
        <v>1165</v>
      </c>
      <c r="Q937" s="245" t="s">
        <v>1174</v>
      </c>
      <c r="R937" s="246" t="s">
        <v>677</v>
      </c>
    </row>
    <row r="938" spans="1:18" ht="26" hidden="1" x14ac:dyDescent="0.8">
      <c r="A938" s="247">
        <v>31212</v>
      </c>
      <c r="B938" s="248" t="s">
        <v>1175</v>
      </c>
      <c r="C938" s="249" t="s">
        <v>55</v>
      </c>
      <c r="D938" s="245">
        <v>0</v>
      </c>
      <c r="E938" s="245">
        <v>1</v>
      </c>
      <c r="H938" s="245">
        <v>1</v>
      </c>
      <c r="I938" s="245">
        <v>0</v>
      </c>
      <c r="J938" s="245">
        <v>0</v>
      </c>
      <c r="K938" s="245">
        <v>0</v>
      </c>
      <c r="L938" s="245">
        <v>0</v>
      </c>
      <c r="M938" s="245">
        <v>0</v>
      </c>
      <c r="O938" s="245" t="s">
        <v>56</v>
      </c>
      <c r="P938" s="245" t="s">
        <v>1165</v>
      </c>
      <c r="Q938" s="245" t="s">
        <v>1174</v>
      </c>
      <c r="R938" s="246" t="s">
        <v>677</v>
      </c>
    </row>
    <row r="939" spans="1:18" ht="26" x14ac:dyDescent="0.8">
      <c r="A939" s="247">
        <v>3122</v>
      </c>
      <c r="B939" s="248" t="s">
        <v>1176</v>
      </c>
      <c r="D939" s="245">
        <v>0</v>
      </c>
      <c r="R939" s="246" t="s">
        <v>677</v>
      </c>
    </row>
    <row r="940" spans="1:18" ht="26" hidden="1" x14ac:dyDescent="0.8">
      <c r="A940" s="247">
        <v>31221</v>
      </c>
      <c r="B940" s="248" t="s">
        <v>1177</v>
      </c>
      <c r="C940" s="249" t="s">
        <v>66</v>
      </c>
      <c r="D940" s="245">
        <v>0</v>
      </c>
      <c r="E940" s="245">
        <v>100</v>
      </c>
      <c r="H940" s="245">
        <v>100</v>
      </c>
      <c r="I940" s="245">
        <v>0.255</v>
      </c>
      <c r="J940" s="245">
        <v>0</v>
      </c>
      <c r="K940" s="245">
        <v>25.5</v>
      </c>
      <c r="L940" s="245">
        <v>0</v>
      </c>
      <c r="M940" s="245">
        <v>0</v>
      </c>
      <c r="N940" s="245">
        <v>25.5</v>
      </c>
      <c r="O940" s="245" t="s">
        <v>56</v>
      </c>
      <c r="P940" s="245" t="s">
        <v>1165</v>
      </c>
      <c r="Q940" s="245" t="s">
        <v>1162</v>
      </c>
      <c r="R940" s="246" t="s">
        <v>677</v>
      </c>
    </row>
    <row r="941" spans="1:18" ht="52" hidden="1" x14ac:dyDescent="0.8">
      <c r="A941" s="247">
        <v>31222</v>
      </c>
      <c r="B941" s="248" t="s">
        <v>1179</v>
      </c>
      <c r="C941" s="249" t="s">
        <v>55</v>
      </c>
      <c r="D941" s="245">
        <v>0</v>
      </c>
      <c r="E941" s="245">
        <v>1</v>
      </c>
      <c r="F941" s="245">
        <v>1</v>
      </c>
      <c r="H941" s="245">
        <v>2</v>
      </c>
      <c r="I941" s="245">
        <v>0</v>
      </c>
      <c r="J941" s="245">
        <v>0</v>
      </c>
      <c r="K941" s="245">
        <v>0</v>
      </c>
      <c r="L941" s="245">
        <v>0</v>
      </c>
      <c r="M941" s="245">
        <v>0</v>
      </c>
      <c r="O941" s="245" t="s">
        <v>56</v>
      </c>
      <c r="R941" s="246" t="s">
        <v>677</v>
      </c>
    </row>
    <row r="942" spans="1:18" ht="39" x14ac:dyDescent="0.8">
      <c r="A942" s="247">
        <v>31223</v>
      </c>
      <c r="B942" s="248" t="s">
        <v>1180</v>
      </c>
      <c r="C942" s="249" t="s">
        <v>101</v>
      </c>
      <c r="D942" s="245">
        <v>0</v>
      </c>
      <c r="F942" s="245">
        <v>60</v>
      </c>
      <c r="H942" s="245">
        <v>60</v>
      </c>
      <c r="I942" s="245">
        <v>2.651545</v>
      </c>
      <c r="J942" s="245">
        <v>0</v>
      </c>
      <c r="K942" s="245">
        <v>0</v>
      </c>
      <c r="L942" s="245">
        <v>159.09270000000001</v>
      </c>
      <c r="M942" s="245">
        <v>0</v>
      </c>
      <c r="N942" s="245">
        <v>159.09270000000001</v>
      </c>
      <c r="O942" s="245" t="s">
        <v>1971</v>
      </c>
      <c r="P942" s="245" t="s">
        <v>96</v>
      </c>
      <c r="Q942" s="245" t="s">
        <v>196</v>
      </c>
      <c r="R942" s="246" t="s">
        <v>677</v>
      </c>
    </row>
    <row r="943" spans="1:18" ht="26" hidden="1" x14ac:dyDescent="0.8">
      <c r="A943" s="247">
        <v>31224</v>
      </c>
      <c r="B943" s="248" t="s">
        <v>1181</v>
      </c>
      <c r="C943" s="249" t="s">
        <v>55</v>
      </c>
      <c r="D943" s="245">
        <v>0</v>
      </c>
      <c r="F943" s="245">
        <v>1</v>
      </c>
      <c r="H943" s="245">
        <v>1</v>
      </c>
      <c r="I943" s="245">
        <v>0</v>
      </c>
      <c r="J943" s="245">
        <v>0</v>
      </c>
      <c r="K943" s="245">
        <v>0</v>
      </c>
      <c r="L943" s="245">
        <v>0</v>
      </c>
      <c r="M943" s="245">
        <v>0</v>
      </c>
      <c r="O943" s="245" t="s">
        <v>56</v>
      </c>
      <c r="R943" s="246" t="s">
        <v>677</v>
      </c>
    </row>
    <row r="944" spans="1:18" ht="26" hidden="1" x14ac:dyDescent="0.8">
      <c r="A944" s="247">
        <v>31225</v>
      </c>
      <c r="B944" s="248" t="s">
        <v>1182</v>
      </c>
      <c r="C944" s="249" t="s">
        <v>452</v>
      </c>
      <c r="D944" s="245">
        <v>0</v>
      </c>
      <c r="E944" s="245">
        <v>320</v>
      </c>
      <c r="F944" s="245">
        <v>2400</v>
      </c>
      <c r="G944" s="245">
        <v>0</v>
      </c>
      <c r="H944" s="245">
        <v>2720</v>
      </c>
      <c r="I944" s="245">
        <v>7.4999999999999997E-3</v>
      </c>
      <c r="J944" s="245">
        <v>0</v>
      </c>
      <c r="K944" s="245">
        <v>2.4</v>
      </c>
      <c r="L944" s="245">
        <v>18</v>
      </c>
      <c r="M944" s="245">
        <v>0</v>
      </c>
      <c r="N944" s="245">
        <v>20.399999999999999</v>
      </c>
      <c r="O944" s="245" t="s">
        <v>169</v>
      </c>
      <c r="P944" s="245" t="s">
        <v>96</v>
      </c>
      <c r="Q944" s="245" t="s">
        <v>1183</v>
      </c>
      <c r="R944" s="246" t="s">
        <v>677</v>
      </c>
    </row>
    <row r="945" spans="1:18" hidden="1" x14ac:dyDescent="0.8">
      <c r="A945" s="247">
        <v>31226</v>
      </c>
      <c r="B945" s="248" t="s">
        <v>1184</v>
      </c>
      <c r="C945" s="249" t="s">
        <v>66</v>
      </c>
      <c r="D945" s="245">
        <v>0</v>
      </c>
      <c r="F945" s="245">
        <v>1920</v>
      </c>
      <c r="G945" s="245">
        <v>0</v>
      </c>
      <c r="H945" s="245">
        <v>1920</v>
      </c>
      <c r="I945" s="245">
        <v>0.255</v>
      </c>
      <c r="J945" s="245">
        <v>0</v>
      </c>
      <c r="K945" s="245">
        <v>0</v>
      </c>
      <c r="L945" s="245">
        <v>489.6</v>
      </c>
      <c r="M945" s="245">
        <v>0</v>
      </c>
      <c r="N945" s="245">
        <v>489.6</v>
      </c>
      <c r="O945" s="245" t="s">
        <v>169</v>
      </c>
      <c r="R945" s="246" t="s">
        <v>677</v>
      </c>
    </row>
    <row r="946" spans="1:18" ht="26" hidden="1" x14ac:dyDescent="0.8">
      <c r="A946" s="247">
        <v>31227</v>
      </c>
      <c r="B946" s="248" t="s">
        <v>1185</v>
      </c>
      <c r="C946" s="249" t="s">
        <v>66</v>
      </c>
      <c r="D946" s="245">
        <v>0</v>
      </c>
      <c r="F946" s="245">
        <v>40</v>
      </c>
      <c r="G946" s="245">
        <v>40</v>
      </c>
      <c r="H946" s="245">
        <v>80</v>
      </c>
      <c r="I946" s="245">
        <v>0.255</v>
      </c>
      <c r="J946" s="245">
        <v>0</v>
      </c>
      <c r="K946" s="245">
        <v>0</v>
      </c>
      <c r="L946" s="245">
        <v>10.199999999999999</v>
      </c>
      <c r="M946" s="245">
        <v>10.199999999999999</v>
      </c>
      <c r="N946" s="245">
        <v>20.399999999999999</v>
      </c>
      <c r="O946" s="245" t="s">
        <v>56</v>
      </c>
      <c r="P946" s="245" t="s">
        <v>96</v>
      </c>
      <c r="Q946" s="245" t="s">
        <v>1187</v>
      </c>
      <c r="R946" s="246" t="s">
        <v>677</v>
      </c>
    </row>
    <row r="947" spans="1:18" ht="26" x14ac:dyDescent="0.8">
      <c r="A947" s="247">
        <v>313</v>
      </c>
      <c r="B947" s="248" t="s">
        <v>1188</v>
      </c>
      <c r="D947" s="245">
        <v>0</v>
      </c>
      <c r="R947" s="246" t="s">
        <v>677</v>
      </c>
    </row>
    <row r="948" spans="1:18" ht="26" x14ac:dyDescent="0.8">
      <c r="A948" s="247">
        <v>3131</v>
      </c>
      <c r="B948" s="248" t="s">
        <v>1189</v>
      </c>
      <c r="D948" s="245">
        <v>0</v>
      </c>
      <c r="R948" s="246" t="s">
        <v>677</v>
      </c>
    </row>
    <row r="949" spans="1:18" ht="39" x14ac:dyDescent="0.8">
      <c r="A949" s="247">
        <v>31311</v>
      </c>
      <c r="B949" s="248" t="s">
        <v>1190</v>
      </c>
      <c r="C949" s="249" t="s">
        <v>662</v>
      </c>
      <c r="D949" s="245">
        <v>0</v>
      </c>
      <c r="E949" s="245">
        <v>4</v>
      </c>
      <c r="F949" s="245">
        <v>2</v>
      </c>
      <c r="G949" s="245">
        <v>1</v>
      </c>
      <c r="H949" s="245">
        <v>7</v>
      </c>
      <c r="I949" s="245">
        <v>219.54797350000001</v>
      </c>
      <c r="J949" s="245">
        <v>0</v>
      </c>
      <c r="K949" s="245">
        <v>878.19189400000005</v>
      </c>
      <c r="L949" s="245">
        <v>439.09594700000002</v>
      </c>
      <c r="M949" s="245">
        <v>219.54797350000001</v>
      </c>
      <c r="N949" s="245">
        <v>1536.8358145000002</v>
      </c>
      <c r="O949" s="245" t="s">
        <v>2672</v>
      </c>
      <c r="P949" s="245" t="s">
        <v>96</v>
      </c>
      <c r="Q949" s="245" t="s">
        <v>1165</v>
      </c>
      <c r="R949" s="246" t="s">
        <v>677</v>
      </c>
    </row>
    <row r="950" spans="1:18" x14ac:dyDescent="0.8">
      <c r="A950" s="247">
        <v>31312</v>
      </c>
      <c r="B950" s="248" t="s">
        <v>1192</v>
      </c>
      <c r="C950" s="249" t="s">
        <v>66</v>
      </c>
      <c r="D950" s="245">
        <v>0</v>
      </c>
      <c r="E950" s="245">
        <v>100</v>
      </c>
      <c r="H950" s="245">
        <v>100</v>
      </c>
      <c r="I950" s="245">
        <v>0.255</v>
      </c>
      <c r="J950" s="245">
        <v>0</v>
      </c>
      <c r="K950" s="245">
        <v>25.5</v>
      </c>
      <c r="L950" s="245">
        <v>0</v>
      </c>
      <c r="M950" s="245">
        <v>0</v>
      </c>
      <c r="N950" s="245">
        <v>25.5</v>
      </c>
      <c r="O950" s="245" t="s">
        <v>2673</v>
      </c>
      <c r="P950" s="245" t="s">
        <v>1165</v>
      </c>
      <c r="Q950" s="245" t="s">
        <v>1165</v>
      </c>
      <c r="R950" s="246" t="s">
        <v>677</v>
      </c>
    </row>
    <row r="951" spans="1:18" hidden="1" x14ac:dyDescent="0.8">
      <c r="A951" s="247">
        <v>31313</v>
      </c>
      <c r="B951" s="248" t="s">
        <v>1194</v>
      </c>
      <c r="C951" s="249" t="s">
        <v>55</v>
      </c>
      <c r="D951" s="245">
        <v>0</v>
      </c>
      <c r="F951" s="245">
        <v>1</v>
      </c>
      <c r="H951" s="245">
        <v>1</v>
      </c>
      <c r="I951" s="245">
        <v>0</v>
      </c>
      <c r="J951" s="245">
        <v>0</v>
      </c>
      <c r="K951" s="245">
        <v>0</v>
      </c>
      <c r="L951" s="245">
        <v>0</v>
      </c>
      <c r="M951" s="245">
        <v>0</v>
      </c>
      <c r="O951" s="245" t="s">
        <v>56</v>
      </c>
      <c r="P951" s="245" t="s">
        <v>1165</v>
      </c>
      <c r="Q951" s="245" t="s">
        <v>1165</v>
      </c>
      <c r="R951" s="246" t="s">
        <v>677</v>
      </c>
    </row>
    <row r="952" spans="1:18" ht="26" x14ac:dyDescent="0.8">
      <c r="A952" s="247">
        <v>3132</v>
      </c>
      <c r="B952" s="248" t="s">
        <v>1196</v>
      </c>
      <c r="D952" s="245">
        <v>0</v>
      </c>
      <c r="R952" s="246" t="s">
        <v>677</v>
      </c>
    </row>
    <row r="953" spans="1:18" ht="39" hidden="1" x14ac:dyDescent="0.8">
      <c r="A953" s="247">
        <v>31321</v>
      </c>
      <c r="B953" s="248" t="s">
        <v>1197</v>
      </c>
      <c r="C953" s="249" t="s">
        <v>55</v>
      </c>
      <c r="D953" s="245">
        <v>0</v>
      </c>
      <c r="F953" s="245">
        <v>1</v>
      </c>
      <c r="H953" s="245">
        <v>1</v>
      </c>
      <c r="I953" s="245">
        <v>0</v>
      </c>
      <c r="J953" s="245">
        <v>0</v>
      </c>
      <c r="K953" s="245">
        <v>0</v>
      </c>
      <c r="L953" s="245">
        <v>0</v>
      </c>
      <c r="M953" s="245">
        <v>0</v>
      </c>
      <c r="O953" s="245" t="s">
        <v>56</v>
      </c>
      <c r="R953" s="246" t="s">
        <v>677</v>
      </c>
    </row>
    <row r="954" spans="1:18" ht="39" hidden="1" x14ac:dyDescent="0.8">
      <c r="A954" s="247">
        <v>31322</v>
      </c>
      <c r="B954" s="248" t="s">
        <v>1198</v>
      </c>
      <c r="C954" s="249" t="s">
        <v>55</v>
      </c>
      <c r="D954" s="245">
        <v>0</v>
      </c>
      <c r="F954" s="245">
        <v>1</v>
      </c>
      <c r="H954" s="245">
        <v>1</v>
      </c>
      <c r="I954" s="245">
        <v>0</v>
      </c>
      <c r="J954" s="245">
        <v>0</v>
      </c>
      <c r="K954" s="245">
        <v>0</v>
      </c>
      <c r="L954" s="245">
        <v>0</v>
      </c>
      <c r="M954" s="245">
        <v>0</v>
      </c>
      <c r="O954" s="245" t="s">
        <v>56</v>
      </c>
      <c r="R954" s="246" t="s">
        <v>677</v>
      </c>
    </row>
    <row r="955" spans="1:18" ht="52" hidden="1" x14ac:dyDescent="0.8">
      <c r="A955" s="247">
        <v>31323</v>
      </c>
      <c r="B955" s="248" t="s">
        <v>1199</v>
      </c>
      <c r="C955" s="249" t="s">
        <v>55</v>
      </c>
      <c r="D955" s="245">
        <v>0</v>
      </c>
      <c r="F955" s="245">
        <v>1</v>
      </c>
      <c r="G955" s="245">
        <v>1</v>
      </c>
      <c r="H955" s="245">
        <v>2</v>
      </c>
      <c r="I955" s="245">
        <v>0</v>
      </c>
      <c r="J955" s="245">
        <v>0</v>
      </c>
      <c r="K955" s="245">
        <v>0</v>
      </c>
      <c r="L955" s="245">
        <v>0</v>
      </c>
      <c r="M955" s="245">
        <v>0</v>
      </c>
      <c r="O955" s="245" t="s">
        <v>56</v>
      </c>
      <c r="R955" s="246" t="s">
        <v>677</v>
      </c>
    </row>
    <row r="956" spans="1:18" ht="26" hidden="1" x14ac:dyDescent="0.8">
      <c r="A956" s="247">
        <v>31324</v>
      </c>
      <c r="B956" s="248" t="s">
        <v>1200</v>
      </c>
      <c r="C956" s="249" t="s">
        <v>66</v>
      </c>
      <c r="D956" s="245">
        <v>0</v>
      </c>
      <c r="F956" s="245">
        <v>1600</v>
      </c>
      <c r="G956" s="245">
        <v>0</v>
      </c>
      <c r="H956" s="245">
        <v>1600</v>
      </c>
      <c r="I956" s="245">
        <v>0.255</v>
      </c>
      <c r="J956" s="245">
        <v>0</v>
      </c>
      <c r="K956" s="245">
        <v>0</v>
      </c>
      <c r="L956" s="245">
        <v>408</v>
      </c>
      <c r="M956" s="245">
        <v>0</v>
      </c>
      <c r="N956" s="245">
        <v>408</v>
      </c>
      <c r="O956" s="245" t="s">
        <v>169</v>
      </c>
      <c r="P956" s="245" t="s">
        <v>96</v>
      </c>
      <c r="Q956" s="245" t="s">
        <v>1165</v>
      </c>
      <c r="R956" s="246" t="s">
        <v>677</v>
      </c>
    </row>
    <row r="957" spans="1:18" ht="26" hidden="1" x14ac:dyDescent="0.8">
      <c r="A957" s="247">
        <v>31325</v>
      </c>
      <c r="B957" s="248" t="s">
        <v>1201</v>
      </c>
      <c r="C957" s="249" t="s">
        <v>55</v>
      </c>
      <c r="D957" s="245">
        <v>0</v>
      </c>
      <c r="F957" s="245">
        <v>1</v>
      </c>
      <c r="G957" s="245">
        <v>1</v>
      </c>
      <c r="H957" s="245">
        <v>2</v>
      </c>
      <c r="I957" s="245">
        <v>0</v>
      </c>
      <c r="J957" s="245">
        <v>0</v>
      </c>
      <c r="K957" s="245">
        <v>0</v>
      </c>
      <c r="L957" s="245">
        <v>0</v>
      </c>
      <c r="M957" s="245">
        <v>0</v>
      </c>
      <c r="O957" s="245" t="s">
        <v>56</v>
      </c>
      <c r="P957" s="245" t="s">
        <v>1165</v>
      </c>
      <c r="Q957" s="245" t="s">
        <v>1165</v>
      </c>
      <c r="R957" s="246" t="s">
        <v>677</v>
      </c>
    </row>
    <row r="958" spans="1:18" ht="26" x14ac:dyDescent="0.8">
      <c r="A958" s="247">
        <v>32</v>
      </c>
      <c r="B958" s="248" t="s">
        <v>1202</v>
      </c>
      <c r="D958" s="245">
        <v>0</v>
      </c>
      <c r="R958" s="246" t="s">
        <v>677</v>
      </c>
    </row>
    <row r="959" spans="1:18" ht="39" x14ac:dyDescent="0.8">
      <c r="A959" s="247">
        <v>321</v>
      </c>
      <c r="B959" s="248" t="s">
        <v>1203</v>
      </c>
      <c r="D959" s="245">
        <v>0</v>
      </c>
      <c r="R959" s="246" t="s">
        <v>677</v>
      </c>
    </row>
    <row r="960" spans="1:18" ht="26" x14ac:dyDescent="0.8">
      <c r="A960" s="247">
        <v>3211</v>
      </c>
      <c r="B960" s="248" t="s">
        <v>1204</v>
      </c>
      <c r="D960" s="245">
        <v>0</v>
      </c>
      <c r="R960" s="246" t="s">
        <v>677</v>
      </c>
    </row>
    <row r="961" spans="1:18" ht="39" x14ac:dyDescent="0.8">
      <c r="A961" s="247">
        <v>32111</v>
      </c>
      <c r="B961" s="248" t="s">
        <v>1205</v>
      </c>
      <c r="C961" s="249" t="s">
        <v>662</v>
      </c>
      <c r="D961" s="245">
        <v>0</v>
      </c>
      <c r="F961" s="245">
        <v>8</v>
      </c>
      <c r="G961" s="245">
        <v>4</v>
      </c>
      <c r="H961" s="245">
        <v>12</v>
      </c>
      <c r="I961" s="245">
        <v>219.54797350000001</v>
      </c>
      <c r="J961" s="245">
        <v>0</v>
      </c>
      <c r="K961" s="245">
        <v>0</v>
      </c>
      <c r="L961" s="245">
        <v>1756.3837880000001</v>
      </c>
      <c r="M961" s="245">
        <v>878.19189400000005</v>
      </c>
      <c r="N961" s="245">
        <v>2634.5756820000001</v>
      </c>
      <c r="O961" s="245" t="s">
        <v>2673</v>
      </c>
      <c r="P961" s="245" t="s">
        <v>1165</v>
      </c>
      <c r="Q961" s="245" t="s">
        <v>1168</v>
      </c>
      <c r="R961" s="246" t="s">
        <v>677</v>
      </c>
    </row>
    <row r="962" spans="1:18" ht="26" hidden="1" x14ac:dyDescent="0.8">
      <c r="A962" s="247">
        <v>32112</v>
      </c>
      <c r="B962" s="248" t="s">
        <v>1207</v>
      </c>
      <c r="C962" s="249" t="s">
        <v>55</v>
      </c>
      <c r="D962" s="245">
        <v>0</v>
      </c>
      <c r="F962" s="245">
        <v>1</v>
      </c>
      <c r="H962" s="245">
        <v>1</v>
      </c>
      <c r="I962" s="245">
        <v>0</v>
      </c>
      <c r="J962" s="245">
        <v>0</v>
      </c>
      <c r="K962" s="245">
        <v>0</v>
      </c>
      <c r="L962" s="245">
        <v>0</v>
      </c>
      <c r="M962" s="245">
        <v>0</v>
      </c>
      <c r="O962" s="245" t="s">
        <v>56</v>
      </c>
      <c r="R962" s="246" t="s">
        <v>677</v>
      </c>
    </row>
    <row r="963" spans="1:18" hidden="1" x14ac:dyDescent="0.8">
      <c r="A963" s="247">
        <v>32113</v>
      </c>
      <c r="B963" s="248" t="s">
        <v>1208</v>
      </c>
      <c r="C963" s="249" t="s">
        <v>38</v>
      </c>
      <c r="D963" s="245">
        <v>0</v>
      </c>
      <c r="F963" s="245">
        <v>60</v>
      </c>
      <c r="G963" s="245">
        <v>60</v>
      </c>
      <c r="H963" s="245">
        <v>120</v>
      </c>
      <c r="I963" s="245">
        <v>0.3133333333333333</v>
      </c>
      <c r="J963" s="245">
        <v>0</v>
      </c>
      <c r="K963" s="245">
        <v>0</v>
      </c>
      <c r="L963" s="245">
        <v>18.799999999999997</v>
      </c>
      <c r="M963" s="245">
        <v>18.799999999999997</v>
      </c>
      <c r="N963" s="245">
        <v>37.599999999999994</v>
      </c>
      <c r="O963" s="245" t="s">
        <v>169</v>
      </c>
      <c r="P963" s="245" t="s">
        <v>96</v>
      </c>
      <c r="Q963" s="245" t="s">
        <v>1165</v>
      </c>
      <c r="R963" s="246" t="s">
        <v>677</v>
      </c>
    </row>
    <row r="964" spans="1:18" ht="26" hidden="1" x14ac:dyDescent="0.8">
      <c r="A964" s="247">
        <v>32114</v>
      </c>
      <c r="B964" s="248" t="s">
        <v>1209</v>
      </c>
      <c r="C964" s="249" t="s">
        <v>55</v>
      </c>
      <c r="D964" s="245">
        <v>0</v>
      </c>
      <c r="F964" s="245">
        <v>1</v>
      </c>
      <c r="H964" s="245">
        <v>1</v>
      </c>
      <c r="I964" s="245">
        <v>0</v>
      </c>
      <c r="J964" s="245">
        <v>0</v>
      </c>
      <c r="K964" s="245">
        <v>0</v>
      </c>
      <c r="L964" s="245">
        <v>0</v>
      </c>
      <c r="M964" s="245">
        <v>0</v>
      </c>
      <c r="O964" s="245" t="s">
        <v>56</v>
      </c>
      <c r="P964" s="245" t="s">
        <v>1165</v>
      </c>
      <c r="Q964" s="245" t="s">
        <v>1165</v>
      </c>
      <c r="R964" s="246" t="s">
        <v>677</v>
      </c>
    </row>
    <row r="965" spans="1:18" x14ac:dyDescent="0.8">
      <c r="A965" s="247">
        <v>3212</v>
      </c>
      <c r="B965" s="248" t="s">
        <v>1210</v>
      </c>
      <c r="D965" s="245">
        <v>0</v>
      </c>
      <c r="R965" s="246" t="s">
        <v>677</v>
      </c>
    </row>
    <row r="966" spans="1:18" ht="39" hidden="1" x14ac:dyDescent="0.8">
      <c r="A966" s="247">
        <v>32121</v>
      </c>
      <c r="B966" s="248" t="s">
        <v>1211</v>
      </c>
      <c r="C966" s="249" t="s">
        <v>55</v>
      </c>
      <c r="D966" s="245">
        <v>0</v>
      </c>
      <c r="F966" s="245">
        <v>1</v>
      </c>
      <c r="H966" s="245">
        <v>1</v>
      </c>
      <c r="I966" s="245">
        <v>0</v>
      </c>
      <c r="J966" s="245">
        <v>0</v>
      </c>
      <c r="K966" s="245">
        <v>0</v>
      </c>
      <c r="L966" s="245">
        <v>0</v>
      </c>
      <c r="M966" s="245">
        <v>0</v>
      </c>
      <c r="O966" s="245" t="s">
        <v>56</v>
      </c>
      <c r="P966" s="245" t="s">
        <v>1165</v>
      </c>
      <c r="Q966" s="245" t="s">
        <v>1165</v>
      </c>
      <c r="R966" s="246" t="s">
        <v>677</v>
      </c>
    </row>
    <row r="967" spans="1:18" ht="26" hidden="1" x14ac:dyDescent="0.8">
      <c r="A967" s="247">
        <v>32122</v>
      </c>
      <c r="B967" s="248" t="s">
        <v>1212</v>
      </c>
      <c r="C967" s="249" t="s">
        <v>55</v>
      </c>
      <c r="D967" s="245">
        <v>0</v>
      </c>
      <c r="F967" s="245">
        <v>1</v>
      </c>
      <c r="H967" s="245">
        <v>1</v>
      </c>
      <c r="I967" s="245">
        <v>0</v>
      </c>
      <c r="J967" s="245">
        <v>0</v>
      </c>
      <c r="K967" s="245">
        <v>0</v>
      </c>
      <c r="L967" s="245">
        <v>0</v>
      </c>
      <c r="M967" s="245">
        <v>0</v>
      </c>
      <c r="O967" s="245" t="s">
        <v>56</v>
      </c>
      <c r="R967" s="246" t="s">
        <v>677</v>
      </c>
    </row>
    <row r="968" spans="1:18" ht="26" hidden="1" x14ac:dyDescent="0.8">
      <c r="A968" s="247">
        <v>32123</v>
      </c>
      <c r="B968" s="248" t="s">
        <v>1213</v>
      </c>
      <c r="C968" s="249" t="s">
        <v>55</v>
      </c>
      <c r="D968" s="245">
        <v>0</v>
      </c>
      <c r="F968" s="245">
        <v>1</v>
      </c>
      <c r="H968" s="245">
        <v>1</v>
      </c>
      <c r="I968" s="245">
        <v>0</v>
      </c>
      <c r="J968" s="245">
        <v>0</v>
      </c>
      <c r="K968" s="245">
        <v>0</v>
      </c>
      <c r="L968" s="245">
        <v>0</v>
      </c>
      <c r="M968" s="245">
        <v>0</v>
      </c>
      <c r="O968" s="245" t="s">
        <v>56</v>
      </c>
      <c r="P968" s="245" t="s">
        <v>1165</v>
      </c>
      <c r="Q968" s="245" t="s">
        <v>1165</v>
      </c>
      <c r="R968" s="246" t="s">
        <v>677</v>
      </c>
    </row>
    <row r="969" spans="1:18" hidden="1" x14ac:dyDescent="0.8">
      <c r="A969" s="247">
        <v>32124</v>
      </c>
      <c r="B969" s="248" t="s">
        <v>1214</v>
      </c>
      <c r="C969" s="249" t="s">
        <v>301</v>
      </c>
      <c r="D969" s="245">
        <v>0</v>
      </c>
      <c r="F969" s="245">
        <v>9600</v>
      </c>
      <c r="H969" s="245">
        <v>9600</v>
      </c>
      <c r="I969" s="245">
        <v>0.67666666666666664</v>
      </c>
      <c r="J969" s="245">
        <v>0</v>
      </c>
      <c r="K969" s="245">
        <v>0</v>
      </c>
      <c r="L969" s="245">
        <v>6496</v>
      </c>
      <c r="M969" s="245">
        <v>0</v>
      </c>
      <c r="N969" s="245">
        <v>6496</v>
      </c>
      <c r="O969" s="245" t="s">
        <v>169</v>
      </c>
      <c r="P969" s="245" t="s">
        <v>1165</v>
      </c>
      <c r="Q969" s="245" t="s">
        <v>1165</v>
      </c>
      <c r="R969" s="246" t="s">
        <v>677</v>
      </c>
    </row>
    <row r="970" spans="1:18" ht="39" hidden="1" x14ac:dyDescent="0.8">
      <c r="A970" s="247">
        <v>32125</v>
      </c>
      <c r="B970" s="248" t="s">
        <v>1215</v>
      </c>
      <c r="C970" s="249" t="s">
        <v>55</v>
      </c>
      <c r="D970" s="245">
        <v>0</v>
      </c>
      <c r="F970" s="245">
        <v>1</v>
      </c>
      <c r="G970" s="245">
        <v>1</v>
      </c>
      <c r="H970" s="245">
        <v>2</v>
      </c>
      <c r="I970" s="245">
        <v>0</v>
      </c>
      <c r="J970" s="245">
        <v>0</v>
      </c>
      <c r="K970" s="245">
        <v>0</v>
      </c>
      <c r="L970" s="245">
        <v>0</v>
      </c>
      <c r="M970" s="245">
        <v>0</v>
      </c>
      <c r="O970" s="245" t="s">
        <v>56</v>
      </c>
      <c r="R970" s="246" t="s">
        <v>677</v>
      </c>
    </row>
    <row r="971" spans="1:18" ht="26" hidden="1" x14ac:dyDescent="0.8">
      <c r="A971" s="247">
        <v>32126</v>
      </c>
      <c r="B971" s="248" t="s">
        <v>1216</v>
      </c>
      <c r="C971" s="249" t="s">
        <v>66</v>
      </c>
      <c r="D971" s="245">
        <v>0</v>
      </c>
      <c r="F971" s="245">
        <v>1400</v>
      </c>
      <c r="G971" s="245">
        <v>0</v>
      </c>
      <c r="H971" s="245">
        <v>1400</v>
      </c>
      <c r="I971" s="245">
        <v>0.255</v>
      </c>
      <c r="J971" s="245">
        <v>0</v>
      </c>
      <c r="K971" s="245">
        <v>0</v>
      </c>
      <c r="L971" s="245">
        <v>357</v>
      </c>
      <c r="M971" s="245">
        <v>0</v>
      </c>
      <c r="N971" s="245">
        <v>357</v>
      </c>
      <c r="O971" s="245" t="s">
        <v>169</v>
      </c>
      <c r="P971" s="245" t="s">
        <v>1165</v>
      </c>
      <c r="Q971" s="245" t="s">
        <v>1218</v>
      </c>
      <c r="R971" s="246" t="s">
        <v>677</v>
      </c>
    </row>
    <row r="972" spans="1:18" hidden="1" x14ac:dyDescent="0.8">
      <c r="A972" s="247">
        <v>32127</v>
      </c>
      <c r="B972" s="248" t="s">
        <v>1219</v>
      </c>
      <c r="C972" s="249" t="s">
        <v>66</v>
      </c>
      <c r="D972" s="245">
        <v>0</v>
      </c>
      <c r="F972" s="245">
        <v>4000</v>
      </c>
      <c r="G972" s="245">
        <v>0</v>
      </c>
      <c r="H972" s="245">
        <v>4000</v>
      </c>
      <c r="I972" s="245">
        <v>0.255</v>
      </c>
      <c r="J972" s="245">
        <v>0</v>
      </c>
      <c r="K972" s="245">
        <v>0</v>
      </c>
      <c r="L972" s="245">
        <v>1020</v>
      </c>
      <c r="M972" s="245">
        <v>0</v>
      </c>
      <c r="N972" s="245">
        <v>1020</v>
      </c>
      <c r="O972" s="245" t="s">
        <v>169</v>
      </c>
      <c r="P972" s="245" t="s">
        <v>1165</v>
      </c>
      <c r="Q972" s="245" t="s">
        <v>1218</v>
      </c>
      <c r="R972" s="246" t="s">
        <v>677</v>
      </c>
    </row>
    <row r="973" spans="1:18" ht="39" hidden="1" x14ac:dyDescent="0.8">
      <c r="A973" s="247">
        <v>32128</v>
      </c>
      <c r="B973" s="248" t="s">
        <v>1220</v>
      </c>
      <c r="C973" s="249" t="s">
        <v>55</v>
      </c>
      <c r="D973" s="245">
        <v>0</v>
      </c>
      <c r="F973" s="245">
        <v>1</v>
      </c>
      <c r="G973" s="245">
        <v>1</v>
      </c>
      <c r="H973" s="245">
        <v>2</v>
      </c>
      <c r="I973" s="245">
        <v>0</v>
      </c>
      <c r="J973" s="245">
        <v>0</v>
      </c>
      <c r="K973" s="245">
        <v>0</v>
      </c>
      <c r="L973" s="245">
        <v>0</v>
      </c>
      <c r="M973" s="245">
        <v>0</v>
      </c>
      <c r="O973" s="245" t="s">
        <v>56</v>
      </c>
      <c r="R973" s="246" t="s">
        <v>677</v>
      </c>
    </row>
    <row r="974" spans="1:18" ht="26" hidden="1" x14ac:dyDescent="0.8">
      <c r="A974" s="247">
        <v>32129</v>
      </c>
      <c r="B974" s="248" t="s">
        <v>1221</v>
      </c>
      <c r="C974" s="249" t="s">
        <v>301</v>
      </c>
      <c r="D974" s="245">
        <v>0</v>
      </c>
      <c r="F974" s="245">
        <v>1050</v>
      </c>
      <c r="G974" s="245">
        <v>0</v>
      </c>
      <c r="H974" s="245">
        <v>1050</v>
      </c>
      <c r="I974" s="245">
        <v>0.67666666666666664</v>
      </c>
      <c r="J974" s="245">
        <v>0</v>
      </c>
      <c r="K974" s="245">
        <v>0</v>
      </c>
      <c r="L974" s="245">
        <v>710.5</v>
      </c>
      <c r="M974" s="245">
        <v>0</v>
      </c>
      <c r="N974" s="245">
        <v>710.5</v>
      </c>
      <c r="O974" s="245" t="s">
        <v>169</v>
      </c>
      <c r="P974" s="245" t="s">
        <v>1165</v>
      </c>
      <c r="Q974" s="245" t="s">
        <v>1222</v>
      </c>
      <c r="R974" s="246" t="s">
        <v>677</v>
      </c>
    </row>
    <row r="975" spans="1:18" hidden="1" x14ac:dyDescent="0.8">
      <c r="A975" s="247">
        <v>321210</v>
      </c>
      <c r="B975" s="248" t="s">
        <v>1223</v>
      </c>
      <c r="C975" s="249" t="s">
        <v>1224</v>
      </c>
      <c r="D975" s="245">
        <v>0</v>
      </c>
      <c r="F975" s="245">
        <v>1</v>
      </c>
      <c r="H975" s="245">
        <v>1</v>
      </c>
      <c r="I975" s="245">
        <v>645.37004999999999</v>
      </c>
      <c r="J975" s="245">
        <v>0</v>
      </c>
      <c r="K975" s="245">
        <v>0</v>
      </c>
      <c r="L975" s="245">
        <v>645.37004999999999</v>
      </c>
      <c r="M975" s="245">
        <v>0</v>
      </c>
      <c r="N975" s="245">
        <v>645.37004999999999</v>
      </c>
      <c r="O975" s="245" t="s">
        <v>169</v>
      </c>
      <c r="R975" s="246" t="s">
        <v>677</v>
      </c>
    </row>
    <row r="976" spans="1:18" ht="26" hidden="1" x14ac:dyDescent="0.8">
      <c r="A976" s="247">
        <v>321211</v>
      </c>
      <c r="B976" s="248" t="s">
        <v>1225</v>
      </c>
      <c r="C976" s="249" t="s">
        <v>646</v>
      </c>
      <c r="D976" s="245">
        <v>0</v>
      </c>
      <c r="E976" s="245">
        <v>45</v>
      </c>
      <c r="H976" s="245">
        <v>45</v>
      </c>
      <c r="I976" s="245">
        <v>10.404797</v>
      </c>
      <c r="J976" s="245">
        <v>0</v>
      </c>
      <c r="K976" s="245">
        <v>468.21586500000001</v>
      </c>
      <c r="L976" s="245">
        <v>0</v>
      </c>
      <c r="M976" s="245">
        <v>0</v>
      </c>
      <c r="N976" s="245">
        <v>468.21586500000001</v>
      </c>
      <c r="O976" s="245" t="s">
        <v>169</v>
      </c>
      <c r="P976" s="245" t="s">
        <v>1165</v>
      </c>
      <c r="Q976" s="245" t="s">
        <v>750</v>
      </c>
      <c r="R976" s="246" t="s">
        <v>677</v>
      </c>
    </row>
    <row r="977" spans="1:18" ht="26" hidden="1" x14ac:dyDescent="0.8">
      <c r="A977" s="247">
        <v>321212</v>
      </c>
      <c r="B977" s="248" t="s">
        <v>1226</v>
      </c>
      <c r="C977" s="249" t="s">
        <v>66</v>
      </c>
      <c r="D977" s="245">
        <v>0</v>
      </c>
      <c r="E977" s="245">
        <v>50</v>
      </c>
      <c r="F977" s="245">
        <v>50</v>
      </c>
      <c r="G977" s="245">
        <v>50</v>
      </c>
      <c r="H977" s="245">
        <v>150</v>
      </c>
      <c r="I977" s="245">
        <v>0.255</v>
      </c>
      <c r="J977" s="245">
        <v>0</v>
      </c>
      <c r="K977" s="245">
        <v>12.75</v>
      </c>
      <c r="L977" s="245">
        <v>12.75</v>
      </c>
      <c r="M977" s="245">
        <v>12.75</v>
      </c>
      <c r="N977" s="245">
        <v>38.25</v>
      </c>
      <c r="O977" s="245" t="s">
        <v>169</v>
      </c>
      <c r="P977" s="245" t="s">
        <v>1165</v>
      </c>
      <c r="Q977" s="245" t="s">
        <v>1222</v>
      </c>
      <c r="R977" s="246" t="s">
        <v>677</v>
      </c>
    </row>
    <row r="978" spans="1:18" ht="26" hidden="1" x14ac:dyDescent="0.8">
      <c r="A978" s="247">
        <v>321212</v>
      </c>
      <c r="B978" s="248" t="s">
        <v>1227</v>
      </c>
      <c r="C978" s="249" t="s">
        <v>301</v>
      </c>
      <c r="D978" s="245">
        <v>0</v>
      </c>
      <c r="F978" s="245">
        <v>600</v>
      </c>
      <c r="G978" s="245">
        <v>600</v>
      </c>
      <c r="H978" s="245">
        <v>1200</v>
      </c>
      <c r="I978" s="245">
        <v>0.67666666666666664</v>
      </c>
      <c r="J978" s="245">
        <v>0</v>
      </c>
      <c r="K978" s="245">
        <v>0</v>
      </c>
      <c r="L978" s="245">
        <v>406</v>
      </c>
      <c r="M978" s="245">
        <v>406</v>
      </c>
      <c r="N978" s="245">
        <v>812</v>
      </c>
      <c r="O978" s="245" t="s">
        <v>56</v>
      </c>
      <c r="P978" s="245" t="s">
        <v>1165</v>
      </c>
      <c r="Q978" s="245" t="s">
        <v>1222</v>
      </c>
      <c r="R978" s="246" t="s">
        <v>677</v>
      </c>
    </row>
    <row r="979" spans="1:18" ht="26" hidden="1" x14ac:dyDescent="0.8">
      <c r="A979" s="247">
        <v>321213</v>
      </c>
      <c r="B979" s="248" t="s">
        <v>1228</v>
      </c>
      <c r="C979" s="249" t="s">
        <v>1230</v>
      </c>
      <c r="D979" s="245">
        <v>0</v>
      </c>
      <c r="E979" s="245">
        <v>1</v>
      </c>
      <c r="F979" s="245">
        <v>1</v>
      </c>
      <c r="G979" s="245">
        <v>1</v>
      </c>
      <c r="H979" s="245">
        <v>3</v>
      </c>
      <c r="I979" s="245">
        <v>41384.007740617999</v>
      </c>
      <c r="J979" s="245">
        <v>0</v>
      </c>
      <c r="K979" s="245">
        <v>41384.007740617999</v>
      </c>
      <c r="L979" s="245">
        <v>41384.007740617999</v>
      </c>
      <c r="M979" s="245">
        <v>41384.007740617999</v>
      </c>
      <c r="N979" s="245">
        <v>124152.023221854</v>
      </c>
      <c r="O979" s="245" t="s">
        <v>56</v>
      </c>
      <c r="P979" s="245" t="s">
        <v>521</v>
      </c>
      <c r="Q979" s="245" t="s">
        <v>1231</v>
      </c>
      <c r="R979" s="246" t="s">
        <v>677</v>
      </c>
    </row>
    <row r="980" spans="1:18" ht="26" x14ac:dyDescent="0.8">
      <c r="A980" s="247">
        <v>322</v>
      </c>
      <c r="B980" s="248" t="s">
        <v>1232</v>
      </c>
      <c r="D980" s="245">
        <v>0</v>
      </c>
      <c r="R980" s="246" t="s">
        <v>677</v>
      </c>
    </row>
    <row r="981" spans="1:18" ht="39" x14ac:dyDescent="0.8">
      <c r="A981" s="247">
        <v>3221</v>
      </c>
      <c r="B981" s="248" t="s">
        <v>1233</v>
      </c>
      <c r="D981" s="245">
        <v>0</v>
      </c>
      <c r="R981" s="246" t="s">
        <v>677</v>
      </c>
    </row>
    <row r="982" spans="1:18" ht="52" hidden="1" x14ac:dyDescent="0.8">
      <c r="A982" s="247">
        <v>32211</v>
      </c>
      <c r="B982" s="248" t="s">
        <v>1234</v>
      </c>
      <c r="D982" s="245">
        <v>0</v>
      </c>
      <c r="F982" s="245">
        <v>1</v>
      </c>
      <c r="G982" s="245">
        <v>1</v>
      </c>
      <c r="H982" s="245">
        <v>2</v>
      </c>
      <c r="I982" s="245">
        <v>0</v>
      </c>
      <c r="J982" s="245">
        <v>0</v>
      </c>
      <c r="K982" s="245">
        <v>0</v>
      </c>
      <c r="L982" s="245">
        <v>0</v>
      </c>
      <c r="M982" s="245">
        <v>0</v>
      </c>
      <c r="O982" s="245" t="s">
        <v>56</v>
      </c>
      <c r="P982" s="245" t="s">
        <v>1165</v>
      </c>
      <c r="Q982" s="245" t="s">
        <v>1235</v>
      </c>
      <c r="R982" s="246" t="s">
        <v>677</v>
      </c>
    </row>
    <row r="983" spans="1:18" ht="26" hidden="1" x14ac:dyDescent="0.8">
      <c r="A983" s="247">
        <v>32212</v>
      </c>
      <c r="B983" s="248" t="s">
        <v>1236</v>
      </c>
      <c r="C983" s="249" t="s">
        <v>55</v>
      </c>
      <c r="D983" s="245">
        <v>0</v>
      </c>
      <c r="H983" s="245">
        <v>0</v>
      </c>
      <c r="I983" s="245">
        <v>0</v>
      </c>
      <c r="J983" s="245">
        <v>0</v>
      </c>
      <c r="K983" s="245">
        <v>0</v>
      </c>
      <c r="L983" s="245">
        <v>0</v>
      </c>
      <c r="M983" s="245">
        <v>0</v>
      </c>
      <c r="O983" s="245" t="s">
        <v>56</v>
      </c>
      <c r="P983" s="245" t="s">
        <v>521</v>
      </c>
      <c r="Q983" s="245" t="s">
        <v>1237</v>
      </c>
      <c r="R983" s="246" t="s">
        <v>677</v>
      </c>
    </row>
    <row r="984" spans="1:18" hidden="1" x14ac:dyDescent="0.8">
      <c r="A984" s="247">
        <v>32213</v>
      </c>
      <c r="B984" s="248" t="s">
        <v>1238</v>
      </c>
      <c r="C984" s="249" t="s">
        <v>1240</v>
      </c>
      <c r="D984" s="245">
        <v>0</v>
      </c>
      <c r="E984" s="245">
        <v>0</v>
      </c>
      <c r="F984" s="245">
        <v>8</v>
      </c>
      <c r="G984" s="245">
        <v>0</v>
      </c>
      <c r="H984" s="245">
        <v>8</v>
      </c>
      <c r="I984" s="245">
        <v>100</v>
      </c>
      <c r="J984" s="245">
        <v>0</v>
      </c>
      <c r="K984" s="245">
        <v>0</v>
      </c>
      <c r="L984" s="245">
        <v>800</v>
      </c>
      <c r="M984" s="245">
        <v>0</v>
      </c>
      <c r="N984" s="245">
        <v>800</v>
      </c>
      <c r="O984" s="245" t="s">
        <v>169</v>
      </c>
      <c r="P984" s="245" t="s">
        <v>521</v>
      </c>
      <c r="Q984" s="245" t="s">
        <v>1237</v>
      </c>
      <c r="R984" s="246" t="s">
        <v>677</v>
      </c>
    </row>
    <row r="985" spans="1:18" hidden="1" x14ac:dyDescent="0.8">
      <c r="A985" s="247">
        <v>32214</v>
      </c>
      <c r="B985" s="248" t="s">
        <v>1241</v>
      </c>
      <c r="C985" s="249" t="s">
        <v>1242</v>
      </c>
      <c r="D985" s="245">
        <v>0</v>
      </c>
      <c r="H985" s="245">
        <v>0</v>
      </c>
      <c r="I985" s="245">
        <v>60</v>
      </c>
      <c r="J985" s="245">
        <v>0</v>
      </c>
      <c r="K985" s="245">
        <v>0</v>
      </c>
      <c r="L985" s="245">
        <v>0</v>
      </c>
      <c r="M985" s="245">
        <v>0</v>
      </c>
      <c r="N985" s="245">
        <v>0</v>
      </c>
      <c r="O985" s="245" t="s">
        <v>56</v>
      </c>
      <c r="P985" s="245" t="s">
        <v>521</v>
      </c>
      <c r="Q985" s="245" t="s">
        <v>1237</v>
      </c>
      <c r="R985" s="246" t="s">
        <v>677</v>
      </c>
    </row>
    <row r="986" spans="1:18" ht="26" hidden="1" x14ac:dyDescent="0.8">
      <c r="A986" s="247">
        <v>32215</v>
      </c>
      <c r="B986" s="248" t="s">
        <v>1243</v>
      </c>
      <c r="C986" s="249" t="s">
        <v>301</v>
      </c>
      <c r="D986" s="245">
        <v>0</v>
      </c>
      <c r="E986" s="245">
        <v>10</v>
      </c>
      <c r="H986" s="245">
        <v>10</v>
      </c>
      <c r="I986" s="245">
        <v>0.67666666666666664</v>
      </c>
      <c r="J986" s="245">
        <v>0</v>
      </c>
      <c r="K986" s="245">
        <v>6.7666666666666666</v>
      </c>
      <c r="L986" s="245">
        <v>0</v>
      </c>
      <c r="M986" s="245">
        <v>0</v>
      </c>
      <c r="N986" s="245">
        <v>6.7666666666666666</v>
      </c>
      <c r="O986" s="245" t="s">
        <v>169</v>
      </c>
      <c r="P986" s="245" t="s">
        <v>521</v>
      </c>
      <c r="Q986" s="245" t="s">
        <v>1244</v>
      </c>
      <c r="R986" s="246" t="s">
        <v>677</v>
      </c>
    </row>
    <row r="987" spans="1:18" ht="26" x14ac:dyDescent="0.8">
      <c r="A987" s="247">
        <v>323</v>
      </c>
      <c r="B987" s="248" t="s">
        <v>1245</v>
      </c>
      <c r="D987" s="245">
        <v>0</v>
      </c>
      <c r="R987" s="246" t="s">
        <v>677</v>
      </c>
    </row>
    <row r="988" spans="1:18" ht="26" x14ac:dyDescent="0.8">
      <c r="A988" s="247">
        <v>3231</v>
      </c>
      <c r="B988" s="248" t="s">
        <v>1246</v>
      </c>
      <c r="D988" s="245">
        <v>0</v>
      </c>
      <c r="R988" s="246" t="s">
        <v>677</v>
      </c>
    </row>
    <row r="989" spans="1:18" ht="52" hidden="1" x14ac:dyDescent="0.8">
      <c r="A989" s="247">
        <v>32311</v>
      </c>
      <c r="B989" s="248" t="s">
        <v>1247</v>
      </c>
      <c r="C989" s="249" t="s">
        <v>662</v>
      </c>
      <c r="D989" s="245">
        <v>0</v>
      </c>
      <c r="E989" s="245">
        <v>6</v>
      </c>
      <c r="F989" s="245">
        <v>4</v>
      </c>
      <c r="G989" s="245">
        <v>2</v>
      </c>
      <c r="H989" s="245">
        <v>12</v>
      </c>
      <c r="I989" s="245">
        <v>219.54797350000001</v>
      </c>
      <c r="J989" s="245">
        <v>0</v>
      </c>
      <c r="K989" s="245">
        <v>1317.2878410000001</v>
      </c>
      <c r="L989" s="245">
        <v>878.19189400000005</v>
      </c>
      <c r="M989" s="245">
        <v>439.09594700000002</v>
      </c>
      <c r="N989" s="245">
        <v>2634.5756819999997</v>
      </c>
      <c r="O989" s="245" t="s">
        <v>169</v>
      </c>
      <c r="P989" s="245" t="s">
        <v>1165</v>
      </c>
      <c r="Q989" s="245" t="s">
        <v>750</v>
      </c>
      <c r="R989" s="246" t="s">
        <v>677</v>
      </c>
    </row>
    <row r="990" spans="1:18" ht="52" x14ac:dyDescent="0.8">
      <c r="A990" s="247">
        <v>32312</v>
      </c>
      <c r="B990" s="248" t="s">
        <v>1248</v>
      </c>
      <c r="C990" s="249" t="s">
        <v>66</v>
      </c>
      <c r="D990" s="245">
        <v>0</v>
      </c>
      <c r="E990" s="245">
        <v>75</v>
      </c>
      <c r="H990" s="245">
        <v>75</v>
      </c>
      <c r="I990" s="245">
        <v>0.255</v>
      </c>
      <c r="J990" s="245">
        <v>0</v>
      </c>
      <c r="K990" s="245">
        <v>19.125</v>
      </c>
      <c r="L990" s="245">
        <v>0</v>
      </c>
      <c r="M990" s="245">
        <v>0</v>
      </c>
      <c r="N990" s="245">
        <v>19.125</v>
      </c>
      <c r="O990" s="245" t="s">
        <v>118</v>
      </c>
      <c r="P990" s="245" t="s">
        <v>1165</v>
      </c>
      <c r="Q990" s="245" t="s">
        <v>1165</v>
      </c>
      <c r="R990" s="246" t="s">
        <v>677</v>
      </c>
    </row>
    <row r="991" spans="1:18" ht="39" hidden="1" x14ac:dyDescent="0.8">
      <c r="A991" s="247">
        <v>32313</v>
      </c>
      <c r="B991" s="248" t="s">
        <v>1249</v>
      </c>
      <c r="C991" s="249" t="s">
        <v>59</v>
      </c>
      <c r="D991" s="245">
        <v>0</v>
      </c>
      <c r="E991" s="245">
        <v>0</v>
      </c>
      <c r="G991" s="245">
        <v>1</v>
      </c>
      <c r="H991" s="245">
        <v>1</v>
      </c>
      <c r="I991" s="245">
        <v>0.8177777777777776</v>
      </c>
      <c r="J991" s="245">
        <v>0</v>
      </c>
      <c r="K991" s="245">
        <v>0</v>
      </c>
      <c r="L991" s="245">
        <v>0</v>
      </c>
      <c r="M991" s="245">
        <v>0.8177777777777776</v>
      </c>
      <c r="N991" s="245">
        <v>0.8177777777777776</v>
      </c>
      <c r="O991" s="245" t="s">
        <v>169</v>
      </c>
      <c r="P991" s="245" t="s">
        <v>1165</v>
      </c>
      <c r="Q991" s="245" t="s">
        <v>1251</v>
      </c>
      <c r="R991" s="246" t="s">
        <v>677</v>
      </c>
    </row>
    <row r="992" spans="1:18" ht="39" hidden="1" x14ac:dyDescent="0.8">
      <c r="A992" s="247">
        <v>32314</v>
      </c>
      <c r="B992" s="248" t="s">
        <v>1252</v>
      </c>
      <c r="C992" s="249" t="s">
        <v>38</v>
      </c>
      <c r="D992" s="245">
        <v>0</v>
      </c>
      <c r="E992" s="245">
        <v>270</v>
      </c>
      <c r="G992" s="245">
        <v>270</v>
      </c>
      <c r="H992" s="245">
        <v>540</v>
      </c>
      <c r="I992" s="245">
        <v>0.3133333333333333</v>
      </c>
      <c r="J992" s="245">
        <v>0</v>
      </c>
      <c r="K992" s="245">
        <v>84.6</v>
      </c>
      <c r="L992" s="245">
        <v>0</v>
      </c>
      <c r="M992" s="245">
        <v>84.6</v>
      </c>
      <c r="N992" s="245">
        <v>169.2</v>
      </c>
      <c r="O992" s="245" t="s">
        <v>56</v>
      </c>
      <c r="P992" s="245" t="s">
        <v>1165</v>
      </c>
      <c r="Q992" s="245" t="s">
        <v>1251</v>
      </c>
      <c r="R992" s="246" t="s">
        <v>677</v>
      </c>
    </row>
    <row r="993" spans="1:18" ht="26" x14ac:dyDescent="0.8">
      <c r="A993" s="247">
        <v>32315</v>
      </c>
      <c r="B993" s="248" t="s">
        <v>1253</v>
      </c>
      <c r="C993" s="249" t="s">
        <v>38</v>
      </c>
      <c r="D993" s="245">
        <v>0</v>
      </c>
      <c r="E993" s="245">
        <v>90</v>
      </c>
      <c r="H993" s="245">
        <v>90</v>
      </c>
      <c r="I993" s="245">
        <v>0.3133333333333333</v>
      </c>
      <c r="J993" s="245">
        <v>0</v>
      </c>
      <c r="K993" s="245">
        <v>28.199999999999996</v>
      </c>
      <c r="L993" s="245">
        <v>0</v>
      </c>
      <c r="M993" s="245">
        <v>0</v>
      </c>
      <c r="N993" s="245">
        <v>28.199999999999996</v>
      </c>
      <c r="O993" s="245" t="s">
        <v>118</v>
      </c>
      <c r="P993" s="245" t="s">
        <v>1165</v>
      </c>
      <c r="Q993" s="245" t="s">
        <v>1255</v>
      </c>
      <c r="R993" s="246" t="s">
        <v>677</v>
      </c>
    </row>
    <row r="994" spans="1:18" hidden="1" x14ac:dyDescent="0.8">
      <c r="A994" s="247">
        <v>32316</v>
      </c>
      <c r="B994" s="248" t="s">
        <v>1256</v>
      </c>
      <c r="C994" s="249" t="s">
        <v>55</v>
      </c>
      <c r="D994" s="245">
        <v>0</v>
      </c>
      <c r="F994" s="245">
        <v>1</v>
      </c>
      <c r="G994" s="245">
        <v>1</v>
      </c>
      <c r="H994" s="245">
        <v>2</v>
      </c>
      <c r="I994" s="245">
        <v>0</v>
      </c>
      <c r="J994" s="245">
        <v>0</v>
      </c>
      <c r="K994" s="245">
        <v>0</v>
      </c>
      <c r="L994" s="245">
        <v>0</v>
      </c>
      <c r="M994" s="245">
        <v>0</v>
      </c>
      <c r="O994" s="245" t="s">
        <v>56</v>
      </c>
      <c r="P994" s="245" t="s">
        <v>1165</v>
      </c>
      <c r="Q994" s="245" t="s">
        <v>1255</v>
      </c>
      <c r="R994" s="246" t="s">
        <v>677</v>
      </c>
    </row>
    <row r="995" spans="1:18" ht="26" x14ac:dyDescent="0.8">
      <c r="A995" s="247">
        <v>3232</v>
      </c>
      <c r="B995" s="248" t="s">
        <v>1257</v>
      </c>
      <c r="D995" s="245">
        <v>0</v>
      </c>
      <c r="R995" s="246" t="s">
        <v>677</v>
      </c>
    </row>
    <row r="996" spans="1:18" ht="39" hidden="1" x14ac:dyDescent="0.8">
      <c r="A996" s="247">
        <v>32321</v>
      </c>
      <c r="B996" s="248" t="s">
        <v>1258</v>
      </c>
      <c r="C996" s="249" t="s">
        <v>55</v>
      </c>
      <c r="D996" s="245">
        <v>0</v>
      </c>
      <c r="E996" s="245">
        <v>1</v>
      </c>
      <c r="H996" s="245">
        <v>1</v>
      </c>
      <c r="I996" s="245">
        <v>0</v>
      </c>
      <c r="J996" s="245">
        <v>0</v>
      </c>
      <c r="K996" s="245">
        <v>0</v>
      </c>
      <c r="L996" s="245">
        <v>0</v>
      </c>
      <c r="M996" s="245">
        <v>0</v>
      </c>
      <c r="O996" s="245" t="s">
        <v>56</v>
      </c>
      <c r="R996" s="246" t="s">
        <v>677</v>
      </c>
    </row>
    <row r="997" spans="1:18" ht="26" hidden="1" x14ac:dyDescent="0.8">
      <c r="A997" s="247">
        <v>32322</v>
      </c>
      <c r="B997" s="248" t="s">
        <v>1259</v>
      </c>
      <c r="C997" s="249" t="s">
        <v>55</v>
      </c>
      <c r="D997" s="245">
        <v>0</v>
      </c>
      <c r="E997" s="245">
        <v>1</v>
      </c>
      <c r="H997" s="245">
        <v>1</v>
      </c>
      <c r="I997" s="245">
        <v>0</v>
      </c>
      <c r="J997" s="245">
        <v>0</v>
      </c>
      <c r="K997" s="245">
        <v>0</v>
      </c>
      <c r="L997" s="245">
        <v>0</v>
      </c>
      <c r="M997" s="245">
        <v>0</v>
      </c>
      <c r="O997" s="245" t="s">
        <v>56</v>
      </c>
      <c r="R997" s="246" t="s">
        <v>677</v>
      </c>
    </row>
    <row r="998" spans="1:18" ht="26" hidden="1" x14ac:dyDescent="0.8">
      <c r="A998" s="247">
        <v>32323</v>
      </c>
      <c r="B998" s="248" t="s">
        <v>1260</v>
      </c>
      <c r="C998" s="249" t="s">
        <v>38</v>
      </c>
      <c r="D998" s="245">
        <v>0</v>
      </c>
      <c r="E998" s="245">
        <v>90</v>
      </c>
      <c r="H998" s="245">
        <v>90</v>
      </c>
      <c r="I998" s="245">
        <v>0.3133333333333333</v>
      </c>
      <c r="J998" s="245">
        <v>0</v>
      </c>
      <c r="K998" s="245">
        <v>28.199999999999996</v>
      </c>
      <c r="L998" s="245">
        <v>0</v>
      </c>
      <c r="M998" s="245">
        <v>0</v>
      </c>
      <c r="N998" s="245">
        <v>28.199999999999996</v>
      </c>
      <c r="O998" s="245" t="s">
        <v>56</v>
      </c>
      <c r="P998" s="245" t="s">
        <v>1165</v>
      </c>
      <c r="Q998" s="245" t="s">
        <v>1255</v>
      </c>
      <c r="R998" s="246" t="s">
        <v>677</v>
      </c>
    </row>
    <row r="999" spans="1:18" ht="26" hidden="1" x14ac:dyDescent="0.8">
      <c r="A999" s="247">
        <v>32324</v>
      </c>
      <c r="B999" s="248" t="s">
        <v>1261</v>
      </c>
      <c r="C999" s="249" t="s">
        <v>59</v>
      </c>
      <c r="D999" s="245">
        <v>0</v>
      </c>
      <c r="E999" s="245">
        <v>225</v>
      </c>
      <c r="G999" s="245">
        <v>135</v>
      </c>
      <c r="H999" s="245">
        <v>360</v>
      </c>
      <c r="I999" s="245">
        <v>0.8177777777777776</v>
      </c>
      <c r="J999" s="245">
        <v>0</v>
      </c>
      <c r="K999" s="245">
        <v>183.99999999999997</v>
      </c>
      <c r="L999" s="245">
        <v>0</v>
      </c>
      <c r="M999" s="245">
        <v>110.39999999999998</v>
      </c>
      <c r="N999" s="245">
        <v>294.39999999999998</v>
      </c>
      <c r="O999" s="245" t="s">
        <v>56</v>
      </c>
      <c r="P999" s="245" t="s">
        <v>96</v>
      </c>
      <c r="Q999" s="245" t="s">
        <v>1262</v>
      </c>
      <c r="R999" s="246" t="s">
        <v>677</v>
      </c>
    </row>
    <row r="1000" spans="1:18" hidden="1" x14ac:dyDescent="0.8">
      <c r="A1000" s="247">
        <v>32325</v>
      </c>
      <c r="B1000" s="248" t="s">
        <v>1263</v>
      </c>
      <c r="C1000" s="249" t="s">
        <v>38</v>
      </c>
      <c r="D1000" s="245">
        <v>0</v>
      </c>
      <c r="F1000" s="245">
        <v>90</v>
      </c>
      <c r="H1000" s="245">
        <v>90</v>
      </c>
      <c r="I1000" s="245">
        <v>0.3133333333333333</v>
      </c>
      <c r="J1000" s="245">
        <v>0</v>
      </c>
      <c r="K1000" s="245">
        <v>0</v>
      </c>
      <c r="L1000" s="245">
        <v>28.199999999999996</v>
      </c>
      <c r="M1000" s="245">
        <v>0</v>
      </c>
      <c r="N1000" s="245">
        <v>28.199999999999996</v>
      </c>
      <c r="O1000" s="245" t="s">
        <v>56</v>
      </c>
      <c r="P1000" s="245" t="s">
        <v>1165</v>
      </c>
      <c r="Q1000" s="245" t="s">
        <v>1255</v>
      </c>
      <c r="R1000" s="246" t="s">
        <v>677</v>
      </c>
    </row>
    <row r="1001" spans="1:18" ht="26" hidden="1" x14ac:dyDescent="0.8">
      <c r="A1001" s="247">
        <v>32326</v>
      </c>
      <c r="B1001" s="248" t="s">
        <v>1264</v>
      </c>
      <c r="C1001" s="249" t="s">
        <v>55</v>
      </c>
      <c r="D1001" s="245">
        <v>0</v>
      </c>
      <c r="F1001" s="245">
        <v>1</v>
      </c>
      <c r="H1001" s="245">
        <v>1</v>
      </c>
      <c r="I1001" s="245">
        <v>0</v>
      </c>
      <c r="J1001" s="245">
        <v>0</v>
      </c>
      <c r="K1001" s="245">
        <v>0</v>
      </c>
      <c r="L1001" s="245">
        <v>0</v>
      </c>
      <c r="M1001" s="245">
        <v>0</v>
      </c>
      <c r="O1001" s="245" t="s">
        <v>56</v>
      </c>
      <c r="P1001" s="245" t="s">
        <v>1165</v>
      </c>
      <c r="Q1001" s="245" t="s">
        <v>1255</v>
      </c>
      <c r="R1001" s="246" t="s">
        <v>677</v>
      </c>
    </row>
    <row r="1002" spans="1:18" ht="26" x14ac:dyDescent="0.8">
      <c r="A1002" s="247">
        <v>3233</v>
      </c>
      <c r="B1002" s="248" t="s">
        <v>1265</v>
      </c>
      <c r="D1002" s="245">
        <v>0</v>
      </c>
      <c r="R1002" s="246" t="s">
        <v>677</v>
      </c>
    </row>
    <row r="1003" spans="1:18" ht="26" hidden="1" x14ac:dyDescent="0.8">
      <c r="A1003" s="247">
        <v>32331</v>
      </c>
      <c r="B1003" s="248" t="s">
        <v>1266</v>
      </c>
      <c r="C1003" s="249" t="s">
        <v>55</v>
      </c>
      <c r="D1003" s="245">
        <v>0</v>
      </c>
      <c r="E1003" s="245">
        <v>1</v>
      </c>
      <c r="F1003" s="245">
        <v>0</v>
      </c>
      <c r="G1003" s="245">
        <v>0</v>
      </c>
      <c r="H1003" s="245">
        <v>1</v>
      </c>
      <c r="I1003" s="245">
        <v>0</v>
      </c>
      <c r="J1003" s="245">
        <v>0</v>
      </c>
      <c r="K1003" s="245">
        <v>0</v>
      </c>
      <c r="L1003" s="245">
        <v>0</v>
      </c>
      <c r="M1003" s="245">
        <v>0</v>
      </c>
      <c r="O1003" s="245" t="s">
        <v>169</v>
      </c>
      <c r="R1003" s="246" t="s">
        <v>677</v>
      </c>
    </row>
    <row r="1004" spans="1:18" ht="26" hidden="1" x14ac:dyDescent="0.8">
      <c r="A1004" s="247">
        <v>32332</v>
      </c>
      <c r="B1004" s="248" t="s">
        <v>1267</v>
      </c>
      <c r="C1004" s="249" t="s">
        <v>66</v>
      </c>
      <c r="D1004" s="245">
        <v>0</v>
      </c>
      <c r="F1004" s="245">
        <v>200</v>
      </c>
      <c r="G1004" s="245">
        <v>0</v>
      </c>
      <c r="H1004" s="245">
        <v>200</v>
      </c>
      <c r="I1004" s="245">
        <v>0.255</v>
      </c>
      <c r="J1004" s="245">
        <v>0</v>
      </c>
      <c r="K1004" s="245">
        <v>0</v>
      </c>
      <c r="L1004" s="245">
        <v>51</v>
      </c>
      <c r="M1004" s="245">
        <v>0</v>
      </c>
      <c r="N1004" s="245">
        <v>51</v>
      </c>
      <c r="O1004" s="245" t="s">
        <v>169</v>
      </c>
      <c r="P1004" s="245" t="s">
        <v>1268</v>
      </c>
      <c r="Q1004" s="245" t="s">
        <v>1165</v>
      </c>
      <c r="R1004" s="246" t="s">
        <v>677</v>
      </c>
    </row>
    <row r="1005" spans="1:18" ht="26" hidden="1" x14ac:dyDescent="0.8">
      <c r="A1005" s="247">
        <v>32333</v>
      </c>
      <c r="B1005" s="248" t="s">
        <v>1269</v>
      </c>
      <c r="C1005" s="249" t="s">
        <v>55</v>
      </c>
      <c r="D1005" s="245">
        <v>0</v>
      </c>
      <c r="F1005" s="245">
        <v>1</v>
      </c>
      <c r="H1005" s="245">
        <v>1</v>
      </c>
      <c r="I1005" s="245">
        <v>0</v>
      </c>
      <c r="J1005" s="245">
        <v>0</v>
      </c>
      <c r="K1005" s="245">
        <v>0</v>
      </c>
      <c r="L1005" s="245">
        <v>0</v>
      </c>
      <c r="M1005" s="245">
        <v>0</v>
      </c>
      <c r="O1005" s="245" t="s">
        <v>56</v>
      </c>
      <c r="P1005" s="245" t="s">
        <v>1268</v>
      </c>
      <c r="Q1005" s="245" t="s">
        <v>1165</v>
      </c>
      <c r="R1005" s="246" t="s">
        <v>677</v>
      </c>
    </row>
    <row r="1006" spans="1:18" ht="26" x14ac:dyDescent="0.8">
      <c r="A1006" s="247">
        <v>33</v>
      </c>
      <c r="B1006" s="248" t="s">
        <v>1270</v>
      </c>
      <c r="D1006" s="245">
        <v>0</v>
      </c>
      <c r="R1006" s="246" t="s">
        <v>677</v>
      </c>
    </row>
    <row r="1007" spans="1:18" ht="52" x14ac:dyDescent="0.8">
      <c r="A1007" s="247">
        <v>331</v>
      </c>
      <c r="B1007" s="248" t="s">
        <v>1271</v>
      </c>
      <c r="D1007" s="245">
        <v>0</v>
      </c>
      <c r="R1007" s="246" t="s">
        <v>677</v>
      </c>
    </row>
    <row r="1008" spans="1:18" ht="65" x14ac:dyDescent="0.8">
      <c r="A1008" s="247">
        <v>3311</v>
      </c>
      <c r="B1008" s="248" t="s">
        <v>1272</v>
      </c>
      <c r="D1008" s="245">
        <v>0</v>
      </c>
      <c r="R1008" s="246" t="s">
        <v>677</v>
      </c>
    </row>
    <row r="1009" spans="1:18" ht="26" x14ac:dyDescent="0.8">
      <c r="A1009" s="247">
        <v>33111</v>
      </c>
      <c r="B1009" s="248" t="s">
        <v>1273</v>
      </c>
      <c r="C1009" s="249" t="s">
        <v>1275</v>
      </c>
      <c r="D1009" s="245">
        <v>0</v>
      </c>
      <c r="H1009" s="245">
        <v>0</v>
      </c>
      <c r="I1009" s="245">
        <v>2006.65768</v>
      </c>
      <c r="J1009" s="245">
        <v>0</v>
      </c>
      <c r="K1009" s="245">
        <v>0</v>
      </c>
      <c r="L1009" s="245">
        <v>0</v>
      </c>
      <c r="M1009" s="245">
        <v>0</v>
      </c>
      <c r="N1009" s="245">
        <v>0</v>
      </c>
      <c r="O1009" s="245" t="s">
        <v>1276</v>
      </c>
      <c r="P1009" s="245" t="s">
        <v>521</v>
      </c>
      <c r="Q1009" s="245" t="s">
        <v>1237</v>
      </c>
      <c r="R1009" s="246" t="s">
        <v>677</v>
      </c>
    </row>
    <row r="1010" spans="1:18" hidden="1" x14ac:dyDescent="0.8">
      <c r="A1010" s="247">
        <v>33112</v>
      </c>
      <c r="B1010" s="248" t="s">
        <v>1277</v>
      </c>
      <c r="C1010" s="249" t="s">
        <v>1279</v>
      </c>
      <c r="D1010" s="245">
        <v>0</v>
      </c>
      <c r="E1010" s="245">
        <v>0</v>
      </c>
      <c r="F1010" s="245">
        <v>1</v>
      </c>
      <c r="G1010" s="245">
        <v>0</v>
      </c>
      <c r="H1010" s="245">
        <v>1</v>
      </c>
      <c r="I1010" s="245">
        <v>3703.140895</v>
      </c>
      <c r="J1010" s="245">
        <v>0</v>
      </c>
      <c r="K1010" s="245">
        <v>0</v>
      </c>
      <c r="L1010" s="245">
        <v>3703.140895</v>
      </c>
      <c r="M1010" s="245">
        <v>0</v>
      </c>
      <c r="N1010" s="245">
        <v>3703.140895</v>
      </c>
      <c r="O1010" s="245" t="s">
        <v>169</v>
      </c>
      <c r="P1010" s="245" t="s">
        <v>521</v>
      </c>
      <c r="Q1010" s="245" t="s">
        <v>1237</v>
      </c>
      <c r="R1010" s="246" t="s">
        <v>677</v>
      </c>
    </row>
    <row r="1011" spans="1:18" ht="26" hidden="1" x14ac:dyDescent="0.8">
      <c r="A1011" s="247">
        <v>33113</v>
      </c>
      <c r="B1011" s="248" t="s">
        <v>1280</v>
      </c>
      <c r="C1011" s="249" t="s">
        <v>92</v>
      </c>
      <c r="D1011" s="245">
        <v>0</v>
      </c>
      <c r="E1011" s="245">
        <v>0.2</v>
      </c>
      <c r="H1011" s="245">
        <v>0.2</v>
      </c>
      <c r="I1011" s="245">
        <v>0</v>
      </c>
      <c r="J1011" s="245">
        <v>0</v>
      </c>
      <c r="K1011" s="245">
        <v>0</v>
      </c>
      <c r="L1011" s="245">
        <v>0</v>
      </c>
      <c r="M1011" s="245">
        <v>0</v>
      </c>
      <c r="O1011" s="245" t="s">
        <v>56</v>
      </c>
      <c r="R1011" s="246" t="s">
        <v>677</v>
      </c>
    </row>
    <row r="1012" spans="1:18" hidden="1" x14ac:dyDescent="0.8">
      <c r="A1012" s="247">
        <v>33114</v>
      </c>
      <c r="B1012" s="248" t="s">
        <v>1281</v>
      </c>
      <c r="C1012" s="249" t="s">
        <v>1283</v>
      </c>
      <c r="D1012" s="245">
        <v>0</v>
      </c>
      <c r="E1012" s="245">
        <v>0.2</v>
      </c>
      <c r="H1012" s="245">
        <v>0.2</v>
      </c>
      <c r="I1012" s="245">
        <v>9225.6919629999993</v>
      </c>
      <c r="J1012" s="245">
        <v>0</v>
      </c>
      <c r="K1012" s="245">
        <v>1845.1383925999999</v>
      </c>
      <c r="L1012" s="245">
        <v>0</v>
      </c>
      <c r="M1012" s="245">
        <v>0</v>
      </c>
      <c r="N1012" s="245">
        <v>1845.1383925999999</v>
      </c>
      <c r="O1012" s="245" t="s">
        <v>56</v>
      </c>
      <c r="R1012" s="246" t="s">
        <v>677</v>
      </c>
    </row>
    <row r="1013" spans="1:18" hidden="1" x14ac:dyDescent="0.8">
      <c r="A1013" s="247">
        <v>33115</v>
      </c>
      <c r="B1013" s="248" t="s">
        <v>1284</v>
      </c>
      <c r="C1013" s="249" t="s">
        <v>1285</v>
      </c>
      <c r="D1013" s="245">
        <v>0</v>
      </c>
      <c r="E1013" s="245">
        <v>0.6</v>
      </c>
      <c r="H1013" s="245">
        <v>0.6</v>
      </c>
      <c r="I1013" s="245">
        <v>25083.221000000001</v>
      </c>
      <c r="J1013" s="245">
        <v>0</v>
      </c>
      <c r="K1013" s="245">
        <v>15049.9326</v>
      </c>
      <c r="L1013" s="245">
        <v>0</v>
      </c>
      <c r="M1013" s="245">
        <v>0</v>
      </c>
      <c r="N1013" s="245">
        <v>15049.9326</v>
      </c>
      <c r="O1013" s="245" t="s">
        <v>56</v>
      </c>
      <c r="R1013" s="246" t="s">
        <v>677</v>
      </c>
    </row>
    <row r="1014" spans="1:18" hidden="1" x14ac:dyDescent="0.8">
      <c r="A1014" s="247">
        <v>33116</v>
      </c>
      <c r="B1014" s="248" t="s">
        <v>1286</v>
      </c>
      <c r="C1014" s="249" t="s">
        <v>1287</v>
      </c>
      <c r="D1014" s="245">
        <v>0</v>
      </c>
      <c r="E1014" s="245">
        <v>0.2</v>
      </c>
      <c r="H1014" s="245">
        <v>0.2</v>
      </c>
      <c r="I1014" s="245">
        <v>46289.261183000002</v>
      </c>
      <c r="J1014" s="245">
        <v>0</v>
      </c>
      <c r="K1014" s="245">
        <v>9257.8522366000016</v>
      </c>
      <c r="L1014" s="245">
        <v>0</v>
      </c>
      <c r="M1014" s="245">
        <v>0</v>
      </c>
      <c r="N1014" s="245">
        <v>9257.8522366000016</v>
      </c>
      <c r="O1014" s="245" t="s">
        <v>56</v>
      </c>
      <c r="P1014" s="245" t="s">
        <v>521</v>
      </c>
      <c r="Q1014" s="245" t="s">
        <v>1237</v>
      </c>
      <c r="R1014" s="246" t="s">
        <v>677</v>
      </c>
    </row>
    <row r="1015" spans="1:18" ht="26" hidden="1" x14ac:dyDescent="0.8">
      <c r="A1015" s="247">
        <v>33117</v>
      </c>
      <c r="B1015" s="248" t="s">
        <v>1288</v>
      </c>
      <c r="C1015" s="249" t="s">
        <v>1289</v>
      </c>
      <c r="D1015" s="245">
        <v>0</v>
      </c>
      <c r="H1015" s="245">
        <v>0</v>
      </c>
      <c r="I1015" s="245">
        <v>17865.557499999999</v>
      </c>
      <c r="J1015" s="245">
        <v>0</v>
      </c>
      <c r="K1015" s="245">
        <v>0</v>
      </c>
      <c r="L1015" s="245">
        <v>0</v>
      </c>
      <c r="M1015" s="245">
        <v>0</v>
      </c>
      <c r="N1015" s="245">
        <v>0</v>
      </c>
      <c r="O1015" s="245" t="s">
        <v>56</v>
      </c>
      <c r="P1015" s="245" t="s">
        <v>521</v>
      </c>
      <c r="Q1015" s="245" t="s">
        <v>1237</v>
      </c>
      <c r="R1015" s="246" t="s">
        <v>677</v>
      </c>
    </row>
    <row r="1016" spans="1:18" hidden="1" x14ac:dyDescent="0.8">
      <c r="A1016" s="247">
        <v>33118</v>
      </c>
      <c r="B1016" s="248" t="s">
        <v>1290</v>
      </c>
      <c r="C1016" s="249" t="s">
        <v>1287</v>
      </c>
      <c r="D1016" s="245">
        <v>0</v>
      </c>
      <c r="F1016" s="245">
        <v>0.5</v>
      </c>
      <c r="G1016" s="245">
        <v>0.5</v>
      </c>
      <c r="H1016" s="245">
        <v>1</v>
      </c>
      <c r="I1016" s="245">
        <v>46289.261183000002</v>
      </c>
      <c r="J1016" s="245">
        <v>0</v>
      </c>
      <c r="K1016" s="245">
        <v>0</v>
      </c>
      <c r="L1016" s="245">
        <v>23144.630591500001</v>
      </c>
      <c r="M1016" s="245">
        <v>23144.630591500001</v>
      </c>
      <c r="N1016" s="245">
        <v>46289.261183000002</v>
      </c>
      <c r="O1016" s="245" t="s">
        <v>56</v>
      </c>
      <c r="P1016" s="245" t="s">
        <v>521</v>
      </c>
      <c r="Q1016" s="245" t="s">
        <v>1237</v>
      </c>
      <c r="R1016" s="246" t="s">
        <v>677</v>
      </c>
    </row>
    <row r="1017" spans="1:18" x14ac:dyDescent="0.8">
      <c r="A1017" s="247">
        <v>33119</v>
      </c>
      <c r="B1017" s="248" t="s">
        <v>1291</v>
      </c>
      <c r="C1017" s="249" t="s">
        <v>1293</v>
      </c>
      <c r="D1017" s="245">
        <v>0</v>
      </c>
      <c r="H1017" s="245">
        <v>0</v>
      </c>
      <c r="I1017" s="245">
        <v>22879.5</v>
      </c>
      <c r="J1017" s="245">
        <v>0</v>
      </c>
      <c r="K1017" s="245">
        <v>0</v>
      </c>
      <c r="L1017" s="245">
        <v>0</v>
      </c>
      <c r="M1017" s="245">
        <v>0</v>
      </c>
      <c r="N1017" s="245">
        <v>0</v>
      </c>
      <c r="O1017" s="245" t="s">
        <v>414</v>
      </c>
      <c r="P1017" s="245" t="s">
        <v>521</v>
      </c>
      <c r="Q1017" s="245" t="s">
        <v>1237</v>
      </c>
      <c r="R1017" s="246" t="s">
        <v>677</v>
      </c>
    </row>
    <row r="1018" spans="1:18" hidden="1" x14ac:dyDescent="0.8">
      <c r="A1018" s="247">
        <v>331110</v>
      </c>
      <c r="B1018" s="248" t="s">
        <v>1294</v>
      </c>
      <c r="C1018" s="249" t="s">
        <v>1295</v>
      </c>
      <c r="D1018" s="245">
        <v>0</v>
      </c>
      <c r="E1018" s="245">
        <v>0</v>
      </c>
      <c r="F1018" s="245">
        <v>1</v>
      </c>
      <c r="G1018" s="245">
        <v>0</v>
      </c>
      <c r="H1018" s="245">
        <v>1</v>
      </c>
      <c r="I1018" s="245">
        <v>5099.777</v>
      </c>
      <c r="J1018" s="245">
        <v>0</v>
      </c>
      <c r="K1018" s="245">
        <v>0</v>
      </c>
      <c r="L1018" s="245">
        <v>5099.777</v>
      </c>
      <c r="M1018" s="245">
        <v>0</v>
      </c>
      <c r="N1018" s="245">
        <v>5099.777</v>
      </c>
      <c r="O1018" s="245" t="s">
        <v>169</v>
      </c>
      <c r="P1018" s="245" t="s">
        <v>521</v>
      </c>
      <c r="Q1018" s="245" t="s">
        <v>1237</v>
      </c>
      <c r="R1018" s="246" t="s">
        <v>677</v>
      </c>
    </row>
    <row r="1019" spans="1:18" hidden="1" x14ac:dyDescent="0.8">
      <c r="A1019" s="247">
        <v>331111</v>
      </c>
      <c r="B1019" s="248" t="s">
        <v>1296</v>
      </c>
      <c r="C1019" s="249" t="s">
        <v>1297</v>
      </c>
      <c r="D1019" s="245">
        <v>0</v>
      </c>
      <c r="E1019" s="245">
        <v>2</v>
      </c>
      <c r="F1019" s="245">
        <v>6</v>
      </c>
      <c r="G1019" s="245">
        <v>2</v>
      </c>
      <c r="H1019" s="245">
        <v>10</v>
      </c>
      <c r="I1019" s="245">
        <v>17142.857143000001</v>
      </c>
      <c r="J1019" s="245">
        <v>0</v>
      </c>
      <c r="K1019" s="245">
        <v>34285.714286000002</v>
      </c>
      <c r="L1019" s="245">
        <v>102857.14285800001</v>
      </c>
      <c r="M1019" s="245">
        <v>34285.714286000002</v>
      </c>
      <c r="N1019" s="245">
        <v>171428.57143000001</v>
      </c>
      <c r="O1019" s="245" t="s">
        <v>56</v>
      </c>
      <c r="P1019" s="245" t="s">
        <v>521</v>
      </c>
      <c r="Q1019" s="245" t="s">
        <v>1237</v>
      </c>
      <c r="R1019" s="246" t="s">
        <v>677</v>
      </c>
    </row>
    <row r="1020" spans="1:18" hidden="1" x14ac:dyDescent="0.8">
      <c r="A1020" s="247">
        <v>331112</v>
      </c>
      <c r="B1020" s="248" t="s">
        <v>1298</v>
      </c>
      <c r="C1020" s="249" t="s">
        <v>1299</v>
      </c>
      <c r="D1020" s="245">
        <v>0</v>
      </c>
      <c r="F1020" s="245">
        <v>1</v>
      </c>
      <c r="G1020" s="245">
        <v>0</v>
      </c>
      <c r="H1020" s="245">
        <v>1</v>
      </c>
      <c r="I1020" s="245">
        <v>136.16666666666666</v>
      </c>
      <c r="J1020" s="245">
        <v>0</v>
      </c>
      <c r="K1020" s="245">
        <v>0</v>
      </c>
      <c r="L1020" s="245">
        <v>136.16666666666666</v>
      </c>
      <c r="M1020" s="245">
        <v>0</v>
      </c>
      <c r="N1020" s="245">
        <v>136.16666666666666</v>
      </c>
      <c r="O1020" s="245" t="s">
        <v>169</v>
      </c>
      <c r="P1020" s="245" t="s">
        <v>521</v>
      </c>
      <c r="Q1020" s="245" t="s">
        <v>1237</v>
      </c>
      <c r="R1020" s="246" t="s">
        <v>677</v>
      </c>
    </row>
    <row r="1021" spans="1:18" ht="26" hidden="1" x14ac:dyDescent="0.8">
      <c r="A1021" s="247">
        <v>331113</v>
      </c>
      <c r="B1021" s="248" t="s">
        <v>1300</v>
      </c>
      <c r="C1021" s="249" t="s">
        <v>1301</v>
      </c>
      <c r="D1021" s="245">
        <v>0</v>
      </c>
      <c r="E1021" s="245">
        <v>0.4</v>
      </c>
      <c r="H1021" s="245">
        <v>0.4</v>
      </c>
      <c r="I1021" s="245">
        <v>2499.6039999999998</v>
      </c>
      <c r="J1021" s="245">
        <v>0</v>
      </c>
      <c r="K1021" s="245">
        <v>999.84159999999997</v>
      </c>
      <c r="L1021" s="245">
        <v>0</v>
      </c>
      <c r="M1021" s="245">
        <v>0</v>
      </c>
      <c r="N1021" s="245">
        <v>999.84159999999997</v>
      </c>
      <c r="O1021" s="245" t="s">
        <v>56</v>
      </c>
      <c r="P1021" s="245" t="s">
        <v>521</v>
      </c>
      <c r="Q1021" s="245" t="s">
        <v>1237</v>
      </c>
      <c r="R1021" s="246" t="s">
        <v>677</v>
      </c>
    </row>
    <row r="1022" spans="1:18" x14ac:dyDescent="0.8">
      <c r="A1022" s="247">
        <v>331115</v>
      </c>
      <c r="B1022" s="248" t="s">
        <v>1302</v>
      </c>
      <c r="C1022" s="249" t="s">
        <v>1303</v>
      </c>
      <c r="D1022" s="245">
        <v>0</v>
      </c>
      <c r="E1022" s="245">
        <v>0.6</v>
      </c>
      <c r="F1022" s="245">
        <v>0.3</v>
      </c>
      <c r="H1022" s="245">
        <v>0.89999999999999991</v>
      </c>
      <c r="I1022" s="245">
        <v>8366.5</v>
      </c>
      <c r="J1022" s="245">
        <v>0</v>
      </c>
      <c r="K1022" s="245">
        <v>5019.8999999999996</v>
      </c>
      <c r="L1022" s="245">
        <v>2509.9499999999998</v>
      </c>
      <c r="M1022" s="245">
        <v>0</v>
      </c>
      <c r="N1022" s="245">
        <v>7529.8499999999995</v>
      </c>
      <c r="O1022" s="245" t="s">
        <v>1304</v>
      </c>
      <c r="P1022" s="245" t="s">
        <v>521</v>
      </c>
      <c r="Q1022" s="245" t="s">
        <v>1237</v>
      </c>
      <c r="R1022" s="246" t="s">
        <v>677</v>
      </c>
    </row>
    <row r="1023" spans="1:18" hidden="1" x14ac:dyDescent="0.8">
      <c r="A1023" s="247">
        <v>331116</v>
      </c>
      <c r="B1023" s="248" t="s">
        <v>1305</v>
      </c>
      <c r="C1023" s="249" t="s">
        <v>1303</v>
      </c>
      <c r="D1023" s="245">
        <v>0</v>
      </c>
      <c r="E1023" s="245">
        <v>0.6</v>
      </c>
      <c r="F1023" s="245">
        <v>0.3</v>
      </c>
      <c r="H1023" s="245">
        <v>0.89999999999999991</v>
      </c>
      <c r="I1023" s="245">
        <v>8366.5</v>
      </c>
      <c r="J1023" s="245">
        <v>0</v>
      </c>
      <c r="K1023" s="245">
        <v>5019.8999999999996</v>
      </c>
      <c r="L1023" s="245">
        <v>2509.9499999999998</v>
      </c>
      <c r="M1023" s="245">
        <v>0</v>
      </c>
      <c r="N1023" s="245">
        <v>7529.8499999999995</v>
      </c>
      <c r="O1023" s="245" t="s">
        <v>56</v>
      </c>
      <c r="P1023" s="245" t="s">
        <v>521</v>
      </c>
      <c r="Q1023" s="245" t="s">
        <v>1237</v>
      </c>
      <c r="R1023" s="246" t="s">
        <v>677</v>
      </c>
    </row>
    <row r="1024" spans="1:18" ht="26" hidden="1" x14ac:dyDescent="0.8">
      <c r="A1024" s="247">
        <v>331118</v>
      </c>
      <c r="B1024" s="248" t="s">
        <v>1306</v>
      </c>
      <c r="C1024" s="249" t="s">
        <v>1289</v>
      </c>
      <c r="D1024" s="245">
        <v>0</v>
      </c>
      <c r="E1024" s="245">
        <v>0</v>
      </c>
      <c r="F1024" s="245">
        <v>4</v>
      </c>
      <c r="G1024" s="245">
        <v>1</v>
      </c>
      <c r="H1024" s="245">
        <v>5</v>
      </c>
      <c r="I1024" s="245">
        <v>17865.557499999999</v>
      </c>
      <c r="J1024" s="245">
        <v>0</v>
      </c>
      <c r="K1024" s="245">
        <v>0</v>
      </c>
      <c r="L1024" s="245">
        <v>71462.23</v>
      </c>
      <c r="M1024" s="245">
        <v>17865.557499999999</v>
      </c>
      <c r="N1024" s="245">
        <v>89327.787499999991</v>
      </c>
      <c r="O1024" s="245" t="s">
        <v>169</v>
      </c>
      <c r="P1024" s="245" t="s">
        <v>521</v>
      </c>
      <c r="Q1024" s="245" t="s">
        <v>1237</v>
      </c>
      <c r="R1024" s="246" t="s">
        <v>677</v>
      </c>
    </row>
    <row r="1025" spans="1:18" hidden="1" x14ac:dyDescent="0.8">
      <c r="A1025" s="247">
        <v>331119</v>
      </c>
      <c r="B1025" s="248" t="s">
        <v>1307</v>
      </c>
      <c r="C1025" s="249" t="s">
        <v>1308</v>
      </c>
      <c r="D1025" s="245">
        <v>0</v>
      </c>
      <c r="E1025" s="245">
        <v>3</v>
      </c>
      <c r="F1025" s="245">
        <v>4</v>
      </c>
      <c r="G1025" s="245">
        <v>3</v>
      </c>
      <c r="H1025" s="245">
        <v>10</v>
      </c>
      <c r="I1025" s="245">
        <v>16391</v>
      </c>
      <c r="J1025" s="245">
        <v>0</v>
      </c>
      <c r="K1025" s="245">
        <v>49173</v>
      </c>
      <c r="L1025" s="245">
        <v>65564</v>
      </c>
      <c r="M1025" s="245">
        <v>49173</v>
      </c>
      <c r="N1025" s="245">
        <v>163910</v>
      </c>
      <c r="O1025" s="245" t="s">
        <v>56</v>
      </c>
      <c r="P1025" s="245" t="s">
        <v>521</v>
      </c>
      <c r="Q1025" s="245" t="s">
        <v>1237</v>
      </c>
      <c r="R1025" s="246" t="s">
        <v>677</v>
      </c>
    </row>
    <row r="1026" spans="1:18" ht="52" x14ac:dyDescent="0.8">
      <c r="A1026" s="247">
        <v>331120</v>
      </c>
      <c r="B1026" s="248" t="s">
        <v>1309</v>
      </c>
      <c r="C1026" s="249" t="s">
        <v>1311</v>
      </c>
      <c r="D1026" s="245">
        <v>0</v>
      </c>
      <c r="E1026" s="245">
        <v>0.6</v>
      </c>
      <c r="F1026" s="245">
        <v>0.3</v>
      </c>
      <c r="H1026" s="245">
        <v>0.89999999999999991</v>
      </c>
      <c r="I1026" s="245">
        <v>95550</v>
      </c>
      <c r="J1026" s="245">
        <v>0</v>
      </c>
      <c r="K1026" s="245">
        <v>57330</v>
      </c>
      <c r="L1026" s="245">
        <v>28665</v>
      </c>
      <c r="M1026" s="245">
        <v>0</v>
      </c>
      <c r="N1026" s="245">
        <v>85995</v>
      </c>
      <c r="O1026" s="245" t="s">
        <v>1276</v>
      </c>
      <c r="P1026" s="245" t="s">
        <v>1312</v>
      </c>
      <c r="Q1026" s="245" t="s">
        <v>1312</v>
      </c>
      <c r="R1026" s="246" t="s">
        <v>677</v>
      </c>
    </row>
    <row r="1027" spans="1:18" ht="52" x14ac:dyDescent="0.8">
      <c r="A1027" s="247">
        <v>331121</v>
      </c>
      <c r="B1027" s="248" t="s">
        <v>1313</v>
      </c>
      <c r="C1027" s="249" t="s">
        <v>1314</v>
      </c>
      <c r="D1027" s="245">
        <v>0</v>
      </c>
      <c r="E1027" s="245">
        <v>0.1</v>
      </c>
      <c r="F1027" s="245">
        <v>0.9</v>
      </c>
      <c r="H1027" s="245">
        <v>1</v>
      </c>
      <c r="I1027" s="245">
        <v>89775</v>
      </c>
      <c r="J1027" s="245">
        <v>0</v>
      </c>
      <c r="K1027" s="245">
        <v>8977.5</v>
      </c>
      <c r="L1027" s="245">
        <v>80797.5</v>
      </c>
      <c r="M1027" s="245">
        <v>0</v>
      </c>
      <c r="N1027" s="245">
        <v>89775</v>
      </c>
      <c r="O1027" s="245" t="s">
        <v>1276</v>
      </c>
      <c r="P1027" s="245" t="s">
        <v>1312</v>
      </c>
      <c r="Q1027" s="245" t="s">
        <v>1312</v>
      </c>
      <c r="R1027" s="246" t="s">
        <v>677</v>
      </c>
    </row>
    <row r="1028" spans="1:18" ht="26" x14ac:dyDescent="0.8">
      <c r="A1028" s="247">
        <v>331122</v>
      </c>
      <c r="B1028" s="248" t="s">
        <v>1315</v>
      </c>
      <c r="C1028" s="249" t="s">
        <v>1316</v>
      </c>
      <c r="D1028" s="245">
        <v>0</v>
      </c>
      <c r="E1028" s="245">
        <v>0.4</v>
      </c>
      <c r="H1028" s="245">
        <v>0.4</v>
      </c>
      <c r="I1028" s="245">
        <v>6175</v>
      </c>
      <c r="J1028" s="245">
        <v>0</v>
      </c>
      <c r="K1028" s="245">
        <v>2470</v>
      </c>
      <c r="L1028" s="245">
        <v>0</v>
      </c>
      <c r="M1028" s="245">
        <v>0</v>
      </c>
      <c r="N1028" s="245">
        <v>2470</v>
      </c>
      <c r="O1028" s="245" t="s">
        <v>1304</v>
      </c>
      <c r="P1028" s="245" t="s">
        <v>1317</v>
      </c>
      <c r="Q1028" s="245" t="s">
        <v>1318</v>
      </c>
      <c r="R1028" s="246" t="s">
        <v>677</v>
      </c>
    </row>
    <row r="1029" spans="1:18" ht="26" x14ac:dyDescent="0.8">
      <c r="A1029" s="247">
        <v>3312</v>
      </c>
      <c r="B1029" s="248" t="s">
        <v>1319</v>
      </c>
      <c r="D1029" s="245">
        <v>0</v>
      </c>
      <c r="R1029" s="246" t="s">
        <v>677</v>
      </c>
    </row>
    <row r="1030" spans="1:18" ht="26" hidden="1" x14ac:dyDescent="0.8">
      <c r="A1030" s="247">
        <v>33121</v>
      </c>
      <c r="B1030" s="248" t="s">
        <v>1320</v>
      </c>
      <c r="C1030" s="249" t="s">
        <v>1322</v>
      </c>
      <c r="D1030" s="245">
        <v>0</v>
      </c>
      <c r="E1030" s="245">
        <v>0.86929068308295498</v>
      </c>
      <c r="F1030" s="245">
        <v>1.0731920814281699</v>
      </c>
      <c r="G1030" s="245">
        <v>1.35448177220855</v>
      </c>
      <c r="H1030" s="245">
        <v>3.2969645367196749</v>
      </c>
      <c r="I1030" s="245">
        <v>70656.731413700894</v>
      </c>
      <c r="J1030" s="245">
        <v>0</v>
      </c>
      <c r="K1030" s="245">
        <v>61421.238315024937</v>
      </c>
      <c r="L1030" s="245">
        <v>75828.244652780821</v>
      </c>
      <c r="M1030" s="245">
        <v>95703.254783693119</v>
      </c>
      <c r="N1030" s="245">
        <v>232952.73775149888</v>
      </c>
      <c r="O1030" s="245" t="s">
        <v>56</v>
      </c>
      <c r="P1030" s="245" t="s">
        <v>1323</v>
      </c>
      <c r="Q1030" s="245" t="s">
        <v>142</v>
      </c>
      <c r="R1030" s="246" t="s">
        <v>677</v>
      </c>
    </row>
    <row r="1031" spans="1:18" ht="26" hidden="1" x14ac:dyDescent="0.8">
      <c r="A1031" s="247">
        <v>33122</v>
      </c>
      <c r="B1031" s="248" t="s">
        <v>1324</v>
      </c>
      <c r="C1031" s="249" t="s">
        <v>55</v>
      </c>
      <c r="D1031" s="245">
        <v>0</v>
      </c>
      <c r="E1031" s="245">
        <v>400</v>
      </c>
      <c r="F1031" s="245">
        <v>400</v>
      </c>
      <c r="G1031" s="245">
        <v>400</v>
      </c>
      <c r="H1031" s="245">
        <v>1200</v>
      </c>
      <c r="I1031" s="245">
        <v>0</v>
      </c>
      <c r="J1031" s="245">
        <v>0</v>
      </c>
      <c r="K1031" s="245">
        <v>0</v>
      </c>
      <c r="L1031" s="245">
        <v>0</v>
      </c>
      <c r="M1031" s="245">
        <v>0</v>
      </c>
      <c r="O1031" s="245" t="s">
        <v>56</v>
      </c>
      <c r="R1031" s="246" t="s">
        <v>677</v>
      </c>
    </row>
    <row r="1032" spans="1:18" ht="26" hidden="1" x14ac:dyDescent="0.8">
      <c r="A1032" s="247">
        <v>33123</v>
      </c>
      <c r="B1032" s="248" t="s">
        <v>1325</v>
      </c>
      <c r="C1032" s="249" t="s">
        <v>1327</v>
      </c>
      <c r="D1032" s="245">
        <v>0</v>
      </c>
      <c r="E1032" s="245">
        <v>0</v>
      </c>
      <c r="F1032" s="245">
        <v>30</v>
      </c>
      <c r="H1032" s="245">
        <v>30</v>
      </c>
      <c r="I1032" s="245">
        <v>252</v>
      </c>
      <c r="J1032" s="245">
        <v>0</v>
      </c>
      <c r="K1032" s="245">
        <v>0</v>
      </c>
      <c r="L1032" s="245">
        <v>7560</v>
      </c>
      <c r="M1032" s="245">
        <v>0</v>
      </c>
      <c r="N1032" s="245">
        <v>7560</v>
      </c>
      <c r="O1032" s="245" t="s">
        <v>56</v>
      </c>
      <c r="R1032" s="246" t="s">
        <v>677</v>
      </c>
    </row>
    <row r="1033" spans="1:18" ht="39" hidden="1" x14ac:dyDescent="0.8">
      <c r="A1033" s="247">
        <v>33124</v>
      </c>
      <c r="B1033" s="248" t="s">
        <v>1328</v>
      </c>
      <c r="C1033" s="249" t="s">
        <v>55</v>
      </c>
      <c r="D1033" s="245">
        <v>0</v>
      </c>
      <c r="E1033" s="245">
        <v>256</v>
      </c>
      <c r="F1033" s="245">
        <v>269</v>
      </c>
      <c r="G1033" s="245">
        <v>295.45</v>
      </c>
      <c r="H1033" s="245">
        <v>820.45</v>
      </c>
      <c r="I1033" s="245">
        <v>0</v>
      </c>
      <c r="J1033" s="245">
        <v>0</v>
      </c>
      <c r="K1033" s="245">
        <v>0</v>
      </c>
      <c r="L1033" s="245">
        <v>0</v>
      </c>
      <c r="M1033" s="245">
        <v>0</v>
      </c>
      <c r="O1033" s="245" t="s">
        <v>56</v>
      </c>
      <c r="P1033" s="245" t="s">
        <v>521</v>
      </c>
      <c r="Q1033" s="245" t="s">
        <v>1329</v>
      </c>
      <c r="R1033" s="246" t="s">
        <v>677</v>
      </c>
    </row>
    <row r="1034" spans="1:18" ht="39" x14ac:dyDescent="0.8">
      <c r="A1034" s="247">
        <v>3313</v>
      </c>
      <c r="B1034" s="248" t="s">
        <v>1330</v>
      </c>
      <c r="D1034" s="245">
        <v>0</v>
      </c>
      <c r="R1034" s="246" t="s">
        <v>677</v>
      </c>
    </row>
    <row r="1035" spans="1:18" ht="26" hidden="1" x14ac:dyDescent="0.8">
      <c r="A1035" s="247">
        <v>33131</v>
      </c>
      <c r="B1035" s="248" t="s">
        <v>1331</v>
      </c>
      <c r="C1035" s="249" t="s">
        <v>1333</v>
      </c>
      <c r="D1035" s="245">
        <v>0</v>
      </c>
      <c r="G1035" s="245">
        <v>11107</v>
      </c>
      <c r="H1035" s="245">
        <v>11107</v>
      </c>
      <c r="I1035" s="245">
        <v>0.12571428571428572</v>
      </c>
      <c r="J1035" s="245">
        <v>0</v>
      </c>
      <c r="K1035" s="245">
        <v>0</v>
      </c>
      <c r="L1035" s="245">
        <v>0</v>
      </c>
      <c r="M1035" s="245">
        <v>1396.3085714285714</v>
      </c>
      <c r="N1035" s="245">
        <v>1396.3085714285714</v>
      </c>
      <c r="O1035" s="245" t="s">
        <v>56</v>
      </c>
      <c r="P1035" s="245" t="s">
        <v>1334</v>
      </c>
      <c r="Q1035" s="245" t="s">
        <v>1335</v>
      </c>
      <c r="R1035" s="246" t="s">
        <v>677</v>
      </c>
    </row>
    <row r="1036" spans="1:18" ht="26" hidden="1" x14ac:dyDescent="0.8">
      <c r="A1036" s="247">
        <v>33132</v>
      </c>
      <c r="B1036" s="248" t="s">
        <v>1336</v>
      </c>
      <c r="C1036" s="249" t="s">
        <v>1338</v>
      </c>
      <c r="D1036" s="245">
        <v>0</v>
      </c>
      <c r="G1036" s="245">
        <v>555.35</v>
      </c>
      <c r="H1036" s="245">
        <v>555.35</v>
      </c>
      <c r="I1036" s="245">
        <v>30</v>
      </c>
      <c r="J1036" s="245">
        <v>0</v>
      </c>
      <c r="K1036" s="245">
        <v>0</v>
      </c>
      <c r="L1036" s="245">
        <v>0</v>
      </c>
      <c r="M1036" s="245">
        <v>16660.5</v>
      </c>
      <c r="N1036" s="245">
        <v>16660.5</v>
      </c>
      <c r="O1036" s="245" t="s">
        <v>56</v>
      </c>
      <c r="P1036" s="245" t="s">
        <v>521</v>
      </c>
      <c r="Q1036" s="245" t="s">
        <v>1339</v>
      </c>
      <c r="R1036" s="246" t="s">
        <v>677</v>
      </c>
    </row>
    <row r="1037" spans="1:18" ht="26" hidden="1" x14ac:dyDescent="0.8">
      <c r="A1037" s="247">
        <v>33133</v>
      </c>
      <c r="B1037" s="248" t="s">
        <v>1340</v>
      </c>
      <c r="C1037" s="249" t="s">
        <v>59</v>
      </c>
      <c r="D1037" s="245">
        <v>0</v>
      </c>
      <c r="G1037" s="245">
        <v>31.734285714285715</v>
      </c>
      <c r="H1037" s="245">
        <v>31.734285714285715</v>
      </c>
      <c r="I1037" s="245">
        <v>0.8177777777777776</v>
      </c>
      <c r="J1037" s="245">
        <v>0</v>
      </c>
      <c r="K1037" s="245">
        <v>0</v>
      </c>
      <c r="L1037" s="245">
        <v>0</v>
      </c>
      <c r="M1037" s="245">
        <v>25.951593650793647</v>
      </c>
      <c r="N1037" s="245">
        <v>25.951593650793647</v>
      </c>
      <c r="O1037" s="245" t="s">
        <v>56</v>
      </c>
      <c r="P1037" s="245" t="s">
        <v>1166</v>
      </c>
      <c r="Q1037" s="245" t="s">
        <v>1318</v>
      </c>
      <c r="R1037" s="246" t="s">
        <v>677</v>
      </c>
    </row>
    <row r="1038" spans="1:18" ht="26" hidden="1" x14ac:dyDescent="0.8">
      <c r="A1038" s="247">
        <v>33134</v>
      </c>
      <c r="B1038" s="248" t="s">
        <v>1341</v>
      </c>
      <c r="C1038" s="249" t="s">
        <v>55</v>
      </c>
      <c r="D1038" s="245">
        <v>0</v>
      </c>
      <c r="F1038" s="245">
        <v>1</v>
      </c>
      <c r="H1038" s="245">
        <v>1</v>
      </c>
      <c r="I1038" s="245">
        <v>0</v>
      </c>
      <c r="J1038" s="245">
        <v>0</v>
      </c>
      <c r="K1038" s="245">
        <v>0</v>
      </c>
      <c r="L1038" s="245">
        <v>0</v>
      </c>
      <c r="M1038" s="245">
        <v>0</v>
      </c>
      <c r="O1038" s="245" t="s">
        <v>56</v>
      </c>
      <c r="P1038" s="245" t="s">
        <v>1166</v>
      </c>
      <c r="Q1038" s="245" t="s">
        <v>1318</v>
      </c>
      <c r="R1038" s="246" t="s">
        <v>677</v>
      </c>
    </row>
    <row r="1039" spans="1:18" ht="26" hidden="1" x14ac:dyDescent="0.8">
      <c r="A1039" s="247">
        <v>33135</v>
      </c>
      <c r="B1039" s="248" t="s">
        <v>1343</v>
      </c>
      <c r="C1039" s="249" t="s">
        <v>66</v>
      </c>
      <c r="D1039" s="245">
        <v>0</v>
      </c>
      <c r="F1039" s="245">
        <v>100</v>
      </c>
      <c r="G1039" s="245">
        <v>100</v>
      </c>
      <c r="H1039" s="245">
        <v>200</v>
      </c>
      <c r="I1039" s="245">
        <v>0.255</v>
      </c>
      <c r="J1039" s="245">
        <v>0</v>
      </c>
      <c r="K1039" s="245">
        <v>0</v>
      </c>
      <c r="L1039" s="245">
        <v>25.5</v>
      </c>
      <c r="M1039" s="245">
        <v>25.5</v>
      </c>
      <c r="N1039" s="245">
        <v>51</v>
      </c>
      <c r="O1039" s="245" t="s">
        <v>56</v>
      </c>
      <c r="P1039" s="245" t="s">
        <v>1334</v>
      </c>
      <c r="Q1039" s="245" t="s">
        <v>1166</v>
      </c>
      <c r="R1039" s="246" t="s">
        <v>677</v>
      </c>
    </row>
    <row r="1040" spans="1:18" ht="26" hidden="1" x14ac:dyDescent="0.8">
      <c r="A1040" s="247">
        <v>33136</v>
      </c>
      <c r="B1040" s="248" t="s">
        <v>1344</v>
      </c>
      <c r="C1040" s="249" t="s">
        <v>301</v>
      </c>
      <c r="D1040" s="245">
        <v>0</v>
      </c>
      <c r="F1040" s="245">
        <v>63.46857142857143</v>
      </c>
      <c r="G1040" s="245">
        <v>260.78476190476192</v>
      </c>
      <c r="H1040" s="245">
        <v>324.25333333333333</v>
      </c>
      <c r="I1040" s="245">
        <v>0.67666666666666664</v>
      </c>
      <c r="J1040" s="245">
        <v>0</v>
      </c>
      <c r="K1040" s="245">
        <v>0</v>
      </c>
      <c r="L1040" s="245">
        <v>42.947066666666665</v>
      </c>
      <c r="M1040" s="245">
        <v>176.46435555555556</v>
      </c>
      <c r="N1040" s="245">
        <v>219.41142222222223</v>
      </c>
      <c r="O1040" s="245" t="s">
        <v>56</v>
      </c>
      <c r="P1040" s="245" t="s">
        <v>1334</v>
      </c>
      <c r="Q1040" s="245" t="s">
        <v>1345</v>
      </c>
      <c r="R1040" s="246" t="s">
        <v>677</v>
      </c>
    </row>
    <row r="1041" spans="1:18" hidden="1" x14ac:dyDescent="0.8">
      <c r="A1041" s="247">
        <v>33137</v>
      </c>
      <c r="B1041" s="248" t="s">
        <v>1346</v>
      </c>
      <c r="C1041" s="249" t="s">
        <v>1347</v>
      </c>
      <c r="D1041" s="245">
        <v>0</v>
      </c>
      <c r="G1041" s="245">
        <v>63</v>
      </c>
      <c r="H1041" s="245">
        <v>63</v>
      </c>
      <c r="I1041" s="245">
        <v>15</v>
      </c>
      <c r="J1041" s="245">
        <v>0</v>
      </c>
      <c r="K1041" s="245">
        <v>0</v>
      </c>
      <c r="L1041" s="245">
        <v>0</v>
      </c>
      <c r="M1041" s="245">
        <v>945</v>
      </c>
      <c r="N1041" s="245">
        <v>945</v>
      </c>
      <c r="O1041" s="245" t="s">
        <v>56</v>
      </c>
      <c r="P1041" s="245" t="s">
        <v>521</v>
      </c>
      <c r="Q1041" s="245" t="s">
        <v>1348</v>
      </c>
      <c r="R1041" s="246" t="s">
        <v>677</v>
      </c>
    </row>
    <row r="1042" spans="1:18" hidden="1" x14ac:dyDescent="0.8">
      <c r="A1042" s="247">
        <v>33138</v>
      </c>
      <c r="B1042" s="248" t="s">
        <v>1349</v>
      </c>
      <c r="C1042" s="249" t="s">
        <v>59</v>
      </c>
      <c r="D1042" s="245">
        <v>0</v>
      </c>
      <c r="G1042" s="245">
        <v>95.202857142857141</v>
      </c>
      <c r="H1042" s="245">
        <v>95.202857142857141</v>
      </c>
      <c r="I1042" s="245">
        <v>0.8177777777777776</v>
      </c>
      <c r="J1042" s="245">
        <v>0</v>
      </c>
      <c r="K1042" s="245">
        <v>0</v>
      </c>
      <c r="L1042" s="245">
        <v>0</v>
      </c>
      <c r="M1042" s="245">
        <v>77.854780952380935</v>
      </c>
      <c r="N1042" s="245">
        <v>77.854780952380935</v>
      </c>
      <c r="O1042" s="245" t="s">
        <v>56</v>
      </c>
      <c r="P1042" s="245" t="s">
        <v>521</v>
      </c>
      <c r="Q1042" s="245" t="s">
        <v>548</v>
      </c>
      <c r="R1042" s="246" t="s">
        <v>677</v>
      </c>
    </row>
    <row r="1043" spans="1:18" x14ac:dyDescent="0.8">
      <c r="A1043" s="247">
        <v>3314</v>
      </c>
      <c r="B1043" s="248" t="s">
        <v>1351</v>
      </c>
      <c r="D1043" s="245">
        <v>0</v>
      </c>
      <c r="R1043" s="246" t="s">
        <v>677</v>
      </c>
    </row>
    <row r="1044" spans="1:18" ht="26" hidden="1" x14ac:dyDescent="0.8">
      <c r="A1044" s="247">
        <v>33141</v>
      </c>
      <c r="B1044" s="248" t="s">
        <v>1352</v>
      </c>
      <c r="C1044" s="249" t="s">
        <v>1354</v>
      </c>
      <c r="D1044" s="245">
        <v>0</v>
      </c>
      <c r="E1044" s="245">
        <v>0.88219879567267101</v>
      </c>
      <c r="F1044" s="245">
        <v>1.0571857240256399</v>
      </c>
      <c r="G1044" s="245">
        <v>1.3133731127672701</v>
      </c>
      <c r="H1044" s="245">
        <v>3.2527576324655811</v>
      </c>
      <c r="I1044" s="245">
        <v>11105.788684483899</v>
      </c>
      <c r="J1044" s="245">
        <v>0</v>
      </c>
      <c r="K1044" s="245">
        <v>9797.5134024468734</v>
      </c>
      <c r="L1044" s="245">
        <v>11740.881251281871</v>
      </c>
      <c r="M1044" s="245">
        <v>14586.044254276145</v>
      </c>
      <c r="N1044" s="245">
        <v>36124.438908004886</v>
      </c>
      <c r="O1044" s="245" t="s">
        <v>56</v>
      </c>
      <c r="P1044" s="245" t="s">
        <v>521</v>
      </c>
      <c r="Q1044" s="245" t="s">
        <v>1318</v>
      </c>
      <c r="R1044" s="246" t="s">
        <v>677</v>
      </c>
    </row>
    <row r="1045" spans="1:18" ht="26" x14ac:dyDescent="0.8">
      <c r="A1045" s="247">
        <v>332</v>
      </c>
      <c r="B1045" s="248" t="s">
        <v>1355</v>
      </c>
      <c r="D1045" s="245">
        <v>0</v>
      </c>
      <c r="R1045" s="246" t="s">
        <v>677</v>
      </c>
    </row>
    <row r="1046" spans="1:18" ht="26" x14ac:dyDescent="0.8">
      <c r="A1046" s="247">
        <v>3321</v>
      </c>
      <c r="B1046" s="248" t="s">
        <v>1356</v>
      </c>
      <c r="D1046" s="245">
        <v>0</v>
      </c>
      <c r="R1046" s="246" t="s">
        <v>677</v>
      </c>
    </row>
    <row r="1047" spans="1:18" ht="39" hidden="1" x14ac:dyDescent="0.8">
      <c r="A1047" s="247">
        <v>33211</v>
      </c>
      <c r="B1047" s="248" t="s">
        <v>1357</v>
      </c>
      <c r="C1047" s="249" t="s">
        <v>55</v>
      </c>
      <c r="D1047" s="245">
        <v>0</v>
      </c>
      <c r="E1047" s="245">
        <v>1</v>
      </c>
      <c r="H1047" s="245">
        <v>1</v>
      </c>
      <c r="I1047" s="245">
        <v>0</v>
      </c>
      <c r="J1047" s="245">
        <v>0</v>
      </c>
      <c r="K1047" s="245">
        <v>0</v>
      </c>
      <c r="L1047" s="245">
        <v>0</v>
      </c>
      <c r="M1047" s="245">
        <v>0</v>
      </c>
      <c r="O1047" s="245" t="s">
        <v>56</v>
      </c>
      <c r="P1047" s="245" t="s">
        <v>1358</v>
      </c>
      <c r="Q1047" s="245" t="s">
        <v>1318</v>
      </c>
      <c r="R1047" s="246" t="s">
        <v>677</v>
      </c>
    </row>
    <row r="1048" spans="1:18" x14ac:dyDescent="0.8">
      <c r="A1048" s="247">
        <v>33211</v>
      </c>
      <c r="B1048" s="248" t="s">
        <v>1359</v>
      </c>
      <c r="D1048" s="245">
        <v>0</v>
      </c>
      <c r="R1048" s="246" t="s">
        <v>677</v>
      </c>
    </row>
    <row r="1049" spans="1:18" hidden="1" x14ac:dyDescent="0.8">
      <c r="A1049" s="247">
        <v>33212</v>
      </c>
      <c r="B1049" s="248" t="s">
        <v>1360</v>
      </c>
      <c r="C1049" s="249" t="s">
        <v>1362</v>
      </c>
      <c r="D1049" s="245">
        <v>0</v>
      </c>
      <c r="E1049" s="245">
        <v>500</v>
      </c>
      <c r="F1049" s="245">
        <v>750</v>
      </c>
      <c r="G1049" s="245">
        <v>1000</v>
      </c>
      <c r="H1049" s="245">
        <v>2250</v>
      </c>
      <c r="I1049" s="245">
        <v>1.8</v>
      </c>
      <c r="J1049" s="245">
        <v>0</v>
      </c>
      <c r="K1049" s="245">
        <v>900</v>
      </c>
      <c r="L1049" s="245">
        <v>1350</v>
      </c>
      <c r="M1049" s="245">
        <v>1800</v>
      </c>
      <c r="N1049" s="245">
        <v>4050</v>
      </c>
      <c r="O1049" s="245" t="s">
        <v>56</v>
      </c>
      <c r="P1049" s="245" t="s">
        <v>521</v>
      </c>
      <c r="Q1049" s="245" t="s">
        <v>1363</v>
      </c>
      <c r="R1049" s="246" t="s">
        <v>677</v>
      </c>
    </row>
    <row r="1050" spans="1:18" ht="26" hidden="1" x14ac:dyDescent="0.8">
      <c r="A1050" s="247">
        <v>33213</v>
      </c>
      <c r="B1050" s="248" t="s">
        <v>1364</v>
      </c>
      <c r="C1050" s="249" t="s">
        <v>1366</v>
      </c>
      <c r="D1050" s="245">
        <v>0</v>
      </c>
      <c r="E1050" s="245">
        <v>0.96474039200074402</v>
      </c>
      <c r="F1050" s="245">
        <v>1.1027134346771701</v>
      </c>
      <c r="G1050" s="245">
        <v>1.1946954631281199</v>
      </c>
      <c r="H1050" s="245">
        <v>3.2621492898060342</v>
      </c>
      <c r="I1050" s="245">
        <v>16876.0817384408</v>
      </c>
      <c r="J1050" s="245">
        <v>0</v>
      </c>
      <c r="K1050" s="245">
        <v>16281.037711779974</v>
      </c>
      <c r="L1050" s="245">
        <v>18609.482057688721</v>
      </c>
      <c r="M1050" s="245">
        <v>20161.778288294539</v>
      </c>
      <c r="N1050" s="245">
        <v>55052.298057763233</v>
      </c>
      <c r="O1050" s="245" t="s">
        <v>56</v>
      </c>
      <c r="P1050" s="245" t="s">
        <v>521</v>
      </c>
      <c r="Q1050" s="245" t="s">
        <v>1367</v>
      </c>
      <c r="R1050" s="246" t="s">
        <v>677</v>
      </c>
    </row>
    <row r="1051" spans="1:18" ht="39" x14ac:dyDescent="0.8">
      <c r="A1051" s="247">
        <v>333</v>
      </c>
      <c r="B1051" s="248" t="s">
        <v>1368</v>
      </c>
      <c r="D1051" s="245">
        <v>0</v>
      </c>
      <c r="R1051" s="246" t="s">
        <v>677</v>
      </c>
    </row>
    <row r="1052" spans="1:18" x14ac:dyDescent="0.8">
      <c r="A1052" s="247">
        <v>3331</v>
      </c>
      <c r="B1052" s="248" t="s">
        <v>1369</v>
      </c>
      <c r="D1052" s="245">
        <v>0</v>
      </c>
      <c r="R1052" s="246" t="s">
        <v>677</v>
      </c>
    </row>
    <row r="1053" spans="1:18" ht="26" x14ac:dyDescent="0.8">
      <c r="A1053" s="247">
        <v>33311</v>
      </c>
      <c r="B1053" s="248" t="s">
        <v>1370</v>
      </c>
      <c r="C1053" s="249" t="s">
        <v>646</v>
      </c>
      <c r="D1053" s="245">
        <v>0</v>
      </c>
      <c r="E1053" s="245">
        <v>30</v>
      </c>
      <c r="H1053" s="245">
        <v>30</v>
      </c>
      <c r="I1053" s="245">
        <v>10.404797</v>
      </c>
      <c r="J1053" s="245">
        <v>0</v>
      </c>
      <c r="K1053" s="245">
        <v>312.14391000000001</v>
      </c>
      <c r="L1053" s="245">
        <v>0</v>
      </c>
      <c r="M1053" s="245">
        <v>0</v>
      </c>
      <c r="N1053" s="245">
        <v>312.14391000000001</v>
      </c>
      <c r="O1053" s="245" t="s">
        <v>1276</v>
      </c>
      <c r="P1053" s="245" t="s">
        <v>1334</v>
      </c>
      <c r="Q1053" s="245" t="s">
        <v>1371</v>
      </c>
      <c r="R1053" s="246" t="s">
        <v>677</v>
      </c>
    </row>
    <row r="1054" spans="1:18" x14ac:dyDescent="0.8">
      <c r="A1054" s="247">
        <v>33312</v>
      </c>
      <c r="B1054" s="248" t="s">
        <v>1372</v>
      </c>
      <c r="C1054" s="249" t="s">
        <v>38</v>
      </c>
      <c r="D1054" s="245">
        <v>0</v>
      </c>
      <c r="E1054" s="245">
        <v>90</v>
      </c>
      <c r="H1054" s="245">
        <v>90</v>
      </c>
      <c r="I1054" s="245">
        <v>0.3133333333333333</v>
      </c>
      <c r="J1054" s="245">
        <v>0</v>
      </c>
      <c r="K1054" s="245">
        <v>28.199999999999996</v>
      </c>
      <c r="L1054" s="245">
        <v>0</v>
      </c>
      <c r="M1054" s="245">
        <v>0</v>
      </c>
      <c r="N1054" s="245">
        <v>28.199999999999996</v>
      </c>
      <c r="O1054" s="245" t="s">
        <v>118</v>
      </c>
      <c r="P1054" s="245" t="s">
        <v>1334</v>
      </c>
      <c r="Q1054" s="245" t="s">
        <v>1371</v>
      </c>
      <c r="R1054" s="246" t="s">
        <v>677</v>
      </c>
    </row>
    <row r="1055" spans="1:18" ht="26" x14ac:dyDescent="0.8">
      <c r="A1055" s="247">
        <v>3332</v>
      </c>
      <c r="B1055" s="248" t="s">
        <v>1373</v>
      </c>
      <c r="D1055" s="245">
        <v>0</v>
      </c>
      <c r="R1055" s="246" t="s">
        <v>677</v>
      </c>
    </row>
    <row r="1056" spans="1:18" ht="26" hidden="1" x14ac:dyDescent="0.8">
      <c r="A1056" s="247">
        <v>33321</v>
      </c>
      <c r="B1056" s="248" t="s">
        <v>1374</v>
      </c>
      <c r="C1056" s="249" t="s">
        <v>38</v>
      </c>
      <c r="D1056" s="245">
        <v>0</v>
      </c>
      <c r="E1056" s="245">
        <v>400</v>
      </c>
      <c r="F1056" s="245">
        <v>400</v>
      </c>
      <c r="G1056" s="245">
        <v>400</v>
      </c>
      <c r="H1056" s="245">
        <v>1200</v>
      </c>
      <c r="I1056" s="245">
        <v>0.3133333333333333</v>
      </c>
      <c r="J1056" s="245">
        <v>0</v>
      </c>
      <c r="K1056" s="245">
        <v>125.33333333333331</v>
      </c>
      <c r="L1056" s="245">
        <v>125.33333333333331</v>
      </c>
      <c r="M1056" s="245">
        <v>125.33333333333331</v>
      </c>
      <c r="N1056" s="245">
        <v>375.99999999999994</v>
      </c>
      <c r="O1056" s="245" t="s">
        <v>56</v>
      </c>
      <c r="P1056" s="245" t="s">
        <v>1334</v>
      </c>
      <c r="Q1056" s="245" t="s">
        <v>1375</v>
      </c>
      <c r="R1056" s="246" t="s">
        <v>677</v>
      </c>
    </row>
    <row r="1057" spans="1:18" ht="39" hidden="1" x14ac:dyDescent="0.8">
      <c r="A1057" s="247">
        <v>33322</v>
      </c>
      <c r="B1057" s="248" t="s">
        <v>1376</v>
      </c>
      <c r="C1057" s="249" t="s">
        <v>55</v>
      </c>
      <c r="D1057" s="245">
        <v>0</v>
      </c>
      <c r="E1057" s="245">
        <v>1</v>
      </c>
      <c r="F1057" s="245">
        <v>1</v>
      </c>
      <c r="G1057" s="245">
        <v>1</v>
      </c>
      <c r="H1057" s="245">
        <v>3</v>
      </c>
      <c r="I1057" s="245">
        <v>0</v>
      </c>
      <c r="J1057" s="245">
        <v>0</v>
      </c>
      <c r="K1057" s="245">
        <v>0</v>
      </c>
      <c r="L1057" s="245">
        <v>0</v>
      </c>
      <c r="M1057" s="245">
        <v>0</v>
      </c>
      <c r="O1057" s="245" t="s">
        <v>56</v>
      </c>
      <c r="P1057" s="245" t="s">
        <v>255</v>
      </c>
      <c r="Q1057" s="245" t="s">
        <v>96</v>
      </c>
      <c r="R1057" s="246" t="s">
        <v>677</v>
      </c>
    </row>
    <row r="1058" spans="1:18" ht="26" x14ac:dyDescent="0.8">
      <c r="A1058" s="247">
        <v>33323</v>
      </c>
      <c r="B1058" s="248" t="s">
        <v>1377</v>
      </c>
      <c r="C1058" s="249" t="s">
        <v>646</v>
      </c>
      <c r="D1058" s="245">
        <v>0</v>
      </c>
      <c r="E1058" s="245">
        <v>30</v>
      </c>
      <c r="H1058" s="245">
        <v>30</v>
      </c>
      <c r="I1058" s="245">
        <v>10.404797</v>
      </c>
      <c r="J1058" s="245">
        <v>0</v>
      </c>
      <c r="K1058" s="245">
        <v>312.14391000000001</v>
      </c>
      <c r="L1058" s="245">
        <v>0</v>
      </c>
      <c r="M1058" s="245">
        <v>0</v>
      </c>
      <c r="N1058" s="245">
        <v>312.14391000000001</v>
      </c>
      <c r="O1058" s="245" t="s">
        <v>1276</v>
      </c>
      <c r="P1058" s="245" t="s">
        <v>96</v>
      </c>
      <c r="Q1058" s="245" t="s">
        <v>100</v>
      </c>
      <c r="R1058" s="246" t="s">
        <v>677</v>
      </c>
    </row>
    <row r="1059" spans="1:18" hidden="1" x14ac:dyDescent="0.8">
      <c r="A1059" s="247">
        <v>33324</v>
      </c>
      <c r="B1059" s="248" t="s">
        <v>1378</v>
      </c>
      <c r="C1059" s="249" t="s">
        <v>1380</v>
      </c>
      <c r="D1059" s="245">
        <v>0</v>
      </c>
      <c r="G1059" s="245">
        <v>156</v>
      </c>
      <c r="H1059" s="245">
        <v>156</v>
      </c>
      <c r="I1059" s="245">
        <v>20</v>
      </c>
      <c r="J1059" s="245">
        <v>0</v>
      </c>
      <c r="K1059" s="245">
        <v>0</v>
      </c>
      <c r="L1059" s="245">
        <v>0</v>
      </c>
      <c r="M1059" s="245">
        <v>3120</v>
      </c>
      <c r="N1059" s="245">
        <v>3120</v>
      </c>
      <c r="O1059" s="245" t="s">
        <v>56</v>
      </c>
      <c r="P1059" s="245" t="s">
        <v>1334</v>
      </c>
      <c r="Q1059" s="245" t="s">
        <v>1381</v>
      </c>
      <c r="R1059" s="246" t="s">
        <v>677</v>
      </c>
    </row>
    <row r="1060" spans="1:18" x14ac:dyDescent="0.8">
      <c r="A1060" s="247">
        <v>3333</v>
      </c>
      <c r="B1060" s="248" t="s">
        <v>1382</v>
      </c>
      <c r="D1060" s="245">
        <v>0</v>
      </c>
      <c r="R1060" s="246" t="s">
        <v>677</v>
      </c>
    </row>
    <row r="1061" spans="1:18" hidden="1" x14ac:dyDescent="0.8">
      <c r="A1061" s="247">
        <v>33331</v>
      </c>
      <c r="B1061" s="248" t="s">
        <v>1383</v>
      </c>
      <c r="C1061" s="249" t="s">
        <v>1385</v>
      </c>
      <c r="D1061" s="245">
        <v>0</v>
      </c>
      <c r="G1061" s="245">
        <v>31.734285714285715</v>
      </c>
      <c r="H1061" s="245">
        <v>31.734285714285715</v>
      </c>
      <c r="I1061" s="245">
        <v>25.906700000000001</v>
      </c>
      <c r="J1061" s="245">
        <v>0</v>
      </c>
      <c r="K1061" s="245">
        <v>0</v>
      </c>
      <c r="L1061" s="245">
        <v>0</v>
      </c>
      <c r="M1061" s="245">
        <v>822.13061971428579</v>
      </c>
      <c r="N1061" s="245">
        <v>822.13061971428579</v>
      </c>
      <c r="O1061" s="245" t="s">
        <v>56</v>
      </c>
      <c r="P1061" s="245" t="s">
        <v>1334</v>
      </c>
      <c r="Q1061" s="245" t="s">
        <v>1381</v>
      </c>
      <c r="R1061" s="246" t="s">
        <v>677</v>
      </c>
    </row>
    <row r="1062" spans="1:18" ht="26" x14ac:dyDescent="0.8">
      <c r="A1062" s="247">
        <v>3334</v>
      </c>
      <c r="B1062" s="248" t="s">
        <v>1386</v>
      </c>
      <c r="D1062" s="245">
        <v>0</v>
      </c>
      <c r="R1062" s="246" t="s">
        <v>677</v>
      </c>
    </row>
    <row r="1063" spans="1:18" ht="26" hidden="1" x14ac:dyDescent="0.8">
      <c r="A1063" s="247">
        <v>33341</v>
      </c>
      <c r="B1063" s="248" t="s">
        <v>1387</v>
      </c>
      <c r="C1063" s="249" t="s">
        <v>55</v>
      </c>
      <c r="D1063" s="245">
        <v>0</v>
      </c>
      <c r="F1063" s="245">
        <v>1</v>
      </c>
      <c r="G1063" s="245">
        <v>1</v>
      </c>
      <c r="H1063" s="245">
        <v>2</v>
      </c>
      <c r="I1063" s="245">
        <v>0</v>
      </c>
      <c r="J1063" s="245">
        <v>0</v>
      </c>
      <c r="K1063" s="245">
        <v>0</v>
      </c>
      <c r="L1063" s="245">
        <v>0</v>
      </c>
      <c r="M1063" s="245">
        <v>0</v>
      </c>
      <c r="O1063" s="245" t="s">
        <v>56</v>
      </c>
      <c r="P1063" s="245" t="s">
        <v>1162</v>
      </c>
      <c r="Q1063" s="245" t="s">
        <v>1389</v>
      </c>
      <c r="R1063" s="246" t="s">
        <v>677</v>
      </c>
    </row>
    <row r="1064" spans="1:18" x14ac:dyDescent="0.8">
      <c r="A1064" s="247">
        <v>33342</v>
      </c>
      <c r="B1064" s="248" t="s">
        <v>1390</v>
      </c>
      <c r="C1064" s="249" t="s">
        <v>646</v>
      </c>
      <c r="D1064" s="245">
        <v>0</v>
      </c>
      <c r="F1064" s="245">
        <v>30</v>
      </c>
      <c r="H1064" s="245">
        <v>30</v>
      </c>
      <c r="I1064" s="245">
        <v>10.404797</v>
      </c>
      <c r="J1064" s="245">
        <v>0</v>
      </c>
      <c r="K1064" s="245">
        <v>0</v>
      </c>
      <c r="L1064" s="245">
        <v>312.14391000000001</v>
      </c>
      <c r="M1064" s="245">
        <v>0</v>
      </c>
      <c r="N1064" s="245">
        <v>312.14391000000001</v>
      </c>
      <c r="O1064" s="245" t="s">
        <v>118</v>
      </c>
      <c r="P1064" s="245" t="s">
        <v>96</v>
      </c>
      <c r="Q1064" s="245" t="s">
        <v>100</v>
      </c>
      <c r="R1064" s="246" t="s">
        <v>677</v>
      </c>
    </row>
    <row r="1065" spans="1:18" x14ac:dyDescent="0.8">
      <c r="A1065" s="247">
        <v>34</v>
      </c>
      <c r="B1065" s="248" t="s">
        <v>1391</v>
      </c>
      <c r="D1065" s="245">
        <v>0</v>
      </c>
      <c r="R1065" s="246" t="s">
        <v>677</v>
      </c>
    </row>
    <row r="1066" spans="1:18" ht="26" x14ac:dyDescent="0.8">
      <c r="A1066" s="247">
        <v>341</v>
      </c>
      <c r="B1066" s="248" t="s">
        <v>1392</v>
      </c>
      <c r="D1066" s="245">
        <v>0</v>
      </c>
      <c r="R1066" s="246" t="s">
        <v>677</v>
      </c>
    </row>
    <row r="1067" spans="1:18" ht="26" x14ac:dyDescent="0.8">
      <c r="A1067" s="247">
        <v>3411</v>
      </c>
      <c r="B1067" s="248" t="s">
        <v>1393</v>
      </c>
      <c r="D1067" s="245">
        <v>0</v>
      </c>
      <c r="R1067" s="246" t="s">
        <v>677</v>
      </c>
    </row>
    <row r="1068" spans="1:18" ht="26" hidden="1" x14ac:dyDescent="0.8">
      <c r="A1068" s="247">
        <v>34111</v>
      </c>
      <c r="B1068" s="248" t="s">
        <v>1394</v>
      </c>
      <c r="C1068" s="249" t="s">
        <v>55</v>
      </c>
      <c r="D1068" s="245">
        <v>0</v>
      </c>
      <c r="E1068" s="245">
        <v>1</v>
      </c>
      <c r="F1068" s="245">
        <v>1</v>
      </c>
      <c r="G1068" s="245">
        <v>1</v>
      </c>
      <c r="H1068" s="245">
        <v>3</v>
      </c>
      <c r="I1068" s="245">
        <v>0</v>
      </c>
      <c r="J1068" s="245">
        <v>0</v>
      </c>
      <c r="K1068" s="245">
        <v>0</v>
      </c>
      <c r="L1068" s="245">
        <v>0</v>
      </c>
      <c r="M1068" s="245">
        <v>0</v>
      </c>
      <c r="O1068" s="245" t="s">
        <v>56</v>
      </c>
      <c r="P1068" s="245" t="s">
        <v>521</v>
      </c>
      <c r="Q1068" s="245" t="s">
        <v>1334</v>
      </c>
      <c r="R1068" s="246" t="s">
        <v>677</v>
      </c>
    </row>
    <row r="1069" spans="1:18" ht="39" hidden="1" x14ac:dyDescent="0.8">
      <c r="A1069" s="247">
        <v>34112</v>
      </c>
      <c r="B1069" s="248" t="s">
        <v>1396</v>
      </c>
      <c r="C1069" s="249" t="s">
        <v>55</v>
      </c>
      <c r="D1069" s="245">
        <v>0</v>
      </c>
      <c r="E1069" s="245">
        <v>1</v>
      </c>
      <c r="F1069" s="245">
        <v>1</v>
      </c>
      <c r="G1069" s="245">
        <v>1</v>
      </c>
      <c r="H1069" s="245">
        <v>3</v>
      </c>
      <c r="I1069" s="245">
        <v>0</v>
      </c>
      <c r="J1069" s="245">
        <v>0</v>
      </c>
      <c r="K1069" s="245">
        <v>0</v>
      </c>
      <c r="L1069" s="245">
        <v>0</v>
      </c>
      <c r="M1069" s="245">
        <v>0</v>
      </c>
      <c r="O1069" s="245" t="s">
        <v>56</v>
      </c>
      <c r="P1069" s="245" t="s">
        <v>521</v>
      </c>
      <c r="Q1069" s="245" t="s">
        <v>1334</v>
      </c>
      <c r="R1069" s="246" t="s">
        <v>677</v>
      </c>
    </row>
    <row r="1070" spans="1:18" ht="26" x14ac:dyDescent="0.8">
      <c r="A1070" s="247">
        <v>3412</v>
      </c>
      <c r="B1070" s="248" t="s">
        <v>1397</v>
      </c>
      <c r="D1070" s="245">
        <v>0</v>
      </c>
      <c r="R1070" s="246" t="s">
        <v>677</v>
      </c>
    </row>
    <row r="1071" spans="1:18" ht="26" hidden="1" x14ac:dyDescent="0.8">
      <c r="A1071" s="247">
        <v>34121</v>
      </c>
      <c r="B1071" s="248" t="s">
        <v>1398</v>
      </c>
      <c r="C1071" s="249" t="s">
        <v>55</v>
      </c>
      <c r="D1071" s="245">
        <v>0</v>
      </c>
      <c r="E1071" s="245" t="s">
        <v>1399</v>
      </c>
      <c r="H1071" s="245">
        <v>0</v>
      </c>
      <c r="I1071" s="245">
        <v>0</v>
      </c>
      <c r="J1071" s="245">
        <v>0</v>
      </c>
      <c r="K1071" s="245">
        <v>0</v>
      </c>
      <c r="L1071" s="245">
        <v>0</v>
      </c>
      <c r="M1071" s="245">
        <v>0</v>
      </c>
      <c r="O1071" s="245" t="s">
        <v>56</v>
      </c>
      <c r="P1071" s="245" t="s">
        <v>521</v>
      </c>
      <c r="Q1071" s="245" t="s">
        <v>1334</v>
      </c>
      <c r="R1071" s="246" t="s">
        <v>677</v>
      </c>
    </row>
    <row r="1072" spans="1:18" ht="26" hidden="1" x14ac:dyDescent="0.8">
      <c r="A1072" s="247">
        <v>34122</v>
      </c>
      <c r="B1072" s="248" t="s">
        <v>1400</v>
      </c>
      <c r="C1072" s="249" t="s">
        <v>55</v>
      </c>
      <c r="D1072" s="245">
        <v>0</v>
      </c>
      <c r="H1072" s="245">
        <v>0</v>
      </c>
      <c r="I1072" s="245">
        <v>0</v>
      </c>
      <c r="J1072" s="245">
        <v>0</v>
      </c>
      <c r="K1072" s="245">
        <v>0</v>
      </c>
      <c r="L1072" s="245">
        <v>0</v>
      </c>
      <c r="M1072" s="245">
        <v>0</v>
      </c>
      <c r="O1072" s="245" t="s">
        <v>56</v>
      </c>
      <c r="P1072" s="245" t="s">
        <v>521</v>
      </c>
      <c r="Q1072" s="245" t="s">
        <v>1334</v>
      </c>
      <c r="R1072" s="246" t="s">
        <v>677</v>
      </c>
    </row>
    <row r="1073" spans="1:18" ht="26" x14ac:dyDescent="0.8">
      <c r="A1073" s="247">
        <v>342</v>
      </c>
      <c r="B1073" s="248" t="s">
        <v>1401</v>
      </c>
      <c r="D1073" s="245">
        <v>0</v>
      </c>
      <c r="R1073" s="246" t="s">
        <v>677</v>
      </c>
    </row>
    <row r="1074" spans="1:18" ht="26" x14ac:dyDescent="0.8">
      <c r="A1074" s="247">
        <v>3421</v>
      </c>
      <c r="B1074" s="248" t="s">
        <v>1402</v>
      </c>
      <c r="D1074" s="245">
        <v>0</v>
      </c>
      <c r="R1074" s="246" t="s">
        <v>677</v>
      </c>
    </row>
    <row r="1075" spans="1:18" ht="39" hidden="1" x14ac:dyDescent="0.8">
      <c r="A1075" s="247">
        <v>34211</v>
      </c>
      <c r="B1075" s="248" t="s">
        <v>1403</v>
      </c>
      <c r="C1075" s="249" t="s">
        <v>55</v>
      </c>
      <c r="D1075" s="245">
        <v>0</v>
      </c>
      <c r="E1075" s="245">
        <v>1</v>
      </c>
      <c r="H1075" s="245">
        <v>1</v>
      </c>
      <c r="I1075" s="245">
        <v>0</v>
      </c>
      <c r="J1075" s="245">
        <v>0</v>
      </c>
      <c r="K1075" s="245">
        <v>0</v>
      </c>
      <c r="L1075" s="245">
        <v>0</v>
      </c>
      <c r="M1075" s="245">
        <v>0</v>
      </c>
      <c r="O1075" s="245" t="s">
        <v>56</v>
      </c>
      <c r="P1075" s="245" t="s">
        <v>521</v>
      </c>
      <c r="Q1075" s="245" t="s">
        <v>1404</v>
      </c>
      <c r="R1075" s="246" t="s">
        <v>677</v>
      </c>
    </row>
    <row r="1076" spans="1:18" ht="26" hidden="1" x14ac:dyDescent="0.8">
      <c r="A1076" s="247">
        <v>34212</v>
      </c>
      <c r="B1076" s="248" t="s">
        <v>1405</v>
      </c>
      <c r="C1076" s="249" t="s">
        <v>55</v>
      </c>
      <c r="D1076" s="245">
        <v>0</v>
      </c>
      <c r="E1076" s="245">
        <v>1</v>
      </c>
      <c r="H1076" s="245">
        <v>1</v>
      </c>
      <c r="I1076" s="245">
        <v>0</v>
      </c>
      <c r="J1076" s="245">
        <v>0</v>
      </c>
      <c r="K1076" s="245">
        <v>0</v>
      </c>
      <c r="L1076" s="245">
        <v>0</v>
      </c>
      <c r="M1076" s="245">
        <v>0</v>
      </c>
      <c r="O1076" s="245" t="s">
        <v>56</v>
      </c>
      <c r="P1076" s="245" t="s">
        <v>521</v>
      </c>
      <c r="Q1076" s="245" t="s">
        <v>1404</v>
      </c>
      <c r="R1076" s="246" t="s">
        <v>677</v>
      </c>
    </row>
    <row r="1077" spans="1:18" ht="39" hidden="1" x14ac:dyDescent="0.8">
      <c r="A1077" s="247">
        <v>34213</v>
      </c>
      <c r="B1077" s="248" t="s">
        <v>1406</v>
      </c>
      <c r="C1077" s="249" t="s">
        <v>55</v>
      </c>
      <c r="D1077" s="245">
        <v>0</v>
      </c>
      <c r="E1077" s="245">
        <v>1</v>
      </c>
      <c r="H1077" s="245">
        <v>1</v>
      </c>
      <c r="I1077" s="245">
        <v>0</v>
      </c>
      <c r="J1077" s="245">
        <v>0</v>
      </c>
      <c r="K1077" s="245">
        <v>0</v>
      </c>
      <c r="L1077" s="245">
        <v>0</v>
      </c>
      <c r="M1077" s="245">
        <v>0</v>
      </c>
      <c r="O1077" s="245" t="s">
        <v>56</v>
      </c>
      <c r="P1077" s="245" t="s">
        <v>521</v>
      </c>
      <c r="Q1077" s="245" t="s">
        <v>1404</v>
      </c>
      <c r="R1077" s="246" t="s">
        <v>677</v>
      </c>
    </row>
    <row r="1078" spans="1:18" ht="26" x14ac:dyDescent="0.8">
      <c r="A1078" s="247">
        <v>3422</v>
      </c>
      <c r="B1078" s="248" t="s">
        <v>1407</v>
      </c>
      <c r="D1078" s="245">
        <v>0</v>
      </c>
      <c r="R1078" s="246" t="s">
        <v>677</v>
      </c>
    </row>
    <row r="1079" spans="1:18" ht="52" hidden="1" x14ac:dyDescent="0.8">
      <c r="A1079" s="247">
        <v>34221</v>
      </c>
      <c r="B1079" s="248" t="s">
        <v>1408</v>
      </c>
      <c r="C1079" s="249" t="s">
        <v>38</v>
      </c>
      <c r="D1079" s="245">
        <v>0</v>
      </c>
      <c r="F1079" s="245">
        <v>280</v>
      </c>
      <c r="G1079" s="245">
        <v>280</v>
      </c>
      <c r="H1079" s="245">
        <v>560</v>
      </c>
      <c r="I1079" s="245">
        <v>0.3133333333333333</v>
      </c>
      <c r="J1079" s="245">
        <v>0</v>
      </c>
      <c r="K1079" s="245">
        <v>0</v>
      </c>
      <c r="L1079" s="245">
        <v>87.73333333333332</v>
      </c>
      <c r="M1079" s="245">
        <v>87.73333333333332</v>
      </c>
      <c r="N1079" s="245">
        <v>175.46666666666664</v>
      </c>
      <c r="O1079" s="245" t="s">
        <v>56</v>
      </c>
      <c r="P1079" s="245" t="s">
        <v>521</v>
      </c>
      <c r="Q1079" s="245" t="s">
        <v>1404</v>
      </c>
      <c r="R1079" s="246" t="s">
        <v>677</v>
      </c>
    </row>
    <row r="1080" spans="1:18" ht="39" x14ac:dyDescent="0.8">
      <c r="A1080" s="247">
        <v>3423</v>
      </c>
      <c r="B1080" s="248" t="s">
        <v>1410</v>
      </c>
      <c r="D1080" s="245">
        <v>0</v>
      </c>
      <c r="R1080" s="246" t="s">
        <v>677</v>
      </c>
    </row>
    <row r="1081" spans="1:18" ht="26" hidden="1" x14ac:dyDescent="0.8">
      <c r="A1081" s="247">
        <v>34231</v>
      </c>
      <c r="B1081" s="248" t="s">
        <v>1411</v>
      </c>
      <c r="D1081" s="245">
        <v>0</v>
      </c>
      <c r="F1081" s="245">
        <v>1</v>
      </c>
      <c r="G1081" s="245">
        <v>1</v>
      </c>
      <c r="H1081" s="245">
        <v>2</v>
      </c>
      <c r="I1081" s="245">
        <v>0</v>
      </c>
      <c r="J1081" s="245">
        <v>0</v>
      </c>
      <c r="K1081" s="245">
        <v>0</v>
      </c>
      <c r="L1081" s="245">
        <v>0</v>
      </c>
      <c r="M1081" s="245">
        <v>0</v>
      </c>
      <c r="O1081" s="245" t="s">
        <v>56</v>
      </c>
      <c r="P1081" s="245" t="s">
        <v>1404</v>
      </c>
      <c r="Q1081" s="245" t="s">
        <v>1412</v>
      </c>
      <c r="R1081" s="246" t="s">
        <v>677</v>
      </c>
    </row>
    <row r="1082" spans="1:18" ht="26" x14ac:dyDescent="0.8">
      <c r="A1082" s="247">
        <v>343</v>
      </c>
      <c r="B1082" s="248" t="s">
        <v>1413</v>
      </c>
      <c r="D1082" s="245">
        <v>0</v>
      </c>
      <c r="R1082" s="246" t="s">
        <v>677</v>
      </c>
    </row>
    <row r="1083" spans="1:18" ht="39" x14ac:dyDescent="0.8">
      <c r="A1083" s="247">
        <v>3431</v>
      </c>
      <c r="B1083" s="248" t="s">
        <v>1414</v>
      </c>
      <c r="D1083" s="245">
        <v>0</v>
      </c>
      <c r="R1083" s="246" t="s">
        <v>677</v>
      </c>
    </row>
    <row r="1084" spans="1:18" hidden="1" x14ac:dyDescent="0.8">
      <c r="A1084" s="247">
        <v>34311</v>
      </c>
      <c r="B1084" s="248" t="s">
        <v>1415</v>
      </c>
      <c r="C1084" s="249" t="s">
        <v>101</v>
      </c>
      <c r="D1084" s="245">
        <v>0</v>
      </c>
      <c r="E1084" s="245">
        <v>30</v>
      </c>
      <c r="H1084" s="245">
        <v>30</v>
      </c>
      <c r="I1084" s="245">
        <v>2.651545</v>
      </c>
      <c r="J1084" s="245">
        <v>0</v>
      </c>
      <c r="K1084" s="245">
        <v>79.546350000000004</v>
      </c>
      <c r="L1084" s="245">
        <v>0</v>
      </c>
      <c r="M1084" s="245">
        <v>0</v>
      </c>
      <c r="N1084" s="245">
        <v>79.546350000000004</v>
      </c>
      <c r="O1084" s="245" t="s">
        <v>169</v>
      </c>
      <c r="P1084" s="245" t="s">
        <v>96</v>
      </c>
      <c r="Q1084" s="245" t="s">
        <v>1371</v>
      </c>
      <c r="R1084" s="246" t="s">
        <v>677</v>
      </c>
    </row>
    <row r="1085" spans="1:18" ht="26" hidden="1" x14ac:dyDescent="0.8">
      <c r="A1085" s="247">
        <v>34312</v>
      </c>
      <c r="B1085" s="248" t="s">
        <v>1417</v>
      </c>
      <c r="C1085" s="249" t="s">
        <v>55</v>
      </c>
      <c r="D1085" s="245">
        <v>0</v>
      </c>
      <c r="E1085" s="245">
        <v>1</v>
      </c>
      <c r="H1085" s="245">
        <v>1</v>
      </c>
      <c r="I1085" s="245">
        <v>0</v>
      </c>
      <c r="J1085" s="245">
        <v>0</v>
      </c>
      <c r="K1085" s="245">
        <v>0</v>
      </c>
      <c r="L1085" s="245">
        <v>0</v>
      </c>
      <c r="M1085" s="245">
        <v>0</v>
      </c>
      <c r="O1085" s="245" t="s">
        <v>56</v>
      </c>
      <c r="R1085" s="246" t="s">
        <v>677</v>
      </c>
    </row>
    <row r="1086" spans="1:18" ht="26" hidden="1" x14ac:dyDescent="0.8">
      <c r="A1086" s="247">
        <v>34313</v>
      </c>
      <c r="B1086" s="248" t="s">
        <v>1418</v>
      </c>
      <c r="C1086" s="249" t="s">
        <v>55</v>
      </c>
      <c r="D1086" s="245">
        <v>0</v>
      </c>
      <c r="E1086" s="245">
        <v>1</v>
      </c>
      <c r="H1086" s="245">
        <v>1</v>
      </c>
      <c r="I1086" s="245">
        <v>0</v>
      </c>
      <c r="J1086" s="245">
        <v>0</v>
      </c>
      <c r="K1086" s="245">
        <v>0</v>
      </c>
      <c r="L1086" s="245">
        <v>0</v>
      </c>
      <c r="M1086" s="245">
        <v>0</v>
      </c>
      <c r="O1086" s="245" t="s">
        <v>56</v>
      </c>
      <c r="R1086" s="246" t="s">
        <v>677</v>
      </c>
    </row>
    <row r="1087" spans="1:18" hidden="1" x14ac:dyDescent="0.8">
      <c r="A1087" s="247">
        <v>34314</v>
      </c>
      <c r="B1087" s="248" t="s">
        <v>1419</v>
      </c>
      <c r="C1087" s="249" t="s">
        <v>55</v>
      </c>
      <c r="D1087" s="245">
        <v>0</v>
      </c>
      <c r="F1087" s="245">
        <v>1</v>
      </c>
      <c r="H1087" s="245">
        <v>1</v>
      </c>
      <c r="I1087" s="245">
        <v>0</v>
      </c>
      <c r="J1087" s="245">
        <v>0</v>
      </c>
      <c r="K1087" s="245">
        <v>0</v>
      </c>
      <c r="L1087" s="245">
        <v>0</v>
      </c>
      <c r="M1087" s="245">
        <v>0</v>
      </c>
      <c r="O1087" s="245" t="s">
        <v>56</v>
      </c>
      <c r="P1087" s="245" t="s">
        <v>1334</v>
      </c>
      <c r="Q1087" s="245" t="s">
        <v>1375</v>
      </c>
      <c r="R1087" s="246" t="s">
        <v>677</v>
      </c>
    </row>
    <row r="1088" spans="1:18" hidden="1" x14ac:dyDescent="0.8">
      <c r="A1088" s="247">
        <v>34315</v>
      </c>
      <c r="B1088" s="248" t="s">
        <v>1420</v>
      </c>
      <c r="C1088" s="249" t="s">
        <v>38</v>
      </c>
      <c r="D1088" s="245">
        <v>0</v>
      </c>
      <c r="F1088" s="245">
        <v>270</v>
      </c>
      <c r="G1088" s="245">
        <v>270</v>
      </c>
      <c r="H1088" s="245">
        <v>540</v>
      </c>
      <c r="I1088" s="245">
        <v>0.3133333333333333</v>
      </c>
      <c r="J1088" s="245">
        <v>0</v>
      </c>
      <c r="K1088" s="245">
        <v>0</v>
      </c>
      <c r="L1088" s="245">
        <v>84.6</v>
      </c>
      <c r="M1088" s="245">
        <v>84.6</v>
      </c>
      <c r="N1088" s="245">
        <v>169.2</v>
      </c>
      <c r="O1088" s="245" t="s">
        <v>56</v>
      </c>
      <c r="P1088" s="245" t="s">
        <v>1334</v>
      </c>
      <c r="Q1088" s="245" t="s">
        <v>1375</v>
      </c>
      <c r="R1088" s="246" t="s">
        <v>677</v>
      </c>
    </row>
    <row r="1089" spans="1:18" ht="26" x14ac:dyDescent="0.8">
      <c r="A1089" s="247">
        <v>3432</v>
      </c>
      <c r="B1089" s="248" t="s">
        <v>1421</v>
      </c>
      <c r="D1089" s="245">
        <v>0</v>
      </c>
      <c r="R1089" s="246" t="s">
        <v>677</v>
      </c>
    </row>
    <row r="1090" spans="1:18" ht="39" hidden="1" x14ac:dyDescent="0.8">
      <c r="A1090" s="247">
        <v>34321</v>
      </c>
      <c r="B1090" s="248" t="s">
        <v>1422</v>
      </c>
      <c r="C1090" s="249" t="s">
        <v>1424</v>
      </c>
      <c r="D1090" s="245">
        <v>0</v>
      </c>
      <c r="E1090" s="245">
        <v>25</v>
      </c>
      <c r="H1090" s="245">
        <v>25</v>
      </c>
      <c r="I1090" s="245">
        <v>10.404797</v>
      </c>
      <c r="J1090" s="245">
        <v>0</v>
      </c>
      <c r="K1090" s="245">
        <v>260.11992500000002</v>
      </c>
      <c r="L1090" s="245">
        <v>0</v>
      </c>
      <c r="M1090" s="245">
        <v>0</v>
      </c>
      <c r="N1090" s="245">
        <v>260.11992500000002</v>
      </c>
      <c r="O1090" s="245" t="s">
        <v>169</v>
      </c>
      <c r="P1090" s="245" t="s">
        <v>1334</v>
      </c>
      <c r="Q1090" s="245" t="s">
        <v>1375</v>
      </c>
      <c r="R1090" s="246" t="s">
        <v>677</v>
      </c>
    </row>
    <row r="1091" spans="1:18" hidden="1" x14ac:dyDescent="0.8">
      <c r="A1091" s="247">
        <v>34322</v>
      </c>
      <c r="B1091" s="248" t="s">
        <v>1425</v>
      </c>
      <c r="C1091" s="249" t="s">
        <v>38</v>
      </c>
      <c r="D1091" s="245">
        <v>0</v>
      </c>
      <c r="E1091" s="245">
        <v>540</v>
      </c>
      <c r="H1091" s="245">
        <v>540</v>
      </c>
      <c r="I1091" s="245">
        <v>0.3133333333333333</v>
      </c>
      <c r="J1091" s="245">
        <v>0</v>
      </c>
      <c r="K1091" s="245">
        <v>169.2</v>
      </c>
      <c r="L1091" s="245">
        <v>0</v>
      </c>
      <c r="M1091" s="245">
        <v>0</v>
      </c>
      <c r="N1091" s="245">
        <v>169.2</v>
      </c>
      <c r="O1091" s="245" t="s">
        <v>169</v>
      </c>
      <c r="P1091" s="245" t="s">
        <v>1334</v>
      </c>
      <c r="Q1091" s="245" t="s">
        <v>1375</v>
      </c>
      <c r="R1091" s="246" t="s">
        <v>677</v>
      </c>
    </row>
    <row r="1092" spans="1:18" ht="39" x14ac:dyDescent="0.8">
      <c r="A1092" s="247">
        <v>3433</v>
      </c>
      <c r="B1092" s="248" t="s">
        <v>1426</v>
      </c>
      <c r="D1092" s="245">
        <v>0</v>
      </c>
      <c r="R1092" s="246" t="s">
        <v>677</v>
      </c>
    </row>
    <row r="1093" spans="1:18" hidden="1" x14ac:dyDescent="0.8">
      <c r="A1093" s="247">
        <v>34331</v>
      </c>
      <c r="B1093" s="248" t="s">
        <v>1427</v>
      </c>
      <c r="C1093" s="249" t="s">
        <v>1429</v>
      </c>
      <c r="D1093" s="245">
        <v>0</v>
      </c>
      <c r="E1093" s="245">
        <v>30</v>
      </c>
      <c r="H1093" s="245">
        <v>30</v>
      </c>
      <c r="I1093" s="245">
        <v>2.651545</v>
      </c>
      <c r="J1093" s="245">
        <v>0</v>
      </c>
      <c r="K1093" s="245">
        <v>79.546350000000004</v>
      </c>
      <c r="L1093" s="245">
        <v>0</v>
      </c>
      <c r="M1093" s="245">
        <v>0</v>
      </c>
      <c r="N1093" s="245">
        <v>79.546350000000004</v>
      </c>
      <c r="O1093" s="245" t="s">
        <v>169</v>
      </c>
      <c r="P1093" s="245" t="s">
        <v>1334</v>
      </c>
      <c r="Q1093" s="245" t="s">
        <v>100</v>
      </c>
      <c r="R1093" s="246" t="s">
        <v>677</v>
      </c>
    </row>
    <row r="1094" spans="1:18" ht="26" hidden="1" x14ac:dyDescent="0.8">
      <c r="A1094" s="247">
        <v>34332</v>
      </c>
      <c r="B1094" s="248" t="s">
        <v>1430</v>
      </c>
      <c r="D1094" s="245">
        <v>0</v>
      </c>
      <c r="E1094" s="245">
        <v>1</v>
      </c>
      <c r="H1094" s="245">
        <v>1</v>
      </c>
      <c r="I1094" s="245">
        <v>0</v>
      </c>
      <c r="J1094" s="245">
        <v>0</v>
      </c>
      <c r="K1094" s="245">
        <v>0</v>
      </c>
      <c r="L1094" s="245">
        <v>0</v>
      </c>
      <c r="M1094" s="245">
        <v>0</v>
      </c>
      <c r="O1094" s="245" t="s">
        <v>56</v>
      </c>
      <c r="P1094" s="245" t="s">
        <v>1334</v>
      </c>
      <c r="Q1094" s="245" t="s">
        <v>100</v>
      </c>
      <c r="R1094" s="246" t="s">
        <v>677</v>
      </c>
    </row>
    <row r="1095" spans="1:18" hidden="1" x14ac:dyDescent="0.8">
      <c r="A1095" s="247">
        <v>34333</v>
      </c>
      <c r="B1095" s="248" t="s">
        <v>1431</v>
      </c>
      <c r="C1095" s="249" t="s">
        <v>1433</v>
      </c>
      <c r="D1095" s="245">
        <v>0</v>
      </c>
      <c r="F1095" s="245">
        <v>945</v>
      </c>
      <c r="H1095" s="245">
        <v>945</v>
      </c>
      <c r="I1095" s="245">
        <v>0.3133333333333333</v>
      </c>
      <c r="J1095" s="245">
        <v>0</v>
      </c>
      <c r="K1095" s="245">
        <v>0</v>
      </c>
      <c r="L1095" s="245">
        <v>296.09999999999997</v>
      </c>
      <c r="M1095" s="245">
        <v>0</v>
      </c>
      <c r="N1095" s="245">
        <v>296.09999999999997</v>
      </c>
      <c r="O1095" s="245" t="s">
        <v>169</v>
      </c>
      <c r="P1095" s="245" t="s">
        <v>1434</v>
      </c>
      <c r="Q1095" s="245" t="s">
        <v>1435</v>
      </c>
      <c r="R1095" s="246" t="s">
        <v>677</v>
      </c>
    </row>
    <row r="1096" spans="1:18" hidden="1" x14ac:dyDescent="0.8">
      <c r="A1096" s="247">
        <v>34334</v>
      </c>
      <c r="B1096" s="248" t="s">
        <v>1436</v>
      </c>
      <c r="C1096" s="249" t="s">
        <v>1438</v>
      </c>
      <c r="D1096" s="245">
        <v>0</v>
      </c>
      <c r="F1096" s="245">
        <v>1</v>
      </c>
      <c r="G1096" s="245">
        <v>1</v>
      </c>
      <c r="H1096" s="245">
        <v>2</v>
      </c>
      <c r="I1096" s="245">
        <v>50.536799999999999</v>
      </c>
      <c r="J1096" s="245">
        <v>0</v>
      </c>
      <c r="K1096" s="245">
        <v>0</v>
      </c>
      <c r="L1096" s="245">
        <v>50.536799999999999</v>
      </c>
      <c r="M1096" s="245">
        <v>50.536799999999999</v>
      </c>
      <c r="N1096" s="245">
        <v>101.0736</v>
      </c>
      <c r="O1096" s="245" t="s">
        <v>169</v>
      </c>
      <c r="R1096" s="246" t="s">
        <v>677</v>
      </c>
    </row>
    <row r="1097" spans="1:18" ht="26" x14ac:dyDescent="0.8">
      <c r="A1097" s="247">
        <v>35</v>
      </c>
      <c r="B1097" s="248" t="s">
        <v>1439</v>
      </c>
      <c r="D1097" s="245">
        <v>0</v>
      </c>
      <c r="R1097" s="246" t="s">
        <v>677</v>
      </c>
    </row>
    <row r="1098" spans="1:18" ht="26" x14ac:dyDescent="0.8">
      <c r="A1098" s="247">
        <v>352</v>
      </c>
      <c r="B1098" s="248" t="s">
        <v>1440</v>
      </c>
      <c r="D1098" s="245">
        <v>0</v>
      </c>
      <c r="R1098" s="246" t="s">
        <v>677</v>
      </c>
    </row>
    <row r="1099" spans="1:18" ht="39" x14ac:dyDescent="0.8">
      <c r="A1099" s="247">
        <v>3521</v>
      </c>
      <c r="B1099" s="248" t="s">
        <v>1441</v>
      </c>
      <c r="D1099" s="245">
        <v>0</v>
      </c>
      <c r="R1099" s="246" t="s">
        <v>677</v>
      </c>
    </row>
    <row r="1100" spans="1:18" hidden="1" x14ac:dyDescent="0.8">
      <c r="A1100" s="247">
        <v>35111</v>
      </c>
      <c r="B1100" s="248" t="s">
        <v>1442</v>
      </c>
      <c r="C1100" s="249" t="s">
        <v>646</v>
      </c>
      <c r="D1100" s="245">
        <v>0</v>
      </c>
      <c r="E1100" s="245">
        <v>30</v>
      </c>
      <c r="H1100" s="245">
        <v>30</v>
      </c>
      <c r="I1100" s="245">
        <v>10.404797</v>
      </c>
      <c r="J1100" s="245">
        <v>0</v>
      </c>
      <c r="K1100" s="245">
        <v>312.14391000000001</v>
      </c>
      <c r="L1100" s="245">
        <v>0</v>
      </c>
      <c r="M1100" s="245">
        <v>0</v>
      </c>
      <c r="N1100" s="245">
        <v>312.14391000000001</v>
      </c>
      <c r="O1100" s="245" t="s">
        <v>56</v>
      </c>
      <c r="P1100" s="245" t="s">
        <v>96</v>
      </c>
      <c r="Q1100" s="245" t="s">
        <v>1444</v>
      </c>
      <c r="R1100" s="246" t="s">
        <v>677</v>
      </c>
    </row>
    <row r="1101" spans="1:18" hidden="1" x14ac:dyDescent="0.8">
      <c r="A1101" s="247">
        <v>35211</v>
      </c>
      <c r="B1101" s="248" t="s">
        <v>1445</v>
      </c>
      <c r="C1101" s="249" t="s">
        <v>66</v>
      </c>
      <c r="D1101" s="245">
        <v>0</v>
      </c>
      <c r="E1101" s="245">
        <v>540</v>
      </c>
      <c r="H1101" s="245">
        <v>540</v>
      </c>
      <c r="I1101" s="245">
        <v>0.255</v>
      </c>
      <c r="J1101" s="245">
        <v>0</v>
      </c>
      <c r="K1101" s="245">
        <v>137.69999999999999</v>
      </c>
      <c r="L1101" s="245">
        <v>0</v>
      </c>
      <c r="M1101" s="245">
        <v>0</v>
      </c>
      <c r="N1101" s="245">
        <v>137.69999999999999</v>
      </c>
      <c r="O1101" s="245" t="s">
        <v>56</v>
      </c>
      <c r="P1101" s="245" t="s">
        <v>96</v>
      </c>
      <c r="Q1101" s="245" t="s">
        <v>1446</v>
      </c>
      <c r="R1101" s="246" t="s">
        <v>677</v>
      </c>
    </row>
    <row r="1102" spans="1:18" ht="26" hidden="1" x14ac:dyDescent="0.8">
      <c r="A1102" s="247">
        <v>35212</v>
      </c>
      <c r="B1102" s="248" t="s">
        <v>1447</v>
      </c>
      <c r="C1102" s="249" t="s">
        <v>55</v>
      </c>
      <c r="D1102" s="245">
        <v>0</v>
      </c>
      <c r="F1102" s="245">
        <v>1</v>
      </c>
      <c r="H1102" s="245">
        <v>1</v>
      </c>
      <c r="I1102" s="245">
        <v>0</v>
      </c>
      <c r="J1102" s="245">
        <v>0</v>
      </c>
      <c r="K1102" s="245">
        <v>0</v>
      </c>
      <c r="L1102" s="245">
        <v>0</v>
      </c>
      <c r="M1102" s="245">
        <v>0</v>
      </c>
      <c r="O1102" s="245" t="s">
        <v>56</v>
      </c>
      <c r="P1102" s="245" t="s">
        <v>1334</v>
      </c>
      <c r="Q1102" s="245" t="s">
        <v>1448</v>
      </c>
      <c r="R1102" s="246" t="s">
        <v>677</v>
      </c>
    </row>
    <row r="1103" spans="1:18" ht="26" x14ac:dyDescent="0.8">
      <c r="A1103" s="247">
        <v>3522</v>
      </c>
      <c r="B1103" s="248" t="s">
        <v>1449</v>
      </c>
      <c r="D1103" s="245">
        <v>0</v>
      </c>
      <c r="R1103" s="246" t="s">
        <v>677</v>
      </c>
    </row>
    <row r="1104" spans="1:18" ht="26" hidden="1" x14ac:dyDescent="0.8">
      <c r="B1104" s="248" t="s">
        <v>1450</v>
      </c>
      <c r="D1104" s="245">
        <v>0</v>
      </c>
      <c r="O1104" s="245" t="s">
        <v>56</v>
      </c>
      <c r="R1104" s="246" t="s">
        <v>677</v>
      </c>
    </row>
    <row r="1105" spans="1:18" ht="26" x14ac:dyDescent="0.8">
      <c r="A1105" s="247">
        <v>3523</v>
      </c>
      <c r="B1105" s="248" t="s">
        <v>1451</v>
      </c>
      <c r="D1105" s="245">
        <v>0</v>
      </c>
      <c r="R1105" s="246" t="s">
        <v>677</v>
      </c>
    </row>
    <row r="1106" spans="1:18" ht="26" hidden="1" x14ac:dyDescent="0.8">
      <c r="B1106" s="248" t="s">
        <v>1450</v>
      </c>
      <c r="D1106" s="245">
        <v>0</v>
      </c>
      <c r="O1106" s="245" t="s">
        <v>56</v>
      </c>
      <c r="R1106" s="246" t="s">
        <v>677</v>
      </c>
    </row>
    <row r="1107" spans="1:18" ht="26" x14ac:dyDescent="0.8">
      <c r="A1107" s="247">
        <v>353</v>
      </c>
      <c r="B1107" s="248" t="s">
        <v>1452</v>
      </c>
      <c r="D1107" s="245">
        <v>0</v>
      </c>
      <c r="R1107" s="246" t="s">
        <v>677</v>
      </c>
    </row>
    <row r="1108" spans="1:18" ht="39" x14ac:dyDescent="0.8">
      <c r="A1108" s="247">
        <v>3531</v>
      </c>
      <c r="B1108" s="248" t="s">
        <v>1453</v>
      </c>
      <c r="D1108" s="245">
        <v>0</v>
      </c>
      <c r="R1108" s="246" t="s">
        <v>677</v>
      </c>
    </row>
    <row r="1109" spans="1:18" ht="26" hidden="1" x14ac:dyDescent="0.8">
      <c r="B1109" s="248" t="s">
        <v>1450</v>
      </c>
      <c r="D1109" s="245">
        <v>0</v>
      </c>
      <c r="O1109" s="245" t="s">
        <v>56</v>
      </c>
      <c r="R1109" s="246" t="s">
        <v>677</v>
      </c>
    </row>
    <row r="1110" spans="1:18" ht="26" x14ac:dyDescent="0.8">
      <c r="A1110" s="247">
        <v>3532</v>
      </c>
      <c r="B1110" s="248" t="s">
        <v>1454</v>
      </c>
      <c r="D1110" s="245">
        <v>0</v>
      </c>
      <c r="R1110" s="246" t="s">
        <v>677</v>
      </c>
    </row>
    <row r="1111" spans="1:18" ht="26" hidden="1" x14ac:dyDescent="0.8">
      <c r="B1111" s="248" t="s">
        <v>1450</v>
      </c>
      <c r="D1111" s="245">
        <v>0</v>
      </c>
      <c r="O1111" s="245" t="s">
        <v>56</v>
      </c>
      <c r="R1111" s="246" t="s">
        <v>677</v>
      </c>
    </row>
    <row r="1112" spans="1:18" ht="39" x14ac:dyDescent="0.8">
      <c r="A1112" s="247">
        <v>36</v>
      </c>
      <c r="B1112" s="248" t="s">
        <v>1455</v>
      </c>
      <c r="D1112" s="245">
        <v>0</v>
      </c>
      <c r="R1112" s="246" t="s">
        <v>677</v>
      </c>
    </row>
    <row r="1113" spans="1:18" ht="52" x14ac:dyDescent="0.8">
      <c r="A1113" s="247">
        <v>361</v>
      </c>
      <c r="B1113" s="248" t="s">
        <v>1456</v>
      </c>
      <c r="D1113" s="245">
        <v>0</v>
      </c>
      <c r="R1113" s="246" t="s">
        <v>677</v>
      </c>
    </row>
    <row r="1114" spans="1:18" x14ac:dyDescent="0.8">
      <c r="A1114" s="247">
        <v>3611</v>
      </c>
      <c r="B1114" s="248" t="s">
        <v>1457</v>
      </c>
      <c r="D1114" s="245">
        <v>0</v>
      </c>
      <c r="R1114" s="246" t="s">
        <v>677</v>
      </c>
    </row>
    <row r="1115" spans="1:18" ht="52" hidden="1" x14ac:dyDescent="0.8">
      <c r="A1115" s="247">
        <v>36111</v>
      </c>
      <c r="B1115" s="248" t="s">
        <v>1458</v>
      </c>
      <c r="C1115" s="249" t="s">
        <v>38</v>
      </c>
      <c r="D1115" s="245">
        <v>0</v>
      </c>
      <c r="E1115" s="245">
        <v>1215</v>
      </c>
      <c r="H1115" s="245">
        <v>1215</v>
      </c>
      <c r="I1115" s="245">
        <v>0.3133333333333333</v>
      </c>
      <c r="J1115" s="245">
        <v>0</v>
      </c>
      <c r="K1115" s="245">
        <v>380.69999999999993</v>
      </c>
      <c r="L1115" s="245">
        <v>0</v>
      </c>
      <c r="M1115" s="245">
        <v>0</v>
      </c>
      <c r="N1115" s="245">
        <v>380.69999999999993</v>
      </c>
      <c r="O1115" s="245" t="s">
        <v>56</v>
      </c>
      <c r="P1115" s="245" t="s">
        <v>1334</v>
      </c>
      <c r="Q1115" s="245" t="s">
        <v>1459</v>
      </c>
      <c r="R1115" s="246" t="s">
        <v>677</v>
      </c>
    </row>
    <row r="1116" spans="1:18" ht="26" hidden="1" x14ac:dyDescent="0.8">
      <c r="A1116" s="247">
        <v>36112</v>
      </c>
      <c r="B1116" s="248" t="s">
        <v>1460</v>
      </c>
      <c r="C1116" s="249" t="s">
        <v>66</v>
      </c>
      <c r="D1116" s="245">
        <v>0</v>
      </c>
      <c r="E1116" s="245">
        <v>45</v>
      </c>
      <c r="H1116" s="245">
        <v>45</v>
      </c>
      <c r="I1116" s="245">
        <v>0.255</v>
      </c>
      <c r="J1116" s="245">
        <v>0</v>
      </c>
      <c r="K1116" s="245">
        <v>11.475</v>
      </c>
      <c r="L1116" s="245">
        <v>0</v>
      </c>
      <c r="M1116" s="245">
        <v>0</v>
      </c>
      <c r="N1116" s="245">
        <v>11.475</v>
      </c>
      <c r="O1116" s="245" t="s">
        <v>56</v>
      </c>
      <c r="P1116" s="245" t="s">
        <v>1334</v>
      </c>
      <c r="Q1116" s="245" t="s">
        <v>1461</v>
      </c>
      <c r="R1116" s="246" t="s">
        <v>677</v>
      </c>
    </row>
    <row r="1117" spans="1:18" ht="26" x14ac:dyDescent="0.8">
      <c r="A1117" s="247">
        <v>3612</v>
      </c>
      <c r="B1117" s="248" t="s">
        <v>1462</v>
      </c>
      <c r="D1117" s="245">
        <v>0</v>
      </c>
      <c r="R1117" s="246" t="s">
        <v>677</v>
      </c>
    </row>
    <row r="1118" spans="1:18" hidden="1" x14ac:dyDescent="0.8">
      <c r="A1118" s="247">
        <v>36121</v>
      </c>
      <c r="B1118" s="248" t="s">
        <v>1463</v>
      </c>
      <c r="C1118" s="249" t="s">
        <v>38</v>
      </c>
      <c r="D1118" s="245">
        <v>0</v>
      </c>
      <c r="F1118" s="245">
        <v>810</v>
      </c>
      <c r="G1118" s="245">
        <v>810</v>
      </c>
      <c r="H1118" s="245">
        <v>1620</v>
      </c>
      <c r="I1118" s="245">
        <v>0.3133333333333333</v>
      </c>
      <c r="J1118" s="245">
        <v>0</v>
      </c>
      <c r="K1118" s="245">
        <v>0</v>
      </c>
      <c r="L1118" s="245">
        <v>253.79999999999998</v>
      </c>
      <c r="M1118" s="245">
        <v>253.79999999999998</v>
      </c>
      <c r="N1118" s="245">
        <v>507.59999999999997</v>
      </c>
      <c r="O1118" s="245" t="s">
        <v>56</v>
      </c>
      <c r="P1118" s="245" t="s">
        <v>521</v>
      </c>
      <c r="Q1118" s="245" t="s">
        <v>1465</v>
      </c>
      <c r="R1118" s="246" t="s">
        <v>677</v>
      </c>
    </row>
    <row r="1119" spans="1:18" ht="26" hidden="1" x14ac:dyDescent="0.8">
      <c r="A1119" s="247">
        <v>36122</v>
      </c>
      <c r="B1119" s="248" t="s">
        <v>1466</v>
      </c>
      <c r="C1119" s="249" t="s">
        <v>301</v>
      </c>
      <c r="D1119" s="245">
        <v>0</v>
      </c>
      <c r="F1119" s="245">
        <v>846</v>
      </c>
      <c r="H1119" s="245">
        <v>846</v>
      </c>
      <c r="I1119" s="245">
        <v>0.67666666666666664</v>
      </c>
      <c r="J1119" s="245">
        <v>0</v>
      </c>
      <c r="K1119" s="245">
        <v>0</v>
      </c>
      <c r="L1119" s="245">
        <v>572.45999999999992</v>
      </c>
      <c r="M1119" s="245">
        <v>0</v>
      </c>
      <c r="N1119" s="245">
        <v>572.45999999999992</v>
      </c>
      <c r="O1119" s="245" t="s">
        <v>56</v>
      </c>
      <c r="P1119" s="245" t="s">
        <v>521</v>
      </c>
      <c r="Q1119" s="245" t="s">
        <v>1465</v>
      </c>
      <c r="R1119" s="246" t="s">
        <v>677</v>
      </c>
    </row>
    <row r="1120" spans="1:18" ht="26" x14ac:dyDescent="0.8">
      <c r="A1120" s="247">
        <v>362</v>
      </c>
      <c r="B1120" s="248" t="s">
        <v>1467</v>
      </c>
      <c r="D1120" s="245">
        <v>0</v>
      </c>
      <c r="R1120" s="246" t="s">
        <v>677</v>
      </c>
    </row>
    <row r="1121" spans="1:18" ht="26" x14ac:dyDescent="0.8">
      <c r="A1121" s="247">
        <v>3621</v>
      </c>
      <c r="B1121" s="248" t="s">
        <v>1468</v>
      </c>
      <c r="D1121" s="245">
        <v>0</v>
      </c>
      <c r="R1121" s="246" t="s">
        <v>677</v>
      </c>
    </row>
    <row r="1122" spans="1:18" ht="26" hidden="1" x14ac:dyDescent="0.8">
      <c r="A1122" s="247">
        <v>36211</v>
      </c>
      <c r="B1122" s="248" t="s">
        <v>1469</v>
      </c>
      <c r="C1122" s="249" t="s">
        <v>646</v>
      </c>
      <c r="D1122" s="245">
        <v>0</v>
      </c>
      <c r="E1122" s="245">
        <v>40</v>
      </c>
      <c r="H1122" s="245">
        <v>40</v>
      </c>
      <c r="I1122" s="245">
        <v>10.404797</v>
      </c>
      <c r="J1122" s="245">
        <v>0</v>
      </c>
      <c r="K1122" s="245">
        <v>416.19188000000003</v>
      </c>
      <c r="L1122" s="245">
        <v>0</v>
      </c>
      <c r="M1122" s="245">
        <v>0</v>
      </c>
      <c r="N1122" s="245">
        <v>416.19188000000003</v>
      </c>
      <c r="O1122" s="245" t="s">
        <v>169</v>
      </c>
      <c r="P1122" s="245" t="s">
        <v>96</v>
      </c>
      <c r="Q1122" s="245" t="s">
        <v>1371</v>
      </c>
      <c r="R1122" s="246" t="s">
        <v>677</v>
      </c>
    </row>
    <row r="1123" spans="1:18" ht="26" hidden="1" x14ac:dyDescent="0.8">
      <c r="A1123" s="247">
        <v>36212</v>
      </c>
      <c r="B1123" s="248" t="s">
        <v>1470</v>
      </c>
      <c r="C1123" s="249" t="s">
        <v>38</v>
      </c>
      <c r="D1123" s="245">
        <v>0</v>
      </c>
      <c r="E1123" s="245">
        <v>135</v>
      </c>
      <c r="H1123" s="245">
        <v>135</v>
      </c>
      <c r="I1123" s="245">
        <v>0.3133333333333333</v>
      </c>
      <c r="J1123" s="245">
        <v>0</v>
      </c>
      <c r="K1123" s="245">
        <v>42.3</v>
      </c>
      <c r="L1123" s="245">
        <v>0</v>
      </c>
      <c r="M1123" s="245">
        <v>0</v>
      </c>
      <c r="N1123" s="245">
        <v>42.3</v>
      </c>
      <c r="O1123" s="245" t="s">
        <v>169</v>
      </c>
      <c r="P1123" s="245" t="s">
        <v>96</v>
      </c>
      <c r="Q1123" s="245" t="s">
        <v>1471</v>
      </c>
      <c r="R1123" s="246" t="s">
        <v>677</v>
      </c>
    </row>
    <row r="1124" spans="1:18" ht="26" hidden="1" x14ac:dyDescent="0.8">
      <c r="A1124" s="247">
        <v>36213</v>
      </c>
      <c r="B1124" s="248" t="s">
        <v>1472</v>
      </c>
      <c r="C1124" s="249" t="s">
        <v>55</v>
      </c>
      <c r="D1124" s="245">
        <v>0</v>
      </c>
      <c r="F1124" s="245">
        <v>1</v>
      </c>
      <c r="H1124" s="245">
        <v>1</v>
      </c>
      <c r="I1124" s="245">
        <v>0</v>
      </c>
      <c r="J1124" s="245">
        <v>0</v>
      </c>
      <c r="K1124" s="245">
        <v>0</v>
      </c>
      <c r="L1124" s="245">
        <v>0</v>
      </c>
      <c r="M1124" s="245">
        <v>0</v>
      </c>
      <c r="O1124" s="245" t="s">
        <v>56</v>
      </c>
      <c r="P1124" s="245" t="s">
        <v>1334</v>
      </c>
      <c r="Q1124" s="245" t="s">
        <v>1471</v>
      </c>
      <c r="R1124" s="246" t="s">
        <v>677</v>
      </c>
    </row>
    <row r="1125" spans="1:18" ht="28.15" customHeight="1" x14ac:dyDescent="0.8">
      <c r="A1125" s="247">
        <v>3622</v>
      </c>
      <c r="B1125" s="248" t="s">
        <v>1473</v>
      </c>
      <c r="D1125" s="245">
        <v>0</v>
      </c>
      <c r="R1125" s="246" t="s">
        <v>677</v>
      </c>
    </row>
    <row r="1126" spans="1:18" ht="65" hidden="1" x14ac:dyDescent="0.8">
      <c r="A1126" s="247">
        <v>36221</v>
      </c>
      <c r="B1126" s="248" t="s">
        <v>1474</v>
      </c>
      <c r="C1126" s="249" t="s">
        <v>55</v>
      </c>
      <c r="D1126" s="245">
        <v>0</v>
      </c>
      <c r="E1126" s="245">
        <v>1</v>
      </c>
      <c r="H1126" s="245">
        <v>1</v>
      </c>
      <c r="I1126" s="245">
        <v>0</v>
      </c>
      <c r="J1126" s="245">
        <v>0</v>
      </c>
      <c r="K1126" s="245">
        <v>0</v>
      </c>
      <c r="L1126" s="245">
        <v>0</v>
      </c>
      <c r="M1126" s="245">
        <v>0</v>
      </c>
      <c r="O1126" s="245" t="s">
        <v>56</v>
      </c>
      <c r="P1126" s="245" t="s">
        <v>96</v>
      </c>
      <c r="Q1126" s="245" t="s">
        <v>1475</v>
      </c>
      <c r="R1126" s="246" t="s">
        <v>677</v>
      </c>
    </row>
    <row r="1127" spans="1:18" ht="26" hidden="1" x14ac:dyDescent="0.8">
      <c r="A1127" s="247">
        <v>36222</v>
      </c>
      <c r="B1127" s="248" t="s">
        <v>1476</v>
      </c>
      <c r="C1127" s="249" t="s">
        <v>301</v>
      </c>
      <c r="D1127" s="245">
        <v>0</v>
      </c>
      <c r="F1127" s="245">
        <v>1000</v>
      </c>
      <c r="H1127" s="245">
        <v>1000</v>
      </c>
      <c r="I1127" s="245">
        <v>0.67666666666666664</v>
      </c>
      <c r="J1127" s="245">
        <v>0</v>
      </c>
      <c r="K1127" s="245">
        <v>0</v>
      </c>
      <c r="L1127" s="245">
        <v>676.66666666666663</v>
      </c>
      <c r="M1127" s="245">
        <v>0</v>
      </c>
      <c r="N1127" s="245">
        <v>676.66666666666663</v>
      </c>
      <c r="O1127" s="245" t="s">
        <v>56</v>
      </c>
      <c r="P1127" s="245" t="s">
        <v>1334</v>
      </c>
      <c r="Q1127" s="245" t="s">
        <v>1477</v>
      </c>
      <c r="R1127" s="246" t="s">
        <v>677</v>
      </c>
    </row>
    <row r="1128" spans="1:18" ht="39" hidden="1" x14ac:dyDescent="0.8">
      <c r="A1128" s="247">
        <v>36223</v>
      </c>
      <c r="B1128" s="248" t="s">
        <v>1478</v>
      </c>
      <c r="D1128" s="245">
        <v>0</v>
      </c>
      <c r="E1128" s="245">
        <v>1</v>
      </c>
      <c r="F1128" s="245">
        <v>1</v>
      </c>
      <c r="G1128" s="245">
        <v>1</v>
      </c>
      <c r="H1128" s="245">
        <v>3</v>
      </c>
      <c r="I1128" s="245">
        <v>0</v>
      </c>
      <c r="J1128" s="245">
        <v>0</v>
      </c>
      <c r="K1128" s="245">
        <v>0</v>
      </c>
      <c r="L1128" s="245">
        <v>0</v>
      </c>
      <c r="M1128" s="245">
        <v>0</v>
      </c>
      <c r="O1128" s="245" t="s">
        <v>56</v>
      </c>
      <c r="P1128" s="245" t="s">
        <v>521</v>
      </c>
      <c r="Q1128" s="245" t="s">
        <v>1318</v>
      </c>
      <c r="R1128" s="246" t="s">
        <v>677</v>
      </c>
    </row>
    <row r="1129" spans="1:18" ht="26" hidden="1" x14ac:dyDescent="0.8">
      <c r="A1129" s="247">
        <v>36224</v>
      </c>
      <c r="B1129" s="248" t="s">
        <v>1479</v>
      </c>
      <c r="C1129" s="249" t="s">
        <v>101</v>
      </c>
      <c r="D1129" s="245">
        <v>0</v>
      </c>
      <c r="G1129" s="245">
        <v>400</v>
      </c>
      <c r="H1129" s="245">
        <v>400</v>
      </c>
      <c r="I1129" s="245">
        <v>2.651545</v>
      </c>
      <c r="J1129" s="245">
        <v>0</v>
      </c>
      <c r="K1129" s="245">
        <v>0</v>
      </c>
      <c r="L1129" s="245">
        <v>0</v>
      </c>
      <c r="M1129" s="245">
        <v>1060.6179999999999</v>
      </c>
      <c r="N1129" s="245">
        <v>1060.6179999999999</v>
      </c>
      <c r="O1129" s="245" t="s">
        <v>56</v>
      </c>
      <c r="P1129" s="245" t="s">
        <v>521</v>
      </c>
      <c r="Q1129" s="245" t="s">
        <v>1371</v>
      </c>
      <c r="R1129" s="246" t="s">
        <v>677</v>
      </c>
    </row>
    <row r="1130" spans="1:18" ht="52" x14ac:dyDescent="0.8">
      <c r="A1130" s="247">
        <v>363</v>
      </c>
      <c r="B1130" s="248" t="s">
        <v>1480</v>
      </c>
      <c r="D1130" s="245">
        <v>0</v>
      </c>
      <c r="R1130" s="246" t="s">
        <v>677</v>
      </c>
    </row>
    <row r="1131" spans="1:18" ht="26" x14ac:dyDescent="0.8">
      <c r="A1131" s="247">
        <v>3631</v>
      </c>
      <c r="B1131" s="248" t="s">
        <v>1481</v>
      </c>
      <c r="D1131" s="245">
        <v>0</v>
      </c>
      <c r="R1131" s="246" t="s">
        <v>677</v>
      </c>
    </row>
    <row r="1132" spans="1:18" ht="39" hidden="1" x14ac:dyDescent="0.8">
      <c r="A1132" s="247">
        <v>36311</v>
      </c>
      <c r="B1132" s="248" t="s">
        <v>1482</v>
      </c>
      <c r="C1132" s="249" t="s">
        <v>59</v>
      </c>
      <c r="D1132" s="245">
        <v>0</v>
      </c>
      <c r="E1132" s="245">
        <v>20</v>
      </c>
      <c r="F1132" s="245">
        <v>20</v>
      </c>
      <c r="G1132" s="245">
        <v>20</v>
      </c>
      <c r="H1132" s="245">
        <v>60</v>
      </c>
      <c r="I1132" s="245">
        <v>0.8177777777777776</v>
      </c>
      <c r="J1132" s="245">
        <v>0</v>
      </c>
      <c r="K1132" s="245">
        <v>16.355555555555551</v>
      </c>
      <c r="L1132" s="245">
        <v>16.355555555555551</v>
      </c>
      <c r="M1132" s="245">
        <v>16.355555555555551</v>
      </c>
      <c r="N1132" s="245">
        <v>49.066666666666649</v>
      </c>
      <c r="O1132" s="245" t="s">
        <v>56</v>
      </c>
      <c r="P1132" s="245" t="s">
        <v>1334</v>
      </c>
      <c r="Q1132" s="245" t="s">
        <v>1483</v>
      </c>
      <c r="R1132" s="246" t="s">
        <v>677</v>
      </c>
    </row>
    <row r="1133" spans="1:18" ht="39" hidden="1" x14ac:dyDescent="0.8">
      <c r="A1133" s="247">
        <v>36312</v>
      </c>
      <c r="B1133" s="248" t="s">
        <v>1484</v>
      </c>
      <c r="C1133" s="249" t="s">
        <v>101</v>
      </c>
      <c r="D1133" s="245">
        <v>0</v>
      </c>
      <c r="E1133" s="245">
        <v>10</v>
      </c>
      <c r="F1133" s="245">
        <v>10</v>
      </c>
      <c r="G1133" s="245">
        <v>10</v>
      </c>
      <c r="H1133" s="245">
        <v>30</v>
      </c>
      <c r="I1133" s="245">
        <v>2.651545</v>
      </c>
      <c r="J1133" s="245">
        <v>0</v>
      </c>
      <c r="K1133" s="245">
        <v>26.515450000000001</v>
      </c>
      <c r="L1133" s="245">
        <v>26.515450000000001</v>
      </c>
      <c r="M1133" s="245">
        <v>26.515450000000001</v>
      </c>
      <c r="N1133" s="245">
        <v>79.546350000000004</v>
      </c>
      <c r="O1133" s="245" t="s">
        <v>169</v>
      </c>
      <c r="P1133" s="245" t="s">
        <v>1334</v>
      </c>
      <c r="Q1133" s="245" t="s">
        <v>1483</v>
      </c>
      <c r="R1133" s="246" t="s">
        <v>677</v>
      </c>
    </row>
    <row r="1134" spans="1:18" ht="26" hidden="1" x14ac:dyDescent="0.8">
      <c r="A1134" s="247">
        <v>36313</v>
      </c>
      <c r="B1134" s="248" t="s">
        <v>1485</v>
      </c>
      <c r="C1134" s="249" t="s">
        <v>38</v>
      </c>
      <c r="D1134" s="245">
        <v>0</v>
      </c>
      <c r="E1134" s="245">
        <v>600</v>
      </c>
      <c r="F1134" s="245">
        <v>200</v>
      </c>
      <c r="H1134" s="245">
        <v>800</v>
      </c>
      <c r="I1134" s="245">
        <v>0.3133333333333333</v>
      </c>
      <c r="J1134" s="245">
        <v>0</v>
      </c>
      <c r="K1134" s="245">
        <v>187.99999999999997</v>
      </c>
      <c r="L1134" s="245">
        <v>62.666666666666657</v>
      </c>
      <c r="M1134" s="245">
        <v>0</v>
      </c>
      <c r="N1134" s="245">
        <v>250.66666666666663</v>
      </c>
      <c r="O1134" s="245" t="s">
        <v>56</v>
      </c>
      <c r="P1134" s="245" t="s">
        <v>1334</v>
      </c>
      <c r="Q1134" s="245" t="s">
        <v>1483</v>
      </c>
      <c r="R1134" s="246" t="s">
        <v>677</v>
      </c>
    </row>
    <row r="1135" spans="1:18" ht="26" x14ac:dyDescent="0.8">
      <c r="A1135" s="247">
        <v>3632</v>
      </c>
      <c r="B1135" s="248" t="s">
        <v>1487</v>
      </c>
      <c r="D1135" s="245">
        <v>0</v>
      </c>
      <c r="R1135" s="246" t="s">
        <v>677</v>
      </c>
    </row>
    <row r="1136" spans="1:18" hidden="1" x14ac:dyDescent="0.8">
      <c r="B1136" s="248" t="s">
        <v>1488</v>
      </c>
      <c r="D1136" s="245">
        <v>0</v>
      </c>
      <c r="O1136" s="245" t="s">
        <v>56</v>
      </c>
      <c r="R1136" s="246" t="s">
        <v>677</v>
      </c>
    </row>
    <row r="1137" spans="1:18" ht="26" x14ac:dyDescent="0.8">
      <c r="A1137" s="247">
        <v>364</v>
      </c>
      <c r="B1137" s="248" t="s">
        <v>1489</v>
      </c>
      <c r="D1137" s="245">
        <v>0</v>
      </c>
      <c r="R1137" s="246" t="s">
        <v>677</v>
      </c>
    </row>
    <row r="1138" spans="1:18" ht="42" customHeight="1" x14ac:dyDescent="0.8">
      <c r="A1138" s="247">
        <v>3641</v>
      </c>
      <c r="B1138" s="248" t="s">
        <v>1490</v>
      </c>
      <c r="D1138" s="245">
        <v>0</v>
      </c>
      <c r="R1138" s="246" t="s">
        <v>677</v>
      </c>
    </row>
    <row r="1139" spans="1:18" ht="26" x14ac:dyDescent="0.8">
      <c r="A1139" s="247">
        <v>36411</v>
      </c>
      <c r="B1139" s="248" t="s">
        <v>1491</v>
      </c>
      <c r="C1139" s="249" t="s">
        <v>1424</v>
      </c>
      <c r="D1139" s="245">
        <v>0</v>
      </c>
      <c r="H1139" s="245">
        <v>0</v>
      </c>
      <c r="I1139" s="245">
        <v>10.404797</v>
      </c>
      <c r="J1139" s="245">
        <v>0</v>
      </c>
      <c r="K1139" s="245">
        <v>0</v>
      </c>
      <c r="L1139" s="245">
        <v>0</v>
      </c>
      <c r="M1139" s="245">
        <v>0</v>
      </c>
      <c r="N1139" s="245">
        <v>0</v>
      </c>
      <c r="O1139" s="245" t="s">
        <v>1304</v>
      </c>
      <c r="P1139" s="245" t="s">
        <v>1492</v>
      </c>
      <c r="Q1139" s="245" t="s">
        <v>1371</v>
      </c>
      <c r="R1139" s="246" t="s">
        <v>677</v>
      </c>
    </row>
    <row r="1140" spans="1:18" ht="52" x14ac:dyDescent="0.8">
      <c r="A1140" s="247">
        <v>36412</v>
      </c>
      <c r="B1140" s="248" t="s">
        <v>1493</v>
      </c>
      <c r="C1140" s="249" t="s">
        <v>1424</v>
      </c>
      <c r="D1140" s="245">
        <v>0</v>
      </c>
      <c r="E1140" s="245">
        <v>24</v>
      </c>
      <c r="H1140" s="245">
        <v>24</v>
      </c>
      <c r="I1140" s="245">
        <v>10.404797</v>
      </c>
      <c r="J1140" s="245">
        <v>0</v>
      </c>
      <c r="K1140" s="245">
        <v>249.71512799999999</v>
      </c>
      <c r="L1140" s="245">
        <v>0</v>
      </c>
      <c r="M1140" s="245">
        <v>0</v>
      </c>
      <c r="N1140" s="245">
        <v>249.71512799999999</v>
      </c>
      <c r="O1140" s="245" t="s">
        <v>1304</v>
      </c>
      <c r="P1140" s="245" t="s">
        <v>1494</v>
      </c>
      <c r="Q1140" s="245" t="s">
        <v>1371</v>
      </c>
      <c r="R1140" s="246" t="s">
        <v>677</v>
      </c>
    </row>
    <row r="1141" spans="1:18" ht="52" hidden="1" x14ac:dyDescent="0.8">
      <c r="A1141" s="247">
        <v>36412</v>
      </c>
      <c r="B1141" s="248" t="s">
        <v>1493</v>
      </c>
      <c r="C1141" s="249" t="s">
        <v>1424</v>
      </c>
      <c r="D1141" s="245">
        <v>0</v>
      </c>
      <c r="E1141" s="245">
        <v>96</v>
      </c>
      <c r="H1141" s="245">
        <v>96</v>
      </c>
      <c r="I1141" s="245">
        <v>10.404797</v>
      </c>
      <c r="J1141" s="245">
        <v>0</v>
      </c>
      <c r="K1141" s="245">
        <v>998.86051199999997</v>
      </c>
      <c r="L1141" s="245">
        <v>0</v>
      </c>
      <c r="M1141" s="245">
        <v>0</v>
      </c>
      <c r="N1141" s="245">
        <v>998.86051199999997</v>
      </c>
      <c r="O1141" s="245" t="s">
        <v>169</v>
      </c>
      <c r="P1141" s="245" t="s">
        <v>1494</v>
      </c>
      <c r="Q1141" s="245" t="s">
        <v>1371</v>
      </c>
      <c r="R1141" s="246" t="s">
        <v>677</v>
      </c>
    </row>
    <row r="1142" spans="1:18" ht="39" hidden="1" x14ac:dyDescent="0.8">
      <c r="A1142" s="247">
        <v>36413</v>
      </c>
      <c r="B1142" s="248" t="s">
        <v>1495</v>
      </c>
      <c r="D1142" s="245">
        <v>0</v>
      </c>
      <c r="E1142" s="245">
        <v>1</v>
      </c>
      <c r="H1142" s="245">
        <v>1</v>
      </c>
      <c r="I1142" s="245">
        <v>0</v>
      </c>
      <c r="J1142" s="245">
        <v>0</v>
      </c>
      <c r="K1142" s="245">
        <v>0</v>
      </c>
      <c r="L1142" s="245">
        <v>0</v>
      </c>
      <c r="M1142" s="245">
        <v>0</v>
      </c>
      <c r="O1142" s="245" t="s">
        <v>56</v>
      </c>
      <c r="R1142" s="246" t="s">
        <v>677</v>
      </c>
    </row>
    <row r="1143" spans="1:18" ht="39" x14ac:dyDescent="0.8">
      <c r="A1143" s="247">
        <v>3642</v>
      </c>
      <c r="B1143" s="248" t="s">
        <v>1496</v>
      </c>
      <c r="D1143" s="245">
        <v>0</v>
      </c>
      <c r="R1143" s="246" t="s">
        <v>677</v>
      </c>
    </row>
    <row r="1144" spans="1:18" ht="52" hidden="1" x14ac:dyDescent="0.8">
      <c r="A1144" s="247">
        <v>36421</v>
      </c>
      <c r="B1144" s="248" t="s">
        <v>1497</v>
      </c>
      <c r="C1144" s="249" t="s">
        <v>646</v>
      </c>
      <c r="D1144" s="245">
        <v>0</v>
      </c>
      <c r="F1144" s="245">
        <v>80</v>
      </c>
      <c r="H1144" s="245">
        <v>80</v>
      </c>
      <c r="I1144" s="245">
        <v>10.404797</v>
      </c>
      <c r="J1144" s="245">
        <v>0</v>
      </c>
      <c r="K1144" s="245">
        <v>0</v>
      </c>
      <c r="L1144" s="245">
        <v>832.38376000000005</v>
      </c>
      <c r="M1144" s="245">
        <v>0</v>
      </c>
      <c r="N1144" s="245">
        <v>832.38376000000005</v>
      </c>
      <c r="O1144" s="245" t="s">
        <v>169</v>
      </c>
      <c r="P1144" s="245" t="s">
        <v>142</v>
      </c>
      <c r="Q1144" s="245" t="s">
        <v>1371</v>
      </c>
      <c r="R1144" s="246" t="s">
        <v>677</v>
      </c>
    </row>
    <row r="1145" spans="1:18" ht="26" x14ac:dyDescent="0.8">
      <c r="A1145" s="247">
        <v>36422</v>
      </c>
      <c r="B1145" s="248" t="s">
        <v>1498</v>
      </c>
      <c r="C1145" s="249" t="s">
        <v>66</v>
      </c>
      <c r="D1145" s="245">
        <v>0</v>
      </c>
      <c r="F1145" s="245">
        <v>100</v>
      </c>
      <c r="H1145" s="245">
        <v>100</v>
      </c>
      <c r="I1145" s="245">
        <v>0.255</v>
      </c>
      <c r="J1145" s="245">
        <v>0</v>
      </c>
      <c r="K1145" s="245">
        <v>0</v>
      </c>
      <c r="L1145" s="245">
        <v>25.5</v>
      </c>
      <c r="M1145" s="245">
        <v>0</v>
      </c>
      <c r="N1145" s="245">
        <v>25.5</v>
      </c>
      <c r="O1145" s="245" t="s">
        <v>118</v>
      </c>
      <c r="P1145" s="245" t="s">
        <v>96</v>
      </c>
      <c r="Q1145" s="245" t="s">
        <v>1500</v>
      </c>
      <c r="R1145" s="246" t="s">
        <v>677</v>
      </c>
    </row>
    <row r="1146" spans="1:18" ht="26" x14ac:dyDescent="0.8">
      <c r="A1146" s="247">
        <v>3643</v>
      </c>
      <c r="B1146" s="248" t="s">
        <v>1501</v>
      </c>
      <c r="D1146" s="245">
        <v>0</v>
      </c>
      <c r="R1146" s="246" t="s">
        <v>677</v>
      </c>
    </row>
    <row r="1147" spans="1:18" ht="26" x14ac:dyDescent="0.8">
      <c r="A1147" s="247">
        <v>36431</v>
      </c>
      <c r="B1147" s="248" t="s">
        <v>1502</v>
      </c>
      <c r="C1147" s="249" t="s">
        <v>646</v>
      </c>
      <c r="D1147" s="245">
        <v>0</v>
      </c>
      <c r="H1147" s="245">
        <v>0</v>
      </c>
      <c r="I1147" s="245">
        <v>10.404797</v>
      </c>
      <c r="J1147" s="245">
        <v>0</v>
      </c>
      <c r="K1147" s="245">
        <v>0</v>
      </c>
      <c r="L1147" s="245">
        <v>0</v>
      </c>
      <c r="M1147" s="245">
        <v>0</v>
      </c>
      <c r="N1147" s="245">
        <v>0</v>
      </c>
      <c r="O1147" s="245" t="s">
        <v>1304</v>
      </c>
      <c r="P1147" s="245" t="s">
        <v>1494</v>
      </c>
      <c r="Q1147" s="245" t="s">
        <v>100</v>
      </c>
      <c r="R1147" s="246" t="s">
        <v>677</v>
      </c>
    </row>
    <row r="1148" spans="1:18" ht="26" hidden="1" x14ac:dyDescent="0.8">
      <c r="A1148" s="247">
        <v>36432</v>
      </c>
      <c r="B1148" s="248" t="s">
        <v>1503</v>
      </c>
      <c r="C1148" s="249" t="s">
        <v>646</v>
      </c>
      <c r="D1148" s="245">
        <v>0</v>
      </c>
      <c r="E1148" s="245">
        <v>30</v>
      </c>
      <c r="H1148" s="245">
        <v>30</v>
      </c>
      <c r="I1148" s="245">
        <v>10.404797</v>
      </c>
      <c r="J1148" s="245">
        <v>0</v>
      </c>
      <c r="K1148" s="245">
        <v>312.14391000000001</v>
      </c>
      <c r="L1148" s="245">
        <v>0</v>
      </c>
      <c r="M1148" s="245">
        <v>0</v>
      </c>
      <c r="N1148" s="245">
        <v>312.14391000000001</v>
      </c>
      <c r="O1148" s="245" t="s">
        <v>169</v>
      </c>
      <c r="P1148" s="245" t="s">
        <v>142</v>
      </c>
      <c r="Q1148" s="245" t="s">
        <v>1504</v>
      </c>
      <c r="R1148" s="246" t="s">
        <v>677</v>
      </c>
    </row>
    <row r="1149" spans="1:18" hidden="1" x14ac:dyDescent="0.8">
      <c r="A1149" s="247">
        <v>36433</v>
      </c>
      <c r="B1149" s="248" t="s">
        <v>1505</v>
      </c>
      <c r="C1149" s="249" t="s">
        <v>38</v>
      </c>
      <c r="D1149" s="245">
        <v>0</v>
      </c>
      <c r="E1149" s="245">
        <v>135</v>
      </c>
      <c r="H1149" s="245">
        <v>135</v>
      </c>
      <c r="I1149" s="245">
        <v>0.3133333333333333</v>
      </c>
      <c r="J1149" s="245">
        <v>0</v>
      </c>
      <c r="K1149" s="245">
        <v>42.3</v>
      </c>
      <c r="L1149" s="245">
        <v>0</v>
      </c>
      <c r="M1149" s="245">
        <v>0</v>
      </c>
      <c r="N1149" s="245">
        <v>42.3</v>
      </c>
      <c r="O1149" s="245" t="s">
        <v>169</v>
      </c>
      <c r="P1149" s="245" t="s">
        <v>142</v>
      </c>
      <c r="Q1149" s="245" t="s">
        <v>1504</v>
      </c>
      <c r="R1149" s="246" t="s">
        <v>677</v>
      </c>
    </row>
    <row r="1150" spans="1:18" ht="16.899999999999999" hidden="1" customHeight="1" x14ac:dyDescent="0.8">
      <c r="A1150" s="247">
        <v>36434</v>
      </c>
      <c r="B1150" s="248" t="s">
        <v>1506</v>
      </c>
      <c r="C1150" s="249" t="s">
        <v>970</v>
      </c>
      <c r="D1150" s="245">
        <v>0</v>
      </c>
      <c r="F1150" s="245">
        <v>51</v>
      </c>
      <c r="H1150" s="245">
        <v>51</v>
      </c>
      <c r="I1150" s="245">
        <v>10.034934666666667</v>
      </c>
      <c r="J1150" s="245">
        <v>0</v>
      </c>
      <c r="K1150" s="245">
        <v>0</v>
      </c>
      <c r="L1150" s="245">
        <v>511.78166799999997</v>
      </c>
      <c r="M1150" s="245">
        <v>0</v>
      </c>
      <c r="N1150" s="245">
        <v>511.78166799999997</v>
      </c>
      <c r="O1150" s="245" t="s">
        <v>56</v>
      </c>
      <c r="P1150" s="245" t="s">
        <v>521</v>
      </c>
      <c r="Q1150" s="245" t="s">
        <v>142</v>
      </c>
      <c r="R1150" s="246" t="s">
        <v>677</v>
      </c>
    </row>
    <row r="1151" spans="1:18" hidden="1" x14ac:dyDescent="0.8">
      <c r="A1151" s="247">
        <v>36435</v>
      </c>
      <c r="B1151" s="248" t="s">
        <v>1507</v>
      </c>
      <c r="C1151" s="249" t="s">
        <v>1509</v>
      </c>
      <c r="D1151" s="245">
        <v>0</v>
      </c>
      <c r="F1151" s="245">
        <v>51</v>
      </c>
      <c r="H1151" s="245">
        <v>51</v>
      </c>
      <c r="I1151" s="245">
        <v>0.48333333333333334</v>
      </c>
      <c r="J1151" s="245">
        <v>0</v>
      </c>
      <c r="K1151" s="245">
        <v>0</v>
      </c>
      <c r="L1151" s="245">
        <v>24.65</v>
      </c>
      <c r="M1151" s="245">
        <v>0</v>
      </c>
      <c r="N1151" s="245">
        <v>24.65</v>
      </c>
      <c r="O1151" s="245" t="s">
        <v>56</v>
      </c>
      <c r="P1151" s="245" t="s">
        <v>521</v>
      </c>
      <c r="Q1151" s="245" t="s">
        <v>1510</v>
      </c>
      <c r="R1151" s="246" t="s">
        <v>677</v>
      </c>
    </row>
    <row r="1152" spans="1:18" ht="26" hidden="1" x14ac:dyDescent="0.8">
      <c r="A1152" s="247">
        <v>36436</v>
      </c>
      <c r="B1152" s="248" t="s">
        <v>1511</v>
      </c>
      <c r="C1152" s="249" t="s">
        <v>55</v>
      </c>
      <c r="D1152" s="245">
        <v>0</v>
      </c>
      <c r="F1152" s="245">
        <v>1</v>
      </c>
      <c r="G1152" s="245">
        <v>1</v>
      </c>
      <c r="H1152" s="245">
        <v>2</v>
      </c>
      <c r="I1152" s="245">
        <v>0</v>
      </c>
      <c r="J1152" s="245">
        <v>0</v>
      </c>
      <c r="K1152" s="245">
        <v>0</v>
      </c>
      <c r="L1152" s="245">
        <v>0</v>
      </c>
      <c r="M1152" s="245">
        <v>0</v>
      </c>
      <c r="O1152" s="245" t="s">
        <v>56</v>
      </c>
      <c r="P1152" s="245" t="s">
        <v>142</v>
      </c>
      <c r="Q1152" s="245" t="s">
        <v>1512</v>
      </c>
      <c r="R1152" s="246" t="s">
        <v>677</v>
      </c>
    </row>
    <row r="1153" spans="1:18" ht="39" hidden="1" x14ac:dyDescent="0.8">
      <c r="A1153" s="247">
        <v>36437</v>
      </c>
      <c r="B1153" s="248" t="s">
        <v>1513</v>
      </c>
      <c r="C1153" s="249" t="s">
        <v>980</v>
      </c>
      <c r="D1153" s="245">
        <v>0</v>
      </c>
      <c r="E1153" s="245">
        <v>2</v>
      </c>
      <c r="F1153" s="245">
        <v>2</v>
      </c>
      <c r="G1153" s="245">
        <v>1</v>
      </c>
      <c r="H1153" s="245">
        <v>5</v>
      </c>
      <c r="I1153" s="245">
        <v>300</v>
      </c>
      <c r="J1153" s="245">
        <v>0</v>
      </c>
      <c r="K1153" s="245">
        <v>600</v>
      </c>
      <c r="L1153" s="245">
        <v>600</v>
      </c>
      <c r="M1153" s="245">
        <v>300</v>
      </c>
      <c r="N1153" s="245">
        <v>1500</v>
      </c>
      <c r="O1153" s="245" t="s">
        <v>56</v>
      </c>
      <c r="P1153" s="245" t="s">
        <v>521</v>
      </c>
      <c r="Q1153" s="245" t="s">
        <v>1515</v>
      </c>
      <c r="R1153" s="246" t="s">
        <v>677</v>
      </c>
    </row>
    <row r="1154" spans="1:18" ht="39" x14ac:dyDescent="0.8">
      <c r="A1154" s="247">
        <v>36437</v>
      </c>
      <c r="B1154" s="248" t="s">
        <v>1513</v>
      </c>
      <c r="C1154" s="249" t="s">
        <v>980</v>
      </c>
      <c r="D1154" s="245">
        <v>0</v>
      </c>
      <c r="E1154" s="245">
        <v>2</v>
      </c>
      <c r="F1154" s="245">
        <v>2</v>
      </c>
      <c r="G1154" s="245">
        <v>1</v>
      </c>
      <c r="H1154" s="245">
        <v>5</v>
      </c>
      <c r="I1154" s="245">
        <v>300</v>
      </c>
      <c r="J1154" s="245">
        <v>0</v>
      </c>
      <c r="K1154" s="245">
        <v>600</v>
      </c>
      <c r="L1154" s="245">
        <v>600</v>
      </c>
      <c r="M1154" s="245">
        <v>300</v>
      </c>
      <c r="N1154" s="245">
        <v>1500</v>
      </c>
      <c r="O1154" s="245" t="s">
        <v>118</v>
      </c>
      <c r="P1154" s="245" t="s">
        <v>521</v>
      </c>
      <c r="Q1154" s="245" t="s">
        <v>1515</v>
      </c>
      <c r="R1154" s="246" t="s">
        <v>677</v>
      </c>
    </row>
    <row r="1155" spans="1:18" hidden="1" x14ac:dyDescent="0.8">
      <c r="A1155" s="247">
        <v>36438</v>
      </c>
      <c r="B1155" s="248" t="s">
        <v>1516</v>
      </c>
      <c r="C1155" s="249" t="s">
        <v>1517</v>
      </c>
      <c r="D1155" s="245">
        <v>0</v>
      </c>
      <c r="F1155" s="245">
        <v>4</v>
      </c>
      <c r="G1155" s="245">
        <v>4</v>
      </c>
      <c r="H1155" s="245">
        <v>8</v>
      </c>
      <c r="I1155" s="245">
        <v>173.22474299999999</v>
      </c>
      <c r="J1155" s="245">
        <v>0</v>
      </c>
      <c r="K1155" s="245">
        <v>0</v>
      </c>
      <c r="L1155" s="245">
        <v>692.89897199999996</v>
      </c>
      <c r="M1155" s="245">
        <v>692.89897199999996</v>
      </c>
      <c r="N1155" s="245">
        <v>1385.7979439999999</v>
      </c>
      <c r="O1155" s="245" t="s">
        <v>56</v>
      </c>
      <c r="P1155" s="245" t="s">
        <v>521</v>
      </c>
      <c r="Q1155" s="245" t="s">
        <v>1518</v>
      </c>
      <c r="R1155" s="246" t="s">
        <v>677</v>
      </c>
    </row>
    <row r="1156" spans="1:18" hidden="1" x14ac:dyDescent="0.8">
      <c r="A1156" s="247">
        <v>36439</v>
      </c>
      <c r="B1156" s="248" t="s">
        <v>1519</v>
      </c>
      <c r="C1156" s="249" t="s">
        <v>1521</v>
      </c>
      <c r="D1156" s="245">
        <v>0</v>
      </c>
      <c r="G1156" s="245">
        <v>4</v>
      </c>
      <c r="H1156" s="245">
        <v>4</v>
      </c>
      <c r="I1156" s="245">
        <v>610.48388699999998</v>
      </c>
      <c r="J1156" s="245">
        <v>0</v>
      </c>
      <c r="K1156" s="245">
        <v>0</v>
      </c>
      <c r="L1156" s="245">
        <v>0</v>
      </c>
      <c r="M1156" s="245">
        <v>2441.9355479999999</v>
      </c>
      <c r="N1156" s="245">
        <v>2441.9355479999999</v>
      </c>
      <c r="O1156" s="245" t="s">
        <v>56</v>
      </c>
      <c r="P1156" s="245" t="s">
        <v>521</v>
      </c>
      <c r="Q1156" s="245" t="s">
        <v>1522</v>
      </c>
      <c r="R1156" s="246" t="s">
        <v>677</v>
      </c>
    </row>
    <row r="1157" spans="1:18" ht="39" x14ac:dyDescent="0.8">
      <c r="A1157" s="247">
        <v>3644</v>
      </c>
      <c r="B1157" s="248" t="s">
        <v>1523</v>
      </c>
      <c r="D1157" s="245">
        <v>0</v>
      </c>
      <c r="R1157" s="246" t="s">
        <v>677</v>
      </c>
    </row>
    <row r="1158" spans="1:18" ht="39" hidden="1" x14ac:dyDescent="0.8">
      <c r="A1158" s="247">
        <v>36441</v>
      </c>
      <c r="B1158" s="248" t="s">
        <v>1524</v>
      </c>
      <c r="C1158" s="249" t="s">
        <v>55</v>
      </c>
      <c r="D1158" s="245">
        <v>0</v>
      </c>
      <c r="F1158" s="245">
        <v>1</v>
      </c>
      <c r="H1158" s="245">
        <v>1</v>
      </c>
      <c r="I1158" s="245">
        <v>0</v>
      </c>
      <c r="J1158" s="245">
        <v>0</v>
      </c>
      <c r="K1158" s="245">
        <v>0</v>
      </c>
      <c r="L1158" s="245">
        <v>0</v>
      </c>
      <c r="M1158" s="245">
        <v>0</v>
      </c>
      <c r="O1158" s="245" t="s">
        <v>56</v>
      </c>
      <c r="P1158" s="245" t="s">
        <v>142</v>
      </c>
      <c r="Q1158" s="245" t="s">
        <v>1334</v>
      </c>
      <c r="R1158" s="246" t="s">
        <v>677</v>
      </c>
    </row>
    <row r="1159" spans="1:18" ht="26" hidden="1" x14ac:dyDescent="0.8">
      <c r="A1159" s="247">
        <v>36442</v>
      </c>
      <c r="B1159" s="248" t="s">
        <v>1525</v>
      </c>
      <c r="C1159" s="249" t="s">
        <v>66</v>
      </c>
      <c r="D1159" s="245">
        <v>0</v>
      </c>
      <c r="F1159" s="245">
        <v>75</v>
      </c>
      <c r="H1159" s="245">
        <v>75</v>
      </c>
      <c r="I1159" s="245">
        <v>0.255</v>
      </c>
      <c r="J1159" s="245">
        <v>0</v>
      </c>
      <c r="K1159" s="245">
        <v>0</v>
      </c>
      <c r="L1159" s="245">
        <v>19.125</v>
      </c>
      <c r="M1159" s="245">
        <v>0</v>
      </c>
      <c r="N1159" s="245">
        <v>19.125</v>
      </c>
      <c r="O1159" s="245" t="s">
        <v>56</v>
      </c>
      <c r="P1159" s="245" t="s">
        <v>1334</v>
      </c>
      <c r="Q1159" s="245" t="s">
        <v>1162</v>
      </c>
      <c r="R1159" s="246" t="s">
        <v>677</v>
      </c>
    </row>
    <row r="1160" spans="1:18" ht="39" hidden="1" x14ac:dyDescent="0.8">
      <c r="A1160" s="247">
        <v>36443</v>
      </c>
      <c r="B1160" s="248" t="s">
        <v>1527</v>
      </c>
      <c r="C1160" s="249" t="s">
        <v>662</v>
      </c>
      <c r="D1160" s="245">
        <v>0</v>
      </c>
      <c r="E1160" s="245">
        <v>18</v>
      </c>
      <c r="H1160" s="245">
        <v>18</v>
      </c>
      <c r="I1160" s="245">
        <v>219.54797350000001</v>
      </c>
      <c r="J1160" s="245">
        <v>0</v>
      </c>
      <c r="K1160" s="245">
        <v>3951.863523</v>
      </c>
      <c r="L1160" s="245">
        <v>0</v>
      </c>
      <c r="M1160" s="245">
        <v>0</v>
      </c>
      <c r="N1160" s="245">
        <v>3951.863523</v>
      </c>
      <c r="O1160" s="245" t="s">
        <v>169</v>
      </c>
      <c r="P1160" s="245" t="s">
        <v>1528</v>
      </c>
      <c r="Q1160" s="245" t="s">
        <v>1529</v>
      </c>
      <c r="R1160" s="246" t="s">
        <v>677</v>
      </c>
    </row>
    <row r="1161" spans="1:18" hidden="1" x14ac:dyDescent="0.8">
      <c r="A1161" s="247">
        <v>36444</v>
      </c>
      <c r="B1161" s="248" t="s">
        <v>1530</v>
      </c>
      <c r="D1161" s="245">
        <v>0</v>
      </c>
      <c r="I1161" s="245">
        <v>0</v>
      </c>
      <c r="O1161" s="245" t="s">
        <v>56</v>
      </c>
      <c r="P1161" s="245" t="s">
        <v>1528</v>
      </c>
      <c r="Q1161" s="245" t="s">
        <v>1529</v>
      </c>
      <c r="R1161" s="246" t="s">
        <v>677</v>
      </c>
    </row>
    <row r="1162" spans="1:18" hidden="1" x14ac:dyDescent="0.8">
      <c r="A1162" s="247">
        <v>36445</v>
      </c>
      <c r="B1162" s="248" t="s">
        <v>1531</v>
      </c>
      <c r="C1162" s="249" t="s">
        <v>301</v>
      </c>
      <c r="D1162" s="245">
        <v>0</v>
      </c>
      <c r="E1162" s="245">
        <v>180</v>
      </c>
      <c r="H1162" s="245">
        <v>180</v>
      </c>
      <c r="I1162" s="245">
        <v>0.67666666666666664</v>
      </c>
      <c r="J1162" s="245">
        <v>0</v>
      </c>
      <c r="K1162" s="245">
        <v>121.8</v>
      </c>
      <c r="L1162" s="245">
        <v>0</v>
      </c>
      <c r="M1162" s="245">
        <v>0</v>
      </c>
      <c r="N1162" s="245">
        <v>121.8</v>
      </c>
      <c r="O1162" s="245" t="s">
        <v>56</v>
      </c>
      <c r="P1162" s="245" t="s">
        <v>1528</v>
      </c>
      <c r="Q1162" s="245" t="s">
        <v>1529</v>
      </c>
      <c r="R1162" s="246" t="s">
        <v>677</v>
      </c>
    </row>
    <row r="1163" spans="1:18" ht="26" hidden="1" x14ac:dyDescent="0.8">
      <c r="A1163" s="247">
        <v>36446</v>
      </c>
      <c r="B1163" s="248" t="s">
        <v>1532</v>
      </c>
      <c r="C1163" s="249" t="s">
        <v>59</v>
      </c>
      <c r="D1163" s="245">
        <v>0</v>
      </c>
      <c r="E1163" s="245">
        <v>320</v>
      </c>
      <c r="F1163" s="245">
        <v>320</v>
      </c>
      <c r="G1163" s="245">
        <v>320</v>
      </c>
      <c r="H1163" s="245">
        <v>960</v>
      </c>
      <c r="I1163" s="245">
        <v>0.8177777777777776</v>
      </c>
      <c r="J1163" s="245">
        <v>0</v>
      </c>
      <c r="K1163" s="245">
        <v>261.68888888888881</v>
      </c>
      <c r="L1163" s="245">
        <v>261.68888888888881</v>
      </c>
      <c r="M1163" s="245">
        <v>261.68888888888881</v>
      </c>
      <c r="N1163" s="245">
        <v>785.06666666666638</v>
      </c>
      <c r="O1163" s="245" t="s">
        <v>56</v>
      </c>
      <c r="P1163" s="245" t="s">
        <v>1528</v>
      </c>
      <c r="Q1163" s="245" t="s">
        <v>1528</v>
      </c>
      <c r="R1163" s="246" t="s">
        <v>677</v>
      </c>
    </row>
    <row r="1164" spans="1:18" ht="26" hidden="1" x14ac:dyDescent="0.8">
      <c r="A1164" s="247">
        <v>36447</v>
      </c>
      <c r="B1164" s="248" t="s">
        <v>1533</v>
      </c>
      <c r="C1164" s="249" t="s">
        <v>59</v>
      </c>
      <c r="D1164" s="245">
        <v>0</v>
      </c>
      <c r="E1164" s="245">
        <v>160</v>
      </c>
      <c r="F1164" s="245">
        <v>160</v>
      </c>
      <c r="G1164" s="245">
        <v>160</v>
      </c>
      <c r="H1164" s="245">
        <v>480</v>
      </c>
      <c r="I1164" s="245">
        <v>0.8177777777777776</v>
      </c>
      <c r="J1164" s="245">
        <v>0</v>
      </c>
      <c r="K1164" s="245">
        <v>130.84444444444441</v>
      </c>
      <c r="L1164" s="245">
        <v>130.84444444444441</v>
      </c>
      <c r="M1164" s="245">
        <v>130.84444444444441</v>
      </c>
      <c r="N1164" s="245">
        <v>392.53333333333319</v>
      </c>
      <c r="O1164" s="245" t="s">
        <v>56</v>
      </c>
      <c r="P1164" s="245" t="s">
        <v>1528</v>
      </c>
      <c r="Q1164" s="245" t="s">
        <v>1162</v>
      </c>
      <c r="R1164" s="246" t="s">
        <v>677</v>
      </c>
    </row>
    <row r="1165" spans="1:18" ht="26" x14ac:dyDescent="0.8">
      <c r="A1165" s="247">
        <v>365</v>
      </c>
      <c r="B1165" s="248" t="s">
        <v>1534</v>
      </c>
      <c r="D1165" s="245">
        <v>0</v>
      </c>
      <c r="R1165" s="246" t="s">
        <v>677</v>
      </c>
    </row>
    <row r="1166" spans="1:18" ht="26" x14ac:dyDescent="0.8">
      <c r="A1166" s="247">
        <v>3651</v>
      </c>
      <c r="B1166" s="248" t="s">
        <v>1535</v>
      </c>
      <c r="D1166" s="245">
        <v>0</v>
      </c>
      <c r="R1166" s="246" t="s">
        <v>677</v>
      </c>
    </row>
    <row r="1167" spans="1:18" ht="26" hidden="1" x14ac:dyDescent="0.8">
      <c r="A1167" s="247">
        <v>36511</v>
      </c>
      <c r="B1167" s="248" t="s">
        <v>1536</v>
      </c>
      <c r="C1167" s="249" t="s">
        <v>646</v>
      </c>
      <c r="D1167" s="245">
        <v>0</v>
      </c>
      <c r="E1167" s="245">
        <v>45</v>
      </c>
      <c r="H1167" s="245">
        <v>45</v>
      </c>
      <c r="I1167" s="245">
        <v>10.404797</v>
      </c>
      <c r="J1167" s="245">
        <v>0</v>
      </c>
      <c r="K1167" s="245">
        <v>468.21586500000001</v>
      </c>
      <c r="L1167" s="245">
        <v>0</v>
      </c>
      <c r="M1167" s="245">
        <v>0</v>
      </c>
      <c r="N1167" s="245">
        <v>468.21586500000001</v>
      </c>
      <c r="O1167" s="245" t="s">
        <v>169</v>
      </c>
      <c r="P1167" s="245" t="s">
        <v>96</v>
      </c>
      <c r="Q1167" s="245" t="s">
        <v>1371</v>
      </c>
      <c r="R1167" s="246" t="s">
        <v>677</v>
      </c>
    </row>
    <row r="1168" spans="1:18" hidden="1" x14ac:dyDescent="0.8">
      <c r="A1168" s="247">
        <v>36512</v>
      </c>
      <c r="B1168" s="248" t="s">
        <v>1537</v>
      </c>
      <c r="C1168" s="249" t="s">
        <v>38</v>
      </c>
      <c r="D1168" s="245">
        <v>0</v>
      </c>
      <c r="E1168" s="245">
        <v>60</v>
      </c>
      <c r="H1168" s="245">
        <v>60</v>
      </c>
      <c r="I1168" s="245">
        <v>0.3133333333333333</v>
      </c>
      <c r="J1168" s="245">
        <v>0</v>
      </c>
      <c r="K1168" s="245">
        <v>18.799999999999997</v>
      </c>
      <c r="L1168" s="245">
        <v>0</v>
      </c>
      <c r="M1168" s="245">
        <v>0</v>
      </c>
      <c r="N1168" s="245">
        <v>18.799999999999997</v>
      </c>
      <c r="O1168" s="245" t="s">
        <v>169</v>
      </c>
      <c r="P1168" s="245" t="s">
        <v>96</v>
      </c>
      <c r="Q1168" s="245" t="s">
        <v>1334</v>
      </c>
      <c r="R1168" s="246" t="s">
        <v>677</v>
      </c>
    </row>
    <row r="1169" spans="1:18" hidden="1" x14ac:dyDescent="0.8">
      <c r="A1169" s="247">
        <v>36513</v>
      </c>
      <c r="B1169" s="248" t="s">
        <v>1538</v>
      </c>
      <c r="C1169" s="249" t="s">
        <v>38</v>
      </c>
      <c r="D1169" s="245">
        <v>0</v>
      </c>
      <c r="F1169" s="245">
        <v>60</v>
      </c>
      <c r="H1169" s="245">
        <v>60</v>
      </c>
      <c r="I1169" s="245">
        <v>0.3133333333333333</v>
      </c>
      <c r="J1169" s="245">
        <v>0</v>
      </c>
      <c r="K1169" s="245">
        <v>0</v>
      </c>
      <c r="L1169" s="245">
        <v>18.799999999999997</v>
      </c>
      <c r="M1169" s="245">
        <v>0</v>
      </c>
      <c r="N1169" s="245">
        <v>18.799999999999997</v>
      </c>
      <c r="O1169" s="245" t="s">
        <v>169</v>
      </c>
      <c r="P1169" s="245" t="s">
        <v>96</v>
      </c>
      <c r="Q1169" s="245" t="s">
        <v>1334</v>
      </c>
      <c r="R1169" s="246" t="s">
        <v>677</v>
      </c>
    </row>
    <row r="1170" spans="1:18" x14ac:dyDescent="0.8">
      <c r="A1170" s="247">
        <v>3652</v>
      </c>
      <c r="B1170" s="248" t="s">
        <v>1539</v>
      </c>
      <c r="D1170" s="245">
        <v>0</v>
      </c>
      <c r="R1170" s="246" t="s">
        <v>677</v>
      </c>
    </row>
    <row r="1171" spans="1:18" hidden="1" x14ac:dyDescent="0.8">
      <c r="B1171" s="248" t="s">
        <v>1540</v>
      </c>
      <c r="D1171" s="245">
        <v>0</v>
      </c>
      <c r="O1171" s="245" t="s">
        <v>56</v>
      </c>
      <c r="R1171" s="246" t="s">
        <v>677</v>
      </c>
    </row>
    <row r="1172" spans="1:18" x14ac:dyDescent="0.8">
      <c r="A1172" s="247">
        <v>366</v>
      </c>
      <c r="B1172" s="248" t="s">
        <v>1541</v>
      </c>
      <c r="D1172" s="245">
        <v>0</v>
      </c>
      <c r="R1172" s="246" t="s">
        <v>677</v>
      </c>
    </row>
    <row r="1173" spans="1:18" ht="26" x14ac:dyDescent="0.8">
      <c r="A1173" s="247">
        <v>3661</v>
      </c>
      <c r="B1173" s="248" t="s">
        <v>1542</v>
      </c>
      <c r="D1173" s="245">
        <v>0</v>
      </c>
      <c r="R1173" s="246" t="s">
        <v>677</v>
      </c>
    </row>
    <row r="1174" spans="1:18" ht="26" hidden="1" x14ac:dyDescent="0.8">
      <c r="A1174" s="247">
        <v>36611</v>
      </c>
      <c r="B1174" s="248" t="s">
        <v>1543</v>
      </c>
      <c r="C1174" s="249" t="s">
        <v>55</v>
      </c>
      <c r="D1174" s="245">
        <v>0</v>
      </c>
      <c r="E1174" s="245">
        <v>1</v>
      </c>
      <c r="F1174" s="245">
        <v>1</v>
      </c>
      <c r="G1174" s="245">
        <v>1</v>
      </c>
      <c r="H1174" s="245">
        <v>3</v>
      </c>
      <c r="I1174" s="245">
        <v>0</v>
      </c>
      <c r="J1174" s="245">
        <v>0</v>
      </c>
      <c r="K1174" s="245">
        <v>0</v>
      </c>
      <c r="L1174" s="245">
        <v>0</v>
      </c>
      <c r="M1174" s="245">
        <v>0</v>
      </c>
      <c r="O1174" s="245" t="s">
        <v>56</v>
      </c>
      <c r="P1174" s="245" t="s">
        <v>1334</v>
      </c>
      <c r="Q1174" s="245" t="s">
        <v>1544</v>
      </c>
      <c r="R1174" s="246" t="s">
        <v>677</v>
      </c>
    </row>
    <row r="1175" spans="1:18" x14ac:dyDescent="0.8">
      <c r="A1175" s="247">
        <v>36612</v>
      </c>
      <c r="B1175" s="248" t="s">
        <v>1545</v>
      </c>
      <c r="C1175" s="249" t="s">
        <v>646</v>
      </c>
      <c r="D1175" s="245">
        <v>0</v>
      </c>
      <c r="E1175" s="245">
        <v>69.239999999999995</v>
      </c>
      <c r="F1175" s="245">
        <v>103.85999999999999</v>
      </c>
      <c r="H1175" s="245">
        <v>173.09999999999997</v>
      </c>
      <c r="I1175" s="245">
        <v>10.404797</v>
      </c>
      <c r="J1175" s="245">
        <v>0</v>
      </c>
      <c r="K1175" s="245">
        <v>720.42814427999997</v>
      </c>
      <c r="L1175" s="245">
        <v>1080.6422164199998</v>
      </c>
      <c r="M1175" s="245">
        <v>0</v>
      </c>
      <c r="N1175" s="245">
        <v>1801.0703606999998</v>
      </c>
      <c r="O1175" s="245" t="s">
        <v>1304</v>
      </c>
      <c r="P1175" s="245" t="s">
        <v>1546</v>
      </c>
      <c r="Q1175" s="245" t="s">
        <v>100</v>
      </c>
      <c r="R1175" s="246" t="s">
        <v>677</v>
      </c>
    </row>
    <row r="1176" spans="1:18" hidden="1" x14ac:dyDescent="0.8">
      <c r="A1176" s="247">
        <v>36612</v>
      </c>
      <c r="B1176" s="248" t="s">
        <v>1545</v>
      </c>
      <c r="C1176" s="249" t="s">
        <v>646</v>
      </c>
      <c r="D1176" s="245">
        <v>0</v>
      </c>
      <c r="E1176" s="245">
        <v>230.76</v>
      </c>
      <c r="F1176" s="245">
        <v>346.14</v>
      </c>
      <c r="H1176" s="245">
        <v>576.9</v>
      </c>
      <c r="I1176" s="245">
        <v>10.404797</v>
      </c>
      <c r="J1176" s="245">
        <v>0</v>
      </c>
      <c r="K1176" s="245">
        <v>2401.0109557199999</v>
      </c>
      <c r="L1176" s="245">
        <v>3601.51643358</v>
      </c>
      <c r="M1176" s="245">
        <v>0</v>
      </c>
      <c r="N1176" s="245">
        <v>6002.5273892999994</v>
      </c>
      <c r="O1176" s="245" t="s">
        <v>56</v>
      </c>
      <c r="P1176" s="245" t="s">
        <v>1546</v>
      </c>
      <c r="Q1176" s="245" t="s">
        <v>100</v>
      </c>
      <c r="R1176" s="246" t="s">
        <v>677</v>
      </c>
    </row>
    <row r="1177" spans="1:18" ht="26" hidden="1" x14ac:dyDescent="0.8">
      <c r="A1177" s="247">
        <v>36613</v>
      </c>
      <c r="B1177" s="248" t="s">
        <v>1547</v>
      </c>
      <c r="C1177" s="249" t="s">
        <v>55</v>
      </c>
      <c r="D1177" s="245">
        <v>0</v>
      </c>
      <c r="E1177" s="245">
        <v>1</v>
      </c>
      <c r="F1177" s="245">
        <v>1</v>
      </c>
      <c r="G1177" s="245">
        <v>1</v>
      </c>
      <c r="H1177" s="245">
        <v>3</v>
      </c>
      <c r="I1177" s="245">
        <v>0</v>
      </c>
      <c r="J1177" s="245">
        <v>0</v>
      </c>
      <c r="K1177" s="245">
        <v>0</v>
      </c>
      <c r="L1177" s="245">
        <v>0</v>
      </c>
      <c r="M1177" s="245">
        <v>0</v>
      </c>
      <c r="O1177" s="245" t="s">
        <v>56</v>
      </c>
      <c r="P1177" s="245" t="s">
        <v>1546</v>
      </c>
      <c r="Q1177" s="245" t="s">
        <v>1548</v>
      </c>
      <c r="R1177" s="246" t="s">
        <v>677</v>
      </c>
    </row>
    <row r="1178" spans="1:18" ht="26" hidden="1" x14ac:dyDescent="0.8">
      <c r="A1178" s="247">
        <v>36614</v>
      </c>
      <c r="B1178" s="248" t="s">
        <v>1549</v>
      </c>
      <c r="C1178" s="249" t="s">
        <v>55</v>
      </c>
      <c r="D1178" s="245">
        <v>0</v>
      </c>
      <c r="E1178" s="245">
        <v>1</v>
      </c>
      <c r="F1178" s="245">
        <v>1</v>
      </c>
      <c r="G1178" s="245">
        <v>1</v>
      </c>
      <c r="H1178" s="245">
        <v>3</v>
      </c>
      <c r="I1178" s="245">
        <v>0</v>
      </c>
      <c r="J1178" s="245">
        <v>0</v>
      </c>
      <c r="K1178" s="245">
        <v>0</v>
      </c>
      <c r="L1178" s="245">
        <v>0</v>
      </c>
      <c r="M1178" s="245">
        <v>0</v>
      </c>
      <c r="O1178" s="245" t="s">
        <v>56</v>
      </c>
      <c r="P1178" s="245" t="s">
        <v>1334</v>
      </c>
      <c r="Q1178" s="245" t="s">
        <v>1548</v>
      </c>
      <c r="R1178" s="246" t="s">
        <v>677</v>
      </c>
    </row>
    <row r="1179" spans="1:18" ht="26" x14ac:dyDescent="0.8">
      <c r="A1179" s="247">
        <v>3662</v>
      </c>
      <c r="B1179" s="248" t="s">
        <v>1550</v>
      </c>
      <c r="D1179" s="245">
        <v>0</v>
      </c>
      <c r="R1179" s="246" t="s">
        <v>677</v>
      </c>
    </row>
    <row r="1180" spans="1:18" ht="26" x14ac:dyDescent="0.8">
      <c r="A1180" s="247">
        <v>36621</v>
      </c>
      <c r="B1180" s="248" t="s">
        <v>1551</v>
      </c>
      <c r="C1180" s="249" t="s">
        <v>301</v>
      </c>
      <c r="D1180" s="245">
        <v>0</v>
      </c>
      <c r="E1180" s="245">
        <v>120</v>
      </c>
      <c r="F1180" s="245">
        <v>120</v>
      </c>
      <c r="H1180" s="245">
        <v>240</v>
      </c>
      <c r="I1180" s="245">
        <v>0.67666666666666664</v>
      </c>
      <c r="J1180" s="245">
        <v>0</v>
      </c>
      <c r="K1180" s="245">
        <v>81.2</v>
      </c>
      <c r="L1180" s="245">
        <v>81.2</v>
      </c>
      <c r="M1180" s="245">
        <v>0</v>
      </c>
      <c r="N1180" s="245">
        <v>162.4</v>
      </c>
      <c r="O1180" s="245" t="s">
        <v>1304</v>
      </c>
      <c r="P1180" s="245" t="s">
        <v>1546</v>
      </c>
      <c r="Q1180" s="245" t="s">
        <v>1162</v>
      </c>
      <c r="R1180" s="246" t="s">
        <v>677</v>
      </c>
    </row>
    <row r="1181" spans="1:18" ht="26" x14ac:dyDescent="0.8">
      <c r="A1181" s="247">
        <v>36621</v>
      </c>
      <c r="B1181" s="248" t="s">
        <v>1551</v>
      </c>
      <c r="C1181" s="249" t="s">
        <v>301</v>
      </c>
      <c r="D1181" s="245">
        <v>0</v>
      </c>
      <c r="G1181" s="245">
        <v>120</v>
      </c>
      <c r="H1181" s="245">
        <v>120</v>
      </c>
      <c r="I1181" s="245">
        <v>0.67666666666666664</v>
      </c>
      <c r="J1181" s="245">
        <v>0</v>
      </c>
      <c r="K1181" s="245">
        <v>0</v>
      </c>
      <c r="L1181" s="245">
        <v>0</v>
      </c>
      <c r="M1181" s="245">
        <v>81.2</v>
      </c>
      <c r="N1181" s="245">
        <v>81.2</v>
      </c>
      <c r="O1181" s="245" t="s">
        <v>1276</v>
      </c>
      <c r="P1181" s="245" t="s">
        <v>1546</v>
      </c>
      <c r="Q1181" s="245" t="s">
        <v>1162</v>
      </c>
      <c r="R1181" s="246" t="s">
        <v>677</v>
      </c>
    </row>
    <row r="1182" spans="1:18" ht="26" hidden="1" x14ac:dyDescent="0.8">
      <c r="A1182" s="247">
        <v>36622</v>
      </c>
      <c r="B1182" s="248" t="s">
        <v>1552</v>
      </c>
      <c r="C1182" s="249" t="s">
        <v>55</v>
      </c>
      <c r="D1182" s="245">
        <v>0</v>
      </c>
      <c r="F1182" s="245">
        <v>1</v>
      </c>
      <c r="G1182" s="245">
        <v>1</v>
      </c>
      <c r="H1182" s="245">
        <v>2</v>
      </c>
      <c r="I1182" s="245">
        <v>0</v>
      </c>
      <c r="J1182" s="245">
        <v>0</v>
      </c>
      <c r="K1182" s="245">
        <v>0</v>
      </c>
      <c r="L1182" s="245">
        <v>0</v>
      </c>
      <c r="M1182" s="245">
        <v>0</v>
      </c>
      <c r="O1182" s="245" t="s">
        <v>56</v>
      </c>
      <c r="P1182" s="245" t="s">
        <v>1548</v>
      </c>
      <c r="Q1182" s="245" t="s">
        <v>1334</v>
      </c>
      <c r="R1182" s="246" t="s">
        <v>677</v>
      </c>
    </row>
    <row r="1183" spans="1:18" hidden="1" x14ac:dyDescent="0.8">
      <c r="A1183" s="247">
        <v>36623</v>
      </c>
      <c r="B1183" s="248" t="s">
        <v>1553</v>
      </c>
      <c r="C1183" s="249" t="s">
        <v>646</v>
      </c>
      <c r="D1183" s="245">
        <v>0</v>
      </c>
      <c r="F1183" s="245">
        <v>45</v>
      </c>
      <c r="G1183" s="245">
        <v>45</v>
      </c>
      <c r="H1183" s="245">
        <v>90</v>
      </c>
      <c r="I1183" s="245">
        <v>10.404797</v>
      </c>
      <c r="J1183" s="245">
        <v>0</v>
      </c>
      <c r="K1183" s="245">
        <v>0</v>
      </c>
      <c r="L1183" s="245">
        <v>468.21586500000001</v>
      </c>
      <c r="M1183" s="245">
        <v>468.21586500000001</v>
      </c>
      <c r="N1183" s="245">
        <v>936.43173000000002</v>
      </c>
      <c r="O1183" s="245" t="s">
        <v>56</v>
      </c>
      <c r="P1183" s="245" t="s">
        <v>1546</v>
      </c>
      <c r="Q1183" s="245" t="s">
        <v>100</v>
      </c>
      <c r="R1183" s="246" t="s">
        <v>677</v>
      </c>
    </row>
    <row r="1184" spans="1:18" ht="26" x14ac:dyDescent="0.8">
      <c r="A1184" s="247">
        <v>3663</v>
      </c>
      <c r="B1184" s="248" t="s">
        <v>1554</v>
      </c>
      <c r="D1184" s="245">
        <v>0</v>
      </c>
      <c r="R1184" s="246" t="s">
        <v>677</v>
      </c>
    </row>
    <row r="1185" spans="1:18" hidden="1" x14ac:dyDescent="0.8">
      <c r="A1185" s="247">
        <v>36631</v>
      </c>
      <c r="B1185" s="248" t="s">
        <v>1555</v>
      </c>
      <c r="C1185" s="249" t="s">
        <v>646</v>
      </c>
      <c r="D1185" s="245">
        <v>0</v>
      </c>
      <c r="F1185" s="245">
        <v>45</v>
      </c>
      <c r="H1185" s="245">
        <v>45</v>
      </c>
      <c r="I1185" s="245">
        <v>10.404797</v>
      </c>
      <c r="J1185" s="245">
        <v>0</v>
      </c>
      <c r="K1185" s="245">
        <v>0</v>
      </c>
      <c r="L1185" s="245">
        <v>468.21586500000001</v>
      </c>
      <c r="M1185" s="245">
        <v>0</v>
      </c>
      <c r="N1185" s="245">
        <v>468.21586500000001</v>
      </c>
      <c r="O1185" s="245" t="s">
        <v>169</v>
      </c>
      <c r="P1185" s="245" t="s">
        <v>1231</v>
      </c>
      <c r="Q1185" s="245" t="s">
        <v>100</v>
      </c>
      <c r="R1185" s="246" t="s">
        <v>677</v>
      </c>
    </row>
    <row r="1186" spans="1:18" ht="52" hidden="1" x14ac:dyDescent="0.8">
      <c r="A1186" s="247">
        <v>36632</v>
      </c>
      <c r="B1186" s="248" t="s">
        <v>1556</v>
      </c>
      <c r="C1186" s="249" t="s">
        <v>55</v>
      </c>
      <c r="D1186" s="245">
        <v>0</v>
      </c>
      <c r="F1186" s="245">
        <v>1</v>
      </c>
      <c r="H1186" s="245">
        <v>1</v>
      </c>
      <c r="I1186" s="245">
        <v>0</v>
      </c>
      <c r="J1186" s="245">
        <v>0</v>
      </c>
      <c r="K1186" s="245">
        <v>0</v>
      </c>
      <c r="L1186" s="245">
        <v>0</v>
      </c>
      <c r="M1186" s="245">
        <v>0</v>
      </c>
      <c r="O1186" s="245" t="s">
        <v>56</v>
      </c>
      <c r="P1186" s="245" t="s">
        <v>1231</v>
      </c>
      <c r="Q1186" s="245" t="s">
        <v>1475</v>
      </c>
      <c r="R1186" s="246" t="s">
        <v>677</v>
      </c>
    </row>
    <row r="1187" spans="1:18" ht="26" hidden="1" x14ac:dyDescent="0.8">
      <c r="A1187" s="247">
        <v>36633</v>
      </c>
      <c r="B1187" s="248" t="s">
        <v>1557</v>
      </c>
      <c r="C1187" s="249" t="s">
        <v>66</v>
      </c>
      <c r="D1187" s="245">
        <v>0</v>
      </c>
      <c r="F1187" s="245">
        <v>100</v>
      </c>
      <c r="H1187" s="245">
        <v>100</v>
      </c>
      <c r="I1187" s="245">
        <v>0.255</v>
      </c>
      <c r="J1187" s="245">
        <v>0</v>
      </c>
      <c r="K1187" s="245">
        <v>0</v>
      </c>
      <c r="L1187" s="245">
        <v>25.5</v>
      </c>
      <c r="M1187" s="245">
        <v>0</v>
      </c>
      <c r="N1187" s="245">
        <v>25.5</v>
      </c>
      <c r="O1187" s="245" t="s">
        <v>56</v>
      </c>
      <c r="P1187" s="245" t="s">
        <v>1231</v>
      </c>
      <c r="Q1187" s="245" t="s">
        <v>1475</v>
      </c>
      <c r="R1187" s="246" t="s">
        <v>677</v>
      </c>
    </row>
    <row r="1188" spans="1:18" x14ac:dyDescent="0.8">
      <c r="A1188" s="247">
        <v>36634</v>
      </c>
      <c r="B1188" s="248" t="s">
        <v>1559</v>
      </c>
      <c r="C1188" s="249" t="s">
        <v>38</v>
      </c>
      <c r="D1188" s="245">
        <v>0</v>
      </c>
      <c r="F1188" s="245">
        <v>180</v>
      </c>
      <c r="H1188" s="245">
        <v>180</v>
      </c>
      <c r="I1188" s="245">
        <v>0.3133333333333333</v>
      </c>
      <c r="J1188" s="245">
        <v>0</v>
      </c>
      <c r="K1188" s="245">
        <v>0</v>
      </c>
      <c r="L1188" s="245">
        <v>56.399999999999991</v>
      </c>
      <c r="M1188" s="245">
        <v>0</v>
      </c>
      <c r="N1188" s="245">
        <v>56.399999999999991</v>
      </c>
      <c r="O1188" s="245" t="s">
        <v>118</v>
      </c>
      <c r="P1188" s="245" t="s">
        <v>1231</v>
      </c>
      <c r="Q1188" s="245" t="s">
        <v>1475</v>
      </c>
      <c r="R1188" s="246" t="s">
        <v>677</v>
      </c>
    </row>
    <row r="1189" spans="1:18" hidden="1" x14ac:dyDescent="0.8">
      <c r="A1189" s="247">
        <v>36635</v>
      </c>
      <c r="B1189" s="248" t="s">
        <v>1560</v>
      </c>
      <c r="C1189" s="249" t="s">
        <v>55</v>
      </c>
      <c r="D1189" s="245">
        <v>0</v>
      </c>
      <c r="F1189" s="245">
        <v>1</v>
      </c>
      <c r="H1189" s="245">
        <v>1</v>
      </c>
      <c r="I1189" s="245">
        <v>0</v>
      </c>
      <c r="J1189" s="245">
        <v>0</v>
      </c>
      <c r="K1189" s="245">
        <v>0</v>
      </c>
      <c r="L1189" s="245">
        <v>0</v>
      </c>
      <c r="M1189" s="245">
        <v>0</v>
      </c>
      <c r="O1189" s="245" t="s">
        <v>56</v>
      </c>
      <c r="P1189" s="245" t="s">
        <v>1231</v>
      </c>
      <c r="Q1189" s="245" t="s">
        <v>1475</v>
      </c>
      <c r="R1189" s="246" t="s">
        <v>677</v>
      </c>
    </row>
    <row r="1190" spans="1:18" x14ac:dyDescent="0.8">
      <c r="A1190" s="247">
        <v>36636</v>
      </c>
      <c r="B1190" s="248" t="s">
        <v>1561</v>
      </c>
      <c r="C1190" s="249" t="s">
        <v>452</v>
      </c>
      <c r="D1190" s="245">
        <v>0</v>
      </c>
      <c r="G1190" s="245">
        <v>1200</v>
      </c>
      <c r="H1190" s="245">
        <v>1200</v>
      </c>
      <c r="I1190" s="245">
        <v>7.4999999999999997E-3</v>
      </c>
      <c r="J1190" s="245">
        <v>0</v>
      </c>
      <c r="K1190" s="245">
        <v>0</v>
      </c>
      <c r="L1190" s="245">
        <v>0</v>
      </c>
      <c r="M1190" s="245">
        <v>9</v>
      </c>
      <c r="N1190" s="245">
        <v>9</v>
      </c>
      <c r="O1190" s="245" t="s">
        <v>118</v>
      </c>
      <c r="P1190" s="245" t="s">
        <v>521</v>
      </c>
      <c r="Q1190" s="245" t="s">
        <v>1475</v>
      </c>
      <c r="R1190" s="246" t="s">
        <v>677</v>
      </c>
    </row>
    <row r="1191" spans="1:18" x14ac:dyDescent="0.8">
      <c r="A1191" s="247">
        <v>3664</v>
      </c>
      <c r="B1191" s="248" t="s">
        <v>1563</v>
      </c>
      <c r="D1191" s="245">
        <v>0</v>
      </c>
      <c r="R1191" s="246" t="s">
        <v>677</v>
      </c>
    </row>
    <row r="1192" spans="1:18" hidden="1" x14ac:dyDescent="0.8">
      <c r="B1192" s="248" t="s">
        <v>1564</v>
      </c>
      <c r="D1192" s="245">
        <v>0</v>
      </c>
      <c r="O1192" s="245" t="s">
        <v>56</v>
      </c>
      <c r="R1192" s="246" t="s">
        <v>677</v>
      </c>
    </row>
    <row r="1193" spans="1:18" ht="26" x14ac:dyDescent="0.8">
      <c r="A1193" s="247">
        <v>3665</v>
      </c>
      <c r="B1193" s="248" t="s">
        <v>1565</v>
      </c>
      <c r="D1193" s="245">
        <v>0</v>
      </c>
      <c r="R1193" s="246" t="s">
        <v>677</v>
      </c>
    </row>
    <row r="1194" spans="1:18" ht="39" hidden="1" x14ac:dyDescent="0.8">
      <c r="A1194" s="247">
        <v>36651</v>
      </c>
      <c r="B1194" s="248" t="s">
        <v>1566</v>
      </c>
      <c r="D1194" s="245">
        <v>0</v>
      </c>
      <c r="F1194" s="245">
        <v>1</v>
      </c>
      <c r="H1194" s="245">
        <v>1</v>
      </c>
      <c r="I1194" s="245">
        <v>0</v>
      </c>
      <c r="J1194" s="245">
        <v>0</v>
      </c>
      <c r="K1194" s="245">
        <v>0</v>
      </c>
      <c r="L1194" s="245">
        <v>0</v>
      </c>
      <c r="M1194" s="245">
        <v>0</v>
      </c>
      <c r="O1194" s="245" t="s">
        <v>56</v>
      </c>
      <c r="P1194" s="245" t="s">
        <v>1231</v>
      </c>
      <c r="Q1194" s="245" t="s">
        <v>1567</v>
      </c>
      <c r="R1194" s="246" t="s">
        <v>677</v>
      </c>
    </row>
    <row r="1195" spans="1:18" x14ac:dyDescent="0.8">
      <c r="A1195" s="247">
        <v>367</v>
      </c>
      <c r="B1195" s="248" t="s">
        <v>1568</v>
      </c>
      <c r="D1195" s="245">
        <v>0</v>
      </c>
      <c r="R1195" s="246" t="s">
        <v>677</v>
      </c>
    </row>
    <row r="1196" spans="1:18" ht="29.65" customHeight="1" x14ac:dyDescent="0.8">
      <c r="A1196" s="247">
        <v>3671</v>
      </c>
      <c r="B1196" s="248" t="s">
        <v>1569</v>
      </c>
      <c r="D1196" s="245">
        <v>0</v>
      </c>
      <c r="R1196" s="246" t="s">
        <v>677</v>
      </c>
    </row>
    <row r="1197" spans="1:18" ht="39" x14ac:dyDescent="0.8">
      <c r="A1197" s="247">
        <v>36711</v>
      </c>
      <c r="B1197" s="248" t="s">
        <v>1570</v>
      </c>
      <c r="C1197" s="249" t="s">
        <v>646</v>
      </c>
      <c r="D1197" s="245">
        <v>0</v>
      </c>
      <c r="E1197" s="245">
        <v>45</v>
      </c>
      <c r="H1197" s="245">
        <v>45</v>
      </c>
      <c r="I1197" s="245">
        <v>10.404797</v>
      </c>
      <c r="J1197" s="245">
        <v>0</v>
      </c>
      <c r="K1197" s="245">
        <v>468.21586500000001</v>
      </c>
      <c r="L1197" s="245">
        <v>0</v>
      </c>
      <c r="M1197" s="245">
        <v>0</v>
      </c>
      <c r="N1197" s="245">
        <v>468.21586500000001</v>
      </c>
      <c r="O1197" s="245" t="s">
        <v>118</v>
      </c>
      <c r="P1197" s="245" t="s">
        <v>96</v>
      </c>
      <c r="Q1197" s="245" t="s">
        <v>1371</v>
      </c>
      <c r="R1197" s="246" t="s">
        <v>677</v>
      </c>
    </row>
    <row r="1198" spans="1:18" ht="26" x14ac:dyDescent="0.8">
      <c r="A1198" s="247">
        <v>36712</v>
      </c>
      <c r="B1198" s="248" t="s">
        <v>1571</v>
      </c>
      <c r="C1198" s="249" t="s">
        <v>101</v>
      </c>
      <c r="D1198" s="245">
        <v>0</v>
      </c>
      <c r="E1198" s="245">
        <v>45</v>
      </c>
      <c r="H1198" s="245">
        <v>45</v>
      </c>
      <c r="I1198" s="245">
        <v>2.651545</v>
      </c>
      <c r="J1198" s="245">
        <v>0</v>
      </c>
      <c r="K1198" s="245">
        <v>119.319525</v>
      </c>
      <c r="L1198" s="245">
        <v>0</v>
      </c>
      <c r="M1198" s="245">
        <v>0</v>
      </c>
      <c r="N1198" s="245">
        <v>119.319525</v>
      </c>
      <c r="O1198" s="245" t="s">
        <v>118</v>
      </c>
      <c r="P1198" s="245" t="s">
        <v>96</v>
      </c>
      <c r="Q1198" s="245" t="s">
        <v>1371</v>
      </c>
      <c r="R1198" s="246" t="s">
        <v>677</v>
      </c>
    </row>
    <row r="1199" spans="1:18" x14ac:dyDescent="0.8">
      <c r="A1199" s="247">
        <v>36713</v>
      </c>
      <c r="B1199" s="248" t="s">
        <v>1572</v>
      </c>
      <c r="C1199" s="249" t="s">
        <v>38</v>
      </c>
      <c r="D1199" s="245">
        <v>0</v>
      </c>
      <c r="E1199" s="245">
        <v>120</v>
      </c>
      <c r="H1199" s="245">
        <v>120</v>
      </c>
      <c r="I1199" s="245">
        <v>0.3133333333333333</v>
      </c>
      <c r="J1199" s="245">
        <v>0</v>
      </c>
      <c r="K1199" s="245">
        <v>37.599999999999994</v>
      </c>
      <c r="L1199" s="245">
        <v>0</v>
      </c>
      <c r="M1199" s="245">
        <v>0</v>
      </c>
      <c r="N1199" s="245">
        <v>37.599999999999994</v>
      </c>
      <c r="O1199" s="245" t="s">
        <v>118</v>
      </c>
      <c r="P1199" s="245" t="s">
        <v>96</v>
      </c>
      <c r="Q1199" s="245" t="s">
        <v>1573</v>
      </c>
      <c r="R1199" s="246" t="s">
        <v>677</v>
      </c>
    </row>
    <row r="1200" spans="1:18" ht="17.649999999999999" customHeight="1" x14ac:dyDescent="0.8">
      <c r="A1200" s="247">
        <v>36714</v>
      </c>
      <c r="B1200" s="248" t="s">
        <v>1574</v>
      </c>
      <c r="C1200" s="249" t="s">
        <v>38</v>
      </c>
      <c r="D1200" s="245">
        <v>0</v>
      </c>
      <c r="E1200" s="245">
        <v>60</v>
      </c>
      <c r="H1200" s="245">
        <v>60</v>
      </c>
      <c r="I1200" s="245">
        <v>0.3133333333333333</v>
      </c>
      <c r="J1200" s="245">
        <v>0</v>
      </c>
      <c r="K1200" s="245">
        <v>18.799999999999997</v>
      </c>
      <c r="L1200" s="245">
        <v>0</v>
      </c>
      <c r="M1200" s="245">
        <v>0</v>
      </c>
      <c r="N1200" s="245">
        <v>18.799999999999997</v>
      </c>
      <c r="O1200" s="245" t="s">
        <v>118</v>
      </c>
      <c r="P1200" s="245" t="s">
        <v>96</v>
      </c>
      <c r="Q1200" s="245" t="s">
        <v>1573</v>
      </c>
      <c r="R1200" s="246" t="s">
        <v>677</v>
      </c>
    </row>
    <row r="1201" spans="1:18" ht="17.649999999999999" hidden="1" customHeight="1" x14ac:dyDescent="0.8">
      <c r="A1201" s="247">
        <v>36715</v>
      </c>
      <c r="B1201" s="248" t="s">
        <v>1575</v>
      </c>
      <c r="C1201" s="249" t="s">
        <v>55</v>
      </c>
      <c r="D1201" s="245">
        <v>0</v>
      </c>
      <c r="F1201" s="245">
        <v>1</v>
      </c>
      <c r="H1201" s="245">
        <v>1</v>
      </c>
      <c r="I1201" s="245">
        <v>0</v>
      </c>
      <c r="J1201" s="245">
        <v>0</v>
      </c>
      <c r="K1201" s="245">
        <v>0</v>
      </c>
      <c r="L1201" s="245">
        <v>0</v>
      </c>
      <c r="M1201" s="245">
        <v>0</v>
      </c>
      <c r="O1201" s="245" t="s">
        <v>56</v>
      </c>
      <c r="P1201" s="245" t="s">
        <v>96</v>
      </c>
      <c r="Q1201" s="245" t="s">
        <v>1573</v>
      </c>
      <c r="R1201" s="246" t="s">
        <v>677</v>
      </c>
    </row>
    <row r="1202" spans="1:18" ht="17.649999999999999" customHeight="1" x14ac:dyDescent="0.8">
      <c r="A1202" s="247">
        <v>36716</v>
      </c>
      <c r="B1202" s="248" t="s">
        <v>1576</v>
      </c>
      <c r="C1202" s="249" t="s">
        <v>816</v>
      </c>
      <c r="D1202" s="245">
        <v>0</v>
      </c>
      <c r="F1202" s="245">
        <v>1200</v>
      </c>
      <c r="H1202" s="245">
        <v>1200</v>
      </c>
      <c r="I1202" s="245">
        <v>7.4999999999999997E-3</v>
      </c>
      <c r="J1202" s="245">
        <v>0</v>
      </c>
      <c r="K1202" s="245">
        <v>0</v>
      </c>
      <c r="L1202" s="245">
        <v>9</v>
      </c>
      <c r="M1202" s="245">
        <v>0</v>
      </c>
      <c r="N1202" s="245">
        <v>9</v>
      </c>
      <c r="O1202" s="245" t="s">
        <v>118</v>
      </c>
      <c r="P1202" s="245" t="s">
        <v>521</v>
      </c>
      <c r="Q1202" s="245" t="s">
        <v>1475</v>
      </c>
      <c r="R1202" s="246" t="s">
        <v>677</v>
      </c>
    </row>
    <row r="1203" spans="1:18" x14ac:dyDescent="0.8">
      <c r="A1203" s="247">
        <v>368</v>
      </c>
      <c r="B1203" s="248" t="s">
        <v>1577</v>
      </c>
      <c r="D1203" s="245">
        <v>0</v>
      </c>
      <c r="R1203" s="246" t="s">
        <v>677</v>
      </c>
    </row>
    <row r="1204" spans="1:18" ht="26" x14ac:dyDescent="0.8">
      <c r="A1204" s="247">
        <v>3681</v>
      </c>
      <c r="B1204" s="248" t="s">
        <v>1578</v>
      </c>
      <c r="D1204" s="245">
        <v>0</v>
      </c>
      <c r="R1204" s="246" t="s">
        <v>677</v>
      </c>
    </row>
    <row r="1205" spans="1:18" ht="26" hidden="1" x14ac:dyDescent="0.8">
      <c r="A1205" s="247">
        <v>36811</v>
      </c>
      <c r="B1205" s="248" t="s">
        <v>1579</v>
      </c>
      <c r="C1205" s="249" t="s">
        <v>38</v>
      </c>
      <c r="D1205" s="245">
        <v>0</v>
      </c>
      <c r="F1205" s="245">
        <v>50</v>
      </c>
      <c r="H1205" s="245">
        <v>50</v>
      </c>
      <c r="I1205" s="245">
        <v>0.3133333333333333</v>
      </c>
      <c r="J1205" s="245">
        <v>0</v>
      </c>
      <c r="K1205" s="245">
        <v>0</v>
      </c>
      <c r="L1205" s="245">
        <v>15.666666666666664</v>
      </c>
      <c r="M1205" s="245">
        <v>0</v>
      </c>
      <c r="N1205" s="245">
        <v>15.666666666666664</v>
      </c>
      <c r="O1205" s="245" t="s">
        <v>169</v>
      </c>
      <c r="P1205" s="245" t="s">
        <v>96</v>
      </c>
      <c r="Q1205" s="245" t="s">
        <v>1581</v>
      </c>
      <c r="R1205" s="246" t="s">
        <v>677</v>
      </c>
    </row>
    <row r="1206" spans="1:18" x14ac:dyDescent="0.8">
      <c r="A1206" s="247">
        <v>36812</v>
      </c>
      <c r="B1206" s="248" t="s">
        <v>1582</v>
      </c>
      <c r="C1206" s="249" t="s">
        <v>101</v>
      </c>
      <c r="D1206" s="245">
        <v>0</v>
      </c>
      <c r="F1206" s="245">
        <v>30</v>
      </c>
      <c r="G1206" s="245">
        <v>30</v>
      </c>
      <c r="H1206" s="245">
        <v>60</v>
      </c>
      <c r="I1206" s="245">
        <v>2.651545</v>
      </c>
      <c r="J1206" s="245">
        <v>0</v>
      </c>
      <c r="K1206" s="245">
        <v>0</v>
      </c>
      <c r="L1206" s="245">
        <v>79.546350000000004</v>
      </c>
      <c r="M1206" s="245">
        <v>79.546350000000004</v>
      </c>
      <c r="N1206" s="245">
        <v>159.09270000000001</v>
      </c>
      <c r="O1206" s="245" t="s">
        <v>118</v>
      </c>
      <c r="P1206" s="245" t="s">
        <v>96</v>
      </c>
      <c r="Q1206" s="245" t="s">
        <v>1334</v>
      </c>
      <c r="R1206" s="246" t="s">
        <v>677</v>
      </c>
    </row>
    <row r="1207" spans="1:18" x14ac:dyDescent="0.8">
      <c r="A1207" s="247">
        <v>36813</v>
      </c>
      <c r="B1207" s="248" t="s">
        <v>1572</v>
      </c>
      <c r="C1207" s="249" t="s">
        <v>38</v>
      </c>
      <c r="D1207" s="245">
        <v>0</v>
      </c>
      <c r="F1207" s="245">
        <v>90</v>
      </c>
      <c r="G1207" s="245">
        <v>90</v>
      </c>
      <c r="H1207" s="245">
        <v>180</v>
      </c>
      <c r="I1207" s="245">
        <v>0.3133333333333333</v>
      </c>
      <c r="J1207" s="245">
        <v>0</v>
      </c>
      <c r="K1207" s="245">
        <v>0</v>
      </c>
      <c r="L1207" s="245">
        <v>28.199999999999996</v>
      </c>
      <c r="M1207" s="245">
        <v>28.199999999999996</v>
      </c>
      <c r="N1207" s="245">
        <v>56.399999999999991</v>
      </c>
      <c r="O1207" s="245" t="s">
        <v>118</v>
      </c>
      <c r="P1207" s="245" t="s">
        <v>96</v>
      </c>
      <c r="Q1207" s="245" t="s">
        <v>1334</v>
      </c>
      <c r="R1207" s="246" t="s">
        <v>677</v>
      </c>
    </row>
    <row r="1208" spans="1:18" x14ac:dyDescent="0.8">
      <c r="A1208" s="247">
        <v>36814</v>
      </c>
      <c r="B1208" s="248" t="s">
        <v>1583</v>
      </c>
      <c r="C1208" s="249" t="s">
        <v>66</v>
      </c>
      <c r="D1208" s="245">
        <v>0</v>
      </c>
      <c r="F1208" s="245">
        <v>75</v>
      </c>
      <c r="H1208" s="245">
        <v>75</v>
      </c>
      <c r="I1208" s="245">
        <v>0.255</v>
      </c>
      <c r="J1208" s="245">
        <v>0</v>
      </c>
      <c r="K1208" s="245">
        <v>0</v>
      </c>
      <c r="L1208" s="245">
        <v>19.125</v>
      </c>
      <c r="M1208" s="245">
        <v>0</v>
      </c>
      <c r="N1208" s="245">
        <v>19.125</v>
      </c>
      <c r="O1208" s="245" t="s">
        <v>118</v>
      </c>
      <c r="P1208" s="245" t="s">
        <v>96</v>
      </c>
      <c r="Q1208" s="245" t="s">
        <v>1334</v>
      </c>
      <c r="R1208" s="246" t="s">
        <v>677</v>
      </c>
    </row>
    <row r="1209" spans="1:18" x14ac:dyDescent="0.8">
      <c r="A1209" s="247">
        <v>36815</v>
      </c>
      <c r="B1209" s="248" t="s">
        <v>1584</v>
      </c>
      <c r="C1209" s="249" t="s">
        <v>38</v>
      </c>
      <c r="D1209" s="245">
        <v>0</v>
      </c>
      <c r="F1209" s="245">
        <v>90</v>
      </c>
      <c r="G1209" s="245">
        <v>90</v>
      </c>
      <c r="H1209" s="245">
        <v>180</v>
      </c>
      <c r="I1209" s="245">
        <v>0.3133333333333333</v>
      </c>
      <c r="J1209" s="245">
        <v>0</v>
      </c>
      <c r="K1209" s="245">
        <v>0</v>
      </c>
      <c r="L1209" s="245">
        <v>28.199999999999996</v>
      </c>
      <c r="M1209" s="245">
        <v>28.199999999999996</v>
      </c>
      <c r="N1209" s="245">
        <v>56.399999999999991</v>
      </c>
      <c r="O1209" s="245" t="s">
        <v>118</v>
      </c>
      <c r="P1209" s="245" t="s">
        <v>96</v>
      </c>
      <c r="Q1209" s="245" t="s">
        <v>1334</v>
      </c>
      <c r="R1209" s="246" t="s">
        <v>677</v>
      </c>
    </row>
    <row r="1210" spans="1:18" hidden="1" x14ac:dyDescent="0.8">
      <c r="A1210" s="247">
        <v>36816</v>
      </c>
      <c r="B1210" s="248" t="s">
        <v>1575</v>
      </c>
      <c r="C1210" s="249" t="s">
        <v>55</v>
      </c>
      <c r="D1210" s="245">
        <v>0</v>
      </c>
      <c r="I1210" s="245">
        <v>0</v>
      </c>
      <c r="O1210" s="245" t="s">
        <v>56</v>
      </c>
      <c r="R1210" s="246" t="s">
        <v>677</v>
      </c>
    </row>
    <row r="1211" spans="1:18" x14ac:dyDescent="0.8">
      <c r="A1211" s="247">
        <v>36817</v>
      </c>
      <c r="B1211" s="248" t="s">
        <v>1576</v>
      </c>
      <c r="C1211" s="249" t="s">
        <v>816</v>
      </c>
      <c r="D1211" s="245">
        <v>0</v>
      </c>
      <c r="F1211" s="245">
        <v>238</v>
      </c>
      <c r="G1211" s="245">
        <v>238</v>
      </c>
      <c r="H1211" s="245">
        <v>476</v>
      </c>
      <c r="I1211" s="245">
        <v>7.4999999999999997E-3</v>
      </c>
      <c r="J1211" s="245">
        <v>0</v>
      </c>
      <c r="K1211" s="245">
        <v>0</v>
      </c>
      <c r="L1211" s="245">
        <v>1.7849999999999999</v>
      </c>
      <c r="M1211" s="245">
        <v>1.7849999999999999</v>
      </c>
      <c r="N1211" s="245">
        <v>3.57</v>
      </c>
      <c r="O1211" s="245" t="s">
        <v>118</v>
      </c>
      <c r="P1211" s="245" t="s">
        <v>521</v>
      </c>
      <c r="Q1211" s="245" t="s">
        <v>1475</v>
      </c>
      <c r="R1211" s="246" t="s">
        <v>677</v>
      </c>
    </row>
    <row r="1212" spans="1:18" ht="26" x14ac:dyDescent="0.8">
      <c r="A1212" s="247">
        <v>369</v>
      </c>
      <c r="B1212" s="248" t="s">
        <v>1585</v>
      </c>
      <c r="D1212" s="245">
        <v>0</v>
      </c>
      <c r="R1212" s="246" t="s">
        <v>677</v>
      </c>
    </row>
    <row r="1213" spans="1:18" ht="16.149999999999999" customHeight="1" x14ac:dyDescent="0.8">
      <c r="A1213" s="247">
        <v>3691</v>
      </c>
      <c r="B1213" s="248" t="s">
        <v>1586</v>
      </c>
      <c r="D1213" s="245">
        <v>0</v>
      </c>
      <c r="R1213" s="246" t="s">
        <v>677</v>
      </c>
    </row>
    <row r="1214" spans="1:18" ht="26" hidden="1" x14ac:dyDescent="0.8">
      <c r="A1214" s="247">
        <v>36911</v>
      </c>
      <c r="B1214" s="248" t="s">
        <v>1587</v>
      </c>
      <c r="C1214" s="249" t="s">
        <v>66</v>
      </c>
      <c r="D1214" s="245">
        <v>0</v>
      </c>
      <c r="E1214" s="245">
        <v>175</v>
      </c>
      <c r="H1214" s="245">
        <v>175</v>
      </c>
      <c r="I1214" s="245">
        <v>0.255</v>
      </c>
      <c r="J1214" s="245">
        <v>0</v>
      </c>
      <c r="K1214" s="245">
        <v>44.625</v>
      </c>
      <c r="L1214" s="245">
        <v>0</v>
      </c>
      <c r="M1214" s="245">
        <v>0</v>
      </c>
      <c r="N1214" s="245">
        <v>44.625</v>
      </c>
      <c r="O1214" s="245" t="s">
        <v>56</v>
      </c>
      <c r="P1214" s="245" t="s">
        <v>96</v>
      </c>
      <c r="Q1214" s="245" t="s">
        <v>1589</v>
      </c>
      <c r="R1214" s="246" t="s">
        <v>677</v>
      </c>
    </row>
    <row r="1215" spans="1:18" ht="26" hidden="1" x14ac:dyDescent="0.8">
      <c r="A1215" s="247">
        <v>36912</v>
      </c>
      <c r="B1215" s="248" t="s">
        <v>1590</v>
      </c>
      <c r="C1215" s="249" t="s">
        <v>55</v>
      </c>
      <c r="D1215" s="245">
        <v>0</v>
      </c>
      <c r="E1215" s="245">
        <v>1</v>
      </c>
      <c r="F1215" s="245">
        <v>1</v>
      </c>
      <c r="G1215" s="245">
        <v>1</v>
      </c>
      <c r="H1215" s="245">
        <v>3</v>
      </c>
      <c r="I1215" s="245">
        <v>0</v>
      </c>
      <c r="J1215" s="245">
        <v>0</v>
      </c>
      <c r="K1215" s="245">
        <v>0</v>
      </c>
      <c r="L1215" s="245">
        <v>0</v>
      </c>
      <c r="M1215" s="245">
        <v>0</v>
      </c>
      <c r="O1215" s="245" t="s">
        <v>56</v>
      </c>
      <c r="P1215" s="245" t="s">
        <v>96</v>
      </c>
      <c r="Q1215" s="245" t="s">
        <v>1589</v>
      </c>
      <c r="R1215" s="246" t="s">
        <v>677</v>
      </c>
    </row>
    <row r="1216" spans="1:18" ht="26" hidden="1" x14ac:dyDescent="0.8">
      <c r="A1216" s="247">
        <v>36913</v>
      </c>
      <c r="B1216" s="248" t="s">
        <v>1591</v>
      </c>
      <c r="C1216" s="249" t="s">
        <v>38</v>
      </c>
      <c r="D1216" s="245">
        <v>0</v>
      </c>
      <c r="E1216" s="245">
        <v>180</v>
      </c>
      <c r="F1216" s="245">
        <v>180</v>
      </c>
      <c r="G1216" s="245">
        <v>180</v>
      </c>
      <c r="H1216" s="245">
        <v>540</v>
      </c>
      <c r="I1216" s="245">
        <v>0.3133333333333333</v>
      </c>
      <c r="J1216" s="245">
        <v>0</v>
      </c>
      <c r="K1216" s="245">
        <v>56.399999999999991</v>
      </c>
      <c r="L1216" s="245">
        <v>56.399999999999991</v>
      </c>
      <c r="M1216" s="245">
        <v>56.399999999999991</v>
      </c>
      <c r="N1216" s="245">
        <v>169.2</v>
      </c>
      <c r="O1216" s="245" t="s">
        <v>56</v>
      </c>
      <c r="P1216" s="245" t="s">
        <v>96</v>
      </c>
      <c r="Q1216" s="245" t="s">
        <v>1589</v>
      </c>
      <c r="R1216" s="246" t="s">
        <v>677</v>
      </c>
    </row>
    <row r="1217" spans="1:18" hidden="1" x14ac:dyDescent="0.8">
      <c r="A1217" s="247">
        <v>36914</v>
      </c>
      <c r="B1217" s="248" t="s">
        <v>1593</v>
      </c>
      <c r="C1217" s="249" t="s">
        <v>66</v>
      </c>
      <c r="D1217" s="245">
        <v>0</v>
      </c>
      <c r="E1217" s="245">
        <v>50</v>
      </c>
      <c r="F1217" s="245">
        <v>50</v>
      </c>
      <c r="G1217" s="245">
        <v>50</v>
      </c>
      <c r="H1217" s="245">
        <v>150</v>
      </c>
      <c r="I1217" s="245">
        <v>0.255</v>
      </c>
      <c r="J1217" s="245">
        <v>0</v>
      </c>
      <c r="K1217" s="245">
        <v>12.75</v>
      </c>
      <c r="L1217" s="245">
        <v>12.75</v>
      </c>
      <c r="M1217" s="245">
        <v>12.75</v>
      </c>
      <c r="N1217" s="245">
        <v>38.25</v>
      </c>
      <c r="O1217" s="245" t="s">
        <v>56</v>
      </c>
      <c r="P1217" s="245" t="s">
        <v>96</v>
      </c>
      <c r="Q1217" s="245" t="s">
        <v>1589</v>
      </c>
      <c r="R1217" s="246" t="s">
        <v>677</v>
      </c>
    </row>
    <row r="1218" spans="1:18" hidden="1" x14ac:dyDescent="0.8">
      <c r="A1218" s="247">
        <v>36915</v>
      </c>
      <c r="B1218" s="248" t="s">
        <v>1594</v>
      </c>
      <c r="C1218" s="249" t="s">
        <v>38</v>
      </c>
      <c r="D1218" s="245">
        <v>0</v>
      </c>
      <c r="E1218" s="245">
        <v>60</v>
      </c>
      <c r="F1218" s="245">
        <v>60</v>
      </c>
      <c r="G1218" s="245">
        <v>60</v>
      </c>
      <c r="H1218" s="245">
        <v>180</v>
      </c>
      <c r="I1218" s="245">
        <v>0.3133333333333333</v>
      </c>
      <c r="J1218" s="245">
        <v>0</v>
      </c>
      <c r="K1218" s="245">
        <v>18.799999999999997</v>
      </c>
      <c r="L1218" s="245">
        <v>18.799999999999997</v>
      </c>
      <c r="M1218" s="245">
        <v>18.799999999999997</v>
      </c>
      <c r="N1218" s="245">
        <v>56.399999999999991</v>
      </c>
      <c r="O1218" s="245" t="s">
        <v>56</v>
      </c>
      <c r="P1218" s="245" t="s">
        <v>96</v>
      </c>
      <c r="Q1218" s="245" t="s">
        <v>1589</v>
      </c>
      <c r="R1218" s="246" t="s">
        <v>677</v>
      </c>
    </row>
    <row r="1219" spans="1:18" ht="26" x14ac:dyDescent="0.8">
      <c r="A1219" s="247">
        <v>4</v>
      </c>
      <c r="B1219" s="248" t="s">
        <v>1595</v>
      </c>
      <c r="D1219" s="245">
        <v>0</v>
      </c>
      <c r="R1219" s="246" t="s">
        <v>679</v>
      </c>
    </row>
    <row r="1220" spans="1:18" ht="26" x14ac:dyDescent="0.8">
      <c r="A1220" s="247">
        <v>41</v>
      </c>
      <c r="B1220" s="248" t="s">
        <v>1596</v>
      </c>
      <c r="D1220" s="245">
        <v>0</v>
      </c>
      <c r="R1220" s="246" t="s">
        <v>679</v>
      </c>
    </row>
    <row r="1221" spans="1:18" ht="17.649999999999999" customHeight="1" x14ac:dyDescent="0.8">
      <c r="A1221" s="247">
        <v>411</v>
      </c>
      <c r="B1221" s="248" t="s">
        <v>1597</v>
      </c>
      <c r="D1221" s="245">
        <v>0</v>
      </c>
      <c r="R1221" s="246" t="s">
        <v>679</v>
      </c>
    </row>
    <row r="1222" spans="1:18" ht="17.649999999999999" customHeight="1" x14ac:dyDescent="0.8">
      <c r="A1222" s="247">
        <v>4111</v>
      </c>
      <c r="B1222" s="248" t="s">
        <v>1598</v>
      </c>
      <c r="D1222" s="245">
        <v>0</v>
      </c>
      <c r="R1222" s="246" t="s">
        <v>679</v>
      </c>
    </row>
    <row r="1223" spans="1:18" ht="17.649999999999999" customHeight="1" x14ac:dyDescent="0.8">
      <c r="A1223" s="247">
        <v>41111</v>
      </c>
      <c r="B1223" s="248" t="s">
        <v>1599</v>
      </c>
      <c r="C1223" s="249" t="s">
        <v>55</v>
      </c>
      <c r="D1223" s="245">
        <v>0</v>
      </c>
      <c r="E1223" s="245">
        <v>1</v>
      </c>
      <c r="F1223" s="245">
        <v>1</v>
      </c>
      <c r="G1223" s="245">
        <v>1</v>
      </c>
      <c r="H1223" s="245">
        <v>3</v>
      </c>
      <c r="I1223" s="245">
        <v>0</v>
      </c>
      <c r="J1223" s="245">
        <v>0</v>
      </c>
      <c r="K1223" s="245">
        <v>0</v>
      </c>
      <c r="L1223" s="245">
        <v>0</v>
      </c>
      <c r="M1223" s="245">
        <v>0</v>
      </c>
      <c r="O1223" s="245" t="s">
        <v>1304</v>
      </c>
      <c r="P1223" s="245" t="s">
        <v>255</v>
      </c>
      <c r="Q1223" s="245" t="s">
        <v>1601</v>
      </c>
      <c r="R1223" s="246" t="s">
        <v>679</v>
      </c>
    </row>
    <row r="1224" spans="1:18" ht="17.649999999999999" customHeight="1" x14ac:dyDescent="0.8">
      <c r="A1224" s="247">
        <v>41112</v>
      </c>
      <c r="B1224" s="248" t="s">
        <v>1602</v>
      </c>
      <c r="C1224" s="249" t="s">
        <v>66</v>
      </c>
      <c r="D1224" s="245">
        <v>0</v>
      </c>
      <c r="E1224" s="245">
        <v>450</v>
      </c>
      <c r="H1224" s="245">
        <v>450</v>
      </c>
      <c r="I1224" s="245">
        <v>0.255</v>
      </c>
      <c r="J1224" s="245">
        <v>0</v>
      </c>
      <c r="K1224" s="245">
        <v>114.75</v>
      </c>
      <c r="L1224" s="245">
        <v>0</v>
      </c>
      <c r="M1224" s="245">
        <v>0</v>
      </c>
      <c r="N1224" s="245">
        <v>114.75</v>
      </c>
      <c r="O1224" s="245" t="s">
        <v>1304</v>
      </c>
      <c r="P1224" s="245" t="s">
        <v>255</v>
      </c>
      <c r="Q1224" s="245" t="s">
        <v>255</v>
      </c>
      <c r="R1224" s="246" t="s">
        <v>679</v>
      </c>
    </row>
    <row r="1225" spans="1:18" ht="17.649999999999999" customHeight="1" x14ac:dyDescent="0.8">
      <c r="A1225" s="247">
        <v>41113</v>
      </c>
      <c r="B1225" s="248" t="s">
        <v>1603</v>
      </c>
      <c r="C1225" s="249" t="s">
        <v>101</v>
      </c>
      <c r="D1225" s="245">
        <v>0</v>
      </c>
      <c r="E1225" s="245">
        <v>60</v>
      </c>
      <c r="F1225" s="245">
        <v>60</v>
      </c>
      <c r="G1225" s="245">
        <v>90</v>
      </c>
      <c r="H1225" s="245">
        <v>210</v>
      </c>
      <c r="I1225" s="245">
        <v>2.651545</v>
      </c>
      <c r="J1225" s="245">
        <v>0</v>
      </c>
      <c r="K1225" s="245">
        <v>159.09270000000001</v>
      </c>
      <c r="L1225" s="245">
        <v>159.09270000000001</v>
      </c>
      <c r="M1225" s="245">
        <v>238.63905</v>
      </c>
      <c r="N1225" s="245">
        <v>556.82445000000007</v>
      </c>
      <c r="O1225" s="245" t="s">
        <v>1304</v>
      </c>
      <c r="P1225" s="245" t="s">
        <v>255</v>
      </c>
      <c r="Q1225" s="245" t="s">
        <v>96</v>
      </c>
      <c r="R1225" s="246" t="s">
        <v>679</v>
      </c>
    </row>
    <row r="1226" spans="1:18" ht="17.649999999999999" customHeight="1" x14ac:dyDescent="0.8">
      <c r="A1226" s="247">
        <v>412</v>
      </c>
      <c r="B1226" s="248" t="s">
        <v>1604</v>
      </c>
      <c r="D1226" s="245">
        <v>0</v>
      </c>
      <c r="R1226" s="246" t="s">
        <v>679</v>
      </c>
    </row>
    <row r="1227" spans="1:18" ht="17.649999999999999" customHeight="1" x14ac:dyDescent="0.8">
      <c r="A1227" s="247">
        <v>4121</v>
      </c>
      <c r="B1227" s="248" t="s">
        <v>1605</v>
      </c>
      <c r="D1227" s="245">
        <v>0</v>
      </c>
      <c r="R1227" s="246" t="s">
        <v>679</v>
      </c>
    </row>
    <row r="1228" spans="1:18" ht="17.649999999999999" customHeight="1" x14ac:dyDescent="0.8">
      <c r="A1228" s="247">
        <v>41211</v>
      </c>
      <c r="B1228" s="248" t="s">
        <v>1606</v>
      </c>
      <c r="C1228" s="249" t="s">
        <v>38</v>
      </c>
      <c r="D1228" s="245">
        <v>0</v>
      </c>
      <c r="E1228" s="245">
        <v>420</v>
      </c>
      <c r="F1228" s="245">
        <v>420</v>
      </c>
      <c r="G1228" s="245">
        <v>420</v>
      </c>
      <c r="H1228" s="245">
        <v>1260</v>
      </c>
      <c r="I1228" s="245">
        <v>0.3133333333333333</v>
      </c>
      <c r="J1228" s="245">
        <v>0</v>
      </c>
      <c r="K1228" s="245">
        <v>131.6</v>
      </c>
      <c r="L1228" s="245">
        <v>131.6</v>
      </c>
      <c r="M1228" s="245">
        <v>131.6</v>
      </c>
      <c r="N1228" s="245">
        <v>394.79999999999995</v>
      </c>
      <c r="O1228" s="245" t="s">
        <v>1304</v>
      </c>
      <c r="P1228" s="245" t="s">
        <v>255</v>
      </c>
      <c r="Q1228" s="245" t="s">
        <v>1607</v>
      </c>
      <c r="R1228" s="246" t="s">
        <v>679</v>
      </c>
    </row>
    <row r="1229" spans="1:18" ht="17.649999999999999" customHeight="1" x14ac:dyDescent="0.8">
      <c r="A1229" s="247">
        <v>41212</v>
      </c>
      <c r="B1229" s="248" t="s">
        <v>1608</v>
      </c>
      <c r="C1229" s="249" t="s">
        <v>816</v>
      </c>
      <c r="D1229" s="245">
        <v>0</v>
      </c>
      <c r="E1229" s="245">
        <v>350</v>
      </c>
      <c r="F1229" s="245">
        <v>350</v>
      </c>
      <c r="G1229" s="245">
        <v>350</v>
      </c>
      <c r="H1229" s="245">
        <v>1050</v>
      </c>
      <c r="I1229" s="245">
        <v>7.4999999999999997E-3</v>
      </c>
      <c r="J1229" s="245">
        <v>0</v>
      </c>
      <c r="K1229" s="245">
        <v>2.625</v>
      </c>
      <c r="L1229" s="245">
        <v>2.625</v>
      </c>
      <c r="M1229" s="245">
        <v>2.625</v>
      </c>
      <c r="N1229" s="245">
        <v>7.875</v>
      </c>
      <c r="O1229" s="245" t="s">
        <v>1304</v>
      </c>
      <c r="P1229" s="245" t="s">
        <v>255</v>
      </c>
      <c r="Q1229" s="245" t="s">
        <v>521</v>
      </c>
      <c r="R1229" s="246" t="s">
        <v>679</v>
      </c>
    </row>
    <row r="1230" spans="1:18" ht="17.649999999999999" customHeight="1" x14ac:dyDescent="0.8">
      <c r="A1230" s="247">
        <v>413</v>
      </c>
      <c r="B1230" s="248" t="s">
        <v>1609</v>
      </c>
      <c r="D1230" s="245">
        <v>0</v>
      </c>
      <c r="R1230" s="246" t="s">
        <v>679</v>
      </c>
    </row>
    <row r="1231" spans="1:18" ht="17.649999999999999" customHeight="1" x14ac:dyDescent="0.8">
      <c r="A1231" s="247">
        <v>4131</v>
      </c>
      <c r="B1231" s="248" t="s">
        <v>1610</v>
      </c>
      <c r="D1231" s="245">
        <v>0</v>
      </c>
      <c r="R1231" s="246" t="s">
        <v>679</v>
      </c>
    </row>
    <row r="1232" spans="1:18" ht="17.649999999999999" hidden="1" customHeight="1" x14ac:dyDescent="0.8">
      <c r="A1232" s="247">
        <v>41311</v>
      </c>
      <c r="B1232" s="248" t="s">
        <v>1611</v>
      </c>
      <c r="C1232" s="249" t="s">
        <v>55</v>
      </c>
      <c r="D1232" s="245">
        <v>0</v>
      </c>
      <c r="E1232" s="245">
        <v>1</v>
      </c>
      <c r="F1232" s="245">
        <v>1</v>
      </c>
      <c r="G1232" s="245">
        <v>1</v>
      </c>
      <c r="H1232" s="245">
        <v>3</v>
      </c>
      <c r="I1232" s="245">
        <v>0</v>
      </c>
      <c r="J1232" s="245">
        <v>0</v>
      </c>
      <c r="K1232" s="245">
        <v>0</v>
      </c>
      <c r="L1232" s="245">
        <v>0</v>
      </c>
      <c r="M1232" s="245">
        <v>0</v>
      </c>
      <c r="O1232" s="245" t="s">
        <v>56</v>
      </c>
      <c r="P1232" s="245" t="s">
        <v>254</v>
      </c>
      <c r="Q1232" s="245" t="s">
        <v>1612</v>
      </c>
      <c r="R1232" s="246" t="s">
        <v>679</v>
      </c>
    </row>
    <row r="1233" spans="1:18" ht="17.649999999999999" customHeight="1" x14ac:dyDescent="0.8">
      <c r="A1233" s="247">
        <v>4132</v>
      </c>
      <c r="B1233" s="248" t="s">
        <v>1613</v>
      </c>
      <c r="D1233" s="245">
        <v>0</v>
      </c>
      <c r="R1233" s="246" t="s">
        <v>679</v>
      </c>
    </row>
    <row r="1234" spans="1:18" ht="17.649999999999999" hidden="1" customHeight="1" x14ac:dyDescent="0.8">
      <c r="A1234" s="247">
        <v>41321</v>
      </c>
      <c r="B1234" s="248" t="s">
        <v>1614</v>
      </c>
      <c r="C1234" s="249" t="s">
        <v>55</v>
      </c>
      <c r="D1234" s="245">
        <v>0</v>
      </c>
      <c r="E1234" s="245">
        <v>1</v>
      </c>
      <c r="H1234" s="245">
        <v>1</v>
      </c>
      <c r="I1234" s="245">
        <v>0</v>
      </c>
      <c r="J1234" s="245">
        <v>0</v>
      </c>
      <c r="K1234" s="245">
        <v>0</v>
      </c>
      <c r="L1234" s="245">
        <v>0</v>
      </c>
      <c r="M1234" s="245">
        <v>0</v>
      </c>
      <c r="O1234" s="245" t="s">
        <v>56</v>
      </c>
      <c r="P1234" s="245" t="s">
        <v>96</v>
      </c>
      <c r="Q1234" s="245" t="s">
        <v>1607</v>
      </c>
      <c r="R1234" s="246" t="s">
        <v>679</v>
      </c>
    </row>
    <row r="1235" spans="1:18" ht="17.649999999999999" hidden="1" customHeight="1" x14ac:dyDescent="0.8">
      <c r="A1235" s="247">
        <v>41322</v>
      </c>
      <c r="B1235" s="248" t="s">
        <v>1615</v>
      </c>
      <c r="C1235" s="249" t="s">
        <v>662</v>
      </c>
      <c r="D1235" s="245">
        <v>0</v>
      </c>
      <c r="E1235" s="245">
        <v>8</v>
      </c>
      <c r="H1235" s="245">
        <v>8</v>
      </c>
      <c r="I1235" s="245">
        <v>219.54797350000001</v>
      </c>
      <c r="J1235" s="245">
        <v>0</v>
      </c>
      <c r="K1235" s="245">
        <v>1756.3837880000001</v>
      </c>
      <c r="L1235" s="245">
        <v>0</v>
      </c>
      <c r="M1235" s="245">
        <v>0</v>
      </c>
      <c r="N1235" s="245">
        <v>1756.3837880000001</v>
      </c>
      <c r="O1235" s="245" t="s">
        <v>56</v>
      </c>
      <c r="P1235" s="245" t="s">
        <v>96</v>
      </c>
      <c r="Q1235" s="245" t="s">
        <v>750</v>
      </c>
      <c r="R1235" s="246" t="s">
        <v>679</v>
      </c>
    </row>
    <row r="1236" spans="1:18" ht="17.649999999999999" hidden="1" customHeight="1" x14ac:dyDescent="0.8">
      <c r="A1236" s="247">
        <v>41323</v>
      </c>
      <c r="B1236" s="248" t="s">
        <v>1616</v>
      </c>
      <c r="C1236" s="249" t="s">
        <v>301</v>
      </c>
      <c r="D1236" s="245">
        <v>0</v>
      </c>
      <c r="E1236" s="245">
        <v>700</v>
      </c>
      <c r="F1236" s="245">
        <v>300</v>
      </c>
      <c r="H1236" s="245">
        <v>1000</v>
      </c>
      <c r="I1236" s="245">
        <v>0.67666666666666664</v>
      </c>
      <c r="J1236" s="245">
        <v>0</v>
      </c>
      <c r="K1236" s="245">
        <v>473.66666666666663</v>
      </c>
      <c r="L1236" s="245">
        <v>203</v>
      </c>
      <c r="M1236" s="245">
        <v>0</v>
      </c>
      <c r="N1236" s="245">
        <v>676.66666666666663</v>
      </c>
      <c r="O1236" s="245" t="s">
        <v>56</v>
      </c>
      <c r="P1236" s="245" t="s">
        <v>96</v>
      </c>
      <c r="Q1236" s="245" t="s">
        <v>1607</v>
      </c>
      <c r="R1236" s="246" t="s">
        <v>679</v>
      </c>
    </row>
    <row r="1237" spans="1:18" ht="17.649999999999999" customHeight="1" x14ac:dyDescent="0.8">
      <c r="A1237" s="247">
        <v>4133</v>
      </c>
      <c r="B1237" s="248" t="s">
        <v>1617</v>
      </c>
      <c r="D1237" s="245">
        <v>0</v>
      </c>
      <c r="R1237" s="246" t="s">
        <v>679</v>
      </c>
    </row>
    <row r="1238" spans="1:18" ht="17.649999999999999" hidden="1" customHeight="1" x14ac:dyDescent="0.8">
      <c r="A1238" s="247">
        <v>41331</v>
      </c>
      <c r="B1238" s="248" t="s">
        <v>1618</v>
      </c>
      <c r="C1238" s="249" t="s">
        <v>1620</v>
      </c>
      <c r="D1238" s="245">
        <v>0</v>
      </c>
      <c r="E1238" s="245">
        <v>30</v>
      </c>
      <c r="F1238" s="245">
        <v>40</v>
      </c>
      <c r="H1238" s="245">
        <v>70</v>
      </c>
      <c r="I1238" s="245">
        <v>10.034934666666667</v>
      </c>
      <c r="J1238" s="245">
        <v>0</v>
      </c>
      <c r="K1238" s="245">
        <v>301.04804000000001</v>
      </c>
      <c r="L1238" s="245">
        <v>401.39738666666665</v>
      </c>
      <c r="M1238" s="245">
        <v>0</v>
      </c>
      <c r="N1238" s="245">
        <v>702.44542666666666</v>
      </c>
      <c r="O1238" s="245" t="s">
        <v>56</v>
      </c>
      <c r="P1238" s="245" t="s">
        <v>96</v>
      </c>
      <c r="Q1238" s="245" t="s">
        <v>521</v>
      </c>
      <c r="R1238" s="246" t="s">
        <v>679</v>
      </c>
    </row>
    <row r="1239" spans="1:18" ht="17.649999999999999" hidden="1" customHeight="1" x14ac:dyDescent="0.8">
      <c r="A1239" s="247">
        <v>41332</v>
      </c>
      <c r="B1239" s="248" t="s">
        <v>1621</v>
      </c>
      <c r="C1239" s="249" t="s">
        <v>974</v>
      </c>
      <c r="D1239" s="245">
        <v>0</v>
      </c>
      <c r="E1239" s="245">
        <v>0</v>
      </c>
      <c r="F1239" s="245">
        <v>20</v>
      </c>
      <c r="G1239" s="245">
        <v>20</v>
      </c>
      <c r="H1239" s="245">
        <v>40</v>
      </c>
      <c r="I1239" s="245">
        <v>6.333333333333333</v>
      </c>
      <c r="J1239" s="245">
        <v>0</v>
      </c>
      <c r="K1239" s="245">
        <v>0</v>
      </c>
      <c r="L1239" s="245">
        <v>126.66666666666666</v>
      </c>
      <c r="M1239" s="245">
        <v>126.66666666666666</v>
      </c>
      <c r="N1239" s="245">
        <v>253.33333333333331</v>
      </c>
      <c r="O1239" s="245" t="s">
        <v>169</v>
      </c>
      <c r="P1239" s="245" t="s">
        <v>96</v>
      </c>
      <c r="Q1239" s="245" t="s">
        <v>521</v>
      </c>
      <c r="R1239" s="246" t="s">
        <v>679</v>
      </c>
    </row>
    <row r="1240" spans="1:18" ht="17.649999999999999" hidden="1" customHeight="1" x14ac:dyDescent="0.8">
      <c r="A1240" s="247">
        <v>41333</v>
      </c>
      <c r="B1240" s="248" t="s">
        <v>1622</v>
      </c>
      <c r="C1240" s="249" t="s">
        <v>101</v>
      </c>
      <c r="D1240" s="245">
        <v>0</v>
      </c>
      <c r="E1240" s="245">
        <v>60</v>
      </c>
      <c r="H1240" s="245">
        <v>60</v>
      </c>
      <c r="I1240" s="245">
        <v>2.651545</v>
      </c>
      <c r="J1240" s="245">
        <v>0</v>
      </c>
      <c r="K1240" s="245">
        <v>159.09270000000001</v>
      </c>
      <c r="L1240" s="245">
        <v>0</v>
      </c>
      <c r="M1240" s="245">
        <v>0</v>
      </c>
      <c r="N1240" s="245">
        <v>159.09270000000001</v>
      </c>
      <c r="O1240" s="245" t="s">
        <v>56</v>
      </c>
      <c r="P1240" s="245" t="s">
        <v>96</v>
      </c>
      <c r="Q1240" s="245" t="s">
        <v>750</v>
      </c>
      <c r="R1240" s="246" t="s">
        <v>679</v>
      </c>
    </row>
    <row r="1241" spans="1:18" ht="17.649999999999999" hidden="1" customHeight="1" x14ac:dyDescent="0.8">
      <c r="A1241" s="247">
        <v>41334</v>
      </c>
      <c r="B1241" s="248" t="s">
        <v>1623</v>
      </c>
      <c r="C1241" s="249" t="s">
        <v>1624</v>
      </c>
      <c r="D1241" s="245">
        <v>0</v>
      </c>
      <c r="E1241" s="245">
        <v>1</v>
      </c>
      <c r="F1241" s="245">
        <v>0</v>
      </c>
      <c r="G1241" s="245">
        <v>0</v>
      </c>
      <c r="H1241" s="245">
        <v>1</v>
      </c>
      <c r="I1241" s="245">
        <v>30</v>
      </c>
      <c r="J1241" s="245">
        <v>0</v>
      </c>
      <c r="K1241" s="245">
        <v>30</v>
      </c>
      <c r="L1241" s="245">
        <v>0</v>
      </c>
      <c r="M1241" s="245">
        <v>0</v>
      </c>
      <c r="N1241" s="245">
        <v>30</v>
      </c>
      <c r="O1241" s="245" t="s">
        <v>56</v>
      </c>
      <c r="P1241" s="245" t="s">
        <v>96</v>
      </c>
      <c r="Q1241" s="245" t="s">
        <v>521</v>
      </c>
      <c r="R1241" s="246" t="s">
        <v>679</v>
      </c>
    </row>
    <row r="1242" spans="1:18" ht="17.649999999999999" hidden="1" customHeight="1" x14ac:dyDescent="0.8">
      <c r="A1242" s="247">
        <v>41335</v>
      </c>
      <c r="B1242" s="248" t="s">
        <v>1625</v>
      </c>
      <c r="C1242" s="249" t="s">
        <v>55</v>
      </c>
      <c r="D1242" s="245">
        <v>0</v>
      </c>
      <c r="E1242" s="245">
        <v>1</v>
      </c>
      <c r="H1242" s="245">
        <v>1</v>
      </c>
      <c r="I1242" s="245">
        <v>0</v>
      </c>
      <c r="J1242" s="245">
        <v>0</v>
      </c>
      <c r="K1242" s="245">
        <v>0</v>
      </c>
      <c r="L1242" s="245">
        <v>0</v>
      </c>
      <c r="M1242" s="245">
        <v>0</v>
      </c>
      <c r="O1242" s="245" t="s">
        <v>56</v>
      </c>
      <c r="P1242" s="245" t="s">
        <v>96</v>
      </c>
      <c r="Q1242" s="245" t="s">
        <v>750</v>
      </c>
      <c r="R1242" s="246" t="s">
        <v>679</v>
      </c>
    </row>
    <row r="1243" spans="1:18" hidden="1" x14ac:dyDescent="0.8">
      <c r="A1243" s="247">
        <v>41336</v>
      </c>
      <c r="B1243" s="248" t="s">
        <v>1626</v>
      </c>
      <c r="C1243" s="249" t="s">
        <v>301</v>
      </c>
      <c r="D1243" s="245">
        <v>0</v>
      </c>
      <c r="E1243" s="245">
        <v>210</v>
      </c>
      <c r="H1243" s="245">
        <v>210</v>
      </c>
      <c r="I1243" s="245">
        <v>0.67666666666666664</v>
      </c>
      <c r="J1243" s="245">
        <v>0</v>
      </c>
      <c r="K1243" s="245">
        <v>142.1</v>
      </c>
      <c r="L1243" s="245">
        <v>0</v>
      </c>
      <c r="M1243" s="245">
        <v>0</v>
      </c>
      <c r="N1243" s="245">
        <v>142.1</v>
      </c>
      <c r="O1243" s="245" t="s">
        <v>56</v>
      </c>
      <c r="P1243" s="245" t="s">
        <v>96</v>
      </c>
      <c r="Q1243" s="245" t="s">
        <v>750</v>
      </c>
      <c r="R1243" s="246" t="s">
        <v>679</v>
      </c>
    </row>
    <row r="1244" spans="1:18" ht="26" x14ac:dyDescent="0.8">
      <c r="A1244" s="247">
        <v>414</v>
      </c>
      <c r="B1244" s="248" t="s">
        <v>1627</v>
      </c>
      <c r="D1244" s="245">
        <v>0</v>
      </c>
      <c r="R1244" s="246" t="s">
        <v>679</v>
      </c>
    </row>
    <row r="1245" spans="1:18" ht="30" customHeight="1" x14ac:dyDescent="0.8">
      <c r="A1245" s="247">
        <v>4141</v>
      </c>
      <c r="B1245" s="248" t="s">
        <v>1628</v>
      </c>
      <c r="D1245" s="245">
        <v>0</v>
      </c>
      <c r="R1245" s="246" t="s">
        <v>679</v>
      </c>
    </row>
    <row r="1246" spans="1:18" hidden="1" x14ac:dyDescent="0.8">
      <c r="A1246" s="247">
        <v>41411</v>
      </c>
      <c r="B1246" s="248" t="s">
        <v>1629</v>
      </c>
      <c r="C1246" s="249" t="s">
        <v>55</v>
      </c>
      <c r="D1246" s="245">
        <v>0</v>
      </c>
      <c r="E1246" s="245">
        <v>1</v>
      </c>
      <c r="H1246" s="245">
        <v>1</v>
      </c>
      <c r="I1246" s="245">
        <v>0</v>
      </c>
      <c r="J1246" s="245">
        <v>0</v>
      </c>
      <c r="K1246" s="245">
        <v>0</v>
      </c>
      <c r="L1246" s="245">
        <v>0</v>
      </c>
      <c r="M1246" s="245">
        <v>0</v>
      </c>
      <c r="O1246" s="245" t="s">
        <v>56</v>
      </c>
      <c r="P1246" s="245" t="s">
        <v>142</v>
      </c>
      <c r="Q1246" s="245" t="s">
        <v>1607</v>
      </c>
      <c r="R1246" s="246" t="s">
        <v>679</v>
      </c>
    </row>
    <row r="1247" spans="1:18" hidden="1" x14ac:dyDescent="0.8">
      <c r="A1247" s="247">
        <v>41412</v>
      </c>
      <c r="B1247" s="248" t="s">
        <v>1630</v>
      </c>
      <c r="C1247" s="249" t="s">
        <v>101</v>
      </c>
      <c r="D1247" s="245">
        <v>0</v>
      </c>
      <c r="E1247" s="245">
        <v>30</v>
      </c>
      <c r="H1247" s="245">
        <v>30</v>
      </c>
      <c r="I1247" s="245">
        <v>2.651545</v>
      </c>
      <c r="J1247" s="245">
        <v>0</v>
      </c>
      <c r="K1247" s="245">
        <v>79.546350000000004</v>
      </c>
      <c r="L1247" s="245">
        <v>0</v>
      </c>
      <c r="M1247" s="245">
        <v>0</v>
      </c>
      <c r="N1247" s="245">
        <v>79.546350000000004</v>
      </c>
      <c r="O1247" s="245" t="s">
        <v>56</v>
      </c>
      <c r="P1247" s="245" t="s">
        <v>142</v>
      </c>
      <c r="Q1247" s="245" t="s">
        <v>750</v>
      </c>
      <c r="R1247" s="246" t="s">
        <v>679</v>
      </c>
    </row>
    <row r="1248" spans="1:18" hidden="1" x14ac:dyDescent="0.8">
      <c r="A1248" s="247">
        <v>41413</v>
      </c>
      <c r="B1248" s="248" t="s">
        <v>51</v>
      </c>
      <c r="C1248" s="249" t="s">
        <v>301</v>
      </c>
      <c r="D1248" s="245">
        <v>0</v>
      </c>
      <c r="F1248" s="245">
        <v>3500</v>
      </c>
      <c r="H1248" s="245">
        <v>3500</v>
      </c>
      <c r="I1248" s="245">
        <v>0.67666666666666664</v>
      </c>
      <c r="J1248" s="245">
        <v>0</v>
      </c>
      <c r="K1248" s="245">
        <v>0</v>
      </c>
      <c r="L1248" s="245">
        <v>2368.333333333333</v>
      </c>
      <c r="M1248" s="245">
        <v>0</v>
      </c>
      <c r="N1248" s="245">
        <v>2368.333333333333</v>
      </c>
      <c r="O1248" s="245" t="s">
        <v>169</v>
      </c>
      <c r="P1248" s="245" t="s">
        <v>142</v>
      </c>
      <c r="Q1248" s="245" t="s">
        <v>750</v>
      </c>
      <c r="R1248" s="246" t="s">
        <v>679</v>
      </c>
    </row>
    <row r="1249" spans="1:18" ht="26" x14ac:dyDescent="0.8">
      <c r="A1249" s="247">
        <v>415</v>
      </c>
      <c r="B1249" s="248" t="s">
        <v>1631</v>
      </c>
      <c r="D1249" s="245">
        <v>0</v>
      </c>
      <c r="R1249" s="246" t="s">
        <v>679</v>
      </c>
    </row>
    <row r="1250" spans="1:18" x14ac:dyDescent="0.8">
      <c r="A1250" s="247">
        <v>4151</v>
      </c>
      <c r="B1250" s="248" t="s">
        <v>1632</v>
      </c>
      <c r="D1250" s="245">
        <v>0</v>
      </c>
      <c r="R1250" s="246" t="s">
        <v>679</v>
      </c>
    </row>
    <row r="1251" spans="1:18" ht="26" hidden="1" x14ac:dyDescent="0.8">
      <c r="A1251" s="247">
        <v>41511</v>
      </c>
      <c r="B1251" s="248" t="s">
        <v>1633</v>
      </c>
      <c r="D1251" s="245">
        <v>0</v>
      </c>
      <c r="H1251" s="245">
        <v>0</v>
      </c>
      <c r="I1251" s="245">
        <v>0</v>
      </c>
      <c r="J1251" s="245">
        <v>0</v>
      </c>
      <c r="K1251" s="245">
        <v>0</v>
      </c>
      <c r="L1251" s="245">
        <v>0</v>
      </c>
      <c r="M1251" s="245">
        <v>0</v>
      </c>
      <c r="O1251" s="245" t="s">
        <v>56</v>
      </c>
      <c r="P1251" s="245" t="s">
        <v>254</v>
      </c>
      <c r="Q1251" s="245" t="s">
        <v>1634</v>
      </c>
      <c r="R1251" s="246" t="s">
        <v>679</v>
      </c>
    </row>
    <row r="1252" spans="1:18" ht="26" hidden="1" x14ac:dyDescent="0.8">
      <c r="A1252" s="247">
        <v>41512</v>
      </c>
      <c r="B1252" s="248" t="s">
        <v>1635</v>
      </c>
      <c r="C1252" s="249" t="s">
        <v>1636</v>
      </c>
      <c r="D1252" s="245">
        <v>0</v>
      </c>
      <c r="H1252" s="245">
        <v>0</v>
      </c>
      <c r="I1252" s="245">
        <v>3</v>
      </c>
      <c r="J1252" s="245">
        <v>0</v>
      </c>
      <c r="K1252" s="245">
        <v>0</v>
      </c>
      <c r="L1252" s="245">
        <v>0</v>
      </c>
      <c r="M1252" s="245">
        <v>0</v>
      </c>
      <c r="N1252" s="245">
        <v>0</v>
      </c>
      <c r="O1252" s="245" t="s">
        <v>56</v>
      </c>
      <c r="P1252" s="245" t="s">
        <v>254</v>
      </c>
      <c r="Q1252" s="245" t="s">
        <v>521</v>
      </c>
      <c r="R1252" s="246" t="s">
        <v>679</v>
      </c>
    </row>
    <row r="1253" spans="1:18" hidden="1" x14ac:dyDescent="0.8">
      <c r="A1253" s="247">
        <v>41513</v>
      </c>
      <c r="B1253" s="248" t="s">
        <v>1637</v>
      </c>
      <c r="C1253" s="249" t="s">
        <v>1639</v>
      </c>
      <c r="D1253" s="245">
        <v>0</v>
      </c>
      <c r="H1253" s="245">
        <v>0</v>
      </c>
      <c r="I1253" s="245">
        <v>0.47249999999999998</v>
      </c>
      <c r="J1253" s="245">
        <v>0</v>
      </c>
      <c r="K1253" s="245">
        <v>0</v>
      </c>
      <c r="L1253" s="245">
        <v>0</v>
      </c>
      <c r="M1253" s="245">
        <v>0</v>
      </c>
      <c r="N1253" s="245">
        <v>0</v>
      </c>
      <c r="O1253" s="245" t="s">
        <v>56</v>
      </c>
      <c r="R1253" s="246" t="s">
        <v>679</v>
      </c>
    </row>
    <row r="1254" spans="1:18" hidden="1" x14ac:dyDescent="0.8">
      <c r="A1254" s="247">
        <v>41514</v>
      </c>
      <c r="B1254" s="248" t="s">
        <v>1640</v>
      </c>
      <c r="C1254" s="249" t="s">
        <v>59</v>
      </c>
      <c r="D1254" s="245">
        <v>0</v>
      </c>
      <c r="F1254" s="245">
        <v>3600</v>
      </c>
      <c r="G1254" s="245">
        <v>500</v>
      </c>
      <c r="H1254" s="245">
        <v>4100</v>
      </c>
      <c r="I1254" s="245">
        <v>0.8177777777777776</v>
      </c>
      <c r="J1254" s="245">
        <v>0</v>
      </c>
      <c r="K1254" s="245">
        <v>0</v>
      </c>
      <c r="L1254" s="245">
        <v>2943.9999999999995</v>
      </c>
      <c r="M1254" s="245">
        <v>408.8888888888888</v>
      </c>
      <c r="N1254" s="245">
        <v>3352.8888888888882</v>
      </c>
      <c r="O1254" s="245" t="s">
        <v>169</v>
      </c>
      <c r="P1254" s="245" t="s">
        <v>254</v>
      </c>
      <c r="Q1254" s="245" t="s">
        <v>1641</v>
      </c>
      <c r="R1254" s="246" t="s">
        <v>679</v>
      </c>
    </row>
    <row r="1255" spans="1:18" ht="26" x14ac:dyDescent="0.8">
      <c r="A1255" s="247">
        <v>4152</v>
      </c>
      <c r="B1255" s="248" t="s">
        <v>1642</v>
      </c>
      <c r="D1255" s="245">
        <v>0</v>
      </c>
      <c r="R1255" s="246" t="s">
        <v>679</v>
      </c>
    </row>
    <row r="1256" spans="1:18" hidden="1" x14ac:dyDescent="0.8">
      <c r="A1256" s="247">
        <v>41521</v>
      </c>
      <c r="B1256" s="248" t="s">
        <v>1643</v>
      </c>
      <c r="C1256" s="249" t="s">
        <v>101</v>
      </c>
      <c r="D1256" s="245">
        <v>0</v>
      </c>
      <c r="H1256" s="245">
        <v>0</v>
      </c>
      <c r="I1256" s="245">
        <v>2.651545</v>
      </c>
      <c r="J1256" s="245">
        <v>0</v>
      </c>
      <c r="K1256" s="245">
        <v>0</v>
      </c>
      <c r="L1256" s="245">
        <v>0</v>
      </c>
      <c r="M1256" s="245">
        <v>0</v>
      </c>
      <c r="N1256" s="245">
        <v>0</v>
      </c>
      <c r="O1256" s="245" t="s">
        <v>56</v>
      </c>
      <c r="P1256" s="245" t="s">
        <v>254</v>
      </c>
      <c r="Q1256" s="245" t="s">
        <v>1641</v>
      </c>
      <c r="R1256" s="246" t="s">
        <v>679</v>
      </c>
    </row>
    <row r="1257" spans="1:18" ht="26" hidden="1" x14ac:dyDescent="0.8">
      <c r="A1257" s="247">
        <v>41522</v>
      </c>
      <c r="B1257" s="248" t="s">
        <v>1644</v>
      </c>
      <c r="C1257" s="249" t="s">
        <v>73</v>
      </c>
      <c r="D1257" s="245">
        <v>0</v>
      </c>
      <c r="F1257" s="245">
        <v>56</v>
      </c>
      <c r="G1257" s="245">
        <v>49</v>
      </c>
      <c r="H1257" s="245">
        <v>105</v>
      </c>
      <c r="I1257" s="245">
        <v>0.4</v>
      </c>
      <c r="J1257" s="245">
        <v>0</v>
      </c>
      <c r="K1257" s="245">
        <v>0</v>
      </c>
      <c r="L1257" s="245">
        <v>22.400000000000002</v>
      </c>
      <c r="M1257" s="245">
        <v>19.600000000000001</v>
      </c>
      <c r="N1257" s="245">
        <v>42</v>
      </c>
      <c r="O1257" s="245" t="s">
        <v>169</v>
      </c>
      <c r="P1257" s="245" t="s">
        <v>254</v>
      </c>
      <c r="Q1257" s="245" t="s">
        <v>1612</v>
      </c>
      <c r="R1257" s="246" t="s">
        <v>679</v>
      </c>
    </row>
    <row r="1258" spans="1:18" hidden="1" x14ac:dyDescent="0.8">
      <c r="A1258" s="247">
        <v>41523</v>
      </c>
      <c r="B1258" s="248" t="s">
        <v>1646</v>
      </c>
      <c r="C1258" s="249" t="s">
        <v>55</v>
      </c>
      <c r="D1258" s="245">
        <v>0</v>
      </c>
      <c r="E1258" s="245">
        <v>60</v>
      </c>
      <c r="F1258" s="245">
        <v>60</v>
      </c>
      <c r="G1258" s="245">
        <v>60</v>
      </c>
      <c r="H1258" s="245">
        <v>180</v>
      </c>
      <c r="I1258" s="245">
        <v>0</v>
      </c>
      <c r="J1258" s="245">
        <v>0</v>
      </c>
      <c r="K1258" s="245">
        <v>0</v>
      </c>
      <c r="L1258" s="245">
        <v>0</v>
      </c>
      <c r="M1258" s="245">
        <v>0</v>
      </c>
      <c r="O1258" s="245" t="s">
        <v>56</v>
      </c>
      <c r="P1258" s="245" t="s">
        <v>255</v>
      </c>
      <c r="Q1258" s="245" t="s">
        <v>1647</v>
      </c>
      <c r="R1258" s="246" t="s">
        <v>679</v>
      </c>
    </row>
    <row r="1259" spans="1:18" ht="26" x14ac:dyDescent="0.8">
      <c r="A1259" s="247">
        <v>4153</v>
      </c>
      <c r="B1259" s="248" t="s">
        <v>1648</v>
      </c>
      <c r="D1259" s="245">
        <v>0</v>
      </c>
      <c r="R1259" s="246" t="s">
        <v>679</v>
      </c>
    </row>
    <row r="1260" spans="1:18" hidden="1" x14ac:dyDescent="0.8">
      <c r="A1260" s="247">
        <v>41531</v>
      </c>
      <c r="B1260" s="248" t="s">
        <v>1649</v>
      </c>
      <c r="C1260" s="249" t="s">
        <v>646</v>
      </c>
      <c r="D1260" s="245">
        <v>0</v>
      </c>
      <c r="H1260" s="245">
        <v>0</v>
      </c>
      <c r="I1260" s="245">
        <v>10.404797</v>
      </c>
      <c r="J1260" s="245">
        <v>0</v>
      </c>
      <c r="K1260" s="245">
        <v>0</v>
      </c>
      <c r="L1260" s="245">
        <v>0</v>
      </c>
      <c r="M1260" s="245">
        <v>0</v>
      </c>
      <c r="N1260" s="245">
        <v>0</v>
      </c>
      <c r="O1260" s="245" t="s">
        <v>56</v>
      </c>
      <c r="P1260" s="245" t="s">
        <v>255</v>
      </c>
      <c r="Q1260" s="245" t="s">
        <v>1650</v>
      </c>
      <c r="R1260" s="246" t="s">
        <v>679</v>
      </c>
    </row>
    <row r="1261" spans="1:18" ht="17.649999999999999" hidden="1" customHeight="1" x14ac:dyDescent="0.8">
      <c r="A1261" s="247">
        <v>41532</v>
      </c>
      <c r="B1261" s="248" t="s">
        <v>1651</v>
      </c>
      <c r="C1261" s="249" t="s">
        <v>55</v>
      </c>
      <c r="D1261" s="245">
        <v>0</v>
      </c>
      <c r="E1261" s="245">
        <v>1</v>
      </c>
      <c r="H1261" s="245">
        <v>1</v>
      </c>
      <c r="I1261" s="245">
        <v>0</v>
      </c>
      <c r="J1261" s="245">
        <v>0</v>
      </c>
      <c r="K1261" s="245">
        <v>0</v>
      </c>
      <c r="L1261" s="245">
        <v>0</v>
      </c>
      <c r="M1261" s="245">
        <v>0</v>
      </c>
      <c r="O1261" s="245" t="s">
        <v>56</v>
      </c>
      <c r="P1261" s="245" t="s">
        <v>255</v>
      </c>
      <c r="Q1261" s="245" t="s">
        <v>1647</v>
      </c>
      <c r="R1261" s="246" t="s">
        <v>679</v>
      </c>
    </row>
    <row r="1262" spans="1:18" ht="26" hidden="1" x14ac:dyDescent="0.8">
      <c r="A1262" s="247">
        <v>41533</v>
      </c>
      <c r="B1262" s="248" t="s">
        <v>1652</v>
      </c>
      <c r="C1262" s="249" t="s">
        <v>55</v>
      </c>
      <c r="D1262" s="245">
        <v>0</v>
      </c>
      <c r="E1262" s="245">
        <v>1</v>
      </c>
      <c r="F1262" s="245">
        <v>1</v>
      </c>
      <c r="H1262" s="245">
        <v>2</v>
      </c>
      <c r="I1262" s="245">
        <v>0</v>
      </c>
      <c r="J1262" s="245">
        <v>0</v>
      </c>
      <c r="K1262" s="245">
        <v>0</v>
      </c>
      <c r="L1262" s="245">
        <v>0</v>
      </c>
      <c r="M1262" s="245">
        <v>0</v>
      </c>
      <c r="O1262" s="245" t="s">
        <v>56</v>
      </c>
      <c r="P1262" s="245" t="s">
        <v>255</v>
      </c>
      <c r="Q1262" s="245" t="s">
        <v>1647</v>
      </c>
      <c r="R1262" s="246" t="s">
        <v>679</v>
      </c>
    </row>
    <row r="1263" spans="1:18" ht="26" hidden="1" x14ac:dyDescent="0.8">
      <c r="A1263" s="247">
        <v>41534</v>
      </c>
      <c r="B1263" s="248" t="s">
        <v>1653</v>
      </c>
      <c r="C1263" s="249" t="s">
        <v>55</v>
      </c>
      <c r="D1263" s="245">
        <v>0</v>
      </c>
      <c r="E1263" s="245">
        <v>1</v>
      </c>
      <c r="F1263" s="245">
        <v>1</v>
      </c>
      <c r="H1263" s="245">
        <v>2</v>
      </c>
      <c r="I1263" s="245">
        <v>0</v>
      </c>
      <c r="J1263" s="245">
        <v>0</v>
      </c>
      <c r="K1263" s="245">
        <v>0</v>
      </c>
      <c r="L1263" s="245">
        <v>0</v>
      </c>
      <c r="M1263" s="245">
        <v>0</v>
      </c>
      <c r="O1263" s="245" t="s">
        <v>56</v>
      </c>
      <c r="P1263" s="245" t="s">
        <v>255</v>
      </c>
      <c r="Q1263" s="245" t="s">
        <v>1647</v>
      </c>
      <c r="R1263" s="246" t="s">
        <v>679</v>
      </c>
    </row>
    <row r="1264" spans="1:18" hidden="1" x14ac:dyDescent="0.8">
      <c r="A1264" s="247">
        <v>41535</v>
      </c>
      <c r="B1264" s="248" t="s">
        <v>1654</v>
      </c>
      <c r="C1264" s="249" t="s">
        <v>1656</v>
      </c>
      <c r="D1264" s="245">
        <v>0</v>
      </c>
      <c r="E1264" s="245">
        <v>0.819592066087932</v>
      </c>
      <c r="F1264" s="245">
        <v>0.86057166939232899</v>
      </c>
      <c r="G1264" s="245">
        <v>0.90360025286194501</v>
      </c>
      <c r="H1264" s="245">
        <v>2.5837639883422061</v>
      </c>
      <c r="I1264" s="245">
        <v>52229.201482749202</v>
      </c>
      <c r="J1264" s="245">
        <v>0</v>
      </c>
      <c r="K1264" s="245">
        <v>42806.639153369302</v>
      </c>
      <c r="L1264" s="245">
        <v>44946.971111037783</v>
      </c>
      <c r="M1264" s="245">
        <v>47194.319666589654</v>
      </c>
      <c r="N1264" s="245">
        <v>134947.92993099673</v>
      </c>
      <c r="O1264" s="245" t="s">
        <v>56</v>
      </c>
      <c r="P1264" s="245" t="s">
        <v>255</v>
      </c>
      <c r="Q1264" s="245" t="s">
        <v>1647</v>
      </c>
      <c r="R1264" s="246" t="s">
        <v>679</v>
      </c>
    </row>
    <row r="1265" spans="1:18" hidden="1" x14ac:dyDescent="0.8">
      <c r="A1265" s="247">
        <v>41536</v>
      </c>
      <c r="B1265" s="248" t="s">
        <v>1657</v>
      </c>
      <c r="C1265" s="249" t="s">
        <v>1659</v>
      </c>
      <c r="D1265" s="245">
        <v>0</v>
      </c>
      <c r="E1265" s="245">
        <v>1.0499955966152299</v>
      </c>
      <c r="F1265" s="245">
        <v>1.0392349721510801</v>
      </c>
      <c r="G1265" s="245">
        <v>1.0261856965719001</v>
      </c>
      <c r="H1265" s="245">
        <v>3.1154162653382103</v>
      </c>
      <c r="I1265" s="245">
        <v>61533.247835278897</v>
      </c>
      <c r="J1265" s="245">
        <v>0</v>
      </c>
      <c r="K1265" s="245">
        <v>64609.639272476466</v>
      </c>
      <c r="L1265" s="245">
        <v>63947.503100461574</v>
      </c>
      <c r="M1265" s="245">
        <v>63144.538792177038</v>
      </c>
      <c r="N1265" s="245">
        <v>191701.68116511509</v>
      </c>
      <c r="O1265" s="245" t="s">
        <v>56</v>
      </c>
      <c r="P1265" s="245" t="s">
        <v>255</v>
      </c>
      <c r="Q1265" s="245" t="s">
        <v>1647</v>
      </c>
      <c r="R1265" s="246" t="s">
        <v>679</v>
      </c>
    </row>
    <row r="1266" spans="1:18" ht="26" hidden="1" x14ac:dyDescent="0.8">
      <c r="A1266" s="247">
        <v>41537</v>
      </c>
      <c r="B1266" s="248" t="s">
        <v>1660</v>
      </c>
      <c r="C1266" s="249" t="s">
        <v>1661</v>
      </c>
      <c r="D1266" s="245">
        <v>0</v>
      </c>
      <c r="E1266" s="245">
        <v>0</v>
      </c>
      <c r="F1266" s="245">
        <v>0</v>
      </c>
      <c r="G1266" s="245">
        <v>0</v>
      </c>
      <c r="H1266" s="245">
        <v>0</v>
      </c>
      <c r="I1266" s="245">
        <v>91174.7</v>
      </c>
      <c r="J1266" s="245">
        <v>0</v>
      </c>
      <c r="K1266" s="245">
        <v>0</v>
      </c>
      <c r="L1266" s="245">
        <v>0</v>
      </c>
      <c r="M1266" s="245">
        <v>0</v>
      </c>
      <c r="N1266" s="245">
        <v>0</v>
      </c>
      <c r="O1266" s="245" t="s">
        <v>56</v>
      </c>
      <c r="P1266" s="245" t="s">
        <v>255</v>
      </c>
      <c r="Q1266" s="245" t="s">
        <v>1647</v>
      </c>
      <c r="R1266" s="246" t="s">
        <v>679</v>
      </c>
    </row>
    <row r="1267" spans="1:18" x14ac:dyDescent="0.8">
      <c r="A1267" s="247">
        <v>416</v>
      </c>
      <c r="B1267" s="248" t="s">
        <v>1662</v>
      </c>
      <c r="D1267" s="245">
        <v>0</v>
      </c>
      <c r="R1267" s="246" t="s">
        <v>679</v>
      </c>
    </row>
    <row r="1268" spans="1:18" x14ac:dyDescent="0.8">
      <c r="A1268" s="247">
        <v>4161</v>
      </c>
      <c r="B1268" s="248" t="s">
        <v>1663</v>
      </c>
      <c r="D1268" s="245">
        <v>0</v>
      </c>
      <c r="R1268" s="246" t="s">
        <v>679</v>
      </c>
    </row>
    <row r="1269" spans="1:18" ht="26" hidden="1" x14ac:dyDescent="0.8">
      <c r="A1269" s="247">
        <v>41611</v>
      </c>
      <c r="B1269" s="248" t="s">
        <v>1664</v>
      </c>
      <c r="C1269" s="249" t="s">
        <v>55</v>
      </c>
      <c r="D1269" s="245">
        <v>0</v>
      </c>
      <c r="F1269" s="245">
        <v>1</v>
      </c>
      <c r="G1269" s="245">
        <v>1</v>
      </c>
      <c r="H1269" s="245">
        <v>2</v>
      </c>
      <c r="I1269" s="245">
        <v>0</v>
      </c>
      <c r="J1269" s="245">
        <v>0</v>
      </c>
      <c r="K1269" s="245">
        <v>0</v>
      </c>
      <c r="L1269" s="245">
        <v>0</v>
      </c>
      <c r="M1269" s="245">
        <v>0</v>
      </c>
      <c r="O1269" s="245" t="s">
        <v>169</v>
      </c>
      <c r="P1269" s="245" t="s">
        <v>255</v>
      </c>
      <c r="Q1269" s="245" t="s">
        <v>1665</v>
      </c>
      <c r="R1269" s="246" t="s">
        <v>679</v>
      </c>
    </row>
    <row r="1270" spans="1:18" x14ac:dyDescent="0.8">
      <c r="A1270" s="247">
        <v>4162</v>
      </c>
      <c r="B1270" s="248" t="s">
        <v>1666</v>
      </c>
      <c r="D1270" s="245">
        <v>0</v>
      </c>
      <c r="R1270" s="246" t="s">
        <v>679</v>
      </c>
    </row>
    <row r="1271" spans="1:18" hidden="1" x14ac:dyDescent="0.8">
      <c r="A1271" s="247">
        <v>41612</v>
      </c>
      <c r="B1271" s="248" t="s">
        <v>1667</v>
      </c>
      <c r="C1271" s="249" t="s">
        <v>55</v>
      </c>
      <c r="D1271" s="245">
        <v>0</v>
      </c>
      <c r="E1271" s="245">
        <v>1</v>
      </c>
      <c r="F1271" s="245">
        <v>1</v>
      </c>
      <c r="G1271" s="245">
        <v>1</v>
      </c>
      <c r="I1271" s="245">
        <v>0</v>
      </c>
      <c r="O1271" s="245" t="s">
        <v>56</v>
      </c>
      <c r="P1271" s="245" t="s">
        <v>255</v>
      </c>
      <c r="Q1271" s="245" t="s">
        <v>1665</v>
      </c>
      <c r="R1271" s="246" t="s">
        <v>679</v>
      </c>
    </row>
    <row r="1272" spans="1:18" x14ac:dyDescent="0.8">
      <c r="A1272" s="247">
        <v>417</v>
      </c>
      <c r="B1272" s="248" t="s">
        <v>1668</v>
      </c>
      <c r="D1272" s="245">
        <v>0</v>
      </c>
      <c r="R1272" s="246" t="s">
        <v>679</v>
      </c>
    </row>
    <row r="1273" spans="1:18" ht="26" x14ac:dyDescent="0.8">
      <c r="A1273" s="247">
        <v>4171</v>
      </c>
      <c r="B1273" s="248" t="s">
        <v>1669</v>
      </c>
      <c r="D1273" s="245">
        <v>0</v>
      </c>
      <c r="R1273" s="246" t="s">
        <v>679</v>
      </c>
    </row>
    <row r="1274" spans="1:18" hidden="1" x14ac:dyDescent="0.8">
      <c r="A1274" s="247">
        <v>41711</v>
      </c>
      <c r="B1274" s="248" t="s">
        <v>1630</v>
      </c>
      <c r="C1274" s="249" t="s">
        <v>646</v>
      </c>
      <c r="D1274" s="245">
        <v>0</v>
      </c>
      <c r="F1274" s="245">
        <v>1000</v>
      </c>
      <c r="G1274" s="245">
        <v>400</v>
      </c>
      <c r="H1274" s="245">
        <v>1400</v>
      </c>
      <c r="I1274" s="245">
        <v>10.404797</v>
      </c>
      <c r="J1274" s="245">
        <v>0</v>
      </c>
      <c r="K1274" s="245">
        <v>0</v>
      </c>
      <c r="L1274" s="245">
        <v>10404.797</v>
      </c>
      <c r="M1274" s="245">
        <v>4161.9188000000004</v>
      </c>
      <c r="N1274" s="245">
        <v>14566.715800000002</v>
      </c>
      <c r="O1274" s="245" t="s">
        <v>169</v>
      </c>
      <c r="P1274" s="245" t="s">
        <v>96</v>
      </c>
      <c r="Q1274" s="245" t="s">
        <v>1650</v>
      </c>
      <c r="R1274" s="246" t="s">
        <v>679</v>
      </c>
    </row>
    <row r="1275" spans="1:18" ht="17.649999999999999" hidden="1" customHeight="1" x14ac:dyDescent="0.8">
      <c r="A1275" s="247">
        <v>41712</v>
      </c>
      <c r="B1275" s="248" t="s">
        <v>1670</v>
      </c>
      <c r="C1275" s="249" t="s">
        <v>301</v>
      </c>
      <c r="D1275" s="245">
        <v>0</v>
      </c>
      <c r="F1275" s="245">
        <v>1250</v>
      </c>
      <c r="G1275" s="245">
        <v>1125</v>
      </c>
      <c r="H1275" s="245">
        <v>2375</v>
      </c>
      <c r="I1275" s="245">
        <v>0.67666666666666664</v>
      </c>
      <c r="J1275" s="245">
        <v>0</v>
      </c>
      <c r="K1275" s="245">
        <v>0</v>
      </c>
      <c r="L1275" s="245">
        <v>845.83333333333326</v>
      </c>
      <c r="M1275" s="245">
        <v>761.25</v>
      </c>
      <c r="N1275" s="245">
        <v>1607.0833333333333</v>
      </c>
      <c r="O1275" s="245" t="s">
        <v>169</v>
      </c>
      <c r="P1275" s="245" t="s">
        <v>142</v>
      </c>
      <c r="Q1275" s="245" t="s">
        <v>521</v>
      </c>
      <c r="R1275" s="246" t="s">
        <v>679</v>
      </c>
    </row>
    <row r="1276" spans="1:18" ht="17.649999999999999" customHeight="1" x14ac:dyDescent="0.8">
      <c r="A1276" s="247">
        <v>418</v>
      </c>
      <c r="B1276" s="248" t="s">
        <v>1671</v>
      </c>
      <c r="D1276" s="245">
        <v>0</v>
      </c>
      <c r="R1276" s="246" t="s">
        <v>679</v>
      </c>
    </row>
    <row r="1277" spans="1:18" ht="39" x14ac:dyDescent="0.8">
      <c r="A1277" s="247">
        <v>4181</v>
      </c>
      <c r="B1277" s="248" t="s">
        <v>1672</v>
      </c>
      <c r="D1277" s="245">
        <v>0</v>
      </c>
      <c r="R1277" s="246" t="s">
        <v>679</v>
      </c>
    </row>
    <row r="1278" spans="1:18" ht="26" hidden="1" x14ac:dyDescent="0.8">
      <c r="A1278" s="247">
        <v>41811</v>
      </c>
      <c r="B1278" s="248" t="s">
        <v>1673</v>
      </c>
      <c r="C1278" s="249" t="s">
        <v>646</v>
      </c>
      <c r="D1278" s="245">
        <v>0</v>
      </c>
      <c r="E1278" s="245">
        <v>30</v>
      </c>
      <c r="H1278" s="245">
        <v>30</v>
      </c>
      <c r="I1278" s="245">
        <v>10.404797</v>
      </c>
      <c r="J1278" s="245">
        <v>0</v>
      </c>
      <c r="K1278" s="245">
        <v>312.14391000000001</v>
      </c>
      <c r="L1278" s="245">
        <v>0</v>
      </c>
      <c r="M1278" s="245">
        <v>0</v>
      </c>
      <c r="N1278" s="245">
        <v>312.14391000000001</v>
      </c>
      <c r="O1278" s="245" t="s">
        <v>56</v>
      </c>
      <c r="P1278" s="245" t="s">
        <v>1665</v>
      </c>
      <c r="Q1278" s="245" t="s">
        <v>1650</v>
      </c>
      <c r="R1278" s="246" t="s">
        <v>679</v>
      </c>
    </row>
    <row r="1279" spans="1:18" ht="26" hidden="1" x14ac:dyDescent="0.8">
      <c r="A1279" s="247">
        <v>41812</v>
      </c>
      <c r="B1279" s="248" t="s">
        <v>1674</v>
      </c>
      <c r="C1279" s="249" t="s">
        <v>59</v>
      </c>
      <c r="D1279" s="245">
        <v>0</v>
      </c>
      <c r="F1279" s="245">
        <v>1200</v>
      </c>
      <c r="G1279" s="245">
        <v>1200</v>
      </c>
      <c r="H1279" s="245">
        <v>2400</v>
      </c>
      <c r="I1279" s="245">
        <v>0.8177777777777776</v>
      </c>
      <c r="J1279" s="245">
        <v>0</v>
      </c>
      <c r="K1279" s="245">
        <v>0</v>
      </c>
      <c r="L1279" s="245">
        <v>981.33333333333314</v>
      </c>
      <c r="M1279" s="245">
        <v>981.33333333333314</v>
      </c>
      <c r="N1279" s="245">
        <v>1962.6666666666663</v>
      </c>
      <c r="O1279" s="245" t="s">
        <v>169</v>
      </c>
      <c r="P1279" s="245" t="s">
        <v>1665</v>
      </c>
      <c r="Q1279" s="245" t="s">
        <v>1607</v>
      </c>
      <c r="R1279" s="246" t="s">
        <v>679</v>
      </c>
    </row>
    <row r="1280" spans="1:18" hidden="1" x14ac:dyDescent="0.8">
      <c r="A1280" s="247">
        <v>41813</v>
      </c>
      <c r="B1280" s="248" t="s">
        <v>1676</v>
      </c>
      <c r="C1280" s="249" t="s">
        <v>295</v>
      </c>
      <c r="D1280" s="245">
        <v>0</v>
      </c>
      <c r="F1280" s="245">
        <v>30</v>
      </c>
      <c r="H1280" s="245">
        <v>30</v>
      </c>
      <c r="I1280" s="245">
        <v>40.32</v>
      </c>
      <c r="J1280" s="245">
        <v>0</v>
      </c>
      <c r="K1280" s="245">
        <v>0</v>
      </c>
      <c r="L1280" s="245">
        <v>1209.5999999999999</v>
      </c>
      <c r="M1280" s="245">
        <v>0</v>
      </c>
      <c r="N1280" s="245">
        <v>1209.5999999999999</v>
      </c>
      <c r="O1280" s="245" t="s">
        <v>56</v>
      </c>
      <c r="P1280" s="245" t="s">
        <v>255</v>
      </c>
      <c r="Q1280" s="245" t="s">
        <v>521</v>
      </c>
      <c r="R1280" s="246" t="s">
        <v>679</v>
      </c>
    </row>
    <row r="1281" spans="1:18" ht="26" x14ac:dyDescent="0.8">
      <c r="A1281" s="247">
        <v>419</v>
      </c>
      <c r="B1281" s="248" t="s">
        <v>1678</v>
      </c>
      <c r="D1281" s="245">
        <v>0</v>
      </c>
      <c r="R1281" s="246" t="s">
        <v>679</v>
      </c>
    </row>
    <row r="1282" spans="1:18" ht="17.649999999999999" customHeight="1" x14ac:dyDescent="0.8">
      <c r="A1282" s="247">
        <v>4191</v>
      </c>
      <c r="B1282" s="248" t="s">
        <v>1679</v>
      </c>
      <c r="D1282" s="245">
        <v>0</v>
      </c>
      <c r="R1282" s="246" t="s">
        <v>679</v>
      </c>
    </row>
    <row r="1283" spans="1:18" ht="26" hidden="1" x14ac:dyDescent="0.8">
      <c r="A1283" s="247">
        <v>41911</v>
      </c>
      <c r="B1283" s="248" t="s">
        <v>1680</v>
      </c>
      <c r="C1283" s="249" t="s">
        <v>101</v>
      </c>
      <c r="D1283" s="245">
        <v>0</v>
      </c>
      <c r="E1283" s="245">
        <v>30</v>
      </c>
      <c r="H1283" s="245">
        <v>30</v>
      </c>
      <c r="I1283" s="245">
        <v>2.651545</v>
      </c>
      <c r="J1283" s="245">
        <v>0</v>
      </c>
      <c r="K1283" s="245">
        <v>79.546350000000004</v>
      </c>
      <c r="L1283" s="245">
        <v>0</v>
      </c>
      <c r="M1283" s="245">
        <v>0</v>
      </c>
      <c r="N1283" s="245">
        <v>79.546350000000004</v>
      </c>
      <c r="O1283" s="245" t="s">
        <v>56</v>
      </c>
      <c r="P1283" s="245" t="s">
        <v>96</v>
      </c>
      <c r="Q1283" s="245" t="s">
        <v>1650</v>
      </c>
      <c r="R1283" s="246" t="s">
        <v>679</v>
      </c>
    </row>
    <row r="1284" spans="1:18" hidden="1" x14ac:dyDescent="0.8">
      <c r="A1284" s="247">
        <v>41912</v>
      </c>
      <c r="B1284" s="248" t="s">
        <v>1681</v>
      </c>
      <c r="C1284" s="249" t="s">
        <v>301</v>
      </c>
      <c r="D1284" s="245">
        <v>0</v>
      </c>
      <c r="F1284" s="245">
        <v>1000</v>
      </c>
      <c r="G1284" s="245">
        <v>1000</v>
      </c>
      <c r="H1284" s="245">
        <v>2000</v>
      </c>
      <c r="I1284" s="245">
        <v>0.67666666666666664</v>
      </c>
      <c r="J1284" s="245">
        <v>0</v>
      </c>
      <c r="K1284" s="245">
        <v>0</v>
      </c>
      <c r="L1284" s="245">
        <v>676.66666666666663</v>
      </c>
      <c r="M1284" s="245">
        <v>676.66666666666663</v>
      </c>
      <c r="N1284" s="245">
        <v>1353.3333333333333</v>
      </c>
      <c r="O1284" s="245" t="s">
        <v>169</v>
      </c>
      <c r="P1284" s="245" t="s">
        <v>142</v>
      </c>
      <c r="Q1284" s="245" t="s">
        <v>1607</v>
      </c>
      <c r="R1284" s="246" t="s">
        <v>679</v>
      </c>
    </row>
    <row r="1285" spans="1:18" ht="26" hidden="1" x14ac:dyDescent="0.8">
      <c r="A1285" s="247">
        <v>41913</v>
      </c>
      <c r="B1285" s="248" t="s">
        <v>1682</v>
      </c>
      <c r="C1285" s="249" t="s">
        <v>662</v>
      </c>
      <c r="D1285" s="245">
        <v>0</v>
      </c>
      <c r="F1285" s="245">
        <v>10</v>
      </c>
      <c r="G1285" s="245">
        <v>10</v>
      </c>
      <c r="H1285" s="245">
        <v>20</v>
      </c>
      <c r="I1285" s="245">
        <v>219.54797350000001</v>
      </c>
      <c r="J1285" s="245">
        <v>0</v>
      </c>
      <c r="K1285" s="245">
        <v>0</v>
      </c>
      <c r="L1285" s="245">
        <v>2195.4797349999999</v>
      </c>
      <c r="M1285" s="245">
        <v>2195.4797349999999</v>
      </c>
      <c r="N1285" s="245">
        <v>4390.9594699999998</v>
      </c>
      <c r="O1285" s="245" t="s">
        <v>169</v>
      </c>
      <c r="P1285" s="245" t="s">
        <v>96</v>
      </c>
      <c r="Q1285" s="245" t="s">
        <v>750</v>
      </c>
      <c r="R1285" s="246" t="s">
        <v>679</v>
      </c>
    </row>
    <row r="1286" spans="1:18" ht="26" x14ac:dyDescent="0.8">
      <c r="A1286" s="247">
        <v>4192</v>
      </c>
      <c r="B1286" s="248" t="s">
        <v>1683</v>
      </c>
      <c r="D1286" s="245">
        <v>0</v>
      </c>
      <c r="R1286" s="246" t="s">
        <v>679</v>
      </c>
    </row>
    <row r="1287" spans="1:18" ht="39" hidden="1" x14ac:dyDescent="0.8">
      <c r="A1287" s="247">
        <v>41921</v>
      </c>
      <c r="B1287" s="248" t="s">
        <v>1684</v>
      </c>
      <c r="C1287" s="249" t="s">
        <v>55</v>
      </c>
      <c r="D1287" s="245">
        <v>0</v>
      </c>
      <c r="E1287" s="245">
        <v>1</v>
      </c>
      <c r="F1287" s="245">
        <v>1</v>
      </c>
      <c r="H1287" s="245">
        <v>2</v>
      </c>
      <c r="I1287" s="245">
        <v>0</v>
      </c>
      <c r="J1287" s="245">
        <v>0</v>
      </c>
      <c r="K1287" s="245">
        <v>0</v>
      </c>
      <c r="L1287" s="245">
        <v>0</v>
      </c>
      <c r="M1287" s="245">
        <v>0</v>
      </c>
      <c r="O1287" s="245" t="s">
        <v>56</v>
      </c>
      <c r="P1287" s="245" t="s">
        <v>96</v>
      </c>
      <c r="Q1287" s="245" t="s">
        <v>1650</v>
      </c>
      <c r="R1287" s="246" t="s">
        <v>679</v>
      </c>
    </row>
    <row r="1288" spans="1:18" ht="26" hidden="1" x14ac:dyDescent="0.8">
      <c r="A1288" s="247">
        <v>41922</v>
      </c>
      <c r="B1288" s="248" t="s">
        <v>1685</v>
      </c>
      <c r="C1288" s="249" t="s">
        <v>55</v>
      </c>
      <c r="D1288" s="245">
        <v>0</v>
      </c>
      <c r="E1288" s="245">
        <v>1</v>
      </c>
      <c r="F1288" s="245">
        <v>1</v>
      </c>
      <c r="H1288" s="245">
        <v>2</v>
      </c>
      <c r="I1288" s="245">
        <v>0</v>
      </c>
      <c r="J1288" s="245">
        <v>0</v>
      </c>
      <c r="K1288" s="245">
        <v>0</v>
      </c>
      <c r="L1288" s="245">
        <v>0</v>
      </c>
      <c r="M1288" s="245">
        <v>0</v>
      </c>
      <c r="O1288" s="245" t="s">
        <v>56</v>
      </c>
      <c r="P1288" s="245" t="s">
        <v>1607</v>
      </c>
      <c r="Q1288" s="245" t="s">
        <v>1686</v>
      </c>
      <c r="R1288" s="246" t="s">
        <v>679</v>
      </c>
    </row>
    <row r="1289" spans="1:18" ht="39" x14ac:dyDescent="0.8">
      <c r="A1289" s="247">
        <v>411</v>
      </c>
      <c r="B1289" s="248" t="s">
        <v>1597</v>
      </c>
      <c r="D1289" s="245">
        <v>0</v>
      </c>
      <c r="R1289" s="246" t="s">
        <v>679</v>
      </c>
    </row>
    <row r="1290" spans="1:18" x14ac:dyDescent="0.8">
      <c r="A1290" s="247">
        <v>4110</v>
      </c>
      <c r="B1290" s="248" t="s">
        <v>1687</v>
      </c>
      <c r="D1290" s="245">
        <v>0</v>
      </c>
      <c r="R1290" s="246" t="s">
        <v>679</v>
      </c>
    </row>
    <row r="1291" spans="1:18" ht="26" hidden="1" x14ac:dyDescent="0.8">
      <c r="A1291" s="247">
        <v>411011</v>
      </c>
      <c r="B1291" s="248" t="s">
        <v>1688</v>
      </c>
      <c r="C1291" s="249" t="s">
        <v>1690</v>
      </c>
      <c r="D1291" s="245">
        <v>0</v>
      </c>
      <c r="E1291" s="245">
        <v>0.85321601597583097</v>
      </c>
      <c r="F1291" s="245">
        <v>0.91800764864125295</v>
      </c>
      <c r="G1291" s="245">
        <v>0.98693615820831004</v>
      </c>
      <c r="H1291" s="245">
        <v>2.7581598228253941</v>
      </c>
      <c r="I1291" s="245">
        <v>150012.51265991799</v>
      </c>
      <c r="J1291" s="245">
        <v>0</v>
      </c>
      <c r="K1291" s="245">
        <v>127993.07839821914</v>
      </c>
      <c r="L1291" s="245">
        <v>137712.6340136975</v>
      </c>
      <c r="M1291" s="245">
        <v>148052.77292775494</v>
      </c>
      <c r="N1291" s="245">
        <v>413758.48533967161</v>
      </c>
      <c r="O1291" s="245" t="s">
        <v>56</v>
      </c>
      <c r="R1291" s="246" t="s">
        <v>679</v>
      </c>
    </row>
    <row r="1292" spans="1:18" ht="26" x14ac:dyDescent="0.8">
      <c r="A1292" s="247">
        <v>42</v>
      </c>
      <c r="B1292" s="248" t="s">
        <v>1691</v>
      </c>
      <c r="D1292" s="245">
        <v>0</v>
      </c>
      <c r="R1292" s="246" t="s">
        <v>679</v>
      </c>
    </row>
    <row r="1293" spans="1:18" ht="39" x14ac:dyDescent="0.8">
      <c r="A1293" s="247">
        <v>421</v>
      </c>
      <c r="B1293" s="248" t="s">
        <v>1692</v>
      </c>
      <c r="D1293" s="245">
        <v>0</v>
      </c>
      <c r="R1293" s="246" t="s">
        <v>679</v>
      </c>
    </row>
    <row r="1294" spans="1:18" ht="39" x14ac:dyDescent="0.8">
      <c r="A1294" s="247">
        <v>4211</v>
      </c>
      <c r="B1294" s="248" t="s">
        <v>1693</v>
      </c>
      <c r="D1294" s="245">
        <v>0</v>
      </c>
      <c r="R1294" s="246" t="s">
        <v>679</v>
      </c>
    </row>
    <row r="1295" spans="1:18" hidden="1" x14ac:dyDescent="0.8">
      <c r="A1295" s="247">
        <v>42111</v>
      </c>
      <c r="B1295" s="248" t="s">
        <v>1694</v>
      </c>
      <c r="C1295" s="249" t="s">
        <v>1695</v>
      </c>
      <c r="D1295" s="245">
        <v>0</v>
      </c>
      <c r="E1295" s="245">
        <v>0.5</v>
      </c>
      <c r="F1295" s="245">
        <v>0.4</v>
      </c>
      <c r="H1295" s="245">
        <v>0.9</v>
      </c>
      <c r="I1295" s="245">
        <v>45000</v>
      </c>
      <c r="J1295" s="245">
        <v>0</v>
      </c>
      <c r="K1295" s="245">
        <v>22500</v>
      </c>
      <c r="L1295" s="245">
        <v>18000</v>
      </c>
      <c r="M1295" s="245">
        <v>0</v>
      </c>
      <c r="N1295" s="245">
        <v>40500</v>
      </c>
      <c r="O1295" s="245" t="s">
        <v>56</v>
      </c>
      <c r="P1295" s="245" t="s">
        <v>254</v>
      </c>
      <c r="Q1295" s="245" t="s">
        <v>521</v>
      </c>
      <c r="R1295" s="246" t="s">
        <v>679</v>
      </c>
    </row>
    <row r="1296" spans="1:18" ht="26" hidden="1" x14ac:dyDescent="0.8">
      <c r="A1296" s="247">
        <v>42112</v>
      </c>
      <c r="B1296" s="248" t="s">
        <v>1697</v>
      </c>
      <c r="C1296" s="249" t="s">
        <v>1699</v>
      </c>
      <c r="D1296" s="245">
        <v>0</v>
      </c>
      <c r="E1296" s="245">
        <v>0.6</v>
      </c>
      <c r="H1296" s="245">
        <v>0.6</v>
      </c>
      <c r="I1296" s="245">
        <v>51995.976000000002</v>
      </c>
      <c r="J1296" s="245">
        <v>0</v>
      </c>
      <c r="K1296" s="245">
        <v>31197.585599999999</v>
      </c>
      <c r="L1296" s="245">
        <v>0</v>
      </c>
      <c r="M1296" s="245">
        <v>0</v>
      </c>
      <c r="N1296" s="245">
        <v>31197.585599999999</v>
      </c>
      <c r="O1296" s="245" t="s">
        <v>56</v>
      </c>
      <c r="P1296" s="245" t="s">
        <v>254</v>
      </c>
      <c r="Q1296" s="245" t="s">
        <v>521</v>
      </c>
      <c r="R1296" s="246" t="s">
        <v>679</v>
      </c>
    </row>
    <row r="1297" spans="1:18" hidden="1" x14ac:dyDescent="0.8">
      <c r="A1297" s="247">
        <v>42113</v>
      </c>
      <c r="B1297" s="248" t="s">
        <v>1700</v>
      </c>
      <c r="C1297" s="249" t="s">
        <v>970</v>
      </c>
      <c r="D1297" s="245">
        <v>0</v>
      </c>
      <c r="E1297" s="245">
        <v>100</v>
      </c>
      <c r="F1297" s="245">
        <v>120</v>
      </c>
      <c r="H1297" s="245">
        <v>220</v>
      </c>
      <c r="I1297" s="245">
        <v>10.034934666666667</v>
      </c>
      <c r="J1297" s="245">
        <v>0</v>
      </c>
      <c r="K1297" s="245">
        <v>1003.4934666666667</v>
      </c>
      <c r="L1297" s="245">
        <v>1204.1921600000001</v>
      </c>
      <c r="M1297" s="245">
        <v>0</v>
      </c>
      <c r="N1297" s="245">
        <v>2207.6856266666668</v>
      </c>
      <c r="O1297" s="245" t="s">
        <v>56</v>
      </c>
      <c r="P1297" s="245" t="s">
        <v>254</v>
      </c>
      <c r="Q1297" s="245" t="s">
        <v>521</v>
      </c>
      <c r="R1297" s="246" t="s">
        <v>679</v>
      </c>
    </row>
    <row r="1298" spans="1:18" ht="65" x14ac:dyDescent="0.8">
      <c r="A1298" s="247">
        <v>4212</v>
      </c>
      <c r="B1298" s="248" t="s">
        <v>1702</v>
      </c>
      <c r="D1298" s="245">
        <v>0</v>
      </c>
      <c r="R1298" s="246" t="s">
        <v>679</v>
      </c>
    </row>
    <row r="1299" spans="1:18" ht="39" hidden="1" x14ac:dyDescent="0.8">
      <c r="A1299" s="247">
        <v>42121</v>
      </c>
      <c r="B1299" s="248" t="s">
        <v>1703</v>
      </c>
      <c r="C1299" s="249" t="s">
        <v>1704</v>
      </c>
      <c r="D1299" s="245">
        <v>0</v>
      </c>
      <c r="E1299" s="245">
        <v>0.34585027321564399</v>
      </c>
      <c r="F1299" s="245">
        <v>0.34585027321564399</v>
      </c>
      <c r="H1299" s="245">
        <v>0.69170054643128798</v>
      </c>
      <c r="I1299" s="245">
        <v>10000</v>
      </c>
      <c r="J1299" s="245">
        <v>0</v>
      </c>
      <c r="K1299" s="245">
        <v>3458.5027321564398</v>
      </c>
      <c r="L1299" s="245">
        <v>3458.5027321564398</v>
      </c>
      <c r="M1299" s="245">
        <v>0</v>
      </c>
      <c r="N1299" s="245">
        <v>6917.0054643128797</v>
      </c>
      <c r="O1299" s="245" t="s">
        <v>56</v>
      </c>
      <c r="P1299" s="245" t="s">
        <v>1705</v>
      </c>
      <c r="Q1299" s="245" t="s">
        <v>750</v>
      </c>
      <c r="R1299" s="246" t="s">
        <v>679</v>
      </c>
    </row>
    <row r="1300" spans="1:18" hidden="1" x14ac:dyDescent="0.8">
      <c r="A1300" s="247">
        <v>42122</v>
      </c>
      <c r="B1300" s="248" t="s">
        <v>1706</v>
      </c>
      <c r="C1300" s="249" t="s">
        <v>1707</v>
      </c>
      <c r="D1300" s="245">
        <v>0</v>
      </c>
      <c r="E1300" s="245">
        <v>4</v>
      </c>
      <c r="F1300" s="245">
        <v>4</v>
      </c>
      <c r="G1300" s="245">
        <v>4</v>
      </c>
      <c r="H1300" s="245">
        <v>12</v>
      </c>
      <c r="I1300" s="245">
        <v>10000</v>
      </c>
      <c r="J1300" s="245">
        <v>0</v>
      </c>
      <c r="K1300" s="245">
        <v>40000</v>
      </c>
      <c r="L1300" s="245">
        <v>40000</v>
      </c>
      <c r="M1300" s="245">
        <v>40000</v>
      </c>
      <c r="N1300" s="245">
        <v>120000</v>
      </c>
      <c r="O1300" s="245" t="s">
        <v>56</v>
      </c>
      <c r="P1300" s="245" t="s">
        <v>1705</v>
      </c>
      <c r="Q1300" s="245" t="s">
        <v>1705</v>
      </c>
      <c r="R1300" s="246" t="s">
        <v>679</v>
      </c>
    </row>
    <row r="1301" spans="1:18" ht="26" hidden="1" x14ac:dyDescent="0.8">
      <c r="A1301" s="247">
        <v>42123</v>
      </c>
      <c r="B1301" s="248" t="s">
        <v>1708</v>
      </c>
      <c r="C1301" s="249" t="s">
        <v>1710</v>
      </c>
      <c r="D1301" s="245">
        <v>0</v>
      </c>
      <c r="E1301" s="245">
        <v>0.40920889986346598</v>
      </c>
      <c r="H1301" s="245">
        <v>0.40920889986346598</v>
      </c>
      <c r="I1301" s="245">
        <v>47891</v>
      </c>
      <c r="J1301" s="245">
        <v>0</v>
      </c>
      <c r="K1301" s="245">
        <v>19597.423423361248</v>
      </c>
      <c r="L1301" s="245">
        <v>0</v>
      </c>
      <c r="M1301" s="245">
        <v>0</v>
      </c>
      <c r="N1301" s="245">
        <v>19597.423423361248</v>
      </c>
      <c r="O1301" s="245" t="s">
        <v>56</v>
      </c>
      <c r="P1301" s="245" t="s">
        <v>1705</v>
      </c>
      <c r="Q1301" s="245" t="s">
        <v>1711</v>
      </c>
      <c r="R1301" s="246" t="s">
        <v>679</v>
      </c>
    </row>
    <row r="1302" spans="1:18" ht="26" hidden="1" x14ac:dyDescent="0.8">
      <c r="A1302" s="247">
        <v>42124</v>
      </c>
      <c r="B1302" s="248" t="s">
        <v>1712</v>
      </c>
      <c r="C1302" s="249" t="s">
        <v>1714</v>
      </c>
      <c r="D1302" s="245">
        <v>0</v>
      </c>
      <c r="E1302" s="245">
        <v>0.33333333333333298</v>
      </c>
      <c r="F1302" s="245">
        <v>0.33333333333333298</v>
      </c>
      <c r="H1302" s="245">
        <v>0.66666666666666596</v>
      </c>
      <c r="I1302" s="245">
        <v>7500</v>
      </c>
      <c r="J1302" s="245">
        <v>0</v>
      </c>
      <c r="K1302" s="245">
        <v>2499.9999999999973</v>
      </c>
      <c r="L1302" s="245">
        <v>2499.9999999999973</v>
      </c>
      <c r="M1302" s="245">
        <v>0</v>
      </c>
      <c r="N1302" s="245">
        <v>4999.9999999999945</v>
      </c>
      <c r="O1302" s="245" t="s">
        <v>56</v>
      </c>
      <c r="P1302" s="245" t="s">
        <v>1705</v>
      </c>
      <c r="Q1302" s="245" t="s">
        <v>521</v>
      </c>
      <c r="R1302" s="246" t="s">
        <v>679</v>
      </c>
    </row>
    <row r="1303" spans="1:18" hidden="1" x14ac:dyDescent="0.8">
      <c r="A1303" s="247">
        <v>42125</v>
      </c>
      <c r="B1303" s="248" t="s">
        <v>1715</v>
      </c>
      <c r="C1303" s="249" t="s">
        <v>1716</v>
      </c>
      <c r="D1303" s="245">
        <v>0</v>
      </c>
      <c r="E1303" s="245">
        <v>0.39999997236312401</v>
      </c>
      <c r="F1303" s="245">
        <v>0.39999997236312401</v>
      </c>
      <c r="H1303" s="245">
        <v>0.79999994472624802</v>
      </c>
      <c r="I1303" s="245">
        <v>361835</v>
      </c>
      <c r="J1303" s="245">
        <v>0</v>
      </c>
      <c r="K1303" s="245">
        <v>144733.99000001096</v>
      </c>
      <c r="L1303" s="245">
        <v>144733.99000001096</v>
      </c>
      <c r="M1303" s="245">
        <v>0</v>
      </c>
      <c r="N1303" s="245">
        <v>289467.98000002193</v>
      </c>
      <c r="O1303" s="245" t="s">
        <v>56</v>
      </c>
      <c r="P1303" s="245" t="s">
        <v>1705</v>
      </c>
      <c r="Q1303" s="245" t="s">
        <v>521</v>
      </c>
      <c r="R1303" s="246" t="s">
        <v>679</v>
      </c>
    </row>
    <row r="1304" spans="1:18" hidden="1" x14ac:dyDescent="0.8">
      <c r="A1304" s="247">
        <v>42126</v>
      </c>
      <c r="B1304" s="248" t="s">
        <v>1717</v>
      </c>
      <c r="C1304" s="249" t="s">
        <v>1718</v>
      </c>
      <c r="D1304" s="245">
        <v>0</v>
      </c>
      <c r="E1304" s="245">
        <v>0.226638163058374</v>
      </c>
      <c r="F1304" s="245">
        <v>0.14243012163457</v>
      </c>
      <c r="H1304" s="245">
        <v>0.369068284692944</v>
      </c>
      <c r="I1304" s="245">
        <v>53078</v>
      </c>
      <c r="J1304" s="245">
        <v>0</v>
      </c>
      <c r="K1304" s="245">
        <v>12029.500418812375</v>
      </c>
      <c r="L1304" s="245">
        <v>7559.9059961197063</v>
      </c>
      <c r="M1304" s="245">
        <v>0</v>
      </c>
      <c r="N1304" s="245">
        <v>19589.40641493208</v>
      </c>
      <c r="O1304" s="245" t="s">
        <v>56</v>
      </c>
      <c r="R1304" s="246" t="s">
        <v>679</v>
      </c>
    </row>
    <row r="1305" spans="1:18" ht="26" x14ac:dyDescent="0.8">
      <c r="A1305" s="247">
        <v>4213</v>
      </c>
      <c r="B1305" s="248" t="s">
        <v>1719</v>
      </c>
      <c r="D1305" s="245">
        <v>0</v>
      </c>
      <c r="R1305" s="246" t="s">
        <v>679</v>
      </c>
    </row>
    <row r="1306" spans="1:18" ht="19.149999999999999" hidden="1" customHeight="1" x14ac:dyDescent="0.8">
      <c r="A1306" s="247">
        <v>42131</v>
      </c>
      <c r="B1306" s="248" t="s">
        <v>1720</v>
      </c>
      <c r="C1306" s="249" t="s">
        <v>1722</v>
      </c>
      <c r="D1306" s="245">
        <v>0</v>
      </c>
      <c r="E1306" s="245">
        <v>0.88320448057453604</v>
      </c>
      <c r="F1306" s="245">
        <v>0.95865927517930405</v>
      </c>
      <c r="G1306" s="245">
        <v>1.0373675873190999</v>
      </c>
      <c r="H1306" s="245">
        <v>2.8792313430729397</v>
      </c>
      <c r="I1306" s="245">
        <v>255321.596485922</v>
      </c>
      <c r="J1306" s="245">
        <v>0</v>
      </c>
      <c r="K1306" s="245">
        <v>225501.17800381003</v>
      </c>
      <c r="L1306" s="245">
        <v>244766.41662481672</v>
      </c>
      <c r="M1306" s="245">
        <v>264862.34853706171</v>
      </c>
      <c r="N1306" s="245">
        <v>735129.94316568843</v>
      </c>
      <c r="O1306" s="245" t="s">
        <v>56</v>
      </c>
      <c r="P1306" s="245" t="s">
        <v>1705</v>
      </c>
      <c r="Q1306" s="245" t="s">
        <v>750</v>
      </c>
      <c r="R1306" s="246" t="s">
        <v>679</v>
      </c>
    </row>
    <row r="1307" spans="1:18" ht="39" x14ac:dyDescent="0.8">
      <c r="A1307" s="247">
        <v>422</v>
      </c>
      <c r="B1307" s="248" t="s">
        <v>1723</v>
      </c>
      <c r="D1307" s="245">
        <v>0</v>
      </c>
      <c r="R1307" s="246" t="s">
        <v>679</v>
      </c>
    </row>
    <row r="1308" spans="1:18" ht="26" x14ac:dyDescent="0.8">
      <c r="A1308" s="247">
        <v>4221</v>
      </c>
      <c r="B1308" s="248" t="s">
        <v>1724</v>
      </c>
      <c r="D1308" s="245">
        <v>0</v>
      </c>
      <c r="R1308" s="246" t="s">
        <v>679</v>
      </c>
    </row>
    <row r="1309" spans="1:18" ht="26" hidden="1" x14ac:dyDescent="0.8">
      <c r="A1309" s="247">
        <v>42211</v>
      </c>
      <c r="B1309" s="248" t="s">
        <v>1725</v>
      </c>
      <c r="C1309" s="249" t="s">
        <v>646</v>
      </c>
      <c r="D1309" s="245">
        <v>0</v>
      </c>
      <c r="F1309" s="245">
        <v>250</v>
      </c>
      <c r="G1309" s="245">
        <v>250</v>
      </c>
      <c r="H1309" s="245">
        <v>500</v>
      </c>
      <c r="I1309" s="245">
        <v>10.404797</v>
      </c>
      <c r="J1309" s="245">
        <v>0</v>
      </c>
      <c r="K1309" s="245">
        <v>0</v>
      </c>
      <c r="L1309" s="245">
        <v>2601.1992500000001</v>
      </c>
      <c r="M1309" s="245">
        <v>2601.1992500000001</v>
      </c>
      <c r="N1309" s="245">
        <v>5202.3985000000002</v>
      </c>
      <c r="O1309" s="245" t="s">
        <v>169</v>
      </c>
      <c r="P1309" s="245" t="s">
        <v>431</v>
      </c>
      <c r="Q1309" s="245" t="s">
        <v>1650</v>
      </c>
      <c r="R1309" s="246" t="s">
        <v>679</v>
      </c>
    </row>
    <row r="1310" spans="1:18" x14ac:dyDescent="0.8">
      <c r="A1310" s="247">
        <v>4222</v>
      </c>
      <c r="B1310" s="248" t="s">
        <v>1726</v>
      </c>
      <c r="D1310" s="245">
        <v>0</v>
      </c>
      <c r="R1310" s="246" t="s">
        <v>679</v>
      </c>
    </row>
    <row r="1311" spans="1:18" ht="26" hidden="1" x14ac:dyDescent="0.8">
      <c r="A1311" s="247">
        <v>42221</v>
      </c>
      <c r="B1311" s="248" t="s">
        <v>1727</v>
      </c>
      <c r="C1311" s="249" t="s">
        <v>55</v>
      </c>
      <c r="D1311" s="245">
        <v>0</v>
      </c>
      <c r="F1311" s="245">
        <v>1</v>
      </c>
      <c r="G1311" s="245">
        <v>1</v>
      </c>
      <c r="H1311" s="245">
        <v>2</v>
      </c>
      <c r="I1311" s="245">
        <v>0</v>
      </c>
      <c r="J1311" s="245">
        <v>0</v>
      </c>
      <c r="K1311" s="245">
        <v>0</v>
      </c>
      <c r="L1311" s="245">
        <v>0</v>
      </c>
      <c r="M1311" s="245">
        <v>0</v>
      </c>
      <c r="O1311" s="245" t="s">
        <v>56</v>
      </c>
      <c r="P1311" s="245" t="s">
        <v>1728</v>
      </c>
      <c r="Q1311" s="245" t="s">
        <v>521</v>
      </c>
      <c r="R1311" s="246" t="s">
        <v>679</v>
      </c>
    </row>
    <row r="1312" spans="1:18" hidden="1" x14ac:dyDescent="0.8">
      <c r="A1312" s="247">
        <v>42222</v>
      </c>
      <c r="B1312" s="248" t="s">
        <v>1729</v>
      </c>
      <c r="C1312" s="249" t="s">
        <v>55</v>
      </c>
      <c r="D1312" s="245">
        <v>0</v>
      </c>
      <c r="E1312" s="245">
        <v>1</v>
      </c>
      <c r="H1312" s="245">
        <v>1</v>
      </c>
      <c r="I1312" s="245">
        <v>0</v>
      </c>
      <c r="J1312" s="245">
        <v>0</v>
      </c>
      <c r="K1312" s="245">
        <v>0</v>
      </c>
      <c r="L1312" s="245">
        <v>0</v>
      </c>
      <c r="M1312" s="245">
        <v>0</v>
      </c>
      <c r="O1312" s="245" t="s">
        <v>56</v>
      </c>
      <c r="P1312" s="245" t="s">
        <v>255</v>
      </c>
      <c r="Q1312" s="245" t="s">
        <v>142</v>
      </c>
      <c r="R1312" s="246" t="s">
        <v>679</v>
      </c>
    </row>
    <row r="1313" spans="1:18" hidden="1" x14ac:dyDescent="0.8">
      <c r="A1313" s="247">
        <v>42223</v>
      </c>
      <c r="B1313" s="248" t="s">
        <v>1730</v>
      </c>
      <c r="C1313" s="249" t="s">
        <v>1732</v>
      </c>
      <c r="D1313" s="245">
        <v>0</v>
      </c>
      <c r="F1313" s="245">
        <v>5000</v>
      </c>
      <c r="G1313" s="245">
        <v>5000</v>
      </c>
      <c r="H1313" s="245">
        <v>10000</v>
      </c>
      <c r="I1313" s="245">
        <v>0.3</v>
      </c>
      <c r="J1313" s="245">
        <v>0</v>
      </c>
      <c r="K1313" s="245">
        <v>0</v>
      </c>
      <c r="L1313" s="245">
        <v>1500</v>
      </c>
      <c r="M1313" s="245">
        <v>1500</v>
      </c>
      <c r="N1313" s="245">
        <v>3000</v>
      </c>
      <c r="O1313" s="245" t="s">
        <v>169</v>
      </c>
      <c r="P1313" s="245" t="s">
        <v>1733</v>
      </c>
      <c r="Q1313" s="245" t="s">
        <v>1607</v>
      </c>
      <c r="R1313" s="246" t="s">
        <v>679</v>
      </c>
    </row>
    <row r="1314" spans="1:18" ht="26" x14ac:dyDescent="0.8">
      <c r="A1314" s="247">
        <v>4223</v>
      </c>
      <c r="B1314" s="248" t="s">
        <v>1734</v>
      </c>
      <c r="D1314" s="245">
        <v>0</v>
      </c>
      <c r="R1314" s="246" t="s">
        <v>679</v>
      </c>
    </row>
    <row r="1315" spans="1:18" ht="28.9" hidden="1" customHeight="1" x14ac:dyDescent="0.8">
      <c r="A1315" s="247">
        <v>42231</v>
      </c>
      <c r="B1315" s="248" t="s">
        <v>1735</v>
      </c>
      <c r="C1315" s="249" t="s">
        <v>646</v>
      </c>
      <c r="D1315" s="245">
        <v>0</v>
      </c>
      <c r="H1315" s="245">
        <v>0</v>
      </c>
      <c r="I1315" s="245">
        <v>10.404797</v>
      </c>
      <c r="J1315" s="245">
        <v>0</v>
      </c>
      <c r="K1315" s="245">
        <v>0</v>
      </c>
      <c r="L1315" s="245">
        <v>0</v>
      </c>
      <c r="M1315" s="245">
        <v>0</v>
      </c>
      <c r="N1315" s="245">
        <v>0</v>
      </c>
      <c r="O1315" s="245" t="s">
        <v>169</v>
      </c>
      <c r="P1315" s="245" t="s">
        <v>254</v>
      </c>
      <c r="Q1315" s="245" t="s">
        <v>1650</v>
      </c>
      <c r="R1315" s="246" t="s">
        <v>679</v>
      </c>
    </row>
    <row r="1316" spans="1:18" x14ac:dyDescent="0.8">
      <c r="A1316" s="247">
        <v>423</v>
      </c>
      <c r="B1316" s="248" t="s">
        <v>1736</v>
      </c>
      <c r="D1316" s="245">
        <v>0</v>
      </c>
      <c r="R1316" s="246" t="s">
        <v>679</v>
      </c>
    </row>
    <row r="1317" spans="1:18" x14ac:dyDescent="0.8">
      <c r="A1317" s="247">
        <v>4231</v>
      </c>
      <c r="B1317" s="248" t="s">
        <v>1737</v>
      </c>
      <c r="D1317" s="245">
        <v>0</v>
      </c>
      <c r="R1317" s="246" t="s">
        <v>679</v>
      </c>
    </row>
    <row r="1318" spans="1:18" ht="26" hidden="1" x14ac:dyDescent="0.8">
      <c r="A1318" s="247">
        <v>42311</v>
      </c>
      <c r="B1318" s="248" t="s">
        <v>1738</v>
      </c>
      <c r="C1318" s="249" t="s">
        <v>55</v>
      </c>
      <c r="D1318" s="245">
        <v>0</v>
      </c>
      <c r="H1318" s="245">
        <v>0</v>
      </c>
      <c r="I1318" s="245">
        <v>0</v>
      </c>
      <c r="J1318" s="245">
        <v>0</v>
      </c>
      <c r="K1318" s="245">
        <v>0</v>
      </c>
      <c r="L1318" s="245">
        <v>0</v>
      </c>
      <c r="M1318" s="245">
        <v>0</v>
      </c>
      <c r="O1318" s="245" t="s">
        <v>169</v>
      </c>
      <c r="P1318" s="245" t="s">
        <v>1647</v>
      </c>
      <c r="Q1318" s="245" t="s">
        <v>1607</v>
      </c>
      <c r="R1318" s="246" t="s">
        <v>679</v>
      </c>
    </row>
    <row r="1319" spans="1:18" ht="26" hidden="1" x14ac:dyDescent="0.8">
      <c r="A1319" s="247">
        <v>42312</v>
      </c>
      <c r="B1319" s="248" t="s">
        <v>1740</v>
      </c>
      <c r="C1319" s="249" t="s">
        <v>55</v>
      </c>
      <c r="D1319" s="245">
        <v>0</v>
      </c>
      <c r="E1319" s="245">
        <v>1</v>
      </c>
      <c r="H1319" s="245">
        <v>1</v>
      </c>
      <c r="I1319" s="245">
        <v>0</v>
      </c>
      <c r="J1319" s="245">
        <v>0</v>
      </c>
      <c r="K1319" s="245">
        <v>0</v>
      </c>
      <c r="L1319" s="245">
        <v>0</v>
      </c>
      <c r="M1319" s="245">
        <v>0</v>
      </c>
      <c r="O1319" s="245" t="s">
        <v>56</v>
      </c>
      <c r="P1319" s="245" t="s">
        <v>1647</v>
      </c>
      <c r="Q1319" s="245" t="s">
        <v>1607</v>
      </c>
      <c r="R1319" s="246" t="s">
        <v>679</v>
      </c>
    </row>
    <row r="1320" spans="1:18" hidden="1" x14ac:dyDescent="0.8">
      <c r="A1320" s="247">
        <v>42313</v>
      </c>
      <c r="B1320" s="248" t="s">
        <v>1741</v>
      </c>
      <c r="C1320" s="249" t="s">
        <v>66</v>
      </c>
      <c r="D1320" s="245">
        <v>0</v>
      </c>
      <c r="F1320" s="245">
        <v>200</v>
      </c>
      <c r="H1320" s="245">
        <v>200</v>
      </c>
      <c r="I1320" s="245">
        <v>0.255</v>
      </c>
      <c r="J1320" s="245">
        <v>0</v>
      </c>
      <c r="K1320" s="245">
        <v>0</v>
      </c>
      <c r="L1320" s="245">
        <v>51</v>
      </c>
      <c r="M1320" s="245">
        <v>0</v>
      </c>
      <c r="N1320" s="245">
        <v>51</v>
      </c>
      <c r="O1320" s="245" t="s">
        <v>169</v>
      </c>
      <c r="P1320" s="245" t="s">
        <v>1647</v>
      </c>
      <c r="Q1320" s="245" t="s">
        <v>1607</v>
      </c>
      <c r="R1320" s="246" t="s">
        <v>679</v>
      </c>
    </row>
    <row r="1321" spans="1:18" ht="26" hidden="1" x14ac:dyDescent="0.8">
      <c r="A1321" s="247">
        <v>42314</v>
      </c>
      <c r="B1321" s="248" t="s">
        <v>1743</v>
      </c>
      <c r="C1321" s="249" t="s">
        <v>646</v>
      </c>
      <c r="D1321" s="245">
        <v>0</v>
      </c>
      <c r="E1321" s="245">
        <v>30</v>
      </c>
      <c r="H1321" s="245">
        <v>30</v>
      </c>
      <c r="I1321" s="245">
        <v>10.404797</v>
      </c>
      <c r="J1321" s="245">
        <v>0</v>
      </c>
      <c r="K1321" s="245">
        <v>312.14391000000001</v>
      </c>
      <c r="L1321" s="245">
        <v>0</v>
      </c>
      <c r="M1321" s="245">
        <v>0</v>
      </c>
      <c r="N1321" s="245">
        <v>312.14391000000001</v>
      </c>
      <c r="O1321" s="245" t="s">
        <v>56</v>
      </c>
      <c r="P1321" s="245" t="s">
        <v>96</v>
      </c>
      <c r="Q1321" s="245" t="s">
        <v>1650</v>
      </c>
      <c r="R1321" s="246" t="s">
        <v>679</v>
      </c>
    </row>
    <row r="1322" spans="1:18" ht="52" x14ac:dyDescent="0.8">
      <c r="A1322" s="247">
        <v>424</v>
      </c>
      <c r="B1322" s="248" t="s">
        <v>1744</v>
      </c>
      <c r="D1322" s="245">
        <v>0</v>
      </c>
      <c r="R1322" s="246" t="s">
        <v>679</v>
      </c>
    </row>
    <row r="1323" spans="1:18" ht="26" x14ac:dyDescent="0.8">
      <c r="A1323" s="247">
        <v>4241</v>
      </c>
      <c r="B1323" s="248" t="s">
        <v>1745</v>
      </c>
      <c r="D1323" s="245">
        <v>0</v>
      </c>
      <c r="R1323" s="246" t="s">
        <v>679</v>
      </c>
    </row>
    <row r="1324" spans="1:18" hidden="1" x14ac:dyDescent="0.8">
      <c r="A1324" s="247">
        <v>42411</v>
      </c>
      <c r="B1324" s="248" t="s">
        <v>1746</v>
      </c>
      <c r="C1324" s="249" t="s">
        <v>55</v>
      </c>
      <c r="D1324" s="245">
        <v>0</v>
      </c>
      <c r="H1324" s="245">
        <v>0</v>
      </c>
      <c r="I1324" s="245">
        <v>0</v>
      </c>
      <c r="J1324" s="245">
        <v>0</v>
      </c>
      <c r="K1324" s="245">
        <v>0</v>
      </c>
      <c r="L1324" s="245">
        <v>0</v>
      </c>
      <c r="M1324" s="245">
        <v>0</v>
      </c>
      <c r="O1324" s="245" t="s">
        <v>169</v>
      </c>
      <c r="P1324" s="245" t="s">
        <v>255</v>
      </c>
      <c r="Q1324" s="245" t="s">
        <v>173</v>
      </c>
      <c r="R1324" s="246" t="s">
        <v>679</v>
      </c>
    </row>
    <row r="1325" spans="1:18" hidden="1" x14ac:dyDescent="0.8">
      <c r="A1325" s="247">
        <v>42412</v>
      </c>
      <c r="B1325" s="248" t="s">
        <v>1747</v>
      </c>
      <c r="C1325" s="249" t="s">
        <v>55</v>
      </c>
      <c r="D1325" s="245">
        <v>0</v>
      </c>
      <c r="E1325" s="245">
        <v>1</v>
      </c>
      <c r="H1325" s="245">
        <v>1</v>
      </c>
      <c r="I1325" s="245">
        <v>0</v>
      </c>
      <c r="J1325" s="245">
        <v>0</v>
      </c>
      <c r="K1325" s="245">
        <v>0</v>
      </c>
      <c r="L1325" s="245">
        <v>0</v>
      </c>
      <c r="M1325" s="245">
        <v>0</v>
      </c>
      <c r="O1325" s="245" t="s">
        <v>56</v>
      </c>
      <c r="P1325" s="245" t="s">
        <v>173</v>
      </c>
      <c r="Q1325" s="245" t="s">
        <v>521</v>
      </c>
      <c r="R1325" s="246" t="s">
        <v>679</v>
      </c>
    </row>
    <row r="1326" spans="1:18" hidden="1" x14ac:dyDescent="0.8">
      <c r="A1326" s="247">
        <v>42413</v>
      </c>
      <c r="B1326" s="248" t="s">
        <v>1748</v>
      </c>
      <c r="C1326" s="249" t="s">
        <v>1749</v>
      </c>
      <c r="D1326" s="245">
        <v>0</v>
      </c>
      <c r="F1326" s="245">
        <v>1</v>
      </c>
      <c r="G1326" s="245">
        <v>1</v>
      </c>
      <c r="H1326" s="245">
        <v>2</v>
      </c>
      <c r="I1326" s="245">
        <v>1000</v>
      </c>
      <c r="J1326" s="245">
        <v>0</v>
      </c>
      <c r="K1326" s="245">
        <v>0</v>
      </c>
      <c r="L1326" s="245">
        <v>1000</v>
      </c>
      <c r="M1326" s="245">
        <v>1000</v>
      </c>
      <c r="N1326" s="245">
        <v>2000</v>
      </c>
      <c r="O1326" s="245" t="s">
        <v>56</v>
      </c>
      <c r="P1326" s="245" t="s">
        <v>173</v>
      </c>
      <c r="Q1326" s="245" t="s">
        <v>521</v>
      </c>
      <c r="R1326" s="246" t="s">
        <v>679</v>
      </c>
    </row>
    <row r="1327" spans="1:18" ht="26" x14ac:dyDescent="0.8">
      <c r="A1327" s="247">
        <v>4242</v>
      </c>
      <c r="B1327" s="248" t="s">
        <v>1750</v>
      </c>
      <c r="D1327" s="245">
        <v>0</v>
      </c>
      <c r="R1327" s="246" t="s">
        <v>679</v>
      </c>
    </row>
    <row r="1328" spans="1:18" ht="26" hidden="1" x14ac:dyDescent="0.8">
      <c r="A1328" s="247">
        <v>42421</v>
      </c>
      <c r="B1328" s="248" t="s">
        <v>1751</v>
      </c>
      <c r="C1328" s="249" t="s">
        <v>55</v>
      </c>
      <c r="D1328" s="245">
        <v>0</v>
      </c>
      <c r="I1328" s="245">
        <v>0</v>
      </c>
      <c r="O1328" s="245" t="s">
        <v>56</v>
      </c>
      <c r="P1328" s="245" t="s">
        <v>1705</v>
      </c>
      <c r="Q1328" s="245" t="s">
        <v>521</v>
      </c>
      <c r="R1328" s="246" t="s">
        <v>679</v>
      </c>
    </row>
    <row r="1329" spans="1:18" ht="26" hidden="1" x14ac:dyDescent="0.8">
      <c r="A1329" s="247">
        <v>42422</v>
      </c>
      <c r="B1329" s="248" t="s">
        <v>1752</v>
      </c>
      <c r="C1329" s="249" t="s">
        <v>55</v>
      </c>
      <c r="D1329" s="245">
        <v>0</v>
      </c>
      <c r="I1329" s="245">
        <v>0</v>
      </c>
      <c r="O1329" s="245" t="s">
        <v>56</v>
      </c>
      <c r="P1329" s="245" t="s">
        <v>1705</v>
      </c>
      <c r="Q1329" s="245" t="s">
        <v>521</v>
      </c>
      <c r="R1329" s="246" t="s">
        <v>679</v>
      </c>
    </row>
    <row r="1330" spans="1:18" x14ac:dyDescent="0.8">
      <c r="A1330" s="247">
        <v>4243</v>
      </c>
      <c r="B1330" s="248" t="s">
        <v>1753</v>
      </c>
      <c r="D1330" s="245">
        <v>0</v>
      </c>
      <c r="R1330" s="246" t="s">
        <v>679</v>
      </c>
    </row>
    <row r="1331" spans="1:18" ht="17.649999999999999" hidden="1" customHeight="1" x14ac:dyDescent="0.8">
      <c r="A1331" s="247">
        <v>42431</v>
      </c>
      <c r="B1331" s="248" t="s">
        <v>1754</v>
      </c>
      <c r="C1331" s="249" t="s">
        <v>55</v>
      </c>
      <c r="D1331" s="245">
        <v>0</v>
      </c>
      <c r="E1331" s="245">
        <v>1</v>
      </c>
      <c r="H1331" s="245">
        <v>1</v>
      </c>
      <c r="I1331" s="245">
        <v>0</v>
      </c>
      <c r="J1331" s="245">
        <v>0</v>
      </c>
      <c r="K1331" s="245">
        <v>0</v>
      </c>
      <c r="L1331" s="245">
        <v>0</v>
      </c>
      <c r="M1331" s="245">
        <v>0</v>
      </c>
      <c r="O1331" s="245" t="s">
        <v>56</v>
      </c>
      <c r="P1331" s="245" t="s">
        <v>173</v>
      </c>
      <c r="Q1331" s="245" t="s">
        <v>1665</v>
      </c>
      <c r="R1331" s="246" t="s">
        <v>679</v>
      </c>
    </row>
    <row r="1332" spans="1:18" ht="17.649999999999999" hidden="1" customHeight="1" x14ac:dyDescent="0.8">
      <c r="A1332" s="247">
        <v>42432</v>
      </c>
      <c r="B1332" s="248" t="s">
        <v>1755</v>
      </c>
      <c r="C1332" s="249" t="s">
        <v>55</v>
      </c>
      <c r="D1332" s="245">
        <v>0</v>
      </c>
      <c r="F1332" s="245">
        <v>1</v>
      </c>
      <c r="G1332" s="245">
        <v>1</v>
      </c>
      <c r="H1332" s="245">
        <v>2</v>
      </c>
      <c r="I1332" s="245">
        <v>0</v>
      </c>
      <c r="J1332" s="245">
        <v>0</v>
      </c>
      <c r="K1332" s="245">
        <v>0</v>
      </c>
      <c r="L1332" s="245">
        <v>0</v>
      </c>
      <c r="M1332" s="245">
        <v>0</v>
      </c>
      <c r="O1332" s="245" t="s">
        <v>56</v>
      </c>
      <c r="P1332" s="245" t="s">
        <v>255</v>
      </c>
      <c r="Q1332" s="245" t="s">
        <v>142</v>
      </c>
      <c r="R1332" s="246" t="s">
        <v>679</v>
      </c>
    </row>
    <row r="1333" spans="1:18" ht="17.649999999999999" customHeight="1" x14ac:dyDescent="0.8">
      <c r="A1333" s="247">
        <v>43</v>
      </c>
      <c r="B1333" s="248" t="s">
        <v>1756</v>
      </c>
      <c r="D1333" s="245">
        <v>0</v>
      </c>
      <c r="R1333" s="246" t="s">
        <v>679</v>
      </c>
    </row>
    <row r="1334" spans="1:18" ht="17.649999999999999" customHeight="1" x14ac:dyDescent="0.8">
      <c r="A1334" s="247">
        <v>431</v>
      </c>
      <c r="B1334" s="248" t="s">
        <v>1757</v>
      </c>
      <c r="D1334" s="245">
        <v>0</v>
      </c>
      <c r="R1334" s="246" t="s">
        <v>679</v>
      </c>
    </row>
    <row r="1335" spans="1:18" ht="39" x14ac:dyDescent="0.8">
      <c r="A1335" s="247">
        <v>4311</v>
      </c>
      <c r="B1335" s="248" t="s">
        <v>1758</v>
      </c>
      <c r="D1335" s="245">
        <v>0</v>
      </c>
      <c r="R1335" s="246" t="s">
        <v>679</v>
      </c>
    </row>
    <row r="1336" spans="1:18" hidden="1" x14ac:dyDescent="0.8">
      <c r="A1336" s="247">
        <v>43111</v>
      </c>
      <c r="B1336" s="248" t="s">
        <v>1759</v>
      </c>
      <c r="C1336" s="249" t="s">
        <v>1760</v>
      </c>
      <c r="D1336" s="245">
        <v>0</v>
      </c>
      <c r="E1336" s="245">
        <v>5</v>
      </c>
      <c r="F1336" s="245">
        <v>10</v>
      </c>
      <c r="G1336" s="245">
        <v>15</v>
      </c>
      <c r="H1336" s="245">
        <v>30</v>
      </c>
      <c r="I1336" s="245">
        <v>57.6</v>
      </c>
      <c r="J1336" s="245">
        <v>0</v>
      </c>
      <c r="K1336" s="245">
        <v>288</v>
      </c>
      <c r="L1336" s="245">
        <v>576</v>
      </c>
      <c r="M1336" s="245">
        <v>864</v>
      </c>
      <c r="N1336" s="245">
        <v>1728</v>
      </c>
      <c r="O1336" s="245" t="s">
        <v>56</v>
      </c>
      <c r="P1336" s="245" t="s">
        <v>1546</v>
      </c>
      <c r="Q1336" s="245" t="s">
        <v>1650</v>
      </c>
      <c r="R1336" s="246" t="s">
        <v>679</v>
      </c>
    </row>
    <row r="1337" spans="1:18" x14ac:dyDescent="0.8">
      <c r="A1337" s="247">
        <v>43111</v>
      </c>
      <c r="B1337" s="248" t="s">
        <v>1759</v>
      </c>
      <c r="C1337" s="249" t="s">
        <v>1760</v>
      </c>
      <c r="D1337" s="245">
        <v>0</v>
      </c>
      <c r="E1337" s="245">
        <v>5</v>
      </c>
      <c r="F1337" s="245">
        <v>10</v>
      </c>
      <c r="G1337" s="245">
        <v>15</v>
      </c>
      <c r="H1337" s="245">
        <v>30</v>
      </c>
      <c r="I1337" s="245">
        <v>57.6</v>
      </c>
      <c r="J1337" s="245">
        <v>0</v>
      </c>
      <c r="K1337" s="245">
        <v>288</v>
      </c>
      <c r="L1337" s="245">
        <v>576</v>
      </c>
      <c r="M1337" s="245">
        <v>864</v>
      </c>
      <c r="N1337" s="245">
        <v>1728</v>
      </c>
      <c r="O1337" s="245" t="s">
        <v>39</v>
      </c>
      <c r="P1337" s="245" t="s">
        <v>1546</v>
      </c>
      <c r="Q1337" s="245" t="s">
        <v>1650</v>
      </c>
      <c r="R1337" s="246" t="s">
        <v>679</v>
      </c>
    </row>
    <row r="1338" spans="1:18" ht="26" x14ac:dyDescent="0.8">
      <c r="A1338" s="247">
        <v>43112</v>
      </c>
      <c r="B1338" s="248" t="s">
        <v>1761</v>
      </c>
      <c r="C1338" s="249" t="s">
        <v>646</v>
      </c>
      <c r="D1338" s="245">
        <v>0</v>
      </c>
      <c r="E1338" s="245">
        <v>157.5</v>
      </c>
      <c r="H1338" s="245">
        <v>157.5</v>
      </c>
      <c r="I1338" s="245">
        <v>10.404797</v>
      </c>
      <c r="J1338" s="245">
        <v>0</v>
      </c>
      <c r="K1338" s="245">
        <v>1638.7555275</v>
      </c>
      <c r="L1338" s="245">
        <v>0</v>
      </c>
      <c r="M1338" s="245">
        <v>0</v>
      </c>
      <c r="N1338" s="245">
        <v>1638.7555275</v>
      </c>
      <c r="O1338" s="245" t="s">
        <v>1304</v>
      </c>
      <c r="P1338" s="245" t="s">
        <v>1546</v>
      </c>
      <c r="Q1338" s="245" t="s">
        <v>1650</v>
      </c>
      <c r="R1338" s="246" t="s">
        <v>679</v>
      </c>
    </row>
    <row r="1339" spans="1:18" ht="26" hidden="1" x14ac:dyDescent="0.8">
      <c r="A1339" s="247">
        <v>43112</v>
      </c>
      <c r="B1339" s="248" t="s">
        <v>1761</v>
      </c>
      <c r="C1339" s="249" t="s">
        <v>646</v>
      </c>
      <c r="D1339" s="245">
        <v>0</v>
      </c>
      <c r="E1339" s="245">
        <v>67.5</v>
      </c>
      <c r="H1339" s="245">
        <v>67.5</v>
      </c>
      <c r="I1339" s="245">
        <v>10.404797</v>
      </c>
      <c r="J1339" s="245">
        <v>0</v>
      </c>
      <c r="K1339" s="245">
        <v>702.32379750000007</v>
      </c>
      <c r="L1339" s="245">
        <v>0</v>
      </c>
      <c r="M1339" s="245">
        <v>0</v>
      </c>
      <c r="N1339" s="245">
        <v>702.32379750000007</v>
      </c>
      <c r="O1339" s="245" t="s">
        <v>56</v>
      </c>
      <c r="P1339" s="245" t="s">
        <v>1546</v>
      </c>
      <c r="Q1339" s="245" t="s">
        <v>1650</v>
      </c>
      <c r="R1339" s="246" t="s">
        <v>679</v>
      </c>
    </row>
    <row r="1340" spans="1:18" ht="26" hidden="1" x14ac:dyDescent="0.8">
      <c r="A1340" s="247">
        <v>43113</v>
      </c>
      <c r="B1340" s="248" t="s">
        <v>1762</v>
      </c>
      <c r="C1340" s="249" t="s">
        <v>59</v>
      </c>
      <c r="D1340" s="245">
        <v>0</v>
      </c>
      <c r="E1340" s="245">
        <v>12</v>
      </c>
      <c r="F1340" s="245">
        <v>27</v>
      </c>
      <c r="H1340" s="245">
        <v>39</v>
      </c>
      <c r="I1340" s="245">
        <v>0.8177777777777776</v>
      </c>
      <c r="J1340" s="245">
        <v>0</v>
      </c>
      <c r="K1340" s="245">
        <v>9.8133333333333308</v>
      </c>
      <c r="L1340" s="245">
        <v>22.079999999999995</v>
      </c>
      <c r="M1340" s="245">
        <v>0</v>
      </c>
      <c r="N1340" s="245">
        <v>31.893333333333324</v>
      </c>
      <c r="O1340" s="245" t="s">
        <v>56</v>
      </c>
      <c r="P1340" s="245" t="s">
        <v>255</v>
      </c>
      <c r="Q1340" s="245" t="s">
        <v>1546</v>
      </c>
      <c r="R1340" s="246" t="s">
        <v>679</v>
      </c>
    </row>
    <row r="1341" spans="1:18" ht="26" x14ac:dyDescent="0.8">
      <c r="A1341" s="247">
        <v>43113</v>
      </c>
      <c r="B1341" s="248" t="s">
        <v>1762</v>
      </c>
      <c r="C1341" s="249" t="s">
        <v>59</v>
      </c>
      <c r="D1341" s="245">
        <v>0</v>
      </c>
      <c r="E1341" s="245">
        <v>8</v>
      </c>
      <c r="F1341" s="245">
        <v>18</v>
      </c>
      <c r="H1341" s="245">
        <v>26</v>
      </c>
      <c r="I1341" s="245">
        <v>0.8177777777777776</v>
      </c>
      <c r="J1341" s="245">
        <v>0</v>
      </c>
      <c r="K1341" s="245">
        <v>6.5422222222222208</v>
      </c>
      <c r="L1341" s="245">
        <v>14.719999999999997</v>
      </c>
      <c r="M1341" s="245">
        <v>0</v>
      </c>
      <c r="N1341" s="245">
        <v>21.262222222222217</v>
      </c>
      <c r="O1341" s="245" t="s">
        <v>39</v>
      </c>
      <c r="P1341" s="245" t="s">
        <v>255</v>
      </c>
      <c r="Q1341" s="245" t="s">
        <v>1546</v>
      </c>
      <c r="R1341" s="246" t="s">
        <v>679</v>
      </c>
    </row>
    <row r="1342" spans="1:18" ht="26" hidden="1" x14ac:dyDescent="0.8">
      <c r="A1342" s="247">
        <v>43114</v>
      </c>
      <c r="B1342" s="248" t="s">
        <v>1763</v>
      </c>
      <c r="C1342" s="249" t="s">
        <v>301</v>
      </c>
      <c r="D1342" s="245">
        <v>0</v>
      </c>
      <c r="E1342" s="245">
        <v>84</v>
      </c>
      <c r="H1342" s="245">
        <v>84</v>
      </c>
      <c r="I1342" s="245">
        <v>0.67666666666666664</v>
      </c>
      <c r="J1342" s="245">
        <v>0</v>
      </c>
      <c r="K1342" s="245">
        <v>56.839999999999996</v>
      </c>
      <c r="L1342" s="245">
        <v>0</v>
      </c>
      <c r="M1342" s="245">
        <v>0</v>
      </c>
      <c r="N1342" s="245">
        <v>56.839999999999996</v>
      </c>
      <c r="O1342" s="245" t="s">
        <v>56</v>
      </c>
      <c r="P1342" s="245" t="s">
        <v>255</v>
      </c>
      <c r="Q1342" s="245" t="s">
        <v>1546</v>
      </c>
      <c r="R1342" s="246" t="s">
        <v>679</v>
      </c>
    </row>
    <row r="1343" spans="1:18" ht="26" x14ac:dyDescent="0.8">
      <c r="A1343" s="247">
        <v>4312</v>
      </c>
      <c r="B1343" s="248" t="s">
        <v>1764</v>
      </c>
      <c r="D1343" s="245">
        <v>0</v>
      </c>
      <c r="R1343" s="246" t="s">
        <v>679</v>
      </c>
    </row>
    <row r="1344" spans="1:18" ht="26" x14ac:dyDescent="0.8">
      <c r="A1344" s="247">
        <v>43121</v>
      </c>
      <c r="B1344" s="248" t="s">
        <v>1765</v>
      </c>
      <c r="C1344" s="249" t="s">
        <v>646</v>
      </c>
      <c r="D1344" s="245">
        <v>0</v>
      </c>
      <c r="E1344" s="245">
        <v>150</v>
      </c>
      <c r="G1344" s="245">
        <v>200</v>
      </c>
      <c r="H1344" s="245">
        <v>350</v>
      </c>
      <c r="I1344" s="245">
        <v>10.404797</v>
      </c>
      <c r="J1344" s="245">
        <v>0</v>
      </c>
      <c r="K1344" s="245">
        <v>1560.71955</v>
      </c>
      <c r="L1344" s="245">
        <v>0</v>
      </c>
      <c r="M1344" s="245">
        <v>2080.9594000000002</v>
      </c>
      <c r="N1344" s="245">
        <v>3641.6789500000004</v>
      </c>
      <c r="O1344" s="245" t="s">
        <v>1304</v>
      </c>
      <c r="P1344" s="245" t="s">
        <v>1546</v>
      </c>
      <c r="Q1344" s="245" t="s">
        <v>521</v>
      </c>
      <c r="R1344" s="246" t="s">
        <v>679</v>
      </c>
    </row>
    <row r="1345" spans="1:18" ht="26" x14ac:dyDescent="0.8">
      <c r="A1345" s="247">
        <v>432</v>
      </c>
      <c r="B1345" s="248" t="s">
        <v>1766</v>
      </c>
      <c r="D1345" s="245">
        <v>0</v>
      </c>
      <c r="R1345" s="246" t="s">
        <v>679</v>
      </c>
    </row>
    <row r="1346" spans="1:18" x14ac:dyDescent="0.8">
      <c r="A1346" s="247">
        <v>4321</v>
      </c>
      <c r="B1346" s="248" t="s">
        <v>1767</v>
      </c>
      <c r="D1346" s="245">
        <v>0</v>
      </c>
      <c r="R1346" s="246" t="s">
        <v>679</v>
      </c>
    </row>
    <row r="1347" spans="1:18" hidden="1" x14ac:dyDescent="0.8">
      <c r="A1347" s="247">
        <v>43211</v>
      </c>
      <c r="B1347" s="248" t="s">
        <v>1768</v>
      </c>
      <c r="C1347" s="249" t="s">
        <v>55</v>
      </c>
      <c r="D1347" s="245">
        <v>0</v>
      </c>
      <c r="E1347" s="245">
        <v>1</v>
      </c>
      <c r="H1347" s="245">
        <v>1</v>
      </c>
      <c r="I1347" s="245">
        <v>0</v>
      </c>
      <c r="J1347" s="245">
        <v>0</v>
      </c>
      <c r="K1347" s="245">
        <v>0</v>
      </c>
      <c r="L1347" s="245">
        <v>0</v>
      </c>
      <c r="M1347" s="245">
        <v>0</v>
      </c>
      <c r="O1347" s="245" t="s">
        <v>56</v>
      </c>
      <c r="P1347" s="245" t="s">
        <v>1546</v>
      </c>
      <c r="Q1347" s="245" t="s">
        <v>1650</v>
      </c>
      <c r="R1347" s="246" t="s">
        <v>679</v>
      </c>
    </row>
    <row r="1348" spans="1:18" x14ac:dyDescent="0.8">
      <c r="A1348" s="247">
        <v>4322</v>
      </c>
      <c r="B1348" s="248" t="s">
        <v>1769</v>
      </c>
      <c r="D1348" s="245">
        <v>0</v>
      </c>
      <c r="R1348" s="246" t="s">
        <v>679</v>
      </c>
    </row>
    <row r="1349" spans="1:18" hidden="1" x14ac:dyDescent="0.8">
      <c r="A1349" s="247">
        <v>43221</v>
      </c>
      <c r="B1349" s="248" t="s">
        <v>1770</v>
      </c>
      <c r="C1349" s="249" t="s">
        <v>55</v>
      </c>
      <c r="D1349" s="245">
        <v>0</v>
      </c>
      <c r="E1349" s="245">
        <v>1</v>
      </c>
      <c r="H1349" s="245">
        <v>1</v>
      </c>
      <c r="I1349" s="245">
        <v>0</v>
      </c>
      <c r="J1349" s="245">
        <v>0</v>
      </c>
      <c r="K1349" s="245">
        <v>0</v>
      </c>
      <c r="L1349" s="245">
        <v>0</v>
      </c>
      <c r="M1349" s="245">
        <v>0</v>
      </c>
      <c r="O1349" s="245" t="s">
        <v>56</v>
      </c>
      <c r="P1349" s="245" t="s">
        <v>1665</v>
      </c>
      <c r="Q1349" s="245" t="s">
        <v>1607</v>
      </c>
      <c r="R1349" s="246" t="s">
        <v>679</v>
      </c>
    </row>
    <row r="1350" spans="1:18" ht="39" hidden="1" x14ac:dyDescent="0.8">
      <c r="A1350" s="247">
        <v>43222</v>
      </c>
      <c r="B1350" s="248" t="s">
        <v>1771</v>
      </c>
      <c r="C1350" s="249" t="s">
        <v>1773</v>
      </c>
      <c r="D1350" s="245">
        <v>0</v>
      </c>
      <c r="E1350" s="245">
        <v>15</v>
      </c>
      <c r="F1350" s="245">
        <v>20</v>
      </c>
      <c r="G1350" s="245">
        <v>20</v>
      </c>
      <c r="H1350" s="245">
        <v>55</v>
      </c>
      <c r="I1350" s="245">
        <v>50</v>
      </c>
      <c r="J1350" s="245">
        <v>0</v>
      </c>
      <c r="K1350" s="245">
        <v>750</v>
      </c>
      <c r="L1350" s="245">
        <v>1000</v>
      </c>
      <c r="M1350" s="245">
        <v>1000</v>
      </c>
      <c r="N1350" s="245">
        <v>2750</v>
      </c>
      <c r="O1350" s="245" t="s">
        <v>56</v>
      </c>
      <c r="P1350" s="245" t="s">
        <v>1665</v>
      </c>
      <c r="Q1350" s="245" t="s">
        <v>1607</v>
      </c>
      <c r="R1350" s="246" t="s">
        <v>679</v>
      </c>
    </row>
    <row r="1351" spans="1:18" ht="52" x14ac:dyDescent="0.8">
      <c r="A1351" s="247">
        <v>433</v>
      </c>
      <c r="B1351" s="248" t="s">
        <v>1774</v>
      </c>
      <c r="D1351" s="245">
        <v>0</v>
      </c>
      <c r="R1351" s="246" t="s">
        <v>679</v>
      </c>
    </row>
    <row r="1352" spans="1:18" x14ac:dyDescent="0.8">
      <c r="A1352" s="247">
        <v>4331</v>
      </c>
      <c r="B1352" s="248" t="s">
        <v>1775</v>
      </c>
      <c r="D1352" s="245">
        <v>0</v>
      </c>
      <c r="R1352" s="246" t="s">
        <v>679</v>
      </c>
    </row>
    <row r="1353" spans="1:18" hidden="1" x14ac:dyDescent="0.8">
      <c r="A1353" s="247">
        <v>43311</v>
      </c>
      <c r="B1353" s="248" t="s">
        <v>1776</v>
      </c>
      <c r="C1353" s="249" t="s">
        <v>55</v>
      </c>
      <c r="D1353" s="245">
        <v>0</v>
      </c>
      <c r="F1353" s="245">
        <v>1</v>
      </c>
      <c r="H1353" s="245">
        <v>1</v>
      </c>
      <c r="I1353" s="245">
        <v>0</v>
      </c>
      <c r="J1353" s="245">
        <v>0</v>
      </c>
      <c r="K1353" s="245">
        <v>0</v>
      </c>
      <c r="L1353" s="245">
        <v>0</v>
      </c>
      <c r="M1353" s="245">
        <v>0</v>
      </c>
      <c r="O1353" s="245" t="s">
        <v>169</v>
      </c>
      <c r="P1353" s="245" t="s">
        <v>1665</v>
      </c>
      <c r="Q1353" s="245" t="s">
        <v>1607</v>
      </c>
      <c r="R1353" s="246" t="s">
        <v>679</v>
      </c>
    </row>
    <row r="1354" spans="1:18" hidden="1" x14ac:dyDescent="0.8">
      <c r="A1354" s="247">
        <v>43312</v>
      </c>
      <c r="B1354" s="248" t="s">
        <v>1777</v>
      </c>
      <c r="C1354" s="249" t="s">
        <v>55</v>
      </c>
      <c r="D1354" s="245">
        <v>0</v>
      </c>
      <c r="F1354" s="245">
        <v>1</v>
      </c>
      <c r="H1354" s="245">
        <v>1</v>
      </c>
      <c r="I1354" s="245">
        <v>0</v>
      </c>
      <c r="J1354" s="245">
        <v>0</v>
      </c>
      <c r="K1354" s="245">
        <v>0</v>
      </c>
      <c r="L1354" s="245">
        <v>0</v>
      </c>
      <c r="M1354" s="245">
        <v>0</v>
      </c>
      <c r="O1354" s="245" t="s">
        <v>56</v>
      </c>
      <c r="P1354" s="245" t="s">
        <v>1665</v>
      </c>
      <c r="Q1354" s="245" t="s">
        <v>1607</v>
      </c>
      <c r="R1354" s="246" t="s">
        <v>679</v>
      </c>
    </row>
    <row r="1355" spans="1:18" hidden="1" x14ac:dyDescent="0.8">
      <c r="A1355" s="247">
        <v>43313</v>
      </c>
      <c r="B1355" s="248" t="s">
        <v>1741</v>
      </c>
      <c r="C1355" s="249" t="s">
        <v>66</v>
      </c>
      <c r="D1355" s="245">
        <v>0</v>
      </c>
      <c r="F1355" s="245">
        <v>280</v>
      </c>
      <c r="H1355" s="245">
        <v>280</v>
      </c>
      <c r="I1355" s="245">
        <v>0.255</v>
      </c>
      <c r="J1355" s="245">
        <v>0</v>
      </c>
      <c r="K1355" s="245">
        <v>0</v>
      </c>
      <c r="L1355" s="245">
        <v>71.400000000000006</v>
      </c>
      <c r="M1355" s="245">
        <v>0</v>
      </c>
      <c r="N1355" s="245">
        <v>71.400000000000006</v>
      </c>
      <c r="O1355" s="245" t="s">
        <v>169</v>
      </c>
      <c r="P1355" s="245" t="s">
        <v>1665</v>
      </c>
      <c r="Q1355" s="245" t="s">
        <v>521</v>
      </c>
      <c r="R1355" s="246" t="s">
        <v>679</v>
      </c>
    </row>
    <row r="1356" spans="1:18" x14ac:dyDescent="0.8">
      <c r="A1356" s="247">
        <v>4332</v>
      </c>
      <c r="B1356" s="248" t="s">
        <v>1779</v>
      </c>
      <c r="D1356" s="245">
        <v>0</v>
      </c>
      <c r="R1356" s="246" t="s">
        <v>679</v>
      </c>
    </row>
    <row r="1357" spans="1:18" hidden="1" x14ac:dyDescent="0.8">
      <c r="A1357" s="247">
        <v>43321</v>
      </c>
      <c r="B1357" s="248" t="s">
        <v>1780</v>
      </c>
      <c r="C1357" s="249" t="s">
        <v>55</v>
      </c>
      <c r="D1357" s="245">
        <v>0</v>
      </c>
      <c r="E1357" s="245">
        <v>1</v>
      </c>
      <c r="H1357" s="245">
        <v>1</v>
      </c>
      <c r="I1357" s="245">
        <v>0</v>
      </c>
      <c r="J1357" s="245">
        <v>0</v>
      </c>
      <c r="K1357" s="245">
        <v>0</v>
      </c>
      <c r="L1357" s="245">
        <v>0</v>
      </c>
      <c r="M1357" s="245">
        <v>0</v>
      </c>
      <c r="O1357" s="245" t="s">
        <v>56</v>
      </c>
      <c r="P1357" s="245" t="s">
        <v>1665</v>
      </c>
      <c r="Q1357" s="245" t="s">
        <v>1607</v>
      </c>
      <c r="R1357" s="246" t="s">
        <v>679</v>
      </c>
    </row>
    <row r="1358" spans="1:18" ht="39" hidden="1" x14ac:dyDescent="0.8">
      <c r="A1358" s="247">
        <v>43322</v>
      </c>
      <c r="B1358" s="248" t="s">
        <v>1781</v>
      </c>
      <c r="C1358" s="249" t="s">
        <v>55</v>
      </c>
      <c r="D1358" s="245">
        <v>0</v>
      </c>
      <c r="E1358" s="245">
        <v>1</v>
      </c>
      <c r="F1358" s="245">
        <v>1</v>
      </c>
      <c r="H1358" s="245">
        <v>2</v>
      </c>
      <c r="I1358" s="245">
        <v>0</v>
      </c>
      <c r="J1358" s="245">
        <v>0</v>
      </c>
      <c r="K1358" s="245">
        <v>0</v>
      </c>
      <c r="L1358" s="245">
        <v>0</v>
      </c>
      <c r="M1358" s="245">
        <v>0</v>
      </c>
      <c r="O1358" s="245" t="s">
        <v>56</v>
      </c>
      <c r="P1358" s="245" t="s">
        <v>1705</v>
      </c>
      <c r="Q1358" s="245" t="s">
        <v>521</v>
      </c>
      <c r="R1358" s="246" t="s">
        <v>679</v>
      </c>
    </row>
    <row r="1359" spans="1:18" ht="26" x14ac:dyDescent="0.8">
      <c r="A1359" s="247">
        <v>4333</v>
      </c>
      <c r="B1359" s="248" t="s">
        <v>1782</v>
      </c>
      <c r="D1359" s="245">
        <v>0</v>
      </c>
      <c r="R1359" s="246" t="s">
        <v>679</v>
      </c>
    </row>
    <row r="1360" spans="1:18" ht="26" hidden="1" x14ac:dyDescent="0.8">
      <c r="A1360" s="247">
        <v>43331</v>
      </c>
      <c r="B1360" s="248" t="s">
        <v>1783</v>
      </c>
      <c r="C1360" s="249" t="s">
        <v>55</v>
      </c>
      <c r="D1360" s="245">
        <v>0</v>
      </c>
      <c r="E1360" s="245">
        <v>1</v>
      </c>
      <c r="F1360" s="245">
        <v>1</v>
      </c>
      <c r="G1360" s="245">
        <v>1</v>
      </c>
      <c r="H1360" s="245">
        <v>3</v>
      </c>
      <c r="I1360" s="245">
        <v>0</v>
      </c>
      <c r="J1360" s="245">
        <v>0</v>
      </c>
      <c r="K1360" s="245">
        <v>0</v>
      </c>
      <c r="L1360" s="245">
        <v>0</v>
      </c>
      <c r="M1360" s="245">
        <v>0</v>
      </c>
      <c r="O1360" s="245" t="s">
        <v>56</v>
      </c>
      <c r="P1360" s="245" t="s">
        <v>255</v>
      </c>
      <c r="Q1360" s="245" t="s">
        <v>1647</v>
      </c>
      <c r="R1360" s="246" t="s">
        <v>679</v>
      </c>
    </row>
    <row r="1361" spans="1:18" ht="39" hidden="1" x14ac:dyDescent="0.8">
      <c r="A1361" s="247">
        <v>43332</v>
      </c>
      <c r="B1361" s="248" t="s">
        <v>1784</v>
      </c>
      <c r="C1361" s="249" t="s">
        <v>55</v>
      </c>
      <c r="D1361" s="245">
        <v>0</v>
      </c>
      <c r="E1361" s="245">
        <v>400</v>
      </c>
      <c r="F1361" s="245">
        <v>400</v>
      </c>
      <c r="G1361" s="245">
        <v>500</v>
      </c>
      <c r="H1361" s="245">
        <v>1300</v>
      </c>
      <c r="I1361" s="245">
        <v>0</v>
      </c>
      <c r="J1361" s="245">
        <v>0</v>
      </c>
      <c r="K1361" s="245">
        <v>0</v>
      </c>
      <c r="L1361" s="245">
        <v>0</v>
      </c>
      <c r="M1361" s="245">
        <v>0</v>
      </c>
      <c r="O1361" s="245" t="s">
        <v>56</v>
      </c>
      <c r="P1361" s="245" t="s">
        <v>1665</v>
      </c>
      <c r="Q1361" s="245" t="s">
        <v>521</v>
      </c>
      <c r="R1361" s="246" t="s">
        <v>679</v>
      </c>
    </row>
    <row r="1362" spans="1:18" ht="26" hidden="1" x14ac:dyDescent="0.8">
      <c r="A1362" s="247">
        <v>43333</v>
      </c>
      <c r="B1362" s="248" t="s">
        <v>1785</v>
      </c>
      <c r="C1362" s="249" t="s">
        <v>55</v>
      </c>
      <c r="D1362" s="245">
        <v>0</v>
      </c>
      <c r="E1362" s="245">
        <v>50</v>
      </c>
      <c r="F1362" s="245">
        <v>100</v>
      </c>
      <c r="G1362" s="245">
        <v>100</v>
      </c>
      <c r="H1362" s="245">
        <v>150</v>
      </c>
      <c r="I1362" s="245">
        <v>0</v>
      </c>
      <c r="J1362" s="245">
        <v>0</v>
      </c>
      <c r="K1362" s="245">
        <v>0</v>
      </c>
      <c r="L1362" s="245">
        <v>0</v>
      </c>
      <c r="M1362" s="245">
        <v>0</v>
      </c>
      <c r="O1362" s="245" t="s">
        <v>56</v>
      </c>
      <c r="R1362" s="246" t="s">
        <v>679</v>
      </c>
    </row>
    <row r="1363" spans="1:18" ht="39" hidden="1" x14ac:dyDescent="0.8">
      <c r="A1363" s="247">
        <v>43334</v>
      </c>
      <c r="B1363" s="248" t="s">
        <v>1786</v>
      </c>
      <c r="C1363" s="249" t="s">
        <v>55</v>
      </c>
      <c r="D1363" s="245">
        <v>0</v>
      </c>
      <c r="E1363" s="245">
        <v>50</v>
      </c>
      <c r="F1363" s="245">
        <v>50</v>
      </c>
      <c r="G1363" s="245">
        <v>50</v>
      </c>
      <c r="H1363" s="245">
        <v>150</v>
      </c>
      <c r="I1363" s="245">
        <v>0</v>
      </c>
      <c r="J1363" s="245">
        <v>0</v>
      </c>
      <c r="K1363" s="245">
        <v>0</v>
      </c>
      <c r="L1363" s="245">
        <v>0</v>
      </c>
      <c r="M1363" s="245">
        <v>0</v>
      </c>
      <c r="O1363" s="245" t="s">
        <v>56</v>
      </c>
      <c r="P1363" s="245" t="s">
        <v>1665</v>
      </c>
      <c r="Q1363" s="245" t="s">
        <v>521</v>
      </c>
      <c r="R1363" s="246" t="s">
        <v>679</v>
      </c>
    </row>
    <row r="1364" spans="1:18" ht="26" hidden="1" x14ac:dyDescent="0.8">
      <c r="A1364" s="247">
        <v>43335</v>
      </c>
      <c r="B1364" s="248" t="s">
        <v>1787</v>
      </c>
      <c r="C1364" s="249" t="s">
        <v>1788</v>
      </c>
      <c r="D1364" s="245">
        <v>0</v>
      </c>
      <c r="E1364" s="245">
        <v>11</v>
      </c>
      <c r="F1364" s="245">
        <v>11</v>
      </c>
      <c r="G1364" s="245">
        <v>11</v>
      </c>
      <c r="H1364" s="245">
        <v>33</v>
      </c>
      <c r="I1364" s="245">
        <v>100</v>
      </c>
      <c r="J1364" s="245">
        <v>0</v>
      </c>
      <c r="K1364" s="245">
        <v>1100</v>
      </c>
      <c r="L1364" s="245">
        <v>1100</v>
      </c>
      <c r="M1364" s="245">
        <v>1100</v>
      </c>
      <c r="N1364" s="245">
        <v>3300</v>
      </c>
      <c r="O1364" s="245" t="s">
        <v>56</v>
      </c>
      <c r="R1364" s="246" t="s">
        <v>679</v>
      </c>
    </row>
    <row r="1365" spans="1:18" ht="26" x14ac:dyDescent="0.8">
      <c r="A1365" s="247">
        <v>4334</v>
      </c>
      <c r="B1365" s="248" t="s">
        <v>1789</v>
      </c>
      <c r="D1365" s="245">
        <v>0</v>
      </c>
      <c r="R1365" s="246" t="s">
        <v>679</v>
      </c>
    </row>
    <row r="1366" spans="1:18" ht="26" hidden="1" x14ac:dyDescent="0.8">
      <c r="A1366" s="247">
        <v>43341</v>
      </c>
      <c r="B1366" s="248" t="s">
        <v>1790</v>
      </c>
      <c r="C1366" s="249" t="s">
        <v>55</v>
      </c>
      <c r="D1366" s="245">
        <v>0</v>
      </c>
      <c r="H1366" s="245">
        <v>0</v>
      </c>
      <c r="I1366" s="245">
        <v>0</v>
      </c>
      <c r="J1366" s="245">
        <v>0</v>
      </c>
      <c r="K1366" s="245">
        <v>0</v>
      </c>
      <c r="L1366" s="245">
        <v>0</v>
      </c>
      <c r="M1366" s="245">
        <v>0</v>
      </c>
      <c r="O1366" s="245" t="s">
        <v>169</v>
      </c>
      <c r="P1366" s="245" t="s">
        <v>1791</v>
      </c>
      <c r="Q1366" s="245" t="s">
        <v>521</v>
      </c>
      <c r="R1366" s="246" t="s">
        <v>679</v>
      </c>
    </row>
    <row r="1367" spans="1:18" hidden="1" x14ac:dyDescent="0.8">
      <c r="A1367" s="247">
        <v>43342</v>
      </c>
      <c r="B1367" s="248" t="s">
        <v>1792</v>
      </c>
      <c r="C1367" s="249" t="s">
        <v>55</v>
      </c>
      <c r="D1367" s="245">
        <v>0</v>
      </c>
      <c r="E1367" s="245">
        <v>1</v>
      </c>
      <c r="F1367" s="245">
        <v>1</v>
      </c>
      <c r="G1367" s="245">
        <v>1</v>
      </c>
      <c r="H1367" s="245">
        <v>3</v>
      </c>
      <c r="I1367" s="245">
        <v>0</v>
      </c>
      <c r="J1367" s="245">
        <v>0</v>
      </c>
      <c r="K1367" s="245">
        <v>0</v>
      </c>
      <c r="L1367" s="245">
        <v>0</v>
      </c>
      <c r="M1367" s="245">
        <v>0</v>
      </c>
      <c r="O1367" s="245" t="s">
        <v>56</v>
      </c>
      <c r="P1367" s="245" t="s">
        <v>1665</v>
      </c>
      <c r="Q1367" s="245" t="s">
        <v>1607</v>
      </c>
      <c r="R1367" s="246" t="s">
        <v>679</v>
      </c>
    </row>
    <row r="1368" spans="1:18" hidden="1" x14ac:dyDescent="0.8">
      <c r="A1368" s="247">
        <v>43343</v>
      </c>
      <c r="B1368" s="248" t="s">
        <v>1793</v>
      </c>
      <c r="C1368" s="249" t="s">
        <v>55</v>
      </c>
      <c r="D1368" s="245">
        <v>0</v>
      </c>
      <c r="E1368" s="245">
        <v>1</v>
      </c>
      <c r="F1368" s="245">
        <v>1</v>
      </c>
      <c r="G1368" s="245">
        <v>1</v>
      </c>
      <c r="H1368" s="245">
        <v>3</v>
      </c>
      <c r="I1368" s="245">
        <v>0</v>
      </c>
      <c r="J1368" s="245">
        <v>0</v>
      </c>
      <c r="K1368" s="245">
        <v>0</v>
      </c>
      <c r="L1368" s="245">
        <v>0</v>
      </c>
      <c r="M1368" s="245">
        <v>0</v>
      </c>
      <c r="O1368" s="245" t="s">
        <v>56</v>
      </c>
      <c r="P1368" s="245" t="s">
        <v>1665</v>
      </c>
      <c r="Q1368" s="245" t="s">
        <v>521</v>
      </c>
      <c r="R1368" s="246" t="s">
        <v>679</v>
      </c>
    </row>
    <row r="1369" spans="1:18" ht="26" x14ac:dyDescent="0.8">
      <c r="A1369" s="247">
        <v>4335</v>
      </c>
      <c r="B1369" s="248" t="s">
        <v>1794</v>
      </c>
      <c r="D1369" s="245">
        <v>0</v>
      </c>
      <c r="R1369" s="246" t="s">
        <v>679</v>
      </c>
    </row>
    <row r="1370" spans="1:18" ht="26" hidden="1" x14ac:dyDescent="0.8">
      <c r="A1370" s="247">
        <v>43351</v>
      </c>
      <c r="B1370" s="248" t="s">
        <v>1795</v>
      </c>
      <c r="C1370" s="249" t="s">
        <v>55</v>
      </c>
      <c r="D1370" s="245">
        <v>0</v>
      </c>
      <c r="H1370" s="245">
        <v>0</v>
      </c>
      <c r="I1370" s="245">
        <v>0</v>
      </c>
      <c r="J1370" s="245">
        <v>0</v>
      </c>
      <c r="K1370" s="245">
        <v>0</v>
      </c>
      <c r="L1370" s="245">
        <v>0</v>
      </c>
      <c r="M1370" s="245">
        <v>0</v>
      </c>
      <c r="O1370" s="245" t="s">
        <v>56</v>
      </c>
      <c r="P1370" s="245" t="s">
        <v>1647</v>
      </c>
      <c r="Q1370" s="245" t="s">
        <v>521</v>
      </c>
      <c r="R1370" s="246" t="s">
        <v>679</v>
      </c>
    </row>
    <row r="1371" spans="1:18" ht="26" hidden="1" x14ac:dyDescent="0.8">
      <c r="A1371" s="247">
        <v>43352</v>
      </c>
      <c r="B1371" s="248" t="s">
        <v>1796</v>
      </c>
      <c r="C1371" s="249" t="s">
        <v>55</v>
      </c>
      <c r="D1371" s="245">
        <v>0</v>
      </c>
      <c r="E1371" s="245">
        <v>1</v>
      </c>
      <c r="F1371" s="245">
        <v>1</v>
      </c>
      <c r="G1371" s="245">
        <v>1</v>
      </c>
      <c r="H1371" s="245">
        <v>3</v>
      </c>
      <c r="I1371" s="245">
        <v>0</v>
      </c>
      <c r="J1371" s="245">
        <v>0</v>
      </c>
      <c r="K1371" s="245">
        <v>0</v>
      </c>
      <c r="L1371" s="245">
        <v>0</v>
      </c>
      <c r="M1371" s="245">
        <v>0</v>
      </c>
      <c r="O1371" s="245" t="s">
        <v>56</v>
      </c>
      <c r="P1371" s="245" t="s">
        <v>1647</v>
      </c>
      <c r="Q1371" s="245" t="s">
        <v>1607</v>
      </c>
      <c r="R1371" s="246" t="s">
        <v>679</v>
      </c>
    </row>
    <row r="1372" spans="1:18" ht="26" hidden="1" x14ac:dyDescent="0.8">
      <c r="A1372" s="247">
        <v>43353</v>
      </c>
      <c r="B1372" s="248" t="s">
        <v>1797</v>
      </c>
      <c r="C1372" s="249" t="s">
        <v>55</v>
      </c>
      <c r="D1372" s="245">
        <v>0</v>
      </c>
      <c r="E1372" s="245">
        <v>1</v>
      </c>
      <c r="F1372" s="245">
        <v>1</v>
      </c>
      <c r="G1372" s="245">
        <v>1</v>
      </c>
      <c r="H1372" s="245">
        <v>3</v>
      </c>
      <c r="I1372" s="245">
        <v>0</v>
      </c>
      <c r="J1372" s="245">
        <v>0</v>
      </c>
      <c r="K1372" s="245">
        <v>0</v>
      </c>
      <c r="L1372" s="245">
        <v>0</v>
      </c>
      <c r="M1372" s="245">
        <v>0</v>
      </c>
      <c r="O1372" s="245" t="s">
        <v>56</v>
      </c>
      <c r="P1372" s="245" t="s">
        <v>1647</v>
      </c>
      <c r="Q1372" s="245" t="s">
        <v>521</v>
      </c>
      <c r="R1372" s="246" t="s">
        <v>679</v>
      </c>
    </row>
    <row r="1373" spans="1:18" ht="39" x14ac:dyDescent="0.8">
      <c r="A1373" s="247">
        <v>434</v>
      </c>
      <c r="B1373" s="248" t="s">
        <v>1798</v>
      </c>
      <c r="D1373" s="245">
        <v>0</v>
      </c>
      <c r="R1373" s="246" t="s">
        <v>679</v>
      </c>
    </row>
    <row r="1374" spans="1:18" ht="26" x14ac:dyDescent="0.8">
      <c r="A1374" s="247">
        <v>4341</v>
      </c>
      <c r="B1374" s="248" t="s">
        <v>1799</v>
      </c>
      <c r="D1374" s="245">
        <v>0</v>
      </c>
      <c r="R1374" s="246" t="s">
        <v>679</v>
      </c>
    </row>
    <row r="1375" spans="1:18" ht="39" hidden="1" x14ac:dyDescent="0.8">
      <c r="A1375" s="247">
        <v>43411</v>
      </c>
      <c r="B1375" s="248" t="s">
        <v>1800</v>
      </c>
      <c r="C1375" s="249" t="s">
        <v>55</v>
      </c>
      <c r="D1375" s="245">
        <v>0</v>
      </c>
      <c r="E1375" s="245">
        <v>1</v>
      </c>
      <c r="H1375" s="245">
        <v>1</v>
      </c>
      <c r="I1375" s="245">
        <v>0</v>
      </c>
      <c r="J1375" s="245">
        <v>0</v>
      </c>
      <c r="K1375" s="245">
        <v>0</v>
      </c>
      <c r="L1375" s="245">
        <v>0</v>
      </c>
      <c r="M1375" s="245">
        <v>0</v>
      </c>
      <c r="O1375" s="245" t="s">
        <v>56</v>
      </c>
      <c r="P1375" s="245" t="s">
        <v>255</v>
      </c>
      <c r="Q1375" s="245" t="s">
        <v>1665</v>
      </c>
      <c r="R1375" s="246" t="s">
        <v>679</v>
      </c>
    </row>
    <row r="1376" spans="1:18" hidden="1" x14ac:dyDescent="0.8">
      <c r="A1376" s="247">
        <v>43412</v>
      </c>
      <c r="B1376" s="248" t="s">
        <v>1801</v>
      </c>
      <c r="C1376" s="249" t="s">
        <v>55</v>
      </c>
      <c r="D1376" s="245">
        <v>0</v>
      </c>
      <c r="E1376" s="245">
        <v>1</v>
      </c>
      <c r="H1376" s="245">
        <v>1</v>
      </c>
      <c r="I1376" s="245">
        <v>0</v>
      </c>
      <c r="J1376" s="245">
        <v>0</v>
      </c>
      <c r="K1376" s="245">
        <v>0</v>
      </c>
      <c r="L1376" s="245">
        <v>0</v>
      </c>
      <c r="M1376" s="245">
        <v>0</v>
      </c>
      <c r="O1376" s="245" t="s">
        <v>56</v>
      </c>
      <c r="P1376" s="245" t="s">
        <v>255</v>
      </c>
      <c r="Q1376" s="245" t="s">
        <v>142</v>
      </c>
      <c r="R1376" s="246" t="s">
        <v>679</v>
      </c>
    </row>
    <row r="1377" spans="1:18" ht="26" hidden="1" x14ac:dyDescent="0.8">
      <c r="A1377" s="247">
        <v>43413</v>
      </c>
      <c r="B1377" s="248" t="s">
        <v>1802</v>
      </c>
      <c r="C1377" s="249" t="s">
        <v>55</v>
      </c>
      <c r="D1377" s="245">
        <v>0</v>
      </c>
      <c r="F1377" s="245">
        <v>1</v>
      </c>
      <c r="G1377" s="245">
        <v>1</v>
      </c>
      <c r="H1377" s="245">
        <v>2</v>
      </c>
      <c r="I1377" s="245">
        <v>0</v>
      </c>
      <c r="J1377" s="245">
        <v>0</v>
      </c>
      <c r="K1377" s="245">
        <v>0</v>
      </c>
      <c r="L1377" s="245">
        <v>0</v>
      </c>
      <c r="M1377" s="245">
        <v>0</v>
      </c>
      <c r="O1377" s="245" t="s">
        <v>56</v>
      </c>
      <c r="P1377" s="245" t="s">
        <v>1665</v>
      </c>
      <c r="Q1377" s="245" t="s">
        <v>521</v>
      </c>
      <c r="R1377" s="246" t="s">
        <v>679</v>
      </c>
    </row>
    <row r="1378" spans="1:18" ht="26" x14ac:dyDescent="0.8">
      <c r="A1378" s="247">
        <v>4342</v>
      </c>
      <c r="B1378" s="248" t="s">
        <v>1803</v>
      </c>
      <c r="D1378" s="245">
        <v>0</v>
      </c>
      <c r="R1378" s="246" t="s">
        <v>679</v>
      </c>
    </row>
    <row r="1379" spans="1:18" hidden="1" x14ac:dyDescent="0.8">
      <c r="A1379" s="247">
        <v>43421</v>
      </c>
      <c r="B1379" s="248" t="s">
        <v>1804</v>
      </c>
      <c r="C1379" s="249" t="s">
        <v>55</v>
      </c>
      <c r="D1379" s="245">
        <v>0</v>
      </c>
      <c r="H1379" s="245">
        <v>0</v>
      </c>
      <c r="I1379" s="245">
        <v>0</v>
      </c>
      <c r="J1379" s="245">
        <v>0</v>
      </c>
      <c r="K1379" s="245">
        <v>0</v>
      </c>
      <c r="L1379" s="245">
        <v>0</v>
      </c>
      <c r="M1379" s="245">
        <v>0</v>
      </c>
      <c r="O1379" s="245" t="s">
        <v>56</v>
      </c>
      <c r="P1379" s="245" t="s">
        <v>254</v>
      </c>
      <c r="Q1379" s="245" t="s">
        <v>254</v>
      </c>
      <c r="R1379" s="246" t="s">
        <v>679</v>
      </c>
    </row>
    <row r="1380" spans="1:18" hidden="1" x14ac:dyDescent="0.8">
      <c r="A1380" s="247">
        <v>43422</v>
      </c>
      <c r="B1380" s="248" t="s">
        <v>1805</v>
      </c>
      <c r="C1380" s="249" t="s">
        <v>1807</v>
      </c>
      <c r="D1380" s="245">
        <v>0</v>
      </c>
      <c r="E1380" s="245">
        <v>1</v>
      </c>
      <c r="F1380" s="245">
        <v>1</v>
      </c>
      <c r="G1380" s="245">
        <v>1</v>
      </c>
      <c r="H1380" s="245">
        <v>3</v>
      </c>
      <c r="I1380" s="245">
        <v>500</v>
      </c>
      <c r="J1380" s="245">
        <v>0</v>
      </c>
      <c r="K1380" s="245">
        <v>500</v>
      </c>
      <c r="L1380" s="245">
        <v>500</v>
      </c>
      <c r="M1380" s="245">
        <v>500</v>
      </c>
      <c r="N1380" s="245">
        <v>1500</v>
      </c>
      <c r="O1380" s="245" t="s">
        <v>56</v>
      </c>
      <c r="P1380" s="245" t="s">
        <v>254</v>
      </c>
      <c r="Q1380" s="245" t="s">
        <v>254</v>
      </c>
      <c r="R1380" s="246" t="s">
        <v>679</v>
      </c>
    </row>
    <row r="1381" spans="1:18" x14ac:dyDescent="0.8">
      <c r="A1381" s="247">
        <v>4343</v>
      </c>
      <c r="B1381" s="248" t="s">
        <v>1808</v>
      </c>
      <c r="D1381" s="245">
        <v>0</v>
      </c>
      <c r="R1381" s="246" t="s">
        <v>679</v>
      </c>
    </row>
    <row r="1382" spans="1:18" ht="26" hidden="1" x14ac:dyDescent="0.8">
      <c r="A1382" s="247">
        <v>43431</v>
      </c>
      <c r="B1382" s="248" t="s">
        <v>1809</v>
      </c>
      <c r="C1382" s="249" t="s">
        <v>646</v>
      </c>
      <c r="D1382" s="245">
        <v>0</v>
      </c>
      <c r="E1382" s="245">
        <v>30</v>
      </c>
      <c r="G1382" s="245">
        <v>30</v>
      </c>
      <c r="H1382" s="245">
        <v>60</v>
      </c>
      <c r="I1382" s="245">
        <v>10.404797</v>
      </c>
      <c r="J1382" s="245">
        <v>0</v>
      </c>
      <c r="K1382" s="245">
        <v>312.14391000000001</v>
      </c>
      <c r="L1382" s="245">
        <v>0</v>
      </c>
      <c r="M1382" s="245">
        <v>312.14391000000001</v>
      </c>
      <c r="N1382" s="245">
        <v>624.28782000000001</v>
      </c>
      <c r="O1382" s="245" t="s">
        <v>56</v>
      </c>
      <c r="P1382" s="245" t="s">
        <v>1665</v>
      </c>
      <c r="Q1382" s="245" t="s">
        <v>1607</v>
      </c>
      <c r="R1382" s="246" t="s">
        <v>679</v>
      </c>
    </row>
    <row r="1383" spans="1:18" hidden="1" x14ac:dyDescent="0.8">
      <c r="A1383" s="247">
        <v>43432</v>
      </c>
      <c r="B1383" s="248" t="s">
        <v>1810</v>
      </c>
      <c r="C1383" s="249" t="s">
        <v>1812</v>
      </c>
      <c r="D1383" s="245">
        <v>0</v>
      </c>
      <c r="F1383" s="245">
        <v>1</v>
      </c>
      <c r="G1383" s="245">
        <v>1</v>
      </c>
      <c r="H1383" s="245">
        <v>2</v>
      </c>
      <c r="I1383" s="245">
        <v>1000</v>
      </c>
      <c r="J1383" s="245">
        <v>0</v>
      </c>
      <c r="K1383" s="245">
        <v>0</v>
      </c>
      <c r="L1383" s="245">
        <v>1000</v>
      </c>
      <c r="M1383" s="245">
        <v>1000</v>
      </c>
      <c r="N1383" s="245">
        <v>2000</v>
      </c>
      <c r="O1383" s="245" t="s">
        <v>56</v>
      </c>
      <c r="P1383" s="245" t="s">
        <v>96</v>
      </c>
      <c r="Q1383" s="245" t="s">
        <v>521</v>
      </c>
      <c r="R1383" s="246" t="s">
        <v>679</v>
      </c>
    </row>
    <row r="1384" spans="1:18" ht="26" x14ac:dyDescent="0.8">
      <c r="A1384" s="247">
        <v>435</v>
      </c>
      <c r="B1384" s="248" t="s">
        <v>1813</v>
      </c>
      <c r="D1384" s="245">
        <v>0</v>
      </c>
      <c r="R1384" s="246" t="s">
        <v>679</v>
      </c>
    </row>
    <row r="1385" spans="1:18" ht="39" x14ac:dyDescent="0.8">
      <c r="A1385" s="247">
        <v>4351</v>
      </c>
      <c r="B1385" s="248" t="s">
        <v>1814</v>
      </c>
      <c r="D1385" s="245">
        <v>0</v>
      </c>
      <c r="R1385" s="246" t="s">
        <v>679</v>
      </c>
    </row>
    <row r="1386" spans="1:18" ht="39" hidden="1" x14ac:dyDescent="0.8">
      <c r="A1386" s="247">
        <v>43511</v>
      </c>
      <c r="B1386" s="248" t="s">
        <v>1815</v>
      </c>
      <c r="C1386" s="249" t="s">
        <v>55</v>
      </c>
      <c r="D1386" s="245">
        <v>0</v>
      </c>
      <c r="H1386" s="245">
        <v>0</v>
      </c>
      <c r="I1386" s="245">
        <v>0</v>
      </c>
      <c r="J1386" s="245">
        <v>0</v>
      </c>
      <c r="K1386" s="245">
        <v>0</v>
      </c>
      <c r="L1386" s="245">
        <v>0</v>
      </c>
      <c r="M1386" s="245">
        <v>0</v>
      </c>
      <c r="O1386" s="245" t="s">
        <v>56</v>
      </c>
      <c r="P1386" s="245" t="s">
        <v>1816</v>
      </c>
      <c r="Q1386" s="245" t="s">
        <v>1650</v>
      </c>
      <c r="R1386" s="246" t="s">
        <v>679</v>
      </c>
    </row>
    <row r="1387" spans="1:18" ht="26" hidden="1" x14ac:dyDescent="0.8">
      <c r="A1387" s="247">
        <v>43512</v>
      </c>
      <c r="B1387" s="248" t="s">
        <v>1817</v>
      </c>
      <c r="C1387" s="249" t="s">
        <v>1818</v>
      </c>
      <c r="D1387" s="245">
        <v>0</v>
      </c>
      <c r="E1387" s="245">
        <v>1</v>
      </c>
      <c r="F1387" s="245">
        <v>1</v>
      </c>
      <c r="G1387" s="245">
        <v>1</v>
      </c>
      <c r="H1387" s="245">
        <v>3</v>
      </c>
      <c r="I1387" s="245">
        <v>400</v>
      </c>
      <c r="J1387" s="245">
        <v>0</v>
      </c>
      <c r="K1387" s="245">
        <v>400</v>
      </c>
      <c r="L1387" s="245">
        <v>400</v>
      </c>
      <c r="M1387" s="245">
        <v>400</v>
      </c>
      <c r="N1387" s="245">
        <v>1200</v>
      </c>
      <c r="O1387" s="245" t="s">
        <v>56</v>
      </c>
      <c r="P1387" s="245" t="s">
        <v>1819</v>
      </c>
      <c r="Q1387" s="245" t="s">
        <v>521</v>
      </c>
      <c r="R1387" s="246" t="s">
        <v>679</v>
      </c>
    </row>
    <row r="1388" spans="1:18" ht="26" x14ac:dyDescent="0.8">
      <c r="A1388" s="247">
        <v>43512</v>
      </c>
      <c r="B1388" s="248" t="s">
        <v>1817</v>
      </c>
      <c r="C1388" s="249" t="s">
        <v>1818</v>
      </c>
      <c r="D1388" s="245">
        <v>0</v>
      </c>
      <c r="E1388" s="245">
        <v>1</v>
      </c>
      <c r="F1388" s="245">
        <v>1</v>
      </c>
      <c r="G1388" s="245">
        <v>1</v>
      </c>
      <c r="H1388" s="245">
        <v>3</v>
      </c>
      <c r="I1388" s="245">
        <v>400</v>
      </c>
      <c r="J1388" s="245">
        <v>0</v>
      </c>
      <c r="K1388" s="245">
        <v>400</v>
      </c>
      <c r="L1388" s="245">
        <v>400</v>
      </c>
      <c r="M1388" s="245">
        <v>400</v>
      </c>
      <c r="N1388" s="245">
        <v>1200</v>
      </c>
      <c r="O1388" s="245" t="s">
        <v>39</v>
      </c>
      <c r="P1388" s="245" t="s">
        <v>1819</v>
      </c>
      <c r="Q1388" s="245" t="s">
        <v>521</v>
      </c>
      <c r="R1388" s="246" t="s">
        <v>679</v>
      </c>
    </row>
    <row r="1389" spans="1:18" ht="39" x14ac:dyDescent="0.8">
      <c r="A1389" s="247">
        <v>4352</v>
      </c>
      <c r="B1389" s="248" t="s">
        <v>1820</v>
      </c>
      <c r="D1389" s="245">
        <v>0</v>
      </c>
      <c r="R1389" s="246" t="s">
        <v>679</v>
      </c>
    </row>
    <row r="1390" spans="1:18" hidden="1" x14ac:dyDescent="0.8">
      <c r="A1390" s="247">
        <v>43521</v>
      </c>
      <c r="B1390" s="248" t="s">
        <v>1821</v>
      </c>
      <c r="C1390" s="249" t="s">
        <v>55</v>
      </c>
      <c r="D1390" s="245">
        <v>0</v>
      </c>
      <c r="I1390" s="245">
        <v>0</v>
      </c>
      <c r="O1390" s="245" t="s">
        <v>56</v>
      </c>
      <c r="P1390" s="245" t="s">
        <v>255</v>
      </c>
      <c r="Q1390" s="245" t="s">
        <v>142</v>
      </c>
      <c r="R1390" s="246" t="s">
        <v>679</v>
      </c>
    </row>
    <row r="1391" spans="1:18" hidden="1" x14ac:dyDescent="0.8">
      <c r="A1391" s="247">
        <v>43522</v>
      </c>
      <c r="B1391" s="248" t="s">
        <v>1822</v>
      </c>
      <c r="C1391" s="249" t="s">
        <v>101</v>
      </c>
      <c r="D1391" s="245">
        <v>0</v>
      </c>
      <c r="H1391" s="245">
        <v>0</v>
      </c>
      <c r="I1391" s="245">
        <v>2.651545</v>
      </c>
      <c r="J1391" s="245">
        <v>0</v>
      </c>
      <c r="K1391" s="245">
        <v>0</v>
      </c>
      <c r="L1391" s="245">
        <v>0</v>
      </c>
      <c r="M1391" s="245">
        <v>0</v>
      </c>
      <c r="N1391" s="245">
        <v>0</v>
      </c>
      <c r="O1391" s="245" t="s">
        <v>56</v>
      </c>
      <c r="P1391" s="245" t="s">
        <v>1816</v>
      </c>
      <c r="Q1391" s="245" t="s">
        <v>1650</v>
      </c>
      <c r="R1391" s="246" t="s">
        <v>679</v>
      </c>
    </row>
    <row r="1392" spans="1:18" hidden="1" x14ac:dyDescent="0.8">
      <c r="A1392" s="247">
        <v>43523</v>
      </c>
      <c r="B1392" s="248" t="s">
        <v>1823</v>
      </c>
      <c r="C1392" s="249" t="s">
        <v>101</v>
      </c>
      <c r="D1392" s="245">
        <v>0</v>
      </c>
      <c r="G1392" s="245">
        <v>30</v>
      </c>
      <c r="H1392" s="245">
        <v>30</v>
      </c>
      <c r="I1392" s="245">
        <v>2.651545</v>
      </c>
      <c r="J1392" s="245">
        <v>0</v>
      </c>
      <c r="K1392" s="245">
        <v>0</v>
      </c>
      <c r="L1392" s="245">
        <v>0</v>
      </c>
      <c r="M1392" s="245">
        <v>79.546350000000004</v>
      </c>
      <c r="N1392" s="245">
        <v>79.546350000000004</v>
      </c>
      <c r="O1392" s="245" t="s">
        <v>56</v>
      </c>
      <c r="P1392" s="245" t="s">
        <v>1816</v>
      </c>
      <c r="Q1392" s="245" t="s">
        <v>1650</v>
      </c>
      <c r="R1392" s="246" t="s">
        <v>679</v>
      </c>
    </row>
    <row r="1393" spans="1:18" ht="52" x14ac:dyDescent="0.8">
      <c r="A1393" s="247">
        <v>4353</v>
      </c>
      <c r="B1393" s="248" t="s">
        <v>1824</v>
      </c>
      <c r="D1393" s="245">
        <v>0</v>
      </c>
      <c r="R1393" s="246" t="s">
        <v>679</v>
      </c>
    </row>
    <row r="1394" spans="1:18" hidden="1" x14ac:dyDescent="0.8">
      <c r="A1394" s="247">
        <v>43531</v>
      </c>
      <c r="B1394" s="248" t="s">
        <v>1825</v>
      </c>
      <c r="C1394" s="249" t="s">
        <v>974</v>
      </c>
      <c r="D1394" s="245">
        <v>0</v>
      </c>
      <c r="E1394" s="245">
        <v>5</v>
      </c>
      <c r="G1394" s="245">
        <v>5</v>
      </c>
      <c r="H1394" s="245">
        <v>10</v>
      </c>
      <c r="I1394" s="245">
        <v>6.333333333333333</v>
      </c>
      <c r="J1394" s="245">
        <v>0</v>
      </c>
      <c r="K1394" s="245">
        <v>31.666666666666664</v>
      </c>
      <c r="L1394" s="245">
        <v>0</v>
      </c>
      <c r="M1394" s="245">
        <v>31.666666666666664</v>
      </c>
      <c r="N1394" s="245">
        <v>63.333333333333329</v>
      </c>
      <c r="O1394" s="245" t="s">
        <v>56</v>
      </c>
      <c r="P1394" s="245" t="s">
        <v>1665</v>
      </c>
      <c r="Q1394" s="245" t="s">
        <v>521</v>
      </c>
      <c r="R1394" s="246" t="s">
        <v>679</v>
      </c>
    </row>
    <row r="1395" spans="1:18" ht="26" hidden="1" x14ac:dyDescent="0.8">
      <c r="A1395" s="247">
        <v>43532</v>
      </c>
      <c r="B1395" s="248" t="s">
        <v>1826</v>
      </c>
      <c r="C1395" s="249" t="s">
        <v>1827</v>
      </c>
      <c r="D1395" s="245">
        <v>0</v>
      </c>
      <c r="E1395" s="245">
        <v>90</v>
      </c>
      <c r="G1395" s="245">
        <v>90</v>
      </c>
      <c r="H1395" s="245">
        <v>180</v>
      </c>
      <c r="I1395" s="245">
        <v>5.25</v>
      </c>
      <c r="J1395" s="245">
        <v>0</v>
      </c>
      <c r="K1395" s="245">
        <v>472.5</v>
      </c>
      <c r="L1395" s="245">
        <v>0</v>
      </c>
      <c r="M1395" s="245">
        <v>472.5</v>
      </c>
      <c r="N1395" s="245">
        <v>945</v>
      </c>
      <c r="O1395" s="245" t="s">
        <v>56</v>
      </c>
      <c r="P1395" s="245" t="s">
        <v>1665</v>
      </c>
      <c r="Q1395" s="245" t="s">
        <v>521</v>
      </c>
      <c r="R1395" s="246" t="s">
        <v>679</v>
      </c>
    </row>
    <row r="1396" spans="1:18" ht="39" hidden="1" x14ac:dyDescent="0.8">
      <c r="A1396" s="247">
        <v>43533</v>
      </c>
      <c r="B1396" s="248" t="s">
        <v>1828</v>
      </c>
      <c r="C1396" s="249" t="s">
        <v>55</v>
      </c>
      <c r="D1396" s="245">
        <v>0</v>
      </c>
      <c r="E1396" s="245">
        <v>1</v>
      </c>
      <c r="F1396" s="245">
        <v>1</v>
      </c>
      <c r="H1396" s="245">
        <v>2</v>
      </c>
      <c r="I1396" s="245">
        <v>0</v>
      </c>
      <c r="J1396" s="245">
        <v>0</v>
      </c>
      <c r="K1396" s="245">
        <v>0</v>
      </c>
      <c r="L1396" s="245">
        <v>0</v>
      </c>
      <c r="M1396" s="245">
        <v>0</v>
      </c>
      <c r="O1396" s="245" t="s">
        <v>56</v>
      </c>
      <c r="P1396" s="245" t="s">
        <v>1705</v>
      </c>
      <c r="Q1396" s="245" t="s">
        <v>521</v>
      </c>
      <c r="R1396" s="246" t="s">
        <v>679</v>
      </c>
    </row>
    <row r="1397" spans="1:18" hidden="1" x14ac:dyDescent="0.8">
      <c r="A1397" s="247">
        <v>43534</v>
      </c>
      <c r="B1397" s="248" t="s">
        <v>1829</v>
      </c>
      <c r="C1397" s="249" t="s">
        <v>972</v>
      </c>
      <c r="D1397" s="245">
        <v>0</v>
      </c>
      <c r="E1397" s="245">
        <v>450</v>
      </c>
      <c r="G1397" s="245">
        <v>450</v>
      </c>
      <c r="H1397" s="245">
        <v>900</v>
      </c>
      <c r="I1397" s="245">
        <v>5</v>
      </c>
      <c r="J1397" s="245">
        <v>0</v>
      </c>
      <c r="K1397" s="245">
        <v>2250</v>
      </c>
      <c r="L1397" s="245">
        <v>0</v>
      </c>
      <c r="M1397" s="245">
        <v>2250</v>
      </c>
      <c r="N1397" s="245">
        <v>4500</v>
      </c>
      <c r="O1397" s="245" t="s">
        <v>56</v>
      </c>
      <c r="P1397" s="245" t="s">
        <v>1830</v>
      </c>
      <c r="Q1397" s="245" t="s">
        <v>521</v>
      </c>
      <c r="R1397" s="246" t="s">
        <v>679</v>
      </c>
    </row>
    <row r="1398" spans="1:18" ht="26" hidden="1" x14ac:dyDescent="0.8">
      <c r="A1398" s="247">
        <v>43535</v>
      </c>
      <c r="B1398" s="248" t="s">
        <v>1831</v>
      </c>
      <c r="C1398" s="249" t="s">
        <v>1833</v>
      </c>
      <c r="D1398" s="245">
        <v>0</v>
      </c>
      <c r="E1398" s="245">
        <v>0.95409043386778303</v>
      </c>
      <c r="F1398" s="245">
        <v>0.99951934348543303</v>
      </c>
      <c r="G1398" s="245">
        <v>1.0463902226467801</v>
      </c>
      <c r="H1398" s="245">
        <v>2.9999999999999964</v>
      </c>
      <c r="I1398" s="245">
        <v>2273.9312719097802</v>
      </c>
      <c r="J1398" s="245">
        <v>0</v>
      </c>
      <c r="K1398" s="245">
        <v>2169.5360738019217</v>
      </c>
      <c r="L1398" s="245">
        <v>2272.8382920302593</v>
      </c>
      <c r="M1398" s="245">
        <v>2379.4194498971506</v>
      </c>
      <c r="N1398" s="245">
        <v>6821.793815729332</v>
      </c>
      <c r="O1398" s="245" t="s">
        <v>56</v>
      </c>
      <c r="P1398" s="245" t="s">
        <v>1830</v>
      </c>
      <c r="Q1398" s="245" t="s">
        <v>521</v>
      </c>
      <c r="R1398" s="246" t="s">
        <v>679</v>
      </c>
    </row>
    <row r="1399" spans="1:18" ht="26" x14ac:dyDescent="0.8">
      <c r="A1399" s="247">
        <v>436</v>
      </c>
      <c r="B1399" s="248" t="s">
        <v>1834</v>
      </c>
      <c r="D1399" s="245">
        <v>0</v>
      </c>
      <c r="R1399" s="246" t="s">
        <v>679</v>
      </c>
    </row>
    <row r="1400" spans="1:18" ht="26" x14ac:dyDescent="0.8">
      <c r="A1400" s="247">
        <v>4361</v>
      </c>
      <c r="B1400" s="248" t="s">
        <v>1835</v>
      </c>
      <c r="D1400" s="245">
        <v>0</v>
      </c>
      <c r="R1400" s="246" t="s">
        <v>679</v>
      </c>
    </row>
    <row r="1401" spans="1:18" hidden="1" x14ac:dyDescent="0.8">
      <c r="A1401" s="247">
        <v>43611</v>
      </c>
      <c r="B1401" s="248" t="s">
        <v>1836</v>
      </c>
      <c r="C1401" s="249" t="s">
        <v>55</v>
      </c>
      <c r="D1401" s="245">
        <v>0</v>
      </c>
      <c r="H1401" s="245">
        <v>0</v>
      </c>
      <c r="I1401" s="245">
        <v>0</v>
      </c>
      <c r="J1401" s="245">
        <v>0</v>
      </c>
      <c r="K1401" s="245">
        <v>0</v>
      </c>
      <c r="L1401" s="245">
        <v>0</v>
      </c>
      <c r="M1401" s="245">
        <v>0</v>
      </c>
      <c r="O1401" s="245" t="s">
        <v>56</v>
      </c>
      <c r="P1401" s="245" t="s">
        <v>255</v>
      </c>
      <c r="Q1401" s="245" t="s">
        <v>1791</v>
      </c>
      <c r="R1401" s="246" t="s">
        <v>679</v>
      </c>
    </row>
    <row r="1402" spans="1:18" hidden="1" x14ac:dyDescent="0.8">
      <c r="A1402" s="247">
        <v>43612</v>
      </c>
      <c r="B1402" s="248" t="s">
        <v>1837</v>
      </c>
      <c r="C1402" s="249" t="s">
        <v>38</v>
      </c>
      <c r="D1402" s="245">
        <v>0</v>
      </c>
      <c r="H1402" s="245">
        <v>0</v>
      </c>
      <c r="I1402" s="245">
        <v>0.3133333333333333</v>
      </c>
      <c r="J1402" s="245">
        <v>0</v>
      </c>
      <c r="K1402" s="245">
        <v>0</v>
      </c>
      <c r="L1402" s="245">
        <v>0</v>
      </c>
      <c r="M1402" s="245">
        <v>0</v>
      </c>
      <c r="N1402" s="245">
        <v>0</v>
      </c>
      <c r="O1402" s="245" t="s">
        <v>56</v>
      </c>
      <c r="P1402" s="245" t="s">
        <v>255</v>
      </c>
      <c r="Q1402" s="245" t="s">
        <v>1791</v>
      </c>
      <c r="R1402" s="246" t="s">
        <v>679</v>
      </c>
    </row>
    <row r="1403" spans="1:18" ht="26" hidden="1" x14ac:dyDescent="0.8">
      <c r="A1403" s="247">
        <v>43613</v>
      </c>
      <c r="B1403" s="248" t="s">
        <v>1838</v>
      </c>
      <c r="C1403" s="249" t="s">
        <v>1840</v>
      </c>
      <c r="D1403" s="245">
        <v>0</v>
      </c>
      <c r="E1403" s="245">
        <v>0.94</v>
      </c>
      <c r="F1403" s="245">
        <v>1.08</v>
      </c>
      <c r="G1403" s="245">
        <v>1.24</v>
      </c>
      <c r="H1403" s="245">
        <v>3.26</v>
      </c>
      <c r="I1403" s="245">
        <v>50737.009102769</v>
      </c>
      <c r="J1403" s="245">
        <v>0</v>
      </c>
      <c r="K1403" s="245">
        <v>47692.788556602856</v>
      </c>
      <c r="L1403" s="245">
        <v>54795.969830990522</v>
      </c>
      <c r="M1403" s="245">
        <v>62913.891287433558</v>
      </c>
      <c r="N1403" s="245">
        <v>165402.64967502694</v>
      </c>
      <c r="O1403" s="245" t="s">
        <v>56</v>
      </c>
      <c r="P1403" s="245" t="s">
        <v>1647</v>
      </c>
      <c r="Q1403" s="245" t="s">
        <v>1728</v>
      </c>
      <c r="R1403" s="246" t="s">
        <v>679</v>
      </c>
    </row>
    <row r="1404" spans="1:18" ht="39" x14ac:dyDescent="0.8">
      <c r="A1404" s="247">
        <v>437</v>
      </c>
      <c r="B1404" s="248" t="s">
        <v>1841</v>
      </c>
      <c r="D1404" s="245">
        <v>0</v>
      </c>
      <c r="R1404" s="246" t="s">
        <v>679</v>
      </c>
    </row>
    <row r="1405" spans="1:18" ht="26" x14ac:dyDescent="0.8">
      <c r="A1405" s="247">
        <v>4371</v>
      </c>
      <c r="B1405" s="248" t="s">
        <v>1842</v>
      </c>
      <c r="D1405" s="245">
        <v>0</v>
      </c>
      <c r="R1405" s="246" t="s">
        <v>679</v>
      </c>
    </row>
    <row r="1406" spans="1:18" hidden="1" x14ac:dyDescent="0.8">
      <c r="A1406" s="247">
        <v>43711</v>
      </c>
      <c r="B1406" s="248" t="s">
        <v>1843</v>
      </c>
      <c r="C1406" s="249" t="s">
        <v>55</v>
      </c>
      <c r="D1406" s="245">
        <v>0</v>
      </c>
      <c r="E1406" s="245">
        <v>1</v>
      </c>
      <c r="H1406" s="245">
        <v>1</v>
      </c>
      <c r="I1406" s="245">
        <v>0</v>
      </c>
      <c r="J1406" s="245">
        <v>0</v>
      </c>
      <c r="K1406" s="245">
        <v>0</v>
      </c>
      <c r="L1406" s="245">
        <v>0</v>
      </c>
      <c r="M1406" s="245">
        <v>0</v>
      </c>
      <c r="O1406" s="245" t="s">
        <v>56</v>
      </c>
      <c r="P1406" s="245" t="s">
        <v>1791</v>
      </c>
      <c r="Q1406" s="245" t="s">
        <v>1844</v>
      </c>
      <c r="R1406" s="246" t="s">
        <v>679</v>
      </c>
    </row>
    <row r="1407" spans="1:18" hidden="1" x14ac:dyDescent="0.8">
      <c r="A1407" s="247">
        <v>43712</v>
      </c>
      <c r="B1407" s="248" t="s">
        <v>1845</v>
      </c>
      <c r="C1407" s="249" t="s">
        <v>55</v>
      </c>
      <c r="D1407" s="245">
        <v>0</v>
      </c>
      <c r="F1407" s="245">
        <v>1</v>
      </c>
      <c r="G1407" s="245">
        <v>1</v>
      </c>
      <c r="H1407" s="245">
        <v>2</v>
      </c>
      <c r="I1407" s="245">
        <v>0</v>
      </c>
      <c r="J1407" s="245">
        <v>0</v>
      </c>
      <c r="K1407" s="245">
        <v>0</v>
      </c>
      <c r="L1407" s="245">
        <v>0</v>
      </c>
      <c r="M1407" s="245">
        <v>0</v>
      </c>
      <c r="O1407" s="245" t="s">
        <v>56</v>
      </c>
      <c r="P1407" s="245" t="s">
        <v>1791</v>
      </c>
      <c r="Q1407" s="245" t="s">
        <v>521</v>
      </c>
      <c r="R1407" s="246" t="s">
        <v>679</v>
      </c>
    </row>
    <row r="1408" spans="1:18" ht="52" x14ac:dyDescent="0.8">
      <c r="A1408" s="247">
        <v>438</v>
      </c>
      <c r="B1408" s="248" t="s">
        <v>1846</v>
      </c>
      <c r="D1408" s="245">
        <v>0</v>
      </c>
      <c r="R1408" s="246" t="s">
        <v>679</v>
      </c>
    </row>
    <row r="1409" spans="1:18" x14ac:dyDescent="0.8">
      <c r="A1409" s="247">
        <v>4381</v>
      </c>
      <c r="B1409" s="248" t="s">
        <v>1847</v>
      </c>
      <c r="D1409" s="245">
        <v>0</v>
      </c>
      <c r="R1409" s="246" t="s">
        <v>679</v>
      </c>
    </row>
    <row r="1410" spans="1:18" hidden="1" x14ac:dyDescent="0.8">
      <c r="A1410" s="247">
        <v>43811</v>
      </c>
      <c r="B1410" s="248" t="s">
        <v>1848</v>
      </c>
      <c r="C1410" s="249" t="s">
        <v>55</v>
      </c>
      <c r="D1410" s="245">
        <v>0</v>
      </c>
      <c r="E1410" s="245">
        <v>1</v>
      </c>
      <c r="H1410" s="245">
        <v>1</v>
      </c>
      <c r="I1410" s="245">
        <v>0</v>
      </c>
      <c r="J1410" s="245">
        <v>0</v>
      </c>
      <c r="K1410" s="245">
        <v>0</v>
      </c>
      <c r="L1410" s="245">
        <v>0</v>
      </c>
      <c r="M1410" s="245">
        <v>0</v>
      </c>
      <c r="O1410" s="245" t="s">
        <v>56</v>
      </c>
      <c r="P1410" s="245" t="s">
        <v>255</v>
      </c>
      <c r="Q1410" s="245" t="s">
        <v>1791</v>
      </c>
      <c r="R1410" s="246" t="s">
        <v>679</v>
      </c>
    </row>
    <row r="1411" spans="1:18" hidden="1" x14ac:dyDescent="0.8">
      <c r="A1411" s="247">
        <v>43812</v>
      </c>
      <c r="B1411" s="248" t="s">
        <v>1849</v>
      </c>
      <c r="C1411" s="249" t="s">
        <v>38</v>
      </c>
      <c r="D1411" s="245">
        <v>0</v>
      </c>
      <c r="E1411" s="245">
        <v>150</v>
      </c>
      <c r="H1411" s="245">
        <v>150</v>
      </c>
      <c r="I1411" s="245">
        <v>0.3133333333333333</v>
      </c>
      <c r="J1411" s="245">
        <v>0</v>
      </c>
      <c r="K1411" s="245">
        <v>46.999999999999993</v>
      </c>
      <c r="L1411" s="245">
        <v>0</v>
      </c>
      <c r="M1411" s="245">
        <v>0</v>
      </c>
      <c r="N1411" s="245">
        <v>46.999999999999993</v>
      </c>
      <c r="O1411" s="245" t="s">
        <v>56</v>
      </c>
      <c r="P1411" s="245" t="s">
        <v>255</v>
      </c>
      <c r="Q1411" s="245" t="s">
        <v>1791</v>
      </c>
      <c r="R1411" s="246" t="s">
        <v>679</v>
      </c>
    </row>
    <row r="1412" spans="1:18" ht="26" x14ac:dyDescent="0.8">
      <c r="A1412" s="247">
        <v>4382</v>
      </c>
      <c r="B1412" s="248" t="s">
        <v>1850</v>
      </c>
      <c r="D1412" s="245">
        <v>0</v>
      </c>
      <c r="R1412" s="246" t="s">
        <v>679</v>
      </c>
    </row>
    <row r="1413" spans="1:18" ht="26" hidden="1" x14ac:dyDescent="0.8">
      <c r="A1413" s="247">
        <v>43821</v>
      </c>
      <c r="B1413" s="248" t="s">
        <v>1851</v>
      </c>
      <c r="C1413" s="249" t="s">
        <v>55</v>
      </c>
      <c r="D1413" s="245">
        <v>0</v>
      </c>
      <c r="F1413" s="245">
        <v>1</v>
      </c>
      <c r="G1413" s="245">
        <v>1</v>
      </c>
      <c r="H1413" s="245">
        <v>2</v>
      </c>
      <c r="I1413" s="245">
        <v>0</v>
      </c>
      <c r="J1413" s="245">
        <v>0</v>
      </c>
      <c r="K1413" s="245">
        <v>0</v>
      </c>
      <c r="L1413" s="245">
        <v>0</v>
      </c>
      <c r="M1413" s="245">
        <v>0</v>
      </c>
      <c r="O1413" s="245" t="s">
        <v>56</v>
      </c>
      <c r="P1413" s="245" t="s">
        <v>1852</v>
      </c>
      <c r="Q1413" s="245" t="s">
        <v>1607</v>
      </c>
      <c r="R1413" s="246" t="s">
        <v>679</v>
      </c>
    </row>
    <row r="1414" spans="1:18" hidden="1" x14ac:dyDescent="0.8">
      <c r="A1414" s="247">
        <v>43822</v>
      </c>
      <c r="B1414" s="248" t="s">
        <v>1853</v>
      </c>
      <c r="C1414" s="249" t="s">
        <v>55</v>
      </c>
      <c r="D1414" s="245">
        <v>0</v>
      </c>
      <c r="F1414" s="245">
        <v>1</v>
      </c>
      <c r="G1414" s="245">
        <v>1</v>
      </c>
      <c r="H1414" s="245">
        <v>2</v>
      </c>
      <c r="I1414" s="245">
        <v>0</v>
      </c>
      <c r="J1414" s="245">
        <v>0</v>
      </c>
      <c r="K1414" s="245">
        <v>0</v>
      </c>
      <c r="L1414" s="245">
        <v>0</v>
      </c>
      <c r="M1414" s="245">
        <v>0</v>
      </c>
      <c r="O1414" s="245" t="s">
        <v>56</v>
      </c>
      <c r="P1414" s="245" t="s">
        <v>1665</v>
      </c>
      <c r="Q1414" s="245" t="s">
        <v>521</v>
      </c>
      <c r="R1414" s="246" t="s">
        <v>679</v>
      </c>
    </row>
    <row r="1415" spans="1:18" x14ac:dyDescent="0.8">
      <c r="A1415" s="247">
        <v>4383</v>
      </c>
      <c r="B1415" s="248" t="s">
        <v>1855</v>
      </c>
      <c r="D1415" s="245">
        <v>0</v>
      </c>
      <c r="R1415" s="246" t="s">
        <v>679</v>
      </c>
    </row>
    <row r="1416" spans="1:18" hidden="1" x14ac:dyDescent="0.8">
      <c r="A1416" s="247">
        <v>43831</v>
      </c>
      <c r="B1416" s="248" t="s">
        <v>1856</v>
      </c>
      <c r="C1416" s="249" t="s">
        <v>55</v>
      </c>
      <c r="D1416" s="245">
        <v>0</v>
      </c>
      <c r="E1416" s="245">
        <v>1</v>
      </c>
      <c r="F1416" s="245">
        <v>1</v>
      </c>
      <c r="G1416" s="245">
        <v>1</v>
      </c>
      <c r="H1416" s="245">
        <v>3</v>
      </c>
      <c r="I1416" s="245">
        <v>0</v>
      </c>
      <c r="J1416" s="245">
        <v>0</v>
      </c>
      <c r="K1416" s="245">
        <v>0</v>
      </c>
      <c r="L1416" s="245">
        <v>0</v>
      </c>
      <c r="M1416" s="245">
        <v>0</v>
      </c>
      <c r="O1416" s="245" t="s">
        <v>56</v>
      </c>
      <c r="P1416" s="245" t="s">
        <v>1665</v>
      </c>
      <c r="Q1416" s="245" t="s">
        <v>1607</v>
      </c>
      <c r="R1416" s="246" t="s">
        <v>679</v>
      </c>
    </row>
    <row r="1417" spans="1:18" hidden="1" x14ac:dyDescent="0.8">
      <c r="A1417" s="247">
        <v>43832</v>
      </c>
      <c r="B1417" s="248" t="s">
        <v>1857</v>
      </c>
      <c r="C1417" s="249" t="s">
        <v>301</v>
      </c>
      <c r="D1417" s="245">
        <v>0</v>
      </c>
      <c r="E1417" s="245">
        <v>150</v>
      </c>
      <c r="F1417" s="245">
        <v>150</v>
      </c>
      <c r="G1417" s="245">
        <v>150</v>
      </c>
      <c r="H1417" s="245">
        <v>450</v>
      </c>
      <c r="I1417" s="245">
        <v>0.67666666666666664</v>
      </c>
      <c r="J1417" s="245">
        <v>0</v>
      </c>
      <c r="K1417" s="245">
        <v>101.5</v>
      </c>
      <c r="L1417" s="245">
        <v>101.5</v>
      </c>
      <c r="M1417" s="245">
        <v>101.5</v>
      </c>
      <c r="N1417" s="245">
        <v>304.5</v>
      </c>
      <c r="O1417" s="245" t="s">
        <v>56</v>
      </c>
      <c r="P1417" s="245" t="s">
        <v>1665</v>
      </c>
      <c r="Q1417" s="245" t="s">
        <v>1607</v>
      </c>
      <c r="R1417" s="246" t="s">
        <v>679</v>
      </c>
    </row>
    <row r="1418" spans="1:18" ht="26" x14ac:dyDescent="0.8">
      <c r="A1418" s="247">
        <v>4384</v>
      </c>
      <c r="B1418" s="248" t="s">
        <v>1858</v>
      </c>
      <c r="D1418" s="245">
        <v>0</v>
      </c>
      <c r="R1418" s="246" t="s">
        <v>679</v>
      </c>
    </row>
    <row r="1419" spans="1:18" hidden="1" x14ac:dyDescent="0.8">
      <c r="A1419" s="247">
        <v>43841</v>
      </c>
      <c r="B1419" s="248" t="s">
        <v>1859</v>
      </c>
      <c r="C1419" s="249" t="s">
        <v>1840</v>
      </c>
      <c r="D1419" s="245">
        <v>0</v>
      </c>
      <c r="E1419" s="245">
        <v>0.95046241647964902</v>
      </c>
      <c r="F1419" s="245">
        <v>1.0930317789516</v>
      </c>
      <c r="G1419" s="245">
        <v>1.2569865457943401</v>
      </c>
      <c r="H1419" s="245">
        <v>3.3004807412255888</v>
      </c>
      <c r="I1419" s="245">
        <v>50737.009102769</v>
      </c>
      <c r="J1419" s="245">
        <v>0</v>
      </c>
      <c r="K1419" s="245">
        <v>48223.620276767775</v>
      </c>
      <c r="L1419" s="245">
        <v>55457.163318283121</v>
      </c>
      <c r="M1419" s="245">
        <v>63775.737816025598</v>
      </c>
      <c r="N1419" s="245">
        <v>167456.52141107648</v>
      </c>
      <c r="O1419" s="245" t="s">
        <v>56</v>
      </c>
      <c r="P1419" s="245" t="s">
        <v>1665</v>
      </c>
      <c r="Q1419" s="245" t="s">
        <v>1607</v>
      </c>
      <c r="R1419" s="246" t="s">
        <v>679</v>
      </c>
    </row>
    <row r="1420" spans="1:18" ht="39" x14ac:dyDescent="0.8">
      <c r="A1420" s="247">
        <v>44</v>
      </c>
      <c r="B1420" s="248" t="s">
        <v>1861</v>
      </c>
      <c r="D1420" s="245">
        <v>0</v>
      </c>
      <c r="R1420" s="246" t="s">
        <v>679</v>
      </c>
    </row>
    <row r="1421" spans="1:18" ht="26" x14ac:dyDescent="0.8">
      <c r="A1421" s="247">
        <v>441</v>
      </c>
      <c r="B1421" s="248" t="s">
        <v>1862</v>
      </c>
      <c r="D1421" s="245">
        <v>0</v>
      </c>
      <c r="R1421" s="246" t="s">
        <v>679</v>
      </c>
    </row>
    <row r="1422" spans="1:18" ht="26" x14ac:dyDescent="0.8">
      <c r="A1422" s="247">
        <v>4411</v>
      </c>
      <c r="B1422" s="248" t="s">
        <v>1863</v>
      </c>
      <c r="D1422" s="245">
        <v>0</v>
      </c>
      <c r="R1422" s="246" t="s">
        <v>679</v>
      </c>
    </row>
    <row r="1423" spans="1:18" ht="26" hidden="1" x14ac:dyDescent="0.8">
      <c r="A1423" s="247">
        <v>44111</v>
      </c>
      <c r="B1423" s="248" t="s">
        <v>1864</v>
      </c>
      <c r="C1423" s="249" t="s">
        <v>55</v>
      </c>
      <c r="D1423" s="245">
        <v>0</v>
      </c>
      <c r="F1423" s="245">
        <v>1</v>
      </c>
      <c r="H1423" s="245">
        <v>1</v>
      </c>
      <c r="I1423" s="245">
        <v>0</v>
      </c>
      <c r="J1423" s="245">
        <v>0</v>
      </c>
      <c r="K1423" s="245">
        <v>0</v>
      </c>
      <c r="L1423" s="245">
        <v>0</v>
      </c>
      <c r="M1423" s="245">
        <v>0</v>
      </c>
      <c r="O1423" s="245" t="s">
        <v>56</v>
      </c>
      <c r="R1423" s="246" t="s">
        <v>679</v>
      </c>
    </row>
    <row r="1424" spans="1:18" ht="26" hidden="1" x14ac:dyDescent="0.8">
      <c r="A1424" s="247">
        <v>44112</v>
      </c>
      <c r="B1424" s="248" t="s">
        <v>1865</v>
      </c>
      <c r="C1424" s="249" t="s">
        <v>55</v>
      </c>
      <c r="D1424" s="245">
        <v>0</v>
      </c>
      <c r="F1424" s="245">
        <v>1</v>
      </c>
      <c r="H1424" s="245">
        <v>1</v>
      </c>
      <c r="I1424" s="245">
        <v>0</v>
      </c>
      <c r="J1424" s="245">
        <v>0</v>
      </c>
      <c r="K1424" s="245">
        <v>0</v>
      </c>
      <c r="L1424" s="245">
        <v>0</v>
      </c>
      <c r="M1424" s="245">
        <v>0</v>
      </c>
      <c r="O1424" s="245" t="s">
        <v>56</v>
      </c>
      <c r="R1424" s="246" t="s">
        <v>679</v>
      </c>
    </row>
    <row r="1425" spans="1:18" ht="26" hidden="1" x14ac:dyDescent="0.8">
      <c r="A1425" s="247">
        <v>44113</v>
      </c>
      <c r="B1425" s="248" t="s">
        <v>1866</v>
      </c>
      <c r="C1425" s="249" t="s">
        <v>55</v>
      </c>
      <c r="D1425" s="245">
        <v>0</v>
      </c>
      <c r="F1425" s="245">
        <v>1</v>
      </c>
      <c r="H1425" s="245">
        <v>1</v>
      </c>
      <c r="I1425" s="245">
        <v>0</v>
      </c>
      <c r="J1425" s="245">
        <v>0</v>
      </c>
      <c r="K1425" s="245">
        <v>0</v>
      </c>
      <c r="L1425" s="245">
        <v>0</v>
      </c>
      <c r="M1425" s="245">
        <v>0</v>
      </c>
      <c r="O1425" s="245" t="s">
        <v>56</v>
      </c>
      <c r="R1425" s="246" t="s">
        <v>679</v>
      </c>
    </row>
    <row r="1426" spans="1:18" ht="26" hidden="1" x14ac:dyDescent="0.8">
      <c r="A1426" s="247">
        <v>44114</v>
      </c>
      <c r="B1426" s="248" t="s">
        <v>1867</v>
      </c>
      <c r="C1426" s="249" t="s">
        <v>55</v>
      </c>
      <c r="D1426" s="245">
        <v>0</v>
      </c>
      <c r="F1426" s="245">
        <v>1</v>
      </c>
      <c r="H1426" s="245">
        <v>1</v>
      </c>
      <c r="I1426" s="245">
        <v>0</v>
      </c>
      <c r="J1426" s="245">
        <v>0</v>
      </c>
      <c r="K1426" s="245">
        <v>0</v>
      </c>
      <c r="L1426" s="245">
        <v>0</v>
      </c>
      <c r="M1426" s="245">
        <v>0</v>
      </c>
      <c r="O1426" s="245" t="s">
        <v>56</v>
      </c>
      <c r="R1426" s="246" t="s">
        <v>679</v>
      </c>
    </row>
    <row r="1427" spans="1:18" x14ac:dyDescent="0.8">
      <c r="A1427" s="247">
        <v>5</v>
      </c>
      <c r="B1427" s="248" t="s">
        <v>1868</v>
      </c>
      <c r="D1427" s="245">
        <v>0</v>
      </c>
    </row>
    <row r="1428" spans="1:18" ht="26" x14ac:dyDescent="0.8">
      <c r="A1428" s="247">
        <v>51</v>
      </c>
      <c r="B1428" s="248" t="s">
        <v>1869</v>
      </c>
      <c r="D1428" s="245">
        <v>0</v>
      </c>
    </row>
    <row r="1429" spans="1:18" ht="39" x14ac:dyDescent="0.8">
      <c r="A1429" s="247">
        <v>511</v>
      </c>
      <c r="B1429" s="248" t="s">
        <v>1870</v>
      </c>
      <c r="D1429" s="245">
        <v>0</v>
      </c>
    </row>
    <row r="1430" spans="1:18" ht="26" x14ac:dyDescent="0.8">
      <c r="A1430" s="247">
        <v>5111</v>
      </c>
      <c r="B1430" s="248" t="s">
        <v>1871</v>
      </c>
      <c r="D1430" s="245">
        <v>0</v>
      </c>
    </row>
    <row r="1431" spans="1:18" ht="26" hidden="1" x14ac:dyDescent="0.8">
      <c r="A1431" s="247">
        <v>51111</v>
      </c>
      <c r="B1431" s="248" t="s">
        <v>1872</v>
      </c>
      <c r="C1431" s="249" t="s">
        <v>55</v>
      </c>
      <c r="D1431" s="245">
        <v>0</v>
      </c>
      <c r="E1431" s="245">
        <v>1</v>
      </c>
      <c r="F1431" s="245">
        <v>0</v>
      </c>
      <c r="G1431" s="245">
        <v>0</v>
      </c>
      <c r="H1431" s="245">
        <v>1</v>
      </c>
      <c r="I1431" s="245">
        <v>0</v>
      </c>
      <c r="J1431" s="245">
        <v>0</v>
      </c>
      <c r="K1431" s="245">
        <v>0</v>
      </c>
      <c r="L1431" s="245">
        <v>0</v>
      </c>
      <c r="M1431" s="245">
        <v>0</v>
      </c>
      <c r="O1431" s="245" t="s">
        <v>56</v>
      </c>
      <c r="P1431" s="245" t="s">
        <v>1874</v>
      </c>
      <c r="Q1431" s="245" t="s">
        <v>1875</v>
      </c>
      <c r="R1431" s="246" t="s">
        <v>32</v>
      </c>
    </row>
    <row r="1432" spans="1:18" ht="26" hidden="1" x14ac:dyDescent="0.8">
      <c r="A1432" s="247">
        <v>51112</v>
      </c>
      <c r="B1432" s="248" t="s">
        <v>1876</v>
      </c>
      <c r="C1432" s="249" t="s">
        <v>66</v>
      </c>
      <c r="D1432" s="245">
        <v>0</v>
      </c>
      <c r="E1432" s="245">
        <v>140</v>
      </c>
      <c r="F1432" s="245">
        <v>0</v>
      </c>
      <c r="G1432" s="245">
        <v>0</v>
      </c>
      <c r="H1432" s="245">
        <v>140</v>
      </c>
      <c r="I1432" s="245">
        <v>0.255</v>
      </c>
      <c r="J1432" s="245">
        <v>0</v>
      </c>
      <c r="K1432" s="245">
        <v>35.700000000000003</v>
      </c>
      <c r="L1432" s="245">
        <v>0</v>
      </c>
      <c r="M1432" s="245">
        <v>0</v>
      </c>
      <c r="N1432" s="245">
        <v>35.700000000000003</v>
      </c>
      <c r="O1432" s="245" t="s">
        <v>56</v>
      </c>
      <c r="P1432" s="245" t="s">
        <v>1877</v>
      </c>
      <c r="Q1432" s="245" t="s">
        <v>1091</v>
      </c>
      <c r="R1432" s="246" t="s">
        <v>32</v>
      </c>
    </row>
    <row r="1433" spans="1:18" hidden="1" x14ac:dyDescent="0.8">
      <c r="A1433" s="247">
        <v>51113</v>
      </c>
      <c r="B1433" s="248" t="s">
        <v>1584</v>
      </c>
      <c r="C1433" s="249" t="s">
        <v>38</v>
      </c>
      <c r="D1433" s="245">
        <v>0</v>
      </c>
      <c r="E1433" s="245">
        <v>60</v>
      </c>
      <c r="F1433" s="245">
        <v>0</v>
      </c>
      <c r="G1433" s="245">
        <v>0</v>
      </c>
      <c r="H1433" s="245">
        <v>60</v>
      </c>
      <c r="I1433" s="245">
        <v>0.3133333333333333</v>
      </c>
      <c r="J1433" s="245">
        <v>0</v>
      </c>
      <c r="K1433" s="245">
        <v>18.799999999999997</v>
      </c>
      <c r="L1433" s="245">
        <v>0</v>
      </c>
      <c r="M1433" s="245">
        <v>0</v>
      </c>
      <c r="N1433" s="245">
        <v>18.799999999999997</v>
      </c>
      <c r="O1433" s="245" t="s">
        <v>56</v>
      </c>
      <c r="P1433" s="245" t="s">
        <v>255</v>
      </c>
      <c r="Q1433" s="245" t="s">
        <v>1091</v>
      </c>
      <c r="R1433" s="246" t="s">
        <v>32</v>
      </c>
    </row>
    <row r="1434" spans="1:18" hidden="1" x14ac:dyDescent="0.8">
      <c r="A1434" s="247">
        <v>51114</v>
      </c>
      <c r="B1434" s="248" t="s">
        <v>1878</v>
      </c>
      <c r="C1434" s="249" t="s">
        <v>55</v>
      </c>
      <c r="D1434" s="245">
        <v>0</v>
      </c>
      <c r="E1434" s="245">
        <v>1</v>
      </c>
      <c r="F1434" s="245">
        <v>0</v>
      </c>
      <c r="G1434" s="245">
        <v>0</v>
      </c>
      <c r="H1434" s="245">
        <v>1</v>
      </c>
      <c r="I1434" s="245">
        <v>0</v>
      </c>
      <c r="J1434" s="245">
        <v>0</v>
      </c>
      <c r="K1434" s="245">
        <v>0</v>
      </c>
      <c r="L1434" s="245">
        <v>0</v>
      </c>
      <c r="M1434" s="245">
        <v>0</v>
      </c>
      <c r="O1434" s="245" t="s">
        <v>56</v>
      </c>
      <c r="P1434" s="245" t="s">
        <v>255</v>
      </c>
      <c r="Q1434" s="245" t="s">
        <v>1091</v>
      </c>
      <c r="R1434" s="246" t="s">
        <v>32</v>
      </c>
    </row>
    <row r="1435" spans="1:18" ht="26" x14ac:dyDescent="0.8">
      <c r="A1435" s="247">
        <v>5112</v>
      </c>
      <c r="B1435" s="248" t="s">
        <v>1880</v>
      </c>
      <c r="D1435" s="245">
        <v>0</v>
      </c>
    </row>
    <row r="1436" spans="1:18" ht="39" hidden="1" x14ac:dyDescent="0.8">
      <c r="A1436" s="247">
        <v>51121</v>
      </c>
      <c r="B1436" s="248" t="s">
        <v>1881</v>
      </c>
      <c r="C1436" s="249" t="s">
        <v>301</v>
      </c>
      <c r="D1436" s="245">
        <v>0</v>
      </c>
      <c r="F1436" s="245">
        <v>1200</v>
      </c>
      <c r="H1436" s="245">
        <v>1200</v>
      </c>
      <c r="I1436" s="245">
        <v>0.67666666666666664</v>
      </c>
      <c r="J1436" s="245">
        <v>0</v>
      </c>
      <c r="K1436" s="245">
        <v>0</v>
      </c>
      <c r="L1436" s="245">
        <v>812</v>
      </c>
      <c r="M1436" s="245">
        <v>0</v>
      </c>
      <c r="N1436" s="245">
        <v>812</v>
      </c>
      <c r="O1436" s="245" t="s">
        <v>56</v>
      </c>
      <c r="P1436" s="245" t="s">
        <v>1091</v>
      </c>
      <c r="Q1436" s="245" t="s">
        <v>1091</v>
      </c>
      <c r="R1436" s="246" t="s">
        <v>32</v>
      </c>
    </row>
    <row r="1437" spans="1:18" ht="26" x14ac:dyDescent="0.8">
      <c r="A1437" s="247">
        <v>5113</v>
      </c>
      <c r="B1437" s="248" t="s">
        <v>1882</v>
      </c>
      <c r="D1437" s="245">
        <v>0</v>
      </c>
    </row>
    <row r="1438" spans="1:18" ht="26" hidden="1" x14ac:dyDescent="0.8">
      <c r="A1438" s="247">
        <v>51131</v>
      </c>
      <c r="B1438" s="248" t="s">
        <v>1883</v>
      </c>
      <c r="C1438" s="249" t="s">
        <v>55</v>
      </c>
      <c r="D1438" s="245">
        <v>0</v>
      </c>
      <c r="E1438" s="245">
        <v>0</v>
      </c>
      <c r="F1438" s="245">
        <v>1</v>
      </c>
      <c r="G1438" s="245">
        <v>0</v>
      </c>
      <c r="H1438" s="245">
        <v>1</v>
      </c>
      <c r="I1438" s="245">
        <v>0</v>
      </c>
      <c r="J1438" s="245">
        <v>0</v>
      </c>
      <c r="K1438" s="245">
        <v>0</v>
      </c>
      <c r="L1438" s="245">
        <v>0</v>
      </c>
      <c r="M1438" s="245">
        <v>0</v>
      </c>
      <c r="O1438" s="245" t="s">
        <v>56</v>
      </c>
      <c r="P1438" s="245" t="s">
        <v>254</v>
      </c>
      <c r="Q1438" s="245" t="s">
        <v>255</v>
      </c>
      <c r="R1438" s="246" t="s">
        <v>32</v>
      </c>
    </row>
    <row r="1439" spans="1:18" ht="39" hidden="1" x14ac:dyDescent="0.8">
      <c r="A1439" s="247">
        <v>51132</v>
      </c>
      <c r="B1439" s="248" t="s">
        <v>1884</v>
      </c>
      <c r="C1439" s="249" t="s">
        <v>66</v>
      </c>
      <c r="D1439" s="245">
        <v>0</v>
      </c>
      <c r="E1439" s="245">
        <v>60</v>
      </c>
      <c r="F1439" s="245">
        <v>60</v>
      </c>
      <c r="G1439" s="245">
        <v>60</v>
      </c>
      <c r="H1439" s="245">
        <v>180</v>
      </c>
      <c r="I1439" s="245">
        <v>0.255</v>
      </c>
      <c r="J1439" s="245">
        <v>0</v>
      </c>
      <c r="K1439" s="245">
        <v>15.3</v>
      </c>
      <c r="L1439" s="245">
        <v>15.3</v>
      </c>
      <c r="M1439" s="245">
        <v>15.3</v>
      </c>
      <c r="N1439" s="245">
        <v>45.900000000000006</v>
      </c>
      <c r="O1439" s="245" t="s">
        <v>56</v>
      </c>
      <c r="P1439" s="245" t="s">
        <v>255</v>
      </c>
      <c r="Q1439" s="245" t="s">
        <v>1091</v>
      </c>
      <c r="R1439" s="246" t="s">
        <v>32</v>
      </c>
    </row>
    <row r="1440" spans="1:18" ht="39" hidden="1" x14ac:dyDescent="0.8">
      <c r="A1440" s="247">
        <v>51133</v>
      </c>
      <c r="B1440" s="248" t="s">
        <v>1885</v>
      </c>
      <c r="C1440" s="249" t="s">
        <v>66</v>
      </c>
      <c r="D1440" s="245">
        <v>0</v>
      </c>
      <c r="E1440" s="245">
        <v>60</v>
      </c>
      <c r="F1440" s="245">
        <v>60</v>
      </c>
      <c r="G1440" s="245">
        <v>60</v>
      </c>
      <c r="H1440" s="245">
        <v>180</v>
      </c>
      <c r="I1440" s="245">
        <v>0.255</v>
      </c>
      <c r="J1440" s="245">
        <v>0</v>
      </c>
      <c r="K1440" s="245">
        <v>15.3</v>
      </c>
      <c r="L1440" s="245">
        <v>15.3</v>
      </c>
      <c r="M1440" s="245">
        <v>15.3</v>
      </c>
      <c r="N1440" s="245">
        <v>45.900000000000006</v>
      </c>
      <c r="O1440" s="245" t="s">
        <v>56</v>
      </c>
      <c r="P1440" s="245" t="s">
        <v>255</v>
      </c>
      <c r="Q1440" s="245" t="s">
        <v>255</v>
      </c>
      <c r="R1440" s="246" t="s">
        <v>679</v>
      </c>
    </row>
    <row r="1441" spans="1:18" ht="39" hidden="1" x14ac:dyDescent="0.8">
      <c r="A1441" s="247">
        <v>51134</v>
      </c>
      <c r="B1441" s="248" t="s">
        <v>1886</v>
      </c>
      <c r="C1441" s="249" t="s">
        <v>66</v>
      </c>
      <c r="D1441" s="245">
        <v>0</v>
      </c>
      <c r="E1441" s="245">
        <v>60</v>
      </c>
      <c r="F1441" s="245">
        <v>60</v>
      </c>
      <c r="G1441" s="245">
        <v>60</v>
      </c>
      <c r="H1441" s="245">
        <v>180</v>
      </c>
      <c r="I1441" s="245">
        <v>0.255</v>
      </c>
      <c r="J1441" s="245">
        <v>0</v>
      </c>
      <c r="K1441" s="245">
        <v>15.3</v>
      </c>
      <c r="L1441" s="245">
        <v>15.3</v>
      </c>
      <c r="M1441" s="245">
        <v>15.3</v>
      </c>
      <c r="N1441" s="245">
        <v>45.900000000000006</v>
      </c>
      <c r="O1441" s="245" t="s">
        <v>56</v>
      </c>
      <c r="P1441" s="245" t="s">
        <v>255</v>
      </c>
      <c r="Q1441" s="245" t="s">
        <v>1887</v>
      </c>
      <c r="R1441" s="246" t="s">
        <v>677</v>
      </c>
    </row>
    <row r="1442" spans="1:18" ht="26" hidden="1" x14ac:dyDescent="0.8">
      <c r="A1442" s="247">
        <v>51135</v>
      </c>
      <c r="B1442" s="248" t="s">
        <v>1888</v>
      </c>
      <c r="C1442" s="249" t="s">
        <v>55</v>
      </c>
      <c r="D1442" s="245">
        <v>0</v>
      </c>
      <c r="E1442" s="245">
        <v>0</v>
      </c>
      <c r="G1442" s="245">
        <v>90</v>
      </c>
      <c r="H1442" s="245">
        <v>90</v>
      </c>
      <c r="I1442" s="245">
        <v>0</v>
      </c>
      <c r="J1442" s="245">
        <v>0</v>
      </c>
      <c r="K1442" s="245">
        <v>0</v>
      </c>
      <c r="L1442" s="245">
        <v>0</v>
      </c>
      <c r="M1442" s="245">
        <v>0</v>
      </c>
      <c r="O1442" s="245" t="s">
        <v>56</v>
      </c>
      <c r="P1442" s="245" t="s">
        <v>1889</v>
      </c>
      <c r="Q1442" s="245" t="s">
        <v>1890</v>
      </c>
      <c r="R1442" s="246" t="s">
        <v>32</v>
      </c>
    </row>
    <row r="1443" spans="1:18" ht="39" x14ac:dyDescent="0.8">
      <c r="A1443" s="247">
        <v>512</v>
      </c>
      <c r="B1443" s="248" t="s">
        <v>1891</v>
      </c>
      <c r="D1443" s="245">
        <v>0</v>
      </c>
    </row>
    <row r="1444" spans="1:18" ht="26" x14ac:dyDescent="0.8">
      <c r="A1444" s="247">
        <v>5121</v>
      </c>
      <c r="B1444" s="248" t="s">
        <v>1892</v>
      </c>
      <c r="D1444" s="245">
        <v>0</v>
      </c>
    </row>
    <row r="1445" spans="1:18" ht="26" hidden="1" x14ac:dyDescent="0.8">
      <c r="A1445" s="247">
        <v>51211</v>
      </c>
      <c r="B1445" s="248" t="s">
        <v>1893</v>
      </c>
      <c r="C1445" s="249" t="s">
        <v>38</v>
      </c>
      <c r="D1445" s="245">
        <v>0</v>
      </c>
      <c r="F1445" s="245">
        <v>90</v>
      </c>
      <c r="G1445" s="245">
        <v>0</v>
      </c>
      <c r="H1445" s="245">
        <v>90</v>
      </c>
      <c r="I1445" s="245">
        <v>0.3133333333333333</v>
      </c>
      <c r="J1445" s="245">
        <v>0</v>
      </c>
      <c r="K1445" s="245">
        <v>0</v>
      </c>
      <c r="L1445" s="245">
        <v>28.199999999999996</v>
      </c>
      <c r="M1445" s="245">
        <v>0</v>
      </c>
      <c r="N1445" s="245">
        <v>28.199999999999996</v>
      </c>
      <c r="O1445" s="245" t="s">
        <v>56</v>
      </c>
      <c r="P1445" s="245" t="s">
        <v>255</v>
      </c>
      <c r="Q1445" s="245" t="s">
        <v>1894</v>
      </c>
      <c r="R1445" s="246" t="s">
        <v>32</v>
      </c>
    </row>
    <row r="1446" spans="1:18" hidden="1" x14ac:dyDescent="0.8">
      <c r="A1446" s="247">
        <v>51212</v>
      </c>
      <c r="B1446" s="248" t="s">
        <v>1895</v>
      </c>
      <c r="C1446" s="249" t="s">
        <v>452</v>
      </c>
      <c r="D1446" s="245">
        <v>0</v>
      </c>
      <c r="E1446" s="245">
        <v>5940.0000000000009</v>
      </c>
      <c r="F1446" s="245">
        <v>1188.0000000000002</v>
      </c>
      <c r="G1446" s="245">
        <v>891.00000000000011</v>
      </c>
      <c r="H1446" s="245">
        <v>8019.0000000000009</v>
      </c>
      <c r="I1446" s="245">
        <v>7.4999999999999997E-3</v>
      </c>
      <c r="J1446" s="245">
        <v>0</v>
      </c>
      <c r="K1446" s="245">
        <v>44.550000000000004</v>
      </c>
      <c r="L1446" s="245">
        <v>8.9100000000000019</v>
      </c>
      <c r="M1446" s="245">
        <v>6.682500000000001</v>
      </c>
      <c r="N1446" s="245">
        <v>60.142500000000013</v>
      </c>
      <c r="O1446" s="245" t="s">
        <v>56</v>
      </c>
      <c r="P1446" s="245" t="s">
        <v>398</v>
      </c>
      <c r="Q1446" s="245" t="s">
        <v>398</v>
      </c>
      <c r="R1446" s="246" t="s">
        <v>32</v>
      </c>
    </row>
    <row r="1447" spans="1:18" ht="39" hidden="1" x14ac:dyDescent="0.8">
      <c r="A1447" s="247">
        <v>51213</v>
      </c>
      <c r="B1447" s="248" t="s">
        <v>1896</v>
      </c>
      <c r="C1447" s="249" t="s">
        <v>301</v>
      </c>
      <c r="D1447" s="245">
        <v>0</v>
      </c>
      <c r="F1447" s="245">
        <v>900</v>
      </c>
      <c r="G1447" s="245">
        <v>900</v>
      </c>
      <c r="H1447" s="245">
        <v>1800</v>
      </c>
      <c r="I1447" s="245">
        <v>0.67666666666666664</v>
      </c>
      <c r="J1447" s="245">
        <v>0</v>
      </c>
      <c r="K1447" s="245">
        <v>0</v>
      </c>
      <c r="L1447" s="245">
        <v>609</v>
      </c>
      <c r="M1447" s="245">
        <v>609</v>
      </c>
      <c r="N1447" s="245">
        <v>1218</v>
      </c>
      <c r="O1447" s="245" t="s">
        <v>56</v>
      </c>
      <c r="P1447" s="245" t="s">
        <v>398</v>
      </c>
      <c r="Q1447" s="245" t="s">
        <v>398</v>
      </c>
      <c r="R1447" s="246" t="s">
        <v>32</v>
      </c>
    </row>
    <row r="1448" spans="1:18" ht="26" hidden="1" x14ac:dyDescent="0.8">
      <c r="A1448" s="247">
        <v>51214</v>
      </c>
      <c r="B1448" s="248" t="s">
        <v>1897</v>
      </c>
      <c r="C1448" s="249" t="s">
        <v>55</v>
      </c>
      <c r="D1448" s="245">
        <v>0</v>
      </c>
      <c r="E1448" s="245">
        <v>1</v>
      </c>
      <c r="F1448" s="245">
        <v>1</v>
      </c>
      <c r="G1448" s="245">
        <v>1</v>
      </c>
      <c r="H1448" s="245">
        <v>3</v>
      </c>
      <c r="I1448" s="245">
        <v>0</v>
      </c>
      <c r="J1448" s="245">
        <v>0</v>
      </c>
      <c r="K1448" s="245">
        <v>0</v>
      </c>
      <c r="L1448" s="245">
        <v>0</v>
      </c>
      <c r="M1448" s="245">
        <v>0</v>
      </c>
      <c r="O1448" s="245" t="s">
        <v>56</v>
      </c>
      <c r="P1448" s="245" t="s">
        <v>273</v>
      </c>
      <c r="Q1448" s="245" t="s">
        <v>179</v>
      </c>
      <c r="R1448" s="246" t="s">
        <v>32</v>
      </c>
    </row>
    <row r="1449" spans="1:18" ht="26" x14ac:dyDescent="0.8">
      <c r="A1449" s="247">
        <v>513</v>
      </c>
      <c r="B1449" s="248" t="s">
        <v>1898</v>
      </c>
      <c r="D1449" s="245">
        <v>0</v>
      </c>
    </row>
    <row r="1450" spans="1:18" ht="26" x14ac:dyDescent="0.8">
      <c r="A1450" s="247">
        <v>5131</v>
      </c>
      <c r="B1450" s="248" t="s">
        <v>1899</v>
      </c>
      <c r="D1450" s="245">
        <v>0</v>
      </c>
    </row>
    <row r="1451" spans="1:18" ht="26" x14ac:dyDescent="0.8">
      <c r="A1451" s="247">
        <v>51311</v>
      </c>
      <c r="B1451" s="248" t="s">
        <v>1900</v>
      </c>
      <c r="C1451" s="249" t="s">
        <v>66</v>
      </c>
      <c r="D1451" s="245">
        <v>0</v>
      </c>
      <c r="H1451" s="245">
        <v>0</v>
      </c>
      <c r="I1451" s="245">
        <v>0.255</v>
      </c>
      <c r="J1451" s="245">
        <v>0</v>
      </c>
      <c r="K1451" s="245">
        <v>0</v>
      </c>
      <c r="L1451" s="245">
        <v>0</v>
      </c>
      <c r="M1451" s="245">
        <v>0</v>
      </c>
      <c r="N1451" s="245">
        <v>0</v>
      </c>
      <c r="O1451" s="245" t="s">
        <v>118</v>
      </c>
      <c r="P1451" s="245" t="s">
        <v>398</v>
      </c>
      <c r="Q1451" s="245" t="s">
        <v>398</v>
      </c>
      <c r="R1451" s="246" t="s">
        <v>32</v>
      </c>
    </row>
    <row r="1452" spans="1:18" ht="26" x14ac:dyDescent="0.8">
      <c r="A1452" s="247">
        <v>51312</v>
      </c>
      <c r="B1452" s="248" t="s">
        <v>1901</v>
      </c>
      <c r="C1452" s="249" t="s">
        <v>38</v>
      </c>
      <c r="D1452" s="245">
        <v>0</v>
      </c>
      <c r="E1452" s="245">
        <v>100</v>
      </c>
      <c r="H1452" s="245">
        <v>100</v>
      </c>
      <c r="I1452" s="245">
        <v>0.3133333333333333</v>
      </c>
      <c r="J1452" s="245">
        <v>0</v>
      </c>
      <c r="K1452" s="245">
        <v>31.333333333333329</v>
      </c>
      <c r="L1452" s="245">
        <v>0</v>
      </c>
      <c r="M1452" s="245">
        <v>0</v>
      </c>
      <c r="N1452" s="245">
        <v>31.333333333333329</v>
      </c>
      <c r="O1452" s="245" t="s">
        <v>118</v>
      </c>
      <c r="P1452" s="245" t="s">
        <v>398</v>
      </c>
      <c r="Q1452" s="245" t="s">
        <v>398</v>
      </c>
      <c r="R1452" s="246" t="s">
        <v>32</v>
      </c>
    </row>
    <row r="1453" spans="1:18" ht="39" x14ac:dyDescent="0.8">
      <c r="A1453" s="247">
        <v>51313</v>
      </c>
      <c r="B1453" s="248" t="s">
        <v>1902</v>
      </c>
      <c r="C1453" s="249" t="s">
        <v>38</v>
      </c>
      <c r="D1453" s="245">
        <v>0</v>
      </c>
      <c r="E1453" s="245">
        <v>800</v>
      </c>
      <c r="H1453" s="245">
        <v>800</v>
      </c>
      <c r="I1453" s="245">
        <v>0.3133333333333333</v>
      </c>
      <c r="J1453" s="245">
        <v>0</v>
      </c>
      <c r="K1453" s="245">
        <v>250.66666666666663</v>
      </c>
      <c r="L1453" s="245">
        <v>0</v>
      </c>
      <c r="M1453" s="245">
        <v>0</v>
      </c>
      <c r="N1453" s="245">
        <v>250.66666666666663</v>
      </c>
      <c r="O1453" s="245" t="s">
        <v>118</v>
      </c>
      <c r="P1453" s="245" t="s">
        <v>398</v>
      </c>
      <c r="Q1453" s="245" t="s">
        <v>398</v>
      </c>
      <c r="R1453" s="246" t="s">
        <v>32</v>
      </c>
    </row>
    <row r="1454" spans="1:18" ht="41.65" hidden="1" customHeight="1" x14ac:dyDescent="0.8">
      <c r="A1454" s="247">
        <v>51314</v>
      </c>
      <c r="B1454" s="248" t="s">
        <v>1903</v>
      </c>
      <c r="C1454" s="249" t="s">
        <v>55</v>
      </c>
      <c r="D1454" s="245">
        <v>0</v>
      </c>
      <c r="I1454" s="245">
        <v>0</v>
      </c>
      <c r="O1454" s="245" t="s">
        <v>56</v>
      </c>
      <c r="P1454" s="245" t="s">
        <v>398</v>
      </c>
      <c r="Q1454" s="245" t="s">
        <v>398</v>
      </c>
      <c r="R1454" s="246" t="s">
        <v>32</v>
      </c>
    </row>
    <row r="1455" spans="1:18" ht="26" x14ac:dyDescent="0.8">
      <c r="A1455" s="247">
        <v>51315</v>
      </c>
      <c r="B1455" s="248" t="s">
        <v>1904</v>
      </c>
      <c r="C1455" s="249" t="s">
        <v>1906</v>
      </c>
      <c r="D1455" s="245">
        <v>0</v>
      </c>
      <c r="E1455" s="245">
        <v>15000</v>
      </c>
      <c r="F1455" s="245">
        <v>5250</v>
      </c>
      <c r="G1455" s="245">
        <v>5512.5</v>
      </c>
      <c r="H1455" s="245">
        <v>25762.5</v>
      </c>
      <c r="I1455" s="245">
        <v>0.01</v>
      </c>
      <c r="J1455" s="245">
        <v>0</v>
      </c>
      <c r="K1455" s="245">
        <v>150</v>
      </c>
      <c r="L1455" s="245">
        <v>52.5</v>
      </c>
      <c r="M1455" s="245">
        <v>55.125</v>
      </c>
      <c r="N1455" s="245">
        <v>257.625</v>
      </c>
      <c r="O1455" s="245" t="s">
        <v>118</v>
      </c>
      <c r="P1455" s="245" t="s">
        <v>398</v>
      </c>
      <c r="Q1455" s="245" t="s">
        <v>398</v>
      </c>
      <c r="R1455" s="246" t="s">
        <v>32</v>
      </c>
    </row>
    <row r="1456" spans="1:18" ht="39" hidden="1" x14ac:dyDescent="0.8">
      <c r="A1456" s="247">
        <v>51316</v>
      </c>
      <c r="B1456" s="248" t="s">
        <v>1907</v>
      </c>
      <c r="C1456" s="249" t="s">
        <v>55</v>
      </c>
      <c r="D1456" s="245">
        <v>0</v>
      </c>
      <c r="E1456" s="245">
        <v>1</v>
      </c>
      <c r="F1456" s="245">
        <v>1</v>
      </c>
      <c r="G1456" s="245">
        <v>1</v>
      </c>
      <c r="H1456" s="245">
        <v>3</v>
      </c>
      <c r="I1456" s="245">
        <v>0</v>
      </c>
      <c r="J1456" s="245">
        <v>0</v>
      </c>
      <c r="K1456" s="245">
        <v>0</v>
      </c>
      <c r="L1456" s="245">
        <v>0</v>
      </c>
      <c r="M1456" s="245">
        <v>0</v>
      </c>
      <c r="O1456" s="245" t="s">
        <v>56</v>
      </c>
      <c r="P1456" s="245" t="s">
        <v>398</v>
      </c>
      <c r="Q1456" s="245" t="s">
        <v>398</v>
      </c>
      <c r="R1456" s="246" t="s">
        <v>32</v>
      </c>
    </row>
    <row r="1457" spans="1:18" ht="26" hidden="1" x14ac:dyDescent="0.8">
      <c r="A1457" s="247">
        <v>51317</v>
      </c>
      <c r="B1457" s="248" t="s">
        <v>1908</v>
      </c>
      <c r="C1457" s="249" t="s">
        <v>55</v>
      </c>
      <c r="D1457" s="245">
        <v>0</v>
      </c>
      <c r="E1457" s="245">
        <v>1</v>
      </c>
      <c r="F1457" s="245">
        <v>1</v>
      </c>
      <c r="G1457" s="245">
        <v>1</v>
      </c>
      <c r="H1457" s="245">
        <v>3</v>
      </c>
      <c r="I1457" s="245">
        <v>0</v>
      </c>
      <c r="J1457" s="245">
        <v>0</v>
      </c>
      <c r="K1457" s="245">
        <v>0</v>
      </c>
      <c r="L1457" s="245">
        <v>0</v>
      </c>
      <c r="M1457" s="245">
        <v>0</v>
      </c>
      <c r="O1457" s="245" t="s">
        <v>56</v>
      </c>
      <c r="P1457" s="245" t="s">
        <v>398</v>
      </c>
      <c r="Q1457" s="245" t="s">
        <v>398</v>
      </c>
      <c r="R1457" s="246" t="s">
        <v>32</v>
      </c>
    </row>
    <row r="1458" spans="1:18" hidden="1" x14ac:dyDescent="0.8">
      <c r="A1458" s="247">
        <v>51318</v>
      </c>
      <c r="B1458" s="248" t="s">
        <v>1909</v>
      </c>
      <c r="C1458" s="249" t="s">
        <v>55</v>
      </c>
      <c r="D1458" s="245">
        <v>0</v>
      </c>
      <c r="E1458" s="245">
        <v>1</v>
      </c>
      <c r="F1458" s="245">
        <v>1</v>
      </c>
      <c r="G1458" s="245">
        <v>1</v>
      </c>
      <c r="H1458" s="245">
        <v>3</v>
      </c>
      <c r="I1458" s="245">
        <v>0</v>
      </c>
      <c r="J1458" s="245">
        <v>0</v>
      </c>
      <c r="K1458" s="245">
        <v>0</v>
      </c>
      <c r="L1458" s="245">
        <v>0</v>
      </c>
      <c r="M1458" s="245">
        <v>0</v>
      </c>
      <c r="O1458" s="245" t="s">
        <v>56</v>
      </c>
      <c r="P1458" s="245" t="s">
        <v>398</v>
      </c>
      <c r="Q1458" s="245" t="s">
        <v>398</v>
      </c>
      <c r="R1458" s="246" t="s">
        <v>32</v>
      </c>
    </row>
    <row r="1459" spans="1:18" ht="26" hidden="1" x14ac:dyDescent="0.8">
      <c r="A1459" s="247">
        <v>51319</v>
      </c>
      <c r="B1459" s="248" t="s">
        <v>1910</v>
      </c>
      <c r="C1459" s="249" t="s">
        <v>55</v>
      </c>
      <c r="D1459" s="245">
        <v>0</v>
      </c>
      <c r="E1459" s="245">
        <v>1</v>
      </c>
      <c r="F1459" s="245">
        <v>1</v>
      </c>
      <c r="G1459" s="245">
        <v>1</v>
      </c>
      <c r="H1459" s="245">
        <v>3</v>
      </c>
      <c r="I1459" s="245">
        <v>0</v>
      </c>
      <c r="J1459" s="245">
        <v>0</v>
      </c>
      <c r="K1459" s="245">
        <v>0</v>
      </c>
      <c r="L1459" s="245">
        <v>0</v>
      </c>
      <c r="M1459" s="245">
        <v>0</v>
      </c>
      <c r="O1459" s="245" t="s">
        <v>56</v>
      </c>
      <c r="P1459" s="245" t="s">
        <v>398</v>
      </c>
      <c r="Q1459" s="245" t="s">
        <v>398</v>
      </c>
      <c r="R1459" s="246" t="s">
        <v>32</v>
      </c>
    </row>
    <row r="1460" spans="1:18" ht="39" hidden="1" x14ac:dyDescent="0.8">
      <c r="A1460" s="247">
        <v>513110</v>
      </c>
      <c r="B1460" s="248" t="s">
        <v>1911</v>
      </c>
      <c r="C1460" s="249" t="s">
        <v>55</v>
      </c>
      <c r="D1460" s="245">
        <v>0</v>
      </c>
      <c r="E1460" s="245">
        <v>1</v>
      </c>
      <c r="F1460" s="245">
        <v>1</v>
      </c>
      <c r="G1460" s="245">
        <v>1</v>
      </c>
      <c r="H1460" s="245">
        <v>3</v>
      </c>
      <c r="I1460" s="245">
        <v>0</v>
      </c>
      <c r="J1460" s="245">
        <v>0</v>
      </c>
      <c r="K1460" s="245">
        <v>0</v>
      </c>
      <c r="L1460" s="245">
        <v>0</v>
      </c>
      <c r="M1460" s="245">
        <v>0</v>
      </c>
      <c r="O1460" s="245" t="s">
        <v>56</v>
      </c>
      <c r="P1460" s="245" t="s">
        <v>398</v>
      </c>
      <c r="Q1460" s="245" t="s">
        <v>398</v>
      </c>
      <c r="R1460" s="246" t="s">
        <v>32</v>
      </c>
    </row>
    <row r="1461" spans="1:18" ht="26" x14ac:dyDescent="0.8">
      <c r="A1461" s="247">
        <v>5132</v>
      </c>
      <c r="B1461" s="248" t="s">
        <v>1912</v>
      </c>
      <c r="D1461" s="245">
        <v>0</v>
      </c>
    </row>
    <row r="1462" spans="1:18" x14ac:dyDescent="0.8">
      <c r="A1462" s="247">
        <v>51321</v>
      </c>
      <c r="B1462" s="248" t="s">
        <v>1913</v>
      </c>
      <c r="C1462" s="249" t="s">
        <v>66</v>
      </c>
      <c r="D1462" s="245">
        <v>0</v>
      </c>
      <c r="E1462" s="245">
        <v>125</v>
      </c>
      <c r="F1462" s="245">
        <v>0</v>
      </c>
      <c r="G1462" s="245">
        <v>0</v>
      </c>
      <c r="H1462" s="245">
        <v>125</v>
      </c>
      <c r="I1462" s="245">
        <v>0.255</v>
      </c>
      <c r="J1462" s="245">
        <v>0</v>
      </c>
      <c r="K1462" s="245">
        <v>31.875</v>
      </c>
      <c r="L1462" s="245">
        <v>0</v>
      </c>
      <c r="M1462" s="245">
        <v>0</v>
      </c>
      <c r="N1462" s="245">
        <v>31.875</v>
      </c>
      <c r="O1462" s="245" t="s">
        <v>118</v>
      </c>
      <c r="P1462" s="245" t="s">
        <v>1914</v>
      </c>
      <c r="Q1462" s="245" t="s">
        <v>1914</v>
      </c>
      <c r="R1462" s="246" t="s">
        <v>32</v>
      </c>
    </row>
    <row r="1463" spans="1:18" x14ac:dyDescent="0.8">
      <c r="A1463" s="247">
        <v>51322</v>
      </c>
      <c r="B1463" s="248" t="s">
        <v>1915</v>
      </c>
      <c r="C1463" s="249" t="s">
        <v>76</v>
      </c>
      <c r="D1463" s="245">
        <v>0</v>
      </c>
      <c r="E1463" s="245">
        <v>2</v>
      </c>
      <c r="F1463" s="245">
        <v>2</v>
      </c>
      <c r="G1463" s="245">
        <v>2</v>
      </c>
      <c r="H1463" s="245">
        <v>6</v>
      </c>
      <c r="I1463" s="245">
        <v>45.936799999999998</v>
      </c>
      <c r="J1463" s="245">
        <v>0</v>
      </c>
      <c r="K1463" s="245">
        <v>91.873599999999996</v>
      </c>
      <c r="L1463" s="245">
        <v>91.873599999999996</v>
      </c>
      <c r="M1463" s="245">
        <v>91.873599999999996</v>
      </c>
      <c r="N1463" s="245">
        <v>275.62079999999997</v>
      </c>
      <c r="O1463" s="245" t="s">
        <v>118</v>
      </c>
      <c r="P1463" s="245" t="s">
        <v>1914</v>
      </c>
      <c r="Q1463" s="245" t="s">
        <v>1914</v>
      </c>
      <c r="R1463" s="246" t="s">
        <v>32</v>
      </c>
    </row>
    <row r="1464" spans="1:18" x14ac:dyDescent="0.8">
      <c r="A1464" s="247">
        <v>51323</v>
      </c>
      <c r="B1464" s="248" t="s">
        <v>1917</v>
      </c>
      <c r="C1464" s="249" t="s">
        <v>1919</v>
      </c>
      <c r="D1464" s="245">
        <v>0</v>
      </c>
      <c r="E1464" s="245">
        <v>24</v>
      </c>
      <c r="F1464" s="245">
        <v>12</v>
      </c>
      <c r="G1464" s="245">
        <v>12</v>
      </c>
      <c r="H1464" s="245">
        <v>48</v>
      </c>
      <c r="I1464" s="245">
        <v>1.5</v>
      </c>
      <c r="J1464" s="245">
        <v>0</v>
      </c>
      <c r="K1464" s="245">
        <v>36</v>
      </c>
      <c r="L1464" s="245">
        <v>18</v>
      </c>
      <c r="M1464" s="245">
        <v>18</v>
      </c>
      <c r="N1464" s="245">
        <v>72</v>
      </c>
      <c r="O1464" s="245" t="s">
        <v>118</v>
      </c>
      <c r="P1464" s="245" t="s">
        <v>1914</v>
      </c>
      <c r="Q1464" s="245" t="s">
        <v>1920</v>
      </c>
      <c r="R1464" s="246" t="s">
        <v>32</v>
      </c>
    </row>
    <row r="1465" spans="1:18" x14ac:dyDescent="0.8">
      <c r="A1465" s="247">
        <v>51324</v>
      </c>
      <c r="B1465" s="248" t="s">
        <v>1921</v>
      </c>
      <c r="C1465" s="249" t="s">
        <v>73</v>
      </c>
      <c r="D1465" s="245">
        <v>0</v>
      </c>
      <c r="E1465" s="245">
        <v>1140</v>
      </c>
      <c r="F1465" s="245">
        <v>1140</v>
      </c>
      <c r="G1465" s="245">
        <v>1140</v>
      </c>
      <c r="H1465" s="245">
        <v>3420</v>
      </c>
      <c r="I1465" s="245">
        <v>0.4</v>
      </c>
      <c r="J1465" s="245">
        <v>0</v>
      </c>
      <c r="K1465" s="245">
        <v>456</v>
      </c>
      <c r="L1465" s="245">
        <v>456</v>
      </c>
      <c r="M1465" s="245">
        <v>456</v>
      </c>
      <c r="N1465" s="245">
        <v>1368</v>
      </c>
      <c r="O1465" s="245" t="s">
        <v>118</v>
      </c>
      <c r="P1465" s="245" t="s">
        <v>1914</v>
      </c>
      <c r="Q1465" s="245" t="s">
        <v>1920</v>
      </c>
      <c r="R1465" s="246" t="s">
        <v>32</v>
      </c>
    </row>
    <row r="1466" spans="1:18" ht="39" x14ac:dyDescent="0.8">
      <c r="A1466" s="247">
        <v>52</v>
      </c>
      <c r="B1466" s="248" t="s">
        <v>1923</v>
      </c>
      <c r="D1466" s="245">
        <v>0</v>
      </c>
    </row>
    <row r="1467" spans="1:18" ht="26" x14ac:dyDescent="0.8">
      <c r="A1467" s="247">
        <v>521</v>
      </c>
      <c r="B1467" s="248" t="s">
        <v>1924</v>
      </c>
      <c r="D1467" s="245">
        <v>0</v>
      </c>
    </row>
    <row r="1468" spans="1:18" ht="26" x14ac:dyDescent="0.8">
      <c r="A1468" s="247">
        <v>5211</v>
      </c>
      <c r="B1468" s="248" t="s">
        <v>1925</v>
      </c>
      <c r="D1468" s="245">
        <v>0</v>
      </c>
    </row>
    <row r="1469" spans="1:18" ht="39" hidden="1" x14ac:dyDescent="0.8">
      <c r="A1469" s="247">
        <v>52111</v>
      </c>
      <c r="B1469" s="248" t="s">
        <v>1926</v>
      </c>
      <c r="C1469" s="249" t="s">
        <v>55</v>
      </c>
      <c r="D1469" s="245">
        <v>0</v>
      </c>
      <c r="E1469" s="245">
        <v>1</v>
      </c>
      <c r="F1469" s="245">
        <v>0</v>
      </c>
      <c r="G1469" s="245">
        <v>0</v>
      </c>
      <c r="H1469" s="245">
        <v>1</v>
      </c>
      <c r="I1469" s="245">
        <v>0</v>
      </c>
      <c r="J1469" s="245">
        <v>0</v>
      </c>
      <c r="K1469" s="245">
        <v>0</v>
      </c>
      <c r="L1469" s="245">
        <v>0</v>
      </c>
      <c r="M1469" s="245">
        <v>0</v>
      </c>
      <c r="O1469" s="245" t="s">
        <v>56</v>
      </c>
      <c r="P1469" s="245" t="s">
        <v>255</v>
      </c>
      <c r="Q1469" s="245" t="s">
        <v>192</v>
      </c>
      <c r="R1469" s="246" t="s">
        <v>32</v>
      </c>
    </row>
    <row r="1470" spans="1:18" ht="39" hidden="1" x14ac:dyDescent="0.8">
      <c r="A1470" s="247">
        <v>52112</v>
      </c>
      <c r="B1470" s="248" t="s">
        <v>1927</v>
      </c>
      <c r="C1470" s="249" t="s">
        <v>55</v>
      </c>
      <c r="D1470" s="245">
        <v>0</v>
      </c>
      <c r="E1470" s="245">
        <v>1</v>
      </c>
      <c r="F1470" s="245">
        <v>0</v>
      </c>
      <c r="G1470" s="245">
        <v>0</v>
      </c>
      <c r="H1470" s="245">
        <v>1</v>
      </c>
      <c r="I1470" s="245">
        <v>0</v>
      </c>
      <c r="J1470" s="245">
        <v>0</v>
      </c>
      <c r="K1470" s="245">
        <v>0</v>
      </c>
      <c r="L1470" s="245">
        <v>0</v>
      </c>
      <c r="M1470" s="245">
        <v>0</v>
      </c>
      <c r="O1470" s="245" t="s">
        <v>56</v>
      </c>
      <c r="P1470" s="245" t="s">
        <v>255</v>
      </c>
      <c r="Q1470" s="245" t="s">
        <v>192</v>
      </c>
      <c r="R1470" s="246" t="s">
        <v>32</v>
      </c>
    </row>
    <row r="1471" spans="1:18" ht="39" x14ac:dyDescent="0.8">
      <c r="A1471" s="247">
        <v>52113</v>
      </c>
      <c r="B1471" s="248" t="s">
        <v>1929</v>
      </c>
      <c r="C1471" s="249" t="s">
        <v>66</v>
      </c>
      <c r="D1471" s="245">
        <v>0</v>
      </c>
      <c r="E1471" s="245">
        <v>45</v>
      </c>
      <c r="F1471" s="245">
        <v>0</v>
      </c>
      <c r="G1471" s="245">
        <v>0</v>
      </c>
      <c r="H1471" s="245">
        <v>45</v>
      </c>
      <c r="I1471" s="245">
        <v>0.255</v>
      </c>
      <c r="J1471" s="245">
        <v>0</v>
      </c>
      <c r="K1471" s="245">
        <v>11.475</v>
      </c>
      <c r="L1471" s="245">
        <v>0</v>
      </c>
      <c r="M1471" s="245">
        <v>0</v>
      </c>
      <c r="N1471" s="245">
        <v>11.475</v>
      </c>
      <c r="O1471" s="245" t="s">
        <v>118</v>
      </c>
      <c r="P1471" s="245" t="s">
        <v>192</v>
      </c>
      <c r="Q1471" s="245" t="s">
        <v>192</v>
      </c>
      <c r="R1471" s="246" t="s">
        <v>32</v>
      </c>
    </row>
    <row r="1472" spans="1:18" ht="26" x14ac:dyDescent="0.8">
      <c r="A1472" s="247">
        <v>52114</v>
      </c>
      <c r="B1472" s="248" t="s">
        <v>1931</v>
      </c>
      <c r="C1472" s="249" t="s">
        <v>452</v>
      </c>
      <c r="D1472" s="245">
        <v>0</v>
      </c>
      <c r="E1472" s="245">
        <v>794.85</v>
      </c>
      <c r="G1472" s="245">
        <v>79.485000000000014</v>
      </c>
      <c r="H1472" s="245">
        <v>874.33500000000004</v>
      </c>
      <c r="I1472" s="245">
        <v>7.4999999999999997E-3</v>
      </c>
      <c r="J1472" s="245">
        <v>0</v>
      </c>
      <c r="K1472" s="245">
        <v>5.9613750000000003</v>
      </c>
      <c r="L1472" s="245">
        <v>0</v>
      </c>
      <c r="M1472" s="245">
        <v>0.5961375000000001</v>
      </c>
      <c r="N1472" s="245">
        <v>6.5575125000000005</v>
      </c>
      <c r="O1472" s="245" t="s">
        <v>118</v>
      </c>
      <c r="P1472" s="245" t="s">
        <v>192</v>
      </c>
      <c r="Q1472" s="245" t="s">
        <v>192</v>
      </c>
      <c r="R1472" s="246" t="s">
        <v>32</v>
      </c>
    </row>
    <row r="1473" spans="1:18" x14ac:dyDescent="0.8">
      <c r="A1473" s="247">
        <v>52115</v>
      </c>
      <c r="B1473" s="248" t="s">
        <v>1932</v>
      </c>
      <c r="C1473" s="249" t="s">
        <v>301</v>
      </c>
      <c r="D1473" s="245">
        <v>0</v>
      </c>
      <c r="F1473" s="245">
        <v>810</v>
      </c>
      <c r="H1473" s="245">
        <v>810</v>
      </c>
      <c r="I1473" s="245">
        <v>0.67666666666666664</v>
      </c>
      <c r="J1473" s="245">
        <v>0</v>
      </c>
      <c r="K1473" s="245">
        <v>0</v>
      </c>
      <c r="L1473" s="245">
        <v>548.1</v>
      </c>
      <c r="M1473" s="245">
        <v>0</v>
      </c>
      <c r="N1473" s="245">
        <v>548.1</v>
      </c>
      <c r="O1473" s="245" t="s">
        <v>118</v>
      </c>
      <c r="P1473" s="245" t="s">
        <v>192</v>
      </c>
      <c r="Q1473" s="245" t="s">
        <v>192</v>
      </c>
      <c r="R1473" s="246" t="s">
        <v>32</v>
      </c>
    </row>
    <row r="1474" spans="1:18" ht="26" x14ac:dyDescent="0.8">
      <c r="A1474" s="247">
        <v>522</v>
      </c>
      <c r="B1474" s="248" t="s">
        <v>1933</v>
      </c>
      <c r="D1474" s="245">
        <v>0</v>
      </c>
    </row>
    <row r="1475" spans="1:18" ht="52" x14ac:dyDescent="0.8">
      <c r="A1475" s="247">
        <v>5221</v>
      </c>
      <c r="B1475" s="248" t="s">
        <v>1934</v>
      </c>
      <c r="D1475" s="245">
        <v>0</v>
      </c>
    </row>
    <row r="1476" spans="1:18" ht="91" hidden="1" x14ac:dyDescent="0.8">
      <c r="A1476" s="247">
        <v>52211</v>
      </c>
      <c r="B1476" s="248" t="s">
        <v>1935</v>
      </c>
      <c r="C1476" s="249" t="s">
        <v>55</v>
      </c>
      <c r="D1476" s="245">
        <v>0</v>
      </c>
      <c r="E1476" s="245">
        <v>1</v>
      </c>
      <c r="F1476" s="245">
        <v>0</v>
      </c>
      <c r="G1476" s="245">
        <v>0</v>
      </c>
      <c r="H1476" s="245">
        <v>1</v>
      </c>
      <c r="I1476" s="245">
        <v>0</v>
      </c>
      <c r="J1476" s="245">
        <v>0</v>
      </c>
      <c r="K1476" s="245">
        <v>0</v>
      </c>
      <c r="L1476" s="245">
        <v>0</v>
      </c>
      <c r="M1476" s="245">
        <v>0</v>
      </c>
      <c r="O1476" s="245" t="s">
        <v>56</v>
      </c>
      <c r="P1476" s="245" t="s">
        <v>1936</v>
      </c>
      <c r="Q1476" s="245" t="s">
        <v>1936</v>
      </c>
      <c r="R1476" s="246" t="s">
        <v>32</v>
      </c>
    </row>
    <row r="1477" spans="1:18" ht="26" x14ac:dyDescent="0.8">
      <c r="A1477" s="247">
        <v>52212</v>
      </c>
      <c r="B1477" s="248" t="s">
        <v>1937</v>
      </c>
      <c r="C1477" s="249" t="s">
        <v>66</v>
      </c>
      <c r="D1477" s="245">
        <v>0</v>
      </c>
      <c r="E1477" s="245">
        <v>75</v>
      </c>
      <c r="F1477" s="245">
        <v>0</v>
      </c>
      <c r="G1477" s="245">
        <v>0</v>
      </c>
      <c r="H1477" s="245">
        <v>75</v>
      </c>
      <c r="I1477" s="245">
        <v>0.255</v>
      </c>
      <c r="J1477" s="245">
        <v>0</v>
      </c>
      <c r="K1477" s="245">
        <v>19.125</v>
      </c>
      <c r="L1477" s="245">
        <v>0</v>
      </c>
      <c r="M1477" s="245">
        <v>0</v>
      </c>
      <c r="N1477" s="245">
        <v>19.125</v>
      </c>
      <c r="O1477" s="245" t="s">
        <v>118</v>
      </c>
      <c r="P1477" s="245" t="s">
        <v>1936</v>
      </c>
      <c r="Q1477" s="245" t="s">
        <v>1936</v>
      </c>
      <c r="R1477" s="246" t="s">
        <v>32</v>
      </c>
    </row>
    <row r="1478" spans="1:18" ht="26" x14ac:dyDescent="0.8">
      <c r="A1478" s="247">
        <v>52213</v>
      </c>
      <c r="B1478" s="248" t="s">
        <v>1938</v>
      </c>
      <c r="C1478" s="249" t="s">
        <v>66</v>
      </c>
      <c r="D1478" s="245">
        <v>0</v>
      </c>
      <c r="H1478" s="245">
        <v>0</v>
      </c>
      <c r="I1478" s="245">
        <v>0.255</v>
      </c>
      <c r="J1478" s="245">
        <v>0</v>
      </c>
      <c r="K1478" s="245">
        <v>0</v>
      </c>
      <c r="L1478" s="245">
        <v>0</v>
      </c>
      <c r="M1478" s="245">
        <v>0</v>
      </c>
      <c r="N1478" s="245">
        <v>0</v>
      </c>
      <c r="O1478" s="245" t="s">
        <v>178</v>
      </c>
      <c r="P1478" s="245" t="s">
        <v>1939</v>
      </c>
      <c r="Q1478" s="245" t="s">
        <v>1939</v>
      </c>
      <c r="R1478" s="246" t="s">
        <v>32</v>
      </c>
    </row>
    <row r="1479" spans="1:18" ht="26" hidden="1" x14ac:dyDescent="0.8">
      <c r="A1479" s="247">
        <v>52213</v>
      </c>
      <c r="B1479" s="248" t="s">
        <v>1940</v>
      </c>
      <c r="C1479" s="249" t="s">
        <v>66</v>
      </c>
      <c r="D1479" s="245">
        <v>0</v>
      </c>
      <c r="E1479" s="245">
        <v>183</v>
      </c>
      <c r="H1479" s="245">
        <v>183</v>
      </c>
      <c r="I1479" s="245">
        <v>0.255</v>
      </c>
      <c r="J1479" s="245">
        <v>0</v>
      </c>
      <c r="K1479" s="245">
        <v>46.664999999999999</v>
      </c>
      <c r="L1479" s="245">
        <v>0</v>
      </c>
      <c r="M1479" s="245">
        <v>0</v>
      </c>
      <c r="N1479" s="245">
        <v>46.664999999999999</v>
      </c>
      <c r="O1479" s="245" t="s">
        <v>56</v>
      </c>
      <c r="P1479" s="245" t="s">
        <v>1939</v>
      </c>
      <c r="Q1479" s="245" t="s">
        <v>1939</v>
      </c>
      <c r="R1479" s="246" t="s">
        <v>32</v>
      </c>
    </row>
    <row r="1480" spans="1:18" ht="26" hidden="1" x14ac:dyDescent="0.8">
      <c r="A1480" s="247">
        <v>52214</v>
      </c>
      <c r="B1480" s="248" t="s">
        <v>1941</v>
      </c>
      <c r="C1480" s="249" t="s">
        <v>452</v>
      </c>
      <c r="D1480" s="245">
        <v>0</v>
      </c>
      <c r="E1480" s="245">
        <v>202.4</v>
      </c>
      <c r="F1480" s="245">
        <v>0</v>
      </c>
      <c r="G1480" s="245">
        <v>0</v>
      </c>
      <c r="H1480" s="245">
        <v>202.4</v>
      </c>
      <c r="I1480" s="245">
        <v>7.4999999999999997E-3</v>
      </c>
      <c r="J1480" s="245">
        <v>0</v>
      </c>
      <c r="K1480" s="245">
        <v>1.518</v>
      </c>
      <c r="L1480" s="245">
        <v>0</v>
      </c>
      <c r="M1480" s="245">
        <v>0</v>
      </c>
      <c r="N1480" s="245">
        <v>1.518</v>
      </c>
      <c r="O1480" s="245" t="s">
        <v>56</v>
      </c>
      <c r="P1480" s="245" t="s">
        <v>1939</v>
      </c>
      <c r="Q1480" s="245" t="s">
        <v>1939</v>
      </c>
      <c r="R1480" s="246" t="s">
        <v>32</v>
      </c>
    </row>
    <row r="1481" spans="1:18" ht="26" hidden="1" x14ac:dyDescent="0.8">
      <c r="A1481" s="247">
        <v>52215</v>
      </c>
      <c r="B1481" s="248" t="s">
        <v>1943</v>
      </c>
      <c r="C1481" s="249" t="s">
        <v>59</v>
      </c>
      <c r="D1481" s="245">
        <v>0</v>
      </c>
      <c r="E1481" s="245">
        <v>180</v>
      </c>
      <c r="F1481" s="245">
        <v>180</v>
      </c>
      <c r="G1481" s="245">
        <v>180</v>
      </c>
      <c r="H1481" s="245">
        <v>540</v>
      </c>
      <c r="I1481" s="245">
        <v>0.8177777777777776</v>
      </c>
      <c r="J1481" s="245">
        <v>0</v>
      </c>
      <c r="K1481" s="245">
        <v>147.19999999999996</v>
      </c>
      <c r="L1481" s="245">
        <v>147.19999999999996</v>
      </c>
      <c r="M1481" s="245">
        <v>147.19999999999996</v>
      </c>
      <c r="N1481" s="245">
        <v>441.59999999999991</v>
      </c>
      <c r="O1481" s="245" t="s">
        <v>56</v>
      </c>
      <c r="P1481" s="245" t="s">
        <v>1939</v>
      </c>
      <c r="Q1481" s="245" t="s">
        <v>1939</v>
      </c>
      <c r="R1481" s="246" t="s">
        <v>32</v>
      </c>
    </row>
    <row r="1482" spans="1:18" ht="39" x14ac:dyDescent="0.8">
      <c r="A1482" s="247">
        <v>5222</v>
      </c>
      <c r="B1482" s="248" t="s">
        <v>1944</v>
      </c>
      <c r="D1482" s="245">
        <v>0</v>
      </c>
      <c r="P1482" s="245" t="s">
        <v>1939</v>
      </c>
      <c r="Q1482" s="245" t="s">
        <v>1939</v>
      </c>
    </row>
    <row r="1483" spans="1:18" ht="26" x14ac:dyDescent="0.8">
      <c r="A1483" s="247">
        <v>52221</v>
      </c>
      <c r="B1483" s="248" t="s">
        <v>1946</v>
      </c>
      <c r="C1483" s="249" t="s">
        <v>66</v>
      </c>
      <c r="D1483" s="245">
        <v>0</v>
      </c>
      <c r="E1483" s="245">
        <v>768</v>
      </c>
      <c r="F1483" s="245">
        <v>768</v>
      </c>
      <c r="G1483" s="245">
        <v>784</v>
      </c>
      <c r="H1483" s="245">
        <v>2320</v>
      </c>
      <c r="I1483" s="245">
        <v>0.255</v>
      </c>
      <c r="J1483" s="245">
        <v>0</v>
      </c>
      <c r="K1483" s="245">
        <v>195.84</v>
      </c>
      <c r="L1483" s="245">
        <v>195.84</v>
      </c>
      <c r="M1483" s="245">
        <v>199.92000000000002</v>
      </c>
      <c r="N1483" s="245">
        <v>591.6</v>
      </c>
      <c r="O1483" s="245" t="s">
        <v>67</v>
      </c>
      <c r="P1483" s="245" t="s">
        <v>96</v>
      </c>
      <c r="Q1483" s="245" t="s">
        <v>193</v>
      </c>
      <c r="R1483" s="246" t="s">
        <v>32</v>
      </c>
    </row>
    <row r="1484" spans="1:18" ht="26" hidden="1" x14ac:dyDescent="0.8">
      <c r="A1484" s="247">
        <v>52221</v>
      </c>
      <c r="B1484" s="248" t="s">
        <v>1946</v>
      </c>
      <c r="C1484" s="249" t="s">
        <v>66</v>
      </c>
      <c r="D1484" s="245">
        <v>0</v>
      </c>
      <c r="E1484" s="245">
        <v>2640</v>
      </c>
      <c r="F1484" s="245">
        <v>2640</v>
      </c>
      <c r="G1484" s="245">
        <v>2624</v>
      </c>
      <c r="H1484" s="245">
        <v>7904</v>
      </c>
      <c r="I1484" s="245">
        <v>0.255</v>
      </c>
      <c r="J1484" s="245">
        <v>0</v>
      </c>
      <c r="K1484" s="245">
        <v>673.2</v>
      </c>
      <c r="L1484" s="245">
        <v>673.2</v>
      </c>
      <c r="M1484" s="245">
        <v>669.12</v>
      </c>
      <c r="N1484" s="245">
        <v>2015.52</v>
      </c>
      <c r="O1484" s="245" t="s">
        <v>56</v>
      </c>
      <c r="P1484" s="245" t="s">
        <v>96</v>
      </c>
      <c r="Q1484" s="245" t="s">
        <v>193</v>
      </c>
      <c r="R1484" s="246" t="s">
        <v>32</v>
      </c>
    </row>
    <row r="1485" spans="1:18" ht="39" hidden="1" x14ac:dyDescent="0.8">
      <c r="A1485" s="247">
        <v>52222</v>
      </c>
      <c r="B1485" s="248" t="s">
        <v>1947</v>
      </c>
      <c r="C1485" s="249" t="s">
        <v>55</v>
      </c>
      <c r="D1485" s="245">
        <v>0</v>
      </c>
      <c r="F1485" s="245">
        <v>1</v>
      </c>
      <c r="G1485" s="245">
        <v>1</v>
      </c>
      <c r="H1485" s="245">
        <v>2</v>
      </c>
      <c r="I1485" s="245">
        <v>0</v>
      </c>
      <c r="J1485" s="245">
        <v>0</v>
      </c>
      <c r="K1485" s="245">
        <v>0</v>
      </c>
      <c r="L1485" s="245">
        <v>0</v>
      </c>
      <c r="M1485" s="245">
        <v>0</v>
      </c>
      <c r="O1485" s="245" t="s">
        <v>56</v>
      </c>
      <c r="P1485" s="245" t="s">
        <v>96</v>
      </c>
      <c r="Q1485" s="245" t="s">
        <v>193</v>
      </c>
      <c r="R1485" s="246" t="s">
        <v>32</v>
      </c>
    </row>
    <row r="1486" spans="1:18" ht="39" hidden="1" x14ac:dyDescent="0.8">
      <c r="A1486" s="247">
        <v>52223</v>
      </c>
      <c r="B1486" s="248" t="s">
        <v>1948</v>
      </c>
      <c r="C1486" s="249" t="s">
        <v>55</v>
      </c>
      <c r="D1486" s="245">
        <v>0</v>
      </c>
      <c r="E1486" s="245">
        <v>1</v>
      </c>
      <c r="F1486" s="245">
        <v>1</v>
      </c>
      <c r="G1486" s="245">
        <v>1</v>
      </c>
      <c r="H1486" s="245">
        <v>3</v>
      </c>
      <c r="I1486" s="245">
        <v>0</v>
      </c>
      <c r="J1486" s="245">
        <v>0</v>
      </c>
      <c r="K1486" s="245">
        <v>0</v>
      </c>
      <c r="L1486" s="245">
        <v>0</v>
      </c>
      <c r="M1486" s="245">
        <v>0</v>
      </c>
      <c r="O1486" s="245" t="s">
        <v>56</v>
      </c>
      <c r="P1486" s="245" t="s">
        <v>96</v>
      </c>
      <c r="Q1486" s="245" t="s">
        <v>1949</v>
      </c>
      <c r="R1486" s="246" t="s">
        <v>32</v>
      </c>
    </row>
    <row r="1487" spans="1:18" ht="39" hidden="1" x14ac:dyDescent="0.8">
      <c r="A1487" s="247">
        <v>52224</v>
      </c>
      <c r="B1487" s="248" t="s">
        <v>1950</v>
      </c>
      <c r="C1487" s="249" t="s">
        <v>55</v>
      </c>
      <c r="D1487" s="245">
        <v>0</v>
      </c>
      <c r="E1487" s="245">
        <v>1</v>
      </c>
      <c r="F1487" s="245">
        <v>1</v>
      </c>
      <c r="G1487" s="245">
        <v>1</v>
      </c>
      <c r="H1487" s="245">
        <v>3</v>
      </c>
      <c r="I1487" s="245">
        <v>0</v>
      </c>
      <c r="J1487" s="245">
        <v>0</v>
      </c>
      <c r="K1487" s="245">
        <v>0</v>
      </c>
      <c r="L1487" s="245">
        <v>0</v>
      </c>
      <c r="M1487" s="245">
        <v>0</v>
      </c>
      <c r="O1487" s="245" t="s">
        <v>56</v>
      </c>
      <c r="P1487" s="245" t="s">
        <v>96</v>
      </c>
      <c r="Q1487" s="245" t="s">
        <v>282</v>
      </c>
      <c r="R1487" s="246" t="s">
        <v>32</v>
      </c>
    </row>
    <row r="1488" spans="1:18" ht="26" hidden="1" x14ac:dyDescent="0.8">
      <c r="A1488" s="247">
        <v>52225</v>
      </c>
      <c r="B1488" s="248" t="s">
        <v>1951</v>
      </c>
      <c r="C1488" s="249" t="s">
        <v>55</v>
      </c>
      <c r="D1488" s="245">
        <v>0</v>
      </c>
      <c r="E1488" s="245">
        <v>1</v>
      </c>
      <c r="F1488" s="245">
        <v>1</v>
      </c>
      <c r="G1488" s="245">
        <v>1</v>
      </c>
      <c r="H1488" s="245">
        <v>3</v>
      </c>
      <c r="I1488" s="245">
        <v>0</v>
      </c>
      <c r="J1488" s="245">
        <v>0</v>
      </c>
      <c r="K1488" s="245">
        <v>0</v>
      </c>
      <c r="L1488" s="245">
        <v>0</v>
      </c>
      <c r="M1488" s="245">
        <v>0</v>
      </c>
      <c r="O1488" s="245" t="s">
        <v>56</v>
      </c>
      <c r="P1488" s="245" t="s">
        <v>96</v>
      </c>
      <c r="Q1488" s="245" t="s">
        <v>1952</v>
      </c>
      <c r="R1488" s="246" t="s">
        <v>32</v>
      </c>
    </row>
    <row r="1489" spans="1:18" ht="26" x14ac:dyDescent="0.8">
      <c r="A1489" s="247">
        <v>5223</v>
      </c>
      <c r="B1489" s="248" t="s">
        <v>1953</v>
      </c>
      <c r="D1489" s="245">
        <v>0</v>
      </c>
    </row>
    <row r="1490" spans="1:18" ht="26" x14ac:dyDescent="0.8">
      <c r="A1490" s="247">
        <v>52231</v>
      </c>
      <c r="B1490" s="248" t="s">
        <v>1954</v>
      </c>
      <c r="C1490" s="249" t="s">
        <v>59</v>
      </c>
      <c r="D1490" s="245">
        <v>0</v>
      </c>
      <c r="E1490" s="245">
        <v>180</v>
      </c>
      <c r="F1490" s="245">
        <v>180</v>
      </c>
      <c r="G1490" s="245">
        <v>180</v>
      </c>
      <c r="H1490" s="245">
        <v>540</v>
      </c>
      <c r="I1490" s="245">
        <v>0.8177777777777776</v>
      </c>
      <c r="J1490" s="245">
        <v>0</v>
      </c>
      <c r="K1490" s="245">
        <v>147.19999999999996</v>
      </c>
      <c r="L1490" s="245">
        <v>147.19999999999996</v>
      </c>
      <c r="M1490" s="245">
        <v>147.19999999999996</v>
      </c>
      <c r="N1490" s="245">
        <v>441.59999999999991</v>
      </c>
      <c r="O1490" s="245" t="s">
        <v>118</v>
      </c>
      <c r="P1490" s="245" t="s">
        <v>1955</v>
      </c>
      <c r="Q1490" s="245" t="s">
        <v>1955</v>
      </c>
      <c r="R1490" s="246" t="s">
        <v>32</v>
      </c>
    </row>
    <row r="1491" spans="1:18" ht="26" hidden="1" x14ac:dyDescent="0.8">
      <c r="A1491" s="247">
        <v>52232</v>
      </c>
      <c r="B1491" s="248" t="s">
        <v>1956</v>
      </c>
      <c r="C1491" s="249" t="s">
        <v>55</v>
      </c>
      <c r="D1491" s="245">
        <v>0</v>
      </c>
      <c r="E1491" s="245">
        <v>1</v>
      </c>
      <c r="F1491" s="245">
        <v>1</v>
      </c>
      <c r="G1491" s="245">
        <v>1</v>
      </c>
      <c r="H1491" s="245">
        <v>3</v>
      </c>
      <c r="I1491" s="245">
        <v>0</v>
      </c>
      <c r="J1491" s="245">
        <v>0</v>
      </c>
      <c r="K1491" s="245">
        <v>0</v>
      </c>
      <c r="L1491" s="245">
        <v>0</v>
      </c>
      <c r="M1491" s="245">
        <v>0</v>
      </c>
      <c r="O1491" s="245" t="s">
        <v>56</v>
      </c>
      <c r="P1491" s="245" t="s">
        <v>1955</v>
      </c>
      <c r="Q1491" s="245" t="s">
        <v>1955</v>
      </c>
      <c r="R1491" s="246" t="s">
        <v>32</v>
      </c>
    </row>
    <row r="1492" spans="1:18" ht="39" x14ac:dyDescent="0.8">
      <c r="A1492" s="247">
        <v>53</v>
      </c>
      <c r="B1492" s="248" t="s">
        <v>1957</v>
      </c>
      <c r="D1492" s="245">
        <v>0</v>
      </c>
    </row>
    <row r="1493" spans="1:18" ht="39" x14ac:dyDescent="0.8">
      <c r="A1493" s="247">
        <v>531</v>
      </c>
      <c r="B1493" s="248" t="s">
        <v>1958</v>
      </c>
      <c r="D1493" s="245">
        <v>0</v>
      </c>
    </row>
    <row r="1494" spans="1:18" x14ac:dyDescent="0.8">
      <c r="A1494" s="247">
        <v>5311</v>
      </c>
      <c r="B1494" s="248" t="s">
        <v>1959</v>
      </c>
      <c r="D1494" s="245">
        <v>0</v>
      </c>
    </row>
    <row r="1495" spans="1:18" ht="52" hidden="1" x14ac:dyDescent="0.8">
      <c r="A1495" s="247">
        <v>53111</v>
      </c>
      <c r="B1495" s="248" t="s">
        <v>1960</v>
      </c>
      <c r="C1495" s="249" t="s">
        <v>55</v>
      </c>
      <c r="D1495" s="245">
        <v>0</v>
      </c>
      <c r="E1495" s="245">
        <v>0</v>
      </c>
      <c r="F1495" s="245">
        <v>0</v>
      </c>
      <c r="G1495" s="245">
        <v>0</v>
      </c>
      <c r="H1495" s="245">
        <v>0</v>
      </c>
      <c r="I1495" s="245">
        <v>0</v>
      </c>
      <c r="O1495" s="245" t="s">
        <v>56</v>
      </c>
      <c r="P1495" s="245" t="s">
        <v>96</v>
      </c>
      <c r="Q1495" s="245" t="s">
        <v>96</v>
      </c>
      <c r="R1495" s="246" t="s">
        <v>32</v>
      </c>
    </row>
    <row r="1496" spans="1:18" ht="52" hidden="1" x14ac:dyDescent="0.8">
      <c r="A1496" s="247">
        <v>53112</v>
      </c>
      <c r="B1496" s="248" t="s">
        <v>1960</v>
      </c>
      <c r="C1496" s="249" t="s">
        <v>55</v>
      </c>
      <c r="D1496" s="245">
        <v>0</v>
      </c>
      <c r="E1496" s="245">
        <v>0</v>
      </c>
      <c r="F1496" s="245">
        <v>0</v>
      </c>
      <c r="G1496" s="245">
        <v>0</v>
      </c>
      <c r="H1496" s="245">
        <v>0</v>
      </c>
      <c r="I1496" s="245">
        <v>0</v>
      </c>
      <c r="O1496" s="245" t="s">
        <v>56</v>
      </c>
      <c r="P1496" s="245" t="s">
        <v>96</v>
      </c>
      <c r="Q1496" s="245" t="s">
        <v>96</v>
      </c>
      <c r="R1496" s="246" t="s">
        <v>679</v>
      </c>
    </row>
    <row r="1497" spans="1:18" ht="52" hidden="1" x14ac:dyDescent="0.8">
      <c r="A1497" s="247">
        <v>53113</v>
      </c>
      <c r="B1497" s="248" t="s">
        <v>1960</v>
      </c>
      <c r="C1497" s="249" t="s">
        <v>55</v>
      </c>
      <c r="D1497" s="245">
        <v>0</v>
      </c>
      <c r="E1497" s="245">
        <v>0</v>
      </c>
      <c r="F1497" s="245">
        <v>0</v>
      </c>
      <c r="G1497" s="245">
        <v>0</v>
      </c>
      <c r="H1497" s="245">
        <v>0</v>
      </c>
      <c r="I1497" s="245">
        <v>0</v>
      </c>
      <c r="J1497" s="245">
        <v>0</v>
      </c>
      <c r="K1497" s="245">
        <v>0</v>
      </c>
      <c r="L1497" s="245">
        <v>0</v>
      </c>
      <c r="M1497" s="245">
        <v>0</v>
      </c>
      <c r="O1497" s="245" t="s">
        <v>56</v>
      </c>
      <c r="P1497" s="245" t="s">
        <v>96</v>
      </c>
      <c r="Q1497" s="245" t="s">
        <v>96</v>
      </c>
      <c r="R1497" s="246" t="s">
        <v>677</v>
      </c>
    </row>
    <row r="1498" spans="1:18" hidden="1" x14ac:dyDescent="0.8">
      <c r="A1498" s="247">
        <v>53114</v>
      </c>
      <c r="B1498" s="248" t="s">
        <v>1961</v>
      </c>
      <c r="C1498" s="249" t="s">
        <v>452</v>
      </c>
      <c r="D1498" s="245">
        <v>0</v>
      </c>
      <c r="E1498" s="245">
        <v>0</v>
      </c>
      <c r="F1498" s="245">
        <v>0</v>
      </c>
      <c r="G1498" s="245">
        <v>0</v>
      </c>
      <c r="H1498" s="245">
        <v>0</v>
      </c>
      <c r="I1498" s="245">
        <v>7.4999999999999997E-3</v>
      </c>
      <c r="J1498" s="245">
        <v>0</v>
      </c>
      <c r="K1498" s="245">
        <v>0</v>
      </c>
      <c r="L1498" s="245">
        <v>0</v>
      </c>
      <c r="M1498" s="245">
        <v>0</v>
      </c>
      <c r="N1498" s="245">
        <v>0</v>
      </c>
      <c r="O1498" s="245" t="s">
        <v>56</v>
      </c>
      <c r="P1498" s="245" t="s">
        <v>96</v>
      </c>
      <c r="Q1498" s="245" t="s">
        <v>1963</v>
      </c>
      <c r="R1498" s="246" t="s">
        <v>32</v>
      </c>
    </row>
    <row r="1499" spans="1:18" x14ac:dyDescent="0.8">
      <c r="A1499" s="247">
        <v>53114</v>
      </c>
      <c r="B1499" s="248" t="s">
        <v>1961</v>
      </c>
      <c r="C1499" s="249" t="s">
        <v>452</v>
      </c>
      <c r="D1499" s="245">
        <v>0</v>
      </c>
      <c r="E1499" s="245">
        <v>0</v>
      </c>
      <c r="F1499" s="245">
        <v>0</v>
      </c>
      <c r="G1499" s="245">
        <v>0</v>
      </c>
      <c r="H1499" s="245">
        <v>0</v>
      </c>
      <c r="I1499" s="245">
        <v>7.4999999999999997E-3</v>
      </c>
      <c r="J1499" s="245">
        <v>0</v>
      </c>
      <c r="K1499" s="245">
        <v>0</v>
      </c>
      <c r="L1499" s="245">
        <v>0</v>
      </c>
      <c r="M1499" s="245">
        <v>0</v>
      </c>
      <c r="N1499" s="245">
        <v>0</v>
      </c>
      <c r="O1499" s="245" t="s">
        <v>118</v>
      </c>
      <c r="P1499" s="245" t="s">
        <v>96</v>
      </c>
      <c r="Q1499" s="245" t="s">
        <v>1963</v>
      </c>
      <c r="R1499" s="246" t="s">
        <v>32</v>
      </c>
    </row>
    <row r="1500" spans="1:18" hidden="1" x14ac:dyDescent="0.8">
      <c r="A1500" s="247">
        <v>53115</v>
      </c>
      <c r="B1500" s="248" t="s">
        <v>1964</v>
      </c>
      <c r="C1500" s="249" t="s">
        <v>452</v>
      </c>
      <c r="D1500" s="245">
        <v>0</v>
      </c>
      <c r="E1500" s="245">
        <v>400</v>
      </c>
      <c r="F1500" s="245">
        <v>400</v>
      </c>
      <c r="G1500" s="245">
        <v>400</v>
      </c>
      <c r="H1500" s="245">
        <v>1200</v>
      </c>
      <c r="I1500" s="245">
        <v>7.4999999999999997E-3</v>
      </c>
      <c r="J1500" s="245">
        <v>0</v>
      </c>
      <c r="K1500" s="245">
        <v>3</v>
      </c>
      <c r="L1500" s="245">
        <v>3</v>
      </c>
      <c r="M1500" s="245">
        <v>3</v>
      </c>
      <c r="N1500" s="245">
        <v>9</v>
      </c>
      <c r="O1500" s="245" t="s">
        <v>56</v>
      </c>
      <c r="P1500" s="245" t="s">
        <v>96</v>
      </c>
      <c r="Q1500" s="245" t="s">
        <v>1963</v>
      </c>
      <c r="R1500" s="246" t="s">
        <v>679</v>
      </c>
    </row>
    <row r="1501" spans="1:18" hidden="1" x14ac:dyDescent="0.8">
      <c r="A1501" s="247">
        <v>53116</v>
      </c>
      <c r="B1501" s="248" t="s">
        <v>1965</v>
      </c>
      <c r="C1501" s="249" t="s">
        <v>452</v>
      </c>
      <c r="D1501" s="245">
        <v>0</v>
      </c>
      <c r="E1501" s="245">
        <v>150</v>
      </c>
      <c r="F1501" s="245">
        <v>150</v>
      </c>
      <c r="G1501" s="245">
        <v>150</v>
      </c>
      <c r="H1501" s="245">
        <v>450</v>
      </c>
      <c r="I1501" s="245">
        <v>7.4999999999999997E-3</v>
      </c>
      <c r="J1501" s="245">
        <v>0</v>
      </c>
      <c r="K1501" s="245">
        <v>1.125</v>
      </c>
      <c r="L1501" s="245">
        <v>1.125</v>
      </c>
      <c r="M1501" s="245">
        <v>1.125</v>
      </c>
      <c r="N1501" s="245">
        <v>3.375</v>
      </c>
      <c r="O1501" s="245" t="s">
        <v>56</v>
      </c>
      <c r="P1501" s="245" t="s">
        <v>96</v>
      </c>
      <c r="Q1501" s="245" t="s">
        <v>1963</v>
      </c>
      <c r="R1501" s="246" t="s">
        <v>677</v>
      </c>
    </row>
    <row r="1502" spans="1:18" ht="26" hidden="1" x14ac:dyDescent="0.8">
      <c r="A1502" s="247">
        <v>53117</v>
      </c>
      <c r="B1502" s="248" t="s">
        <v>1966</v>
      </c>
      <c r="C1502" s="249" t="s">
        <v>301</v>
      </c>
      <c r="D1502" s="245">
        <v>0</v>
      </c>
      <c r="E1502" s="245">
        <v>150</v>
      </c>
      <c r="F1502" s="245">
        <v>150</v>
      </c>
      <c r="G1502" s="245">
        <v>150</v>
      </c>
      <c r="H1502" s="245">
        <v>450</v>
      </c>
      <c r="I1502" s="245">
        <v>0.67666666666666664</v>
      </c>
      <c r="J1502" s="245">
        <v>0</v>
      </c>
      <c r="K1502" s="245">
        <v>101.5</v>
      </c>
      <c r="L1502" s="245">
        <v>101.5</v>
      </c>
      <c r="M1502" s="245">
        <v>101.5</v>
      </c>
      <c r="N1502" s="245">
        <v>304.5</v>
      </c>
      <c r="O1502" s="245" t="s">
        <v>56</v>
      </c>
      <c r="P1502" s="245" t="s">
        <v>96</v>
      </c>
      <c r="Q1502" s="245" t="s">
        <v>96</v>
      </c>
      <c r="R1502" s="246" t="s">
        <v>32</v>
      </c>
    </row>
    <row r="1503" spans="1:18" ht="26" x14ac:dyDescent="0.8">
      <c r="A1503" s="247">
        <v>53117</v>
      </c>
      <c r="B1503" s="248" t="s">
        <v>1966</v>
      </c>
      <c r="C1503" s="249" t="s">
        <v>301</v>
      </c>
      <c r="D1503" s="245">
        <v>0</v>
      </c>
      <c r="E1503" s="245">
        <v>50</v>
      </c>
      <c r="F1503" s="245">
        <v>50</v>
      </c>
      <c r="G1503" s="245">
        <v>50</v>
      </c>
      <c r="H1503" s="245">
        <v>150</v>
      </c>
      <c r="I1503" s="245">
        <v>0.67666666666666664</v>
      </c>
      <c r="J1503" s="245">
        <v>0</v>
      </c>
      <c r="K1503" s="245">
        <v>33.833333333333329</v>
      </c>
      <c r="L1503" s="245">
        <v>33.833333333333329</v>
      </c>
      <c r="M1503" s="245">
        <v>33.833333333333329</v>
      </c>
      <c r="N1503" s="245">
        <v>101.49999999999999</v>
      </c>
      <c r="O1503" s="245" t="s">
        <v>118</v>
      </c>
      <c r="P1503" s="245" t="s">
        <v>96</v>
      </c>
      <c r="Q1503" s="245" t="s">
        <v>96</v>
      </c>
      <c r="R1503" s="246" t="s">
        <v>32</v>
      </c>
    </row>
    <row r="1504" spans="1:18" ht="26" hidden="1" x14ac:dyDescent="0.8">
      <c r="A1504" s="247">
        <v>53118</v>
      </c>
      <c r="B1504" s="248" t="s">
        <v>1966</v>
      </c>
      <c r="C1504" s="249" t="s">
        <v>38</v>
      </c>
      <c r="D1504" s="245">
        <v>0</v>
      </c>
      <c r="E1504" s="245">
        <v>37.5</v>
      </c>
      <c r="F1504" s="245">
        <v>37.5</v>
      </c>
      <c r="G1504" s="245">
        <v>37.5</v>
      </c>
      <c r="H1504" s="245">
        <v>112.5</v>
      </c>
      <c r="I1504" s="245">
        <v>0.3133333333333333</v>
      </c>
      <c r="J1504" s="245">
        <v>0</v>
      </c>
      <c r="K1504" s="245">
        <v>11.749999999999998</v>
      </c>
      <c r="L1504" s="245">
        <v>11.749999999999998</v>
      </c>
      <c r="M1504" s="245">
        <v>11.749999999999998</v>
      </c>
      <c r="N1504" s="245">
        <v>35.249999999999993</v>
      </c>
      <c r="O1504" s="245" t="s">
        <v>56</v>
      </c>
      <c r="P1504" s="245" t="s">
        <v>96</v>
      </c>
      <c r="Q1504" s="245" t="s">
        <v>96</v>
      </c>
      <c r="R1504" s="246" t="s">
        <v>679</v>
      </c>
    </row>
    <row r="1505" spans="1:18" ht="26" x14ac:dyDescent="0.8">
      <c r="A1505" s="247">
        <v>53118</v>
      </c>
      <c r="B1505" s="248" t="s">
        <v>1966</v>
      </c>
      <c r="C1505" s="249" t="s">
        <v>38</v>
      </c>
      <c r="D1505" s="245">
        <v>0</v>
      </c>
      <c r="E1505" s="245">
        <v>12.5</v>
      </c>
      <c r="F1505" s="245">
        <v>12.5</v>
      </c>
      <c r="G1505" s="245">
        <v>12.5</v>
      </c>
      <c r="H1505" s="245">
        <v>37.5</v>
      </c>
      <c r="I1505" s="245">
        <v>0.3133333333333333</v>
      </c>
      <c r="J1505" s="245">
        <v>0</v>
      </c>
      <c r="K1505" s="245">
        <v>3.9166666666666661</v>
      </c>
      <c r="L1505" s="245">
        <v>3.9166666666666661</v>
      </c>
      <c r="M1505" s="245">
        <v>3.9166666666666661</v>
      </c>
      <c r="N1505" s="245">
        <v>11.749999999999998</v>
      </c>
      <c r="O1505" s="245" t="s">
        <v>118</v>
      </c>
      <c r="P1505" s="245" t="s">
        <v>96</v>
      </c>
      <c r="Q1505" s="245" t="s">
        <v>96</v>
      </c>
      <c r="R1505" s="246" t="s">
        <v>679</v>
      </c>
    </row>
    <row r="1506" spans="1:18" ht="26" hidden="1" x14ac:dyDescent="0.8">
      <c r="A1506" s="247">
        <v>53119</v>
      </c>
      <c r="B1506" s="248" t="s">
        <v>1966</v>
      </c>
      <c r="C1506" s="249" t="s">
        <v>38</v>
      </c>
      <c r="D1506" s="245">
        <v>0</v>
      </c>
      <c r="E1506" s="245">
        <v>37.5</v>
      </c>
      <c r="F1506" s="245">
        <v>37.5</v>
      </c>
      <c r="G1506" s="245">
        <v>37.5</v>
      </c>
      <c r="H1506" s="245">
        <v>112.5</v>
      </c>
      <c r="I1506" s="245">
        <v>0.3133333333333333</v>
      </c>
      <c r="J1506" s="245">
        <v>0</v>
      </c>
      <c r="K1506" s="245">
        <v>11.749999999999998</v>
      </c>
      <c r="L1506" s="245">
        <v>11.749999999999998</v>
      </c>
      <c r="M1506" s="245">
        <v>11.749999999999998</v>
      </c>
      <c r="N1506" s="245">
        <v>35.249999999999993</v>
      </c>
      <c r="O1506" s="245" t="s">
        <v>56</v>
      </c>
      <c r="P1506" s="245" t="s">
        <v>96</v>
      </c>
      <c r="Q1506" s="245" t="s">
        <v>96</v>
      </c>
      <c r="R1506" s="246" t="s">
        <v>677</v>
      </c>
    </row>
    <row r="1507" spans="1:18" ht="26" x14ac:dyDescent="0.8">
      <c r="A1507" s="247">
        <v>53119</v>
      </c>
      <c r="B1507" s="248" t="s">
        <v>1966</v>
      </c>
      <c r="C1507" s="249" t="s">
        <v>38</v>
      </c>
      <c r="D1507" s="245">
        <v>0</v>
      </c>
      <c r="E1507" s="245">
        <v>12.5</v>
      </c>
      <c r="F1507" s="245">
        <v>12.5</v>
      </c>
      <c r="G1507" s="245">
        <v>12.5</v>
      </c>
      <c r="H1507" s="245">
        <v>37.5</v>
      </c>
      <c r="I1507" s="245">
        <v>0.3133333333333333</v>
      </c>
      <c r="J1507" s="245">
        <v>0</v>
      </c>
      <c r="K1507" s="245">
        <v>3.9166666666666661</v>
      </c>
      <c r="L1507" s="245">
        <v>3.9166666666666661</v>
      </c>
      <c r="M1507" s="245">
        <v>3.9166666666666661</v>
      </c>
      <c r="N1507" s="245">
        <v>11.749999999999998</v>
      </c>
      <c r="O1507" s="245" t="s">
        <v>118</v>
      </c>
      <c r="P1507" s="245" t="s">
        <v>96</v>
      </c>
      <c r="Q1507" s="245" t="s">
        <v>96</v>
      </c>
      <c r="R1507" s="246" t="s">
        <v>677</v>
      </c>
    </row>
    <row r="1508" spans="1:18" x14ac:dyDescent="0.8">
      <c r="A1508" s="247">
        <v>531110</v>
      </c>
      <c r="B1508" s="248" t="s">
        <v>1967</v>
      </c>
      <c r="C1508" s="249" t="s">
        <v>1969</v>
      </c>
      <c r="D1508" s="245">
        <v>0</v>
      </c>
      <c r="E1508" s="245">
        <v>0</v>
      </c>
      <c r="F1508" s="245">
        <v>0</v>
      </c>
      <c r="G1508" s="245">
        <v>0</v>
      </c>
      <c r="H1508" s="245">
        <v>0</v>
      </c>
      <c r="I1508" s="245">
        <v>9.4999999999999998E-3</v>
      </c>
      <c r="J1508" s="245">
        <v>0</v>
      </c>
      <c r="K1508" s="245">
        <v>0</v>
      </c>
      <c r="L1508" s="245">
        <v>0</v>
      </c>
      <c r="M1508" s="245">
        <v>0</v>
      </c>
      <c r="N1508" s="245">
        <v>0</v>
      </c>
      <c r="O1508" s="245" t="s">
        <v>118</v>
      </c>
      <c r="P1508" s="245" t="s">
        <v>96</v>
      </c>
      <c r="Q1508" s="245" t="s">
        <v>96</v>
      </c>
      <c r="R1508" s="246" t="s">
        <v>32</v>
      </c>
    </row>
    <row r="1509" spans="1:18" hidden="1" x14ac:dyDescent="0.8">
      <c r="A1509" s="247">
        <v>531111</v>
      </c>
      <c r="B1509" s="248" t="s">
        <v>1967</v>
      </c>
      <c r="C1509" s="249" t="s">
        <v>59</v>
      </c>
      <c r="D1509" s="245">
        <v>0</v>
      </c>
      <c r="E1509" s="245">
        <v>180</v>
      </c>
      <c r="F1509" s="245">
        <v>180</v>
      </c>
      <c r="G1509" s="245">
        <v>180</v>
      </c>
      <c r="H1509" s="245">
        <v>540</v>
      </c>
      <c r="I1509" s="245">
        <v>0.8177777777777776</v>
      </c>
      <c r="J1509" s="245">
        <v>0</v>
      </c>
      <c r="K1509" s="245">
        <v>147.19999999999996</v>
      </c>
      <c r="L1509" s="245">
        <v>147.19999999999996</v>
      </c>
      <c r="M1509" s="245">
        <v>147.19999999999996</v>
      </c>
      <c r="N1509" s="245">
        <v>441.59999999999991</v>
      </c>
      <c r="O1509" s="245" t="s">
        <v>56</v>
      </c>
      <c r="P1509" s="245" t="s">
        <v>96</v>
      </c>
      <c r="Q1509" s="245" t="s">
        <v>96</v>
      </c>
      <c r="R1509" s="246" t="s">
        <v>679</v>
      </c>
    </row>
    <row r="1510" spans="1:18" x14ac:dyDescent="0.8">
      <c r="A1510" s="247">
        <v>531111</v>
      </c>
      <c r="B1510" s="248" t="s">
        <v>1967</v>
      </c>
      <c r="C1510" s="249" t="s">
        <v>59</v>
      </c>
      <c r="D1510" s="245">
        <v>0</v>
      </c>
      <c r="E1510" s="245">
        <v>60</v>
      </c>
      <c r="F1510" s="245">
        <v>60</v>
      </c>
      <c r="G1510" s="245">
        <v>60</v>
      </c>
      <c r="H1510" s="245">
        <v>180</v>
      </c>
      <c r="I1510" s="245">
        <v>0.8177777777777776</v>
      </c>
      <c r="J1510" s="245">
        <v>0</v>
      </c>
      <c r="K1510" s="245">
        <v>49.066666666666656</v>
      </c>
      <c r="L1510" s="245">
        <v>49.066666666666656</v>
      </c>
      <c r="M1510" s="245">
        <v>49.066666666666656</v>
      </c>
      <c r="N1510" s="245">
        <v>147.19999999999996</v>
      </c>
      <c r="O1510" s="245" t="s">
        <v>118</v>
      </c>
      <c r="P1510" s="245" t="s">
        <v>96</v>
      </c>
      <c r="Q1510" s="245" t="s">
        <v>96</v>
      </c>
      <c r="R1510" s="246" t="s">
        <v>679</v>
      </c>
    </row>
    <row r="1511" spans="1:18" ht="39" x14ac:dyDescent="0.8">
      <c r="A1511" s="247">
        <v>53</v>
      </c>
      <c r="B1511" s="248" t="s">
        <v>1957</v>
      </c>
      <c r="D1511" s="245">
        <v>0</v>
      </c>
    </row>
    <row r="1512" spans="1:18" ht="39" x14ac:dyDescent="0.8">
      <c r="A1512" s="247">
        <v>531</v>
      </c>
      <c r="B1512" s="248" t="s">
        <v>1958</v>
      </c>
      <c r="D1512" s="245">
        <v>0</v>
      </c>
    </row>
    <row r="1513" spans="1:18" x14ac:dyDescent="0.8">
      <c r="A1513" s="247">
        <v>5311</v>
      </c>
      <c r="B1513" s="248" t="s">
        <v>1959</v>
      </c>
      <c r="D1513" s="245">
        <v>0</v>
      </c>
    </row>
    <row r="1514" spans="1:18" x14ac:dyDescent="0.8">
      <c r="A1514" s="247">
        <v>531112</v>
      </c>
      <c r="B1514" s="248" t="s">
        <v>1967</v>
      </c>
      <c r="C1514" s="249" t="s">
        <v>59</v>
      </c>
      <c r="D1514" s="245">
        <v>0</v>
      </c>
      <c r="H1514" s="245">
        <v>0</v>
      </c>
      <c r="I1514" s="245">
        <v>0.8177777777777776</v>
      </c>
      <c r="J1514" s="245">
        <v>0</v>
      </c>
      <c r="K1514" s="245">
        <v>0</v>
      </c>
      <c r="L1514" s="245">
        <v>0</v>
      </c>
      <c r="M1514" s="245">
        <v>0</v>
      </c>
      <c r="N1514" s="245">
        <v>0</v>
      </c>
      <c r="O1514" s="245" t="s">
        <v>1971</v>
      </c>
      <c r="P1514" s="245" t="s">
        <v>96</v>
      </c>
      <c r="Q1514" s="245" t="s">
        <v>96</v>
      </c>
      <c r="R1514" s="246" t="s">
        <v>677</v>
      </c>
    </row>
    <row r="1515" spans="1:18" hidden="1" x14ac:dyDescent="0.8">
      <c r="A1515" s="247">
        <v>531112</v>
      </c>
      <c r="B1515" s="248" t="s">
        <v>1967</v>
      </c>
      <c r="C1515" s="249" t="s">
        <v>59</v>
      </c>
      <c r="D1515" s="245">
        <v>0</v>
      </c>
      <c r="E1515" s="245">
        <v>120</v>
      </c>
      <c r="F1515" s="245">
        <v>120</v>
      </c>
      <c r="G1515" s="245">
        <v>120</v>
      </c>
      <c r="H1515" s="245">
        <v>360</v>
      </c>
      <c r="I1515" s="245">
        <v>0.8177777777777776</v>
      </c>
      <c r="J1515" s="245">
        <v>0</v>
      </c>
      <c r="K1515" s="245">
        <v>98.133333333333312</v>
      </c>
      <c r="L1515" s="245">
        <v>98.133333333333312</v>
      </c>
      <c r="M1515" s="245">
        <v>98.133333333333312</v>
      </c>
      <c r="N1515" s="245">
        <v>294.39999999999992</v>
      </c>
      <c r="O1515" s="245" t="s">
        <v>169</v>
      </c>
      <c r="P1515" s="245" t="s">
        <v>96</v>
      </c>
      <c r="Q1515" s="245" t="s">
        <v>96</v>
      </c>
      <c r="R1515" s="246" t="s">
        <v>677</v>
      </c>
    </row>
    <row r="1516" spans="1:18" ht="26" hidden="1" x14ac:dyDescent="0.8">
      <c r="A1516" s="247">
        <v>531113</v>
      </c>
      <c r="B1516" s="248" t="s">
        <v>1972</v>
      </c>
      <c r="C1516" s="249" t="s">
        <v>1974</v>
      </c>
      <c r="D1516" s="245">
        <v>0</v>
      </c>
      <c r="E1516" s="245">
        <v>46</v>
      </c>
      <c r="F1516" s="245">
        <v>0</v>
      </c>
      <c r="G1516" s="245">
        <v>0</v>
      </c>
      <c r="H1516" s="245">
        <v>46</v>
      </c>
      <c r="I1516" s="245">
        <v>57</v>
      </c>
      <c r="J1516" s="245">
        <v>0</v>
      </c>
      <c r="K1516" s="245">
        <v>2622</v>
      </c>
      <c r="L1516" s="245">
        <v>0</v>
      </c>
      <c r="M1516" s="245">
        <v>0</v>
      </c>
      <c r="N1516" s="245">
        <v>2622</v>
      </c>
      <c r="O1516" s="245" t="s">
        <v>56</v>
      </c>
      <c r="P1516" s="245" t="s">
        <v>96</v>
      </c>
      <c r="Q1516" s="245" t="s">
        <v>521</v>
      </c>
      <c r="R1516" s="246" t="s">
        <v>32</v>
      </c>
    </row>
    <row r="1517" spans="1:18" x14ac:dyDescent="0.8">
      <c r="A1517" s="247">
        <v>531114</v>
      </c>
      <c r="B1517" s="248" t="s">
        <v>1975</v>
      </c>
      <c r="C1517" s="249" t="s">
        <v>974</v>
      </c>
      <c r="D1517" s="245">
        <v>0</v>
      </c>
      <c r="E1517" s="245">
        <v>56</v>
      </c>
      <c r="F1517" s="245">
        <v>0</v>
      </c>
      <c r="G1517" s="245">
        <v>0</v>
      </c>
      <c r="H1517" s="245">
        <v>56</v>
      </c>
      <c r="I1517" s="245">
        <v>6.333333333333333</v>
      </c>
      <c r="J1517" s="245">
        <v>0</v>
      </c>
      <c r="K1517" s="245">
        <v>354.66666666666663</v>
      </c>
      <c r="L1517" s="245">
        <v>0</v>
      </c>
      <c r="M1517" s="245">
        <v>0</v>
      </c>
      <c r="N1517" s="245">
        <v>354.66666666666663</v>
      </c>
      <c r="O1517" s="245" t="s">
        <v>39</v>
      </c>
      <c r="P1517" s="245" t="s">
        <v>96</v>
      </c>
      <c r="Q1517" s="245" t="s">
        <v>1976</v>
      </c>
      <c r="R1517" s="246" t="s">
        <v>32</v>
      </c>
    </row>
    <row r="1518" spans="1:18" ht="26" x14ac:dyDescent="0.8">
      <c r="A1518" s="247">
        <v>531115</v>
      </c>
      <c r="B1518" s="248" t="s">
        <v>1977</v>
      </c>
      <c r="C1518" s="249" t="s">
        <v>1906</v>
      </c>
      <c r="D1518" s="245">
        <v>1</v>
      </c>
      <c r="E1518" s="245">
        <v>1.05</v>
      </c>
      <c r="F1518" s="245">
        <v>1.1025</v>
      </c>
      <c r="G1518" s="245">
        <v>1.1576250000000001</v>
      </c>
      <c r="H1518" s="245">
        <v>4.3101250000000002</v>
      </c>
      <c r="I1518" s="245">
        <v>0.01</v>
      </c>
      <c r="J1518" s="245">
        <v>0.01</v>
      </c>
      <c r="K1518" s="245">
        <v>1.0500000000000001E-2</v>
      </c>
      <c r="L1518" s="245">
        <v>1.1025E-2</v>
      </c>
      <c r="M1518" s="245">
        <v>1.1576250000000001E-2</v>
      </c>
      <c r="N1518" s="245">
        <v>4.3101250000000001E-2</v>
      </c>
      <c r="O1518" s="245" t="s">
        <v>67</v>
      </c>
      <c r="P1518" s="245" t="s">
        <v>96</v>
      </c>
      <c r="Q1518" s="245" t="s">
        <v>96</v>
      </c>
      <c r="R1518" s="246" t="s">
        <v>32</v>
      </c>
    </row>
    <row r="1519" spans="1:18" hidden="1" x14ac:dyDescent="0.8">
      <c r="A1519" s="247">
        <v>531116</v>
      </c>
      <c r="B1519" s="248" t="s">
        <v>1978</v>
      </c>
      <c r="C1519" s="249" t="s">
        <v>66</v>
      </c>
      <c r="D1519" s="245">
        <v>0</v>
      </c>
      <c r="E1519" s="245">
        <v>187.5</v>
      </c>
      <c r="F1519" s="245">
        <v>187.5</v>
      </c>
      <c r="G1519" s="245">
        <v>187.5</v>
      </c>
      <c r="H1519" s="245">
        <v>562.5</v>
      </c>
      <c r="I1519" s="245">
        <v>0.255</v>
      </c>
      <c r="J1519" s="245">
        <v>0</v>
      </c>
      <c r="K1519" s="245">
        <v>47.8125</v>
      </c>
      <c r="L1519" s="245">
        <v>47.8125</v>
      </c>
      <c r="M1519" s="245">
        <v>47.8125</v>
      </c>
      <c r="N1519" s="245">
        <v>143.4375</v>
      </c>
      <c r="O1519" s="245" t="s">
        <v>56</v>
      </c>
      <c r="P1519" s="245" t="s">
        <v>96</v>
      </c>
      <c r="Q1519" s="245" t="s">
        <v>96</v>
      </c>
      <c r="R1519" s="246" t="s">
        <v>679</v>
      </c>
    </row>
    <row r="1520" spans="1:18" x14ac:dyDescent="0.8">
      <c r="A1520" s="247">
        <v>531116</v>
      </c>
      <c r="B1520" s="248" t="s">
        <v>1978</v>
      </c>
      <c r="C1520" s="249" t="s">
        <v>66</v>
      </c>
      <c r="D1520" s="245">
        <v>0</v>
      </c>
      <c r="E1520" s="245">
        <v>62.5</v>
      </c>
      <c r="F1520" s="245">
        <v>62.5</v>
      </c>
      <c r="G1520" s="245">
        <v>62.5</v>
      </c>
      <c r="H1520" s="245">
        <v>187.5</v>
      </c>
      <c r="I1520" s="245">
        <v>0.255</v>
      </c>
      <c r="J1520" s="245">
        <v>0</v>
      </c>
      <c r="K1520" s="245">
        <v>15.9375</v>
      </c>
      <c r="L1520" s="245">
        <v>15.9375</v>
      </c>
      <c r="M1520" s="245">
        <v>15.9375</v>
      </c>
      <c r="N1520" s="245">
        <v>47.8125</v>
      </c>
      <c r="O1520" s="245" t="s">
        <v>118</v>
      </c>
      <c r="P1520" s="245" t="s">
        <v>96</v>
      </c>
      <c r="Q1520" s="245" t="s">
        <v>96</v>
      </c>
      <c r="R1520" s="246" t="s">
        <v>679</v>
      </c>
    </row>
    <row r="1521" spans="1:18" hidden="1" x14ac:dyDescent="0.8">
      <c r="A1521" s="247">
        <v>531117</v>
      </c>
      <c r="B1521" s="248" t="s">
        <v>1980</v>
      </c>
      <c r="C1521" s="249" t="s">
        <v>66</v>
      </c>
      <c r="D1521" s="245">
        <v>0</v>
      </c>
      <c r="E1521" s="245">
        <v>112.5</v>
      </c>
      <c r="F1521" s="245">
        <v>112.5</v>
      </c>
      <c r="G1521" s="245">
        <v>112.5</v>
      </c>
      <c r="H1521" s="245">
        <v>337.5</v>
      </c>
      <c r="I1521" s="245">
        <v>0.255</v>
      </c>
      <c r="J1521" s="245">
        <v>0</v>
      </c>
      <c r="K1521" s="245">
        <v>28.6875</v>
      </c>
      <c r="L1521" s="245">
        <v>28.6875</v>
      </c>
      <c r="M1521" s="245">
        <v>28.6875</v>
      </c>
      <c r="N1521" s="245">
        <v>86.0625</v>
      </c>
      <c r="O1521" s="245" t="s">
        <v>56</v>
      </c>
      <c r="P1521" s="245" t="s">
        <v>96</v>
      </c>
      <c r="Q1521" s="245" t="s">
        <v>96</v>
      </c>
      <c r="R1521" s="246" t="s">
        <v>677</v>
      </c>
    </row>
    <row r="1522" spans="1:18" x14ac:dyDescent="0.8">
      <c r="A1522" s="247">
        <v>531117</v>
      </c>
      <c r="B1522" s="248" t="s">
        <v>1980</v>
      </c>
      <c r="C1522" s="249" t="s">
        <v>66</v>
      </c>
      <c r="D1522" s="245">
        <v>0</v>
      </c>
      <c r="E1522" s="245">
        <v>37.5</v>
      </c>
      <c r="F1522" s="245">
        <v>37.5</v>
      </c>
      <c r="G1522" s="245">
        <v>37.5</v>
      </c>
      <c r="H1522" s="245">
        <v>112.5</v>
      </c>
      <c r="I1522" s="245">
        <v>0.255</v>
      </c>
      <c r="J1522" s="245">
        <v>0</v>
      </c>
      <c r="K1522" s="245">
        <v>9.5625</v>
      </c>
      <c r="L1522" s="245">
        <v>9.5625</v>
      </c>
      <c r="M1522" s="245">
        <v>9.5625</v>
      </c>
      <c r="N1522" s="245">
        <v>28.6875</v>
      </c>
      <c r="O1522" s="245" t="s">
        <v>118</v>
      </c>
      <c r="P1522" s="245" t="s">
        <v>96</v>
      </c>
      <c r="Q1522" s="245" t="s">
        <v>96</v>
      </c>
      <c r="R1522" s="246" t="s">
        <v>677</v>
      </c>
    </row>
    <row r="1523" spans="1:18" x14ac:dyDescent="0.8">
      <c r="A1523" s="247">
        <v>531118</v>
      </c>
      <c r="B1523" s="248" t="s">
        <v>1981</v>
      </c>
      <c r="C1523" s="249" t="s">
        <v>59</v>
      </c>
      <c r="D1523" s="245">
        <v>0</v>
      </c>
      <c r="H1523" s="245">
        <v>0</v>
      </c>
      <c r="I1523" s="245">
        <v>0.8177777777777776</v>
      </c>
      <c r="J1523" s="245">
        <v>0</v>
      </c>
      <c r="K1523" s="245">
        <v>0</v>
      </c>
      <c r="L1523" s="245">
        <v>0</v>
      </c>
      <c r="M1523" s="245">
        <v>0</v>
      </c>
      <c r="N1523" s="245">
        <v>0</v>
      </c>
      <c r="O1523" s="245" t="s">
        <v>118</v>
      </c>
      <c r="P1523" s="245" t="s">
        <v>96</v>
      </c>
      <c r="Q1523" s="245" t="s">
        <v>96</v>
      </c>
      <c r="R1523" s="246" t="s">
        <v>32</v>
      </c>
    </row>
    <row r="1524" spans="1:18" hidden="1" x14ac:dyDescent="0.8">
      <c r="A1524" s="247">
        <v>531118</v>
      </c>
      <c r="B1524" s="248" t="s">
        <v>1981</v>
      </c>
      <c r="C1524" s="249" t="s">
        <v>59</v>
      </c>
      <c r="D1524" s="245">
        <v>0</v>
      </c>
      <c r="E1524" s="245">
        <v>160</v>
      </c>
      <c r="F1524" s="245">
        <v>160</v>
      </c>
      <c r="G1524" s="245">
        <v>160</v>
      </c>
      <c r="H1524" s="245">
        <v>480</v>
      </c>
      <c r="I1524" s="245">
        <v>0.8177777777777776</v>
      </c>
      <c r="J1524" s="245">
        <v>0</v>
      </c>
      <c r="K1524" s="245">
        <v>130.84444444444441</v>
      </c>
      <c r="L1524" s="245">
        <v>130.84444444444441</v>
      </c>
      <c r="M1524" s="245">
        <v>130.84444444444441</v>
      </c>
      <c r="N1524" s="245">
        <v>392.53333333333319</v>
      </c>
      <c r="O1524" s="245" t="s">
        <v>169</v>
      </c>
      <c r="P1524" s="245" t="s">
        <v>96</v>
      </c>
      <c r="Q1524" s="245" t="s">
        <v>96</v>
      </c>
      <c r="R1524" s="246" t="s">
        <v>32</v>
      </c>
    </row>
    <row r="1525" spans="1:18" hidden="1" x14ac:dyDescent="0.8">
      <c r="A1525" s="247">
        <v>531119</v>
      </c>
      <c r="B1525" s="248" t="s">
        <v>1981</v>
      </c>
      <c r="C1525" s="249" t="s">
        <v>59</v>
      </c>
      <c r="D1525" s="245">
        <v>0</v>
      </c>
      <c r="E1525" s="245">
        <v>40</v>
      </c>
      <c r="F1525" s="245">
        <v>40</v>
      </c>
      <c r="G1525" s="245">
        <v>40</v>
      </c>
      <c r="H1525" s="245">
        <v>120</v>
      </c>
      <c r="I1525" s="245">
        <v>0.8177777777777776</v>
      </c>
      <c r="J1525" s="245">
        <v>0</v>
      </c>
      <c r="K1525" s="245">
        <v>32.711111111111101</v>
      </c>
      <c r="L1525" s="245">
        <v>32.711111111111101</v>
      </c>
      <c r="M1525" s="245">
        <v>32.711111111111101</v>
      </c>
      <c r="N1525" s="245">
        <v>98.133333333333297</v>
      </c>
      <c r="O1525" s="245" t="s">
        <v>56</v>
      </c>
      <c r="P1525" s="245" t="s">
        <v>96</v>
      </c>
      <c r="Q1525" s="245" t="s">
        <v>96</v>
      </c>
      <c r="R1525" s="246" t="s">
        <v>679</v>
      </c>
    </row>
    <row r="1526" spans="1:18" hidden="1" x14ac:dyDescent="0.8">
      <c r="A1526" s="247">
        <v>531120</v>
      </c>
      <c r="B1526" s="248" t="s">
        <v>1981</v>
      </c>
      <c r="C1526" s="249" t="s">
        <v>59</v>
      </c>
      <c r="D1526" s="245">
        <v>0</v>
      </c>
      <c r="E1526" s="245">
        <v>112</v>
      </c>
      <c r="F1526" s="245">
        <v>112</v>
      </c>
      <c r="G1526" s="245">
        <v>112</v>
      </c>
      <c r="H1526" s="245">
        <v>336</v>
      </c>
      <c r="I1526" s="245">
        <v>0.8177777777777776</v>
      </c>
      <c r="J1526" s="245">
        <v>0</v>
      </c>
      <c r="K1526" s="245">
        <v>91.59111111111109</v>
      </c>
      <c r="L1526" s="245">
        <v>91.59111111111109</v>
      </c>
      <c r="M1526" s="245">
        <v>91.59111111111109</v>
      </c>
      <c r="N1526" s="245">
        <v>274.77333333333326</v>
      </c>
      <c r="O1526" s="245" t="s">
        <v>56</v>
      </c>
      <c r="P1526" s="245" t="s">
        <v>96</v>
      </c>
      <c r="Q1526" s="245" t="s">
        <v>96</v>
      </c>
      <c r="R1526" s="246" t="s">
        <v>677</v>
      </c>
    </row>
    <row r="1527" spans="1:18" ht="26" x14ac:dyDescent="0.8">
      <c r="A1527" s="247">
        <v>531121</v>
      </c>
      <c r="B1527" s="248" t="s">
        <v>1982</v>
      </c>
      <c r="C1527" s="249" t="s">
        <v>66</v>
      </c>
      <c r="D1527" s="245">
        <v>0</v>
      </c>
      <c r="H1527" s="245">
        <v>0</v>
      </c>
      <c r="I1527" s="245">
        <v>0.255</v>
      </c>
      <c r="J1527" s="245">
        <v>0</v>
      </c>
      <c r="K1527" s="245">
        <v>0</v>
      </c>
      <c r="L1527" s="245">
        <v>0</v>
      </c>
      <c r="M1527" s="245">
        <v>0</v>
      </c>
      <c r="N1527" s="245">
        <v>0</v>
      </c>
      <c r="O1527" s="245" t="s">
        <v>118</v>
      </c>
      <c r="P1527" s="245" t="s">
        <v>96</v>
      </c>
      <c r="Q1527" s="245" t="s">
        <v>96</v>
      </c>
      <c r="R1527" s="246" t="s">
        <v>32</v>
      </c>
    </row>
    <row r="1528" spans="1:18" ht="26" hidden="1" x14ac:dyDescent="0.8">
      <c r="A1528" s="247">
        <v>531121</v>
      </c>
      <c r="B1528" s="248" t="s">
        <v>1982</v>
      </c>
      <c r="C1528" s="249" t="s">
        <v>66</v>
      </c>
      <c r="D1528" s="245">
        <v>0</v>
      </c>
      <c r="E1528" s="245">
        <v>321</v>
      </c>
      <c r="F1528" s="245">
        <v>321</v>
      </c>
      <c r="G1528" s="245">
        <v>321</v>
      </c>
      <c r="H1528" s="245">
        <v>963</v>
      </c>
      <c r="I1528" s="245">
        <v>0.255</v>
      </c>
      <c r="J1528" s="245">
        <v>0</v>
      </c>
      <c r="K1528" s="245">
        <v>81.855000000000004</v>
      </c>
      <c r="L1528" s="245">
        <v>81.855000000000004</v>
      </c>
      <c r="M1528" s="245">
        <v>81.855000000000004</v>
      </c>
      <c r="N1528" s="245">
        <v>245.565</v>
      </c>
      <c r="O1528" s="245" t="s">
        <v>169</v>
      </c>
      <c r="P1528" s="245" t="s">
        <v>96</v>
      </c>
      <c r="Q1528" s="245" t="s">
        <v>96</v>
      </c>
      <c r="R1528" s="246" t="s">
        <v>32</v>
      </c>
    </row>
    <row r="1529" spans="1:18" ht="26" x14ac:dyDescent="0.8">
      <c r="A1529" s="247">
        <v>531122</v>
      </c>
      <c r="B1529" s="248" t="s">
        <v>1983</v>
      </c>
      <c r="C1529" s="249" t="s">
        <v>66</v>
      </c>
      <c r="D1529" s="245">
        <v>0</v>
      </c>
      <c r="H1529" s="245">
        <v>0</v>
      </c>
      <c r="I1529" s="245">
        <v>0.255</v>
      </c>
      <c r="J1529" s="245">
        <v>0</v>
      </c>
      <c r="K1529" s="245">
        <v>0</v>
      </c>
      <c r="L1529" s="245">
        <v>0</v>
      </c>
      <c r="M1529" s="245">
        <v>0</v>
      </c>
      <c r="N1529" s="245">
        <v>0</v>
      </c>
      <c r="O1529" s="245" t="s">
        <v>118</v>
      </c>
      <c r="P1529" s="245" t="s">
        <v>96</v>
      </c>
      <c r="Q1529" s="245" t="s">
        <v>96</v>
      </c>
      <c r="R1529" s="246" t="s">
        <v>32</v>
      </c>
    </row>
    <row r="1530" spans="1:18" ht="26" hidden="1" x14ac:dyDescent="0.8">
      <c r="A1530" s="247">
        <v>531122</v>
      </c>
      <c r="B1530" s="248" t="s">
        <v>1983</v>
      </c>
      <c r="C1530" s="249" t="s">
        <v>66</v>
      </c>
      <c r="D1530" s="245">
        <v>0</v>
      </c>
      <c r="E1530" s="245">
        <v>100</v>
      </c>
      <c r="F1530" s="245">
        <v>100</v>
      </c>
      <c r="G1530" s="245">
        <v>100</v>
      </c>
      <c r="H1530" s="245">
        <v>300</v>
      </c>
      <c r="I1530" s="245">
        <v>0.255</v>
      </c>
      <c r="J1530" s="245">
        <v>0</v>
      </c>
      <c r="K1530" s="245">
        <v>25.5</v>
      </c>
      <c r="L1530" s="245">
        <v>25.5</v>
      </c>
      <c r="M1530" s="245">
        <v>25.5</v>
      </c>
      <c r="N1530" s="245">
        <v>76.5</v>
      </c>
      <c r="O1530" s="245" t="s">
        <v>169</v>
      </c>
      <c r="P1530" s="245" t="s">
        <v>96</v>
      </c>
      <c r="Q1530" s="245" t="s">
        <v>96</v>
      </c>
      <c r="R1530" s="246" t="s">
        <v>32</v>
      </c>
    </row>
    <row r="1531" spans="1:18" ht="26" hidden="1" x14ac:dyDescent="0.8">
      <c r="A1531" s="247">
        <v>531123</v>
      </c>
      <c r="B1531" s="248" t="s">
        <v>1984</v>
      </c>
      <c r="C1531" s="249" t="s">
        <v>66</v>
      </c>
      <c r="D1531" s="245">
        <v>0</v>
      </c>
      <c r="E1531" s="245">
        <v>100</v>
      </c>
      <c r="F1531" s="245">
        <v>100</v>
      </c>
      <c r="G1531" s="245">
        <v>100</v>
      </c>
      <c r="H1531" s="245">
        <v>300</v>
      </c>
      <c r="I1531" s="245">
        <v>0.255</v>
      </c>
      <c r="J1531" s="245">
        <v>0</v>
      </c>
      <c r="K1531" s="245">
        <v>25.5</v>
      </c>
      <c r="L1531" s="245">
        <v>25.5</v>
      </c>
      <c r="M1531" s="245">
        <v>25.5</v>
      </c>
      <c r="N1531" s="245">
        <v>76.5</v>
      </c>
      <c r="O1531" s="245" t="s">
        <v>56</v>
      </c>
      <c r="P1531" s="245" t="s">
        <v>96</v>
      </c>
      <c r="Q1531" s="245" t="s">
        <v>96</v>
      </c>
      <c r="R1531" s="246" t="s">
        <v>679</v>
      </c>
    </row>
    <row r="1532" spans="1:18" ht="26" hidden="1" x14ac:dyDescent="0.8">
      <c r="A1532" s="247">
        <v>531124</v>
      </c>
      <c r="B1532" s="248" t="s">
        <v>1985</v>
      </c>
      <c r="C1532" s="249" t="s">
        <v>66</v>
      </c>
      <c r="D1532" s="245">
        <v>0</v>
      </c>
      <c r="E1532" s="245">
        <v>100</v>
      </c>
      <c r="F1532" s="245">
        <v>100</v>
      </c>
      <c r="G1532" s="245">
        <v>100</v>
      </c>
      <c r="H1532" s="245">
        <v>300</v>
      </c>
      <c r="I1532" s="245">
        <v>0.255</v>
      </c>
      <c r="J1532" s="245">
        <v>0</v>
      </c>
      <c r="K1532" s="245">
        <v>25.5</v>
      </c>
      <c r="L1532" s="245">
        <v>25.5</v>
      </c>
      <c r="M1532" s="245">
        <v>25.5</v>
      </c>
      <c r="N1532" s="245">
        <v>76.5</v>
      </c>
      <c r="O1532" s="245" t="s">
        <v>56</v>
      </c>
      <c r="P1532" s="245" t="s">
        <v>96</v>
      </c>
      <c r="Q1532" s="245" t="s">
        <v>96</v>
      </c>
      <c r="R1532" s="246" t="s">
        <v>677</v>
      </c>
    </row>
    <row r="1533" spans="1:18" ht="39" hidden="1" x14ac:dyDescent="0.8">
      <c r="A1533" s="247">
        <v>531125</v>
      </c>
      <c r="B1533" s="248" t="s">
        <v>1986</v>
      </c>
      <c r="C1533" s="249" t="s">
        <v>55</v>
      </c>
      <c r="D1533" s="245">
        <v>0</v>
      </c>
      <c r="I1533" s="245">
        <v>0</v>
      </c>
      <c r="O1533" s="245" t="s">
        <v>56</v>
      </c>
      <c r="P1533" s="245" t="s">
        <v>96</v>
      </c>
      <c r="Q1533" s="245" t="s">
        <v>96</v>
      </c>
      <c r="R1533" s="246" t="s">
        <v>32</v>
      </c>
    </row>
    <row r="1534" spans="1:18" ht="26" x14ac:dyDescent="0.8">
      <c r="A1534" s="247">
        <v>5312</v>
      </c>
      <c r="B1534" s="248" t="s">
        <v>1987</v>
      </c>
      <c r="D1534" s="245">
        <v>0</v>
      </c>
    </row>
    <row r="1535" spans="1:18" ht="26" x14ac:dyDescent="0.8">
      <c r="A1535" s="247">
        <v>53121</v>
      </c>
      <c r="B1535" s="248" t="s">
        <v>1988</v>
      </c>
      <c r="C1535" s="249" t="s">
        <v>101</v>
      </c>
      <c r="D1535" s="245">
        <v>0</v>
      </c>
      <c r="E1535" s="245">
        <v>35.829000000000001</v>
      </c>
      <c r="F1535" s="245">
        <v>0</v>
      </c>
      <c r="G1535" s="245">
        <v>0</v>
      </c>
      <c r="H1535" s="245">
        <v>35.829000000000001</v>
      </c>
      <c r="I1535" s="245">
        <v>2.651545</v>
      </c>
      <c r="J1535" s="245">
        <v>0</v>
      </c>
      <c r="K1535" s="245">
        <v>95.002205805000003</v>
      </c>
      <c r="L1535" s="245">
        <v>0</v>
      </c>
      <c r="M1535" s="245">
        <v>0</v>
      </c>
      <c r="N1535" s="245">
        <v>95.002205805000003</v>
      </c>
      <c r="O1535" s="245" t="s">
        <v>67</v>
      </c>
      <c r="P1535" s="245" t="s">
        <v>96</v>
      </c>
      <c r="Q1535" s="245" t="s">
        <v>96</v>
      </c>
      <c r="R1535" s="246" t="s">
        <v>32</v>
      </c>
    </row>
    <row r="1536" spans="1:18" ht="26" x14ac:dyDescent="0.8">
      <c r="A1536" s="247">
        <v>53121</v>
      </c>
      <c r="B1536" s="248" t="s">
        <v>1988</v>
      </c>
      <c r="C1536" s="249" t="s">
        <v>101</v>
      </c>
      <c r="D1536" s="245">
        <v>0</v>
      </c>
      <c r="E1536" s="245">
        <v>9.1709999999999994</v>
      </c>
      <c r="F1536" s="245">
        <v>0</v>
      </c>
      <c r="G1536" s="245">
        <v>0</v>
      </c>
      <c r="H1536" s="245">
        <v>9.1709999999999994</v>
      </c>
      <c r="I1536" s="245">
        <v>2.651545</v>
      </c>
      <c r="J1536" s="245">
        <v>0</v>
      </c>
      <c r="K1536" s="245">
        <v>24.317319195</v>
      </c>
      <c r="L1536" s="245">
        <v>0</v>
      </c>
      <c r="M1536" s="245">
        <v>0</v>
      </c>
      <c r="N1536" s="245">
        <v>24.317319195</v>
      </c>
      <c r="O1536" s="245" t="s">
        <v>118</v>
      </c>
      <c r="P1536" s="245" t="s">
        <v>96</v>
      </c>
      <c r="Q1536" s="245" t="s">
        <v>96</v>
      </c>
      <c r="R1536" s="246" t="s">
        <v>32</v>
      </c>
    </row>
    <row r="1537" spans="1:18" x14ac:dyDescent="0.8">
      <c r="A1537" s="247">
        <v>53122</v>
      </c>
      <c r="B1537" s="248" t="s">
        <v>1989</v>
      </c>
      <c r="C1537" s="249" t="s">
        <v>1636</v>
      </c>
      <c r="D1537" s="245">
        <v>0</v>
      </c>
      <c r="E1537" s="245">
        <v>8654.5</v>
      </c>
      <c r="F1537" s="245">
        <v>0</v>
      </c>
      <c r="G1537" s="245">
        <v>0</v>
      </c>
      <c r="H1537" s="245">
        <v>8654.5</v>
      </c>
      <c r="I1537" s="245">
        <v>3</v>
      </c>
      <c r="J1537" s="245">
        <v>0</v>
      </c>
      <c r="K1537" s="245">
        <v>25963.5</v>
      </c>
      <c r="L1537" s="245">
        <v>0</v>
      </c>
      <c r="M1537" s="245">
        <v>0</v>
      </c>
      <c r="N1537" s="245">
        <v>25963.5</v>
      </c>
      <c r="O1537" s="245" t="s">
        <v>39</v>
      </c>
      <c r="P1537" s="245" t="s">
        <v>96</v>
      </c>
      <c r="Q1537" s="245" t="s">
        <v>1976</v>
      </c>
      <c r="R1537" s="246" t="s">
        <v>32</v>
      </c>
    </row>
    <row r="1538" spans="1:18" x14ac:dyDescent="0.8">
      <c r="A1538" s="247">
        <v>53123</v>
      </c>
      <c r="B1538" s="248" t="s">
        <v>1990</v>
      </c>
      <c r="C1538" s="249" t="s">
        <v>1992</v>
      </c>
      <c r="D1538" s="245">
        <v>0</v>
      </c>
      <c r="E1538" s="245">
        <v>8654.5</v>
      </c>
      <c r="F1538" s="245">
        <v>0</v>
      </c>
      <c r="G1538" s="245">
        <v>0</v>
      </c>
      <c r="H1538" s="245">
        <v>8654.5</v>
      </c>
      <c r="I1538" s="245">
        <v>0.52500000000000002</v>
      </c>
      <c r="J1538" s="245">
        <v>0</v>
      </c>
      <c r="K1538" s="245">
        <v>4543.6125000000002</v>
      </c>
      <c r="L1538" s="245">
        <v>0</v>
      </c>
      <c r="M1538" s="245">
        <v>0</v>
      </c>
      <c r="N1538" s="245">
        <v>4543.6125000000002</v>
      </c>
      <c r="O1538" s="245" t="s">
        <v>39</v>
      </c>
      <c r="P1538" s="245" t="s">
        <v>96</v>
      </c>
      <c r="Q1538" s="245" t="s">
        <v>521</v>
      </c>
      <c r="R1538" s="246" t="s">
        <v>32</v>
      </c>
    </row>
    <row r="1539" spans="1:18" hidden="1" x14ac:dyDescent="0.8">
      <c r="A1539" s="247">
        <v>53124</v>
      </c>
      <c r="B1539" s="248" t="s">
        <v>1993</v>
      </c>
      <c r="C1539" s="249" t="s">
        <v>1994</v>
      </c>
      <c r="D1539" s="245">
        <v>0</v>
      </c>
      <c r="E1539" s="245">
        <v>1</v>
      </c>
      <c r="F1539" s="245">
        <v>1</v>
      </c>
      <c r="G1539" s="245">
        <v>1</v>
      </c>
      <c r="H1539" s="245">
        <v>3</v>
      </c>
      <c r="I1539" s="245">
        <v>40</v>
      </c>
      <c r="J1539" s="245">
        <v>0</v>
      </c>
      <c r="K1539" s="245">
        <v>40</v>
      </c>
      <c r="L1539" s="245">
        <v>40</v>
      </c>
      <c r="M1539" s="245">
        <v>40</v>
      </c>
      <c r="N1539" s="245">
        <v>120</v>
      </c>
      <c r="O1539" s="245" t="s">
        <v>56</v>
      </c>
      <c r="P1539" s="245" t="s">
        <v>96</v>
      </c>
      <c r="Q1539" s="245" t="s">
        <v>521</v>
      </c>
      <c r="R1539" s="246" t="s">
        <v>32</v>
      </c>
    </row>
    <row r="1540" spans="1:18" hidden="1" x14ac:dyDescent="0.8">
      <c r="A1540" s="247">
        <v>53125</v>
      </c>
      <c r="B1540" s="248" t="s">
        <v>1995</v>
      </c>
      <c r="C1540" s="249" t="s">
        <v>1997</v>
      </c>
      <c r="D1540" s="245">
        <v>0</v>
      </c>
      <c r="E1540" s="245">
        <v>1</v>
      </c>
      <c r="F1540" s="245">
        <v>1</v>
      </c>
      <c r="G1540" s="245">
        <v>1</v>
      </c>
      <c r="H1540" s="245">
        <v>3</v>
      </c>
      <c r="I1540" s="245">
        <v>24</v>
      </c>
      <c r="J1540" s="245">
        <v>0</v>
      </c>
      <c r="K1540" s="245">
        <v>24</v>
      </c>
      <c r="L1540" s="245">
        <v>24</v>
      </c>
      <c r="M1540" s="245">
        <v>24</v>
      </c>
      <c r="N1540" s="245">
        <v>72</v>
      </c>
      <c r="O1540" s="245" t="s">
        <v>56</v>
      </c>
      <c r="P1540" s="245" t="s">
        <v>96</v>
      </c>
      <c r="Q1540" s="245" t="s">
        <v>521</v>
      </c>
      <c r="R1540" s="246" t="s">
        <v>32</v>
      </c>
    </row>
    <row r="1541" spans="1:18" ht="26" x14ac:dyDescent="0.8">
      <c r="A1541" s="247">
        <v>53126</v>
      </c>
      <c r="B1541" s="248" t="s">
        <v>1998</v>
      </c>
      <c r="C1541" s="249" t="s">
        <v>1624</v>
      </c>
      <c r="D1541" s="245">
        <v>0</v>
      </c>
      <c r="E1541" s="245">
        <v>1</v>
      </c>
      <c r="F1541" s="245">
        <v>0</v>
      </c>
      <c r="G1541" s="245">
        <v>0</v>
      </c>
      <c r="H1541" s="245">
        <v>1</v>
      </c>
      <c r="I1541" s="245">
        <v>30</v>
      </c>
      <c r="J1541" s="245">
        <v>0</v>
      </c>
      <c r="K1541" s="245">
        <v>30</v>
      </c>
      <c r="L1541" s="245">
        <v>0</v>
      </c>
      <c r="M1541" s="245">
        <v>0</v>
      </c>
      <c r="N1541" s="245">
        <v>30</v>
      </c>
      <c r="O1541" s="245" t="s">
        <v>39</v>
      </c>
      <c r="P1541" s="245" t="s">
        <v>96</v>
      </c>
      <c r="Q1541" s="245" t="s">
        <v>521</v>
      </c>
      <c r="R1541" s="246" t="s">
        <v>32</v>
      </c>
    </row>
    <row r="1542" spans="1:18" hidden="1" x14ac:dyDescent="0.8">
      <c r="A1542" s="247">
        <v>53127</v>
      </c>
      <c r="B1542" s="248" t="s">
        <v>1999</v>
      </c>
      <c r="C1542" s="249" t="s">
        <v>1997</v>
      </c>
      <c r="D1542" s="245">
        <v>0</v>
      </c>
      <c r="E1542" s="245">
        <v>8</v>
      </c>
      <c r="F1542" s="245">
        <v>38</v>
      </c>
      <c r="G1542" s="245">
        <v>46</v>
      </c>
      <c r="H1542" s="245">
        <v>92</v>
      </c>
      <c r="I1542" s="245">
        <v>24</v>
      </c>
      <c r="J1542" s="245">
        <v>0</v>
      </c>
      <c r="K1542" s="245">
        <v>192</v>
      </c>
      <c r="L1542" s="245">
        <v>912</v>
      </c>
      <c r="M1542" s="245">
        <v>1104</v>
      </c>
      <c r="N1542" s="245">
        <v>2208</v>
      </c>
      <c r="O1542" s="245" t="s">
        <v>56</v>
      </c>
      <c r="P1542" s="245" t="s">
        <v>96</v>
      </c>
      <c r="Q1542" s="245" t="s">
        <v>521</v>
      </c>
      <c r="R1542" s="246" t="s">
        <v>32</v>
      </c>
    </row>
    <row r="1543" spans="1:18" x14ac:dyDescent="0.8">
      <c r="A1543" s="247">
        <v>53128</v>
      </c>
      <c r="B1543" s="248" t="s">
        <v>2000</v>
      </c>
      <c r="C1543" s="249" t="s">
        <v>59</v>
      </c>
      <c r="D1543" s="245">
        <v>0</v>
      </c>
      <c r="E1543" s="245">
        <v>100</v>
      </c>
      <c r="F1543" s="245">
        <v>0</v>
      </c>
      <c r="G1543" s="245">
        <v>0</v>
      </c>
      <c r="H1543" s="245">
        <v>100</v>
      </c>
      <c r="I1543" s="245">
        <v>0.8177777777777776</v>
      </c>
      <c r="J1543" s="245">
        <v>0</v>
      </c>
      <c r="K1543" s="245">
        <v>81.777777777777757</v>
      </c>
      <c r="L1543" s="245">
        <v>0</v>
      </c>
      <c r="M1543" s="245">
        <v>0</v>
      </c>
      <c r="N1543" s="245">
        <v>81.777777777777757</v>
      </c>
      <c r="O1543" s="245" t="s">
        <v>39</v>
      </c>
      <c r="P1543" s="245" t="s">
        <v>96</v>
      </c>
      <c r="Q1543" s="245" t="s">
        <v>96</v>
      </c>
      <c r="R1543" s="246" t="s">
        <v>32</v>
      </c>
    </row>
    <row r="1544" spans="1:18" ht="39" x14ac:dyDescent="0.8">
      <c r="A1544" s="247">
        <v>53129</v>
      </c>
      <c r="B1544" s="248" t="s">
        <v>2001</v>
      </c>
      <c r="C1544" s="249" t="s">
        <v>38</v>
      </c>
      <c r="D1544" s="245">
        <v>0</v>
      </c>
      <c r="H1544" s="245">
        <v>0</v>
      </c>
      <c r="I1544" s="245">
        <v>0.3133333333333333</v>
      </c>
      <c r="J1544" s="245">
        <v>0</v>
      </c>
      <c r="K1544" s="245">
        <v>0</v>
      </c>
      <c r="L1544" s="245">
        <v>0</v>
      </c>
      <c r="M1544" s="245">
        <v>0</v>
      </c>
      <c r="N1544" s="245">
        <v>0</v>
      </c>
      <c r="O1544" s="245" t="s">
        <v>118</v>
      </c>
      <c r="P1544" s="245" t="s">
        <v>96</v>
      </c>
      <c r="Q1544" s="245" t="s">
        <v>96</v>
      </c>
      <c r="R1544" s="246" t="s">
        <v>32</v>
      </c>
    </row>
    <row r="1545" spans="1:18" ht="39" hidden="1" x14ac:dyDescent="0.8">
      <c r="A1545" s="247">
        <v>53129</v>
      </c>
      <c r="B1545" s="248" t="s">
        <v>2001</v>
      </c>
      <c r="C1545" s="249" t="s">
        <v>38</v>
      </c>
      <c r="D1545" s="245">
        <v>0</v>
      </c>
      <c r="E1545" s="245">
        <v>162</v>
      </c>
      <c r="F1545" s="245">
        <v>162</v>
      </c>
      <c r="G1545" s="245">
        <v>162</v>
      </c>
      <c r="H1545" s="245">
        <v>486</v>
      </c>
      <c r="I1545" s="245">
        <v>0.3133333333333333</v>
      </c>
      <c r="J1545" s="245">
        <v>0</v>
      </c>
      <c r="K1545" s="245">
        <v>50.759999999999991</v>
      </c>
      <c r="L1545" s="245">
        <v>50.759999999999991</v>
      </c>
      <c r="M1545" s="245">
        <v>50.759999999999991</v>
      </c>
      <c r="N1545" s="245">
        <v>152.27999999999997</v>
      </c>
      <c r="O1545" s="245" t="s">
        <v>56</v>
      </c>
      <c r="P1545" s="245" t="s">
        <v>96</v>
      </c>
      <c r="Q1545" s="245" t="s">
        <v>96</v>
      </c>
      <c r="R1545" s="246" t="s">
        <v>32</v>
      </c>
    </row>
    <row r="1546" spans="1:18" ht="26" x14ac:dyDescent="0.8">
      <c r="A1546" s="247">
        <v>531210</v>
      </c>
      <c r="B1546" s="248" t="s">
        <v>2002</v>
      </c>
      <c r="C1546" s="249" t="s">
        <v>52</v>
      </c>
      <c r="D1546" s="245">
        <v>0</v>
      </c>
      <c r="E1546" s="245">
        <v>4541</v>
      </c>
      <c r="F1546" s="245">
        <v>454.1</v>
      </c>
      <c r="G1546" s="245">
        <v>454.1</v>
      </c>
      <c r="H1546" s="245">
        <v>5449.2000000000007</v>
      </c>
      <c r="I1546" s="245">
        <v>1.5</v>
      </c>
      <c r="J1546" s="245">
        <v>0</v>
      </c>
      <c r="K1546" s="245">
        <v>6811.5</v>
      </c>
      <c r="L1546" s="245">
        <v>681.15000000000009</v>
      </c>
      <c r="M1546" s="245">
        <v>681.15000000000009</v>
      </c>
      <c r="N1546" s="245">
        <v>8173.7999999999993</v>
      </c>
      <c r="O1546" s="245" t="s">
        <v>39</v>
      </c>
      <c r="P1546" s="245" t="s">
        <v>96</v>
      </c>
      <c r="Q1546" s="245" t="s">
        <v>96</v>
      </c>
      <c r="R1546" s="246" t="s">
        <v>32</v>
      </c>
    </row>
    <row r="1547" spans="1:18" ht="26" x14ac:dyDescent="0.8">
      <c r="A1547" s="247">
        <v>531210</v>
      </c>
      <c r="B1547" s="248" t="s">
        <v>2002</v>
      </c>
      <c r="C1547" s="249" t="s">
        <v>52</v>
      </c>
      <c r="D1547" s="245">
        <v>0</v>
      </c>
      <c r="E1547" s="245">
        <v>4541</v>
      </c>
      <c r="F1547" s="245">
        <v>454.1</v>
      </c>
      <c r="G1547" s="245">
        <v>454.1</v>
      </c>
      <c r="H1547" s="245">
        <v>5449.2000000000007</v>
      </c>
      <c r="I1547" s="245">
        <v>1.5</v>
      </c>
      <c r="J1547" s="245">
        <v>0</v>
      </c>
      <c r="K1547" s="245">
        <v>6811.5</v>
      </c>
      <c r="L1547" s="245">
        <v>681.15000000000009</v>
      </c>
      <c r="M1547" s="245">
        <v>681.15000000000009</v>
      </c>
      <c r="N1547" s="245">
        <v>8173.7999999999993</v>
      </c>
      <c r="O1547" s="245" t="s">
        <v>118</v>
      </c>
      <c r="P1547" s="245" t="s">
        <v>96</v>
      </c>
      <c r="Q1547" s="245" t="s">
        <v>96</v>
      </c>
      <c r="R1547" s="246" t="s">
        <v>32</v>
      </c>
    </row>
    <row r="1548" spans="1:18" ht="26" x14ac:dyDescent="0.8">
      <c r="A1548" s="247">
        <v>531211</v>
      </c>
      <c r="B1548" s="248" t="s">
        <v>2003</v>
      </c>
      <c r="C1548" s="249" t="s">
        <v>59</v>
      </c>
      <c r="D1548" s="245">
        <v>0</v>
      </c>
      <c r="E1548" s="245">
        <v>200</v>
      </c>
      <c r="F1548" s="245">
        <v>200</v>
      </c>
      <c r="G1548" s="245">
        <v>200</v>
      </c>
      <c r="H1548" s="245">
        <v>600</v>
      </c>
      <c r="I1548" s="245">
        <v>0.8177777777777776</v>
      </c>
      <c r="J1548" s="245">
        <v>0</v>
      </c>
      <c r="K1548" s="245">
        <v>163.55555555555551</v>
      </c>
      <c r="L1548" s="245">
        <v>163.55555555555551</v>
      </c>
      <c r="M1548" s="245">
        <v>163.55555555555551</v>
      </c>
      <c r="N1548" s="245">
        <v>490.66666666666652</v>
      </c>
      <c r="O1548" s="245" t="s">
        <v>39</v>
      </c>
      <c r="P1548" s="245" t="s">
        <v>96</v>
      </c>
      <c r="Q1548" s="245" t="s">
        <v>96</v>
      </c>
      <c r="R1548" s="246" t="s">
        <v>32</v>
      </c>
    </row>
    <row r="1549" spans="1:18" ht="26" x14ac:dyDescent="0.8">
      <c r="A1549" s="247">
        <v>531212</v>
      </c>
      <c r="B1549" s="248" t="s">
        <v>2004</v>
      </c>
      <c r="C1549" s="249" t="s">
        <v>66</v>
      </c>
      <c r="D1549" s="245">
        <v>0</v>
      </c>
      <c r="E1549" s="245">
        <v>810</v>
      </c>
      <c r="F1549" s="245">
        <v>810</v>
      </c>
      <c r="G1549" s="245">
        <v>810</v>
      </c>
      <c r="H1549" s="245">
        <v>2430</v>
      </c>
      <c r="I1549" s="245">
        <v>0.255</v>
      </c>
      <c r="J1549" s="245">
        <v>0</v>
      </c>
      <c r="K1549" s="245">
        <v>206.55</v>
      </c>
      <c r="L1549" s="245">
        <v>206.55</v>
      </c>
      <c r="M1549" s="245">
        <v>206.55</v>
      </c>
      <c r="N1549" s="245">
        <v>619.65000000000009</v>
      </c>
      <c r="O1549" s="245" t="s">
        <v>39</v>
      </c>
      <c r="P1549" s="245" t="s">
        <v>96</v>
      </c>
      <c r="Q1549" s="245" t="s">
        <v>96</v>
      </c>
      <c r="R1549" s="246" t="s">
        <v>32</v>
      </c>
    </row>
    <row r="1550" spans="1:18" ht="39" x14ac:dyDescent="0.8">
      <c r="A1550" s="247">
        <v>5313</v>
      </c>
      <c r="B1550" s="248" t="s">
        <v>2005</v>
      </c>
      <c r="D1550" s="245">
        <v>0</v>
      </c>
    </row>
    <row r="1551" spans="1:18" ht="26" x14ac:dyDescent="0.8">
      <c r="A1551" s="247">
        <v>53131</v>
      </c>
      <c r="B1551" s="248" t="s">
        <v>2006</v>
      </c>
      <c r="C1551" s="249" t="s">
        <v>2007</v>
      </c>
      <c r="D1551" s="245">
        <v>0</v>
      </c>
      <c r="H1551" s="245">
        <v>0</v>
      </c>
      <c r="I1551" s="245">
        <v>0.38500000000000001</v>
      </c>
      <c r="J1551" s="245">
        <v>0</v>
      </c>
      <c r="K1551" s="245">
        <v>0</v>
      </c>
      <c r="L1551" s="245">
        <v>0</v>
      </c>
      <c r="M1551" s="245">
        <v>0</v>
      </c>
      <c r="N1551" s="245">
        <v>0</v>
      </c>
      <c r="O1551" s="245" t="s">
        <v>178</v>
      </c>
      <c r="P1551" s="245" t="s">
        <v>96</v>
      </c>
      <c r="Q1551" s="245" t="s">
        <v>1963</v>
      </c>
      <c r="R1551" s="246" t="s">
        <v>32</v>
      </c>
    </row>
    <row r="1552" spans="1:18" ht="26" hidden="1" x14ac:dyDescent="0.8">
      <c r="A1552" s="247">
        <v>53131</v>
      </c>
      <c r="B1552" s="248" t="s">
        <v>2006</v>
      </c>
      <c r="C1552" s="249" t="s">
        <v>2007</v>
      </c>
      <c r="D1552" s="245">
        <v>0</v>
      </c>
      <c r="E1552" s="245">
        <v>100</v>
      </c>
      <c r="F1552" s="245">
        <v>100</v>
      </c>
      <c r="G1552" s="245">
        <v>100</v>
      </c>
      <c r="H1552" s="245">
        <v>300</v>
      </c>
      <c r="I1552" s="245">
        <v>0.38500000000000001</v>
      </c>
      <c r="J1552" s="245">
        <v>0</v>
      </c>
      <c r="K1552" s="245">
        <v>38.5</v>
      </c>
      <c r="L1552" s="245">
        <v>38.5</v>
      </c>
      <c r="M1552" s="245">
        <v>38.5</v>
      </c>
      <c r="N1552" s="245">
        <v>115.5</v>
      </c>
      <c r="O1552" s="245" t="s">
        <v>56</v>
      </c>
      <c r="P1552" s="245" t="s">
        <v>96</v>
      </c>
      <c r="Q1552" s="245" t="s">
        <v>1963</v>
      </c>
      <c r="R1552" s="246" t="s">
        <v>32</v>
      </c>
    </row>
    <row r="1553" spans="1:18" ht="26" x14ac:dyDescent="0.8">
      <c r="A1553" s="247">
        <v>53132</v>
      </c>
      <c r="B1553" s="248" t="s">
        <v>2008</v>
      </c>
      <c r="C1553" s="249" t="s">
        <v>2007</v>
      </c>
      <c r="D1553" s="245">
        <v>0</v>
      </c>
      <c r="H1553" s="245">
        <v>0</v>
      </c>
      <c r="I1553" s="245">
        <v>0.38500000000000001</v>
      </c>
      <c r="J1553" s="245">
        <v>0</v>
      </c>
      <c r="K1553" s="245">
        <v>0</v>
      </c>
      <c r="L1553" s="245">
        <v>0</v>
      </c>
      <c r="M1553" s="245">
        <v>0</v>
      </c>
      <c r="N1553" s="245">
        <v>0</v>
      </c>
      <c r="O1553" s="245" t="s">
        <v>178</v>
      </c>
      <c r="P1553" s="245" t="s">
        <v>96</v>
      </c>
      <c r="Q1553" s="245" t="s">
        <v>1963</v>
      </c>
      <c r="R1553" s="246" t="s">
        <v>679</v>
      </c>
    </row>
    <row r="1554" spans="1:18" ht="26" hidden="1" x14ac:dyDescent="0.8">
      <c r="A1554" s="247">
        <v>53132</v>
      </c>
      <c r="B1554" s="248" t="s">
        <v>2008</v>
      </c>
      <c r="C1554" s="249" t="s">
        <v>2007</v>
      </c>
      <c r="D1554" s="245">
        <v>0</v>
      </c>
      <c r="E1554" s="245">
        <v>100</v>
      </c>
      <c r="F1554" s="245">
        <v>100</v>
      </c>
      <c r="G1554" s="245">
        <v>100</v>
      </c>
      <c r="H1554" s="245">
        <v>300</v>
      </c>
      <c r="I1554" s="245">
        <v>0.38500000000000001</v>
      </c>
      <c r="J1554" s="245">
        <v>0</v>
      </c>
      <c r="K1554" s="245">
        <v>38.5</v>
      </c>
      <c r="L1554" s="245">
        <v>38.5</v>
      </c>
      <c r="M1554" s="245">
        <v>38.5</v>
      </c>
      <c r="N1554" s="245">
        <v>115.5</v>
      </c>
      <c r="O1554" s="245" t="s">
        <v>56</v>
      </c>
      <c r="P1554" s="245" t="s">
        <v>96</v>
      </c>
      <c r="Q1554" s="245" t="s">
        <v>1963</v>
      </c>
      <c r="R1554" s="246" t="s">
        <v>679</v>
      </c>
    </row>
    <row r="1555" spans="1:18" ht="26" x14ac:dyDescent="0.8">
      <c r="A1555" s="247">
        <v>53133</v>
      </c>
      <c r="B1555" s="248" t="s">
        <v>2009</v>
      </c>
      <c r="C1555" s="249" t="s">
        <v>2007</v>
      </c>
      <c r="D1555" s="245">
        <v>0</v>
      </c>
      <c r="H1555" s="245">
        <v>0</v>
      </c>
      <c r="I1555" s="245">
        <v>0.38500000000000001</v>
      </c>
      <c r="J1555" s="245">
        <v>0</v>
      </c>
      <c r="K1555" s="245">
        <v>0</v>
      </c>
      <c r="L1555" s="245">
        <v>0</v>
      </c>
      <c r="M1555" s="245">
        <v>0</v>
      </c>
      <c r="N1555" s="245">
        <v>0</v>
      </c>
      <c r="O1555" s="245" t="s">
        <v>178</v>
      </c>
      <c r="P1555" s="245" t="s">
        <v>96</v>
      </c>
      <c r="Q1555" s="245" t="s">
        <v>1963</v>
      </c>
      <c r="R1555" s="246" t="s">
        <v>677</v>
      </c>
    </row>
    <row r="1556" spans="1:18" ht="26" hidden="1" x14ac:dyDescent="0.8">
      <c r="A1556" s="247">
        <v>53133</v>
      </c>
      <c r="B1556" s="248" t="s">
        <v>2009</v>
      </c>
      <c r="C1556" s="249" t="s">
        <v>2007</v>
      </c>
      <c r="D1556" s="245">
        <v>0</v>
      </c>
      <c r="E1556" s="245">
        <v>100</v>
      </c>
      <c r="F1556" s="245">
        <v>100</v>
      </c>
      <c r="G1556" s="245">
        <v>100</v>
      </c>
      <c r="H1556" s="245">
        <v>300</v>
      </c>
      <c r="I1556" s="245">
        <v>0.38500000000000001</v>
      </c>
      <c r="J1556" s="245">
        <v>0</v>
      </c>
      <c r="K1556" s="245">
        <v>38.5</v>
      </c>
      <c r="L1556" s="245">
        <v>38.5</v>
      </c>
      <c r="M1556" s="245">
        <v>38.5</v>
      </c>
      <c r="N1556" s="245">
        <v>115.5</v>
      </c>
      <c r="O1556" s="245" t="s">
        <v>56</v>
      </c>
      <c r="P1556" s="245" t="s">
        <v>96</v>
      </c>
      <c r="Q1556" s="245" t="s">
        <v>1963</v>
      </c>
      <c r="R1556" s="246" t="s">
        <v>677</v>
      </c>
    </row>
    <row r="1557" spans="1:18" ht="26" x14ac:dyDescent="0.8">
      <c r="A1557" s="247">
        <v>53134</v>
      </c>
      <c r="B1557" s="248" t="s">
        <v>2010</v>
      </c>
      <c r="C1557" s="249" t="s">
        <v>38</v>
      </c>
      <c r="D1557" s="245">
        <v>0</v>
      </c>
      <c r="H1557" s="245">
        <v>0</v>
      </c>
      <c r="I1557" s="245">
        <v>0.3133333333333333</v>
      </c>
      <c r="J1557" s="245">
        <v>0</v>
      </c>
      <c r="K1557" s="245">
        <v>0</v>
      </c>
      <c r="L1557" s="245">
        <v>0</v>
      </c>
      <c r="M1557" s="245">
        <v>0</v>
      </c>
      <c r="N1557" s="245">
        <v>0</v>
      </c>
      <c r="O1557" s="245" t="s">
        <v>178</v>
      </c>
      <c r="P1557" s="245" t="s">
        <v>96</v>
      </c>
      <c r="Q1557" s="245" t="s">
        <v>96</v>
      </c>
      <c r="R1557" s="246" t="s">
        <v>32</v>
      </c>
    </row>
    <row r="1558" spans="1:18" ht="26" hidden="1" x14ac:dyDescent="0.8">
      <c r="A1558" s="247">
        <v>53134</v>
      </c>
      <c r="B1558" s="248" t="s">
        <v>2010</v>
      </c>
      <c r="C1558" s="249" t="s">
        <v>38</v>
      </c>
      <c r="D1558" s="245">
        <v>0</v>
      </c>
      <c r="E1558" s="245">
        <v>50</v>
      </c>
      <c r="F1558" s="245">
        <v>50</v>
      </c>
      <c r="G1558" s="245">
        <v>50</v>
      </c>
      <c r="H1558" s="245">
        <v>150</v>
      </c>
      <c r="I1558" s="245">
        <v>0.3133333333333333</v>
      </c>
      <c r="J1558" s="245">
        <v>0</v>
      </c>
      <c r="K1558" s="245">
        <v>15.666666666666664</v>
      </c>
      <c r="L1558" s="245">
        <v>15.666666666666664</v>
      </c>
      <c r="M1558" s="245">
        <v>15.666666666666664</v>
      </c>
      <c r="N1558" s="245">
        <v>46.999999999999993</v>
      </c>
      <c r="O1558" s="245" t="s">
        <v>56</v>
      </c>
      <c r="P1558" s="245" t="s">
        <v>96</v>
      </c>
      <c r="Q1558" s="245" t="s">
        <v>96</v>
      </c>
      <c r="R1558" s="246" t="s">
        <v>32</v>
      </c>
    </row>
    <row r="1559" spans="1:18" ht="26" x14ac:dyDescent="0.8">
      <c r="A1559" s="247">
        <v>53135</v>
      </c>
      <c r="B1559" s="248" t="s">
        <v>2011</v>
      </c>
      <c r="C1559" s="249" t="s">
        <v>38</v>
      </c>
      <c r="D1559" s="245">
        <v>0</v>
      </c>
      <c r="H1559" s="245">
        <v>0</v>
      </c>
      <c r="I1559" s="245">
        <v>0.3133333333333333</v>
      </c>
      <c r="J1559" s="245">
        <v>0</v>
      </c>
      <c r="K1559" s="245">
        <v>0</v>
      </c>
      <c r="L1559" s="245">
        <v>0</v>
      </c>
      <c r="M1559" s="245">
        <v>0</v>
      </c>
      <c r="N1559" s="245">
        <v>0</v>
      </c>
      <c r="O1559" s="245" t="s">
        <v>178</v>
      </c>
      <c r="P1559" s="245" t="s">
        <v>96</v>
      </c>
      <c r="Q1559" s="245" t="s">
        <v>96</v>
      </c>
      <c r="R1559" s="246" t="s">
        <v>679</v>
      </c>
    </row>
    <row r="1560" spans="1:18" ht="26" hidden="1" x14ac:dyDescent="0.8">
      <c r="A1560" s="247">
        <v>53135</v>
      </c>
      <c r="B1560" s="248" t="s">
        <v>2011</v>
      </c>
      <c r="C1560" s="249" t="s">
        <v>38</v>
      </c>
      <c r="D1560" s="245">
        <v>0</v>
      </c>
      <c r="E1560" s="245">
        <v>50</v>
      </c>
      <c r="F1560" s="245">
        <v>50</v>
      </c>
      <c r="G1560" s="245">
        <v>50</v>
      </c>
      <c r="H1560" s="245">
        <v>150</v>
      </c>
      <c r="I1560" s="245">
        <v>0.3133333333333333</v>
      </c>
      <c r="J1560" s="245">
        <v>0</v>
      </c>
      <c r="K1560" s="245">
        <v>15.666666666666664</v>
      </c>
      <c r="L1560" s="245">
        <v>15.666666666666664</v>
      </c>
      <c r="M1560" s="245">
        <v>15.666666666666664</v>
      </c>
      <c r="N1560" s="245">
        <v>46.999999999999993</v>
      </c>
      <c r="O1560" s="245" t="s">
        <v>56</v>
      </c>
      <c r="P1560" s="245" t="s">
        <v>96</v>
      </c>
      <c r="Q1560" s="245" t="s">
        <v>96</v>
      </c>
      <c r="R1560" s="246" t="s">
        <v>679</v>
      </c>
    </row>
    <row r="1561" spans="1:18" ht="26" hidden="1" x14ac:dyDescent="0.8">
      <c r="A1561" s="247">
        <v>53136</v>
      </c>
      <c r="B1561" s="248" t="s">
        <v>2012</v>
      </c>
      <c r="C1561" s="249" t="s">
        <v>38</v>
      </c>
      <c r="D1561" s="245">
        <v>0</v>
      </c>
      <c r="E1561" s="245">
        <v>50</v>
      </c>
      <c r="F1561" s="245">
        <v>50</v>
      </c>
      <c r="G1561" s="245">
        <v>50</v>
      </c>
      <c r="H1561" s="245">
        <v>150</v>
      </c>
      <c r="I1561" s="245">
        <v>0.3133333333333333</v>
      </c>
      <c r="J1561" s="245">
        <v>0</v>
      </c>
      <c r="K1561" s="245">
        <v>15.666666666666664</v>
      </c>
      <c r="L1561" s="245">
        <v>15.666666666666664</v>
      </c>
      <c r="M1561" s="245">
        <v>15.666666666666664</v>
      </c>
      <c r="N1561" s="245">
        <v>46.999999999999993</v>
      </c>
      <c r="O1561" s="245" t="s">
        <v>56</v>
      </c>
      <c r="P1561" s="245" t="s">
        <v>96</v>
      </c>
      <c r="Q1561" s="245" t="s">
        <v>96</v>
      </c>
      <c r="R1561" s="246" t="s">
        <v>677</v>
      </c>
    </row>
    <row r="1562" spans="1:18" ht="26" x14ac:dyDescent="0.8">
      <c r="A1562" s="247">
        <v>53136</v>
      </c>
      <c r="B1562" s="248" t="s">
        <v>2012</v>
      </c>
      <c r="C1562" s="249" t="s">
        <v>38</v>
      </c>
      <c r="D1562" s="245">
        <v>0</v>
      </c>
      <c r="H1562" s="245">
        <v>0</v>
      </c>
      <c r="I1562" s="245">
        <v>0.3133333333333333</v>
      </c>
      <c r="J1562" s="245">
        <v>0</v>
      </c>
      <c r="K1562" s="245">
        <v>0</v>
      </c>
      <c r="L1562" s="245">
        <v>0</v>
      </c>
      <c r="M1562" s="245">
        <v>0</v>
      </c>
      <c r="N1562" s="245">
        <v>0</v>
      </c>
      <c r="O1562" s="245" t="s">
        <v>178</v>
      </c>
      <c r="P1562" s="245" t="s">
        <v>96</v>
      </c>
      <c r="Q1562" s="245" t="s">
        <v>96</v>
      </c>
      <c r="R1562" s="246" t="s">
        <v>677</v>
      </c>
    </row>
    <row r="1563" spans="1:18" ht="26" hidden="1" x14ac:dyDescent="0.8">
      <c r="A1563" s="247">
        <v>53137</v>
      </c>
      <c r="B1563" s="248" t="s">
        <v>2013</v>
      </c>
      <c r="C1563" s="249" t="s">
        <v>55</v>
      </c>
      <c r="D1563" s="245">
        <v>0</v>
      </c>
      <c r="E1563" s="245">
        <v>0</v>
      </c>
      <c r="F1563" s="245">
        <v>0</v>
      </c>
      <c r="G1563" s="245">
        <v>0</v>
      </c>
      <c r="I1563" s="245">
        <v>0</v>
      </c>
      <c r="O1563" s="245" t="s">
        <v>56</v>
      </c>
      <c r="P1563" s="245" t="s">
        <v>96</v>
      </c>
      <c r="Q1563" s="245" t="s">
        <v>96</v>
      </c>
      <c r="R1563" s="246" t="s">
        <v>32</v>
      </c>
    </row>
    <row r="1564" spans="1:18" ht="26" hidden="1" x14ac:dyDescent="0.8">
      <c r="A1564" s="247">
        <v>53138</v>
      </c>
      <c r="B1564" s="248" t="s">
        <v>2014</v>
      </c>
      <c r="C1564" s="249" t="s">
        <v>55</v>
      </c>
      <c r="D1564" s="245">
        <v>0</v>
      </c>
      <c r="E1564" s="245">
        <v>0</v>
      </c>
      <c r="F1564" s="245">
        <v>0</v>
      </c>
      <c r="G1564" s="245">
        <v>0</v>
      </c>
      <c r="I1564" s="245">
        <v>0</v>
      </c>
      <c r="O1564" s="245" t="s">
        <v>56</v>
      </c>
      <c r="P1564" s="245" t="s">
        <v>96</v>
      </c>
      <c r="Q1564" s="245" t="s">
        <v>96</v>
      </c>
      <c r="R1564" s="246" t="s">
        <v>679</v>
      </c>
    </row>
    <row r="1565" spans="1:18" ht="26" hidden="1" x14ac:dyDescent="0.8">
      <c r="A1565" s="247">
        <v>53139</v>
      </c>
      <c r="B1565" s="248" t="s">
        <v>2015</v>
      </c>
      <c r="C1565" s="249" t="s">
        <v>55</v>
      </c>
      <c r="D1565" s="245">
        <v>0</v>
      </c>
      <c r="E1565" s="245">
        <v>0</v>
      </c>
      <c r="F1565" s="245">
        <v>0</v>
      </c>
      <c r="G1565" s="245">
        <v>0</v>
      </c>
      <c r="I1565" s="245">
        <v>0</v>
      </c>
      <c r="O1565" s="245" t="s">
        <v>56</v>
      </c>
      <c r="P1565" s="245" t="s">
        <v>96</v>
      </c>
      <c r="Q1565" s="245" t="s">
        <v>96</v>
      </c>
      <c r="R1565" s="246" t="s">
        <v>677</v>
      </c>
    </row>
    <row r="1566" spans="1:18" ht="26" hidden="1" x14ac:dyDescent="0.8">
      <c r="A1566" s="247">
        <v>531310</v>
      </c>
      <c r="B1566" s="248" t="s">
        <v>2016</v>
      </c>
      <c r="C1566" s="249" t="s">
        <v>55</v>
      </c>
      <c r="D1566" s="245">
        <v>0</v>
      </c>
      <c r="E1566" s="245">
        <v>0</v>
      </c>
      <c r="F1566" s="245">
        <v>0</v>
      </c>
      <c r="G1566" s="245">
        <v>0</v>
      </c>
      <c r="I1566" s="245">
        <v>0</v>
      </c>
      <c r="O1566" s="245" t="s">
        <v>56</v>
      </c>
      <c r="P1566" s="245" t="s">
        <v>96</v>
      </c>
      <c r="Q1566" s="245" t="s">
        <v>96</v>
      </c>
      <c r="R1566" s="246" t="s">
        <v>32</v>
      </c>
    </row>
    <row r="1567" spans="1:18" ht="26" hidden="1" x14ac:dyDescent="0.8">
      <c r="A1567" s="247">
        <v>531311</v>
      </c>
      <c r="B1567" s="248" t="s">
        <v>2017</v>
      </c>
      <c r="C1567" s="249" t="s">
        <v>55</v>
      </c>
      <c r="D1567" s="245">
        <v>0</v>
      </c>
      <c r="E1567" s="245">
        <v>0</v>
      </c>
      <c r="F1567" s="245">
        <v>0</v>
      </c>
      <c r="G1567" s="245">
        <v>0</v>
      </c>
      <c r="I1567" s="245">
        <v>0</v>
      </c>
      <c r="O1567" s="245" t="s">
        <v>56</v>
      </c>
      <c r="P1567" s="245" t="s">
        <v>96</v>
      </c>
      <c r="Q1567" s="245" t="s">
        <v>96</v>
      </c>
      <c r="R1567" s="246" t="s">
        <v>679</v>
      </c>
    </row>
    <row r="1568" spans="1:18" ht="26" hidden="1" x14ac:dyDescent="0.8">
      <c r="A1568" s="247">
        <v>531312</v>
      </c>
      <c r="B1568" s="248" t="s">
        <v>2017</v>
      </c>
      <c r="C1568" s="249" t="s">
        <v>55</v>
      </c>
      <c r="D1568" s="245">
        <v>0</v>
      </c>
      <c r="E1568" s="245">
        <v>0</v>
      </c>
      <c r="F1568" s="245">
        <v>0</v>
      </c>
      <c r="G1568" s="245">
        <v>0</v>
      </c>
      <c r="I1568" s="245">
        <v>0</v>
      </c>
      <c r="O1568" s="245" t="s">
        <v>56</v>
      </c>
      <c r="P1568" s="245" t="s">
        <v>96</v>
      </c>
      <c r="Q1568" s="245" t="s">
        <v>96</v>
      </c>
      <c r="R1568" s="246" t="s">
        <v>677</v>
      </c>
    </row>
    <row r="1569" spans="1:18" ht="26" x14ac:dyDescent="0.8">
      <c r="A1569" s="247">
        <v>531313</v>
      </c>
      <c r="B1569" s="248" t="s">
        <v>2018</v>
      </c>
      <c r="C1569" s="249" t="s">
        <v>52</v>
      </c>
      <c r="D1569" s="245">
        <v>0</v>
      </c>
      <c r="E1569" s="245">
        <v>72</v>
      </c>
      <c r="F1569" s="245">
        <v>72</v>
      </c>
      <c r="G1569" s="245">
        <v>78</v>
      </c>
      <c r="H1569" s="245">
        <v>222</v>
      </c>
      <c r="I1569" s="245">
        <v>1.5</v>
      </c>
      <c r="J1569" s="245">
        <v>0</v>
      </c>
      <c r="K1569" s="245">
        <v>108</v>
      </c>
      <c r="L1569" s="245">
        <v>108</v>
      </c>
      <c r="M1569" s="245">
        <v>117</v>
      </c>
      <c r="N1569" s="245">
        <v>333</v>
      </c>
      <c r="O1569" s="245" t="s">
        <v>67</v>
      </c>
      <c r="P1569" s="245" t="s">
        <v>96</v>
      </c>
      <c r="Q1569" s="245" t="s">
        <v>96</v>
      </c>
      <c r="R1569" s="246" t="s">
        <v>32</v>
      </c>
    </row>
    <row r="1570" spans="1:18" ht="26" x14ac:dyDescent="0.8">
      <c r="A1570" s="247">
        <v>531313</v>
      </c>
      <c r="B1570" s="248" t="s">
        <v>2018</v>
      </c>
      <c r="C1570" s="249" t="s">
        <v>52</v>
      </c>
      <c r="D1570" s="245">
        <v>0</v>
      </c>
      <c r="E1570" s="245">
        <v>428</v>
      </c>
      <c r="F1570" s="245">
        <v>828</v>
      </c>
      <c r="G1570" s="245">
        <v>1122</v>
      </c>
      <c r="H1570" s="245">
        <v>2378</v>
      </c>
      <c r="I1570" s="245">
        <v>1.5</v>
      </c>
      <c r="J1570" s="245">
        <v>0</v>
      </c>
      <c r="K1570" s="245">
        <v>642</v>
      </c>
      <c r="L1570" s="245">
        <v>1242</v>
      </c>
      <c r="M1570" s="245">
        <v>1683</v>
      </c>
      <c r="N1570" s="245">
        <v>3567</v>
      </c>
      <c r="O1570" s="245" t="s">
        <v>39</v>
      </c>
      <c r="P1570" s="245" t="s">
        <v>96</v>
      </c>
      <c r="Q1570" s="245" t="s">
        <v>96</v>
      </c>
      <c r="R1570" s="246" t="s">
        <v>677</v>
      </c>
    </row>
    <row r="1571" spans="1:18" ht="39" x14ac:dyDescent="0.8">
      <c r="A1571" s="247">
        <v>532</v>
      </c>
      <c r="B1571" s="248" t="s">
        <v>2019</v>
      </c>
      <c r="D1571" s="245">
        <v>0</v>
      </c>
    </row>
    <row r="1572" spans="1:18" ht="26" x14ac:dyDescent="0.8">
      <c r="A1572" s="247">
        <v>5321</v>
      </c>
      <c r="B1572" s="248" t="s">
        <v>2020</v>
      </c>
      <c r="D1572" s="245">
        <v>0</v>
      </c>
    </row>
    <row r="1573" spans="1:18" ht="26" hidden="1" x14ac:dyDescent="0.8">
      <c r="A1573" s="247">
        <v>53211</v>
      </c>
      <c r="B1573" s="248" t="s">
        <v>2021</v>
      </c>
      <c r="C1573" s="249" t="s">
        <v>55</v>
      </c>
      <c r="D1573" s="245">
        <v>0</v>
      </c>
      <c r="E1573" s="245">
        <v>1</v>
      </c>
      <c r="F1573" s="245">
        <v>0</v>
      </c>
      <c r="G1573" s="245">
        <v>0</v>
      </c>
      <c r="H1573" s="245">
        <v>1</v>
      </c>
      <c r="I1573" s="245">
        <v>0</v>
      </c>
      <c r="J1573" s="245">
        <v>0</v>
      </c>
      <c r="K1573" s="245">
        <v>0</v>
      </c>
      <c r="L1573" s="245">
        <v>0</v>
      </c>
      <c r="M1573" s="245">
        <v>0</v>
      </c>
      <c r="O1573" s="245" t="s">
        <v>56</v>
      </c>
      <c r="P1573" s="245" t="s">
        <v>96</v>
      </c>
      <c r="Q1573" s="245" t="s">
        <v>96</v>
      </c>
      <c r="R1573" s="246" t="s">
        <v>32</v>
      </c>
    </row>
    <row r="1574" spans="1:18" ht="52" hidden="1" x14ac:dyDescent="0.8">
      <c r="A1574" s="247">
        <v>53212</v>
      </c>
      <c r="B1574" s="248" t="s">
        <v>2022</v>
      </c>
      <c r="C1574" s="249" t="s">
        <v>55</v>
      </c>
      <c r="D1574" s="245">
        <v>0</v>
      </c>
      <c r="E1574" s="245">
        <v>1</v>
      </c>
      <c r="F1574" s="245">
        <v>1</v>
      </c>
      <c r="G1574" s="245">
        <v>0</v>
      </c>
      <c r="H1574" s="245">
        <v>2</v>
      </c>
      <c r="I1574" s="245">
        <v>0</v>
      </c>
      <c r="J1574" s="245">
        <v>0</v>
      </c>
      <c r="K1574" s="245">
        <v>0</v>
      </c>
      <c r="L1574" s="245">
        <v>0</v>
      </c>
      <c r="M1574" s="245">
        <v>0</v>
      </c>
      <c r="O1574" s="245" t="s">
        <v>56</v>
      </c>
      <c r="P1574" s="245" t="s">
        <v>96</v>
      </c>
      <c r="Q1574" s="245" t="s">
        <v>1976</v>
      </c>
      <c r="R1574" s="246" t="s">
        <v>32</v>
      </c>
    </row>
    <row r="1575" spans="1:18" x14ac:dyDescent="0.8">
      <c r="A1575" s="247">
        <v>53213</v>
      </c>
      <c r="B1575" s="248" t="s">
        <v>2023</v>
      </c>
      <c r="C1575" s="249" t="s">
        <v>38</v>
      </c>
      <c r="D1575" s="245">
        <v>0</v>
      </c>
      <c r="E1575" s="245">
        <v>25</v>
      </c>
      <c r="H1575" s="245">
        <v>25</v>
      </c>
      <c r="I1575" s="245">
        <v>0.3133333333333333</v>
      </c>
      <c r="J1575" s="245">
        <v>0</v>
      </c>
      <c r="K1575" s="245">
        <v>7.8333333333333321</v>
      </c>
      <c r="L1575" s="245">
        <v>0</v>
      </c>
      <c r="M1575" s="245">
        <v>0</v>
      </c>
      <c r="N1575" s="245">
        <v>7.8333333333333321</v>
      </c>
      <c r="O1575" s="245" t="s">
        <v>39</v>
      </c>
      <c r="P1575" s="245" t="s">
        <v>96</v>
      </c>
      <c r="Q1575" s="245" t="s">
        <v>1976</v>
      </c>
      <c r="R1575" s="246" t="s">
        <v>32</v>
      </c>
    </row>
    <row r="1576" spans="1:18" ht="65" hidden="1" x14ac:dyDescent="0.8">
      <c r="A1576" s="247">
        <v>53214</v>
      </c>
      <c r="B1576" s="248" t="s">
        <v>2024</v>
      </c>
      <c r="C1576" s="249" t="s">
        <v>55</v>
      </c>
      <c r="D1576" s="245">
        <v>0</v>
      </c>
      <c r="F1576" s="245">
        <v>1</v>
      </c>
      <c r="G1576" s="245">
        <v>1</v>
      </c>
      <c r="H1576" s="245">
        <v>2</v>
      </c>
      <c r="I1576" s="245">
        <v>0</v>
      </c>
      <c r="J1576" s="245">
        <v>0</v>
      </c>
      <c r="K1576" s="245">
        <v>0</v>
      </c>
      <c r="L1576" s="245">
        <v>0</v>
      </c>
      <c r="M1576" s="245">
        <v>0</v>
      </c>
      <c r="O1576" s="245" t="s">
        <v>56</v>
      </c>
      <c r="P1576" s="245" t="s">
        <v>96</v>
      </c>
      <c r="Q1576" s="245" t="s">
        <v>96</v>
      </c>
      <c r="R1576" s="246" t="s">
        <v>32</v>
      </c>
    </row>
    <row r="1577" spans="1:18" ht="26" x14ac:dyDescent="0.8">
      <c r="A1577" s="247">
        <v>53215</v>
      </c>
      <c r="B1577" s="248" t="s">
        <v>2025</v>
      </c>
      <c r="C1577" s="249" t="s">
        <v>66</v>
      </c>
      <c r="D1577" s="245">
        <v>0</v>
      </c>
      <c r="E1577" s="245">
        <v>120</v>
      </c>
      <c r="H1577" s="245">
        <v>120</v>
      </c>
      <c r="I1577" s="245">
        <v>0.255</v>
      </c>
      <c r="J1577" s="245">
        <v>0</v>
      </c>
      <c r="K1577" s="245">
        <v>30.6</v>
      </c>
      <c r="L1577" s="245">
        <v>0</v>
      </c>
      <c r="M1577" s="245">
        <v>0</v>
      </c>
      <c r="N1577" s="245">
        <v>30.6</v>
      </c>
      <c r="O1577" s="245" t="s">
        <v>39</v>
      </c>
      <c r="P1577" s="245" t="s">
        <v>142</v>
      </c>
      <c r="Q1577" s="245" t="s">
        <v>142</v>
      </c>
      <c r="R1577" s="246" t="s">
        <v>32</v>
      </c>
    </row>
    <row r="1578" spans="1:18" ht="26" hidden="1" x14ac:dyDescent="0.8">
      <c r="A1578" s="247">
        <v>53216</v>
      </c>
      <c r="B1578" s="248" t="s">
        <v>2026</v>
      </c>
      <c r="C1578" s="249" t="s">
        <v>55</v>
      </c>
      <c r="D1578" s="245">
        <v>0</v>
      </c>
      <c r="E1578" s="245">
        <v>1</v>
      </c>
      <c r="H1578" s="245">
        <v>1</v>
      </c>
      <c r="I1578" s="245">
        <v>0</v>
      </c>
      <c r="J1578" s="245">
        <v>0</v>
      </c>
      <c r="K1578" s="245">
        <v>0</v>
      </c>
      <c r="L1578" s="245">
        <v>0</v>
      </c>
      <c r="M1578" s="245">
        <v>0</v>
      </c>
      <c r="O1578" s="245" t="s">
        <v>56</v>
      </c>
      <c r="P1578" s="245" t="s">
        <v>142</v>
      </c>
      <c r="Q1578" s="245" t="s">
        <v>142</v>
      </c>
      <c r="R1578" s="246" t="s">
        <v>32</v>
      </c>
    </row>
    <row r="1579" spans="1:18" ht="26" x14ac:dyDescent="0.8">
      <c r="A1579" s="247">
        <v>5322</v>
      </c>
      <c r="B1579" s="248" t="s">
        <v>2027</v>
      </c>
      <c r="D1579" s="245">
        <v>0</v>
      </c>
    </row>
    <row r="1580" spans="1:18" x14ac:dyDescent="0.8">
      <c r="A1580" s="247">
        <v>53221</v>
      </c>
      <c r="B1580" s="248" t="s">
        <v>2028</v>
      </c>
      <c r="C1580" s="249" t="s">
        <v>101</v>
      </c>
      <c r="D1580" s="245">
        <v>0</v>
      </c>
      <c r="E1580" s="245">
        <v>45</v>
      </c>
      <c r="F1580" s="245">
        <v>0</v>
      </c>
      <c r="G1580" s="245">
        <v>0</v>
      </c>
      <c r="H1580" s="245">
        <v>45</v>
      </c>
      <c r="I1580" s="245">
        <v>2.651545</v>
      </c>
      <c r="J1580" s="245">
        <v>0</v>
      </c>
      <c r="K1580" s="245">
        <v>119.319525</v>
      </c>
      <c r="L1580" s="245">
        <v>0</v>
      </c>
      <c r="M1580" s="245">
        <v>0</v>
      </c>
      <c r="N1580" s="245">
        <v>119.319525</v>
      </c>
      <c r="O1580" s="245" t="s">
        <v>39</v>
      </c>
      <c r="P1580" s="245" t="s">
        <v>2029</v>
      </c>
      <c r="Q1580" s="245" t="s">
        <v>2029</v>
      </c>
      <c r="R1580" s="246" t="s">
        <v>32</v>
      </c>
    </row>
    <row r="1581" spans="1:18" ht="26" x14ac:dyDescent="0.8">
      <c r="A1581" s="247">
        <v>53222</v>
      </c>
      <c r="B1581" s="248" t="s">
        <v>2030</v>
      </c>
      <c r="C1581" s="249" t="s">
        <v>38</v>
      </c>
      <c r="D1581" s="245">
        <v>0</v>
      </c>
      <c r="E1581" s="245">
        <v>75</v>
      </c>
      <c r="G1581" s="245">
        <v>45</v>
      </c>
      <c r="H1581" s="245">
        <v>120</v>
      </c>
      <c r="I1581" s="245">
        <v>0.3133333333333333</v>
      </c>
      <c r="J1581" s="245">
        <v>0</v>
      </c>
      <c r="K1581" s="245">
        <v>23.499999999999996</v>
      </c>
      <c r="L1581" s="245">
        <v>0</v>
      </c>
      <c r="M1581" s="245">
        <v>14.099999999999998</v>
      </c>
      <c r="N1581" s="245">
        <v>37.599999999999994</v>
      </c>
      <c r="O1581" s="245" t="s">
        <v>39</v>
      </c>
      <c r="P1581" s="245" t="s">
        <v>2029</v>
      </c>
      <c r="Q1581" s="245" t="s">
        <v>2029</v>
      </c>
      <c r="R1581" s="246" t="s">
        <v>32</v>
      </c>
    </row>
    <row r="1582" spans="1:18" hidden="1" x14ac:dyDescent="0.8">
      <c r="A1582" s="247">
        <v>53223</v>
      </c>
      <c r="B1582" s="248" t="s">
        <v>2031</v>
      </c>
      <c r="C1582" s="249" t="s">
        <v>55</v>
      </c>
      <c r="D1582" s="245">
        <v>0</v>
      </c>
      <c r="E1582" s="245">
        <v>1</v>
      </c>
      <c r="F1582" s="245">
        <v>1</v>
      </c>
      <c r="G1582" s="245">
        <v>1</v>
      </c>
      <c r="H1582" s="245">
        <v>3</v>
      </c>
      <c r="I1582" s="245">
        <v>0</v>
      </c>
      <c r="J1582" s="245">
        <v>0</v>
      </c>
      <c r="K1582" s="245">
        <v>0</v>
      </c>
      <c r="L1582" s="245">
        <v>0</v>
      </c>
      <c r="M1582" s="245">
        <v>0</v>
      </c>
      <c r="O1582" s="245" t="s">
        <v>56</v>
      </c>
      <c r="P1582" s="245" t="s">
        <v>2029</v>
      </c>
      <c r="Q1582" s="245" t="s">
        <v>2029</v>
      </c>
      <c r="R1582" s="246" t="s">
        <v>32</v>
      </c>
    </row>
    <row r="1583" spans="1:18" hidden="1" x14ac:dyDescent="0.8">
      <c r="A1583" s="247">
        <v>53224</v>
      </c>
      <c r="B1583" s="248" t="s">
        <v>2032</v>
      </c>
      <c r="C1583" s="249" t="s">
        <v>55</v>
      </c>
      <c r="D1583" s="245">
        <v>0</v>
      </c>
      <c r="E1583" s="245">
        <v>1</v>
      </c>
      <c r="F1583" s="245">
        <v>1</v>
      </c>
      <c r="G1583" s="245">
        <v>1</v>
      </c>
      <c r="H1583" s="245">
        <v>3</v>
      </c>
      <c r="I1583" s="245">
        <v>0</v>
      </c>
      <c r="J1583" s="245">
        <v>0</v>
      </c>
      <c r="K1583" s="245">
        <v>0</v>
      </c>
      <c r="L1583" s="245">
        <v>0</v>
      </c>
      <c r="M1583" s="245">
        <v>0</v>
      </c>
      <c r="O1583" s="245" t="s">
        <v>56</v>
      </c>
      <c r="P1583" s="245" t="s">
        <v>2029</v>
      </c>
      <c r="Q1583" s="245" t="s">
        <v>2029</v>
      </c>
      <c r="R1583" s="246" t="s">
        <v>679</v>
      </c>
    </row>
    <row r="1584" spans="1:18" hidden="1" x14ac:dyDescent="0.8">
      <c r="A1584" s="247">
        <v>53225</v>
      </c>
      <c r="B1584" s="248" t="s">
        <v>2033</v>
      </c>
      <c r="C1584" s="249" t="s">
        <v>55</v>
      </c>
      <c r="D1584" s="245">
        <v>0</v>
      </c>
      <c r="E1584" s="245">
        <v>1</v>
      </c>
      <c r="F1584" s="245">
        <v>1</v>
      </c>
      <c r="G1584" s="245">
        <v>1</v>
      </c>
      <c r="H1584" s="245">
        <v>3</v>
      </c>
      <c r="I1584" s="245">
        <v>0</v>
      </c>
      <c r="J1584" s="245">
        <v>0</v>
      </c>
      <c r="K1584" s="245">
        <v>0</v>
      </c>
      <c r="L1584" s="245">
        <v>0</v>
      </c>
      <c r="M1584" s="245">
        <v>0</v>
      </c>
      <c r="O1584" s="245" t="s">
        <v>56</v>
      </c>
      <c r="P1584" s="245" t="s">
        <v>2029</v>
      </c>
      <c r="Q1584" s="245" t="s">
        <v>2029</v>
      </c>
      <c r="R1584" s="246" t="s">
        <v>677</v>
      </c>
    </row>
    <row r="1585" spans="1:18" ht="65" x14ac:dyDescent="0.8">
      <c r="A1585" s="247">
        <v>5323</v>
      </c>
      <c r="B1585" s="248" t="s">
        <v>2034</v>
      </c>
      <c r="D1585" s="245">
        <v>0</v>
      </c>
    </row>
    <row r="1586" spans="1:18" ht="26" hidden="1" x14ac:dyDescent="0.8">
      <c r="A1586" s="247">
        <v>53231</v>
      </c>
      <c r="B1586" s="248" t="s">
        <v>2035</v>
      </c>
      <c r="C1586" s="249" t="s">
        <v>55</v>
      </c>
      <c r="D1586" s="245">
        <v>0</v>
      </c>
      <c r="I1586" s="245">
        <v>0</v>
      </c>
      <c r="O1586" s="245" t="s">
        <v>56</v>
      </c>
      <c r="P1586" s="245" t="s">
        <v>521</v>
      </c>
      <c r="Q1586" s="245" t="s">
        <v>521</v>
      </c>
      <c r="R1586" s="246" t="s">
        <v>32</v>
      </c>
    </row>
    <row r="1587" spans="1:18" ht="26" hidden="1" x14ac:dyDescent="0.8">
      <c r="A1587" s="247">
        <v>53232</v>
      </c>
      <c r="B1587" s="248" t="s">
        <v>2036</v>
      </c>
      <c r="C1587" s="249" t="s">
        <v>55</v>
      </c>
      <c r="D1587" s="245">
        <v>0</v>
      </c>
      <c r="F1587" s="245">
        <v>0</v>
      </c>
      <c r="G1587" s="245">
        <v>0</v>
      </c>
      <c r="H1587" s="245">
        <v>0</v>
      </c>
      <c r="I1587" s="245">
        <v>0</v>
      </c>
      <c r="O1587" s="245" t="s">
        <v>56</v>
      </c>
      <c r="P1587" s="245" t="s">
        <v>521</v>
      </c>
      <c r="Q1587" s="245" t="s">
        <v>521</v>
      </c>
      <c r="R1587" s="246" t="s">
        <v>32</v>
      </c>
    </row>
    <row r="1588" spans="1:18" ht="39" x14ac:dyDescent="0.8">
      <c r="A1588" s="247">
        <v>53233</v>
      </c>
      <c r="B1588" s="248" t="s">
        <v>2037</v>
      </c>
      <c r="C1588" s="249" t="s">
        <v>301</v>
      </c>
      <c r="D1588" s="245">
        <v>0</v>
      </c>
      <c r="E1588" s="245">
        <v>112.0224</v>
      </c>
      <c r="F1588" s="245">
        <v>112.0224</v>
      </c>
      <c r="G1588" s="245">
        <v>112.0224</v>
      </c>
      <c r="H1588" s="245">
        <v>336.06720000000001</v>
      </c>
      <c r="I1588" s="245">
        <v>0.67666666666666664</v>
      </c>
      <c r="J1588" s="245">
        <v>0</v>
      </c>
      <c r="K1588" s="245">
        <v>75.801823999999996</v>
      </c>
      <c r="L1588" s="245">
        <v>75.801823999999996</v>
      </c>
      <c r="M1588" s="245">
        <v>75.801823999999996</v>
      </c>
      <c r="N1588" s="245">
        <v>227.40547199999997</v>
      </c>
      <c r="O1588" s="245" t="s">
        <v>39</v>
      </c>
      <c r="P1588" s="245" t="s">
        <v>96</v>
      </c>
      <c r="Q1588" s="245" t="s">
        <v>96</v>
      </c>
      <c r="R1588" s="246" t="s">
        <v>32</v>
      </c>
    </row>
    <row r="1589" spans="1:18" ht="39" x14ac:dyDescent="0.8">
      <c r="A1589" s="247">
        <v>53233</v>
      </c>
      <c r="B1589" s="248" t="s">
        <v>2037</v>
      </c>
      <c r="C1589" s="249" t="s">
        <v>301</v>
      </c>
      <c r="D1589" s="245">
        <v>0</v>
      </c>
      <c r="E1589" s="245">
        <v>223.9776</v>
      </c>
      <c r="F1589" s="245">
        <v>223.9776</v>
      </c>
      <c r="G1589" s="245">
        <v>223.9776</v>
      </c>
      <c r="H1589" s="245">
        <v>671.93280000000004</v>
      </c>
      <c r="I1589" s="245">
        <v>0.67666666666666664</v>
      </c>
      <c r="J1589" s="245">
        <v>0</v>
      </c>
      <c r="K1589" s="245">
        <v>151.558176</v>
      </c>
      <c r="L1589" s="245">
        <v>151.558176</v>
      </c>
      <c r="M1589" s="245">
        <v>151.558176</v>
      </c>
      <c r="N1589" s="245">
        <v>454.67452800000001</v>
      </c>
      <c r="O1589" s="245" t="s">
        <v>118</v>
      </c>
      <c r="P1589" s="245" t="s">
        <v>96</v>
      </c>
      <c r="Q1589" s="245" t="s">
        <v>96</v>
      </c>
      <c r="R1589" s="246" t="s">
        <v>32</v>
      </c>
    </row>
    <row r="1590" spans="1:18" ht="26" x14ac:dyDescent="0.8">
      <c r="A1590" s="247">
        <v>53234</v>
      </c>
      <c r="B1590" s="248" t="s">
        <v>2038</v>
      </c>
      <c r="C1590" s="249" t="s">
        <v>970</v>
      </c>
      <c r="D1590" s="245">
        <v>0</v>
      </c>
      <c r="E1590" s="245">
        <v>90</v>
      </c>
      <c r="H1590" s="245">
        <v>90</v>
      </c>
      <c r="I1590" s="245">
        <v>10.034934666666667</v>
      </c>
      <c r="J1590" s="245">
        <v>0</v>
      </c>
      <c r="K1590" s="245">
        <v>903.14412000000004</v>
      </c>
      <c r="L1590" s="245">
        <v>0</v>
      </c>
      <c r="M1590" s="245">
        <v>0</v>
      </c>
      <c r="N1590" s="245">
        <v>903.14412000000004</v>
      </c>
      <c r="O1590" s="245" t="s">
        <v>39</v>
      </c>
      <c r="P1590" s="245" t="s">
        <v>521</v>
      </c>
      <c r="Q1590" s="245" t="s">
        <v>521</v>
      </c>
      <c r="R1590" s="246" t="s">
        <v>32</v>
      </c>
    </row>
    <row r="1591" spans="1:18" ht="26" hidden="1" x14ac:dyDescent="0.8">
      <c r="A1591" s="247">
        <v>53234</v>
      </c>
      <c r="B1591" s="248" t="s">
        <v>2038</v>
      </c>
      <c r="C1591" s="249" t="s">
        <v>970</v>
      </c>
      <c r="D1591" s="245">
        <v>0</v>
      </c>
      <c r="E1591" s="245">
        <v>50</v>
      </c>
      <c r="H1591" s="245">
        <v>50</v>
      </c>
      <c r="I1591" s="245">
        <v>10.034934666666667</v>
      </c>
      <c r="J1591" s="245">
        <v>0</v>
      </c>
      <c r="K1591" s="245">
        <v>501.74673333333334</v>
      </c>
      <c r="L1591" s="245">
        <v>0</v>
      </c>
      <c r="M1591" s="245">
        <v>0</v>
      </c>
      <c r="N1591" s="245">
        <v>501.74673333333334</v>
      </c>
      <c r="O1591" s="245" t="s">
        <v>56</v>
      </c>
      <c r="P1591" s="245" t="s">
        <v>521</v>
      </c>
      <c r="Q1591" s="245" t="s">
        <v>521</v>
      </c>
      <c r="R1591" s="246" t="s">
        <v>32</v>
      </c>
    </row>
    <row r="1592" spans="1:18" ht="26" x14ac:dyDescent="0.8">
      <c r="A1592" s="247">
        <v>53235</v>
      </c>
      <c r="B1592" s="248" t="s">
        <v>2039</v>
      </c>
      <c r="C1592" s="249" t="s">
        <v>974</v>
      </c>
      <c r="D1592" s="245">
        <v>0</v>
      </c>
      <c r="E1592" s="245">
        <v>122</v>
      </c>
      <c r="H1592" s="245">
        <v>122</v>
      </c>
      <c r="I1592" s="245">
        <v>6.333333333333333</v>
      </c>
      <c r="J1592" s="245">
        <v>0</v>
      </c>
      <c r="K1592" s="245">
        <v>772.66666666666663</v>
      </c>
      <c r="L1592" s="245">
        <v>0</v>
      </c>
      <c r="M1592" s="245">
        <v>0</v>
      </c>
      <c r="N1592" s="245">
        <v>772.66666666666663</v>
      </c>
      <c r="O1592" s="245" t="s">
        <v>39</v>
      </c>
      <c r="P1592" s="245" t="s">
        <v>521</v>
      </c>
      <c r="Q1592" s="245" t="s">
        <v>521</v>
      </c>
      <c r="R1592" s="246" t="s">
        <v>32</v>
      </c>
    </row>
    <row r="1593" spans="1:18" ht="26" hidden="1" x14ac:dyDescent="0.8">
      <c r="A1593" s="247">
        <v>53235</v>
      </c>
      <c r="B1593" s="248" t="s">
        <v>2039</v>
      </c>
      <c r="C1593" s="249" t="s">
        <v>974</v>
      </c>
      <c r="D1593" s="245">
        <v>0</v>
      </c>
      <c r="E1593" s="245">
        <v>50</v>
      </c>
      <c r="H1593" s="245">
        <v>50</v>
      </c>
      <c r="I1593" s="245">
        <v>6.333333333333333</v>
      </c>
      <c r="J1593" s="245">
        <v>0</v>
      </c>
      <c r="K1593" s="245">
        <v>316.66666666666663</v>
      </c>
      <c r="L1593" s="245">
        <v>0</v>
      </c>
      <c r="M1593" s="245">
        <v>0</v>
      </c>
      <c r="N1593" s="245">
        <v>316.66666666666663</v>
      </c>
      <c r="O1593" s="245" t="s">
        <v>169</v>
      </c>
      <c r="P1593" s="245" t="s">
        <v>521</v>
      </c>
      <c r="Q1593" s="245" t="s">
        <v>521</v>
      </c>
      <c r="R1593" s="246" t="s">
        <v>32</v>
      </c>
    </row>
    <row r="1594" spans="1:18" ht="39" x14ac:dyDescent="0.8">
      <c r="A1594" s="247">
        <v>53236</v>
      </c>
      <c r="B1594" s="248" t="s">
        <v>2040</v>
      </c>
      <c r="C1594" s="249" t="s">
        <v>301</v>
      </c>
      <c r="D1594" s="245">
        <v>0</v>
      </c>
      <c r="F1594" s="245">
        <v>120</v>
      </c>
      <c r="H1594" s="245">
        <v>120</v>
      </c>
      <c r="I1594" s="245">
        <v>0.67666666666666664</v>
      </c>
      <c r="J1594" s="245">
        <v>0</v>
      </c>
      <c r="K1594" s="245">
        <v>0</v>
      </c>
      <c r="L1594" s="245">
        <v>81.2</v>
      </c>
      <c r="M1594" s="245">
        <v>0</v>
      </c>
      <c r="N1594" s="245">
        <v>81.2</v>
      </c>
      <c r="O1594" s="245" t="s">
        <v>39</v>
      </c>
      <c r="P1594" s="245" t="s">
        <v>96</v>
      </c>
      <c r="Q1594" s="245" t="s">
        <v>2041</v>
      </c>
      <c r="R1594" s="246" t="s">
        <v>32</v>
      </c>
    </row>
    <row r="1595" spans="1:18" ht="39" x14ac:dyDescent="0.8">
      <c r="A1595" s="247">
        <v>53237</v>
      </c>
      <c r="B1595" s="248" t="s">
        <v>2042</v>
      </c>
      <c r="C1595" s="249" t="s">
        <v>301</v>
      </c>
      <c r="D1595" s="245">
        <v>0</v>
      </c>
      <c r="G1595" s="245">
        <v>1000</v>
      </c>
      <c r="H1595" s="245">
        <v>1000</v>
      </c>
      <c r="I1595" s="245">
        <v>0.67666666666666664</v>
      </c>
      <c r="J1595" s="245">
        <v>0</v>
      </c>
      <c r="K1595" s="245">
        <v>0</v>
      </c>
      <c r="L1595" s="245">
        <v>0</v>
      </c>
      <c r="M1595" s="245">
        <v>676.66666666666663</v>
      </c>
      <c r="N1595" s="245">
        <v>676.66666666666663</v>
      </c>
      <c r="O1595" s="245" t="s">
        <v>39</v>
      </c>
      <c r="P1595" s="245" t="s">
        <v>96</v>
      </c>
      <c r="Q1595" s="245" t="s">
        <v>2041</v>
      </c>
      <c r="R1595" s="246" t="s">
        <v>32</v>
      </c>
    </row>
    <row r="1596" spans="1:18" ht="52" x14ac:dyDescent="0.8">
      <c r="A1596" s="247">
        <v>533</v>
      </c>
      <c r="B1596" s="248" t="s">
        <v>2043</v>
      </c>
      <c r="D1596" s="245">
        <v>0</v>
      </c>
    </row>
    <row r="1597" spans="1:18" ht="26" x14ac:dyDescent="0.8">
      <c r="A1597" s="247">
        <v>5331</v>
      </c>
      <c r="B1597" s="248" t="s">
        <v>2044</v>
      </c>
      <c r="D1597" s="245">
        <v>0</v>
      </c>
    </row>
    <row r="1598" spans="1:18" ht="26" x14ac:dyDescent="0.8">
      <c r="A1598" s="247">
        <v>53311</v>
      </c>
      <c r="B1598" s="248" t="s">
        <v>2045</v>
      </c>
      <c r="C1598" s="249" t="s">
        <v>59</v>
      </c>
      <c r="D1598" s="245">
        <v>0</v>
      </c>
      <c r="E1598" s="245">
        <v>460</v>
      </c>
      <c r="F1598" s="245">
        <v>460</v>
      </c>
      <c r="G1598" s="245">
        <v>460</v>
      </c>
      <c r="H1598" s="245">
        <v>1380</v>
      </c>
      <c r="I1598" s="245">
        <v>0.8177777777777776</v>
      </c>
      <c r="J1598" s="245">
        <v>0</v>
      </c>
      <c r="K1598" s="245">
        <v>376.17777777777769</v>
      </c>
      <c r="L1598" s="245">
        <v>376.17777777777769</v>
      </c>
      <c r="M1598" s="245">
        <v>376.17777777777769</v>
      </c>
      <c r="N1598" s="245">
        <v>1128.5333333333331</v>
      </c>
      <c r="O1598" s="245" t="s">
        <v>39</v>
      </c>
      <c r="P1598" s="245" t="s">
        <v>96</v>
      </c>
      <c r="Q1598" s="245" t="s">
        <v>96</v>
      </c>
      <c r="R1598" s="246" t="s">
        <v>32</v>
      </c>
    </row>
    <row r="1599" spans="1:18" ht="39" x14ac:dyDescent="0.8">
      <c r="A1599" s="247">
        <v>53312</v>
      </c>
      <c r="B1599" s="248" t="s">
        <v>2046</v>
      </c>
      <c r="C1599" s="249" t="s">
        <v>301</v>
      </c>
      <c r="D1599" s="245">
        <v>0</v>
      </c>
      <c r="H1599" s="245">
        <v>0</v>
      </c>
      <c r="I1599" s="245">
        <v>0.67666666666666664</v>
      </c>
      <c r="J1599" s="245">
        <v>0</v>
      </c>
      <c r="K1599" s="245">
        <v>0</v>
      </c>
      <c r="L1599" s="245">
        <v>0</v>
      </c>
      <c r="M1599" s="245">
        <v>0</v>
      </c>
      <c r="N1599" s="245">
        <v>0</v>
      </c>
      <c r="O1599" s="245" t="s">
        <v>178</v>
      </c>
      <c r="P1599" s="245" t="s">
        <v>96</v>
      </c>
      <c r="Q1599" s="245" t="s">
        <v>96</v>
      </c>
      <c r="R1599" s="246" t="s">
        <v>32</v>
      </c>
    </row>
    <row r="1600" spans="1:18" ht="39" x14ac:dyDescent="0.8">
      <c r="A1600" s="247">
        <v>53312</v>
      </c>
      <c r="B1600" s="248" t="s">
        <v>2046</v>
      </c>
      <c r="C1600" s="249" t="s">
        <v>301</v>
      </c>
      <c r="D1600" s="245">
        <v>0</v>
      </c>
      <c r="E1600" s="245">
        <v>510</v>
      </c>
      <c r="F1600" s="245">
        <v>510</v>
      </c>
      <c r="G1600" s="245">
        <v>510</v>
      </c>
      <c r="H1600" s="245">
        <v>1530</v>
      </c>
      <c r="I1600" s="245">
        <v>0.67666666666666664</v>
      </c>
      <c r="J1600" s="245">
        <v>0</v>
      </c>
      <c r="K1600" s="245">
        <v>345.09999999999997</v>
      </c>
      <c r="L1600" s="245">
        <v>345.09999999999997</v>
      </c>
      <c r="M1600" s="245">
        <v>345.09999999999997</v>
      </c>
      <c r="N1600" s="245">
        <v>1035.3</v>
      </c>
      <c r="O1600" s="245" t="s">
        <v>39</v>
      </c>
      <c r="P1600" s="245" t="s">
        <v>96</v>
      </c>
      <c r="Q1600" s="245" t="s">
        <v>96</v>
      </c>
      <c r="R1600" s="246" t="s">
        <v>32</v>
      </c>
    </row>
    <row r="1601" spans="1:18" x14ac:dyDescent="0.8">
      <c r="A1601" s="247">
        <v>5332</v>
      </c>
      <c r="B1601" s="248" t="s">
        <v>2047</v>
      </c>
      <c r="D1601" s="245">
        <v>0</v>
      </c>
    </row>
    <row r="1602" spans="1:18" x14ac:dyDescent="0.8">
      <c r="A1602" s="247">
        <v>53321</v>
      </c>
      <c r="B1602" s="248" t="s">
        <v>2048</v>
      </c>
      <c r="C1602" s="249" t="s">
        <v>38</v>
      </c>
      <c r="D1602" s="245">
        <v>0</v>
      </c>
      <c r="E1602" s="245">
        <v>90</v>
      </c>
      <c r="H1602" s="245">
        <v>90</v>
      </c>
      <c r="I1602" s="245">
        <v>0.3133333333333333</v>
      </c>
      <c r="J1602" s="245">
        <v>0</v>
      </c>
      <c r="K1602" s="245">
        <v>28.199999999999996</v>
      </c>
      <c r="L1602" s="245">
        <v>0</v>
      </c>
      <c r="M1602" s="245">
        <v>0</v>
      </c>
      <c r="N1602" s="245">
        <v>28.199999999999996</v>
      </c>
      <c r="O1602" s="245" t="s">
        <v>39</v>
      </c>
      <c r="P1602" s="245" t="s">
        <v>96</v>
      </c>
      <c r="Q1602" s="245" t="s">
        <v>96</v>
      </c>
      <c r="R1602" s="246" t="s">
        <v>32</v>
      </c>
    </row>
    <row r="1603" spans="1:18" ht="26" hidden="1" x14ac:dyDescent="0.8">
      <c r="A1603" s="247">
        <v>53322</v>
      </c>
      <c r="B1603" s="248" t="s">
        <v>2049</v>
      </c>
      <c r="C1603" s="249" t="s">
        <v>55</v>
      </c>
      <c r="D1603" s="245">
        <v>0</v>
      </c>
      <c r="E1603" s="245">
        <v>1</v>
      </c>
      <c r="F1603" s="245">
        <v>1</v>
      </c>
      <c r="G1603" s="245">
        <v>1</v>
      </c>
      <c r="H1603" s="245">
        <v>3</v>
      </c>
      <c r="I1603" s="245">
        <v>0</v>
      </c>
      <c r="J1603" s="245">
        <v>0</v>
      </c>
      <c r="K1603" s="245">
        <v>0</v>
      </c>
      <c r="L1603" s="245">
        <v>0</v>
      </c>
      <c r="M1603" s="245">
        <v>0</v>
      </c>
      <c r="O1603" s="245" t="s">
        <v>56</v>
      </c>
      <c r="P1603" s="245" t="s">
        <v>96</v>
      </c>
      <c r="Q1603" s="245" t="s">
        <v>96</v>
      </c>
      <c r="R1603" s="246" t="s">
        <v>32</v>
      </c>
    </row>
    <row r="1604" spans="1:18" ht="39" x14ac:dyDescent="0.8">
      <c r="A1604" s="247">
        <v>534</v>
      </c>
      <c r="B1604" s="248" t="s">
        <v>2051</v>
      </c>
      <c r="D1604" s="245">
        <v>0</v>
      </c>
    </row>
    <row r="1605" spans="1:18" ht="26" x14ac:dyDescent="0.8">
      <c r="A1605" s="247">
        <v>5341</v>
      </c>
      <c r="B1605" s="248" t="s">
        <v>2052</v>
      </c>
      <c r="D1605" s="245">
        <v>0</v>
      </c>
    </row>
    <row r="1606" spans="1:18" ht="26" hidden="1" x14ac:dyDescent="0.8">
      <c r="A1606" s="247">
        <v>53411</v>
      </c>
      <c r="B1606" s="248" t="s">
        <v>2053</v>
      </c>
      <c r="C1606" s="249" t="s">
        <v>55</v>
      </c>
      <c r="D1606" s="245">
        <v>0</v>
      </c>
      <c r="E1606" s="245">
        <v>0</v>
      </c>
      <c r="F1606" s="245">
        <v>0</v>
      </c>
      <c r="G1606" s="245">
        <v>0</v>
      </c>
      <c r="I1606" s="245">
        <v>0</v>
      </c>
      <c r="O1606" s="245" t="s">
        <v>56</v>
      </c>
      <c r="P1606" s="245" t="s">
        <v>96</v>
      </c>
      <c r="Q1606" s="245" t="s">
        <v>96</v>
      </c>
      <c r="R1606" s="246" t="s">
        <v>32</v>
      </c>
    </row>
    <row r="1607" spans="1:18" ht="26" hidden="1" x14ac:dyDescent="0.8">
      <c r="A1607" s="247">
        <v>53412</v>
      </c>
      <c r="B1607" s="248" t="s">
        <v>2054</v>
      </c>
      <c r="C1607" s="249" t="s">
        <v>55</v>
      </c>
      <c r="D1607" s="245">
        <v>0</v>
      </c>
      <c r="E1607" s="245">
        <v>0</v>
      </c>
      <c r="F1607" s="245">
        <v>0</v>
      </c>
      <c r="G1607" s="245">
        <v>0</v>
      </c>
      <c r="I1607" s="245">
        <v>0</v>
      </c>
      <c r="O1607" s="245" t="s">
        <v>56</v>
      </c>
      <c r="P1607" s="245" t="s">
        <v>96</v>
      </c>
      <c r="Q1607" s="245" t="s">
        <v>96</v>
      </c>
      <c r="R1607" s="246" t="s">
        <v>677</v>
      </c>
    </row>
    <row r="1608" spans="1:18" ht="26" x14ac:dyDescent="0.8">
      <c r="A1608" s="247">
        <v>53414</v>
      </c>
      <c r="B1608" s="248" t="s">
        <v>2055</v>
      </c>
      <c r="C1608" s="249" t="s">
        <v>73</v>
      </c>
      <c r="D1608" s="245">
        <v>0</v>
      </c>
      <c r="E1608" s="245">
        <v>9</v>
      </c>
      <c r="F1608" s="245">
        <v>9</v>
      </c>
      <c r="G1608" s="245">
        <v>9</v>
      </c>
      <c r="H1608" s="245">
        <v>27</v>
      </c>
      <c r="I1608" s="245">
        <v>0.4</v>
      </c>
      <c r="J1608" s="245">
        <v>0</v>
      </c>
      <c r="K1608" s="245">
        <v>3.6</v>
      </c>
      <c r="L1608" s="245">
        <v>3.6</v>
      </c>
      <c r="M1608" s="245">
        <v>3.6</v>
      </c>
      <c r="N1608" s="245">
        <v>10.8</v>
      </c>
      <c r="O1608" s="245" t="s">
        <v>118</v>
      </c>
      <c r="P1608" s="245" t="s">
        <v>96</v>
      </c>
      <c r="Q1608" s="245" t="s">
        <v>2057</v>
      </c>
      <c r="R1608" s="246" t="s">
        <v>32</v>
      </c>
    </row>
    <row r="1609" spans="1:18" ht="26" x14ac:dyDescent="0.8">
      <c r="A1609" s="247">
        <v>53415</v>
      </c>
      <c r="B1609" s="248" t="s">
        <v>2055</v>
      </c>
      <c r="C1609" s="249" t="s">
        <v>73</v>
      </c>
      <c r="D1609" s="245">
        <v>0</v>
      </c>
      <c r="E1609" s="245">
        <v>9</v>
      </c>
      <c r="F1609" s="245">
        <v>9</v>
      </c>
      <c r="G1609" s="245">
        <v>9</v>
      </c>
      <c r="H1609" s="245">
        <v>27</v>
      </c>
      <c r="I1609" s="245">
        <v>0.4</v>
      </c>
      <c r="J1609" s="245">
        <v>0</v>
      </c>
      <c r="K1609" s="245">
        <v>3.6</v>
      </c>
      <c r="L1609" s="245">
        <v>3.6</v>
      </c>
      <c r="M1609" s="245">
        <v>3.6</v>
      </c>
      <c r="N1609" s="245">
        <v>10.8</v>
      </c>
      <c r="O1609" s="245" t="s">
        <v>39</v>
      </c>
      <c r="P1609" s="245" t="s">
        <v>96</v>
      </c>
      <c r="Q1609" s="245" t="s">
        <v>2057</v>
      </c>
      <c r="R1609" s="246" t="s">
        <v>677</v>
      </c>
    </row>
    <row r="1610" spans="1:18" ht="39" x14ac:dyDescent="0.8">
      <c r="A1610" s="247">
        <v>53417</v>
      </c>
      <c r="B1610" s="248" t="s">
        <v>2058</v>
      </c>
      <c r="C1610" s="249" t="s">
        <v>59</v>
      </c>
      <c r="D1610" s="245">
        <v>0</v>
      </c>
      <c r="E1610" s="245">
        <v>80</v>
      </c>
      <c r="F1610" s="245">
        <v>80</v>
      </c>
      <c r="G1610" s="245">
        <v>80</v>
      </c>
      <c r="H1610" s="245">
        <v>240</v>
      </c>
      <c r="I1610" s="245">
        <v>0.8177777777777776</v>
      </c>
      <c r="J1610" s="245">
        <v>0</v>
      </c>
      <c r="K1610" s="245">
        <v>65.422222222222203</v>
      </c>
      <c r="L1610" s="245">
        <v>65.422222222222203</v>
      </c>
      <c r="M1610" s="245">
        <v>65.422222222222203</v>
      </c>
      <c r="N1610" s="245">
        <v>196.26666666666659</v>
      </c>
      <c r="O1610" s="245" t="s">
        <v>39</v>
      </c>
      <c r="P1610" s="245" t="s">
        <v>273</v>
      </c>
      <c r="Q1610" s="245" t="s">
        <v>273</v>
      </c>
      <c r="R1610" s="246" t="s">
        <v>32</v>
      </c>
    </row>
    <row r="1611" spans="1:18" ht="39" x14ac:dyDescent="0.8">
      <c r="A1611" s="247">
        <v>53418</v>
      </c>
      <c r="B1611" s="248" t="s">
        <v>2059</v>
      </c>
      <c r="C1611" s="249" t="s">
        <v>59</v>
      </c>
      <c r="D1611" s="245">
        <v>0</v>
      </c>
      <c r="E1611" s="245">
        <v>20</v>
      </c>
      <c r="F1611" s="245">
        <v>20</v>
      </c>
      <c r="G1611" s="245">
        <v>20</v>
      </c>
      <c r="H1611" s="245">
        <v>20</v>
      </c>
      <c r="I1611" s="245">
        <v>0.8177777777777776</v>
      </c>
      <c r="J1611" s="245">
        <v>0</v>
      </c>
      <c r="K1611" s="245">
        <v>16.355555555555551</v>
      </c>
      <c r="L1611" s="245">
        <v>16.355555555555551</v>
      </c>
      <c r="M1611" s="245">
        <v>16.355555555555551</v>
      </c>
      <c r="N1611" s="245">
        <v>49.066666666666649</v>
      </c>
      <c r="O1611" s="245" t="s">
        <v>39</v>
      </c>
      <c r="P1611" s="245" t="s">
        <v>273</v>
      </c>
      <c r="Q1611" s="245" t="s">
        <v>273</v>
      </c>
      <c r="R1611" s="246" t="s">
        <v>679</v>
      </c>
    </row>
    <row r="1612" spans="1:18" ht="39" x14ac:dyDescent="0.8">
      <c r="A1612" s="247">
        <v>53419</v>
      </c>
      <c r="B1612" s="248" t="s">
        <v>2059</v>
      </c>
      <c r="C1612" s="249" t="s">
        <v>59</v>
      </c>
      <c r="D1612" s="245">
        <v>0</v>
      </c>
      <c r="E1612" s="245">
        <v>50</v>
      </c>
      <c r="F1612" s="245">
        <v>50</v>
      </c>
      <c r="G1612" s="245">
        <v>50</v>
      </c>
      <c r="H1612" s="245">
        <v>50</v>
      </c>
      <c r="I1612" s="245">
        <v>0.8177777777777776</v>
      </c>
      <c r="J1612" s="245">
        <v>0</v>
      </c>
      <c r="K1612" s="245">
        <v>40.888888888888879</v>
      </c>
      <c r="L1612" s="245">
        <v>40.888888888888879</v>
      </c>
      <c r="M1612" s="245">
        <v>40.888888888888879</v>
      </c>
      <c r="N1612" s="245">
        <v>122.66666666666663</v>
      </c>
      <c r="O1612" s="245" t="s">
        <v>39</v>
      </c>
      <c r="P1612" s="245" t="s">
        <v>273</v>
      </c>
      <c r="Q1612" s="245" t="s">
        <v>273</v>
      </c>
      <c r="R1612" s="246" t="s">
        <v>677</v>
      </c>
    </row>
    <row r="1613" spans="1:18" ht="26" x14ac:dyDescent="0.8">
      <c r="A1613" s="247">
        <v>54</v>
      </c>
      <c r="B1613" s="248" t="s">
        <v>2060</v>
      </c>
      <c r="D1613" s="245">
        <v>0</v>
      </c>
    </row>
    <row r="1614" spans="1:18" ht="39" x14ac:dyDescent="0.8">
      <c r="A1614" s="247">
        <v>541</v>
      </c>
      <c r="B1614" s="248" t="s">
        <v>2061</v>
      </c>
      <c r="D1614" s="245">
        <v>0</v>
      </c>
    </row>
    <row r="1615" spans="1:18" ht="26" x14ac:dyDescent="0.8">
      <c r="A1615" s="247">
        <v>5411</v>
      </c>
      <c r="B1615" s="248" t="s">
        <v>2062</v>
      </c>
      <c r="D1615" s="245">
        <v>0</v>
      </c>
    </row>
    <row r="1616" spans="1:18" ht="39" x14ac:dyDescent="0.8">
      <c r="A1616" s="247">
        <v>54111</v>
      </c>
      <c r="B1616" s="248" t="s">
        <v>2063</v>
      </c>
      <c r="C1616" s="249" t="s">
        <v>646</v>
      </c>
      <c r="D1616" s="245">
        <v>0</v>
      </c>
      <c r="E1616" s="245">
        <v>90</v>
      </c>
      <c r="H1616" s="245">
        <v>90</v>
      </c>
      <c r="I1616" s="245">
        <v>10.404797</v>
      </c>
      <c r="J1616" s="245">
        <v>0</v>
      </c>
      <c r="K1616" s="245">
        <v>936.43173000000002</v>
      </c>
      <c r="L1616" s="245">
        <v>0</v>
      </c>
      <c r="M1616" s="245">
        <v>0</v>
      </c>
      <c r="N1616" s="245">
        <v>936.43173000000002</v>
      </c>
      <c r="O1616" s="245" t="s">
        <v>39</v>
      </c>
      <c r="P1616" s="245" t="s">
        <v>96</v>
      </c>
      <c r="Q1616" s="245" t="s">
        <v>96</v>
      </c>
      <c r="R1616" s="246" t="s">
        <v>32</v>
      </c>
    </row>
    <row r="1617" spans="1:18" ht="52" hidden="1" x14ac:dyDescent="0.8">
      <c r="A1617" s="247">
        <v>54112</v>
      </c>
      <c r="B1617" s="248" t="s">
        <v>2064</v>
      </c>
      <c r="C1617" s="249" t="s">
        <v>55</v>
      </c>
      <c r="D1617" s="245">
        <v>0</v>
      </c>
      <c r="I1617" s="245">
        <v>0</v>
      </c>
      <c r="O1617" s="245" t="s">
        <v>56</v>
      </c>
      <c r="P1617" s="245" t="s">
        <v>96</v>
      </c>
      <c r="Q1617" s="245" t="s">
        <v>96</v>
      </c>
      <c r="R1617" s="246" t="s">
        <v>2066</v>
      </c>
    </row>
    <row r="1618" spans="1:18" ht="52" hidden="1" x14ac:dyDescent="0.8">
      <c r="A1618" s="247">
        <v>54113</v>
      </c>
      <c r="B1618" s="248" t="s">
        <v>2067</v>
      </c>
      <c r="C1618" s="249" t="s">
        <v>55</v>
      </c>
      <c r="D1618" s="245">
        <v>0</v>
      </c>
      <c r="I1618" s="245">
        <v>0</v>
      </c>
      <c r="O1618" s="245" t="s">
        <v>56</v>
      </c>
      <c r="P1618" s="245" t="s">
        <v>96</v>
      </c>
      <c r="Q1618" s="245" t="s">
        <v>96</v>
      </c>
      <c r="R1618" s="246" t="s">
        <v>32</v>
      </c>
    </row>
    <row r="1619" spans="1:18" x14ac:dyDescent="0.8">
      <c r="A1619" s="247">
        <v>5412</v>
      </c>
      <c r="B1619" s="248" t="s">
        <v>2068</v>
      </c>
      <c r="D1619" s="245">
        <v>0</v>
      </c>
    </row>
    <row r="1620" spans="1:18" ht="39" x14ac:dyDescent="0.8">
      <c r="A1620" s="247">
        <v>54121</v>
      </c>
      <c r="B1620" s="248" t="s">
        <v>2069</v>
      </c>
      <c r="C1620" s="249" t="s">
        <v>2071</v>
      </c>
      <c r="D1620" s="245">
        <v>0</v>
      </c>
      <c r="E1620" s="245">
        <v>3.3340000000000005</v>
      </c>
      <c r="H1620" s="245">
        <v>3.3340000000000005</v>
      </c>
      <c r="I1620" s="245">
        <v>40.32</v>
      </c>
      <c r="J1620" s="245">
        <v>0</v>
      </c>
      <c r="K1620" s="245">
        <v>134.42688000000001</v>
      </c>
      <c r="L1620" s="245">
        <v>0</v>
      </c>
      <c r="M1620" s="245">
        <v>0</v>
      </c>
      <c r="N1620" s="245">
        <v>134.42688000000001</v>
      </c>
      <c r="O1620" s="245" t="s">
        <v>39</v>
      </c>
      <c r="P1620" s="245" t="s">
        <v>96</v>
      </c>
      <c r="Q1620" s="245" t="s">
        <v>96</v>
      </c>
      <c r="R1620" s="246" t="s">
        <v>32</v>
      </c>
    </row>
    <row r="1621" spans="1:18" ht="39" x14ac:dyDescent="0.8">
      <c r="A1621" s="247">
        <v>54121</v>
      </c>
      <c r="B1621" s="248" t="s">
        <v>2069</v>
      </c>
      <c r="C1621" s="249" t="s">
        <v>2071</v>
      </c>
      <c r="D1621" s="245">
        <v>0</v>
      </c>
      <c r="E1621" s="245">
        <v>6.6659999999999995</v>
      </c>
      <c r="H1621" s="245">
        <v>6.6659999999999995</v>
      </c>
      <c r="I1621" s="245">
        <v>40.32</v>
      </c>
      <c r="J1621" s="245">
        <v>0</v>
      </c>
      <c r="K1621" s="245">
        <v>268.77312000000001</v>
      </c>
      <c r="L1621" s="245">
        <v>0</v>
      </c>
      <c r="M1621" s="245">
        <v>0</v>
      </c>
      <c r="N1621" s="245">
        <v>268.77312000000001</v>
      </c>
      <c r="O1621" s="245" t="s">
        <v>118</v>
      </c>
      <c r="P1621" s="245" t="s">
        <v>96</v>
      </c>
      <c r="Q1621" s="245" t="s">
        <v>96</v>
      </c>
      <c r="R1621" s="246" t="s">
        <v>32</v>
      </c>
    </row>
    <row r="1622" spans="1:18" ht="26" x14ac:dyDescent="0.8">
      <c r="A1622" s="247">
        <v>54122</v>
      </c>
      <c r="B1622" s="248" t="s">
        <v>2072</v>
      </c>
      <c r="C1622" s="249" t="s">
        <v>2074</v>
      </c>
      <c r="D1622" s="245">
        <v>0</v>
      </c>
      <c r="E1622" s="245">
        <v>10</v>
      </c>
      <c r="F1622" s="245">
        <v>8</v>
      </c>
      <c r="G1622" s="245">
        <v>38</v>
      </c>
      <c r="H1622" s="245">
        <v>56</v>
      </c>
      <c r="I1622" s="245">
        <v>10.5</v>
      </c>
      <c r="J1622" s="245">
        <v>0</v>
      </c>
      <c r="K1622" s="245">
        <v>105</v>
      </c>
      <c r="L1622" s="245">
        <v>84</v>
      </c>
      <c r="M1622" s="245">
        <v>399</v>
      </c>
      <c r="N1622" s="245">
        <v>588</v>
      </c>
      <c r="O1622" s="245" t="s">
        <v>118</v>
      </c>
      <c r="P1622" s="245" t="s">
        <v>96</v>
      </c>
      <c r="Q1622" s="245" t="s">
        <v>96</v>
      </c>
      <c r="R1622" s="246" t="s">
        <v>32</v>
      </c>
    </row>
    <row r="1623" spans="1:18" ht="26" x14ac:dyDescent="0.8">
      <c r="A1623" s="247">
        <v>54123</v>
      </c>
      <c r="B1623" s="248" t="s">
        <v>2075</v>
      </c>
      <c r="C1623" s="249" t="s">
        <v>2074</v>
      </c>
      <c r="D1623" s="245">
        <v>0</v>
      </c>
      <c r="E1623" s="245">
        <v>10</v>
      </c>
      <c r="H1623" s="245">
        <v>10</v>
      </c>
      <c r="I1623" s="245">
        <v>10.5</v>
      </c>
      <c r="J1623" s="245">
        <v>0</v>
      </c>
      <c r="K1623" s="245">
        <v>105</v>
      </c>
      <c r="L1623" s="245">
        <v>0</v>
      </c>
      <c r="M1623" s="245">
        <v>0</v>
      </c>
      <c r="N1623" s="245">
        <v>105</v>
      </c>
      <c r="O1623" s="245" t="s">
        <v>39</v>
      </c>
      <c r="P1623" s="245" t="s">
        <v>96</v>
      </c>
      <c r="Q1623" s="245" t="s">
        <v>96</v>
      </c>
      <c r="R1623" s="246" t="s">
        <v>679</v>
      </c>
    </row>
    <row r="1624" spans="1:18" ht="26" x14ac:dyDescent="0.8">
      <c r="A1624" s="247">
        <v>54124</v>
      </c>
      <c r="B1624" s="248" t="s">
        <v>2076</v>
      </c>
      <c r="C1624" s="249" t="s">
        <v>2074</v>
      </c>
      <c r="D1624" s="245">
        <v>0</v>
      </c>
      <c r="E1624" s="245">
        <v>10</v>
      </c>
      <c r="F1624" s="245">
        <v>8</v>
      </c>
      <c r="H1624" s="245">
        <v>18</v>
      </c>
      <c r="I1624" s="245">
        <v>10.5</v>
      </c>
      <c r="J1624" s="245">
        <v>0</v>
      </c>
      <c r="K1624" s="245">
        <v>105</v>
      </c>
      <c r="L1624" s="245">
        <v>84</v>
      </c>
      <c r="M1624" s="245">
        <v>0</v>
      </c>
      <c r="N1624" s="245">
        <v>189</v>
      </c>
      <c r="O1624" s="245" t="s">
        <v>39</v>
      </c>
      <c r="P1624" s="245" t="s">
        <v>96</v>
      </c>
      <c r="Q1624" s="245" t="s">
        <v>96</v>
      </c>
      <c r="R1624" s="246" t="s">
        <v>677</v>
      </c>
    </row>
    <row r="1625" spans="1:18" ht="52" x14ac:dyDescent="0.8">
      <c r="A1625" s="247">
        <v>54125</v>
      </c>
      <c r="B1625" s="248" t="s">
        <v>2077</v>
      </c>
      <c r="C1625" s="249" t="s">
        <v>301</v>
      </c>
      <c r="D1625" s="245">
        <v>0</v>
      </c>
      <c r="E1625" s="245">
        <v>150</v>
      </c>
      <c r="F1625" s="245">
        <v>75</v>
      </c>
      <c r="G1625" s="245">
        <v>75</v>
      </c>
      <c r="H1625" s="245">
        <v>300</v>
      </c>
      <c r="I1625" s="245">
        <v>0.67666666666666664</v>
      </c>
      <c r="J1625" s="245">
        <v>0</v>
      </c>
      <c r="K1625" s="245">
        <v>101.5</v>
      </c>
      <c r="L1625" s="245">
        <v>50.75</v>
      </c>
      <c r="M1625" s="245">
        <v>50.75</v>
      </c>
      <c r="N1625" s="245">
        <v>203</v>
      </c>
      <c r="O1625" s="245" t="s">
        <v>39</v>
      </c>
      <c r="P1625" s="245" t="s">
        <v>96</v>
      </c>
      <c r="Q1625" s="245" t="s">
        <v>96</v>
      </c>
      <c r="R1625" s="246" t="s">
        <v>32</v>
      </c>
    </row>
    <row r="1626" spans="1:18" ht="52" x14ac:dyDescent="0.8">
      <c r="A1626" s="247">
        <v>54126</v>
      </c>
      <c r="B1626" s="248" t="s">
        <v>2078</v>
      </c>
      <c r="C1626" s="249" t="s">
        <v>301</v>
      </c>
      <c r="D1626" s="245">
        <v>0</v>
      </c>
      <c r="E1626" s="245">
        <v>280</v>
      </c>
      <c r="F1626" s="245">
        <v>280</v>
      </c>
      <c r="H1626" s="245">
        <v>560</v>
      </c>
      <c r="I1626" s="245">
        <v>0.67666666666666664</v>
      </c>
      <c r="J1626" s="245">
        <v>0</v>
      </c>
      <c r="K1626" s="245">
        <v>189.46666666666667</v>
      </c>
      <c r="L1626" s="245">
        <v>189.46666666666667</v>
      </c>
      <c r="M1626" s="245">
        <v>0</v>
      </c>
      <c r="N1626" s="245">
        <v>378.93333333333334</v>
      </c>
      <c r="O1626" s="245" t="s">
        <v>39</v>
      </c>
      <c r="P1626" s="245" t="s">
        <v>96</v>
      </c>
      <c r="Q1626" s="245" t="s">
        <v>96</v>
      </c>
      <c r="R1626" s="246" t="s">
        <v>32</v>
      </c>
    </row>
    <row r="1627" spans="1:18" ht="52" x14ac:dyDescent="0.8">
      <c r="A1627" s="247">
        <v>54126</v>
      </c>
      <c r="B1627" s="248" t="s">
        <v>2078</v>
      </c>
      <c r="C1627" s="249" t="s">
        <v>301</v>
      </c>
      <c r="D1627" s="245">
        <v>0</v>
      </c>
      <c r="E1627" s="245">
        <v>280</v>
      </c>
      <c r="F1627" s="245">
        <v>280</v>
      </c>
      <c r="H1627" s="245">
        <v>560</v>
      </c>
      <c r="I1627" s="245">
        <v>0.67666666666666664</v>
      </c>
      <c r="J1627" s="245">
        <v>0</v>
      </c>
      <c r="K1627" s="245">
        <v>189.46666666666667</v>
      </c>
      <c r="L1627" s="245">
        <v>189.46666666666667</v>
      </c>
      <c r="M1627" s="245">
        <v>0</v>
      </c>
      <c r="N1627" s="245">
        <v>378.93333333333334</v>
      </c>
      <c r="O1627" s="245" t="s">
        <v>118</v>
      </c>
      <c r="P1627" s="245" t="s">
        <v>96</v>
      </c>
      <c r="Q1627" s="245" t="s">
        <v>96</v>
      </c>
      <c r="R1627" s="246" t="s">
        <v>32</v>
      </c>
    </row>
    <row r="1628" spans="1:18" ht="52" x14ac:dyDescent="0.8">
      <c r="A1628" s="247">
        <v>54127</v>
      </c>
      <c r="B1628" s="248" t="s">
        <v>2079</v>
      </c>
      <c r="C1628" s="249" t="s">
        <v>301</v>
      </c>
      <c r="D1628" s="245">
        <v>0</v>
      </c>
      <c r="E1628" s="245">
        <v>255</v>
      </c>
      <c r="F1628" s="245">
        <v>255</v>
      </c>
      <c r="H1628" s="245">
        <v>510</v>
      </c>
      <c r="I1628" s="245">
        <v>0.67666666666666664</v>
      </c>
      <c r="J1628" s="245">
        <v>0</v>
      </c>
      <c r="K1628" s="245">
        <v>172.54999999999998</v>
      </c>
      <c r="L1628" s="245">
        <v>172.54999999999998</v>
      </c>
      <c r="M1628" s="245">
        <v>0</v>
      </c>
      <c r="N1628" s="245">
        <v>345.09999999999997</v>
      </c>
      <c r="O1628" s="245" t="s">
        <v>39</v>
      </c>
      <c r="P1628" s="245" t="s">
        <v>96</v>
      </c>
      <c r="Q1628" s="245" t="s">
        <v>96</v>
      </c>
      <c r="R1628" s="246" t="s">
        <v>32</v>
      </c>
    </row>
    <row r="1629" spans="1:18" ht="52" x14ac:dyDescent="0.8">
      <c r="A1629" s="247">
        <v>54127</v>
      </c>
      <c r="B1629" s="248" t="s">
        <v>2079</v>
      </c>
      <c r="C1629" s="249" t="s">
        <v>301</v>
      </c>
      <c r="D1629" s="245">
        <v>0</v>
      </c>
      <c r="E1629" s="245">
        <v>255</v>
      </c>
      <c r="F1629" s="245">
        <v>255</v>
      </c>
      <c r="H1629" s="245">
        <v>510</v>
      </c>
      <c r="I1629" s="245">
        <v>0.67666666666666664</v>
      </c>
      <c r="J1629" s="245">
        <v>0</v>
      </c>
      <c r="K1629" s="245">
        <v>172.54999999999998</v>
      </c>
      <c r="L1629" s="245">
        <v>172.54999999999998</v>
      </c>
      <c r="M1629" s="245">
        <v>0</v>
      </c>
      <c r="N1629" s="245">
        <v>345.09999999999997</v>
      </c>
      <c r="O1629" s="245" t="s">
        <v>118</v>
      </c>
      <c r="P1629" s="245" t="s">
        <v>96</v>
      </c>
      <c r="Q1629" s="245" t="s">
        <v>96</v>
      </c>
      <c r="R1629" s="246" t="s">
        <v>32</v>
      </c>
    </row>
    <row r="1630" spans="1:18" ht="52" x14ac:dyDescent="0.8">
      <c r="A1630" s="247">
        <v>54128</v>
      </c>
      <c r="B1630" s="248" t="s">
        <v>2080</v>
      </c>
      <c r="C1630" s="249" t="s">
        <v>301</v>
      </c>
      <c r="D1630" s="245">
        <v>0</v>
      </c>
      <c r="E1630" s="245">
        <v>150</v>
      </c>
      <c r="F1630" s="245">
        <v>230</v>
      </c>
      <c r="H1630" s="245">
        <v>380</v>
      </c>
      <c r="I1630" s="245">
        <v>0.67666666666666664</v>
      </c>
      <c r="J1630" s="245">
        <v>0</v>
      </c>
      <c r="K1630" s="245">
        <v>101.5</v>
      </c>
      <c r="L1630" s="245">
        <v>155.63333333333333</v>
      </c>
      <c r="M1630" s="245">
        <v>0</v>
      </c>
      <c r="N1630" s="245">
        <v>257.13333333333333</v>
      </c>
      <c r="O1630" s="245" t="s">
        <v>39</v>
      </c>
      <c r="P1630" s="245" t="s">
        <v>96</v>
      </c>
      <c r="Q1630" s="245" t="s">
        <v>764</v>
      </c>
      <c r="R1630" s="246" t="s">
        <v>32</v>
      </c>
    </row>
    <row r="1631" spans="1:18" ht="52" x14ac:dyDescent="0.8">
      <c r="A1631" s="247">
        <v>54128</v>
      </c>
      <c r="B1631" s="248" t="s">
        <v>2080</v>
      </c>
      <c r="C1631" s="249" t="s">
        <v>301</v>
      </c>
      <c r="D1631" s="245">
        <v>0</v>
      </c>
      <c r="E1631" s="245">
        <v>150</v>
      </c>
      <c r="F1631" s="245">
        <v>230</v>
      </c>
      <c r="H1631" s="245">
        <v>380</v>
      </c>
      <c r="I1631" s="245">
        <v>0.67666666666666664</v>
      </c>
      <c r="J1631" s="245">
        <v>0</v>
      </c>
      <c r="K1631" s="245">
        <v>101.5</v>
      </c>
      <c r="L1631" s="245">
        <v>155.63333333333333</v>
      </c>
      <c r="M1631" s="245">
        <v>0</v>
      </c>
      <c r="N1631" s="245">
        <v>257.13333333333333</v>
      </c>
      <c r="O1631" s="245" t="s">
        <v>118</v>
      </c>
      <c r="P1631" s="245" t="s">
        <v>96</v>
      </c>
      <c r="Q1631" s="245" t="s">
        <v>764</v>
      </c>
      <c r="R1631" s="246" t="s">
        <v>32</v>
      </c>
    </row>
    <row r="1632" spans="1:18" ht="52" x14ac:dyDescent="0.8">
      <c r="A1632" s="247">
        <v>54129</v>
      </c>
      <c r="B1632" s="248" t="s">
        <v>2081</v>
      </c>
      <c r="C1632" s="249" t="s">
        <v>1068</v>
      </c>
      <c r="D1632" s="245">
        <v>0</v>
      </c>
      <c r="E1632" s="245">
        <v>3</v>
      </c>
      <c r="F1632" s="245">
        <v>3</v>
      </c>
      <c r="G1632" s="245">
        <v>3</v>
      </c>
      <c r="H1632" s="245">
        <v>9</v>
      </c>
      <c r="I1632" s="245">
        <v>107.95</v>
      </c>
      <c r="J1632" s="245">
        <v>0</v>
      </c>
      <c r="K1632" s="245">
        <v>323.85000000000002</v>
      </c>
      <c r="L1632" s="245">
        <v>323.85000000000002</v>
      </c>
      <c r="M1632" s="245">
        <v>323.85000000000002</v>
      </c>
      <c r="N1632" s="245">
        <v>971.55000000000007</v>
      </c>
      <c r="O1632" s="245" t="s">
        <v>39</v>
      </c>
      <c r="P1632" s="245" t="s">
        <v>96</v>
      </c>
      <c r="Q1632" s="245" t="s">
        <v>2082</v>
      </c>
      <c r="R1632" s="246" t="s">
        <v>32</v>
      </c>
    </row>
    <row r="1633" spans="1:18" ht="52" x14ac:dyDescent="0.8">
      <c r="A1633" s="247">
        <v>54129</v>
      </c>
      <c r="B1633" s="248" t="s">
        <v>2081</v>
      </c>
      <c r="C1633" s="249" t="s">
        <v>1068</v>
      </c>
      <c r="D1633" s="245">
        <v>0</v>
      </c>
      <c r="E1633" s="245">
        <v>3</v>
      </c>
      <c r="F1633" s="245">
        <v>3</v>
      </c>
      <c r="G1633" s="245">
        <v>3</v>
      </c>
      <c r="H1633" s="245">
        <v>9</v>
      </c>
      <c r="I1633" s="245">
        <v>107.95</v>
      </c>
      <c r="J1633" s="245">
        <v>0</v>
      </c>
      <c r="K1633" s="245">
        <v>323.85000000000002</v>
      </c>
      <c r="L1633" s="245">
        <v>323.85000000000002</v>
      </c>
      <c r="M1633" s="245">
        <v>323.85000000000002</v>
      </c>
      <c r="N1633" s="245">
        <v>971.55000000000007</v>
      </c>
      <c r="O1633" s="245" t="s">
        <v>118</v>
      </c>
      <c r="P1633" s="245" t="s">
        <v>96</v>
      </c>
      <c r="Q1633" s="245" t="s">
        <v>2082</v>
      </c>
      <c r="R1633" s="246" t="s">
        <v>32</v>
      </c>
    </row>
    <row r="1634" spans="1:18" ht="26" hidden="1" x14ac:dyDescent="0.8">
      <c r="A1634" s="247">
        <v>541210</v>
      </c>
      <c r="B1634" s="248" t="s">
        <v>2083</v>
      </c>
      <c r="C1634" s="249" t="s">
        <v>55</v>
      </c>
      <c r="D1634" s="245">
        <v>0</v>
      </c>
      <c r="I1634" s="245">
        <v>0</v>
      </c>
      <c r="O1634" s="245" t="s">
        <v>56</v>
      </c>
      <c r="P1634" s="245" t="s">
        <v>96</v>
      </c>
      <c r="Q1634" s="245" t="s">
        <v>142</v>
      </c>
      <c r="R1634" s="246" t="s">
        <v>32</v>
      </c>
    </row>
    <row r="1635" spans="1:18" ht="26" hidden="1" x14ac:dyDescent="0.8">
      <c r="A1635" s="247">
        <v>541211</v>
      </c>
      <c r="B1635" s="248" t="s">
        <v>2084</v>
      </c>
      <c r="C1635" s="249" t="s">
        <v>55</v>
      </c>
      <c r="D1635" s="245">
        <v>0</v>
      </c>
      <c r="I1635" s="245">
        <v>0</v>
      </c>
      <c r="O1635" s="245" t="s">
        <v>56</v>
      </c>
      <c r="P1635" s="245" t="s">
        <v>96</v>
      </c>
      <c r="Q1635" s="245" t="s">
        <v>142</v>
      </c>
      <c r="R1635" s="246" t="s">
        <v>32</v>
      </c>
    </row>
    <row r="1636" spans="1:18" ht="52" x14ac:dyDescent="0.8">
      <c r="A1636" s="247">
        <v>541212</v>
      </c>
      <c r="B1636" s="248" t="s">
        <v>2085</v>
      </c>
      <c r="C1636" s="249" t="s">
        <v>2087</v>
      </c>
      <c r="D1636" s="245">
        <v>0</v>
      </c>
      <c r="E1636" s="245">
        <v>1</v>
      </c>
      <c r="F1636" s="245">
        <v>1</v>
      </c>
      <c r="G1636" s="245">
        <v>1</v>
      </c>
      <c r="H1636" s="245">
        <v>3</v>
      </c>
      <c r="I1636" s="245">
        <v>342</v>
      </c>
      <c r="J1636" s="245">
        <v>0</v>
      </c>
      <c r="K1636" s="245">
        <v>342</v>
      </c>
      <c r="L1636" s="245">
        <v>342</v>
      </c>
      <c r="M1636" s="245">
        <v>342</v>
      </c>
      <c r="N1636" s="245">
        <v>1026</v>
      </c>
      <c r="O1636" s="245" t="s">
        <v>118</v>
      </c>
      <c r="P1636" s="245" t="s">
        <v>96</v>
      </c>
      <c r="Q1636" s="245" t="s">
        <v>96</v>
      </c>
      <c r="R1636" s="246" t="s">
        <v>32</v>
      </c>
    </row>
    <row r="1637" spans="1:18" ht="26" x14ac:dyDescent="0.8">
      <c r="A1637" s="247">
        <v>542</v>
      </c>
      <c r="B1637" s="248" t="s">
        <v>2088</v>
      </c>
      <c r="D1637" s="245">
        <v>0</v>
      </c>
    </row>
    <row r="1638" spans="1:18" x14ac:dyDescent="0.8">
      <c r="A1638" s="247">
        <v>5421</v>
      </c>
      <c r="B1638" s="248" t="s">
        <v>2089</v>
      </c>
      <c r="D1638" s="245">
        <v>0</v>
      </c>
    </row>
    <row r="1639" spans="1:18" hidden="1" x14ac:dyDescent="0.8">
      <c r="B1639" s="248" t="s">
        <v>2090</v>
      </c>
      <c r="D1639" s="245">
        <v>0</v>
      </c>
      <c r="O1639" s="245" t="s">
        <v>56</v>
      </c>
    </row>
    <row r="1640" spans="1:18" x14ac:dyDescent="0.8">
      <c r="A1640" s="247">
        <v>5422</v>
      </c>
      <c r="B1640" s="248" t="s">
        <v>2091</v>
      </c>
      <c r="D1640" s="245">
        <v>0</v>
      </c>
    </row>
    <row r="1641" spans="1:18" ht="52" x14ac:dyDescent="0.8">
      <c r="A1641" s="247">
        <v>54221</v>
      </c>
      <c r="B1641" s="248" t="s">
        <v>2092</v>
      </c>
      <c r="C1641" s="249" t="s">
        <v>59</v>
      </c>
      <c r="D1641" s="245">
        <v>0</v>
      </c>
      <c r="E1641" s="245">
        <v>460</v>
      </c>
      <c r="H1641" s="245">
        <v>460</v>
      </c>
      <c r="I1641" s="245">
        <v>0.8177777777777776</v>
      </c>
      <c r="J1641" s="245">
        <v>0</v>
      </c>
      <c r="K1641" s="245">
        <v>376.17777777777769</v>
      </c>
      <c r="L1641" s="245">
        <v>0</v>
      </c>
      <c r="M1641" s="245">
        <v>0</v>
      </c>
      <c r="N1641" s="245">
        <v>376.17777777777769</v>
      </c>
      <c r="O1641" s="245" t="s">
        <v>118</v>
      </c>
      <c r="P1641" s="245" t="s">
        <v>96</v>
      </c>
      <c r="Q1641" s="245" t="s">
        <v>96</v>
      </c>
      <c r="R1641" s="246" t="s">
        <v>32</v>
      </c>
    </row>
    <row r="1642" spans="1:18" ht="39" hidden="1" x14ac:dyDescent="0.8">
      <c r="A1642" s="247">
        <v>54222</v>
      </c>
      <c r="B1642" s="248" t="s">
        <v>2094</v>
      </c>
      <c r="C1642" s="249" t="s">
        <v>55</v>
      </c>
      <c r="D1642" s="245">
        <v>0</v>
      </c>
      <c r="E1642" s="245">
        <v>1</v>
      </c>
      <c r="F1642" s="245">
        <v>1</v>
      </c>
      <c r="G1642" s="245">
        <v>1</v>
      </c>
      <c r="H1642" s="245">
        <v>3</v>
      </c>
      <c r="I1642" s="245">
        <v>0</v>
      </c>
      <c r="J1642" s="245">
        <v>0</v>
      </c>
      <c r="K1642" s="245">
        <v>0</v>
      </c>
      <c r="L1642" s="245">
        <v>0</v>
      </c>
      <c r="M1642" s="245">
        <v>0</v>
      </c>
      <c r="O1642" s="245" t="s">
        <v>56</v>
      </c>
      <c r="P1642" s="245" t="s">
        <v>96</v>
      </c>
      <c r="Q1642" s="245" t="s">
        <v>96</v>
      </c>
      <c r="R1642" s="246" t="s">
        <v>679</v>
      </c>
    </row>
    <row r="1643" spans="1:18" ht="39" x14ac:dyDescent="0.8">
      <c r="A1643" s="247">
        <v>54223</v>
      </c>
      <c r="B1643" s="248" t="s">
        <v>2095</v>
      </c>
      <c r="C1643" s="249" t="s">
        <v>59</v>
      </c>
      <c r="D1643" s="245">
        <v>0</v>
      </c>
      <c r="E1643" s="245">
        <v>320</v>
      </c>
      <c r="H1643" s="245">
        <v>320</v>
      </c>
      <c r="I1643" s="245">
        <v>0.8177777777777776</v>
      </c>
      <c r="J1643" s="245">
        <v>0</v>
      </c>
      <c r="K1643" s="245">
        <v>261.68888888888881</v>
      </c>
      <c r="L1643" s="245">
        <v>0</v>
      </c>
      <c r="M1643" s="245">
        <v>0</v>
      </c>
      <c r="N1643" s="245">
        <v>261.68888888888881</v>
      </c>
      <c r="O1643" s="245" t="s">
        <v>118</v>
      </c>
      <c r="P1643" s="245" t="s">
        <v>96</v>
      </c>
      <c r="Q1643" s="245" t="s">
        <v>96</v>
      </c>
      <c r="R1643" s="246" t="s">
        <v>677</v>
      </c>
    </row>
    <row r="1644" spans="1:18" ht="26" x14ac:dyDescent="0.8">
      <c r="A1644" s="247">
        <v>54224</v>
      </c>
      <c r="B1644" s="248" t="s">
        <v>2096</v>
      </c>
      <c r="C1644" s="249" t="s">
        <v>59</v>
      </c>
      <c r="D1644" s="245">
        <v>0</v>
      </c>
      <c r="E1644" s="245">
        <v>460</v>
      </c>
      <c r="H1644" s="245">
        <v>460</v>
      </c>
      <c r="I1644" s="245">
        <v>0.8177777777777776</v>
      </c>
      <c r="J1644" s="245">
        <v>0</v>
      </c>
      <c r="K1644" s="245">
        <v>376.17777777777769</v>
      </c>
      <c r="L1644" s="245">
        <v>0</v>
      </c>
      <c r="M1644" s="245">
        <v>0</v>
      </c>
      <c r="N1644" s="245">
        <v>376.17777777777769</v>
      </c>
      <c r="O1644" s="245" t="s">
        <v>118</v>
      </c>
      <c r="P1644" s="245" t="s">
        <v>96</v>
      </c>
      <c r="Q1644" s="245" t="s">
        <v>96</v>
      </c>
      <c r="R1644" s="246" t="s">
        <v>32</v>
      </c>
    </row>
    <row r="1645" spans="1:18" ht="65" hidden="1" x14ac:dyDescent="0.8">
      <c r="A1645" s="247">
        <v>54225</v>
      </c>
      <c r="B1645" s="248" t="s">
        <v>2097</v>
      </c>
      <c r="C1645" s="249" t="s">
        <v>55</v>
      </c>
      <c r="D1645" s="245">
        <v>0</v>
      </c>
      <c r="E1645" s="245">
        <v>1</v>
      </c>
      <c r="F1645" s="245">
        <v>1</v>
      </c>
      <c r="G1645" s="245">
        <v>1</v>
      </c>
      <c r="H1645" s="245">
        <v>3</v>
      </c>
      <c r="I1645" s="245">
        <v>0</v>
      </c>
      <c r="J1645" s="245">
        <v>0</v>
      </c>
      <c r="K1645" s="245">
        <v>0</v>
      </c>
      <c r="L1645" s="245">
        <v>0</v>
      </c>
      <c r="M1645" s="245">
        <v>0</v>
      </c>
      <c r="O1645" s="245" t="s">
        <v>56</v>
      </c>
      <c r="P1645" s="245" t="s">
        <v>96</v>
      </c>
      <c r="Q1645" s="245" t="s">
        <v>96</v>
      </c>
      <c r="R1645" s="246" t="s">
        <v>679</v>
      </c>
    </row>
    <row r="1646" spans="1:18" ht="26" x14ac:dyDescent="0.8">
      <c r="A1646" s="247">
        <v>54226</v>
      </c>
      <c r="B1646" s="248" t="s">
        <v>2098</v>
      </c>
      <c r="C1646" s="249" t="s">
        <v>59</v>
      </c>
      <c r="D1646" s="245">
        <v>0</v>
      </c>
      <c r="E1646" s="245">
        <v>160</v>
      </c>
      <c r="H1646" s="245">
        <v>160</v>
      </c>
      <c r="I1646" s="245">
        <v>0.8177777777777776</v>
      </c>
      <c r="J1646" s="245">
        <v>0</v>
      </c>
      <c r="K1646" s="245">
        <v>130.84444444444441</v>
      </c>
      <c r="L1646" s="245">
        <v>0</v>
      </c>
      <c r="M1646" s="245">
        <v>0</v>
      </c>
      <c r="N1646" s="245">
        <v>130.84444444444441</v>
      </c>
      <c r="O1646" s="245" t="s">
        <v>118</v>
      </c>
      <c r="P1646" s="245" t="s">
        <v>96</v>
      </c>
      <c r="Q1646" s="245" t="s">
        <v>96</v>
      </c>
      <c r="R1646" s="246" t="s">
        <v>677</v>
      </c>
    </row>
    <row r="1647" spans="1:18" x14ac:dyDescent="0.8">
      <c r="A1647" s="247">
        <v>5423</v>
      </c>
      <c r="B1647" s="248" t="s">
        <v>2099</v>
      </c>
      <c r="D1647" s="245">
        <v>0</v>
      </c>
    </row>
    <row r="1648" spans="1:18" ht="26" x14ac:dyDescent="0.8">
      <c r="A1648" s="247">
        <v>54231</v>
      </c>
      <c r="B1648" s="248" t="s">
        <v>2100</v>
      </c>
      <c r="C1648" s="249" t="s">
        <v>59</v>
      </c>
      <c r="D1648" s="245">
        <v>0</v>
      </c>
      <c r="E1648" s="245">
        <v>320</v>
      </c>
      <c r="F1648" s="245">
        <v>320</v>
      </c>
      <c r="G1648" s="245">
        <v>320</v>
      </c>
      <c r="H1648" s="245">
        <v>960</v>
      </c>
      <c r="I1648" s="245">
        <v>0.8177777777777776</v>
      </c>
      <c r="J1648" s="245">
        <v>0</v>
      </c>
      <c r="K1648" s="245">
        <v>261.68888888888881</v>
      </c>
      <c r="L1648" s="245">
        <v>261.68888888888881</v>
      </c>
      <c r="M1648" s="245">
        <v>261.68888888888881</v>
      </c>
      <c r="N1648" s="245">
        <v>785.06666666666638</v>
      </c>
      <c r="O1648" s="245" t="s">
        <v>39</v>
      </c>
      <c r="P1648" s="245" t="s">
        <v>96</v>
      </c>
      <c r="Q1648" s="245" t="s">
        <v>96</v>
      </c>
      <c r="R1648" s="246" t="s">
        <v>32</v>
      </c>
    </row>
    <row r="1649" spans="1:18" ht="26" x14ac:dyDescent="0.8">
      <c r="A1649" s="247">
        <v>54232</v>
      </c>
      <c r="B1649" s="248" t="s">
        <v>2100</v>
      </c>
      <c r="C1649" s="249" t="s">
        <v>59</v>
      </c>
      <c r="D1649" s="245">
        <v>0</v>
      </c>
      <c r="E1649" s="245">
        <v>96</v>
      </c>
      <c r="F1649" s="245">
        <v>96</v>
      </c>
      <c r="G1649" s="245">
        <v>96</v>
      </c>
      <c r="H1649" s="245">
        <v>288</v>
      </c>
      <c r="I1649" s="245">
        <v>0.8177777777777776</v>
      </c>
      <c r="J1649" s="245">
        <v>0</v>
      </c>
      <c r="K1649" s="245">
        <v>78.506666666666646</v>
      </c>
      <c r="L1649" s="245">
        <v>78.506666666666646</v>
      </c>
      <c r="M1649" s="245">
        <v>78.506666666666646</v>
      </c>
      <c r="N1649" s="245">
        <v>235.51999999999992</v>
      </c>
      <c r="O1649" s="245" t="s">
        <v>39</v>
      </c>
      <c r="P1649" s="245" t="s">
        <v>96</v>
      </c>
      <c r="Q1649" s="245" t="s">
        <v>96</v>
      </c>
      <c r="R1649" s="246" t="s">
        <v>679</v>
      </c>
    </row>
    <row r="1650" spans="1:18" ht="26" x14ac:dyDescent="0.8">
      <c r="A1650" s="247">
        <v>54233</v>
      </c>
      <c r="B1650" s="248" t="s">
        <v>2100</v>
      </c>
      <c r="C1650" s="249" t="s">
        <v>59</v>
      </c>
      <c r="D1650" s="245">
        <v>0</v>
      </c>
      <c r="E1650" s="245">
        <v>160</v>
      </c>
      <c r="F1650" s="245">
        <v>160</v>
      </c>
      <c r="G1650" s="245">
        <v>160</v>
      </c>
      <c r="H1650" s="245">
        <v>480</v>
      </c>
      <c r="I1650" s="245">
        <v>0.8177777777777776</v>
      </c>
      <c r="J1650" s="245">
        <v>0</v>
      </c>
      <c r="K1650" s="245">
        <v>130.84444444444441</v>
      </c>
      <c r="L1650" s="245">
        <v>130.84444444444441</v>
      </c>
      <c r="M1650" s="245">
        <v>130.84444444444441</v>
      </c>
      <c r="N1650" s="245">
        <v>392.53333333333319</v>
      </c>
      <c r="O1650" s="245" t="s">
        <v>118</v>
      </c>
      <c r="P1650" s="245" t="s">
        <v>96</v>
      </c>
      <c r="Q1650" s="245" t="s">
        <v>96</v>
      </c>
      <c r="R1650" s="246" t="s">
        <v>677</v>
      </c>
    </row>
    <row r="1651" spans="1:18" ht="26" hidden="1" x14ac:dyDescent="0.8">
      <c r="A1651" s="247">
        <v>54234</v>
      </c>
      <c r="B1651" s="248" t="s">
        <v>2101</v>
      </c>
      <c r="C1651" s="249" t="s">
        <v>55</v>
      </c>
      <c r="D1651" s="245">
        <v>0</v>
      </c>
      <c r="E1651" s="245">
        <v>1</v>
      </c>
      <c r="F1651" s="245">
        <v>1</v>
      </c>
      <c r="G1651" s="245">
        <v>1</v>
      </c>
      <c r="H1651" s="245">
        <v>3</v>
      </c>
      <c r="I1651" s="245">
        <v>0</v>
      </c>
      <c r="J1651" s="245">
        <v>0</v>
      </c>
      <c r="K1651" s="245">
        <v>0</v>
      </c>
      <c r="L1651" s="245">
        <v>0</v>
      </c>
      <c r="M1651" s="245">
        <v>0</v>
      </c>
      <c r="O1651" s="245" t="s">
        <v>56</v>
      </c>
      <c r="P1651" s="245" t="s">
        <v>96</v>
      </c>
      <c r="Q1651" s="245" t="s">
        <v>96</v>
      </c>
      <c r="R1651" s="246" t="s">
        <v>32</v>
      </c>
    </row>
    <row r="1652" spans="1:18" ht="26" hidden="1" x14ac:dyDescent="0.8">
      <c r="A1652" s="247">
        <v>54235</v>
      </c>
      <c r="B1652" s="248" t="s">
        <v>2102</v>
      </c>
      <c r="C1652" s="249" t="s">
        <v>55</v>
      </c>
      <c r="D1652" s="245">
        <v>0</v>
      </c>
      <c r="E1652" s="245">
        <v>1</v>
      </c>
      <c r="F1652" s="245">
        <v>1</v>
      </c>
      <c r="G1652" s="245">
        <v>1</v>
      </c>
      <c r="H1652" s="245">
        <v>3</v>
      </c>
      <c r="I1652" s="245">
        <v>0</v>
      </c>
      <c r="J1652" s="245">
        <v>0</v>
      </c>
      <c r="K1652" s="245">
        <v>0</v>
      </c>
      <c r="L1652" s="245">
        <v>0</v>
      </c>
      <c r="M1652" s="245">
        <v>0</v>
      </c>
      <c r="O1652" s="245" t="s">
        <v>56</v>
      </c>
      <c r="P1652" s="245" t="s">
        <v>96</v>
      </c>
      <c r="Q1652" s="245" t="s">
        <v>96</v>
      </c>
      <c r="R1652" s="246" t="s">
        <v>679</v>
      </c>
    </row>
    <row r="1653" spans="1:18" ht="39" hidden="1" x14ac:dyDescent="0.8">
      <c r="A1653" s="247">
        <v>54236</v>
      </c>
      <c r="B1653" s="248" t="s">
        <v>2103</v>
      </c>
      <c r="C1653" s="249" t="s">
        <v>55</v>
      </c>
      <c r="D1653" s="245">
        <v>0</v>
      </c>
      <c r="E1653" s="245">
        <v>1</v>
      </c>
      <c r="F1653" s="245">
        <v>1</v>
      </c>
      <c r="G1653" s="245">
        <v>1</v>
      </c>
      <c r="H1653" s="245">
        <v>3</v>
      </c>
      <c r="I1653" s="245">
        <v>0</v>
      </c>
      <c r="J1653" s="245">
        <v>0</v>
      </c>
      <c r="K1653" s="245">
        <v>0</v>
      </c>
      <c r="L1653" s="245">
        <v>0</v>
      </c>
      <c r="M1653" s="245">
        <v>0</v>
      </c>
      <c r="O1653" s="245" t="s">
        <v>56</v>
      </c>
      <c r="P1653" s="245" t="s">
        <v>96</v>
      </c>
      <c r="Q1653" s="245" t="s">
        <v>96</v>
      </c>
      <c r="R1653" s="246" t="s">
        <v>677</v>
      </c>
    </row>
    <row r="1654" spans="1:18" ht="26" x14ac:dyDescent="0.8">
      <c r="A1654" s="247">
        <v>55</v>
      </c>
      <c r="B1654" s="248" t="s">
        <v>2104</v>
      </c>
      <c r="D1654" s="245">
        <v>0</v>
      </c>
    </row>
    <row r="1655" spans="1:18" ht="26" x14ac:dyDescent="0.8">
      <c r="A1655" s="247">
        <v>551</v>
      </c>
      <c r="B1655" s="248" t="s">
        <v>2105</v>
      </c>
      <c r="D1655" s="245">
        <v>0</v>
      </c>
    </row>
    <row r="1656" spans="1:18" ht="52" x14ac:dyDescent="0.8">
      <c r="A1656" s="247">
        <v>5511</v>
      </c>
      <c r="B1656" s="248" t="s">
        <v>2106</v>
      </c>
      <c r="D1656" s="245">
        <v>0</v>
      </c>
    </row>
    <row r="1657" spans="1:18" ht="52" x14ac:dyDescent="0.8">
      <c r="A1657" s="247">
        <v>55111</v>
      </c>
      <c r="B1657" s="248" t="s">
        <v>2107</v>
      </c>
      <c r="C1657" s="249" t="s">
        <v>66</v>
      </c>
      <c r="D1657" s="245">
        <v>0</v>
      </c>
      <c r="H1657" s="245">
        <v>0</v>
      </c>
      <c r="I1657" s="245">
        <v>0.255</v>
      </c>
      <c r="J1657" s="245">
        <v>0</v>
      </c>
      <c r="K1657" s="245">
        <v>0</v>
      </c>
      <c r="L1657" s="245">
        <v>0</v>
      </c>
      <c r="M1657" s="245">
        <v>0</v>
      </c>
      <c r="N1657" s="245">
        <v>0</v>
      </c>
      <c r="O1657" s="245" t="s">
        <v>178</v>
      </c>
      <c r="P1657" s="245" t="s">
        <v>142</v>
      </c>
      <c r="Q1657" s="245" t="s">
        <v>142</v>
      </c>
      <c r="R1657" s="246" t="s">
        <v>32</v>
      </c>
    </row>
    <row r="1658" spans="1:18" ht="52" x14ac:dyDescent="0.8">
      <c r="A1658" s="247">
        <v>55111</v>
      </c>
      <c r="B1658" s="248" t="s">
        <v>2107</v>
      </c>
      <c r="C1658" s="249" t="s">
        <v>66</v>
      </c>
      <c r="D1658" s="245">
        <v>0</v>
      </c>
      <c r="F1658" s="245">
        <v>175</v>
      </c>
      <c r="H1658" s="245">
        <v>175</v>
      </c>
      <c r="I1658" s="245">
        <v>0.255</v>
      </c>
      <c r="J1658" s="245">
        <v>0</v>
      </c>
      <c r="K1658" s="245">
        <v>0</v>
      </c>
      <c r="L1658" s="245">
        <v>44.625</v>
      </c>
      <c r="M1658" s="245">
        <v>0</v>
      </c>
      <c r="N1658" s="245">
        <v>44.625</v>
      </c>
      <c r="O1658" s="245" t="s">
        <v>39</v>
      </c>
      <c r="P1658" s="245" t="s">
        <v>142</v>
      </c>
      <c r="Q1658" s="245" t="s">
        <v>142</v>
      </c>
      <c r="R1658" s="246" t="s">
        <v>32</v>
      </c>
    </row>
    <row r="1659" spans="1:18" ht="39" hidden="1" x14ac:dyDescent="0.8">
      <c r="A1659" s="247">
        <v>55112</v>
      </c>
      <c r="B1659" s="248" t="s">
        <v>2108</v>
      </c>
      <c r="C1659" s="249" t="s">
        <v>55</v>
      </c>
      <c r="D1659" s="245">
        <v>0</v>
      </c>
      <c r="F1659" s="245">
        <v>1</v>
      </c>
      <c r="H1659" s="245">
        <v>1</v>
      </c>
      <c r="I1659" s="245">
        <v>0</v>
      </c>
      <c r="J1659" s="245">
        <v>0</v>
      </c>
      <c r="K1659" s="245">
        <v>0</v>
      </c>
      <c r="L1659" s="245">
        <v>0</v>
      </c>
      <c r="M1659" s="245">
        <v>0</v>
      </c>
      <c r="O1659" s="245" t="s">
        <v>56</v>
      </c>
      <c r="P1659" s="245" t="s">
        <v>142</v>
      </c>
      <c r="Q1659" s="245" t="s">
        <v>142</v>
      </c>
      <c r="R1659" s="246" t="s">
        <v>32</v>
      </c>
    </row>
    <row r="1660" spans="1:18" ht="26" x14ac:dyDescent="0.8">
      <c r="A1660" s="247">
        <v>55113</v>
      </c>
      <c r="B1660" s="248" t="s">
        <v>2109</v>
      </c>
      <c r="C1660" s="249" t="s">
        <v>59</v>
      </c>
      <c r="D1660" s="245">
        <v>0</v>
      </c>
      <c r="F1660" s="245">
        <v>160</v>
      </c>
      <c r="H1660" s="245">
        <v>160</v>
      </c>
      <c r="I1660" s="245">
        <v>0.8177777777777776</v>
      </c>
      <c r="J1660" s="245">
        <v>0</v>
      </c>
      <c r="K1660" s="245">
        <v>0</v>
      </c>
      <c r="L1660" s="245">
        <v>130.84444444444441</v>
      </c>
      <c r="M1660" s="245">
        <v>0</v>
      </c>
      <c r="N1660" s="245">
        <v>130.84444444444441</v>
      </c>
      <c r="O1660" s="245" t="s">
        <v>39</v>
      </c>
      <c r="P1660" s="245" t="s">
        <v>142</v>
      </c>
      <c r="Q1660" s="245" t="s">
        <v>142</v>
      </c>
      <c r="R1660" s="246" t="s">
        <v>32</v>
      </c>
    </row>
    <row r="1661" spans="1:18" ht="26" x14ac:dyDescent="0.8">
      <c r="A1661" s="247">
        <v>55114</v>
      </c>
      <c r="B1661" s="248" t="s">
        <v>2110</v>
      </c>
      <c r="C1661" s="249" t="s">
        <v>66</v>
      </c>
      <c r="D1661" s="245">
        <v>0</v>
      </c>
      <c r="F1661" s="245">
        <v>60</v>
      </c>
      <c r="H1661" s="245">
        <v>60</v>
      </c>
      <c r="I1661" s="245">
        <v>0.255</v>
      </c>
      <c r="J1661" s="245">
        <v>0</v>
      </c>
      <c r="K1661" s="245">
        <v>0</v>
      </c>
      <c r="L1661" s="245">
        <v>15.3</v>
      </c>
      <c r="M1661" s="245">
        <v>0</v>
      </c>
      <c r="N1661" s="245">
        <v>15.3</v>
      </c>
      <c r="O1661" s="245" t="s">
        <v>39</v>
      </c>
      <c r="P1661" s="245" t="s">
        <v>142</v>
      </c>
      <c r="Q1661" s="245" t="s">
        <v>142</v>
      </c>
      <c r="R1661" s="246" t="s">
        <v>32</v>
      </c>
    </row>
    <row r="1662" spans="1:18" ht="26" x14ac:dyDescent="0.8">
      <c r="A1662" s="247">
        <v>55115</v>
      </c>
      <c r="B1662" s="248" t="s">
        <v>2111</v>
      </c>
      <c r="C1662" s="249" t="s">
        <v>38</v>
      </c>
      <c r="D1662" s="245">
        <v>0</v>
      </c>
      <c r="F1662" s="245">
        <v>40</v>
      </c>
      <c r="H1662" s="245">
        <v>40</v>
      </c>
      <c r="I1662" s="245">
        <v>0.3133333333333333</v>
      </c>
      <c r="J1662" s="245">
        <v>0</v>
      </c>
      <c r="K1662" s="245">
        <v>0</v>
      </c>
      <c r="L1662" s="245">
        <v>12.533333333333331</v>
      </c>
      <c r="M1662" s="245">
        <v>0</v>
      </c>
      <c r="N1662" s="245">
        <v>12.533333333333331</v>
      </c>
      <c r="O1662" s="245" t="s">
        <v>39</v>
      </c>
      <c r="P1662" s="245" t="s">
        <v>142</v>
      </c>
      <c r="Q1662" s="245" t="s">
        <v>142</v>
      </c>
      <c r="R1662" s="246" t="s">
        <v>32</v>
      </c>
    </row>
    <row r="1663" spans="1:18" x14ac:dyDescent="0.8">
      <c r="A1663" s="247">
        <v>5512</v>
      </c>
      <c r="B1663" s="248" t="s">
        <v>2112</v>
      </c>
      <c r="D1663" s="245">
        <v>0</v>
      </c>
    </row>
    <row r="1664" spans="1:18" ht="39" x14ac:dyDescent="0.8">
      <c r="A1664" s="247">
        <v>55121</v>
      </c>
      <c r="B1664" s="248" t="s">
        <v>2113</v>
      </c>
      <c r="C1664" s="249" t="s">
        <v>970</v>
      </c>
      <c r="D1664" s="245">
        <v>0</v>
      </c>
      <c r="F1664" s="245">
        <v>12</v>
      </c>
      <c r="H1664" s="245">
        <v>12</v>
      </c>
      <c r="I1664" s="245">
        <v>10.034934666666667</v>
      </c>
      <c r="J1664" s="245">
        <v>0</v>
      </c>
      <c r="K1664" s="245">
        <v>0</v>
      </c>
      <c r="L1664" s="245">
        <v>120.41921600000001</v>
      </c>
      <c r="M1664" s="245">
        <v>0</v>
      </c>
      <c r="N1664" s="245">
        <v>120.41921600000001</v>
      </c>
      <c r="O1664" s="245" t="s">
        <v>39</v>
      </c>
      <c r="P1664" s="245" t="s">
        <v>142</v>
      </c>
      <c r="Q1664" s="245" t="s">
        <v>521</v>
      </c>
      <c r="R1664" s="246" t="s">
        <v>32</v>
      </c>
    </row>
    <row r="1665" spans="1:18" ht="39" x14ac:dyDescent="0.8">
      <c r="A1665" s="247">
        <v>55122</v>
      </c>
      <c r="B1665" s="248" t="s">
        <v>2114</v>
      </c>
      <c r="C1665" s="249" t="s">
        <v>974</v>
      </c>
      <c r="D1665" s="245">
        <v>0</v>
      </c>
      <c r="F1665" s="245">
        <v>6</v>
      </c>
      <c r="H1665" s="245">
        <v>6</v>
      </c>
      <c r="I1665" s="245">
        <v>6.333333333333333</v>
      </c>
      <c r="J1665" s="245">
        <v>0</v>
      </c>
      <c r="K1665" s="245">
        <v>0</v>
      </c>
      <c r="L1665" s="245">
        <v>38</v>
      </c>
      <c r="M1665" s="245">
        <v>0</v>
      </c>
      <c r="N1665" s="245">
        <v>38</v>
      </c>
      <c r="O1665" s="245" t="s">
        <v>39</v>
      </c>
      <c r="P1665" s="245" t="s">
        <v>142</v>
      </c>
      <c r="Q1665" s="245" t="s">
        <v>521</v>
      </c>
      <c r="R1665" s="246" t="s">
        <v>32</v>
      </c>
    </row>
    <row r="1666" spans="1:18" x14ac:dyDescent="0.8">
      <c r="A1666" s="247">
        <v>55123</v>
      </c>
      <c r="B1666" s="248" t="s">
        <v>2115</v>
      </c>
      <c r="C1666" s="249" t="s">
        <v>2116</v>
      </c>
      <c r="D1666" s="245">
        <v>0</v>
      </c>
      <c r="F1666" s="245">
        <v>1</v>
      </c>
      <c r="H1666" s="245">
        <v>1</v>
      </c>
      <c r="I1666" s="245">
        <v>30</v>
      </c>
      <c r="J1666" s="245">
        <v>0</v>
      </c>
      <c r="K1666" s="245">
        <v>0</v>
      </c>
      <c r="L1666" s="245">
        <v>30</v>
      </c>
      <c r="M1666" s="245">
        <v>0</v>
      </c>
      <c r="N1666" s="245">
        <v>30</v>
      </c>
      <c r="O1666" s="245" t="s">
        <v>39</v>
      </c>
      <c r="P1666" s="245" t="s">
        <v>142</v>
      </c>
      <c r="Q1666" s="245" t="s">
        <v>521</v>
      </c>
      <c r="R1666" s="246" t="s">
        <v>32</v>
      </c>
    </row>
    <row r="1667" spans="1:18" x14ac:dyDescent="0.8">
      <c r="A1667" s="247">
        <v>55124</v>
      </c>
      <c r="B1667" s="248" t="s">
        <v>2117</v>
      </c>
      <c r="C1667" s="249" t="s">
        <v>1997</v>
      </c>
      <c r="D1667" s="245">
        <v>0</v>
      </c>
      <c r="E1667" s="245">
        <v>1</v>
      </c>
      <c r="F1667" s="245">
        <v>1</v>
      </c>
      <c r="G1667" s="245">
        <v>1</v>
      </c>
      <c r="H1667" s="245">
        <v>3</v>
      </c>
      <c r="I1667" s="245">
        <v>24</v>
      </c>
      <c r="J1667" s="245">
        <v>0</v>
      </c>
      <c r="K1667" s="245">
        <v>24</v>
      </c>
      <c r="L1667" s="245">
        <v>24</v>
      </c>
      <c r="M1667" s="245">
        <v>24</v>
      </c>
      <c r="N1667" s="245">
        <v>72</v>
      </c>
      <c r="O1667" s="245" t="s">
        <v>39</v>
      </c>
      <c r="P1667" s="245" t="s">
        <v>142</v>
      </c>
      <c r="Q1667" s="245" t="s">
        <v>521</v>
      </c>
      <c r="R1667" s="246" t="s">
        <v>32</v>
      </c>
    </row>
    <row r="1668" spans="1:18" ht="26" x14ac:dyDescent="0.8">
      <c r="A1668" s="247">
        <v>5513</v>
      </c>
      <c r="B1668" s="248" t="s">
        <v>2118</v>
      </c>
      <c r="D1668" s="245">
        <v>0</v>
      </c>
    </row>
    <row r="1669" spans="1:18" hidden="1" x14ac:dyDescent="0.8">
      <c r="B1669" s="248" t="s">
        <v>2119</v>
      </c>
      <c r="D1669" s="245">
        <v>0</v>
      </c>
      <c r="I1669" s="245" t="s">
        <v>707</v>
      </c>
      <c r="O1669" s="245" t="s">
        <v>56</v>
      </c>
      <c r="P1669" s="245" t="s">
        <v>96</v>
      </c>
      <c r="Q1669" s="245" t="s">
        <v>96</v>
      </c>
      <c r="R1669" s="246" t="s">
        <v>32</v>
      </c>
    </row>
    <row r="1670" spans="1:18" ht="39" x14ac:dyDescent="0.8">
      <c r="A1670" s="247">
        <v>552</v>
      </c>
      <c r="B1670" s="248" t="s">
        <v>2120</v>
      </c>
      <c r="D1670" s="245">
        <v>0</v>
      </c>
    </row>
    <row r="1671" spans="1:18" ht="26" x14ac:dyDescent="0.8">
      <c r="A1671" s="247">
        <v>5521</v>
      </c>
      <c r="B1671" s="248" t="s">
        <v>2121</v>
      </c>
      <c r="D1671" s="245">
        <v>0</v>
      </c>
    </row>
    <row r="1672" spans="1:18" x14ac:dyDescent="0.8">
      <c r="A1672" s="247">
        <v>55211</v>
      </c>
      <c r="B1672" s="248" t="s">
        <v>2122</v>
      </c>
      <c r="C1672" s="249" t="s">
        <v>2123</v>
      </c>
      <c r="D1672" s="245">
        <v>0</v>
      </c>
      <c r="H1672" s="245">
        <v>0</v>
      </c>
      <c r="I1672" s="245">
        <v>1207.5</v>
      </c>
      <c r="J1672" s="245">
        <v>0</v>
      </c>
      <c r="K1672" s="245">
        <v>0</v>
      </c>
      <c r="L1672" s="245">
        <v>0</v>
      </c>
      <c r="M1672" s="245">
        <v>0</v>
      </c>
      <c r="N1672" s="245">
        <v>0</v>
      </c>
      <c r="O1672" s="245" t="s">
        <v>221</v>
      </c>
      <c r="P1672" s="245" t="s">
        <v>142</v>
      </c>
      <c r="Q1672" s="245" t="s">
        <v>142</v>
      </c>
      <c r="R1672" s="246" t="s">
        <v>32</v>
      </c>
    </row>
    <row r="1673" spans="1:18" ht="26" x14ac:dyDescent="0.8">
      <c r="A1673" s="247">
        <v>55212</v>
      </c>
      <c r="B1673" s="248" t="s">
        <v>2124</v>
      </c>
      <c r="C1673" s="249" t="s">
        <v>38</v>
      </c>
      <c r="D1673" s="245">
        <v>0</v>
      </c>
      <c r="F1673" s="245">
        <v>1</v>
      </c>
      <c r="G1673" s="245">
        <v>1</v>
      </c>
      <c r="H1673" s="245">
        <v>2</v>
      </c>
      <c r="I1673" s="245">
        <v>0.3133333333333333</v>
      </c>
      <c r="J1673" s="245">
        <v>0</v>
      </c>
      <c r="K1673" s="245">
        <v>0</v>
      </c>
      <c r="L1673" s="245">
        <v>0.3133333333333333</v>
      </c>
      <c r="M1673" s="245">
        <v>0.3133333333333333</v>
      </c>
      <c r="N1673" s="245">
        <v>0.62666666666666659</v>
      </c>
      <c r="O1673" s="245" t="s">
        <v>118</v>
      </c>
      <c r="P1673" s="245" t="s">
        <v>273</v>
      </c>
      <c r="Q1673" s="245" t="s">
        <v>273</v>
      </c>
      <c r="R1673" s="246" t="s">
        <v>32</v>
      </c>
    </row>
    <row r="1674" spans="1:18" ht="26" x14ac:dyDescent="0.8">
      <c r="A1674" s="247">
        <v>5522</v>
      </c>
      <c r="B1674" s="248" t="s">
        <v>2125</v>
      </c>
      <c r="D1674" s="245">
        <v>0</v>
      </c>
    </row>
    <row r="1675" spans="1:18" ht="26" x14ac:dyDescent="0.8">
      <c r="A1675" s="247">
        <v>55221</v>
      </c>
      <c r="B1675" s="248" t="s">
        <v>2126</v>
      </c>
      <c r="C1675" s="249" t="s">
        <v>2127</v>
      </c>
      <c r="D1675" s="245">
        <v>0</v>
      </c>
      <c r="H1675" s="245">
        <v>0</v>
      </c>
      <c r="I1675" s="245">
        <v>1006.58635</v>
      </c>
      <c r="J1675" s="245">
        <v>0</v>
      </c>
      <c r="K1675" s="245">
        <v>0</v>
      </c>
      <c r="L1675" s="245">
        <v>0</v>
      </c>
      <c r="M1675" s="245">
        <v>0</v>
      </c>
      <c r="N1675" s="245">
        <v>0</v>
      </c>
      <c r="O1675" s="245" t="s">
        <v>2128</v>
      </c>
      <c r="P1675" s="245" t="s">
        <v>273</v>
      </c>
      <c r="Q1675" s="245" t="s">
        <v>273</v>
      </c>
      <c r="R1675" s="246" t="s">
        <v>32</v>
      </c>
    </row>
    <row r="1676" spans="1:18" ht="26" x14ac:dyDescent="0.8">
      <c r="A1676" s="247">
        <v>55221</v>
      </c>
      <c r="B1676" s="248" t="s">
        <v>2126</v>
      </c>
      <c r="C1676" s="249" t="s">
        <v>2127</v>
      </c>
      <c r="D1676" s="245">
        <v>0</v>
      </c>
      <c r="H1676" s="245">
        <v>0</v>
      </c>
      <c r="I1676" s="245">
        <v>1006.58635</v>
      </c>
      <c r="J1676" s="245">
        <v>0</v>
      </c>
      <c r="K1676" s="245">
        <v>0</v>
      </c>
      <c r="L1676" s="245">
        <v>0</v>
      </c>
      <c r="M1676" s="245">
        <v>0</v>
      </c>
      <c r="N1676" s="245">
        <v>0</v>
      </c>
      <c r="O1676" s="245" t="s">
        <v>178</v>
      </c>
      <c r="P1676" s="245" t="s">
        <v>273</v>
      </c>
      <c r="Q1676" s="245" t="s">
        <v>273</v>
      </c>
      <c r="R1676" s="246" t="s">
        <v>32</v>
      </c>
    </row>
    <row r="1677" spans="1:18" ht="26" x14ac:dyDescent="0.8">
      <c r="A1677" s="247">
        <v>5523</v>
      </c>
      <c r="B1677" s="248" t="s">
        <v>2129</v>
      </c>
      <c r="D1677" s="245">
        <v>0</v>
      </c>
    </row>
    <row r="1678" spans="1:18" ht="39" hidden="1" x14ac:dyDescent="0.8">
      <c r="A1678" s="247">
        <v>55231</v>
      </c>
      <c r="B1678" s="248" t="s">
        <v>2130</v>
      </c>
      <c r="C1678" s="249" t="s">
        <v>55</v>
      </c>
      <c r="D1678" s="245">
        <v>0</v>
      </c>
      <c r="E1678" s="245">
        <v>1</v>
      </c>
      <c r="F1678" s="245">
        <v>1</v>
      </c>
      <c r="G1678" s="245">
        <v>1</v>
      </c>
      <c r="H1678" s="245">
        <v>3</v>
      </c>
      <c r="I1678" s="245">
        <v>0</v>
      </c>
      <c r="J1678" s="245">
        <v>0</v>
      </c>
      <c r="K1678" s="245">
        <v>0</v>
      </c>
      <c r="L1678" s="245">
        <v>0</v>
      </c>
      <c r="M1678" s="245">
        <v>0</v>
      </c>
      <c r="O1678" s="245" t="s">
        <v>56</v>
      </c>
      <c r="P1678" s="245" t="s">
        <v>273</v>
      </c>
      <c r="Q1678" s="245" t="s">
        <v>273</v>
      </c>
      <c r="R1678" s="246" t="s">
        <v>32</v>
      </c>
    </row>
    <row r="1679" spans="1:18" ht="26" x14ac:dyDescent="0.8">
      <c r="A1679" s="247">
        <v>55232</v>
      </c>
      <c r="B1679" s="248" t="s">
        <v>2131</v>
      </c>
      <c r="C1679" s="249" t="s">
        <v>38</v>
      </c>
      <c r="D1679" s="245">
        <v>0</v>
      </c>
      <c r="E1679" s="245">
        <v>150</v>
      </c>
      <c r="H1679" s="245">
        <v>150</v>
      </c>
      <c r="I1679" s="245">
        <v>0.3133333333333333</v>
      </c>
      <c r="J1679" s="245">
        <v>0</v>
      </c>
      <c r="K1679" s="245">
        <v>46.999999999999993</v>
      </c>
      <c r="L1679" s="245">
        <v>0</v>
      </c>
      <c r="M1679" s="245">
        <v>0</v>
      </c>
      <c r="N1679" s="245">
        <v>46.999999999999993</v>
      </c>
      <c r="O1679" s="245" t="s">
        <v>118</v>
      </c>
      <c r="P1679" s="245" t="s">
        <v>273</v>
      </c>
      <c r="Q1679" s="245" t="s">
        <v>273</v>
      </c>
      <c r="R1679" s="246" t="s">
        <v>32</v>
      </c>
    </row>
    <row r="1680" spans="1:18" ht="26" x14ac:dyDescent="0.8">
      <c r="A1680" s="247">
        <v>553</v>
      </c>
      <c r="B1680" s="248" t="s">
        <v>2132</v>
      </c>
      <c r="D1680" s="245">
        <v>0</v>
      </c>
    </row>
    <row r="1681" spans="1:18" ht="26" x14ac:dyDescent="0.8">
      <c r="A1681" s="247">
        <v>5531</v>
      </c>
      <c r="B1681" s="248" t="s">
        <v>2133</v>
      </c>
      <c r="D1681" s="245">
        <v>0</v>
      </c>
    </row>
    <row r="1682" spans="1:18" ht="39" x14ac:dyDescent="0.8">
      <c r="A1682" s="247">
        <v>55311</v>
      </c>
      <c r="B1682" s="248" t="s">
        <v>2134</v>
      </c>
      <c r="C1682" s="249" t="s">
        <v>66</v>
      </c>
      <c r="D1682" s="245">
        <v>0</v>
      </c>
      <c r="E1682" s="245">
        <v>140</v>
      </c>
      <c r="H1682" s="245">
        <v>140</v>
      </c>
      <c r="I1682" s="245">
        <v>0.255</v>
      </c>
      <c r="J1682" s="245">
        <v>0</v>
      </c>
      <c r="K1682" s="245">
        <v>35.700000000000003</v>
      </c>
      <c r="L1682" s="245">
        <v>0</v>
      </c>
      <c r="M1682" s="245">
        <v>0</v>
      </c>
      <c r="N1682" s="245">
        <v>35.700000000000003</v>
      </c>
      <c r="O1682" s="245" t="s">
        <v>39</v>
      </c>
      <c r="P1682" s="245" t="s">
        <v>142</v>
      </c>
      <c r="Q1682" s="245" t="s">
        <v>142</v>
      </c>
      <c r="R1682" s="246" t="s">
        <v>32</v>
      </c>
    </row>
    <row r="1683" spans="1:18" x14ac:dyDescent="0.8">
      <c r="A1683" s="247">
        <v>55312</v>
      </c>
      <c r="B1683" s="248" t="s">
        <v>2135</v>
      </c>
      <c r="C1683" s="249" t="s">
        <v>38</v>
      </c>
      <c r="D1683" s="245">
        <v>0</v>
      </c>
      <c r="E1683" s="245">
        <v>50</v>
      </c>
      <c r="H1683" s="245">
        <v>50</v>
      </c>
      <c r="I1683" s="245">
        <v>0.3133333333333333</v>
      </c>
      <c r="J1683" s="245">
        <v>0</v>
      </c>
      <c r="K1683" s="245">
        <v>15.666666666666664</v>
      </c>
      <c r="L1683" s="245">
        <v>0</v>
      </c>
      <c r="M1683" s="245">
        <v>0</v>
      </c>
      <c r="N1683" s="245">
        <v>15.666666666666664</v>
      </c>
      <c r="O1683" s="245" t="s">
        <v>39</v>
      </c>
      <c r="P1683" s="245" t="s">
        <v>142</v>
      </c>
      <c r="Q1683" s="245" t="s">
        <v>142</v>
      </c>
      <c r="R1683" s="246" t="s">
        <v>32</v>
      </c>
    </row>
    <row r="1684" spans="1:18" x14ac:dyDescent="0.8">
      <c r="A1684" s="247">
        <v>55313</v>
      </c>
      <c r="B1684" s="248" t="s">
        <v>2136</v>
      </c>
      <c r="C1684" s="249" t="s">
        <v>452</v>
      </c>
      <c r="D1684" s="245">
        <v>0</v>
      </c>
      <c r="E1684" s="245">
        <v>2845</v>
      </c>
      <c r="H1684" s="245">
        <v>2845</v>
      </c>
      <c r="I1684" s="245">
        <v>7.4999999999999997E-3</v>
      </c>
      <c r="J1684" s="245">
        <v>0</v>
      </c>
      <c r="K1684" s="245">
        <v>21.337499999999999</v>
      </c>
      <c r="L1684" s="245">
        <v>0</v>
      </c>
      <c r="M1684" s="245">
        <v>0</v>
      </c>
      <c r="N1684" s="245">
        <v>21.337499999999999</v>
      </c>
      <c r="O1684" s="245" t="s">
        <v>39</v>
      </c>
      <c r="P1684" s="245" t="s">
        <v>142</v>
      </c>
      <c r="Q1684" s="245" t="s">
        <v>142</v>
      </c>
      <c r="R1684" s="246" t="s">
        <v>32</v>
      </c>
    </row>
    <row r="1685" spans="1:18" ht="26" hidden="1" x14ac:dyDescent="0.8">
      <c r="A1685" s="247">
        <v>55314</v>
      </c>
      <c r="B1685" s="248" t="s">
        <v>2137</v>
      </c>
      <c r="C1685" s="249" t="s">
        <v>55</v>
      </c>
      <c r="D1685" s="245">
        <v>0</v>
      </c>
      <c r="E1685" s="245">
        <v>1</v>
      </c>
      <c r="F1685" s="245">
        <v>1</v>
      </c>
      <c r="H1685" s="245">
        <v>2</v>
      </c>
      <c r="I1685" s="245">
        <v>0</v>
      </c>
      <c r="J1685" s="245">
        <v>0</v>
      </c>
      <c r="K1685" s="245">
        <v>0</v>
      </c>
      <c r="L1685" s="245">
        <v>0</v>
      </c>
      <c r="M1685" s="245">
        <v>0</v>
      </c>
      <c r="O1685" s="245" t="s">
        <v>56</v>
      </c>
      <c r="P1685" s="245" t="s">
        <v>142</v>
      </c>
      <c r="Q1685" s="245" t="s">
        <v>142</v>
      </c>
      <c r="R1685" s="246" t="s">
        <v>32</v>
      </c>
    </row>
    <row r="1686" spans="1:18" ht="26" x14ac:dyDescent="0.8">
      <c r="A1686" s="247">
        <v>5532</v>
      </c>
      <c r="B1686" s="248" t="s">
        <v>2138</v>
      </c>
      <c r="D1686" s="245">
        <v>0</v>
      </c>
    </row>
    <row r="1687" spans="1:18" ht="39" x14ac:dyDescent="0.8">
      <c r="A1687" s="247">
        <v>55321</v>
      </c>
      <c r="B1687" s="248" t="s">
        <v>2139</v>
      </c>
      <c r="C1687" s="249" t="s">
        <v>59</v>
      </c>
      <c r="D1687" s="245">
        <v>0</v>
      </c>
      <c r="F1687" s="245">
        <v>96</v>
      </c>
      <c r="H1687" s="245">
        <v>96</v>
      </c>
      <c r="I1687" s="245">
        <v>0.8177777777777776</v>
      </c>
      <c r="J1687" s="245">
        <v>0</v>
      </c>
      <c r="K1687" s="245">
        <v>0</v>
      </c>
      <c r="L1687" s="245">
        <v>78.506666666666646</v>
      </c>
      <c r="M1687" s="245">
        <v>0</v>
      </c>
      <c r="N1687" s="245">
        <v>78.506666666666646</v>
      </c>
      <c r="O1687" s="245" t="s">
        <v>39</v>
      </c>
      <c r="P1687" s="245" t="s">
        <v>142</v>
      </c>
      <c r="Q1687" s="245" t="s">
        <v>142</v>
      </c>
      <c r="R1687" s="246" t="s">
        <v>32</v>
      </c>
    </row>
    <row r="1688" spans="1:18" ht="26" x14ac:dyDescent="0.8">
      <c r="A1688" s="247">
        <v>5533</v>
      </c>
      <c r="B1688" s="248" t="s">
        <v>2140</v>
      </c>
      <c r="D1688" s="245">
        <v>0</v>
      </c>
    </row>
    <row r="1689" spans="1:18" hidden="1" x14ac:dyDescent="0.8">
      <c r="A1689" s="247">
        <v>55331</v>
      </c>
      <c r="B1689" s="248" t="s">
        <v>2141</v>
      </c>
      <c r="C1689" s="249" t="s">
        <v>55</v>
      </c>
      <c r="D1689" s="245">
        <v>0</v>
      </c>
      <c r="E1689" s="245">
        <v>1</v>
      </c>
      <c r="F1689" s="245">
        <v>1</v>
      </c>
      <c r="H1689" s="245">
        <v>2</v>
      </c>
      <c r="I1689" s="245">
        <v>0</v>
      </c>
      <c r="J1689" s="245">
        <v>0</v>
      </c>
      <c r="K1689" s="245">
        <v>0</v>
      </c>
      <c r="L1689" s="245">
        <v>0</v>
      </c>
      <c r="M1689" s="245">
        <v>0</v>
      </c>
      <c r="O1689" s="245" t="s">
        <v>56</v>
      </c>
      <c r="P1689" s="245" t="s">
        <v>142</v>
      </c>
      <c r="Q1689" s="245" t="s">
        <v>142</v>
      </c>
      <c r="R1689" s="246" t="s">
        <v>32</v>
      </c>
    </row>
    <row r="1690" spans="1:18" hidden="1" x14ac:dyDescent="0.8">
      <c r="A1690" s="247">
        <v>55332</v>
      </c>
      <c r="B1690" s="248" t="s">
        <v>2142</v>
      </c>
      <c r="C1690" s="249" t="s">
        <v>55</v>
      </c>
      <c r="D1690" s="245">
        <v>0</v>
      </c>
      <c r="E1690" s="245">
        <v>1</v>
      </c>
      <c r="F1690" s="245">
        <v>1</v>
      </c>
      <c r="G1690" s="245">
        <v>1</v>
      </c>
      <c r="H1690" s="245">
        <v>3</v>
      </c>
      <c r="I1690" s="245">
        <v>0</v>
      </c>
      <c r="J1690" s="245">
        <v>0</v>
      </c>
      <c r="K1690" s="245">
        <v>0</v>
      </c>
      <c r="L1690" s="245">
        <v>0</v>
      </c>
      <c r="M1690" s="245">
        <v>0</v>
      </c>
      <c r="O1690" s="245" t="s">
        <v>56</v>
      </c>
      <c r="P1690" s="245" t="s">
        <v>142</v>
      </c>
      <c r="Q1690" s="245" t="s">
        <v>142</v>
      </c>
      <c r="R1690" s="246" t="s">
        <v>32</v>
      </c>
    </row>
    <row r="1691" spans="1:18" hidden="1" x14ac:dyDescent="0.8">
      <c r="A1691" s="247">
        <v>55333</v>
      </c>
      <c r="B1691" s="248" t="s">
        <v>2143</v>
      </c>
      <c r="C1691" s="249" t="s">
        <v>55</v>
      </c>
      <c r="D1691" s="245">
        <v>0</v>
      </c>
      <c r="E1691" s="245">
        <v>1</v>
      </c>
      <c r="F1691" s="245">
        <v>1</v>
      </c>
      <c r="G1691" s="245">
        <v>1</v>
      </c>
      <c r="H1691" s="245">
        <v>3</v>
      </c>
      <c r="I1691" s="245">
        <v>0</v>
      </c>
      <c r="J1691" s="245">
        <v>0</v>
      </c>
      <c r="K1691" s="245">
        <v>0</v>
      </c>
      <c r="L1691" s="245">
        <v>0</v>
      </c>
      <c r="M1691" s="245">
        <v>0</v>
      </c>
      <c r="O1691" s="245" t="s">
        <v>56</v>
      </c>
      <c r="P1691" s="245" t="s">
        <v>142</v>
      </c>
      <c r="Q1691" s="245" t="s">
        <v>142</v>
      </c>
      <c r="R1691" s="246" t="s">
        <v>32</v>
      </c>
    </row>
    <row r="1692" spans="1:18" ht="26" x14ac:dyDescent="0.8">
      <c r="A1692" s="247">
        <v>554</v>
      </c>
      <c r="B1692" s="248" t="s">
        <v>2144</v>
      </c>
      <c r="D1692" s="245">
        <v>0</v>
      </c>
    </row>
    <row r="1693" spans="1:18" ht="26" x14ac:dyDescent="0.8">
      <c r="A1693" s="247">
        <v>5541</v>
      </c>
      <c r="B1693" s="248" t="s">
        <v>2145</v>
      </c>
      <c r="D1693" s="245">
        <v>0</v>
      </c>
    </row>
    <row r="1694" spans="1:18" ht="26" x14ac:dyDescent="0.8">
      <c r="A1694" s="247">
        <v>55411</v>
      </c>
      <c r="B1694" s="248" t="s">
        <v>2146</v>
      </c>
      <c r="C1694" s="249" t="s">
        <v>59</v>
      </c>
      <c r="D1694" s="245">
        <v>0</v>
      </c>
      <c r="H1694" s="245">
        <v>0</v>
      </c>
      <c r="I1694" s="245">
        <v>0.8177777777777776</v>
      </c>
      <c r="J1694" s="245">
        <v>0</v>
      </c>
      <c r="K1694" s="245">
        <v>0</v>
      </c>
      <c r="L1694" s="245">
        <v>0</v>
      </c>
      <c r="M1694" s="245">
        <v>0</v>
      </c>
      <c r="N1694" s="245">
        <v>0</v>
      </c>
      <c r="O1694" s="245" t="s">
        <v>178</v>
      </c>
      <c r="P1694" s="245" t="s">
        <v>142</v>
      </c>
      <c r="Q1694" s="245" t="s">
        <v>142</v>
      </c>
      <c r="R1694" s="246" t="s">
        <v>32</v>
      </c>
    </row>
    <row r="1695" spans="1:18" ht="39" x14ac:dyDescent="0.8">
      <c r="A1695" s="247">
        <v>55412</v>
      </c>
      <c r="B1695" s="248" t="s">
        <v>2147</v>
      </c>
      <c r="C1695" s="249" t="s">
        <v>66</v>
      </c>
      <c r="D1695" s="245">
        <v>0</v>
      </c>
      <c r="E1695" s="245">
        <v>48</v>
      </c>
      <c r="H1695" s="245">
        <v>48</v>
      </c>
      <c r="I1695" s="245">
        <v>0.255</v>
      </c>
      <c r="J1695" s="245">
        <v>0</v>
      </c>
      <c r="K1695" s="245">
        <v>12.24</v>
      </c>
      <c r="L1695" s="245">
        <v>0</v>
      </c>
      <c r="M1695" s="245">
        <v>0</v>
      </c>
      <c r="N1695" s="245">
        <v>12.24</v>
      </c>
      <c r="O1695" s="245" t="s">
        <v>39</v>
      </c>
      <c r="P1695" s="245" t="s">
        <v>142</v>
      </c>
      <c r="Q1695" s="245" t="s">
        <v>142</v>
      </c>
      <c r="R1695" s="246" t="s">
        <v>32</v>
      </c>
    </row>
    <row r="1696" spans="1:18" x14ac:dyDescent="0.8">
      <c r="A1696" s="247">
        <v>55413</v>
      </c>
      <c r="B1696" s="248" t="s">
        <v>2148</v>
      </c>
      <c r="C1696" s="249" t="s">
        <v>816</v>
      </c>
      <c r="D1696" s="245">
        <v>0</v>
      </c>
      <c r="E1696" s="245">
        <v>426</v>
      </c>
      <c r="H1696" s="245">
        <v>426</v>
      </c>
      <c r="I1696" s="245">
        <v>7.4999999999999997E-3</v>
      </c>
      <c r="J1696" s="245">
        <v>0</v>
      </c>
      <c r="K1696" s="245">
        <v>3.1949999999999998</v>
      </c>
      <c r="L1696" s="245">
        <v>0</v>
      </c>
      <c r="M1696" s="245">
        <v>0</v>
      </c>
      <c r="N1696" s="245">
        <v>3.1949999999999998</v>
      </c>
      <c r="O1696" s="245" t="s">
        <v>39</v>
      </c>
      <c r="P1696" s="245" t="s">
        <v>142</v>
      </c>
      <c r="Q1696" s="245" t="s">
        <v>142</v>
      </c>
      <c r="R1696" s="246" t="s">
        <v>32</v>
      </c>
    </row>
    <row r="1697" spans="1:18" ht="39" x14ac:dyDescent="0.8">
      <c r="A1697" s="247">
        <v>55414</v>
      </c>
      <c r="B1697" s="248" t="s">
        <v>2149</v>
      </c>
      <c r="C1697" s="249" t="s">
        <v>38</v>
      </c>
      <c r="D1697" s="245">
        <v>0</v>
      </c>
      <c r="E1697" s="245">
        <v>288</v>
      </c>
      <c r="H1697" s="245">
        <v>288</v>
      </c>
      <c r="I1697" s="245">
        <v>0.3133333333333333</v>
      </c>
      <c r="J1697" s="245">
        <v>0</v>
      </c>
      <c r="K1697" s="245">
        <v>90.24</v>
      </c>
      <c r="L1697" s="245">
        <v>0</v>
      </c>
      <c r="M1697" s="245">
        <v>0</v>
      </c>
      <c r="N1697" s="245">
        <v>90.24</v>
      </c>
      <c r="O1697" s="245" t="s">
        <v>39</v>
      </c>
      <c r="P1697" s="245" t="s">
        <v>142</v>
      </c>
      <c r="Q1697" s="245" t="s">
        <v>142</v>
      </c>
      <c r="R1697" s="246" t="s">
        <v>32</v>
      </c>
    </row>
    <row r="1698" spans="1:18" ht="26" hidden="1" x14ac:dyDescent="0.8">
      <c r="A1698" s="247">
        <v>55415</v>
      </c>
      <c r="B1698" s="248" t="s">
        <v>2150</v>
      </c>
      <c r="C1698" s="249" t="s">
        <v>55</v>
      </c>
      <c r="D1698" s="245">
        <v>0</v>
      </c>
      <c r="E1698" s="245">
        <v>1</v>
      </c>
      <c r="F1698" s="245">
        <v>1</v>
      </c>
      <c r="G1698" s="245">
        <v>1</v>
      </c>
      <c r="H1698" s="245">
        <v>3</v>
      </c>
      <c r="I1698" s="245">
        <v>0</v>
      </c>
      <c r="J1698" s="245">
        <v>0</v>
      </c>
      <c r="K1698" s="245">
        <v>0</v>
      </c>
      <c r="L1698" s="245">
        <v>0</v>
      </c>
      <c r="M1698" s="245">
        <v>0</v>
      </c>
      <c r="O1698" s="245" t="s">
        <v>56</v>
      </c>
      <c r="P1698" s="245" t="s">
        <v>142</v>
      </c>
      <c r="Q1698" s="245" t="s">
        <v>142</v>
      </c>
      <c r="R1698" s="246" t="s">
        <v>32</v>
      </c>
    </row>
    <row r="1699" spans="1:18" ht="26" x14ac:dyDescent="0.8">
      <c r="A1699" s="247">
        <v>5542</v>
      </c>
      <c r="B1699" s="248" t="s">
        <v>2151</v>
      </c>
      <c r="D1699" s="245">
        <v>0</v>
      </c>
    </row>
    <row r="1700" spans="1:18" ht="39" x14ac:dyDescent="0.8">
      <c r="A1700" s="247">
        <v>55421</v>
      </c>
      <c r="B1700" s="248" t="s">
        <v>2152</v>
      </c>
      <c r="C1700" s="249" t="s">
        <v>59</v>
      </c>
      <c r="D1700" s="245">
        <v>0</v>
      </c>
      <c r="E1700" s="245">
        <v>160</v>
      </c>
      <c r="H1700" s="245">
        <v>160</v>
      </c>
      <c r="I1700" s="245">
        <v>0.8177777777777776</v>
      </c>
      <c r="J1700" s="245">
        <v>0</v>
      </c>
      <c r="K1700" s="245">
        <v>130.84444444444441</v>
      </c>
      <c r="L1700" s="245">
        <v>0</v>
      </c>
      <c r="M1700" s="245">
        <v>0</v>
      </c>
      <c r="N1700" s="245">
        <v>130.84444444444441</v>
      </c>
      <c r="O1700" s="245" t="s">
        <v>118</v>
      </c>
      <c r="P1700" s="245" t="s">
        <v>142</v>
      </c>
      <c r="Q1700" s="245" t="s">
        <v>142</v>
      </c>
      <c r="R1700" s="246" t="s">
        <v>32</v>
      </c>
    </row>
    <row r="1701" spans="1:18" ht="26" x14ac:dyDescent="0.8">
      <c r="A1701" s="247">
        <v>5543</v>
      </c>
      <c r="B1701" s="248" t="s">
        <v>2154</v>
      </c>
      <c r="D1701" s="245">
        <v>0</v>
      </c>
    </row>
    <row r="1702" spans="1:18" ht="39" x14ac:dyDescent="0.8">
      <c r="A1702" s="247">
        <v>55431</v>
      </c>
      <c r="B1702" s="248" t="s">
        <v>2155</v>
      </c>
      <c r="C1702" s="249" t="s">
        <v>66</v>
      </c>
      <c r="D1702" s="245">
        <v>0</v>
      </c>
      <c r="E1702" s="245">
        <v>80</v>
      </c>
      <c r="F1702" s="245">
        <v>80</v>
      </c>
      <c r="G1702" s="245">
        <v>80</v>
      </c>
      <c r="H1702" s="245">
        <v>240</v>
      </c>
      <c r="I1702" s="245">
        <v>0.255</v>
      </c>
      <c r="J1702" s="245">
        <v>0</v>
      </c>
      <c r="K1702" s="245">
        <v>20.399999999999999</v>
      </c>
      <c r="L1702" s="245">
        <v>20.399999999999999</v>
      </c>
      <c r="M1702" s="245">
        <v>20.399999999999999</v>
      </c>
      <c r="N1702" s="245">
        <v>61.199999999999996</v>
      </c>
      <c r="O1702" s="245" t="s">
        <v>118</v>
      </c>
      <c r="P1702" s="245" t="s">
        <v>142</v>
      </c>
      <c r="Q1702" s="245" t="s">
        <v>142</v>
      </c>
      <c r="R1702" s="246" t="s">
        <v>32</v>
      </c>
    </row>
    <row r="1703" spans="1:18" x14ac:dyDescent="0.8">
      <c r="A1703" s="247">
        <v>55432</v>
      </c>
      <c r="B1703" s="248" t="s">
        <v>2156</v>
      </c>
      <c r="C1703" s="249" t="s">
        <v>452</v>
      </c>
      <c r="D1703" s="245">
        <v>0</v>
      </c>
      <c r="E1703" s="245">
        <v>1666.6666666666667</v>
      </c>
      <c r="F1703" s="245">
        <v>1666.6666666666667</v>
      </c>
      <c r="G1703" s="245">
        <v>1666.6666666666667</v>
      </c>
      <c r="H1703" s="245">
        <v>5000</v>
      </c>
      <c r="I1703" s="245">
        <v>7.4999999999999997E-3</v>
      </c>
      <c r="J1703" s="245">
        <v>0</v>
      </c>
      <c r="K1703" s="245">
        <v>12.5</v>
      </c>
      <c r="L1703" s="245">
        <v>12.5</v>
      </c>
      <c r="M1703" s="245">
        <v>12.5</v>
      </c>
      <c r="N1703" s="245">
        <v>37.5</v>
      </c>
      <c r="O1703" s="245" t="s">
        <v>118</v>
      </c>
      <c r="P1703" s="245" t="s">
        <v>142</v>
      </c>
      <c r="Q1703" s="245" t="s">
        <v>1963</v>
      </c>
      <c r="R1703" s="246" t="s">
        <v>32</v>
      </c>
    </row>
    <row r="1704" spans="1:18" ht="39" hidden="1" x14ac:dyDescent="0.8">
      <c r="A1704" s="247">
        <v>55433</v>
      </c>
      <c r="B1704" s="248" t="s">
        <v>2157</v>
      </c>
      <c r="C1704" s="249" t="s">
        <v>2158</v>
      </c>
      <c r="D1704" s="245">
        <v>0</v>
      </c>
      <c r="E1704" s="245">
        <v>0.912646993738505</v>
      </c>
      <c r="F1704" s="245">
        <v>0.99860226988838896</v>
      </c>
      <c r="G1704" s="245">
        <v>1.0887507363731099</v>
      </c>
      <c r="H1704" s="245">
        <v>3.0000000000000036</v>
      </c>
      <c r="I1704" s="245">
        <v>191872.63296795147</v>
      </c>
      <c r="J1704" s="245">
        <v>0</v>
      </c>
      <c r="K1704" s="245">
        <v>175111.98165889247</v>
      </c>
      <c r="L1704" s="245">
        <v>191604.44681125807</v>
      </c>
      <c r="M1704" s="245">
        <v>208901.47043370461</v>
      </c>
      <c r="N1704" s="245">
        <v>575617.89890385512</v>
      </c>
      <c r="O1704" s="245" t="s">
        <v>56</v>
      </c>
      <c r="P1704" s="245" t="s">
        <v>142</v>
      </c>
      <c r="Q1704" s="245" t="s">
        <v>1963</v>
      </c>
      <c r="R1704" s="246" t="s">
        <v>32</v>
      </c>
    </row>
    <row r="1705" spans="1:18" ht="39" hidden="1" x14ac:dyDescent="0.8">
      <c r="A1705" s="247">
        <v>55434</v>
      </c>
      <c r="B1705" s="248" t="s">
        <v>2159</v>
      </c>
      <c r="C1705" s="249" t="s">
        <v>2160</v>
      </c>
      <c r="D1705" s="245">
        <v>0</v>
      </c>
      <c r="E1705" s="245">
        <v>0.91153198421310699</v>
      </c>
      <c r="F1705" s="245">
        <v>1.0726779878967601</v>
      </c>
      <c r="G1705" s="245">
        <v>1.2785920764024299</v>
      </c>
      <c r="H1705" s="245">
        <v>3.262802048512297</v>
      </c>
      <c r="I1705" s="245">
        <v>14578.589454048</v>
      </c>
      <c r="J1705" s="245">
        <v>0</v>
      </c>
      <c r="K1705" s="245">
        <v>13288.85057207665</v>
      </c>
      <c r="L1705" s="245">
        <v>15638.132001941134</v>
      </c>
      <c r="M1705" s="245">
        <v>18640.068961069799</v>
      </c>
      <c r="N1705" s="245">
        <v>47567.051535087579</v>
      </c>
      <c r="O1705" s="245" t="s">
        <v>56</v>
      </c>
      <c r="P1705" s="245" t="s">
        <v>142</v>
      </c>
      <c r="Q1705" s="245" t="s">
        <v>1963</v>
      </c>
      <c r="R1705" s="246" t="s">
        <v>32</v>
      </c>
    </row>
    <row r="1706" spans="1:18" ht="26" x14ac:dyDescent="0.8">
      <c r="A1706" s="247">
        <v>5544</v>
      </c>
      <c r="B1706" s="248" t="s">
        <v>2161</v>
      </c>
      <c r="D1706" s="245">
        <v>0</v>
      </c>
    </row>
    <row r="1707" spans="1:18" ht="39" x14ac:dyDescent="0.8">
      <c r="A1707" s="247">
        <v>55441</v>
      </c>
      <c r="B1707" s="248" t="s">
        <v>2162</v>
      </c>
      <c r="C1707" s="249" t="s">
        <v>59</v>
      </c>
      <c r="D1707" s="245">
        <v>0</v>
      </c>
      <c r="E1707" s="245">
        <v>70</v>
      </c>
      <c r="F1707" s="245">
        <v>70</v>
      </c>
      <c r="G1707" s="245">
        <v>70</v>
      </c>
      <c r="H1707" s="245">
        <v>210</v>
      </c>
      <c r="I1707" s="245">
        <v>0.8177777777777776</v>
      </c>
      <c r="J1707" s="245">
        <v>0</v>
      </c>
      <c r="K1707" s="245">
        <v>57.244444444444433</v>
      </c>
      <c r="L1707" s="245">
        <v>57.244444444444433</v>
      </c>
      <c r="M1707" s="245">
        <v>57.244444444444433</v>
      </c>
      <c r="N1707" s="245">
        <v>171.73333333333329</v>
      </c>
      <c r="O1707" s="245" t="s">
        <v>118</v>
      </c>
      <c r="P1707" s="245" t="s">
        <v>142</v>
      </c>
      <c r="Q1707" s="245" t="s">
        <v>273</v>
      </c>
      <c r="R1707" s="246" t="s">
        <v>32</v>
      </c>
    </row>
    <row r="1708" spans="1:18" ht="26" x14ac:dyDescent="0.8">
      <c r="A1708" s="247">
        <v>555</v>
      </c>
      <c r="B1708" s="248" t="s">
        <v>2163</v>
      </c>
      <c r="D1708" s="245">
        <v>0</v>
      </c>
    </row>
    <row r="1709" spans="1:18" ht="39" x14ac:dyDescent="0.8">
      <c r="A1709" s="247">
        <v>5551</v>
      </c>
      <c r="B1709" s="248" t="s">
        <v>2164</v>
      </c>
      <c r="D1709" s="245">
        <v>0</v>
      </c>
    </row>
    <row r="1710" spans="1:18" ht="26" x14ac:dyDescent="0.8">
      <c r="A1710" s="247">
        <v>55511</v>
      </c>
      <c r="B1710" s="248" t="s">
        <v>2165</v>
      </c>
      <c r="C1710" s="249" t="s">
        <v>66</v>
      </c>
      <c r="D1710" s="245">
        <v>0</v>
      </c>
      <c r="E1710" s="245">
        <v>200</v>
      </c>
      <c r="H1710" s="245">
        <v>200</v>
      </c>
      <c r="I1710" s="245">
        <v>0.255</v>
      </c>
      <c r="J1710" s="245">
        <v>0</v>
      </c>
      <c r="K1710" s="245">
        <v>51</v>
      </c>
      <c r="L1710" s="245">
        <v>0</v>
      </c>
      <c r="M1710" s="245">
        <v>0</v>
      </c>
      <c r="N1710" s="245">
        <v>51</v>
      </c>
      <c r="O1710" s="245" t="s">
        <v>118</v>
      </c>
      <c r="P1710" s="245" t="s">
        <v>142</v>
      </c>
      <c r="Q1710" s="245" t="s">
        <v>142</v>
      </c>
      <c r="R1710" s="246" t="s">
        <v>32</v>
      </c>
    </row>
    <row r="1711" spans="1:18" ht="26" x14ac:dyDescent="0.8">
      <c r="A1711" s="247">
        <v>55512</v>
      </c>
      <c r="B1711" s="248" t="s">
        <v>2166</v>
      </c>
      <c r="C1711" s="249" t="s">
        <v>66</v>
      </c>
      <c r="D1711" s="245">
        <v>0</v>
      </c>
      <c r="E1711" s="245">
        <v>40</v>
      </c>
      <c r="H1711" s="245">
        <v>40</v>
      </c>
      <c r="I1711" s="245">
        <v>0.255</v>
      </c>
      <c r="J1711" s="245">
        <v>0</v>
      </c>
      <c r="K1711" s="245">
        <v>10.199999999999999</v>
      </c>
      <c r="L1711" s="245">
        <v>0</v>
      </c>
      <c r="M1711" s="245">
        <v>0</v>
      </c>
      <c r="N1711" s="245">
        <v>10.199999999999999</v>
      </c>
      <c r="O1711" s="245" t="s">
        <v>118</v>
      </c>
      <c r="P1711" s="245" t="s">
        <v>142</v>
      </c>
      <c r="Q1711" s="245" t="s">
        <v>142</v>
      </c>
      <c r="R1711" s="246" t="s">
        <v>32</v>
      </c>
    </row>
    <row r="1712" spans="1:18" ht="26" x14ac:dyDescent="0.8">
      <c r="A1712" s="247">
        <v>55513</v>
      </c>
      <c r="B1712" s="248" t="s">
        <v>2167</v>
      </c>
      <c r="C1712" s="249" t="s">
        <v>66</v>
      </c>
      <c r="D1712" s="245">
        <v>0</v>
      </c>
      <c r="E1712" s="245">
        <v>40</v>
      </c>
      <c r="H1712" s="245">
        <v>40</v>
      </c>
      <c r="I1712" s="245">
        <v>0.255</v>
      </c>
      <c r="J1712" s="245">
        <v>0</v>
      </c>
      <c r="K1712" s="245">
        <v>10.199999999999999</v>
      </c>
      <c r="L1712" s="245">
        <v>0</v>
      </c>
      <c r="M1712" s="245">
        <v>0</v>
      </c>
      <c r="N1712" s="245">
        <v>10.199999999999999</v>
      </c>
      <c r="O1712" s="245" t="s">
        <v>118</v>
      </c>
      <c r="P1712" s="245" t="s">
        <v>142</v>
      </c>
      <c r="Q1712" s="245" t="s">
        <v>142</v>
      </c>
      <c r="R1712" s="246" t="s">
        <v>32</v>
      </c>
    </row>
    <row r="1713" spans="1:18" ht="26" x14ac:dyDescent="0.8">
      <c r="A1713" s="247">
        <v>5552</v>
      </c>
      <c r="B1713" s="248" t="s">
        <v>2168</v>
      </c>
      <c r="D1713" s="245">
        <v>0</v>
      </c>
    </row>
    <row r="1714" spans="1:18" ht="52" hidden="1" x14ac:dyDescent="0.8">
      <c r="A1714" s="247">
        <v>55521</v>
      </c>
      <c r="B1714" s="248" t="s">
        <v>2169</v>
      </c>
      <c r="C1714" s="249" t="s">
        <v>59</v>
      </c>
      <c r="D1714" s="245">
        <v>0</v>
      </c>
      <c r="F1714" s="245">
        <v>128</v>
      </c>
      <c r="H1714" s="245">
        <v>128</v>
      </c>
      <c r="I1714" s="245">
        <v>0.8177777777777776</v>
      </c>
      <c r="J1714" s="245">
        <v>0</v>
      </c>
      <c r="K1714" s="245">
        <v>0</v>
      </c>
      <c r="L1714" s="245">
        <v>104.67555555555553</v>
      </c>
      <c r="M1714" s="245">
        <v>0</v>
      </c>
      <c r="N1714" s="245">
        <v>104.67555555555553</v>
      </c>
      <c r="O1714" s="245" t="s">
        <v>56</v>
      </c>
      <c r="P1714" s="245" t="s">
        <v>142</v>
      </c>
      <c r="Q1714" s="245" t="s">
        <v>142</v>
      </c>
      <c r="R1714" s="246" t="s">
        <v>32</v>
      </c>
    </row>
    <row r="1715" spans="1:18" ht="26" x14ac:dyDescent="0.8">
      <c r="A1715" s="247">
        <v>5553</v>
      </c>
      <c r="B1715" s="248" t="s">
        <v>2170</v>
      </c>
      <c r="D1715" s="245">
        <v>0</v>
      </c>
    </row>
    <row r="1716" spans="1:18" ht="26" hidden="1" x14ac:dyDescent="0.8">
      <c r="A1716" s="247">
        <v>55531</v>
      </c>
      <c r="B1716" s="248" t="s">
        <v>2171</v>
      </c>
      <c r="C1716" s="249" t="s">
        <v>55</v>
      </c>
      <c r="D1716" s="245">
        <v>0</v>
      </c>
      <c r="E1716" s="245">
        <v>1</v>
      </c>
      <c r="F1716" s="245">
        <v>1</v>
      </c>
      <c r="G1716" s="245">
        <v>1</v>
      </c>
      <c r="H1716" s="245">
        <v>3</v>
      </c>
      <c r="I1716" s="245">
        <v>0</v>
      </c>
      <c r="J1716" s="245">
        <v>0</v>
      </c>
      <c r="K1716" s="245">
        <v>0</v>
      </c>
      <c r="L1716" s="245">
        <v>0</v>
      </c>
      <c r="M1716" s="245">
        <v>0</v>
      </c>
      <c r="O1716" s="245" t="s">
        <v>56</v>
      </c>
      <c r="P1716" s="245" t="s">
        <v>142</v>
      </c>
      <c r="Q1716" s="245" t="s">
        <v>142</v>
      </c>
      <c r="R1716" s="246" t="s">
        <v>32</v>
      </c>
    </row>
    <row r="1717" spans="1:18" ht="26" hidden="1" x14ac:dyDescent="0.8">
      <c r="A1717" s="247">
        <v>55532</v>
      </c>
      <c r="B1717" s="248" t="s">
        <v>2172</v>
      </c>
      <c r="C1717" s="249" t="s">
        <v>55</v>
      </c>
      <c r="D1717" s="245">
        <v>0</v>
      </c>
      <c r="E1717" s="245">
        <v>1</v>
      </c>
      <c r="F1717" s="245">
        <v>1</v>
      </c>
      <c r="G1717" s="245">
        <v>1</v>
      </c>
      <c r="H1717" s="245">
        <v>3</v>
      </c>
      <c r="I1717" s="245">
        <v>0</v>
      </c>
      <c r="J1717" s="245">
        <v>0</v>
      </c>
      <c r="K1717" s="245">
        <v>0</v>
      </c>
      <c r="L1717" s="245">
        <v>0</v>
      </c>
      <c r="M1717" s="245">
        <v>0</v>
      </c>
      <c r="O1717" s="245" t="s">
        <v>56</v>
      </c>
      <c r="P1717" s="245" t="s">
        <v>142</v>
      </c>
      <c r="Q1717" s="245" t="s">
        <v>142</v>
      </c>
      <c r="R1717" s="246" t="s">
        <v>679</v>
      </c>
    </row>
    <row r="1718" spans="1:18" ht="26" hidden="1" x14ac:dyDescent="0.8">
      <c r="A1718" s="247">
        <v>55533</v>
      </c>
      <c r="B1718" s="248" t="s">
        <v>2173</v>
      </c>
      <c r="C1718" s="249" t="s">
        <v>55</v>
      </c>
      <c r="D1718" s="245">
        <v>0</v>
      </c>
      <c r="E1718" s="245">
        <v>1</v>
      </c>
      <c r="F1718" s="245">
        <v>1</v>
      </c>
      <c r="G1718" s="245">
        <v>1</v>
      </c>
      <c r="H1718" s="245">
        <v>3</v>
      </c>
      <c r="I1718" s="245">
        <v>0</v>
      </c>
      <c r="J1718" s="245">
        <v>0</v>
      </c>
      <c r="K1718" s="245">
        <v>0</v>
      </c>
      <c r="L1718" s="245">
        <v>0</v>
      </c>
      <c r="M1718" s="245">
        <v>0</v>
      </c>
      <c r="O1718" s="245" t="s">
        <v>56</v>
      </c>
      <c r="P1718" s="245" t="s">
        <v>142</v>
      </c>
      <c r="Q1718" s="245" t="s">
        <v>142</v>
      </c>
      <c r="R1718" s="246" t="s">
        <v>677</v>
      </c>
    </row>
    <row r="1719" spans="1:18" ht="52" x14ac:dyDescent="0.8">
      <c r="A1719" s="247">
        <v>5554</v>
      </c>
      <c r="B1719" s="248" t="s">
        <v>2174</v>
      </c>
      <c r="D1719" s="245">
        <v>0</v>
      </c>
    </row>
    <row r="1720" spans="1:18" ht="39" x14ac:dyDescent="0.8">
      <c r="A1720" s="247">
        <v>55541</v>
      </c>
      <c r="B1720" s="248" t="s">
        <v>2175</v>
      </c>
      <c r="C1720" s="249" t="s">
        <v>66</v>
      </c>
      <c r="D1720" s="245">
        <v>0</v>
      </c>
      <c r="H1720" s="245">
        <v>0</v>
      </c>
      <c r="I1720" s="245">
        <v>0.255</v>
      </c>
      <c r="J1720" s="245">
        <v>0</v>
      </c>
      <c r="K1720" s="245">
        <v>0</v>
      </c>
      <c r="L1720" s="245">
        <v>0</v>
      </c>
      <c r="M1720" s="245">
        <v>0</v>
      </c>
      <c r="N1720" s="245">
        <v>0</v>
      </c>
      <c r="O1720" s="245" t="s">
        <v>178</v>
      </c>
      <c r="P1720" s="245" t="s">
        <v>273</v>
      </c>
      <c r="Q1720" s="245" t="s">
        <v>179</v>
      </c>
      <c r="R1720" s="246" t="s">
        <v>32</v>
      </c>
    </row>
    <row r="1721" spans="1:18" x14ac:dyDescent="0.8">
      <c r="A1721" s="247">
        <v>55542</v>
      </c>
      <c r="B1721" s="248" t="s">
        <v>2177</v>
      </c>
      <c r="C1721" s="249" t="s">
        <v>352</v>
      </c>
      <c r="D1721" s="245">
        <v>0</v>
      </c>
      <c r="H1721" s="245">
        <v>0</v>
      </c>
      <c r="I1721" s="245">
        <v>0.54600000000000004</v>
      </c>
      <c r="J1721" s="245">
        <v>0</v>
      </c>
      <c r="K1721" s="245">
        <v>0</v>
      </c>
      <c r="L1721" s="245">
        <v>0</v>
      </c>
      <c r="M1721" s="245">
        <v>0</v>
      </c>
      <c r="N1721" s="245">
        <v>0</v>
      </c>
      <c r="O1721" s="245" t="s">
        <v>178</v>
      </c>
      <c r="P1721" s="245" t="s">
        <v>273</v>
      </c>
      <c r="Q1721" s="245" t="s">
        <v>179</v>
      </c>
      <c r="R1721" s="246" t="s">
        <v>32</v>
      </c>
    </row>
    <row r="1722" spans="1:18" ht="26" hidden="1" x14ac:dyDescent="0.8">
      <c r="A1722" s="247">
        <v>55543</v>
      </c>
      <c r="B1722" s="248" t="s">
        <v>2178</v>
      </c>
      <c r="C1722" s="249" t="s">
        <v>92</v>
      </c>
      <c r="D1722" s="245">
        <v>0</v>
      </c>
      <c r="H1722" s="245">
        <v>0</v>
      </c>
      <c r="I1722" s="245">
        <v>0</v>
      </c>
      <c r="J1722" s="245">
        <v>0</v>
      </c>
      <c r="K1722" s="245">
        <v>0</v>
      </c>
      <c r="L1722" s="245">
        <v>0</v>
      </c>
      <c r="M1722" s="245">
        <v>0</v>
      </c>
      <c r="O1722" s="245" t="s">
        <v>56</v>
      </c>
      <c r="P1722" s="245" t="s">
        <v>273</v>
      </c>
      <c r="Q1722" s="245" t="s">
        <v>179</v>
      </c>
      <c r="R1722" s="246" t="s">
        <v>32</v>
      </c>
    </row>
    <row r="1723" spans="1:18" ht="26" x14ac:dyDescent="0.8">
      <c r="A1723" s="247">
        <v>55544</v>
      </c>
      <c r="B1723" s="248" t="s">
        <v>2179</v>
      </c>
      <c r="C1723" s="249" t="s">
        <v>2180</v>
      </c>
      <c r="D1723" s="245">
        <v>0</v>
      </c>
      <c r="H1723" s="245">
        <v>0</v>
      </c>
      <c r="I1723" s="245">
        <v>0.2</v>
      </c>
      <c r="J1723" s="245">
        <v>0</v>
      </c>
      <c r="K1723" s="245">
        <v>0</v>
      </c>
      <c r="L1723" s="245">
        <v>0</v>
      </c>
      <c r="M1723" s="245">
        <v>0</v>
      </c>
      <c r="N1723" s="245">
        <v>0</v>
      </c>
      <c r="O1723" s="245" t="s">
        <v>178</v>
      </c>
      <c r="P1723" s="245" t="s">
        <v>273</v>
      </c>
      <c r="Q1723" s="245" t="s">
        <v>179</v>
      </c>
      <c r="R1723" s="246" t="s">
        <v>32</v>
      </c>
    </row>
    <row r="1724" spans="1:18" x14ac:dyDescent="0.8">
      <c r="A1724" s="247">
        <v>56</v>
      </c>
      <c r="B1724" s="248" t="s">
        <v>2181</v>
      </c>
      <c r="D1724" s="245">
        <v>0</v>
      </c>
    </row>
    <row r="1725" spans="1:18" ht="26" x14ac:dyDescent="0.8">
      <c r="A1725" s="247">
        <v>561</v>
      </c>
      <c r="B1725" s="248" t="s">
        <v>2182</v>
      </c>
      <c r="D1725" s="245">
        <v>0</v>
      </c>
    </row>
    <row r="1726" spans="1:18" ht="52" x14ac:dyDescent="0.8">
      <c r="A1726" s="247">
        <v>5611</v>
      </c>
      <c r="B1726" s="248" t="s">
        <v>2183</v>
      </c>
      <c r="D1726" s="245">
        <v>0</v>
      </c>
    </row>
    <row r="1727" spans="1:18" ht="26" x14ac:dyDescent="0.8">
      <c r="A1727" s="247">
        <v>56111</v>
      </c>
      <c r="B1727" s="248" t="s">
        <v>2184</v>
      </c>
      <c r="C1727" s="249" t="s">
        <v>38</v>
      </c>
      <c r="D1727" s="245">
        <v>0</v>
      </c>
      <c r="E1727" s="245">
        <v>100</v>
      </c>
      <c r="F1727" s="245">
        <v>0</v>
      </c>
      <c r="G1727" s="245">
        <v>0</v>
      </c>
      <c r="H1727" s="245">
        <v>100</v>
      </c>
      <c r="I1727" s="245">
        <v>0.3133333333333333</v>
      </c>
      <c r="J1727" s="245">
        <v>0</v>
      </c>
      <c r="K1727" s="245">
        <v>31.333333333333329</v>
      </c>
      <c r="L1727" s="245">
        <v>0</v>
      </c>
      <c r="M1727" s="245">
        <v>0</v>
      </c>
      <c r="N1727" s="245">
        <v>31.333333333333329</v>
      </c>
      <c r="O1727" s="245" t="s">
        <v>118</v>
      </c>
      <c r="P1727" s="245" t="s">
        <v>521</v>
      </c>
      <c r="Q1727" s="245" t="s">
        <v>1936</v>
      </c>
      <c r="R1727" s="246" t="s">
        <v>32</v>
      </c>
    </row>
    <row r="1728" spans="1:18" ht="26" x14ac:dyDescent="0.8">
      <c r="A1728" s="247">
        <v>56112</v>
      </c>
      <c r="B1728" s="248" t="s">
        <v>2185</v>
      </c>
      <c r="C1728" s="249" t="s">
        <v>76</v>
      </c>
      <c r="D1728" s="245">
        <v>0</v>
      </c>
      <c r="E1728" s="245">
        <v>0</v>
      </c>
      <c r="F1728" s="245">
        <v>1</v>
      </c>
      <c r="G1728" s="245">
        <v>1</v>
      </c>
      <c r="H1728" s="245">
        <v>2</v>
      </c>
      <c r="I1728" s="245">
        <v>45.936799999999998</v>
      </c>
      <c r="J1728" s="245">
        <v>0</v>
      </c>
      <c r="K1728" s="245">
        <v>0</v>
      </c>
      <c r="L1728" s="245">
        <v>45.936799999999998</v>
      </c>
      <c r="M1728" s="245">
        <v>45.936799999999998</v>
      </c>
      <c r="N1728" s="245">
        <v>91.873599999999996</v>
      </c>
      <c r="O1728" s="245" t="s">
        <v>118</v>
      </c>
      <c r="P1728" s="245" t="s">
        <v>1936</v>
      </c>
      <c r="Q1728" s="245" t="s">
        <v>2187</v>
      </c>
      <c r="R1728" s="246" t="s">
        <v>32</v>
      </c>
    </row>
    <row r="1729" spans="1:18" ht="39" x14ac:dyDescent="0.8">
      <c r="A1729" s="247">
        <v>5612</v>
      </c>
      <c r="B1729" s="248" t="s">
        <v>2188</v>
      </c>
      <c r="D1729" s="245">
        <v>0</v>
      </c>
    </row>
    <row r="1730" spans="1:18" ht="39" x14ac:dyDescent="0.8">
      <c r="A1730" s="247">
        <v>56121</v>
      </c>
      <c r="B1730" s="248" t="s">
        <v>2189</v>
      </c>
      <c r="C1730" s="249" t="s">
        <v>38</v>
      </c>
      <c r="D1730" s="245">
        <v>0</v>
      </c>
      <c r="E1730" s="245">
        <v>270</v>
      </c>
      <c r="F1730" s="245">
        <v>0</v>
      </c>
      <c r="G1730" s="245">
        <v>270</v>
      </c>
      <c r="H1730" s="245">
        <v>540</v>
      </c>
      <c r="I1730" s="245">
        <v>0.3133333333333333</v>
      </c>
      <c r="J1730" s="245">
        <v>0</v>
      </c>
      <c r="K1730" s="245">
        <v>84.6</v>
      </c>
      <c r="L1730" s="245">
        <v>0</v>
      </c>
      <c r="M1730" s="245">
        <v>84.6</v>
      </c>
      <c r="N1730" s="245">
        <v>169.2</v>
      </c>
      <c r="O1730" s="245" t="s">
        <v>118</v>
      </c>
      <c r="P1730" s="245" t="s">
        <v>1936</v>
      </c>
      <c r="Q1730" s="245" t="s">
        <v>1936</v>
      </c>
      <c r="R1730" s="246" t="s">
        <v>677</v>
      </c>
    </row>
    <row r="1731" spans="1:18" ht="39" hidden="1" x14ac:dyDescent="0.8">
      <c r="A1731" s="247">
        <v>56122</v>
      </c>
      <c r="B1731" s="248" t="s">
        <v>2190</v>
      </c>
      <c r="C1731" s="249" t="s">
        <v>55</v>
      </c>
      <c r="D1731" s="245">
        <v>0</v>
      </c>
      <c r="E1731" s="245">
        <v>0</v>
      </c>
      <c r="F1731" s="245">
        <v>0</v>
      </c>
      <c r="G1731" s="245">
        <v>0</v>
      </c>
      <c r="I1731" s="245">
        <v>0</v>
      </c>
      <c r="O1731" s="245" t="s">
        <v>56</v>
      </c>
      <c r="P1731" s="245" t="s">
        <v>96</v>
      </c>
      <c r="Q1731" s="245" t="s">
        <v>96</v>
      </c>
      <c r="R1731" s="246" t="s">
        <v>679</v>
      </c>
    </row>
    <row r="1732" spans="1:18" hidden="1" x14ac:dyDescent="0.8">
      <c r="A1732" s="247">
        <v>56123</v>
      </c>
      <c r="B1732" s="248" t="s">
        <v>2191</v>
      </c>
      <c r="C1732" s="249" t="s">
        <v>55</v>
      </c>
      <c r="D1732" s="245">
        <v>0</v>
      </c>
      <c r="E1732" s="245">
        <v>1</v>
      </c>
      <c r="F1732" s="245">
        <v>1</v>
      </c>
      <c r="G1732" s="245">
        <v>1</v>
      </c>
      <c r="H1732" s="245">
        <v>3</v>
      </c>
      <c r="I1732" s="245">
        <v>0</v>
      </c>
      <c r="J1732" s="245">
        <v>0</v>
      </c>
      <c r="K1732" s="245">
        <v>0</v>
      </c>
      <c r="L1732" s="245">
        <v>0</v>
      </c>
      <c r="M1732" s="245">
        <v>0</v>
      </c>
      <c r="O1732" s="245" t="s">
        <v>56</v>
      </c>
      <c r="P1732" s="245" t="s">
        <v>1936</v>
      </c>
      <c r="Q1732" s="245" t="s">
        <v>1936</v>
      </c>
      <c r="R1732" s="246" t="s">
        <v>32</v>
      </c>
    </row>
    <row r="1733" spans="1:18" ht="39" x14ac:dyDescent="0.8">
      <c r="A1733" s="247">
        <v>5613</v>
      </c>
      <c r="B1733" s="248" t="s">
        <v>2192</v>
      </c>
      <c r="D1733" s="245">
        <v>0</v>
      </c>
    </row>
    <row r="1734" spans="1:18" ht="39" x14ac:dyDescent="0.8">
      <c r="A1734" s="247">
        <v>56131</v>
      </c>
      <c r="B1734" s="248" t="s">
        <v>2193</v>
      </c>
      <c r="C1734" s="249" t="s">
        <v>301</v>
      </c>
      <c r="D1734" s="245">
        <v>0</v>
      </c>
      <c r="E1734" s="245">
        <v>192</v>
      </c>
      <c r="F1734" s="245">
        <v>180</v>
      </c>
      <c r="H1734" s="245">
        <v>372</v>
      </c>
      <c r="I1734" s="245">
        <v>0.67666666666666664</v>
      </c>
      <c r="J1734" s="245">
        <v>0</v>
      </c>
      <c r="K1734" s="245">
        <v>129.91999999999999</v>
      </c>
      <c r="L1734" s="245">
        <v>121.8</v>
      </c>
      <c r="M1734" s="245">
        <v>0</v>
      </c>
      <c r="N1734" s="245">
        <v>251.71999999999997</v>
      </c>
      <c r="O1734" s="245" t="s">
        <v>118</v>
      </c>
      <c r="P1734" s="245" t="s">
        <v>1936</v>
      </c>
      <c r="Q1734" s="245" t="s">
        <v>1936</v>
      </c>
      <c r="R1734" s="246" t="s">
        <v>32</v>
      </c>
    </row>
    <row r="1735" spans="1:18" x14ac:dyDescent="0.8">
      <c r="A1735" s="247">
        <v>56132</v>
      </c>
      <c r="B1735" s="248" t="s">
        <v>2194</v>
      </c>
      <c r="C1735" s="249" t="s">
        <v>66</v>
      </c>
      <c r="D1735" s="245">
        <v>0</v>
      </c>
      <c r="H1735" s="245">
        <v>0</v>
      </c>
      <c r="I1735" s="245">
        <v>0.255</v>
      </c>
      <c r="J1735" s="245">
        <v>0</v>
      </c>
      <c r="K1735" s="245">
        <v>0</v>
      </c>
      <c r="L1735" s="245">
        <v>0</v>
      </c>
      <c r="M1735" s="245">
        <v>0</v>
      </c>
      <c r="N1735" s="245">
        <v>0</v>
      </c>
      <c r="O1735" s="245" t="s">
        <v>178</v>
      </c>
      <c r="P1735" s="245" t="s">
        <v>1936</v>
      </c>
      <c r="Q1735" s="245" t="s">
        <v>1936</v>
      </c>
      <c r="R1735" s="246" t="s">
        <v>32</v>
      </c>
    </row>
    <row r="1736" spans="1:18" hidden="1" x14ac:dyDescent="0.8">
      <c r="A1736" s="247">
        <v>56132</v>
      </c>
      <c r="B1736" s="248" t="s">
        <v>2194</v>
      </c>
      <c r="C1736" s="249" t="s">
        <v>66</v>
      </c>
      <c r="D1736" s="245">
        <v>0</v>
      </c>
      <c r="E1736" s="245">
        <v>120</v>
      </c>
      <c r="F1736" s="245">
        <v>120</v>
      </c>
      <c r="G1736" s="245">
        <v>120</v>
      </c>
      <c r="H1736" s="245">
        <v>360</v>
      </c>
      <c r="I1736" s="245">
        <v>0.255</v>
      </c>
      <c r="J1736" s="245">
        <v>0</v>
      </c>
      <c r="K1736" s="245">
        <v>30.6</v>
      </c>
      <c r="L1736" s="245">
        <v>30.6</v>
      </c>
      <c r="M1736" s="245">
        <v>30.6</v>
      </c>
      <c r="N1736" s="245">
        <v>91.800000000000011</v>
      </c>
      <c r="O1736" s="245" t="s">
        <v>169</v>
      </c>
      <c r="P1736" s="245" t="s">
        <v>1939</v>
      </c>
      <c r="Q1736" s="245" t="s">
        <v>1939</v>
      </c>
      <c r="R1736" s="246" t="s">
        <v>32</v>
      </c>
    </row>
    <row r="1737" spans="1:18" ht="26" x14ac:dyDescent="0.8">
      <c r="A1737" s="247">
        <v>56133</v>
      </c>
      <c r="B1737" s="248" t="s">
        <v>2195</v>
      </c>
      <c r="C1737" s="249" t="s">
        <v>66</v>
      </c>
      <c r="D1737" s="245">
        <v>0</v>
      </c>
      <c r="H1737" s="245">
        <v>0</v>
      </c>
      <c r="I1737" s="245">
        <v>0.255</v>
      </c>
      <c r="J1737" s="245">
        <v>0</v>
      </c>
      <c r="K1737" s="245">
        <v>0</v>
      </c>
      <c r="L1737" s="245">
        <v>0</v>
      </c>
      <c r="M1737" s="245">
        <v>0</v>
      </c>
      <c r="N1737" s="245">
        <v>0</v>
      </c>
      <c r="O1737" s="245" t="s">
        <v>178</v>
      </c>
      <c r="P1737" s="245" t="s">
        <v>1936</v>
      </c>
      <c r="Q1737" s="245" t="s">
        <v>1936</v>
      </c>
      <c r="R1737" s="246" t="s">
        <v>32</v>
      </c>
    </row>
    <row r="1738" spans="1:18" ht="26" x14ac:dyDescent="0.8">
      <c r="A1738" s="247">
        <v>56133</v>
      </c>
      <c r="B1738" s="248" t="s">
        <v>2195</v>
      </c>
      <c r="C1738" s="249" t="s">
        <v>66</v>
      </c>
      <c r="D1738" s="245">
        <v>0</v>
      </c>
      <c r="H1738" s="245">
        <v>0</v>
      </c>
      <c r="I1738" s="245">
        <v>0.255</v>
      </c>
      <c r="J1738" s="245">
        <v>0</v>
      </c>
      <c r="K1738" s="245">
        <v>0</v>
      </c>
      <c r="L1738" s="245">
        <v>0</v>
      </c>
      <c r="M1738" s="245">
        <v>0</v>
      </c>
      <c r="N1738" s="245">
        <v>0</v>
      </c>
      <c r="O1738" s="245" t="s">
        <v>178</v>
      </c>
      <c r="P1738" s="245" t="s">
        <v>1936</v>
      </c>
      <c r="Q1738" s="245" t="s">
        <v>1936</v>
      </c>
      <c r="R1738" s="246" t="s">
        <v>32</v>
      </c>
    </row>
    <row r="1739" spans="1:18" ht="26" hidden="1" x14ac:dyDescent="0.8">
      <c r="A1739" s="247">
        <v>56134</v>
      </c>
      <c r="B1739" s="248" t="s">
        <v>2196</v>
      </c>
      <c r="C1739" s="249" t="s">
        <v>66</v>
      </c>
      <c r="D1739" s="245">
        <v>0</v>
      </c>
      <c r="E1739" s="245">
        <v>30.068999999999996</v>
      </c>
      <c r="F1739" s="245">
        <v>30.068999999999996</v>
      </c>
      <c r="G1739" s="245">
        <v>30.068999999999996</v>
      </c>
      <c r="H1739" s="245">
        <v>90.206999999999994</v>
      </c>
      <c r="I1739" s="245">
        <v>0.255</v>
      </c>
      <c r="J1739" s="245">
        <v>0</v>
      </c>
      <c r="K1739" s="245">
        <v>7.6675949999999986</v>
      </c>
      <c r="L1739" s="245">
        <v>7.6675949999999986</v>
      </c>
      <c r="M1739" s="245">
        <v>7.6675949999999986</v>
      </c>
      <c r="N1739" s="245">
        <v>23.002784999999996</v>
      </c>
      <c r="O1739" s="245" t="s">
        <v>169</v>
      </c>
      <c r="P1739" s="245" t="s">
        <v>1939</v>
      </c>
      <c r="Q1739" s="245" t="s">
        <v>1939</v>
      </c>
      <c r="R1739" s="246" t="s">
        <v>32</v>
      </c>
    </row>
    <row r="1740" spans="1:18" ht="26" x14ac:dyDescent="0.8">
      <c r="A1740" s="247">
        <v>56134</v>
      </c>
      <c r="B1740" s="248" t="s">
        <v>2196</v>
      </c>
      <c r="C1740" s="249" t="s">
        <v>66</v>
      </c>
      <c r="D1740" s="245">
        <v>0</v>
      </c>
      <c r="E1740" s="245">
        <v>59.931000000000004</v>
      </c>
      <c r="F1740" s="245">
        <v>59.931000000000004</v>
      </c>
      <c r="G1740" s="245">
        <v>59.931000000000004</v>
      </c>
      <c r="H1740" s="245">
        <v>179.79300000000001</v>
      </c>
      <c r="I1740" s="245">
        <v>0.255</v>
      </c>
      <c r="J1740" s="245">
        <v>0</v>
      </c>
      <c r="K1740" s="245">
        <v>15.282405000000001</v>
      </c>
      <c r="L1740" s="245">
        <v>15.282405000000001</v>
      </c>
      <c r="M1740" s="245">
        <v>15.282405000000001</v>
      </c>
      <c r="N1740" s="245">
        <v>45.847215000000006</v>
      </c>
      <c r="O1740" s="245" t="s">
        <v>118</v>
      </c>
      <c r="P1740" s="245" t="s">
        <v>1936</v>
      </c>
      <c r="Q1740" s="245" t="s">
        <v>1936</v>
      </c>
      <c r="R1740" s="246" t="s">
        <v>32</v>
      </c>
    </row>
    <row r="1741" spans="1:18" x14ac:dyDescent="0.8">
      <c r="A1741" s="247">
        <v>56135</v>
      </c>
      <c r="B1741" s="248" t="s">
        <v>2197</v>
      </c>
      <c r="C1741" s="249" t="s">
        <v>38</v>
      </c>
      <c r="D1741" s="245">
        <v>0</v>
      </c>
      <c r="E1741" s="245">
        <v>0</v>
      </c>
      <c r="F1741" s="245">
        <v>0</v>
      </c>
      <c r="G1741" s="245">
        <v>0</v>
      </c>
      <c r="H1741" s="245">
        <v>0</v>
      </c>
      <c r="I1741" s="245">
        <v>0.3133333333333333</v>
      </c>
      <c r="J1741" s="245">
        <v>0</v>
      </c>
      <c r="K1741" s="245">
        <v>0</v>
      </c>
      <c r="L1741" s="245">
        <v>0</v>
      </c>
      <c r="M1741" s="245">
        <v>0</v>
      </c>
      <c r="N1741" s="245">
        <v>0</v>
      </c>
      <c r="O1741" s="245" t="s">
        <v>178</v>
      </c>
      <c r="P1741" s="245" t="s">
        <v>1939</v>
      </c>
      <c r="Q1741" s="245" t="s">
        <v>1939</v>
      </c>
      <c r="R1741" s="246" t="s">
        <v>32</v>
      </c>
    </row>
    <row r="1742" spans="1:18" hidden="1" x14ac:dyDescent="0.8">
      <c r="A1742" s="247">
        <v>56135</v>
      </c>
      <c r="B1742" s="248" t="s">
        <v>2197</v>
      </c>
      <c r="C1742" s="249" t="s">
        <v>38</v>
      </c>
      <c r="D1742" s="245">
        <v>0</v>
      </c>
      <c r="E1742" s="245">
        <v>300</v>
      </c>
      <c r="F1742" s="245">
        <v>300</v>
      </c>
      <c r="G1742" s="245">
        <v>300</v>
      </c>
      <c r="H1742" s="245">
        <v>900</v>
      </c>
      <c r="I1742" s="245">
        <v>0.3133333333333333</v>
      </c>
      <c r="J1742" s="245">
        <v>0</v>
      </c>
      <c r="K1742" s="245">
        <v>93.999999999999986</v>
      </c>
      <c r="L1742" s="245">
        <v>93.999999999999986</v>
      </c>
      <c r="M1742" s="245">
        <v>93.999999999999986</v>
      </c>
      <c r="N1742" s="245">
        <v>281.99999999999994</v>
      </c>
      <c r="O1742" s="245" t="s">
        <v>169</v>
      </c>
      <c r="P1742" s="245" t="s">
        <v>1939</v>
      </c>
      <c r="Q1742" s="245" t="s">
        <v>1939</v>
      </c>
      <c r="R1742" s="246" t="s">
        <v>32</v>
      </c>
    </row>
    <row r="1743" spans="1:18" ht="52" x14ac:dyDescent="0.8">
      <c r="A1743" s="247">
        <v>56136</v>
      </c>
      <c r="B1743" s="248" t="s">
        <v>2198</v>
      </c>
      <c r="C1743" s="249" t="s">
        <v>38</v>
      </c>
      <c r="D1743" s="245">
        <v>0</v>
      </c>
      <c r="H1743" s="245">
        <v>0</v>
      </c>
      <c r="I1743" s="245">
        <v>0.3133333333333333</v>
      </c>
      <c r="J1743" s="245">
        <v>0</v>
      </c>
      <c r="K1743" s="245">
        <v>0</v>
      </c>
      <c r="L1743" s="245">
        <v>0</v>
      </c>
      <c r="M1743" s="245">
        <v>0</v>
      </c>
      <c r="N1743" s="245">
        <v>0</v>
      </c>
      <c r="O1743" s="245" t="s">
        <v>178</v>
      </c>
      <c r="P1743" s="245" t="s">
        <v>1939</v>
      </c>
      <c r="Q1743" s="245" t="s">
        <v>1939</v>
      </c>
      <c r="R1743" s="246" t="s">
        <v>32</v>
      </c>
    </row>
    <row r="1744" spans="1:18" ht="52" hidden="1" x14ac:dyDescent="0.8">
      <c r="A1744" s="247">
        <v>56136</v>
      </c>
      <c r="B1744" s="248" t="s">
        <v>2198</v>
      </c>
      <c r="C1744" s="249" t="s">
        <v>38</v>
      </c>
      <c r="D1744" s="245">
        <v>0</v>
      </c>
      <c r="E1744" s="245">
        <v>150</v>
      </c>
      <c r="F1744" s="245">
        <v>150</v>
      </c>
      <c r="G1744" s="245">
        <v>150</v>
      </c>
      <c r="H1744" s="245">
        <v>450</v>
      </c>
      <c r="I1744" s="245">
        <v>0.3133333333333333</v>
      </c>
      <c r="J1744" s="245">
        <v>0</v>
      </c>
      <c r="K1744" s="245">
        <v>46.999999999999993</v>
      </c>
      <c r="L1744" s="245">
        <v>46.999999999999993</v>
      </c>
      <c r="M1744" s="245">
        <v>46.999999999999993</v>
      </c>
      <c r="N1744" s="245">
        <v>140.99999999999997</v>
      </c>
      <c r="O1744" s="245" t="s">
        <v>169</v>
      </c>
      <c r="P1744" s="245" t="s">
        <v>1939</v>
      </c>
      <c r="Q1744" s="245" t="s">
        <v>1939</v>
      </c>
      <c r="R1744" s="246" t="s">
        <v>32</v>
      </c>
    </row>
    <row r="1745" spans="1:18" ht="26" x14ac:dyDescent="0.8">
      <c r="A1745" s="247">
        <v>56137</v>
      </c>
      <c r="B1745" s="248" t="s">
        <v>2199</v>
      </c>
      <c r="C1745" s="249" t="s">
        <v>66</v>
      </c>
      <c r="D1745" s="245">
        <v>0</v>
      </c>
      <c r="H1745" s="245">
        <v>0</v>
      </c>
      <c r="I1745" s="245">
        <v>0.255</v>
      </c>
      <c r="J1745" s="245">
        <v>0</v>
      </c>
      <c r="K1745" s="245">
        <v>0</v>
      </c>
      <c r="L1745" s="245">
        <v>0</v>
      </c>
      <c r="M1745" s="245">
        <v>0</v>
      </c>
      <c r="N1745" s="245">
        <v>0</v>
      </c>
      <c r="O1745" s="245" t="s">
        <v>178</v>
      </c>
      <c r="P1745" s="245" t="s">
        <v>1939</v>
      </c>
      <c r="Q1745" s="245" t="s">
        <v>1939</v>
      </c>
      <c r="R1745" s="246" t="s">
        <v>32</v>
      </c>
    </row>
    <row r="1746" spans="1:18" ht="26" hidden="1" x14ac:dyDescent="0.8">
      <c r="A1746" s="247">
        <v>56137</v>
      </c>
      <c r="B1746" s="248" t="s">
        <v>2199</v>
      </c>
      <c r="C1746" s="249" t="s">
        <v>66</v>
      </c>
      <c r="D1746" s="245">
        <v>0</v>
      </c>
      <c r="E1746" s="245">
        <v>300</v>
      </c>
      <c r="F1746" s="245">
        <v>150</v>
      </c>
      <c r="G1746" s="245">
        <v>150</v>
      </c>
      <c r="H1746" s="245">
        <v>600</v>
      </c>
      <c r="I1746" s="245">
        <v>0.255</v>
      </c>
      <c r="J1746" s="245">
        <v>0</v>
      </c>
      <c r="K1746" s="245">
        <v>76.5</v>
      </c>
      <c r="L1746" s="245">
        <v>38.25</v>
      </c>
      <c r="M1746" s="245">
        <v>38.25</v>
      </c>
      <c r="N1746" s="245">
        <v>153</v>
      </c>
      <c r="O1746" s="245" t="s">
        <v>169</v>
      </c>
      <c r="P1746" s="245" t="s">
        <v>1939</v>
      </c>
      <c r="Q1746" s="245" t="s">
        <v>1939</v>
      </c>
      <c r="R1746" s="246" t="s">
        <v>32</v>
      </c>
    </row>
    <row r="1747" spans="1:18" ht="26" x14ac:dyDescent="0.8">
      <c r="A1747" s="247">
        <v>56138</v>
      </c>
      <c r="B1747" s="248" t="s">
        <v>2200</v>
      </c>
      <c r="C1747" s="249" t="s">
        <v>38</v>
      </c>
      <c r="D1747" s="245">
        <v>0</v>
      </c>
      <c r="H1747" s="245">
        <v>0</v>
      </c>
      <c r="I1747" s="245">
        <v>0.3133333333333333</v>
      </c>
      <c r="J1747" s="245">
        <v>0</v>
      </c>
      <c r="K1747" s="245">
        <v>0</v>
      </c>
      <c r="L1747" s="245">
        <v>0</v>
      </c>
      <c r="M1747" s="245">
        <v>0</v>
      </c>
      <c r="N1747" s="245">
        <v>0</v>
      </c>
      <c r="O1747" s="245" t="s">
        <v>178</v>
      </c>
      <c r="P1747" s="245" t="s">
        <v>1936</v>
      </c>
      <c r="Q1747" s="245" t="s">
        <v>1936</v>
      </c>
      <c r="R1747" s="246" t="s">
        <v>32</v>
      </c>
    </row>
    <row r="1748" spans="1:18" ht="39" hidden="1" x14ac:dyDescent="0.8">
      <c r="A1748" s="247">
        <v>56138</v>
      </c>
      <c r="B1748" s="248" t="s">
        <v>2200</v>
      </c>
      <c r="C1748" s="249" t="s">
        <v>38</v>
      </c>
      <c r="D1748" s="245">
        <v>0</v>
      </c>
      <c r="E1748" s="245">
        <v>32</v>
      </c>
      <c r="F1748" s="245">
        <v>32</v>
      </c>
      <c r="G1748" s="245">
        <v>32</v>
      </c>
      <c r="H1748" s="245">
        <v>96</v>
      </c>
      <c r="I1748" s="245">
        <v>0.3133333333333333</v>
      </c>
      <c r="J1748" s="245">
        <v>0</v>
      </c>
      <c r="K1748" s="245">
        <v>10.026666666666666</v>
      </c>
      <c r="L1748" s="245">
        <v>10.026666666666666</v>
      </c>
      <c r="M1748" s="245">
        <v>10.026666666666666</v>
      </c>
      <c r="N1748" s="245">
        <v>30.08</v>
      </c>
      <c r="O1748" s="245" t="s">
        <v>169</v>
      </c>
      <c r="P1748" s="245" t="s">
        <v>1939</v>
      </c>
      <c r="Q1748" s="245" t="s">
        <v>1939</v>
      </c>
      <c r="R1748" s="246" t="s">
        <v>2066</v>
      </c>
    </row>
    <row r="1749" spans="1:18" ht="26" x14ac:dyDescent="0.8">
      <c r="A1749" s="247">
        <v>56139</v>
      </c>
      <c r="B1749" s="248" t="s">
        <v>2201</v>
      </c>
      <c r="C1749" s="249" t="s">
        <v>66</v>
      </c>
      <c r="D1749" s="245">
        <v>0</v>
      </c>
      <c r="H1749" s="245">
        <v>0</v>
      </c>
      <c r="I1749" s="245">
        <v>0.255</v>
      </c>
      <c r="J1749" s="245">
        <v>0</v>
      </c>
      <c r="K1749" s="245">
        <v>0</v>
      </c>
      <c r="L1749" s="245">
        <v>0</v>
      </c>
      <c r="M1749" s="245">
        <v>0</v>
      </c>
      <c r="N1749" s="245">
        <v>0</v>
      </c>
      <c r="O1749" s="245" t="s">
        <v>178</v>
      </c>
      <c r="P1749" s="245" t="s">
        <v>1936</v>
      </c>
      <c r="Q1749" s="245" t="s">
        <v>1936</v>
      </c>
      <c r="R1749" s="246" t="s">
        <v>32</v>
      </c>
    </row>
    <row r="1750" spans="1:18" ht="39" hidden="1" x14ac:dyDescent="0.8">
      <c r="A1750" s="247">
        <v>56139</v>
      </c>
      <c r="B1750" s="248" t="s">
        <v>2201</v>
      </c>
      <c r="C1750" s="249" t="s">
        <v>66</v>
      </c>
      <c r="D1750" s="245">
        <v>0</v>
      </c>
      <c r="E1750" s="245">
        <v>75</v>
      </c>
      <c r="F1750" s="245">
        <v>75</v>
      </c>
      <c r="G1750" s="245">
        <v>75</v>
      </c>
      <c r="H1750" s="245">
        <v>225</v>
      </c>
      <c r="I1750" s="245">
        <v>0.255</v>
      </c>
      <c r="J1750" s="245">
        <v>0</v>
      </c>
      <c r="K1750" s="245">
        <v>19.125</v>
      </c>
      <c r="L1750" s="245">
        <v>19.125</v>
      </c>
      <c r="M1750" s="245">
        <v>19.125</v>
      </c>
      <c r="N1750" s="245">
        <v>57.375</v>
      </c>
      <c r="O1750" s="245" t="s">
        <v>169</v>
      </c>
      <c r="P1750" s="245" t="s">
        <v>1939</v>
      </c>
      <c r="Q1750" s="245" t="s">
        <v>1939</v>
      </c>
      <c r="R1750" s="246" t="s">
        <v>2066</v>
      </c>
    </row>
    <row r="1751" spans="1:18" ht="26" x14ac:dyDescent="0.8">
      <c r="A1751" s="247">
        <v>561310</v>
      </c>
      <c r="B1751" s="248" t="s">
        <v>2202</v>
      </c>
      <c r="C1751" s="249" t="s">
        <v>452</v>
      </c>
      <c r="D1751" s="245">
        <v>0</v>
      </c>
      <c r="H1751" s="245">
        <v>0</v>
      </c>
      <c r="I1751" s="245">
        <v>7.4999999999999997E-3</v>
      </c>
      <c r="J1751" s="245">
        <v>0</v>
      </c>
      <c r="K1751" s="245">
        <v>0</v>
      </c>
      <c r="L1751" s="245">
        <v>0</v>
      </c>
      <c r="M1751" s="245">
        <v>0</v>
      </c>
      <c r="N1751" s="245">
        <v>0</v>
      </c>
      <c r="O1751" s="245" t="s">
        <v>178</v>
      </c>
      <c r="P1751" s="245" t="s">
        <v>1936</v>
      </c>
      <c r="Q1751" s="245" t="s">
        <v>1936</v>
      </c>
      <c r="R1751" s="246" t="s">
        <v>32</v>
      </c>
    </row>
    <row r="1752" spans="1:18" ht="39" hidden="1" x14ac:dyDescent="0.8">
      <c r="A1752" s="247">
        <v>561310</v>
      </c>
      <c r="B1752" s="248" t="s">
        <v>2202</v>
      </c>
      <c r="C1752" s="249" t="s">
        <v>452</v>
      </c>
      <c r="D1752" s="245">
        <v>0</v>
      </c>
      <c r="E1752" s="245">
        <v>150</v>
      </c>
      <c r="F1752" s="245">
        <v>150</v>
      </c>
      <c r="G1752" s="245">
        <v>150</v>
      </c>
      <c r="H1752" s="245">
        <v>450</v>
      </c>
      <c r="I1752" s="245">
        <v>7.4999999999999997E-3</v>
      </c>
      <c r="J1752" s="245">
        <v>0</v>
      </c>
      <c r="K1752" s="245">
        <v>1.125</v>
      </c>
      <c r="L1752" s="245">
        <v>1.125</v>
      </c>
      <c r="M1752" s="245">
        <v>1.125</v>
      </c>
      <c r="N1752" s="245">
        <v>3.375</v>
      </c>
      <c r="O1752" s="245" t="s">
        <v>169</v>
      </c>
      <c r="P1752" s="245" t="s">
        <v>1939</v>
      </c>
      <c r="Q1752" s="245" t="s">
        <v>1939</v>
      </c>
      <c r="R1752" s="246" t="s">
        <v>2066</v>
      </c>
    </row>
    <row r="1753" spans="1:18" ht="26" x14ac:dyDescent="0.8">
      <c r="A1753" s="247">
        <v>561311</v>
      </c>
      <c r="B1753" s="248" t="s">
        <v>2203</v>
      </c>
      <c r="C1753" s="249" t="s">
        <v>38</v>
      </c>
      <c r="D1753" s="245">
        <v>0</v>
      </c>
      <c r="H1753" s="245">
        <v>0</v>
      </c>
      <c r="I1753" s="245">
        <v>0.3133333333333333</v>
      </c>
      <c r="J1753" s="245">
        <v>0</v>
      </c>
      <c r="K1753" s="245">
        <v>0</v>
      </c>
      <c r="L1753" s="245">
        <v>0</v>
      </c>
      <c r="M1753" s="245">
        <v>0</v>
      </c>
      <c r="N1753" s="245">
        <v>0</v>
      </c>
      <c r="O1753" s="245" t="s">
        <v>178</v>
      </c>
      <c r="P1753" s="245" t="s">
        <v>1936</v>
      </c>
      <c r="Q1753" s="245" t="s">
        <v>1936</v>
      </c>
      <c r="R1753" s="246" t="s">
        <v>32</v>
      </c>
    </row>
    <row r="1754" spans="1:18" ht="39" hidden="1" x14ac:dyDescent="0.8">
      <c r="A1754" s="247">
        <v>561311</v>
      </c>
      <c r="B1754" s="248" t="s">
        <v>2203</v>
      </c>
      <c r="C1754" s="249" t="s">
        <v>38</v>
      </c>
      <c r="D1754" s="245">
        <v>0</v>
      </c>
      <c r="E1754" s="245">
        <v>50</v>
      </c>
      <c r="F1754" s="245">
        <v>50</v>
      </c>
      <c r="G1754" s="245">
        <v>50</v>
      </c>
      <c r="H1754" s="245">
        <v>150</v>
      </c>
      <c r="I1754" s="245">
        <v>0.3133333333333333</v>
      </c>
      <c r="J1754" s="245">
        <v>0</v>
      </c>
      <c r="K1754" s="245">
        <v>15.666666666666664</v>
      </c>
      <c r="L1754" s="245">
        <v>15.666666666666664</v>
      </c>
      <c r="M1754" s="245">
        <v>15.666666666666664</v>
      </c>
      <c r="N1754" s="245">
        <v>46.999999999999993</v>
      </c>
      <c r="O1754" s="245" t="s">
        <v>169</v>
      </c>
      <c r="P1754" s="245" t="s">
        <v>1939</v>
      </c>
      <c r="Q1754" s="245" t="s">
        <v>1939</v>
      </c>
      <c r="R1754" s="246" t="s">
        <v>2066</v>
      </c>
    </row>
    <row r="1755" spans="1:18" ht="39" x14ac:dyDescent="0.8">
      <c r="A1755" s="247">
        <v>561312</v>
      </c>
      <c r="B1755" s="248" t="s">
        <v>2204</v>
      </c>
      <c r="C1755" s="249" t="s">
        <v>38</v>
      </c>
      <c r="D1755" s="245">
        <v>0</v>
      </c>
      <c r="G1755" s="245">
        <v>360</v>
      </c>
      <c r="H1755" s="245">
        <v>360</v>
      </c>
      <c r="I1755" s="245">
        <v>0.3133333333333333</v>
      </c>
      <c r="J1755" s="245">
        <v>0</v>
      </c>
      <c r="K1755" s="245">
        <v>0</v>
      </c>
      <c r="L1755" s="245">
        <v>0</v>
      </c>
      <c r="M1755" s="245">
        <v>112.79999999999998</v>
      </c>
      <c r="N1755" s="245">
        <v>112.79999999999998</v>
      </c>
      <c r="O1755" s="245" t="s">
        <v>118</v>
      </c>
      <c r="P1755" s="245" t="s">
        <v>1936</v>
      </c>
      <c r="Q1755" s="245" t="s">
        <v>1936</v>
      </c>
      <c r="R1755" s="246" t="s">
        <v>32</v>
      </c>
    </row>
    <row r="1756" spans="1:18" ht="39" x14ac:dyDescent="0.8">
      <c r="A1756" s="247">
        <v>562</v>
      </c>
      <c r="B1756" s="248" t="s">
        <v>2205</v>
      </c>
      <c r="D1756" s="245">
        <v>0</v>
      </c>
    </row>
    <row r="1757" spans="1:18" x14ac:dyDescent="0.8">
      <c r="A1757" s="247">
        <v>5621</v>
      </c>
      <c r="B1757" s="248" t="s">
        <v>2206</v>
      </c>
      <c r="D1757" s="245">
        <v>0</v>
      </c>
    </row>
    <row r="1758" spans="1:18" ht="39" x14ac:dyDescent="0.8">
      <c r="A1758" s="247">
        <v>56211</v>
      </c>
      <c r="B1758" s="248" t="s">
        <v>2207</v>
      </c>
      <c r="C1758" s="249" t="s">
        <v>301</v>
      </c>
      <c r="D1758" s="245">
        <v>0</v>
      </c>
      <c r="H1758" s="245">
        <v>0</v>
      </c>
      <c r="I1758" s="245">
        <v>0.67666666666666664</v>
      </c>
      <c r="J1758" s="245">
        <v>0</v>
      </c>
      <c r="K1758" s="245">
        <v>0</v>
      </c>
      <c r="L1758" s="245">
        <v>0</v>
      </c>
      <c r="M1758" s="245">
        <v>0</v>
      </c>
      <c r="N1758" s="245">
        <v>0</v>
      </c>
      <c r="O1758" s="245" t="s">
        <v>178</v>
      </c>
      <c r="P1758" s="245" t="s">
        <v>1936</v>
      </c>
      <c r="Q1758" s="245" t="s">
        <v>1936</v>
      </c>
      <c r="R1758" s="246" t="s">
        <v>32</v>
      </c>
    </row>
    <row r="1759" spans="1:18" ht="39" hidden="1" x14ac:dyDescent="0.8">
      <c r="A1759" s="247">
        <v>56211</v>
      </c>
      <c r="B1759" s="248" t="s">
        <v>2207</v>
      </c>
      <c r="C1759" s="249" t="s">
        <v>301</v>
      </c>
      <c r="D1759" s="245">
        <v>0</v>
      </c>
      <c r="E1759" s="245">
        <v>200</v>
      </c>
      <c r="F1759" s="245">
        <v>200</v>
      </c>
      <c r="H1759" s="245">
        <v>400</v>
      </c>
      <c r="I1759" s="245">
        <v>0.67666666666666664</v>
      </c>
      <c r="J1759" s="245">
        <v>0</v>
      </c>
      <c r="K1759" s="245">
        <v>135.33333333333331</v>
      </c>
      <c r="L1759" s="245">
        <v>135.33333333333331</v>
      </c>
      <c r="M1759" s="245">
        <v>0</v>
      </c>
      <c r="N1759" s="245">
        <v>270.66666666666663</v>
      </c>
      <c r="O1759" s="245" t="s">
        <v>169</v>
      </c>
      <c r="P1759" s="245" t="s">
        <v>1939</v>
      </c>
      <c r="Q1759" s="245" t="s">
        <v>1939</v>
      </c>
      <c r="R1759" s="246" t="s">
        <v>2066</v>
      </c>
    </row>
    <row r="1760" spans="1:18" ht="26" hidden="1" x14ac:dyDescent="0.8">
      <c r="A1760" s="247">
        <v>56212</v>
      </c>
      <c r="B1760" s="248" t="s">
        <v>2208</v>
      </c>
      <c r="C1760" s="249" t="s">
        <v>55</v>
      </c>
      <c r="D1760" s="245">
        <v>0</v>
      </c>
      <c r="E1760" s="245">
        <v>1</v>
      </c>
      <c r="F1760" s="245">
        <v>1</v>
      </c>
      <c r="G1760" s="245">
        <v>1</v>
      </c>
      <c r="H1760" s="245">
        <v>3</v>
      </c>
      <c r="I1760" s="245">
        <v>0</v>
      </c>
      <c r="J1760" s="245">
        <v>0</v>
      </c>
      <c r="K1760" s="245">
        <v>0</v>
      </c>
      <c r="L1760" s="245">
        <v>0</v>
      </c>
      <c r="M1760" s="245">
        <v>0</v>
      </c>
      <c r="O1760" s="245" t="s">
        <v>56</v>
      </c>
      <c r="P1760" s="245" t="s">
        <v>1936</v>
      </c>
      <c r="Q1760" s="245" t="s">
        <v>521</v>
      </c>
      <c r="R1760" s="246" t="s">
        <v>32</v>
      </c>
    </row>
    <row r="1761" spans="1:18" ht="26" hidden="1" x14ac:dyDescent="0.8">
      <c r="A1761" s="247">
        <v>56213</v>
      </c>
      <c r="B1761" s="248" t="s">
        <v>2209</v>
      </c>
      <c r="C1761" s="249" t="s">
        <v>55</v>
      </c>
      <c r="D1761" s="245">
        <v>0</v>
      </c>
      <c r="E1761" s="245">
        <v>1</v>
      </c>
      <c r="F1761" s="245">
        <v>1</v>
      </c>
      <c r="G1761" s="245">
        <v>1</v>
      </c>
      <c r="H1761" s="245">
        <v>3</v>
      </c>
      <c r="I1761" s="245">
        <v>0</v>
      </c>
      <c r="J1761" s="245">
        <v>0</v>
      </c>
      <c r="K1761" s="245">
        <v>0</v>
      </c>
      <c r="L1761" s="245">
        <v>0</v>
      </c>
      <c r="M1761" s="245">
        <v>0</v>
      </c>
      <c r="O1761" s="245" t="s">
        <v>56</v>
      </c>
      <c r="P1761" s="245" t="s">
        <v>96</v>
      </c>
      <c r="Q1761" s="245" t="s">
        <v>521</v>
      </c>
      <c r="R1761" s="246" t="s">
        <v>32</v>
      </c>
    </row>
    <row r="1762" spans="1:18" ht="39" hidden="1" x14ac:dyDescent="0.8">
      <c r="A1762" s="247">
        <v>56214</v>
      </c>
      <c r="B1762" s="248" t="s">
        <v>2210</v>
      </c>
      <c r="C1762" s="249" t="s">
        <v>55</v>
      </c>
      <c r="D1762" s="245">
        <v>0</v>
      </c>
      <c r="E1762" s="245">
        <v>1</v>
      </c>
      <c r="F1762" s="245">
        <v>1</v>
      </c>
      <c r="G1762" s="245">
        <v>1</v>
      </c>
      <c r="H1762" s="245">
        <v>3</v>
      </c>
      <c r="I1762" s="245">
        <v>0</v>
      </c>
      <c r="J1762" s="245">
        <v>0</v>
      </c>
      <c r="K1762" s="245">
        <v>0</v>
      </c>
      <c r="L1762" s="245">
        <v>0</v>
      </c>
      <c r="M1762" s="245">
        <v>0</v>
      </c>
      <c r="O1762" s="245" t="s">
        <v>56</v>
      </c>
      <c r="P1762" s="245" t="s">
        <v>1936</v>
      </c>
      <c r="Q1762" s="245" t="s">
        <v>521</v>
      </c>
      <c r="R1762" s="246" t="s">
        <v>32</v>
      </c>
    </row>
    <row r="1763" spans="1:18" ht="26" x14ac:dyDescent="0.8">
      <c r="A1763" s="247">
        <v>56215</v>
      </c>
      <c r="B1763" s="248" t="s">
        <v>2211</v>
      </c>
      <c r="C1763" s="249" t="s">
        <v>2212</v>
      </c>
      <c r="D1763" s="245">
        <v>0</v>
      </c>
      <c r="H1763" s="245">
        <v>0</v>
      </c>
      <c r="I1763" s="245">
        <v>28879.505390999999</v>
      </c>
      <c r="J1763" s="245">
        <v>0</v>
      </c>
      <c r="K1763" s="245">
        <v>0</v>
      </c>
      <c r="L1763" s="245">
        <v>0</v>
      </c>
      <c r="M1763" s="245">
        <v>0</v>
      </c>
      <c r="N1763" s="245">
        <v>0</v>
      </c>
      <c r="O1763" s="245" t="s">
        <v>178</v>
      </c>
      <c r="P1763" s="245" t="s">
        <v>521</v>
      </c>
      <c r="Q1763" s="245" t="s">
        <v>521</v>
      </c>
      <c r="R1763" s="246" t="s">
        <v>32</v>
      </c>
    </row>
    <row r="1764" spans="1:18" ht="39" hidden="1" x14ac:dyDescent="0.8">
      <c r="A1764" s="247">
        <v>56215</v>
      </c>
      <c r="B1764" s="248" t="s">
        <v>2211</v>
      </c>
      <c r="C1764" s="249" t="s">
        <v>2212</v>
      </c>
      <c r="D1764" s="245">
        <v>0</v>
      </c>
      <c r="E1764" s="245">
        <v>0.2</v>
      </c>
      <c r="F1764" s="245">
        <v>0.4</v>
      </c>
      <c r="G1764" s="245">
        <v>0.3</v>
      </c>
      <c r="H1764" s="245">
        <v>0.90000000000000013</v>
      </c>
      <c r="I1764" s="245">
        <v>28879.505390999999</v>
      </c>
      <c r="J1764" s="245">
        <v>0</v>
      </c>
      <c r="K1764" s="245">
        <v>5775.9010782000005</v>
      </c>
      <c r="L1764" s="245">
        <v>11551.802156400001</v>
      </c>
      <c r="M1764" s="245">
        <v>8663.8516172999989</v>
      </c>
      <c r="N1764" s="245">
        <v>25991.5548519</v>
      </c>
      <c r="O1764" s="245" t="s">
        <v>169</v>
      </c>
      <c r="P1764" s="245" t="s">
        <v>521</v>
      </c>
      <c r="Q1764" s="245" t="s">
        <v>521</v>
      </c>
      <c r="R1764" s="246" t="s">
        <v>2066</v>
      </c>
    </row>
    <row r="1765" spans="1:18" ht="26" hidden="1" x14ac:dyDescent="0.8">
      <c r="A1765" s="247">
        <v>56215</v>
      </c>
      <c r="B1765" s="248" t="s">
        <v>2211</v>
      </c>
      <c r="C1765" s="249" t="s">
        <v>2212</v>
      </c>
      <c r="D1765" s="245">
        <v>0</v>
      </c>
      <c r="E1765" s="245">
        <v>0.9</v>
      </c>
      <c r="F1765" s="245">
        <v>0.9</v>
      </c>
      <c r="G1765" s="245">
        <v>0.9</v>
      </c>
      <c r="H1765" s="245">
        <v>2.7</v>
      </c>
      <c r="I1765" s="245">
        <v>28879.505390999999</v>
      </c>
      <c r="J1765" s="245">
        <v>0</v>
      </c>
      <c r="K1765" s="245">
        <v>25991.5548519</v>
      </c>
      <c r="L1765" s="245">
        <v>25991.5548519</v>
      </c>
      <c r="M1765" s="245">
        <v>25991.5548519</v>
      </c>
      <c r="N1765" s="245">
        <v>77974.664555700001</v>
      </c>
      <c r="O1765" s="245" t="s">
        <v>56</v>
      </c>
      <c r="P1765" s="245" t="s">
        <v>521</v>
      </c>
      <c r="Q1765" s="245" t="s">
        <v>521</v>
      </c>
      <c r="R1765" s="246" t="s">
        <v>32</v>
      </c>
    </row>
    <row r="1766" spans="1:18" ht="26" hidden="1" x14ac:dyDescent="0.8">
      <c r="A1766" s="247">
        <v>56216</v>
      </c>
      <c r="B1766" s="248" t="s">
        <v>2213</v>
      </c>
      <c r="C1766" s="249" t="s">
        <v>2215</v>
      </c>
      <c r="D1766" s="245">
        <v>0</v>
      </c>
      <c r="E1766" s="245">
        <v>0.895273280569994</v>
      </c>
      <c r="F1766" s="245">
        <v>0.995045337907428</v>
      </c>
      <c r="G1766" s="245">
        <v>1.1096813815225799</v>
      </c>
      <c r="H1766" s="245">
        <v>3.0000000000000018</v>
      </c>
      <c r="I1766" s="245">
        <v>32221.870422193402</v>
      </c>
      <c r="J1766" s="245">
        <v>0</v>
      </c>
      <c r="K1766" s="245">
        <v>28847.379638978346</v>
      </c>
      <c r="L1766" s="245">
        <v>32062.221942260792</v>
      </c>
      <c r="M1766" s="245">
        <v>35756.009685341131</v>
      </c>
      <c r="N1766" s="245">
        <v>96665.611266580265</v>
      </c>
      <c r="O1766" s="245" t="s">
        <v>56</v>
      </c>
      <c r="P1766" s="245" t="s">
        <v>521</v>
      </c>
      <c r="Q1766" s="245" t="s">
        <v>521</v>
      </c>
      <c r="R1766" s="246" t="s">
        <v>32</v>
      </c>
    </row>
    <row r="1767" spans="1:18" ht="26" hidden="1" x14ac:dyDescent="0.8">
      <c r="A1767" s="247">
        <v>56217</v>
      </c>
      <c r="B1767" s="248" t="s">
        <v>2216</v>
      </c>
      <c r="C1767" s="249" t="s">
        <v>2217</v>
      </c>
      <c r="D1767" s="245">
        <v>0</v>
      </c>
      <c r="E1767" s="245">
        <v>0.97240479999366103</v>
      </c>
      <c r="F1767" s="245">
        <v>1.02102503999334</v>
      </c>
      <c r="G1767" s="245">
        <v>1.07207629199301</v>
      </c>
      <c r="H1767" s="245">
        <v>3.065506131980011</v>
      </c>
      <c r="I1767" s="245">
        <v>7704.7054522202898</v>
      </c>
      <c r="J1767" s="245">
        <v>0</v>
      </c>
      <c r="K1767" s="245">
        <v>7492.0925642763405</v>
      </c>
      <c r="L1767" s="245">
        <v>7866.6971924901263</v>
      </c>
      <c r="M1767" s="245">
        <v>8260.032052114655</v>
      </c>
      <c r="N1767" s="245">
        <v>23618.821808881119</v>
      </c>
      <c r="O1767" s="245" t="s">
        <v>56</v>
      </c>
      <c r="P1767" s="245" t="s">
        <v>521</v>
      </c>
      <c r="Q1767" s="245" t="s">
        <v>521</v>
      </c>
      <c r="R1767" s="246" t="s">
        <v>677</v>
      </c>
    </row>
    <row r="1768" spans="1:18" ht="26" hidden="1" x14ac:dyDescent="0.8">
      <c r="A1768" s="247">
        <v>56218</v>
      </c>
      <c r="B1768" s="248" t="s">
        <v>2218</v>
      </c>
      <c r="C1768" s="249" t="s">
        <v>2219</v>
      </c>
      <c r="D1768" s="245">
        <v>0</v>
      </c>
      <c r="E1768" s="245">
        <v>0.87032875391489595</v>
      </c>
      <c r="F1768" s="245">
        <v>0.91384519161064104</v>
      </c>
      <c r="G1768" s="245">
        <v>0.95953745119117295</v>
      </c>
      <c r="H1768" s="245">
        <v>2.7437113967167099</v>
      </c>
      <c r="I1768" s="245">
        <v>10483.7646967255</v>
      </c>
      <c r="J1768" s="245">
        <v>0</v>
      </c>
      <c r="K1768" s="245">
        <v>9124.3218648380825</v>
      </c>
      <c r="L1768" s="245">
        <v>9580.537958079989</v>
      </c>
      <c r="M1768" s="245">
        <v>10059.564855983986</v>
      </c>
      <c r="N1768" s="245">
        <v>28764.424678902058</v>
      </c>
      <c r="O1768" s="245" t="s">
        <v>56</v>
      </c>
      <c r="P1768" s="245" t="s">
        <v>521</v>
      </c>
      <c r="Q1768" s="245" t="s">
        <v>521</v>
      </c>
      <c r="R1768" s="246" t="s">
        <v>679</v>
      </c>
    </row>
    <row r="1769" spans="1:18" ht="26" hidden="1" x14ac:dyDescent="0.8">
      <c r="A1769" s="247">
        <v>56219</v>
      </c>
      <c r="B1769" s="248" t="s">
        <v>2220</v>
      </c>
      <c r="C1769" s="249" t="s">
        <v>2221</v>
      </c>
      <c r="D1769" s="245">
        <v>0</v>
      </c>
      <c r="E1769" s="245">
        <v>0.87032875391489595</v>
      </c>
      <c r="F1769" s="245">
        <v>0.91384519161064104</v>
      </c>
      <c r="G1769" s="245">
        <v>0.95953745119117295</v>
      </c>
      <c r="H1769" s="245">
        <v>2.7437113967167099</v>
      </c>
      <c r="I1769" s="245">
        <v>736.22137404580167</v>
      </c>
      <c r="J1769" s="245">
        <v>0</v>
      </c>
      <c r="K1769" s="245">
        <v>640.75463107879511</v>
      </c>
      <c r="L1769" s="245">
        <v>672.79236263273503</v>
      </c>
      <c r="M1769" s="245">
        <v>706.4319807643717</v>
      </c>
      <c r="N1769" s="245">
        <v>2019.9789744759019</v>
      </c>
      <c r="O1769" s="245" t="s">
        <v>56</v>
      </c>
      <c r="P1769" s="245" t="s">
        <v>521</v>
      </c>
      <c r="Q1769" s="245" t="s">
        <v>521</v>
      </c>
      <c r="R1769" s="246" t="s">
        <v>679</v>
      </c>
    </row>
    <row r="1770" spans="1:18" ht="26" x14ac:dyDescent="0.8">
      <c r="A1770" s="247">
        <v>5622</v>
      </c>
      <c r="B1770" s="248" t="s">
        <v>2222</v>
      </c>
      <c r="D1770" s="245">
        <v>0</v>
      </c>
    </row>
    <row r="1771" spans="1:18" ht="26" x14ac:dyDescent="0.8">
      <c r="A1771" s="247">
        <v>56221</v>
      </c>
      <c r="B1771" s="248" t="s">
        <v>2223</v>
      </c>
      <c r="C1771" s="249" t="s">
        <v>66</v>
      </c>
      <c r="D1771" s="245">
        <v>0</v>
      </c>
      <c r="E1771" s="245">
        <v>90</v>
      </c>
      <c r="F1771" s="245">
        <v>0</v>
      </c>
      <c r="G1771" s="245">
        <v>0</v>
      </c>
      <c r="H1771" s="245">
        <v>90</v>
      </c>
      <c r="I1771" s="245">
        <v>0.255</v>
      </c>
      <c r="J1771" s="245">
        <v>0</v>
      </c>
      <c r="K1771" s="245">
        <v>22.95</v>
      </c>
      <c r="L1771" s="245">
        <v>0</v>
      </c>
      <c r="M1771" s="245">
        <v>0</v>
      </c>
      <c r="N1771" s="245">
        <v>22.95</v>
      </c>
      <c r="O1771" s="245" t="s">
        <v>118</v>
      </c>
      <c r="P1771" s="245" t="s">
        <v>521</v>
      </c>
      <c r="Q1771" s="245" t="s">
        <v>96</v>
      </c>
      <c r="R1771" s="246" t="s">
        <v>32</v>
      </c>
    </row>
    <row r="1772" spans="1:18" ht="39" x14ac:dyDescent="0.8">
      <c r="A1772" s="247">
        <v>56222</v>
      </c>
      <c r="B1772" s="248" t="s">
        <v>2225</v>
      </c>
      <c r="C1772" s="249" t="s">
        <v>59</v>
      </c>
      <c r="D1772" s="245">
        <v>0</v>
      </c>
      <c r="H1772" s="245">
        <v>0</v>
      </c>
      <c r="I1772" s="245">
        <v>0.8177777777777776</v>
      </c>
      <c r="J1772" s="245">
        <v>0</v>
      </c>
      <c r="K1772" s="245">
        <v>0</v>
      </c>
      <c r="L1772" s="245">
        <v>0</v>
      </c>
      <c r="M1772" s="245">
        <v>0</v>
      </c>
      <c r="N1772" s="245">
        <v>0</v>
      </c>
      <c r="O1772" s="245" t="s">
        <v>178</v>
      </c>
      <c r="P1772" s="245" t="s">
        <v>521</v>
      </c>
      <c r="Q1772" s="245" t="s">
        <v>1936</v>
      </c>
      <c r="R1772" s="246" t="s">
        <v>2066</v>
      </c>
    </row>
    <row r="1773" spans="1:18" ht="39" hidden="1" x14ac:dyDescent="0.8">
      <c r="A1773" s="247">
        <v>56222</v>
      </c>
      <c r="B1773" s="248" t="s">
        <v>2225</v>
      </c>
      <c r="C1773" s="249" t="s">
        <v>59</v>
      </c>
      <c r="D1773" s="245">
        <v>0</v>
      </c>
      <c r="E1773" s="245">
        <v>200</v>
      </c>
      <c r="F1773" s="245">
        <v>200</v>
      </c>
      <c r="G1773" s="245">
        <v>200</v>
      </c>
      <c r="H1773" s="245">
        <v>600</v>
      </c>
      <c r="I1773" s="245">
        <v>0.8177777777777776</v>
      </c>
      <c r="J1773" s="245">
        <v>0</v>
      </c>
      <c r="K1773" s="245">
        <v>163.55555555555551</v>
      </c>
      <c r="L1773" s="245">
        <v>163.55555555555551</v>
      </c>
      <c r="M1773" s="245">
        <v>163.55555555555551</v>
      </c>
      <c r="N1773" s="245">
        <v>490.66666666666652</v>
      </c>
      <c r="O1773" s="245" t="s">
        <v>56</v>
      </c>
      <c r="P1773" s="245" t="s">
        <v>1939</v>
      </c>
      <c r="Q1773" s="245" t="s">
        <v>1939</v>
      </c>
      <c r="R1773" s="246" t="s">
        <v>2066</v>
      </c>
    </row>
    <row r="1774" spans="1:18" x14ac:dyDescent="0.8">
      <c r="A1774" s="247">
        <v>5623</v>
      </c>
      <c r="B1774" s="248" t="s">
        <v>2226</v>
      </c>
      <c r="D1774" s="245">
        <v>0</v>
      </c>
    </row>
    <row r="1775" spans="1:18" ht="26" x14ac:dyDescent="0.8">
      <c r="A1775" s="247">
        <v>56231</v>
      </c>
      <c r="B1775" s="248" t="s">
        <v>2227</v>
      </c>
      <c r="C1775" s="249" t="s">
        <v>66</v>
      </c>
      <c r="D1775" s="245">
        <v>0</v>
      </c>
      <c r="E1775" s="245">
        <v>200</v>
      </c>
      <c r="F1775" s="245">
        <v>200</v>
      </c>
      <c r="G1775" s="245">
        <v>200</v>
      </c>
      <c r="H1775" s="245">
        <v>600</v>
      </c>
      <c r="I1775" s="245">
        <v>0.255</v>
      </c>
      <c r="J1775" s="245">
        <v>0</v>
      </c>
      <c r="K1775" s="245">
        <v>51</v>
      </c>
      <c r="L1775" s="245">
        <v>51</v>
      </c>
      <c r="M1775" s="245">
        <v>51</v>
      </c>
      <c r="N1775" s="245">
        <v>153</v>
      </c>
      <c r="O1775" s="245" t="s">
        <v>118</v>
      </c>
      <c r="P1775" s="245" t="s">
        <v>521</v>
      </c>
      <c r="Q1775" s="245" t="s">
        <v>1936</v>
      </c>
      <c r="R1775" s="246" t="s">
        <v>32</v>
      </c>
    </row>
    <row r="1776" spans="1:18" x14ac:dyDescent="0.8">
      <c r="A1776" s="247">
        <v>56232</v>
      </c>
      <c r="B1776" s="248" t="s">
        <v>2228</v>
      </c>
      <c r="C1776" s="249" t="s">
        <v>452</v>
      </c>
      <c r="D1776" s="245">
        <v>0</v>
      </c>
      <c r="E1776" s="245">
        <v>673</v>
      </c>
      <c r="F1776" s="245">
        <v>673</v>
      </c>
      <c r="G1776" s="245">
        <v>673</v>
      </c>
      <c r="H1776" s="245">
        <v>2019</v>
      </c>
      <c r="I1776" s="245">
        <v>7.4999999999999997E-3</v>
      </c>
      <c r="J1776" s="245">
        <v>0</v>
      </c>
      <c r="K1776" s="245">
        <v>5.0474999999999994</v>
      </c>
      <c r="L1776" s="245">
        <v>5.0474999999999994</v>
      </c>
      <c r="M1776" s="245">
        <v>5.0474999999999994</v>
      </c>
      <c r="N1776" s="245">
        <v>15.142499999999998</v>
      </c>
      <c r="O1776" s="245" t="s">
        <v>118</v>
      </c>
      <c r="P1776" s="245" t="s">
        <v>521</v>
      </c>
      <c r="Q1776" s="245" t="s">
        <v>1936</v>
      </c>
      <c r="R1776" s="246" t="s">
        <v>32</v>
      </c>
    </row>
    <row r="1777" spans="1:18" x14ac:dyDescent="0.8">
      <c r="A1777" s="247">
        <v>56233</v>
      </c>
      <c r="B1777" s="248" t="s">
        <v>2229</v>
      </c>
      <c r="C1777" s="249" t="s">
        <v>73</v>
      </c>
      <c r="D1777" s="245">
        <v>0</v>
      </c>
      <c r="E1777" s="245">
        <v>2</v>
      </c>
      <c r="F1777" s="245">
        <v>2</v>
      </c>
      <c r="G1777" s="245">
        <v>2</v>
      </c>
      <c r="H1777" s="245">
        <v>6</v>
      </c>
      <c r="I1777" s="245">
        <v>0.4</v>
      </c>
      <c r="J1777" s="245">
        <v>0</v>
      </c>
      <c r="K1777" s="245">
        <v>0.8</v>
      </c>
      <c r="L1777" s="245">
        <v>0.8</v>
      </c>
      <c r="M1777" s="245">
        <v>0.8</v>
      </c>
      <c r="N1777" s="245">
        <v>2.4000000000000004</v>
      </c>
      <c r="O1777" s="245" t="s">
        <v>118</v>
      </c>
      <c r="P1777" s="245" t="s">
        <v>521</v>
      </c>
      <c r="Q1777" s="245" t="s">
        <v>1936</v>
      </c>
      <c r="R1777" s="246" t="s">
        <v>32</v>
      </c>
    </row>
    <row r="1778" spans="1:18" ht="26" x14ac:dyDescent="0.8">
      <c r="A1778" s="247">
        <v>56234</v>
      </c>
      <c r="B1778" s="248" t="s">
        <v>2231</v>
      </c>
      <c r="C1778" s="249" t="s">
        <v>66</v>
      </c>
      <c r="D1778" s="245">
        <v>0</v>
      </c>
      <c r="E1778" s="245">
        <v>200</v>
      </c>
      <c r="F1778" s="245">
        <v>200</v>
      </c>
      <c r="G1778" s="245">
        <v>200</v>
      </c>
      <c r="H1778" s="245">
        <v>600</v>
      </c>
      <c r="I1778" s="245">
        <v>0.255</v>
      </c>
      <c r="J1778" s="245">
        <v>0</v>
      </c>
      <c r="K1778" s="245">
        <v>51</v>
      </c>
      <c r="L1778" s="245">
        <v>51</v>
      </c>
      <c r="M1778" s="245">
        <v>51</v>
      </c>
      <c r="N1778" s="245">
        <v>153</v>
      </c>
      <c r="O1778" s="245" t="s">
        <v>118</v>
      </c>
      <c r="P1778" s="245" t="s">
        <v>521</v>
      </c>
      <c r="Q1778" s="245" t="s">
        <v>1936</v>
      </c>
      <c r="R1778" s="246" t="s">
        <v>679</v>
      </c>
    </row>
    <row r="1779" spans="1:18" x14ac:dyDescent="0.8">
      <c r="A1779" s="247">
        <v>56235</v>
      </c>
      <c r="B1779" s="248" t="s">
        <v>2232</v>
      </c>
      <c r="C1779" s="249" t="s">
        <v>452</v>
      </c>
      <c r="D1779" s="245">
        <v>0</v>
      </c>
      <c r="E1779" s="245">
        <v>673</v>
      </c>
      <c r="F1779" s="245">
        <v>673</v>
      </c>
      <c r="G1779" s="245">
        <v>673</v>
      </c>
      <c r="H1779" s="245">
        <v>2019</v>
      </c>
      <c r="I1779" s="245">
        <v>7.4999999999999997E-3</v>
      </c>
      <c r="J1779" s="245">
        <v>0</v>
      </c>
      <c r="K1779" s="245">
        <v>5.0474999999999994</v>
      </c>
      <c r="L1779" s="245">
        <v>5.0474999999999994</v>
      </c>
      <c r="M1779" s="245">
        <v>5.0474999999999994</v>
      </c>
      <c r="N1779" s="245">
        <v>15.142499999999998</v>
      </c>
      <c r="O1779" s="245" t="s">
        <v>118</v>
      </c>
      <c r="P1779" s="245" t="s">
        <v>521</v>
      </c>
      <c r="Q1779" s="245" t="s">
        <v>1936</v>
      </c>
      <c r="R1779" s="246" t="s">
        <v>679</v>
      </c>
    </row>
    <row r="1780" spans="1:18" x14ac:dyDescent="0.8">
      <c r="A1780" s="247">
        <v>56236</v>
      </c>
      <c r="B1780" s="248" t="s">
        <v>2233</v>
      </c>
      <c r="C1780" s="249" t="s">
        <v>73</v>
      </c>
      <c r="D1780" s="245">
        <v>0</v>
      </c>
      <c r="E1780" s="245">
        <v>2</v>
      </c>
      <c r="F1780" s="245">
        <v>2</v>
      </c>
      <c r="G1780" s="245">
        <v>2</v>
      </c>
      <c r="H1780" s="245">
        <v>6</v>
      </c>
      <c r="I1780" s="245">
        <v>0.4</v>
      </c>
      <c r="J1780" s="245">
        <v>0</v>
      </c>
      <c r="K1780" s="245">
        <v>0.8</v>
      </c>
      <c r="L1780" s="245">
        <v>0.8</v>
      </c>
      <c r="M1780" s="245">
        <v>0.8</v>
      </c>
      <c r="N1780" s="245">
        <v>2.4000000000000004</v>
      </c>
      <c r="O1780" s="245" t="s">
        <v>118</v>
      </c>
      <c r="P1780" s="245" t="s">
        <v>521</v>
      </c>
      <c r="Q1780" s="245" t="s">
        <v>1936</v>
      </c>
      <c r="R1780" s="246" t="s">
        <v>679</v>
      </c>
    </row>
    <row r="1781" spans="1:18" ht="26" x14ac:dyDescent="0.8">
      <c r="A1781" s="247">
        <v>56237</v>
      </c>
      <c r="B1781" s="248" t="s">
        <v>2234</v>
      </c>
      <c r="C1781" s="249" t="s">
        <v>66</v>
      </c>
      <c r="D1781" s="245">
        <v>0</v>
      </c>
      <c r="E1781" s="245">
        <v>200</v>
      </c>
      <c r="F1781" s="245">
        <v>200</v>
      </c>
      <c r="G1781" s="245">
        <v>200</v>
      </c>
      <c r="H1781" s="245">
        <v>600</v>
      </c>
      <c r="I1781" s="245">
        <v>0.255</v>
      </c>
      <c r="J1781" s="245">
        <v>0</v>
      </c>
      <c r="K1781" s="245">
        <v>51</v>
      </c>
      <c r="L1781" s="245">
        <v>51</v>
      </c>
      <c r="M1781" s="245">
        <v>51</v>
      </c>
      <c r="N1781" s="245">
        <v>153</v>
      </c>
      <c r="O1781" s="245" t="s">
        <v>118</v>
      </c>
      <c r="P1781" s="245" t="s">
        <v>521</v>
      </c>
      <c r="Q1781" s="245" t="s">
        <v>1936</v>
      </c>
      <c r="R1781" s="246" t="s">
        <v>677</v>
      </c>
    </row>
    <row r="1782" spans="1:18" x14ac:dyDescent="0.8">
      <c r="A1782" s="247">
        <v>56238</v>
      </c>
      <c r="B1782" s="248" t="s">
        <v>2235</v>
      </c>
      <c r="C1782" s="249" t="s">
        <v>452</v>
      </c>
      <c r="D1782" s="245">
        <v>0</v>
      </c>
      <c r="E1782" s="245">
        <v>673</v>
      </c>
      <c r="F1782" s="245">
        <v>673</v>
      </c>
      <c r="G1782" s="245">
        <v>673</v>
      </c>
      <c r="H1782" s="245">
        <v>2019</v>
      </c>
      <c r="I1782" s="245">
        <v>7.4999999999999997E-3</v>
      </c>
      <c r="J1782" s="245">
        <v>0</v>
      </c>
      <c r="K1782" s="245">
        <v>5.0474999999999994</v>
      </c>
      <c r="L1782" s="245">
        <v>5.0474999999999994</v>
      </c>
      <c r="M1782" s="245">
        <v>5.0474999999999994</v>
      </c>
      <c r="N1782" s="245">
        <v>15.142499999999998</v>
      </c>
      <c r="O1782" s="245" t="s">
        <v>118</v>
      </c>
      <c r="P1782" s="245" t="s">
        <v>521</v>
      </c>
      <c r="Q1782" s="245" t="s">
        <v>1936</v>
      </c>
      <c r="R1782" s="246" t="s">
        <v>677</v>
      </c>
    </row>
    <row r="1783" spans="1:18" x14ac:dyDescent="0.8">
      <c r="A1783" s="247">
        <v>56239</v>
      </c>
      <c r="B1783" s="248" t="s">
        <v>2236</v>
      </c>
      <c r="C1783" s="249" t="s">
        <v>73</v>
      </c>
      <c r="D1783" s="245">
        <v>0</v>
      </c>
      <c r="E1783" s="245">
        <v>2</v>
      </c>
      <c r="F1783" s="245">
        <v>2</v>
      </c>
      <c r="G1783" s="245">
        <v>2</v>
      </c>
      <c r="H1783" s="245">
        <v>6</v>
      </c>
      <c r="I1783" s="245">
        <v>0.4</v>
      </c>
      <c r="J1783" s="245">
        <v>0</v>
      </c>
      <c r="K1783" s="245">
        <v>0.8</v>
      </c>
      <c r="L1783" s="245">
        <v>0.8</v>
      </c>
      <c r="M1783" s="245">
        <v>0.8</v>
      </c>
      <c r="N1783" s="245">
        <v>2.4000000000000004</v>
      </c>
      <c r="O1783" s="245" t="s">
        <v>118</v>
      </c>
      <c r="P1783" s="245" t="s">
        <v>521</v>
      </c>
      <c r="Q1783" s="245" t="s">
        <v>1936</v>
      </c>
      <c r="R1783" s="246" t="s">
        <v>677</v>
      </c>
    </row>
    <row r="1784" spans="1:18" ht="39" x14ac:dyDescent="0.8">
      <c r="A1784" s="247">
        <v>563</v>
      </c>
      <c r="B1784" s="248" t="s">
        <v>2237</v>
      </c>
      <c r="D1784" s="245">
        <v>0</v>
      </c>
    </row>
    <row r="1785" spans="1:18" x14ac:dyDescent="0.8">
      <c r="A1785" s="247">
        <v>5631</v>
      </c>
      <c r="B1785" s="248" t="s">
        <v>2206</v>
      </c>
      <c r="D1785" s="245">
        <v>0</v>
      </c>
    </row>
    <row r="1786" spans="1:18" ht="26" hidden="1" x14ac:dyDescent="0.8">
      <c r="A1786" s="247">
        <v>56311</v>
      </c>
      <c r="B1786" s="248" t="s">
        <v>2238</v>
      </c>
      <c r="C1786" s="249" t="s">
        <v>55</v>
      </c>
      <c r="D1786" s="245">
        <v>0</v>
      </c>
      <c r="E1786" s="245">
        <v>1</v>
      </c>
      <c r="F1786" s="245">
        <v>1</v>
      </c>
      <c r="G1786" s="245">
        <v>1</v>
      </c>
      <c r="H1786" s="245">
        <v>3</v>
      </c>
      <c r="I1786" s="245">
        <v>0</v>
      </c>
      <c r="J1786" s="245">
        <v>0</v>
      </c>
      <c r="K1786" s="245">
        <v>0</v>
      </c>
      <c r="L1786" s="245">
        <v>0</v>
      </c>
      <c r="M1786" s="245">
        <v>0</v>
      </c>
      <c r="O1786" s="245" t="s">
        <v>56</v>
      </c>
      <c r="P1786" s="245" t="s">
        <v>521</v>
      </c>
      <c r="Q1786" s="245" t="s">
        <v>2239</v>
      </c>
      <c r="R1786" s="246" t="s">
        <v>32</v>
      </c>
    </row>
    <row r="1787" spans="1:18" ht="39" x14ac:dyDescent="0.8">
      <c r="A1787" s="247">
        <v>56312</v>
      </c>
      <c r="B1787" s="248" t="s">
        <v>2240</v>
      </c>
      <c r="C1787" s="249" t="s">
        <v>301</v>
      </c>
      <c r="D1787" s="245">
        <v>0</v>
      </c>
      <c r="G1787" s="245">
        <v>0</v>
      </c>
      <c r="H1787" s="245">
        <v>0</v>
      </c>
      <c r="I1787" s="245">
        <v>0.67666666666666664</v>
      </c>
      <c r="J1787" s="245">
        <v>0</v>
      </c>
      <c r="K1787" s="245">
        <v>0</v>
      </c>
      <c r="L1787" s="245">
        <v>0</v>
      </c>
      <c r="M1787" s="245">
        <v>0</v>
      </c>
      <c r="N1787" s="245">
        <v>0</v>
      </c>
      <c r="O1787" s="245" t="s">
        <v>118</v>
      </c>
      <c r="P1787" s="245" t="s">
        <v>1936</v>
      </c>
      <c r="Q1787" s="245" t="s">
        <v>1936</v>
      </c>
      <c r="R1787" s="246" t="s">
        <v>32</v>
      </c>
    </row>
    <row r="1788" spans="1:18" hidden="1" x14ac:dyDescent="0.8">
      <c r="A1788" s="247">
        <v>56313</v>
      </c>
      <c r="B1788" s="248" t="s">
        <v>2241</v>
      </c>
      <c r="C1788" s="249" t="s">
        <v>55</v>
      </c>
      <c r="D1788" s="245">
        <v>0</v>
      </c>
      <c r="E1788" s="245">
        <v>0</v>
      </c>
      <c r="F1788" s="245">
        <v>1</v>
      </c>
      <c r="G1788" s="245">
        <v>1</v>
      </c>
      <c r="H1788" s="245">
        <v>2</v>
      </c>
      <c r="I1788" s="245">
        <v>0</v>
      </c>
      <c r="J1788" s="245">
        <v>0</v>
      </c>
      <c r="K1788" s="245">
        <v>0</v>
      </c>
      <c r="L1788" s="245">
        <v>0</v>
      </c>
      <c r="M1788" s="245">
        <v>0</v>
      </c>
      <c r="O1788" s="245" t="s">
        <v>56</v>
      </c>
      <c r="P1788" s="245" t="s">
        <v>521</v>
      </c>
      <c r="Q1788" s="245" t="s">
        <v>2187</v>
      </c>
      <c r="R1788" s="246" t="s">
        <v>32</v>
      </c>
    </row>
    <row r="1789" spans="1:18" x14ac:dyDescent="0.8">
      <c r="A1789" s="247">
        <v>5632</v>
      </c>
      <c r="B1789" s="248" t="s">
        <v>2242</v>
      </c>
      <c r="D1789" s="245">
        <v>0</v>
      </c>
    </row>
    <row r="1790" spans="1:18" ht="26" hidden="1" x14ac:dyDescent="0.8">
      <c r="A1790" s="247">
        <v>56321</v>
      </c>
      <c r="B1790" s="248" t="s">
        <v>2243</v>
      </c>
      <c r="C1790" s="249" t="s">
        <v>55</v>
      </c>
      <c r="D1790" s="245">
        <v>0</v>
      </c>
      <c r="E1790" s="245">
        <v>1</v>
      </c>
      <c r="F1790" s="245">
        <v>1</v>
      </c>
      <c r="G1790" s="245">
        <v>1</v>
      </c>
      <c r="H1790" s="245">
        <v>3</v>
      </c>
      <c r="I1790" s="245">
        <v>0</v>
      </c>
      <c r="J1790" s="245">
        <v>0</v>
      </c>
      <c r="K1790" s="245">
        <v>0</v>
      </c>
      <c r="L1790" s="245">
        <v>0</v>
      </c>
      <c r="M1790" s="245">
        <v>0</v>
      </c>
      <c r="O1790" s="245" t="s">
        <v>56</v>
      </c>
      <c r="P1790" s="245" t="s">
        <v>521</v>
      </c>
      <c r="Q1790" s="245" t="s">
        <v>1936</v>
      </c>
      <c r="R1790" s="246" t="s">
        <v>32</v>
      </c>
    </row>
    <row r="1791" spans="1:18" ht="26" hidden="1" x14ac:dyDescent="0.8">
      <c r="A1791" s="247">
        <v>56322</v>
      </c>
      <c r="B1791" s="248" t="s">
        <v>2244</v>
      </c>
      <c r="C1791" s="249" t="s">
        <v>55</v>
      </c>
      <c r="D1791" s="245">
        <v>0</v>
      </c>
      <c r="E1791" s="245">
        <v>1</v>
      </c>
      <c r="F1791" s="245">
        <v>1</v>
      </c>
      <c r="G1791" s="245">
        <v>1</v>
      </c>
      <c r="H1791" s="245">
        <v>3</v>
      </c>
      <c r="I1791" s="245">
        <v>0</v>
      </c>
      <c r="J1791" s="245">
        <v>0</v>
      </c>
      <c r="K1791" s="245">
        <v>0</v>
      </c>
      <c r="L1791" s="245">
        <v>0</v>
      </c>
      <c r="M1791" s="245">
        <v>0</v>
      </c>
      <c r="O1791" s="245" t="s">
        <v>56</v>
      </c>
      <c r="P1791" s="245" t="s">
        <v>521</v>
      </c>
      <c r="Q1791" s="245" t="s">
        <v>1963</v>
      </c>
      <c r="R1791" s="246" t="s">
        <v>32</v>
      </c>
    </row>
    <row r="1792" spans="1:18" ht="26" hidden="1" x14ac:dyDescent="0.8">
      <c r="A1792" s="247">
        <v>56323</v>
      </c>
      <c r="B1792" s="248" t="s">
        <v>2245</v>
      </c>
      <c r="C1792" s="249" t="s">
        <v>55</v>
      </c>
      <c r="D1792" s="245">
        <v>0</v>
      </c>
      <c r="E1792" s="245">
        <v>0</v>
      </c>
      <c r="F1792" s="245">
        <v>1</v>
      </c>
      <c r="G1792" s="245">
        <v>1</v>
      </c>
      <c r="H1792" s="245">
        <v>2</v>
      </c>
      <c r="I1792" s="245">
        <v>0</v>
      </c>
      <c r="J1792" s="245">
        <v>0</v>
      </c>
      <c r="K1792" s="245">
        <v>0</v>
      </c>
      <c r="L1792" s="245">
        <v>0</v>
      </c>
      <c r="M1792" s="245">
        <v>0</v>
      </c>
      <c r="O1792" s="245" t="s">
        <v>56</v>
      </c>
      <c r="P1792" s="245" t="s">
        <v>521</v>
      </c>
      <c r="Q1792" s="245" t="s">
        <v>2187</v>
      </c>
      <c r="R1792" s="246" t="s">
        <v>32</v>
      </c>
    </row>
    <row r="1793" spans="1:18" ht="26" hidden="1" x14ac:dyDescent="0.8">
      <c r="A1793" s="247">
        <v>56324</v>
      </c>
      <c r="B1793" s="248" t="s">
        <v>2243</v>
      </c>
      <c r="C1793" s="249" t="s">
        <v>55</v>
      </c>
      <c r="D1793" s="245">
        <v>0</v>
      </c>
      <c r="E1793" s="245">
        <v>1</v>
      </c>
      <c r="F1793" s="245">
        <v>1</v>
      </c>
      <c r="G1793" s="245">
        <v>1</v>
      </c>
      <c r="H1793" s="245">
        <v>3</v>
      </c>
      <c r="I1793" s="245">
        <v>0</v>
      </c>
      <c r="J1793" s="245">
        <v>0</v>
      </c>
      <c r="K1793" s="245">
        <v>0</v>
      </c>
      <c r="L1793" s="245">
        <v>0</v>
      </c>
      <c r="M1793" s="245">
        <v>0</v>
      </c>
      <c r="O1793" s="245" t="s">
        <v>56</v>
      </c>
      <c r="P1793" s="245" t="s">
        <v>521</v>
      </c>
      <c r="Q1793" s="245" t="s">
        <v>1936</v>
      </c>
      <c r="R1793" s="246" t="s">
        <v>679</v>
      </c>
    </row>
    <row r="1794" spans="1:18" ht="26" hidden="1" x14ac:dyDescent="0.8">
      <c r="A1794" s="247">
        <v>56325</v>
      </c>
      <c r="B1794" s="248" t="s">
        <v>2244</v>
      </c>
      <c r="C1794" s="249" t="s">
        <v>55</v>
      </c>
      <c r="D1794" s="245">
        <v>0</v>
      </c>
      <c r="E1794" s="245">
        <v>1</v>
      </c>
      <c r="F1794" s="245">
        <v>1</v>
      </c>
      <c r="G1794" s="245">
        <v>1</v>
      </c>
      <c r="H1794" s="245">
        <v>3</v>
      </c>
      <c r="I1794" s="245">
        <v>0</v>
      </c>
      <c r="J1794" s="245">
        <v>0</v>
      </c>
      <c r="K1794" s="245">
        <v>0</v>
      </c>
      <c r="L1794" s="245">
        <v>0</v>
      </c>
      <c r="M1794" s="245">
        <v>0</v>
      </c>
      <c r="O1794" s="245" t="s">
        <v>56</v>
      </c>
      <c r="P1794" s="245" t="s">
        <v>521</v>
      </c>
      <c r="Q1794" s="245" t="s">
        <v>1963</v>
      </c>
      <c r="R1794" s="246" t="s">
        <v>679</v>
      </c>
    </row>
    <row r="1795" spans="1:18" ht="26" hidden="1" x14ac:dyDescent="0.8">
      <c r="A1795" s="247">
        <v>56326</v>
      </c>
      <c r="B1795" s="248" t="s">
        <v>2245</v>
      </c>
      <c r="C1795" s="249" t="s">
        <v>55</v>
      </c>
      <c r="D1795" s="245">
        <v>0</v>
      </c>
      <c r="E1795" s="245">
        <v>0</v>
      </c>
      <c r="F1795" s="245">
        <v>1</v>
      </c>
      <c r="G1795" s="245">
        <v>1</v>
      </c>
      <c r="H1795" s="245">
        <v>2</v>
      </c>
      <c r="I1795" s="245">
        <v>0</v>
      </c>
      <c r="J1795" s="245">
        <v>0</v>
      </c>
      <c r="K1795" s="245">
        <v>0</v>
      </c>
      <c r="L1795" s="245">
        <v>0</v>
      </c>
      <c r="M1795" s="245">
        <v>0</v>
      </c>
      <c r="O1795" s="245" t="s">
        <v>56</v>
      </c>
      <c r="P1795" s="245" t="s">
        <v>521</v>
      </c>
      <c r="Q1795" s="245" t="s">
        <v>2187</v>
      </c>
      <c r="R1795" s="246" t="s">
        <v>679</v>
      </c>
    </row>
    <row r="1796" spans="1:18" ht="26" hidden="1" x14ac:dyDescent="0.8">
      <c r="A1796" s="247">
        <v>56327</v>
      </c>
      <c r="B1796" s="248" t="s">
        <v>2243</v>
      </c>
      <c r="C1796" s="249" t="s">
        <v>55</v>
      </c>
      <c r="D1796" s="245">
        <v>0</v>
      </c>
      <c r="E1796" s="245">
        <v>1</v>
      </c>
      <c r="F1796" s="245">
        <v>1</v>
      </c>
      <c r="G1796" s="245">
        <v>1</v>
      </c>
      <c r="H1796" s="245">
        <v>3</v>
      </c>
      <c r="I1796" s="245">
        <v>0</v>
      </c>
      <c r="J1796" s="245">
        <v>0</v>
      </c>
      <c r="K1796" s="245">
        <v>0</v>
      </c>
      <c r="L1796" s="245">
        <v>0</v>
      </c>
      <c r="M1796" s="245">
        <v>0</v>
      </c>
      <c r="O1796" s="245" t="s">
        <v>56</v>
      </c>
      <c r="P1796" s="245" t="s">
        <v>521</v>
      </c>
      <c r="Q1796" s="245" t="s">
        <v>1936</v>
      </c>
      <c r="R1796" s="246" t="s">
        <v>677</v>
      </c>
    </row>
    <row r="1797" spans="1:18" ht="26" hidden="1" x14ac:dyDescent="0.8">
      <c r="A1797" s="247">
        <v>56328</v>
      </c>
      <c r="B1797" s="248" t="s">
        <v>2244</v>
      </c>
      <c r="C1797" s="249" t="s">
        <v>55</v>
      </c>
      <c r="D1797" s="245">
        <v>0</v>
      </c>
      <c r="E1797" s="245">
        <v>1</v>
      </c>
      <c r="F1797" s="245">
        <v>1</v>
      </c>
      <c r="G1797" s="245">
        <v>1</v>
      </c>
      <c r="H1797" s="245">
        <v>3</v>
      </c>
      <c r="I1797" s="245">
        <v>0</v>
      </c>
      <c r="J1797" s="245">
        <v>0</v>
      </c>
      <c r="K1797" s="245">
        <v>0</v>
      </c>
      <c r="L1797" s="245">
        <v>0</v>
      </c>
      <c r="M1797" s="245">
        <v>0</v>
      </c>
      <c r="O1797" s="245" t="s">
        <v>56</v>
      </c>
      <c r="P1797" s="245" t="s">
        <v>521</v>
      </c>
      <c r="Q1797" s="245" t="s">
        <v>1963</v>
      </c>
      <c r="R1797" s="246" t="s">
        <v>677</v>
      </c>
    </row>
    <row r="1798" spans="1:18" ht="26" hidden="1" x14ac:dyDescent="0.8">
      <c r="A1798" s="247">
        <v>56329</v>
      </c>
      <c r="B1798" s="248" t="s">
        <v>2245</v>
      </c>
      <c r="C1798" s="249" t="s">
        <v>55</v>
      </c>
      <c r="D1798" s="245">
        <v>0</v>
      </c>
      <c r="E1798" s="245">
        <v>0</v>
      </c>
      <c r="F1798" s="245">
        <v>1</v>
      </c>
      <c r="G1798" s="245">
        <v>1</v>
      </c>
      <c r="H1798" s="245">
        <v>2</v>
      </c>
      <c r="I1798" s="245">
        <v>0</v>
      </c>
      <c r="J1798" s="245">
        <v>0</v>
      </c>
      <c r="K1798" s="245">
        <v>0</v>
      </c>
      <c r="L1798" s="245">
        <v>0</v>
      </c>
      <c r="M1798" s="245">
        <v>0</v>
      </c>
      <c r="O1798" s="245" t="s">
        <v>56</v>
      </c>
      <c r="P1798" s="245" t="s">
        <v>521</v>
      </c>
      <c r="Q1798" s="245" t="s">
        <v>2187</v>
      </c>
      <c r="R1798" s="246" t="s">
        <v>677</v>
      </c>
    </row>
    <row r="1799" spans="1:18" x14ac:dyDescent="0.8">
      <c r="A1799" s="247">
        <v>5633</v>
      </c>
      <c r="B1799" s="248" t="s">
        <v>2246</v>
      </c>
      <c r="D1799" s="245">
        <v>0</v>
      </c>
    </row>
    <row r="1800" spans="1:18" x14ac:dyDescent="0.8">
      <c r="A1800" s="247">
        <v>56331</v>
      </c>
      <c r="B1800" s="248" t="s">
        <v>2247</v>
      </c>
      <c r="C1800" s="249" t="s">
        <v>59</v>
      </c>
      <c r="D1800" s="245">
        <v>0</v>
      </c>
      <c r="E1800" s="245">
        <v>160</v>
      </c>
      <c r="F1800" s="245">
        <v>160</v>
      </c>
      <c r="G1800" s="245">
        <v>160</v>
      </c>
      <c r="H1800" s="245">
        <v>480</v>
      </c>
      <c r="I1800" s="245">
        <v>0.8177777777777776</v>
      </c>
      <c r="J1800" s="245">
        <v>0</v>
      </c>
      <c r="K1800" s="245">
        <v>130.84444444444441</v>
      </c>
      <c r="L1800" s="245">
        <v>130.84444444444441</v>
      </c>
      <c r="M1800" s="245">
        <v>130.84444444444441</v>
      </c>
      <c r="N1800" s="245">
        <v>392.53333333333319</v>
      </c>
      <c r="O1800" s="245" t="s">
        <v>118</v>
      </c>
      <c r="P1800" s="245" t="s">
        <v>263</v>
      </c>
      <c r="Q1800" s="245" t="s">
        <v>2248</v>
      </c>
      <c r="R1800" s="246" t="s">
        <v>32</v>
      </c>
    </row>
    <row r="1801" spans="1:18" ht="26" x14ac:dyDescent="0.8">
      <c r="A1801" s="247">
        <v>5634</v>
      </c>
      <c r="B1801" s="248" t="s">
        <v>2249</v>
      </c>
      <c r="D1801" s="245">
        <v>0</v>
      </c>
    </row>
    <row r="1802" spans="1:18" ht="26" x14ac:dyDescent="0.8">
      <c r="A1802" s="247">
        <v>56341</v>
      </c>
      <c r="B1802" s="248" t="s">
        <v>2250</v>
      </c>
      <c r="C1802" s="249" t="s">
        <v>301</v>
      </c>
      <c r="D1802" s="245">
        <v>0</v>
      </c>
      <c r="E1802" s="245">
        <v>0</v>
      </c>
      <c r="F1802" s="245">
        <v>0</v>
      </c>
      <c r="G1802" s="245">
        <v>0</v>
      </c>
      <c r="H1802" s="245">
        <v>0</v>
      </c>
      <c r="I1802" s="245">
        <v>0.67666666666666664</v>
      </c>
      <c r="J1802" s="245">
        <v>0</v>
      </c>
      <c r="K1802" s="245">
        <v>0</v>
      </c>
      <c r="M1802" s="245">
        <v>0</v>
      </c>
      <c r="N1802" s="245">
        <v>0</v>
      </c>
      <c r="O1802" s="245" t="s">
        <v>178</v>
      </c>
      <c r="P1802" s="245" t="s">
        <v>521</v>
      </c>
      <c r="Q1802" s="245" t="s">
        <v>521</v>
      </c>
      <c r="R1802" s="246" t="s">
        <v>32</v>
      </c>
    </row>
    <row r="1803" spans="1:18" ht="39" hidden="1" x14ac:dyDescent="0.8">
      <c r="A1803" s="247">
        <v>56341</v>
      </c>
      <c r="B1803" s="248" t="s">
        <v>2250</v>
      </c>
      <c r="C1803" s="249" t="s">
        <v>301</v>
      </c>
      <c r="D1803" s="245">
        <v>0</v>
      </c>
      <c r="F1803" s="245">
        <v>295</v>
      </c>
      <c r="H1803" s="245">
        <v>295</v>
      </c>
      <c r="I1803" s="245">
        <v>0.67666666666666664</v>
      </c>
      <c r="K1803" s="245">
        <v>0</v>
      </c>
      <c r="L1803" s="245">
        <v>199.61666666666665</v>
      </c>
      <c r="M1803" s="245">
        <v>0</v>
      </c>
      <c r="N1803" s="245">
        <v>199.61666666666665</v>
      </c>
      <c r="O1803" s="245" t="s">
        <v>169</v>
      </c>
      <c r="P1803" s="245" t="s">
        <v>521</v>
      </c>
      <c r="Q1803" s="245" t="s">
        <v>521</v>
      </c>
      <c r="R1803" s="246" t="s">
        <v>2066</v>
      </c>
    </row>
    <row r="1804" spans="1:18" ht="39" hidden="1" x14ac:dyDescent="0.8">
      <c r="A1804" s="247">
        <v>56342</v>
      </c>
      <c r="B1804" s="248" t="s">
        <v>2251</v>
      </c>
      <c r="C1804" s="249" t="s">
        <v>2252</v>
      </c>
      <c r="D1804" s="245">
        <v>0</v>
      </c>
      <c r="F1804" s="245">
        <v>1</v>
      </c>
      <c r="H1804" s="245">
        <v>1</v>
      </c>
      <c r="I1804" s="245">
        <v>760</v>
      </c>
      <c r="J1804" s="245">
        <v>0</v>
      </c>
      <c r="K1804" s="245">
        <v>0</v>
      </c>
      <c r="L1804" s="245">
        <v>760</v>
      </c>
      <c r="M1804" s="245">
        <v>0</v>
      </c>
      <c r="N1804" s="245">
        <v>760</v>
      </c>
      <c r="O1804" s="245" t="s">
        <v>169</v>
      </c>
      <c r="P1804" s="245" t="s">
        <v>1939</v>
      </c>
      <c r="Q1804" s="245" t="s">
        <v>1939</v>
      </c>
      <c r="R1804" s="246" t="s">
        <v>2066</v>
      </c>
    </row>
    <row r="1805" spans="1:18" x14ac:dyDescent="0.8">
      <c r="A1805" s="247">
        <v>57</v>
      </c>
      <c r="B1805" s="248" t="s">
        <v>2253</v>
      </c>
      <c r="D1805" s="245">
        <v>0</v>
      </c>
    </row>
    <row r="1806" spans="1:18" ht="39" x14ac:dyDescent="0.8">
      <c r="A1806" s="247">
        <v>571</v>
      </c>
      <c r="B1806" s="248" t="s">
        <v>2254</v>
      </c>
      <c r="D1806" s="245">
        <v>0</v>
      </c>
    </row>
    <row r="1807" spans="1:18" ht="52" x14ac:dyDescent="0.8">
      <c r="A1807" s="247">
        <v>5711</v>
      </c>
      <c r="B1807" s="248" t="s">
        <v>2255</v>
      </c>
      <c r="D1807" s="245">
        <v>0</v>
      </c>
    </row>
    <row r="1808" spans="1:18" ht="26" hidden="1" x14ac:dyDescent="0.8">
      <c r="A1808" s="247">
        <v>57111</v>
      </c>
      <c r="B1808" s="248" t="s">
        <v>2256</v>
      </c>
      <c r="C1808" s="249" t="s">
        <v>55</v>
      </c>
      <c r="D1808" s="245">
        <v>0</v>
      </c>
      <c r="E1808" s="245">
        <v>1</v>
      </c>
      <c r="F1808" s="245">
        <v>0</v>
      </c>
      <c r="G1808" s="245">
        <v>0</v>
      </c>
      <c r="H1808" s="245">
        <v>1</v>
      </c>
      <c r="I1808" s="245">
        <v>0</v>
      </c>
      <c r="O1808" s="245" t="s">
        <v>56</v>
      </c>
      <c r="P1808" s="245" t="s">
        <v>255</v>
      </c>
      <c r="Q1808" s="245" t="s">
        <v>255</v>
      </c>
      <c r="R1808" s="246" t="s">
        <v>32</v>
      </c>
    </row>
    <row r="1809" spans="1:18" ht="26" x14ac:dyDescent="0.8">
      <c r="A1809" s="247">
        <v>57112</v>
      </c>
      <c r="B1809" s="248" t="s">
        <v>2257</v>
      </c>
      <c r="C1809" s="249" t="s">
        <v>646</v>
      </c>
      <c r="D1809" s="245">
        <v>0</v>
      </c>
      <c r="E1809" s="245">
        <v>30</v>
      </c>
      <c r="F1809" s="245">
        <v>0</v>
      </c>
      <c r="G1809" s="245">
        <v>0</v>
      </c>
      <c r="H1809" s="245">
        <v>30</v>
      </c>
      <c r="I1809" s="245">
        <v>10.404797</v>
      </c>
      <c r="J1809" s="245">
        <v>0</v>
      </c>
      <c r="K1809" s="245">
        <v>312.14391000000001</v>
      </c>
      <c r="L1809" s="245">
        <v>0</v>
      </c>
      <c r="M1809" s="245">
        <v>0</v>
      </c>
      <c r="N1809" s="245">
        <v>312.14391000000001</v>
      </c>
      <c r="O1809" s="245" t="s">
        <v>118</v>
      </c>
      <c r="P1809" s="245" t="s">
        <v>255</v>
      </c>
      <c r="Q1809" s="245" t="s">
        <v>255</v>
      </c>
      <c r="R1809" s="246" t="s">
        <v>32</v>
      </c>
    </row>
    <row r="1810" spans="1:18" x14ac:dyDescent="0.8">
      <c r="A1810" s="247">
        <v>57113</v>
      </c>
      <c r="B1810" s="248" t="s">
        <v>2258</v>
      </c>
      <c r="C1810" s="249" t="s">
        <v>38</v>
      </c>
      <c r="D1810" s="245">
        <v>0</v>
      </c>
      <c r="E1810" s="245">
        <v>100</v>
      </c>
      <c r="F1810" s="245">
        <v>0</v>
      </c>
      <c r="G1810" s="245">
        <v>0</v>
      </c>
      <c r="H1810" s="245">
        <v>100</v>
      </c>
      <c r="I1810" s="245">
        <v>0.3133333333333333</v>
      </c>
      <c r="J1810" s="245">
        <v>0</v>
      </c>
      <c r="K1810" s="245">
        <v>31.333333333333329</v>
      </c>
      <c r="L1810" s="245">
        <v>0</v>
      </c>
      <c r="M1810" s="245">
        <v>0</v>
      </c>
      <c r="N1810" s="245">
        <v>31.333333333333329</v>
      </c>
      <c r="O1810" s="245" t="s">
        <v>118</v>
      </c>
      <c r="P1810" s="245" t="s">
        <v>255</v>
      </c>
      <c r="Q1810" s="245" t="s">
        <v>255</v>
      </c>
      <c r="R1810" s="246" t="s">
        <v>32</v>
      </c>
    </row>
    <row r="1811" spans="1:18" x14ac:dyDescent="0.8">
      <c r="A1811" s="247">
        <v>5712</v>
      </c>
      <c r="B1811" s="248" t="s">
        <v>2259</v>
      </c>
      <c r="D1811" s="245">
        <v>0</v>
      </c>
    </row>
    <row r="1812" spans="1:18" ht="26" x14ac:dyDescent="0.8">
      <c r="A1812" s="247">
        <v>57121</v>
      </c>
      <c r="B1812" s="248" t="s">
        <v>2260</v>
      </c>
      <c r="C1812" s="249" t="s">
        <v>38</v>
      </c>
      <c r="D1812" s="245">
        <v>0</v>
      </c>
      <c r="E1812" s="245">
        <v>90</v>
      </c>
      <c r="H1812" s="245">
        <v>90</v>
      </c>
      <c r="I1812" s="245">
        <v>0.3133333333333333</v>
      </c>
      <c r="J1812" s="245">
        <v>0</v>
      </c>
      <c r="K1812" s="245">
        <v>28.199999999999996</v>
      </c>
      <c r="L1812" s="245">
        <v>0</v>
      </c>
      <c r="M1812" s="245">
        <v>0</v>
      </c>
      <c r="N1812" s="245">
        <v>28.199999999999996</v>
      </c>
      <c r="O1812" s="245" t="s">
        <v>118</v>
      </c>
      <c r="P1812" s="245" t="s">
        <v>255</v>
      </c>
      <c r="Q1812" s="245" t="s">
        <v>255</v>
      </c>
      <c r="R1812" s="246" t="s">
        <v>32</v>
      </c>
    </row>
    <row r="1813" spans="1:18" ht="26" hidden="1" x14ac:dyDescent="0.8">
      <c r="A1813" s="247">
        <v>57122</v>
      </c>
      <c r="B1813" s="248" t="s">
        <v>2261</v>
      </c>
      <c r="C1813" s="249" t="s">
        <v>55</v>
      </c>
      <c r="D1813" s="245">
        <v>0</v>
      </c>
      <c r="E1813" s="245">
        <v>1</v>
      </c>
      <c r="F1813" s="245">
        <v>0</v>
      </c>
      <c r="G1813" s="245">
        <v>0</v>
      </c>
      <c r="H1813" s="245">
        <v>1</v>
      </c>
      <c r="I1813" s="245">
        <v>0</v>
      </c>
      <c r="O1813" s="245" t="s">
        <v>56</v>
      </c>
      <c r="P1813" s="245" t="s">
        <v>255</v>
      </c>
      <c r="Q1813" s="245" t="s">
        <v>255</v>
      </c>
      <c r="R1813" s="246" t="s">
        <v>32</v>
      </c>
    </row>
    <row r="1814" spans="1:18" ht="26" x14ac:dyDescent="0.8">
      <c r="A1814" s="247">
        <v>5713</v>
      </c>
      <c r="B1814" s="248" t="s">
        <v>2262</v>
      </c>
      <c r="D1814" s="245">
        <v>0</v>
      </c>
    </row>
    <row r="1815" spans="1:18" ht="39" x14ac:dyDescent="0.8">
      <c r="A1815" s="247">
        <v>57131</v>
      </c>
      <c r="B1815" s="248" t="s">
        <v>2263</v>
      </c>
      <c r="C1815" s="249" t="s">
        <v>646</v>
      </c>
      <c r="D1815" s="245">
        <v>0</v>
      </c>
      <c r="E1815" s="245">
        <v>15</v>
      </c>
      <c r="H1815" s="245">
        <v>15</v>
      </c>
      <c r="I1815" s="245">
        <v>10.404797</v>
      </c>
      <c r="J1815" s="245">
        <v>0</v>
      </c>
      <c r="K1815" s="245">
        <v>156.071955</v>
      </c>
      <c r="L1815" s="245">
        <v>0</v>
      </c>
      <c r="M1815" s="245">
        <v>0</v>
      </c>
      <c r="N1815" s="245">
        <v>156.071955</v>
      </c>
      <c r="O1815" s="245" t="s">
        <v>118</v>
      </c>
      <c r="P1815" s="245" t="s">
        <v>255</v>
      </c>
      <c r="Q1815" s="245" t="s">
        <v>1936</v>
      </c>
      <c r="R1815" s="246" t="s">
        <v>677</v>
      </c>
    </row>
    <row r="1816" spans="1:18" ht="39" x14ac:dyDescent="0.8">
      <c r="A1816" s="247">
        <v>57132</v>
      </c>
      <c r="B1816" s="248" t="s">
        <v>2264</v>
      </c>
      <c r="C1816" s="249" t="s">
        <v>301</v>
      </c>
      <c r="D1816" s="245">
        <v>0</v>
      </c>
      <c r="E1816" s="245">
        <v>300</v>
      </c>
      <c r="H1816" s="245">
        <v>300</v>
      </c>
      <c r="I1816" s="245">
        <v>0.67666666666666664</v>
      </c>
      <c r="J1816" s="245">
        <v>0</v>
      </c>
      <c r="K1816" s="245">
        <v>203</v>
      </c>
      <c r="L1816" s="245">
        <v>0</v>
      </c>
      <c r="M1816" s="245">
        <v>0</v>
      </c>
      <c r="N1816" s="245">
        <v>203</v>
      </c>
      <c r="O1816" s="245" t="s">
        <v>118</v>
      </c>
      <c r="P1816" s="245" t="s">
        <v>255</v>
      </c>
      <c r="Q1816" s="245" t="s">
        <v>1936</v>
      </c>
      <c r="R1816" s="246" t="s">
        <v>677</v>
      </c>
    </row>
    <row r="1817" spans="1:18" ht="26" x14ac:dyDescent="0.8">
      <c r="A1817" s="247">
        <v>57133</v>
      </c>
      <c r="B1817" s="248" t="s">
        <v>2265</v>
      </c>
      <c r="C1817" s="249" t="s">
        <v>38</v>
      </c>
      <c r="D1817" s="245">
        <v>40</v>
      </c>
      <c r="E1817" s="245">
        <v>427.04000000000008</v>
      </c>
      <c r="F1817" s="245">
        <v>427.04000000000008</v>
      </c>
      <c r="G1817" s="245">
        <v>427.04000000000008</v>
      </c>
      <c r="H1817" s="245">
        <v>1321.1200000000003</v>
      </c>
      <c r="I1817" s="245">
        <v>0.3133333333333333</v>
      </c>
      <c r="J1817" s="245">
        <v>12.533333333333331</v>
      </c>
      <c r="K1817" s="245">
        <v>133.80586666666667</v>
      </c>
      <c r="L1817" s="245">
        <v>133.80586666666667</v>
      </c>
      <c r="M1817" s="245">
        <v>133.80586666666667</v>
      </c>
      <c r="N1817" s="245">
        <v>413.95093333333341</v>
      </c>
      <c r="O1817" s="245" t="s">
        <v>67</v>
      </c>
      <c r="P1817" s="245" t="s">
        <v>255</v>
      </c>
      <c r="Q1817" s="245" t="s">
        <v>1936</v>
      </c>
      <c r="R1817" s="246" t="s">
        <v>32</v>
      </c>
    </row>
    <row r="1818" spans="1:18" ht="26" x14ac:dyDescent="0.8">
      <c r="A1818" s="247">
        <v>57133</v>
      </c>
      <c r="B1818" s="248" t="s">
        <v>2265</v>
      </c>
      <c r="C1818" s="249" t="s">
        <v>38</v>
      </c>
      <c r="D1818" s="245">
        <v>0</v>
      </c>
      <c r="E1818" s="245">
        <v>1272.9599999999998</v>
      </c>
      <c r="F1818" s="245">
        <v>1272.9599999999998</v>
      </c>
      <c r="G1818" s="245">
        <v>1272.9599999999998</v>
      </c>
      <c r="H1818" s="245">
        <v>3818.8799999999992</v>
      </c>
      <c r="I1818" s="245">
        <v>0.3133333333333333</v>
      </c>
      <c r="J1818" s="245">
        <v>0</v>
      </c>
      <c r="K1818" s="245">
        <v>398.86079999999987</v>
      </c>
      <c r="L1818" s="245">
        <v>398.86079999999987</v>
      </c>
      <c r="M1818" s="245">
        <v>398.86079999999987</v>
      </c>
      <c r="N1818" s="245">
        <v>1196.5823999999996</v>
      </c>
      <c r="O1818" s="245" t="s">
        <v>118</v>
      </c>
      <c r="P1818" s="245" t="s">
        <v>255</v>
      </c>
      <c r="Q1818" s="245" t="s">
        <v>1936</v>
      </c>
      <c r="R1818" s="246" t="s">
        <v>32</v>
      </c>
    </row>
    <row r="1819" spans="1:18" ht="26" x14ac:dyDescent="0.8">
      <c r="A1819" s="247">
        <v>57134</v>
      </c>
      <c r="B1819" s="248" t="s">
        <v>2266</v>
      </c>
      <c r="C1819" s="249" t="s">
        <v>38</v>
      </c>
      <c r="D1819" s="245">
        <v>0</v>
      </c>
      <c r="H1819" s="245">
        <v>0</v>
      </c>
      <c r="I1819" s="245">
        <v>0.3133333333333333</v>
      </c>
      <c r="J1819" s="245">
        <v>0</v>
      </c>
      <c r="K1819" s="245">
        <v>0</v>
      </c>
      <c r="L1819" s="245">
        <v>0</v>
      </c>
      <c r="M1819" s="245">
        <v>0</v>
      </c>
      <c r="N1819" s="245">
        <v>0</v>
      </c>
      <c r="O1819" s="245" t="s">
        <v>178</v>
      </c>
      <c r="P1819" s="245" t="s">
        <v>255</v>
      </c>
      <c r="Q1819" s="245" t="s">
        <v>1936</v>
      </c>
      <c r="R1819" s="246" t="s">
        <v>32</v>
      </c>
    </row>
    <row r="1820" spans="1:18" ht="39" hidden="1" x14ac:dyDescent="0.8">
      <c r="A1820" s="247">
        <v>57134</v>
      </c>
      <c r="B1820" s="248" t="s">
        <v>2266</v>
      </c>
      <c r="C1820" s="249" t="s">
        <v>38</v>
      </c>
      <c r="D1820" s="245">
        <v>0</v>
      </c>
      <c r="E1820" s="245">
        <v>1600</v>
      </c>
      <c r="F1820" s="245">
        <v>1600</v>
      </c>
      <c r="G1820" s="245">
        <v>1600</v>
      </c>
      <c r="H1820" s="245">
        <v>4800</v>
      </c>
      <c r="I1820" s="245">
        <v>0.3133333333333333</v>
      </c>
      <c r="J1820" s="245">
        <v>0</v>
      </c>
      <c r="K1820" s="245">
        <v>501.33333333333326</v>
      </c>
      <c r="L1820" s="245">
        <v>501.33333333333326</v>
      </c>
      <c r="M1820" s="245">
        <v>501.33333333333326</v>
      </c>
      <c r="N1820" s="245">
        <v>1503.9999999999998</v>
      </c>
      <c r="O1820" s="245" t="s">
        <v>169</v>
      </c>
      <c r="P1820" s="245" t="s">
        <v>1939</v>
      </c>
      <c r="Q1820" s="245" t="s">
        <v>1939</v>
      </c>
      <c r="R1820" s="246" t="s">
        <v>2066</v>
      </c>
    </row>
    <row r="1821" spans="1:18" ht="26" x14ac:dyDescent="0.8">
      <c r="A1821" s="247">
        <v>57135</v>
      </c>
      <c r="B1821" s="248" t="s">
        <v>2267</v>
      </c>
      <c r="C1821" s="249" t="s">
        <v>38</v>
      </c>
      <c r="D1821" s="245">
        <v>0</v>
      </c>
      <c r="H1821" s="245">
        <v>0</v>
      </c>
      <c r="I1821" s="245">
        <v>0.3133333333333333</v>
      </c>
      <c r="J1821" s="245">
        <v>0</v>
      </c>
      <c r="K1821" s="245">
        <v>0</v>
      </c>
      <c r="L1821" s="245">
        <v>0</v>
      </c>
      <c r="M1821" s="245">
        <v>0</v>
      </c>
      <c r="N1821" s="245">
        <v>0</v>
      </c>
      <c r="O1821" s="245" t="s">
        <v>178</v>
      </c>
      <c r="P1821" s="245" t="s">
        <v>255</v>
      </c>
      <c r="Q1821" s="245" t="s">
        <v>1936</v>
      </c>
      <c r="R1821" s="246" t="s">
        <v>32</v>
      </c>
    </row>
    <row r="1822" spans="1:18" ht="39" hidden="1" x14ac:dyDescent="0.8">
      <c r="A1822" s="247">
        <v>57135</v>
      </c>
      <c r="B1822" s="248" t="s">
        <v>2267</v>
      </c>
      <c r="C1822" s="249" t="s">
        <v>38</v>
      </c>
      <c r="D1822" s="245">
        <v>0</v>
      </c>
      <c r="E1822" s="245">
        <v>800</v>
      </c>
      <c r="F1822" s="245">
        <v>800</v>
      </c>
      <c r="G1822" s="245">
        <v>800</v>
      </c>
      <c r="H1822" s="245">
        <v>2400</v>
      </c>
      <c r="I1822" s="245">
        <v>0.3133333333333333</v>
      </c>
      <c r="J1822" s="245">
        <v>0</v>
      </c>
      <c r="K1822" s="245">
        <v>250.66666666666663</v>
      </c>
      <c r="L1822" s="245">
        <v>250.66666666666663</v>
      </c>
      <c r="M1822" s="245">
        <v>250.66666666666663</v>
      </c>
      <c r="N1822" s="245">
        <v>751.99999999999989</v>
      </c>
      <c r="O1822" s="245" t="s">
        <v>169</v>
      </c>
      <c r="P1822" s="245" t="s">
        <v>1939</v>
      </c>
      <c r="Q1822" s="245" t="s">
        <v>1939</v>
      </c>
      <c r="R1822" s="246" t="s">
        <v>2066</v>
      </c>
    </row>
    <row r="1823" spans="1:18" ht="26" x14ac:dyDescent="0.8">
      <c r="A1823" s="247">
        <v>57136</v>
      </c>
      <c r="B1823" s="248" t="s">
        <v>2268</v>
      </c>
      <c r="C1823" s="249" t="s">
        <v>38</v>
      </c>
      <c r="D1823" s="245">
        <v>0</v>
      </c>
      <c r="H1823" s="245">
        <v>0</v>
      </c>
      <c r="I1823" s="245">
        <v>0.3133333333333333</v>
      </c>
      <c r="J1823" s="245">
        <v>0</v>
      </c>
      <c r="K1823" s="245">
        <v>0</v>
      </c>
      <c r="L1823" s="245">
        <v>0</v>
      </c>
      <c r="M1823" s="245">
        <v>0</v>
      </c>
      <c r="N1823" s="245">
        <v>0</v>
      </c>
      <c r="O1823" s="245" t="s">
        <v>178</v>
      </c>
      <c r="P1823" s="245" t="s">
        <v>255</v>
      </c>
      <c r="Q1823" s="245" t="s">
        <v>1936</v>
      </c>
      <c r="R1823" s="246" t="s">
        <v>32</v>
      </c>
    </row>
    <row r="1824" spans="1:18" ht="39" hidden="1" x14ac:dyDescent="0.8">
      <c r="A1824" s="247">
        <v>57136</v>
      </c>
      <c r="B1824" s="248" t="s">
        <v>2268</v>
      </c>
      <c r="C1824" s="249" t="s">
        <v>38</v>
      </c>
      <c r="D1824" s="245">
        <v>0</v>
      </c>
      <c r="E1824" s="245">
        <v>100</v>
      </c>
      <c r="F1824" s="245">
        <v>100</v>
      </c>
      <c r="G1824" s="245">
        <v>100</v>
      </c>
      <c r="H1824" s="245">
        <v>300</v>
      </c>
      <c r="I1824" s="245">
        <v>0.3133333333333333</v>
      </c>
      <c r="J1824" s="245">
        <v>0</v>
      </c>
      <c r="K1824" s="245">
        <v>31.333333333333329</v>
      </c>
      <c r="L1824" s="245">
        <v>31.333333333333329</v>
      </c>
      <c r="M1824" s="245">
        <v>31.333333333333329</v>
      </c>
      <c r="N1824" s="245">
        <v>93.999999999999986</v>
      </c>
      <c r="O1824" s="245" t="s">
        <v>169</v>
      </c>
      <c r="P1824" s="245" t="s">
        <v>1939</v>
      </c>
      <c r="Q1824" s="245" t="s">
        <v>1939</v>
      </c>
      <c r="R1824" s="246" t="s">
        <v>2066</v>
      </c>
    </row>
    <row r="1825" spans="1:18" ht="39" x14ac:dyDescent="0.8">
      <c r="A1825" s="247">
        <v>57137</v>
      </c>
      <c r="B1825" s="248" t="s">
        <v>2269</v>
      </c>
      <c r="C1825" s="249" t="s">
        <v>59</v>
      </c>
      <c r="D1825" s="245">
        <v>0</v>
      </c>
      <c r="E1825" s="245">
        <v>1452.1280000000002</v>
      </c>
      <c r="F1825" s="245">
        <v>1452.1280000000002</v>
      </c>
      <c r="G1825" s="245">
        <v>1452.1280000000002</v>
      </c>
      <c r="H1825" s="245">
        <v>4356.384</v>
      </c>
      <c r="I1825" s="245">
        <v>0.8177777777777776</v>
      </c>
      <c r="J1825" s="245">
        <v>0</v>
      </c>
      <c r="K1825" s="245">
        <v>1187.5180088888887</v>
      </c>
      <c r="L1825" s="245">
        <v>1187.5180088888887</v>
      </c>
      <c r="M1825" s="245">
        <v>1187.5180088888887</v>
      </c>
      <c r="N1825" s="245">
        <v>3562.5540266666662</v>
      </c>
      <c r="O1825" s="245" t="s">
        <v>67</v>
      </c>
      <c r="P1825" s="245" t="s">
        <v>96</v>
      </c>
      <c r="Q1825" s="245" t="s">
        <v>96</v>
      </c>
      <c r="R1825" s="246" t="s">
        <v>32</v>
      </c>
    </row>
    <row r="1826" spans="1:18" ht="39" x14ac:dyDescent="0.8">
      <c r="A1826" s="247">
        <v>57137</v>
      </c>
      <c r="B1826" s="248" t="s">
        <v>2269</v>
      </c>
      <c r="C1826" s="249" t="s">
        <v>59</v>
      </c>
      <c r="D1826" s="245">
        <v>0</v>
      </c>
      <c r="E1826" s="245">
        <v>19.872000000000003</v>
      </c>
      <c r="F1826" s="245">
        <v>19.872000000000003</v>
      </c>
      <c r="G1826" s="245">
        <v>19.872000000000003</v>
      </c>
      <c r="H1826" s="245">
        <v>59.616000000000014</v>
      </c>
      <c r="I1826" s="245">
        <v>0.8177777777777776</v>
      </c>
      <c r="J1826" s="245">
        <v>0</v>
      </c>
      <c r="K1826" s="245">
        <v>16.250879999999999</v>
      </c>
      <c r="L1826" s="245">
        <v>16.250879999999999</v>
      </c>
      <c r="M1826" s="245">
        <v>16.250879999999999</v>
      </c>
      <c r="N1826" s="245">
        <v>48.75264</v>
      </c>
      <c r="O1826" s="245" t="s">
        <v>118</v>
      </c>
      <c r="P1826" s="245" t="s">
        <v>96</v>
      </c>
      <c r="Q1826" s="245" t="s">
        <v>96</v>
      </c>
      <c r="R1826" s="246" t="s">
        <v>32</v>
      </c>
    </row>
    <row r="1827" spans="1:18" ht="39" x14ac:dyDescent="0.8">
      <c r="A1827" s="247">
        <v>5714</v>
      </c>
      <c r="B1827" s="248" t="s">
        <v>2271</v>
      </c>
      <c r="D1827" s="245">
        <v>0</v>
      </c>
    </row>
    <row r="1828" spans="1:18" hidden="1" x14ac:dyDescent="0.8">
      <c r="A1828" s="247">
        <v>57141</v>
      </c>
      <c r="B1828" s="248" t="s">
        <v>2272</v>
      </c>
      <c r="C1828" s="249" t="s">
        <v>55</v>
      </c>
      <c r="D1828" s="245">
        <v>0</v>
      </c>
      <c r="E1828" s="245">
        <v>0</v>
      </c>
      <c r="F1828" s="245">
        <v>0</v>
      </c>
      <c r="G1828" s="245">
        <v>0</v>
      </c>
      <c r="I1828" s="245">
        <v>0</v>
      </c>
      <c r="O1828" s="245" t="s">
        <v>56</v>
      </c>
      <c r="P1828" s="245" t="s">
        <v>255</v>
      </c>
      <c r="Q1828" s="245" t="s">
        <v>1936</v>
      </c>
      <c r="R1828" s="246" t="s">
        <v>32</v>
      </c>
    </row>
    <row r="1829" spans="1:18" hidden="1" x14ac:dyDescent="0.8">
      <c r="A1829" s="247">
        <v>57142</v>
      </c>
      <c r="B1829" s="248" t="s">
        <v>2273</v>
      </c>
      <c r="C1829" s="249" t="s">
        <v>55</v>
      </c>
      <c r="D1829" s="245">
        <v>0</v>
      </c>
      <c r="E1829" s="245">
        <v>0</v>
      </c>
      <c r="F1829" s="245">
        <v>0</v>
      </c>
      <c r="G1829" s="245">
        <v>0</v>
      </c>
      <c r="I1829" s="245">
        <v>0</v>
      </c>
      <c r="O1829" s="245" t="s">
        <v>56</v>
      </c>
      <c r="P1829" s="245" t="s">
        <v>255</v>
      </c>
      <c r="Q1829" s="245" t="s">
        <v>1936</v>
      </c>
      <c r="R1829" s="246" t="s">
        <v>32</v>
      </c>
    </row>
    <row r="1830" spans="1:18" ht="26" hidden="1" x14ac:dyDescent="0.8">
      <c r="A1830" s="247">
        <v>57143</v>
      </c>
      <c r="B1830" s="248" t="s">
        <v>2274</v>
      </c>
      <c r="C1830" s="249" t="s">
        <v>55</v>
      </c>
      <c r="D1830" s="245">
        <v>0</v>
      </c>
      <c r="E1830" s="245">
        <v>0</v>
      </c>
      <c r="F1830" s="245">
        <v>0</v>
      </c>
      <c r="G1830" s="245">
        <v>0</v>
      </c>
      <c r="I1830" s="245">
        <v>0</v>
      </c>
      <c r="O1830" s="245" t="s">
        <v>56</v>
      </c>
      <c r="P1830" s="245" t="s">
        <v>255</v>
      </c>
      <c r="Q1830" s="245" t="s">
        <v>255</v>
      </c>
      <c r="R1830" s="246" t="s">
        <v>32</v>
      </c>
    </row>
    <row r="1831" spans="1:18" ht="26" x14ac:dyDescent="0.8">
      <c r="A1831" s="247">
        <v>572</v>
      </c>
      <c r="B1831" s="248" t="s">
        <v>2275</v>
      </c>
      <c r="D1831" s="245">
        <v>0</v>
      </c>
    </row>
    <row r="1832" spans="1:18" ht="26" x14ac:dyDescent="0.8">
      <c r="A1832" s="247">
        <v>5721</v>
      </c>
      <c r="B1832" s="248" t="s">
        <v>2276</v>
      </c>
      <c r="D1832" s="245">
        <v>0</v>
      </c>
    </row>
    <row r="1833" spans="1:18" ht="39" hidden="1" x14ac:dyDescent="0.8">
      <c r="A1833" s="247">
        <v>57211</v>
      </c>
      <c r="B1833" s="248" t="s">
        <v>2277</v>
      </c>
      <c r="C1833" s="249" t="s">
        <v>55</v>
      </c>
      <c r="D1833" s="245">
        <v>0</v>
      </c>
      <c r="H1833" s="245">
        <v>0</v>
      </c>
      <c r="I1833" s="245">
        <v>0</v>
      </c>
      <c r="O1833" s="245" t="s">
        <v>56</v>
      </c>
      <c r="P1833" s="245" t="s">
        <v>255</v>
      </c>
      <c r="Q1833" s="245" t="s">
        <v>255</v>
      </c>
      <c r="R1833" s="246" t="s">
        <v>679</v>
      </c>
    </row>
    <row r="1834" spans="1:18" ht="26" hidden="1" x14ac:dyDescent="0.8">
      <c r="A1834" s="247">
        <v>57212</v>
      </c>
      <c r="B1834" s="248" t="s">
        <v>2278</v>
      </c>
      <c r="C1834" s="249" t="s">
        <v>55</v>
      </c>
      <c r="D1834" s="245">
        <v>0</v>
      </c>
      <c r="H1834" s="245">
        <v>0</v>
      </c>
      <c r="I1834" s="245">
        <v>0</v>
      </c>
      <c r="O1834" s="245" t="s">
        <v>56</v>
      </c>
      <c r="P1834" s="245" t="s">
        <v>255</v>
      </c>
      <c r="Q1834" s="245" t="s">
        <v>255</v>
      </c>
      <c r="R1834" s="246" t="s">
        <v>679</v>
      </c>
    </row>
    <row r="1835" spans="1:18" ht="26" x14ac:dyDescent="0.8">
      <c r="A1835" s="247">
        <v>5722</v>
      </c>
      <c r="B1835" s="248" t="s">
        <v>2279</v>
      </c>
      <c r="D1835" s="245">
        <v>0</v>
      </c>
    </row>
    <row r="1836" spans="1:18" ht="26" hidden="1" x14ac:dyDescent="0.8">
      <c r="A1836" s="247">
        <v>57221</v>
      </c>
      <c r="B1836" s="248" t="s">
        <v>2280</v>
      </c>
      <c r="C1836" s="249" t="s">
        <v>55</v>
      </c>
      <c r="D1836" s="245">
        <v>0</v>
      </c>
      <c r="E1836" s="245">
        <v>1</v>
      </c>
      <c r="H1836" s="245">
        <v>1</v>
      </c>
      <c r="I1836" s="245">
        <v>0</v>
      </c>
      <c r="O1836" s="245" t="s">
        <v>56</v>
      </c>
      <c r="P1836" s="245" t="s">
        <v>255</v>
      </c>
      <c r="Q1836" s="245" t="s">
        <v>255</v>
      </c>
      <c r="R1836" s="246" t="s">
        <v>677</v>
      </c>
    </row>
    <row r="1837" spans="1:18" x14ac:dyDescent="0.8">
      <c r="A1837" s="247">
        <v>57222</v>
      </c>
      <c r="B1837" s="248" t="s">
        <v>2281</v>
      </c>
      <c r="C1837" s="249" t="s">
        <v>2283</v>
      </c>
      <c r="D1837" s="245">
        <v>0</v>
      </c>
      <c r="E1837" s="245">
        <v>10</v>
      </c>
      <c r="H1837" s="245">
        <v>10</v>
      </c>
      <c r="I1837" s="245">
        <v>9.5</v>
      </c>
      <c r="J1837" s="245">
        <v>0</v>
      </c>
      <c r="K1837" s="245">
        <v>95</v>
      </c>
      <c r="L1837" s="245">
        <v>0</v>
      </c>
      <c r="M1837" s="245">
        <v>0</v>
      </c>
      <c r="N1837" s="245">
        <v>95</v>
      </c>
      <c r="O1837" s="245" t="s">
        <v>118</v>
      </c>
      <c r="P1837" s="245" t="s">
        <v>255</v>
      </c>
      <c r="Q1837" s="245" t="s">
        <v>255</v>
      </c>
      <c r="R1837" s="246" t="s">
        <v>677</v>
      </c>
    </row>
    <row r="1838" spans="1:18" x14ac:dyDescent="0.8">
      <c r="A1838" s="247">
        <v>57223</v>
      </c>
      <c r="B1838" s="248" t="s">
        <v>2284</v>
      </c>
      <c r="C1838" s="249" t="s">
        <v>2286</v>
      </c>
      <c r="D1838" s="245">
        <v>0</v>
      </c>
      <c r="E1838" s="245">
        <v>2</v>
      </c>
      <c r="H1838" s="245">
        <v>2</v>
      </c>
      <c r="I1838" s="245">
        <v>104.5</v>
      </c>
      <c r="J1838" s="245">
        <v>0</v>
      </c>
      <c r="K1838" s="245">
        <v>209</v>
      </c>
      <c r="L1838" s="245">
        <v>0</v>
      </c>
      <c r="M1838" s="245">
        <v>0</v>
      </c>
      <c r="N1838" s="245">
        <v>209</v>
      </c>
      <c r="O1838" s="245" t="s">
        <v>118</v>
      </c>
      <c r="P1838" s="245" t="s">
        <v>255</v>
      </c>
      <c r="Q1838" s="245" t="s">
        <v>255</v>
      </c>
      <c r="R1838" s="246" t="s">
        <v>677</v>
      </c>
    </row>
    <row r="1839" spans="1:18" x14ac:dyDescent="0.8">
      <c r="A1839" s="247">
        <v>57224</v>
      </c>
      <c r="B1839" s="248" t="s">
        <v>2287</v>
      </c>
      <c r="C1839" s="249" t="s">
        <v>1620</v>
      </c>
      <c r="D1839" s="245">
        <v>0</v>
      </c>
      <c r="E1839" s="245">
        <v>10</v>
      </c>
      <c r="H1839" s="245">
        <v>10</v>
      </c>
      <c r="I1839" s="245">
        <v>10.034934666666667</v>
      </c>
      <c r="J1839" s="245">
        <v>0</v>
      </c>
      <c r="K1839" s="245">
        <v>100.34934666666666</v>
      </c>
      <c r="L1839" s="245">
        <v>0</v>
      </c>
      <c r="M1839" s="245">
        <v>0</v>
      </c>
      <c r="N1839" s="245">
        <v>100.34934666666666</v>
      </c>
      <c r="O1839" s="245" t="s">
        <v>118</v>
      </c>
      <c r="P1839" s="245" t="s">
        <v>255</v>
      </c>
      <c r="Q1839" s="245" t="s">
        <v>255</v>
      </c>
      <c r="R1839" s="246" t="s">
        <v>677</v>
      </c>
    </row>
    <row r="1840" spans="1:18" x14ac:dyDescent="0.8">
      <c r="A1840" s="247">
        <v>57225</v>
      </c>
      <c r="B1840" s="248" t="s">
        <v>2288</v>
      </c>
      <c r="C1840" s="249" t="s">
        <v>974</v>
      </c>
      <c r="D1840" s="245">
        <v>0</v>
      </c>
      <c r="E1840" s="245">
        <v>8</v>
      </c>
      <c r="H1840" s="245">
        <v>8</v>
      </c>
      <c r="I1840" s="245">
        <v>6.333333333333333</v>
      </c>
      <c r="J1840" s="245">
        <v>0</v>
      </c>
      <c r="K1840" s="245">
        <v>50.666666666666664</v>
      </c>
      <c r="L1840" s="245">
        <v>0</v>
      </c>
      <c r="M1840" s="245">
        <v>0</v>
      </c>
      <c r="N1840" s="245">
        <v>50.666666666666664</v>
      </c>
      <c r="O1840" s="245" t="s">
        <v>118</v>
      </c>
      <c r="P1840" s="245" t="s">
        <v>255</v>
      </c>
      <c r="Q1840" s="245" t="s">
        <v>255</v>
      </c>
      <c r="R1840" s="246" t="s">
        <v>677</v>
      </c>
    </row>
    <row r="1841" spans="1:18" ht="26" x14ac:dyDescent="0.8">
      <c r="A1841" s="247">
        <v>57226</v>
      </c>
      <c r="B1841" s="248" t="s">
        <v>2289</v>
      </c>
      <c r="C1841" s="249" t="s">
        <v>980</v>
      </c>
      <c r="D1841" s="245">
        <v>0</v>
      </c>
      <c r="E1841" s="245">
        <v>4</v>
      </c>
      <c r="H1841" s="245">
        <v>4</v>
      </c>
      <c r="I1841" s="245">
        <v>300</v>
      </c>
      <c r="J1841" s="245">
        <v>0</v>
      </c>
      <c r="K1841" s="245">
        <v>1200</v>
      </c>
      <c r="L1841" s="245">
        <v>0</v>
      </c>
      <c r="M1841" s="245">
        <v>0</v>
      </c>
      <c r="N1841" s="245">
        <v>1200</v>
      </c>
      <c r="O1841" s="245" t="s">
        <v>118</v>
      </c>
      <c r="P1841" s="245" t="s">
        <v>255</v>
      </c>
      <c r="Q1841" s="245" t="s">
        <v>255</v>
      </c>
      <c r="R1841" s="246" t="s">
        <v>677</v>
      </c>
    </row>
    <row r="1842" spans="1:18" ht="26" x14ac:dyDescent="0.8">
      <c r="A1842" s="247">
        <v>57227</v>
      </c>
      <c r="B1842" s="248" t="s">
        <v>2291</v>
      </c>
      <c r="C1842" s="249" t="s">
        <v>2293</v>
      </c>
      <c r="D1842" s="245">
        <v>0</v>
      </c>
      <c r="H1842" s="245">
        <v>0</v>
      </c>
      <c r="I1842" s="245">
        <v>1311</v>
      </c>
      <c r="J1842" s="245">
        <v>0</v>
      </c>
      <c r="K1842" s="245">
        <v>0</v>
      </c>
      <c r="L1842" s="245">
        <v>0</v>
      </c>
      <c r="M1842" s="245">
        <v>0</v>
      </c>
      <c r="N1842" s="245">
        <v>0</v>
      </c>
      <c r="O1842" s="245" t="s">
        <v>178</v>
      </c>
      <c r="P1842" s="245" t="s">
        <v>255</v>
      </c>
      <c r="Q1842" s="245" t="s">
        <v>255</v>
      </c>
      <c r="R1842" s="246" t="s">
        <v>677</v>
      </c>
    </row>
    <row r="1843" spans="1:18" ht="39" hidden="1" x14ac:dyDescent="0.8">
      <c r="A1843" s="247">
        <v>57228</v>
      </c>
      <c r="B1843" s="248" t="s">
        <v>2294</v>
      </c>
      <c r="C1843" s="249" t="s">
        <v>2293</v>
      </c>
      <c r="D1843" s="245">
        <v>0</v>
      </c>
      <c r="E1843" s="245">
        <v>1</v>
      </c>
      <c r="F1843" s="245">
        <v>1</v>
      </c>
      <c r="G1843" s="245">
        <v>1</v>
      </c>
      <c r="H1843" s="245">
        <v>3</v>
      </c>
      <c r="I1843" s="245">
        <v>1311</v>
      </c>
      <c r="J1843" s="245">
        <v>0</v>
      </c>
      <c r="K1843" s="245">
        <v>1311</v>
      </c>
      <c r="L1843" s="245">
        <v>1311</v>
      </c>
      <c r="M1843" s="245">
        <v>1311</v>
      </c>
      <c r="N1843" s="245">
        <v>3933</v>
      </c>
      <c r="O1843" s="245" t="s">
        <v>169</v>
      </c>
      <c r="P1843" s="245" t="s">
        <v>1939</v>
      </c>
      <c r="Q1843" s="245" t="s">
        <v>1939</v>
      </c>
      <c r="R1843" s="246" t="s">
        <v>2066</v>
      </c>
    </row>
    <row r="1844" spans="1:18" x14ac:dyDescent="0.8">
      <c r="A1844" s="247">
        <v>57229</v>
      </c>
      <c r="B1844" s="248" t="s">
        <v>2295</v>
      </c>
      <c r="C1844" s="249" t="s">
        <v>2297</v>
      </c>
      <c r="D1844" s="245">
        <v>0</v>
      </c>
      <c r="H1844" s="245">
        <v>0</v>
      </c>
      <c r="I1844" s="245">
        <v>215</v>
      </c>
      <c r="J1844" s="245">
        <v>0</v>
      </c>
      <c r="K1844" s="245">
        <v>0</v>
      </c>
      <c r="L1844" s="245">
        <v>0</v>
      </c>
      <c r="M1844" s="245">
        <v>0</v>
      </c>
      <c r="N1844" s="245">
        <v>0</v>
      </c>
      <c r="O1844" s="245" t="s">
        <v>178</v>
      </c>
      <c r="P1844" s="245" t="s">
        <v>255</v>
      </c>
      <c r="Q1844" s="245" t="s">
        <v>255</v>
      </c>
      <c r="R1844" s="246" t="s">
        <v>677</v>
      </c>
    </row>
    <row r="1845" spans="1:18" ht="39" hidden="1" x14ac:dyDescent="0.8">
      <c r="A1845" s="247">
        <v>57229</v>
      </c>
      <c r="B1845" s="248" t="s">
        <v>2295</v>
      </c>
      <c r="C1845" s="249" t="s">
        <v>2297</v>
      </c>
      <c r="D1845" s="245">
        <v>0</v>
      </c>
      <c r="E1845" s="245">
        <v>1</v>
      </c>
      <c r="F1845" s="245">
        <v>1</v>
      </c>
      <c r="G1845" s="245">
        <v>1</v>
      </c>
      <c r="H1845" s="245">
        <v>3</v>
      </c>
      <c r="I1845" s="245">
        <v>215</v>
      </c>
      <c r="J1845" s="245">
        <v>0</v>
      </c>
      <c r="K1845" s="245">
        <v>215</v>
      </c>
      <c r="L1845" s="245">
        <v>215</v>
      </c>
      <c r="M1845" s="245">
        <v>215</v>
      </c>
      <c r="N1845" s="245">
        <v>645</v>
      </c>
      <c r="O1845" s="245" t="s">
        <v>169</v>
      </c>
      <c r="P1845" s="245" t="s">
        <v>1939</v>
      </c>
      <c r="Q1845" s="245" t="s">
        <v>1939</v>
      </c>
      <c r="R1845" s="246" t="s">
        <v>2066</v>
      </c>
    </row>
    <row r="1846" spans="1:18" ht="26" x14ac:dyDescent="0.8">
      <c r="A1846" s="247">
        <v>5723</v>
      </c>
      <c r="B1846" s="248" t="s">
        <v>2298</v>
      </c>
      <c r="D1846" s="245">
        <v>0</v>
      </c>
    </row>
    <row r="1847" spans="1:18" ht="39" hidden="1" x14ac:dyDescent="0.8">
      <c r="A1847" s="247">
        <v>57231</v>
      </c>
      <c r="B1847" s="248" t="s">
        <v>2299</v>
      </c>
      <c r="C1847" s="249" t="s">
        <v>66</v>
      </c>
      <c r="D1847" s="245">
        <v>0</v>
      </c>
      <c r="E1847" s="245">
        <v>150</v>
      </c>
      <c r="F1847" s="245">
        <v>150</v>
      </c>
      <c r="G1847" s="245">
        <v>150</v>
      </c>
      <c r="H1847" s="245">
        <v>450</v>
      </c>
      <c r="I1847" s="245">
        <v>0.255</v>
      </c>
      <c r="J1847" s="245">
        <v>0</v>
      </c>
      <c r="K1847" s="245">
        <v>38.25</v>
      </c>
      <c r="L1847" s="245">
        <v>38.25</v>
      </c>
      <c r="M1847" s="245">
        <v>38.25</v>
      </c>
      <c r="N1847" s="245">
        <v>114.75</v>
      </c>
      <c r="O1847" s="245" t="s">
        <v>169</v>
      </c>
      <c r="P1847" s="245" t="s">
        <v>1939</v>
      </c>
      <c r="Q1847" s="245" t="s">
        <v>1939</v>
      </c>
      <c r="R1847" s="246" t="s">
        <v>2066</v>
      </c>
    </row>
    <row r="1848" spans="1:18" ht="39" hidden="1" x14ac:dyDescent="0.8">
      <c r="A1848" s="247">
        <v>57232</v>
      </c>
      <c r="B1848" s="248" t="s">
        <v>2300</v>
      </c>
      <c r="C1848" s="249" t="s">
        <v>55</v>
      </c>
      <c r="D1848" s="245">
        <v>0</v>
      </c>
      <c r="E1848" s="245">
        <v>1</v>
      </c>
      <c r="F1848" s="245">
        <v>1</v>
      </c>
      <c r="G1848" s="245">
        <v>1</v>
      </c>
      <c r="H1848" s="245">
        <v>3</v>
      </c>
      <c r="I1848" s="245">
        <v>0</v>
      </c>
      <c r="O1848" s="245" t="s">
        <v>56</v>
      </c>
      <c r="P1848" s="245" t="s">
        <v>2301</v>
      </c>
      <c r="Q1848" s="245" t="s">
        <v>2301</v>
      </c>
      <c r="R1848" s="246" t="s">
        <v>677</v>
      </c>
    </row>
    <row r="1849" spans="1:18" ht="39" hidden="1" x14ac:dyDescent="0.8">
      <c r="A1849" s="247">
        <v>57233</v>
      </c>
      <c r="B1849" s="248" t="s">
        <v>2302</v>
      </c>
      <c r="C1849" s="249" t="s">
        <v>55</v>
      </c>
      <c r="D1849" s="245">
        <v>0</v>
      </c>
      <c r="E1849" s="245">
        <v>1</v>
      </c>
      <c r="F1849" s="245">
        <v>1</v>
      </c>
      <c r="G1849" s="245">
        <v>1</v>
      </c>
      <c r="H1849" s="245">
        <v>3</v>
      </c>
      <c r="I1849" s="245">
        <v>0</v>
      </c>
      <c r="O1849" s="245" t="s">
        <v>56</v>
      </c>
      <c r="P1849" s="245" t="s">
        <v>2301</v>
      </c>
      <c r="Q1849" s="245" t="s">
        <v>2301</v>
      </c>
      <c r="R1849" s="246" t="s">
        <v>677</v>
      </c>
    </row>
    <row r="1850" spans="1:18" ht="39" hidden="1" x14ac:dyDescent="0.8">
      <c r="A1850" s="247">
        <v>57234</v>
      </c>
      <c r="B1850" s="248" t="s">
        <v>2303</v>
      </c>
      <c r="C1850" s="249" t="s">
        <v>55</v>
      </c>
      <c r="D1850" s="245">
        <v>0</v>
      </c>
      <c r="E1850" s="245">
        <v>1</v>
      </c>
      <c r="F1850" s="245">
        <v>1</v>
      </c>
      <c r="G1850" s="245">
        <v>1</v>
      </c>
      <c r="H1850" s="245">
        <v>3</v>
      </c>
      <c r="I1850" s="245">
        <v>0</v>
      </c>
      <c r="O1850" s="245" t="s">
        <v>56</v>
      </c>
      <c r="P1850" s="245" t="s">
        <v>2304</v>
      </c>
      <c r="Q1850" s="245" t="s">
        <v>2304</v>
      </c>
      <c r="R1850" s="246" t="s">
        <v>677</v>
      </c>
    </row>
    <row r="1851" spans="1:18" ht="39" hidden="1" x14ac:dyDescent="0.8">
      <c r="A1851" s="247">
        <v>57235</v>
      </c>
      <c r="B1851" s="248" t="s">
        <v>2305</v>
      </c>
      <c r="C1851" s="249" t="s">
        <v>55</v>
      </c>
      <c r="D1851" s="245">
        <v>0</v>
      </c>
      <c r="E1851" s="245">
        <v>1</v>
      </c>
      <c r="F1851" s="245">
        <v>1</v>
      </c>
      <c r="G1851" s="245">
        <v>1</v>
      </c>
      <c r="H1851" s="245">
        <v>3</v>
      </c>
      <c r="I1851" s="245">
        <v>0</v>
      </c>
      <c r="O1851" s="245" t="s">
        <v>56</v>
      </c>
      <c r="P1851" s="245" t="s">
        <v>2304</v>
      </c>
      <c r="Q1851" s="245" t="s">
        <v>2304</v>
      </c>
      <c r="R1851" s="246" t="s">
        <v>677</v>
      </c>
    </row>
    <row r="1852" spans="1:18" ht="39" hidden="1" x14ac:dyDescent="0.8">
      <c r="A1852" s="247">
        <v>57236</v>
      </c>
      <c r="B1852" s="248" t="s">
        <v>2306</v>
      </c>
      <c r="C1852" s="249" t="s">
        <v>55</v>
      </c>
      <c r="D1852" s="245">
        <v>0</v>
      </c>
      <c r="E1852" s="245">
        <v>1</v>
      </c>
      <c r="F1852" s="245">
        <v>1</v>
      </c>
      <c r="G1852" s="245">
        <v>1</v>
      </c>
      <c r="H1852" s="245">
        <v>3</v>
      </c>
      <c r="I1852" s="245">
        <v>0</v>
      </c>
      <c r="O1852" s="245" t="s">
        <v>56</v>
      </c>
      <c r="P1852" s="245" t="s">
        <v>2304</v>
      </c>
      <c r="Q1852" s="245" t="s">
        <v>2304</v>
      </c>
      <c r="R1852" s="246" t="s">
        <v>677</v>
      </c>
    </row>
    <row r="1853" spans="1:18" ht="26" x14ac:dyDescent="0.8">
      <c r="A1853" s="247">
        <v>57237</v>
      </c>
      <c r="B1853" s="248" t="s">
        <v>2307</v>
      </c>
      <c r="C1853" s="249" t="s">
        <v>2308</v>
      </c>
      <c r="D1853" s="245">
        <v>0</v>
      </c>
      <c r="G1853" s="245">
        <v>1</v>
      </c>
      <c r="H1853" s="245">
        <v>1</v>
      </c>
      <c r="I1853" s="245">
        <v>819</v>
      </c>
      <c r="J1853" s="245">
        <v>0</v>
      </c>
      <c r="K1853" s="245">
        <v>0</v>
      </c>
      <c r="L1853" s="245">
        <v>0</v>
      </c>
      <c r="M1853" s="245">
        <v>819</v>
      </c>
      <c r="N1853" s="245">
        <v>819</v>
      </c>
      <c r="O1853" s="245" t="s">
        <v>118</v>
      </c>
      <c r="P1853" s="245" t="s">
        <v>2304</v>
      </c>
      <c r="Q1853" s="245" t="s">
        <v>2304</v>
      </c>
      <c r="R1853" s="246" t="s">
        <v>677</v>
      </c>
    </row>
    <row r="1854" spans="1:18" ht="39" hidden="1" x14ac:dyDescent="0.8">
      <c r="A1854" s="247">
        <v>57238</v>
      </c>
      <c r="B1854" s="248" t="s">
        <v>2309</v>
      </c>
      <c r="C1854" s="249" t="s">
        <v>646</v>
      </c>
      <c r="D1854" s="245">
        <v>0</v>
      </c>
      <c r="G1854" s="245">
        <v>50</v>
      </c>
      <c r="H1854" s="245">
        <v>50</v>
      </c>
      <c r="I1854" s="245">
        <v>10.404797</v>
      </c>
      <c r="J1854" s="245">
        <v>0</v>
      </c>
      <c r="K1854" s="245">
        <v>0</v>
      </c>
      <c r="L1854" s="245">
        <v>0</v>
      </c>
      <c r="M1854" s="245">
        <v>520.23985000000005</v>
      </c>
      <c r="N1854" s="245">
        <v>520.23985000000005</v>
      </c>
      <c r="O1854" s="245" t="s">
        <v>169</v>
      </c>
      <c r="P1854" s="245" t="s">
        <v>1939</v>
      </c>
      <c r="Q1854" s="245" t="s">
        <v>1939</v>
      </c>
      <c r="R1854" s="246" t="s">
        <v>2066</v>
      </c>
    </row>
    <row r="1855" spans="1:18" ht="39" x14ac:dyDescent="0.8">
      <c r="A1855" s="247">
        <v>5724</v>
      </c>
      <c r="B1855" s="248" t="s">
        <v>2310</v>
      </c>
      <c r="D1855" s="245">
        <v>0</v>
      </c>
    </row>
    <row r="1856" spans="1:18" ht="39" x14ac:dyDescent="0.8">
      <c r="A1856" s="247">
        <v>57241</v>
      </c>
      <c r="B1856" s="248" t="s">
        <v>2311</v>
      </c>
      <c r="C1856" s="249" t="s">
        <v>2312</v>
      </c>
      <c r="D1856" s="245">
        <v>0</v>
      </c>
      <c r="H1856" s="245">
        <v>0</v>
      </c>
      <c r="I1856" s="245">
        <v>4302.8008666666601</v>
      </c>
      <c r="J1856" s="245">
        <v>0</v>
      </c>
      <c r="K1856" s="245">
        <v>0</v>
      </c>
      <c r="L1856" s="245">
        <v>0</v>
      </c>
      <c r="M1856" s="245">
        <v>0</v>
      </c>
      <c r="N1856" s="245">
        <v>0</v>
      </c>
      <c r="O1856" s="245" t="s">
        <v>178</v>
      </c>
      <c r="P1856" s="245" t="s">
        <v>255</v>
      </c>
      <c r="Q1856" s="245" t="s">
        <v>2313</v>
      </c>
      <c r="R1856" s="246" t="s">
        <v>32</v>
      </c>
    </row>
    <row r="1857" spans="1:18" ht="52" x14ac:dyDescent="0.8">
      <c r="A1857" s="247">
        <v>57242</v>
      </c>
      <c r="B1857" s="248" t="s">
        <v>2314</v>
      </c>
      <c r="C1857" s="249" t="s">
        <v>2315</v>
      </c>
      <c r="D1857" s="245">
        <v>0</v>
      </c>
      <c r="E1857" s="245">
        <v>1</v>
      </c>
      <c r="F1857" s="245">
        <v>1</v>
      </c>
      <c r="G1857" s="245">
        <v>1</v>
      </c>
      <c r="H1857" s="245">
        <v>3</v>
      </c>
      <c r="I1857" s="245">
        <v>3562.5</v>
      </c>
      <c r="J1857" s="245">
        <v>0</v>
      </c>
      <c r="K1857" s="245">
        <v>3562.5</v>
      </c>
      <c r="L1857" s="245">
        <v>3562.5</v>
      </c>
      <c r="M1857" s="245">
        <v>3562.5</v>
      </c>
      <c r="N1857" s="245">
        <v>10687.5</v>
      </c>
      <c r="O1857" s="245" t="s">
        <v>39</v>
      </c>
      <c r="P1857" s="245" t="s">
        <v>255</v>
      </c>
      <c r="Q1857" s="245" t="s">
        <v>2316</v>
      </c>
      <c r="R1857" s="246" t="s">
        <v>32</v>
      </c>
    </row>
    <row r="1858" spans="1:18" ht="39" x14ac:dyDescent="0.8">
      <c r="A1858" s="247">
        <v>57243</v>
      </c>
      <c r="B1858" s="248" t="s">
        <v>2317</v>
      </c>
      <c r="C1858" s="249" t="s">
        <v>2318</v>
      </c>
      <c r="D1858" s="245">
        <v>0</v>
      </c>
      <c r="E1858" s="245">
        <v>1</v>
      </c>
      <c r="H1858" s="245">
        <v>1</v>
      </c>
      <c r="I1858" s="245">
        <v>7295.05</v>
      </c>
      <c r="J1858" s="245">
        <v>0</v>
      </c>
      <c r="K1858" s="245">
        <v>7295.05</v>
      </c>
      <c r="L1858" s="245">
        <v>0</v>
      </c>
      <c r="M1858" s="245">
        <v>0</v>
      </c>
      <c r="N1858" s="245">
        <v>7295.05</v>
      </c>
      <c r="O1858" s="245" t="s">
        <v>2319</v>
      </c>
      <c r="P1858" s="245" t="s">
        <v>2320</v>
      </c>
      <c r="Q1858" s="245" t="s">
        <v>2320</v>
      </c>
      <c r="R1858" s="246" t="s">
        <v>677</v>
      </c>
    </row>
    <row r="1859" spans="1:18" ht="39" x14ac:dyDescent="0.8">
      <c r="A1859" s="247">
        <v>57244</v>
      </c>
      <c r="B1859" s="248" t="s">
        <v>2321</v>
      </c>
      <c r="C1859" s="249" t="s">
        <v>2322</v>
      </c>
      <c r="D1859" s="245">
        <v>0</v>
      </c>
      <c r="E1859" s="245">
        <v>1</v>
      </c>
      <c r="F1859" s="245">
        <v>1</v>
      </c>
      <c r="H1859" s="245">
        <v>2</v>
      </c>
      <c r="I1859" s="245">
        <v>2940</v>
      </c>
      <c r="J1859" s="245">
        <v>0</v>
      </c>
      <c r="K1859" s="245">
        <v>2940</v>
      </c>
      <c r="L1859" s="245">
        <v>2940</v>
      </c>
      <c r="M1859" s="245">
        <v>0</v>
      </c>
      <c r="N1859" s="245">
        <v>5880</v>
      </c>
      <c r="O1859" s="245" t="s">
        <v>1276</v>
      </c>
      <c r="R1859" s="246" t="s">
        <v>677</v>
      </c>
    </row>
    <row r="1860" spans="1:18" ht="26" x14ac:dyDescent="0.8">
      <c r="A1860" s="247">
        <v>57245</v>
      </c>
      <c r="B1860" s="248" t="s">
        <v>2666</v>
      </c>
      <c r="C1860" s="249" t="s">
        <v>1311</v>
      </c>
      <c r="D1860" s="245">
        <v>0</v>
      </c>
      <c r="E1860" s="245">
        <v>1</v>
      </c>
      <c r="F1860" s="245">
        <v>1</v>
      </c>
      <c r="H1860" s="245">
        <v>2</v>
      </c>
      <c r="I1860" s="245">
        <v>15600</v>
      </c>
      <c r="J1860" s="245">
        <v>23400</v>
      </c>
      <c r="K1860" s="245">
        <v>15600</v>
      </c>
      <c r="L1860" s="245">
        <v>54600</v>
      </c>
      <c r="M1860" s="245">
        <v>0</v>
      </c>
      <c r="N1860" s="245">
        <v>93600</v>
      </c>
      <c r="O1860" s="245" t="s">
        <v>1276</v>
      </c>
      <c r="R1860" s="246" t="s">
        <v>677</v>
      </c>
    </row>
    <row r="1861" spans="1:18" ht="26" x14ac:dyDescent="0.8">
      <c r="A1861" s="247">
        <v>57246</v>
      </c>
      <c r="B1861" s="248" t="s">
        <v>2667</v>
      </c>
      <c r="C1861" s="249" t="s">
        <v>1311</v>
      </c>
      <c r="D1861" s="245">
        <v>0</v>
      </c>
      <c r="E1861" s="245">
        <v>1</v>
      </c>
      <c r="F1861" s="245">
        <v>1</v>
      </c>
      <c r="H1861" s="245">
        <v>2</v>
      </c>
      <c r="I1861" s="245">
        <v>4400</v>
      </c>
      <c r="J1861" s="245">
        <v>6600</v>
      </c>
      <c r="K1861" s="245">
        <v>4400</v>
      </c>
      <c r="L1861" s="245">
        <v>15400</v>
      </c>
      <c r="M1861" s="245">
        <v>0</v>
      </c>
      <c r="N1861" s="245">
        <v>26400</v>
      </c>
      <c r="O1861" s="245" t="s">
        <v>1276</v>
      </c>
      <c r="R1861" s="246" t="s">
        <v>677</v>
      </c>
    </row>
    <row r="1862" spans="1:18" ht="39" x14ac:dyDescent="0.8">
      <c r="A1862" s="247">
        <v>58</v>
      </c>
      <c r="B1862" s="248" t="s">
        <v>2323</v>
      </c>
      <c r="D1862" s="245">
        <v>0</v>
      </c>
    </row>
    <row r="1863" spans="1:18" ht="26" x14ac:dyDescent="0.8">
      <c r="A1863" s="247">
        <v>581</v>
      </c>
      <c r="B1863" s="248" t="s">
        <v>2324</v>
      </c>
      <c r="D1863" s="245">
        <v>0</v>
      </c>
    </row>
    <row r="1864" spans="1:18" ht="26" x14ac:dyDescent="0.8">
      <c r="A1864" s="247">
        <v>5811</v>
      </c>
      <c r="B1864" s="248" t="s">
        <v>2325</v>
      </c>
      <c r="D1864" s="245">
        <v>0</v>
      </c>
    </row>
    <row r="1865" spans="1:18" ht="26" hidden="1" x14ac:dyDescent="0.8">
      <c r="A1865" s="247">
        <v>58111</v>
      </c>
      <c r="B1865" s="248" t="s">
        <v>2326</v>
      </c>
      <c r="C1865" s="249" t="s">
        <v>55</v>
      </c>
      <c r="D1865" s="245">
        <v>0</v>
      </c>
      <c r="E1865" s="245">
        <v>1</v>
      </c>
      <c r="F1865" s="245">
        <v>0</v>
      </c>
      <c r="G1865" s="245">
        <v>0</v>
      </c>
      <c r="H1865" s="245">
        <v>1</v>
      </c>
      <c r="I1865" s="245">
        <v>0</v>
      </c>
      <c r="O1865" s="245" t="s">
        <v>56</v>
      </c>
      <c r="P1865" s="245" t="s">
        <v>255</v>
      </c>
      <c r="Q1865" s="245" t="s">
        <v>255</v>
      </c>
      <c r="R1865" s="246" t="s">
        <v>32</v>
      </c>
    </row>
    <row r="1866" spans="1:18" ht="26" x14ac:dyDescent="0.8">
      <c r="A1866" s="247">
        <v>58112</v>
      </c>
      <c r="B1866" s="248" t="s">
        <v>2327</v>
      </c>
      <c r="C1866" s="249" t="s">
        <v>646</v>
      </c>
      <c r="D1866" s="245">
        <v>0</v>
      </c>
      <c r="E1866" s="245">
        <v>180</v>
      </c>
      <c r="H1866" s="245">
        <v>180</v>
      </c>
      <c r="I1866" s="245">
        <v>10.404797</v>
      </c>
      <c r="J1866" s="245">
        <v>0</v>
      </c>
      <c r="K1866" s="245">
        <v>1872.86346</v>
      </c>
      <c r="L1866" s="245">
        <v>0</v>
      </c>
      <c r="M1866" s="245">
        <v>0</v>
      </c>
      <c r="N1866" s="245">
        <v>1872.86346</v>
      </c>
      <c r="O1866" s="245" t="s">
        <v>39</v>
      </c>
      <c r="P1866" s="245" t="s">
        <v>255</v>
      </c>
      <c r="Q1866" s="245" t="s">
        <v>255</v>
      </c>
      <c r="R1866" s="246" t="s">
        <v>32</v>
      </c>
    </row>
    <row r="1867" spans="1:18" x14ac:dyDescent="0.8">
      <c r="A1867" s="247">
        <v>58113</v>
      </c>
      <c r="B1867" s="248" t="s">
        <v>1537</v>
      </c>
      <c r="C1867" s="249" t="s">
        <v>38</v>
      </c>
      <c r="D1867" s="245">
        <v>0</v>
      </c>
      <c r="E1867" s="245">
        <v>60</v>
      </c>
      <c r="H1867" s="245">
        <v>60</v>
      </c>
      <c r="I1867" s="245">
        <v>0.3133333333333333</v>
      </c>
      <c r="J1867" s="245">
        <v>0</v>
      </c>
      <c r="K1867" s="245">
        <v>18.799999999999997</v>
      </c>
      <c r="L1867" s="245">
        <v>0</v>
      </c>
      <c r="M1867" s="245">
        <v>0</v>
      </c>
      <c r="N1867" s="245">
        <v>18.799999999999997</v>
      </c>
      <c r="O1867" s="245" t="s">
        <v>39</v>
      </c>
      <c r="P1867" s="245" t="s">
        <v>255</v>
      </c>
      <c r="Q1867" s="245" t="s">
        <v>255</v>
      </c>
      <c r="R1867" s="246" t="s">
        <v>32</v>
      </c>
    </row>
    <row r="1868" spans="1:18" ht="39" hidden="1" x14ac:dyDescent="0.8">
      <c r="A1868" s="247">
        <v>58114</v>
      </c>
      <c r="B1868" s="248" t="s">
        <v>2328</v>
      </c>
      <c r="C1868" s="249" t="s">
        <v>55</v>
      </c>
      <c r="D1868" s="245">
        <v>0</v>
      </c>
      <c r="E1868" s="245">
        <v>1</v>
      </c>
      <c r="F1868" s="245">
        <v>1</v>
      </c>
      <c r="H1868" s="245">
        <v>2</v>
      </c>
      <c r="I1868" s="245">
        <v>0</v>
      </c>
      <c r="O1868" s="245" t="s">
        <v>56</v>
      </c>
      <c r="P1868" s="245" t="s">
        <v>255</v>
      </c>
      <c r="Q1868" s="245" t="s">
        <v>255</v>
      </c>
      <c r="R1868" s="246" t="s">
        <v>32</v>
      </c>
    </row>
    <row r="1869" spans="1:18" ht="39" x14ac:dyDescent="0.8">
      <c r="A1869" s="247">
        <v>5812</v>
      </c>
      <c r="B1869" s="248" t="s">
        <v>2329</v>
      </c>
      <c r="D1869" s="245">
        <v>0</v>
      </c>
    </row>
    <row r="1870" spans="1:18" ht="26" hidden="1" x14ac:dyDescent="0.8">
      <c r="A1870" s="247">
        <v>58121</v>
      </c>
      <c r="B1870" s="248" t="s">
        <v>2330</v>
      </c>
      <c r="C1870" s="249" t="s">
        <v>55</v>
      </c>
      <c r="D1870" s="245">
        <v>0</v>
      </c>
      <c r="F1870" s="245">
        <v>1</v>
      </c>
      <c r="H1870" s="245">
        <v>1</v>
      </c>
      <c r="I1870" s="245">
        <v>0</v>
      </c>
      <c r="O1870" s="245" t="s">
        <v>56</v>
      </c>
      <c r="P1870" s="245" t="s">
        <v>255</v>
      </c>
      <c r="Q1870" s="245" t="s">
        <v>255</v>
      </c>
      <c r="R1870" s="246" t="s">
        <v>32</v>
      </c>
    </row>
    <row r="1871" spans="1:18" ht="39" hidden="1" x14ac:dyDescent="0.8">
      <c r="A1871" s="247">
        <v>58122</v>
      </c>
      <c r="B1871" s="248" t="s">
        <v>2331</v>
      </c>
      <c r="C1871" s="249" t="s">
        <v>55</v>
      </c>
      <c r="D1871" s="245">
        <v>0</v>
      </c>
      <c r="F1871" s="245">
        <v>1</v>
      </c>
      <c r="H1871" s="245">
        <v>1</v>
      </c>
      <c r="I1871" s="245">
        <v>0</v>
      </c>
      <c r="O1871" s="245" t="s">
        <v>56</v>
      </c>
      <c r="P1871" s="245" t="s">
        <v>255</v>
      </c>
      <c r="Q1871" s="245" t="s">
        <v>255</v>
      </c>
      <c r="R1871" s="246" t="s">
        <v>32</v>
      </c>
    </row>
    <row r="1872" spans="1:18" hidden="1" x14ac:dyDescent="0.8">
      <c r="A1872" s="247">
        <v>58123</v>
      </c>
      <c r="B1872" s="248" t="s">
        <v>2332</v>
      </c>
      <c r="C1872" s="249" t="s">
        <v>55</v>
      </c>
      <c r="D1872" s="245">
        <v>0</v>
      </c>
      <c r="E1872" s="245">
        <v>0</v>
      </c>
      <c r="F1872" s="245">
        <v>1</v>
      </c>
      <c r="G1872" s="245">
        <v>0</v>
      </c>
      <c r="H1872" s="245">
        <v>1</v>
      </c>
      <c r="I1872" s="245">
        <v>0</v>
      </c>
      <c r="O1872" s="245" t="s">
        <v>56</v>
      </c>
      <c r="P1872" s="245" t="s">
        <v>254</v>
      </c>
      <c r="Q1872" s="245" t="s">
        <v>254</v>
      </c>
      <c r="R1872" s="246" t="s">
        <v>32</v>
      </c>
    </row>
    <row r="1873" spans="1:18" ht="26" hidden="1" x14ac:dyDescent="0.8">
      <c r="A1873" s="247">
        <v>58124</v>
      </c>
      <c r="B1873" s="248" t="s">
        <v>2333</v>
      </c>
      <c r="C1873" s="249" t="s">
        <v>55</v>
      </c>
      <c r="D1873" s="245">
        <v>0</v>
      </c>
      <c r="F1873" s="245">
        <v>1</v>
      </c>
      <c r="H1873" s="245">
        <v>1</v>
      </c>
      <c r="I1873" s="245">
        <v>0</v>
      </c>
      <c r="O1873" s="245" t="s">
        <v>56</v>
      </c>
      <c r="P1873" s="245" t="s">
        <v>2334</v>
      </c>
      <c r="Q1873" s="245" t="s">
        <v>1607</v>
      </c>
      <c r="R1873" s="246" t="s">
        <v>679</v>
      </c>
    </row>
    <row r="1874" spans="1:18" ht="39" x14ac:dyDescent="0.8">
      <c r="A1874" s="247">
        <v>58125</v>
      </c>
      <c r="B1874" s="248" t="s">
        <v>2335</v>
      </c>
      <c r="C1874" s="249" t="s">
        <v>66</v>
      </c>
      <c r="D1874" s="245">
        <v>0</v>
      </c>
      <c r="E1874" s="245">
        <v>150</v>
      </c>
      <c r="H1874" s="245">
        <v>150</v>
      </c>
      <c r="I1874" s="245">
        <v>0.255</v>
      </c>
      <c r="J1874" s="245">
        <v>0</v>
      </c>
      <c r="K1874" s="245">
        <v>38.25</v>
      </c>
      <c r="L1874" s="245">
        <v>0</v>
      </c>
      <c r="M1874" s="245">
        <v>0</v>
      </c>
      <c r="N1874" s="245">
        <v>38.25</v>
      </c>
      <c r="O1874" s="245" t="s">
        <v>118</v>
      </c>
      <c r="P1874" s="245" t="s">
        <v>255</v>
      </c>
      <c r="Q1874" s="245" t="s">
        <v>255</v>
      </c>
      <c r="R1874" s="246" t="s">
        <v>32</v>
      </c>
    </row>
    <row r="1875" spans="1:18" hidden="1" x14ac:dyDescent="0.8">
      <c r="A1875" s="247">
        <v>58126</v>
      </c>
      <c r="B1875" s="248" t="s">
        <v>2336</v>
      </c>
      <c r="C1875" s="249" t="s">
        <v>55</v>
      </c>
      <c r="D1875" s="245">
        <v>0</v>
      </c>
      <c r="E1875" s="245">
        <v>1</v>
      </c>
      <c r="F1875" s="245">
        <v>0</v>
      </c>
      <c r="G1875" s="245">
        <v>0</v>
      </c>
      <c r="H1875" s="245">
        <v>1</v>
      </c>
      <c r="I1875" s="245">
        <v>0</v>
      </c>
      <c r="O1875" s="245" t="s">
        <v>56</v>
      </c>
      <c r="P1875" s="245" t="s">
        <v>255</v>
      </c>
      <c r="Q1875" s="245" t="s">
        <v>255</v>
      </c>
      <c r="R1875" s="246" t="s">
        <v>32</v>
      </c>
    </row>
    <row r="1876" spans="1:18" x14ac:dyDescent="0.8">
      <c r="A1876" s="247">
        <v>58127</v>
      </c>
      <c r="B1876" s="248" t="s">
        <v>2337</v>
      </c>
      <c r="C1876" s="249" t="s">
        <v>38</v>
      </c>
      <c r="D1876" s="245">
        <v>0</v>
      </c>
      <c r="E1876" s="245">
        <v>200</v>
      </c>
      <c r="H1876" s="245">
        <v>200</v>
      </c>
      <c r="I1876" s="245">
        <v>0.3133333333333333</v>
      </c>
      <c r="J1876" s="245">
        <v>0</v>
      </c>
      <c r="K1876" s="245">
        <v>62.666666666666657</v>
      </c>
      <c r="L1876" s="245">
        <v>0</v>
      </c>
      <c r="M1876" s="245">
        <v>0</v>
      </c>
      <c r="N1876" s="245">
        <v>62.666666666666657</v>
      </c>
      <c r="O1876" s="245" t="s">
        <v>118</v>
      </c>
      <c r="P1876" s="245" t="s">
        <v>255</v>
      </c>
      <c r="Q1876" s="245" t="s">
        <v>255</v>
      </c>
      <c r="R1876" s="246" t="s">
        <v>32</v>
      </c>
    </row>
    <row r="1877" spans="1:18" ht="26" x14ac:dyDescent="0.8">
      <c r="A1877" s="247">
        <v>5813</v>
      </c>
      <c r="B1877" s="248" t="s">
        <v>2339</v>
      </c>
      <c r="D1877" s="245">
        <v>0</v>
      </c>
    </row>
    <row r="1878" spans="1:18" x14ac:dyDescent="0.8">
      <c r="A1878" s="247">
        <v>58131</v>
      </c>
      <c r="B1878" s="248" t="s">
        <v>2340</v>
      </c>
      <c r="C1878" s="249" t="s">
        <v>452</v>
      </c>
      <c r="D1878" s="245">
        <v>0</v>
      </c>
      <c r="E1878" s="245">
        <v>4900</v>
      </c>
      <c r="H1878" s="245">
        <v>4900</v>
      </c>
      <c r="I1878" s="245">
        <v>7.4999999999999997E-3</v>
      </c>
      <c r="J1878" s="245">
        <v>0</v>
      </c>
      <c r="K1878" s="245">
        <v>36.75</v>
      </c>
      <c r="L1878" s="245">
        <v>0</v>
      </c>
      <c r="M1878" s="245">
        <v>0</v>
      </c>
      <c r="N1878" s="245">
        <v>36.75</v>
      </c>
      <c r="O1878" s="245" t="s">
        <v>118</v>
      </c>
      <c r="P1878" s="245" t="s">
        <v>255</v>
      </c>
      <c r="Q1878" s="245" t="s">
        <v>255</v>
      </c>
      <c r="R1878" s="246" t="s">
        <v>32</v>
      </c>
    </row>
    <row r="1879" spans="1:18" ht="26" x14ac:dyDescent="0.8">
      <c r="A1879" s="247">
        <v>58132</v>
      </c>
      <c r="B1879" s="248" t="s">
        <v>2341</v>
      </c>
      <c r="C1879" s="249" t="s">
        <v>59</v>
      </c>
      <c r="D1879" s="245">
        <v>0</v>
      </c>
      <c r="E1879" s="245">
        <v>216</v>
      </c>
      <c r="H1879" s="245">
        <v>216</v>
      </c>
      <c r="I1879" s="245">
        <v>0.8177777777777776</v>
      </c>
      <c r="J1879" s="245">
        <v>0</v>
      </c>
      <c r="K1879" s="245">
        <v>176.63999999999996</v>
      </c>
      <c r="L1879" s="245">
        <v>0</v>
      </c>
      <c r="M1879" s="245">
        <v>0</v>
      </c>
      <c r="N1879" s="245">
        <v>176.63999999999996</v>
      </c>
      <c r="O1879" s="245" t="s">
        <v>118</v>
      </c>
      <c r="P1879" s="245" t="s">
        <v>255</v>
      </c>
      <c r="Q1879" s="245" t="s">
        <v>255</v>
      </c>
      <c r="R1879" s="246" t="s">
        <v>32</v>
      </c>
    </row>
    <row r="1880" spans="1:18" ht="26" x14ac:dyDescent="0.8">
      <c r="A1880" s="247">
        <v>5814</v>
      </c>
      <c r="B1880" s="248" t="s">
        <v>2342</v>
      </c>
      <c r="D1880" s="245">
        <v>0</v>
      </c>
    </row>
    <row r="1881" spans="1:18" hidden="1" x14ac:dyDescent="0.8">
      <c r="A1881" s="247">
        <v>58141</v>
      </c>
      <c r="B1881" s="248" t="s">
        <v>2343</v>
      </c>
      <c r="C1881" s="249" t="s">
        <v>55</v>
      </c>
      <c r="D1881" s="245">
        <v>0</v>
      </c>
      <c r="F1881" s="245">
        <v>1</v>
      </c>
      <c r="G1881" s="245">
        <v>1</v>
      </c>
      <c r="H1881" s="245">
        <v>2</v>
      </c>
      <c r="I1881" s="245">
        <v>0</v>
      </c>
      <c r="O1881" s="245" t="s">
        <v>56</v>
      </c>
      <c r="P1881" s="245" t="s">
        <v>273</v>
      </c>
      <c r="Q1881" s="245" t="s">
        <v>273</v>
      </c>
      <c r="R1881" s="246" t="s">
        <v>32</v>
      </c>
    </row>
    <row r="1882" spans="1:18" hidden="1" x14ac:dyDescent="0.8">
      <c r="A1882" s="247">
        <v>58142</v>
      </c>
      <c r="B1882" s="248" t="s">
        <v>2344</v>
      </c>
      <c r="C1882" s="249" t="s">
        <v>55</v>
      </c>
      <c r="D1882" s="245">
        <v>0</v>
      </c>
      <c r="F1882" s="245">
        <v>1</v>
      </c>
      <c r="G1882" s="245">
        <v>1</v>
      </c>
      <c r="H1882" s="245">
        <v>2</v>
      </c>
      <c r="I1882" s="245">
        <v>0</v>
      </c>
      <c r="O1882" s="245" t="s">
        <v>56</v>
      </c>
      <c r="P1882" s="245" t="s">
        <v>254</v>
      </c>
      <c r="Q1882" s="245" t="s">
        <v>254</v>
      </c>
      <c r="R1882" s="246" t="s">
        <v>32</v>
      </c>
    </row>
    <row r="1883" spans="1:18" ht="26" x14ac:dyDescent="0.8">
      <c r="A1883" s="247">
        <v>582</v>
      </c>
      <c r="B1883" s="248" t="s">
        <v>2345</v>
      </c>
      <c r="D1883" s="245">
        <v>0</v>
      </c>
    </row>
    <row r="1884" spans="1:18" ht="26" x14ac:dyDescent="0.8">
      <c r="A1884" s="247">
        <v>5821</v>
      </c>
      <c r="B1884" s="248" t="s">
        <v>2346</v>
      </c>
      <c r="D1884" s="245">
        <v>0</v>
      </c>
    </row>
    <row r="1885" spans="1:18" ht="39" hidden="1" x14ac:dyDescent="0.8">
      <c r="A1885" s="247">
        <v>58211</v>
      </c>
      <c r="B1885" s="248" t="s">
        <v>2347</v>
      </c>
      <c r="C1885" s="249" t="s">
        <v>55</v>
      </c>
      <c r="D1885" s="245">
        <v>0</v>
      </c>
      <c r="E1885" s="245">
        <v>1</v>
      </c>
      <c r="F1885" s="245">
        <v>0</v>
      </c>
      <c r="G1885" s="245">
        <v>0</v>
      </c>
      <c r="H1885" s="245">
        <v>1</v>
      </c>
      <c r="I1885" s="245">
        <v>0</v>
      </c>
      <c r="O1885" s="245" t="s">
        <v>56</v>
      </c>
      <c r="P1885" s="245" t="s">
        <v>273</v>
      </c>
      <c r="Q1885" s="245" t="s">
        <v>273</v>
      </c>
      <c r="R1885" s="246" t="s">
        <v>32</v>
      </c>
    </row>
    <row r="1886" spans="1:18" ht="39" hidden="1" x14ac:dyDescent="0.8">
      <c r="A1886" s="247">
        <v>58212</v>
      </c>
      <c r="B1886" s="248" t="s">
        <v>2348</v>
      </c>
      <c r="C1886" s="249" t="s">
        <v>55</v>
      </c>
      <c r="D1886" s="245">
        <v>0</v>
      </c>
      <c r="E1886" s="245">
        <v>1</v>
      </c>
      <c r="F1886" s="245">
        <v>0</v>
      </c>
      <c r="G1886" s="245">
        <v>0</v>
      </c>
      <c r="H1886" s="245">
        <v>1</v>
      </c>
      <c r="I1886" s="245">
        <v>0</v>
      </c>
      <c r="O1886" s="245" t="s">
        <v>56</v>
      </c>
      <c r="P1886" s="245" t="s">
        <v>273</v>
      </c>
      <c r="Q1886" s="245" t="s">
        <v>273</v>
      </c>
      <c r="R1886" s="246" t="s">
        <v>32</v>
      </c>
    </row>
    <row r="1887" spans="1:18" ht="26" hidden="1" x14ac:dyDescent="0.8">
      <c r="A1887" s="247">
        <v>58213</v>
      </c>
      <c r="B1887" s="248" t="s">
        <v>2349</v>
      </c>
      <c r="C1887" s="249" t="s">
        <v>55</v>
      </c>
      <c r="D1887" s="245">
        <v>0</v>
      </c>
      <c r="E1887" s="245">
        <v>1</v>
      </c>
      <c r="F1887" s="245">
        <v>0</v>
      </c>
      <c r="G1887" s="245">
        <v>0</v>
      </c>
      <c r="H1887" s="245">
        <v>1</v>
      </c>
      <c r="I1887" s="245">
        <v>0</v>
      </c>
      <c r="O1887" s="245" t="s">
        <v>56</v>
      </c>
      <c r="P1887" s="245" t="s">
        <v>273</v>
      </c>
      <c r="Q1887" s="245" t="s">
        <v>273</v>
      </c>
      <c r="R1887" s="246" t="s">
        <v>32</v>
      </c>
    </row>
    <row r="1888" spans="1:18" ht="39" x14ac:dyDescent="0.8">
      <c r="A1888" s="247">
        <v>5822</v>
      </c>
      <c r="B1888" s="248" t="s">
        <v>2350</v>
      </c>
      <c r="D1888" s="245">
        <v>0</v>
      </c>
    </row>
    <row r="1889" spans="1:18" hidden="1" x14ac:dyDescent="0.8">
      <c r="A1889" s="247">
        <v>58221</v>
      </c>
      <c r="B1889" s="248" t="s">
        <v>2351</v>
      </c>
      <c r="C1889" s="249" t="s">
        <v>55</v>
      </c>
      <c r="D1889" s="245">
        <v>0</v>
      </c>
      <c r="E1889" s="245">
        <v>0</v>
      </c>
      <c r="F1889" s="245">
        <v>1</v>
      </c>
      <c r="G1889" s="245">
        <v>0</v>
      </c>
      <c r="H1889" s="245">
        <v>1</v>
      </c>
      <c r="I1889" s="245">
        <v>0</v>
      </c>
      <c r="O1889" s="245" t="s">
        <v>56</v>
      </c>
      <c r="P1889" s="245" t="s">
        <v>273</v>
      </c>
      <c r="Q1889" s="245" t="s">
        <v>273</v>
      </c>
      <c r="R1889" s="246" t="s">
        <v>32</v>
      </c>
    </row>
    <row r="1890" spans="1:18" ht="26" hidden="1" x14ac:dyDescent="0.8">
      <c r="A1890" s="247">
        <v>58222</v>
      </c>
      <c r="B1890" s="248" t="s">
        <v>2352</v>
      </c>
      <c r="C1890" s="249" t="s">
        <v>55</v>
      </c>
      <c r="D1890" s="245">
        <v>0</v>
      </c>
      <c r="F1890" s="245">
        <v>1</v>
      </c>
      <c r="H1890" s="245">
        <v>1</v>
      </c>
      <c r="I1890" s="245">
        <v>0</v>
      </c>
      <c r="O1890" s="245" t="s">
        <v>56</v>
      </c>
      <c r="P1890" s="245" t="s">
        <v>273</v>
      </c>
      <c r="Q1890" s="245" t="s">
        <v>431</v>
      </c>
      <c r="R1890" s="246" t="s">
        <v>679</v>
      </c>
    </row>
    <row r="1891" spans="1:18" hidden="1" x14ac:dyDescent="0.8">
      <c r="A1891" s="247">
        <v>58223</v>
      </c>
      <c r="B1891" s="248" t="s">
        <v>2353</v>
      </c>
      <c r="C1891" s="249" t="s">
        <v>55</v>
      </c>
      <c r="D1891" s="245">
        <v>0</v>
      </c>
      <c r="E1891" s="245">
        <v>0</v>
      </c>
      <c r="F1891" s="245">
        <v>1</v>
      </c>
      <c r="G1891" s="245">
        <v>0</v>
      </c>
      <c r="H1891" s="245">
        <v>1</v>
      </c>
      <c r="I1891" s="245">
        <v>0</v>
      </c>
      <c r="O1891" s="245" t="s">
        <v>56</v>
      </c>
      <c r="P1891" s="245" t="s">
        <v>273</v>
      </c>
      <c r="Q1891" s="245" t="s">
        <v>431</v>
      </c>
      <c r="R1891" s="246" t="s">
        <v>679</v>
      </c>
    </row>
    <row r="1892" spans="1:18" ht="26" hidden="1" x14ac:dyDescent="0.8">
      <c r="A1892" s="247">
        <v>58224</v>
      </c>
      <c r="B1892" s="248" t="s">
        <v>2354</v>
      </c>
      <c r="C1892" s="249" t="s">
        <v>55</v>
      </c>
      <c r="D1892" s="245">
        <v>0</v>
      </c>
      <c r="F1892" s="245">
        <v>1</v>
      </c>
      <c r="G1892" s="245">
        <v>1</v>
      </c>
      <c r="H1892" s="245">
        <v>2</v>
      </c>
      <c r="I1892" s="245">
        <v>0</v>
      </c>
      <c r="O1892" s="245" t="s">
        <v>56</v>
      </c>
      <c r="P1892" s="245" t="s">
        <v>273</v>
      </c>
      <c r="Q1892" s="245" t="s">
        <v>431</v>
      </c>
      <c r="R1892" s="246" t="s">
        <v>679</v>
      </c>
    </row>
    <row r="1893" spans="1:18" ht="26" hidden="1" x14ac:dyDescent="0.8">
      <c r="A1893" s="247">
        <v>58225</v>
      </c>
      <c r="B1893" s="248" t="s">
        <v>2355</v>
      </c>
      <c r="C1893" s="249" t="s">
        <v>55</v>
      </c>
      <c r="D1893" s="245">
        <v>0</v>
      </c>
      <c r="F1893" s="245">
        <v>1</v>
      </c>
      <c r="G1893" s="245">
        <v>1</v>
      </c>
      <c r="H1893" s="245">
        <v>2</v>
      </c>
      <c r="I1893" s="245">
        <v>0</v>
      </c>
      <c r="O1893" s="245" t="s">
        <v>56</v>
      </c>
      <c r="P1893" s="245" t="s">
        <v>273</v>
      </c>
      <c r="Q1893" s="245" t="s">
        <v>431</v>
      </c>
      <c r="R1893" s="246" t="s">
        <v>679</v>
      </c>
    </row>
    <row r="1894" spans="1:18" ht="52" x14ac:dyDescent="0.8">
      <c r="A1894" s="247">
        <v>5823</v>
      </c>
      <c r="B1894" s="248" t="s">
        <v>2356</v>
      </c>
      <c r="D1894" s="245">
        <v>0</v>
      </c>
    </row>
    <row r="1895" spans="1:18" hidden="1" x14ac:dyDescent="0.8">
      <c r="A1895" s="247">
        <v>58231</v>
      </c>
      <c r="B1895" s="248" t="s">
        <v>2357</v>
      </c>
      <c r="C1895" s="249" t="s">
        <v>55</v>
      </c>
      <c r="D1895" s="245">
        <v>0</v>
      </c>
      <c r="E1895" s="245">
        <v>0</v>
      </c>
      <c r="F1895" s="245">
        <v>0</v>
      </c>
      <c r="G1895" s="245">
        <v>0</v>
      </c>
      <c r="I1895" s="245">
        <v>0</v>
      </c>
      <c r="O1895" s="245" t="s">
        <v>56</v>
      </c>
      <c r="P1895" s="245" t="s">
        <v>273</v>
      </c>
      <c r="Q1895" s="245" t="s">
        <v>273</v>
      </c>
      <c r="R1895" s="246" t="s">
        <v>32</v>
      </c>
    </row>
    <row r="1896" spans="1:18" x14ac:dyDescent="0.8">
      <c r="A1896" s="247">
        <v>58232</v>
      </c>
      <c r="B1896" s="248" t="s">
        <v>2358</v>
      </c>
      <c r="C1896" s="249" t="s">
        <v>66</v>
      </c>
      <c r="D1896" s="245">
        <v>0</v>
      </c>
      <c r="E1896" s="245">
        <v>300</v>
      </c>
      <c r="H1896" s="245">
        <v>300</v>
      </c>
      <c r="I1896" s="245">
        <v>0.255</v>
      </c>
      <c r="J1896" s="245">
        <v>0</v>
      </c>
      <c r="K1896" s="245">
        <v>76.5</v>
      </c>
      <c r="L1896" s="245">
        <v>0</v>
      </c>
      <c r="M1896" s="245">
        <v>0</v>
      </c>
      <c r="N1896" s="245">
        <v>76.5</v>
      </c>
      <c r="O1896" s="245" t="s">
        <v>39</v>
      </c>
      <c r="P1896" s="245" t="s">
        <v>273</v>
      </c>
      <c r="Q1896" s="245" t="s">
        <v>431</v>
      </c>
      <c r="R1896" s="246" t="s">
        <v>679</v>
      </c>
    </row>
    <row r="1897" spans="1:18" ht="26" x14ac:dyDescent="0.8">
      <c r="A1897" s="247">
        <v>58233</v>
      </c>
      <c r="B1897" s="248" t="s">
        <v>2359</v>
      </c>
      <c r="C1897" s="249" t="s">
        <v>52</v>
      </c>
      <c r="D1897" s="245">
        <v>476</v>
      </c>
      <c r="E1897" s="245">
        <v>140</v>
      </c>
      <c r="F1897" s="245">
        <v>160</v>
      </c>
      <c r="G1897" s="245">
        <v>160</v>
      </c>
      <c r="H1897" s="245">
        <v>936</v>
      </c>
      <c r="I1897" s="245">
        <v>1.5</v>
      </c>
      <c r="J1897" s="245">
        <v>714</v>
      </c>
      <c r="K1897" s="245">
        <v>210</v>
      </c>
      <c r="L1897" s="245">
        <v>240</v>
      </c>
      <c r="M1897" s="245">
        <v>240</v>
      </c>
      <c r="N1897" s="245">
        <v>1404</v>
      </c>
      <c r="O1897" s="245" t="s">
        <v>67</v>
      </c>
      <c r="P1897" s="245" t="s">
        <v>273</v>
      </c>
      <c r="Q1897" s="245" t="s">
        <v>431</v>
      </c>
      <c r="R1897" s="246" t="s">
        <v>32</v>
      </c>
    </row>
    <row r="1898" spans="1:18" ht="26" x14ac:dyDescent="0.8">
      <c r="A1898" s="247">
        <v>58233</v>
      </c>
      <c r="B1898" s="248" t="s">
        <v>2359</v>
      </c>
      <c r="C1898" s="249" t="s">
        <v>52</v>
      </c>
      <c r="D1898" s="245">
        <v>0</v>
      </c>
      <c r="E1898" s="245">
        <v>300</v>
      </c>
      <c r="F1898" s="245">
        <v>300</v>
      </c>
      <c r="G1898" s="245">
        <v>395</v>
      </c>
      <c r="H1898" s="245">
        <v>995</v>
      </c>
      <c r="I1898" s="245">
        <v>1.5</v>
      </c>
      <c r="K1898" s="245">
        <v>450</v>
      </c>
      <c r="L1898" s="245">
        <v>450</v>
      </c>
      <c r="M1898" s="245">
        <v>592.5</v>
      </c>
      <c r="N1898" s="245">
        <v>1492.5</v>
      </c>
      <c r="O1898" s="245" t="s">
        <v>39</v>
      </c>
      <c r="P1898" s="245" t="s">
        <v>273</v>
      </c>
      <c r="Q1898" s="245" t="s">
        <v>431</v>
      </c>
      <c r="R1898" s="246" t="s">
        <v>679</v>
      </c>
    </row>
    <row r="1899" spans="1:18" ht="26" hidden="1" x14ac:dyDescent="0.8">
      <c r="A1899" s="247">
        <v>58233</v>
      </c>
      <c r="B1899" s="248" t="s">
        <v>2359</v>
      </c>
      <c r="C1899" s="249" t="s">
        <v>52</v>
      </c>
      <c r="D1899" s="245">
        <v>0</v>
      </c>
      <c r="E1899" s="245">
        <v>160</v>
      </c>
      <c r="F1899" s="245">
        <v>440</v>
      </c>
      <c r="G1899" s="245">
        <v>495</v>
      </c>
      <c r="H1899" s="245">
        <v>1095</v>
      </c>
      <c r="I1899" s="245">
        <v>1.5</v>
      </c>
      <c r="K1899" s="245">
        <v>240</v>
      </c>
      <c r="L1899" s="245">
        <v>660</v>
      </c>
      <c r="M1899" s="245">
        <v>742.5</v>
      </c>
      <c r="N1899" s="245">
        <v>1642.5</v>
      </c>
      <c r="O1899" s="245" t="s">
        <v>56</v>
      </c>
      <c r="P1899" s="245" t="s">
        <v>273</v>
      </c>
      <c r="Q1899" s="245" t="s">
        <v>431</v>
      </c>
      <c r="R1899" s="246" t="s">
        <v>679</v>
      </c>
    </row>
    <row r="1900" spans="1:18" x14ac:dyDescent="0.8">
      <c r="A1900" s="247">
        <v>58234</v>
      </c>
      <c r="B1900" s="248" t="s">
        <v>2360</v>
      </c>
      <c r="C1900" s="249" t="s">
        <v>59</v>
      </c>
      <c r="D1900" s="245">
        <v>0</v>
      </c>
      <c r="F1900" s="245">
        <v>300</v>
      </c>
      <c r="G1900" s="245">
        <v>0</v>
      </c>
      <c r="H1900" s="245">
        <v>300</v>
      </c>
      <c r="I1900" s="245">
        <v>0.8177777777777776</v>
      </c>
      <c r="J1900" s="245">
        <v>0</v>
      </c>
      <c r="K1900" s="245">
        <v>0</v>
      </c>
      <c r="L1900" s="245">
        <v>245.33333333333329</v>
      </c>
      <c r="M1900" s="245">
        <v>0</v>
      </c>
      <c r="N1900" s="245">
        <v>245.33333333333329</v>
      </c>
      <c r="O1900" s="245" t="s">
        <v>39</v>
      </c>
      <c r="P1900" s="245" t="s">
        <v>273</v>
      </c>
      <c r="Q1900" s="245" t="s">
        <v>431</v>
      </c>
      <c r="R1900" s="246" t="s">
        <v>679</v>
      </c>
    </row>
    <row r="1901" spans="1:18" ht="39" x14ac:dyDescent="0.8">
      <c r="A1901" s="247">
        <v>5824</v>
      </c>
      <c r="B1901" s="248" t="s">
        <v>2361</v>
      </c>
      <c r="D1901" s="245">
        <v>0</v>
      </c>
    </row>
    <row r="1902" spans="1:18" ht="39" hidden="1" x14ac:dyDescent="0.8">
      <c r="A1902" s="247">
        <v>58241</v>
      </c>
      <c r="B1902" s="248" t="s">
        <v>2362</v>
      </c>
      <c r="C1902" s="249" t="s">
        <v>55</v>
      </c>
      <c r="D1902" s="245">
        <v>0</v>
      </c>
      <c r="E1902" s="245">
        <v>1</v>
      </c>
      <c r="F1902" s="245">
        <v>0</v>
      </c>
      <c r="G1902" s="245">
        <v>0</v>
      </c>
      <c r="H1902" s="245">
        <v>1</v>
      </c>
      <c r="I1902" s="245">
        <v>0</v>
      </c>
      <c r="O1902" s="245" t="s">
        <v>56</v>
      </c>
      <c r="P1902" s="245" t="s">
        <v>255</v>
      </c>
      <c r="Q1902" s="245" t="s">
        <v>255</v>
      </c>
      <c r="R1902" s="246" t="s">
        <v>32</v>
      </c>
    </row>
    <row r="1903" spans="1:18" ht="26" hidden="1" x14ac:dyDescent="0.8">
      <c r="A1903" s="247">
        <v>58242</v>
      </c>
      <c r="B1903" s="248" t="s">
        <v>2363</v>
      </c>
      <c r="C1903" s="249" t="s">
        <v>55</v>
      </c>
      <c r="D1903" s="245">
        <v>0</v>
      </c>
      <c r="E1903" s="245">
        <v>1</v>
      </c>
      <c r="F1903" s="245">
        <v>0</v>
      </c>
      <c r="G1903" s="245">
        <v>0</v>
      </c>
      <c r="H1903" s="245">
        <v>1</v>
      </c>
      <c r="I1903" s="245">
        <v>0</v>
      </c>
      <c r="O1903" s="245" t="s">
        <v>56</v>
      </c>
      <c r="P1903" s="245" t="s">
        <v>255</v>
      </c>
      <c r="Q1903" s="245" t="s">
        <v>2364</v>
      </c>
      <c r="R1903" s="246" t="s">
        <v>32</v>
      </c>
    </row>
    <row r="1904" spans="1:18" ht="26" hidden="1" x14ac:dyDescent="0.8">
      <c r="A1904" s="247">
        <v>58243</v>
      </c>
      <c r="B1904" s="248" t="s">
        <v>2365</v>
      </c>
      <c r="C1904" s="249" t="s">
        <v>55</v>
      </c>
      <c r="D1904" s="245">
        <v>0</v>
      </c>
      <c r="E1904" s="245">
        <v>1</v>
      </c>
      <c r="F1904" s="245">
        <v>1</v>
      </c>
      <c r="G1904" s="245">
        <v>1</v>
      </c>
      <c r="H1904" s="245">
        <v>3</v>
      </c>
      <c r="I1904" s="245">
        <v>0</v>
      </c>
      <c r="O1904" s="245" t="s">
        <v>56</v>
      </c>
      <c r="P1904" s="245" t="s">
        <v>255</v>
      </c>
      <c r="Q1904" s="245" t="s">
        <v>2364</v>
      </c>
      <c r="R1904" s="246" t="s">
        <v>32</v>
      </c>
    </row>
    <row r="1905" spans="1:18" x14ac:dyDescent="0.8">
      <c r="A1905" s="247">
        <v>5825</v>
      </c>
      <c r="B1905" s="248" t="s">
        <v>2366</v>
      </c>
      <c r="D1905" s="245">
        <v>0</v>
      </c>
    </row>
    <row r="1906" spans="1:18" ht="52" x14ac:dyDescent="0.8">
      <c r="A1906" s="247">
        <v>58251</v>
      </c>
      <c r="B1906" s="248" t="s">
        <v>2367</v>
      </c>
      <c r="C1906" s="249" t="s">
        <v>301</v>
      </c>
      <c r="D1906" s="245">
        <v>476</v>
      </c>
      <c r="E1906" s="245">
        <v>2821.95</v>
      </c>
      <c r="F1906" s="245">
        <v>1881.3</v>
      </c>
      <c r="G1906" s="245">
        <v>1881.3</v>
      </c>
      <c r="H1906" s="245">
        <v>7060.55</v>
      </c>
      <c r="I1906" s="245">
        <v>0.67666666666666664</v>
      </c>
      <c r="J1906" s="245">
        <v>322.09333333333331</v>
      </c>
      <c r="K1906" s="245">
        <v>1909.5194999999999</v>
      </c>
      <c r="L1906" s="245">
        <v>1273.0129999999999</v>
      </c>
      <c r="M1906" s="245">
        <v>1273.0129999999999</v>
      </c>
      <c r="N1906" s="245">
        <v>4777.6388333333325</v>
      </c>
      <c r="O1906" s="245" t="s">
        <v>67</v>
      </c>
      <c r="P1906" s="245" t="s">
        <v>255</v>
      </c>
      <c r="Q1906" s="245" t="s">
        <v>2364</v>
      </c>
      <c r="R1906" s="246" t="s">
        <v>32</v>
      </c>
    </row>
    <row r="1907" spans="1:18" ht="52" x14ac:dyDescent="0.8">
      <c r="A1907" s="247">
        <v>58251</v>
      </c>
      <c r="B1907" s="248" t="s">
        <v>2367</v>
      </c>
      <c r="C1907" s="249" t="s">
        <v>301</v>
      </c>
      <c r="D1907" s="245">
        <v>0</v>
      </c>
      <c r="E1907" s="245">
        <v>1678.05</v>
      </c>
      <c r="F1907" s="245">
        <v>1118.7</v>
      </c>
      <c r="G1907" s="245">
        <v>1118.7</v>
      </c>
      <c r="H1907" s="245">
        <v>3915.45</v>
      </c>
      <c r="I1907" s="245">
        <v>0.67666666666666664</v>
      </c>
      <c r="J1907" s="245">
        <v>0</v>
      </c>
      <c r="K1907" s="245">
        <v>1135.4804999999999</v>
      </c>
      <c r="L1907" s="245">
        <v>756.98699999999997</v>
      </c>
      <c r="M1907" s="245">
        <v>756.98699999999997</v>
      </c>
      <c r="N1907" s="245">
        <v>2649.4544999999998</v>
      </c>
      <c r="O1907" s="245" t="s">
        <v>118</v>
      </c>
      <c r="P1907" s="245" t="s">
        <v>255</v>
      </c>
      <c r="Q1907" s="245" t="s">
        <v>2364</v>
      </c>
      <c r="R1907" s="246" t="s">
        <v>32</v>
      </c>
    </row>
    <row r="1908" spans="1:18" ht="26" x14ac:dyDescent="0.8">
      <c r="A1908" s="247">
        <v>58252</v>
      </c>
      <c r="B1908" s="248" t="s">
        <v>2368</v>
      </c>
      <c r="C1908" s="249" t="s">
        <v>1068</v>
      </c>
      <c r="D1908" s="245">
        <v>48</v>
      </c>
      <c r="E1908" s="245">
        <v>6.6014999999999997</v>
      </c>
      <c r="F1908" s="245">
        <v>2.2004999999999999</v>
      </c>
      <c r="H1908" s="245">
        <v>56.802</v>
      </c>
      <c r="I1908" s="245">
        <v>107.95</v>
      </c>
      <c r="J1908" s="245">
        <v>5181.6000000000004</v>
      </c>
      <c r="K1908" s="245">
        <v>712.63192500000002</v>
      </c>
      <c r="L1908" s="245">
        <v>237.54397499999999</v>
      </c>
      <c r="M1908" s="245">
        <v>0</v>
      </c>
      <c r="N1908" s="245">
        <v>6131.7758999999996</v>
      </c>
      <c r="O1908" s="245" t="s">
        <v>67</v>
      </c>
      <c r="P1908" s="245" t="s">
        <v>142</v>
      </c>
      <c r="Q1908" s="245" t="s">
        <v>142</v>
      </c>
      <c r="R1908" s="246" t="s">
        <v>32</v>
      </c>
    </row>
    <row r="1909" spans="1:18" ht="26" x14ac:dyDescent="0.8">
      <c r="A1909" s="247">
        <v>58252</v>
      </c>
      <c r="B1909" s="248" t="s">
        <v>2665</v>
      </c>
      <c r="C1909" s="249" t="s">
        <v>1068</v>
      </c>
      <c r="D1909" s="245">
        <v>1000</v>
      </c>
      <c r="H1909" s="245">
        <v>1000</v>
      </c>
      <c r="I1909" s="245">
        <v>1</v>
      </c>
      <c r="J1909" s="245">
        <v>1000</v>
      </c>
      <c r="K1909" s="245">
        <v>0</v>
      </c>
      <c r="L1909" s="245">
        <v>0</v>
      </c>
      <c r="M1909" s="245">
        <v>0</v>
      </c>
      <c r="N1909" s="245">
        <v>1000</v>
      </c>
      <c r="O1909" s="245" t="s">
        <v>67</v>
      </c>
      <c r="P1909" s="245" t="s">
        <v>142</v>
      </c>
      <c r="Q1909" s="245" t="s">
        <v>142</v>
      </c>
      <c r="R1909" s="246" t="s">
        <v>32</v>
      </c>
    </row>
    <row r="1910" spans="1:18" ht="26" x14ac:dyDescent="0.8">
      <c r="A1910" s="247">
        <v>58252</v>
      </c>
      <c r="B1910" s="248" t="s">
        <v>2368</v>
      </c>
      <c r="C1910" s="249" t="s">
        <v>1068</v>
      </c>
      <c r="D1910" s="245">
        <v>0</v>
      </c>
      <c r="E1910" s="245">
        <v>8.3985000000000003</v>
      </c>
      <c r="F1910" s="245">
        <v>2.7995000000000001</v>
      </c>
      <c r="H1910" s="245">
        <v>11.198</v>
      </c>
      <c r="I1910" s="245">
        <v>107.95</v>
      </c>
      <c r="J1910" s="245">
        <v>0</v>
      </c>
      <c r="K1910" s="245">
        <v>906.61807500000009</v>
      </c>
      <c r="L1910" s="245">
        <v>302.20602500000001</v>
      </c>
      <c r="M1910" s="245">
        <v>0</v>
      </c>
      <c r="N1910" s="245">
        <v>1208.8241</v>
      </c>
      <c r="O1910" s="245" t="s">
        <v>118</v>
      </c>
      <c r="P1910" s="245" t="s">
        <v>142</v>
      </c>
      <c r="Q1910" s="245" t="s">
        <v>142</v>
      </c>
      <c r="R1910" s="246" t="s">
        <v>32</v>
      </c>
    </row>
    <row r="1911" spans="1:18" ht="26" x14ac:dyDescent="0.8">
      <c r="A1911" s="247">
        <v>58253</v>
      </c>
      <c r="B1911" s="248" t="s">
        <v>2369</v>
      </c>
      <c r="C1911" s="249" t="s">
        <v>501</v>
      </c>
      <c r="D1911" s="245">
        <v>0</v>
      </c>
      <c r="F1911" s="245">
        <v>8</v>
      </c>
      <c r="G1911" s="245">
        <v>10</v>
      </c>
      <c r="H1911" s="245">
        <v>18</v>
      </c>
      <c r="I1911" s="245">
        <v>50.336534</v>
      </c>
      <c r="J1911" s="245">
        <v>0</v>
      </c>
      <c r="K1911" s="245">
        <v>0</v>
      </c>
      <c r="L1911" s="245">
        <v>402.692272</v>
      </c>
      <c r="M1911" s="245">
        <v>503.36534</v>
      </c>
      <c r="N1911" s="245">
        <v>906.05761200000006</v>
      </c>
      <c r="O1911" s="245" t="s">
        <v>118</v>
      </c>
      <c r="P1911" s="245" t="s">
        <v>255</v>
      </c>
      <c r="Q1911" s="245" t="s">
        <v>2364</v>
      </c>
      <c r="R1911" s="246" t="s">
        <v>32</v>
      </c>
    </row>
    <row r="1912" spans="1:18" x14ac:dyDescent="0.8">
      <c r="A1912" s="247">
        <v>58254</v>
      </c>
      <c r="B1912" s="248" t="s">
        <v>2370</v>
      </c>
      <c r="C1912" s="249" t="s">
        <v>66</v>
      </c>
      <c r="D1912" s="245">
        <v>0</v>
      </c>
      <c r="E1912" s="245">
        <v>60</v>
      </c>
      <c r="F1912" s="245">
        <v>60</v>
      </c>
      <c r="G1912" s="245">
        <v>60</v>
      </c>
      <c r="H1912" s="245">
        <v>180</v>
      </c>
      <c r="I1912" s="245">
        <v>0.255</v>
      </c>
      <c r="J1912" s="245">
        <v>0</v>
      </c>
      <c r="K1912" s="245">
        <v>15.3</v>
      </c>
      <c r="L1912" s="245">
        <v>15.3</v>
      </c>
      <c r="M1912" s="245">
        <v>15.3</v>
      </c>
      <c r="N1912" s="245">
        <v>45.900000000000006</v>
      </c>
      <c r="O1912" s="245" t="s">
        <v>118</v>
      </c>
      <c r="P1912" s="245" t="s">
        <v>255</v>
      </c>
      <c r="Q1912" s="245" t="s">
        <v>2364</v>
      </c>
      <c r="R1912" s="246" t="s">
        <v>32</v>
      </c>
    </row>
    <row r="1913" spans="1:18" ht="26" x14ac:dyDescent="0.8">
      <c r="A1913" s="247">
        <v>58255</v>
      </c>
      <c r="B1913" s="248" t="s">
        <v>2372</v>
      </c>
      <c r="C1913" s="249" t="s">
        <v>646</v>
      </c>
      <c r="D1913" s="245">
        <v>0</v>
      </c>
      <c r="G1913" s="245">
        <v>60</v>
      </c>
      <c r="H1913" s="245">
        <v>60</v>
      </c>
      <c r="I1913" s="245">
        <v>10.404797</v>
      </c>
      <c r="J1913" s="245">
        <v>0</v>
      </c>
      <c r="K1913" s="245">
        <v>0</v>
      </c>
      <c r="L1913" s="245">
        <v>0</v>
      </c>
      <c r="M1913" s="245">
        <v>624.28782000000001</v>
      </c>
      <c r="N1913" s="245">
        <v>624.28782000000001</v>
      </c>
      <c r="O1913" s="245" t="s">
        <v>118</v>
      </c>
      <c r="P1913" s="245" t="s">
        <v>255</v>
      </c>
      <c r="Q1913" s="245" t="s">
        <v>2364</v>
      </c>
      <c r="R1913" s="246" t="s">
        <v>32</v>
      </c>
    </row>
    <row r="1914" spans="1:18" ht="26" x14ac:dyDescent="0.8">
      <c r="A1914" s="247">
        <v>583</v>
      </c>
      <c r="B1914" s="248" t="s">
        <v>2373</v>
      </c>
      <c r="D1914" s="245">
        <v>0</v>
      </c>
    </row>
    <row r="1915" spans="1:18" ht="26" x14ac:dyDescent="0.8">
      <c r="A1915" s="247">
        <v>5831</v>
      </c>
      <c r="B1915" s="248" t="s">
        <v>2374</v>
      </c>
      <c r="D1915" s="245">
        <v>0</v>
      </c>
    </row>
    <row r="1916" spans="1:18" ht="39" hidden="1" x14ac:dyDescent="0.8">
      <c r="A1916" s="247">
        <v>58311</v>
      </c>
      <c r="B1916" s="248" t="s">
        <v>2375</v>
      </c>
      <c r="C1916" s="249" t="s">
        <v>55</v>
      </c>
      <c r="D1916" s="245">
        <v>0</v>
      </c>
      <c r="E1916" s="245">
        <v>1</v>
      </c>
      <c r="H1916" s="245">
        <v>1</v>
      </c>
      <c r="I1916" s="245">
        <v>0</v>
      </c>
      <c r="O1916" s="245" t="s">
        <v>56</v>
      </c>
    </row>
    <row r="1917" spans="1:18" ht="52" hidden="1" x14ac:dyDescent="0.8">
      <c r="A1917" s="247">
        <v>58312</v>
      </c>
      <c r="B1917" s="248" t="s">
        <v>2376</v>
      </c>
      <c r="C1917" s="249" t="s">
        <v>55</v>
      </c>
      <c r="D1917" s="245">
        <v>0</v>
      </c>
      <c r="E1917" s="245">
        <v>1</v>
      </c>
      <c r="H1917" s="245">
        <v>1</v>
      </c>
      <c r="I1917" s="245">
        <v>0</v>
      </c>
      <c r="O1917" s="245" t="s">
        <v>56</v>
      </c>
      <c r="P1917" s="245" t="s">
        <v>254</v>
      </c>
      <c r="Q1917" s="245" t="s">
        <v>96</v>
      </c>
      <c r="R1917" s="246" t="s">
        <v>32</v>
      </c>
    </row>
    <row r="1918" spans="1:18" ht="26" x14ac:dyDescent="0.8">
      <c r="A1918" s="247">
        <v>58313</v>
      </c>
      <c r="B1918" s="248" t="s">
        <v>2377</v>
      </c>
      <c r="C1918" s="249" t="s">
        <v>59</v>
      </c>
      <c r="D1918" s="245">
        <v>0</v>
      </c>
      <c r="E1918" s="245">
        <v>80</v>
      </c>
      <c r="H1918" s="245">
        <v>80</v>
      </c>
      <c r="I1918" s="245">
        <v>0.8177777777777776</v>
      </c>
      <c r="J1918" s="245">
        <v>0</v>
      </c>
      <c r="K1918" s="245">
        <v>65.422222222222203</v>
      </c>
      <c r="L1918" s="245">
        <v>0</v>
      </c>
      <c r="M1918" s="245">
        <v>0</v>
      </c>
      <c r="N1918" s="245">
        <v>65.422222222222203</v>
      </c>
      <c r="O1918" s="245" t="s">
        <v>118</v>
      </c>
      <c r="P1918" s="245" t="s">
        <v>254</v>
      </c>
      <c r="Q1918" s="245" t="s">
        <v>96</v>
      </c>
      <c r="R1918" s="246" t="s">
        <v>32</v>
      </c>
    </row>
    <row r="1919" spans="1:18" hidden="1" x14ac:dyDescent="0.8">
      <c r="A1919" s="247">
        <v>58314</v>
      </c>
      <c r="B1919" s="248" t="s">
        <v>2378</v>
      </c>
      <c r="C1919" s="249" t="s">
        <v>1347</v>
      </c>
      <c r="D1919" s="245">
        <v>0</v>
      </c>
      <c r="E1919" s="245">
        <v>71.666666666666501</v>
      </c>
      <c r="F1919" s="245">
        <v>71.666666666666501</v>
      </c>
      <c r="G1919" s="245">
        <v>71.666666666666501</v>
      </c>
      <c r="H1919" s="245">
        <v>214.99999999999949</v>
      </c>
      <c r="I1919" s="245">
        <v>15</v>
      </c>
      <c r="J1919" s="245">
        <v>0</v>
      </c>
      <c r="K1919" s="245">
        <v>1074.9999999999975</v>
      </c>
      <c r="L1919" s="245">
        <v>1074.9999999999975</v>
      </c>
      <c r="M1919" s="245">
        <v>1074.9999999999975</v>
      </c>
      <c r="N1919" s="245">
        <v>3224.9999999999927</v>
      </c>
      <c r="O1919" s="245" t="s">
        <v>56</v>
      </c>
      <c r="P1919" s="245" t="s">
        <v>254</v>
      </c>
      <c r="Q1919" s="245" t="s">
        <v>96</v>
      </c>
      <c r="R1919" s="246" t="s">
        <v>32</v>
      </c>
    </row>
    <row r="1920" spans="1:18" x14ac:dyDescent="0.8">
      <c r="A1920" s="247">
        <v>58314</v>
      </c>
      <c r="B1920" s="248" t="s">
        <v>2378</v>
      </c>
      <c r="C1920" s="249" t="s">
        <v>1347</v>
      </c>
      <c r="D1920" s="245">
        <v>0</v>
      </c>
      <c r="E1920" s="245">
        <v>71.666666666666501</v>
      </c>
      <c r="F1920" s="245">
        <v>71.666666666666501</v>
      </c>
      <c r="G1920" s="245">
        <v>71.666666666666501</v>
      </c>
      <c r="H1920" s="245">
        <v>214.99999999999949</v>
      </c>
      <c r="I1920" s="245">
        <v>15</v>
      </c>
      <c r="J1920" s="245">
        <v>0</v>
      </c>
      <c r="K1920" s="245">
        <v>1074.9999999999975</v>
      </c>
      <c r="L1920" s="245">
        <v>1074.9999999999975</v>
      </c>
      <c r="M1920" s="245">
        <v>1074.9999999999975</v>
      </c>
      <c r="N1920" s="245">
        <v>3224.9999999999927</v>
      </c>
      <c r="O1920" s="245" t="s">
        <v>118</v>
      </c>
      <c r="P1920" s="245" t="s">
        <v>254</v>
      </c>
      <c r="Q1920" s="245" t="s">
        <v>96</v>
      </c>
      <c r="R1920" s="246" t="s">
        <v>32</v>
      </c>
    </row>
    <row r="1921" spans="1:18" hidden="1" x14ac:dyDescent="0.8">
      <c r="A1921" s="247">
        <v>58315</v>
      </c>
      <c r="B1921" s="248" t="s">
        <v>2378</v>
      </c>
      <c r="C1921" s="249" t="s">
        <v>980</v>
      </c>
      <c r="D1921" s="245">
        <v>0</v>
      </c>
      <c r="E1921" s="245">
        <v>1.5</v>
      </c>
      <c r="F1921" s="245">
        <v>2.5</v>
      </c>
      <c r="H1921" s="245">
        <v>4</v>
      </c>
      <c r="I1921" s="245">
        <v>300</v>
      </c>
      <c r="J1921" s="245">
        <v>0</v>
      </c>
      <c r="K1921" s="245">
        <v>450</v>
      </c>
      <c r="L1921" s="245">
        <v>750</v>
      </c>
      <c r="M1921" s="245">
        <v>0</v>
      </c>
      <c r="N1921" s="245">
        <v>1200</v>
      </c>
      <c r="O1921" s="245" t="s">
        <v>56</v>
      </c>
      <c r="P1921" s="245" t="s">
        <v>254</v>
      </c>
      <c r="Q1921" s="245" t="s">
        <v>96</v>
      </c>
      <c r="R1921" s="246" t="s">
        <v>32</v>
      </c>
    </row>
    <row r="1922" spans="1:18" x14ac:dyDescent="0.8">
      <c r="A1922" s="247">
        <v>58315</v>
      </c>
      <c r="B1922" s="248" t="s">
        <v>2378</v>
      </c>
      <c r="C1922" s="249" t="s">
        <v>980</v>
      </c>
      <c r="D1922" s="245">
        <v>0</v>
      </c>
      <c r="E1922" s="245">
        <v>1.5</v>
      </c>
      <c r="F1922" s="245">
        <v>2.5</v>
      </c>
      <c r="H1922" s="245">
        <v>4</v>
      </c>
      <c r="I1922" s="245">
        <v>300</v>
      </c>
      <c r="J1922" s="245">
        <v>0</v>
      </c>
      <c r="K1922" s="245">
        <v>450</v>
      </c>
      <c r="L1922" s="245">
        <v>750</v>
      </c>
      <c r="M1922" s="245">
        <v>0</v>
      </c>
      <c r="N1922" s="245">
        <v>1200</v>
      </c>
      <c r="O1922" s="245" t="s">
        <v>118</v>
      </c>
      <c r="P1922" s="245" t="s">
        <v>254</v>
      </c>
      <c r="Q1922" s="245" t="s">
        <v>96</v>
      </c>
      <c r="R1922" s="246" t="s">
        <v>32</v>
      </c>
    </row>
    <row r="1923" spans="1:18" ht="26" hidden="1" x14ac:dyDescent="0.8">
      <c r="A1923" s="247">
        <v>58316</v>
      </c>
      <c r="B1923" s="248" t="s">
        <v>2381</v>
      </c>
      <c r="C1923" s="249" t="s">
        <v>972</v>
      </c>
      <c r="D1923" s="245">
        <v>0</v>
      </c>
      <c r="E1923" s="245">
        <v>10</v>
      </c>
      <c r="F1923" s="245">
        <v>10</v>
      </c>
      <c r="H1923" s="245">
        <v>20</v>
      </c>
      <c r="I1923" s="245">
        <v>5</v>
      </c>
      <c r="J1923" s="245">
        <v>0</v>
      </c>
      <c r="K1923" s="245">
        <v>50</v>
      </c>
      <c r="L1923" s="245">
        <v>50</v>
      </c>
      <c r="M1923" s="245">
        <v>0</v>
      </c>
      <c r="N1923" s="245">
        <v>100</v>
      </c>
      <c r="O1923" s="245" t="s">
        <v>56</v>
      </c>
      <c r="P1923" s="245" t="s">
        <v>254</v>
      </c>
      <c r="Q1923" s="245" t="s">
        <v>96</v>
      </c>
      <c r="R1923" s="246" t="s">
        <v>32</v>
      </c>
    </row>
    <row r="1924" spans="1:18" ht="26" x14ac:dyDescent="0.8">
      <c r="A1924" s="247">
        <v>58317</v>
      </c>
      <c r="B1924" s="248" t="s">
        <v>2381</v>
      </c>
      <c r="C1924" s="249" t="s">
        <v>974</v>
      </c>
      <c r="D1924" s="245">
        <v>0</v>
      </c>
      <c r="E1924" s="245">
        <v>0</v>
      </c>
      <c r="F1924" s="245">
        <v>0</v>
      </c>
      <c r="H1924" s="245">
        <v>0</v>
      </c>
      <c r="I1924" s="245">
        <v>6.333333333333333</v>
      </c>
      <c r="J1924" s="245">
        <v>0</v>
      </c>
      <c r="K1924" s="245">
        <v>0</v>
      </c>
      <c r="M1924" s="245">
        <v>0</v>
      </c>
      <c r="N1924" s="245">
        <v>0</v>
      </c>
      <c r="O1924" s="245" t="s">
        <v>178</v>
      </c>
      <c r="P1924" s="245" t="s">
        <v>254</v>
      </c>
      <c r="Q1924" s="245" t="s">
        <v>96</v>
      </c>
      <c r="R1924" s="246" t="s">
        <v>32</v>
      </c>
    </row>
    <row r="1925" spans="1:18" ht="26" x14ac:dyDescent="0.8">
      <c r="A1925" s="247">
        <v>58317</v>
      </c>
      <c r="B1925" s="248" t="s">
        <v>2381</v>
      </c>
      <c r="C1925" s="249" t="s">
        <v>974</v>
      </c>
      <c r="D1925" s="245">
        <v>0</v>
      </c>
      <c r="F1925" s="245">
        <v>10</v>
      </c>
      <c r="H1925" s="245">
        <v>10</v>
      </c>
      <c r="I1925" s="245">
        <v>6.333333333333333</v>
      </c>
      <c r="J1925" s="245">
        <v>0</v>
      </c>
      <c r="K1925" s="245">
        <v>0</v>
      </c>
      <c r="L1925" s="245">
        <v>63.333333333333329</v>
      </c>
      <c r="M1925" s="245">
        <v>0</v>
      </c>
      <c r="N1925" s="245">
        <v>63.333333333333329</v>
      </c>
      <c r="O1925" s="245" t="s">
        <v>39</v>
      </c>
      <c r="P1925" s="245" t="s">
        <v>254</v>
      </c>
      <c r="Q1925" s="245" t="s">
        <v>96</v>
      </c>
      <c r="R1925" s="246" t="s">
        <v>32</v>
      </c>
    </row>
    <row r="1926" spans="1:18" hidden="1" x14ac:dyDescent="0.8">
      <c r="A1926" s="247">
        <v>58318</v>
      </c>
      <c r="B1926" s="248" t="s">
        <v>2384</v>
      </c>
      <c r="C1926" s="249" t="s">
        <v>1509</v>
      </c>
      <c r="D1926" s="245">
        <v>0</v>
      </c>
      <c r="E1926" s="245">
        <v>38</v>
      </c>
      <c r="F1926" s="245">
        <v>427</v>
      </c>
      <c r="H1926" s="245">
        <v>465</v>
      </c>
      <c r="I1926" s="245">
        <v>0.48333333333333334</v>
      </c>
      <c r="J1926" s="245">
        <v>0</v>
      </c>
      <c r="K1926" s="245">
        <v>18.366666666666667</v>
      </c>
      <c r="L1926" s="245">
        <v>206.38333333333333</v>
      </c>
      <c r="M1926" s="245">
        <v>0</v>
      </c>
      <c r="N1926" s="245">
        <v>224.75</v>
      </c>
      <c r="O1926" s="245" t="s">
        <v>56</v>
      </c>
      <c r="P1926" s="245" t="s">
        <v>254</v>
      </c>
      <c r="Q1926" s="245" t="s">
        <v>96</v>
      </c>
      <c r="R1926" s="246" t="s">
        <v>32</v>
      </c>
    </row>
    <row r="1927" spans="1:18" ht="39" x14ac:dyDescent="0.8">
      <c r="A1927" s="247">
        <v>584</v>
      </c>
      <c r="B1927" s="248" t="s">
        <v>2385</v>
      </c>
      <c r="D1927" s="245">
        <v>0</v>
      </c>
    </row>
    <row r="1928" spans="1:18" ht="39" x14ac:dyDescent="0.8">
      <c r="A1928" s="247">
        <v>5841</v>
      </c>
      <c r="B1928" s="248" t="s">
        <v>2386</v>
      </c>
      <c r="D1928" s="245">
        <v>0</v>
      </c>
    </row>
    <row r="1929" spans="1:18" ht="26" x14ac:dyDescent="0.8">
      <c r="A1929" s="247">
        <v>58411</v>
      </c>
      <c r="B1929" s="248" t="s">
        <v>2387</v>
      </c>
      <c r="C1929" s="249" t="s">
        <v>66</v>
      </c>
      <c r="D1929" s="245">
        <v>0</v>
      </c>
      <c r="E1929" s="245">
        <v>50</v>
      </c>
      <c r="H1929" s="245">
        <v>50</v>
      </c>
      <c r="I1929" s="245">
        <v>0.255</v>
      </c>
      <c r="J1929" s="245">
        <v>0</v>
      </c>
      <c r="K1929" s="245">
        <v>12.75</v>
      </c>
      <c r="L1929" s="245">
        <v>0</v>
      </c>
      <c r="M1929" s="245">
        <v>0</v>
      </c>
      <c r="N1929" s="245">
        <v>12.75</v>
      </c>
      <c r="O1929" s="245" t="s">
        <v>118</v>
      </c>
      <c r="P1929" s="245" t="s">
        <v>255</v>
      </c>
      <c r="Q1929" s="245" t="s">
        <v>255</v>
      </c>
      <c r="R1929" s="246" t="s">
        <v>32</v>
      </c>
    </row>
    <row r="1930" spans="1:18" ht="26" hidden="1" x14ac:dyDescent="0.8">
      <c r="A1930" s="247">
        <v>58412</v>
      </c>
      <c r="B1930" s="248" t="s">
        <v>2388</v>
      </c>
      <c r="C1930" s="249" t="s">
        <v>55</v>
      </c>
      <c r="D1930" s="245">
        <v>0</v>
      </c>
      <c r="E1930" s="245">
        <v>1</v>
      </c>
      <c r="H1930" s="245">
        <v>1</v>
      </c>
      <c r="I1930" s="245">
        <v>0</v>
      </c>
      <c r="O1930" s="245" t="s">
        <v>56</v>
      </c>
      <c r="P1930" s="245" t="s">
        <v>255</v>
      </c>
      <c r="Q1930" s="245" t="s">
        <v>255</v>
      </c>
      <c r="R1930" s="246" t="s">
        <v>32</v>
      </c>
    </row>
    <row r="1931" spans="1:18" ht="26" hidden="1" x14ac:dyDescent="0.8">
      <c r="A1931" s="247">
        <v>58413</v>
      </c>
      <c r="B1931" s="248" t="s">
        <v>2390</v>
      </c>
      <c r="C1931" s="249" t="s">
        <v>55</v>
      </c>
      <c r="D1931" s="245">
        <v>0</v>
      </c>
      <c r="E1931" s="245">
        <v>1</v>
      </c>
      <c r="F1931" s="245">
        <v>1</v>
      </c>
      <c r="G1931" s="245">
        <v>1</v>
      </c>
      <c r="H1931" s="245">
        <v>3</v>
      </c>
      <c r="I1931" s="245">
        <v>0</v>
      </c>
      <c r="O1931" s="245" t="s">
        <v>56</v>
      </c>
      <c r="P1931" s="245" t="s">
        <v>255</v>
      </c>
      <c r="Q1931" s="245" t="s">
        <v>282</v>
      </c>
      <c r="R1931" s="246" t="s">
        <v>32</v>
      </c>
    </row>
    <row r="1932" spans="1:18" ht="52" hidden="1" x14ac:dyDescent="0.8">
      <c r="A1932" s="247">
        <v>58414</v>
      </c>
      <c r="B1932" s="248" t="s">
        <v>2391</v>
      </c>
      <c r="C1932" s="249" t="s">
        <v>55</v>
      </c>
      <c r="D1932" s="245">
        <v>0</v>
      </c>
      <c r="E1932" s="245">
        <v>1</v>
      </c>
      <c r="F1932" s="245">
        <v>1</v>
      </c>
      <c r="G1932" s="245">
        <v>1</v>
      </c>
      <c r="H1932" s="245">
        <v>3</v>
      </c>
      <c r="I1932" s="245">
        <v>0</v>
      </c>
      <c r="O1932" s="245" t="s">
        <v>56</v>
      </c>
      <c r="P1932" s="245" t="s">
        <v>282</v>
      </c>
      <c r="Q1932" s="245" t="s">
        <v>77</v>
      </c>
      <c r="R1932" s="246" t="s">
        <v>32</v>
      </c>
    </row>
    <row r="1933" spans="1:18" ht="26" hidden="1" x14ac:dyDescent="0.8">
      <c r="A1933" s="247">
        <v>58415</v>
      </c>
      <c r="B1933" s="248" t="s">
        <v>2392</v>
      </c>
      <c r="C1933" s="249" t="s">
        <v>55</v>
      </c>
      <c r="D1933" s="245">
        <v>0</v>
      </c>
      <c r="E1933" s="245">
        <v>1</v>
      </c>
      <c r="F1933" s="245">
        <v>1</v>
      </c>
      <c r="G1933" s="245">
        <v>1</v>
      </c>
      <c r="H1933" s="245">
        <v>3</v>
      </c>
      <c r="I1933" s="245">
        <v>0</v>
      </c>
      <c r="O1933" s="245" t="s">
        <v>56</v>
      </c>
      <c r="P1933" s="245" t="s">
        <v>77</v>
      </c>
      <c r="Q1933" s="245" t="s">
        <v>193</v>
      </c>
      <c r="R1933" s="246" t="s">
        <v>32</v>
      </c>
    </row>
    <row r="1934" spans="1:18" ht="26" hidden="1" x14ac:dyDescent="0.8">
      <c r="A1934" s="247">
        <v>58416</v>
      </c>
      <c r="B1934" s="248" t="s">
        <v>2393</v>
      </c>
      <c r="C1934" s="249" t="s">
        <v>55</v>
      </c>
      <c r="D1934" s="245">
        <v>0</v>
      </c>
      <c r="E1934" s="245">
        <v>1</v>
      </c>
      <c r="F1934" s="245">
        <v>1</v>
      </c>
      <c r="G1934" s="245">
        <v>1</v>
      </c>
      <c r="H1934" s="245">
        <v>3</v>
      </c>
      <c r="I1934" s="245">
        <v>0</v>
      </c>
      <c r="O1934" s="245" t="s">
        <v>56</v>
      </c>
    </row>
    <row r="1935" spans="1:18" ht="26" hidden="1" x14ac:dyDescent="0.8">
      <c r="A1935" s="247">
        <v>58417</v>
      </c>
      <c r="B1935" s="248" t="s">
        <v>2394</v>
      </c>
      <c r="C1935" s="249" t="s">
        <v>59</v>
      </c>
      <c r="D1935" s="245">
        <v>0</v>
      </c>
      <c r="E1935" s="245">
        <v>160</v>
      </c>
      <c r="F1935" s="245">
        <v>160</v>
      </c>
      <c r="G1935" s="245">
        <v>160</v>
      </c>
      <c r="H1935" s="245">
        <v>480</v>
      </c>
      <c r="I1935" s="245">
        <v>0.8177777777777776</v>
      </c>
      <c r="J1935" s="245">
        <v>0</v>
      </c>
      <c r="K1935" s="245">
        <v>130.84444444444441</v>
      </c>
      <c r="L1935" s="245">
        <v>130.84444444444441</v>
      </c>
      <c r="M1935" s="245">
        <v>130.84444444444441</v>
      </c>
      <c r="N1935" s="245">
        <v>392.53333333333319</v>
      </c>
      <c r="O1935" s="245" t="s">
        <v>56</v>
      </c>
      <c r="P1935" s="245" t="s">
        <v>255</v>
      </c>
      <c r="Q1935" s="245" t="s">
        <v>255</v>
      </c>
      <c r="R1935" s="246" t="s">
        <v>32</v>
      </c>
    </row>
    <row r="1936" spans="1:18" ht="26" hidden="1" x14ac:dyDescent="0.8">
      <c r="A1936" s="247">
        <v>58418</v>
      </c>
      <c r="B1936" s="248" t="s">
        <v>2395</v>
      </c>
      <c r="D1936" s="245">
        <v>0</v>
      </c>
      <c r="E1936" s="245">
        <v>1</v>
      </c>
      <c r="F1936" s="245">
        <v>1</v>
      </c>
      <c r="G1936" s="245">
        <v>1</v>
      </c>
      <c r="H1936" s="245">
        <v>3</v>
      </c>
      <c r="I1936" s="245">
        <v>0</v>
      </c>
      <c r="O1936" s="245" t="s">
        <v>56</v>
      </c>
      <c r="P1936" s="245" t="s">
        <v>255</v>
      </c>
      <c r="Q1936" s="245" t="s">
        <v>255</v>
      </c>
      <c r="R1936" s="246" t="s">
        <v>32</v>
      </c>
    </row>
    <row r="1937" spans="1:18" ht="26" x14ac:dyDescent="0.8">
      <c r="A1937" s="247">
        <v>5842</v>
      </c>
      <c r="B1937" s="248" t="s">
        <v>2396</v>
      </c>
      <c r="D1937" s="245">
        <v>0</v>
      </c>
    </row>
    <row r="1938" spans="1:18" ht="39" hidden="1" x14ac:dyDescent="0.8">
      <c r="A1938" s="247">
        <v>58421</v>
      </c>
      <c r="B1938" s="248" t="s">
        <v>2397</v>
      </c>
      <c r="C1938" s="249" t="s">
        <v>66</v>
      </c>
      <c r="D1938" s="245">
        <v>0</v>
      </c>
      <c r="E1938" s="245">
        <v>120</v>
      </c>
      <c r="F1938" s="245">
        <v>120</v>
      </c>
      <c r="G1938" s="245">
        <v>120</v>
      </c>
      <c r="H1938" s="245">
        <v>360</v>
      </c>
      <c r="I1938" s="245">
        <v>0.255</v>
      </c>
      <c r="J1938" s="245">
        <v>0</v>
      </c>
      <c r="K1938" s="245">
        <v>30.6</v>
      </c>
      <c r="L1938" s="245">
        <v>30.6</v>
      </c>
      <c r="M1938" s="245">
        <v>30.6</v>
      </c>
      <c r="N1938" s="245">
        <v>91.800000000000011</v>
      </c>
      <c r="O1938" s="245" t="s">
        <v>56</v>
      </c>
      <c r="P1938" s="245" t="s">
        <v>255</v>
      </c>
      <c r="Q1938" s="245" t="s">
        <v>255</v>
      </c>
      <c r="R1938" s="246" t="s">
        <v>32</v>
      </c>
    </row>
    <row r="1939" spans="1:18" hidden="1" x14ac:dyDescent="0.8">
      <c r="A1939" s="247">
        <v>58422</v>
      </c>
      <c r="B1939" s="248" t="s">
        <v>2398</v>
      </c>
      <c r="C1939" s="249" t="s">
        <v>55</v>
      </c>
      <c r="D1939" s="245">
        <v>0</v>
      </c>
      <c r="E1939" s="245">
        <v>1</v>
      </c>
      <c r="F1939" s="245">
        <v>1</v>
      </c>
      <c r="G1939" s="245">
        <v>1</v>
      </c>
      <c r="H1939" s="245">
        <v>3</v>
      </c>
      <c r="I1939" s="245">
        <v>0</v>
      </c>
      <c r="O1939" s="245" t="s">
        <v>56</v>
      </c>
      <c r="P1939" s="245" t="s">
        <v>255</v>
      </c>
      <c r="Q1939" s="245" t="s">
        <v>255</v>
      </c>
      <c r="R1939" s="246" t="s">
        <v>32</v>
      </c>
    </row>
    <row r="1940" spans="1:18" ht="52" x14ac:dyDescent="0.8">
      <c r="A1940" s="247">
        <v>585</v>
      </c>
      <c r="B1940" s="248" t="s">
        <v>2399</v>
      </c>
      <c r="D1940" s="245">
        <v>0</v>
      </c>
    </row>
    <row r="1941" spans="1:18" ht="39" x14ac:dyDescent="0.8">
      <c r="A1941" s="247">
        <v>5851</v>
      </c>
      <c r="B1941" s="248" t="s">
        <v>2400</v>
      </c>
      <c r="D1941" s="245">
        <v>0</v>
      </c>
    </row>
    <row r="1942" spans="1:18" ht="39" hidden="1" x14ac:dyDescent="0.8">
      <c r="A1942" s="247">
        <v>58511</v>
      </c>
      <c r="B1942" s="248" t="s">
        <v>2401</v>
      </c>
      <c r="C1942" s="249" t="s">
        <v>55</v>
      </c>
      <c r="D1942" s="245">
        <v>0</v>
      </c>
      <c r="E1942" s="245">
        <v>0</v>
      </c>
      <c r="F1942" s="245">
        <v>0</v>
      </c>
      <c r="G1942" s="245">
        <v>0</v>
      </c>
      <c r="I1942" s="245">
        <v>0</v>
      </c>
      <c r="O1942" s="245" t="s">
        <v>56</v>
      </c>
      <c r="P1942" s="245" t="s">
        <v>255</v>
      </c>
      <c r="Q1942" s="245" t="s">
        <v>255</v>
      </c>
      <c r="R1942" s="246" t="s">
        <v>677</v>
      </c>
    </row>
    <row r="1943" spans="1:18" ht="26" x14ac:dyDescent="0.8">
      <c r="A1943" s="247">
        <v>58512</v>
      </c>
      <c r="B1943" s="248" t="s">
        <v>2402</v>
      </c>
      <c r="C1943" s="249" t="s">
        <v>66</v>
      </c>
      <c r="D1943" s="245">
        <v>0</v>
      </c>
      <c r="E1943" s="245">
        <v>105</v>
      </c>
      <c r="H1943" s="245">
        <v>105</v>
      </c>
      <c r="I1943" s="245">
        <v>0.255</v>
      </c>
      <c r="J1943" s="245">
        <v>0</v>
      </c>
      <c r="K1943" s="245">
        <v>26.775000000000002</v>
      </c>
      <c r="L1943" s="245">
        <v>0</v>
      </c>
      <c r="M1943" s="245">
        <v>0</v>
      </c>
      <c r="N1943" s="245">
        <v>26.775000000000002</v>
      </c>
      <c r="O1943" s="245" t="s">
        <v>118</v>
      </c>
      <c r="P1943" s="245" t="s">
        <v>255</v>
      </c>
      <c r="Q1943" s="245" t="s">
        <v>255</v>
      </c>
      <c r="R1943" s="246" t="s">
        <v>677</v>
      </c>
    </row>
    <row r="1944" spans="1:18" x14ac:dyDescent="0.8">
      <c r="A1944" s="247">
        <v>58513</v>
      </c>
      <c r="B1944" s="248" t="s">
        <v>2403</v>
      </c>
      <c r="C1944" s="249" t="s">
        <v>38</v>
      </c>
      <c r="D1944" s="245">
        <v>0</v>
      </c>
      <c r="E1944" s="245">
        <v>30</v>
      </c>
      <c r="H1944" s="245">
        <v>30</v>
      </c>
      <c r="I1944" s="245">
        <v>0.3133333333333333</v>
      </c>
      <c r="J1944" s="245">
        <v>0</v>
      </c>
      <c r="K1944" s="245">
        <v>9.3999999999999986</v>
      </c>
      <c r="L1944" s="245">
        <v>0</v>
      </c>
      <c r="M1944" s="245">
        <v>0</v>
      </c>
      <c r="N1944" s="245">
        <v>9.3999999999999986</v>
      </c>
      <c r="O1944" s="245" t="s">
        <v>118</v>
      </c>
      <c r="P1944" s="245" t="s">
        <v>255</v>
      </c>
      <c r="Q1944" s="245" t="s">
        <v>255</v>
      </c>
      <c r="R1944" s="246" t="s">
        <v>677</v>
      </c>
    </row>
    <row r="1945" spans="1:18" x14ac:dyDescent="0.8">
      <c r="A1945" s="247">
        <v>58514</v>
      </c>
      <c r="B1945" s="248" t="s">
        <v>2404</v>
      </c>
      <c r="C1945" s="249" t="s">
        <v>452</v>
      </c>
      <c r="D1945" s="245">
        <v>0</v>
      </c>
      <c r="E1945" s="245">
        <v>20000</v>
      </c>
      <c r="H1945" s="245">
        <v>20000</v>
      </c>
      <c r="I1945" s="245">
        <v>7.4999999999999997E-3</v>
      </c>
      <c r="J1945" s="245">
        <v>0</v>
      </c>
      <c r="K1945" s="245">
        <v>150</v>
      </c>
      <c r="L1945" s="245">
        <v>0</v>
      </c>
      <c r="M1945" s="245">
        <v>0</v>
      </c>
      <c r="N1945" s="245">
        <v>150</v>
      </c>
      <c r="O1945" s="245" t="s">
        <v>118</v>
      </c>
      <c r="P1945" s="245" t="s">
        <v>255</v>
      </c>
      <c r="Q1945" s="245" t="s">
        <v>1963</v>
      </c>
      <c r="R1945" s="246" t="s">
        <v>677</v>
      </c>
    </row>
    <row r="1946" spans="1:18" x14ac:dyDescent="0.8">
      <c r="A1946" s="247">
        <v>5852</v>
      </c>
      <c r="B1946" s="248" t="s">
        <v>2405</v>
      </c>
      <c r="D1946" s="245">
        <v>0</v>
      </c>
    </row>
    <row r="1947" spans="1:18" x14ac:dyDescent="0.8">
      <c r="A1947" s="247">
        <v>58521</v>
      </c>
      <c r="B1947" s="248" t="s">
        <v>2406</v>
      </c>
      <c r="C1947" s="249" t="s">
        <v>76</v>
      </c>
      <c r="D1947" s="245">
        <v>0</v>
      </c>
      <c r="F1947" s="245">
        <v>1</v>
      </c>
      <c r="G1947" s="245">
        <v>1</v>
      </c>
      <c r="H1947" s="245">
        <v>2</v>
      </c>
      <c r="I1947" s="245">
        <v>45.936799999999998</v>
      </c>
      <c r="J1947" s="245">
        <v>0</v>
      </c>
      <c r="K1947" s="245">
        <v>0</v>
      </c>
      <c r="L1947" s="245">
        <v>45.936799999999998</v>
      </c>
      <c r="M1947" s="245">
        <v>45.936799999999998</v>
      </c>
      <c r="N1947" s="245">
        <v>91.873599999999996</v>
      </c>
      <c r="O1947" s="245" t="s">
        <v>118</v>
      </c>
      <c r="R1947" s="246" t="s">
        <v>32</v>
      </c>
    </row>
    <row r="1948" spans="1:18" ht="26" x14ac:dyDescent="0.8">
      <c r="A1948" s="247">
        <v>5853</v>
      </c>
      <c r="B1948" s="248" t="s">
        <v>2407</v>
      </c>
      <c r="D1948" s="245">
        <v>0</v>
      </c>
    </row>
    <row r="1949" spans="1:18" ht="26" hidden="1" x14ac:dyDescent="0.8">
      <c r="A1949" s="247">
        <v>58531</v>
      </c>
      <c r="B1949" s="248" t="s">
        <v>2408</v>
      </c>
      <c r="C1949" s="249" t="s">
        <v>55</v>
      </c>
      <c r="D1949" s="245">
        <v>0</v>
      </c>
      <c r="F1949" s="245">
        <v>1</v>
      </c>
      <c r="H1949" s="245">
        <v>1</v>
      </c>
      <c r="I1949" s="245">
        <v>0</v>
      </c>
      <c r="O1949" s="245" t="s">
        <v>56</v>
      </c>
      <c r="P1949" s="245" t="s">
        <v>255</v>
      </c>
      <c r="Q1949" s="245" t="s">
        <v>255</v>
      </c>
      <c r="R1949" s="246" t="s">
        <v>32</v>
      </c>
    </row>
    <row r="1950" spans="1:18" hidden="1" x14ac:dyDescent="0.8">
      <c r="A1950" s="247">
        <v>58532</v>
      </c>
      <c r="B1950" s="248" t="s">
        <v>2409</v>
      </c>
      <c r="C1950" s="249" t="s">
        <v>55</v>
      </c>
      <c r="D1950" s="245">
        <v>0</v>
      </c>
      <c r="F1950" s="245">
        <v>1</v>
      </c>
      <c r="G1950" s="245">
        <v>1</v>
      </c>
      <c r="H1950" s="245">
        <v>2</v>
      </c>
      <c r="I1950" s="245">
        <v>0</v>
      </c>
      <c r="O1950" s="245" t="s">
        <v>56</v>
      </c>
      <c r="P1950" s="245" t="s">
        <v>255</v>
      </c>
      <c r="Q1950" s="245" t="s">
        <v>255</v>
      </c>
      <c r="R1950" s="246" t="s">
        <v>32</v>
      </c>
    </row>
    <row r="1951" spans="1:18" x14ac:dyDescent="0.8">
      <c r="A1951" s="247">
        <v>6</v>
      </c>
      <c r="B1951" s="248" t="s">
        <v>2410</v>
      </c>
      <c r="D1951" s="245">
        <v>0</v>
      </c>
    </row>
    <row r="1952" spans="1:18" ht="26" x14ac:dyDescent="0.8">
      <c r="A1952" s="247">
        <v>61</v>
      </c>
      <c r="B1952" s="248" t="s">
        <v>2411</v>
      </c>
      <c r="D1952" s="245">
        <v>0</v>
      </c>
    </row>
    <row r="1953" spans="1:18" ht="26" hidden="1" x14ac:dyDescent="0.8">
      <c r="A1953" s="247">
        <v>611</v>
      </c>
      <c r="B1953" s="248" t="s">
        <v>2412</v>
      </c>
      <c r="D1953" s="245">
        <v>0</v>
      </c>
      <c r="O1953" s="245" t="s">
        <v>56</v>
      </c>
    </row>
    <row r="1954" spans="1:18" x14ac:dyDescent="0.8">
      <c r="A1954" s="247">
        <v>6111</v>
      </c>
      <c r="B1954" s="248" t="s">
        <v>2413</v>
      </c>
      <c r="D1954" s="245">
        <v>0</v>
      </c>
    </row>
    <row r="1955" spans="1:18" ht="26" hidden="1" x14ac:dyDescent="0.8">
      <c r="A1955" s="247">
        <v>61111</v>
      </c>
      <c r="B1955" s="248" t="s">
        <v>2414</v>
      </c>
      <c r="C1955" s="249" t="s">
        <v>55</v>
      </c>
      <c r="D1955" s="245">
        <v>0</v>
      </c>
      <c r="H1955" s="245">
        <v>0</v>
      </c>
      <c r="I1955" s="245">
        <v>0</v>
      </c>
      <c r="O1955" s="245" t="s">
        <v>56</v>
      </c>
      <c r="P1955" s="245" t="s">
        <v>331</v>
      </c>
      <c r="Q1955" s="245" t="s">
        <v>331</v>
      </c>
      <c r="R1955" s="246" t="s">
        <v>32</v>
      </c>
    </row>
    <row r="1956" spans="1:18" ht="26" hidden="1" x14ac:dyDescent="0.8">
      <c r="A1956" s="247">
        <v>61112</v>
      </c>
      <c r="B1956" s="248" t="s">
        <v>2415</v>
      </c>
      <c r="C1956" s="249" t="s">
        <v>55</v>
      </c>
      <c r="D1956" s="245">
        <v>0</v>
      </c>
      <c r="H1956" s="245">
        <v>0</v>
      </c>
      <c r="I1956" s="245">
        <v>0</v>
      </c>
      <c r="O1956" s="245" t="s">
        <v>56</v>
      </c>
      <c r="P1956" s="245" t="s">
        <v>331</v>
      </c>
      <c r="Q1956" s="245" t="s">
        <v>255</v>
      </c>
      <c r="R1956" s="246" t="s">
        <v>32</v>
      </c>
    </row>
    <row r="1957" spans="1:18" ht="26" hidden="1" x14ac:dyDescent="0.8">
      <c r="A1957" s="247">
        <v>61113</v>
      </c>
      <c r="B1957" s="248" t="s">
        <v>2416</v>
      </c>
      <c r="C1957" s="249" t="s">
        <v>38</v>
      </c>
      <c r="D1957" s="245">
        <v>0</v>
      </c>
      <c r="E1957" s="245">
        <v>90</v>
      </c>
      <c r="F1957" s="245">
        <v>90</v>
      </c>
      <c r="G1957" s="245">
        <v>90</v>
      </c>
      <c r="H1957" s="245">
        <v>270</v>
      </c>
      <c r="I1957" s="245">
        <v>0.3133333333333333</v>
      </c>
      <c r="J1957" s="245">
        <v>0</v>
      </c>
      <c r="K1957" s="245">
        <v>28.199999999999996</v>
      </c>
      <c r="L1957" s="245">
        <v>28.199999999999996</v>
      </c>
      <c r="M1957" s="245">
        <v>28.199999999999996</v>
      </c>
      <c r="N1957" s="245">
        <v>84.6</v>
      </c>
      <c r="O1957" s="245" t="s">
        <v>56</v>
      </c>
      <c r="P1957" s="245" t="s">
        <v>331</v>
      </c>
      <c r="Q1957" s="245" t="s">
        <v>2417</v>
      </c>
      <c r="R1957" s="246" t="s">
        <v>32</v>
      </c>
    </row>
    <row r="1958" spans="1:18" ht="26" hidden="1" x14ac:dyDescent="0.8">
      <c r="A1958" s="247">
        <v>61114</v>
      </c>
      <c r="B1958" s="248" t="s">
        <v>2418</v>
      </c>
      <c r="C1958" s="249" t="s">
        <v>38</v>
      </c>
      <c r="D1958" s="245">
        <v>0</v>
      </c>
      <c r="E1958" s="245">
        <v>576.072</v>
      </c>
      <c r="G1958" s="245">
        <v>576.072</v>
      </c>
      <c r="H1958" s="245">
        <v>1152.144</v>
      </c>
      <c r="I1958" s="245">
        <v>0.3133333333333333</v>
      </c>
      <c r="J1958" s="245">
        <v>0</v>
      </c>
      <c r="K1958" s="245">
        <v>180.50255999999999</v>
      </c>
      <c r="L1958" s="245">
        <v>0</v>
      </c>
      <c r="M1958" s="245">
        <v>180.50255999999999</v>
      </c>
      <c r="N1958" s="245">
        <v>361.00511999999998</v>
      </c>
      <c r="O1958" s="245" t="s">
        <v>56</v>
      </c>
      <c r="P1958" s="245" t="s">
        <v>331</v>
      </c>
      <c r="Q1958" s="245" t="s">
        <v>2419</v>
      </c>
      <c r="R1958" s="246" t="s">
        <v>32</v>
      </c>
    </row>
    <row r="1959" spans="1:18" ht="26" x14ac:dyDescent="0.8">
      <c r="A1959" s="247">
        <v>61114</v>
      </c>
      <c r="B1959" s="248" t="s">
        <v>2418</v>
      </c>
      <c r="C1959" s="249" t="s">
        <v>38</v>
      </c>
      <c r="D1959" s="245">
        <v>0</v>
      </c>
      <c r="E1959" s="245">
        <v>143.928</v>
      </c>
      <c r="G1959" s="245">
        <v>143.928</v>
      </c>
      <c r="H1959" s="245">
        <v>287.85599999999999</v>
      </c>
      <c r="I1959" s="245">
        <v>0.3133333333333333</v>
      </c>
      <c r="J1959" s="245">
        <v>0</v>
      </c>
      <c r="K1959" s="245">
        <v>45.097439999999992</v>
      </c>
      <c r="L1959" s="245">
        <v>0</v>
      </c>
      <c r="M1959" s="245">
        <v>45.097439999999992</v>
      </c>
      <c r="N1959" s="245">
        <v>90.194879999999984</v>
      </c>
      <c r="O1959" s="245" t="s">
        <v>118</v>
      </c>
      <c r="P1959" s="245" t="s">
        <v>331</v>
      </c>
      <c r="Q1959" s="245" t="s">
        <v>2419</v>
      </c>
      <c r="R1959" s="246" t="s">
        <v>32</v>
      </c>
    </row>
    <row r="1960" spans="1:18" ht="39" hidden="1" x14ac:dyDescent="0.8">
      <c r="A1960" s="247">
        <v>61115</v>
      </c>
      <c r="B1960" s="248" t="s">
        <v>2420</v>
      </c>
      <c r="C1960" s="249" t="s">
        <v>73</v>
      </c>
      <c r="D1960" s="245">
        <v>0</v>
      </c>
      <c r="E1960" s="245">
        <v>32</v>
      </c>
      <c r="F1960" s="245">
        <v>32</v>
      </c>
      <c r="G1960" s="245">
        <v>32</v>
      </c>
      <c r="H1960" s="245">
        <v>96</v>
      </c>
      <c r="I1960" s="245">
        <v>0.4</v>
      </c>
      <c r="J1960" s="245">
        <v>0</v>
      </c>
      <c r="K1960" s="245">
        <v>12.8</v>
      </c>
      <c r="L1960" s="245">
        <v>12.8</v>
      </c>
      <c r="M1960" s="245">
        <v>12.8</v>
      </c>
      <c r="N1960" s="245">
        <v>38.400000000000006</v>
      </c>
      <c r="O1960" s="245" t="s">
        <v>56</v>
      </c>
      <c r="P1960" s="245" t="s">
        <v>331</v>
      </c>
      <c r="Q1960" s="245" t="s">
        <v>2422</v>
      </c>
      <c r="R1960" s="246" t="s">
        <v>32</v>
      </c>
    </row>
    <row r="1961" spans="1:18" x14ac:dyDescent="0.8">
      <c r="A1961" s="247">
        <v>6112</v>
      </c>
      <c r="B1961" s="248" t="s">
        <v>2423</v>
      </c>
      <c r="D1961" s="245">
        <v>0</v>
      </c>
    </row>
    <row r="1962" spans="1:18" hidden="1" x14ac:dyDescent="0.8">
      <c r="A1962" s="247">
        <v>61121</v>
      </c>
      <c r="B1962" s="248" t="s">
        <v>2424</v>
      </c>
      <c r="C1962" s="249" t="s">
        <v>66</v>
      </c>
      <c r="D1962" s="245">
        <v>0</v>
      </c>
      <c r="E1962" s="245">
        <v>20</v>
      </c>
      <c r="F1962" s="245">
        <v>20</v>
      </c>
      <c r="G1962" s="245">
        <v>20</v>
      </c>
      <c r="H1962" s="245">
        <v>60</v>
      </c>
      <c r="I1962" s="245">
        <v>0.255</v>
      </c>
      <c r="J1962" s="245">
        <v>0</v>
      </c>
      <c r="K1962" s="245">
        <v>5.0999999999999996</v>
      </c>
      <c r="L1962" s="245">
        <v>5.0999999999999996</v>
      </c>
      <c r="M1962" s="245">
        <v>5.0999999999999996</v>
      </c>
      <c r="N1962" s="245">
        <v>15.299999999999999</v>
      </c>
      <c r="O1962" s="245" t="s">
        <v>56</v>
      </c>
      <c r="P1962" s="245" t="s">
        <v>331</v>
      </c>
      <c r="Q1962" s="245" t="s">
        <v>331</v>
      </c>
      <c r="R1962" s="246" t="s">
        <v>32</v>
      </c>
    </row>
    <row r="1963" spans="1:18" ht="26" hidden="1" x14ac:dyDescent="0.8">
      <c r="A1963" s="247">
        <v>61122</v>
      </c>
      <c r="B1963" s="248" t="s">
        <v>2425</v>
      </c>
      <c r="C1963" s="249" t="s">
        <v>55</v>
      </c>
      <c r="D1963" s="245">
        <v>0</v>
      </c>
      <c r="E1963" s="245">
        <v>1</v>
      </c>
      <c r="F1963" s="245">
        <v>1</v>
      </c>
      <c r="G1963" s="245">
        <v>1</v>
      </c>
      <c r="H1963" s="245">
        <v>3</v>
      </c>
      <c r="I1963" s="245">
        <v>0</v>
      </c>
      <c r="O1963" s="245" t="s">
        <v>56</v>
      </c>
      <c r="P1963" s="245" t="s">
        <v>331</v>
      </c>
      <c r="Q1963" s="245" t="s">
        <v>331</v>
      </c>
      <c r="R1963" s="246" t="s">
        <v>32</v>
      </c>
    </row>
    <row r="1964" spans="1:18" ht="26" x14ac:dyDescent="0.8">
      <c r="A1964" s="247">
        <v>6113</v>
      </c>
      <c r="B1964" s="248" t="s">
        <v>2426</v>
      </c>
      <c r="D1964" s="245">
        <v>0</v>
      </c>
    </row>
    <row r="1965" spans="1:18" ht="26" hidden="1" x14ac:dyDescent="0.8">
      <c r="A1965" s="247">
        <v>61131</v>
      </c>
      <c r="B1965" s="248" t="s">
        <v>2427</v>
      </c>
      <c r="C1965" s="249" t="s">
        <v>55</v>
      </c>
      <c r="D1965" s="245">
        <v>0</v>
      </c>
      <c r="H1965" s="245">
        <v>0</v>
      </c>
      <c r="I1965" s="245">
        <v>0</v>
      </c>
      <c r="O1965" s="245" t="s">
        <v>56</v>
      </c>
      <c r="P1965" s="245" t="s">
        <v>331</v>
      </c>
      <c r="Q1965" s="245" t="s">
        <v>2429</v>
      </c>
      <c r="R1965" s="246" t="s">
        <v>32</v>
      </c>
    </row>
    <row r="1966" spans="1:18" ht="26" hidden="1" x14ac:dyDescent="0.8">
      <c r="A1966" s="247">
        <v>61132</v>
      </c>
      <c r="B1966" s="248" t="s">
        <v>2430</v>
      </c>
      <c r="C1966" s="249" t="s">
        <v>38</v>
      </c>
      <c r="D1966" s="245">
        <v>0</v>
      </c>
      <c r="E1966" s="245">
        <v>75</v>
      </c>
      <c r="H1966" s="245">
        <v>75</v>
      </c>
      <c r="I1966" s="245">
        <v>0.3133333333333333</v>
      </c>
      <c r="J1966" s="245">
        <v>0</v>
      </c>
      <c r="K1966" s="245">
        <v>23.499999999999996</v>
      </c>
      <c r="L1966" s="245">
        <v>0</v>
      </c>
      <c r="M1966" s="245">
        <v>0</v>
      </c>
      <c r="N1966" s="245">
        <v>23.499999999999996</v>
      </c>
      <c r="O1966" s="245" t="s">
        <v>56</v>
      </c>
      <c r="P1966" s="245" t="s">
        <v>331</v>
      </c>
      <c r="Q1966" s="245" t="s">
        <v>2431</v>
      </c>
      <c r="R1966" s="246" t="s">
        <v>32</v>
      </c>
    </row>
    <row r="1967" spans="1:18" ht="26" hidden="1" x14ac:dyDescent="0.8">
      <c r="A1967" s="247">
        <v>61133</v>
      </c>
      <c r="B1967" s="248" t="s">
        <v>2432</v>
      </c>
      <c r="C1967" s="249" t="s">
        <v>38</v>
      </c>
      <c r="D1967" s="245">
        <v>0</v>
      </c>
      <c r="E1967" s="245">
        <v>120</v>
      </c>
      <c r="H1967" s="245">
        <v>120</v>
      </c>
      <c r="I1967" s="245">
        <v>0.3133333333333333</v>
      </c>
      <c r="J1967" s="245">
        <v>0</v>
      </c>
      <c r="K1967" s="245">
        <v>37.599999999999994</v>
      </c>
      <c r="L1967" s="245">
        <v>0</v>
      </c>
      <c r="M1967" s="245">
        <v>0</v>
      </c>
      <c r="N1967" s="245">
        <v>37.599999999999994</v>
      </c>
      <c r="O1967" s="245" t="s">
        <v>56</v>
      </c>
      <c r="P1967" s="245" t="s">
        <v>331</v>
      </c>
      <c r="Q1967" s="245" t="s">
        <v>331</v>
      </c>
      <c r="R1967" s="246" t="s">
        <v>32</v>
      </c>
    </row>
    <row r="1968" spans="1:18" hidden="1" x14ac:dyDescent="0.8">
      <c r="A1968" s="247">
        <v>61134</v>
      </c>
      <c r="B1968" s="248" t="s">
        <v>2433</v>
      </c>
      <c r="C1968" s="249" t="s">
        <v>55</v>
      </c>
      <c r="D1968" s="245">
        <v>0</v>
      </c>
      <c r="F1968" s="245">
        <v>1</v>
      </c>
      <c r="G1968" s="245">
        <v>1</v>
      </c>
      <c r="H1968" s="245">
        <v>2</v>
      </c>
      <c r="I1968" s="245">
        <v>0</v>
      </c>
      <c r="O1968" s="245" t="s">
        <v>56</v>
      </c>
      <c r="P1968" s="245" t="s">
        <v>331</v>
      </c>
      <c r="Q1968" s="245" t="s">
        <v>2431</v>
      </c>
      <c r="R1968" s="246" t="s">
        <v>32</v>
      </c>
    </row>
    <row r="1969" spans="1:18" ht="26" x14ac:dyDescent="0.8">
      <c r="A1969" s="247">
        <v>6114</v>
      </c>
      <c r="B1969" s="248" t="s">
        <v>2434</v>
      </c>
      <c r="D1969" s="245">
        <v>0</v>
      </c>
    </row>
    <row r="1970" spans="1:18" ht="26" hidden="1" x14ac:dyDescent="0.8">
      <c r="A1970" s="247">
        <v>61141</v>
      </c>
      <c r="B1970" s="248" t="s">
        <v>2435</v>
      </c>
      <c r="C1970" s="249" t="s">
        <v>646</v>
      </c>
      <c r="D1970" s="245">
        <v>0</v>
      </c>
      <c r="F1970" s="245">
        <v>40</v>
      </c>
      <c r="H1970" s="245">
        <v>40</v>
      </c>
      <c r="I1970" s="245">
        <v>10.404797</v>
      </c>
      <c r="J1970" s="245">
        <v>0</v>
      </c>
      <c r="K1970" s="245">
        <v>0</v>
      </c>
      <c r="L1970" s="245">
        <v>416.19188000000003</v>
      </c>
      <c r="M1970" s="245">
        <v>0</v>
      </c>
      <c r="N1970" s="245">
        <v>416.19188000000003</v>
      </c>
      <c r="O1970" s="245" t="s">
        <v>56</v>
      </c>
      <c r="P1970" s="245" t="s">
        <v>331</v>
      </c>
      <c r="Q1970" s="245" t="s">
        <v>331</v>
      </c>
      <c r="R1970" s="246" t="s">
        <v>32</v>
      </c>
    </row>
    <row r="1971" spans="1:18" ht="26" hidden="1" x14ac:dyDescent="0.8">
      <c r="A1971" s="247">
        <v>61142</v>
      </c>
      <c r="B1971" s="248" t="s">
        <v>2436</v>
      </c>
      <c r="C1971" s="249" t="s">
        <v>38</v>
      </c>
      <c r="D1971" s="245">
        <v>0</v>
      </c>
      <c r="E1971" s="245">
        <v>100</v>
      </c>
      <c r="G1971" s="245">
        <v>100</v>
      </c>
      <c r="H1971" s="245">
        <v>200</v>
      </c>
      <c r="I1971" s="245">
        <v>0.3133333333333333</v>
      </c>
      <c r="J1971" s="245">
        <v>0</v>
      </c>
      <c r="K1971" s="245">
        <v>31.333333333333329</v>
      </c>
      <c r="L1971" s="245">
        <v>0</v>
      </c>
      <c r="M1971" s="245">
        <v>31.333333333333329</v>
      </c>
      <c r="N1971" s="245">
        <v>62.666666666666657</v>
      </c>
      <c r="O1971" s="245" t="s">
        <v>56</v>
      </c>
      <c r="P1971" s="245" t="s">
        <v>331</v>
      </c>
      <c r="Q1971" s="245" t="s">
        <v>331</v>
      </c>
      <c r="R1971" s="246" t="s">
        <v>32</v>
      </c>
    </row>
    <row r="1972" spans="1:18" ht="39" hidden="1" x14ac:dyDescent="0.8">
      <c r="A1972" s="247">
        <v>61143</v>
      </c>
      <c r="B1972" s="248" t="s">
        <v>2437</v>
      </c>
      <c r="C1972" s="249" t="s">
        <v>38</v>
      </c>
      <c r="D1972" s="245">
        <v>0</v>
      </c>
      <c r="F1972" s="245">
        <v>30</v>
      </c>
      <c r="H1972" s="245">
        <v>30</v>
      </c>
      <c r="I1972" s="245">
        <v>0.3133333333333333</v>
      </c>
      <c r="J1972" s="245">
        <v>0</v>
      </c>
      <c r="K1972" s="245">
        <v>0</v>
      </c>
      <c r="L1972" s="245">
        <v>9.3999999999999986</v>
      </c>
      <c r="M1972" s="245">
        <v>0</v>
      </c>
      <c r="N1972" s="245">
        <v>9.3999999999999986</v>
      </c>
      <c r="O1972" s="245" t="s">
        <v>56</v>
      </c>
      <c r="P1972" s="245" t="s">
        <v>331</v>
      </c>
      <c r="Q1972" s="245" t="s">
        <v>331</v>
      </c>
      <c r="R1972" s="246" t="s">
        <v>32</v>
      </c>
    </row>
    <row r="1973" spans="1:18" ht="26" x14ac:dyDescent="0.8">
      <c r="A1973" s="247">
        <v>612</v>
      </c>
      <c r="B1973" s="248" t="s">
        <v>2438</v>
      </c>
      <c r="D1973" s="245">
        <v>0</v>
      </c>
    </row>
    <row r="1974" spans="1:18" ht="26" x14ac:dyDescent="0.8">
      <c r="A1974" s="247">
        <v>6121</v>
      </c>
      <c r="B1974" s="248" t="s">
        <v>2439</v>
      </c>
      <c r="D1974" s="245">
        <v>0</v>
      </c>
    </row>
    <row r="1975" spans="1:18" hidden="1" x14ac:dyDescent="0.8">
      <c r="A1975" s="247">
        <v>61211</v>
      </c>
      <c r="B1975" s="248" t="s">
        <v>2440</v>
      </c>
      <c r="C1975" s="249" t="s">
        <v>55</v>
      </c>
      <c r="D1975" s="245">
        <v>0</v>
      </c>
      <c r="E1975" s="245">
        <v>1</v>
      </c>
      <c r="H1975" s="245">
        <v>1</v>
      </c>
      <c r="I1975" s="245">
        <v>0</v>
      </c>
      <c r="O1975" s="245" t="s">
        <v>56</v>
      </c>
      <c r="P1975" s="245" t="s">
        <v>331</v>
      </c>
      <c r="Q1975" s="245" t="s">
        <v>2442</v>
      </c>
      <c r="R1975" s="246" t="s">
        <v>32</v>
      </c>
    </row>
    <row r="1976" spans="1:18" ht="26" hidden="1" x14ac:dyDescent="0.8">
      <c r="A1976" s="247">
        <v>61212</v>
      </c>
      <c r="B1976" s="248" t="s">
        <v>2443</v>
      </c>
      <c r="C1976" s="249" t="s">
        <v>66</v>
      </c>
      <c r="D1976" s="245">
        <v>0</v>
      </c>
      <c r="E1976" s="245">
        <v>60</v>
      </c>
      <c r="H1976" s="245">
        <v>60</v>
      </c>
      <c r="I1976" s="245">
        <v>0.255</v>
      </c>
      <c r="J1976" s="245">
        <v>0</v>
      </c>
      <c r="K1976" s="245">
        <v>15.3</v>
      </c>
      <c r="L1976" s="245">
        <v>0</v>
      </c>
      <c r="M1976" s="245">
        <v>0</v>
      </c>
      <c r="N1976" s="245">
        <v>15.3</v>
      </c>
      <c r="O1976" s="245" t="s">
        <v>56</v>
      </c>
      <c r="P1976" s="245" t="s">
        <v>331</v>
      </c>
      <c r="Q1976" s="245" t="s">
        <v>331</v>
      </c>
      <c r="R1976" s="246" t="s">
        <v>32</v>
      </c>
    </row>
    <row r="1977" spans="1:18" ht="26" hidden="1" x14ac:dyDescent="0.8">
      <c r="A1977" s="247">
        <v>61213</v>
      </c>
      <c r="B1977" s="248" t="s">
        <v>2444</v>
      </c>
      <c r="C1977" s="249" t="s">
        <v>816</v>
      </c>
      <c r="D1977" s="245">
        <v>0</v>
      </c>
      <c r="F1977" s="245">
        <v>1000</v>
      </c>
      <c r="H1977" s="245">
        <v>1000</v>
      </c>
      <c r="I1977" s="245">
        <v>7.4999999999999997E-3</v>
      </c>
      <c r="J1977" s="245">
        <v>0</v>
      </c>
      <c r="K1977" s="245">
        <v>0</v>
      </c>
      <c r="L1977" s="245">
        <v>7.5</v>
      </c>
      <c r="M1977" s="245">
        <v>0</v>
      </c>
      <c r="N1977" s="245">
        <v>7.5</v>
      </c>
      <c r="O1977" s="245" t="s">
        <v>56</v>
      </c>
      <c r="P1977" s="245" t="s">
        <v>331</v>
      </c>
      <c r="Q1977" s="245" t="s">
        <v>331</v>
      </c>
      <c r="R1977" s="246" t="s">
        <v>32</v>
      </c>
    </row>
    <row r="1978" spans="1:18" ht="26" x14ac:dyDescent="0.8">
      <c r="A1978" s="247">
        <v>6122</v>
      </c>
      <c r="B1978" s="248" t="s">
        <v>2445</v>
      </c>
      <c r="D1978" s="245">
        <v>0</v>
      </c>
    </row>
    <row r="1979" spans="1:18" ht="26" hidden="1" x14ac:dyDescent="0.8">
      <c r="A1979" s="247">
        <v>61221</v>
      </c>
      <c r="B1979" s="248" t="s">
        <v>2446</v>
      </c>
      <c r="C1979" s="249" t="s">
        <v>66</v>
      </c>
      <c r="D1979" s="245">
        <v>0</v>
      </c>
      <c r="E1979" s="245">
        <v>60</v>
      </c>
      <c r="H1979" s="245">
        <v>60</v>
      </c>
      <c r="I1979" s="245">
        <v>0.255</v>
      </c>
      <c r="J1979" s="245">
        <v>0</v>
      </c>
      <c r="K1979" s="245">
        <v>15.3</v>
      </c>
      <c r="L1979" s="245">
        <v>0</v>
      </c>
      <c r="M1979" s="245">
        <v>0</v>
      </c>
      <c r="N1979" s="245">
        <v>15.3</v>
      </c>
      <c r="O1979" s="245" t="s">
        <v>169</v>
      </c>
      <c r="P1979" s="245" t="s">
        <v>331</v>
      </c>
      <c r="Q1979" s="245" t="s">
        <v>331</v>
      </c>
      <c r="R1979" s="246" t="s">
        <v>32</v>
      </c>
    </row>
    <row r="1980" spans="1:18" ht="52" hidden="1" x14ac:dyDescent="0.8">
      <c r="A1980" s="247">
        <v>61222</v>
      </c>
      <c r="B1980" s="248" t="s">
        <v>2447</v>
      </c>
      <c r="C1980" s="249" t="s">
        <v>646</v>
      </c>
      <c r="D1980" s="245">
        <v>0</v>
      </c>
      <c r="F1980" s="245">
        <v>15</v>
      </c>
      <c r="H1980" s="245">
        <v>15</v>
      </c>
      <c r="I1980" s="245">
        <v>10.404797</v>
      </c>
      <c r="J1980" s="245">
        <v>0</v>
      </c>
      <c r="K1980" s="245">
        <v>0</v>
      </c>
      <c r="L1980" s="245">
        <v>156.071955</v>
      </c>
      <c r="M1980" s="245">
        <v>0</v>
      </c>
      <c r="N1980" s="245">
        <v>156.071955</v>
      </c>
      <c r="O1980" s="245" t="s">
        <v>169</v>
      </c>
      <c r="P1980" s="245" t="s">
        <v>331</v>
      </c>
      <c r="Q1980" s="245" t="s">
        <v>331</v>
      </c>
      <c r="R1980" s="246" t="s">
        <v>32</v>
      </c>
    </row>
    <row r="1981" spans="1:18" ht="26" hidden="1" x14ac:dyDescent="0.8">
      <c r="A1981" s="247">
        <v>61223</v>
      </c>
      <c r="B1981" s="248" t="s">
        <v>2448</v>
      </c>
      <c r="C1981" s="249" t="s">
        <v>301</v>
      </c>
      <c r="D1981" s="245">
        <v>0</v>
      </c>
      <c r="F1981" s="245">
        <v>280</v>
      </c>
      <c r="H1981" s="245">
        <v>280</v>
      </c>
      <c r="I1981" s="245">
        <v>0.67666666666666664</v>
      </c>
      <c r="J1981" s="245">
        <v>0</v>
      </c>
      <c r="K1981" s="245">
        <v>0</v>
      </c>
      <c r="L1981" s="245">
        <v>189.46666666666667</v>
      </c>
      <c r="M1981" s="245">
        <v>0</v>
      </c>
      <c r="N1981" s="245">
        <v>189.46666666666667</v>
      </c>
      <c r="O1981" s="245" t="s">
        <v>169</v>
      </c>
      <c r="P1981" s="245" t="s">
        <v>331</v>
      </c>
      <c r="Q1981" s="245" t="s">
        <v>331</v>
      </c>
      <c r="R1981" s="246" t="s">
        <v>32</v>
      </c>
    </row>
    <row r="1982" spans="1:18" hidden="1" x14ac:dyDescent="0.8">
      <c r="A1982" s="247">
        <v>61224</v>
      </c>
      <c r="B1982" s="248" t="s">
        <v>2449</v>
      </c>
      <c r="C1982" s="249" t="s">
        <v>816</v>
      </c>
      <c r="D1982" s="245">
        <v>0</v>
      </c>
      <c r="F1982" s="245">
        <v>2000</v>
      </c>
      <c r="H1982" s="245">
        <v>2000</v>
      </c>
      <c r="I1982" s="245">
        <v>7.4999999999999997E-3</v>
      </c>
      <c r="J1982" s="245">
        <v>0</v>
      </c>
      <c r="K1982" s="245">
        <v>0</v>
      </c>
      <c r="L1982" s="245">
        <v>15</v>
      </c>
      <c r="M1982" s="245">
        <v>0</v>
      </c>
      <c r="N1982" s="245">
        <v>15</v>
      </c>
      <c r="O1982" s="245" t="s">
        <v>169</v>
      </c>
      <c r="P1982" s="245" t="s">
        <v>331</v>
      </c>
      <c r="Q1982" s="245" t="s">
        <v>331</v>
      </c>
      <c r="R1982" s="246" t="s">
        <v>32</v>
      </c>
    </row>
    <row r="1983" spans="1:18" ht="26" hidden="1" x14ac:dyDescent="0.8">
      <c r="A1983" s="247">
        <v>61225</v>
      </c>
      <c r="B1983" s="248" t="s">
        <v>2450</v>
      </c>
      <c r="C1983" s="249" t="s">
        <v>301</v>
      </c>
      <c r="D1983" s="245">
        <v>0</v>
      </c>
      <c r="F1983" s="245">
        <v>192</v>
      </c>
      <c r="H1983" s="245">
        <v>192</v>
      </c>
      <c r="I1983" s="245">
        <v>0.67666666666666664</v>
      </c>
      <c r="J1983" s="245">
        <v>0</v>
      </c>
      <c r="K1983" s="245">
        <v>0</v>
      </c>
      <c r="L1983" s="245">
        <v>129.91999999999999</v>
      </c>
      <c r="M1983" s="245">
        <v>0</v>
      </c>
      <c r="N1983" s="245">
        <v>129.91999999999999</v>
      </c>
      <c r="O1983" s="245" t="s">
        <v>169</v>
      </c>
      <c r="P1983" s="245" t="s">
        <v>331</v>
      </c>
      <c r="Q1983" s="245" t="s">
        <v>2451</v>
      </c>
      <c r="R1983" s="246" t="s">
        <v>32</v>
      </c>
    </row>
    <row r="1984" spans="1:18" ht="26" hidden="1" x14ac:dyDescent="0.8">
      <c r="A1984" s="247">
        <v>61226</v>
      </c>
      <c r="B1984" s="248" t="s">
        <v>2452</v>
      </c>
      <c r="C1984" s="249" t="s">
        <v>59</v>
      </c>
      <c r="D1984" s="245">
        <v>0</v>
      </c>
      <c r="F1984" s="245">
        <v>480</v>
      </c>
      <c r="H1984" s="245">
        <v>480</v>
      </c>
      <c r="I1984" s="245">
        <v>0.8177777777777776</v>
      </c>
      <c r="J1984" s="245">
        <v>0</v>
      </c>
      <c r="K1984" s="245">
        <v>0</v>
      </c>
      <c r="L1984" s="245">
        <v>392.53333333333325</v>
      </c>
      <c r="M1984" s="245">
        <v>0</v>
      </c>
      <c r="N1984" s="245">
        <v>392.53333333333325</v>
      </c>
      <c r="O1984" s="245" t="s">
        <v>169</v>
      </c>
      <c r="P1984" s="245" t="s">
        <v>331</v>
      </c>
      <c r="Q1984" s="245" t="s">
        <v>2451</v>
      </c>
      <c r="R1984" s="246" t="s">
        <v>32</v>
      </c>
    </row>
    <row r="1985" spans="1:18" ht="26" x14ac:dyDescent="0.8">
      <c r="A1985" s="247">
        <v>62</v>
      </c>
      <c r="B1985" s="248" t="s">
        <v>2453</v>
      </c>
      <c r="D1985" s="245">
        <v>0</v>
      </c>
    </row>
    <row r="1986" spans="1:18" ht="26" x14ac:dyDescent="0.8">
      <c r="A1986" s="247">
        <v>621</v>
      </c>
      <c r="B1986" s="248" t="s">
        <v>2454</v>
      </c>
      <c r="D1986" s="245">
        <v>0</v>
      </c>
    </row>
    <row r="1987" spans="1:18" ht="26" x14ac:dyDescent="0.8">
      <c r="A1987" s="247">
        <v>6211</v>
      </c>
      <c r="B1987" s="248" t="s">
        <v>2455</v>
      </c>
      <c r="D1987" s="245">
        <v>0</v>
      </c>
    </row>
    <row r="1988" spans="1:18" ht="26" hidden="1" x14ac:dyDescent="0.8">
      <c r="A1988" s="247">
        <v>62111</v>
      </c>
      <c r="B1988" s="248" t="s">
        <v>2456</v>
      </c>
      <c r="C1988" s="249" t="s">
        <v>59</v>
      </c>
      <c r="D1988" s="245">
        <v>0</v>
      </c>
      <c r="E1988" s="245">
        <v>44.805599999999998</v>
      </c>
      <c r="F1988" s="245">
        <v>44.805599999999998</v>
      </c>
      <c r="G1988" s="245">
        <v>44.805599999999998</v>
      </c>
      <c r="H1988" s="245">
        <v>134.41679999999999</v>
      </c>
      <c r="I1988" s="245">
        <v>0.8177777777777776</v>
      </c>
      <c r="J1988" s="245">
        <v>0</v>
      </c>
      <c r="K1988" s="245">
        <v>36.641023999999987</v>
      </c>
      <c r="L1988" s="245">
        <v>36.641023999999987</v>
      </c>
      <c r="M1988" s="245">
        <v>36.641023999999987</v>
      </c>
      <c r="N1988" s="245">
        <v>109.92307199999996</v>
      </c>
      <c r="O1988" s="245" t="s">
        <v>56</v>
      </c>
      <c r="P1988" s="245" t="s">
        <v>331</v>
      </c>
      <c r="Q1988" s="245" t="s">
        <v>2457</v>
      </c>
      <c r="R1988" s="246" t="s">
        <v>32</v>
      </c>
    </row>
    <row r="1989" spans="1:18" ht="26" x14ac:dyDescent="0.8">
      <c r="A1989" s="247">
        <v>62111</v>
      </c>
      <c r="B1989" s="248" t="s">
        <v>2456</v>
      </c>
      <c r="C1989" s="249" t="s">
        <v>59</v>
      </c>
      <c r="D1989" s="245">
        <v>0</v>
      </c>
      <c r="E1989" s="245">
        <v>11.1944</v>
      </c>
      <c r="F1989" s="245">
        <v>11.1944</v>
      </c>
      <c r="G1989" s="245">
        <v>11.1944</v>
      </c>
      <c r="H1989" s="245">
        <v>33.583199999999998</v>
      </c>
      <c r="I1989" s="245">
        <v>0.8177777777777776</v>
      </c>
      <c r="J1989" s="245">
        <v>0</v>
      </c>
      <c r="K1989" s="245">
        <v>9.154531555555554</v>
      </c>
      <c r="L1989" s="245">
        <v>9.154531555555554</v>
      </c>
      <c r="M1989" s="245">
        <v>9.154531555555554</v>
      </c>
      <c r="N1989" s="245">
        <v>27.463594666666662</v>
      </c>
      <c r="O1989" s="245" t="s">
        <v>118</v>
      </c>
      <c r="P1989" s="245" t="s">
        <v>331</v>
      </c>
      <c r="Q1989" s="245" t="s">
        <v>2457</v>
      </c>
      <c r="R1989" s="246" t="s">
        <v>32</v>
      </c>
    </row>
    <row r="1990" spans="1:18" hidden="1" x14ac:dyDescent="0.8">
      <c r="A1990" s="247">
        <v>62112</v>
      </c>
      <c r="B1990" s="248" t="s">
        <v>2458</v>
      </c>
      <c r="C1990" s="249" t="s">
        <v>66</v>
      </c>
      <c r="D1990" s="245">
        <v>0</v>
      </c>
      <c r="E1990" s="245">
        <v>60</v>
      </c>
      <c r="G1990" s="245">
        <v>60</v>
      </c>
      <c r="H1990" s="245">
        <v>120</v>
      </c>
      <c r="I1990" s="245">
        <v>0.255</v>
      </c>
      <c r="J1990" s="245">
        <v>0</v>
      </c>
      <c r="K1990" s="245">
        <v>15.3</v>
      </c>
      <c r="L1990" s="245">
        <v>0</v>
      </c>
      <c r="M1990" s="245">
        <v>15.3</v>
      </c>
      <c r="N1990" s="245">
        <v>30.6</v>
      </c>
      <c r="O1990" s="245" t="s">
        <v>56</v>
      </c>
      <c r="P1990" s="245" t="s">
        <v>331</v>
      </c>
      <c r="Q1990" s="245" t="s">
        <v>331</v>
      </c>
      <c r="R1990" s="246" t="s">
        <v>32</v>
      </c>
    </row>
    <row r="1991" spans="1:18" hidden="1" x14ac:dyDescent="0.8">
      <c r="A1991" s="247">
        <v>62113</v>
      </c>
      <c r="B1991" s="248" t="s">
        <v>2459</v>
      </c>
      <c r="C1991" s="249" t="s">
        <v>301</v>
      </c>
      <c r="D1991" s="245">
        <v>0</v>
      </c>
      <c r="F1991" s="245">
        <v>280.03500000000003</v>
      </c>
      <c r="H1991" s="245">
        <v>280.03500000000003</v>
      </c>
      <c r="I1991" s="245">
        <v>0.67666666666666664</v>
      </c>
      <c r="J1991" s="245">
        <v>0</v>
      </c>
      <c r="K1991" s="245">
        <v>0</v>
      </c>
      <c r="L1991" s="245">
        <v>189.49035000000001</v>
      </c>
      <c r="M1991" s="245">
        <v>0</v>
      </c>
      <c r="N1991" s="245">
        <v>189.49035000000001</v>
      </c>
      <c r="O1991" s="245" t="s">
        <v>56</v>
      </c>
      <c r="P1991" s="245" t="s">
        <v>331</v>
      </c>
      <c r="Q1991" s="245" t="s">
        <v>331</v>
      </c>
      <c r="R1991" s="246" t="s">
        <v>32</v>
      </c>
    </row>
    <row r="1992" spans="1:18" x14ac:dyDescent="0.8">
      <c r="A1992" s="247">
        <v>62113</v>
      </c>
      <c r="B1992" s="248" t="s">
        <v>2459</v>
      </c>
      <c r="C1992" s="249" t="s">
        <v>301</v>
      </c>
      <c r="D1992" s="245">
        <v>0</v>
      </c>
      <c r="F1992" s="245">
        <v>69.965000000000003</v>
      </c>
      <c r="H1992" s="245">
        <v>69.965000000000003</v>
      </c>
      <c r="I1992" s="245">
        <v>0.67666666666666664</v>
      </c>
      <c r="J1992" s="245">
        <v>0</v>
      </c>
      <c r="K1992" s="245">
        <v>0</v>
      </c>
      <c r="L1992" s="245">
        <v>47.342983333333336</v>
      </c>
      <c r="M1992" s="245">
        <v>0</v>
      </c>
      <c r="N1992" s="245">
        <v>47.342983333333336</v>
      </c>
      <c r="O1992" s="245" t="s">
        <v>118</v>
      </c>
      <c r="P1992" s="245" t="s">
        <v>331</v>
      </c>
      <c r="Q1992" s="245" t="s">
        <v>331</v>
      </c>
      <c r="R1992" s="246" t="s">
        <v>32</v>
      </c>
    </row>
    <row r="1993" spans="1:18" ht="26" hidden="1" x14ac:dyDescent="0.8">
      <c r="A1993" s="247">
        <v>62114</v>
      </c>
      <c r="B1993" s="248" t="s">
        <v>2460</v>
      </c>
      <c r="C1993" s="249" t="s">
        <v>301</v>
      </c>
      <c r="D1993" s="245">
        <v>0</v>
      </c>
      <c r="F1993" s="245">
        <v>336.04200000000003</v>
      </c>
      <c r="H1993" s="245">
        <v>336.04200000000003</v>
      </c>
      <c r="I1993" s="245">
        <v>0.67666666666666664</v>
      </c>
      <c r="J1993" s="245">
        <v>0</v>
      </c>
      <c r="K1993" s="245">
        <v>0</v>
      </c>
      <c r="L1993" s="245">
        <v>227.38842000000002</v>
      </c>
      <c r="M1993" s="245">
        <v>0</v>
      </c>
      <c r="N1993" s="245">
        <v>227.38842000000002</v>
      </c>
      <c r="O1993" s="245" t="s">
        <v>56</v>
      </c>
      <c r="P1993" s="245" t="s">
        <v>331</v>
      </c>
      <c r="Q1993" s="245" t="s">
        <v>222</v>
      </c>
      <c r="R1993" s="246" t="s">
        <v>32</v>
      </c>
    </row>
    <row r="1994" spans="1:18" ht="26" x14ac:dyDescent="0.8">
      <c r="A1994" s="247">
        <v>62114</v>
      </c>
      <c r="B1994" s="248" t="s">
        <v>2460</v>
      </c>
      <c r="C1994" s="249" t="s">
        <v>301</v>
      </c>
      <c r="D1994" s="245">
        <v>0</v>
      </c>
      <c r="F1994" s="245">
        <v>83.957999999999998</v>
      </c>
      <c r="H1994" s="245">
        <v>83.957999999999998</v>
      </c>
      <c r="I1994" s="245">
        <v>0.67666666666666664</v>
      </c>
      <c r="J1994" s="245">
        <v>0</v>
      </c>
      <c r="K1994" s="245">
        <v>0</v>
      </c>
      <c r="L1994" s="245">
        <v>56.811579999999999</v>
      </c>
      <c r="M1994" s="245">
        <v>0</v>
      </c>
      <c r="N1994" s="245">
        <v>56.811579999999999</v>
      </c>
      <c r="O1994" s="245" t="s">
        <v>118</v>
      </c>
      <c r="P1994" s="245" t="s">
        <v>331</v>
      </c>
      <c r="Q1994" s="245" t="s">
        <v>222</v>
      </c>
      <c r="R1994" s="246" t="s">
        <v>32</v>
      </c>
    </row>
    <row r="1995" spans="1:18" ht="52" hidden="1" x14ac:dyDescent="0.8">
      <c r="A1995" s="247">
        <v>62115</v>
      </c>
      <c r="B1995" s="248" t="s">
        <v>2461</v>
      </c>
      <c r="C1995" s="249" t="s">
        <v>55</v>
      </c>
      <c r="D1995" s="245">
        <v>0</v>
      </c>
      <c r="E1995" s="245">
        <v>1</v>
      </c>
      <c r="H1995" s="245">
        <v>1</v>
      </c>
      <c r="I1995" s="245">
        <v>0</v>
      </c>
      <c r="O1995" s="245" t="s">
        <v>56</v>
      </c>
      <c r="P1995" s="245" t="s">
        <v>331</v>
      </c>
      <c r="Q1995" s="245" t="s">
        <v>331</v>
      </c>
      <c r="R1995" s="246" t="s">
        <v>32</v>
      </c>
    </row>
    <row r="1996" spans="1:18" ht="26" hidden="1" x14ac:dyDescent="0.8">
      <c r="A1996" s="247">
        <v>62116</v>
      </c>
      <c r="B1996" s="248" t="s">
        <v>2463</v>
      </c>
      <c r="C1996" s="249" t="s">
        <v>55</v>
      </c>
      <c r="D1996" s="245">
        <v>0</v>
      </c>
      <c r="F1996" s="245">
        <v>1</v>
      </c>
      <c r="G1996" s="245">
        <v>1</v>
      </c>
      <c r="H1996" s="245">
        <v>2</v>
      </c>
      <c r="I1996" s="245">
        <v>0</v>
      </c>
      <c r="O1996" s="245" t="s">
        <v>56</v>
      </c>
      <c r="P1996" s="245" t="s">
        <v>331</v>
      </c>
      <c r="Q1996" s="245" t="s">
        <v>331</v>
      </c>
      <c r="R1996" s="246" t="s">
        <v>32</v>
      </c>
    </row>
    <row r="1997" spans="1:18" ht="26" hidden="1" x14ac:dyDescent="0.8">
      <c r="A1997" s="247">
        <v>62117</v>
      </c>
      <c r="B1997" s="248" t="s">
        <v>2465</v>
      </c>
      <c r="C1997" s="249" t="s">
        <v>73</v>
      </c>
      <c r="D1997" s="245">
        <v>0</v>
      </c>
      <c r="E1997" s="245">
        <v>96</v>
      </c>
      <c r="F1997" s="245">
        <v>96</v>
      </c>
      <c r="G1997" s="245">
        <v>96</v>
      </c>
      <c r="H1997" s="245">
        <v>288</v>
      </c>
      <c r="I1997" s="245">
        <v>0.4</v>
      </c>
      <c r="J1997" s="245">
        <v>0</v>
      </c>
      <c r="K1997" s="245">
        <v>38.400000000000006</v>
      </c>
      <c r="L1997" s="245">
        <v>38.400000000000006</v>
      </c>
      <c r="M1997" s="245">
        <v>38.400000000000006</v>
      </c>
      <c r="N1997" s="245">
        <v>115.20000000000002</v>
      </c>
      <c r="O1997" s="245" t="s">
        <v>56</v>
      </c>
      <c r="P1997" s="245" t="s">
        <v>331</v>
      </c>
      <c r="Q1997" s="245" t="s">
        <v>331</v>
      </c>
      <c r="R1997" s="246" t="s">
        <v>32</v>
      </c>
    </row>
    <row r="1998" spans="1:18" ht="26" x14ac:dyDescent="0.8">
      <c r="A1998" s="247">
        <v>6212</v>
      </c>
      <c r="B1998" s="248" t="s">
        <v>2467</v>
      </c>
      <c r="D1998" s="245">
        <v>0</v>
      </c>
    </row>
    <row r="1999" spans="1:18" hidden="1" x14ac:dyDescent="0.8">
      <c r="A1999" s="247">
        <v>62121</v>
      </c>
      <c r="B1999" s="248" t="s">
        <v>2468</v>
      </c>
      <c r="C1999" s="249" t="s">
        <v>59</v>
      </c>
      <c r="D1999" s="245">
        <v>0</v>
      </c>
      <c r="E1999" s="245">
        <v>200</v>
      </c>
      <c r="G1999" s="245">
        <v>200</v>
      </c>
      <c r="H1999" s="245">
        <v>400</v>
      </c>
      <c r="I1999" s="245">
        <v>0.8177777777777776</v>
      </c>
      <c r="J1999" s="245">
        <v>0</v>
      </c>
      <c r="K1999" s="245">
        <v>163.55555555555551</v>
      </c>
      <c r="L1999" s="245">
        <v>0</v>
      </c>
      <c r="M1999" s="245">
        <v>163.55555555555551</v>
      </c>
      <c r="N1999" s="245">
        <v>327.11111111111103</v>
      </c>
      <c r="O1999" s="245" t="s">
        <v>56</v>
      </c>
      <c r="P1999" s="245" t="s">
        <v>331</v>
      </c>
      <c r="Q1999" s="245" t="s">
        <v>331</v>
      </c>
      <c r="R1999" s="246" t="s">
        <v>32</v>
      </c>
    </row>
    <row r="2000" spans="1:18" ht="26" hidden="1" x14ac:dyDescent="0.8">
      <c r="A2000" s="247">
        <v>62122</v>
      </c>
      <c r="B2000" s="248" t="s">
        <v>2469</v>
      </c>
      <c r="C2000" s="249" t="s">
        <v>301</v>
      </c>
      <c r="D2000" s="245">
        <v>0</v>
      </c>
      <c r="E2000" s="245">
        <v>38.112076799999997</v>
      </c>
      <c r="F2000" s="245">
        <v>63.520128000000007</v>
      </c>
      <c r="G2000" s="245">
        <v>63.520128000000007</v>
      </c>
      <c r="H2000" s="245">
        <v>165.15233280000001</v>
      </c>
      <c r="I2000" s="245">
        <v>0.67666666666666664</v>
      </c>
      <c r="J2000" s="245">
        <v>0</v>
      </c>
      <c r="K2000" s="245">
        <v>25.789171967999998</v>
      </c>
      <c r="L2000" s="245">
        <v>42.981953280000006</v>
      </c>
      <c r="M2000" s="245">
        <v>42.981953280000006</v>
      </c>
      <c r="N2000" s="245">
        <v>111.753078528</v>
      </c>
      <c r="O2000" s="245" t="s">
        <v>56</v>
      </c>
      <c r="P2000" s="245" t="s">
        <v>331</v>
      </c>
      <c r="Q2000" s="245" t="s">
        <v>222</v>
      </c>
      <c r="R2000" s="246" t="s">
        <v>32</v>
      </c>
    </row>
    <row r="2001" spans="1:18" ht="26" x14ac:dyDescent="0.8">
      <c r="A2001" s="247">
        <v>62122</v>
      </c>
      <c r="B2001" s="248" t="s">
        <v>2469</v>
      </c>
      <c r="C2001" s="249" t="s">
        <v>301</v>
      </c>
      <c r="D2001" s="245">
        <v>0</v>
      </c>
      <c r="E2001" s="245">
        <v>1.5880031999999999</v>
      </c>
      <c r="F2001" s="245">
        <v>2.6466720000000006</v>
      </c>
      <c r="G2001" s="245">
        <v>2.6466720000000006</v>
      </c>
      <c r="H2001" s="245">
        <v>6.8813472000000013</v>
      </c>
      <c r="I2001" s="245">
        <v>0.67666666666666664</v>
      </c>
      <c r="J2001" s="245">
        <v>0</v>
      </c>
      <c r="K2001" s="245">
        <v>1.0745488319999998</v>
      </c>
      <c r="L2001" s="245">
        <v>1.7909147200000004</v>
      </c>
      <c r="M2001" s="245">
        <v>1.7909147200000004</v>
      </c>
      <c r="N2001" s="245">
        <v>4.6563782720000013</v>
      </c>
      <c r="O2001" s="245" t="s">
        <v>118</v>
      </c>
      <c r="P2001" s="245" t="s">
        <v>331</v>
      </c>
      <c r="Q2001" s="245" t="s">
        <v>222</v>
      </c>
      <c r="R2001" s="246" t="s">
        <v>32</v>
      </c>
    </row>
    <row r="2002" spans="1:18" ht="26" x14ac:dyDescent="0.8">
      <c r="A2002" s="247">
        <v>62123</v>
      </c>
      <c r="B2002" s="248" t="s">
        <v>2470</v>
      </c>
      <c r="C2002" s="249" t="s">
        <v>2472</v>
      </c>
      <c r="D2002" s="245">
        <v>0</v>
      </c>
      <c r="H2002" s="245">
        <v>0</v>
      </c>
      <c r="I2002" s="245">
        <v>0.15612899999999999</v>
      </c>
      <c r="J2002" s="245">
        <v>0</v>
      </c>
      <c r="K2002" s="245">
        <v>0</v>
      </c>
      <c r="L2002" s="245">
        <v>0</v>
      </c>
      <c r="M2002" s="245">
        <v>0</v>
      </c>
      <c r="N2002" s="245">
        <v>0</v>
      </c>
      <c r="O2002" s="245" t="s">
        <v>178</v>
      </c>
      <c r="P2002" s="245" t="s">
        <v>331</v>
      </c>
      <c r="Q2002" s="245" t="s">
        <v>222</v>
      </c>
      <c r="R2002" s="246" t="s">
        <v>32</v>
      </c>
    </row>
    <row r="2003" spans="1:18" ht="26" hidden="1" x14ac:dyDescent="0.8">
      <c r="A2003" s="247">
        <v>62123</v>
      </c>
      <c r="B2003" s="248" t="s">
        <v>2470</v>
      </c>
      <c r="C2003" s="249" t="s">
        <v>2472</v>
      </c>
      <c r="D2003" s="245">
        <v>0</v>
      </c>
      <c r="E2003" s="245">
        <v>2835.72</v>
      </c>
      <c r="F2003" s="245">
        <v>4726.2</v>
      </c>
      <c r="G2003" s="245">
        <v>4726.2</v>
      </c>
      <c r="H2003" s="245">
        <v>12288.119999999999</v>
      </c>
      <c r="I2003" s="245">
        <v>0.15612899999999999</v>
      </c>
      <c r="J2003" s="245">
        <v>0</v>
      </c>
      <c r="K2003" s="245">
        <v>442.73812787999992</v>
      </c>
      <c r="L2003" s="245">
        <v>737.89687979999997</v>
      </c>
      <c r="M2003" s="245">
        <v>737.89687979999997</v>
      </c>
      <c r="N2003" s="245">
        <v>1918.53188748</v>
      </c>
      <c r="O2003" s="245" t="s">
        <v>169</v>
      </c>
      <c r="P2003" s="245" t="s">
        <v>331</v>
      </c>
      <c r="Q2003" s="245" t="s">
        <v>222</v>
      </c>
      <c r="R2003" s="246" t="s">
        <v>32</v>
      </c>
    </row>
    <row r="2004" spans="1:18" ht="26" hidden="1" x14ac:dyDescent="0.8">
      <c r="A2004" s="247">
        <v>62123</v>
      </c>
      <c r="B2004" s="248" t="s">
        <v>2470</v>
      </c>
      <c r="C2004" s="249" t="s">
        <v>2472</v>
      </c>
      <c r="D2004" s="245">
        <v>0</v>
      </c>
      <c r="E2004" s="245">
        <v>75619.199999999997</v>
      </c>
      <c r="F2004" s="245">
        <v>84057.600000000006</v>
      </c>
      <c r="G2004" s="245">
        <v>92495.200000000012</v>
      </c>
      <c r="H2004" s="245">
        <v>252172</v>
      </c>
      <c r="I2004" s="245">
        <v>0.15612899999999999</v>
      </c>
      <c r="J2004" s="245">
        <v>0</v>
      </c>
      <c r="K2004" s="245">
        <v>11806.350076799999</v>
      </c>
      <c r="L2004" s="245">
        <v>13123.8290304</v>
      </c>
      <c r="M2004" s="245">
        <v>14441.183080800001</v>
      </c>
      <c r="N2004" s="245">
        <v>39371.362187999999</v>
      </c>
      <c r="O2004" s="245" t="s">
        <v>56</v>
      </c>
      <c r="P2004" s="245" t="s">
        <v>331</v>
      </c>
      <c r="Q2004" s="245" t="s">
        <v>222</v>
      </c>
      <c r="R2004" s="246" t="s">
        <v>32</v>
      </c>
    </row>
    <row r="2005" spans="1:18" hidden="1" x14ac:dyDescent="0.8">
      <c r="A2005" s="247">
        <v>62123</v>
      </c>
      <c r="B2005" s="248" t="s">
        <v>2473</v>
      </c>
      <c r="C2005" s="249" t="s">
        <v>59</v>
      </c>
      <c r="D2005" s="245">
        <v>0</v>
      </c>
      <c r="E2005" s="245">
        <v>160</v>
      </c>
      <c r="F2005" s="245">
        <v>160</v>
      </c>
      <c r="G2005" s="245">
        <v>160</v>
      </c>
      <c r="H2005" s="245">
        <v>480</v>
      </c>
      <c r="I2005" s="245">
        <v>0.8177777777777776</v>
      </c>
      <c r="J2005" s="245">
        <v>0</v>
      </c>
      <c r="K2005" s="245">
        <v>130.84444444444441</v>
      </c>
      <c r="L2005" s="245">
        <v>130.84444444444441</v>
      </c>
      <c r="M2005" s="245">
        <v>130.84444444444441</v>
      </c>
      <c r="N2005" s="245">
        <v>392.53333333333319</v>
      </c>
      <c r="O2005" s="245" t="s">
        <v>56</v>
      </c>
      <c r="P2005" s="245" t="s">
        <v>331</v>
      </c>
      <c r="Q2005" s="245" t="s">
        <v>2474</v>
      </c>
      <c r="R2005" s="246" t="s">
        <v>32</v>
      </c>
    </row>
    <row r="2006" spans="1:18" hidden="1" x14ac:dyDescent="0.8">
      <c r="A2006" s="247">
        <v>62124</v>
      </c>
      <c r="B2006" s="248" t="s">
        <v>2475</v>
      </c>
      <c r="C2006" s="249" t="s">
        <v>55</v>
      </c>
      <c r="D2006" s="245">
        <v>0</v>
      </c>
      <c r="E2006" s="245">
        <v>1</v>
      </c>
      <c r="F2006" s="245">
        <v>1</v>
      </c>
      <c r="G2006" s="245">
        <v>1</v>
      </c>
      <c r="H2006" s="245">
        <v>3</v>
      </c>
      <c r="I2006" s="245">
        <v>0</v>
      </c>
      <c r="O2006" s="245" t="s">
        <v>56</v>
      </c>
      <c r="P2006" s="245" t="s">
        <v>331</v>
      </c>
      <c r="Q2006" s="245" t="s">
        <v>2476</v>
      </c>
      <c r="R2006" s="246" t="s">
        <v>32</v>
      </c>
    </row>
    <row r="2007" spans="1:18" ht="26" x14ac:dyDescent="0.8">
      <c r="A2007" s="247">
        <v>62125</v>
      </c>
      <c r="B2007" s="248" t="s">
        <v>2477</v>
      </c>
      <c r="C2007" s="249" t="s">
        <v>59</v>
      </c>
      <c r="D2007" s="245">
        <v>0</v>
      </c>
      <c r="H2007" s="245">
        <v>0</v>
      </c>
      <c r="I2007" s="245">
        <v>0.8177777777777776</v>
      </c>
      <c r="J2007" s="245">
        <v>0</v>
      </c>
      <c r="K2007" s="245">
        <v>0</v>
      </c>
      <c r="L2007" s="245">
        <v>0</v>
      </c>
      <c r="M2007" s="245">
        <v>0</v>
      </c>
      <c r="N2007" s="245">
        <v>0</v>
      </c>
      <c r="O2007" s="245" t="s">
        <v>178</v>
      </c>
      <c r="P2007" s="245" t="s">
        <v>331</v>
      </c>
      <c r="Q2007" s="245" t="s">
        <v>331</v>
      </c>
      <c r="R2007" s="246" t="s">
        <v>32</v>
      </c>
    </row>
    <row r="2008" spans="1:18" ht="26" hidden="1" x14ac:dyDescent="0.8">
      <c r="A2008" s="247">
        <v>62125</v>
      </c>
      <c r="B2008" s="248" t="s">
        <v>2477</v>
      </c>
      <c r="C2008" s="249" t="s">
        <v>59</v>
      </c>
      <c r="D2008" s="245">
        <v>0</v>
      </c>
      <c r="E2008" s="245">
        <v>63</v>
      </c>
      <c r="F2008" s="245">
        <v>63</v>
      </c>
      <c r="G2008" s="245">
        <v>112</v>
      </c>
      <c r="H2008" s="245">
        <v>238</v>
      </c>
      <c r="I2008" s="245">
        <v>0.8177777777777776</v>
      </c>
      <c r="J2008" s="245">
        <v>0</v>
      </c>
      <c r="K2008" s="245">
        <v>51.519999999999989</v>
      </c>
      <c r="L2008" s="245">
        <v>51.519999999999989</v>
      </c>
      <c r="M2008" s="245">
        <v>91.59111111111109</v>
      </c>
      <c r="N2008" s="245">
        <v>194.63111111111107</v>
      </c>
      <c r="O2008" s="245" t="s">
        <v>169</v>
      </c>
      <c r="P2008" s="245" t="s">
        <v>331</v>
      </c>
      <c r="Q2008" s="245" t="s">
        <v>331</v>
      </c>
      <c r="R2008" s="246" t="s">
        <v>32</v>
      </c>
    </row>
    <row r="2009" spans="1:18" x14ac:dyDescent="0.8">
      <c r="A2009" s="247">
        <v>63</v>
      </c>
      <c r="B2009" s="248" t="s">
        <v>2478</v>
      </c>
      <c r="D2009" s="245">
        <v>0</v>
      </c>
    </row>
    <row r="2010" spans="1:18" ht="26" x14ac:dyDescent="0.8">
      <c r="A2010" s="247">
        <v>631</v>
      </c>
      <c r="B2010" s="248" t="s">
        <v>2479</v>
      </c>
      <c r="D2010" s="245">
        <v>0</v>
      </c>
    </row>
    <row r="2011" spans="1:18" x14ac:dyDescent="0.8">
      <c r="A2011" s="247">
        <v>6311</v>
      </c>
      <c r="B2011" s="248" t="s">
        <v>2480</v>
      </c>
      <c r="D2011" s="245">
        <v>0</v>
      </c>
    </row>
    <row r="2012" spans="1:18" hidden="1" x14ac:dyDescent="0.8">
      <c r="A2012" s="247">
        <v>63111</v>
      </c>
      <c r="B2012" s="248" t="s">
        <v>2481</v>
      </c>
      <c r="C2012" s="249" t="s">
        <v>66</v>
      </c>
      <c r="D2012" s="245">
        <v>0</v>
      </c>
      <c r="E2012" s="245">
        <v>32</v>
      </c>
      <c r="H2012" s="245">
        <v>32</v>
      </c>
      <c r="I2012" s="245">
        <v>0.255</v>
      </c>
      <c r="J2012" s="245">
        <v>0</v>
      </c>
      <c r="K2012" s="245">
        <v>8.16</v>
      </c>
      <c r="L2012" s="245">
        <v>0</v>
      </c>
      <c r="M2012" s="245">
        <v>0</v>
      </c>
      <c r="N2012" s="245">
        <v>8.16</v>
      </c>
      <c r="O2012" s="245" t="s">
        <v>169</v>
      </c>
      <c r="P2012" s="245" t="s">
        <v>331</v>
      </c>
      <c r="Q2012" s="245" t="s">
        <v>2482</v>
      </c>
      <c r="R2012" s="246" t="s">
        <v>32</v>
      </c>
    </row>
    <row r="2013" spans="1:18" hidden="1" x14ac:dyDescent="0.8">
      <c r="A2013" s="247">
        <v>63112</v>
      </c>
      <c r="B2013" s="248" t="s">
        <v>2483</v>
      </c>
      <c r="C2013" s="249" t="s">
        <v>45</v>
      </c>
      <c r="D2013" s="245">
        <v>0</v>
      </c>
      <c r="F2013" s="245">
        <v>7440.2080000000005</v>
      </c>
      <c r="H2013" s="245">
        <v>7440.2080000000005</v>
      </c>
      <c r="I2013" s="245">
        <v>0.03</v>
      </c>
      <c r="J2013" s="245">
        <v>0</v>
      </c>
      <c r="K2013" s="245">
        <v>0</v>
      </c>
      <c r="L2013" s="245">
        <v>223.20624000000001</v>
      </c>
      <c r="M2013" s="245">
        <v>0</v>
      </c>
      <c r="N2013" s="245">
        <v>223.20624000000001</v>
      </c>
      <c r="O2013" s="245" t="s">
        <v>169</v>
      </c>
      <c r="P2013" s="245" t="s">
        <v>331</v>
      </c>
      <c r="Q2013" s="245" t="s">
        <v>331</v>
      </c>
      <c r="R2013" s="246" t="s">
        <v>32</v>
      </c>
    </row>
    <row r="2014" spans="1:18" hidden="1" x14ac:dyDescent="0.8">
      <c r="A2014" s="247">
        <v>63113</v>
      </c>
      <c r="B2014" s="248" t="s">
        <v>2484</v>
      </c>
      <c r="C2014" s="249" t="s">
        <v>55</v>
      </c>
      <c r="D2014" s="245">
        <v>0</v>
      </c>
      <c r="F2014" s="245">
        <v>1</v>
      </c>
      <c r="G2014" s="245">
        <v>1</v>
      </c>
      <c r="H2014" s="245">
        <v>2</v>
      </c>
      <c r="I2014" s="245">
        <v>0</v>
      </c>
      <c r="O2014" s="245" t="s">
        <v>169</v>
      </c>
      <c r="P2014" s="245" t="s">
        <v>331</v>
      </c>
      <c r="Q2014" s="245" t="s">
        <v>331</v>
      </c>
      <c r="R2014" s="246" t="s">
        <v>32</v>
      </c>
    </row>
    <row r="2015" spans="1:18" ht="39" hidden="1" x14ac:dyDescent="0.8">
      <c r="A2015" s="247">
        <v>63114</v>
      </c>
      <c r="B2015" s="248" t="s">
        <v>2485</v>
      </c>
      <c r="C2015" s="249" t="s">
        <v>55</v>
      </c>
      <c r="D2015" s="245">
        <v>0</v>
      </c>
      <c r="E2015" s="245">
        <v>1</v>
      </c>
      <c r="H2015" s="245">
        <v>1</v>
      </c>
      <c r="I2015" s="245">
        <v>0</v>
      </c>
      <c r="O2015" s="245" t="s">
        <v>56</v>
      </c>
      <c r="P2015" s="245" t="s">
        <v>331</v>
      </c>
      <c r="Q2015" s="245" t="s">
        <v>331</v>
      </c>
      <c r="R2015" s="246" t="s">
        <v>32</v>
      </c>
    </row>
    <row r="2016" spans="1:18" x14ac:dyDescent="0.8">
      <c r="A2016" s="247">
        <v>6312</v>
      </c>
      <c r="B2016" s="248" t="s">
        <v>2486</v>
      </c>
      <c r="D2016" s="245">
        <v>0</v>
      </c>
    </row>
    <row r="2017" spans="1:18" hidden="1" x14ac:dyDescent="0.8">
      <c r="A2017" s="247">
        <v>63121</v>
      </c>
      <c r="B2017" s="248" t="s">
        <v>2487</v>
      </c>
      <c r="C2017" s="249" t="s">
        <v>301</v>
      </c>
      <c r="D2017" s="245">
        <v>0</v>
      </c>
      <c r="G2017" s="245">
        <v>192.024</v>
      </c>
      <c r="H2017" s="245">
        <v>192.024</v>
      </c>
      <c r="I2017" s="245">
        <v>0.67666666666666664</v>
      </c>
      <c r="J2017" s="245">
        <v>0</v>
      </c>
      <c r="K2017" s="245">
        <v>0</v>
      </c>
      <c r="L2017" s="245">
        <v>0</v>
      </c>
      <c r="M2017" s="245">
        <v>129.93624</v>
      </c>
      <c r="N2017" s="245">
        <v>129.93624</v>
      </c>
      <c r="O2017" s="245" t="s">
        <v>169</v>
      </c>
      <c r="P2017" s="245" t="s">
        <v>331</v>
      </c>
      <c r="Q2017" s="245" t="s">
        <v>347</v>
      </c>
      <c r="R2017" s="246" t="s">
        <v>32</v>
      </c>
    </row>
    <row r="2018" spans="1:18" x14ac:dyDescent="0.8">
      <c r="A2018" s="247">
        <v>63121</v>
      </c>
      <c r="B2018" s="248" t="s">
        <v>2487</v>
      </c>
      <c r="C2018" s="249" t="s">
        <v>301</v>
      </c>
      <c r="D2018" s="245">
        <v>0</v>
      </c>
      <c r="G2018" s="245">
        <v>47.975999999999999</v>
      </c>
      <c r="H2018" s="245">
        <v>47.975999999999999</v>
      </c>
      <c r="I2018" s="245">
        <v>0.67666666666666664</v>
      </c>
      <c r="J2018" s="245">
        <v>0</v>
      </c>
      <c r="K2018" s="245">
        <v>0</v>
      </c>
      <c r="L2018" s="245">
        <v>0</v>
      </c>
      <c r="M2018" s="245">
        <v>32.463760000000001</v>
      </c>
      <c r="N2018" s="245">
        <v>32.463760000000001</v>
      </c>
      <c r="O2018" s="245" t="s">
        <v>118</v>
      </c>
      <c r="P2018" s="245" t="s">
        <v>331</v>
      </c>
      <c r="Q2018" s="245" t="s">
        <v>347</v>
      </c>
      <c r="R2018" s="246" t="s">
        <v>32</v>
      </c>
    </row>
    <row r="2019" spans="1:18" hidden="1" x14ac:dyDescent="0.8">
      <c r="A2019" s="247">
        <v>63122</v>
      </c>
      <c r="B2019" s="248" t="s">
        <v>2488</v>
      </c>
      <c r="C2019" s="249" t="s">
        <v>301</v>
      </c>
      <c r="D2019" s="245">
        <v>0</v>
      </c>
      <c r="F2019" s="245">
        <v>420</v>
      </c>
      <c r="G2019" s="245">
        <v>420</v>
      </c>
      <c r="H2019" s="245">
        <v>840</v>
      </c>
      <c r="I2019" s="245">
        <v>0.67666666666666664</v>
      </c>
      <c r="J2019" s="245">
        <v>0</v>
      </c>
      <c r="K2019" s="245">
        <v>0</v>
      </c>
      <c r="L2019" s="245">
        <v>284.2</v>
      </c>
      <c r="M2019" s="245">
        <v>284.2</v>
      </c>
      <c r="N2019" s="245">
        <v>568.4</v>
      </c>
      <c r="O2019" s="245" t="s">
        <v>169</v>
      </c>
      <c r="P2019" s="245" t="s">
        <v>331</v>
      </c>
      <c r="Q2019" s="245" t="s">
        <v>347</v>
      </c>
      <c r="R2019" s="246" t="s">
        <v>32</v>
      </c>
    </row>
    <row r="2020" spans="1:18" x14ac:dyDescent="0.8">
      <c r="A2020" s="247">
        <v>63122</v>
      </c>
      <c r="B2020" s="248" t="s">
        <v>2488</v>
      </c>
      <c r="C2020" s="249" t="s">
        <v>301</v>
      </c>
      <c r="D2020" s="245">
        <v>0</v>
      </c>
      <c r="G2020" s="245">
        <v>83.957999999999998</v>
      </c>
      <c r="H2020" s="245">
        <v>83.957999999999998</v>
      </c>
      <c r="I2020" s="245">
        <v>0.67666666666666664</v>
      </c>
      <c r="J2020" s="245">
        <v>0</v>
      </c>
      <c r="K2020" s="245">
        <v>0</v>
      </c>
      <c r="L2020" s="245">
        <v>0</v>
      </c>
      <c r="M2020" s="245">
        <v>56.811579999999999</v>
      </c>
      <c r="N2020" s="245">
        <v>56.811579999999999</v>
      </c>
      <c r="O2020" s="245" t="s">
        <v>118</v>
      </c>
      <c r="P2020" s="245" t="s">
        <v>331</v>
      </c>
      <c r="Q2020" s="245" t="s">
        <v>347</v>
      </c>
      <c r="R2020" s="246" t="s">
        <v>32</v>
      </c>
    </row>
    <row r="2021" spans="1:18" ht="26" x14ac:dyDescent="0.8">
      <c r="A2021" s="247">
        <v>632</v>
      </c>
      <c r="B2021" s="248" t="s">
        <v>2489</v>
      </c>
      <c r="D2021" s="245">
        <v>0</v>
      </c>
    </row>
    <row r="2022" spans="1:18" ht="26" x14ac:dyDescent="0.8">
      <c r="A2022" s="247">
        <v>6321</v>
      </c>
      <c r="B2022" s="248" t="s">
        <v>2490</v>
      </c>
      <c r="D2022" s="245">
        <v>0</v>
      </c>
    </row>
    <row r="2023" spans="1:18" ht="26" x14ac:dyDescent="0.8">
      <c r="A2023" s="247">
        <v>63211</v>
      </c>
      <c r="B2023" s="248" t="s">
        <v>2491</v>
      </c>
      <c r="C2023" s="249" t="s">
        <v>295</v>
      </c>
      <c r="D2023" s="245">
        <v>0</v>
      </c>
      <c r="E2023" s="245">
        <v>4</v>
      </c>
      <c r="H2023" s="245">
        <v>4</v>
      </c>
      <c r="I2023" s="245">
        <v>40.32</v>
      </c>
      <c r="J2023" s="245">
        <v>0</v>
      </c>
      <c r="K2023" s="245">
        <v>161.28</v>
      </c>
      <c r="L2023" s="245">
        <v>0</v>
      </c>
      <c r="M2023" s="245">
        <v>0</v>
      </c>
      <c r="N2023" s="245">
        <v>161.28</v>
      </c>
      <c r="O2023" s="245" t="s">
        <v>118</v>
      </c>
      <c r="P2023" s="245" t="s">
        <v>331</v>
      </c>
      <c r="Q2023" s="245" t="s">
        <v>331</v>
      </c>
      <c r="R2023" s="246" t="s">
        <v>32</v>
      </c>
    </row>
    <row r="2024" spans="1:18" x14ac:dyDescent="0.8">
      <c r="A2024" s="247">
        <v>63212</v>
      </c>
      <c r="B2024" s="248" t="s">
        <v>2493</v>
      </c>
      <c r="C2024" s="249" t="s">
        <v>38</v>
      </c>
      <c r="D2024" s="245">
        <v>0</v>
      </c>
      <c r="E2024" s="245">
        <v>280</v>
      </c>
      <c r="H2024" s="245">
        <v>280</v>
      </c>
      <c r="I2024" s="245">
        <v>0.3133333333333333</v>
      </c>
      <c r="J2024" s="245">
        <v>0</v>
      </c>
      <c r="K2024" s="245">
        <v>87.73333333333332</v>
      </c>
      <c r="L2024" s="245">
        <v>0</v>
      </c>
      <c r="M2024" s="245">
        <v>0</v>
      </c>
      <c r="N2024" s="245">
        <v>87.73333333333332</v>
      </c>
      <c r="O2024" s="245" t="s">
        <v>118</v>
      </c>
      <c r="P2024" s="245" t="s">
        <v>331</v>
      </c>
      <c r="Q2024" s="245" t="s">
        <v>331</v>
      </c>
      <c r="R2024" s="246" t="s">
        <v>32</v>
      </c>
    </row>
    <row r="2025" spans="1:18" x14ac:dyDescent="0.8">
      <c r="A2025" s="247">
        <v>63212</v>
      </c>
      <c r="B2025" s="248" t="s">
        <v>2494</v>
      </c>
      <c r="C2025" s="249" t="s">
        <v>101</v>
      </c>
      <c r="D2025" s="245">
        <v>0</v>
      </c>
      <c r="E2025" s="245">
        <v>10</v>
      </c>
      <c r="H2025" s="245">
        <v>10</v>
      </c>
      <c r="I2025" s="245">
        <v>2.651545</v>
      </c>
      <c r="J2025" s="245">
        <v>0</v>
      </c>
      <c r="K2025" s="245">
        <v>26.515450000000001</v>
      </c>
      <c r="L2025" s="245">
        <v>0</v>
      </c>
      <c r="M2025" s="245">
        <v>0</v>
      </c>
      <c r="N2025" s="245">
        <v>26.515450000000001</v>
      </c>
      <c r="O2025" s="245" t="s">
        <v>118</v>
      </c>
      <c r="P2025" s="245" t="s">
        <v>331</v>
      </c>
      <c r="Q2025" s="245" t="s">
        <v>331</v>
      </c>
      <c r="R2025" s="246" t="s">
        <v>32</v>
      </c>
    </row>
    <row r="2026" spans="1:18" ht="26" hidden="1" x14ac:dyDescent="0.8">
      <c r="A2026" s="247">
        <v>63213</v>
      </c>
      <c r="B2026" s="248" t="s">
        <v>2495</v>
      </c>
      <c r="C2026" s="249" t="s">
        <v>301</v>
      </c>
      <c r="D2026" s="245">
        <v>0</v>
      </c>
      <c r="F2026" s="245">
        <v>336.04200000000003</v>
      </c>
      <c r="H2026" s="245">
        <v>336.04200000000003</v>
      </c>
      <c r="I2026" s="245">
        <v>0.67666666666666664</v>
      </c>
      <c r="J2026" s="245">
        <v>0</v>
      </c>
      <c r="K2026" s="245">
        <v>0</v>
      </c>
      <c r="L2026" s="245">
        <v>227.38842000000002</v>
      </c>
      <c r="M2026" s="245">
        <v>0</v>
      </c>
      <c r="N2026" s="245">
        <v>227.38842000000002</v>
      </c>
      <c r="O2026" s="245" t="s">
        <v>56</v>
      </c>
      <c r="P2026" s="245" t="s">
        <v>331</v>
      </c>
      <c r="Q2026" s="245" t="s">
        <v>331</v>
      </c>
      <c r="R2026" s="246" t="s">
        <v>32</v>
      </c>
    </row>
    <row r="2027" spans="1:18" ht="26" x14ac:dyDescent="0.8">
      <c r="A2027" s="247">
        <v>63213</v>
      </c>
      <c r="B2027" s="248" t="s">
        <v>2495</v>
      </c>
      <c r="C2027" s="249" t="s">
        <v>301</v>
      </c>
      <c r="D2027" s="245">
        <v>0</v>
      </c>
      <c r="F2027" s="245">
        <v>83.957999999999998</v>
      </c>
      <c r="H2027" s="245">
        <v>83.957999999999998</v>
      </c>
      <c r="I2027" s="245">
        <v>0.67666666666666664</v>
      </c>
      <c r="J2027" s="245">
        <v>0</v>
      </c>
      <c r="K2027" s="245">
        <v>0</v>
      </c>
      <c r="L2027" s="245">
        <v>56.811579999999999</v>
      </c>
      <c r="M2027" s="245">
        <v>0</v>
      </c>
      <c r="N2027" s="245">
        <v>56.811579999999999</v>
      </c>
      <c r="O2027" s="245" t="s">
        <v>118</v>
      </c>
      <c r="P2027" s="245" t="s">
        <v>331</v>
      </c>
      <c r="Q2027" s="245" t="s">
        <v>331</v>
      </c>
      <c r="R2027" s="246" t="s">
        <v>32</v>
      </c>
    </row>
    <row r="2028" spans="1:18" ht="26" hidden="1" x14ac:dyDescent="0.8">
      <c r="A2028" s="247">
        <v>63214</v>
      </c>
      <c r="B2028" s="248" t="s">
        <v>2496</v>
      </c>
      <c r="C2028" s="249" t="s">
        <v>55</v>
      </c>
      <c r="D2028" s="245">
        <v>0</v>
      </c>
      <c r="F2028" s="245">
        <v>1</v>
      </c>
      <c r="G2028" s="245">
        <v>1</v>
      </c>
      <c r="H2028" s="245">
        <v>2</v>
      </c>
      <c r="I2028" s="245">
        <v>0</v>
      </c>
      <c r="O2028" s="245" t="s">
        <v>56</v>
      </c>
      <c r="P2028" s="245" t="s">
        <v>331</v>
      </c>
      <c r="Q2028" s="245" t="s">
        <v>222</v>
      </c>
      <c r="R2028" s="246" t="s">
        <v>32</v>
      </c>
    </row>
    <row r="2029" spans="1:18" hidden="1" x14ac:dyDescent="0.8">
      <c r="A2029" s="247">
        <v>63215</v>
      </c>
      <c r="B2029" s="248" t="s">
        <v>2497</v>
      </c>
      <c r="C2029" s="249" t="s">
        <v>66</v>
      </c>
      <c r="D2029" s="245">
        <v>0</v>
      </c>
      <c r="G2029" s="245">
        <v>140</v>
      </c>
      <c r="H2029" s="245">
        <v>140</v>
      </c>
      <c r="I2029" s="245">
        <v>0.255</v>
      </c>
      <c r="J2029" s="245">
        <v>0</v>
      </c>
      <c r="K2029" s="245">
        <v>0</v>
      </c>
      <c r="L2029" s="245">
        <v>0</v>
      </c>
      <c r="M2029" s="245">
        <v>35.700000000000003</v>
      </c>
      <c r="N2029" s="245">
        <v>35.700000000000003</v>
      </c>
      <c r="O2029" s="245" t="s">
        <v>56</v>
      </c>
      <c r="P2029" s="245" t="s">
        <v>331</v>
      </c>
      <c r="Q2029" s="245" t="s">
        <v>331</v>
      </c>
      <c r="R2029" s="246" t="s">
        <v>32</v>
      </c>
    </row>
    <row r="2030" spans="1:18" ht="26" hidden="1" x14ac:dyDescent="0.8">
      <c r="A2030" s="247">
        <v>63216</v>
      </c>
      <c r="B2030" s="248" t="s">
        <v>2498</v>
      </c>
      <c r="C2030" s="249" t="s">
        <v>45</v>
      </c>
      <c r="D2030" s="245">
        <v>0</v>
      </c>
      <c r="G2030" s="245">
        <v>200</v>
      </c>
      <c r="H2030" s="245">
        <v>200</v>
      </c>
      <c r="I2030" s="245">
        <v>0.03</v>
      </c>
      <c r="J2030" s="245">
        <v>0</v>
      </c>
      <c r="K2030" s="245">
        <v>0</v>
      </c>
      <c r="L2030" s="245">
        <v>0</v>
      </c>
      <c r="M2030" s="245">
        <v>6</v>
      </c>
      <c r="N2030" s="245">
        <v>6</v>
      </c>
      <c r="O2030" s="245" t="s">
        <v>56</v>
      </c>
      <c r="P2030" s="245" t="s">
        <v>331</v>
      </c>
      <c r="Q2030" s="245" t="s">
        <v>331</v>
      </c>
      <c r="R2030" s="246" t="s">
        <v>32</v>
      </c>
    </row>
    <row r="2031" spans="1:18" ht="39" x14ac:dyDescent="0.8">
      <c r="A2031" s="247">
        <v>633</v>
      </c>
      <c r="B2031" s="248" t="s">
        <v>2499</v>
      </c>
      <c r="D2031" s="245">
        <v>0</v>
      </c>
    </row>
    <row r="2032" spans="1:18" x14ac:dyDescent="0.8">
      <c r="A2032" s="247">
        <v>6331</v>
      </c>
      <c r="B2032" s="248" t="s">
        <v>2500</v>
      </c>
      <c r="D2032" s="245">
        <v>0</v>
      </c>
    </row>
    <row r="2033" spans="1:18" ht="26" x14ac:dyDescent="0.8">
      <c r="A2033" s="247">
        <v>63311</v>
      </c>
      <c r="B2033" s="248" t="s">
        <v>2501</v>
      </c>
      <c r="C2033" s="249" t="s">
        <v>101</v>
      </c>
      <c r="D2033" s="245">
        <v>0</v>
      </c>
      <c r="E2033" s="245">
        <v>45</v>
      </c>
      <c r="H2033" s="245">
        <v>45</v>
      </c>
      <c r="I2033" s="245">
        <v>2.651545</v>
      </c>
      <c r="J2033" s="245">
        <v>0</v>
      </c>
      <c r="K2033" s="245">
        <v>119.319525</v>
      </c>
      <c r="L2033" s="245">
        <v>0</v>
      </c>
      <c r="M2033" s="245">
        <v>0</v>
      </c>
      <c r="N2033" s="245">
        <v>119.319525</v>
      </c>
      <c r="O2033" s="245" t="s">
        <v>118</v>
      </c>
      <c r="P2033" s="245" t="s">
        <v>331</v>
      </c>
      <c r="Q2033" s="245" t="s">
        <v>431</v>
      </c>
      <c r="R2033" s="246" t="s">
        <v>679</v>
      </c>
    </row>
    <row r="2034" spans="1:18" ht="65" hidden="1" x14ac:dyDescent="0.8">
      <c r="A2034" s="247">
        <v>63312</v>
      </c>
      <c r="B2034" s="248" t="s">
        <v>2502</v>
      </c>
      <c r="C2034" s="249" t="s">
        <v>55</v>
      </c>
      <c r="D2034" s="245">
        <v>0</v>
      </c>
      <c r="E2034" s="245">
        <v>1</v>
      </c>
      <c r="H2034" s="245">
        <v>1</v>
      </c>
      <c r="I2034" s="245">
        <v>0</v>
      </c>
      <c r="O2034" s="245" t="s">
        <v>56</v>
      </c>
      <c r="P2034" s="245" t="s">
        <v>331</v>
      </c>
      <c r="Q2034" s="245" t="s">
        <v>431</v>
      </c>
      <c r="R2034" s="246" t="s">
        <v>679</v>
      </c>
    </row>
    <row r="2035" spans="1:18" ht="39" hidden="1" x14ac:dyDescent="0.8">
      <c r="A2035" s="247">
        <v>63312</v>
      </c>
      <c r="B2035" s="248" t="s">
        <v>2503</v>
      </c>
      <c r="C2035" s="249" t="s">
        <v>55</v>
      </c>
      <c r="D2035" s="245">
        <v>0</v>
      </c>
      <c r="F2035" s="245">
        <v>1</v>
      </c>
      <c r="H2035" s="245">
        <v>1</v>
      </c>
      <c r="I2035" s="245">
        <v>0</v>
      </c>
      <c r="O2035" s="245" t="s">
        <v>56</v>
      </c>
      <c r="P2035" s="245" t="s">
        <v>331</v>
      </c>
      <c r="Q2035" s="245" t="s">
        <v>248</v>
      </c>
      <c r="R2035" s="246" t="s">
        <v>677</v>
      </c>
    </row>
    <row r="2036" spans="1:18" x14ac:dyDescent="0.8">
      <c r="A2036" s="247">
        <v>6332</v>
      </c>
      <c r="B2036" s="248" t="s">
        <v>2504</v>
      </c>
      <c r="D2036" s="245">
        <v>0</v>
      </c>
    </row>
    <row r="2037" spans="1:18" ht="26" hidden="1" x14ac:dyDescent="0.8">
      <c r="A2037" s="247">
        <v>63321</v>
      </c>
      <c r="B2037" s="248" t="s">
        <v>2505</v>
      </c>
      <c r="C2037" s="249" t="s">
        <v>55</v>
      </c>
      <c r="D2037" s="245">
        <v>0</v>
      </c>
      <c r="F2037" s="245">
        <v>1</v>
      </c>
      <c r="H2037" s="245">
        <v>1</v>
      </c>
      <c r="I2037" s="245">
        <v>0</v>
      </c>
      <c r="O2037" s="245" t="s">
        <v>56</v>
      </c>
      <c r="P2037" s="245" t="s">
        <v>431</v>
      </c>
      <c r="Q2037" s="245" t="s">
        <v>431</v>
      </c>
      <c r="R2037" s="246" t="s">
        <v>679</v>
      </c>
    </row>
    <row r="2038" spans="1:18" ht="26" hidden="1" x14ac:dyDescent="0.8">
      <c r="A2038" s="247">
        <v>63322</v>
      </c>
      <c r="B2038" s="248" t="s">
        <v>2507</v>
      </c>
      <c r="C2038" s="249" t="s">
        <v>55</v>
      </c>
      <c r="D2038" s="245">
        <v>0</v>
      </c>
      <c r="G2038" s="245">
        <v>1</v>
      </c>
      <c r="H2038" s="245">
        <v>1</v>
      </c>
      <c r="I2038" s="245">
        <v>0</v>
      </c>
      <c r="O2038" s="245" t="s">
        <v>56</v>
      </c>
      <c r="P2038" s="245" t="s">
        <v>431</v>
      </c>
      <c r="Q2038" s="245" t="s">
        <v>431</v>
      </c>
      <c r="R2038" s="246" t="s">
        <v>679</v>
      </c>
    </row>
    <row r="2039" spans="1:18" ht="39" x14ac:dyDescent="0.8">
      <c r="A2039" s="247">
        <v>634</v>
      </c>
      <c r="B2039" s="248" t="s">
        <v>2508</v>
      </c>
      <c r="D2039" s="245">
        <v>0</v>
      </c>
    </row>
    <row r="2040" spans="1:18" x14ac:dyDescent="0.8">
      <c r="A2040" s="247">
        <v>6341</v>
      </c>
      <c r="B2040" s="248" t="s">
        <v>2509</v>
      </c>
      <c r="D2040" s="245">
        <v>0</v>
      </c>
    </row>
    <row r="2041" spans="1:18" ht="26" hidden="1" x14ac:dyDescent="0.8">
      <c r="A2041" s="247">
        <v>63411</v>
      </c>
      <c r="B2041" s="248" t="s">
        <v>2510</v>
      </c>
      <c r="C2041" s="249" t="s">
        <v>55</v>
      </c>
      <c r="D2041" s="245">
        <v>0</v>
      </c>
      <c r="F2041" s="245">
        <v>1</v>
      </c>
      <c r="H2041" s="245">
        <v>1</v>
      </c>
      <c r="I2041" s="245">
        <v>0</v>
      </c>
      <c r="O2041" s="245" t="s">
        <v>56</v>
      </c>
      <c r="P2041" s="245" t="s">
        <v>331</v>
      </c>
      <c r="Q2041" s="245" t="s">
        <v>2512</v>
      </c>
      <c r="R2041" s="246" t="s">
        <v>32</v>
      </c>
    </row>
    <row r="2042" spans="1:18" hidden="1" x14ac:dyDescent="0.8">
      <c r="A2042" s="247">
        <v>63412</v>
      </c>
      <c r="B2042" s="248" t="s">
        <v>2513</v>
      </c>
      <c r="C2042" s="249" t="s">
        <v>55</v>
      </c>
      <c r="D2042" s="245">
        <v>0</v>
      </c>
      <c r="G2042" s="245">
        <v>3</v>
      </c>
      <c r="H2042" s="245">
        <v>3</v>
      </c>
      <c r="I2042" s="245">
        <v>0</v>
      </c>
      <c r="O2042" s="245" t="s">
        <v>56</v>
      </c>
      <c r="P2042" s="245" t="s">
        <v>331</v>
      </c>
      <c r="Q2042" s="245" t="s">
        <v>331</v>
      </c>
      <c r="R2042" s="246" t="s">
        <v>32</v>
      </c>
    </row>
    <row r="2043" spans="1:18" hidden="1" x14ac:dyDescent="0.8">
      <c r="A2043" s="247">
        <v>63413</v>
      </c>
      <c r="B2043" s="248" t="s">
        <v>2514</v>
      </c>
      <c r="C2043" s="249" t="s">
        <v>59</v>
      </c>
      <c r="D2043" s="245">
        <v>0</v>
      </c>
      <c r="G2043" s="245">
        <v>192.024</v>
      </c>
      <c r="H2043" s="245">
        <v>192.024</v>
      </c>
      <c r="I2043" s="245">
        <v>0.8177777777777776</v>
      </c>
      <c r="J2043" s="245">
        <v>0</v>
      </c>
      <c r="K2043" s="245">
        <v>0</v>
      </c>
      <c r="L2043" s="245">
        <v>0</v>
      </c>
      <c r="M2043" s="245">
        <v>157.03295999999997</v>
      </c>
      <c r="N2043" s="245">
        <v>157.03295999999997</v>
      </c>
      <c r="O2043" s="245" t="s">
        <v>56</v>
      </c>
      <c r="P2043" s="245" t="s">
        <v>331</v>
      </c>
      <c r="Q2043" s="245" t="s">
        <v>222</v>
      </c>
      <c r="R2043" s="246" t="s">
        <v>32</v>
      </c>
    </row>
    <row r="2044" spans="1:18" x14ac:dyDescent="0.8">
      <c r="A2044" s="247">
        <v>63413</v>
      </c>
      <c r="B2044" s="248" t="s">
        <v>2514</v>
      </c>
      <c r="C2044" s="249" t="s">
        <v>59</v>
      </c>
      <c r="D2044" s="245">
        <v>0</v>
      </c>
      <c r="G2044" s="245">
        <v>47.975999999999999</v>
      </c>
      <c r="H2044" s="245">
        <v>47.975999999999999</v>
      </c>
      <c r="I2044" s="245">
        <v>0.8177777777777776</v>
      </c>
      <c r="J2044" s="245">
        <v>0</v>
      </c>
      <c r="K2044" s="245">
        <v>0</v>
      </c>
      <c r="L2044" s="245">
        <v>0</v>
      </c>
      <c r="M2044" s="245">
        <v>39.233706666666656</v>
      </c>
      <c r="N2044" s="245">
        <v>39.233706666666656</v>
      </c>
      <c r="O2044" s="245" t="s">
        <v>118</v>
      </c>
      <c r="P2044" s="245" t="s">
        <v>331</v>
      </c>
      <c r="Q2044" s="245" t="s">
        <v>222</v>
      </c>
      <c r="R2044" s="246" t="s">
        <v>32</v>
      </c>
    </row>
    <row r="2045" spans="1:18" x14ac:dyDescent="0.8">
      <c r="A2045" s="247">
        <v>6342</v>
      </c>
      <c r="B2045" s="248" t="s">
        <v>2516</v>
      </c>
      <c r="D2045" s="245">
        <v>0</v>
      </c>
    </row>
    <row r="2046" spans="1:18" hidden="1" x14ac:dyDescent="0.8">
      <c r="A2046" s="247">
        <v>63421</v>
      </c>
      <c r="B2046" s="248" t="s">
        <v>2517</v>
      </c>
      <c r="C2046" s="249" t="s">
        <v>816</v>
      </c>
      <c r="D2046" s="245">
        <v>0</v>
      </c>
      <c r="E2046" s="245">
        <v>163.42894098431998</v>
      </c>
      <c r="F2046" s="245">
        <v>272.38156830719998</v>
      </c>
      <c r="G2046" s="245">
        <v>272.38156830719998</v>
      </c>
      <c r="H2046" s="245">
        <v>708.19207759871995</v>
      </c>
      <c r="I2046" s="245">
        <v>7.4999999999999997E-3</v>
      </c>
      <c r="J2046" s="245">
        <v>0</v>
      </c>
      <c r="K2046" s="245">
        <v>1.2257170573823999</v>
      </c>
      <c r="L2046" s="245">
        <v>2.0428617623039997</v>
      </c>
      <c r="M2046" s="245">
        <v>2.0428617623039997</v>
      </c>
      <c r="N2046" s="245">
        <v>5.3114405819903991</v>
      </c>
      <c r="O2046" s="245" t="s">
        <v>56</v>
      </c>
      <c r="P2046" s="245" t="s">
        <v>331</v>
      </c>
      <c r="Q2046" s="245" t="s">
        <v>331</v>
      </c>
      <c r="R2046" s="246" t="s">
        <v>32</v>
      </c>
    </row>
    <row r="2047" spans="1:18" x14ac:dyDescent="0.8">
      <c r="A2047" s="247">
        <v>63421</v>
      </c>
      <c r="B2047" s="248" t="s">
        <v>2517</v>
      </c>
      <c r="C2047" s="249" t="s">
        <v>816</v>
      </c>
      <c r="D2047" s="245">
        <v>0</v>
      </c>
      <c r="E2047" s="245">
        <v>6.8095392076800003</v>
      </c>
      <c r="F2047" s="245">
        <v>11.3492320128</v>
      </c>
      <c r="G2047" s="245">
        <v>11.3492320128</v>
      </c>
      <c r="H2047" s="245">
        <v>29.50800323328</v>
      </c>
      <c r="I2047" s="245">
        <v>7.4999999999999997E-3</v>
      </c>
      <c r="J2047" s="245">
        <v>0</v>
      </c>
      <c r="K2047" s="245">
        <v>5.1071544057599998E-2</v>
      </c>
      <c r="L2047" s="245">
        <v>8.5119240095999998E-2</v>
      </c>
      <c r="M2047" s="245">
        <v>8.5119240095999998E-2</v>
      </c>
      <c r="N2047" s="245">
        <v>0.2213100242496</v>
      </c>
      <c r="O2047" s="245" t="s">
        <v>118</v>
      </c>
      <c r="P2047" s="245" t="s">
        <v>331</v>
      </c>
      <c r="Q2047" s="245" t="s">
        <v>331</v>
      </c>
      <c r="R2047" s="246" t="s">
        <v>32</v>
      </c>
    </row>
    <row r="2048" spans="1:18" hidden="1" x14ac:dyDescent="0.8">
      <c r="A2048" s="247">
        <v>63422</v>
      </c>
      <c r="B2048" s="248" t="s">
        <v>2518</v>
      </c>
      <c r="D2048" s="245">
        <v>0</v>
      </c>
      <c r="E2048" s="245">
        <v>1</v>
      </c>
      <c r="F2048" s="245">
        <v>1</v>
      </c>
      <c r="G2048" s="245">
        <v>1</v>
      </c>
      <c r="H2048" s="245">
        <v>3</v>
      </c>
      <c r="I2048" s="245">
        <v>0</v>
      </c>
      <c r="O2048" s="245" t="s">
        <v>56</v>
      </c>
      <c r="P2048" s="245" t="s">
        <v>331</v>
      </c>
      <c r="Q2048" s="245" t="s">
        <v>222</v>
      </c>
      <c r="R2048" s="246" t="s">
        <v>32</v>
      </c>
    </row>
    <row r="2049" spans="1:18" ht="39" x14ac:dyDescent="0.8">
      <c r="A2049" s="247">
        <v>635</v>
      </c>
      <c r="B2049" s="248" t="s">
        <v>2519</v>
      </c>
      <c r="D2049" s="245">
        <v>0</v>
      </c>
    </row>
    <row r="2050" spans="1:18" ht="26" x14ac:dyDescent="0.8">
      <c r="A2050" s="247">
        <v>6351</v>
      </c>
      <c r="B2050" s="248" t="s">
        <v>2520</v>
      </c>
      <c r="D2050" s="245">
        <v>0</v>
      </c>
    </row>
    <row r="2051" spans="1:18" ht="26" hidden="1" x14ac:dyDescent="0.8">
      <c r="A2051" s="247">
        <v>63511</v>
      </c>
      <c r="B2051" s="248" t="s">
        <v>2521</v>
      </c>
      <c r="C2051" s="249" t="s">
        <v>66</v>
      </c>
      <c r="D2051" s="245">
        <v>0</v>
      </c>
      <c r="E2051" s="245">
        <v>60</v>
      </c>
      <c r="F2051" s="245">
        <v>60</v>
      </c>
      <c r="H2051" s="245">
        <v>120</v>
      </c>
      <c r="I2051" s="245">
        <v>0.255</v>
      </c>
      <c r="J2051" s="245">
        <v>0</v>
      </c>
      <c r="K2051" s="245">
        <v>15.3</v>
      </c>
      <c r="L2051" s="245">
        <v>15.3</v>
      </c>
      <c r="M2051" s="245">
        <v>0</v>
      </c>
      <c r="N2051" s="245">
        <v>30.6</v>
      </c>
      <c r="O2051" s="245" t="s">
        <v>56</v>
      </c>
      <c r="P2051" s="245" t="s">
        <v>331</v>
      </c>
      <c r="Q2051" s="245" t="s">
        <v>331</v>
      </c>
      <c r="R2051" s="246" t="s">
        <v>32</v>
      </c>
    </row>
    <row r="2052" spans="1:18" hidden="1" x14ac:dyDescent="0.8">
      <c r="A2052" s="247">
        <v>63512</v>
      </c>
      <c r="B2052" s="248" t="s">
        <v>2522</v>
      </c>
      <c r="C2052" s="249" t="s">
        <v>55</v>
      </c>
      <c r="D2052" s="245">
        <v>0</v>
      </c>
      <c r="E2052" s="245">
        <v>1</v>
      </c>
      <c r="F2052" s="245">
        <v>1</v>
      </c>
      <c r="G2052" s="245">
        <v>1</v>
      </c>
      <c r="H2052" s="245">
        <v>3</v>
      </c>
      <c r="I2052" s="245">
        <v>0</v>
      </c>
      <c r="O2052" s="245" t="s">
        <v>56</v>
      </c>
      <c r="P2052" s="245" t="s">
        <v>331</v>
      </c>
      <c r="Q2052" s="245" t="s">
        <v>248</v>
      </c>
      <c r="R2052" s="246" t="s">
        <v>677</v>
      </c>
    </row>
    <row r="2053" spans="1:18" ht="26" x14ac:dyDescent="0.8">
      <c r="A2053" s="247">
        <v>6352</v>
      </c>
      <c r="B2053" s="248" t="s">
        <v>2523</v>
      </c>
      <c r="D2053" s="245">
        <v>0</v>
      </c>
    </row>
    <row r="2054" spans="1:18" ht="39" hidden="1" x14ac:dyDescent="0.8">
      <c r="A2054" s="247">
        <v>63521</v>
      </c>
      <c r="B2054" s="248" t="s">
        <v>2524</v>
      </c>
      <c r="C2054" s="249" t="s">
        <v>55</v>
      </c>
      <c r="D2054" s="245">
        <v>0</v>
      </c>
      <c r="E2054" s="245">
        <v>1</v>
      </c>
      <c r="F2054" s="245">
        <v>1</v>
      </c>
      <c r="G2054" s="245">
        <v>1</v>
      </c>
      <c r="H2054" s="245">
        <v>3</v>
      </c>
      <c r="I2054" s="245">
        <v>0</v>
      </c>
      <c r="O2054" s="245" t="s">
        <v>56</v>
      </c>
      <c r="P2054" s="245" t="s">
        <v>331</v>
      </c>
      <c r="Q2054" s="245" t="s">
        <v>222</v>
      </c>
      <c r="R2054" s="246" t="s">
        <v>32</v>
      </c>
    </row>
    <row r="2055" spans="1:18" hidden="1" x14ac:dyDescent="0.8">
      <c r="A2055" s="247">
        <v>63522</v>
      </c>
      <c r="B2055" s="248" t="s">
        <v>2525</v>
      </c>
      <c r="C2055" s="249" t="s">
        <v>59</v>
      </c>
      <c r="D2055" s="245">
        <v>0</v>
      </c>
      <c r="F2055" s="245">
        <v>64.00800000000001</v>
      </c>
      <c r="G2055" s="245">
        <v>64.00800000000001</v>
      </c>
      <c r="H2055" s="245">
        <v>128.01600000000002</v>
      </c>
      <c r="I2055" s="245">
        <v>0.8177777777777776</v>
      </c>
      <c r="J2055" s="245">
        <v>0</v>
      </c>
      <c r="K2055" s="245">
        <v>0</v>
      </c>
      <c r="L2055" s="245">
        <v>52.344319999999996</v>
      </c>
      <c r="M2055" s="245">
        <v>52.344319999999996</v>
      </c>
      <c r="N2055" s="245">
        <v>104.68863999999999</v>
      </c>
      <c r="O2055" s="245" t="s">
        <v>56</v>
      </c>
      <c r="P2055" s="245" t="s">
        <v>331</v>
      </c>
      <c r="Q2055" s="245" t="s">
        <v>331</v>
      </c>
      <c r="R2055" s="246" t="s">
        <v>32</v>
      </c>
    </row>
    <row r="2056" spans="1:18" x14ac:dyDescent="0.8">
      <c r="A2056" s="247">
        <v>63522</v>
      </c>
      <c r="B2056" s="248" t="s">
        <v>2525</v>
      </c>
      <c r="C2056" s="249" t="s">
        <v>59</v>
      </c>
      <c r="D2056" s="245">
        <v>0</v>
      </c>
      <c r="F2056" s="245">
        <v>15.991999999999999</v>
      </c>
      <c r="G2056" s="245">
        <v>15.991999999999999</v>
      </c>
      <c r="H2056" s="245">
        <v>31.983999999999998</v>
      </c>
      <c r="I2056" s="245">
        <v>0.8177777777777776</v>
      </c>
      <c r="J2056" s="245">
        <v>0</v>
      </c>
      <c r="K2056" s="245">
        <v>0</v>
      </c>
      <c r="L2056" s="245">
        <v>13.077902222222219</v>
      </c>
      <c r="M2056" s="245">
        <v>13.077902222222219</v>
      </c>
      <c r="N2056" s="245">
        <v>26.155804444444438</v>
      </c>
      <c r="O2056" s="245" t="s">
        <v>118</v>
      </c>
      <c r="P2056" s="245" t="s">
        <v>331</v>
      </c>
      <c r="Q2056" s="245" t="s">
        <v>331</v>
      </c>
      <c r="R2056" s="246" t="s">
        <v>32</v>
      </c>
    </row>
    <row r="2057" spans="1:18" ht="39" x14ac:dyDescent="0.8">
      <c r="A2057" s="247">
        <v>636</v>
      </c>
      <c r="B2057" s="248" t="s">
        <v>2526</v>
      </c>
      <c r="D2057" s="245">
        <v>0</v>
      </c>
    </row>
    <row r="2058" spans="1:18" hidden="1" x14ac:dyDescent="0.8">
      <c r="A2058" s="247">
        <v>63611</v>
      </c>
      <c r="B2058" s="248" t="s">
        <v>2527</v>
      </c>
      <c r="C2058" s="249" t="s">
        <v>59</v>
      </c>
      <c r="D2058" s="245">
        <v>0</v>
      </c>
      <c r="E2058" s="245">
        <v>80.010000000000005</v>
      </c>
      <c r="F2058" s="245">
        <v>80.010000000000005</v>
      </c>
      <c r="G2058" s="245">
        <v>80.010000000000005</v>
      </c>
      <c r="H2058" s="245">
        <v>240.03000000000003</v>
      </c>
      <c r="I2058" s="245">
        <v>0.8177777777777776</v>
      </c>
      <c r="J2058" s="245">
        <v>0</v>
      </c>
      <c r="K2058" s="245">
        <v>65.430399999999992</v>
      </c>
      <c r="L2058" s="245">
        <v>65.430399999999992</v>
      </c>
      <c r="M2058" s="245">
        <v>65.430399999999992</v>
      </c>
      <c r="N2058" s="245">
        <v>196.29119999999998</v>
      </c>
      <c r="O2058" s="245" t="s">
        <v>56</v>
      </c>
      <c r="P2058" s="245" t="s">
        <v>331</v>
      </c>
      <c r="Q2058" s="245" t="s">
        <v>2529</v>
      </c>
      <c r="R2058" s="246" t="s">
        <v>32</v>
      </c>
    </row>
    <row r="2059" spans="1:18" x14ac:dyDescent="0.8">
      <c r="A2059" s="247">
        <v>63611</v>
      </c>
      <c r="B2059" s="248" t="s">
        <v>2527</v>
      </c>
      <c r="C2059" s="249" t="s">
        <v>59</v>
      </c>
      <c r="D2059" s="245">
        <v>0</v>
      </c>
      <c r="E2059" s="245">
        <v>19.989999999999998</v>
      </c>
      <c r="F2059" s="245">
        <v>19.989999999999998</v>
      </c>
      <c r="G2059" s="245">
        <v>19.989999999999998</v>
      </c>
      <c r="H2059" s="245">
        <v>59.97</v>
      </c>
      <c r="I2059" s="245">
        <v>0.8177777777777776</v>
      </c>
      <c r="J2059" s="245">
        <v>0</v>
      </c>
      <c r="K2059" s="245">
        <v>16.347377777777773</v>
      </c>
      <c r="L2059" s="245">
        <v>16.347377777777773</v>
      </c>
      <c r="M2059" s="245">
        <v>16.347377777777773</v>
      </c>
      <c r="N2059" s="245">
        <v>49.042133333333318</v>
      </c>
      <c r="O2059" s="245" t="s">
        <v>118</v>
      </c>
      <c r="P2059" s="245" t="s">
        <v>331</v>
      </c>
      <c r="Q2059" s="245" t="s">
        <v>2529</v>
      </c>
      <c r="R2059" s="246" t="s">
        <v>32</v>
      </c>
    </row>
    <row r="2060" spans="1:18" hidden="1" x14ac:dyDescent="0.8">
      <c r="A2060" s="247">
        <v>63612</v>
      </c>
      <c r="B2060" s="248" t="s">
        <v>2530</v>
      </c>
      <c r="C2060" s="249" t="s">
        <v>55</v>
      </c>
      <c r="D2060" s="245">
        <v>0</v>
      </c>
      <c r="E2060" s="245">
        <v>1</v>
      </c>
      <c r="F2060" s="245">
        <v>1</v>
      </c>
      <c r="G2060" s="245">
        <v>1</v>
      </c>
      <c r="H2060" s="245">
        <v>3</v>
      </c>
      <c r="I2060" s="245">
        <v>0</v>
      </c>
      <c r="O2060" s="245" t="s">
        <v>56</v>
      </c>
      <c r="P2060" s="245" t="s">
        <v>331</v>
      </c>
      <c r="Q2060" s="245" t="s">
        <v>2529</v>
      </c>
      <c r="R2060" s="246" t="s">
        <v>32</v>
      </c>
    </row>
    <row r="2061" spans="1:18" ht="26" hidden="1" x14ac:dyDescent="0.8">
      <c r="A2061" s="247">
        <v>63613</v>
      </c>
      <c r="B2061" s="248" t="s">
        <v>2531</v>
      </c>
      <c r="C2061" s="249" t="s">
        <v>66</v>
      </c>
      <c r="D2061" s="245">
        <v>0</v>
      </c>
      <c r="E2061" s="245">
        <v>40</v>
      </c>
      <c r="H2061" s="245">
        <v>40</v>
      </c>
      <c r="I2061" s="245">
        <v>0.255</v>
      </c>
      <c r="J2061" s="245">
        <v>0</v>
      </c>
      <c r="K2061" s="245">
        <v>10.199999999999999</v>
      </c>
      <c r="L2061" s="245">
        <v>0</v>
      </c>
      <c r="M2061" s="245">
        <v>0</v>
      </c>
      <c r="N2061" s="245">
        <v>10.199999999999999</v>
      </c>
      <c r="O2061" s="245" t="s">
        <v>56</v>
      </c>
      <c r="P2061" s="245" t="s">
        <v>331</v>
      </c>
      <c r="Q2061" s="245" t="s">
        <v>331</v>
      </c>
      <c r="R2061" s="246" t="s">
        <v>32</v>
      </c>
    </row>
    <row r="2062" spans="1:18" ht="26" hidden="1" x14ac:dyDescent="0.8">
      <c r="A2062" s="247">
        <v>63614</v>
      </c>
      <c r="B2062" s="248" t="s">
        <v>2532</v>
      </c>
      <c r="C2062" s="249" t="s">
        <v>38</v>
      </c>
      <c r="D2062" s="245">
        <v>0</v>
      </c>
      <c r="E2062" s="245">
        <v>30</v>
      </c>
      <c r="H2062" s="245">
        <v>30</v>
      </c>
      <c r="I2062" s="245">
        <v>0.3133333333333333</v>
      </c>
      <c r="J2062" s="245">
        <v>0</v>
      </c>
      <c r="K2062" s="245">
        <v>9.3999999999999986</v>
      </c>
      <c r="L2062" s="245">
        <v>0</v>
      </c>
      <c r="M2062" s="245">
        <v>0</v>
      </c>
      <c r="N2062" s="245">
        <v>9.3999999999999986</v>
      </c>
      <c r="O2062" s="245" t="s">
        <v>56</v>
      </c>
      <c r="P2062" s="245" t="s">
        <v>331</v>
      </c>
      <c r="Q2062" s="245" t="s">
        <v>331</v>
      </c>
      <c r="R2062" s="246" t="s">
        <v>32</v>
      </c>
    </row>
    <row r="2063" spans="1:18" hidden="1" x14ac:dyDescent="0.8">
      <c r="A2063" s="247">
        <v>63614</v>
      </c>
      <c r="B2063" s="248" t="s">
        <v>2533</v>
      </c>
      <c r="C2063" s="249" t="s">
        <v>45</v>
      </c>
      <c r="D2063" s="245">
        <v>0</v>
      </c>
      <c r="F2063" s="245">
        <v>750</v>
      </c>
      <c r="H2063" s="245">
        <v>750</v>
      </c>
      <c r="I2063" s="245">
        <v>0.03</v>
      </c>
      <c r="J2063" s="245">
        <v>0</v>
      </c>
      <c r="K2063" s="245">
        <v>0</v>
      </c>
      <c r="L2063" s="245">
        <v>22.5</v>
      </c>
      <c r="M2063" s="245">
        <v>0</v>
      </c>
      <c r="N2063" s="245">
        <v>22.5</v>
      </c>
      <c r="O2063" s="245" t="s">
        <v>56</v>
      </c>
      <c r="P2063" s="245" t="s">
        <v>331</v>
      </c>
      <c r="Q2063" s="245" t="s">
        <v>331</v>
      </c>
      <c r="R2063" s="246" t="s">
        <v>32</v>
      </c>
    </row>
    <row r="2064" spans="1:18" x14ac:dyDescent="0.8">
      <c r="A2064" s="247">
        <v>6362</v>
      </c>
      <c r="B2064" s="248" t="s">
        <v>2534</v>
      </c>
      <c r="D2064" s="245">
        <v>0</v>
      </c>
    </row>
    <row r="2065" spans="1:18" hidden="1" x14ac:dyDescent="0.8">
      <c r="A2065" s="247">
        <v>63621</v>
      </c>
      <c r="B2065" s="248" t="s">
        <v>2535</v>
      </c>
      <c r="C2065" s="249" t="s">
        <v>66</v>
      </c>
      <c r="D2065" s="245">
        <v>0</v>
      </c>
      <c r="E2065" s="245">
        <v>160</v>
      </c>
      <c r="H2065" s="245">
        <v>160</v>
      </c>
      <c r="I2065" s="245">
        <v>0.255</v>
      </c>
      <c r="J2065" s="245">
        <v>0</v>
      </c>
      <c r="K2065" s="245">
        <v>40.799999999999997</v>
      </c>
      <c r="L2065" s="245">
        <v>0</v>
      </c>
      <c r="M2065" s="245">
        <v>0</v>
      </c>
      <c r="N2065" s="245">
        <v>40.799999999999997</v>
      </c>
      <c r="O2065" s="245" t="s">
        <v>56</v>
      </c>
      <c r="P2065" s="245" t="s">
        <v>331</v>
      </c>
      <c r="Q2065" s="245" t="s">
        <v>331</v>
      </c>
      <c r="R2065" s="246" t="s">
        <v>32</v>
      </c>
    </row>
    <row r="2066" spans="1:18" hidden="1" x14ac:dyDescent="0.8">
      <c r="A2066" s="247">
        <v>63622</v>
      </c>
      <c r="B2066" s="248" t="s">
        <v>2536</v>
      </c>
      <c r="C2066" s="249" t="s">
        <v>38</v>
      </c>
      <c r="D2066" s="245">
        <v>0</v>
      </c>
      <c r="E2066" s="245">
        <v>60</v>
      </c>
      <c r="H2066" s="245">
        <v>60</v>
      </c>
      <c r="I2066" s="245">
        <v>0.3133333333333333</v>
      </c>
      <c r="J2066" s="245">
        <v>0</v>
      </c>
      <c r="K2066" s="245">
        <v>18.799999999999997</v>
      </c>
      <c r="L2066" s="245">
        <v>0</v>
      </c>
      <c r="M2066" s="245">
        <v>0</v>
      </c>
      <c r="N2066" s="245">
        <v>18.799999999999997</v>
      </c>
      <c r="O2066" s="245" t="s">
        <v>56</v>
      </c>
      <c r="P2066" s="245" t="s">
        <v>331</v>
      </c>
      <c r="Q2066" s="245" t="s">
        <v>331</v>
      </c>
      <c r="R2066" s="246" t="s">
        <v>32</v>
      </c>
    </row>
    <row r="2067" spans="1:18" ht="26" x14ac:dyDescent="0.8">
      <c r="A2067" s="247">
        <v>6363</v>
      </c>
      <c r="B2067" s="248" t="s">
        <v>2537</v>
      </c>
      <c r="D2067" s="245">
        <v>0</v>
      </c>
    </row>
    <row r="2068" spans="1:18" hidden="1" x14ac:dyDescent="0.8">
      <c r="A2068" s="247">
        <v>63631</v>
      </c>
      <c r="B2068" s="248" t="s">
        <v>2538</v>
      </c>
      <c r="C2068" s="249" t="s">
        <v>816</v>
      </c>
      <c r="D2068" s="245">
        <v>0</v>
      </c>
      <c r="E2068" s="245">
        <v>200</v>
      </c>
      <c r="F2068" s="245">
        <v>200</v>
      </c>
      <c r="G2068" s="245">
        <v>200</v>
      </c>
      <c r="H2068" s="245">
        <v>600</v>
      </c>
      <c r="I2068" s="245">
        <v>7.4999999999999997E-3</v>
      </c>
      <c r="J2068" s="245">
        <v>0</v>
      </c>
      <c r="K2068" s="245">
        <v>1.5</v>
      </c>
      <c r="L2068" s="245">
        <v>1.5</v>
      </c>
      <c r="M2068" s="245">
        <v>1.5</v>
      </c>
      <c r="N2068" s="245">
        <v>4.5</v>
      </c>
      <c r="O2068" s="245" t="s">
        <v>56</v>
      </c>
      <c r="P2068" s="245" t="s">
        <v>331</v>
      </c>
      <c r="Q2068" s="245" t="s">
        <v>521</v>
      </c>
      <c r="R2068" s="246" t="s">
        <v>32</v>
      </c>
    </row>
    <row r="2069" spans="1:18" hidden="1" x14ac:dyDescent="0.8">
      <c r="A2069" s="247">
        <v>63632</v>
      </c>
      <c r="B2069" s="248" t="s">
        <v>2540</v>
      </c>
      <c r="C2069" s="249" t="s">
        <v>55</v>
      </c>
      <c r="D2069" s="245">
        <v>0</v>
      </c>
      <c r="E2069" s="245">
        <v>1</v>
      </c>
      <c r="F2069" s="245">
        <v>1</v>
      </c>
      <c r="G2069" s="245">
        <v>1</v>
      </c>
      <c r="H2069" s="245">
        <v>3</v>
      </c>
      <c r="I2069" s="245">
        <v>0</v>
      </c>
      <c r="O2069" s="245" t="s">
        <v>56</v>
      </c>
      <c r="P2069" s="245" t="s">
        <v>331</v>
      </c>
      <c r="Q2069" s="245" t="s">
        <v>521</v>
      </c>
      <c r="R2069" s="246" t="s">
        <v>32</v>
      </c>
    </row>
    <row r="2070" spans="1:18" ht="26" x14ac:dyDescent="0.8">
      <c r="A2070" s="247">
        <v>637</v>
      </c>
      <c r="B2070" s="248" t="s">
        <v>2541</v>
      </c>
      <c r="D2070" s="245">
        <v>0</v>
      </c>
    </row>
    <row r="2071" spans="1:18" x14ac:dyDescent="0.8">
      <c r="A2071" s="247">
        <v>6371</v>
      </c>
      <c r="B2071" s="248" t="s">
        <v>2542</v>
      </c>
      <c r="D2071" s="245">
        <v>0</v>
      </c>
    </row>
    <row r="2072" spans="1:18" ht="26" hidden="1" x14ac:dyDescent="0.8">
      <c r="A2072" s="247">
        <v>63721</v>
      </c>
      <c r="B2072" s="248" t="s">
        <v>2543</v>
      </c>
      <c r="C2072" s="249" t="s">
        <v>2545</v>
      </c>
      <c r="D2072" s="245">
        <v>0</v>
      </c>
      <c r="E2072" s="245">
        <v>163.35448632000001</v>
      </c>
      <c r="F2072" s="245">
        <v>272.25747719999998</v>
      </c>
      <c r="G2072" s="245">
        <v>272.25747719999998</v>
      </c>
      <c r="H2072" s="245">
        <v>707.86944072000006</v>
      </c>
      <c r="I2072" s="245">
        <v>1.7999999999999999E-2</v>
      </c>
      <c r="J2072" s="245">
        <v>0</v>
      </c>
      <c r="K2072" s="245">
        <v>2.94038075376</v>
      </c>
      <c r="L2072" s="245">
        <v>4.9006345895999992</v>
      </c>
      <c r="M2072" s="245">
        <v>4.9006345895999992</v>
      </c>
      <c r="N2072" s="245">
        <v>12.741649932959998</v>
      </c>
      <c r="O2072" s="245" t="s">
        <v>56</v>
      </c>
      <c r="P2072" s="245" t="s">
        <v>331</v>
      </c>
      <c r="Q2072" s="245" t="s">
        <v>521</v>
      </c>
      <c r="R2072" s="246" t="s">
        <v>32</v>
      </c>
    </row>
    <row r="2073" spans="1:18" ht="26" x14ac:dyDescent="0.8">
      <c r="A2073" s="247">
        <v>63721</v>
      </c>
      <c r="B2073" s="248" t="s">
        <v>2543</v>
      </c>
      <c r="C2073" s="249" t="s">
        <v>2545</v>
      </c>
      <c r="D2073" s="245">
        <v>0</v>
      </c>
      <c r="E2073" s="245">
        <v>6.7887136800000007</v>
      </c>
      <c r="F2073" s="245">
        <v>11.314522799999999</v>
      </c>
      <c r="G2073" s="245">
        <v>11.314522799999999</v>
      </c>
      <c r="H2073" s="245">
        <v>29.417759279999999</v>
      </c>
      <c r="I2073" s="245">
        <v>1.7999999999999999E-2</v>
      </c>
      <c r="J2073" s="245">
        <v>0</v>
      </c>
      <c r="K2073" s="245">
        <v>0.12219684624</v>
      </c>
      <c r="L2073" s="245">
        <v>0.20366141039999996</v>
      </c>
      <c r="M2073" s="245">
        <v>0.20366141039999996</v>
      </c>
      <c r="N2073" s="245">
        <v>0.52951966703999997</v>
      </c>
      <c r="O2073" s="245" t="s">
        <v>118</v>
      </c>
      <c r="P2073" s="245" t="s">
        <v>331</v>
      </c>
      <c r="Q2073" s="245" t="s">
        <v>521</v>
      </c>
      <c r="R2073" s="246" t="s">
        <v>32</v>
      </c>
    </row>
    <row r="2074" spans="1:18" hidden="1" x14ac:dyDescent="0.8">
      <c r="A2074" s="247">
        <v>63722</v>
      </c>
      <c r="B2074" s="248" t="s">
        <v>2546</v>
      </c>
      <c r="C2074" s="249" t="s">
        <v>2548</v>
      </c>
      <c r="D2074" s="245">
        <v>0</v>
      </c>
      <c r="E2074" s="245">
        <v>8167.7243160000007</v>
      </c>
      <c r="F2074" s="245">
        <v>13612.87386</v>
      </c>
      <c r="G2074" s="245">
        <v>13612.87386</v>
      </c>
      <c r="H2074" s="245">
        <v>35393.472035999999</v>
      </c>
      <c r="I2074" s="245">
        <v>1.7999999999999999E-2</v>
      </c>
      <c r="J2074" s="245">
        <v>0</v>
      </c>
      <c r="K2074" s="245">
        <v>147.019037688</v>
      </c>
      <c r="L2074" s="245">
        <v>245.03172947999997</v>
      </c>
      <c r="M2074" s="245">
        <v>245.03172947999997</v>
      </c>
      <c r="N2074" s="245">
        <v>637.08249664799996</v>
      </c>
      <c r="O2074" s="245" t="s">
        <v>56</v>
      </c>
      <c r="P2074" s="245" t="s">
        <v>331</v>
      </c>
      <c r="Q2074" s="245" t="s">
        <v>521</v>
      </c>
      <c r="R2074" s="246" t="s">
        <v>32</v>
      </c>
    </row>
    <row r="2075" spans="1:18" x14ac:dyDescent="0.8">
      <c r="A2075" s="247">
        <v>63722</v>
      </c>
      <c r="B2075" s="248" t="s">
        <v>2546</v>
      </c>
      <c r="C2075" s="249" t="s">
        <v>2548</v>
      </c>
      <c r="D2075" s="245">
        <v>0</v>
      </c>
      <c r="E2075" s="245">
        <v>339.43568400000004</v>
      </c>
      <c r="F2075" s="245">
        <v>565.72613999999999</v>
      </c>
      <c r="G2075" s="245">
        <v>565.72613999999999</v>
      </c>
      <c r="H2075" s="245">
        <v>1470.887964</v>
      </c>
      <c r="I2075" s="245">
        <v>1.7999999999999999E-2</v>
      </c>
      <c r="J2075" s="245">
        <v>0</v>
      </c>
      <c r="K2075" s="245">
        <v>6.1098423120000005</v>
      </c>
      <c r="L2075" s="245">
        <v>10.183070519999999</v>
      </c>
      <c r="M2075" s="245">
        <v>10.183070519999999</v>
      </c>
      <c r="N2075" s="245">
        <v>26.475983352</v>
      </c>
      <c r="O2075" s="245" t="s">
        <v>118</v>
      </c>
      <c r="P2075" s="245" t="s">
        <v>331</v>
      </c>
      <c r="Q2075" s="245" t="s">
        <v>521</v>
      </c>
      <c r="R2075" s="246" t="s">
        <v>32</v>
      </c>
    </row>
    <row r="2076" spans="1:18" ht="39" x14ac:dyDescent="0.8">
      <c r="A2076" s="247">
        <v>638</v>
      </c>
      <c r="B2076" s="248" t="s">
        <v>2549</v>
      </c>
      <c r="D2076" s="245">
        <v>0</v>
      </c>
    </row>
    <row r="2077" spans="1:18" ht="26" x14ac:dyDescent="0.8">
      <c r="A2077" s="247">
        <v>6381</v>
      </c>
      <c r="B2077" s="248" t="s">
        <v>2550</v>
      </c>
      <c r="D2077" s="245">
        <v>0</v>
      </c>
    </row>
    <row r="2078" spans="1:18" ht="26" hidden="1" x14ac:dyDescent="0.8">
      <c r="A2078" s="247">
        <v>63821</v>
      </c>
      <c r="B2078" s="248" t="s">
        <v>2551</v>
      </c>
      <c r="C2078" s="249" t="s">
        <v>66</v>
      </c>
      <c r="D2078" s="245">
        <v>0</v>
      </c>
      <c r="E2078" s="245">
        <v>40</v>
      </c>
      <c r="H2078" s="245">
        <v>40</v>
      </c>
      <c r="I2078" s="245">
        <v>0.255</v>
      </c>
      <c r="J2078" s="245">
        <v>0</v>
      </c>
      <c r="K2078" s="245">
        <v>10.199999999999999</v>
      </c>
      <c r="L2078" s="245">
        <v>0</v>
      </c>
      <c r="M2078" s="245">
        <v>0</v>
      </c>
      <c r="N2078" s="245">
        <v>10.199999999999999</v>
      </c>
      <c r="O2078" s="245" t="s">
        <v>56</v>
      </c>
      <c r="P2078" s="245" t="s">
        <v>331</v>
      </c>
      <c r="Q2078" s="245" t="s">
        <v>331</v>
      </c>
      <c r="R2078" s="246" t="s">
        <v>32</v>
      </c>
    </row>
    <row r="2079" spans="1:18" hidden="1" x14ac:dyDescent="0.8">
      <c r="A2079" s="247">
        <v>63822</v>
      </c>
      <c r="B2079" s="248" t="s">
        <v>2552</v>
      </c>
      <c r="C2079" s="249" t="s">
        <v>452</v>
      </c>
      <c r="D2079" s="245">
        <v>0</v>
      </c>
      <c r="E2079" s="245">
        <v>500</v>
      </c>
      <c r="F2079" s="245">
        <v>500</v>
      </c>
      <c r="G2079" s="245">
        <v>500</v>
      </c>
      <c r="H2079" s="245">
        <v>1500</v>
      </c>
      <c r="I2079" s="245">
        <v>7.4999999999999997E-3</v>
      </c>
      <c r="J2079" s="245">
        <v>0</v>
      </c>
      <c r="K2079" s="245">
        <v>3.75</v>
      </c>
      <c r="L2079" s="245">
        <v>3.75</v>
      </c>
      <c r="M2079" s="245">
        <v>3.75</v>
      </c>
      <c r="N2079" s="245">
        <v>11.25</v>
      </c>
      <c r="O2079" s="245" t="s">
        <v>56</v>
      </c>
      <c r="P2079" s="245" t="s">
        <v>331</v>
      </c>
      <c r="Q2079" s="245" t="s">
        <v>521</v>
      </c>
      <c r="R2079" s="246" t="s">
        <v>32</v>
      </c>
    </row>
    <row r="2080" spans="1:18" ht="26" hidden="1" x14ac:dyDescent="0.8">
      <c r="A2080" s="247">
        <v>63823</v>
      </c>
      <c r="B2080" s="248" t="s">
        <v>2553</v>
      </c>
      <c r="C2080" s="249" t="s">
        <v>1347</v>
      </c>
      <c r="D2080" s="245">
        <v>0</v>
      </c>
      <c r="F2080" s="245">
        <v>38</v>
      </c>
      <c r="H2080" s="245">
        <v>38</v>
      </c>
      <c r="I2080" s="245">
        <v>15</v>
      </c>
      <c r="J2080" s="245">
        <v>0</v>
      </c>
      <c r="K2080" s="245">
        <v>0</v>
      </c>
      <c r="L2080" s="245">
        <v>570</v>
      </c>
      <c r="M2080" s="245">
        <v>0</v>
      </c>
      <c r="N2080" s="245">
        <v>570</v>
      </c>
      <c r="O2080" s="245" t="s">
        <v>56</v>
      </c>
      <c r="P2080" s="245" t="s">
        <v>331</v>
      </c>
      <c r="Q2080" s="245" t="s">
        <v>521</v>
      </c>
      <c r="R2080" s="246" t="s">
        <v>32</v>
      </c>
    </row>
    <row r="2081" spans="1:18" ht="26" hidden="1" x14ac:dyDescent="0.8">
      <c r="A2081" s="247">
        <v>63824</v>
      </c>
      <c r="B2081" s="248" t="s">
        <v>2554</v>
      </c>
      <c r="C2081" s="249" t="s">
        <v>970</v>
      </c>
      <c r="D2081" s="245">
        <v>0</v>
      </c>
      <c r="F2081" s="245">
        <v>10</v>
      </c>
      <c r="H2081" s="245">
        <v>10</v>
      </c>
      <c r="I2081" s="245">
        <v>10.034934666666667</v>
      </c>
      <c r="J2081" s="245">
        <v>0</v>
      </c>
      <c r="K2081" s="245">
        <v>0</v>
      </c>
      <c r="L2081" s="245">
        <v>100.34934666666666</v>
      </c>
      <c r="M2081" s="245">
        <v>0</v>
      </c>
      <c r="N2081" s="245">
        <v>100.34934666666666</v>
      </c>
      <c r="O2081" s="245" t="s">
        <v>56</v>
      </c>
      <c r="P2081" s="245" t="s">
        <v>331</v>
      </c>
      <c r="Q2081" s="245" t="s">
        <v>521</v>
      </c>
      <c r="R2081" s="246" t="s">
        <v>32</v>
      </c>
    </row>
    <row r="2082" spans="1:18" hidden="1" x14ac:dyDescent="0.8">
      <c r="A2082" s="247">
        <v>63825</v>
      </c>
      <c r="B2082" s="248" t="s">
        <v>2555</v>
      </c>
      <c r="C2082" s="249" t="s">
        <v>1997</v>
      </c>
      <c r="D2082" s="245">
        <v>0</v>
      </c>
      <c r="F2082" s="245">
        <v>1</v>
      </c>
      <c r="H2082" s="245">
        <v>1</v>
      </c>
      <c r="I2082" s="245">
        <v>24</v>
      </c>
      <c r="J2082" s="245">
        <v>0</v>
      </c>
      <c r="K2082" s="245">
        <v>0</v>
      </c>
      <c r="L2082" s="245">
        <v>24</v>
      </c>
      <c r="M2082" s="245">
        <v>0</v>
      </c>
      <c r="N2082" s="245">
        <v>24</v>
      </c>
      <c r="O2082" s="245" t="s">
        <v>56</v>
      </c>
      <c r="P2082" s="245" t="s">
        <v>331</v>
      </c>
      <c r="Q2082" s="245" t="s">
        <v>521</v>
      </c>
      <c r="R2082" s="246" t="s">
        <v>32</v>
      </c>
    </row>
    <row r="2083" spans="1:18" ht="26" x14ac:dyDescent="0.8">
      <c r="A2083" s="247">
        <v>6382</v>
      </c>
      <c r="B2083" s="248" t="s">
        <v>2557</v>
      </c>
      <c r="D2083" s="245">
        <v>0</v>
      </c>
    </row>
    <row r="2084" spans="1:18" ht="39" hidden="1" x14ac:dyDescent="0.8">
      <c r="A2084" s="247">
        <v>63821</v>
      </c>
      <c r="B2084" s="248" t="s">
        <v>2558</v>
      </c>
      <c r="C2084" s="249" t="s">
        <v>501</v>
      </c>
      <c r="D2084" s="245">
        <v>0</v>
      </c>
      <c r="E2084" s="245">
        <v>1.5</v>
      </c>
      <c r="F2084" s="245">
        <v>1.5</v>
      </c>
      <c r="G2084" s="245">
        <v>1.5</v>
      </c>
      <c r="H2084" s="245">
        <v>4.5</v>
      </c>
      <c r="I2084" s="245">
        <v>50.336534</v>
      </c>
      <c r="J2084" s="245">
        <v>0</v>
      </c>
      <c r="K2084" s="245">
        <v>75.504801</v>
      </c>
      <c r="L2084" s="245">
        <v>75.504801</v>
      </c>
      <c r="M2084" s="245">
        <v>75.504801</v>
      </c>
      <c r="N2084" s="245">
        <v>226.51440300000002</v>
      </c>
      <c r="O2084" s="245" t="s">
        <v>56</v>
      </c>
      <c r="P2084" s="245" t="s">
        <v>331</v>
      </c>
      <c r="Q2084" s="245" t="s">
        <v>521</v>
      </c>
      <c r="R2084" s="246" t="s">
        <v>32</v>
      </c>
    </row>
    <row r="2085" spans="1:18" ht="39" x14ac:dyDescent="0.8">
      <c r="A2085" s="247">
        <v>63822</v>
      </c>
      <c r="B2085" s="248" t="s">
        <v>2560</v>
      </c>
      <c r="C2085" s="249" t="s">
        <v>501</v>
      </c>
      <c r="D2085" s="245">
        <v>0</v>
      </c>
      <c r="E2085" s="245">
        <v>2</v>
      </c>
      <c r="F2085" s="245">
        <v>2</v>
      </c>
      <c r="G2085" s="245">
        <v>2</v>
      </c>
      <c r="H2085" s="245">
        <v>6</v>
      </c>
      <c r="I2085" s="245">
        <v>50.336534</v>
      </c>
      <c r="J2085" s="245">
        <v>0</v>
      </c>
      <c r="K2085" s="245">
        <v>100.673068</v>
      </c>
      <c r="L2085" s="245">
        <v>100.673068</v>
      </c>
      <c r="M2085" s="245">
        <v>100.673068</v>
      </c>
      <c r="N2085" s="245">
        <v>302.019204</v>
      </c>
      <c r="O2085" s="245" t="s">
        <v>118</v>
      </c>
      <c r="P2085" s="245" t="s">
        <v>331</v>
      </c>
      <c r="Q2085" s="245" t="s">
        <v>521</v>
      </c>
      <c r="R2085" s="246" t="s">
        <v>32</v>
      </c>
    </row>
    <row r="2086" spans="1:18" ht="26" x14ac:dyDescent="0.8">
      <c r="A2086" s="247">
        <v>6383</v>
      </c>
      <c r="B2086" s="248" t="s">
        <v>2561</v>
      </c>
      <c r="D2086" s="245">
        <v>0</v>
      </c>
    </row>
    <row r="2087" spans="1:18" hidden="1" x14ac:dyDescent="0.8">
      <c r="A2087" s="247">
        <v>63831</v>
      </c>
      <c r="B2087" s="248" t="s">
        <v>2562</v>
      </c>
      <c r="C2087" s="249" t="s">
        <v>55</v>
      </c>
      <c r="D2087" s="245">
        <v>0</v>
      </c>
      <c r="E2087" s="245">
        <v>9</v>
      </c>
      <c r="H2087" s="245">
        <v>9</v>
      </c>
      <c r="I2087" s="245">
        <v>0</v>
      </c>
      <c r="O2087" s="245" t="s">
        <v>56</v>
      </c>
      <c r="P2087" s="245" t="s">
        <v>331</v>
      </c>
      <c r="Q2087" s="245" t="s">
        <v>331</v>
      </c>
      <c r="R2087" s="246" t="s">
        <v>32</v>
      </c>
    </row>
    <row r="2088" spans="1:18" ht="26" hidden="1" x14ac:dyDescent="0.8">
      <c r="A2088" s="247">
        <v>63832</v>
      </c>
      <c r="B2088" s="248" t="s">
        <v>2563</v>
      </c>
      <c r="C2088" s="249" t="s">
        <v>66</v>
      </c>
      <c r="D2088" s="245">
        <v>0</v>
      </c>
      <c r="E2088" s="245">
        <v>75</v>
      </c>
      <c r="F2088" s="245">
        <v>75</v>
      </c>
      <c r="G2088" s="245">
        <v>75</v>
      </c>
      <c r="H2088" s="245">
        <v>225</v>
      </c>
      <c r="I2088" s="245">
        <v>0.255</v>
      </c>
      <c r="J2088" s="245">
        <v>0</v>
      </c>
      <c r="K2088" s="245">
        <v>19.125</v>
      </c>
      <c r="L2088" s="245">
        <v>19.125</v>
      </c>
      <c r="M2088" s="245">
        <v>19.125</v>
      </c>
      <c r="N2088" s="245">
        <v>57.375</v>
      </c>
      <c r="O2088" s="245" t="s">
        <v>56</v>
      </c>
      <c r="P2088" s="245" t="s">
        <v>331</v>
      </c>
      <c r="Q2088" s="245" t="s">
        <v>96</v>
      </c>
      <c r="R2088" s="246" t="s">
        <v>32</v>
      </c>
    </row>
    <row r="2089" spans="1:18" ht="26" hidden="1" x14ac:dyDescent="0.8">
      <c r="A2089" s="247">
        <v>63831</v>
      </c>
      <c r="B2089" s="248" t="s">
        <v>2564</v>
      </c>
      <c r="C2089" s="249" t="s">
        <v>2566</v>
      </c>
      <c r="D2089" s="245">
        <v>0</v>
      </c>
      <c r="E2089" s="245">
        <v>1</v>
      </c>
      <c r="F2089" s="245">
        <v>1</v>
      </c>
      <c r="G2089" s="245">
        <v>1</v>
      </c>
      <c r="H2089" s="245">
        <v>3</v>
      </c>
      <c r="I2089" s="245">
        <v>200</v>
      </c>
      <c r="J2089" s="245">
        <v>0</v>
      </c>
      <c r="K2089" s="245">
        <v>200</v>
      </c>
      <c r="L2089" s="245">
        <v>200</v>
      </c>
      <c r="M2089" s="245">
        <v>200</v>
      </c>
      <c r="N2089" s="245">
        <v>600</v>
      </c>
      <c r="O2089" s="245" t="s">
        <v>56</v>
      </c>
      <c r="P2089" s="245" t="s">
        <v>331</v>
      </c>
      <c r="Q2089" s="245" t="s">
        <v>331</v>
      </c>
      <c r="R2089" s="246" t="s">
        <v>32</v>
      </c>
    </row>
    <row r="2090" spans="1:18" x14ac:dyDescent="0.8">
      <c r="A2090" s="247">
        <v>64</v>
      </c>
      <c r="B2090" s="248" t="s">
        <v>2567</v>
      </c>
      <c r="D2090" s="245">
        <v>0</v>
      </c>
    </row>
    <row r="2091" spans="1:18" ht="26" x14ac:dyDescent="0.8">
      <c r="A2091" s="247">
        <v>641</v>
      </c>
      <c r="B2091" s="248" t="s">
        <v>2568</v>
      </c>
      <c r="D2091" s="245">
        <v>0</v>
      </c>
    </row>
    <row r="2092" spans="1:18" ht="39" x14ac:dyDescent="0.8">
      <c r="A2092" s="247">
        <v>6411</v>
      </c>
      <c r="B2092" s="248" t="s">
        <v>2569</v>
      </c>
      <c r="D2092" s="245">
        <v>0</v>
      </c>
    </row>
    <row r="2093" spans="1:18" ht="26" hidden="1" x14ac:dyDescent="0.8">
      <c r="A2093" s="247">
        <v>64111</v>
      </c>
      <c r="B2093" s="248" t="s">
        <v>2570</v>
      </c>
      <c r="C2093" s="249" t="s">
        <v>52</v>
      </c>
      <c r="D2093" s="245">
        <v>0</v>
      </c>
      <c r="E2093" s="245">
        <v>96</v>
      </c>
      <c r="F2093" s="245">
        <v>96</v>
      </c>
      <c r="G2093" s="245">
        <v>96</v>
      </c>
      <c r="H2093" s="245">
        <v>288</v>
      </c>
      <c r="I2093" s="245">
        <v>1.5</v>
      </c>
      <c r="J2093" s="245">
        <v>0</v>
      </c>
      <c r="K2093" s="245">
        <v>144</v>
      </c>
      <c r="L2093" s="245">
        <v>144</v>
      </c>
      <c r="M2093" s="245">
        <v>144</v>
      </c>
      <c r="N2093" s="245">
        <v>432</v>
      </c>
      <c r="O2093" s="245" t="s">
        <v>56</v>
      </c>
      <c r="P2093" s="245" t="s">
        <v>331</v>
      </c>
      <c r="Q2093" s="245" t="s">
        <v>2571</v>
      </c>
      <c r="R2093" s="246" t="s">
        <v>32</v>
      </c>
    </row>
    <row r="2094" spans="1:18" ht="26" x14ac:dyDescent="0.8">
      <c r="A2094" s="247">
        <v>64111</v>
      </c>
      <c r="B2094" s="248" t="s">
        <v>2570</v>
      </c>
      <c r="C2094" s="249" t="s">
        <v>52</v>
      </c>
      <c r="D2094" s="245">
        <v>0</v>
      </c>
      <c r="E2094" s="245">
        <v>24</v>
      </c>
      <c r="F2094" s="245">
        <v>24</v>
      </c>
      <c r="G2094" s="245">
        <v>24</v>
      </c>
      <c r="H2094" s="245">
        <v>72</v>
      </c>
      <c r="I2094" s="245">
        <v>1.5</v>
      </c>
      <c r="J2094" s="245">
        <v>0</v>
      </c>
      <c r="K2094" s="245">
        <v>36</v>
      </c>
      <c r="L2094" s="245">
        <v>36</v>
      </c>
      <c r="M2094" s="245">
        <v>36</v>
      </c>
      <c r="N2094" s="245">
        <v>108</v>
      </c>
      <c r="O2094" s="245" t="s">
        <v>118</v>
      </c>
      <c r="P2094" s="245" t="s">
        <v>331</v>
      </c>
      <c r="Q2094" s="245" t="s">
        <v>2571</v>
      </c>
      <c r="R2094" s="246" t="s">
        <v>32</v>
      </c>
    </row>
    <row r="2095" spans="1:18" ht="26" hidden="1" x14ac:dyDescent="0.8">
      <c r="A2095" s="247">
        <v>64112</v>
      </c>
      <c r="B2095" s="248" t="s">
        <v>2572</v>
      </c>
      <c r="C2095" s="249" t="s">
        <v>2574</v>
      </c>
      <c r="D2095" s="245">
        <v>0</v>
      </c>
      <c r="E2095" s="245">
        <v>0.8</v>
      </c>
      <c r="F2095" s="245">
        <v>0.8</v>
      </c>
      <c r="G2095" s="245">
        <v>0.8</v>
      </c>
      <c r="H2095" s="245">
        <v>2.4000000000000004</v>
      </c>
      <c r="I2095" s="245">
        <v>100</v>
      </c>
      <c r="J2095" s="245">
        <v>0</v>
      </c>
      <c r="K2095" s="245">
        <v>80</v>
      </c>
      <c r="L2095" s="245">
        <v>80</v>
      </c>
      <c r="M2095" s="245">
        <v>80</v>
      </c>
      <c r="N2095" s="245">
        <v>240</v>
      </c>
      <c r="O2095" s="245" t="s">
        <v>56</v>
      </c>
      <c r="P2095" s="245" t="s">
        <v>331</v>
      </c>
      <c r="Q2095" s="245" t="s">
        <v>521</v>
      </c>
      <c r="R2095" s="246" t="s">
        <v>32</v>
      </c>
    </row>
    <row r="2096" spans="1:18" ht="26" x14ac:dyDescent="0.8">
      <c r="A2096" s="247">
        <v>64112</v>
      </c>
      <c r="B2096" s="248" t="s">
        <v>2572</v>
      </c>
      <c r="C2096" s="249" t="s">
        <v>2574</v>
      </c>
      <c r="D2096" s="245">
        <v>0</v>
      </c>
      <c r="E2096" s="245">
        <v>0.2</v>
      </c>
      <c r="F2096" s="245">
        <v>0.2</v>
      </c>
      <c r="G2096" s="245">
        <v>0.2</v>
      </c>
      <c r="H2096" s="245">
        <v>0.60000000000000009</v>
      </c>
      <c r="I2096" s="245">
        <v>100</v>
      </c>
      <c r="J2096" s="245">
        <v>0</v>
      </c>
      <c r="K2096" s="245">
        <v>20</v>
      </c>
      <c r="L2096" s="245">
        <v>20</v>
      </c>
      <c r="M2096" s="245">
        <v>20</v>
      </c>
      <c r="N2096" s="245">
        <v>60</v>
      </c>
      <c r="O2096" s="245" t="s">
        <v>118</v>
      </c>
      <c r="P2096" s="245" t="s">
        <v>331</v>
      </c>
      <c r="Q2096" s="245" t="s">
        <v>521</v>
      </c>
      <c r="R2096" s="246" t="s">
        <v>32</v>
      </c>
    </row>
    <row r="2097" spans="1:18" ht="26" hidden="1" x14ac:dyDescent="0.8">
      <c r="A2097" s="247">
        <v>64113</v>
      </c>
      <c r="B2097" s="248" t="s">
        <v>2575</v>
      </c>
      <c r="C2097" s="249" t="s">
        <v>55</v>
      </c>
      <c r="D2097" s="245">
        <v>0</v>
      </c>
      <c r="F2097" s="245">
        <v>1</v>
      </c>
      <c r="G2097" s="245">
        <v>1</v>
      </c>
      <c r="H2097" s="245">
        <v>2</v>
      </c>
      <c r="I2097" s="245">
        <v>0</v>
      </c>
      <c r="O2097" s="245" t="s">
        <v>56</v>
      </c>
      <c r="P2097" s="245" t="s">
        <v>331</v>
      </c>
      <c r="Q2097" s="245" t="s">
        <v>331</v>
      </c>
      <c r="R2097" s="246" t="s">
        <v>32</v>
      </c>
    </row>
    <row r="2098" spans="1:18" ht="26" hidden="1" x14ac:dyDescent="0.8">
      <c r="A2098" s="247">
        <v>64114</v>
      </c>
      <c r="B2098" s="248" t="s">
        <v>2577</v>
      </c>
      <c r="C2098" s="249" t="s">
        <v>38</v>
      </c>
      <c r="D2098" s="245">
        <v>0</v>
      </c>
      <c r="E2098" s="245">
        <v>224</v>
      </c>
      <c r="F2098" s="245">
        <v>224</v>
      </c>
      <c r="G2098" s="245">
        <v>224</v>
      </c>
      <c r="H2098" s="245">
        <v>672</v>
      </c>
      <c r="I2098" s="245">
        <v>0.3133333333333333</v>
      </c>
      <c r="J2098" s="245">
        <v>0</v>
      </c>
      <c r="K2098" s="245">
        <v>70.186666666666653</v>
      </c>
      <c r="L2098" s="245">
        <v>70.186666666666653</v>
      </c>
      <c r="M2098" s="245">
        <v>70.186666666666653</v>
      </c>
      <c r="N2098" s="245">
        <v>210.55999999999995</v>
      </c>
      <c r="O2098" s="245" t="s">
        <v>56</v>
      </c>
      <c r="P2098" s="245" t="s">
        <v>331</v>
      </c>
      <c r="Q2098" s="245" t="s">
        <v>2578</v>
      </c>
      <c r="R2098" s="246" t="s">
        <v>32</v>
      </c>
    </row>
    <row r="2099" spans="1:18" ht="26" x14ac:dyDescent="0.8">
      <c r="A2099" s="247">
        <v>64114</v>
      </c>
      <c r="B2099" s="248" t="s">
        <v>2577</v>
      </c>
      <c r="C2099" s="249" t="s">
        <v>38</v>
      </c>
      <c r="D2099" s="245">
        <v>0</v>
      </c>
      <c r="E2099" s="245">
        <v>56</v>
      </c>
      <c r="F2099" s="245">
        <v>56</v>
      </c>
      <c r="G2099" s="245">
        <v>56</v>
      </c>
      <c r="H2099" s="245">
        <v>168</v>
      </c>
      <c r="I2099" s="245">
        <v>0.3133333333333333</v>
      </c>
      <c r="J2099" s="245">
        <v>0</v>
      </c>
      <c r="K2099" s="245">
        <v>17.546666666666663</v>
      </c>
      <c r="L2099" s="245">
        <v>17.546666666666663</v>
      </c>
      <c r="M2099" s="245">
        <v>17.546666666666663</v>
      </c>
      <c r="N2099" s="245">
        <v>52.639999999999986</v>
      </c>
      <c r="O2099" s="245" t="s">
        <v>118</v>
      </c>
      <c r="P2099" s="245" t="s">
        <v>331</v>
      </c>
      <c r="Q2099" s="245" t="s">
        <v>2578</v>
      </c>
      <c r="R2099" s="246" t="s">
        <v>32</v>
      </c>
    </row>
    <row r="2100" spans="1:18" ht="39" x14ac:dyDescent="0.8">
      <c r="A2100" s="247">
        <v>6412</v>
      </c>
      <c r="B2100" s="248" t="s">
        <v>2579</v>
      </c>
      <c r="D2100" s="245">
        <v>0</v>
      </c>
    </row>
    <row r="2101" spans="1:18" ht="39" hidden="1" x14ac:dyDescent="0.8">
      <c r="A2101" s="247">
        <v>64121</v>
      </c>
      <c r="B2101" s="248" t="s">
        <v>2580</v>
      </c>
      <c r="C2101" s="249" t="s">
        <v>66</v>
      </c>
      <c r="D2101" s="245">
        <v>0</v>
      </c>
      <c r="H2101" s="245">
        <v>0</v>
      </c>
      <c r="I2101" s="245">
        <v>0.255</v>
      </c>
      <c r="J2101" s="245">
        <v>0</v>
      </c>
      <c r="K2101" s="245">
        <v>0</v>
      </c>
      <c r="L2101" s="245">
        <v>0</v>
      </c>
      <c r="M2101" s="245">
        <v>0</v>
      </c>
      <c r="N2101" s="245">
        <v>0</v>
      </c>
      <c r="O2101" s="245" t="s">
        <v>56</v>
      </c>
      <c r="P2101" s="245" t="s">
        <v>331</v>
      </c>
      <c r="Q2101" s="245" t="s">
        <v>331</v>
      </c>
      <c r="R2101" s="246" t="s">
        <v>32</v>
      </c>
    </row>
    <row r="2102" spans="1:18" hidden="1" x14ac:dyDescent="0.8">
      <c r="A2102" s="247">
        <v>64122</v>
      </c>
      <c r="B2102" s="248" t="s">
        <v>2581</v>
      </c>
      <c r="C2102" s="249" t="s">
        <v>66</v>
      </c>
      <c r="D2102" s="245">
        <v>0</v>
      </c>
      <c r="E2102" s="245">
        <v>50</v>
      </c>
      <c r="H2102" s="245">
        <v>50</v>
      </c>
      <c r="I2102" s="245">
        <v>0.255</v>
      </c>
      <c r="J2102" s="245">
        <v>0</v>
      </c>
      <c r="K2102" s="245">
        <v>12.75</v>
      </c>
      <c r="L2102" s="245">
        <v>0</v>
      </c>
      <c r="M2102" s="245">
        <v>0</v>
      </c>
      <c r="N2102" s="245">
        <v>12.75</v>
      </c>
      <c r="O2102" s="245" t="s">
        <v>56</v>
      </c>
      <c r="P2102" s="245" t="s">
        <v>331</v>
      </c>
      <c r="Q2102" s="245" t="s">
        <v>331</v>
      </c>
      <c r="R2102" s="246" t="s">
        <v>32</v>
      </c>
    </row>
    <row r="2103" spans="1:18" ht="26" hidden="1" x14ac:dyDescent="0.8">
      <c r="A2103" s="247">
        <v>64123</v>
      </c>
      <c r="B2103" s="248" t="s">
        <v>2582</v>
      </c>
      <c r="C2103" s="249" t="s">
        <v>55</v>
      </c>
      <c r="D2103" s="245">
        <v>0</v>
      </c>
      <c r="E2103" s="245">
        <v>1</v>
      </c>
      <c r="H2103" s="245">
        <v>1</v>
      </c>
      <c r="I2103" s="245">
        <v>0</v>
      </c>
      <c r="O2103" s="245" t="s">
        <v>56</v>
      </c>
      <c r="P2103" s="245" t="s">
        <v>331</v>
      </c>
      <c r="Q2103" s="245" t="s">
        <v>2583</v>
      </c>
      <c r="R2103" s="246" t="s">
        <v>32</v>
      </c>
    </row>
    <row r="2104" spans="1:18" ht="39" hidden="1" x14ac:dyDescent="0.8">
      <c r="A2104" s="247">
        <v>64124</v>
      </c>
      <c r="B2104" s="248" t="s">
        <v>2584</v>
      </c>
      <c r="C2104" s="249" t="s">
        <v>55</v>
      </c>
      <c r="D2104" s="245">
        <v>0</v>
      </c>
      <c r="F2104" s="245">
        <v>1</v>
      </c>
      <c r="H2104" s="245">
        <v>1</v>
      </c>
      <c r="I2104" s="245">
        <v>0</v>
      </c>
      <c r="O2104" s="245" t="s">
        <v>56</v>
      </c>
      <c r="P2104" s="245" t="s">
        <v>32</v>
      </c>
      <c r="Q2104" s="245" t="s">
        <v>2583</v>
      </c>
      <c r="R2104" s="246" t="s">
        <v>32</v>
      </c>
    </row>
    <row r="2105" spans="1:18" ht="39" hidden="1" x14ac:dyDescent="0.8">
      <c r="A2105" s="247">
        <v>64125</v>
      </c>
      <c r="B2105" s="248" t="s">
        <v>2586</v>
      </c>
      <c r="C2105" s="249" t="s">
        <v>55</v>
      </c>
      <c r="D2105" s="245">
        <v>0</v>
      </c>
      <c r="E2105" s="245">
        <v>1</v>
      </c>
      <c r="H2105" s="245">
        <v>1</v>
      </c>
      <c r="I2105" s="245">
        <v>0</v>
      </c>
      <c r="O2105" s="245" t="s">
        <v>56</v>
      </c>
      <c r="P2105" s="245" t="s">
        <v>331</v>
      </c>
      <c r="Q2105" s="245" t="s">
        <v>2587</v>
      </c>
      <c r="R2105" s="246" t="s">
        <v>32</v>
      </c>
    </row>
    <row r="2106" spans="1:18" ht="39" hidden="1" x14ac:dyDescent="0.8">
      <c r="A2106" s="247">
        <v>64126</v>
      </c>
      <c r="B2106" s="248" t="s">
        <v>2588</v>
      </c>
      <c r="C2106" s="249" t="s">
        <v>55</v>
      </c>
      <c r="D2106" s="245">
        <v>0</v>
      </c>
      <c r="E2106" s="245">
        <v>1</v>
      </c>
      <c r="H2106" s="245">
        <v>1</v>
      </c>
      <c r="I2106" s="245">
        <v>0</v>
      </c>
      <c r="O2106" s="245" t="s">
        <v>56</v>
      </c>
      <c r="P2106" s="245" t="s">
        <v>331</v>
      </c>
      <c r="Q2106" s="245" t="s">
        <v>2587</v>
      </c>
      <c r="R2106" s="246" t="s">
        <v>32</v>
      </c>
    </row>
    <row r="2107" spans="1:18" ht="39" hidden="1" x14ac:dyDescent="0.8">
      <c r="A2107" s="247">
        <v>64127</v>
      </c>
      <c r="B2107" s="248" t="s">
        <v>2589</v>
      </c>
      <c r="C2107" s="249" t="s">
        <v>38</v>
      </c>
      <c r="D2107" s="245">
        <v>0</v>
      </c>
      <c r="F2107" s="245">
        <v>40</v>
      </c>
      <c r="H2107" s="245">
        <v>40</v>
      </c>
      <c r="I2107" s="245">
        <v>0.3133333333333333</v>
      </c>
      <c r="J2107" s="245">
        <v>0</v>
      </c>
      <c r="K2107" s="245">
        <v>0</v>
      </c>
      <c r="L2107" s="245">
        <v>12.533333333333331</v>
      </c>
      <c r="M2107" s="245">
        <v>0</v>
      </c>
      <c r="N2107" s="245">
        <v>12.533333333333331</v>
      </c>
      <c r="O2107" s="245" t="s">
        <v>56</v>
      </c>
      <c r="P2107" s="245" t="s">
        <v>331</v>
      </c>
      <c r="Q2107" s="245" t="s">
        <v>331</v>
      </c>
      <c r="R2107" s="246" t="s">
        <v>32</v>
      </c>
    </row>
    <row r="2108" spans="1:18" x14ac:dyDescent="0.8">
      <c r="A2108" s="247">
        <v>6413</v>
      </c>
      <c r="B2108" s="248" t="s">
        <v>2590</v>
      </c>
      <c r="D2108" s="245">
        <v>0</v>
      </c>
    </row>
    <row r="2109" spans="1:18" hidden="1" x14ac:dyDescent="0.8">
      <c r="A2109" s="247">
        <v>64131</v>
      </c>
      <c r="B2109" s="248" t="s">
        <v>2591</v>
      </c>
      <c r="C2109" s="249" t="s">
        <v>59</v>
      </c>
      <c r="D2109" s="245">
        <v>0</v>
      </c>
      <c r="F2109" s="245">
        <v>144.018</v>
      </c>
      <c r="G2109" s="245">
        <v>144.018</v>
      </c>
      <c r="H2109" s="245">
        <v>288.036</v>
      </c>
      <c r="I2109" s="245">
        <v>0.8177777777777776</v>
      </c>
      <c r="J2109" s="245">
        <v>0</v>
      </c>
      <c r="K2109" s="245">
        <v>0</v>
      </c>
      <c r="L2109" s="245">
        <v>117.77471999999997</v>
      </c>
      <c r="M2109" s="245">
        <v>117.77471999999997</v>
      </c>
      <c r="N2109" s="245">
        <v>235.54943999999995</v>
      </c>
      <c r="O2109" s="245" t="s">
        <v>56</v>
      </c>
      <c r="P2109" s="245" t="s">
        <v>331</v>
      </c>
      <c r="Q2109" s="245" t="s">
        <v>222</v>
      </c>
      <c r="R2109" s="246" t="s">
        <v>32</v>
      </c>
    </row>
    <row r="2110" spans="1:18" x14ac:dyDescent="0.8">
      <c r="A2110" s="247">
        <v>64131</v>
      </c>
      <c r="B2110" s="248" t="s">
        <v>2591</v>
      </c>
      <c r="C2110" s="249" t="s">
        <v>59</v>
      </c>
      <c r="D2110" s="245">
        <v>0</v>
      </c>
      <c r="F2110" s="245">
        <v>35.981999999999999</v>
      </c>
      <c r="G2110" s="245">
        <v>35.981999999999999</v>
      </c>
      <c r="H2110" s="245">
        <v>71.963999999999999</v>
      </c>
      <c r="I2110" s="245">
        <v>0.8177777777777776</v>
      </c>
      <c r="J2110" s="245">
        <v>0</v>
      </c>
      <c r="K2110" s="245">
        <v>0</v>
      </c>
      <c r="L2110" s="245">
        <v>29.425279999999994</v>
      </c>
      <c r="M2110" s="245">
        <v>29.425279999999994</v>
      </c>
      <c r="N2110" s="245">
        <v>58.850559999999987</v>
      </c>
      <c r="O2110" s="245" t="s">
        <v>118</v>
      </c>
      <c r="P2110" s="245" t="s">
        <v>331</v>
      </c>
      <c r="Q2110" s="245" t="s">
        <v>222</v>
      </c>
      <c r="R2110" s="246" t="s">
        <v>32</v>
      </c>
    </row>
    <row r="2111" spans="1:18" hidden="1" x14ac:dyDescent="0.8">
      <c r="A2111" s="247">
        <v>64132</v>
      </c>
      <c r="B2111" s="248" t="s">
        <v>2592</v>
      </c>
      <c r="C2111" s="249" t="s">
        <v>55</v>
      </c>
      <c r="D2111" s="245">
        <v>0</v>
      </c>
      <c r="E2111" s="245">
        <v>1</v>
      </c>
      <c r="F2111" s="245">
        <v>1</v>
      </c>
      <c r="G2111" s="245">
        <v>1</v>
      </c>
      <c r="H2111" s="245">
        <v>3</v>
      </c>
      <c r="I2111" s="245">
        <v>0</v>
      </c>
      <c r="O2111" s="245" t="s">
        <v>56</v>
      </c>
      <c r="P2111" s="245" t="s">
        <v>331</v>
      </c>
      <c r="Q2111" s="245" t="s">
        <v>2593</v>
      </c>
      <c r="R2111" s="246" t="s">
        <v>32</v>
      </c>
    </row>
    <row r="2112" spans="1:18" hidden="1" x14ac:dyDescent="0.8">
      <c r="A2112" s="247">
        <v>64133</v>
      </c>
      <c r="B2112" s="248" t="s">
        <v>2594</v>
      </c>
      <c r="C2112" s="249" t="s">
        <v>2596</v>
      </c>
      <c r="D2112" s="245">
        <v>0</v>
      </c>
      <c r="G2112" s="245">
        <v>40</v>
      </c>
      <c r="H2112" s="245">
        <v>40</v>
      </c>
      <c r="I2112" s="245">
        <v>69</v>
      </c>
      <c r="J2112" s="245">
        <v>0</v>
      </c>
      <c r="K2112" s="245">
        <v>0</v>
      </c>
      <c r="L2112" s="245">
        <v>0</v>
      </c>
      <c r="M2112" s="245">
        <v>2760</v>
      </c>
      <c r="N2112" s="245">
        <v>2760</v>
      </c>
      <c r="O2112" s="245" t="s">
        <v>56</v>
      </c>
      <c r="P2112" s="245" t="s">
        <v>331</v>
      </c>
      <c r="Q2112" s="245" t="s">
        <v>98</v>
      </c>
      <c r="R2112" s="246" t="s">
        <v>32</v>
      </c>
    </row>
    <row r="2113" spans="1:18" x14ac:dyDescent="0.8">
      <c r="A2113" s="247">
        <v>64133</v>
      </c>
      <c r="B2113" s="248" t="s">
        <v>2594</v>
      </c>
      <c r="C2113" s="249" t="s">
        <v>2596</v>
      </c>
      <c r="D2113" s="245">
        <v>0</v>
      </c>
      <c r="G2113" s="245">
        <v>10</v>
      </c>
      <c r="H2113" s="245">
        <v>10</v>
      </c>
      <c r="I2113" s="245">
        <v>69</v>
      </c>
      <c r="J2113" s="245">
        <v>0</v>
      </c>
      <c r="K2113" s="245">
        <v>0</v>
      </c>
      <c r="L2113" s="245">
        <v>0</v>
      </c>
      <c r="M2113" s="245">
        <v>690</v>
      </c>
      <c r="N2113" s="245">
        <v>690</v>
      </c>
      <c r="O2113" s="245" t="s">
        <v>118</v>
      </c>
      <c r="P2113" s="245" t="s">
        <v>331</v>
      </c>
      <c r="Q2113" s="245" t="s">
        <v>98</v>
      </c>
      <c r="R2113" s="246" t="s">
        <v>32</v>
      </c>
    </row>
    <row r="2114" spans="1:18" hidden="1" x14ac:dyDescent="0.8">
      <c r="A2114" s="247">
        <v>64134</v>
      </c>
      <c r="B2114" s="248" t="s">
        <v>2597</v>
      </c>
      <c r="C2114" s="249" t="s">
        <v>2598</v>
      </c>
      <c r="D2114" s="245">
        <v>0</v>
      </c>
      <c r="G2114" s="245">
        <v>50</v>
      </c>
      <c r="H2114" s="245">
        <v>50</v>
      </c>
      <c r="I2114" s="245">
        <v>45</v>
      </c>
      <c r="J2114" s="245">
        <v>0</v>
      </c>
      <c r="K2114" s="245">
        <v>0</v>
      </c>
      <c r="L2114" s="245">
        <v>0</v>
      </c>
      <c r="M2114" s="245">
        <v>2250</v>
      </c>
      <c r="N2114" s="245">
        <v>2250</v>
      </c>
      <c r="O2114" s="245" t="s">
        <v>56</v>
      </c>
      <c r="P2114" s="245" t="s">
        <v>331</v>
      </c>
      <c r="Q2114" s="245" t="s">
        <v>98</v>
      </c>
      <c r="R2114" s="246" t="s">
        <v>32</v>
      </c>
    </row>
    <row r="2115" spans="1:18" ht="26" hidden="1" x14ac:dyDescent="0.8">
      <c r="A2115" s="247">
        <v>64135</v>
      </c>
      <c r="B2115" s="248" t="s">
        <v>2599</v>
      </c>
      <c r="C2115" s="249" t="s">
        <v>2601</v>
      </c>
      <c r="D2115" s="245">
        <v>0</v>
      </c>
      <c r="G2115" s="245">
        <v>1000</v>
      </c>
      <c r="H2115" s="245">
        <v>1000</v>
      </c>
      <c r="I2115" s="245">
        <v>0.27500000000000002</v>
      </c>
      <c r="J2115" s="245">
        <v>0</v>
      </c>
      <c r="K2115" s="245">
        <v>0</v>
      </c>
      <c r="L2115" s="245">
        <v>0</v>
      </c>
      <c r="M2115" s="245">
        <v>275</v>
      </c>
      <c r="N2115" s="245">
        <v>275</v>
      </c>
      <c r="O2115" s="245" t="s">
        <v>56</v>
      </c>
      <c r="P2115" s="245" t="s">
        <v>331</v>
      </c>
      <c r="Q2115" s="245" t="s">
        <v>521</v>
      </c>
      <c r="R2115" s="246" t="s">
        <v>32</v>
      </c>
    </row>
    <row r="2116" spans="1:18" ht="39" x14ac:dyDescent="0.8">
      <c r="A2116" s="247">
        <v>642</v>
      </c>
      <c r="B2116" s="248" t="s">
        <v>2602</v>
      </c>
      <c r="D2116" s="245">
        <v>0</v>
      </c>
    </row>
    <row r="2117" spans="1:18" ht="26" x14ac:dyDescent="0.8">
      <c r="A2117" s="247">
        <v>6421</v>
      </c>
      <c r="B2117" s="248" t="s">
        <v>2603</v>
      </c>
      <c r="D2117" s="245">
        <v>0</v>
      </c>
    </row>
    <row r="2118" spans="1:18" ht="26" hidden="1" x14ac:dyDescent="0.8">
      <c r="A2118" s="247">
        <v>64211</v>
      </c>
      <c r="B2118" s="248" t="s">
        <v>2604</v>
      </c>
      <c r="C2118" s="249" t="s">
        <v>55</v>
      </c>
      <c r="D2118" s="245">
        <v>0</v>
      </c>
      <c r="F2118" s="245">
        <v>1</v>
      </c>
      <c r="G2118" s="245">
        <v>1</v>
      </c>
      <c r="H2118" s="245">
        <v>2</v>
      </c>
      <c r="I2118" s="245">
        <v>0</v>
      </c>
      <c r="O2118" s="245" t="s">
        <v>56</v>
      </c>
      <c r="P2118" s="245" t="s">
        <v>331</v>
      </c>
      <c r="Q2118" s="245" t="s">
        <v>222</v>
      </c>
      <c r="R2118" s="246" t="s">
        <v>32</v>
      </c>
    </row>
    <row r="2119" spans="1:18" hidden="1" x14ac:dyDescent="0.8">
      <c r="A2119" s="247">
        <v>64212</v>
      </c>
      <c r="B2119" s="248" t="s">
        <v>2605</v>
      </c>
      <c r="C2119" s="249" t="s">
        <v>2607</v>
      </c>
      <c r="D2119" s="245">
        <v>0</v>
      </c>
      <c r="F2119" s="245">
        <v>50</v>
      </c>
      <c r="G2119" s="245">
        <v>80</v>
      </c>
      <c r="H2119" s="245">
        <v>130</v>
      </c>
      <c r="I2119" s="245">
        <v>20.175000000000001</v>
      </c>
      <c r="J2119" s="245">
        <v>0</v>
      </c>
      <c r="K2119" s="245">
        <v>0</v>
      </c>
      <c r="L2119" s="245">
        <v>1008.75</v>
      </c>
      <c r="M2119" s="245">
        <v>1614</v>
      </c>
      <c r="N2119" s="245">
        <v>2622.75</v>
      </c>
      <c r="O2119" s="245" t="s">
        <v>56</v>
      </c>
      <c r="P2119" s="245" t="s">
        <v>331</v>
      </c>
      <c r="Q2119" s="245" t="s">
        <v>521</v>
      </c>
      <c r="R2119" s="246" t="s">
        <v>32</v>
      </c>
    </row>
    <row r="2120" spans="1:18" ht="52" x14ac:dyDescent="0.8">
      <c r="A2120" s="247">
        <v>6422</v>
      </c>
      <c r="B2120" s="248" t="s">
        <v>2608</v>
      </c>
      <c r="D2120" s="245">
        <v>0</v>
      </c>
    </row>
    <row r="2121" spans="1:18" ht="26" hidden="1" x14ac:dyDescent="0.8">
      <c r="A2121" s="247">
        <v>64221</v>
      </c>
      <c r="B2121" s="248" t="s">
        <v>2609</v>
      </c>
      <c r="C2121" s="249" t="s">
        <v>66</v>
      </c>
      <c r="D2121" s="245">
        <v>0</v>
      </c>
      <c r="F2121" s="245">
        <v>21</v>
      </c>
      <c r="G2121" s="245">
        <v>21</v>
      </c>
      <c r="H2121" s="245">
        <v>42</v>
      </c>
      <c r="I2121" s="245">
        <v>0.255</v>
      </c>
      <c r="J2121" s="245">
        <v>0</v>
      </c>
      <c r="K2121" s="245">
        <v>0</v>
      </c>
      <c r="L2121" s="245">
        <v>5.3550000000000004</v>
      </c>
      <c r="M2121" s="245">
        <v>5.3550000000000004</v>
      </c>
      <c r="N2121" s="245">
        <v>10.71</v>
      </c>
      <c r="O2121" s="245" t="s">
        <v>56</v>
      </c>
      <c r="P2121" s="245" t="s">
        <v>331</v>
      </c>
      <c r="Q2121" s="245" t="s">
        <v>331</v>
      </c>
      <c r="R2121" s="246" t="s">
        <v>32</v>
      </c>
    </row>
    <row r="2122" spans="1:18" ht="26" hidden="1" x14ac:dyDescent="0.8">
      <c r="A2122" s="247">
        <v>64222</v>
      </c>
      <c r="B2122" s="248" t="s">
        <v>2610</v>
      </c>
      <c r="C2122" s="249" t="s">
        <v>301</v>
      </c>
      <c r="D2122" s="245">
        <v>0</v>
      </c>
      <c r="F2122" s="245">
        <v>450</v>
      </c>
      <c r="G2122" s="245">
        <v>720</v>
      </c>
      <c r="H2122" s="245">
        <v>1170</v>
      </c>
      <c r="I2122" s="245">
        <v>0.67666666666666664</v>
      </c>
      <c r="J2122" s="245">
        <v>0</v>
      </c>
      <c r="K2122" s="245">
        <v>0</v>
      </c>
      <c r="L2122" s="245">
        <v>304.5</v>
      </c>
      <c r="M2122" s="245">
        <v>487.2</v>
      </c>
      <c r="N2122" s="245">
        <v>791.7</v>
      </c>
      <c r="O2122" s="245" t="s">
        <v>56</v>
      </c>
      <c r="P2122" s="245" t="s">
        <v>331</v>
      </c>
      <c r="Q2122" s="245" t="s">
        <v>222</v>
      </c>
      <c r="R2122" s="246" t="s">
        <v>32</v>
      </c>
    </row>
    <row r="2123" spans="1:18" ht="26" x14ac:dyDescent="0.8">
      <c r="A2123" s="247">
        <v>643</v>
      </c>
      <c r="B2123" s="248" t="s">
        <v>2611</v>
      </c>
      <c r="D2123" s="245">
        <v>0</v>
      </c>
    </row>
    <row r="2124" spans="1:18" ht="26" x14ac:dyDescent="0.8">
      <c r="A2124" s="247">
        <v>6431</v>
      </c>
      <c r="B2124" s="248" t="s">
        <v>2612</v>
      </c>
      <c r="D2124" s="245">
        <v>0</v>
      </c>
    </row>
    <row r="2125" spans="1:18" x14ac:dyDescent="0.8">
      <c r="A2125" s="247">
        <v>64311</v>
      </c>
      <c r="B2125" s="248" t="s">
        <v>2613</v>
      </c>
      <c r="C2125" s="249" t="s">
        <v>2614</v>
      </c>
      <c r="D2125" s="245">
        <v>0</v>
      </c>
      <c r="H2125" s="245">
        <v>0</v>
      </c>
      <c r="I2125" s="245">
        <v>3.1150000000000001E-2</v>
      </c>
      <c r="J2125" s="245">
        <v>0</v>
      </c>
      <c r="K2125" s="245">
        <v>0</v>
      </c>
      <c r="L2125" s="245">
        <v>0</v>
      </c>
      <c r="M2125" s="245">
        <v>0</v>
      </c>
      <c r="N2125" s="245">
        <v>0</v>
      </c>
      <c r="O2125" s="245" t="s">
        <v>178</v>
      </c>
      <c r="P2125" s="245" t="s">
        <v>331</v>
      </c>
      <c r="Q2125" s="245" t="s">
        <v>222</v>
      </c>
      <c r="R2125" s="246" t="s">
        <v>32</v>
      </c>
    </row>
    <row r="2126" spans="1:18" hidden="1" x14ac:dyDescent="0.8">
      <c r="A2126" s="247">
        <v>64311</v>
      </c>
      <c r="B2126" s="248" t="s">
        <v>2613</v>
      </c>
      <c r="C2126" s="249" t="s">
        <v>2614</v>
      </c>
      <c r="D2126" s="245">
        <v>0</v>
      </c>
      <c r="E2126" s="245">
        <v>0</v>
      </c>
      <c r="F2126" s="245">
        <v>39227.46</v>
      </c>
      <c r="G2126" s="245">
        <v>44391.9</v>
      </c>
      <c r="H2126" s="245">
        <v>83619.360000000001</v>
      </c>
      <c r="I2126" s="245">
        <v>3.1150000000000001E-2</v>
      </c>
      <c r="J2126" s="245">
        <v>0</v>
      </c>
      <c r="K2126" s="245">
        <v>0</v>
      </c>
      <c r="L2126" s="245">
        <v>1221.935379</v>
      </c>
      <c r="M2126" s="245">
        <v>1382.807685</v>
      </c>
      <c r="N2126" s="245">
        <v>2604.7430640000002</v>
      </c>
      <c r="O2126" s="245" t="s">
        <v>169</v>
      </c>
      <c r="P2126" s="245" t="s">
        <v>331</v>
      </c>
      <c r="Q2126" s="245" t="s">
        <v>222</v>
      </c>
      <c r="R2126" s="246" t="s">
        <v>32</v>
      </c>
    </row>
    <row r="2127" spans="1:18" hidden="1" x14ac:dyDescent="0.8">
      <c r="A2127" s="247">
        <v>64312</v>
      </c>
      <c r="B2127" s="248" t="s">
        <v>2615</v>
      </c>
      <c r="C2127" s="249" t="s">
        <v>59</v>
      </c>
      <c r="F2127" s="245">
        <v>160</v>
      </c>
      <c r="G2127" s="245">
        <v>160</v>
      </c>
      <c r="H2127" s="245">
        <v>320</v>
      </c>
      <c r="I2127" s="245">
        <v>0.8177777777777776</v>
      </c>
      <c r="J2127" s="245">
        <v>0</v>
      </c>
      <c r="K2127" s="245">
        <v>0</v>
      </c>
      <c r="L2127" s="245">
        <v>130.84444444444441</v>
      </c>
      <c r="M2127" s="245">
        <v>130.84444444444441</v>
      </c>
      <c r="N2127" s="245">
        <v>261.68888888888881</v>
      </c>
      <c r="O2127" s="245" t="s">
        <v>56</v>
      </c>
      <c r="P2127" s="245" t="s">
        <v>331</v>
      </c>
      <c r="Q2127" s="245" t="s">
        <v>331</v>
      </c>
      <c r="R2127" s="246" t="s">
        <v>32</v>
      </c>
    </row>
    <row r="2128" spans="1:18" ht="65" x14ac:dyDescent="0.8">
      <c r="A2128" s="247">
        <v>11345</v>
      </c>
      <c r="B2128" s="248" t="s">
        <v>2617</v>
      </c>
      <c r="C2128" s="249" t="s">
        <v>38</v>
      </c>
      <c r="E2128" s="245">
        <v>9</v>
      </c>
      <c r="F2128" s="245">
        <v>9</v>
      </c>
      <c r="H2128" s="245">
        <v>18</v>
      </c>
      <c r="I2128" s="245">
        <v>439</v>
      </c>
      <c r="J2128" s="245">
        <v>395410</v>
      </c>
      <c r="K2128" s="245">
        <v>48000</v>
      </c>
      <c r="L2128" s="245">
        <v>32000</v>
      </c>
      <c r="N2128" s="245">
        <v>475410</v>
      </c>
      <c r="O2128" s="245" t="s">
        <v>60</v>
      </c>
      <c r="R2128" s="246" t="s">
        <v>32</v>
      </c>
    </row>
    <row r="2129" spans="1:18" ht="78" x14ac:dyDescent="0.8">
      <c r="A2129" s="247">
        <v>11346</v>
      </c>
      <c r="B2129" s="248" t="s">
        <v>2619</v>
      </c>
      <c r="C2129" s="249" t="s">
        <v>2674</v>
      </c>
      <c r="D2129" s="245">
        <v>4</v>
      </c>
      <c r="E2129" s="245">
        <v>4</v>
      </c>
      <c r="F2129" s="245">
        <v>4</v>
      </c>
      <c r="H2129" s="245">
        <v>12</v>
      </c>
      <c r="I2129" s="245">
        <v>4389</v>
      </c>
      <c r="J2129" s="245">
        <v>30000</v>
      </c>
      <c r="K2129" s="245">
        <v>74667</v>
      </c>
      <c r="L2129" s="245">
        <v>49778</v>
      </c>
      <c r="N2129" s="245">
        <v>154445</v>
      </c>
      <c r="O2129" s="245" t="s">
        <v>60</v>
      </c>
      <c r="R2129" s="246" t="s">
        <v>32</v>
      </c>
    </row>
    <row r="2130" spans="1:18" ht="65" x14ac:dyDescent="0.8">
      <c r="A2130" s="247">
        <v>11347</v>
      </c>
      <c r="B2130" s="248" t="s">
        <v>2621</v>
      </c>
      <c r="C2130" s="249" t="s">
        <v>2674</v>
      </c>
      <c r="E2130" s="245">
        <v>12</v>
      </c>
      <c r="F2130" s="245">
        <v>12</v>
      </c>
      <c r="H2130" s="245">
        <v>24</v>
      </c>
      <c r="I2130" s="245">
        <v>2743</v>
      </c>
      <c r="K2130" s="245">
        <v>40000</v>
      </c>
      <c r="L2130" s="245">
        <v>26667</v>
      </c>
      <c r="N2130" s="245">
        <v>66667</v>
      </c>
      <c r="O2130" s="245" t="s">
        <v>60</v>
      </c>
      <c r="R2130" s="246" t="s">
        <v>32</v>
      </c>
    </row>
    <row r="2131" spans="1:18" ht="65" x14ac:dyDescent="0.8">
      <c r="A2131" s="247">
        <v>11348</v>
      </c>
      <c r="B2131" s="248" t="s">
        <v>2623</v>
      </c>
      <c r="C2131" s="249" t="s">
        <v>2674</v>
      </c>
      <c r="E2131" s="245">
        <v>16</v>
      </c>
      <c r="F2131" s="245">
        <v>16</v>
      </c>
      <c r="H2131" s="245">
        <v>32</v>
      </c>
      <c r="I2131" s="245">
        <v>36460</v>
      </c>
      <c r="J2131" s="245">
        <v>3269236</v>
      </c>
      <c r="K2131" s="245">
        <v>170667</v>
      </c>
      <c r="L2131" s="245">
        <v>113778</v>
      </c>
      <c r="N2131" s="245">
        <v>3553681</v>
      </c>
      <c r="O2131" s="245" t="s">
        <v>60</v>
      </c>
      <c r="R2131" s="246" t="s">
        <v>32</v>
      </c>
    </row>
    <row r="2132" spans="1:18" ht="26" x14ac:dyDescent="0.8">
      <c r="A2132" s="247">
        <v>52111</v>
      </c>
      <c r="B2132" s="248" t="s">
        <v>2625</v>
      </c>
      <c r="C2132" s="249" t="s">
        <v>59</v>
      </c>
      <c r="D2132" s="245">
        <v>4</v>
      </c>
      <c r="E2132" s="245">
        <v>4</v>
      </c>
      <c r="F2132" s="245">
        <v>4</v>
      </c>
      <c r="H2132" s="245">
        <v>12</v>
      </c>
      <c r="J2132" s="245">
        <v>7984</v>
      </c>
      <c r="K2132" s="245">
        <v>4000</v>
      </c>
      <c r="L2132" s="245">
        <v>2667</v>
      </c>
      <c r="N2132" s="245">
        <v>14651</v>
      </c>
      <c r="O2132" s="245" t="s">
        <v>60</v>
      </c>
      <c r="R2132" s="246" t="s">
        <v>32</v>
      </c>
    </row>
    <row r="2133" spans="1:18" ht="52" x14ac:dyDescent="0.8">
      <c r="A2133" s="247">
        <v>58111</v>
      </c>
      <c r="B2133" s="248" t="s">
        <v>2626</v>
      </c>
      <c r="C2133" s="249" t="s">
        <v>301</v>
      </c>
      <c r="E2133" s="245">
        <v>75</v>
      </c>
      <c r="F2133" s="245">
        <v>75</v>
      </c>
      <c r="I2133" s="245">
        <v>3000</v>
      </c>
      <c r="J2133" s="245">
        <v>3000</v>
      </c>
      <c r="K2133" s="245">
        <v>3000</v>
      </c>
      <c r="L2133" s="245">
        <v>3000</v>
      </c>
      <c r="M2133" s="245">
        <v>3000</v>
      </c>
      <c r="N2133" s="245">
        <v>3000</v>
      </c>
      <c r="O2133" s="245" t="s">
        <v>60</v>
      </c>
      <c r="R2133" s="246" t="s">
        <v>32</v>
      </c>
    </row>
    <row r="2134" spans="1:18" ht="52" x14ac:dyDescent="0.8">
      <c r="A2134" s="247">
        <v>52111</v>
      </c>
      <c r="B2134" s="248" t="s">
        <v>2627</v>
      </c>
      <c r="C2134" s="249" t="s">
        <v>506</v>
      </c>
      <c r="D2134" s="245">
        <v>60</v>
      </c>
      <c r="J2134" s="245">
        <v>44147</v>
      </c>
      <c r="N2134" s="245">
        <v>44147</v>
      </c>
      <c r="O2134" s="245" t="s">
        <v>60</v>
      </c>
      <c r="R2134" s="246" t="s">
        <v>32</v>
      </c>
    </row>
    <row r="2135" spans="1:18" ht="26" x14ac:dyDescent="0.8">
      <c r="A2135" s="247">
        <v>11351</v>
      </c>
      <c r="B2135" s="248" t="s">
        <v>2629</v>
      </c>
      <c r="C2135" s="249" t="s">
        <v>2674</v>
      </c>
      <c r="D2135" s="245">
        <v>1</v>
      </c>
      <c r="J2135" s="245">
        <v>88901</v>
      </c>
      <c r="N2135" s="245">
        <v>88901</v>
      </c>
      <c r="O2135" s="245" t="s">
        <v>60</v>
      </c>
      <c r="R2135" s="246" t="s">
        <v>32</v>
      </c>
    </row>
    <row r="2136" spans="1:18" ht="39" x14ac:dyDescent="0.8">
      <c r="A2136" s="247">
        <v>52111</v>
      </c>
      <c r="B2136" s="248" t="s">
        <v>2630</v>
      </c>
      <c r="C2136" s="249" t="s">
        <v>2674</v>
      </c>
      <c r="D2136" s="245">
        <v>100</v>
      </c>
      <c r="J2136" s="245">
        <v>22882</v>
      </c>
      <c r="N2136" s="245">
        <v>22882</v>
      </c>
      <c r="O2136" s="245" t="s">
        <v>60</v>
      </c>
      <c r="R2136" s="246" t="s">
        <v>32</v>
      </c>
    </row>
    <row r="2137" spans="1:18" ht="26" x14ac:dyDescent="0.8">
      <c r="A2137" s="247">
        <v>52112</v>
      </c>
      <c r="B2137" s="248" t="s">
        <v>2631</v>
      </c>
      <c r="C2137" s="249" t="s">
        <v>104</v>
      </c>
      <c r="D2137" s="245">
        <v>10</v>
      </c>
      <c r="E2137" s="245">
        <v>10</v>
      </c>
      <c r="F2137" s="245">
        <v>5</v>
      </c>
      <c r="G2137" s="245">
        <v>5</v>
      </c>
      <c r="H2137" s="245">
        <v>30</v>
      </c>
      <c r="I2137" s="245">
        <v>5.0000000000000001E-3</v>
      </c>
      <c r="J2137" s="245">
        <v>0.05</v>
      </c>
      <c r="K2137" s="245">
        <v>0.5</v>
      </c>
      <c r="L2137" s="245">
        <v>2.5</v>
      </c>
      <c r="M2137" s="245">
        <v>12.5</v>
      </c>
      <c r="N2137" s="245">
        <v>15.55</v>
      </c>
      <c r="O2137" s="245" t="s">
        <v>129</v>
      </c>
      <c r="R2137" s="246" t="s">
        <v>32</v>
      </c>
    </row>
    <row r="2138" spans="1:18" ht="26" x14ac:dyDescent="0.8">
      <c r="A2138" s="247">
        <v>52113</v>
      </c>
      <c r="B2138" s="248" t="s">
        <v>2633</v>
      </c>
      <c r="C2138" s="249" t="s">
        <v>896</v>
      </c>
      <c r="D2138" s="245">
        <v>10</v>
      </c>
      <c r="E2138" s="245">
        <v>10</v>
      </c>
      <c r="F2138" s="245">
        <v>5</v>
      </c>
      <c r="G2138" s="245">
        <v>5</v>
      </c>
      <c r="H2138" s="245">
        <v>30</v>
      </c>
      <c r="I2138" s="245">
        <v>0.01</v>
      </c>
      <c r="J2138" s="245">
        <v>0.1</v>
      </c>
      <c r="K2138" s="245">
        <v>1</v>
      </c>
      <c r="L2138" s="245">
        <v>5</v>
      </c>
      <c r="M2138" s="245">
        <v>25</v>
      </c>
      <c r="N2138" s="245">
        <v>31.1</v>
      </c>
      <c r="O2138" s="245" t="s">
        <v>129</v>
      </c>
      <c r="R2138" s="246" t="s">
        <v>32</v>
      </c>
    </row>
    <row r="2139" spans="1:18" ht="26" x14ac:dyDescent="0.8">
      <c r="A2139" s="247">
        <v>52114</v>
      </c>
      <c r="B2139" s="248" t="s">
        <v>2635</v>
      </c>
      <c r="C2139" s="249" t="s">
        <v>2674</v>
      </c>
      <c r="D2139" s="245">
        <v>3000</v>
      </c>
      <c r="E2139" s="245">
        <v>3000</v>
      </c>
      <c r="F2139" s="245">
        <v>3000</v>
      </c>
      <c r="G2139" s="245">
        <v>3000</v>
      </c>
      <c r="H2139" s="245">
        <v>12000</v>
      </c>
      <c r="I2139" s="245">
        <v>5.0000000000000001E-3</v>
      </c>
      <c r="J2139" s="245">
        <v>15</v>
      </c>
      <c r="K2139" s="245">
        <v>15</v>
      </c>
      <c r="L2139" s="245">
        <v>15</v>
      </c>
      <c r="M2139" s="245">
        <v>15</v>
      </c>
      <c r="N2139" s="245">
        <v>60</v>
      </c>
      <c r="O2139" s="245" t="s">
        <v>129</v>
      </c>
      <c r="R2139" s="246" t="s">
        <v>32</v>
      </c>
    </row>
    <row r="2140" spans="1:18" x14ac:dyDescent="0.8">
      <c r="A2140" s="247">
        <v>52115</v>
      </c>
      <c r="B2140" s="248" t="s">
        <v>2637</v>
      </c>
      <c r="C2140" s="249" t="s">
        <v>301</v>
      </c>
      <c r="D2140" s="245">
        <v>50</v>
      </c>
      <c r="E2140" s="245">
        <v>50</v>
      </c>
      <c r="F2140" s="245">
        <v>30</v>
      </c>
      <c r="G2140" s="245">
        <v>0</v>
      </c>
      <c r="H2140" s="245">
        <v>130</v>
      </c>
      <c r="I2140" s="245">
        <v>0.1</v>
      </c>
      <c r="J2140" s="245">
        <v>5</v>
      </c>
      <c r="K2140" s="245">
        <v>5</v>
      </c>
      <c r="L2140" s="245">
        <v>3</v>
      </c>
      <c r="M2140" s="245">
        <v>0</v>
      </c>
      <c r="N2140" s="245">
        <v>13</v>
      </c>
      <c r="O2140" s="245" t="s">
        <v>129</v>
      </c>
      <c r="R2140" s="246" t="s">
        <v>32</v>
      </c>
    </row>
    <row r="2141" spans="1:18" ht="26" x14ac:dyDescent="0.8">
      <c r="A2141" s="247">
        <v>52116</v>
      </c>
      <c r="B2141" s="248" t="s">
        <v>518</v>
      </c>
      <c r="C2141" s="249" t="s">
        <v>520</v>
      </c>
      <c r="D2141" s="245">
        <v>500</v>
      </c>
      <c r="E2141" s="245">
        <v>500</v>
      </c>
      <c r="F2141" s="245">
        <v>0</v>
      </c>
      <c r="G2141" s="245">
        <v>0</v>
      </c>
      <c r="H2141" s="245">
        <v>1000</v>
      </c>
      <c r="I2141" s="245">
        <v>0.03</v>
      </c>
      <c r="J2141" s="245">
        <v>15</v>
      </c>
      <c r="K2141" s="245">
        <v>15</v>
      </c>
      <c r="L2141" s="245">
        <v>0</v>
      </c>
      <c r="M2141" s="245">
        <v>0</v>
      </c>
      <c r="N2141" s="245">
        <v>30</v>
      </c>
      <c r="O2141" s="245" t="s">
        <v>129</v>
      </c>
      <c r="R2141" s="246" t="s">
        <v>32</v>
      </c>
    </row>
    <row r="2142" spans="1:18" x14ac:dyDescent="0.8">
      <c r="A2142" s="247">
        <v>52117</v>
      </c>
      <c r="B2142" s="248" t="s">
        <v>2638</v>
      </c>
      <c r="C2142" s="249" t="s">
        <v>2674</v>
      </c>
      <c r="D2142" s="245">
        <v>1</v>
      </c>
      <c r="E2142" s="245">
        <v>1</v>
      </c>
      <c r="F2142" s="245">
        <v>1</v>
      </c>
      <c r="G2142" s="245">
        <v>1</v>
      </c>
      <c r="H2142" s="245">
        <v>4</v>
      </c>
      <c r="I2142" s="245">
        <v>1</v>
      </c>
      <c r="J2142" s="245">
        <v>1</v>
      </c>
      <c r="K2142" s="245">
        <v>1</v>
      </c>
      <c r="L2142" s="245">
        <v>1</v>
      </c>
      <c r="M2142" s="245">
        <v>1</v>
      </c>
      <c r="N2142" s="245">
        <v>4</v>
      </c>
      <c r="O2142" s="245" t="s">
        <v>129</v>
      </c>
      <c r="R2142" s="246" t="s">
        <v>32</v>
      </c>
    </row>
    <row r="2143" spans="1:18" ht="26" x14ac:dyDescent="0.8">
      <c r="A2143" s="247">
        <v>52118</v>
      </c>
      <c r="B2143" s="248" t="s">
        <v>2639</v>
      </c>
      <c r="C2143" s="249" t="s">
        <v>2674</v>
      </c>
      <c r="D2143" s="245">
        <v>5</v>
      </c>
      <c r="E2143" s="245">
        <v>10</v>
      </c>
      <c r="F2143" s="245">
        <v>5</v>
      </c>
      <c r="G2143" s="245">
        <v>20</v>
      </c>
      <c r="H2143" s="245">
        <v>40</v>
      </c>
      <c r="I2143" s="245">
        <v>2</v>
      </c>
      <c r="J2143" s="245">
        <v>10</v>
      </c>
      <c r="K2143" s="245">
        <v>20</v>
      </c>
      <c r="L2143" s="245">
        <v>10</v>
      </c>
      <c r="M2143" s="245">
        <v>40</v>
      </c>
      <c r="N2143" s="245">
        <v>80</v>
      </c>
      <c r="O2143" s="245" t="s">
        <v>129</v>
      </c>
      <c r="R2143" s="246" t="s">
        <v>32</v>
      </c>
    </row>
    <row r="2144" spans="1:18" ht="26" x14ac:dyDescent="0.8">
      <c r="A2144" s="247">
        <v>52119</v>
      </c>
      <c r="B2144" s="248" t="s">
        <v>2640</v>
      </c>
      <c r="C2144" s="249" t="s">
        <v>520</v>
      </c>
      <c r="D2144" s="245">
        <v>300</v>
      </c>
      <c r="E2144" s="245">
        <v>300</v>
      </c>
      <c r="F2144" s="245">
        <v>300</v>
      </c>
      <c r="G2144" s="245">
        <v>300</v>
      </c>
      <c r="H2144" s="245">
        <v>1200</v>
      </c>
      <c r="I2144" s="245">
        <v>0.03</v>
      </c>
      <c r="J2144" s="245">
        <v>9</v>
      </c>
      <c r="K2144" s="245">
        <v>9</v>
      </c>
      <c r="L2144" s="245">
        <v>9</v>
      </c>
      <c r="M2144" s="245">
        <v>9</v>
      </c>
      <c r="N2144" s="245">
        <v>36</v>
      </c>
      <c r="O2144" s="245" t="s">
        <v>129</v>
      </c>
      <c r="R2144" s="246" t="s">
        <v>32</v>
      </c>
    </row>
    <row r="2145" spans="1:18" ht="39" x14ac:dyDescent="0.8">
      <c r="A2145" s="247">
        <v>521201</v>
      </c>
      <c r="B2145" s="248" t="s">
        <v>2642</v>
      </c>
      <c r="C2145" s="249" t="s">
        <v>301</v>
      </c>
      <c r="D2145" s="245">
        <v>572</v>
      </c>
      <c r="E2145" s="245">
        <v>100</v>
      </c>
      <c r="F2145" s="245">
        <v>100</v>
      </c>
      <c r="G2145" s="245">
        <v>100</v>
      </c>
      <c r="H2145" s="245">
        <v>872</v>
      </c>
      <c r="I2145" s="245">
        <v>7.0000000000000007E-2</v>
      </c>
      <c r="J2145" s="245">
        <v>40.040000000000006</v>
      </c>
      <c r="K2145" s="245">
        <v>7.0000000000000009</v>
      </c>
      <c r="L2145" s="245">
        <v>7.0000000000000009</v>
      </c>
      <c r="M2145" s="245">
        <v>7.0000000000000009</v>
      </c>
      <c r="N2145" s="245">
        <v>61.040000000000006</v>
      </c>
      <c r="O2145" s="245" t="s">
        <v>129</v>
      </c>
      <c r="R2145" s="246" t="s">
        <v>32</v>
      </c>
    </row>
    <row r="2146" spans="1:18" ht="39" x14ac:dyDescent="0.8">
      <c r="A2146" s="247">
        <v>521202</v>
      </c>
      <c r="B2146" s="248" t="s">
        <v>2643</v>
      </c>
      <c r="C2146" s="249" t="s">
        <v>2674</v>
      </c>
      <c r="D2146" s="245">
        <v>300</v>
      </c>
      <c r="E2146" s="245">
        <v>100</v>
      </c>
      <c r="F2146" s="245">
        <v>400</v>
      </c>
      <c r="G2146" s="245">
        <v>500</v>
      </c>
      <c r="H2146" s="245">
        <v>1300</v>
      </c>
      <c r="I2146" s="245">
        <v>0.5</v>
      </c>
      <c r="J2146" s="245">
        <v>150</v>
      </c>
      <c r="K2146" s="245">
        <v>50</v>
      </c>
      <c r="L2146" s="245">
        <v>200</v>
      </c>
      <c r="M2146" s="245">
        <v>250</v>
      </c>
      <c r="N2146" s="245">
        <v>650</v>
      </c>
      <c r="O2146" s="245" t="s">
        <v>129</v>
      </c>
    </row>
    <row r="2147" spans="1:18" ht="26" x14ac:dyDescent="0.8">
      <c r="A2147" s="247">
        <v>521203</v>
      </c>
      <c r="B2147" s="248" t="s">
        <v>2644</v>
      </c>
      <c r="C2147" s="249" t="s">
        <v>520</v>
      </c>
      <c r="D2147" s="245">
        <v>572</v>
      </c>
      <c r="E2147" s="245">
        <v>0</v>
      </c>
      <c r="F2147" s="245">
        <v>100</v>
      </c>
      <c r="G2147" s="245">
        <v>0</v>
      </c>
      <c r="H2147" s="245">
        <v>672</v>
      </c>
      <c r="I2147" s="245">
        <v>0.51</v>
      </c>
      <c r="J2147" s="245">
        <v>291.72000000000003</v>
      </c>
      <c r="K2147" s="245">
        <v>0</v>
      </c>
      <c r="L2147" s="245">
        <v>51</v>
      </c>
      <c r="M2147" s="245">
        <v>0</v>
      </c>
      <c r="N2147" s="245">
        <v>342.72</v>
      </c>
      <c r="O2147" s="245" t="s">
        <v>129</v>
      </c>
      <c r="R2147" s="246" t="s">
        <v>32</v>
      </c>
    </row>
    <row r="2148" spans="1:18" ht="65" x14ac:dyDescent="0.8">
      <c r="A2148" s="247">
        <v>521204</v>
      </c>
      <c r="B2148" s="248" t="s">
        <v>2645</v>
      </c>
      <c r="C2148" s="249" t="s">
        <v>2674</v>
      </c>
      <c r="D2148" s="245">
        <v>1000</v>
      </c>
      <c r="E2148" s="245">
        <v>2000</v>
      </c>
      <c r="F2148" s="245">
        <v>3000</v>
      </c>
      <c r="G2148" s="245">
        <v>1000</v>
      </c>
      <c r="H2148" s="245">
        <v>7000</v>
      </c>
      <c r="I2148" s="245">
        <v>0.05</v>
      </c>
      <c r="J2148" s="245">
        <v>50</v>
      </c>
      <c r="K2148" s="245">
        <v>100</v>
      </c>
      <c r="L2148" s="245">
        <v>150</v>
      </c>
      <c r="M2148" s="245">
        <v>50</v>
      </c>
      <c r="N2148" s="245">
        <v>350</v>
      </c>
      <c r="O2148" s="245" t="s">
        <v>129</v>
      </c>
      <c r="R2148" s="246" t="s">
        <v>32</v>
      </c>
    </row>
    <row r="2149" spans="1:18" ht="52" x14ac:dyDescent="0.8">
      <c r="A2149" s="247">
        <v>521205</v>
      </c>
      <c r="B2149" s="248" t="s">
        <v>2646</v>
      </c>
      <c r="C2149" s="249" t="s">
        <v>2674</v>
      </c>
      <c r="D2149" s="245">
        <v>59</v>
      </c>
      <c r="E2149" s="245">
        <v>59</v>
      </c>
      <c r="F2149" s="245">
        <v>59</v>
      </c>
      <c r="G2149" s="245">
        <v>59</v>
      </c>
      <c r="H2149" s="245">
        <v>236</v>
      </c>
      <c r="I2149" s="245">
        <v>0.5</v>
      </c>
      <c r="J2149" s="245">
        <v>29.5</v>
      </c>
      <c r="K2149" s="245">
        <v>29.5</v>
      </c>
      <c r="L2149" s="245">
        <v>29.5</v>
      </c>
      <c r="M2149" s="245">
        <v>29.5</v>
      </c>
      <c r="N2149" s="245">
        <v>118</v>
      </c>
      <c r="O2149" s="245" t="s">
        <v>129</v>
      </c>
      <c r="R2149" s="246" t="s">
        <v>32</v>
      </c>
    </row>
    <row r="2150" spans="1:18" ht="26" x14ac:dyDescent="0.8">
      <c r="A2150" s="247">
        <v>521206</v>
      </c>
      <c r="B2150" s="248" t="s">
        <v>2647</v>
      </c>
      <c r="C2150" s="249" t="s">
        <v>52</v>
      </c>
      <c r="D2150" s="245">
        <v>500</v>
      </c>
      <c r="E2150" s="245">
        <v>1000</v>
      </c>
      <c r="F2150" s="245">
        <v>1000</v>
      </c>
      <c r="G2150" s="245">
        <v>1000</v>
      </c>
      <c r="H2150" s="245">
        <v>3500</v>
      </c>
      <c r="I2150" s="245">
        <v>0.1</v>
      </c>
      <c r="J2150" s="245">
        <v>50</v>
      </c>
      <c r="K2150" s="245">
        <v>100</v>
      </c>
      <c r="L2150" s="245">
        <v>100</v>
      </c>
      <c r="M2150" s="245">
        <v>100</v>
      </c>
      <c r="N2150" s="245">
        <v>350</v>
      </c>
      <c r="O2150" s="245" t="s">
        <v>129</v>
      </c>
      <c r="R2150" s="246" t="s">
        <v>32</v>
      </c>
    </row>
    <row r="2151" spans="1:18" ht="26" x14ac:dyDescent="0.8">
      <c r="A2151" s="247">
        <v>521207</v>
      </c>
      <c r="B2151" s="248" t="s">
        <v>2649</v>
      </c>
      <c r="C2151" s="249" t="s">
        <v>2674</v>
      </c>
      <c r="D2151" s="245">
        <v>500</v>
      </c>
      <c r="E2151" s="245">
        <v>1000</v>
      </c>
      <c r="F2151" s="245">
        <v>1000</v>
      </c>
      <c r="G2151" s="245">
        <v>1000</v>
      </c>
      <c r="H2151" s="245">
        <v>3500</v>
      </c>
      <c r="I2151" s="245">
        <v>0.1</v>
      </c>
      <c r="J2151" s="245">
        <v>50</v>
      </c>
      <c r="K2151" s="245">
        <v>100</v>
      </c>
      <c r="L2151" s="245">
        <v>100</v>
      </c>
      <c r="M2151" s="245">
        <v>100</v>
      </c>
      <c r="N2151" s="245">
        <v>350</v>
      </c>
      <c r="O2151" s="245" t="s">
        <v>129</v>
      </c>
      <c r="R2151" s="246" t="s">
        <v>32</v>
      </c>
    </row>
    <row r="2152" spans="1:18" ht="26" x14ac:dyDescent="0.8">
      <c r="A2152" s="247">
        <v>522208</v>
      </c>
      <c r="B2152" s="248" t="s">
        <v>2650</v>
      </c>
      <c r="C2152" s="249" t="s">
        <v>2674</v>
      </c>
      <c r="D2152" s="245">
        <v>50</v>
      </c>
      <c r="E2152" s="245">
        <v>50</v>
      </c>
      <c r="F2152" s="245">
        <v>50</v>
      </c>
      <c r="G2152" s="245">
        <v>50</v>
      </c>
      <c r="H2152" s="245">
        <v>200</v>
      </c>
      <c r="I2152" s="245">
        <v>1</v>
      </c>
      <c r="J2152" s="245">
        <v>50</v>
      </c>
      <c r="K2152" s="245">
        <v>50</v>
      </c>
      <c r="L2152" s="245">
        <v>50</v>
      </c>
      <c r="M2152" s="245">
        <v>50</v>
      </c>
      <c r="N2152" s="245">
        <v>200</v>
      </c>
      <c r="O2152" s="245" t="s">
        <v>129</v>
      </c>
      <c r="R2152" s="246" t="s">
        <v>32</v>
      </c>
    </row>
    <row r="2153" spans="1:18" ht="39" x14ac:dyDescent="0.8">
      <c r="A2153" s="247">
        <v>12181</v>
      </c>
      <c r="B2153" s="248" t="s">
        <v>2652</v>
      </c>
      <c r="C2153" s="249" t="s">
        <v>2674</v>
      </c>
      <c r="D2153" s="245">
        <v>5</v>
      </c>
      <c r="E2153" s="245">
        <v>15</v>
      </c>
      <c r="F2153" s="245">
        <v>20</v>
      </c>
      <c r="G2153" s="245">
        <v>20</v>
      </c>
      <c r="H2153" s="245">
        <v>60</v>
      </c>
      <c r="I2153" s="245">
        <v>20</v>
      </c>
      <c r="J2153" s="245">
        <v>100</v>
      </c>
      <c r="K2153" s="245">
        <v>300</v>
      </c>
      <c r="L2153" s="245">
        <v>400</v>
      </c>
      <c r="M2153" s="245">
        <v>400</v>
      </c>
      <c r="N2153" s="245">
        <v>1200</v>
      </c>
      <c r="O2153" s="245" t="s">
        <v>129</v>
      </c>
      <c r="R2153" s="246" t="s">
        <v>32</v>
      </c>
    </row>
    <row r="2154" spans="1:18" ht="39" x14ac:dyDescent="0.8">
      <c r="A2154" s="247">
        <v>12191</v>
      </c>
      <c r="B2154" s="248" t="s">
        <v>2653</v>
      </c>
      <c r="C2154" s="249" t="s">
        <v>896</v>
      </c>
      <c r="D2154" s="245">
        <v>1</v>
      </c>
      <c r="E2154" s="245">
        <v>1</v>
      </c>
      <c r="F2154" s="245">
        <v>0</v>
      </c>
      <c r="G2154" s="245">
        <v>0</v>
      </c>
      <c r="H2154" s="245">
        <v>2</v>
      </c>
      <c r="I2154" s="245">
        <v>100</v>
      </c>
      <c r="J2154" s="245">
        <v>100</v>
      </c>
      <c r="K2154" s="245">
        <v>100</v>
      </c>
      <c r="L2154" s="245">
        <v>0</v>
      </c>
      <c r="M2154" s="245">
        <v>0</v>
      </c>
      <c r="N2154" s="245">
        <v>200</v>
      </c>
      <c r="O2154" s="245" t="s">
        <v>129</v>
      </c>
    </row>
    <row r="2155" spans="1:18" ht="26" x14ac:dyDescent="0.8">
      <c r="A2155" s="247">
        <v>24201</v>
      </c>
      <c r="B2155" s="248" t="s">
        <v>2655</v>
      </c>
      <c r="C2155" s="249" t="s">
        <v>1333</v>
      </c>
      <c r="D2155" s="245">
        <v>1</v>
      </c>
      <c r="E2155" s="245">
        <v>1</v>
      </c>
      <c r="F2155" s="245">
        <v>1</v>
      </c>
      <c r="G2155" s="245">
        <v>1</v>
      </c>
      <c r="H2155" s="245">
        <v>4</v>
      </c>
      <c r="I2155" s="245">
        <v>25</v>
      </c>
      <c r="J2155" s="245">
        <v>25</v>
      </c>
      <c r="K2155" s="245">
        <v>25</v>
      </c>
      <c r="L2155" s="245">
        <v>25</v>
      </c>
      <c r="M2155" s="245">
        <v>25</v>
      </c>
      <c r="N2155" s="245">
        <v>100</v>
      </c>
      <c r="O2155" s="245" t="s">
        <v>129</v>
      </c>
      <c r="R2155" s="246" t="s">
        <v>32</v>
      </c>
    </row>
    <row r="2156" spans="1:18" ht="52" x14ac:dyDescent="0.8">
      <c r="A2156" s="247">
        <v>52221</v>
      </c>
      <c r="B2156" s="248" t="s">
        <v>2656</v>
      </c>
      <c r="C2156" s="249" t="s">
        <v>52</v>
      </c>
      <c r="D2156" s="245">
        <v>500</v>
      </c>
      <c r="E2156" s="245">
        <v>500</v>
      </c>
      <c r="F2156" s="245">
        <v>500</v>
      </c>
      <c r="G2156" s="245">
        <v>500</v>
      </c>
      <c r="H2156" s="245">
        <v>2000</v>
      </c>
      <c r="I2156" s="245">
        <v>0.1</v>
      </c>
      <c r="J2156" s="245">
        <v>50</v>
      </c>
      <c r="K2156" s="245">
        <v>50</v>
      </c>
      <c r="L2156" s="245">
        <v>50</v>
      </c>
      <c r="M2156" s="245">
        <v>50</v>
      </c>
      <c r="N2156" s="245">
        <v>200</v>
      </c>
      <c r="O2156" s="245" t="s">
        <v>129</v>
      </c>
      <c r="R2156" s="246" t="s">
        <v>32</v>
      </c>
    </row>
    <row r="2157" spans="1:18" ht="39" x14ac:dyDescent="0.8">
      <c r="A2157" s="247">
        <v>23111</v>
      </c>
      <c r="B2157" s="248" t="s">
        <v>2642</v>
      </c>
      <c r="C2157" s="249" t="s">
        <v>52</v>
      </c>
      <c r="D2157" s="245">
        <v>154</v>
      </c>
      <c r="E2157" s="245">
        <v>50</v>
      </c>
      <c r="F2157" s="245">
        <v>50</v>
      </c>
      <c r="G2157" s="245">
        <v>50</v>
      </c>
      <c r="H2157" s="245">
        <v>304</v>
      </c>
      <c r="I2157" s="245">
        <v>7.0000000000000007E-2</v>
      </c>
      <c r="J2157" s="245">
        <v>10.780000000000001</v>
      </c>
      <c r="K2157" s="245">
        <v>3.5000000000000004</v>
      </c>
      <c r="L2157" s="245">
        <v>3.5000000000000004</v>
      </c>
      <c r="M2157" s="245">
        <v>3.5000000000000004</v>
      </c>
      <c r="N2157" s="245">
        <v>21.28</v>
      </c>
      <c r="O2157" s="245" t="s">
        <v>129</v>
      </c>
    </row>
    <row r="2158" spans="1:18" ht="39" x14ac:dyDescent="0.8">
      <c r="A2158" s="247">
        <v>23121</v>
      </c>
      <c r="B2158" s="248" t="s">
        <v>2657</v>
      </c>
      <c r="C2158" s="249" t="s">
        <v>2674</v>
      </c>
      <c r="D2158" s="245">
        <v>154</v>
      </c>
      <c r="E2158" s="245">
        <v>100</v>
      </c>
      <c r="F2158" s="245">
        <v>100</v>
      </c>
      <c r="G2158" s="245">
        <v>100</v>
      </c>
      <c r="H2158" s="245">
        <v>454</v>
      </c>
      <c r="I2158" s="245">
        <v>0.5</v>
      </c>
      <c r="J2158" s="245">
        <v>77</v>
      </c>
      <c r="K2158" s="245">
        <v>50</v>
      </c>
      <c r="L2158" s="245">
        <v>50</v>
      </c>
      <c r="M2158" s="245">
        <v>50</v>
      </c>
      <c r="N2158" s="245">
        <v>227</v>
      </c>
      <c r="O2158" s="245" t="s">
        <v>129</v>
      </c>
    </row>
    <row r="2159" spans="1:18" ht="26" x14ac:dyDescent="0.8">
      <c r="A2159" s="247">
        <v>25111</v>
      </c>
      <c r="B2159" s="248" t="s">
        <v>2644</v>
      </c>
      <c r="C2159" s="249" t="s">
        <v>520</v>
      </c>
      <c r="D2159" s="245">
        <v>154</v>
      </c>
      <c r="E2159" s="245">
        <v>0</v>
      </c>
      <c r="F2159" s="245">
        <v>50</v>
      </c>
      <c r="G2159" s="245">
        <v>0</v>
      </c>
      <c r="H2159" s="245">
        <v>204</v>
      </c>
      <c r="I2159" s="245">
        <v>0.51</v>
      </c>
      <c r="J2159" s="245">
        <v>78.540000000000006</v>
      </c>
      <c r="K2159" s="245">
        <v>0</v>
      </c>
      <c r="L2159" s="245">
        <v>25.5</v>
      </c>
      <c r="M2159" s="245">
        <v>0</v>
      </c>
      <c r="N2159" s="245">
        <v>104.04</v>
      </c>
      <c r="O2159" s="245" t="s">
        <v>129</v>
      </c>
    </row>
    <row r="2160" spans="1:18" ht="26" x14ac:dyDescent="0.8">
      <c r="A2160" s="247">
        <v>58121</v>
      </c>
      <c r="B2160" s="248" t="s">
        <v>2649</v>
      </c>
      <c r="C2160" s="249" t="s">
        <v>52</v>
      </c>
      <c r="D2160" s="245">
        <v>79</v>
      </c>
      <c r="E2160" s="245">
        <v>50</v>
      </c>
      <c r="F2160" s="245">
        <v>60</v>
      </c>
      <c r="G2160" s="245">
        <v>40</v>
      </c>
      <c r="H2160" s="245">
        <v>229</v>
      </c>
      <c r="I2160" s="245">
        <v>0.1</v>
      </c>
      <c r="J2160" s="245">
        <v>7.9</v>
      </c>
      <c r="K2160" s="245">
        <v>5</v>
      </c>
      <c r="L2160" s="245">
        <v>6</v>
      </c>
      <c r="M2160" s="245">
        <v>4</v>
      </c>
      <c r="N2160" s="245">
        <v>22.9</v>
      </c>
      <c r="O2160" s="245" t="s">
        <v>129</v>
      </c>
    </row>
    <row r="2161" spans="1:18" ht="39" x14ac:dyDescent="0.8">
      <c r="A2161" s="247">
        <v>25131</v>
      </c>
      <c r="B2161" s="248" t="s">
        <v>2658</v>
      </c>
      <c r="C2161" s="249" t="s">
        <v>2674</v>
      </c>
      <c r="D2161" s="245">
        <v>0</v>
      </c>
      <c r="E2161" s="245">
        <v>10</v>
      </c>
      <c r="F2161" s="245">
        <v>10</v>
      </c>
      <c r="G2161" s="245">
        <v>10</v>
      </c>
      <c r="H2161" s="245">
        <v>30</v>
      </c>
      <c r="I2161" s="245">
        <v>30</v>
      </c>
      <c r="J2161" s="245">
        <v>0</v>
      </c>
      <c r="K2161" s="245">
        <v>300</v>
      </c>
      <c r="L2161" s="245">
        <v>300</v>
      </c>
      <c r="M2161" s="245">
        <v>300</v>
      </c>
      <c r="N2161" s="245">
        <v>900</v>
      </c>
      <c r="O2161" s="245" t="s">
        <v>129</v>
      </c>
      <c r="R2161" s="246" t="s">
        <v>32</v>
      </c>
    </row>
    <row r="2162" spans="1:18" ht="26" x14ac:dyDescent="0.8">
      <c r="A2162" s="247">
        <v>24111</v>
      </c>
      <c r="B2162" s="248" t="s">
        <v>2655</v>
      </c>
      <c r="C2162" s="249" t="s">
        <v>1333</v>
      </c>
      <c r="D2162" s="245">
        <v>1</v>
      </c>
      <c r="E2162" s="245">
        <v>1</v>
      </c>
      <c r="F2162" s="245">
        <v>1</v>
      </c>
      <c r="G2162" s="245">
        <v>1</v>
      </c>
      <c r="H2162" s="245">
        <v>4</v>
      </c>
      <c r="I2162" s="245">
        <v>10</v>
      </c>
      <c r="J2162" s="245">
        <v>10</v>
      </c>
      <c r="K2162" s="245">
        <v>10</v>
      </c>
      <c r="L2162" s="245">
        <v>10</v>
      </c>
      <c r="M2162" s="245">
        <v>10</v>
      </c>
      <c r="N2162" s="245">
        <v>40</v>
      </c>
      <c r="O2162" s="245" t="s">
        <v>129</v>
      </c>
    </row>
    <row r="2163" spans="1:18" ht="52" x14ac:dyDescent="0.8">
      <c r="A2163" s="247">
        <v>15111</v>
      </c>
      <c r="B2163" s="248" t="s">
        <v>2656</v>
      </c>
      <c r="C2163" s="249" t="s">
        <v>52</v>
      </c>
      <c r="D2163" s="245">
        <v>200</v>
      </c>
      <c r="E2163" s="245">
        <v>200</v>
      </c>
      <c r="F2163" s="245">
        <v>200</v>
      </c>
      <c r="G2163" s="245">
        <v>200</v>
      </c>
      <c r="H2163" s="245">
        <v>800</v>
      </c>
      <c r="I2163" s="245">
        <v>0.15</v>
      </c>
      <c r="J2163" s="245">
        <v>30</v>
      </c>
      <c r="K2163" s="245">
        <v>30</v>
      </c>
      <c r="L2163" s="245">
        <v>30</v>
      </c>
      <c r="M2163" s="245">
        <v>30</v>
      </c>
      <c r="N2163" s="245">
        <v>120</v>
      </c>
      <c r="O2163" s="245" t="s">
        <v>129</v>
      </c>
      <c r="R2163" s="246" t="s">
        <v>32</v>
      </c>
    </row>
    <row r="2164" spans="1:18" ht="26" x14ac:dyDescent="0.8">
      <c r="A2164" s="247">
        <v>15211</v>
      </c>
      <c r="B2164" s="248" t="s">
        <v>2659</v>
      </c>
      <c r="C2164" s="249" t="s">
        <v>52</v>
      </c>
      <c r="D2164" s="245">
        <v>30</v>
      </c>
      <c r="E2164" s="245">
        <v>50</v>
      </c>
      <c r="F2164" s="245">
        <v>50</v>
      </c>
      <c r="G2164" s="245">
        <v>50</v>
      </c>
      <c r="H2164" s="245">
        <v>180</v>
      </c>
      <c r="I2164" s="245">
        <v>1</v>
      </c>
      <c r="J2164" s="245">
        <v>30</v>
      </c>
      <c r="K2164" s="245">
        <v>50</v>
      </c>
      <c r="L2164" s="245">
        <v>50</v>
      </c>
      <c r="M2164" s="245">
        <v>50</v>
      </c>
      <c r="N2164" s="245">
        <v>180</v>
      </c>
      <c r="O2164" s="245" t="s">
        <v>129</v>
      </c>
    </row>
    <row r="2165" spans="1:18" x14ac:dyDescent="0.8">
      <c r="A2165" s="247">
        <v>15311</v>
      </c>
      <c r="B2165" s="248" t="s">
        <v>2661</v>
      </c>
      <c r="C2165" s="249" t="s">
        <v>2674</v>
      </c>
      <c r="D2165" s="245">
        <v>10</v>
      </c>
      <c r="E2165" s="245">
        <v>10</v>
      </c>
      <c r="F2165" s="245">
        <v>10</v>
      </c>
      <c r="G2165" s="245">
        <v>10</v>
      </c>
      <c r="H2165" s="245">
        <v>40</v>
      </c>
      <c r="I2165" s="245">
        <v>0.6</v>
      </c>
      <c r="J2165" s="245">
        <v>6</v>
      </c>
      <c r="K2165" s="245">
        <v>6</v>
      </c>
      <c r="L2165" s="245">
        <v>6</v>
      </c>
      <c r="M2165" s="245">
        <v>6</v>
      </c>
      <c r="N2165" s="245">
        <v>24</v>
      </c>
      <c r="O2165" s="245" t="s">
        <v>129</v>
      </c>
    </row>
    <row r="2166" spans="1:18" ht="26" x14ac:dyDescent="0.8">
      <c r="A2166" s="247">
        <v>56111</v>
      </c>
      <c r="B2166" s="248" t="s">
        <v>2662</v>
      </c>
      <c r="C2166" s="249" t="s">
        <v>2674</v>
      </c>
      <c r="D2166" s="245">
        <v>500</v>
      </c>
      <c r="E2166" s="245">
        <v>500</v>
      </c>
      <c r="F2166" s="245">
        <v>500</v>
      </c>
      <c r="G2166" s="245">
        <v>500</v>
      </c>
      <c r="H2166" s="245">
        <v>2000</v>
      </c>
      <c r="I2166" s="245">
        <v>0.01</v>
      </c>
      <c r="J2166" s="245">
        <v>5</v>
      </c>
      <c r="K2166" s="245">
        <v>5</v>
      </c>
      <c r="L2166" s="245">
        <v>5</v>
      </c>
      <c r="M2166" s="245">
        <v>5</v>
      </c>
      <c r="N2166" s="245">
        <v>20</v>
      </c>
      <c r="O2166" s="245" t="s">
        <v>129</v>
      </c>
    </row>
    <row r="2167" spans="1:18" ht="26" x14ac:dyDescent="0.8">
      <c r="A2167" s="247">
        <v>57111</v>
      </c>
      <c r="B2167" s="248" t="s">
        <v>2663</v>
      </c>
      <c r="C2167" s="249" t="s">
        <v>2212</v>
      </c>
      <c r="D2167" s="245">
        <v>50</v>
      </c>
      <c r="E2167" s="245">
        <v>50</v>
      </c>
      <c r="F2167" s="245">
        <v>50</v>
      </c>
      <c r="G2167" s="245">
        <v>50</v>
      </c>
      <c r="H2167" s="245">
        <v>200</v>
      </c>
      <c r="I2167" s="245">
        <v>1</v>
      </c>
      <c r="J2167" s="245">
        <v>50</v>
      </c>
      <c r="K2167" s="245">
        <v>50</v>
      </c>
      <c r="L2167" s="245">
        <v>50</v>
      </c>
      <c r="M2167" s="245">
        <v>50</v>
      </c>
      <c r="N2167" s="245">
        <v>200</v>
      </c>
      <c r="O2167" s="245" t="s">
        <v>129</v>
      </c>
    </row>
    <row r="2168" spans="1:18" ht="17.649999999999999" customHeight="1" x14ac:dyDescent="0.8">
      <c r="A2168" s="247" t="s">
        <v>2616</v>
      </c>
      <c r="B2168" s="251" t="s">
        <v>2616</v>
      </c>
      <c r="C2168" s="252" t="s">
        <v>2616</v>
      </c>
      <c r="D2168" s="253" t="s">
        <v>2616</v>
      </c>
      <c r="E2168" s="253" t="s">
        <v>2616</v>
      </c>
      <c r="F2168" s="253" t="s">
        <v>2616</v>
      </c>
      <c r="G2168" s="253" t="s">
        <v>2616</v>
      </c>
      <c r="H2168" s="253" t="s">
        <v>2616</v>
      </c>
      <c r="I2168" s="253" t="s">
        <v>2616</v>
      </c>
      <c r="J2168" s="253" t="s">
        <v>2616</v>
      </c>
      <c r="K2168" s="253" t="s">
        <v>2616</v>
      </c>
      <c r="L2168" s="253" t="s">
        <v>2616</v>
      </c>
      <c r="M2168" s="253" t="s">
        <v>2616</v>
      </c>
      <c r="N2168" s="253" t="s">
        <v>2616</v>
      </c>
      <c r="O2168" s="253" t="s">
        <v>2616</v>
      </c>
      <c r="P2168" s="253" t="s">
        <v>2616</v>
      </c>
      <c r="Q2168" s="253" t="s">
        <v>2616</v>
      </c>
      <c r="R2168" s="254" t="s">
        <v>2616</v>
      </c>
    </row>
  </sheetData>
  <autoFilter ref="A2:R2168" xr:uid="{00000000-0009-0000-0000-000002000000}">
    <filterColumn colId="14">
      <filters blank="1">
        <filter val="AFD"/>
        <filter val="AFD/PAFISAM"/>
        <filter val="AIDE ET ACTION"/>
        <filter val="Allemagne"/>
        <filter val="AR"/>
        <filter val="BID"/>
        <filter val="BM"/>
        <filter val="BM/BoCEJ"/>
        <filter val="CHILDFUND"/>
        <filter val="Fin"/>
        <filter val="FoCEB"/>
        <filter val="FONDS KOWEITIEN"/>
        <filter val="FONDS SAOUDIEN"/>
        <filter val="JICA"/>
        <filter val="PAM"/>
        <filter val="PLAN"/>
        <filter val="PNUD"/>
        <filter val="UE"/>
        <filter val="UNESCO"/>
        <filter val="UNICEF"/>
      </filters>
    </filterColumn>
  </autoFilter>
  <printOptions horizontalCentered="1"/>
  <pageMargins left="0.15748031496062992" right="0.15748031496062992" top="0.23622047244094491" bottom="0.15748031496062992" header="0.23622047244094491" footer="0.15748031496062992"/>
  <pageSetup paperSize="9" scale="7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6"/>
  <sheetViews>
    <sheetView workbookViewId="0">
      <selection activeCell="E12" sqref="E12"/>
    </sheetView>
  </sheetViews>
  <sheetFormatPr baseColWidth="10" defaultColWidth="10.75" defaultRowHeight="15.25" x14ac:dyDescent="0.65"/>
  <cols>
    <col min="1" max="1" width="21.875" style="100" bestFit="1" customWidth="1"/>
    <col min="2" max="5" width="17.75" style="100" bestFit="1" customWidth="1"/>
    <col min="6" max="6" width="18.75" style="96" bestFit="1" customWidth="1"/>
    <col min="7" max="16384" width="10.75" style="96"/>
  </cols>
  <sheetData>
    <row r="1" spans="1:6" ht="25" x14ac:dyDescent="1">
      <c r="A1" s="107" t="s">
        <v>3188</v>
      </c>
    </row>
    <row r="3" spans="1:6" s="276" customFormat="1" ht="16" x14ac:dyDescent="0.8">
      <c r="A3" s="274" t="s">
        <v>2683</v>
      </c>
      <c r="B3" s="275" t="s">
        <v>2677</v>
      </c>
      <c r="C3" s="275" t="s">
        <v>2678</v>
      </c>
      <c r="D3" s="275" t="s">
        <v>3491</v>
      </c>
      <c r="E3" s="275" t="s">
        <v>3492</v>
      </c>
      <c r="F3"/>
    </row>
    <row r="4" spans="1:6" ht="16" x14ac:dyDescent="0.8">
      <c r="A4" s="272" t="s">
        <v>32</v>
      </c>
      <c r="B4" s="271">
        <v>5504013.3564640684</v>
      </c>
      <c r="C4" s="271">
        <v>2918964.0240723211</v>
      </c>
      <c r="D4" s="271">
        <v>3357477.1625471958</v>
      </c>
      <c r="E4" s="271">
        <v>3111892.0975677329</v>
      </c>
      <c r="F4"/>
    </row>
    <row r="5" spans="1:6" ht="16" x14ac:dyDescent="0.8">
      <c r="A5" s="272" t="s">
        <v>679</v>
      </c>
      <c r="B5" s="271">
        <v>0</v>
      </c>
      <c r="C5" s="271">
        <v>862300.48665219429</v>
      </c>
      <c r="D5" s="271">
        <v>867109.54607198387</v>
      </c>
      <c r="E5" s="271">
        <v>731447.27986424335</v>
      </c>
      <c r="F5"/>
    </row>
    <row r="6" spans="1:6" ht="16" x14ac:dyDescent="0.8">
      <c r="A6" s="272" t="s">
        <v>677</v>
      </c>
      <c r="B6" s="271">
        <v>30000</v>
      </c>
      <c r="C6" s="271">
        <v>378794.00558623485</v>
      </c>
      <c r="D6" s="271">
        <v>654707.41529213707</v>
      </c>
      <c r="E6" s="271">
        <v>341772.60416174243</v>
      </c>
      <c r="F6"/>
    </row>
    <row r="7" spans="1:6" ht="16" x14ac:dyDescent="0.8">
      <c r="A7" s="272" t="s">
        <v>2066</v>
      </c>
      <c r="B7" s="271">
        <v>0</v>
      </c>
      <c r="C7" s="271">
        <v>8468.3166337555558</v>
      </c>
      <c r="D7" s="271">
        <v>15203.834378622223</v>
      </c>
      <c r="E7" s="271">
        <v>11741.17368952222</v>
      </c>
      <c r="F7"/>
    </row>
    <row r="8" spans="1:6" ht="16" x14ac:dyDescent="0.8">
      <c r="A8" s="272" t="s">
        <v>2680</v>
      </c>
      <c r="B8" s="271">
        <v>5534013.3564640684</v>
      </c>
      <c r="C8" s="271">
        <v>4168526.8329445058</v>
      </c>
      <c r="D8" s="271">
        <v>4894497.958289939</v>
      </c>
      <c r="E8" s="271">
        <v>4196853.1552832406</v>
      </c>
      <c r="F8"/>
    </row>
    <row r="9" spans="1:6" ht="16" x14ac:dyDescent="0.8">
      <c r="A9" s="108"/>
      <c r="B9" s="108"/>
      <c r="C9" s="108"/>
      <c r="D9" s="108"/>
      <c r="E9" s="108"/>
    </row>
    <row r="10" spans="1:6" ht="16" x14ac:dyDescent="0.8">
      <c r="A10" s="108"/>
      <c r="B10" s="108"/>
      <c r="C10" s="108"/>
      <c r="D10" s="108"/>
      <c r="E10" s="108"/>
    </row>
    <row r="11" spans="1:6" ht="16" x14ac:dyDescent="0.8">
      <c r="A11" s="108"/>
      <c r="B11" s="108"/>
      <c r="C11" s="108"/>
      <c r="D11" s="108"/>
      <c r="E11" s="108"/>
    </row>
    <row r="12" spans="1:6" ht="16" x14ac:dyDescent="0.8">
      <c r="A12" s="108"/>
      <c r="B12" s="108"/>
      <c r="C12" s="108"/>
      <c r="D12" s="108"/>
      <c r="E12" s="108"/>
    </row>
    <row r="13" spans="1:6" ht="16" x14ac:dyDescent="0.8">
      <c r="A13" s="108"/>
      <c r="B13" s="108"/>
      <c r="C13" s="108"/>
      <c r="D13" s="108"/>
      <c r="E13" s="108"/>
    </row>
    <row r="14" spans="1:6" ht="16" x14ac:dyDescent="0.8">
      <c r="A14" s="108"/>
      <c r="B14" s="108"/>
      <c r="C14" s="108"/>
      <c r="D14" s="108"/>
      <c r="E14" s="108"/>
    </row>
    <row r="15" spans="1:6" ht="16" x14ac:dyDescent="0.8">
      <c r="A15" s="108"/>
      <c r="B15" s="108"/>
      <c r="C15" s="108"/>
      <c r="D15" s="108"/>
      <c r="E15" s="108"/>
    </row>
    <row r="16" spans="1:6" ht="16" x14ac:dyDescent="0.8">
      <c r="A16" s="108"/>
      <c r="B16" s="108"/>
      <c r="C16" s="108"/>
      <c r="D16" s="108"/>
      <c r="E16" s="108"/>
    </row>
    <row r="17" spans="1:5" ht="16" x14ac:dyDescent="0.8">
      <c r="A17" s="108"/>
      <c r="B17" s="108"/>
      <c r="C17" s="108"/>
      <c r="D17" s="108"/>
      <c r="E17" s="108"/>
    </row>
    <row r="18" spans="1:5" ht="16" x14ac:dyDescent="0.8">
      <c r="A18" s="108"/>
      <c r="B18" s="108"/>
      <c r="C18" s="108"/>
      <c r="D18" s="108"/>
      <c r="E18" s="108"/>
    </row>
    <row r="19" spans="1:5" ht="16" x14ac:dyDescent="0.8">
      <c r="A19" s="108"/>
      <c r="B19" s="108"/>
      <c r="C19" s="108"/>
      <c r="D19" s="108"/>
      <c r="E19" s="108"/>
    </row>
    <row r="20" spans="1:5" ht="16" x14ac:dyDescent="0.8">
      <c r="A20" s="108"/>
      <c r="B20" s="108"/>
      <c r="C20" s="108"/>
      <c r="D20" s="108"/>
      <c r="E20" s="108"/>
    </row>
    <row r="21" spans="1:5" ht="16" x14ac:dyDescent="0.8">
      <c r="A21" s="108"/>
      <c r="B21" s="108"/>
      <c r="C21" s="108"/>
      <c r="D21" s="108"/>
      <c r="E21" s="108"/>
    </row>
    <row r="22" spans="1:5" ht="16" x14ac:dyDescent="0.8">
      <c r="A22" s="108"/>
      <c r="B22" s="108"/>
      <c r="C22" s="108"/>
      <c r="D22" s="108"/>
      <c r="E22" s="108"/>
    </row>
    <row r="23" spans="1:5" ht="16" x14ac:dyDescent="0.8">
      <c r="A23" s="108"/>
      <c r="B23" s="108"/>
      <c r="C23" s="108"/>
      <c r="D23" s="108"/>
      <c r="E23" s="108"/>
    </row>
    <row r="24" spans="1:5" ht="16" x14ac:dyDescent="0.8">
      <c r="A24" s="108"/>
      <c r="B24" s="108"/>
      <c r="C24" s="108"/>
      <c r="D24" s="108"/>
      <c r="E24" s="108"/>
    </row>
    <row r="25" spans="1:5" ht="16" x14ac:dyDescent="0.8">
      <c r="A25" s="108"/>
      <c r="B25" s="108"/>
      <c r="C25" s="108"/>
      <c r="D25" s="108"/>
      <c r="E25" s="108"/>
    </row>
    <row r="26" spans="1:5" ht="16" x14ac:dyDescent="0.8">
      <c r="A26" s="108"/>
      <c r="B26" s="108"/>
      <c r="C26" s="108"/>
      <c r="D26" s="108"/>
      <c r="E26" s="10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6"/>
  <sheetViews>
    <sheetView zoomScale="149" workbookViewId="0">
      <selection activeCell="B1" sqref="B1:F1048576"/>
    </sheetView>
  </sheetViews>
  <sheetFormatPr baseColWidth="10" defaultColWidth="10.75" defaultRowHeight="15.25" x14ac:dyDescent="0.65"/>
  <cols>
    <col min="1" max="1" width="18.25" style="95" bestFit="1" customWidth="1"/>
    <col min="2" max="5" width="15.875" style="279" bestFit="1" customWidth="1"/>
    <col min="6" max="6" width="17.875" style="279" customWidth="1"/>
    <col min="7" max="16384" width="10.75" style="96"/>
  </cols>
  <sheetData>
    <row r="1" spans="1:6" ht="25" x14ac:dyDescent="1">
      <c r="A1" s="98" t="s">
        <v>2682</v>
      </c>
    </row>
    <row r="3" spans="1:6" s="278" customFormat="1" ht="30.5" x14ac:dyDescent="0.65">
      <c r="A3" s="292" t="s">
        <v>2683</v>
      </c>
      <c r="B3" s="294" t="s">
        <v>2677</v>
      </c>
      <c r="C3" s="294" t="s">
        <v>2678</v>
      </c>
      <c r="D3" s="294" t="s">
        <v>3491</v>
      </c>
      <c r="E3" s="294" t="s">
        <v>3492</v>
      </c>
      <c r="F3" s="295" t="s">
        <v>3494</v>
      </c>
    </row>
    <row r="4" spans="1:6" x14ac:dyDescent="0.65">
      <c r="A4" s="291" t="s">
        <v>2673</v>
      </c>
      <c r="B4" s="296">
        <v>0</v>
      </c>
      <c r="C4" s="296">
        <v>25.5</v>
      </c>
      <c r="D4" s="296">
        <v>1756.3837880000001</v>
      </c>
      <c r="E4" s="296">
        <v>878.19189400000005</v>
      </c>
      <c r="F4" s="296">
        <v>2660.0756820000001</v>
      </c>
    </row>
    <row r="5" spans="1:6" x14ac:dyDescent="0.65">
      <c r="A5" s="291" t="s">
        <v>1276</v>
      </c>
      <c r="B5" s="296">
        <v>30000</v>
      </c>
      <c r="C5" s="296">
        <v>89871.787819999998</v>
      </c>
      <c r="D5" s="296">
        <v>182402.5</v>
      </c>
      <c r="E5" s="296">
        <v>81.2</v>
      </c>
      <c r="F5" s="296">
        <v>302355.48782000004</v>
      </c>
    </row>
    <row r="6" spans="1:6" x14ac:dyDescent="0.65">
      <c r="A6" s="291" t="s">
        <v>2669</v>
      </c>
      <c r="B6" s="296">
        <v>0</v>
      </c>
      <c r="C6" s="296">
        <v>253.92173333333332</v>
      </c>
      <c r="D6" s="296">
        <v>3047.4506222222212</v>
      </c>
      <c r="E6" s="296">
        <v>253.92173333333332</v>
      </c>
      <c r="F6" s="296">
        <v>3555.2940888888884</v>
      </c>
    </row>
    <row r="7" spans="1:6" x14ac:dyDescent="0.65">
      <c r="A7" s="291" t="s">
        <v>221</v>
      </c>
      <c r="B7" s="296">
        <v>0</v>
      </c>
      <c r="C7" s="296">
        <v>7769.9005400000005</v>
      </c>
      <c r="D7" s="296">
        <v>31345.037578999996</v>
      </c>
      <c r="E7" s="296">
        <v>32782.742945999998</v>
      </c>
      <c r="F7" s="296">
        <v>71897.681064999997</v>
      </c>
    </row>
    <row r="8" spans="1:6" x14ac:dyDescent="0.65">
      <c r="A8" s="291" t="s">
        <v>118</v>
      </c>
      <c r="B8" s="296">
        <v>2893.65816</v>
      </c>
      <c r="C8" s="296">
        <v>326268.53831577173</v>
      </c>
      <c r="D8" s="296">
        <v>225721.71530363255</v>
      </c>
      <c r="E8" s="296">
        <v>182316.32900993552</v>
      </c>
      <c r="F8" s="296">
        <v>737200.24078933964</v>
      </c>
    </row>
    <row r="9" spans="1:6" x14ac:dyDescent="0.65">
      <c r="A9" s="291" t="s">
        <v>169</v>
      </c>
      <c r="B9" s="296">
        <v>0</v>
      </c>
      <c r="C9" s="296">
        <v>46266.614953028715</v>
      </c>
      <c r="D9" s="296">
        <v>327856.19295756391</v>
      </c>
      <c r="E9" s="296">
        <v>204528.84577938303</v>
      </c>
      <c r="F9" s="296">
        <v>578651.65368997527</v>
      </c>
    </row>
    <row r="10" spans="1:6" x14ac:dyDescent="0.65">
      <c r="A10" s="291" t="s">
        <v>191</v>
      </c>
      <c r="B10" s="296">
        <v>0</v>
      </c>
      <c r="C10" s="296">
        <v>20117.669466076335</v>
      </c>
      <c r="D10" s="296">
        <v>25911.483798404719</v>
      </c>
      <c r="E10" s="296">
        <v>25046.031065618259</v>
      </c>
      <c r="F10" s="296">
        <v>71075.184330099321</v>
      </c>
    </row>
    <row r="11" spans="1:6" x14ac:dyDescent="0.65">
      <c r="A11" s="291" t="s">
        <v>39</v>
      </c>
      <c r="B11" s="296">
        <v>440792.30925611104</v>
      </c>
      <c r="C11" s="296">
        <v>143924.89092520252</v>
      </c>
      <c r="D11" s="296">
        <v>125640.7664892016</v>
      </c>
      <c r="E11" s="296">
        <v>141158.48012283299</v>
      </c>
      <c r="F11" s="296">
        <v>851516.44679334806</v>
      </c>
    </row>
    <row r="12" spans="1:6" x14ac:dyDescent="0.65">
      <c r="A12" s="291" t="s">
        <v>1304</v>
      </c>
      <c r="B12" s="296">
        <v>0</v>
      </c>
      <c r="C12" s="296">
        <v>19443.836049780002</v>
      </c>
      <c r="D12" s="296">
        <v>3965.1099164199995</v>
      </c>
      <c r="E12" s="296">
        <v>2453.8234500000003</v>
      </c>
      <c r="F12" s="296">
        <v>25862.769416200001</v>
      </c>
    </row>
    <row r="13" spans="1:6" x14ac:dyDescent="0.65">
      <c r="A13" s="291" t="s">
        <v>60</v>
      </c>
      <c r="B13" s="296">
        <v>3861569.3736959998</v>
      </c>
      <c r="C13" s="296">
        <v>341067.62369599997</v>
      </c>
      <c r="D13" s="296">
        <v>229345.56782666667</v>
      </c>
      <c r="E13" s="296">
        <v>4049.1228266666667</v>
      </c>
      <c r="F13" s="296">
        <v>4427031.6880453331</v>
      </c>
    </row>
    <row r="14" spans="1:6" x14ac:dyDescent="0.65">
      <c r="A14" s="291" t="s">
        <v>178</v>
      </c>
      <c r="B14" s="296">
        <v>0</v>
      </c>
      <c r="C14" s="296">
        <v>0</v>
      </c>
      <c r="D14" s="296">
        <v>0</v>
      </c>
      <c r="E14" s="296">
        <v>0</v>
      </c>
      <c r="F14" s="296">
        <v>0</v>
      </c>
    </row>
    <row r="15" spans="1:6" x14ac:dyDescent="0.65">
      <c r="A15" s="291" t="s">
        <v>2670</v>
      </c>
      <c r="B15" s="296">
        <v>521.24236799999994</v>
      </c>
      <c r="C15" s="296">
        <v>877.44576800000004</v>
      </c>
      <c r="D15" s="296">
        <v>930.94176800000002</v>
      </c>
      <c r="E15" s="296">
        <v>977.21376800000007</v>
      </c>
      <c r="F15" s="296">
        <v>3306.843672</v>
      </c>
    </row>
    <row r="16" spans="1:6" x14ac:dyDescent="0.65">
      <c r="A16" s="291" t="s">
        <v>2671</v>
      </c>
      <c r="B16" s="296">
        <v>77.159988124444439</v>
      </c>
      <c r="C16" s="296">
        <v>77.159988124444439</v>
      </c>
      <c r="D16" s="296">
        <v>104.12058329999999</v>
      </c>
      <c r="E16" s="296">
        <v>159.79634296000003</v>
      </c>
      <c r="F16" s="296">
        <v>418.23690250888893</v>
      </c>
    </row>
    <row r="17" spans="1:6" x14ac:dyDescent="0.65">
      <c r="A17" s="291" t="s">
        <v>56</v>
      </c>
      <c r="B17" s="296">
        <v>54991.627231117229</v>
      </c>
      <c r="C17" s="296">
        <v>3081803.3696241202</v>
      </c>
      <c r="D17" s="296">
        <v>3638333.5773347812</v>
      </c>
      <c r="E17" s="296">
        <v>3487084.8644758249</v>
      </c>
      <c r="F17" s="296">
        <v>10262213.438665839</v>
      </c>
    </row>
    <row r="18" spans="1:6" x14ac:dyDescent="0.65">
      <c r="A18" s="291" t="s">
        <v>414</v>
      </c>
      <c r="B18" s="296">
        <v>0</v>
      </c>
      <c r="C18" s="296">
        <v>2845.1647662499963</v>
      </c>
      <c r="D18" s="296">
        <v>4183.2622926509084</v>
      </c>
      <c r="E18" s="296">
        <v>3081.4321674439961</v>
      </c>
      <c r="F18" s="296">
        <v>10109.859226344903</v>
      </c>
    </row>
    <row r="19" spans="1:6" x14ac:dyDescent="0.65">
      <c r="A19" s="291" t="s">
        <v>187</v>
      </c>
      <c r="B19" s="296">
        <v>0</v>
      </c>
      <c r="C19" s="296">
        <v>40324.616460669706</v>
      </c>
      <c r="D19" s="296">
        <v>45968.43499348715</v>
      </c>
      <c r="E19" s="296">
        <v>51923.14779775215</v>
      </c>
      <c r="F19" s="296">
        <v>138216.19925190901</v>
      </c>
    </row>
    <row r="20" spans="1:6" x14ac:dyDescent="0.65">
      <c r="A20" s="291" t="s">
        <v>129</v>
      </c>
      <c r="B20" s="296">
        <v>1995.71</v>
      </c>
      <c r="C20" s="296">
        <v>1586.0881400000001</v>
      </c>
      <c r="D20" s="296">
        <v>2616.8731790000002</v>
      </c>
      <c r="E20" s="296">
        <v>1938.590586</v>
      </c>
      <c r="F20" s="296">
        <v>8137.2619050000021</v>
      </c>
    </row>
    <row r="21" spans="1:6" x14ac:dyDescent="0.65">
      <c r="A21" s="291" t="s">
        <v>2672</v>
      </c>
      <c r="B21" s="296">
        <v>0</v>
      </c>
      <c r="C21" s="296">
        <v>878.19189400000005</v>
      </c>
      <c r="D21" s="296">
        <v>439.09594700000002</v>
      </c>
      <c r="E21" s="296">
        <v>219.54797350000001</v>
      </c>
      <c r="F21" s="296">
        <v>1536.8358145000002</v>
      </c>
    </row>
    <row r="22" spans="1:6" x14ac:dyDescent="0.65">
      <c r="A22" s="291" t="s">
        <v>1971</v>
      </c>
      <c r="B22" s="296">
        <v>0</v>
      </c>
      <c r="C22" s="296">
        <v>0</v>
      </c>
      <c r="D22" s="296">
        <v>159.09270000000001</v>
      </c>
      <c r="E22" s="296">
        <v>0</v>
      </c>
      <c r="F22" s="296">
        <v>159.09270000000001</v>
      </c>
    </row>
    <row r="23" spans="1:6" x14ac:dyDescent="0.65">
      <c r="A23" s="291" t="s">
        <v>2128</v>
      </c>
      <c r="B23" s="296">
        <v>0</v>
      </c>
      <c r="C23" s="296">
        <v>53.115749440000002</v>
      </c>
      <c r="D23" s="296">
        <v>130.84444444444441</v>
      </c>
      <c r="E23" s="296">
        <v>588.42222222222222</v>
      </c>
      <c r="F23" s="296">
        <v>772.3824161066666</v>
      </c>
    </row>
    <row r="24" spans="1:6" x14ac:dyDescent="0.65">
      <c r="A24" s="291" t="s">
        <v>67</v>
      </c>
      <c r="B24" s="296">
        <v>1141697.4957647156</v>
      </c>
      <c r="C24" s="296">
        <v>45400.897054706278</v>
      </c>
      <c r="D24" s="296">
        <v>45045.506766164268</v>
      </c>
      <c r="E24" s="296">
        <v>57759.951121767219</v>
      </c>
      <c r="F24" s="296">
        <v>1289903.8507073531</v>
      </c>
    </row>
    <row r="25" spans="1:6" x14ac:dyDescent="0.65">
      <c r="A25" s="291" t="s">
        <v>2680</v>
      </c>
      <c r="B25" s="296">
        <v>5534538.5764640681</v>
      </c>
      <c r="C25" s="296">
        <v>4168856.3329445035</v>
      </c>
      <c r="D25" s="296">
        <v>4894903.958289939</v>
      </c>
      <c r="E25" s="296">
        <v>4197281.6552832406</v>
      </c>
      <c r="F25" s="296">
        <v>18786580.522981744</v>
      </c>
    </row>
    <row r="26" spans="1:6" ht="16" x14ac:dyDescent="0.8">
      <c r="A26"/>
      <c r="B26" s="281"/>
      <c r="C26" s="281"/>
      <c r="D26" s="281"/>
      <c r="E26" s="28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77"/>
  <sheetViews>
    <sheetView topLeftCell="B1" workbookViewId="0">
      <selection activeCell="F4" sqref="F4"/>
    </sheetView>
  </sheetViews>
  <sheetFormatPr baseColWidth="10" defaultColWidth="10.75" defaultRowHeight="15.25" x14ac:dyDescent="0.65"/>
  <cols>
    <col min="1" max="1" width="81.75" style="95" bestFit="1" customWidth="1"/>
    <col min="2" max="5" width="17.5" style="279" bestFit="1" customWidth="1"/>
    <col min="6" max="6" width="19.25" style="279" customWidth="1"/>
    <col min="7" max="16384" width="10.75" style="96"/>
  </cols>
  <sheetData>
    <row r="1" spans="1:6" ht="25" x14ac:dyDescent="1">
      <c r="A1" s="98" t="s">
        <v>2682</v>
      </c>
    </row>
    <row r="3" spans="1:6" s="278" customFormat="1" x14ac:dyDescent="0.65">
      <c r="A3" s="292" t="s">
        <v>3183</v>
      </c>
      <c r="B3" s="299" t="s">
        <v>2677</v>
      </c>
      <c r="C3" s="299" t="s">
        <v>2678</v>
      </c>
      <c r="D3" s="293" t="s">
        <v>3491</v>
      </c>
      <c r="E3" s="293" t="s">
        <v>3492</v>
      </c>
      <c r="F3" s="290" t="s">
        <v>3494</v>
      </c>
    </row>
    <row r="4" spans="1:6" x14ac:dyDescent="0.65">
      <c r="A4" s="291" t="s">
        <v>56</v>
      </c>
      <c r="B4" s="298">
        <v>54991.627231117229</v>
      </c>
      <c r="C4" s="298">
        <v>3081803.3696241216</v>
      </c>
      <c r="D4" s="298">
        <v>3638333.5773347816</v>
      </c>
      <c r="E4" s="298">
        <v>3487084.8644758253</v>
      </c>
      <c r="F4" s="298">
        <v>10262213.438665846</v>
      </c>
    </row>
    <row r="5" spans="1:6" x14ac:dyDescent="0.65">
      <c r="A5" s="297" t="s">
        <v>2685</v>
      </c>
      <c r="B5" s="298">
        <v>54991.627231117229</v>
      </c>
      <c r="C5" s="298">
        <v>1572711.6745552141</v>
      </c>
      <c r="D5" s="298">
        <v>2016623.6948643774</v>
      </c>
      <c r="E5" s="298">
        <v>2014418.9773280316</v>
      </c>
      <c r="F5" s="298">
        <v>5658745.9739787392</v>
      </c>
    </row>
    <row r="6" spans="1:6" x14ac:dyDescent="0.65">
      <c r="A6" s="297" t="s">
        <v>2686</v>
      </c>
      <c r="B6" s="298">
        <v>0</v>
      </c>
      <c r="C6" s="298">
        <v>130580.83932414342</v>
      </c>
      <c r="D6" s="298">
        <v>125055.32684638667</v>
      </c>
      <c r="E6" s="298">
        <v>123345.69990549114</v>
      </c>
      <c r="F6" s="298">
        <v>378981.86607602111</v>
      </c>
    </row>
    <row r="7" spans="1:6" x14ac:dyDescent="0.65">
      <c r="A7" s="297" t="s">
        <v>2684</v>
      </c>
      <c r="B7" s="298">
        <v>0</v>
      </c>
      <c r="C7" s="298">
        <v>250557.10337301198</v>
      </c>
      <c r="D7" s="298">
        <v>359383.77304600499</v>
      </c>
      <c r="E7" s="298">
        <v>310111.31380623888</v>
      </c>
      <c r="F7" s="298">
        <v>920052.19022525544</v>
      </c>
    </row>
    <row r="8" spans="1:6" x14ac:dyDescent="0.65">
      <c r="A8" s="297" t="s">
        <v>2689</v>
      </c>
      <c r="B8" s="298">
        <v>0</v>
      </c>
      <c r="C8" s="298">
        <v>846684.4347982218</v>
      </c>
      <c r="D8" s="298">
        <v>828869.66456627124</v>
      </c>
      <c r="E8" s="298">
        <v>701434.38540360623</v>
      </c>
      <c r="F8" s="298">
        <v>2376988.4847680996</v>
      </c>
    </row>
    <row r="9" spans="1:6" x14ac:dyDescent="0.65">
      <c r="A9" s="297" t="s">
        <v>2687</v>
      </c>
      <c r="B9" s="298">
        <v>0</v>
      </c>
      <c r="C9" s="298">
        <v>267789.96940426296</v>
      </c>
      <c r="D9" s="298">
        <v>290629.239231674</v>
      </c>
      <c r="E9" s="298">
        <v>313844.92254310084</v>
      </c>
      <c r="F9" s="298">
        <v>872264.1311790375</v>
      </c>
    </row>
    <row r="10" spans="1:6" x14ac:dyDescent="0.65">
      <c r="A10" s="297" t="s">
        <v>2688</v>
      </c>
      <c r="B10" s="298">
        <v>0</v>
      </c>
      <c r="C10" s="298">
        <v>13479.348169267141</v>
      </c>
      <c r="D10" s="298">
        <v>17771.878780067458</v>
      </c>
      <c r="E10" s="298">
        <v>23929.565489356348</v>
      </c>
      <c r="F10" s="298">
        <v>55180.792438690951</v>
      </c>
    </row>
    <row r="11" spans="1:6" x14ac:dyDescent="0.65">
      <c r="A11" s="291" t="s">
        <v>169</v>
      </c>
      <c r="B11" s="298">
        <v>0</v>
      </c>
      <c r="C11" s="298">
        <v>46266.614953028708</v>
      </c>
      <c r="D11" s="298">
        <v>327856.19295756402</v>
      </c>
      <c r="E11" s="298">
        <v>204528.845779383</v>
      </c>
      <c r="F11" s="298">
        <v>578651.65368997573</v>
      </c>
    </row>
    <row r="12" spans="1:6" x14ac:dyDescent="0.65">
      <c r="A12" s="297" t="s">
        <v>2685</v>
      </c>
      <c r="B12" s="298">
        <v>0</v>
      </c>
      <c r="C12" s="298">
        <v>7208.3960462805508</v>
      </c>
      <c r="D12" s="298">
        <v>152597.28495480615</v>
      </c>
      <c r="E12" s="298">
        <v>83542.727108519539</v>
      </c>
      <c r="F12" s="298">
        <v>243348.40810960619</v>
      </c>
    </row>
    <row r="13" spans="1:6" x14ac:dyDescent="0.65">
      <c r="A13" s="297" t="s">
        <v>2686</v>
      </c>
      <c r="B13" s="298">
        <v>0</v>
      </c>
      <c r="C13" s="298">
        <v>20647.406301334831</v>
      </c>
      <c r="D13" s="298">
        <v>36141.068368668923</v>
      </c>
      <c r="E13" s="298">
        <v>74381.14143287456</v>
      </c>
      <c r="F13" s="298">
        <v>131169.61610287832</v>
      </c>
    </row>
    <row r="14" spans="1:6" x14ac:dyDescent="0.65">
      <c r="A14" s="297" t="s">
        <v>2684</v>
      </c>
      <c r="B14" s="298">
        <v>0</v>
      </c>
      <c r="C14" s="298">
        <v>8679.5663598888877</v>
      </c>
      <c r="D14" s="298">
        <v>95332.850666111131</v>
      </c>
      <c r="E14" s="298">
        <v>18414.073474777779</v>
      </c>
      <c r="F14" s="298">
        <v>122426.49050077783</v>
      </c>
    </row>
    <row r="15" spans="1:6" x14ac:dyDescent="0.65">
      <c r="A15" s="297" t="s">
        <v>2689</v>
      </c>
      <c r="B15" s="298">
        <v>0</v>
      </c>
      <c r="C15" s="298">
        <v>0</v>
      </c>
      <c r="D15" s="298">
        <v>24789.109318333336</v>
      </c>
      <c r="E15" s="298">
        <v>13433.003340555555</v>
      </c>
      <c r="F15" s="298">
        <v>38222.112658888895</v>
      </c>
    </row>
    <row r="16" spans="1:6" x14ac:dyDescent="0.65">
      <c r="A16" s="297" t="s">
        <v>2687</v>
      </c>
      <c r="B16" s="298">
        <v>0</v>
      </c>
      <c r="C16" s="298">
        <v>9213.5281176444441</v>
      </c>
      <c r="D16" s="298">
        <v>15594.129195844447</v>
      </c>
      <c r="E16" s="298">
        <v>12131.468506744444</v>
      </c>
      <c r="F16" s="298">
        <v>36939.125820233334</v>
      </c>
    </row>
    <row r="17" spans="1:6" x14ac:dyDescent="0.65">
      <c r="A17" s="297" t="s">
        <v>2688</v>
      </c>
      <c r="B17" s="298">
        <v>0</v>
      </c>
      <c r="C17" s="298">
        <v>517.71812787999988</v>
      </c>
      <c r="D17" s="298">
        <v>3401.7504537999998</v>
      </c>
      <c r="E17" s="298">
        <v>2626.431915911111</v>
      </c>
      <c r="F17" s="298">
        <v>6545.9004975911112</v>
      </c>
    </row>
    <row r="18" spans="1:6" x14ac:dyDescent="0.65">
      <c r="A18" s="291" t="s">
        <v>2673</v>
      </c>
      <c r="B18" s="298">
        <v>0</v>
      </c>
      <c r="C18" s="298">
        <v>25.5</v>
      </c>
      <c r="D18" s="298">
        <v>1756.3837880000001</v>
      </c>
      <c r="E18" s="298">
        <v>878.19189400000005</v>
      </c>
      <c r="F18" s="298">
        <v>2660.0756820000001</v>
      </c>
    </row>
    <row r="19" spans="1:6" x14ac:dyDescent="0.65">
      <c r="A19" s="297" t="s">
        <v>2684</v>
      </c>
      <c r="B19" s="298">
        <v>0</v>
      </c>
      <c r="C19" s="298">
        <v>25.5</v>
      </c>
      <c r="D19" s="298">
        <v>1756.3837880000001</v>
      </c>
      <c r="E19" s="298">
        <v>878.19189400000005</v>
      </c>
      <c r="F19" s="298">
        <v>2660.0756820000001</v>
      </c>
    </row>
    <row r="20" spans="1:6" x14ac:dyDescent="0.65">
      <c r="A20" s="291" t="s">
        <v>1276</v>
      </c>
      <c r="B20" s="298">
        <v>30000</v>
      </c>
      <c r="C20" s="298">
        <v>89871.787819999998</v>
      </c>
      <c r="D20" s="298">
        <v>182402.5</v>
      </c>
      <c r="E20" s="298">
        <v>81.2</v>
      </c>
      <c r="F20" s="298">
        <v>302355.48782000004</v>
      </c>
    </row>
    <row r="21" spans="1:6" x14ac:dyDescent="0.65">
      <c r="A21" s="297" t="s">
        <v>2684</v>
      </c>
      <c r="B21" s="298">
        <v>30000</v>
      </c>
      <c r="C21" s="298">
        <v>89871.787819999998</v>
      </c>
      <c r="D21" s="298">
        <v>182402.5</v>
      </c>
      <c r="E21" s="298">
        <v>81.2</v>
      </c>
      <c r="F21" s="298">
        <v>302355.48782000004</v>
      </c>
    </row>
    <row r="22" spans="1:6" x14ac:dyDescent="0.65">
      <c r="A22" s="291" t="s">
        <v>2669</v>
      </c>
      <c r="B22" s="298">
        <v>0</v>
      </c>
      <c r="C22" s="298">
        <v>253.92173333333332</v>
      </c>
      <c r="D22" s="298">
        <v>3047.4506222222212</v>
      </c>
      <c r="E22" s="298">
        <v>253.92173333333332</v>
      </c>
      <c r="F22" s="298">
        <v>3555.2940888888884</v>
      </c>
    </row>
    <row r="23" spans="1:6" x14ac:dyDescent="0.65">
      <c r="A23" s="297" t="s">
        <v>2685</v>
      </c>
      <c r="B23" s="298">
        <v>0</v>
      </c>
      <c r="C23" s="298">
        <v>253.92173333333332</v>
      </c>
      <c r="D23" s="298">
        <v>3047.4506222222212</v>
      </c>
      <c r="E23" s="298">
        <v>253.92173333333332</v>
      </c>
      <c r="F23" s="298">
        <v>3555.2940888888884</v>
      </c>
    </row>
    <row r="24" spans="1:6" x14ac:dyDescent="0.65">
      <c r="A24" s="291" t="s">
        <v>221</v>
      </c>
      <c r="B24" s="298">
        <v>0</v>
      </c>
      <c r="C24" s="298">
        <v>7769.9005400000005</v>
      </c>
      <c r="D24" s="298">
        <v>31345.037578999996</v>
      </c>
      <c r="E24" s="298">
        <v>32782.742945999998</v>
      </c>
      <c r="F24" s="298">
        <v>71897.681064999997</v>
      </c>
    </row>
    <row r="25" spans="1:6" x14ac:dyDescent="0.65">
      <c r="A25" s="297" t="s">
        <v>2685</v>
      </c>
      <c r="B25" s="298">
        <v>0</v>
      </c>
      <c r="C25" s="298">
        <v>7655.3305400000008</v>
      </c>
      <c r="D25" s="298">
        <v>31173.182578999997</v>
      </c>
      <c r="E25" s="298">
        <v>32553.602945999999</v>
      </c>
      <c r="F25" s="298">
        <v>71382.116064999995</v>
      </c>
    </row>
    <row r="26" spans="1:6" x14ac:dyDescent="0.65">
      <c r="A26" s="297" t="s">
        <v>2686</v>
      </c>
      <c r="B26" s="298">
        <v>0</v>
      </c>
      <c r="C26" s="298">
        <v>114.57</v>
      </c>
      <c r="D26" s="298">
        <v>171.85499999999999</v>
      </c>
      <c r="E26" s="298">
        <v>229.14</v>
      </c>
      <c r="F26" s="298">
        <v>515.56499999999994</v>
      </c>
    </row>
    <row r="27" spans="1:6" x14ac:dyDescent="0.65">
      <c r="A27" s="297" t="s">
        <v>2687</v>
      </c>
      <c r="B27" s="298">
        <v>0</v>
      </c>
      <c r="C27" s="298">
        <v>0</v>
      </c>
      <c r="D27" s="298">
        <v>0</v>
      </c>
      <c r="E27" s="298">
        <v>0</v>
      </c>
      <c r="F27" s="298">
        <v>0</v>
      </c>
    </row>
    <row r="28" spans="1:6" x14ac:dyDescent="0.65">
      <c r="A28" s="291" t="s">
        <v>118</v>
      </c>
      <c r="B28" s="298">
        <v>2893.65816</v>
      </c>
      <c r="C28" s="298">
        <v>326268.53831577179</v>
      </c>
      <c r="D28" s="298">
        <v>225721.71530363266</v>
      </c>
      <c r="E28" s="298">
        <v>182316.32900993558</v>
      </c>
      <c r="F28" s="298">
        <v>737200.24078933999</v>
      </c>
    </row>
    <row r="29" spans="1:6" x14ac:dyDescent="0.65">
      <c r="A29" s="297" t="s">
        <v>2685</v>
      </c>
      <c r="B29" s="298">
        <v>43.658160000000002</v>
      </c>
      <c r="C29" s="298">
        <v>129825.25507507296</v>
      </c>
      <c r="D29" s="298">
        <v>155493.76837632415</v>
      </c>
      <c r="E29" s="298">
        <v>149059.69704927085</v>
      </c>
      <c r="F29" s="298">
        <v>434422.37866066792</v>
      </c>
    </row>
    <row r="30" spans="1:6" x14ac:dyDescent="0.65">
      <c r="A30" s="297" t="s">
        <v>2686</v>
      </c>
      <c r="B30" s="298">
        <v>2850</v>
      </c>
      <c r="C30" s="298">
        <v>175334.71494808063</v>
      </c>
      <c r="D30" s="298">
        <v>60012.519808862446</v>
      </c>
      <c r="E30" s="298">
        <v>23869.323273385355</v>
      </c>
      <c r="F30" s="298">
        <v>262066.55803032842</v>
      </c>
    </row>
    <row r="31" spans="1:6" x14ac:dyDescent="0.65">
      <c r="A31" s="297" t="s">
        <v>2684</v>
      </c>
      <c r="B31" s="298">
        <v>0</v>
      </c>
      <c r="C31" s="298">
        <v>1457.1603899999998</v>
      </c>
      <c r="D31" s="298">
        <v>1797.3161250000003</v>
      </c>
      <c r="E31" s="298">
        <v>446.73135000000002</v>
      </c>
      <c r="F31" s="298">
        <v>3701.2078650000008</v>
      </c>
    </row>
    <row r="32" spans="1:6" x14ac:dyDescent="0.65">
      <c r="A32" s="297" t="s">
        <v>2687</v>
      </c>
      <c r="B32" s="298">
        <v>0</v>
      </c>
      <c r="C32" s="298">
        <v>19004.382850750557</v>
      </c>
      <c r="D32" s="298">
        <v>8002.6572579999984</v>
      </c>
      <c r="E32" s="298">
        <v>7822.4832584999976</v>
      </c>
      <c r="F32" s="298">
        <v>34829.523367250527</v>
      </c>
    </row>
    <row r="33" spans="1:6" x14ac:dyDescent="0.65">
      <c r="A33" s="297" t="s">
        <v>2688</v>
      </c>
      <c r="B33" s="298">
        <v>0</v>
      </c>
      <c r="C33" s="298">
        <v>647.02505186763096</v>
      </c>
      <c r="D33" s="298">
        <v>415.4537354460515</v>
      </c>
      <c r="E33" s="298">
        <v>1118.094078779385</v>
      </c>
      <c r="F33" s="298">
        <v>2180.5728660930672</v>
      </c>
    </row>
    <row r="34" spans="1:6" x14ac:dyDescent="0.65">
      <c r="A34" s="291" t="s">
        <v>191</v>
      </c>
      <c r="B34" s="298">
        <v>0</v>
      </c>
      <c r="C34" s="298">
        <v>20117.669466076335</v>
      </c>
      <c r="D34" s="298">
        <v>25911.483798404719</v>
      </c>
      <c r="E34" s="298">
        <v>25046.031065618259</v>
      </c>
      <c r="F34" s="298">
        <v>71075.184330099321</v>
      </c>
    </row>
    <row r="35" spans="1:6" x14ac:dyDescent="0.65">
      <c r="A35" s="297" t="s">
        <v>2685</v>
      </c>
      <c r="B35" s="298">
        <v>0</v>
      </c>
      <c r="C35" s="298">
        <v>20117.669466076335</v>
      </c>
      <c r="D35" s="298">
        <v>25911.483798404719</v>
      </c>
      <c r="E35" s="298">
        <v>25046.031065618259</v>
      </c>
      <c r="F35" s="298">
        <v>71075.184330099321</v>
      </c>
    </row>
    <row r="36" spans="1:6" x14ac:dyDescent="0.65">
      <c r="A36" s="291" t="s">
        <v>39</v>
      </c>
      <c r="B36" s="298">
        <v>440792.30925611104</v>
      </c>
      <c r="C36" s="298">
        <v>143924.89092520249</v>
      </c>
      <c r="D36" s="298">
        <v>125640.7664892016</v>
      </c>
      <c r="E36" s="298">
        <v>141158.48012283302</v>
      </c>
      <c r="F36" s="298">
        <v>851516.4467933483</v>
      </c>
    </row>
    <row r="37" spans="1:6" x14ac:dyDescent="0.65">
      <c r="A37" s="297" t="s">
        <v>2685</v>
      </c>
      <c r="B37" s="298">
        <v>440792.30925611104</v>
      </c>
      <c r="C37" s="298">
        <v>43946.078022868845</v>
      </c>
      <c r="D37" s="298">
        <v>63122.943553424411</v>
      </c>
      <c r="E37" s="298">
        <v>67318.869497868858</v>
      </c>
      <c r="F37" s="298">
        <v>615180.20033027336</v>
      </c>
    </row>
    <row r="38" spans="1:6" x14ac:dyDescent="0.65">
      <c r="A38" s="297" t="s">
        <v>2686</v>
      </c>
      <c r="B38" s="298">
        <v>0</v>
      </c>
      <c r="C38" s="298">
        <v>48985.534807778109</v>
      </c>
      <c r="D38" s="298">
        <v>52097.460229110526</v>
      </c>
      <c r="E38" s="298">
        <v>63333.446578741925</v>
      </c>
      <c r="F38" s="298">
        <v>164416.44161563055</v>
      </c>
    </row>
    <row r="39" spans="1:6" x14ac:dyDescent="0.65">
      <c r="A39" s="297" t="s">
        <v>2689</v>
      </c>
      <c r="B39" s="298">
        <v>0</v>
      </c>
      <c r="C39" s="298">
        <v>694.54222222222222</v>
      </c>
      <c r="D39" s="298">
        <v>990.72</v>
      </c>
      <c r="E39" s="298">
        <v>1264</v>
      </c>
      <c r="F39" s="298">
        <v>2949.2622222222221</v>
      </c>
    </row>
    <row r="40" spans="1:6" x14ac:dyDescent="0.65">
      <c r="A40" s="297" t="s">
        <v>2687</v>
      </c>
      <c r="B40" s="298">
        <v>0</v>
      </c>
      <c r="C40" s="298">
        <v>50298.735872333324</v>
      </c>
      <c r="D40" s="298">
        <v>9429.6427066666656</v>
      </c>
      <c r="E40" s="298">
        <v>9242.1640462222222</v>
      </c>
      <c r="F40" s="298">
        <v>68970.54262522221</v>
      </c>
    </row>
    <row r="41" spans="1:6" x14ac:dyDescent="0.65">
      <c r="A41" s="291" t="s">
        <v>1304</v>
      </c>
      <c r="B41" s="298">
        <v>0</v>
      </c>
      <c r="C41" s="298">
        <v>19443.836049779999</v>
      </c>
      <c r="D41" s="298">
        <v>3965.1099164199995</v>
      </c>
      <c r="E41" s="298">
        <v>2453.8234500000003</v>
      </c>
      <c r="F41" s="298">
        <v>25862.769416199997</v>
      </c>
    </row>
    <row r="42" spans="1:6" x14ac:dyDescent="0.65">
      <c r="A42" s="297" t="s">
        <v>2684</v>
      </c>
      <c r="B42" s="298">
        <v>0</v>
      </c>
      <c r="C42" s="298">
        <v>8541.2432722800004</v>
      </c>
      <c r="D42" s="298">
        <v>3671.7922164199995</v>
      </c>
      <c r="E42" s="298">
        <v>0</v>
      </c>
      <c r="F42" s="298">
        <v>12213.035488699998</v>
      </c>
    </row>
    <row r="43" spans="1:6" x14ac:dyDescent="0.65">
      <c r="A43" s="297" t="s">
        <v>2689</v>
      </c>
      <c r="B43" s="298">
        <v>0</v>
      </c>
      <c r="C43" s="298">
        <v>3607.5427774999998</v>
      </c>
      <c r="D43" s="298">
        <v>293.3177</v>
      </c>
      <c r="E43" s="298">
        <v>2453.8234500000003</v>
      </c>
      <c r="F43" s="298">
        <v>6354.6839275000002</v>
      </c>
    </row>
    <row r="44" spans="1:6" x14ac:dyDescent="0.65">
      <c r="A44" s="297" t="s">
        <v>2687</v>
      </c>
      <c r="B44" s="298">
        <v>0</v>
      </c>
      <c r="C44" s="298">
        <v>7295.05</v>
      </c>
      <c r="D44" s="298">
        <v>0</v>
      </c>
      <c r="E44" s="298">
        <v>0</v>
      </c>
      <c r="F44" s="298">
        <v>7295.05</v>
      </c>
    </row>
    <row r="45" spans="1:6" x14ac:dyDescent="0.65">
      <c r="A45" s="291" t="s">
        <v>60</v>
      </c>
      <c r="B45" s="298">
        <v>3861569.3736959998</v>
      </c>
      <c r="C45" s="298">
        <v>341067.62369599997</v>
      </c>
      <c r="D45" s="298">
        <v>229345.56782666667</v>
      </c>
      <c r="E45" s="298">
        <v>4049.1228266666667</v>
      </c>
      <c r="F45" s="298">
        <v>4427031.6880453331</v>
      </c>
    </row>
    <row r="46" spans="1:6" x14ac:dyDescent="0.65">
      <c r="A46" s="297" t="s">
        <v>2685</v>
      </c>
      <c r="B46" s="298">
        <v>3809438.3736959998</v>
      </c>
      <c r="C46" s="298">
        <v>337067.62369599997</v>
      </c>
      <c r="D46" s="298">
        <v>226678.56782666667</v>
      </c>
      <c r="E46" s="298">
        <v>4049.1228266666667</v>
      </c>
      <c r="F46" s="298">
        <v>4368233.6880453331</v>
      </c>
    </row>
    <row r="47" spans="1:6" x14ac:dyDescent="0.65">
      <c r="A47" s="297" t="s">
        <v>2687</v>
      </c>
      <c r="B47" s="298">
        <v>52131</v>
      </c>
      <c r="C47" s="298">
        <v>4000</v>
      </c>
      <c r="D47" s="298">
        <v>2667</v>
      </c>
      <c r="E47" s="298"/>
      <c r="F47" s="298">
        <v>58798</v>
      </c>
    </row>
    <row r="48" spans="1:6" x14ac:dyDescent="0.65">
      <c r="A48" s="291" t="s">
        <v>178</v>
      </c>
      <c r="B48" s="298">
        <v>0</v>
      </c>
      <c r="C48" s="298">
        <v>0</v>
      </c>
      <c r="D48" s="298">
        <v>0</v>
      </c>
      <c r="E48" s="298">
        <v>0</v>
      </c>
      <c r="F48" s="298">
        <v>0</v>
      </c>
    </row>
    <row r="49" spans="1:6" x14ac:dyDescent="0.65">
      <c r="A49" s="297" t="s">
        <v>2685</v>
      </c>
      <c r="B49" s="298">
        <v>0</v>
      </c>
      <c r="C49" s="298">
        <v>0</v>
      </c>
      <c r="D49" s="298">
        <v>0</v>
      </c>
      <c r="E49" s="298">
        <v>0</v>
      </c>
      <c r="F49" s="298">
        <v>0</v>
      </c>
    </row>
    <row r="50" spans="1:6" x14ac:dyDescent="0.65">
      <c r="A50" s="297" t="s">
        <v>2686</v>
      </c>
      <c r="B50" s="298">
        <v>0</v>
      </c>
      <c r="C50" s="298">
        <v>0</v>
      </c>
      <c r="D50" s="298">
        <v>0</v>
      </c>
      <c r="E50" s="298">
        <v>0</v>
      </c>
      <c r="F50" s="298">
        <v>0</v>
      </c>
    </row>
    <row r="51" spans="1:6" x14ac:dyDescent="0.65">
      <c r="A51" s="297" t="s">
        <v>2687</v>
      </c>
      <c r="B51" s="298">
        <v>0</v>
      </c>
      <c r="C51" s="298">
        <v>0</v>
      </c>
      <c r="D51" s="298">
        <v>0</v>
      </c>
      <c r="E51" s="298">
        <v>0</v>
      </c>
      <c r="F51" s="298">
        <v>0</v>
      </c>
    </row>
    <row r="52" spans="1:6" x14ac:dyDescent="0.65">
      <c r="A52" s="297" t="s">
        <v>2688</v>
      </c>
      <c r="B52" s="298">
        <v>0</v>
      </c>
      <c r="C52" s="298">
        <v>0</v>
      </c>
      <c r="D52" s="298">
        <v>0</v>
      </c>
      <c r="E52" s="298">
        <v>0</v>
      </c>
      <c r="F52" s="298">
        <v>0</v>
      </c>
    </row>
    <row r="53" spans="1:6" x14ac:dyDescent="0.65">
      <c r="A53" s="291" t="s">
        <v>2670</v>
      </c>
      <c r="B53" s="298">
        <v>521.24236799999994</v>
      </c>
      <c r="C53" s="298">
        <v>877.44576800000004</v>
      </c>
      <c r="D53" s="298">
        <v>930.94176800000002</v>
      </c>
      <c r="E53" s="298">
        <v>977.21376800000007</v>
      </c>
      <c r="F53" s="298">
        <v>3306.843672</v>
      </c>
    </row>
    <row r="54" spans="1:6" x14ac:dyDescent="0.65">
      <c r="A54" s="297" t="s">
        <v>2685</v>
      </c>
      <c r="B54" s="298">
        <v>521.24236799999994</v>
      </c>
      <c r="C54" s="298">
        <v>877.44576800000004</v>
      </c>
      <c r="D54" s="298">
        <v>930.94176800000002</v>
      </c>
      <c r="E54" s="298">
        <v>977.21376800000007</v>
      </c>
      <c r="F54" s="298">
        <v>3306.843672</v>
      </c>
    </row>
    <row r="55" spans="1:6" x14ac:dyDescent="0.65">
      <c r="A55" s="291" t="s">
        <v>2671</v>
      </c>
      <c r="B55" s="298">
        <v>77.159988124444439</v>
      </c>
      <c r="C55" s="298">
        <v>77.159988124444439</v>
      </c>
      <c r="D55" s="298">
        <v>104.12058329999999</v>
      </c>
      <c r="E55" s="298">
        <v>159.79634296000003</v>
      </c>
      <c r="F55" s="298">
        <v>418.23690250888893</v>
      </c>
    </row>
    <row r="56" spans="1:6" x14ac:dyDescent="0.65">
      <c r="A56" s="297" t="s">
        <v>2685</v>
      </c>
      <c r="B56" s="298">
        <v>77.159988124444439</v>
      </c>
      <c r="C56" s="298">
        <v>77.159988124444439</v>
      </c>
      <c r="D56" s="298">
        <v>104.12058329999999</v>
      </c>
      <c r="E56" s="298">
        <v>159.79634296000003</v>
      </c>
      <c r="F56" s="298">
        <v>418.23690250888893</v>
      </c>
    </row>
    <row r="57" spans="1:6" x14ac:dyDescent="0.65">
      <c r="A57" s="291" t="s">
        <v>414</v>
      </c>
      <c r="B57" s="298">
        <v>0</v>
      </c>
      <c r="C57" s="298">
        <v>2845.1647662499963</v>
      </c>
      <c r="D57" s="298">
        <v>4183.2622926509084</v>
      </c>
      <c r="E57" s="298">
        <v>3081.4321674439961</v>
      </c>
      <c r="F57" s="298">
        <v>10109.859226344903</v>
      </c>
    </row>
    <row r="58" spans="1:6" x14ac:dyDescent="0.65">
      <c r="A58" s="297" t="s">
        <v>2685</v>
      </c>
      <c r="B58" s="298">
        <v>0</v>
      </c>
      <c r="C58" s="298">
        <v>2845.1647662499963</v>
      </c>
      <c r="D58" s="298">
        <v>4183.2622926509084</v>
      </c>
      <c r="E58" s="298">
        <v>3081.4321674439961</v>
      </c>
      <c r="F58" s="298">
        <v>10109.859226344903</v>
      </c>
    </row>
    <row r="59" spans="1:6" x14ac:dyDescent="0.65">
      <c r="A59" s="297" t="s">
        <v>2684</v>
      </c>
      <c r="B59" s="298">
        <v>0</v>
      </c>
      <c r="C59" s="298">
        <v>0</v>
      </c>
      <c r="D59" s="298">
        <v>0</v>
      </c>
      <c r="E59" s="298">
        <v>0</v>
      </c>
      <c r="F59" s="298">
        <v>0</v>
      </c>
    </row>
    <row r="60" spans="1:6" x14ac:dyDescent="0.65">
      <c r="A60" s="291" t="s">
        <v>187</v>
      </c>
      <c r="B60" s="298">
        <v>0</v>
      </c>
      <c r="C60" s="298">
        <v>40324.616460669706</v>
      </c>
      <c r="D60" s="298">
        <v>45968.43499348715</v>
      </c>
      <c r="E60" s="298">
        <v>51923.14779775215</v>
      </c>
      <c r="F60" s="298">
        <v>138216.19925190901</v>
      </c>
    </row>
    <row r="61" spans="1:6" x14ac:dyDescent="0.65">
      <c r="A61" s="297" t="s">
        <v>2685</v>
      </c>
      <c r="B61" s="298">
        <v>0</v>
      </c>
      <c r="C61" s="298">
        <v>40324.616460669706</v>
      </c>
      <c r="D61" s="298">
        <v>45968.43499348715</v>
      </c>
      <c r="E61" s="298">
        <v>51923.14779775215</v>
      </c>
      <c r="F61" s="298">
        <v>138216.19925190901</v>
      </c>
    </row>
    <row r="62" spans="1:6" x14ac:dyDescent="0.65">
      <c r="A62" s="291" t="s">
        <v>129</v>
      </c>
      <c r="B62" s="298">
        <v>1995.71</v>
      </c>
      <c r="C62" s="298">
        <v>1586.0881400000001</v>
      </c>
      <c r="D62" s="298">
        <v>2616.8731790000002</v>
      </c>
      <c r="E62" s="298">
        <v>1938.590586</v>
      </c>
      <c r="F62" s="298">
        <v>8137.2619050000021</v>
      </c>
    </row>
    <row r="63" spans="1:6" x14ac:dyDescent="0.65">
      <c r="A63" s="297" t="s">
        <v>2685</v>
      </c>
      <c r="B63" s="298">
        <v>1995.71</v>
      </c>
      <c r="C63" s="298">
        <v>1508.59094</v>
      </c>
      <c r="D63" s="298">
        <v>2577.1975790000001</v>
      </c>
      <c r="E63" s="298">
        <v>1897.864386</v>
      </c>
      <c r="F63" s="298">
        <v>7979.3629050000018</v>
      </c>
    </row>
    <row r="64" spans="1:6" x14ac:dyDescent="0.65">
      <c r="A64" s="297" t="s">
        <v>2686</v>
      </c>
      <c r="B64" s="298">
        <v>0</v>
      </c>
      <c r="C64" s="298">
        <v>77.497199999999992</v>
      </c>
      <c r="D64" s="298">
        <v>39.675600000000003</v>
      </c>
      <c r="E64" s="298">
        <v>40.726199999999999</v>
      </c>
      <c r="F64" s="298">
        <v>157.899</v>
      </c>
    </row>
    <row r="65" spans="1:6" x14ac:dyDescent="0.65">
      <c r="A65" s="291" t="s">
        <v>2672</v>
      </c>
      <c r="B65" s="298">
        <v>0</v>
      </c>
      <c r="C65" s="298">
        <v>878.19189400000005</v>
      </c>
      <c r="D65" s="298">
        <v>439.09594700000002</v>
      </c>
      <c r="E65" s="298">
        <v>219.54797350000001</v>
      </c>
      <c r="F65" s="298">
        <v>1536.8358145000002</v>
      </c>
    </row>
    <row r="66" spans="1:6" x14ac:dyDescent="0.65">
      <c r="A66" s="297" t="s">
        <v>2684</v>
      </c>
      <c r="B66" s="298">
        <v>0</v>
      </c>
      <c r="C66" s="298">
        <v>878.19189400000005</v>
      </c>
      <c r="D66" s="298">
        <v>439.09594700000002</v>
      </c>
      <c r="E66" s="298">
        <v>219.54797350000001</v>
      </c>
      <c r="F66" s="298">
        <v>1536.8358145000002</v>
      </c>
    </row>
    <row r="67" spans="1:6" x14ac:dyDescent="0.65">
      <c r="A67" s="291" t="s">
        <v>1971</v>
      </c>
      <c r="B67" s="298">
        <v>0</v>
      </c>
      <c r="C67" s="298">
        <v>0</v>
      </c>
      <c r="D67" s="298">
        <v>159.09270000000001</v>
      </c>
      <c r="E67" s="298">
        <v>0</v>
      </c>
      <c r="F67" s="298">
        <v>159.09270000000001</v>
      </c>
    </row>
    <row r="68" spans="1:6" x14ac:dyDescent="0.65">
      <c r="A68" s="297" t="s">
        <v>2684</v>
      </c>
      <c r="B68" s="298">
        <v>0</v>
      </c>
      <c r="C68" s="298">
        <v>0</v>
      </c>
      <c r="D68" s="298">
        <v>159.09270000000001</v>
      </c>
      <c r="E68" s="298">
        <v>0</v>
      </c>
      <c r="F68" s="298">
        <v>159.09270000000001</v>
      </c>
    </row>
    <row r="69" spans="1:6" x14ac:dyDescent="0.65">
      <c r="A69" s="297" t="s">
        <v>2687</v>
      </c>
      <c r="B69" s="298">
        <v>0</v>
      </c>
      <c r="C69" s="298">
        <v>0</v>
      </c>
      <c r="D69" s="298">
        <v>0</v>
      </c>
      <c r="E69" s="298">
        <v>0</v>
      </c>
      <c r="F69" s="298">
        <v>0</v>
      </c>
    </row>
    <row r="70" spans="1:6" x14ac:dyDescent="0.65">
      <c r="A70" s="291" t="s">
        <v>2128</v>
      </c>
      <c r="B70" s="298">
        <v>0</v>
      </c>
      <c r="C70" s="298">
        <v>53.115749440000002</v>
      </c>
      <c r="D70" s="298">
        <v>130.84444444444441</v>
      </c>
      <c r="E70" s="298">
        <v>588.42222222222222</v>
      </c>
      <c r="F70" s="298">
        <v>772.3824161066666</v>
      </c>
    </row>
    <row r="71" spans="1:6" x14ac:dyDescent="0.65">
      <c r="A71" s="297" t="s">
        <v>2685</v>
      </c>
      <c r="B71" s="298">
        <v>0</v>
      </c>
      <c r="C71" s="298">
        <v>53.115749440000002</v>
      </c>
      <c r="D71" s="298">
        <v>130.84444444444441</v>
      </c>
      <c r="E71" s="298">
        <v>588.42222222222222</v>
      </c>
      <c r="F71" s="298">
        <v>772.3824161066666</v>
      </c>
    </row>
    <row r="72" spans="1:6" x14ac:dyDescent="0.65">
      <c r="A72" s="297" t="s">
        <v>2687</v>
      </c>
      <c r="B72" s="298">
        <v>0</v>
      </c>
      <c r="C72" s="298">
        <v>0</v>
      </c>
      <c r="D72" s="298">
        <v>0</v>
      </c>
      <c r="E72" s="298">
        <v>0</v>
      </c>
      <c r="F72" s="298">
        <v>0</v>
      </c>
    </row>
    <row r="73" spans="1:6" x14ac:dyDescent="0.65">
      <c r="A73" s="291" t="s">
        <v>67</v>
      </c>
      <c r="B73" s="298">
        <v>1141697.4957647156</v>
      </c>
      <c r="C73" s="298">
        <v>45400.897054706278</v>
      </c>
      <c r="D73" s="298">
        <v>45045.506766164268</v>
      </c>
      <c r="E73" s="298">
        <v>57759.951121767219</v>
      </c>
      <c r="F73" s="298">
        <v>1289903.8507073533</v>
      </c>
    </row>
    <row r="74" spans="1:6" x14ac:dyDescent="0.65">
      <c r="A74" s="297" t="s">
        <v>2685</v>
      </c>
      <c r="B74" s="298">
        <v>88408.814864715619</v>
      </c>
      <c r="C74" s="298">
        <v>38822.76614834572</v>
      </c>
      <c r="D74" s="298">
        <v>39334.616723942047</v>
      </c>
      <c r="E74" s="298">
        <v>52019.279169961665</v>
      </c>
      <c r="F74" s="298">
        <v>218585.47690696505</v>
      </c>
    </row>
    <row r="75" spans="1:6" x14ac:dyDescent="0.65">
      <c r="A75" s="297" t="s">
        <v>2686</v>
      </c>
      <c r="B75" s="298">
        <v>1046058.4442333333</v>
      </c>
      <c r="C75" s="298">
        <v>2025.8028999999999</v>
      </c>
      <c r="D75" s="298">
        <v>2335.1581666666661</v>
      </c>
      <c r="E75" s="298">
        <v>2589.4034999999999</v>
      </c>
      <c r="F75" s="298">
        <v>1053008.8088</v>
      </c>
    </row>
    <row r="76" spans="1:6" x14ac:dyDescent="0.65">
      <c r="A76" s="297" t="s">
        <v>2687</v>
      </c>
      <c r="B76" s="298">
        <v>7230.2366666666676</v>
      </c>
      <c r="C76" s="298">
        <v>4552.3280063605562</v>
      </c>
      <c r="D76" s="298">
        <v>3375.7318755555552</v>
      </c>
      <c r="E76" s="298">
        <v>3151.2684518055553</v>
      </c>
      <c r="F76" s="298">
        <v>18309.565000388331</v>
      </c>
    </row>
    <row r="77" spans="1:6" x14ac:dyDescent="0.65">
      <c r="A77" s="291" t="s">
        <v>2680</v>
      </c>
      <c r="B77" s="298">
        <v>5534538.5764640681</v>
      </c>
      <c r="C77" s="298">
        <v>4168856.332944504</v>
      </c>
      <c r="D77" s="298">
        <v>4894903.958289939</v>
      </c>
      <c r="E77" s="298">
        <v>4197281.6552832406</v>
      </c>
      <c r="F77" s="298">
        <v>18786580.522981755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47"/>
  <sheetViews>
    <sheetView topLeftCell="B1" workbookViewId="0">
      <selection activeCell="B3" sqref="A3:XFD3"/>
    </sheetView>
  </sheetViews>
  <sheetFormatPr baseColWidth="10" defaultColWidth="10.75" defaultRowHeight="15.25" x14ac:dyDescent="0.65"/>
  <cols>
    <col min="1" max="1" width="25.375" style="95" bestFit="1" customWidth="1"/>
    <col min="2" max="2" width="15.875" style="279" bestFit="1" customWidth="1"/>
    <col min="3" max="5" width="17.75" style="279" bestFit="1" customWidth="1"/>
    <col min="6" max="6" width="19.875" style="279" customWidth="1"/>
    <col min="7" max="16384" width="10.75" style="96"/>
  </cols>
  <sheetData>
    <row r="1" spans="1:6" ht="25" x14ac:dyDescent="1">
      <c r="A1" s="98" t="s">
        <v>2690</v>
      </c>
    </row>
    <row r="3" spans="1:6" s="278" customFormat="1" ht="30.5" x14ac:dyDescent="0.8">
      <c r="A3" s="277" t="s">
        <v>2683</v>
      </c>
      <c r="B3" s="280" t="s">
        <v>2677</v>
      </c>
      <c r="C3" s="280" t="s">
        <v>2678</v>
      </c>
      <c r="D3" s="280" t="s">
        <v>3491</v>
      </c>
      <c r="E3" s="280" t="s">
        <v>3492</v>
      </c>
      <c r="F3" s="280" t="s">
        <v>3494</v>
      </c>
    </row>
    <row r="4" spans="1:6" x14ac:dyDescent="0.65">
      <c r="A4" s="97" t="s">
        <v>32</v>
      </c>
      <c r="B4" s="279">
        <v>5504013.3564640684</v>
      </c>
      <c r="C4" s="279">
        <v>2918964.0240723193</v>
      </c>
      <c r="D4" s="279">
        <v>3357477.1625471967</v>
      </c>
      <c r="E4" s="279">
        <v>3111892.097567732</v>
      </c>
      <c r="F4" s="279">
        <v>14883346.640651312</v>
      </c>
    </row>
    <row r="5" spans="1:6" x14ac:dyDescent="0.65">
      <c r="A5" s="99" t="s">
        <v>2669</v>
      </c>
      <c r="B5" s="279">
        <v>0</v>
      </c>
      <c r="C5" s="279">
        <v>253.92173333333332</v>
      </c>
      <c r="D5" s="279">
        <v>3047.4506222222212</v>
      </c>
      <c r="E5" s="279">
        <v>253.92173333333332</v>
      </c>
      <c r="F5" s="279">
        <v>3555.2940888888884</v>
      </c>
    </row>
    <row r="6" spans="1:6" x14ac:dyDescent="0.65">
      <c r="A6" s="99" t="s">
        <v>221</v>
      </c>
      <c r="B6" s="279">
        <v>0</v>
      </c>
      <c r="C6" s="279">
        <v>7769.9005400000005</v>
      </c>
      <c r="D6" s="279">
        <v>31345.037578999996</v>
      </c>
      <c r="E6" s="279">
        <v>32782.742945999998</v>
      </c>
      <c r="F6" s="279">
        <v>71897.681064999997</v>
      </c>
    </row>
    <row r="7" spans="1:6" x14ac:dyDescent="0.65">
      <c r="A7" s="99" t="s">
        <v>118</v>
      </c>
      <c r="B7" s="279">
        <v>2893.65816</v>
      </c>
      <c r="C7" s="279">
        <v>321687.72265466064</v>
      </c>
      <c r="D7" s="279">
        <v>223597.45973418816</v>
      </c>
      <c r="E7" s="279">
        <v>180639.05821549115</v>
      </c>
      <c r="F7" s="279">
        <v>728817.89876433974</v>
      </c>
    </row>
    <row r="8" spans="1:6" x14ac:dyDescent="0.65">
      <c r="A8" s="99" t="s">
        <v>169</v>
      </c>
      <c r="B8" s="279">
        <v>0</v>
      </c>
      <c r="C8" s="279">
        <v>29184.154181606493</v>
      </c>
      <c r="D8" s="279">
        <v>192595.82081671953</v>
      </c>
      <c r="E8" s="279">
        <v>161006.01749674967</v>
      </c>
      <c r="F8" s="279">
        <v>382785.99249507551</v>
      </c>
    </row>
    <row r="9" spans="1:6" x14ac:dyDescent="0.65">
      <c r="A9" s="99" t="s">
        <v>191</v>
      </c>
      <c r="B9" s="279">
        <v>0</v>
      </c>
      <c r="C9" s="279">
        <v>20117.669466076335</v>
      </c>
      <c r="D9" s="279">
        <v>25911.483798404719</v>
      </c>
      <c r="E9" s="279">
        <v>25046.031065618259</v>
      </c>
      <c r="F9" s="279">
        <v>71075.184330099321</v>
      </c>
    </row>
    <row r="10" spans="1:6" x14ac:dyDescent="0.65">
      <c r="A10" s="99" t="s">
        <v>39</v>
      </c>
      <c r="B10" s="279">
        <v>440792.30925611104</v>
      </c>
      <c r="C10" s="279">
        <v>141712.49759186924</v>
      </c>
      <c r="D10" s="279">
        <v>122489.36204475716</v>
      </c>
      <c r="E10" s="279">
        <v>137073.6290117219</v>
      </c>
      <c r="F10" s="279">
        <v>842067.79790445918</v>
      </c>
    </row>
    <row r="11" spans="1:6" x14ac:dyDescent="0.65">
      <c r="A11" s="99" t="s">
        <v>60</v>
      </c>
      <c r="B11" s="279">
        <v>3861569.3736959998</v>
      </c>
      <c r="C11" s="279">
        <v>341067.62369599997</v>
      </c>
      <c r="D11" s="279">
        <v>229345.56782666667</v>
      </c>
      <c r="E11" s="279">
        <v>4049.1228266666667</v>
      </c>
      <c r="F11" s="279">
        <v>4427031.6880453331</v>
      </c>
    </row>
    <row r="12" spans="1:6" x14ac:dyDescent="0.65">
      <c r="A12" s="99" t="s">
        <v>178</v>
      </c>
      <c r="B12" s="279">
        <v>0</v>
      </c>
      <c r="C12" s="279">
        <v>0</v>
      </c>
      <c r="D12" s="279">
        <v>0</v>
      </c>
      <c r="E12" s="279">
        <v>0</v>
      </c>
      <c r="F12" s="279">
        <v>0</v>
      </c>
    </row>
    <row r="13" spans="1:6" x14ac:dyDescent="0.65">
      <c r="A13" s="99" t="s">
        <v>2670</v>
      </c>
      <c r="B13" s="279">
        <v>521.24236799999994</v>
      </c>
      <c r="C13" s="279">
        <v>877.44576800000004</v>
      </c>
      <c r="D13" s="279">
        <v>930.94176800000002</v>
      </c>
      <c r="E13" s="279">
        <v>977.21376800000007</v>
      </c>
      <c r="F13" s="279">
        <v>3306.843672</v>
      </c>
    </row>
    <row r="14" spans="1:6" x14ac:dyDescent="0.65">
      <c r="A14" s="99" t="s">
        <v>2671</v>
      </c>
      <c r="B14" s="279">
        <v>77.159988124444439</v>
      </c>
      <c r="C14" s="279">
        <v>77.159988124444439</v>
      </c>
      <c r="D14" s="279">
        <v>104.12058329999999</v>
      </c>
      <c r="E14" s="279">
        <v>159.79634296000003</v>
      </c>
      <c r="F14" s="279">
        <v>418.23690250888893</v>
      </c>
    </row>
    <row r="15" spans="1:6" x14ac:dyDescent="0.65">
      <c r="A15" s="99" t="s">
        <v>56</v>
      </c>
      <c r="B15" s="279">
        <v>54991.627231117229</v>
      </c>
      <c r="C15" s="279">
        <v>1966335.5462815827</v>
      </c>
      <c r="D15" s="279">
        <v>2430570.9960981915</v>
      </c>
      <c r="E15" s="279">
        <v>2455041.5202660058</v>
      </c>
      <c r="F15" s="279">
        <v>6906939.6898768945</v>
      </c>
    </row>
    <row r="16" spans="1:6" x14ac:dyDescent="0.65">
      <c r="A16" s="99" t="s">
        <v>414</v>
      </c>
      <c r="B16" s="279">
        <v>0</v>
      </c>
      <c r="C16" s="279">
        <v>2845.1647662499963</v>
      </c>
      <c r="D16" s="279">
        <v>4183.2622926509084</v>
      </c>
      <c r="E16" s="279">
        <v>3081.4321674439961</v>
      </c>
      <c r="F16" s="279">
        <v>10109.859226344903</v>
      </c>
    </row>
    <row r="17" spans="1:6" x14ac:dyDescent="0.65">
      <c r="A17" s="99" t="s">
        <v>187</v>
      </c>
      <c r="B17" s="279">
        <v>0</v>
      </c>
      <c r="C17" s="279">
        <v>40324.616460669706</v>
      </c>
      <c r="D17" s="279">
        <v>45968.43499348715</v>
      </c>
      <c r="E17" s="279">
        <v>51923.14779775215</v>
      </c>
      <c r="F17" s="279">
        <v>138216.19925190901</v>
      </c>
    </row>
    <row r="18" spans="1:6" x14ac:dyDescent="0.65">
      <c r="A18" s="99" t="s">
        <v>129</v>
      </c>
      <c r="B18" s="279">
        <v>1470.49</v>
      </c>
      <c r="C18" s="279">
        <v>1256.5881400000001</v>
      </c>
      <c r="D18" s="279">
        <v>2210.8731790000002</v>
      </c>
      <c r="E18" s="279">
        <v>1510.090586</v>
      </c>
      <c r="F18" s="279">
        <v>6448.041905000001</v>
      </c>
    </row>
    <row r="19" spans="1:6" x14ac:dyDescent="0.65">
      <c r="A19" s="99" t="s">
        <v>2128</v>
      </c>
      <c r="B19" s="279">
        <v>0</v>
      </c>
      <c r="C19" s="279">
        <v>53.115749440000002</v>
      </c>
      <c r="D19" s="279">
        <v>130.84444444444441</v>
      </c>
      <c r="E19" s="279">
        <v>588.42222222222222</v>
      </c>
      <c r="F19" s="279">
        <v>772.3824161066666</v>
      </c>
    </row>
    <row r="20" spans="1:6" x14ac:dyDescent="0.65">
      <c r="A20" s="99" t="s">
        <v>67</v>
      </c>
      <c r="B20" s="279">
        <v>1141697.4957647156</v>
      </c>
      <c r="C20" s="279">
        <v>45400.897054706278</v>
      </c>
      <c r="D20" s="279">
        <v>45045.506766164268</v>
      </c>
      <c r="E20" s="279">
        <v>57759.951121767219</v>
      </c>
      <c r="F20" s="279">
        <v>1289903.8507073531</v>
      </c>
    </row>
    <row r="21" spans="1:6" x14ac:dyDescent="0.65">
      <c r="A21" s="97" t="s">
        <v>2066</v>
      </c>
      <c r="B21" s="279">
        <v>0</v>
      </c>
      <c r="C21" s="279">
        <v>8468.316633755554</v>
      </c>
      <c r="D21" s="279">
        <v>15203.834378622223</v>
      </c>
      <c r="E21" s="279">
        <v>11741.17368952222</v>
      </c>
      <c r="F21" s="279">
        <v>35413.324701899997</v>
      </c>
    </row>
    <row r="22" spans="1:6" x14ac:dyDescent="0.65">
      <c r="A22" s="99" t="s">
        <v>169</v>
      </c>
      <c r="B22" s="279">
        <v>0</v>
      </c>
      <c r="C22" s="279">
        <v>8304.7610781999992</v>
      </c>
      <c r="D22" s="279">
        <v>15040.278823066668</v>
      </c>
      <c r="E22" s="279">
        <v>11577.618133966665</v>
      </c>
      <c r="F22" s="279">
        <v>34922.658035233333</v>
      </c>
    </row>
    <row r="23" spans="1:6" x14ac:dyDescent="0.65">
      <c r="A23" s="99" t="s">
        <v>178</v>
      </c>
      <c r="B23" s="279">
        <v>0</v>
      </c>
      <c r="C23" s="279">
        <v>0</v>
      </c>
      <c r="D23" s="279">
        <v>0</v>
      </c>
      <c r="E23" s="279">
        <v>0</v>
      </c>
      <c r="F23" s="279">
        <v>0</v>
      </c>
    </row>
    <row r="24" spans="1:6" x14ac:dyDescent="0.65">
      <c r="A24" s="99" t="s">
        <v>56</v>
      </c>
      <c r="B24" s="279">
        <v>0</v>
      </c>
      <c r="C24" s="279">
        <v>163.55555555555551</v>
      </c>
      <c r="D24" s="279">
        <v>163.55555555555551</v>
      </c>
      <c r="E24" s="279">
        <v>163.55555555555551</v>
      </c>
      <c r="F24" s="279">
        <v>490.66666666666652</v>
      </c>
    </row>
    <row r="25" spans="1:6" x14ac:dyDescent="0.65">
      <c r="A25" s="97" t="s">
        <v>679</v>
      </c>
      <c r="B25" s="279">
        <v>0</v>
      </c>
      <c r="C25" s="279">
        <v>862300.48665219429</v>
      </c>
      <c r="D25" s="279">
        <v>867109.54607198387</v>
      </c>
      <c r="E25" s="279">
        <v>731447.27986424335</v>
      </c>
      <c r="F25" s="279">
        <v>2460857.3125884221</v>
      </c>
    </row>
    <row r="26" spans="1:6" x14ac:dyDescent="0.65">
      <c r="A26" s="99" t="s">
        <v>118</v>
      </c>
      <c r="B26" s="279">
        <v>0</v>
      </c>
      <c r="C26" s="279">
        <v>245.08785833333332</v>
      </c>
      <c r="D26" s="279">
        <v>125.76833333333332</v>
      </c>
      <c r="E26" s="279">
        <v>125.76833333333332</v>
      </c>
      <c r="F26" s="279">
        <v>496.62452499999995</v>
      </c>
    </row>
    <row r="27" spans="1:6" x14ac:dyDescent="0.65">
      <c r="A27" s="99" t="s">
        <v>169</v>
      </c>
      <c r="B27" s="279">
        <v>0</v>
      </c>
      <c r="C27" s="279">
        <v>0</v>
      </c>
      <c r="D27" s="279">
        <v>24789.109318333336</v>
      </c>
      <c r="E27" s="279">
        <v>13433.003340555555</v>
      </c>
      <c r="F27" s="279">
        <v>38222.112658888895</v>
      </c>
    </row>
    <row r="28" spans="1:6" x14ac:dyDescent="0.65">
      <c r="A28" s="99" t="s">
        <v>39</v>
      </c>
      <c r="B28" s="279">
        <v>0</v>
      </c>
      <c r="C28" s="279">
        <v>1420.9044444444446</v>
      </c>
      <c r="D28" s="279">
        <v>1780.9155555555556</v>
      </c>
      <c r="E28" s="279">
        <v>2154.362222222222</v>
      </c>
      <c r="F28" s="279">
        <v>5356.1822222222218</v>
      </c>
    </row>
    <row r="29" spans="1:6" x14ac:dyDescent="0.65">
      <c r="A29" s="99" t="s">
        <v>1304</v>
      </c>
      <c r="B29" s="279">
        <v>0</v>
      </c>
      <c r="C29" s="279">
        <v>3607.5427774999998</v>
      </c>
      <c r="D29" s="279">
        <v>293.3177</v>
      </c>
      <c r="E29" s="279">
        <v>2453.8234500000003</v>
      </c>
      <c r="F29" s="279">
        <v>6354.6839275000002</v>
      </c>
    </row>
    <row r="30" spans="1:6" x14ac:dyDescent="0.65">
      <c r="A30" s="99" t="s">
        <v>178</v>
      </c>
      <c r="B30" s="279">
        <v>0</v>
      </c>
      <c r="C30" s="279">
        <v>0</v>
      </c>
      <c r="D30" s="279">
        <v>0</v>
      </c>
      <c r="E30" s="279">
        <v>0</v>
      </c>
      <c r="F30" s="279">
        <v>0</v>
      </c>
    </row>
    <row r="31" spans="1:6" x14ac:dyDescent="0.65">
      <c r="A31" s="99" t="s">
        <v>56</v>
      </c>
      <c r="B31" s="279">
        <v>0</v>
      </c>
      <c r="C31" s="279">
        <v>857026.95157191646</v>
      </c>
      <c r="D31" s="279">
        <v>840120.43516476161</v>
      </c>
      <c r="E31" s="279">
        <v>713280.32251813228</v>
      </c>
      <c r="F31" s="279">
        <v>2410427.7092548111</v>
      </c>
    </row>
    <row r="32" spans="1:6" x14ac:dyDescent="0.65">
      <c r="A32" s="97" t="s">
        <v>677</v>
      </c>
      <c r="B32" s="279">
        <v>30000</v>
      </c>
      <c r="C32" s="279">
        <v>378794.00558623491</v>
      </c>
      <c r="D32" s="279">
        <v>654707.41529213742</v>
      </c>
      <c r="E32" s="279">
        <v>341772.60416174243</v>
      </c>
      <c r="F32" s="279">
        <v>1405274.0250401143</v>
      </c>
    </row>
    <row r="33" spans="1:6" x14ac:dyDescent="0.65">
      <c r="A33" s="99" t="s">
        <v>2673</v>
      </c>
      <c r="B33" s="279">
        <v>0</v>
      </c>
      <c r="C33" s="279">
        <v>25.5</v>
      </c>
      <c r="D33" s="279">
        <v>1756.3837880000001</v>
      </c>
      <c r="E33" s="279">
        <v>878.19189400000005</v>
      </c>
      <c r="F33" s="279">
        <v>2660.0756820000001</v>
      </c>
    </row>
    <row r="34" spans="1:6" x14ac:dyDescent="0.65">
      <c r="A34" s="99" t="s">
        <v>1276</v>
      </c>
      <c r="B34" s="279">
        <v>30000</v>
      </c>
      <c r="C34" s="279">
        <v>89871.787819999998</v>
      </c>
      <c r="D34" s="279">
        <v>182402.5</v>
      </c>
      <c r="E34" s="279">
        <v>81.2</v>
      </c>
      <c r="F34" s="279">
        <v>302355.48782000004</v>
      </c>
    </row>
    <row r="35" spans="1:6" x14ac:dyDescent="0.65">
      <c r="A35" s="99" t="s">
        <v>118</v>
      </c>
      <c r="B35" s="279">
        <v>0</v>
      </c>
      <c r="C35" s="279">
        <v>4335.7278027777775</v>
      </c>
      <c r="D35" s="279">
        <v>1998.4872361111113</v>
      </c>
      <c r="E35" s="279">
        <v>1551.5024611111112</v>
      </c>
      <c r="F35" s="279">
        <v>7885.7174999999979</v>
      </c>
    </row>
    <row r="36" spans="1:6" x14ac:dyDescent="0.65">
      <c r="A36" s="99" t="s">
        <v>169</v>
      </c>
      <c r="B36" s="279">
        <v>0</v>
      </c>
      <c r="C36" s="279">
        <v>8777.699693222221</v>
      </c>
      <c r="D36" s="279">
        <v>95430.983999444463</v>
      </c>
      <c r="E36" s="279">
        <v>18512.206808111114</v>
      </c>
      <c r="F36" s="279">
        <v>122720.89050077782</v>
      </c>
    </row>
    <row r="37" spans="1:6" x14ac:dyDescent="0.65">
      <c r="A37" s="99" t="s">
        <v>39</v>
      </c>
      <c r="B37" s="279">
        <v>0</v>
      </c>
      <c r="C37" s="279">
        <v>791.48888888888894</v>
      </c>
      <c r="D37" s="279">
        <v>1370.4888888888888</v>
      </c>
      <c r="E37" s="279">
        <v>1930.4888888888888</v>
      </c>
      <c r="F37" s="279">
        <v>4092.4666666666667</v>
      </c>
    </row>
    <row r="38" spans="1:6" x14ac:dyDescent="0.65">
      <c r="A38" s="99" t="s">
        <v>1304</v>
      </c>
      <c r="B38" s="279">
        <v>0</v>
      </c>
      <c r="C38" s="279">
        <v>15836.293272280001</v>
      </c>
      <c r="D38" s="279">
        <v>3671.7922164199995</v>
      </c>
      <c r="E38" s="279">
        <v>0</v>
      </c>
      <c r="F38" s="279">
        <v>19508.085488699999</v>
      </c>
    </row>
    <row r="39" spans="1:6" x14ac:dyDescent="0.65">
      <c r="A39" s="99" t="s">
        <v>178</v>
      </c>
      <c r="B39" s="279">
        <v>0</v>
      </c>
      <c r="C39" s="279">
        <v>0</v>
      </c>
      <c r="D39" s="279">
        <v>0</v>
      </c>
      <c r="E39" s="279">
        <v>0</v>
      </c>
      <c r="F39" s="279">
        <v>0</v>
      </c>
    </row>
    <row r="40" spans="1:6" x14ac:dyDescent="0.65">
      <c r="A40" s="99" t="s">
        <v>56</v>
      </c>
      <c r="B40" s="279">
        <v>0</v>
      </c>
      <c r="C40" s="279">
        <v>258277.31621506606</v>
      </c>
      <c r="D40" s="279">
        <v>367478.59051627287</v>
      </c>
      <c r="E40" s="279">
        <v>318599.46613613132</v>
      </c>
      <c r="F40" s="279">
        <v>944355.37286746991</v>
      </c>
    </row>
    <row r="41" spans="1:6" x14ac:dyDescent="0.65">
      <c r="A41" s="99" t="s">
        <v>414</v>
      </c>
      <c r="B41" s="279">
        <v>0</v>
      </c>
      <c r="C41" s="279">
        <v>0</v>
      </c>
      <c r="D41" s="279">
        <v>0</v>
      </c>
      <c r="E41" s="279">
        <v>0</v>
      </c>
      <c r="F41" s="279">
        <v>0</v>
      </c>
    </row>
    <row r="42" spans="1:6" x14ac:dyDescent="0.65">
      <c r="A42" s="99" t="s">
        <v>2672</v>
      </c>
      <c r="B42" s="279">
        <v>0</v>
      </c>
      <c r="C42" s="279">
        <v>878.19189400000005</v>
      </c>
      <c r="D42" s="279">
        <v>439.09594700000002</v>
      </c>
      <c r="E42" s="279">
        <v>219.54797350000001</v>
      </c>
      <c r="F42" s="279">
        <v>1536.8358145000002</v>
      </c>
    </row>
    <row r="43" spans="1:6" x14ac:dyDescent="0.65">
      <c r="A43" s="99" t="s">
        <v>1971</v>
      </c>
      <c r="B43" s="279">
        <v>0</v>
      </c>
      <c r="C43" s="279">
        <v>0</v>
      </c>
      <c r="D43" s="279">
        <v>159.09270000000001</v>
      </c>
      <c r="E43" s="279">
        <v>0</v>
      </c>
      <c r="F43" s="279">
        <v>159.09270000000001</v>
      </c>
    </row>
    <row r="44" spans="1:6" x14ac:dyDescent="0.65">
      <c r="A44" s="97" t="s">
        <v>2680</v>
      </c>
      <c r="B44" s="279">
        <v>5534013.3564640684</v>
      </c>
      <c r="C44" s="279">
        <v>4168526.8329445045</v>
      </c>
      <c r="D44" s="279">
        <v>4894497.9582899399</v>
      </c>
      <c r="E44" s="279">
        <v>4196853.1552832397</v>
      </c>
      <c r="F44" s="279">
        <v>18784891.302981742</v>
      </c>
    </row>
    <row r="45" spans="1:6" ht="16" x14ac:dyDescent="0.8">
      <c r="A45"/>
      <c r="B45" s="281"/>
      <c r="C45" s="281"/>
      <c r="D45" s="281"/>
      <c r="E45" s="281"/>
    </row>
    <row r="46" spans="1:6" ht="16" x14ac:dyDescent="0.8">
      <c r="A46"/>
      <c r="B46" s="281"/>
      <c r="C46" s="281"/>
      <c r="D46" s="281"/>
      <c r="E46" s="281"/>
    </row>
    <row r="47" spans="1:6" ht="16" x14ac:dyDescent="0.8">
      <c r="A47"/>
      <c r="B47" s="281"/>
      <c r="C47" s="281"/>
      <c r="D47" s="281"/>
      <c r="E47" s="28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77"/>
  <sheetViews>
    <sheetView zoomScale="172" workbookViewId="0">
      <selection activeCell="K24" sqref="K24"/>
    </sheetView>
  </sheetViews>
  <sheetFormatPr baseColWidth="10" defaultColWidth="10.75" defaultRowHeight="14" x14ac:dyDescent="0.6"/>
  <cols>
    <col min="1" max="1" width="66.5" style="103" customWidth="1"/>
    <col min="2" max="3" width="13.875" style="282" bestFit="1" customWidth="1"/>
    <col min="4" max="4" width="13.5" style="282" customWidth="1"/>
    <col min="5" max="5" width="12.375" style="282" customWidth="1"/>
    <col min="6" max="6" width="17.25" style="282" customWidth="1"/>
    <col min="7" max="16384" width="10.75" style="104"/>
  </cols>
  <sheetData>
    <row r="1" spans="1:6" ht="25" x14ac:dyDescent="1">
      <c r="A1" s="98" t="s">
        <v>2681</v>
      </c>
    </row>
    <row r="3" spans="1:6" s="286" customFormat="1" ht="28" x14ac:dyDescent="0.8">
      <c r="A3" s="284" t="s">
        <v>3184</v>
      </c>
      <c r="B3" s="285" t="s">
        <v>2677</v>
      </c>
      <c r="C3" s="285" t="s">
        <v>2678</v>
      </c>
      <c r="D3" s="285" t="s">
        <v>3491</v>
      </c>
      <c r="E3" s="285" t="s">
        <v>3492</v>
      </c>
      <c r="F3" s="285" t="s">
        <v>3494</v>
      </c>
    </row>
    <row r="4" spans="1:6" x14ac:dyDescent="0.6">
      <c r="A4" s="102" t="s">
        <v>2685</v>
      </c>
      <c r="B4" s="282">
        <v>4396268.8955640681</v>
      </c>
      <c r="C4" s="282">
        <v>2203294.8089556759</v>
      </c>
      <c r="D4" s="282">
        <v>2767877.7949600485</v>
      </c>
      <c r="E4" s="282">
        <v>2486890.1054096492</v>
      </c>
      <c r="F4" s="282">
        <v>11845331.604889438</v>
      </c>
    </row>
    <row r="5" spans="1:6" x14ac:dyDescent="0.6">
      <c r="A5" s="102" t="s">
        <v>2686</v>
      </c>
      <c r="B5" s="282">
        <v>1048908.4442333332</v>
      </c>
      <c r="C5" s="282">
        <v>377766.36548133701</v>
      </c>
      <c r="D5" s="282">
        <v>275853.0640196951</v>
      </c>
      <c r="E5" s="282">
        <v>287788.88089049299</v>
      </c>
      <c r="F5" s="282">
        <v>1990316.754624858</v>
      </c>
    </row>
    <row r="6" spans="1:6" x14ac:dyDescent="0.6">
      <c r="A6" s="102" t="s">
        <v>2684</v>
      </c>
      <c r="B6" s="282">
        <v>30000</v>
      </c>
      <c r="C6" s="282">
        <v>360010.55310918071</v>
      </c>
      <c r="D6" s="282">
        <v>644942.80448853597</v>
      </c>
      <c r="E6" s="282">
        <v>330151.05849851668</v>
      </c>
      <c r="F6" s="282">
        <v>1365104.4160962335</v>
      </c>
    </row>
    <row r="7" spans="1:6" x14ac:dyDescent="0.6">
      <c r="A7" s="102" t="s">
        <v>2689</v>
      </c>
      <c r="B7" s="282">
        <v>0</v>
      </c>
      <c r="C7" s="282">
        <v>850986.519797944</v>
      </c>
      <c r="D7" s="282">
        <v>854942.81158460455</v>
      </c>
      <c r="E7" s="282">
        <v>718585.21219416172</v>
      </c>
      <c r="F7" s="282">
        <v>2424514.5435767109</v>
      </c>
    </row>
    <row r="8" spans="1:6" x14ac:dyDescent="0.6">
      <c r="A8" s="102" t="s">
        <v>2687</v>
      </c>
      <c r="B8" s="282">
        <v>59361.236666666664</v>
      </c>
      <c r="C8" s="282">
        <v>362153.9942513518</v>
      </c>
      <c r="D8" s="282">
        <v>329698.40026774054</v>
      </c>
      <c r="E8" s="282">
        <v>346192.30680637306</v>
      </c>
      <c r="F8" s="282">
        <v>1097405.937992132</v>
      </c>
    </row>
    <row r="9" spans="1:6" x14ac:dyDescent="0.6">
      <c r="A9" s="102" t="s">
        <v>2688</v>
      </c>
      <c r="B9" s="282">
        <v>0</v>
      </c>
      <c r="C9" s="282">
        <v>14644.091349014774</v>
      </c>
      <c r="D9" s="282">
        <v>21589.082969313509</v>
      </c>
      <c r="E9" s="282">
        <v>27674.091484046847</v>
      </c>
      <c r="F9" s="282">
        <v>63907.265802375128</v>
      </c>
    </row>
    <row r="10" spans="1:6" x14ac:dyDescent="0.6">
      <c r="A10" s="102" t="s">
        <v>2680</v>
      </c>
      <c r="B10" s="282">
        <v>5534538.5764640681</v>
      </c>
      <c r="C10" s="282">
        <v>4168856.332944504</v>
      </c>
      <c r="D10" s="282">
        <v>4894903.958289938</v>
      </c>
      <c r="E10" s="282">
        <v>4197281.6552832406</v>
      </c>
      <c r="F10" s="282">
        <v>18786580.522981748</v>
      </c>
    </row>
    <row r="11" spans="1:6" ht="14.75" x14ac:dyDescent="0.75">
      <c r="A11" s="105"/>
      <c r="B11" s="283"/>
      <c r="C11" s="283"/>
      <c r="D11" s="283"/>
      <c r="E11" s="283"/>
    </row>
    <row r="12" spans="1:6" ht="14.75" x14ac:dyDescent="0.75">
      <c r="A12" s="105"/>
      <c r="B12" s="283"/>
      <c r="C12" s="283"/>
      <c r="D12" s="283"/>
      <c r="E12" s="283"/>
    </row>
    <row r="13" spans="1:6" ht="14.75" x14ac:dyDescent="0.75">
      <c r="A13" s="105"/>
      <c r="B13" s="283"/>
      <c r="C13" s="283"/>
      <c r="D13" s="283"/>
      <c r="E13" s="283"/>
    </row>
    <row r="14" spans="1:6" ht="14.75" x14ac:dyDescent="0.75">
      <c r="A14" s="105"/>
      <c r="B14" s="283"/>
      <c r="C14" s="283"/>
      <c r="D14" s="283"/>
      <c r="E14" s="283"/>
    </row>
    <row r="15" spans="1:6" ht="14.75" x14ac:dyDescent="0.75">
      <c r="A15" s="105"/>
      <c r="B15" s="283"/>
      <c r="C15" s="283"/>
      <c r="D15" s="283"/>
      <c r="E15" s="283"/>
    </row>
    <row r="16" spans="1:6" ht="14.75" x14ac:dyDescent="0.75">
      <c r="A16" s="105"/>
      <c r="B16" s="283"/>
      <c r="C16" s="283"/>
      <c r="D16" s="283"/>
      <c r="E16" s="283"/>
    </row>
    <row r="17" spans="1:5" ht="14.75" x14ac:dyDescent="0.75">
      <c r="A17" s="105"/>
      <c r="B17" s="283"/>
      <c r="C17" s="283"/>
      <c r="D17" s="283"/>
      <c r="E17" s="283"/>
    </row>
    <row r="18" spans="1:5" ht="14.75" x14ac:dyDescent="0.75">
      <c r="A18" s="105"/>
      <c r="B18" s="283"/>
      <c r="C18" s="283"/>
      <c r="D18" s="283"/>
      <c r="E18" s="283"/>
    </row>
    <row r="19" spans="1:5" ht="14.75" x14ac:dyDescent="0.75">
      <c r="A19" s="105"/>
      <c r="B19" s="283"/>
      <c r="C19" s="283"/>
      <c r="D19" s="283"/>
      <c r="E19" s="283"/>
    </row>
    <row r="20" spans="1:5" ht="14.75" x14ac:dyDescent="0.75">
      <c r="A20" s="105"/>
      <c r="B20" s="283"/>
      <c r="C20" s="283"/>
      <c r="D20" s="283"/>
      <c r="E20" s="283"/>
    </row>
    <row r="21" spans="1:5" ht="14.75" x14ac:dyDescent="0.75">
      <c r="A21" s="105"/>
      <c r="B21" s="283"/>
      <c r="C21" s="283"/>
      <c r="D21" s="283"/>
      <c r="E21" s="283"/>
    </row>
    <row r="22" spans="1:5" ht="14.75" x14ac:dyDescent="0.75">
      <c r="A22" s="105"/>
      <c r="B22" s="283"/>
      <c r="C22" s="283"/>
      <c r="D22" s="283"/>
      <c r="E22" s="283"/>
    </row>
    <row r="23" spans="1:5" ht="14.75" x14ac:dyDescent="0.75">
      <c r="A23" s="105"/>
      <c r="B23" s="283"/>
      <c r="C23" s="283"/>
      <c r="D23" s="283"/>
      <c r="E23" s="283"/>
    </row>
    <row r="24" spans="1:5" ht="14.75" x14ac:dyDescent="0.75">
      <c r="A24" s="105"/>
      <c r="B24" s="283"/>
      <c r="C24" s="283"/>
      <c r="D24" s="283"/>
      <c r="E24" s="283"/>
    </row>
    <row r="25" spans="1:5" ht="14.75" x14ac:dyDescent="0.75">
      <c r="A25" s="105"/>
      <c r="B25" s="283"/>
      <c r="C25" s="283"/>
      <c r="D25" s="283"/>
      <c r="E25" s="283"/>
    </row>
    <row r="26" spans="1:5" ht="14.75" x14ac:dyDescent="0.75">
      <c r="A26" s="105"/>
      <c r="B26" s="283"/>
      <c r="C26" s="283"/>
      <c r="D26" s="283"/>
      <c r="E26" s="283"/>
    </row>
    <row r="27" spans="1:5" ht="14.75" x14ac:dyDescent="0.75">
      <c r="A27" s="105"/>
      <c r="B27" s="283"/>
      <c r="C27" s="283"/>
      <c r="D27" s="283"/>
      <c r="E27" s="283"/>
    </row>
    <row r="28" spans="1:5" ht="14.75" x14ac:dyDescent="0.75">
      <c r="A28" s="105"/>
      <c r="B28" s="283"/>
      <c r="C28" s="283"/>
      <c r="D28" s="283"/>
      <c r="E28" s="283"/>
    </row>
    <row r="29" spans="1:5" ht="14.75" x14ac:dyDescent="0.75">
      <c r="A29" s="105"/>
      <c r="B29" s="283"/>
      <c r="C29" s="283"/>
      <c r="D29" s="283"/>
      <c r="E29" s="283"/>
    </row>
    <row r="30" spans="1:5" ht="14.75" x14ac:dyDescent="0.75">
      <c r="A30" s="105"/>
      <c r="B30" s="283"/>
      <c r="C30" s="283"/>
      <c r="D30" s="283"/>
      <c r="E30" s="283"/>
    </row>
    <row r="31" spans="1:5" ht="14.75" x14ac:dyDescent="0.75">
      <c r="A31" s="105"/>
      <c r="B31" s="283"/>
      <c r="C31" s="283"/>
      <c r="D31" s="283"/>
      <c r="E31" s="283"/>
    </row>
    <row r="32" spans="1:5" ht="14.75" x14ac:dyDescent="0.75">
      <c r="A32" s="105"/>
      <c r="B32" s="283"/>
      <c r="C32" s="283"/>
      <c r="D32" s="283"/>
      <c r="E32" s="283"/>
    </row>
    <row r="33" spans="1:5" ht="14.75" x14ac:dyDescent="0.75">
      <c r="A33" s="105"/>
      <c r="B33" s="283"/>
      <c r="C33" s="283"/>
      <c r="D33" s="283"/>
      <c r="E33" s="283"/>
    </row>
    <row r="34" spans="1:5" ht="14.75" x14ac:dyDescent="0.75">
      <c r="A34" s="105"/>
      <c r="B34" s="283"/>
      <c r="C34" s="283"/>
      <c r="D34" s="283"/>
      <c r="E34" s="283"/>
    </row>
    <row r="35" spans="1:5" ht="14.75" x14ac:dyDescent="0.75">
      <c r="A35" s="105"/>
      <c r="B35" s="283"/>
      <c r="C35" s="283"/>
      <c r="D35" s="283"/>
      <c r="E35" s="283"/>
    </row>
    <row r="36" spans="1:5" ht="14.75" x14ac:dyDescent="0.75">
      <c r="A36" s="105"/>
      <c r="B36" s="283"/>
      <c r="C36" s="283"/>
      <c r="D36" s="283"/>
      <c r="E36" s="283"/>
    </row>
    <row r="37" spans="1:5" ht="14.75" x14ac:dyDescent="0.75">
      <c r="A37" s="105"/>
      <c r="B37" s="283"/>
      <c r="C37" s="283"/>
      <c r="D37" s="283"/>
      <c r="E37" s="283"/>
    </row>
    <row r="38" spans="1:5" ht="14.75" x14ac:dyDescent="0.75">
      <c r="A38" s="105"/>
      <c r="B38" s="283"/>
      <c r="C38" s="283"/>
      <c r="D38" s="283"/>
      <c r="E38" s="283"/>
    </row>
    <row r="39" spans="1:5" ht="14.75" x14ac:dyDescent="0.75">
      <c r="A39" s="105"/>
      <c r="B39" s="283"/>
      <c r="C39" s="283"/>
      <c r="D39" s="283"/>
      <c r="E39" s="283"/>
    </row>
    <row r="40" spans="1:5" ht="14.75" x14ac:dyDescent="0.75">
      <c r="A40" s="105"/>
      <c r="B40" s="283"/>
      <c r="C40" s="283"/>
      <c r="D40" s="283"/>
      <c r="E40" s="283"/>
    </row>
    <row r="41" spans="1:5" ht="14.75" x14ac:dyDescent="0.75">
      <c r="A41" s="105"/>
      <c r="B41" s="283"/>
      <c r="C41" s="283"/>
      <c r="D41" s="283"/>
      <c r="E41" s="283"/>
    </row>
    <row r="42" spans="1:5" ht="14.75" x14ac:dyDescent="0.75">
      <c r="A42" s="105"/>
      <c r="B42" s="283"/>
      <c r="C42" s="283"/>
      <c r="D42" s="283"/>
      <c r="E42" s="283"/>
    </row>
    <row r="43" spans="1:5" ht="14.75" x14ac:dyDescent="0.75">
      <c r="A43" s="105"/>
      <c r="B43" s="283"/>
      <c r="C43" s="283"/>
      <c r="D43" s="283"/>
      <c r="E43" s="283"/>
    </row>
    <row r="44" spans="1:5" ht="14.75" x14ac:dyDescent="0.75">
      <c r="A44" s="105"/>
      <c r="B44" s="283"/>
      <c r="C44" s="283"/>
      <c r="D44" s="283"/>
      <c r="E44" s="283"/>
    </row>
    <row r="45" spans="1:5" ht="14.75" x14ac:dyDescent="0.75">
      <c r="A45" s="105"/>
      <c r="B45" s="283"/>
      <c r="C45" s="283"/>
      <c r="D45" s="283"/>
      <c r="E45" s="283"/>
    </row>
    <row r="46" spans="1:5" ht="14.75" x14ac:dyDescent="0.75">
      <c r="A46" s="105"/>
      <c r="B46" s="283"/>
      <c r="C46" s="283"/>
      <c r="D46" s="283"/>
      <c r="E46" s="283"/>
    </row>
    <row r="47" spans="1:5" ht="14.75" x14ac:dyDescent="0.75">
      <c r="A47" s="105"/>
      <c r="B47" s="283"/>
      <c r="C47" s="283"/>
      <c r="D47" s="283"/>
      <c r="E47" s="283"/>
    </row>
    <row r="48" spans="1:5" ht="14.75" x14ac:dyDescent="0.75">
      <c r="A48" s="105"/>
      <c r="B48" s="283"/>
      <c r="C48" s="283"/>
      <c r="D48" s="283"/>
      <c r="E48" s="283"/>
    </row>
    <row r="49" spans="1:5" ht="14.75" x14ac:dyDescent="0.75">
      <c r="A49" s="105"/>
      <c r="B49" s="283"/>
      <c r="C49" s="283"/>
      <c r="D49" s="283"/>
      <c r="E49" s="283"/>
    </row>
    <row r="50" spans="1:5" ht="14.75" x14ac:dyDescent="0.75">
      <c r="A50" s="105"/>
      <c r="B50" s="283"/>
      <c r="C50" s="283"/>
      <c r="D50" s="283"/>
      <c r="E50" s="283"/>
    </row>
    <row r="51" spans="1:5" ht="14.75" x14ac:dyDescent="0.75">
      <c r="A51" s="105"/>
      <c r="B51" s="283"/>
      <c r="C51" s="283"/>
      <c r="D51" s="283"/>
      <c r="E51" s="283"/>
    </row>
    <row r="52" spans="1:5" ht="14.75" x14ac:dyDescent="0.75">
      <c r="A52" s="105"/>
      <c r="B52" s="283"/>
      <c r="C52" s="283"/>
      <c r="D52" s="283"/>
      <c r="E52" s="283"/>
    </row>
    <row r="53" spans="1:5" ht="14.75" x14ac:dyDescent="0.75">
      <c r="A53" s="105"/>
      <c r="B53" s="283"/>
      <c r="C53" s="283"/>
      <c r="D53" s="283"/>
      <c r="E53" s="283"/>
    </row>
    <row r="54" spans="1:5" ht="14.75" x14ac:dyDescent="0.75">
      <c r="A54" s="105"/>
      <c r="B54" s="283"/>
      <c r="C54" s="283"/>
      <c r="D54" s="283"/>
      <c r="E54" s="283"/>
    </row>
    <row r="55" spans="1:5" ht="14.75" x14ac:dyDescent="0.75">
      <c r="A55" s="105"/>
      <c r="B55" s="283"/>
      <c r="C55" s="283"/>
      <c r="D55" s="283"/>
      <c r="E55" s="283"/>
    </row>
    <row r="56" spans="1:5" ht="14.75" x14ac:dyDescent="0.75">
      <c r="A56" s="105"/>
      <c r="B56" s="283"/>
      <c r="C56" s="283"/>
      <c r="D56" s="283"/>
      <c r="E56" s="283"/>
    </row>
    <row r="57" spans="1:5" ht="14.75" x14ac:dyDescent="0.75">
      <c r="A57" s="105"/>
      <c r="B57" s="283"/>
      <c r="C57" s="283"/>
      <c r="D57" s="283"/>
      <c r="E57" s="283"/>
    </row>
    <row r="58" spans="1:5" ht="14.75" x14ac:dyDescent="0.75">
      <c r="A58" s="105"/>
      <c r="B58" s="283"/>
      <c r="C58" s="283"/>
      <c r="D58" s="283"/>
      <c r="E58" s="283"/>
    </row>
    <row r="59" spans="1:5" ht="14.75" x14ac:dyDescent="0.75">
      <c r="A59" s="105"/>
      <c r="B59" s="283"/>
      <c r="C59" s="283"/>
      <c r="D59" s="283"/>
      <c r="E59" s="283"/>
    </row>
    <row r="60" spans="1:5" ht="14.75" x14ac:dyDescent="0.75">
      <c r="A60" s="105"/>
      <c r="B60" s="283"/>
      <c r="C60" s="283"/>
      <c r="D60" s="283"/>
      <c r="E60" s="283"/>
    </row>
    <row r="61" spans="1:5" ht="14.75" x14ac:dyDescent="0.75">
      <c r="A61" s="105"/>
      <c r="B61" s="283"/>
      <c r="C61" s="283"/>
      <c r="D61" s="283"/>
      <c r="E61" s="283"/>
    </row>
    <row r="62" spans="1:5" ht="14.75" x14ac:dyDescent="0.75">
      <c r="A62" s="105"/>
      <c r="B62" s="283"/>
      <c r="C62" s="283"/>
      <c r="D62" s="283"/>
      <c r="E62" s="283"/>
    </row>
    <row r="63" spans="1:5" ht="14.75" x14ac:dyDescent="0.75">
      <c r="A63" s="105"/>
      <c r="B63" s="283"/>
      <c r="C63" s="283"/>
      <c r="D63" s="283"/>
      <c r="E63" s="283"/>
    </row>
    <row r="64" spans="1:5" ht="14.75" x14ac:dyDescent="0.75">
      <c r="A64" s="105"/>
      <c r="B64" s="283"/>
      <c r="C64" s="283"/>
      <c r="D64" s="283"/>
      <c r="E64" s="283"/>
    </row>
    <row r="65" spans="1:5" ht="14.75" x14ac:dyDescent="0.75">
      <c r="A65" s="105"/>
      <c r="B65" s="283"/>
      <c r="C65" s="283"/>
      <c r="D65" s="283"/>
      <c r="E65" s="283"/>
    </row>
    <row r="66" spans="1:5" ht="14.75" x14ac:dyDescent="0.75">
      <c r="A66" s="105"/>
      <c r="B66" s="283"/>
      <c r="C66" s="283"/>
      <c r="D66" s="283"/>
      <c r="E66" s="283"/>
    </row>
    <row r="67" spans="1:5" ht="14.75" x14ac:dyDescent="0.75">
      <c r="A67" s="105"/>
      <c r="B67" s="283"/>
      <c r="C67" s="283"/>
      <c r="D67" s="283"/>
      <c r="E67" s="283"/>
    </row>
    <row r="68" spans="1:5" ht="14.75" x14ac:dyDescent="0.75">
      <c r="A68" s="105"/>
      <c r="B68" s="283"/>
      <c r="C68" s="283"/>
      <c r="D68" s="283"/>
      <c r="E68" s="283"/>
    </row>
    <row r="69" spans="1:5" ht="14.75" x14ac:dyDescent="0.75">
      <c r="A69" s="105"/>
      <c r="B69" s="283"/>
      <c r="C69" s="283"/>
      <c r="D69" s="283"/>
      <c r="E69" s="283"/>
    </row>
    <row r="70" spans="1:5" ht="14.75" x14ac:dyDescent="0.75">
      <c r="A70" s="105"/>
      <c r="B70" s="283"/>
      <c r="C70" s="283"/>
      <c r="D70" s="283"/>
      <c r="E70" s="283"/>
    </row>
    <row r="71" spans="1:5" ht="14.75" x14ac:dyDescent="0.75">
      <c r="A71" s="105"/>
      <c r="B71" s="283"/>
      <c r="C71" s="283"/>
      <c r="D71" s="283"/>
      <c r="E71" s="283"/>
    </row>
    <row r="72" spans="1:5" ht="14.75" x14ac:dyDescent="0.75">
      <c r="A72" s="105"/>
      <c r="B72" s="283"/>
      <c r="C72" s="283"/>
      <c r="D72" s="283"/>
      <c r="E72" s="283"/>
    </row>
    <row r="73" spans="1:5" ht="14.75" x14ac:dyDescent="0.75">
      <c r="A73" s="105"/>
      <c r="B73" s="283"/>
      <c r="C73" s="283"/>
      <c r="D73" s="283"/>
      <c r="E73" s="283"/>
    </row>
    <row r="74" spans="1:5" ht="14.75" x14ac:dyDescent="0.75">
      <c r="A74" s="105"/>
      <c r="B74" s="283"/>
      <c r="C74" s="283"/>
      <c r="D74" s="283"/>
      <c r="E74" s="283"/>
    </row>
    <row r="75" spans="1:5" ht="14.75" x14ac:dyDescent="0.75">
      <c r="A75" s="105"/>
      <c r="B75" s="283"/>
      <c r="C75" s="283"/>
      <c r="D75" s="283"/>
      <c r="E75" s="283"/>
    </row>
    <row r="76" spans="1:5" ht="14.75" x14ac:dyDescent="0.75">
      <c r="A76" s="105"/>
      <c r="B76" s="283"/>
      <c r="C76" s="283"/>
      <c r="D76" s="283"/>
      <c r="E76" s="283"/>
    </row>
    <row r="77" spans="1:5" ht="14.75" x14ac:dyDescent="0.75">
      <c r="A77" s="105"/>
      <c r="B77" s="283"/>
      <c r="C77" s="283"/>
      <c r="D77" s="283"/>
      <c r="E77" s="28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46"/>
  <sheetViews>
    <sheetView workbookViewId="0">
      <selection activeCell="D17" sqref="D17"/>
    </sheetView>
  </sheetViews>
  <sheetFormatPr baseColWidth="10" defaultColWidth="10.75" defaultRowHeight="15.25" x14ac:dyDescent="0.65"/>
  <cols>
    <col min="1" max="1" width="86.5" style="282" customWidth="1"/>
    <col min="2" max="2" width="11.75" style="279" customWidth="1"/>
    <col min="3" max="3" width="13.25" style="279" customWidth="1"/>
    <col min="4" max="4" width="14.25" style="279" customWidth="1"/>
    <col min="5" max="5" width="14" style="279" customWidth="1"/>
    <col min="6" max="6" width="20.875" style="279" customWidth="1"/>
    <col min="7" max="16384" width="10.75" style="279"/>
  </cols>
  <sheetData>
    <row r="1" spans="1:6" ht="25" x14ac:dyDescent="1">
      <c r="A1" s="287" t="s">
        <v>2691</v>
      </c>
    </row>
    <row r="3" spans="1:6" s="280" customFormat="1" ht="30.5" x14ac:dyDescent="0.8">
      <c r="A3" s="289" t="s">
        <v>3185</v>
      </c>
      <c r="B3" s="280" t="s">
        <v>2677</v>
      </c>
      <c r="C3" s="280" t="s">
        <v>2678</v>
      </c>
      <c r="D3" s="280" t="s">
        <v>3491</v>
      </c>
      <c r="E3" s="280" t="s">
        <v>3492</v>
      </c>
      <c r="F3" s="280" t="s">
        <v>3494</v>
      </c>
    </row>
    <row r="4" spans="1:6" x14ac:dyDescent="0.65">
      <c r="A4" s="288" t="s">
        <v>2692</v>
      </c>
      <c r="B4" s="279">
        <v>4305405.4241049075</v>
      </c>
      <c r="C4" s="279">
        <v>421081.4887114864</v>
      </c>
      <c r="D4" s="279">
        <v>349382.69406857801</v>
      </c>
      <c r="E4" s="279">
        <v>154717.63568393688</v>
      </c>
      <c r="F4" s="279">
        <v>5230587.2425689092</v>
      </c>
    </row>
    <row r="5" spans="1:6" x14ac:dyDescent="0.65">
      <c r="A5" s="288" t="s">
        <v>2693</v>
      </c>
      <c r="B5" s="279">
        <v>166.66719999999995</v>
      </c>
      <c r="C5" s="279">
        <v>1049102.6707528355</v>
      </c>
      <c r="D5" s="279">
        <v>1394412.198313005</v>
      </c>
      <c r="E5" s="279">
        <v>1327916.0776733239</v>
      </c>
      <c r="F5" s="279">
        <v>3771597.6139391651</v>
      </c>
    </row>
    <row r="6" spans="1:6" x14ac:dyDescent="0.65">
      <c r="A6" s="288" t="s">
        <v>2694</v>
      </c>
      <c r="B6" s="279">
        <v>3205.6258044444448</v>
      </c>
      <c r="C6" s="279">
        <v>6151.9822601053038</v>
      </c>
      <c r="D6" s="279">
        <v>18349.180410476609</v>
      </c>
      <c r="E6" s="279">
        <v>12900.001848076361</v>
      </c>
      <c r="F6" s="279">
        <v>40606.790323102701</v>
      </c>
    </row>
    <row r="7" spans="1:6" x14ac:dyDescent="0.65">
      <c r="A7" s="288" t="s">
        <v>2695</v>
      </c>
      <c r="B7" s="279">
        <v>0</v>
      </c>
      <c r="C7" s="279">
        <v>298685.83019695949</v>
      </c>
      <c r="D7" s="279">
        <v>443713.32816795242</v>
      </c>
      <c r="E7" s="279">
        <v>401067.33368535206</v>
      </c>
      <c r="F7" s="279">
        <v>1143466.4920502636</v>
      </c>
    </row>
    <row r="8" spans="1:6" x14ac:dyDescent="0.65">
      <c r="A8" s="288" t="s">
        <v>2696</v>
      </c>
      <c r="B8" s="279">
        <v>56547.186454715629</v>
      </c>
      <c r="C8" s="279">
        <v>24150.724547267157</v>
      </c>
      <c r="D8" s="279">
        <v>28411.90336393383</v>
      </c>
      <c r="E8" s="279">
        <v>180659.46879726715</v>
      </c>
      <c r="F8" s="279">
        <v>289769.28316318383</v>
      </c>
    </row>
    <row r="9" spans="1:6" x14ac:dyDescent="0.65">
      <c r="A9" s="288" t="s">
        <v>2697</v>
      </c>
      <c r="B9" s="279">
        <v>0</v>
      </c>
      <c r="C9" s="279">
        <v>194405.56720495358</v>
      </c>
      <c r="D9" s="279">
        <v>272635.08676638734</v>
      </c>
      <c r="E9" s="279">
        <v>204343.07035562294</v>
      </c>
      <c r="F9" s="279">
        <v>671383.724326964</v>
      </c>
    </row>
    <row r="10" spans="1:6" x14ac:dyDescent="0.65">
      <c r="A10" s="288" t="s">
        <v>2698</v>
      </c>
      <c r="B10" s="279">
        <v>26898.512000000002</v>
      </c>
      <c r="C10" s="279">
        <v>205761.54528206904</v>
      </c>
      <c r="D10" s="279">
        <v>256757.90386971692</v>
      </c>
      <c r="E10" s="279">
        <v>201202.51736606902</v>
      </c>
      <c r="F10" s="279">
        <v>690620.47851785517</v>
      </c>
    </row>
    <row r="11" spans="1:6" x14ac:dyDescent="0.65">
      <c r="A11" s="288" t="s">
        <v>2685</v>
      </c>
    </row>
    <row r="12" spans="1:6" x14ac:dyDescent="0.65">
      <c r="A12" s="288" t="s">
        <v>2699</v>
      </c>
      <c r="B12" s="279">
        <v>0</v>
      </c>
      <c r="C12" s="279">
        <v>1524.2878199999998</v>
      </c>
      <c r="D12" s="279">
        <v>4940.1400843333331</v>
      </c>
      <c r="E12" s="279">
        <v>5910.8045076666667</v>
      </c>
      <c r="F12" s="279">
        <v>12375.232411999999</v>
      </c>
    </row>
    <row r="13" spans="1:6" x14ac:dyDescent="0.65">
      <c r="A13" s="288" t="s">
        <v>2700</v>
      </c>
    </row>
    <row r="14" spans="1:6" x14ac:dyDescent="0.65">
      <c r="A14" s="288" t="s">
        <v>2701</v>
      </c>
      <c r="B14" s="279">
        <v>462.32000000000005</v>
      </c>
      <c r="C14" s="279">
        <v>40310.066495065919</v>
      </c>
      <c r="D14" s="279">
        <v>45986.787325470767</v>
      </c>
      <c r="E14" s="279">
        <v>64483.495188125766</v>
      </c>
      <c r="F14" s="279">
        <v>151242.66900866246</v>
      </c>
    </row>
    <row r="15" spans="1:6" x14ac:dyDescent="0.65">
      <c r="A15" s="288" t="s">
        <v>2702</v>
      </c>
      <c r="B15" s="279">
        <v>1045985</v>
      </c>
      <c r="C15" s="279">
        <v>25316.506157282085</v>
      </c>
      <c r="D15" s="279">
        <v>26110.98114705284</v>
      </c>
      <c r="E15" s="279">
        <v>29557.634112969674</v>
      </c>
      <c r="F15" s="279">
        <v>1126970.1214173047</v>
      </c>
    </row>
    <row r="16" spans="1:6" x14ac:dyDescent="0.65">
      <c r="A16" s="288" t="s">
        <v>2703</v>
      </c>
      <c r="B16" s="279">
        <v>3343.7042333333329</v>
      </c>
      <c r="C16" s="279">
        <v>258429.8478409556</v>
      </c>
      <c r="D16" s="279">
        <v>141324.73115682218</v>
      </c>
      <c r="E16" s="279">
        <v>126765.25034494237</v>
      </c>
      <c r="F16" s="279">
        <v>529863.53357605357</v>
      </c>
    </row>
    <row r="17" spans="1:6" x14ac:dyDescent="0.65">
      <c r="A17" s="288" t="s">
        <v>2704</v>
      </c>
      <c r="B17" s="279">
        <v>0</v>
      </c>
      <c r="C17" s="279">
        <v>45328.50975581121</v>
      </c>
      <c r="D17" s="279">
        <v>48788.206893793795</v>
      </c>
      <c r="E17" s="279">
        <v>51860.991181232966</v>
      </c>
      <c r="F17" s="279">
        <v>145977.70783083793</v>
      </c>
    </row>
    <row r="18" spans="1:6" x14ac:dyDescent="0.65">
      <c r="A18" s="288" t="s">
        <v>2705</v>
      </c>
      <c r="B18" s="279">
        <v>0</v>
      </c>
      <c r="C18" s="279">
        <v>7602.1474122222216</v>
      </c>
      <c r="D18" s="279">
        <v>9706.7174122222223</v>
      </c>
      <c r="E18" s="279">
        <v>10085.705555555554</v>
      </c>
      <c r="F18" s="279">
        <v>27394.570379999997</v>
      </c>
    </row>
    <row r="19" spans="1:6" x14ac:dyDescent="0.65">
      <c r="A19" s="288" t="s">
        <v>2686</v>
      </c>
    </row>
    <row r="20" spans="1:6" x14ac:dyDescent="0.65">
      <c r="A20" s="288" t="s">
        <v>2706</v>
      </c>
      <c r="B20" s="279">
        <v>0</v>
      </c>
      <c r="C20" s="279">
        <v>1075.8341162222223</v>
      </c>
      <c r="D20" s="279">
        <v>3498.3101307777779</v>
      </c>
      <c r="E20" s="279">
        <v>229.7479735</v>
      </c>
      <c r="F20" s="279">
        <v>4803.8922204999999</v>
      </c>
    </row>
    <row r="21" spans="1:6" x14ac:dyDescent="0.65">
      <c r="A21" s="288" t="s">
        <v>2707</v>
      </c>
      <c r="B21" s="279">
        <v>0</v>
      </c>
      <c r="C21" s="279">
        <v>43533.153113284658</v>
      </c>
      <c r="D21" s="279">
        <v>54564.203472617999</v>
      </c>
      <c r="E21" s="279">
        <v>43334.663359395774</v>
      </c>
      <c r="F21" s="279">
        <v>141432.0199452985</v>
      </c>
    </row>
    <row r="22" spans="1:6" x14ac:dyDescent="0.65">
      <c r="A22" s="288" t="s">
        <v>2708</v>
      </c>
      <c r="B22" s="279">
        <v>0</v>
      </c>
      <c r="C22" s="279">
        <v>278606.38969778508</v>
      </c>
      <c r="D22" s="279">
        <v>502044.02028291806</v>
      </c>
      <c r="E22" s="279">
        <v>280095.02295839874</v>
      </c>
      <c r="F22" s="279">
        <v>1060745.4329391019</v>
      </c>
    </row>
    <row r="23" spans="1:6" x14ac:dyDescent="0.65">
      <c r="A23" s="288" t="s">
        <v>2709</v>
      </c>
      <c r="B23" s="279">
        <v>0</v>
      </c>
      <c r="C23" s="279">
        <v>588.41262500000005</v>
      </c>
      <c r="D23" s="279">
        <v>518.97013333333325</v>
      </c>
      <c r="E23" s="279">
        <v>222.87013333333331</v>
      </c>
      <c r="F23" s="279">
        <v>1330.2528916666665</v>
      </c>
    </row>
    <row r="24" spans="1:6" x14ac:dyDescent="0.65">
      <c r="A24" s="288" t="s">
        <v>2710</v>
      </c>
      <c r="B24" s="279">
        <v>0</v>
      </c>
      <c r="C24" s="279">
        <v>449.84390999999999</v>
      </c>
      <c r="D24" s="279">
        <v>0</v>
      </c>
      <c r="E24" s="279">
        <v>0</v>
      </c>
      <c r="F24" s="279">
        <v>449.84390999999999</v>
      </c>
    </row>
    <row r="25" spans="1:6" x14ac:dyDescent="0.65">
      <c r="A25" s="288" t="s">
        <v>2711</v>
      </c>
      <c r="B25" s="279">
        <v>0</v>
      </c>
      <c r="C25" s="279">
        <v>12816.919646888888</v>
      </c>
      <c r="D25" s="279">
        <v>11377.300468888889</v>
      </c>
      <c r="E25" s="279">
        <v>6268.7540738888865</v>
      </c>
      <c r="F25" s="279">
        <v>30462.974189666664</v>
      </c>
    </row>
    <row r="26" spans="1:6" x14ac:dyDescent="0.65">
      <c r="A26" s="288" t="s">
        <v>2684</v>
      </c>
    </row>
    <row r="27" spans="1:6" x14ac:dyDescent="0.65">
      <c r="A27" s="288" t="s">
        <v>2712</v>
      </c>
      <c r="B27" s="279">
        <v>0</v>
      </c>
      <c r="C27" s="279">
        <v>239150.95232873157</v>
      </c>
      <c r="D27" s="279">
        <v>269279.93338019686</v>
      </c>
      <c r="E27" s="279">
        <v>268096.29952707718</v>
      </c>
      <c r="F27" s="279">
        <v>776527.18523600558</v>
      </c>
    </row>
    <row r="28" spans="1:6" x14ac:dyDescent="0.65">
      <c r="A28" s="288" t="s">
        <v>2713</v>
      </c>
      <c r="B28" s="279">
        <v>0</v>
      </c>
      <c r="C28" s="279">
        <v>502833.81755481777</v>
      </c>
      <c r="D28" s="279">
        <v>467375.20676310384</v>
      </c>
      <c r="E28" s="279">
        <v>309963.54778706172</v>
      </c>
      <c r="F28" s="279">
        <v>1280172.5721049833</v>
      </c>
    </row>
    <row r="29" spans="1:6" x14ac:dyDescent="0.65">
      <c r="A29" s="288" t="s">
        <v>2714</v>
      </c>
      <c r="B29" s="279">
        <v>0</v>
      </c>
      <c r="C29" s="279">
        <v>109001.74991439478</v>
      </c>
      <c r="D29" s="279">
        <v>118287.6714413039</v>
      </c>
      <c r="E29" s="279">
        <v>140525.36488002297</v>
      </c>
      <c r="F29" s="279">
        <v>367814.78623572167</v>
      </c>
    </row>
    <row r="30" spans="1:6" x14ac:dyDescent="0.65">
      <c r="A30" s="288" t="s">
        <v>2715</v>
      </c>
      <c r="B30" s="279">
        <v>0</v>
      </c>
      <c r="C30" s="279">
        <v>0</v>
      </c>
      <c r="D30" s="279">
        <v>0</v>
      </c>
      <c r="E30" s="279">
        <v>0</v>
      </c>
    </row>
    <row r="31" spans="1:6" x14ac:dyDescent="0.65">
      <c r="A31" s="288" t="s">
        <v>2689</v>
      </c>
    </row>
    <row r="32" spans="1:6" x14ac:dyDescent="0.65">
      <c r="A32" s="288" t="s">
        <v>2716</v>
      </c>
      <c r="B32" s="279">
        <v>0</v>
      </c>
      <c r="C32" s="279">
        <v>1192.6985999999999</v>
      </c>
      <c r="D32" s="279">
        <v>2122.3835999999997</v>
      </c>
      <c r="E32" s="279">
        <v>1282.5810999999999</v>
      </c>
      <c r="F32" s="279">
        <v>4597.6633000000002</v>
      </c>
    </row>
    <row r="33" spans="1:6" x14ac:dyDescent="0.65">
      <c r="A33" s="288" t="s">
        <v>2717</v>
      </c>
      <c r="B33" s="279">
        <v>52131</v>
      </c>
      <c r="C33" s="279">
        <v>5248.1843749999998</v>
      </c>
      <c r="D33" s="279">
        <v>4378.54</v>
      </c>
      <c r="E33" s="279">
        <v>1164.0361375</v>
      </c>
      <c r="F33" s="279">
        <v>62921.760512499997</v>
      </c>
    </row>
    <row r="34" spans="1:6" x14ac:dyDescent="0.65">
      <c r="A34" s="288" t="s">
        <v>2718</v>
      </c>
      <c r="B34" s="279">
        <v>0.01</v>
      </c>
      <c r="C34" s="279">
        <v>53690.127347777765</v>
      </c>
      <c r="D34" s="279">
        <v>6412.0743583333342</v>
      </c>
      <c r="E34" s="279">
        <v>7663.6415762500028</v>
      </c>
      <c r="F34" s="279">
        <v>67765.853282361117</v>
      </c>
    </row>
    <row r="35" spans="1:6" x14ac:dyDescent="0.65">
      <c r="A35" s="288" t="s">
        <v>2719</v>
      </c>
      <c r="B35" s="279">
        <v>0</v>
      </c>
      <c r="C35" s="279">
        <v>5288.7939522222214</v>
      </c>
      <c r="D35" s="279">
        <v>2714.7899999999995</v>
      </c>
      <c r="E35" s="279">
        <v>1910.49</v>
      </c>
      <c r="F35" s="279">
        <v>9914.0739522222211</v>
      </c>
    </row>
    <row r="36" spans="1:6" x14ac:dyDescent="0.65">
      <c r="A36" s="288" t="s">
        <v>2720</v>
      </c>
      <c r="B36" s="279">
        <v>0</v>
      </c>
      <c r="C36" s="279">
        <v>188942.60028652471</v>
      </c>
      <c r="D36" s="279">
        <v>207931.94080697699</v>
      </c>
      <c r="E36" s="279">
        <v>227655.99717255222</v>
      </c>
      <c r="F36" s="279">
        <v>624530.53826605366</v>
      </c>
    </row>
    <row r="37" spans="1:6" x14ac:dyDescent="0.65">
      <c r="A37" s="288" t="s">
        <v>2721</v>
      </c>
      <c r="B37" s="279">
        <v>5</v>
      </c>
      <c r="C37" s="279">
        <v>79063.077129271594</v>
      </c>
      <c r="D37" s="279">
        <v>89736.979097097006</v>
      </c>
      <c r="E37" s="279">
        <v>90429.467676737506</v>
      </c>
      <c r="F37" s="279">
        <v>259234.52390310596</v>
      </c>
    </row>
    <row r="38" spans="1:6" x14ac:dyDescent="0.65">
      <c r="A38" s="288" t="s">
        <v>2722</v>
      </c>
      <c r="B38" s="279">
        <v>30062.533333333333</v>
      </c>
      <c r="C38" s="279">
        <v>40317.334100555556</v>
      </c>
      <c r="D38" s="279">
        <v>80636.518888888881</v>
      </c>
      <c r="E38" s="279">
        <v>9035.7587388888878</v>
      </c>
      <c r="F38" s="279">
        <v>160052.14506166667</v>
      </c>
    </row>
    <row r="39" spans="1:6" x14ac:dyDescent="0.65">
      <c r="A39" s="288" t="s">
        <v>2723</v>
      </c>
      <c r="B39" s="279">
        <v>10325.593333333332</v>
      </c>
      <c r="C39" s="279">
        <v>14561.178459999996</v>
      </c>
      <c r="D39" s="279">
        <v>11916.17351644444</v>
      </c>
      <c r="E39" s="279">
        <v>10259.33440444444</v>
      </c>
      <c r="F39" s="279">
        <v>38062.279714222226</v>
      </c>
    </row>
    <row r="40" spans="1:6" x14ac:dyDescent="0.65">
      <c r="A40" s="288" t="s">
        <v>2687</v>
      </c>
    </row>
    <row r="41" spans="1:6" x14ac:dyDescent="0.65">
      <c r="A41" s="288" t="s">
        <v>2724</v>
      </c>
      <c r="B41" s="279">
        <v>0</v>
      </c>
      <c r="C41" s="279">
        <v>394.73333333333329</v>
      </c>
      <c r="D41" s="279">
        <v>1362.1838349999998</v>
      </c>
      <c r="E41" s="279">
        <v>303.0333333333333</v>
      </c>
      <c r="F41" s="279">
        <v>2059.9505016666667</v>
      </c>
    </row>
    <row r="42" spans="1:6" x14ac:dyDescent="0.65">
      <c r="A42" s="288" t="s">
        <v>2725</v>
      </c>
      <c r="B42" s="279">
        <v>0</v>
      </c>
      <c r="C42" s="279">
        <v>12721.367481035555</v>
      </c>
      <c r="D42" s="279">
        <v>14694.092111533335</v>
      </c>
      <c r="E42" s="279">
        <v>15709.339495266668</v>
      </c>
      <c r="F42" s="279">
        <v>43124.799087835556</v>
      </c>
    </row>
    <row r="43" spans="1:6" x14ac:dyDescent="0.65">
      <c r="A43" s="288" t="s">
        <v>2726</v>
      </c>
      <c r="B43" s="279">
        <v>0</v>
      </c>
      <c r="C43" s="279">
        <v>1147.5072013125509</v>
      </c>
      <c r="D43" s="279">
        <v>2333.9555326690665</v>
      </c>
      <c r="E43" s="279">
        <v>1551.5781926690665</v>
      </c>
      <c r="F43" s="279">
        <v>5033.0409266506858</v>
      </c>
    </row>
    <row r="44" spans="1:6" x14ac:dyDescent="0.65">
      <c r="A44" s="288" t="s">
        <v>2727</v>
      </c>
      <c r="B44" s="279">
        <v>0</v>
      </c>
      <c r="C44" s="279">
        <v>380.48333333333335</v>
      </c>
      <c r="D44" s="279">
        <v>3198.8514901111112</v>
      </c>
      <c r="E44" s="279">
        <v>10110.140462777777</v>
      </c>
      <c r="F44" s="279">
        <v>13689.475286222221</v>
      </c>
    </row>
    <row r="45" spans="1:6" x14ac:dyDescent="0.65">
      <c r="A45" s="288" t="s">
        <v>2688</v>
      </c>
    </row>
    <row r="46" spans="1:6" x14ac:dyDescent="0.65">
      <c r="A46" s="288" t="s">
        <v>2680</v>
      </c>
      <c r="B46" s="279">
        <v>5534538.5764640681</v>
      </c>
      <c r="C46" s="279">
        <v>4168856.3329445063</v>
      </c>
      <c r="D46" s="279">
        <v>4894903.9582899408</v>
      </c>
      <c r="E46" s="279">
        <v>4197281.6552832397</v>
      </c>
      <c r="F46" s="279">
        <v>18786580.522981759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663"/>
  <sheetViews>
    <sheetView topLeftCell="B1" zoomScale="90" zoomScaleNormal="90" workbookViewId="0">
      <selection activeCell="F4" sqref="F4"/>
    </sheetView>
  </sheetViews>
  <sheetFormatPr baseColWidth="10" defaultColWidth="10.75" defaultRowHeight="14" x14ac:dyDescent="0.6"/>
  <cols>
    <col min="1" max="1" width="130.125" style="103" customWidth="1"/>
    <col min="2" max="2" width="18.875" style="103" bestFit="1" customWidth="1"/>
    <col min="3" max="3" width="17" style="103" customWidth="1"/>
    <col min="4" max="4" width="26.75" style="103" bestFit="1" customWidth="1"/>
    <col min="5" max="5" width="18.25" style="103" bestFit="1" customWidth="1"/>
    <col min="6" max="6" width="23.5" style="104" customWidth="1"/>
    <col min="7" max="16384" width="10.75" style="104"/>
  </cols>
  <sheetData>
    <row r="1" spans="1:6" ht="25" x14ac:dyDescent="1">
      <c r="A1" s="98" t="s">
        <v>3187</v>
      </c>
    </row>
    <row r="3" spans="1:6" x14ac:dyDescent="0.6">
      <c r="A3" s="101" t="s">
        <v>3186</v>
      </c>
      <c r="B3" s="273" t="s">
        <v>2677</v>
      </c>
      <c r="C3" s="273" t="s">
        <v>2678</v>
      </c>
      <c r="D3" s="104" t="s">
        <v>3491</v>
      </c>
      <c r="E3" s="104" t="s">
        <v>3492</v>
      </c>
      <c r="F3" s="104" t="s">
        <v>3494</v>
      </c>
    </row>
    <row r="4" spans="1:6" x14ac:dyDescent="0.6">
      <c r="A4" s="102" t="s">
        <v>32</v>
      </c>
      <c r="B4" s="273">
        <v>5504013.3564640684</v>
      </c>
      <c r="C4" s="273">
        <v>2918964.0240723197</v>
      </c>
      <c r="D4" s="273">
        <v>3357477.1625471995</v>
      </c>
      <c r="E4" s="273">
        <v>3111892.0975677338</v>
      </c>
      <c r="F4" s="273">
        <v>14883346.640651308</v>
      </c>
    </row>
    <row r="5" spans="1:6" x14ac:dyDescent="0.6">
      <c r="A5" s="106" t="s">
        <v>2692</v>
      </c>
      <c r="B5" s="273"/>
      <c r="C5" s="273"/>
      <c r="D5" s="273"/>
      <c r="E5" s="273"/>
      <c r="F5" s="273"/>
    </row>
    <row r="6" spans="1:6" x14ac:dyDescent="0.6">
      <c r="A6" s="106" t="s">
        <v>2728</v>
      </c>
      <c r="B6" s="273"/>
      <c r="C6" s="273"/>
      <c r="D6" s="273"/>
      <c r="E6" s="273"/>
      <c r="F6" s="273"/>
    </row>
    <row r="7" spans="1:6" x14ac:dyDescent="0.6">
      <c r="A7" s="106" t="s">
        <v>2729</v>
      </c>
      <c r="B7" s="273">
        <v>54.833333333333329</v>
      </c>
      <c r="C7" s="273">
        <v>834.87333333333322</v>
      </c>
      <c r="D7" s="273">
        <v>535.17333333333329</v>
      </c>
      <c r="E7" s="273">
        <v>0</v>
      </c>
      <c r="F7" s="273">
        <v>1424.8799999999999</v>
      </c>
    </row>
    <row r="8" spans="1:6" x14ac:dyDescent="0.6">
      <c r="A8" s="106" t="s">
        <v>2730</v>
      </c>
      <c r="B8" s="273">
        <v>268.95999999999998</v>
      </c>
      <c r="C8" s="273">
        <v>1809.76</v>
      </c>
      <c r="D8" s="273">
        <v>1163.7666666666667</v>
      </c>
      <c r="E8" s="273">
        <v>1163.7666666666667</v>
      </c>
      <c r="F8" s="273">
        <v>4406.2533333333331</v>
      </c>
    </row>
    <row r="9" spans="1:6" x14ac:dyDescent="0.6">
      <c r="A9" s="106" t="s">
        <v>2731</v>
      </c>
      <c r="B9" s="273">
        <v>20.149999999999999</v>
      </c>
      <c r="C9" s="273">
        <v>21.5</v>
      </c>
      <c r="D9" s="273">
        <v>25.5</v>
      </c>
      <c r="E9" s="273">
        <v>52.5</v>
      </c>
      <c r="F9" s="273">
        <v>119.65</v>
      </c>
    </row>
    <row r="10" spans="1:6" x14ac:dyDescent="0.6">
      <c r="A10" s="106" t="s">
        <v>2732</v>
      </c>
      <c r="B10" s="273">
        <v>3282545.6110872994</v>
      </c>
      <c r="C10" s="273">
        <v>214942.30353348947</v>
      </c>
      <c r="D10" s="273">
        <v>144020.04924402811</v>
      </c>
      <c r="E10" s="273">
        <v>3360.1312112412179</v>
      </c>
      <c r="F10" s="273">
        <v>3644868.0950760581</v>
      </c>
    </row>
    <row r="11" spans="1:6" x14ac:dyDescent="0.6">
      <c r="A11" s="106" t="s">
        <v>2733</v>
      </c>
      <c r="B11" s="273">
        <v>15</v>
      </c>
      <c r="C11" s="273">
        <v>260.33333333333326</v>
      </c>
      <c r="D11" s="273">
        <v>1868</v>
      </c>
      <c r="E11" s="273">
        <v>4990.666666666667</v>
      </c>
      <c r="F11" s="273">
        <v>7134</v>
      </c>
    </row>
    <row r="12" spans="1:6" x14ac:dyDescent="0.6">
      <c r="A12" s="106" t="s">
        <v>2734</v>
      </c>
      <c r="B12" s="273">
        <v>0</v>
      </c>
      <c r="C12" s="273">
        <v>1449.0677777777778</v>
      </c>
      <c r="D12" s="273">
        <v>1744</v>
      </c>
      <c r="E12" s="273">
        <v>2067</v>
      </c>
      <c r="F12" s="273">
        <v>5260.0677777777782</v>
      </c>
    </row>
    <row r="13" spans="1:6" x14ac:dyDescent="0.6">
      <c r="A13" s="106" t="s">
        <v>2735</v>
      </c>
      <c r="B13" s="273"/>
      <c r="C13" s="273"/>
      <c r="D13" s="273"/>
      <c r="E13" s="273"/>
      <c r="F13" s="273"/>
    </row>
    <row r="14" spans="1:6" x14ac:dyDescent="0.6">
      <c r="A14" s="106" t="s">
        <v>2736</v>
      </c>
      <c r="B14" s="273">
        <v>3981.9045450000003</v>
      </c>
      <c r="C14" s="273">
        <v>4292.3082861111116</v>
      </c>
      <c r="D14" s="273">
        <v>9265.2702222222233</v>
      </c>
      <c r="E14" s="273">
        <v>14278.005333333334</v>
      </c>
      <c r="F14" s="273">
        <v>31817.488386666668</v>
      </c>
    </row>
    <row r="15" spans="1:6" x14ac:dyDescent="0.6">
      <c r="A15" s="106" t="s">
        <v>2737</v>
      </c>
      <c r="B15" s="273">
        <v>439940.10737777769</v>
      </c>
      <c r="C15" s="273">
        <v>37764.62222222222</v>
      </c>
      <c r="D15" s="273">
        <v>56386.991111111121</v>
      </c>
      <c r="E15" s="273">
        <v>57946.64444444445</v>
      </c>
      <c r="F15" s="273">
        <v>592038.36515555554</v>
      </c>
    </row>
    <row r="16" spans="1:6" x14ac:dyDescent="0.6">
      <c r="A16" s="106" t="s">
        <v>2738</v>
      </c>
      <c r="B16" s="273">
        <v>11336.051809999999</v>
      </c>
      <c r="C16" s="273">
        <v>2568.3090732000001</v>
      </c>
      <c r="D16" s="273">
        <v>1937.2996527</v>
      </c>
      <c r="E16" s="273">
        <v>2120.3285725000001</v>
      </c>
      <c r="F16" s="273">
        <v>17961.989108400005</v>
      </c>
    </row>
    <row r="17" spans="1:6" x14ac:dyDescent="0.6">
      <c r="A17" s="106" t="s">
        <v>2739</v>
      </c>
      <c r="B17" s="273"/>
      <c r="C17" s="273"/>
      <c r="D17" s="273"/>
      <c r="E17" s="273"/>
      <c r="F17" s="273"/>
    </row>
    <row r="18" spans="1:6" x14ac:dyDescent="0.6">
      <c r="A18" s="106" t="s">
        <v>2740</v>
      </c>
      <c r="B18" s="273">
        <v>30068.805951497929</v>
      </c>
      <c r="C18" s="273">
        <v>32380.606474494409</v>
      </c>
      <c r="D18" s="273">
        <v>47814.311706241053</v>
      </c>
      <c r="E18" s="273">
        <v>64785.10314568779</v>
      </c>
      <c r="F18" s="273">
        <v>175048.82727792117</v>
      </c>
    </row>
    <row r="19" spans="1:6" x14ac:dyDescent="0.6">
      <c r="A19" s="106" t="s">
        <v>2741</v>
      </c>
      <c r="B19" s="273">
        <v>0</v>
      </c>
      <c r="C19" s="273">
        <v>2086.8546775247523</v>
      </c>
      <c r="D19" s="273">
        <v>2846.3321322754828</v>
      </c>
      <c r="E19" s="273">
        <v>3952.4896433967606</v>
      </c>
      <c r="F19" s="273">
        <v>8885.6764531969966</v>
      </c>
    </row>
    <row r="20" spans="1:6" x14ac:dyDescent="0.6">
      <c r="A20" s="106" t="s">
        <v>2742</v>
      </c>
      <c r="B20" s="273">
        <v>0</v>
      </c>
      <c r="C20" s="273">
        <v>22.95</v>
      </c>
      <c r="D20" s="273">
        <v>0</v>
      </c>
      <c r="E20" s="273">
        <v>0</v>
      </c>
      <c r="F20" s="273">
        <v>22.95</v>
      </c>
    </row>
    <row r="21" spans="1:6" x14ac:dyDescent="0.6">
      <c r="A21" s="106" t="s">
        <v>2693</v>
      </c>
      <c r="B21" s="273"/>
      <c r="C21" s="273"/>
      <c r="D21" s="273"/>
      <c r="E21" s="273"/>
      <c r="F21" s="273"/>
    </row>
    <row r="22" spans="1:6" x14ac:dyDescent="0.6">
      <c r="A22" s="106" t="s">
        <v>2743</v>
      </c>
      <c r="B22" s="273"/>
      <c r="C22" s="273"/>
      <c r="D22" s="273"/>
      <c r="E22" s="273"/>
      <c r="F22" s="273"/>
    </row>
    <row r="23" spans="1:6" x14ac:dyDescent="0.6">
      <c r="A23" s="106" t="s">
        <v>2744</v>
      </c>
      <c r="B23" s="273">
        <v>0</v>
      </c>
      <c r="C23" s="273">
        <v>0</v>
      </c>
      <c r="D23" s="273">
        <v>262.5</v>
      </c>
      <c r="E23" s="273">
        <v>0</v>
      </c>
      <c r="F23" s="273">
        <v>262.5</v>
      </c>
    </row>
    <row r="24" spans="1:6" x14ac:dyDescent="0.6">
      <c r="A24" s="106" t="s">
        <v>2745</v>
      </c>
      <c r="B24" s="273">
        <v>166.66719999999995</v>
      </c>
      <c r="C24" s="273">
        <v>621.7777777777776</v>
      </c>
      <c r="D24" s="273">
        <v>758.57777777777778</v>
      </c>
      <c r="E24" s="273">
        <v>758.57777777777778</v>
      </c>
      <c r="F24" s="273">
        <v>2305.6005333333328</v>
      </c>
    </row>
    <row r="25" spans="1:6" x14ac:dyDescent="0.6">
      <c r="A25" s="106" t="s">
        <v>2746</v>
      </c>
      <c r="B25" s="273">
        <v>0</v>
      </c>
      <c r="C25" s="273">
        <v>50332.989191619752</v>
      </c>
      <c r="D25" s="273">
        <v>57372.078567212666</v>
      </c>
      <c r="E25" s="273">
        <v>64815.666467381612</v>
      </c>
      <c r="F25" s="273">
        <v>172520.73422621406</v>
      </c>
    </row>
    <row r="26" spans="1:6" x14ac:dyDescent="0.6">
      <c r="A26" s="106" t="s">
        <v>2747</v>
      </c>
      <c r="B26" s="273">
        <v>0</v>
      </c>
      <c r="C26" s="273">
        <v>2307.270266666666</v>
      </c>
      <c r="D26" s="273">
        <v>289.8888888888888</v>
      </c>
      <c r="E26" s="273">
        <v>1176.8444444444444</v>
      </c>
      <c r="F26" s="273">
        <v>3774.0035999999986</v>
      </c>
    </row>
    <row r="27" spans="1:6" x14ac:dyDescent="0.6">
      <c r="A27" s="106" t="s">
        <v>2748</v>
      </c>
      <c r="B27" s="273"/>
      <c r="C27" s="273"/>
      <c r="D27" s="273"/>
      <c r="E27" s="273"/>
      <c r="F27" s="273"/>
    </row>
    <row r="28" spans="1:6" x14ac:dyDescent="0.6">
      <c r="A28" s="106" t="s">
        <v>2749</v>
      </c>
      <c r="B28" s="273">
        <v>0</v>
      </c>
      <c r="C28" s="273">
        <v>6207.16</v>
      </c>
      <c r="D28" s="273">
        <v>6207.16</v>
      </c>
      <c r="E28" s="273">
        <v>6207.16</v>
      </c>
      <c r="F28" s="273">
        <v>18621.48</v>
      </c>
    </row>
    <row r="29" spans="1:6" x14ac:dyDescent="0.6">
      <c r="A29" s="106" t="s">
        <v>2750</v>
      </c>
      <c r="B29" s="273">
        <v>0</v>
      </c>
      <c r="C29" s="273">
        <v>103929.77253333334</v>
      </c>
      <c r="D29" s="273">
        <v>288414.95997333335</v>
      </c>
      <c r="E29" s="273">
        <v>167468.61645333329</v>
      </c>
      <c r="F29" s="273">
        <v>559813.34895999997</v>
      </c>
    </row>
    <row r="30" spans="1:6" x14ac:dyDescent="0.6">
      <c r="A30" s="106" t="s">
        <v>2751</v>
      </c>
      <c r="B30" s="273"/>
      <c r="C30" s="273"/>
      <c r="D30" s="273"/>
      <c r="E30" s="273"/>
      <c r="F30" s="273"/>
    </row>
    <row r="31" spans="1:6" x14ac:dyDescent="0.6">
      <c r="A31" s="106" t="s">
        <v>2752</v>
      </c>
      <c r="B31" s="273">
        <v>0</v>
      </c>
      <c r="C31" s="273">
        <v>63849.115264899119</v>
      </c>
      <c r="D31" s="273">
        <v>64978.670859526646</v>
      </c>
      <c r="E31" s="273">
        <v>64326.038738186297</v>
      </c>
      <c r="F31" s="273">
        <v>193153.82486261209</v>
      </c>
    </row>
    <row r="32" spans="1:6" x14ac:dyDescent="0.6">
      <c r="A32" s="106" t="s">
        <v>2753</v>
      </c>
      <c r="B32" s="273"/>
      <c r="C32" s="273"/>
      <c r="D32" s="273"/>
      <c r="E32" s="273"/>
      <c r="F32" s="273"/>
    </row>
    <row r="33" spans="1:6" x14ac:dyDescent="0.6">
      <c r="A33" s="106" t="s">
        <v>2754</v>
      </c>
      <c r="B33" s="273">
        <v>0</v>
      </c>
      <c r="C33" s="273">
        <v>793405.27733857802</v>
      </c>
      <c r="D33" s="273">
        <v>875828.14795781672</v>
      </c>
      <c r="E33" s="273">
        <v>963504.43050785351</v>
      </c>
      <c r="F33" s="273">
        <v>2632737.8558042482</v>
      </c>
    </row>
    <row r="34" spans="1:6" x14ac:dyDescent="0.6">
      <c r="A34" s="106" t="s">
        <v>2755</v>
      </c>
      <c r="B34" s="273">
        <v>425410</v>
      </c>
      <c r="C34" s="273">
        <v>122870.04000000001</v>
      </c>
      <c r="D34" s="273">
        <v>82551.41777777778</v>
      </c>
      <c r="E34" s="273">
        <v>464.72888888888878</v>
      </c>
      <c r="F34" s="273">
        <v>631296.18666666665</v>
      </c>
    </row>
    <row r="35" spans="1:6" x14ac:dyDescent="0.6">
      <c r="A35" s="106" t="s">
        <v>2756</v>
      </c>
      <c r="B35" s="273">
        <v>0</v>
      </c>
      <c r="C35" s="273">
        <v>12756.281054876341</v>
      </c>
      <c r="D35" s="273">
        <v>17091.432383426942</v>
      </c>
      <c r="E35" s="273">
        <v>18825.085239902703</v>
      </c>
      <c r="F35" s="273">
        <v>48672.798678205989</v>
      </c>
    </row>
    <row r="36" spans="1:6" x14ac:dyDescent="0.6">
      <c r="A36" s="106" t="s">
        <v>2757</v>
      </c>
      <c r="B36" s="273">
        <v>0</v>
      </c>
      <c r="C36" s="273">
        <v>13070.400560640001</v>
      </c>
      <c r="D36" s="273">
        <v>51539.900362799999</v>
      </c>
      <c r="E36" s="273">
        <v>27549.0936</v>
      </c>
      <c r="F36" s="273">
        <v>92159.394523440002</v>
      </c>
    </row>
    <row r="37" spans="1:6" x14ac:dyDescent="0.6">
      <c r="A37" s="106" t="s">
        <v>2758</v>
      </c>
      <c r="B37" s="273"/>
      <c r="C37" s="273"/>
      <c r="D37" s="273"/>
      <c r="E37" s="273"/>
      <c r="F37" s="273"/>
    </row>
    <row r="38" spans="1:6" x14ac:dyDescent="0.6">
      <c r="A38" s="106" t="s">
        <v>2759</v>
      </c>
      <c r="B38" s="273">
        <v>0</v>
      </c>
      <c r="C38" s="273">
        <v>539.375</v>
      </c>
      <c r="D38" s="273">
        <v>10263.222222222223</v>
      </c>
      <c r="E38" s="273">
        <v>9739.8444444444449</v>
      </c>
      <c r="F38" s="273">
        <v>20542.441666666666</v>
      </c>
    </row>
    <row r="39" spans="1:6" x14ac:dyDescent="0.6">
      <c r="A39" s="106" t="s">
        <v>2760</v>
      </c>
      <c r="B39" s="273">
        <v>0</v>
      </c>
      <c r="C39" s="273">
        <v>1880.2117644444445</v>
      </c>
      <c r="D39" s="273">
        <v>20632.241542222218</v>
      </c>
      <c r="E39" s="273">
        <v>3079.9911111111105</v>
      </c>
      <c r="F39" s="273">
        <v>25592.444417777773</v>
      </c>
    </row>
    <row r="40" spans="1:6" x14ac:dyDescent="0.6">
      <c r="A40" s="106" t="s">
        <v>2694</v>
      </c>
      <c r="B40" s="273"/>
      <c r="C40" s="273"/>
      <c r="D40" s="273"/>
      <c r="E40" s="273"/>
      <c r="F40" s="273"/>
    </row>
    <row r="41" spans="1:6" x14ac:dyDescent="0.6">
      <c r="A41" s="106" t="s">
        <v>2761</v>
      </c>
      <c r="B41" s="273">
        <v>0</v>
      </c>
      <c r="C41" s="273">
        <v>1046.7555555555552</v>
      </c>
      <c r="D41" s="273">
        <v>3750.5055555555555</v>
      </c>
      <c r="E41" s="273">
        <v>919.37777777777762</v>
      </c>
      <c r="F41" s="273">
        <v>5716.6388888888887</v>
      </c>
    </row>
    <row r="42" spans="1:6" x14ac:dyDescent="0.6">
      <c r="A42" s="106" t="s">
        <v>2762</v>
      </c>
      <c r="B42" s="273">
        <v>2607.36</v>
      </c>
      <c r="C42" s="273">
        <v>2607.36</v>
      </c>
      <c r="D42" s="273">
        <v>2874.8400000000006</v>
      </c>
      <c r="E42" s="273">
        <v>3106.2000000000003</v>
      </c>
      <c r="F42" s="273">
        <v>11195.760000000002</v>
      </c>
    </row>
    <row r="43" spans="1:6" x14ac:dyDescent="0.6">
      <c r="A43" s="106" t="s">
        <v>2763</v>
      </c>
      <c r="B43" s="273">
        <v>194.60764444444442</v>
      </c>
      <c r="C43" s="273">
        <v>194.60764444444442</v>
      </c>
      <c r="D43" s="273">
        <v>130.167</v>
      </c>
      <c r="E43" s="273">
        <v>199.77040000000005</v>
      </c>
      <c r="F43" s="273">
        <v>719.15268888888897</v>
      </c>
    </row>
    <row r="44" spans="1:6" x14ac:dyDescent="0.6">
      <c r="A44" s="106" t="s">
        <v>2764</v>
      </c>
      <c r="B44" s="273"/>
      <c r="C44" s="273"/>
      <c r="D44" s="273"/>
      <c r="E44" s="273"/>
      <c r="F44" s="273"/>
    </row>
    <row r="45" spans="1:6" x14ac:dyDescent="0.6">
      <c r="A45" s="106" t="s">
        <v>2765</v>
      </c>
      <c r="B45" s="273"/>
      <c r="C45" s="273"/>
      <c r="D45" s="273"/>
      <c r="E45" s="273"/>
      <c r="F45" s="273"/>
    </row>
    <row r="46" spans="1:6" x14ac:dyDescent="0.6">
      <c r="A46" s="106" t="s">
        <v>2766</v>
      </c>
      <c r="B46" s="273">
        <v>403.65816000000001</v>
      </c>
      <c r="C46" s="273">
        <v>837.51845355555554</v>
      </c>
      <c r="D46" s="273">
        <v>3087.5015488417548</v>
      </c>
      <c r="E46" s="273">
        <v>1735.2342491111112</v>
      </c>
      <c r="F46" s="273">
        <v>6063.9124115084223</v>
      </c>
    </row>
    <row r="47" spans="1:6" x14ac:dyDescent="0.6">
      <c r="A47" s="106" t="s">
        <v>2767</v>
      </c>
      <c r="B47" s="273">
        <v>0</v>
      </c>
      <c r="C47" s="273">
        <v>456.8</v>
      </c>
      <c r="D47" s="273">
        <v>3508.2</v>
      </c>
      <c r="E47" s="273">
        <v>1500</v>
      </c>
      <c r="F47" s="273">
        <v>5465</v>
      </c>
    </row>
    <row r="48" spans="1:6" x14ac:dyDescent="0.6">
      <c r="A48" s="106" t="s">
        <v>2768</v>
      </c>
      <c r="B48" s="273">
        <v>0</v>
      </c>
      <c r="C48" s="273">
        <v>240.00000000000003</v>
      </c>
      <c r="D48" s="273">
        <v>3461.5004120000003</v>
      </c>
      <c r="E48" s="273">
        <v>3832.3940944000001</v>
      </c>
      <c r="F48" s="273">
        <v>7533.8945064</v>
      </c>
    </row>
    <row r="49" spans="1:6" x14ac:dyDescent="0.6">
      <c r="A49" s="106" t="s">
        <v>2769</v>
      </c>
      <c r="B49" s="273">
        <v>0</v>
      </c>
      <c r="C49" s="273">
        <v>33.34949543863636</v>
      </c>
      <c r="D49" s="273">
        <v>120.0609818181818</v>
      </c>
      <c r="E49" s="273">
        <v>135.40661452636363</v>
      </c>
      <c r="F49" s="273">
        <v>288.81709178318175</v>
      </c>
    </row>
    <row r="50" spans="1:6" x14ac:dyDescent="0.6">
      <c r="A50" s="106" t="s">
        <v>2770</v>
      </c>
      <c r="B50" s="273">
        <v>0</v>
      </c>
      <c r="C50" s="273">
        <v>735.5911111111111</v>
      </c>
      <c r="D50" s="273">
        <v>1416.4049122611111</v>
      </c>
      <c r="E50" s="273">
        <v>1471.6187122611109</v>
      </c>
      <c r="F50" s="273">
        <v>3623.6147356333327</v>
      </c>
    </row>
    <row r="51" spans="1:6" x14ac:dyDescent="0.6">
      <c r="A51" s="106" t="s">
        <v>2771</v>
      </c>
      <c r="B51" s="273"/>
      <c r="C51" s="273"/>
      <c r="D51" s="273"/>
      <c r="E51" s="273"/>
      <c r="F51" s="273"/>
    </row>
    <row r="52" spans="1:6" x14ac:dyDescent="0.6">
      <c r="A52" s="106" t="s">
        <v>2695</v>
      </c>
      <c r="B52" s="273"/>
      <c r="C52" s="273"/>
      <c r="D52" s="273"/>
      <c r="E52" s="273"/>
      <c r="F52" s="273"/>
    </row>
    <row r="53" spans="1:6" x14ac:dyDescent="0.6">
      <c r="A53" s="106" t="s">
        <v>2772</v>
      </c>
      <c r="B53" s="273"/>
      <c r="C53" s="273"/>
      <c r="D53" s="273"/>
      <c r="E53" s="273"/>
      <c r="F53" s="273"/>
    </row>
    <row r="54" spans="1:6" x14ac:dyDescent="0.6">
      <c r="A54" s="106" t="s">
        <v>2773</v>
      </c>
      <c r="B54" s="273">
        <v>0</v>
      </c>
      <c r="C54" s="273">
        <v>135.35999999999999</v>
      </c>
      <c r="D54" s="273">
        <v>0</v>
      </c>
      <c r="E54" s="273">
        <v>0</v>
      </c>
      <c r="F54" s="273">
        <v>135.35999999999999</v>
      </c>
    </row>
    <row r="55" spans="1:6" x14ac:dyDescent="0.6">
      <c r="A55" s="106" t="s">
        <v>2774</v>
      </c>
      <c r="B55" s="273"/>
      <c r="C55" s="273"/>
      <c r="D55" s="273"/>
      <c r="E55" s="273"/>
      <c r="F55" s="273"/>
    </row>
    <row r="56" spans="1:6" x14ac:dyDescent="0.6">
      <c r="A56" s="106" t="s">
        <v>2775</v>
      </c>
      <c r="B56" s="273">
        <v>0</v>
      </c>
      <c r="C56" s="273">
        <v>72291.9904888889</v>
      </c>
      <c r="D56" s="273">
        <v>184739.86066666665</v>
      </c>
      <c r="E56" s="273">
        <v>112575.44351111109</v>
      </c>
      <c r="F56" s="273">
        <v>369607.29466666665</v>
      </c>
    </row>
    <row r="57" spans="1:6" x14ac:dyDescent="0.6">
      <c r="A57" s="106" t="s">
        <v>2776</v>
      </c>
      <c r="B57" s="273"/>
      <c r="C57" s="273"/>
      <c r="D57" s="273"/>
      <c r="E57" s="273"/>
      <c r="F57" s="273"/>
    </row>
    <row r="58" spans="1:6" x14ac:dyDescent="0.6">
      <c r="A58" s="106" t="s">
        <v>2777</v>
      </c>
      <c r="B58" s="273">
        <v>0</v>
      </c>
      <c r="C58" s="273">
        <v>224023.18401918164</v>
      </c>
      <c r="D58" s="273">
        <v>252997.49710128584</v>
      </c>
      <c r="E58" s="273">
        <v>284600.01657424099</v>
      </c>
      <c r="F58" s="273">
        <v>761620.69769470848</v>
      </c>
    </row>
    <row r="59" spans="1:6" x14ac:dyDescent="0.6">
      <c r="A59" s="106" t="s">
        <v>2778</v>
      </c>
      <c r="B59" s="273">
        <v>0</v>
      </c>
      <c r="C59" s="273">
        <v>261.68888888888881</v>
      </c>
      <c r="D59" s="273">
        <v>0</v>
      </c>
      <c r="E59" s="273">
        <v>0</v>
      </c>
      <c r="F59" s="273">
        <v>261.68888888888881</v>
      </c>
    </row>
    <row r="60" spans="1:6" x14ac:dyDescent="0.6">
      <c r="A60" s="106" t="s">
        <v>2779</v>
      </c>
      <c r="B60" s="273">
        <v>0</v>
      </c>
      <c r="C60" s="273">
        <v>28.049999999999997</v>
      </c>
      <c r="D60" s="273">
        <v>131.04000000000002</v>
      </c>
      <c r="E60" s="273">
        <v>0</v>
      </c>
      <c r="F60" s="273">
        <v>159.09000000000003</v>
      </c>
    </row>
    <row r="61" spans="1:6" x14ac:dyDescent="0.6">
      <c r="A61" s="106" t="s">
        <v>2780</v>
      </c>
      <c r="B61" s="273"/>
      <c r="C61" s="273"/>
      <c r="D61" s="273">
        <v>0</v>
      </c>
      <c r="E61" s="273"/>
      <c r="F61" s="273"/>
    </row>
    <row r="62" spans="1:6" x14ac:dyDescent="0.6">
      <c r="A62" s="106" t="s">
        <v>2781</v>
      </c>
      <c r="B62" s="273"/>
      <c r="C62" s="273"/>
      <c r="D62" s="273"/>
      <c r="E62" s="273"/>
      <c r="F62" s="273"/>
    </row>
    <row r="63" spans="1:6" x14ac:dyDescent="0.6">
      <c r="A63" s="106" t="s">
        <v>2782</v>
      </c>
      <c r="B63" s="273"/>
      <c r="C63" s="273"/>
      <c r="D63" s="273"/>
      <c r="E63" s="273"/>
      <c r="F63" s="273"/>
    </row>
    <row r="64" spans="1:6" x14ac:dyDescent="0.6">
      <c r="A64" s="106" t="s">
        <v>2783</v>
      </c>
      <c r="B64" s="273">
        <v>0</v>
      </c>
      <c r="C64" s="273">
        <v>1945.5567999999998</v>
      </c>
      <c r="D64" s="273">
        <v>5844.9304000000002</v>
      </c>
      <c r="E64" s="273">
        <v>3891.8735999999999</v>
      </c>
      <c r="F64" s="273">
        <v>11682.360799999999</v>
      </c>
    </row>
    <row r="65" spans="1:6" x14ac:dyDescent="0.6">
      <c r="A65" s="106" t="s">
        <v>2696</v>
      </c>
      <c r="B65" s="273"/>
      <c r="C65" s="273"/>
      <c r="D65" s="273"/>
      <c r="E65" s="273"/>
      <c r="F65" s="273"/>
    </row>
    <row r="66" spans="1:6" x14ac:dyDescent="0.6">
      <c r="A66" s="106" t="s">
        <v>2784</v>
      </c>
      <c r="B66" s="273">
        <v>100</v>
      </c>
      <c r="C66" s="273">
        <v>4118.6049999999996</v>
      </c>
      <c r="D66" s="273">
        <v>9061.2749999999996</v>
      </c>
      <c r="E66" s="273">
        <v>4750.4699999999993</v>
      </c>
      <c r="F66" s="273">
        <v>18030.349999999999</v>
      </c>
    </row>
    <row r="67" spans="1:6" x14ac:dyDescent="0.6">
      <c r="A67" s="106" t="s">
        <v>2785</v>
      </c>
      <c r="B67" s="273"/>
      <c r="C67" s="273"/>
      <c r="D67" s="273"/>
      <c r="E67" s="273"/>
      <c r="F67" s="273"/>
    </row>
    <row r="68" spans="1:6" x14ac:dyDescent="0.6">
      <c r="A68" s="106" t="s">
        <v>2786</v>
      </c>
      <c r="B68" s="273">
        <v>0</v>
      </c>
      <c r="C68" s="273">
        <v>12.75</v>
      </c>
      <c r="D68" s="273">
        <v>15.3</v>
      </c>
      <c r="E68" s="273">
        <v>0</v>
      </c>
      <c r="F68" s="273">
        <v>28.05</v>
      </c>
    </row>
    <row r="69" spans="1:6" x14ac:dyDescent="0.6">
      <c r="A69" s="106" t="s">
        <v>2787</v>
      </c>
      <c r="B69" s="273">
        <v>54835.482974715633</v>
      </c>
      <c r="C69" s="273">
        <v>625.3116297471563</v>
      </c>
      <c r="D69" s="273">
        <v>548.04149641382298</v>
      </c>
      <c r="E69" s="273">
        <v>625.3116297471563</v>
      </c>
      <c r="F69" s="273">
        <v>56634.147730623765</v>
      </c>
    </row>
    <row r="70" spans="1:6" x14ac:dyDescent="0.6">
      <c r="A70" s="106" t="s">
        <v>2788</v>
      </c>
      <c r="B70" s="273">
        <v>30</v>
      </c>
      <c r="C70" s="273">
        <v>30</v>
      </c>
      <c r="D70" s="273">
        <v>30</v>
      </c>
      <c r="E70" s="273">
        <v>30</v>
      </c>
      <c r="F70" s="273">
        <v>120</v>
      </c>
    </row>
    <row r="71" spans="1:6" x14ac:dyDescent="0.6">
      <c r="A71" s="106" t="s">
        <v>2789</v>
      </c>
      <c r="B71" s="273">
        <v>266.40800000000002</v>
      </c>
      <c r="C71" s="273">
        <v>1381.88715</v>
      </c>
      <c r="D71" s="273">
        <v>1006.5125</v>
      </c>
      <c r="E71" s="273">
        <v>1175</v>
      </c>
      <c r="F71" s="273">
        <v>3829.8076499999997</v>
      </c>
    </row>
    <row r="72" spans="1:6" x14ac:dyDescent="0.6">
      <c r="A72" s="106" t="s">
        <v>2790</v>
      </c>
      <c r="B72" s="273">
        <v>0</v>
      </c>
      <c r="C72" s="273">
        <v>201.65076752000002</v>
      </c>
      <c r="D72" s="273">
        <v>353.22436751999999</v>
      </c>
      <c r="E72" s="273">
        <v>99.747167519999991</v>
      </c>
      <c r="F72" s="273">
        <v>654.62230256000009</v>
      </c>
    </row>
    <row r="73" spans="1:6" x14ac:dyDescent="0.6">
      <c r="A73" s="106" t="s">
        <v>2791</v>
      </c>
      <c r="B73" s="273">
        <v>1210.29548</v>
      </c>
      <c r="C73" s="273">
        <v>17645.52</v>
      </c>
      <c r="D73" s="273">
        <v>17372.550000000003</v>
      </c>
      <c r="E73" s="273">
        <v>173923.94</v>
      </c>
      <c r="F73" s="273">
        <v>210152.30547999998</v>
      </c>
    </row>
    <row r="74" spans="1:6" x14ac:dyDescent="0.6">
      <c r="A74" s="106" t="s">
        <v>2697</v>
      </c>
      <c r="B74" s="273"/>
      <c r="C74" s="273"/>
      <c r="D74" s="273"/>
      <c r="E74" s="273"/>
      <c r="F74" s="273"/>
    </row>
    <row r="75" spans="1:6" x14ac:dyDescent="0.6">
      <c r="A75" s="106" t="s">
        <v>2792</v>
      </c>
      <c r="B75" s="273"/>
      <c r="C75" s="273"/>
      <c r="D75" s="273"/>
      <c r="E75" s="273"/>
      <c r="F75" s="273"/>
    </row>
    <row r="76" spans="1:6" x14ac:dyDescent="0.6">
      <c r="A76" s="106" t="s">
        <v>2793</v>
      </c>
      <c r="B76" s="273">
        <v>0</v>
      </c>
      <c r="C76" s="273">
        <v>0</v>
      </c>
      <c r="D76" s="273">
        <v>8000</v>
      </c>
      <c r="E76" s="273">
        <v>8000</v>
      </c>
      <c r="F76" s="273">
        <v>16000</v>
      </c>
    </row>
    <row r="77" spans="1:6" x14ac:dyDescent="0.6">
      <c r="A77" s="106" t="s">
        <v>2794</v>
      </c>
      <c r="B77" s="273"/>
      <c r="C77" s="273"/>
      <c r="D77" s="273"/>
      <c r="E77" s="273"/>
      <c r="F77" s="273"/>
    </row>
    <row r="78" spans="1:6" x14ac:dyDescent="0.6">
      <c r="A78" s="106" t="s">
        <v>2795</v>
      </c>
      <c r="B78" s="273">
        <v>0</v>
      </c>
      <c r="C78" s="273">
        <v>82924.484999999986</v>
      </c>
      <c r="D78" s="273">
        <v>138207.47499999998</v>
      </c>
      <c r="E78" s="273">
        <v>55282.990000000005</v>
      </c>
      <c r="F78" s="273">
        <v>276414.94999999995</v>
      </c>
    </row>
    <row r="79" spans="1:6" x14ac:dyDescent="0.6">
      <c r="A79" s="106" t="s">
        <v>2796</v>
      </c>
      <c r="B79" s="273">
        <v>0</v>
      </c>
      <c r="C79" s="273">
        <v>1178.4450000000002</v>
      </c>
      <c r="D79" s="273">
        <v>1964.075</v>
      </c>
      <c r="E79" s="273">
        <v>785.62999999999988</v>
      </c>
      <c r="F79" s="273">
        <v>3928.15</v>
      </c>
    </row>
    <row r="80" spans="1:6" x14ac:dyDescent="0.6">
      <c r="A80" s="106" t="s">
        <v>2797</v>
      </c>
      <c r="B80" s="273"/>
      <c r="C80" s="273"/>
      <c r="D80" s="273"/>
      <c r="E80" s="273"/>
      <c r="F80" s="273"/>
    </row>
    <row r="81" spans="1:6" x14ac:dyDescent="0.6">
      <c r="A81" s="106" t="s">
        <v>2798</v>
      </c>
      <c r="B81" s="273">
        <v>0</v>
      </c>
      <c r="C81" s="273">
        <v>110005.24831606472</v>
      </c>
      <c r="D81" s="273">
        <v>124266.97676638735</v>
      </c>
      <c r="E81" s="273">
        <v>140274.45035562295</v>
      </c>
      <c r="F81" s="273">
        <v>374546.67543807504</v>
      </c>
    </row>
    <row r="82" spans="1:6" x14ac:dyDescent="0.6">
      <c r="A82" s="106" t="s">
        <v>2799</v>
      </c>
      <c r="B82" s="273">
        <v>0</v>
      </c>
      <c r="C82" s="273">
        <v>261.68888888888881</v>
      </c>
      <c r="D82" s="273">
        <v>0</v>
      </c>
      <c r="E82" s="273">
        <v>0</v>
      </c>
      <c r="F82" s="273">
        <v>261.68888888888881</v>
      </c>
    </row>
    <row r="83" spans="1:6" x14ac:dyDescent="0.6">
      <c r="A83" s="106" t="s">
        <v>2800</v>
      </c>
      <c r="B83" s="273">
        <v>0</v>
      </c>
      <c r="C83" s="273">
        <v>35.700000000000003</v>
      </c>
      <c r="D83" s="273">
        <v>196.56</v>
      </c>
      <c r="E83" s="273">
        <v>0</v>
      </c>
      <c r="F83" s="273">
        <v>232.26</v>
      </c>
    </row>
    <row r="84" spans="1:6" x14ac:dyDescent="0.6">
      <c r="A84" s="106" t="s">
        <v>2698</v>
      </c>
      <c r="B84" s="273"/>
      <c r="C84" s="273"/>
      <c r="D84" s="273"/>
      <c r="E84" s="273"/>
      <c r="F84" s="273"/>
    </row>
    <row r="85" spans="1:6" x14ac:dyDescent="0.6">
      <c r="A85" s="106" t="s">
        <v>2801</v>
      </c>
      <c r="B85" s="273"/>
      <c r="C85" s="273"/>
      <c r="D85" s="273"/>
      <c r="E85" s="273"/>
      <c r="F85" s="273"/>
    </row>
    <row r="86" spans="1:6" x14ac:dyDescent="0.6">
      <c r="A86" s="106" t="s">
        <v>2802</v>
      </c>
      <c r="B86" s="273">
        <v>0</v>
      </c>
      <c r="C86" s="273">
        <v>49755.942799999997</v>
      </c>
      <c r="D86" s="273">
        <v>72100.277999999991</v>
      </c>
      <c r="E86" s="273">
        <v>38583.775200000004</v>
      </c>
      <c r="F86" s="273">
        <v>160439.99599999998</v>
      </c>
    </row>
    <row r="87" spans="1:6" x14ac:dyDescent="0.6">
      <c r="A87" s="106" t="s">
        <v>2803</v>
      </c>
      <c r="B87" s="273">
        <v>0</v>
      </c>
      <c r="C87" s="273">
        <v>48896.049999999945</v>
      </c>
      <c r="D87" s="273">
        <v>65834.749999999898</v>
      </c>
      <c r="E87" s="273">
        <v>40426.699999999961</v>
      </c>
      <c r="F87" s="273">
        <v>155157.49999999983</v>
      </c>
    </row>
    <row r="88" spans="1:6" x14ac:dyDescent="0.6">
      <c r="A88" s="106" t="s">
        <v>2804</v>
      </c>
      <c r="B88" s="273">
        <v>0</v>
      </c>
      <c r="C88" s="273">
        <v>3668.1000000000004</v>
      </c>
      <c r="D88" s="273">
        <v>1999.5</v>
      </c>
      <c r="E88" s="273">
        <v>1999.5</v>
      </c>
      <c r="F88" s="273">
        <v>7667.1</v>
      </c>
    </row>
    <row r="89" spans="1:6" x14ac:dyDescent="0.6">
      <c r="A89" s="106" t="s">
        <v>2805</v>
      </c>
      <c r="B89" s="273"/>
      <c r="C89" s="273"/>
      <c r="D89" s="273"/>
      <c r="E89" s="273"/>
      <c r="F89" s="273"/>
    </row>
    <row r="90" spans="1:6" x14ac:dyDescent="0.6">
      <c r="A90" s="106" t="s">
        <v>2806</v>
      </c>
      <c r="B90" s="273">
        <v>0</v>
      </c>
      <c r="C90" s="273">
        <v>5772.1093333333329</v>
      </c>
      <c r="D90" s="273">
        <v>12618.701555555555</v>
      </c>
      <c r="E90" s="273">
        <v>12636.654444444444</v>
      </c>
      <c r="F90" s="273">
        <v>31027.46533333333</v>
      </c>
    </row>
    <row r="91" spans="1:6" x14ac:dyDescent="0.6">
      <c r="A91" s="106" t="s">
        <v>2807</v>
      </c>
      <c r="B91" s="273">
        <v>26898.512000000002</v>
      </c>
      <c r="C91" s="273">
        <v>87669.343148735818</v>
      </c>
      <c r="D91" s="273">
        <v>92204.674314161457</v>
      </c>
      <c r="E91" s="273">
        <v>95555.887721624647</v>
      </c>
      <c r="F91" s="273">
        <v>302328.41718452197</v>
      </c>
    </row>
    <row r="92" spans="1:6" x14ac:dyDescent="0.6">
      <c r="A92" s="106" t="s">
        <v>2808</v>
      </c>
      <c r="B92" s="273">
        <v>0</v>
      </c>
      <c r="C92" s="273">
        <v>10000</v>
      </c>
      <c r="D92" s="273">
        <v>12000</v>
      </c>
      <c r="E92" s="273">
        <v>12000</v>
      </c>
      <c r="F92" s="273">
        <v>34000</v>
      </c>
    </row>
    <row r="93" spans="1:6" x14ac:dyDescent="0.6">
      <c r="A93" s="106" t="s">
        <v>2685</v>
      </c>
      <c r="B93" s="273"/>
      <c r="C93" s="273"/>
      <c r="D93" s="273"/>
      <c r="E93" s="273"/>
      <c r="F93" s="273"/>
    </row>
    <row r="94" spans="1:6" x14ac:dyDescent="0.6">
      <c r="A94" s="106" t="s">
        <v>2699</v>
      </c>
      <c r="B94" s="273"/>
      <c r="C94" s="273"/>
      <c r="D94" s="273"/>
      <c r="E94" s="273"/>
      <c r="F94" s="273"/>
    </row>
    <row r="95" spans="1:6" x14ac:dyDescent="0.6">
      <c r="A95" s="106" t="s">
        <v>2809</v>
      </c>
      <c r="B95" s="273"/>
      <c r="C95" s="273"/>
      <c r="D95" s="273"/>
      <c r="E95" s="273"/>
      <c r="F95" s="273"/>
    </row>
    <row r="96" spans="1:6" x14ac:dyDescent="0.6">
      <c r="A96" s="106" t="s">
        <v>2810</v>
      </c>
      <c r="B96" s="273">
        <v>0</v>
      </c>
      <c r="C96" s="273">
        <v>624.28782000000001</v>
      </c>
      <c r="D96" s="273">
        <v>413.97724333333332</v>
      </c>
      <c r="E96" s="273">
        <v>0</v>
      </c>
      <c r="F96" s="273">
        <v>1038.2650633333333</v>
      </c>
    </row>
    <row r="97" spans="1:6" x14ac:dyDescent="0.6">
      <c r="A97" s="106" t="s">
        <v>2811</v>
      </c>
      <c r="B97" s="273">
        <v>0</v>
      </c>
      <c r="C97" s="273">
        <v>0</v>
      </c>
      <c r="D97" s="273">
        <v>3131.5378410000003</v>
      </c>
      <c r="E97" s="273">
        <v>3163.4711743333332</v>
      </c>
      <c r="F97" s="273">
        <v>6295.0090153333331</v>
      </c>
    </row>
    <row r="98" spans="1:6" x14ac:dyDescent="0.6">
      <c r="A98" s="106" t="s">
        <v>2812</v>
      </c>
      <c r="B98" s="273"/>
      <c r="C98" s="273"/>
      <c r="D98" s="273"/>
      <c r="E98" s="273"/>
      <c r="F98" s="273"/>
    </row>
    <row r="99" spans="1:6" x14ac:dyDescent="0.6">
      <c r="A99" s="106" t="s">
        <v>2813</v>
      </c>
      <c r="B99" s="273">
        <v>0</v>
      </c>
      <c r="C99" s="273">
        <v>0</v>
      </c>
      <c r="D99" s="273">
        <v>44.625</v>
      </c>
      <c r="E99" s="273">
        <v>541.33333333333326</v>
      </c>
      <c r="F99" s="273">
        <v>585.95833333333326</v>
      </c>
    </row>
    <row r="100" spans="1:6" x14ac:dyDescent="0.6">
      <c r="A100" s="106" t="s">
        <v>2814</v>
      </c>
      <c r="B100" s="273">
        <v>0</v>
      </c>
      <c r="C100" s="273">
        <v>899.99999999999977</v>
      </c>
      <c r="D100" s="273">
        <v>1350</v>
      </c>
      <c r="E100" s="273">
        <v>1799.9999999999995</v>
      </c>
      <c r="F100" s="273">
        <v>4049.9999999999991</v>
      </c>
    </row>
    <row r="101" spans="1:6" x14ac:dyDescent="0.6">
      <c r="A101" s="106" t="s">
        <v>2700</v>
      </c>
      <c r="B101" s="273"/>
      <c r="C101" s="273"/>
      <c r="D101" s="273"/>
      <c r="E101" s="273"/>
      <c r="F101" s="273"/>
    </row>
    <row r="102" spans="1:6" x14ac:dyDescent="0.6">
      <c r="A102" s="106" t="s">
        <v>2815</v>
      </c>
      <c r="B102" s="273"/>
      <c r="C102" s="273"/>
      <c r="D102" s="273"/>
      <c r="E102" s="273"/>
      <c r="F102" s="273"/>
    </row>
    <row r="103" spans="1:6" x14ac:dyDescent="0.6">
      <c r="A103" s="106" t="s">
        <v>2816</v>
      </c>
      <c r="B103" s="273"/>
      <c r="C103" s="273"/>
      <c r="D103" s="273"/>
      <c r="E103" s="273"/>
      <c r="F103" s="273"/>
    </row>
    <row r="104" spans="1:6" x14ac:dyDescent="0.6">
      <c r="A104" s="106" t="s">
        <v>2817</v>
      </c>
      <c r="B104" s="273"/>
      <c r="C104" s="273"/>
      <c r="D104" s="273"/>
      <c r="E104" s="273"/>
      <c r="F104" s="273"/>
    </row>
    <row r="105" spans="1:6" x14ac:dyDescent="0.6">
      <c r="A105" s="106" t="s">
        <v>2818</v>
      </c>
      <c r="B105" s="273"/>
      <c r="C105" s="273"/>
      <c r="D105" s="273"/>
      <c r="E105" s="273"/>
      <c r="F105" s="273"/>
    </row>
    <row r="106" spans="1:6" x14ac:dyDescent="0.6">
      <c r="A106" s="106" t="s">
        <v>2701</v>
      </c>
      <c r="B106" s="273"/>
      <c r="C106" s="273"/>
      <c r="D106" s="273"/>
      <c r="E106" s="273"/>
      <c r="F106" s="273"/>
    </row>
    <row r="107" spans="1:6" x14ac:dyDescent="0.6">
      <c r="A107" s="106" t="s">
        <v>2819</v>
      </c>
      <c r="B107" s="273"/>
      <c r="C107" s="273"/>
      <c r="D107" s="273"/>
      <c r="E107" s="273"/>
      <c r="F107" s="273"/>
    </row>
    <row r="108" spans="1:6" x14ac:dyDescent="0.6">
      <c r="A108" s="106" t="s">
        <v>2820</v>
      </c>
      <c r="B108" s="273">
        <v>0</v>
      </c>
      <c r="C108" s="273">
        <v>13657.09513619429</v>
      </c>
      <c r="D108" s="273">
        <v>17907.776202601111</v>
      </c>
      <c r="E108" s="273">
        <v>20748.227315619519</v>
      </c>
      <c r="F108" s="273">
        <v>52313.09865441492</v>
      </c>
    </row>
    <row r="109" spans="1:6" x14ac:dyDescent="0.6">
      <c r="A109" s="106" t="s">
        <v>2821</v>
      </c>
      <c r="B109" s="273">
        <v>0</v>
      </c>
      <c r="C109" s="273">
        <v>570</v>
      </c>
      <c r="D109" s="273">
        <v>570</v>
      </c>
      <c r="E109" s="273">
        <v>570</v>
      </c>
      <c r="F109" s="273">
        <v>1710</v>
      </c>
    </row>
    <row r="110" spans="1:6" x14ac:dyDescent="0.6">
      <c r="A110" s="106" t="s">
        <v>2822</v>
      </c>
      <c r="B110" s="273">
        <v>0</v>
      </c>
      <c r="C110" s="273">
        <v>0</v>
      </c>
      <c r="D110" s="273">
        <v>0</v>
      </c>
      <c r="E110" s="273">
        <v>0</v>
      </c>
      <c r="F110" s="273">
        <v>0</v>
      </c>
    </row>
    <row r="111" spans="1:6" x14ac:dyDescent="0.6">
      <c r="A111" s="106" t="s">
        <v>2823</v>
      </c>
      <c r="B111" s="273"/>
      <c r="C111" s="273"/>
      <c r="D111" s="273"/>
      <c r="E111" s="273"/>
      <c r="F111" s="273"/>
    </row>
    <row r="112" spans="1:6" x14ac:dyDescent="0.6">
      <c r="A112" s="106" t="s">
        <v>2824</v>
      </c>
      <c r="B112" s="273">
        <v>0</v>
      </c>
      <c r="C112" s="273">
        <v>0</v>
      </c>
      <c r="D112" s="273">
        <v>169.16666666666666</v>
      </c>
      <c r="E112" s="273">
        <v>170.45333333333332</v>
      </c>
      <c r="F112" s="273">
        <v>339.62</v>
      </c>
    </row>
    <row r="113" spans="1:6" x14ac:dyDescent="0.6">
      <c r="A113" s="106" t="s">
        <v>2825</v>
      </c>
      <c r="B113" s="273"/>
      <c r="C113" s="273"/>
      <c r="D113" s="273"/>
      <c r="E113" s="273"/>
      <c r="F113" s="273"/>
    </row>
    <row r="114" spans="1:6" x14ac:dyDescent="0.6">
      <c r="A114" s="106" t="s">
        <v>2826</v>
      </c>
      <c r="B114" s="273">
        <v>0</v>
      </c>
      <c r="C114" s="273">
        <v>652.70448666666664</v>
      </c>
      <c r="D114" s="273">
        <v>104.04797000000001</v>
      </c>
      <c r="E114" s="273">
        <v>0</v>
      </c>
      <c r="F114" s="273">
        <v>756.7524566666666</v>
      </c>
    </row>
    <row r="115" spans="1:6" x14ac:dyDescent="0.6">
      <c r="A115" s="106" t="s">
        <v>2827</v>
      </c>
      <c r="B115" s="273">
        <v>0</v>
      </c>
      <c r="C115" s="273">
        <v>24968.600205538292</v>
      </c>
      <c r="D115" s="273">
        <v>24874.485312869649</v>
      </c>
      <c r="E115" s="273">
        <v>41832.761845839581</v>
      </c>
      <c r="F115" s="273">
        <v>91675.847364247529</v>
      </c>
    </row>
    <row r="116" spans="1:6" x14ac:dyDescent="0.6">
      <c r="A116" s="106" t="s">
        <v>2828</v>
      </c>
      <c r="B116" s="273">
        <v>0</v>
      </c>
      <c r="C116" s="273">
        <v>0</v>
      </c>
      <c r="D116" s="273">
        <v>1248.57564</v>
      </c>
      <c r="E116" s="273">
        <v>327.81057666666669</v>
      </c>
      <c r="F116" s="273">
        <v>1576.3862166666668</v>
      </c>
    </row>
    <row r="117" spans="1:6" x14ac:dyDescent="0.6">
      <c r="A117" s="106" t="s">
        <v>2829</v>
      </c>
      <c r="B117" s="273">
        <v>0</v>
      </c>
      <c r="C117" s="273">
        <v>12.75</v>
      </c>
      <c r="D117" s="273">
        <v>157.01333333333329</v>
      </c>
      <c r="E117" s="273">
        <v>157.01333333333329</v>
      </c>
      <c r="F117" s="273">
        <v>326.77666666666659</v>
      </c>
    </row>
    <row r="118" spans="1:6" x14ac:dyDescent="0.6">
      <c r="A118" s="106" t="s">
        <v>2830</v>
      </c>
      <c r="B118" s="273">
        <v>26</v>
      </c>
      <c r="C118" s="273">
        <v>79.916666666666657</v>
      </c>
      <c r="D118" s="273">
        <v>191.37950000000001</v>
      </c>
      <c r="E118" s="273">
        <v>26</v>
      </c>
      <c r="F118" s="273">
        <v>323.29616666666664</v>
      </c>
    </row>
    <row r="119" spans="1:6" x14ac:dyDescent="0.6">
      <c r="A119" s="106" t="s">
        <v>2831</v>
      </c>
      <c r="B119" s="273">
        <v>0</v>
      </c>
      <c r="C119" s="273">
        <v>0</v>
      </c>
      <c r="D119" s="273">
        <v>197.34270000000001</v>
      </c>
      <c r="E119" s="273">
        <v>137.22878333333335</v>
      </c>
      <c r="F119" s="273">
        <v>334.57148333333339</v>
      </c>
    </row>
    <row r="120" spans="1:6" x14ac:dyDescent="0.6">
      <c r="A120" s="106" t="s">
        <v>2832</v>
      </c>
      <c r="B120" s="273"/>
      <c r="C120" s="273"/>
      <c r="D120" s="273"/>
      <c r="E120" s="273"/>
      <c r="F120" s="273"/>
    </row>
    <row r="121" spans="1:6" x14ac:dyDescent="0.6">
      <c r="A121" s="106" t="s">
        <v>2702</v>
      </c>
      <c r="B121" s="273"/>
      <c r="C121" s="273"/>
      <c r="D121" s="273"/>
      <c r="E121" s="273"/>
      <c r="F121" s="273"/>
    </row>
    <row r="122" spans="1:6" x14ac:dyDescent="0.6">
      <c r="A122" s="106" t="s">
        <v>2833</v>
      </c>
      <c r="B122" s="273"/>
      <c r="C122" s="273"/>
      <c r="D122" s="273"/>
      <c r="E122" s="273"/>
      <c r="F122" s="273"/>
    </row>
    <row r="123" spans="1:6" x14ac:dyDescent="0.6">
      <c r="A123" s="106" t="s">
        <v>2834</v>
      </c>
      <c r="B123" s="273">
        <v>0</v>
      </c>
      <c r="C123" s="273">
        <v>86.811111111111103</v>
      </c>
      <c r="D123" s="273">
        <v>0</v>
      </c>
      <c r="E123" s="273">
        <v>0</v>
      </c>
      <c r="F123" s="273">
        <v>86.811111111111103</v>
      </c>
    </row>
    <row r="124" spans="1:6" x14ac:dyDescent="0.6">
      <c r="A124" s="106" t="s">
        <v>2835</v>
      </c>
      <c r="B124" s="273">
        <v>0</v>
      </c>
      <c r="C124" s="273">
        <v>0</v>
      </c>
      <c r="D124" s="273">
        <v>37.599999999999994</v>
      </c>
      <c r="E124" s="273">
        <v>0</v>
      </c>
      <c r="F124" s="273">
        <v>37.599999999999994</v>
      </c>
    </row>
    <row r="125" spans="1:6" x14ac:dyDescent="0.6">
      <c r="A125" s="106" t="s">
        <v>2836</v>
      </c>
      <c r="B125" s="273">
        <v>0</v>
      </c>
      <c r="C125" s="273">
        <v>0</v>
      </c>
      <c r="D125" s="273">
        <v>4.8584999999999994</v>
      </c>
      <c r="E125" s="273">
        <v>235.51999999999995</v>
      </c>
      <c r="F125" s="273">
        <v>240.37849999999995</v>
      </c>
    </row>
    <row r="126" spans="1:6" x14ac:dyDescent="0.6">
      <c r="A126" s="106" t="s">
        <v>2837</v>
      </c>
      <c r="B126" s="273"/>
      <c r="C126" s="273"/>
      <c r="D126" s="273"/>
      <c r="E126" s="273"/>
      <c r="F126" s="273"/>
    </row>
    <row r="127" spans="1:6" x14ac:dyDescent="0.6">
      <c r="A127" s="106" t="s">
        <v>2838</v>
      </c>
      <c r="B127" s="273">
        <v>0</v>
      </c>
      <c r="C127" s="273">
        <v>945.83172999999999</v>
      </c>
      <c r="D127" s="273">
        <v>0</v>
      </c>
      <c r="E127" s="273">
        <v>0</v>
      </c>
      <c r="F127" s="273">
        <v>945.83172999999999</v>
      </c>
    </row>
    <row r="128" spans="1:6" x14ac:dyDescent="0.6">
      <c r="A128" s="106" t="s">
        <v>2839</v>
      </c>
      <c r="B128" s="273">
        <v>0</v>
      </c>
      <c r="C128" s="273">
        <v>0</v>
      </c>
      <c r="D128" s="273">
        <v>145.73333333333332</v>
      </c>
      <c r="E128" s="273">
        <v>0</v>
      </c>
      <c r="F128" s="273">
        <v>145.73333333333332</v>
      </c>
    </row>
    <row r="129" spans="1:6" x14ac:dyDescent="0.6">
      <c r="A129" s="106" t="s">
        <v>2840</v>
      </c>
      <c r="B129" s="273">
        <v>0</v>
      </c>
      <c r="C129" s="273">
        <v>0</v>
      </c>
      <c r="D129" s="273">
        <v>0</v>
      </c>
      <c r="E129" s="273">
        <v>366.36444444444436</v>
      </c>
      <c r="F129" s="273">
        <v>366.36444444444436</v>
      </c>
    </row>
    <row r="130" spans="1:6" x14ac:dyDescent="0.6">
      <c r="A130" s="106" t="s">
        <v>2841</v>
      </c>
      <c r="B130" s="273"/>
      <c r="C130" s="273"/>
      <c r="D130" s="273"/>
      <c r="E130" s="273"/>
      <c r="F130" s="273"/>
    </row>
    <row r="131" spans="1:6" x14ac:dyDescent="0.6">
      <c r="A131" s="106" t="s">
        <v>2842</v>
      </c>
      <c r="B131" s="273">
        <v>179550</v>
      </c>
      <c r="C131" s="273">
        <v>0</v>
      </c>
      <c r="D131" s="273">
        <v>0</v>
      </c>
      <c r="E131" s="273">
        <v>950</v>
      </c>
      <c r="F131" s="273">
        <v>180500</v>
      </c>
    </row>
    <row r="132" spans="1:6" x14ac:dyDescent="0.6">
      <c r="A132" s="106" t="s">
        <v>2843</v>
      </c>
      <c r="B132" s="273">
        <v>866400</v>
      </c>
      <c r="C132" s="273">
        <v>24248.863316170973</v>
      </c>
      <c r="D132" s="273">
        <v>25887.789313719506</v>
      </c>
      <c r="E132" s="273">
        <v>27970.74966852523</v>
      </c>
      <c r="F132" s="273">
        <v>944507.40229841566</v>
      </c>
    </row>
    <row r="133" spans="1:6" x14ac:dyDescent="0.6">
      <c r="A133" s="106" t="s">
        <v>2703</v>
      </c>
      <c r="B133" s="273"/>
      <c r="C133" s="273"/>
      <c r="D133" s="273"/>
      <c r="E133" s="273"/>
      <c r="F133" s="273"/>
    </row>
    <row r="134" spans="1:6" x14ac:dyDescent="0.6">
      <c r="A134" s="106" t="s">
        <v>2844</v>
      </c>
      <c r="B134" s="273"/>
      <c r="C134" s="273"/>
      <c r="D134" s="273"/>
      <c r="E134" s="273"/>
      <c r="F134" s="273"/>
    </row>
    <row r="135" spans="1:6" x14ac:dyDescent="0.6">
      <c r="A135" s="106" t="s">
        <v>2845</v>
      </c>
      <c r="B135" s="273">
        <v>0</v>
      </c>
      <c r="C135" s="273">
        <v>0</v>
      </c>
      <c r="D135" s="273">
        <v>59.333333333333329</v>
      </c>
      <c r="E135" s="273">
        <v>848.33333333333326</v>
      </c>
      <c r="F135" s="273">
        <v>907.66666666666663</v>
      </c>
    </row>
    <row r="136" spans="1:6" x14ac:dyDescent="0.6">
      <c r="A136" s="106" t="s">
        <v>2846</v>
      </c>
      <c r="B136" s="273">
        <v>0</v>
      </c>
      <c r="C136" s="273">
        <v>0</v>
      </c>
      <c r="D136" s="273">
        <v>87.6</v>
      </c>
      <c r="E136" s="273">
        <v>13604.457222742374</v>
      </c>
      <c r="F136" s="273">
        <v>13692.057222742375</v>
      </c>
    </row>
    <row r="137" spans="1:6" x14ac:dyDescent="0.6">
      <c r="A137" s="106" t="s">
        <v>2847</v>
      </c>
      <c r="B137" s="273"/>
      <c r="C137" s="273"/>
      <c r="D137" s="273"/>
      <c r="E137" s="273"/>
      <c r="F137" s="273"/>
    </row>
    <row r="138" spans="1:6" x14ac:dyDescent="0.6">
      <c r="A138" s="106" t="s">
        <v>2848</v>
      </c>
      <c r="B138" s="273">
        <v>10</v>
      </c>
      <c r="C138" s="273">
        <v>365</v>
      </c>
      <c r="D138" s="273">
        <v>760</v>
      </c>
      <c r="E138" s="273">
        <v>1415.5</v>
      </c>
      <c r="F138" s="273">
        <v>2550.5</v>
      </c>
    </row>
    <row r="139" spans="1:6" x14ac:dyDescent="0.6">
      <c r="A139" s="106" t="s">
        <v>2849</v>
      </c>
      <c r="B139" s="273"/>
      <c r="C139" s="273"/>
      <c r="D139" s="273"/>
      <c r="E139" s="273"/>
      <c r="F139" s="273"/>
    </row>
    <row r="140" spans="1:6" x14ac:dyDescent="0.6">
      <c r="A140" s="106" t="s">
        <v>2850</v>
      </c>
      <c r="B140" s="273">
        <v>0</v>
      </c>
      <c r="C140" s="273">
        <v>252806.3518454</v>
      </c>
      <c r="D140" s="273">
        <v>130702.8974986</v>
      </c>
      <c r="E140" s="273">
        <v>102549.11812219999</v>
      </c>
      <c r="F140" s="273">
        <v>486058.36746620003</v>
      </c>
    </row>
    <row r="141" spans="1:6" x14ac:dyDescent="0.6">
      <c r="A141" s="106" t="s">
        <v>2851</v>
      </c>
      <c r="B141" s="273">
        <v>0</v>
      </c>
      <c r="C141" s="273">
        <v>106.7385</v>
      </c>
      <c r="D141" s="273">
        <v>0</v>
      </c>
      <c r="E141" s="273">
        <v>0</v>
      </c>
      <c r="F141" s="273">
        <v>106.7385</v>
      </c>
    </row>
    <row r="142" spans="1:6" x14ac:dyDescent="0.6">
      <c r="A142" s="106" t="s">
        <v>2852</v>
      </c>
      <c r="B142" s="273">
        <v>0</v>
      </c>
      <c r="C142" s="273">
        <v>12.75</v>
      </c>
      <c r="D142" s="273">
        <v>267.95555555555546</v>
      </c>
      <c r="E142" s="273">
        <v>579.7777777777776</v>
      </c>
      <c r="F142" s="273">
        <v>860.48333333333301</v>
      </c>
    </row>
    <row r="143" spans="1:6" x14ac:dyDescent="0.6">
      <c r="A143" s="106" t="s">
        <v>2853</v>
      </c>
      <c r="B143" s="273"/>
      <c r="C143" s="273"/>
      <c r="D143" s="273"/>
      <c r="E143" s="273"/>
      <c r="F143" s="273"/>
    </row>
    <row r="144" spans="1:6" x14ac:dyDescent="0.6">
      <c r="A144" s="106" t="s">
        <v>2854</v>
      </c>
      <c r="B144" s="273">
        <v>58.444233333333337</v>
      </c>
      <c r="C144" s="273">
        <v>188.36423333333332</v>
      </c>
      <c r="D144" s="273">
        <v>682.77666666666664</v>
      </c>
      <c r="E144" s="273">
        <v>133.79333333333332</v>
      </c>
      <c r="F144" s="273">
        <v>1063.3784666666666</v>
      </c>
    </row>
    <row r="145" spans="1:6" x14ac:dyDescent="0.6">
      <c r="A145" s="106" t="s">
        <v>2855</v>
      </c>
      <c r="B145" s="273">
        <v>2900</v>
      </c>
      <c r="C145" s="273">
        <v>1425</v>
      </c>
      <c r="D145" s="273">
        <v>1525</v>
      </c>
      <c r="E145" s="273">
        <v>1575</v>
      </c>
      <c r="F145" s="273">
        <v>7424.9999999999991</v>
      </c>
    </row>
    <row r="146" spans="1:6" x14ac:dyDescent="0.6">
      <c r="A146" s="106" t="s">
        <v>2856</v>
      </c>
      <c r="B146" s="273">
        <v>0</v>
      </c>
      <c r="C146" s="273">
        <v>0</v>
      </c>
      <c r="D146" s="273">
        <v>39.166666666666664</v>
      </c>
      <c r="E146" s="273">
        <v>39.166666666666664</v>
      </c>
      <c r="F146" s="273">
        <v>78.333333333333329</v>
      </c>
    </row>
    <row r="147" spans="1:6" x14ac:dyDescent="0.6">
      <c r="A147" s="106" t="s">
        <v>2857</v>
      </c>
      <c r="B147" s="273">
        <v>0</v>
      </c>
      <c r="C147" s="273">
        <v>300</v>
      </c>
      <c r="D147" s="273">
        <v>300</v>
      </c>
      <c r="E147" s="273">
        <v>300</v>
      </c>
      <c r="F147" s="273">
        <v>900</v>
      </c>
    </row>
    <row r="148" spans="1:6" x14ac:dyDescent="0.6">
      <c r="A148" s="106" t="s">
        <v>2858</v>
      </c>
      <c r="B148" s="273"/>
      <c r="C148" s="273"/>
      <c r="D148" s="273"/>
      <c r="E148" s="273"/>
      <c r="F148" s="273"/>
    </row>
    <row r="149" spans="1:6" x14ac:dyDescent="0.6">
      <c r="A149" s="106" t="s">
        <v>2859</v>
      </c>
      <c r="B149" s="273">
        <v>0</v>
      </c>
      <c r="C149" s="273">
        <v>54.833333333333329</v>
      </c>
      <c r="D149" s="273">
        <v>0</v>
      </c>
      <c r="E149" s="273">
        <v>0</v>
      </c>
      <c r="F149" s="273">
        <v>54.833333333333329</v>
      </c>
    </row>
    <row r="150" spans="1:6" x14ac:dyDescent="0.6">
      <c r="A150" s="106" t="s">
        <v>2860</v>
      </c>
      <c r="B150" s="273"/>
      <c r="C150" s="273"/>
      <c r="D150" s="273"/>
      <c r="E150" s="273"/>
      <c r="F150" s="273"/>
    </row>
    <row r="151" spans="1:6" x14ac:dyDescent="0.6">
      <c r="A151" s="106" t="s">
        <v>2861</v>
      </c>
      <c r="B151" s="273">
        <v>0</v>
      </c>
      <c r="C151" s="273">
        <v>0</v>
      </c>
      <c r="D151" s="273">
        <v>5113.1111111111104</v>
      </c>
      <c r="E151" s="273">
        <v>5081.7777777777774</v>
      </c>
      <c r="F151" s="273">
        <v>10194.888888888889</v>
      </c>
    </row>
    <row r="152" spans="1:6" x14ac:dyDescent="0.6">
      <c r="A152" s="106" t="s">
        <v>2862</v>
      </c>
      <c r="B152" s="273">
        <v>0</v>
      </c>
      <c r="C152" s="273">
        <v>2097.5460400000002</v>
      </c>
      <c r="D152" s="273">
        <v>353.63888888888886</v>
      </c>
      <c r="E152" s="273">
        <v>62.308888888888873</v>
      </c>
      <c r="F152" s="273">
        <v>2513.4938177777781</v>
      </c>
    </row>
    <row r="153" spans="1:6" x14ac:dyDescent="0.6">
      <c r="A153" s="106" t="s">
        <v>2863</v>
      </c>
      <c r="B153" s="273">
        <v>0</v>
      </c>
      <c r="C153" s="273">
        <v>31.766666666666666</v>
      </c>
      <c r="D153" s="273">
        <v>730.87643600000001</v>
      </c>
      <c r="E153" s="273">
        <v>130.54222222222219</v>
      </c>
      <c r="F153" s="273">
        <v>893.18532488888889</v>
      </c>
    </row>
    <row r="154" spans="1:6" x14ac:dyDescent="0.6">
      <c r="A154" s="106" t="s">
        <v>2864</v>
      </c>
      <c r="B154" s="273"/>
      <c r="C154" s="273"/>
      <c r="D154" s="273"/>
      <c r="E154" s="273"/>
      <c r="F154" s="273"/>
    </row>
    <row r="155" spans="1:6" x14ac:dyDescent="0.6">
      <c r="A155" s="106" t="s">
        <v>2865</v>
      </c>
      <c r="B155" s="273">
        <v>0</v>
      </c>
      <c r="C155" s="273">
        <v>496.68888888888881</v>
      </c>
      <c r="D155" s="273">
        <v>0</v>
      </c>
      <c r="E155" s="273">
        <v>0</v>
      </c>
      <c r="F155" s="273">
        <v>496.68888888888881</v>
      </c>
    </row>
    <row r="156" spans="1:6" x14ac:dyDescent="0.6">
      <c r="A156" s="106" t="s">
        <v>2866</v>
      </c>
      <c r="B156" s="273"/>
      <c r="C156" s="273"/>
      <c r="D156" s="273"/>
      <c r="E156" s="273"/>
      <c r="F156" s="273"/>
    </row>
    <row r="157" spans="1:6" x14ac:dyDescent="0.6">
      <c r="A157" s="106" t="s">
        <v>2867</v>
      </c>
      <c r="B157" s="273">
        <v>0</v>
      </c>
      <c r="C157" s="273">
        <v>249.80833333333334</v>
      </c>
      <c r="D157" s="273">
        <v>335.875</v>
      </c>
      <c r="E157" s="273">
        <v>185.47499999999999</v>
      </c>
      <c r="F157" s="273">
        <v>771.1583333333333</v>
      </c>
    </row>
    <row r="158" spans="1:6" x14ac:dyDescent="0.6">
      <c r="A158" s="106" t="s">
        <v>2704</v>
      </c>
      <c r="B158" s="273"/>
      <c r="C158" s="273"/>
      <c r="D158" s="273"/>
      <c r="E158" s="273"/>
      <c r="F158" s="273"/>
    </row>
    <row r="159" spans="1:6" x14ac:dyDescent="0.6">
      <c r="A159" s="106" t="s">
        <v>2868</v>
      </c>
      <c r="B159" s="273"/>
      <c r="C159" s="273"/>
      <c r="D159" s="273"/>
      <c r="E159" s="273"/>
      <c r="F159" s="273"/>
    </row>
    <row r="160" spans="1:6" x14ac:dyDescent="0.6">
      <c r="A160" s="106" t="s">
        <v>2869</v>
      </c>
      <c r="B160" s="273">
        <v>0</v>
      </c>
      <c r="C160" s="273">
        <v>0</v>
      </c>
      <c r="D160" s="273">
        <v>148.31666666666666</v>
      </c>
      <c r="E160" s="273">
        <v>0</v>
      </c>
      <c r="F160" s="273">
        <v>148.31666666666666</v>
      </c>
    </row>
    <row r="161" spans="1:6" x14ac:dyDescent="0.6">
      <c r="A161" s="106" t="s">
        <v>2870</v>
      </c>
      <c r="B161" s="273">
        <v>0</v>
      </c>
      <c r="C161" s="273">
        <v>1152</v>
      </c>
      <c r="D161" s="273">
        <v>1152</v>
      </c>
      <c r="E161" s="273">
        <v>1690.0030000000002</v>
      </c>
      <c r="F161" s="273">
        <v>3994.0030000000002</v>
      </c>
    </row>
    <row r="162" spans="1:6" x14ac:dyDescent="0.6">
      <c r="A162" s="106" t="s">
        <v>2871</v>
      </c>
      <c r="B162" s="273">
        <v>0</v>
      </c>
      <c r="C162" s="273">
        <v>0</v>
      </c>
      <c r="D162" s="273">
        <v>0</v>
      </c>
      <c r="E162" s="273">
        <v>889.63750000000005</v>
      </c>
      <c r="F162" s="273">
        <v>889.63750000000005</v>
      </c>
    </row>
    <row r="163" spans="1:6" x14ac:dyDescent="0.6">
      <c r="A163" s="106" t="s">
        <v>2872</v>
      </c>
      <c r="B163" s="273">
        <v>0</v>
      </c>
      <c r="C163" s="273">
        <v>0</v>
      </c>
      <c r="D163" s="273">
        <v>182.16</v>
      </c>
      <c r="E163" s="273">
        <v>182.16</v>
      </c>
      <c r="F163" s="273">
        <v>364.32</v>
      </c>
    </row>
    <row r="164" spans="1:6" x14ac:dyDescent="0.6">
      <c r="A164" s="106" t="s">
        <v>2873</v>
      </c>
      <c r="B164" s="273">
        <v>0</v>
      </c>
      <c r="C164" s="273">
        <v>215.9</v>
      </c>
      <c r="D164" s="273">
        <v>884.59869333333336</v>
      </c>
      <c r="E164" s="273">
        <v>100.34934666666666</v>
      </c>
      <c r="F164" s="273">
        <v>1200.8480400000001</v>
      </c>
    </row>
    <row r="165" spans="1:6" x14ac:dyDescent="0.6">
      <c r="A165" s="106" t="s">
        <v>2874</v>
      </c>
      <c r="B165" s="273">
        <v>0</v>
      </c>
      <c r="C165" s="273">
        <v>0</v>
      </c>
      <c r="D165" s="273">
        <v>0</v>
      </c>
      <c r="E165" s="273">
        <v>0</v>
      </c>
      <c r="F165" s="273">
        <v>0</v>
      </c>
    </row>
    <row r="166" spans="1:6" x14ac:dyDescent="0.6">
      <c r="A166" s="106" t="s">
        <v>2875</v>
      </c>
      <c r="B166" s="273"/>
      <c r="C166" s="273"/>
      <c r="D166" s="273"/>
      <c r="E166" s="273"/>
      <c r="F166" s="273"/>
    </row>
    <row r="167" spans="1:6" x14ac:dyDescent="0.6">
      <c r="A167" s="106" t="s">
        <v>2876</v>
      </c>
      <c r="B167" s="273">
        <v>0</v>
      </c>
      <c r="C167" s="273">
        <v>151.56333333333333</v>
      </c>
      <c r="D167" s="273">
        <v>138.81333333333333</v>
      </c>
      <c r="E167" s="273">
        <v>138.81333333333333</v>
      </c>
      <c r="F167" s="273">
        <v>429.19</v>
      </c>
    </row>
    <row r="168" spans="1:6" x14ac:dyDescent="0.6">
      <c r="A168" s="106" t="s">
        <v>2877</v>
      </c>
      <c r="B168" s="273">
        <v>0</v>
      </c>
      <c r="C168" s="273">
        <v>233.31555555555551</v>
      </c>
      <c r="D168" s="273">
        <v>233.31555555555551</v>
      </c>
      <c r="E168" s="273">
        <v>233.31555555555551</v>
      </c>
      <c r="F168" s="273">
        <v>699.94666666666649</v>
      </c>
    </row>
    <row r="169" spans="1:6" x14ac:dyDescent="0.6">
      <c r="A169" s="106" t="s">
        <v>2878</v>
      </c>
      <c r="B169" s="273">
        <v>0</v>
      </c>
      <c r="C169" s="273">
        <v>43307.23492692232</v>
      </c>
      <c r="D169" s="273">
        <v>45772.945978238233</v>
      </c>
      <c r="E169" s="273">
        <v>48353.712445677411</v>
      </c>
      <c r="F169" s="273">
        <v>137433.89335083796</v>
      </c>
    </row>
    <row r="170" spans="1:6" x14ac:dyDescent="0.6">
      <c r="A170" s="106" t="s">
        <v>2879</v>
      </c>
      <c r="B170" s="273"/>
      <c r="C170" s="273"/>
      <c r="D170" s="273"/>
      <c r="E170" s="273"/>
      <c r="F170" s="273"/>
    </row>
    <row r="171" spans="1:6" x14ac:dyDescent="0.6">
      <c r="A171" s="106" t="s">
        <v>2880</v>
      </c>
      <c r="B171" s="273">
        <v>0</v>
      </c>
      <c r="C171" s="273">
        <v>268.49594000000002</v>
      </c>
      <c r="D171" s="273">
        <v>3.9899999999999998</v>
      </c>
      <c r="E171" s="273">
        <v>0</v>
      </c>
      <c r="F171" s="273">
        <v>272.48594000000003</v>
      </c>
    </row>
    <row r="172" spans="1:6" x14ac:dyDescent="0.6">
      <c r="A172" s="106" t="s">
        <v>2881</v>
      </c>
      <c r="B172" s="273"/>
      <c r="C172" s="273"/>
      <c r="D172" s="273"/>
      <c r="E172" s="273"/>
      <c r="F172" s="273"/>
    </row>
    <row r="173" spans="1:6" x14ac:dyDescent="0.6">
      <c r="A173" s="106" t="s">
        <v>2882</v>
      </c>
      <c r="B173" s="273">
        <v>0</v>
      </c>
      <c r="C173" s="273">
        <v>0</v>
      </c>
      <c r="D173" s="273">
        <v>272.06666666666666</v>
      </c>
      <c r="E173" s="273">
        <v>273</v>
      </c>
      <c r="F173" s="273">
        <v>545.06666666666672</v>
      </c>
    </row>
    <row r="174" spans="1:6" x14ac:dyDescent="0.6">
      <c r="A174" s="106" t="s">
        <v>2705</v>
      </c>
      <c r="B174" s="273"/>
      <c r="C174" s="273"/>
      <c r="D174" s="273"/>
      <c r="E174" s="273"/>
      <c r="F174" s="273"/>
    </row>
    <row r="175" spans="1:6" x14ac:dyDescent="0.6">
      <c r="A175" s="106" t="s">
        <v>2883</v>
      </c>
      <c r="B175" s="273"/>
      <c r="C175" s="273"/>
      <c r="D175" s="273"/>
      <c r="E175" s="273"/>
      <c r="F175" s="273"/>
    </row>
    <row r="176" spans="1:6" x14ac:dyDescent="0.6">
      <c r="A176" s="106" t="s">
        <v>2884</v>
      </c>
      <c r="B176" s="273">
        <v>0</v>
      </c>
      <c r="C176" s="273">
        <v>3539.1888888888889</v>
      </c>
      <c r="D176" s="273">
        <v>6816.6888888888889</v>
      </c>
      <c r="E176" s="273">
        <v>8740.438888888888</v>
      </c>
      <c r="F176" s="273">
        <v>19096.316666666666</v>
      </c>
    </row>
    <row r="177" spans="1:6" x14ac:dyDescent="0.6">
      <c r="A177" s="106" t="s">
        <v>2885</v>
      </c>
      <c r="B177" s="273"/>
      <c r="C177" s="273"/>
      <c r="D177" s="273"/>
      <c r="E177" s="273"/>
      <c r="F177" s="273"/>
    </row>
    <row r="178" spans="1:6" x14ac:dyDescent="0.6">
      <c r="A178" s="106" t="s">
        <v>2886</v>
      </c>
      <c r="B178" s="273">
        <v>0</v>
      </c>
      <c r="C178" s="273">
        <v>2865.6951900000004</v>
      </c>
      <c r="D178" s="273">
        <v>2859.4285233333335</v>
      </c>
      <c r="E178" s="273">
        <v>0</v>
      </c>
      <c r="F178" s="273">
        <v>5725.1237133333343</v>
      </c>
    </row>
    <row r="179" spans="1:6" x14ac:dyDescent="0.6">
      <c r="A179" s="106" t="s">
        <v>2887</v>
      </c>
      <c r="B179" s="273">
        <v>0</v>
      </c>
      <c r="C179" s="273">
        <v>992.25</v>
      </c>
      <c r="D179" s="273">
        <v>0</v>
      </c>
      <c r="E179" s="273">
        <v>0</v>
      </c>
      <c r="F179" s="273">
        <v>992.25</v>
      </c>
    </row>
    <row r="180" spans="1:6" x14ac:dyDescent="0.6">
      <c r="A180" s="106" t="s">
        <v>2888</v>
      </c>
      <c r="B180" s="273"/>
      <c r="C180" s="273"/>
      <c r="D180" s="273"/>
      <c r="E180" s="273"/>
      <c r="F180" s="273"/>
    </row>
    <row r="181" spans="1:6" x14ac:dyDescent="0.6">
      <c r="A181" s="106" t="s">
        <v>2889</v>
      </c>
      <c r="B181" s="273">
        <v>0</v>
      </c>
      <c r="C181" s="273">
        <v>205.01333333333329</v>
      </c>
      <c r="D181" s="273">
        <v>30.6</v>
      </c>
      <c r="E181" s="273">
        <v>0</v>
      </c>
      <c r="F181" s="273">
        <v>235.61333333333329</v>
      </c>
    </row>
    <row r="182" spans="1:6" x14ac:dyDescent="0.6">
      <c r="A182" s="106" t="s">
        <v>2890</v>
      </c>
      <c r="B182" s="273"/>
      <c r="C182" s="273"/>
      <c r="D182" s="273"/>
      <c r="E182" s="273"/>
      <c r="F182" s="273"/>
    </row>
    <row r="183" spans="1:6" x14ac:dyDescent="0.6">
      <c r="A183" s="106" t="s">
        <v>2891</v>
      </c>
      <c r="B183" s="273"/>
      <c r="C183" s="273"/>
      <c r="D183" s="273"/>
      <c r="E183" s="273"/>
      <c r="F183" s="273"/>
    </row>
    <row r="184" spans="1:6" x14ac:dyDescent="0.6">
      <c r="A184" s="106" t="s">
        <v>2892</v>
      </c>
      <c r="B184" s="273">
        <v>0</v>
      </c>
      <c r="C184" s="273">
        <v>0</v>
      </c>
      <c r="D184" s="273">
        <v>0</v>
      </c>
      <c r="E184" s="273">
        <v>1345.2666666666664</v>
      </c>
      <c r="F184" s="273">
        <v>1345.2666666666664</v>
      </c>
    </row>
    <row r="185" spans="1:6" x14ac:dyDescent="0.6">
      <c r="A185" s="106" t="s">
        <v>2686</v>
      </c>
      <c r="B185" s="273"/>
      <c r="C185" s="273"/>
      <c r="D185" s="273"/>
      <c r="E185" s="273"/>
      <c r="F185" s="273"/>
    </row>
    <row r="186" spans="1:6" x14ac:dyDescent="0.6">
      <c r="A186" s="106" t="s">
        <v>2908</v>
      </c>
      <c r="B186" s="273">
        <v>0</v>
      </c>
      <c r="C186" s="273">
        <v>300</v>
      </c>
      <c r="D186" s="273">
        <v>300</v>
      </c>
      <c r="E186" s="273">
        <v>300</v>
      </c>
      <c r="F186" s="273">
        <v>900</v>
      </c>
    </row>
    <row r="187" spans="1:6" x14ac:dyDescent="0.6">
      <c r="A187" s="106" t="s">
        <v>2913</v>
      </c>
      <c r="B187" s="273">
        <v>291.72000000000003</v>
      </c>
      <c r="C187" s="273">
        <v>0</v>
      </c>
      <c r="D187" s="273">
        <v>51</v>
      </c>
      <c r="E187" s="273">
        <v>0</v>
      </c>
      <c r="F187" s="273">
        <v>342.72</v>
      </c>
    </row>
    <row r="188" spans="1:6" x14ac:dyDescent="0.6">
      <c r="A188" s="106" t="s">
        <v>3040</v>
      </c>
      <c r="B188" s="273">
        <v>0</v>
      </c>
      <c r="C188" s="273">
        <v>54.5</v>
      </c>
      <c r="D188" s="273">
        <v>0</v>
      </c>
      <c r="E188" s="273">
        <v>0</v>
      </c>
      <c r="F188" s="273">
        <v>54.5</v>
      </c>
    </row>
    <row r="189" spans="1:6" x14ac:dyDescent="0.6">
      <c r="A189" s="106" t="s">
        <v>3041</v>
      </c>
      <c r="B189" s="273">
        <v>0</v>
      </c>
      <c r="C189" s="273">
        <v>0</v>
      </c>
      <c r="D189" s="273">
        <v>812</v>
      </c>
      <c r="E189" s="273">
        <v>0</v>
      </c>
      <c r="F189" s="273">
        <v>812</v>
      </c>
    </row>
    <row r="190" spans="1:6" x14ac:dyDescent="0.6">
      <c r="A190" s="106" t="s">
        <v>3042</v>
      </c>
      <c r="B190" s="273">
        <v>0</v>
      </c>
      <c r="C190" s="273">
        <v>15.3</v>
      </c>
      <c r="D190" s="273">
        <v>15.3</v>
      </c>
      <c r="E190" s="273">
        <v>15.3</v>
      </c>
      <c r="F190" s="273">
        <v>45.900000000000006</v>
      </c>
    </row>
    <row r="191" spans="1:6" x14ac:dyDescent="0.6">
      <c r="A191" s="106" t="s">
        <v>3044</v>
      </c>
      <c r="B191" s="273">
        <v>0</v>
      </c>
      <c r="C191" s="273">
        <v>44.550000000000004</v>
      </c>
      <c r="D191" s="273">
        <v>646.11</v>
      </c>
      <c r="E191" s="273">
        <v>615.6825</v>
      </c>
      <c r="F191" s="273">
        <v>1306.3425</v>
      </c>
    </row>
    <row r="192" spans="1:6" x14ac:dyDescent="0.6">
      <c r="A192" s="106" t="s">
        <v>3047</v>
      </c>
      <c r="B192" s="273">
        <v>0</v>
      </c>
      <c r="C192" s="273">
        <v>431.99999999999994</v>
      </c>
      <c r="D192" s="273">
        <v>52.5</v>
      </c>
      <c r="E192" s="273">
        <v>55.125</v>
      </c>
      <c r="F192" s="273">
        <v>539.625</v>
      </c>
    </row>
    <row r="193" spans="1:6" x14ac:dyDescent="0.6">
      <c r="A193" s="106" t="s">
        <v>3048</v>
      </c>
      <c r="B193" s="273">
        <v>0</v>
      </c>
      <c r="C193" s="273">
        <v>615.74860000000001</v>
      </c>
      <c r="D193" s="273">
        <v>565.87360000000001</v>
      </c>
      <c r="E193" s="273">
        <v>565.87360000000001</v>
      </c>
      <c r="F193" s="273">
        <v>1747.4957999999999</v>
      </c>
    </row>
    <row r="194" spans="1:6" x14ac:dyDescent="0.6">
      <c r="A194" s="106" t="s">
        <v>3049</v>
      </c>
      <c r="B194" s="273">
        <v>163914</v>
      </c>
      <c r="C194" s="273">
        <v>4017.4363750000002</v>
      </c>
      <c r="D194" s="273">
        <v>3215.1</v>
      </c>
      <c r="E194" s="273">
        <v>0.5961375000000001</v>
      </c>
      <c r="F194" s="273">
        <v>171147.13251249999</v>
      </c>
    </row>
    <row r="195" spans="1:6" x14ac:dyDescent="0.6">
      <c r="A195" s="106" t="s">
        <v>3051</v>
      </c>
      <c r="B195" s="273">
        <v>0</v>
      </c>
      <c r="C195" s="273">
        <v>214.50799999999995</v>
      </c>
      <c r="D195" s="273">
        <v>147.19999999999996</v>
      </c>
      <c r="E195" s="273">
        <v>147.19999999999996</v>
      </c>
      <c r="F195" s="273">
        <v>508.9079999999999</v>
      </c>
    </row>
    <row r="196" spans="1:6" x14ac:dyDescent="0.6">
      <c r="A196" s="106" t="s">
        <v>3052</v>
      </c>
      <c r="B196" s="273">
        <v>0</v>
      </c>
      <c r="C196" s="273">
        <v>869.04000000000008</v>
      </c>
      <c r="D196" s="273">
        <v>869.04000000000008</v>
      </c>
      <c r="E196" s="273">
        <v>869.04</v>
      </c>
      <c r="F196" s="273">
        <v>2607.12</v>
      </c>
    </row>
    <row r="197" spans="1:6" x14ac:dyDescent="0.6">
      <c r="A197" s="106" t="s">
        <v>3053</v>
      </c>
      <c r="B197" s="273">
        <v>0</v>
      </c>
      <c r="C197" s="273">
        <v>147.19999999999996</v>
      </c>
      <c r="D197" s="273">
        <v>147.19999999999996</v>
      </c>
      <c r="E197" s="273">
        <v>147.19999999999996</v>
      </c>
      <c r="F197" s="273">
        <v>441.59999999999991</v>
      </c>
    </row>
    <row r="198" spans="1:6" x14ac:dyDescent="0.6">
      <c r="A198" s="106" t="s">
        <v>3056</v>
      </c>
      <c r="B198" s="273">
        <v>0.01</v>
      </c>
      <c r="C198" s="273">
        <v>3350.2099444444443</v>
      </c>
      <c r="D198" s="273">
        <v>373.54380277777773</v>
      </c>
      <c r="E198" s="273">
        <v>373.54435402777773</v>
      </c>
      <c r="F198" s="273">
        <v>4097.3081012499997</v>
      </c>
    </row>
    <row r="199" spans="1:6" x14ac:dyDescent="0.6">
      <c r="A199" s="106" t="s">
        <v>3057</v>
      </c>
      <c r="B199" s="273">
        <v>0</v>
      </c>
      <c r="C199" s="273">
        <v>45038.075358333335</v>
      </c>
      <c r="D199" s="273">
        <v>2759.1655555555562</v>
      </c>
      <c r="E199" s="273">
        <v>2951.1655555555562</v>
      </c>
      <c r="F199" s="273">
        <v>50748.406469444453</v>
      </c>
    </row>
    <row r="200" spans="1:6" x14ac:dyDescent="0.6">
      <c r="A200" s="106" t="s">
        <v>3058</v>
      </c>
      <c r="B200" s="273">
        <v>0</v>
      </c>
      <c r="C200" s="273">
        <v>162.16666666666666</v>
      </c>
      <c r="D200" s="273">
        <v>162.16666666666666</v>
      </c>
      <c r="E200" s="273">
        <v>171.16666666666666</v>
      </c>
      <c r="F200" s="273">
        <v>495.5</v>
      </c>
    </row>
    <row r="201" spans="1:6" x14ac:dyDescent="0.6">
      <c r="A201" s="106" t="s">
        <v>3060</v>
      </c>
      <c r="B201" s="273">
        <v>0</v>
      </c>
      <c r="C201" s="273">
        <v>38.433333333333337</v>
      </c>
      <c r="D201" s="273">
        <v>0</v>
      </c>
      <c r="E201" s="273">
        <v>0</v>
      </c>
      <c r="F201" s="273">
        <v>38.433333333333337</v>
      </c>
    </row>
    <row r="202" spans="1:6" x14ac:dyDescent="0.6">
      <c r="A202" s="106" t="s">
        <v>3061</v>
      </c>
      <c r="B202" s="273">
        <v>0</v>
      </c>
      <c r="C202" s="273">
        <v>142.819525</v>
      </c>
      <c r="D202" s="273">
        <v>0</v>
      </c>
      <c r="E202" s="273">
        <v>14.099999999999998</v>
      </c>
      <c r="F202" s="273">
        <v>156.91952499999999</v>
      </c>
    </row>
    <row r="203" spans="1:6" x14ac:dyDescent="0.6">
      <c r="A203" s="106" t="s">
        <v>3062</v>
      </c>
      <c r="B203" s="273">
        <v>0</v>
      </c>
      <c r="C203" s="273">
        <v>2721.5841866666665</v>
      </c>
      <c r="D203" s="273">
        <v>308.56</v>
      </c>
      <c r="E203" s="273">
        <v>904.02666666666664</v>
      </c>
      <c r="F203" s="273">
        <v>3934.1708533333326</v>
      </c>
    </row>
    <row r="204" spans="1:6" x14ac:dyDescent="0.6">
      <c r="A204" s="106" t="s">
        <v>3064</v>
      </c>
      <c r="B204" s="273">
        <v>0</v>
      </c>
      <c r="C204" s="273">
        <v>721.2777777777776</v>
      </c>
      <c r="D204" s="273">
        <v>721.2777777777776</v>
      </c>
      <c r="E204" s="273">
        <v>721.2777777777776</v>
      </c>
      <c r="F204" s="273">
        <v>2163.833333333333</v>
      </c>
    </row>
    <row r="205" spans="1:6" x14ac:dyDescent="0.6">
      <c r="A205" s="106" t="s">
        <v>3065</v>
      </c>
      <c r="B205" s="273">
        <v>0</v>
      </c>
      <c r="C205" s="273">
        <v>28.199999999999996</v>
      </c>
      <c r="D205" s="273">
        <v>0</v>
      </c>
      <c r="E205" s="273">
        <v>0</v>
      </c>
      <c r="F205" s="273">
        <v>28.199999999999996</v>
      </c>
    </row>
    <row r="206" spans="1:6" x14ac:dyDescent="0.6">
      <c r="A206" s="106" t="s">
        <v>3067</v>
      </c>
      <c r="B206" s="273">
        <v>0</v>
      </c>
      <c r="C206" s="273">
        <v>69.022222222222197</v>
      </c>
      <c r="D206" s="273">
        <v>69.022222222222197</v>
      </c>
      <c r="E206" s="273">
        <v>69.022222222222197</v>
      </c>
      <c r="F206" s="273">
        <v>207.06666666666661</v>
      </c>
    </row>
    <row r="207" spans="1:6" x14ac:dyDescent="0.6">
      <c r="A207" s="106" t="s">
        <v>3069</v>
      </c>
      <c r="B207" s="273">
        <v>0</v>
      </c>
      <c r="C207" s="273">
        <v>936.43173000000002</v>
      </c>
      <c r="D207" s="273">
        <v>0</v>
      </c>
      <c r="E207" s="273">
        <v>0</v>
      </c>
      <c r="F207" s="273">
        <v>936.43173000000002</v>
      </c>
    </row>
    <row r="208" spans="1:6" x14ac:dyDescent="0.6">
      <c r="A208" s="106" t="s">
        <v>3070</v>
      </c>
      <c r="B208" s="273">
        <v>0</v>
      </c>
      <c r="C208" s="273">
        <v>2526.4333333333334</v>
      </c>
      <c r="D208" s="273">
        <v>2159.75</v>
      </c>
      <c r="E208" s="273">
        <v>1439.45</v>
      </c>
      <c r="F208" s="273">
        <v>6125.6333333333332</v>
      </c>
    </row>
    <row r="209" spans="1:6" x14ac:dyDescent="0.6">
      <c r="A209" s="106" t="s">
        <v>3073</v>
      </c>
      <c r="B209" s="273">
        <v>0</v>
      </c>
      <c r="C209" s="273">
        <v>752.35555555555538</v>
      </c>
      <c r="D209" s="273">
        <v>0</v>
      </c>
      <c r="E209" s="273">
        <v>0</v>
      </c>
      <c r="F209" s="273">
        <v>752.35555555555538</v>
      </c>
    </row>
    <row r="210" spans="1:6" x14ac:dyDescent="0.6">
      <c r="A210" s="106" t="s">
        <v>3074</v>
      </c>
      <c r="B210" s="273">
        <v>0</v>
      </c>
      <c r="C210" s="273">
        <v>261.68888888888881</v>
      </c>
      <c r="D210" s="273">
        <v>261.68888888888881</v>
      </c>
      <c r="E210" s="273">
        <v>261.68888888888881</v>
      </c>
      <c r="F210" s="273">
        <v>785.06666666666638</v>
      </c>
    </row>
    <row r="211" spans="1:6" x14ac:dyDescent="0.6">
      <c r="A211" s="106" t="s">
        <v>3076</v>
      </c>
      <c r="B211" s="273">
        <v>0</v>
      </c>
      <c r="C211" s="273">
        <v>0</v>
      </c>
      <c r="D211" s="273">
        <v>203.30277777777775</v>
      </c>
      <c r="E211" s="273">
        <v>0</v>
      </c>
      <c r="F211" s="273">
        <v>203.30277777777775</v>
      </c>
    </row>
    <row r="212" spans="1:6" x14ac:dyDescent="0.6">
      <c r="A212" s="106" t="s">
        <v>3077</v>
      </c>
      <c r="B212" s="273">
        <v>0</v>
      </c>
      <c r="C212" s="273">
        <v>24</v>
      </c>
      <c r="D212" s="273">
        <v>212.41921600000001</v>
      </c>
      <c r="E212" s="273">
        <v>24</v>
      </c>
      <c r="F212" s="273">
        <v>260.41921600000001</v>
      </c>
    </row>
    <row r="213" spans="1:6" x14ac:dyDescent="0.6">
      <c r="A213" s="106" t="s">
        <v>3078</v>
      </c>
      <c r="B213" s="273"/>
      <c r="C213" s="273"/>
      <c r="D213" s="273"/>
      <c r="E213" s="273"/>
      <c r="F213" s="273"/>
    </row>
    <row r="214" spans="1:6" x14ac:dyDescent="0.6">
      <c r="A214" s="106" t="s">
        <v>3080</v>
      </c>
      <c r="B214" s="273">
        <v>0</v>
      </c>
      <c r="C214" s="273">
        <v>0</v>
      </c>
      <c r="D214" s="273">
        <v>0.3133333333333333</v>
      </c>
      <c r="E214" s="273">
        <v>0.3133333333333333</v>
      </c>
      <c r="F214" s="273">
        <v>0.62666666666666659</v>
      </c>
    </row>
    <row r="215" spans="1:6" x14ac:dyDescent="0.6">
      <c r="A215" s="106" t="s">
        <v>3081</v>
      </c>
      <c r="B215" s="273">
        <v>0</v>
      </c>
      <c r="C215" s="273">
        <v>0</v>
      </c>
      <c r="D215" s="273">
        <v>0</v>
      </c>
      <c r="E215" s="273">
        <v>0</v>
      </c>
      <c r="F215" s="273">
        <v>0</v>
      </c>
    </row>
    <row r="216" spans="1:6" x14ac:dyDescent="0.6">
      <c r="A216" s="106" t="s">
        <v>3082</v>
      </c>
      <c r="B216" s="273">
        <v>0</v>
      </c>
      <c r="C216" s="273">
        <v>46.999999999999993</v>
      </c>
      <c r="D216" s="273">
        <v>0</v>
      </c>
      <c r="E216" s="273">
        <v>0</v>
      </c>
      <c r="F216" s="273">
        <v>46.999999999999993</v>
      </c>
    </row>
    <row r="217" spans="1:6" x14ac:dyDescent="0.6">
      <c r="A217" s="106" t="s">
        <v>3084</v>
      </c>
      <c r="B217" s="273">
        <v>0</v>
      </c>
      <c r="C217" s="273">
        <v>72.704166666666666</v>
      </c>
      <c r="D217" s="273">
        <v>0</v>
      </c>
      <c r="E217" s="273">
        <v>0</v>
      </c>
      <c r="F217" s="273">
        <v>72.704166666666666</v>
      </c>
    </row>
    <row r="218" spans="1:6" x14ac:dyDescent="0.6">
      <c r="A218" s="106" t="s">
        <v>3085</v>
      </c>
      <c r="B218" s="273">
        <v>0</v>
      </c>
      <c r="C218" s="273">
        <v>0</v>
      </c>
      <c r="D218" s="273">
        <v>78.506666666666646</v>
      </c>
      <c r="E218" s="273">
        <v>0</v>
      </c>
      <c r="F218" s="273">
        <v>78.506666666666646</v>
      </c>
    </row>
    <row r="219" spans="1:6" x14ac:dyDescent="0.6">
      <c r="A219" s="106" t="s">
        <v>3086</v>
      </c>
      <c r="B219" s="273">
        <v>0</v>
      </c>
      <c r="C219" s="273">
        <v>0</v>
      </c>
      <c r="D219" s="273">
        <v>0</v>
      </c>
      <c r="E219" s="273">
        <v>0</v>
      </c>
      <c r="F219" s="273"/>
    </row>
    <row r="220" spans="1:6" x14ac:dyDescent="0.6">
      <c r="A220" s="106" t="s">
        <v>3088</v>
      </c>
      <c r="B220" s="273">
        <v>0</v>
      </c>
      <c r="C220" s="273">
        <v>105.675</v>
      </c>
      <c r="D220" s="273">
        <v>0</v>
      </c>
      <c r="E220" s="273">
        <v>0</v>
      </c>
      <c r="F220" s="273">
        <v>105.675</v>
      </c>
    </row>
    <row r="221" spans="1:6" x14ac:dyDescent="0.6">
      <c r="A221" s="106" t="s">
        <v>3089</v>
      </c>
      <c r="B221" s="273">
        <v>0</v>
      </c>
      <c r="C221" s="273">
        <v>130.84444444444441</v>
      </c>
      <c r="D221" s="273">
        <v>0</v>
      </c>
      <c r="E221" s="273">
        <v>0</v>
      </c>
      <c r="F221" s="273">
        <v>130.84444444444441</v>
      </c>
    </row>
    <row r="222" spans="1:6" x14ac:dyDescent="0.6">
      <c r="A222" s="106" t="s">
        <v>3090</v>
      </c>
      <c r="B222" s="273">
        <v>0</v>
      </c>
      <c r="C222" s="273">
        <v>188433.73223096912</v>
      </c>
      <c r="D222" s="273">
        <v>207275.47881319918</v>
      </c>
      <c r="E222" s="273">
        <v>227574.43939477441</v>
      </c>
      <c r="F222" s="273">
        <v>623283.65043894271</v>
      </c>
    </row>
    <row r="223" spans="1:6" x14ac:dyDescent="0.6">
      <c r="A223" s="106" t="s">
        <v>3091</v>
      </c>
      <c r="B223" s="273">
        <v>0</v>
      </c>
      <c r="C223" s="273">
        <v>57.244444444444433</v>
      </c>
      <c r="D223" s="273">
        <v>57.244444444444433</v>
      </c>
      <c r="E223" s="273">
        <v>57.244444444444433</v>
      </c>
      <c r="F223" s="273">
        <v>171.73333333333329</v>
      </c>
    </row>
    <row r="224" spans="1:6" x14ac:dyDescent="0.6">
      <c r="A224" s="106" t="s">
        <v>3093</v>
      </c>
      <c r="B224" s="273">
        <v>0</v>
      </c>
      <c r="C224" s="273">
        <v>71.400000000000006</v>
      </c>
      <c r="D224" s="273">
        <v>0</v>
      </c>
      <c r="E224" s="273">
        <v>0</v>
      </c>
      <c r="F224" s="273">
        <v>71.400000000000006</v>
      </c>
    </row>
    <row r="225" spans="1:6" x14ac:dyDescent="0.6">
      <c r="A225" s="106" t="s">
        <v>3094</v>
      </c>
      <c r="B225" s="273">
        <v>0</v>
      </c>
      <c r="C225" s="273">
        <v>0</v>
      </c>
      <c r="D225" s="273">
        <v>104.67555555555553</v>
      </c>
      <c r="E225" s="273">
        <v>0</v>
      </c>
      <c r="F225" s="273">
        <v>104.67555555555553</v>
      </c>
    </row>
    <row r="226" spans="1:6" x14ac:dyDescent="0.6">
      <c r="A226" s="106" t="s">
        <v>3095</v>
      </c>
      <c r="B226" s="273">
        <v>0</v>
      </c>
      <c r="C226" s="273">
        <v>0</v>
      </c>
      <c r="D226" s="273">
        <v>0</v>
      </c>
      <c r="E226" s="273">
        <v>0</v>
      </c>
      <c r="F226" s="273"/>
    </row>
    <row r="227" spans="1:6" x14ac:dyDescent="0.6">
      <c r="A227" s="106" t="s">
        <v>3096</v>
      </c>
      <c r="B227" s="273">
        <v>0</v>
      </c>
      <c r="C227" s="273">
        <v>0</v>
      </c>
      <c r="D227" s="273">
        <v>0</v>
      </c>
      <c r="E227" s="273">
        <v>0</v>
      </c>
      <c r="F227" s="273">
        <v>0</v>
      </c>
    </row>
    <row r="228" spans="1:6" x14ac:dyDescent="0.6">
      <c r="A228" s="106" t="s">
        <v>3097</v>
      </c>
      <c r="B228" s="273">
        <v>0</v>
      </c>
      <c r="C228" s="273">
        <v>31.333333333333329</v>
      </c>
      <c r="D228" s="273">
        <v>45.936799999999998</v>
      </c>
      <c r="E228" s="273">
        <v>45.936799999999998</v>
      </c>
      <c r="F228" s="273">
        <v>123.20693333333332</v>
      </c>
    </row>
    <row r="229" spans="1:6" x14ac:dyDescent="0.6">
      <c r="A229" s="106" t="s">
        <v>3098</v>
      </c>
      <c r="B229" s="273">
        <v>0</v>
      </c>
      <c r="C229" s="273">
        <v>0</v>
      </c>
      <c r="D229" s="273">
        <v>0</v>
      </c>
      <c r="E229" s="273">
        <v>0</v>
      </c>
      <c r="F229" s="273"/>
    </row>
    <row r="230" spans="1:6" x14ac:dyDescent="0.6">
      <c r="A230" s="106" t="s">
        <v>3099</v>
      </c>
      <c r="B230" s="273">
        <v>0</v>
      </c>
      <c r="C230" s="273">
        <v>400.96999999999997</v>
      </c>
      <c r="D230" s="273">
        <v>354.6</v>
      </c>
      <c r="E230" s="273">
        <v>345.59999999999997</v>
      </c>
      <c r="F230" s="273">
        <v>1101.1699999999998</v>
      </c>
    </row>
    <row r="231" spans="1:6" x14ac:dyDescent="0.6">
      <c r="A231" s="106" t="s">
        <v>3102</v>
      </c>
      <c r="B231" s="273">
        <v>0</v>
      </c>
      <c r="C231" s="273">
        <v>54838.934490878346</v>
      </c>
      <c r="D231" s="273">
        <v>58053.776794160789</v>
      </c>
      <c r="E231" s="273">
        <v>61747.564537241131</v>
      </c>
      <c r="F231" s="273">
        <v>174640.27582228027</v>
      </c>
    </row>
    <row r="232" spans="1:6" x14ac:dyDescent="0.6">
      <c r="A232" s="106" t="s">
        <v>3103</v>
      </c>
      <c r="B232" s="273">
        <v>0</v>
      </c>
      <c r="C232" s="273">
        <v>22.95</v>
      </c>
      <c r="D232" s="273">
        <v>0</v>
      </c>
      <c r="E232" s="273">
        <v>0</v>
      </c>
      <c r="F232" s="273">
        <v>22.95</v>
      </c>
    </row>
    <row r="233" spans="1:6" x14ac:dyDescent="0.6">
      <c r="A233" s="106" t="s">
        <v>3104</v>
      </c>
      <c r="B233" s="273">
        <v>0</v>
      </c>
      <c r="C233" s="273">
        <v>56.847499999999997</v>
      </c>
      <c r="D233" s="273">
        <v>56.847499999999997</v>
      </c>
      <c r="E233" s="273">
        <v>56.847499999999997</v>
      </c>
      <c r="F233" s="273">
        <v>170.54249999999999</v>
      </c>
    </row>
    <row r="234" spans="1:6" x14ac:dyDescent="0.6">
      <c r="A234" s="106" t="s">
        <v>3106</v>
      </c>
      <c r="B234" s="273">
        <v>0</v>
      </c>
      <c r="C234" s="273">
        <v>0</v>
      </c>
      <c r="D234" s="273">
        <v>0</v>
      </c>
      <c r="E234" s="273">
        <v>0</v>
      </c>
      <c r="F234" s="273">
        <v>0</v>
      </c>
    </row>
    <row r="235" spans="1:6" x14ac:dyDescent="0.6">
      <c r="A235" s="106" t="s">
        <v>3107</v>
      </c>
      <c r="B235" s="273">
        <v>0</v>
      </c>
      <c r="C235" s="273">
        <v>0</v>
      </c>
      <c r="D235" s="273">
        <v>0</v>
      </c>
      <c r="E235" s="273">
        <v>0</v>
      </c>
      <c r="F235" s="273"/>
    </row>
    <row r="236" spans="1:6" x14ac:dyDescent="0.6">
      <c r="A236" s="106" t="s">
        <v>3108</v>
      </c>
      <c r="B236" s="273">
        <v>0</v>
      </c>
      <c r="C236" s="273">
        <v>130.84444444444441</v>
      </c>
      <c r="D236" s="273">
        <v>130.84444444444441</v>
      </c>
      <c r="E236" s="273">
        <v>130.84444444444441</v>
      </c>
      <c r="F236" s="273">
        <v>392.53333333333319</v>
      </c>
    </row>
    <row r="237" spans="1:6" x14ac:dyDescent="0.6">
      <c r="A237" s="106" t="s">
        <v>3109</v>
      </c>
      <c r="B237" s="273">
        <v>0</v>
      </c>
      <c r="C237" s="273">
        <v>0</v>
      </c>
      <c r="D237" s="273"/>
      <c r="E237" s="273">
        <v>0</v>
      </c>
      <c r="F237" s="273">
        <v>0</v>
      </c>
    </row>
    <row r="238" spans="1:6" x14ac:dyDescent="0.6">
      <c r="A238" s="106" t="s">
        <v>3110</v>
      </c>
      <c r="B238" s="273">
        <v>50</v>
      </c>
      <c r="C238" s="273">
        <v>100</v>
      </c>
      <c r="D238" s="273">
        <v>100</v>
      </c>
      <c r="E238" s="273">
        <v>100</v>
      </c>
      <c r="F238" s="273">
        <v>350</v>
      </c>
    </row>
    <row r="239" spans="1:6" x14ac:dyDescent="0.6">
      <c r="A239" s="106" t="s">
        <v>3111</v>
      </c>
      <c r="B239" s="273">
        <v>0</v>
      </c>
      <c r="C239" s="273">
        <v>343.47724333333332</v>
      </c>
      <c r="D239" s="273">
        <v>0</v>
      </c>
      <c r="E239" s="273">
        <v>0</v>
      </c>
      <c r="F239" s="273">
        <v>343.47724333333332</v>
      </c>
    </row>
    <row r="240" spans="1:6" x14ac:dyDescent="0.6">
      <c r="A240" s="106" t="s">
        <v>3112</v>
      </c>
      <c r="B240" s="273">
        <v>0</v>
      </c>
      <c r="C240" s="273">
        <v>28.199999999999996</v>
      </c>
      <c r="D240" s="273">
        <v>0</v>
      </c>
      <c r="E240" s="273">
        <v>0</v>
      </c>
      <c r="F240" s="273">
        <v>28.199999999999996</v>
      </c>
    </row>
    <row r="241" spans="1:6" x14ac:dyDescent="0.6">
      <c r="A241" s="106" t="s">
        <v>3113</v>
      </c>
      <c r="B241" s="273">
        <v>62.533333333333331</v>
      </c>
      <c r="C241" s="273">
        <v>1786.4355555555553</v>
      </c>
      <c r="D241" s="273">
        <v>1786.4355555555553</v>
      </c>
      <c r="E241" s="273">
        <v>1786.4355555555553</v>
      </c>
      <c r="F241" s="273">
        <v>5421.8399999999992</v>
      </c>
    </row>
    <row r="242" spans="1:6" x14ac:dyDescent="0.6">
      <c r="A242" s="106" t="s">
        <v>3114</v>
      </c>
      <c r="B242" s="273"/>
      <c r="C242" s="273"/>
      <c r="D242" s="273"/>
      <c r="E242" s="273"/>
      <c r="F242" s="273"/>
    </row>
    <row r="243" spans="1:6" x14ac:dyDescent="0.6">
      <c r="A243" s="106" t="s">
        <v>3119</v>
      </c>
      <c r="B243" s="273">
        <v>0</v>
      </c>
      <c r="C243" s="273">
        <v>3562.5</v>
      </c>
      <c r="D243" s="273">
        <v>3562.5</v>
      </c>
      <c r="E243" s="273">
        <v>3562.5</v>
      </c>
      <c r="F243" s="273">
        <v>10687.5</v>
      </c>
    </row>
    <row r="244" spans="1:6" x14ac:dyDescent="0.6">
      <c r="A244" s="106" t="s">
        <v>3121</v>
      </c>
      <c r="B244" s="273">
        <v>3000</v>
      </c>
      <c r="C244" s="273">
        <v>4891.6634599999998</v>
      </c>
      <c r="D244" s="273">
        <v>3000</v>
      </c>
      <c r="E244" s="273">
        <v>3000</v>
      </c>
      <c r="F244" s="273">
        <v>4891.6634599999998</v>
      </c>
    </row>
    <row r="245" spans="1:6" x14ac:dyDescent="0.6">
      <c r="A245" s="106" t="s">
        <v>3122</v>
      </c>
      <c r="B245" s="273">
        <v>0</v>
      </c>
      <c r="C245" s="273">
        <v>100.91666666666666</v>
      </c>
      <c r="D245" s="273">
        <v>0</v>
      </c>
      <c r="E245" s="273">
        <v>0</v>
      </c>
      <c r="F245" s="273">
        <v>100.91666666666666</v>
      </c>
    </row>
    <row r="246" spans="1:6" x14ac:dyDescent="0.6">
      <c r="A246" s="106" t="s">
        <v>3123</v>
      </c>
      <c r="B246" s="273">
        <v>0</v>
      </c>
      <c r="C246" s="273">
        <v>213.38999999999996</v>
      </c>
      <c r="D246" s="273">
        <v>0</v>
      </c>
      <c r="E246" s="273">
        <v>0</v>
      </c>
      <c r="F246" s="273">
        <v>213.38999999999996</v>
      </c>
    </row>
    <row r="247" spans="1:6" x14ac:dyDescent="0.6">
      <c r="A247" s="106" t="s">
        <v>3124</v>
      </c>
      <c r="B247" s="273"/>
      <c r="C247" s="273"/>
      <c r="D247" s="273"/>
      <c r="E247" s="273"/>
      <c r="F247" s="273"/>
    </row>
    <row r="248" spans="1:6" x14ac:dyDescent="0.6">
      <c r="A248" s="106" t="s">
        <v>3126</v>
      </c>
      <c r="B248" s="273"/>
      <c r="C248" s="273"/>
      <c r="D248" s="273"/>
      <c r="E248" s="273"/>
      <c r="F248" s="273"/>
    </row>
    <row r="249" spans="1:6" x14ac:dyDescent="0.6">
      <c r="A249" s="106" t="s">
        <v>3127</v>
      </c>
      <c r="B249" s="273"/>
      <c r="C249" s="273"/>
      <c r="D249" s="273"/>
      <c r="E249" s="273"/>
      <c r="F249" s="273"/>
    </row>
    <row r="250" spans="1:6" x14ac:dyDescent="0.6">
      <c r="A250" s="106" t="s">
        <v>3128</v>
      </c>
      <c r="B250" s="273">
        <v>714</v>
      </c>
      <c r="C250" s="273">
        <v>210</v>
      </c>
      <c r="D250" s="273">
        <v>240</v>
      </c>
      <c r="E250" s="273">
        <v>240</v>
      </c>
      <c r="F250" s="273">
        <v>1404</v>
      </c>
    </row>
    <row r="251" spans="1:6" x14ac:dyDescent="0.6">
      <c r="A251" s="106" t="s">
        <v>3129</v>
      </c>
      <c r="B251" s="273"/>
      <c r="C251" s="273"/>
      <c r="D251" s="273"/>
      <c r="E251" s="273"/>
      <c r="F251" s="273"/>
    </row>
    <row r="252" spans="1:6" x14ac:dyDescent="0.6">
      <c r="A252" s="106" t="s">
        <v>3130</v>
      </c>
      <c r="B252" s="273">
        <v>6503.6933333333336</v>
      </c>
      <c r="C252" s="273">
        <v>4679.55</v>
      </c>
      <c r="D252" s="273">
        <v>2987.7422720000004</v>
      </c>
      <c r="E252" s="273">
        <v>3172.95316</v>
      </c>
      <c r="F252" s="273">
        <v>17343.938765333332</v>
      </c>
    </row>
    <row r="253" spans="1:6" x14ac:dyDescent="0.6">
      <c r="A253" s="106" t="s">
        <v>3132</v>
      </c>
      <c r="B253" s="273">
        <v>0</v>
      </c>
      <c r="C253" s="273">
        <v>3183.7888888888838</v>
      </c>
      <c r="D253" s="273">
        <v>3969.7166666666617</v>
      </c>
      <c r="E253" s="273">
        <v>2149.999999999995</v>
      </c>
      <c r="F253" s="273">
        <v>9303.5055555555409</v>
      </c>
    </row>
    <row r="254" spans="1:6" x14ac:dyDescent="0.6">
      <c r="A254" s="106" t="s">
        <v>3133</v>
      </c>
      <c r="B254" s="273">
        <v>0</v>
      </c>
      <c r="C254" s="273">
        <v>143.59444444444441</v>
      </c>
      <c r="D254" s="273">
        <v>130.84444444444441</v>
      </c>
      <c r="E254" s="273">
        <v>130.84444444444441</v>
      </c>
      <c r="F254" s="273">
        <v>405.28333333333319</v>
      </c>
    </row>
    <row r="255" spans="1:6" x14ac:dyDescent="0.6">
      <c r="A255" s="106" t="s">
        <v>3134</v>
      </c>
      <c r="B255" s="273">
        <v>0</v>
      </c>
      <c r="C255" s="273">
        <v>30.6</v>
      </c>
      <c r="D255" s="273">
        <v>30.6</v>
      </c>
      <c r="E255" s="273">
        <v>30.6</v>
      </c>
      <c r="F255" s="273">
        <v>91.800000000000011</v>
      </c>
    </row>
    <row r="256" spans="1:6" x14ac:dyDescent="0.6">
      <c r="A256" s="106" t="s">
        <v>3138</v>
      </c>
      <c r="B256" s="273">
        <v>129.5</v>
      </c>
      <c r="C256" s="273">
        <v>229.5</v>
      </c>
      <c r="D256" s="273">
        <v>325.43680000000001</v>
      </c>
      <c r="E256" s="273">
        <v>225.43680000000001</v>
      </c>
      <c r="F256" s="273">
        <v>909.87360000000001</v>
      </c>
    </row>
    <row r="257" spans="1:6" x14ac:dyDescent="0.6">
      <c r="A257" s="106" t="s">
        <v>3139</v>
      </c>
      <c r="B257" s="273"/>
      <c r="C257" s="273"/>
      <c r="D257" s="273"/>
      <c r="E257" s="273"/>
      <c r="F257" s="273"/>
    </row>
    <row r="258" spans="1:6" x14ac:dyDescent="0.6">
      <c r="A258" s="106" t="s">
        <v>3141</v>
      </c>
      <c r="B258" s="273">
        <v>0</v>
      </c>
      <c r="C258" s="273">
        <v>266.59999999999997</v>
      </c>
      <c r="D258" s="273">
        <v>41</v>
      </c>
      <c r="E258" s="273">
        <v>266.59999999999997</v>
      </c>
      <c r="F258" s="273">
        <v>574.19999999999993</v>
      </c>
    </row>
    <row r="259" spans="1:6" x14ac:dyDescent="0.6">
      <c r="A259" s="106" t="s">
        <v>3142</v>
      </c>
      <c r="B259" s="273">
        <v>0</v>
      </c>
      <c r="C259" s="273">
        <v>5.0999999999999996</v>
      </c>
      <c r="D259" s="273">
        <v>5.0999999999999996</v>
      </c>
      <c r="E259" s="273">
        <v>5.0999999999999996</v>
      </c>
      <c r="F259" s="273">
        <v>15.299999999999999</v>
      </c>
    </row>
    <row r="260" spans="1:6" x14ac:dyDescent="0.6">
      <c r="A260" s="106" t="s">
        <v>3143</v>
      </c>
      <c r="B260" s="273">
        <v>0</v>
      </c>
      <c r="C260" s="273">
        <v>61.099999999999994</v>
      </c>
      <c r="D260" s="273">
        <v>0</v>
      </c>
      <c r="E260" s="273">
        <v>0</v>
      </c>
      <c r="F260" s="273">
        <v>61.099999999999994</v>
      </c>
    </row>
    <row r="261" spans="1:6" x14ac:dyDescent="0.6">
      <c r="A261" s="106" t="s">
        <v>3144</v>
      </c>
      <c r="B261" s="273">
        <v>0</v>
      </c>
      <c r="C261" s="273">
        <v>31.333333333333329</v>
      </c>
      <c r="D261" s="273">
        <v>425.59188</v>
      </c>
      <c r="E261" s="273">
        <v>31.333333333333329</v>
      </c>
      <c r="F261" s="273">
        <v>488.25854666666669</v>
      </c>
    </row>
    <row r="262" spans="1:6" x14ac:dyDescent="0.6">
      <c r="A262" s="106" t="s">
        <v>3146</v>
      </c>
      <c r="B262" s="273">
        <v>0</v>
      </c>
      <c r="C262" s="273">
        <v>15.3</v>
      </c>
      <c r="D262" s="273">
        <v>7.5</v>
      </c>
      <c r="E262" s="273">
        <v>0</v>
      </c>
      <c r="F262" s="273">
        <v>22.8</v>
      </c>
    </row>
    <row r="263" spans="1:6" x14ac:dyDescent="0.6">
      <c r="A263" s="106" t="s">
        <v>3147</v>
      </c>
      <c r="B263" s="273">
        <v>0</v>
      </c>
      <c r="C263" s="273">
        <v>15.3</v>
      </c>
      <c r="D263" s="273">
        <v>882.99195499999996</v>
      </c>
      <c r="E263" s="273">
        <v>0</v>
      </c>
      <c r="F263" s="273">
        <v>898.29195499999992</v>
      </c>
    </row>
    <row r="264" spans="1:6" x14ac:dyDescent="0.6">
      <c r="A264" s="106" t="s">
        <v>3148</v>
      </c>
      <c r="B264" s="273">
        <v>0</v>
      </c>
      <c r="C264" s="273">
        <v>99.495555555555541</v>
      </c>
      <c r="D264" s="273">
        <v>605.22888888888895</v>
      </c>
      <c r="E264" s="273">
        <v>99.495555555555541</v>
      </c>
      <c r="F264" s="273">
        <v>804.22</v>
      </c>
    </row>
    <row r="265" spans="1:6" x14ac:dyDescent="0.6">
      <c r="A265" s="106" t="s">
        <v>3149</v>
      </c>
      <c r="B265" s="273">
        <v>0</v>
      </c>
      <c r="C265" s="273">
        <v>12621.87192548</v>
      </c>
      <c r="D265" s="273">
        <v>14088.863222644446</v>
      </c>
      <c r="E265" s="273">
        <v>15609.843939711112</v>
      </c>
      <c r="F265" s="273">
        <v>42320.579087835555</v>
      </c>
    </row>
    <row r="266" spans="1:6" x14ac:dyDescent="0.6">
      <c r="A266" s="106" t="s">
        <v>3152</v>
      </c>
      <c r="B266" s="273">
        <v>0</v>
      </c>
      <c r="C266" s="273">
        <v>8.16</v>
      </c>
      <c r="D266" s="273">
        <v>223.20624000000001</v>
      </c>
      <c r="E266" s="273">
        <v>0</v>
      </c>
      <c r="F266" s="273">
        <v>231.36624</v>
      </c>
    </row>
    <row r="267" spans="1:6" x14ac:dyDescent="0.6">
      <c r="A267" s="106" t="s">
        <v>3153</v>
      </c>
      <c r="B267" s="273">
        <v>0</v>
      </c>
      <c r="C267" s="273">
        <v>0</v>
      </c>
      <c r="D267" s="273">
        <v>284.2</v>
      </c>
      <c r="E267" s="273">
        <v>503.41158000000001</v>
      </c>
      <c r="F267" s="273">
        <v>787.61158</v>
      </c>
    </row>
    <row r="268" spans="1:6" x14ac:dyDescent="0.6">
      <c r="A268" s="106" t="s">
        <v>3155</v>
      </c>
      <c r="B268" s="273">
        <v>0</v>
      </c>
      <c r="C268" s="273">
        <v>275.52878333333331</v>
      </c>
      <c r="D268" s="273">
        <v>284.20000000000005</v>
      </c>
      <c r="E268" s="273">
        <v>41.7</v>
      </c>
      <c r="F268" s="273">
        <v>601.4287833333334</v>
      </c>
    </row>
    <row r="269" spans="1:6" x14ac:dyDescent="0.6">
      <c r="A269" s="106" t="s">
        <v>3160</v>
      </c>
      <c r="B269" s="273">
        <v>0</v>
      </c>
      <c r="C269" s="273">
        <v>0</v>
      </c>
      <c r="D269" s="273">
        <v>0</v>
      </c>
      <c r="E269" s="273">
        <v>196.26666666666662</v>
      </c>
      <c r="F269" s="273">
        <v>196.26666666666662</v>
      </c>
    </row>
    <row r="270" spans="1:6" x14ac:dyDescent="0.6">
      <c r="A270" s="106" t="s">
        <v>3161</v>
      </c>
      <c r="B270" s="273">
        <v>0</v>
      </c>
      <c r="C270" s="273">
        <v>1.2767886014399998</v>
      </c>
      <c r="D270" s="273">
        <v>2.1279810023999999</v>
      </c>
      <c r="E270" s="273">
        <v>2.1279810023999999</v>
      </c>
      <c r="F270" s="273">
        <v>5.5327506062399987</v>
      </c>
    </row>
    <row r="271" spans="1:6" x14ac:dyDescent="0.6">
      <c r="A271" s="106" t="s">
        <v>3163</v>
      </c>
      <c r="B271" s="273">
        <v>0</v>
      </c>
      <c r="C271" s="273">
        <v>15.3</v>
      </c>
      <c r="D271" s="273">
        <v>15.3</v>
      </c>
      <c r="E271" s="273">
        <v>0</v>
      </c>
      <c r="F271" s="273">
        <v>30.6</v>
      </c>
    </row>
    <row r="272" spans="1:6" x14ac:dyDescent="0.6">
      <c r="A272" s="106" t="s">
        <v>3164</v>
      </c>
      <c r="B272" s="273">
        <v>0</v>
      </c>
      <c r="C272" s="273">
        <v>0</v>
      </c>
      <c r="D272" s="273">
        <v>65.422222222222217</v>
      </c>
      <c r="E272" s="273">
        <v>65.422222222222217</v>
      </c>
      <c r="F272" s="273">
        <v>130.84444444444443</v>
      </c>
    </row>
    <row r="273" spans="1:6" x14ac:dyDescent="0.6">
      <c r="A273" s="106" t="s">
        <v>3165</v>
      </c>
      <c r="B273" s="273">
        <v>0</v>
      </c>
      <c r="C273" s="273">
        <v>59.599999999999994</v>
      </c>
      <c r="D273" s="273">
        <v>0</v>
      </c>
      <c r="E273" s="273">
        <v>0</v>
      </c>
      <c r="F273" s="273">
        <v>59.599999999999994</v>
      </c>
    </row>
    <row r="274" spans="1:6" x14ac:dyDescent="0.6">
      <c r="A274" s="106" t="s">
        <v>3166</v>
      </c>
      <c r="B274" s="273">
        <v>0</v>
      </c>
      <c r="C274" s="273">
        <v>1.5</v>
      </c>
      <c r="D274" s="273">
        <v>1.5</v>
      </c>
      <c r="E274" s="273">
        <v>1.5</v>
      </c>
      <c r="F274" s="273">
        <v>4.5</v>
      </c>
    </row>
    <row r="275" spans="1:6" x14ac:dyDescent="0.6">
      <c r="A275" s="106" t="s">
        <v>3167</v>
      </c>
      <c r="B275" s="273">
        <v>0</v>
      </c>
      <c r="C275" s="273">
        <v>101.37777777777777</v>
      </c>
      <c r="D275" s="273">
        <v>104.27777777777777</v>
      </c>
      <c r="E275" s="273">
        <v>81.777777777777771</v>
      </c>
      <c r="F275" s="273">
        <v>287.43333333333328</v>
      </c>
    </row>
    <row r="276" spans="1:6" x14ac:dyDescent="0.6">
      <c r="A276" s="106" t="s">
        <v>3168</v>
      </c>
      <c r="B276" s="273">
        <v>9</v>
      </c>
      <c r="C276" s="273">
        <v>165.19145760000001</v>
      </c>
      <c r="D276" s="273">
        <v>269.31909599999994</v>
      </c>
      <c r="E276" s="273">
        <v>269.31909599999994</v>
      </c>
      <c r="F276" s="273">
        <v>712.82964959999993</v>
      </c>
    </row>
    <row r="277" spans="1:6" x14ac:dyDescent="0.6">
      <c r="A277" s="106" t="s">
        <v>3171</v>
      </c>
      <c r="B277" s="273">
        <v>0</v>
      </c>
      <c r="C277" s="273">
        <v>13.95</v>
      </c>
      <c r="D277" s="273">
        <v>698.09934666666663</v>
      </c>
      <c r="E277" s="273">
        <v>3.75</v>
      </c>
      <c r="F277" s="273">
        <v>715.79934666666668</v>
      </c>
    </row>
    <row r="278" spans="1:6" x14ac:dyDescent="0.6">
      <c r="A278" s="106" t="s">
        <v>3172</v>
      </c>
      <c r="B278" s="273">
        <v>0</v>
      </c>
      <c r="C278" s="273">
        <v>176.17786899999999</v>
      </c>
      <c r="D278" s="273">
        <v>176.17786899999999</v>
      </c>
      <c r="E278" s="273">
        <v>176.17786899999999</v>
      </c>
      <c r="F278" s="273">
        <v>528.53360700000007</v>
      </c>
    </row>
    <row r="279" spans="1:6" x14ac:dyDescent="0.6">
      <c r="A279" s="106" t="s">
        <v>3173</v>
      </c>
      <c r="B279" s="273">
        <v>0</v>
      </c>
      <c r="C279" s="273">
        <v>219.125</v>
      </c>
      <c r="D279" s="273">
        <v>219.125</v>
      </c>
      <c r="E279" s="273">
        <v>219.125</v>
      </c>
      <c r="F279" s="273">
        <v>657.375</v>
      </c>
    </row>
    <row r="280" spans="1:6" x14ac:dyDescent="0.6">
      <c r="A280" s="106" t="s">
        <v>3174</v>
      </c>
      <c r="B280" s="273">
        <v>0</v>
      </c>
      <c r="C280" s="273">
        <v>367.73333333333335</v>
      </c>
      <c r="D280" s="273">
        <v>367.73333333333335</v>
      </c>
      <c r="E280" s="273">
        <v>367.73333333333335</v>
      </c>
      <c r="F280" s="273">
        <v>1103.1999999999998</v>
      </c>
    </row>
    <row r="281" spans="1:6" x14ac:dyDescent="0.6">
      <c r="A281" s="106" t="s">
        <v>3175</v>
      </c>
      <c r="B281" s="273">
        <v>0</v>
      </c>
      <c r="C281" s="273">
        <v>12.75</v>
      </c>
      <c r="D281" s="273">
        <v>12.533333333333331</v>
      </c>
      <c r="E281" s="273">
        <v>0</v>
      </c>
      <c r="F281" s="273">
        <v>25.283333333333331</v>
      </c>
    </row>
    <row r="282" spans="1:6" x14ac:dyDescent="0.6">
      <c r="A282" s="106" t="s">
        <v>3176</v>
      </c>
      <c r="B282" s="273">
        <v>0</v>
      </c>
      <c r="C282" s="273">
        <v>0</v>
      </c>
      <c r="D282" s="273">
        <v>147.19999999999996</v>
      </c>
      <c r="E282" s="273">
        <v>6122.2</v>
      </c>
      <c r="F282" s="273">
        <v>6269.4</v>
      </c>
    </row>
    <row r="283" spans="1:6" x14ac:dyDescent="0.6">
      <c r="A283" s="106" t="s">
        <v>3179</v>
      </c>
      <c r="B283" s="273">
        <v>0</v>
      </c>
      <c r="C283" s="273">
        <v>0</v>
      </c>
      <c r="D283" s="273">
        <v>1008.75</v>
      </c>
      <c r="E283" s="273">
        <v>1614</v>
      </c>
      <c r="F283" s="273">
        <v>2622.75</v>
      </c>
    </row>
    <row r="284" spans="1:6" x14ac:dyDescent="0.6">
      <c r="A284" s="106" t="s">
        <v>3180</v>
      </c>
      <c r="B284" s="273">
        <v>40.040000000000006</v>
      </c>
      <c r="C284" s="273">
        <v>7.0000000000000009</v>
      </c>
      <c r="D284" s="273">
        <v>316.85500000000002</v>
      </c>
      <c r="E284" s="273">
        <v>499.55500000000001</v>
      </c>
      <c r="F284" s="273">
        <v>863.45</v>
      </c>
    </row>
    <row r="285" spans="1:6" x14ac:dyDescent="0.6">
      <c r="A285" s="106" t="s">
        <v>3182</v>
      </c>
      <c r="B285" s="273">
        <v>0</v>
      </c>
      <c r="C285" s="273">
        <v>0</v>
      </c>
      <c r="D285" s="273">
        <v>1352.7798234444444</v>
      </c>
      <c r="E285" s="273">
        <v>1513.6521294444444</v>
      </c>
      <c r="F285" s="273">
        <v>2866.4319528888891</v>
      </c>
    </row>
    <row r="286" spans="1:6" x14ac:dyDescent="0.6">
      <c r="A286" s="102" t="s">
        <v>2066</v>
      </c>
      <c r="B286" s="273">
        <v>0</v>
      </c>
      <c r="C286" s="273">
        <v>8468.3166337555558</v>
      </c>
      <c r="D286" s="273">
        <v>15203.834378622223</v>
      </c>
      <c r="E286" s="273">
        <v>11741.17368952222</v>
      </c>
      <c r="F286" s="273">
        <v>35413.324701899997</v>
      </c>
    </row>
    <row r="287" spans="1:6" x14ac:dyDescent="0.6">
      <c r="A287" s="106" t="s">
        <v>3069</v>
      </c>
      <c r="B287" s="273"/>
      <c r="C287" s="273"/>
      <c r="D287" s="273"/>
      <c r="E287" s="273"/>
      <c r="F287" s="273"/>
    </row>
    <row r="288" spans="1:6" x14ac:dyDescent="0.6">
      <c r="A288" s="106" t="s">
        <v>3099</v>
      </c>
      <c r="B288" s="273">
        <v>0</v>
      </c>
      <c r="C288" s="273">
        <v>45.943333333333328</v>
      </c>
      <c r="D288" s="273">
        <v>45.943333333333328</v>
      </c>
      <c r="E288" s="273">
        <v>45.943333333333328</v>
      </c>
      <c r="F288" s="273">
        <v>137.82999999999998</v>
      </c>
    </row>
    <row r="289" spans="1:6" x14ac:dyDescent="0.6">
      <c r="A289" s="106" t="s">
        <v>3102</v>
      </c>
      <c r="B289" s="273">
        <v>0</v>
      </c>
      <c r="C289" s="273">
        <v>5911.2344115333335</v>
      </c>
      <c r="D289" s="273">
        <v>11687.135489733335</v>
      </c>
      <c r="E289" s="273">
        <v>8663.8516172999989</v>
      </c>
      <c r="F289" s="273">
        <v>26262.221518566668</v>
      </c>
    </row>
    <row r="290" spans="1:6" x14ac:dyDescent="0.6">
      <c r="A290" s="106" t="s">
        <v>3103</v>
      </c>
      <c r="B290" s="273">
        <v>0</v>
      </c>
      <c r="C290" s="273">
        <v>163.55555555555551</v>
      </c>
      <c r="D290" s="273">
        <v>163.55555555555551</v>
      </c>
      <c r="E290" s="273">
        <v>163.55555555555551</v>
      </c>
      <c r="F290" s="273">
        <v>490.66666666666652</v>
      </c>
    </row>
    <row r="291" spans="1:6" x14ac:dyDescent="0.6">
      <c r="A291" s="106" t="s">
        <v>3109</v>
      </c>
      <c r="B291" s="273">
        <v>0</v>
      </c>
      <c r="C291" s="273">
        <v>0</v>
      </c>
      <c r="D291" s="273">
        <v>959.61666666666667</v>
      </c>
      <c r="E291" s="273">
        <v>0</v>
      </c>
      <c r="F291" s="273">
        <v>959.61666666666667</v>
      </c>
    </row>
    <row r="292" spans="1:6" x14ac:dyDescent="0.6">
      <c r="A292" s="106" t="s">
        <v>3113</v>
      </c>
      <c r="B292" s="273">
        <v>0</v>
      </c>
      <c r="C292" s="273">
        <v>783.33333333333326</v>
      </c>
      <c r="D292" s="273">
        <v>783.33333333333326</v>
      </c>
      <c r="E292" s="273">
        <v>783.33333333333326</v>
      </c>
      <c r="F292" s="273">
        <v>2349.9999999999995</v>
      </c>
    </row>
    <row r="293" spans="1:6" x14ac:dyDescent="0.6">
      <c r="A293" s="106" t="s">
        <v>3117</v>
      </c>
      <c r="B293" s="273">
        <v>0</v>
      </c>
      <c r="C293" s="273">
        <v>1526</v>
      </c>
      <c r="D293" s="273">
        <v>1526</v>
      </c>
      <c r="E293" s="273">
        <v>1526</v>
      </c>
      <c r="F293" s="273">
        <v>4578</v>
      </c>
    </row>
    <row r="294" spans="1:6" x14ac:dyDescent="0.6">
      <c r="A294" s="106" t="s">
        <v>3118</v>
      </c>
      <c r="B294" s="273">
        <v>0</v>
      </c>
      <c r="C294" s="273">
        <v>38.25</v>
      </c>
      <c r="D294" s="273">
        <v>38.25</v>
      </c>
      <c r="E294" s="273">
        <v>558.48985000000005</v>
      </c>
      <c r="F294" s="273">
        <v>634.98985000000005</v>
      </c>
    </row>
    <row r="295" spans="1:6" x14ac:dyDescent="0.6">
      <c r="A295" s="102" t="s">
        <v>679</v>
      </c>
      <c r="B295" s="273">
        <v>0</v>
      </c>
      <c r="C295" s="273">
        <v>862300.48665219441</v>
      </c>
      <c r="D295" s="273">
        <v>867109.54607198434</v>
      </c>
      <c r="E295" s="273">
        <v>731447.27986424346</v>
      </c>
      <c r="F295" s="273">
        <v>2460857.3125884221</v>
      </c>
    </row>
    <row r="296" spans="1:6" x14ac:dyDescent="0.6">
      <c r="A296" s="106" t="s">
        <v>2811</v>
      </c>
      <c r="B296" s="273">
        <v>0</v>
      </c>
      <c r="C296" s="273">
        <v>0</v>
      </c>
      <c r="D296" s="273">
        <v>0</v>
      </c>
      <c r="E296" s="273">
        <v>203</v>
      </c>
      <c r="F296" s="273">
        <v>203</v>
      </c>
    </row>
    <row r="297" spans="1:6" x14ac:dyDescent="0.6">
      <c r="A297" s="106" t="s">
        <v>2712</v>
      </c>
      <c r="B297" s="273"/>
      <c r="C297" s="273"/>
      <c r="D297" s="273"/>
      <c r="E297" s="273"/>
      <c r="F297" s="273"/>
    </row>
    <row r="298" spans="1:6" x14ac:dyDescent="0.6">
      <c r="A298" s="106" t="s">
        <v>2970</v>
      </c>
      <c r="B298" s="273"/>
      <c r="C298" s="273"/>
      <c r="D298" s="273"/>
      <c r="E298" s="273"/>
      <c r="F298" s="273"/>
    </row>
    <row r="299" spans="1:6" x14ac:dyDescent="0.6">
      <c r="A299" s="106" t="s">
        <v>2971</v>
      </c>
      <c r="B299" s="273">
        <v>0</v>
      </c>
      <c r="C299" s="273">
        <v>127993.07839821914</v>
      </c>
      <c r="D299" s="273">
        <v>137712.6340136975</v>
      </c>
      <c r="E299" s="273">
        <v>148052.77292775494</v>
      </c>
      <c r="F299" s="273">
        <v>413758.48533967161</v>
      </c>
    </row>
    <row r="300" spans="1:6" x14ac:dyDescent="0.6">
      <c r="A300" s="106" t="s">
        <v>2972</v>
      </c>
      <c r="B300" s="273">
        <v>0</v>
      </c>
      <c r="C300" s="273">
        <v>273.84270000000004</v>
      </c>
      <c r="D300" s="273">
        <v>159.09270000000001</v>
      </c>
      <c r="E300" s="273">
        <v>238.63905</v>
      </c>
      <c r="F300" s="273">
        <v>671.57445000000007</v>
      </c>
    </row>
    <row r="301" spans="1:6" x14ac:dyDescent="0.6">
      <c r="A301" s="106" t="s">
        <v>2973</v>
      </c>
      <c r="B301" s="273"/>
      <c r="C301" s="273"/>
      <c r="D301" s="273"/>
      <c r="E301" s="273"/>
      <c r="F301" s="273"/>
    </row>
    <row r="302" spans="1:6" x14ac:dyDescent="0.6">
      <c r="A302" s="106" t="s">
        <v>2974</v>
      </c>
      <c r="B302" s="273">
        <v>0</v>
      </c>
      <c r="C302" s="273">
        <v>134.22499999999999</v>
      </c>
      <c r="D302" s="273">
        <v>134.22499999999999</v>
      </c>
      <c r="E302" s="273">
        <v>134.22499999999999</v>
      </c>
      <c r="F302" s="273">
        <v>402.67499999999995</v>
      </c>
    </row>
    <row r="303" spans="1:6" x14ac:dyDescent="0.6">
      <c r="A303" s="106" t="s">
        <v>2975</v>
      </c>
      <c r="B303" s="273"/>
      <c r="C303" s="273"/>
      <c r="D303" s="273"/>
      <c r="E303" s="273"/>
      <c r="F303" s="273"/>
    </row>
    <row r="304" spans="1:6" x14ac:dyDescent="0.6">
      <c r="A304" s="106" t="s">
        <v>2976</v>
      </c>
      <c r="B304" s="273">
        <v>0</v>
      </c>
      <c r="C304" s="273">
        <v>0</v>
      </c>
      <c r="D304" s="273">
        <v>0</v>
      </c>
      <c r="E304" s="273">
        <v>0</v>
      </c>
      <c r="F304" s="273"/>
    </row>
    <row r="305" spans="1:6" x14ac:dyDescent="0.6">
      <c r="A305" s="106" t="s">
        <v>2977</v>
      </c>
      <c r="B305" s="273">
        <v>0</v>
      </c>
      <c r="C305" s="273">
        <v>2230.0504546666666</v>
      </c>
      <c r="D305" s="273">
        <v>203</v>
      </c>
      <c r="E305" s="273">
        <v>0</v>
      </c>
      <c r="F305" s="273">
        <v>2433.0504546666666</v>
      </c>
    </row>
    <row r="306" spans="1:6" x14ac:dyDescent="0.6">
      <c r="A306" s="106" t="s">
        <v>2978</v>
      </c>
      <c r="B306" s="273">
        <v>0</v>
      </c>
      <c r="C306" s="273">
        <v>632.24074000000007</v>
      </c>
      <c r="D306" s="273">
        <v>528.06405333333328</v>
      </c>
      <c r="E306" s="273">
        <v>126.66666666666666</v>
      </c>
      <c r="F306" s="273">
        <v>1286.9714599999998</v>
      </c>
    </row>
    <row r="307" spans="1:6" x14ac:dyDescent="0.6">
      <c r="A307" s="106" t="s">
        <v>2979</v>
      </c>
      <c r="B307" s="273"/>
      <c r="C307" s="273"/>
      <c r="D307" s="273"/>
      <c r="E307" s="273"/>
      <c r="F307" s="273"/>
    </row>
    <row r="308" spans="1:6" x14ac:dyDescent="0.6">
      <c r="A308" s="106" t="s">
        <v>2980</v>
      </c>
      <c r="B308" s="273">
        <v>0</v>
      </c>
      <c r="C308" s="273">
        <v>79.546350000000004</v>
      </c>
      <c r="D308" s="273">
        <v>2368.333333333333</v>
      </c>
      <c r="E308" s="273">
        <v>0</v>
      </c>
      <c r="F308" s="273">
        <v>2447.8796833333331</v>
      </c>
    </row>
    <row r="309" spans="1:6" x14ac:dyDescent="0.6">
      <c r="A309" s="106" t="s">
        <v>2981</v>
      </c>
      <c r="B309" s="273"/>
      <c r="C309" s="273"/>
      <c r="D309" s="273"/>
      <c r="E309" s="273"/>
      <c r="F309" s="273"/>
    </row>
    <row r="310" spans="1:6" x14ac:dyDescent="0.6">
      <c r="A310" s="106" t="s">
        <v>2982</v>
      </c>
      <c r="B310" s="273">
        <v>0</v>
      </c>
      <c r="C310" s="273">
        <v>0</v>
      </c>
      <c r="D310" s="273">
        <v>2943.9999999999995</v>
      </c>
      <c r="E310" s="273">
        <v>408.8888888888888</v>
      </c>
      <c r="F310" s="273">
        <v>3352.8888888888882</v>
      </c>
    </row>
    <row r="311" spans="1:6" x14ac:dyDescent="0.6">
      <c r="A311" s="106" t="s">
        <v>2983</v>
      </c>
      <c r="B311" s="273">
        <v>0</v>
      </c>
      <c r="C311" s="273">
        <v>0</v>
      </c>
      <c r="D311" s="273">
        <v>22.400000000000002</v>
      </c>
      <c r="E311" s="273">
        <v>19.600000000000001</v>
      </c>
      <c r="F311" s="273">
        <v>42</v>
      </c>
    </row>
    <row r="312" spans="1:6" x14ac:dyDescent="0.6">
      <c r="A312" s="106" t="s">
        <v>2984</v>
      </c>
      <c r="B312" s="273">
        <v>0</v>
      </c>
      <c r="C312" s="273">
        <v>107416.27842584577</v>
      </c>
      <c r="D312" s="273">
        <v>108894.47421149936</v>
      </c>
      <c r="E312" s="273">
        <v>110338.85845876668</v>
      </c>
      <c r="F312" s="273">
        <v>326649.61109611182</v>
      </c>
    </row>
    <row r="313" spans="1:6" x14ac:dyDescent="0.6">
      <c r="A313" s="106" t="s">
        <v>2985</v>
      </c>
      <c r="B313" s="273"/>
      <c r="C313" s="273"/>
      <c r="D313" s="273"/>
      <c r="E313" s="273"/>
      <c r="F313" s="273"/>
    </row>
    <row r="314" spans="1:6" x14ac:dyDescent="0.6">
      <c r="A314" s="106" t="s">
        <v>2986</v>
      </c>
      <c r="B314" s="273">
        <v>0</v>
      </c>
      <c r="C314" s="273">
        <v>0</v>
      </c>
      <c r="D314" s="273">
        <v>0</v>
      </c>
      <c r="E314" s="273">
        <v>0</v>
      </c>
      <c r="F314" s="273"/>
    </row>
    <row r="315" spans="1:6" x14ac:dyDescent="0.6">
      <c r="A315" s="106" t="s">
        <v>2987</v>
      </c>
      <c r="B315" s="273"/>
      <c r="C315" s="273"/>
      <c r="D315" s="273"/>
      <c r="E315" s="273"/>
      <c r="F315" s="273"/>
    </row>
    <row r="316" spans="1:6" x14ac:dyDescent="0.6">
      <c r="A316" s="106" t="s">
        <v>2988</v>
      </c>
      <c r="B316" s="273"/>
      <c r="C316" s="273"/>
      <c r="D316" s="273"/>
      <c r="E316" s="273"/>
      <c r="F316" s="273"/>
    </row>
    <row r="317" spans="1:6" x14ac:dyDescent="0.6">
      <c r="A317" s="106" t="s">
        <v>2989</v>
      </c>
      <c r="B317" s="273">
        <v>0</v>
      </c>
      <c r="C317" s="273">
        <v>0</v>
      </c>
      <c r="D317" s="273">
        <v>11250.630333333334</v>
      </c>
      <c r="E317" s="273">
        <v>4923.1688000000004</v>
      </c>
      <c r="F317" s="273">
        <v>16173.799133333336</v>
      </c>
    </row>
    <row r="318" spans="1:6" x14ac:dyDescent="0.6">
      <c r="A318" s="106" t="s">
        <v>2990</v>
      </c>
      <c r="B318" s="273"/>
      <c r="C318" s="273"/>
      <c r="D318" s="273"/>
      <c r="E318" s="273"/>
      <c r="F318" s="273"/>
    </row>
    <row r="319" spans="1:6" x14ac:dyDescent="0.6">
      <c r="A319" s="106" t="s">
        <v>2991</v>
      </c>
      <c r="B319" s="273">
        <v>0</v>
      </c>
      <c r="C319" s="273">
        <v>312.14391000000001</v>
      </c>
      <c r="D319" s="273">
        <v>2190.9333333333329</v>
      </c>
      <c r="E319" s="273">
        <v>981.33333333333314</v>
      </c>
      <c r="F319" s="273">
        <v>3484.4105766666662</v>
      </c>
    </row>
    <row r="320" spans="1:6" x14ac:dyDescent="0.6">
      <c r="A320" s="106" t="s">
        <v>2992</v>
      </c>
      <c r="B320" s="273"/>
      <c r="C320" s="273"/>
      <c r="D320" s="273"/>
      <c r="E320" s="273"/>
      <c r="F320" s="273"/>
    </row>
    <row r="321" spans="1:6" x14ac:dyDescent="0.6">
      <c r="A321" s="106" t="s">
        <v>2993</v>
      </c>
      <c r="B321" s="273">
        <v>0</v>
      </c>
      <c r="C321" s="273">
        <v>79.546350000000004</v>
      </c>
      <c r="D321" s="273">
        <v>2872.1464016666664</v>
      </c>
      <c r="E321" s="273">
        <v>2872.1464016666664</v>
      </c>
      <c r="F321" s="273">
        <v>5823.8391533333333</v>
      </c>
    </row>
    <row r="322" spans="1:6" x14ac:dyDescent="0.6">
      <c r="A322" s="106" t="s">
        <v>2994</v>
      </c>
      <c r="B322" s="273">
        <v>0</v>
      </c>
      <c r="C322" s="273">
        <v>0</v>
      </c>
      <c r="D322" s="273">
        <v>0</v>
      </c>
      <c r="E322" s="273">
        <v>0</v>
      </c>
      <c r="F322" s="273"/>
    </row>
    <row r="323" spans="1:6" x14ac:dyDescent="0.6">
      <c r="A323" s="106" t="s">
        <v>2713</v>
      </c>
      <c r="B323" s="273"/>
      <c r="C323" s="273"/>
      <c r="D323" s="273"/>
      <c r="E323" s="273"/>
      <c r="F323" s="273"/>
    </row>
    <row r="324" spans="1:6" x14ac:dyDescent="0.6">
      <c r="A324" s="106" t="s">
        <v>2995</v>
      </c>
      <c r="B324" s="273"/>
      <c r="C324" s="273"/>
      <c r="D324" s="273"/>
      <c r="E324" s="273"/>
      <c r="F324" s="273"/>
    </row>
    <row r="325" spans="1:6" x14ac:dyDescent="0.6">
      <c r="A325" s="106" t="s">
        <v>2996</v>
      </c>
      <c r="B325" s="273">
        <v>0</v>
      </c>
      <c r="C325" s="273">
        <v>54701.079066666665</v>
      </c>
      <c r="D325" s="273">
        <v>19204.192159999999</v>
      </c>
      <c r="E325" s="273">
        <v>0</v>
      </c>
      <c r="F325" s="273">
        <v>73905.271226666664</v>
      </c>
    </row>
    <row r="326" spans="1:6" x14ac:dyDescent="0.6">
      <c r="A326" s="106" t="s">
        <v>2997</v>
      </c>
      <c r="B326" s="273">
        <v>0</v>
      </c>
      <c r="C326" s="273">
        <v>222319.41657434104</v>
      </c>
      <c r="D326" s="273">
        <v>198252.39872828714</v>
      </c>
      <c r="E326" s="273">
        <v>40000</v>
      </c>
      <c r="F326" s="273">
        <v>460571.81530262815</v>
      </c>
    </row>
    <row r="327" spans="1:6" x14ac:dyDescent="0.6">
      <c r="A327" s="106" t="s">
        <v>2998</v>
      </c>
      <c r="B327" s="273">
        <v>0</v>
      </c>
      <c r="C327" s="273">
        <v>225501.17800381003</v>
      </c>
      <c r="D327" s="273">
        <v>244766.41662481672</v>
      </c>
      <c r="E327" s="273">
        <v>264862.34853706171</v>
      </c>
      <c r="F327" s="273">
        <v>735129.94316568843</v>
      </c>
    </row>
    <row r="328" spans="1:6" x14ac:dyDescent="0.6">
      <c r="A328" s="106" t="s">
        <v>2999</v>
      </c>
      <c r="B328" s="273"/>
      <c r="C328" s="273"/>
      <c r="D328" s="273"/>
      <c r="E328" s="273"/>
      <c r="F328" s="273"/>
    </row>
    <row r="329" spans="1:6" x14ac:dyDescent="0.6">
      <c r="A329" s="106" t="s">
        <v>3000</v>
      </c>
      <c r="B329" s="273">
        <v>0</v>
      </c>
      <c r="C329" s="273">
        <v>0</v>
      </c>
      <c r="D329" s="273">
        <v>2601.1992500000001</v>
      </c>
      <c r="E329" s="273">
        <v>2601.1992500000001</v>
      </c>
      <c r="F329" s="273">
        <v>5202.3985000000002</v>
      </c>
    </row>
    <row r="330" spans="1:6" x14ac:dyDescent="0.6">
      <c r="A330" s="106" t="s">
        <v>3001</v>
      </c>
      <c r="B330" s="273">
        <v>0</v>
      </c>
      <c r="C330" s="273">
        <v>0</v>
      </c>
      <c r="D330" s="273">
        <v>1500</v>
      </c>
      <c r="E330" s="273">
        <v>1500</v>
      </c>
      <c r="F330" s="273">
        <v>3000</v>
      </c>
    </row>
    <row r="331" spans="1:6" x14ac:dyDescent="0.6">
      <c r="A331" s="106" t="s">
        <v>3002</v>
      </c>
      <c r="B331" s="273">
        <v>0</v>
      </c>
      <c r="C331" s="273">
        <v>0</v>
      </c>
      <c r="D331" s="273">
        <v>0</v>
      </c>
      <c r="E331" s="273">
        <v>0</v>
      </c>
      <c r="F331" s="273">
        <v>0</v>
      </c>
    </row>
    <row r="332" spans="1:6" x14ac:dyDescent="0.6">
      <c r="A332" s="106" t="s">
        <v>3003</v>
      </c>
      <c r="B332" s="273"/>
      <c r="C332" s="273"/>
      <c r="D332" s="273"/>
      <c r="E332" s="273"/>
      <c r="F332" s="273"/>
    </row>
    <row r="333" spans="1:6" x14ac:dyDescent="0.6">
      <c r="A333" s="106" t="s">
        <v>3004</v>
      </c>
      <c r="B333" s="273">
        <v>0</v>
      </c>
      <c r="C333" s="273">
        <v>312.14391000000001</v>
      </c>
      <c r="D333" s="273">
        <v>51</v>
      </c>
      <c r="E333" s="273">
        <v>0</v>
      </c>
      <c r="F333" s="273">
        <v>363.14391000000001</v>
      </c>
    </row>
    <row r="334" spans="1:6" x14ac:dyDescent="0.6">
      <c r="A334" s="106" t="s">
        <v>3005</v>
      </c>
      <c r="B334" s="273"/>
      <c r="C334" s="273"/>
      <c r="D334" s="273"/>
      <c r="E334" s="273"/>
      <c r="F334" s="273"/>
    </row>
    <row r="335" spans="1:6" x14ac:dyDescent="0.6">
      <c r="A335" s="106" t="s">
        <v>3006</v>
      </c>
      <c r="B335" s="273">
        <v>0</v>
      </c>
      <c r="C335" s="273">
        <v>0</v>
      </c>
      <c r="D335" s="273">
        <v>1000</v>
      </c>
      <c r="E335" s="273">
        <v>1000</v>
      </c>
      <c r="F335" s="273">
        <v>2000</v>
      </c>
    </row>
    <row r="336" spans="1:6" x14ac:dyDescent="0.6">
      <c r="A336" s="106" t="s">
        <v>3007</v>
      </c>
      <c r="B336" s="273"/>
      <c r="C336" s="273"/>
      <c r="D336" s="273"/>
      <c r="E336" s="273"/>
      <c r="F336" s="273"/>
    </row>
    <row r="337" spans="1:6" x14ac:dyDescent="0.6">
      <c r="A337" s="106" t="s">
        <v>3008</v>
      </c>
      <c r="B337" s="273">
        <v>0</v>
      </c>
      <c r="C337" s="273">
        <v>0</v>
      </c>
      <c r="D337" s="273">
        <v>0</v>
      </c>
      <c r="E337" s="273">
        <v>0</v>
      </c>
      <c r="F337" s="273"/>
    </row>
    <row r="338" spans="1:6" x14ac:dyDescent="0.6">
      <c r="A338" s="106" t="s">
        <v>2714</v>
      </c>
      <c r="B338" s="273"/>
      <c r="C338" s="273"/>
      <c r="D338" s="273"/>
      <c r="E338" s="273"/>
      <c r="F338" s="273"/>
    </row>
    <row r="339" spans="1:6" x14ac:dyDescent="0.6">
      <c r="A339" s="106" t="s">
        <v>3009</v>
      </c>
      <c r="B339" s="273"/>
      <c r="C339" s="273"/>
      <c r="D339" s="273"/>
      <c r="E339" s="273"/>
      <c r="F339" s="273"/>
    </row>
    <row r="340" spans="1:6" x14ac:dyDescent="0.6">
      <c r="A340" s="106" t="s">
        <v>3010</v>
      </c>
      <c r="B340" s="273">
        <v>0</v>
      </c>
      <c r="C340" s="273">
        <v>2990.2748805555561</v>
      </c>
      <c r="D340" s="273">
        <v>1188.8</v>
      </c>
      <c r="E340" s="273">
        <v>1728</v>
      </c>
      <c r="F340" s="273">
        <v>5907.0748805555559</v>
      </c>
    </row>
    <row r="341" spans="1:6" x14ac:dyDescent="0.6">
      <c r="A341" s="106" t="s">
        <v>3011</v>
      </c>
      <c r="B341" s="273">
        <v>0</v>
      </c>
      <c r="C341" s="273">
        <v>1560.71955</v>
      </c>
      <c r="D341" s="273">
        <v>0</v>
      </c>
      <c r="E341" s="273">
        <v>2080.9594000000002</v>
      </c>
      <c r="F341" s="273">
        <v>3641.6789500000004</v>
      </c>
    </row>
    <row r="342" spans="1:6" x14ac:dyDescent="0.6">
      <c r="A342" s="106" t="s">
        <v>3012</v>
      </c>
      <c r="B342" s="273"/>
      <c r="C342" s="273"/>
      <c r="D342" s="273"/>
      <c r="E342" s="273"/>
      <c r="F342" s="273"/>
    </row>
    <row r="343" spans="1:6" x14ac:dyDescent="0.6">
      <c r="A343" s="106" t="s">
        <v>3013</v>
      </c>
      <c r="B343" s="273">
        <v>0</v>
      </c>
      <c r="C343" s="273">
        <v>0</v>
      </c>
      <c r="D343" s="273">
        <v>0</v>
      </c>
      <c r="E343" s="273">
        <v>0</v>
      </c>
      <c r="F343" s="273"/>
    </row>
    <row r="344" spans="1:6" x14ac:dyDescent="0.6">
      <c r="A344" s="106" t="s">
        <v>3014</v>
      </c>
      <c r="B344" s="273">
        <v>0</v>
      </c>
      <c r="C344" s="273">
        <v>750</v>
      </c>
      <c r="D344" s="273">
        <v>1000</v>
      </c>
      <c r="E344" s="273">
        <v>1000</v>
      </c>
      <c r="F344" s="273">
        <v>2750</v>
      </c>
    </row>
    <row r="345" spans="1:6" x14ac:dyDescent="0.6">
      <c r="A345" s="106" t="s">
        <v>3015</v>
      </c>
      <c r="B345" s="273"/>
      <c r="C345" s="273"/>
      <c r="D345" s="273"/>
      <c r="E345" s="273"/>
      <c r="F345" s="273"/>
    </row>
    <row r="346" spans="1:6" x14ac:dyDescent="0.6">
      <c r="A346" s="106" t="s">
        <v>3016</v>
      </c>
      <c r="B346" s="273">
        <v>0</v>
      </c>
      <c r="C346" s="273">
        <v>0</v>
      </c>
      <c r="D346" s="273">
        <v>71.400000000000006</v>
      </c>
      <c r="E346" s="273">
        <v>0</v>
      </c>
      <c r="F346" s="273">
        <v>71.400000000000006</v>
      </c>
    </row>
    <row r="347" spans="1:6" x14ac:dyDescent="0.6">
      <c r="A347" s="106" t="s">
        <v>3017</v>
      </c>
      <c r="B347" s="273">
        <v>0</v>
      </c>
      <c r="C347" s="273">
        <v>0</v>
      </c>
      <c r="D347" s="273">
        <v>0</v>
      </c>
      <c r="E347" s="273">
        <v>0</v>
      </c>
      <c r="F347" s="273"/>
    </row>
    <row r="348" spans="1:6" x14ac:dyDescent="0.6">
      <c r="A348" s="106" t="s">
        <v>3018</v>
      </c>
      <c r="B348" s="273">
        <v>0</v>
      </c>
      <c r="C348" s="273">
        <v>1100</v>
      </c>
      <c r="D348" s="273">
        <v>1100</v>
      </c>
      <c r="E348" s="273">
        <v>1100</v>
      </c>
      <c r="F348" s="273">
        <v>3300</v>
      </c>
    </row>
    <row r="349" spans="1:6" x14ac:dyDescent="0.6">
      <c r="A349" s="106" t="s">
        <v>3019</v>
      </c>
      <c r="B349" s="273">
        <v>0</v>
      </c>
      <c r="C349" s="273">
        <v>0</v>
      </c>
      <c r="D349" s="273">
        <v>0</v>
      </c>
      <c r="E349" s="273">
        <v>0</v>
      </c>
      <c r="F349" s="273"/>
    </row>
    <row r="350" spans="1:6" x14ac:dyDescent="0.6">
      <c r="A350" s="106" t="s">
        <v>3020</v>
      </c>
      <c r="B350" s="273">
        <v>0</v>
      </c>
      <c r="C350" s="273">
        <v>0</v>
      </c>
      <c r="D350" s="273">
        <v>0</v>
      </c>
      <c r="E350" s="273">
        <v>0</v>
      </c>
      <c r="F350" s="273"/>
    </row>
    <row r="351" spans="1:6" x14ac:dyDescent="0.6">
      <c r="A351" s="106" t="s">
        <v>3021</v>
      </c>
      <c r="B351" s="273"/>
      <c r="C351" s="273"/>
      <c r="D351" s="273"/>
      <c r="E351" s="273"/>
      <c r="F351" s="273"/>
    </row>
    <row r="352" spans="1:6" x14ac:dyDescent="0.6">
      <c r="A352" s="106" t="s">
        <v>3022</v>
      </c>
      <c r="B352" s="273">
        <v>0</v>
      </c>
      <c r="C352" s="273">
        <v>0</v>
      </c>
      <c r="D352" s="273">
        <v>0</v>
      </c>
      <c r="E352" s="273">
        <v>0</v>
      </c>
      <c r="F352" s="273"/>
    </row>
    <row r="353" spans="1:6" x14ac:dyDescent="0.6">
      <c r="A353" s="106" t="s">
        <v>3023</v>
      </c>
      <c r="B353" s="273">
        <v>0</v>
      </c>
      <c r="C353" s="273">
        <v>500</v>
      </c>
      <c r="D353" s="273">
        <v>500</v>
      </c>
      <c r="E353" s="273">
        <v>500</v>
      </c>
      <c r="F353" s="273">
        <v>1500</v>
      </c>
    </row>
    <row r="354" spans="1:6" x14ac:dyDescent="0.6">
      <c r="A354" s="106" t="s">
        <v>3024</v>
      </c>
      <c r="B354" s="273">
        <v>0</v>
      </c>
      <c r="C354" s="273">
        <v>312.14391000000001</v>
      </c>
      <c r="D354" s="273">
        <v>1000</v>
      </c>
      <c r="E354" s="273">
        <v>1312.14391</v>
      </c>
      <c r="F354" s="273">
        <v>2624.28782</v>
      </c>
    </row>
    <row r="355" spans="1:6" x14ac:dyDescent="0.6">
      <c r="A355" s="106" t="s">
        <v>3025</v>
      </c>
      <c r="B355" s="273"/>
      <c r="C355" s="273"/>
      <c r="D355" s="273"/>
      <c r="E355" s="273"/>
      <c r="F355" s="273"/>
    </row>
    <row r="356" spans="1:6" x14ac:dyDescent="0.6">
      <c r="A356" s="106" t="s">
        <v>3026</v>
      </c>
      <c r="B356" s="273">
        <v>0</v>
      </c>
      <c r="C356" s="273">
        <v>800</v>
      </c>
      <c r="D356" s="273">
        <v>800</v>
      </c>
      <c r="E356" s="273">
        <v>800</v>
      </c>
      <c r="F356" s="273">
        <v>2400</v>
      </c>
    </row>
    <row r="357" spans="1:6" x14ac:dyDescent="0.6">
      <c r="A357" s="106" t="s">
        <v>3027</v>
      </c>
      <c r="B357" s="273">
        <v>0</v>
      </c>
      <c r="C357" s="273">
        <v>0</v>
      </c>
      <c r="D357" s="273">
        <v>0</v>
      </c>
      <c r="E357" s="273">
        <v>79.546350000000004</v>
      </c>
      <c r="F357" s="273">
        <v>79.546350000000004</v>
      </c>
    </row>
    <row r="358" spans="1:6" x14ac:dyDescent="0.6">
      <c r="A358" s="106" t="s">
        <v>3028</v>
      </c>
      <c r="B358" s="273">
        <v>0</v>
      </c>
      <c r="C358" s="273">
        <v>4923.7027404685887</v>
      </c>
      <c r="D358" s="273">
        <v>2272.8382920302593</v>
      </c>
      <c r="E358" s="273">
        <v>5133.5861165638171</v>
      </c>
      <c r="F358" s="273">
        <v>12330.127149062664</v>
      </c>
    </row>
    <row r="359" spans="1:6" x14ac:dyDescent="0.6">
      <c r="A359" s="106" t="s">
        <v>3029</v>
      </c>
      <c r="B359" s="273"/>
      <c r="C359" s="273"/>
      <c r="D359" s="273"/>
      <c r="E359" s="273"/>
      <c r="F359" s="273"/>
    </row>
    <row r="360" spans="1:6" x14ac:dyDescent="0.6">
      <c r="A360" s="106" t="s">
        <v>3030</v>
      </c>
      <c r="B360" s="273">
        <v>0</v>
      </c>
      <c r="C360" s="273">
        <v>47692.788556602856</v>
      </c>
      <c r="D360" s="273">
        <v>54795.969830990522</v>
      </c>
      <c r="E360" s="273">
        <v>62913.891287433558</v>
      </c>
      <c r="F360" s="273">
        <v>165402.64967502694</v>
      </c>
    </row>
    <row r="361" spans="1:6" x14ac:dyDescent="0.6">
      <c r="A361" s="106" t="s">
        <v>3031</v>
      </c>
      <c r="B361" s="273"/>
      <c r="C361" s="273"/>
      <c r="D361" s="273"/>
      <c r="E361" s="273"/>
      <c r="F361" s="273"/>
    </row>
    <row r="362" spans="1:6" x14ac:dyDescent="0.6">
      <c r="A362" s="106" t="s">
        <v>3032</v>
      </c>
      <c r="B362" s="273">
        <v>0</v>
      </c>
      <c r="C362" s="273">
        <v>0</v>
      </c>
      <c r="D362" s="273">
        <v>0</v>
      </c>
      <c r="E362" s="273">
        <v>0</v>
      </c>
      <c r="F362" s="273"/>
    </row>
    <row r="363" spans="1:6" x14ac:dyDescent="0.6">
      <c r="A363" s="106" t="s">
        <v>3033</v>
      </c>
      <c r="B363" s="273"/>
      <c r="C363" s="273"/>
      <c r="D363" s="273"/>
      <c r="E363" s="273"/>
      <c r="F363" s="273"/>
    </row>
    <row r="364" spans="1:6" x14ac:dyDescent="0.6">
      <c r="A364" s="106" t="s">
        <v>3034</v>
      </c>
      <c r="B364" s="273">
        <v>0</v>
      </c>
      <c r="C364" s="273">
        <v>46.999999999999993</v>
      </c>
      <c r="D364" s="273">
        <v>0</v>
      </c>
      <c r="E364" s="273">
        <v>0</v>
      </c>
      <c r="F364" s="273">
        <v>46.999999999999993</v>
      </c>
    </row>
    <row r="365" spans="1:6" x14ac:dyDescent="0.6">
      <c r="A365" s="106" t="s">
        <v>3035</v>
      </c>
      <c r="B365" s="273">
        <v>0</v>
      </c>
      <c r="C365" s="273">
        <v>0</v>
      </c>
      <c r="D365" s="273">
        <v>0</v>
      </c>
      <c r="E365" s="273">
        <v>0</v>
      </c>
      <c r="F365" s="273"/>
    </row>
    <row r="366" spans="1:6" x14ac:dyDescent="0.6">
      <c r="A366" s="106" t="s">
        <v>3036</v>
      </c>
      <c r="B366" s="273">
        <v>0</v>
      </c>
      <c r="C366" s="273">
        <v>101.5</v>
      </c>
      <c r="D366" s="273">
        <v>101.5</v>
      </c>
      <c r="E366" s="273">
        <v>101.5</v>
      </c>
      <c r="F366" s="273">
        <v>304.5</v>
      </c>
    </row>
    <row r="367" spans="1:6" x14ac:dyDescent="0.6">
      <c r="A367" s="106" t="s">
        <v>3037</v>
      </c>
      <c r="B367" s="273">
        <v>0</v>
      </c>
      <c r="C367" s="273">
        <v>48223.620276767775</v>
      </c>
      <c r="D367" s="273">
        <v>55457.163318283121</v>
      </c>
      <c r="E367" s="273">
        <v>63775.737816025598</v>
      </c>
      <c r="F367" s="273">
        <v>167456.52141107648</v>
      </c>
    </row>
    <row r="368" spans="1:6" x14ac:dyDescent="0.6">
      <c r="A368" s="106" t="s">
        <v>2715</v>
      </c>
      <c r="B368" s="273"/>
      <c r="C368" s="273"/>
      <c r="D368" s="273"/>
      <c r="E368" s="273"/>
      <c r="F368" s="273"/>
    </row>
    <row r="369" spans="1:6" x14ac:dyDescent="0.6">
      <c r="A369" s="106" t="s">
        <v>3038</v>
      </c>
      <c r="B369" s="273"/>
      <c r="C369" s="273"/>
      <c r="D369" s="273"/>
      <c r="E369" s="273"/>
      <c r="F369" s="273"/>
    </row>
    <row r="370" spans="1:6" x14ac:dyDescent="0.6">
      <c r="A370" s="106" t="s">
        <v>3039</v>
      </c>
      <c r="B370" s="273">
        <v>0</v>
      </c>
      <c r="C370" s="273">
        <v>0</v>
      </c>
      <c r="D370" s="273">
        <v>0</v>
      </c>
      <c r="E370" s="273">
        <v>0</v>
      </c>
      <c r="F370" s="273"/>
    </row>
    <row r="371" spans="1:6" x14ac:dyDescent="0.6">
      <c r="A371" s="106" t="s">
        <v>2689</v>
      </c>
      <c r="B371" s="273"/>
      <c r="C371" s="273"/>
      <c r="D371" s="273"/>
      <c r="E371" s="273"/>
      <c r="F371" s="273"/>
    </row>
    <row r="372" spans="1:6" x14ac:dyDescent="0.6">
      <c r="A372" s="106" t="s">
        <v>3042</v>
      </c>
      <c r="B372" s="273">
        <v>0</v>
      </c>
      <c r="C372" s="273">
        <v>15.3</v>
      </c>
      <c r="D372" s="273">
        <v>15.3</v>
      </c>
      <c r="E372" s="273">
        <v>15.3</v>
      </c>
      <c r="F372" s="273">
        <v>45.900000000000006</v>
      </c>
    </row>
    <row r="373" spans="1:6" x14ac:dyDescent="0.6">
      <c r="A373" s="106" t="s">
        <v>3056</v>
      </c>
      <c r="B373" s="273">
        <v>0</v>
      </c>
      <c r="C373" s="273">
        <v>336.89444444444439</v>
      </c>
      <c r="D373" s="273">
        <v>336.89444444444439</v>
      </c>
      <c r="E373" s="273">
        <v>336.89444444444439</v>
      </c>
      <c r="F373" s="273">
        <v>1010.6833333333332</v>
      </c>
    </row>
    <row r="374" spans="1:6" x14ac:dyDescent="0.6">
      <c r="A374" s="106" t="s">
        <v>3058</v>
      </c>
      <c r="B374" s="273">
        <v>0</v>
      </c>
      <c r="C374" s="273">
        <v>54.166666666666664</v>
      </c>
      <c r="D374" s="273">
        <v>54.166666666666664</v>
      </c>
      <c r="E374" s="273">
        <v>54.166666666666664</v>
      </c>
      <c r="F374" s="273">
        <v>162.5</v>
      </c>
    </row>
    <row r="375" spans="1:6" x14ac:dyDescent="0.6">
      <c r="A375" s="106" t="s">
        <v>3061</v>
      </c>
      <c r="B375" s="273">
        <v>0</v>
      </c>
      <c r="C375" s="273">
        <v>0</v>
      </c>
      <c r="D375" s="273">
        <v>0</v>
      </c>
      <c r="E375" s="273">
        <v>0</v>
      </c>
      <c r="F375" s="273"/>
    </row>
    <row r="376" spans="1:6" x14ac:dyDescent="0.6">
      <c r="A376" s="106" t="s">
        <v>3067</v>
      </c>
      <c r="B376" s="273">
        <v>0</v>
      </c>
      <c r="C376" s="273">
        <v>16.355555555555551</v>
      </c>
      <c r="D376" s="273">
        <v>16.355555555555551</v>
      </c>
      <c r="E376" s="273">
        <v>16.355555555555551</v>
      </c>
      <c r="F376" s="273">
        <v>49.066666666666649</v>
      </c>
    </row>
    <row r="377" spans="1:6" x14ac:dyDescent="0.6">
      <c r="A377" s="106" t="s">
        <v>3070</v>
      </c>
      <c r="B377" s="273">
        <v>0</v>
      </c>
      <c r="C377" s="273">
        <v>105</v>
      </c>
      <c r="D377" s="273">
        <v>0</v>
      </c>
      <c r="E377" s="273">
        <v>0</v>
      </c>
      <c r="F377" s="273">
        <v>105</v>
      </c>
    </row>
    <row r="378" spans="1:6" x14ac:dyDescent="0.6">
      <c r="A378" s="106" t="s">
        <v>3073</v>
      </c>
      <c r="B378" s="273">
        <v>0</v>
      </c>
      <c r="C378" s="273">
        <v>0</v>
      </c>
      <c r="D378" s="273">
        <v>0</v>
      </c>
      <c r="E378" s="273">
        <v>0</v>
      </c>
      <c r="F378" s="273"/>
    </row>
    <row r="379" spans="1:6" x14ac:dyDescent="0.6">
      <c r="A379" s="106" t="s">
        <v>3074</v>
      </c>
      <c r="B379" s="273">
        <v>0</v>
      </c>
      <c r="C379" s="273">
        <v>78.506666666666646</v>
      </c>
      <c r="D379" s="273">
        <v>78.506666666666646</v>
      </c>
      <c r="E379" s="273">
        <v>78.506666666666646</v>
      </c>
      <c r="F379" s="273">
        <v>235.51999999999992</v>
      </c>
    </row>
    <row r="380" spans="1:6" x14ac:dyDescent="0.6">
      <c r="A380" s="106" t="s">
        <v>3095</v>
      </c>
      <c r="B380" s="273">
        <v>0</v>
      </c>
      <c r="C380" s="273">
        <v>0</v>
      </c>
      <c r="D380" s="273">
        <v>0</v>
      </c>
      <c r="E380" s="273">
        <v>0</v>
      </c>
      <c r="F380" s="273"/>
    </row>
    <row r="381" spans="1:6" x14ac:dyDescent="0.6">
      <c r="A381" s="106" t="s">
        <v>3098</v>
      </c>
      <c r="B381" s="273"/>
      <c r="C381" s="273"/>
      <c r="D381" s="273"/>
      <c r="E381" s="273"/>
      <c r="F381" s="273"/>
    </row>
    <row r="382" spans="1:6" x14ac:dyDescent="0.6">
      <c r="A382" s="106" t="s">
        <v>3102</v>
      </c>
      <c r="B382" s="273">
        <v>0</v>
      </c>
      <c r="C382" s="273">
        <v>9765.0764959168773</v>
      </c>
      <c r="D382" s="273">
        <v>10253.330320712725</v>
      </c>
      <c r="E382" s="273">
        <v>10765.996836748358</v>
      </c>
      <c r="F382" s="273">
        <v>30784.403653377958</v>
      </c>
    </row>
    <row r="383" spans="1:6" x14ac:dyDescent="0.6">
      <c r="A383" s="106" t="s">
        <v>3104</v>
      </c>
      <c r="B383" s="273">
        <v>0</v>
      </c>
      <c r="C383" s="273">
        <v>56.847499999999997</v>
      </c>
      <c r="D383" s="273">
        <v>56.847499999999997</v>
      </c>
      <c r="E383" s="273">
        <v>56.847499999999997</v>
      </c>
      <c r="F383" s="273">
        <v>170.54249999999999</v>
      </c>
    </row>
    <row r="384" spans="1:6" x14ac:dyDescent="0.6">
      <c r="A384" s="106" t="s">
        <v>3107</v>
      </c>
      <c r="B384" s="273">
        <v>0</v>
      </c>
      <c r="C384" s="273">
        <v>0</v>
      </c>
      <c r="D384" s="273">
        <v>0</v>
      </c>
      <c r="E384" s="273">
        <v>0</v>
      </c>
      <c r="F384" s="273"/>
    </row>
    <row r="385" spans="1:6" x14ac:dyDescent="0.6">
      <c r="A385" s="106" t="s">
        <v>3116</v>
      </c>
      <c r="B385" s="273"/>
      <c r="C385" s="273"/>
      <c r="D385" s="273"/>
      <c r="E385" s="273"/>
      <c r="F385" s="273"/>
    </row>
    <row r="386" spans="1:6" x14ac:dyDescent="0.6">
      <c r="A386" s="106" t="s">
        <v>3122</v>
      </c>
      <c r="B386" s="273"/>
      <c r="C386" s="273"/>
      <c r="D386" s="273"/>
      <c r="E386" s="273"/>
      <c r="F386" s="273"/>
    </row>
    <row r="387" spans="1:6" x14ac:dyDescent="0.6">
      <c r="A387" s="106" t="s">
        <v>3127</v>
      </c>
      <c r="B387" s="273"/>
      <c r="C387" s="273"/>
      <c r="D387" s="273"/>
      <c r="E387" s="273"/>
      <c r="F387" s="273"/>
    </row>
    <row r="388" spans="1:6" x14ac:dyDescent="0.6">
      <c r="A388" s="106" t="s">
        <v>3128</v>
      </c>
      <c r="B388" s="273">
        <v>0</v>
      </c>
      <c r="C388" s="273">
        <v>766.5</v>
      </c>
      <c r="D388" s="273">
        <v>1355.3333333333333</v>
      </c>
      <c r="E388" s="273">
        <v>1335</v>
      </c>
      <c r="F388" s="273">
        <v>3456.8333333333335</v>
      </c>
    </row>
    <row r="389" spans="1:6" x14ac:dyDescent="0.6">
      <c r="A389" s="106" t="s">
        <v>3157</v>
      </c>
      <c r="B389" s="273">
        <v>0</v>
      </c>
      <c r="C389" s="273">
        <v>119.319525</v>
      </c>
      <c r="D389" s="273">
        <v>0</v>
      </c>
      <c r="E389" s="273">
        <v>0</v>
      </c>
      <c r="F389" s="273">
        <v>119.319525</v>
      </c>
    </row>
    <row r="390" spans="1:6" x14ac:dyDescent="0.6">
      <c r="A390" s="106" t="s">
        <v>3158</v>
      </c>
      <c r="B390" s="273"/>
      <c r="C390" s="273"/>
      <c r="D390" s="273"/>
      <c r="E390" s="273"/>
      <c r="F390" s="273"/>
    </row>
    <row r="391" spans="1:6" x14ac:dyDescent="0.6">
      <c r="A391" s="102" t="s">
        <v>677</v>
      </c>
      <c r="B391" s="273">
        <v>30000</v>
      </c>
      <c r="C391" s="273">
        <v>378794.00558623509</v>
      </c>
      <c r="D391" s="273">
        <v>654707.41529213719</v>
      </c>
      <c r="E391" s="273">
        <v>341772.60416174238</v>
      </c>
      <c r="F391" s="273">
        <v>1405274.0250401157</v>
      </c>
    </row>
    <row r="392" spans="1:6" x14ac:dyDescent="0.6">
      <c r="A392" s="106" t="s">
        <v>2749</v>
      </c>
      <c r="B392" s="273">
        <v>23400</v>
      </c>
      <c r="C392" s="273">
        <v>15600</v>
      </c>
      <c r="D392" s="273">
        <v>54600</v>
      </c>
      <c r="E392" s="273">
        <v>0</v>
      </c>
      <c r="F392" s="273">
        <v>93600</v>
      </c>
    </row>
    <row r="393" spans="1:6" x14ac:dyDescent="0.6">
      <c r="A393" s="106" t="s">
        <v>2811</v>
      </c>
      <c r="B393" s="273">
        <v>0</v>
      </c>
      <c r="C393" s="273">
        <v>0</v>
      </c>
      <c r="D393" s="273">
        <v>0</v>
      </c>
      <c r="E393" s="273">
        <v>203</v>
      </c>
      <c r="F393" s="273">
        <v>203</v>
      </c>
    </row>
    <row r="394" spans="1:6" x14ac:dyDescent="0.6">
      <c r="A394" s="106" t="s">
        <v>2706</v>
      </c>
      <c r="B394" s="273"/>
      <c r="C394" s="273"/>
      <c r="D394" s="273"/>
      <c r="E394" s="273"/>
      <c r="F394" s="273"/>
    </row>
    <row r="395" spans="1:6" x14ac:dyDescent="0.6">
      <c r="A395" s="106" t="s">
        <v>2893</v>
      </c>
      <c r="B395" s="273"/>
      <c r="C395" s="273"/>
      <c r="D395" s="273"/>
      <c r="E395" s="273"/>
      <c r="F395" s="273"/>
    </row>
    <row r="396" spans="1:6" x14ac:dyDescent="0.6">
      <c r="A396" s="106" t="s">
        <v>2894</v>
      </c>
      <c r="B396" s="273">
        <v>0</v>
      </c>
      <c r="C396" s="273">
        <v>6.5422222222222208</v>
      </c>
      <c r="D396" s="273">
        <v>1318.1056187777779</v>
      </c>
      <c r="E396" s="273">
        <v>0</v>
      </c>
      <c r="F396" s="273">
        <v>1324.647841</v>
      </c>
    </row>
    <row r="397" spans="1:6" x14ac:dyDescent="0.6">
      <c r="A397" s="106" t="s">
        <v>2895</v>
      </c>
      <c r="B397" s="273">
        <v>0</v>
      </c>
      <c r="C397" s="273">
        <v>0</v>
      </c>
      <c r="D397" s="273">
        <v>656.21586499999989</v>
      </c>
      <c r="E397" s="273">
        <v>0</v>
      </c>
      <c r="F397" s="273">
        <v>656.21586499999989</v>
      </c>
    </row>
    <row r="398" spans="1:6" x14ac:dyDescent="0.6">
      <c r="A398" s="106" t="s">
        <v>2896</v>
      </c>
      <c r="B398" s="273"/>
      <c r="C398" s="273"/>
      <c r="D398" s="273"/>
      <c r="E398" s="273"/>
      <c r="F398" s="273"/>
    </row>
    <row r="399" spans="1:6" x14ac:dyDescent="0.6">
      <c r="A399" s="106" t="s">
        <v>2897</v>
      </c>
      <c r="B399" s="273">
        <v>0</v>
      </c>
      <c r="C399" s="273">
        <v>137.69999999999999</v>
      </c>
      <c r="D399" s="273">
        <v>0</v>
      </c>
      <c r="E399" s="273">
        <v>0</v>
      </c>
      <c r="F399" s="273">
        <v>137.69999999999999</v>
      </c>
    </row>
    <row r="400" spans="1:6" x14ac:dyDescent="0.6">
      <c r="A400" s="106" t="s">
        <v>2898</v>
      </c>
      <c r="B400" s="273">
        <v>0</v>
      </c>
      <c r="C400" s="273">
        <v>27.9</v>
      </c>
      <c r="D400" s="273">
        <v>676.8927000000001</v>
      </c>
      <c r="E400" s="273">
        <v>10.199999999999999</v>
      </c>
      <c r="F400" s="273">
        <v>714.99270000000001</v>
      </c>
    </row>
    <row r="401" spans="1:6" x14ac:dyDescent="0.6">
      <c r="A401" s="106" t="s">
        <v>2899</v>
      </c>
      <c r="B401" s="273"/>
      <c r="C401" s="273"/>
      <c r="D401" s="273"/>
      <c r="E401" s="273"/>
      <c r="F401" s="273"/>
    </row>
    <row r="402" spans="1:6" x14ac:dyDescent="0.6">
      <c r="A402" s="106" t="s">
        <v>2900</v>
      </c>
      <c r="B402" s="273">
        <v>0</v>
      </c>
      <c r="C402" s="273">
        <v>903.69189400000005</v>
      </c>
      <c r="D402" s="273">
        <v>439.09594700000002</v>
      </c>
      <c r="E402" s="273">
        <v>219.54797350000001</v>
      </c>
      <c r="F402" s="273">
        <v>1562.3358145000002</v>
      </c>
    </row>
    <row r="403" spans="1:6" x14ac:dyDescent="0.6">
      <c r="A403" s="106" t="s">
        <v>2901</v>
      </c>
      <c r="B403" s="273">
        <v>0</v>
      </c>
      <c r="C403" s="273">
        <v>0</v>
      </c>
      <c r="D403" s="273">
        <v>408</v>
      </c>
      <c r="E403" s="273">
        <v>0</v>
      </c>
      <c r="F403" s="273">
        <v>408</v>
      </c>
    </row>
    <row r="404" spans="1:6" x14ac:dyDescent="0.6">
      <c r="A404" s="106" t="s">
        <v>2707</v>
      </c>
      <c r="B404" s="273"/>
      <c r="C404" s="273"/>
      <c r="D404" s="273"/>
      <c r="E404" s="273"/>
      <c r="F404" s="273"/>
    </row>
    <row r="405" spans="1:6" x14ac:dyDescent="0.6">
      <c r="A405" s="106" t="s">
        <v>2902</v>
      </c>
      <c r="B405" s="273"/>
      <c r="C405" s="273"/>
      <c r="D405" s="273"/>
      <c r="E405" s="273"/>
      <c r="F405" s="273"/>
    </row>
    <row r="406" spans="1:6" x14ac:dyDescent="0.6">
      <c r="A406" s="106" t="s">
        <v>2903</v>
      </c>
      <c r="B406" s="273">
        <v>0</v>
      </c>
      <c r="C406" s="273">
        <v>0</v>
      </c>
      <c r="D406" s="273">
        <v>1775.183788</v>
      </c>
      <c r="E406" s="273">
        <v>896.991894</v>
      </c>
      <c r="F406" s="273">
        <v>2672.1756820000001</v>
      </c>
    </row>
    <row r="407" spans="1:6" x14ac:dyDescent="0.6">
      <c r="A407" s="106" t="s">
        <v>2904</v>
      </c>
      <c r="B407" s="273">
        <v>0</v>
      </c>
      <c r="C407" s="273">
        <v>41864.973605617997</v>
      </c>
      <c r="D407" s="273">
        <v>51031.627790617997</v>
      </c>
      <c r="E407" s="273">
        <v>41802.757740617999</v>
      </c>
      <c r="F407" s="273">
        <v>134699.35913685401</v>
      </c>
    </row>
    <row r="408" spans="1:6" x14ac:dyDescent="0.6">
      <c r="A408" s="106" t="s">
        <v>2905</v>
      </c>
      <c r="B408" s="273"/>
      <c r="C408" s="273"/>
      <c r="D408" s="273"/>
      <c r="E408" s="273"/>
      <c r="F408" s="273"/>
    </row>
    <row r="409" spans="1:6" x14ac:dyDescent="0.6">
      <c r="A409" s="106" t="s">
        <v>2906</v>
      </c>
      <c r="B409" s="273">
        <v>0</v>
      </c>
      <c r="C409" s="273">
        <v>6.7666666666666666</v>
      </c>
      <c r="D409" s="273">
        <v>800</v>
      </c>
      <c r="E409" s="273">
        <v>0</v>
      </c>
      <c r="F409" s="273">
        <v>806.76666666666665</v>
      </c>
    </row>
    <row r="410" spans="1:6" x14ac:dyDescent="0.6">
      <c r="A410" s="106" t="s">
        <v>2907</v>
      </c>
      <c r="B410" s="273"/>
      <c r="C410" s="273"/>
      <c r="D410" s="273"/>
      <c r="E410" s="273"/>
      <c r="F410" s="273"/>
    </row>
    <row r="411" spans="1:6" x14ac:dyDescent="0.6">
      <c r="A411" s="106" t="s">
        <v>2908</v>
      </c>
      <c r="B411" s="273">
        <v>0</v>
      </c>
      <c r="C411" s="273">
        <v>1449.212841</v>
      </c>
      <c r="D411" s="273">
        <v>878.19189400000005</v>
      </c>
      <c r="E411" s="273">
        <v>524.51372477777784</v>
      </c>
      <c r="F411" s="273">
        <v>2851.9184597777771</v>
      </c>
    </row>
    <row r="412" spans="1:6" x14ac:dyDescent="0.6">
      <c r="A412" s="106" t="s">
        <v>2909</v>
      </c>
      <c r="B412" s="273">
        <v>0</v>
      </c>
      <c r="C412" s="273">
        <v>212.19999999999996</v>
      </c>
      <c r="D412" s="273">
        <v>28.199999999999996</v>
      </c>
      <c r="E412" s="273">
        <v>110.39999999999998</v>
      </c>
      <c r="F412" s="273">
        <v>350.79999999999995</v>
      </c>
    </row>
    <row r="413" spans="1:6" x14ac:dyDescent="0.6">
      <c r="A413" s="106" t="s">
        <v>2910</v>
      </c>
      <c r="B413" s="273">
        <v>0</v>
      </c>
      <c r="C413" s="273">
        <v>0</v>
      </c>
      <c r="D413" s="273">
        <v>51</v>
      </c>
      <c r="E413" s="273">
        <v>0</v>
      </c>
      <c r="F413" s="273">
        <v>51</v>
      </c>
    </row>
    <row r="414" spans="1:6" x14ac:dyDescent="0.6">
      <c r="A414" s="106" t="s">
        <v>2708</v>
      </c>
      <c r="B414" s="273"/>
      <c r="C414" s="273"/>
      <c r="D414" s="273"/>
      <c r="E414" s="273"/>
      <c r="F414" s="273"/>
    </row>
    <row r="415" spans="1:6" x14ac:dyDescent="0.6">
      <c r="A415" s="106" t="s">
        <v>2911</v>
      </c>
      <c r="B415" s="273"/>
      <c r="C415" s="273"/>
      <c r="D415" s="273"/>
      <c r="E415" s="273"/>
      <c r="F415" s="273"/>
    </row>
    <row r="416" spans="1:6" x14ac:dyDescent="0.6">
      <c r="A416" s="106" t="s">
        <v>2912</v>
      </c>
      <c r="B416" s="273">
        <v>0</v>
      </c>
      <c r="C416" s="273">
        <v>189428.77911519998</v>
      </c>
      <c r="D416" s="273">
        <v>386449.48801116669</v>
      </c>
      <c r="E416" s="273">
        <v>124468.9023775</v>
      </c>
      <c r="F416" s="273">
        <v>700347.16950386669</v>
      </c>
    </row>
    <row r="417" spans="1:6" x14ac:dyDescent="0.6">
      <c r="A417" s="106" t="s">
        <v>2913</v>
      </c>
      <c r="B417" s="273">
        <v>0</v>
      </c>
      <c r="C417" s="273">
        <v>62321.238315024937</v>
      </c>
      <c r="D417" s="273">
        <v>84738.244652780821</v>
      </c>
      <c r="E417" s="273">
        <v>97503.254783693119</v>
      </c>
      <c r="F417" s="273">
        <v>244562.73775149888</v>
      </c>
    </row>
    <row r="418" spans="1:6" x14ac:dyDescent="0.6">
      <c r="A418" s="106" t="s">
        <v>2914</v>
      </c>
      <c r="B418" s="273">
        <v>0</v>
      </c>
      <c r="C418" s="273">
        <v>16281.037711779974</v>
      </c>
      <c r="D418" s="273">
        <v>18677.929124355389</v>
      </c>
      <c r="E418" s="273">
        <v>39469.357589881838</v>
      </c>
      <c r="F418" s="273">
        <v>74428.324426017207</v>
      </c>
    </row>
    <row r="419" spans="1:6" x14ac:dyDescent="0.6">
      <c r="A419" s="106" t="s">
        <v>2915</v>
      </c>
      <c r="B419" s="273">
        <v>0</v>
      </c>
      <c r="C419" s="273">
        <v>9797.5134024468734</v>
      </c>
      <c r="D419" s="273">
        <v>11740.881251281871</v>
      </c>
      <c r="E419" s="273">
        <v>14586.044254276145</v>
      </c>
      <c r="F419" s="273">
        <v>36124.438908004886</v>
      </c>
    </row>
    <row r="420" spans="1:6" x14ac:dyDescent="0.6">
      <c r="A420" s="106" t="s">
        <v>2916</v>
      </c>
      <c r="B420" s="273"/>
      <c r="C420" s="273"/>
      <c r="D420" s="273"/>
      <c r="E420" s="273"/>
      <c r="F420" s="273"/>
    </row>
    <row r="421" spans="1:6" x14ac:dyDescent="0.6">
      <c r="A421" s="106" t="s">
        <v>2917</v>
      </c>
      <c r="B421" s="273">
        <v>0</v>
      </c>
      <c r="C421" s="273">
        <v>0</v>
      </c>
      <c r="D421" s="273">
        <v>0</v>
      </c>
      <c r="E421" s="273">
        <v>0</v>
      </c>
      <c r="F421" s="273"/>
    </row>
    <row r="422" spans="1:6" x14ac:dyDescent="0.6">
      <c r="A422" s="106" t="s">
        <v>2918</v>
      </c>
      <c r="B422" s="273"/>
      <c r="C422" s="273"/>
      <c r="D422" s="273"/>
      <c r="E422" s="273"/>
      <c r="F422" s="273"/>
    </row>
    <row r="423" spans="1:6" x14ac:dyDescent="0.6">
      <c r="A423" s="106" t="s">
        <v>2919</v>
      </c>
      <c r="B423" s="273">
        <v>0</v>
      </c>
      <c r="C423" s="273">
        <v>340.34390999999999</v>
      </c>
      <c r="D423" s="273">
        <v>0</v>
      </c>
      <c r="E423" s="273">
        <v>0</v>
      </c>
      <c r="F423" s="273">
        <v>340.34390999999999</v>
      </c>
    </row>
    <row r="424" spans="1:6" x14ac:dyDescent="0.6">
      <c r="A424" s="106" t="s">
        <v>2920</v>
      </c>
      <c r="B424" s="273">
        <v>0</v>
      </c>
      <c r="C424" s="273">
        <v>437.47724333333332</v>
      </c>
      <c r="D424" s="273">
        <v>125.33333333333331</v>
      </c>
      <c r="E424" s="273">
        <v>3245.3333333333335</v>
      </c>
      <c r="F424" s="273">
        <v>3808.1439099999998</v>
      </c>
    </row>
    <row r="425" spans="1:6" x14ac:dyDescent="0.6">
      <c r="A425" s="106" t="s">
        <v>2921</v>
      </c>
      <c r="B425" s="273">
        <v>0</v>
      </c>
      <c r="C425" s="273">
        <v>0</v>
      </c>
      <c r="D425" s="273">
        <v>0</v>
      </c>
      <c r="E425" s="273">
        <v>822.13061971428579</v>
      </c>
      <c r="F425" s="273">
        <v>822.13061971428579</v>
      </c>
    </row>
    <row r="426" spans="1:6" x14ac:dyDescent="0.6">
      <c r="A426" s="106" t="s">
        <v>2922</v>
      </c>
      <c r="B426" s="273">
        <v>0</v>
      </c>
      <c r="C426" s="273">
        <v>0</v>
      </c>
      <c r="D426" s="273">
        <v>312.14391000000001</v>
      </c>
      <c r="E426" s="273">
        <v>0</v>
      </c>
      <c r="F426" s="273">
        <v>312.14391000000001</v>
      </c>
    </row>
    <row r="427" spans="1:6" x14ac:dyDescent="0.6">
      <c r="A427" s="106" t="s">
        <v>2709</v>
      </c>
      <c r="B427" s="273"/>
      <c r="C427" s="273"/>
      <c r="D427" s="273"/>
      <c r="E427" s="273"/>
      <c r="F427" s="273"/>
    </row>
    <row r="428" spans="1:6" x14ac:dyDescent="0.6">
      <c r="A428" s="106" t="s">
        <v>2923</v>
      </c>
      <c r="B428" s="273"/>
      <c r="C428" s="273"/>
      <c r="D428" s="273"/>
      <c r="E428" s="273"/>
      <c r="F428" s="273"/>
    </row>
    <row r="429" spans="1:6" x14ac:dyDescent="0.6">
      <c r="A429" s="106" t="s">
        <v>2924</v>
      </c>
      <c r="B429" s="273">
        <v>0</v>
      </c>
      <c r="C429" s="273">
        <v>0</v>
      </c>
      <c r="D429" s="273">
        <v>0</v>
      </c>
      <c r="E429" s="273">
        <v>0</v>
      </c>
      <c r="F429" s="273"/>
    </row>
    <row r="430" spans="1:6" x14ac:dyDescent="0.6">
      <c r="A430" s="106" t="s">
        <v>2925</v>
      </c>
      <c r="B430" s="273">
        <v>0</v>
      </c>
      <c r="C430" s="273">
        <v>0</v>
      </c>
      <c r="D430" s="273">
        <v>0</v>
      </c>
      <c r="E430" s="273">
        <v>0</v>
      </c>
      <c r="F430" s="273"/>
    </row>
    <row r="431" spans="1:6" x14ac:dyDescent="0.6">
      <c r="A431" s="106" t="s">
        <v>2926</v>
      </c>
      <c r="B431" s="273"/>
      <c r="C431" s="273"/>
      <c r="D431" s="273"/>
      <c r="E431" s="273"/>
      <c r="F431" s="273"/>
    </row>
    <row r="432" spans="1:6" x14ac:dyDescent="0.6">
      <c r="A432" s="106" t="s">
        <v>2927</v>
      </c>
      <c r="B432" s="273">
        <v>0</v>
      </c>
      <c r="C432" s="273">
        <v>0</v>
      </c>
      <c r="D432" s="273">
        <v>0</v>
      </c>
      <c r="E432" s="273">
        <v>0</v>
      </c>
      <c r="F432" s="273"/>
    </row>
    <row r="433" spans="1:6" x14ac:dyDescent="0.6">
      <c r="A433" s="106" t="s">
        <v>2928</v>
      </c>
      <c r="B433" s="273">
        <v>0</v>
      </c>
      <c r="C433" s="273">
        <v>0</v>
      </c>
      <c r="D433" s="273">
        <v>87.73333333333332</v>
      </c>
      <c r="E433" s="273">
        <v>87.73333333333332</v>
      </c>
      <c r="F433" s="273">
        <v>175.46666666666664</v>
      </c>
    </row>
    <row r="434" spans="1:6" x14ac:dyDescent="0.6">
      <c r="A434" s="106" t="s">
        <v>2929</v>
      </c>
      <c r="B434" s="273">
        <v>0</v>
      </c>
      <c r="C434" s="273">
        <v>0</v>
      </c>
      <c r="D434" s="273">
        <v>0</v>
      </c>
      <c r="E434" s="273">
        <v>0</v>
      </c>
      <c r="F434" s="273"/>
    </row>
    <row r="435" spans="1:6" x14ac:dyDescent="0.6">
      <c r="A435" s="106" t="s">
        <v>2930</v>
      </c>
      <c r="B435" s="273"/>
      <c r="C435" s="273"/>
      <c r="D435" s="273"/>
      <c r="E435" s="273"/>
      <c r="F435" s="273"/>
    </row>
    <row r="436" spans="1:6" x14ac:dyDescent="0.6">
      <c r="A436" s="106" t="s">
        <v>2931</v>
      </c>
      <c r="B436" s="273">
        <v>0</v>
      </c>
      <c r="C436" s="273">
        <v>79.546350000000004</v>
      </c>
      <c r="D436" s="273">
        <v>84.6</v>
      </c>
      <c r="E436" s="273">
        <v>84.6</v>
      </c>
      <c r="F436" s="273">
        <v>248.74635000000001</v>
      </c>
    </row>
    <row r="437" spans="1:6" x14ac:dyDescent="0.6">
      <c r="A437" s="106" t="s">
        <v>2932</v>
      </c>
      <c r="B437" s="273">
        <v>0</v>
      </c>
      <c r="C437" s="273">
        <v>429.31992500000001</v>
      </c>
      <c r="D437" s="273">
        <v>0</v>
      </c>
      <c r="E437" s="273">
        <v>0</v>
      </c>
      <c r="F437" s="273">
        <v>429.31992500000001</v>
      </c>
    </row>
    <row r="438" spans="1:6" x14ac:dyDescent="0.6">
      <c r="A438" s="106" t="s">
        <v>2933</v>
      </c>
      <c r="B438" s="273">
        <v>0</v>
      </c>
      <c r="C438" s="273">
        <v>79.546350000000004</v>
      </c>
      <c r="D438" s="273">
        <v>346.63679999999999</v>
      </c>
      <c r="E438" s="273">
        <v>50.536799999999999</v>
      </c>
      <c r="F438" s="273">
        <v>476.71994999999998</v>
      </c>
    </row>
    <row r="439" spans="1:6" x14ac:dyDescent="0.6">
      <c r="A439" s="106" t="s">
        <v>2710</v>
      </c>
      <c r="B439" s="273"/>
      <c r="C439" s="273"/>
      <c r="D439" s="273"/>
      <c r="E439" s="273"/>
      <c r="F439" s="273"/>
    </row>
    <row r="440" spans="1:6" x14ac:dyDescent="0.6">
      <c r="A440" s="106" t="s">
        <v>2934</v>
      </c>
      <c r="B440" s="273"/>
      <c r="C440" s="273"/>
      <c r="D440" s="273"/>
      <c r="E440" s="273"/>
      <c r="F440" s="273"/>
    </row>
    <row r="441" spans="1:6" x14ac:dyDescent="0.6">
      <c r="A441" s="106" t="s">
        <v>2935</v>
      </c>
      <c r="B441" s="273">
        <v>0</v>
      </c>
      <c r="C441" s="273">
        <v>449.84390999999999</v>
      </c>
      <c r="D441" s="273">
        <v>0</v>
      </c>
      <c r="E441" s="273">
        <v>0</v>
      </c>
      <c r="F441" s="273">
        <v>449.84390999999999</v>
      </c>
    </row>
    <row r="442" spans="1:6" x14ac:dyDescent="0.6">
      <c r="A442" s="106" t="s">
        <v>2936</v>
      </c>
      <c r="B442" s="273"/>
      <c r="C442" s="273"/>
      <c r="D442" s="273"/>
      <c r="E442" s="273"/>
      <c r="F442" s="273"/>
    </row>
    <row r="443" spans="1:6" x14ac:dyDescent="0.6">
      <c r="A443" s="106" t="s">
        <v>2937</v>
      </c>
      <c r="B443" s="273"/>
      <c r="C443" s="273"/>
      <c r="D443" s="273"/>
      <c r="E443" s="273"/>
      <c r="F443" s="273"/>
    </row>
    <row r="444" spans="1:6" x14ac:dyDescent="0.6">
      <c r="A444" s="106" t="s">
        <v>2938</v>
      </c>
      <c r="B444" s="273"/>
      <c r="C444" s="273"/>
      <c r="D444" s="273"/>
      <c r="E444" s="273"/>
      <c r="F444" s="273"/>
    </row>
    <row r="445" spans="1:6" x14ac:dyDescent="0.6">
      <c r="A445" s="106" t="s">
        <v>2939</v>
      </c>
      <c r="B445" s="273"/>
      <c r="C445" s="273"/>
      <c r="D445" s="273"/>
      <c r="E445" s="273"/>
      <c r="F445" s="273"/>
    </row>
    <row r="446" spans="1:6" x14ac:dyDescent="0.6">
      <c r="A446" s="106" t="s">
        <v>2940</v>
      </c>
      <c r="B446" s="273"/>
      <c r="C446" s="273"/>
      <c r="D446" s="273"/>
      <c r="E446" s="273"/>
      <c r="F446" s="273"/>
    </row>
    <row r="447" spans="1:6" x14ac:dyDescent="0.6">
      <c r="A447" s="106" t="s">
        <v>2711</v>
      </c>
      <c r="B447" s="273"/>
      <c r="C447" s="273"/>
      <c r="D447" s="273"/>
      <c r="E447" s="273"/>
      <c r="F447" s="273"/>
    </row>
    <row r="448" spans="1:6" x14ac:dyDescent="0.6">
      <c r="A448" s="106" t="s">
        <v>2941</v>
      </c>
      <c r="B448" s="273">
        <v>0</v>
      </c>
      <c r="C448" s="273">
        <v>392.17499999999995</v>
      </c>
      <c r="D448" s="273">
        <v>0</v>
      </c>
      <c r="E448" s="273">
        <v>0</v>
      </c>
      <c r="F448" s="273">
        <v>392.17499999999995</v>
      </c>
    </row>
    <row r="449" spans="1:6" x14ac:dyDescent="0.6">
      <c r="A449" s="106" t="s">
        <v>2942</v>
      </c>
      <c r="B449" s="273">
        <v>0</v>
      </c>
      <c r="C449" s="273">
        <v>0</v>
      </c>
      <c r="D449" s="273">
        <v>826.25999999999988</v>
      </c>
      <c r="E449" s="273">
        <v>253.79999999999998</v>
      </c>
      <c r="F449" s="273">
        <v>1080.06</v>
      </c>
    </row>
    <row r="450" spans="1:6" x14ac:dyDescent="0.6">
      <c r="A450" s="106" t="s">
        <v>2943</v>
      </c>
      <c r="B450" s="273"/>
      <c r="C450" s="273"/>
      <c r="D450" s="273"/>
      <c r="E450" s="273"/>
      <c r="F450" s="273"/>
    </row>
    <row r="451" spans="1:6" x14ac:dyDescent="0.6">
      <c r="A451" s="106" t="s">
        <v>2944</v>
      </c>
      <c r="B451" s="273"/>
      <c r="C451" s="273"/>
      <c r="D451" s="273"/>
      <c r="E451" s="273"/>
      <c r="F451" s="273"/>
    </row>
    <row r="452" spans="1:6" x14ac:dyDescent="0.6">
      <c r="A452" s="106" t="s">
        <v>2945</v>
      </c>
      <c r="B452" s="273">
        <v>0</v>
      </c>
      <c r="C452" s="273">
        <v>458.49188000000004</v>
      </c>
      <c r="D452" s="273">
        <v>0</v>
      </c>
      <c r="E452" s="273">
        <v>0</v>
      </c>
      <c r="F452" s="273">
        <v>458.49188000000004</v>
      </c>
    </row>
    <row r="453" spans="1:6" x14ac:dyDescent="0.6">
      <c r="A453" s="106" t="s">
        <v>2946</v>
      </c>
      <c r="B453" s="273">
        <v>0</v>
      </c>
      <c r="C453" s="273">
        <v>0</v>
      </c>
      <c r="D453" s="273">
        <v>676.66666666666663</v>
      </c>
      <c r="E453" s="273">
        <v>1060.6179999999999</v>
      </c>
      <c r="F453" s="273">
        <v>1737.2846666666665</v>
      </c>
    </row>
    <row r="454" spans="1:6" x14ac:dyDescent="0.6">
      <c r="A454" s="106" t="s">
        <v>2947</v>
      </c>
      <c r="B454" s="273"/>
      <c r="C454" s="273"/>
      <c r="D454" s="273"/>
      <c r="E454" s="273"/>
      <c r="F454" s="273"/>
    </row>
    <row r="455" spans="1:6" x14ac:dyDescent="0.6">
      <c r="A455" s="106" t="s">
        <v>2948</v>
      </c>
      <c r="B455" s="273">
        <v>0</v>
      </c>
      <c r="C455" s="273">
        <v>230.87100555555554</v>
      </c>
      <c r="D455" s="273">
        <v>105.53767222222221</v>
      </c>
      <c r="E455" s="273">
        <v>42.871005555555556</v>
      </c>
      <c r="F455" s="273">
        <v>379.27968333333331</v>
      </c>
    </row>
    <row r="456" spans="1:6" x14ac:dyDescent="0.6">
      <c r="A456" s="106" t="s">
        <v>2949</v>
      </c>
      <c r="B456" s="273"/>
      <c r="C456" s="273"/>
      <c r="D456" s="273"/>
      <c r="E456" s="273"/>
      <c r="F456" s="273"/>
    </row>
    <row r="457" spans="1:6" x14ac:dyDescent="0.6">
      <c r="A457" s="106" t="s">
        <v>2950</v>
      </c>
      <c r="B457" s="273"/>
      <c r="C457" s="273"/>
      <c r="D457" s="273"/>
      <c r="E457" s="273"/>
      <c r="F457" s="273"/>
    </row>
    <row r="458" spans="1:6" x14ac:dyDescent="0.6">
      <c r="A458" s="106" t="s">
        <v>2951</v>
      </c>
      <c r="B458" s="273">
        <v>0</v>
      </c>
      <c r="C458" s="273">
        <v>1248.57564</v>
      </c>
      <c r="D458" s="273">
        <v>0</v>
      </c>
      <c r="E458" s="273">
        <v>0</v>
      </c>
      <c r="F458" s="273">
        <v>1248.57564</v>
      </c>
    </row>
    <row r="459" spans="1:6" x14ac:dyDescent="0.6">
      <c r="A459" s="106" t="s">
        <v>2952</v>
      </c>
      <c r="B459" s="273">
        <v>0</v>
      </c>
      <c r="C459" s="273">
        <v>0</v>
      </c>
      <c r="D459" s="273">
        <v>857.88376000000005</v>
      </c>
      <c r="E459" s="273">
        <v>0</v>
      </c>
      <c r="F459" s="273">
        <v>857.88376000000005</v>
      </c>
    </row>
    <row r="460" spans="1:6" x14ac:dyDescent="0.6">
      <c r="A460" s="106" t="s">
        <v>2953</v>
      </c>
      <c r="B460" s="273">
        <v>0</v>
      </c>
      <c r="C460" s="273">
        <v>1554.44391</v>
      </c>
      <c r="D460" s="273">
        <v>2429.3306400000001</v>
      </c>
      <c r="E460" s="273">
        <v>3734.8345199999999</v>
      </c>
      <c r="F460" s="273">
        <v>7718.6090700000004</v>
      </c>
    </row>
    <row r="461" spans="1:6" x14ac:dyDescent="0.6">
      <c r="A461" s="106" t="s">
        <v>2954</v>
      </c>
      <c r="B461" s="273">
        <v>0</v>
      </c>
      <c r="C461" s="273">
        <v>4466.196856333333</v>
      </c>
      <c r="D461" s="273">
        <v>411.65833333333319</v>
      </c>
      <c r="E461" s="273">
        <v>392.53333333333319</v>
      </c>
      <c r="F461" s="273">
        <v>5270.3885229999996</v>
      </c>
    </row>
    <row r="462" spans="1:6" x14ac:dyDescent="0.6">
      <c r="A462" s="106" t="s">
        <v>2955</v>
      </c>
      <c r="B462" s="273">
        <v>0</v>
      </c>
      <c r="C462" s="273">
        <v>487.01586500000002</v>
      </c>
      <c r="D462" s="273">
        <v>18.799999999999997</v>
      </c>
      <c r="E462" s="273">
        <v>0</v>
      </c>
      <c r="F462" s="273">
        <v>505.81586500000003</v>
      </c>
    </row>
    <row r="463" spans="1:6" x14ac:dyDescent="0.6">
      <c r="A463" s="106" t="s">
        <v>2956</v>
      </c>
      <c r="B463" s="273"/>
      <c r="C463" s="273"/>
      <c r="D463" s="273"/>
      <c r="E463" s="273"/>
      <c r="F463" s="273"/>
    </row>
    <row r="464" spans="1:6" x14ac:dyDescent="0.6">
      <c r="A464" s="106" t="s">
        <v>2957</v>
      </c>
      <c r="B464" s="273"/>
      <c r="C464" s="273"/>
      <c r="D464" s="273"/>
      <c r="E464" s="273"/>
      <c r="F464" s="273"/>
    </row>
    <row r="465" spans="1:6" x14ac:dyDescent="0.6">
      <c r="A465" s="106" t="s">
        <v>2958</v>
      </c>
      <c r="B465" s="273"/>
      <c r="C465" s="273"/>
      <c r="D465" s="273"/>
      <c r="E465" s="273"/>
      <c r="F465" s="273"/>
    </row>
    <row r="466" spans="1:6" x14ac:dyDescent="0.6">
      <c r="A466" s="106" t="s">
        <v>2959</v>
      </c>
      <c r="B466" s="273">
        <v>0</v>
      </c>
      <c r="C466" s="273">
        <v>3121.4390999999996</v>
      </c>
      <c r="D466" s="273">
        <v>4682.1586499999994</v>
      </c>
      <c r="E466" s="273">
        <v>0</v>
      </c>
      <c r="F466" s="273">
        <v>7803.597749999999</v>
      </c>
    </row>
    <row r="467" spans="1:6" x14ac:dyDescent="0.6">
      <c r="A467" s="106" t="s">
        <v>2960</v>
      </c>
      <c r="B467" s="273">
        <v>0</v>
      </c>
      <c r="C467" s="273">
        <v>81.2</v>
      </c>
      <c r="D467" s="273">
        <v>549.41586500000005</v>
      </c>
      <c r="E467" s="273">
        <v>549.41586500000005</v>
      </c>
      <c r="F467" s="273">
        <v>1180.0317300000002</v>
      </c>
    </row>
    <row r="468" spans="1:6" x14ac:dyDescent="0.6">
      <c r="A468" s="106" t="s">
        <v>2961</v>
      </c>
      <c r="B468" s="273">
        <v>0</v>
      </c>
      <c r="C468" s="273">
        <v>0</v>
      </c>
      <c r="D468" s="273">
        <v>550.11586499999999</v>
      </c>
      <c r="E468" s="273">
        <v>9</v>
      </c>
      <c r="F468" s="273">
        <v>559.11586499999999</v>
      </c>
    </row>
    <row r="469" spans="1:6" x14ac:dyDescent="0.6">
      <c r="A469" s="106" t="s">
        <v>2962</v>
      </c>
      <c r="B469" s="273"/>
      <c r="C469" s="273"/>
      <c r="D469" s="273"/>
      <c r="E469" s="273"/>
      <c r="F469" s="273"/>
    </row>
    <row r="470" spans="1:6" x14ac:dyDescent="0.6">
      <c r="A470" s="106" t="s">
        <v>2963</v>
      </c>
      <c r="B470" s="273">
        <v>0</v>
      </c>
      <c r="C470" s="273">
        <v>0</v>
      </c>
      <c r="D470" s="273">
        <v>0</v>
      </c>
      <c r="E470" s="273">
        <v>0</v>
      </c>
      <c r="F470" s="273"/>
    </row>
    <row r="471" spans="1:6" x14ac:dyDescent="0.6">
      <c r="A471" s="106" t="s">
        <v>2964</v>
      </c>
      <c r="B471" s="273"/>
      <c r="C471" s="273"/>
      <c r="D471" s="273"/>
      <c r="E471" s="273"/>
      <c r="F471" s="273"/>
    </row>
    <row r="472" spans="1:6" x14ac:dyDescent="0.6">
      <c r="A472" s="106" t="s">
        <v>2965</v>
      </c>
      <c r="B472" s="273">
        <v>0</v>
      </c>
      <c r="C472" s="273">
        <v>643.93538999999998</v>
      </c>
      <c r="D472" s="273">
        <v>9</v>
      </c>
      <c r="E472" s="273">
        <v>0</v>
      </c>
      <c r="F472" s="273">
        <v>652.93538999999998</v>
      </c>
    </row>
    <row r="473" spans="1:6" x14ac:dyDescent="0.6">
      <c r="A473" s="106" t="s">
        <v>2966</v>
      </c>
      <c r="B473" s="273"/>
      <c r="C473" s="273"/>
      <c r="D473" s="273"/>
      <c r="E473" s="273"/>
      <c r="F473" s="273"/>
    </row>
    <row r="474" spans="1:6" x14ac:dyDescent="0.6">
      <c r="A474" s="106" t="s">
        <v>2967</v>
      </c>
      <c r="B474" s="273">
        <v>0</v>
      </c>
      <c r="C474" s="273">
        <v>0</v>
      </c>
      <c r="D474" s="273">
        <v>172.52301666666665</v>
      </c>
      <c r="E474" s="273">
        <v>137.73134999999999</v>
      </c>
      <c r="F474" s="273">
        <v>310.25436666666661</v>
      </c>
    </row>
    <row r="475" spans="1:6" x14ac:dyDescent="0.6">
      <c r="A475" s="106" t="s">
        <v>2968</v>
      </c>
      <c r="B475" s="273"/>
      <c r="C475" s="273"/>
      <c r="D475" s="273"/>
      <c r="E475" s="273"/>
      <c r="F475" s="273"/>
    </row>
    <row r="476" spans="1:6" x14ac:dyDescent="0.6">
      <c r="A476" s="106" t="s">
        <v>2969</v>
      </c>
      <c r="B476" s="273">
        <v>0</v>
      </c>
      <c r="C476" s="273">
        <v>132.57499999999999</v>
      </c>
      <c r="D476" s="273">
        <v>87.949999999999989</v>
      </c>
      <c r="E476" s="273">
        <v>87.949999999999989</v>
      </c>
      <c r="F476" s="273">
        <v>308.47499999999997</v>
      </c>
    </row>
    <row r="477" spans="1:6" x14ac:dyDescent="0.6">
      <c r="A477" s="106" t="s">
        <v>2684</v>
      </c>
      <c r="B477" s="273"/>
      <c r="C477" s="273"/>
      <c r="D477" s="273"/>
      <c r="E477" s="273"/>
      <c r="F477" s="273"/>
    </row>
    <row r="478" spans="1:6" x14ac:dyDescent="0.6">
      <c r="A478" s="106" t="s">
        <v>3042</v>
      </c>
      <c r="B478" s="273">
        <v>0</v>
      </c>
      <c r="C478" s="273">
        <v>15.3</v>
      </c>
      <c r="D478" s="273">
        <v>15.3</v>
      </c>
      <c r="E478" s="273">
        <v>15.3</v>
      </c>
      <c r="F478" s="273">
        <v>45.900000000000006</v>
      </c>
    </row>
    <row r="479" spans="1:6" x14ac:dyDescent="0.6">
      <c r="A479" s="106" t="s">
        <v>3056</v>
      </c>
      <c r="B479" s="273">
        <v>0</v>
      </c>
      <c r="C479" s="273">
        <v>270.26611111111106</v>
      </c>
      <c r="D479" s="273">
        <v>270.26611111111106</v>
      </c>
      <c r="E479" s="273">
        <v>270.26611111111106</v>
      </c>
      <c r="F479" s="273">
        <v>810.79833333333318</v>
      </c>
    </row>
    <row r="480" spans="1:6" x14ac:dyDescent="0.6">
      <c r="A480" s="106" t="s">
        <v>3058</v>
      </c>
      <c r="B480" s="273">
        <v>0</v>
      </c>
      <c r="C480" s="273">
        <v>696.16666666666663</v>
      </c>
      <c r="D480" s="273">
        <v>1296.1666666666667</v>
      </c>
      <c r="E480" s="273">
        <v>1737.1666666666667</v>
      </c>
      <c r="F480" s="273">
        <v>3729.5</v>
      </c>
    </row>
    <row r="481" spans="1:6" x14ac:dyDescent="0.6">
      <c r="A481" s="106" t="s">
        <v>3061</v>
      </c>
      <c r="B481" s="273">
        <v>0</v>
      </c>
      <c r="C481" s="273">
        <v>0</v>
      </c>
      <c r="D481" s="273">
        <v>0</v>
      </c>
      <c r="E481" s="273">
        <v>0</v>
      </c>
      <c r="F481" s="273"/>
    </row>
    <row r="482" spans="1:6" x14ac:dyDescent="0.6">
      <c r="A482" s="106" t="s">
        <v>3067</v>
      </c>
      <c r="B482" s="273">
        <v>0</v>
      </c>
      <c r="C482" s="273">
        <v>44.48888888888888</v>
      </c>
      <c r="D482" s="273">
        <v>44.48888888888888</v>
      </c>
      <c r="E482" s="273">
        <v>44.48888888888888</v>
      </c>
      <c r="F482" s="273">
        <v>133.46666666666664</v>
      </c>
    </row>
    <row r="483" spans="1:6" x14ac:dyDescent="0.6">
      <c r="A483" s="106" t="s">
        <v>3070</v>
      </c>
      <c r="B483" s="273">
        <v>0</v>
      </c>
      <c r="C483" s="273">
        <v>105</v>
      </c>
      <c r="D483" s="273">
        <v>84</v>
      </c>
      <c r="E483" s="273">
        <v>0</v>
      </c>
      <c r="F483" s="273">
        <v>189</v>
      </c>
    </row>
    <row r="484" spans="1:6" x14ac:dyDescent="0.6">
      <c r="A484" s="106" t="s">
        <v>3073</v>
      </c>
      <c r="B484" s="273">
        <v>0</v>
      </c>
      <c r="C484" s="273">
        <v>392.53333333333319</v>
      </c>
      <c r="D484" s="273">
        <v>0</v>
      </c>
      <c r="E484" s="273">
        <v>0</v>
      </c>
      <c r="F484" s="273">
        <v>392.53333333333319</v>
      </c>
    </row>
    <row r="485" spans="1:6" x14ac:dyDescent="0.6">
      <c r="A485" s="106" t="s">
        <v>3074</v>
      </c>
      <c r="B485" s="273">
        <v>0</v>
      </c>
      <c r="C485" s="273">
        <v>130.84444444444441</v>
      </c>
      <c r="D485" s="273">
        <v>130.84444444444441</v>
      </c>
      <c r="E485" s="273">
        <v>130.84444444444441</v>
      </c>
      <c r="F485" s="273">
        <v>392.53333333333319</v>
      </c>
    </row>
    <row r="486" spans="1:6" x14ac:dyDescent="0.6">
      <c r="A486" s="106" t="s">
        <v>3095</v>
      </c>
      <c r="B486" s="273">
        <v>0</v>
      </c>
      <c r="C486" s="273">
        <v>0</v>
      </c>
      <c r="D486" s="273">
        <v>0</v>
      </c>
      <c r="E486" s="273">
        <v>0</v>
      </c>
      <c r="F486" s="273"/>
    </row>
    <row r="487" spans="1:6" x14ac:dyDescent="0.6">
      <c r="A487" s="106" t="s">
        <v>3098</v>
      </c>
      <c r="B487" s="273">
        <v>0</v>
      </c>
      <c r="C487" s="273">
        <v>84.6</v>
      </c>
      <c r="D487" s="273">
        <v>0</v>
      </c>
      <c r="E487" s="273">
        <v>84.6</v>
      </c>
      <c r="F487" s="273">
        <v>169.2</v>
      </c>
    </row>
    <row r="488" spans="1:6" x14ac:dyDescent="0.6">
      <c r="A488" s="106" t="s">
        <v>3102</v>
      </c>
      <c r="B488" s="273">
        <v>0</v>
      </c>
      <c r="C488" s="273">
        <v>7492.0925642763405</v>
      </c>
      <c r="D488" s="273">
        <v>7866.6971924901263</v>
      </c>
      <c r="E488" s="273">
        <v>8260.032052114655</v>
      </c>
      <c r="F488" s="273">
        <v>23618.821808881119</v>
      </c>
    </row>
    <row r="489" spans="1:6" x14ac:dyDescent="0.6">
      <c r="A489" s="106" t="s">
        <v>3104</v>
      </c>
      <c r="B489" s="273">
        <v>0</v>
      </c>
      <c r="C489" s="273">
        <v>56.847499999999997</v>
      </c>
      <c r="D489" s="273">
        <v>56.847499999999997</v>
      </c>
      <c r="E489" s="273">
        <v>56.847499999999997</v>
      </c>
      <c r="F489" s="273">
        <v>170.54249999999999</v>
      </c>
    </row>
    <row r="490" spans="1:6" x14ac:dyDescent="0.6">
      <c r="A490" s="106" t="s">
        <v>3107</v>
      </c>
      <c r="B490" s="273">
        <v>0</v>
      </c>
      <c r="C490" s="273">
        <v>0</v>
      </c>
      <c r="D490" s="273">
        <v>0</v>
      </c>
      <c r="E490" s="273">
        <v>0</v>
      </c>
      <c r="F490" s="273"/>
    </row>
    <row r="491" spans="1:6" x14ac:dyDescent="0.6">
      <c r="A491" s="106" t="s">
        <v>3113</v>
      </c>
      <c r="B491" s="273">
        <v>0</v>
      </c>
      <c r="C491" s="273">
        <v>359.071955</v>
      </c>
      <c r="D491" s="273">
        <v>0</v>
      </c>
      <c r="E491" s="273">
        <v>0</v>
      </c>
      <c r="F491" s="273">
        <v>359.071955</v>
      </c>
    </row>
    <row r="492" spans="1:6" x14ac:dyDescent="0.6">
      <c r="A492" s="106" t="s">
        <v>3117</v>
      </c>
      <c r="B492" s="273">
        <v>0</v>
      </c>
      <c r="C492" s="273">
        <v>1655.0160133333334</v>
      </c>
      <c r="D492" s="273">
        <v>0</v>
      </c>
      <c r="E492" s="273">
        <v>0</v>
      </c>
      <c r="F492" s="273">
        <v>1655.0160133333334</v>
      </c>
    </row>
    <row r="493" spans="1:6" x14ac:dyDescent="0.6">
      <c r="A493" s="106" t="s">
        <v>3118</v>
      </c>
      <c r="B493" s="273">
        <v>0</v>
      </c>
      <c r="C493" s="273">
        <v>0</v>
      </c>
      <c r="D493" s="273">
        <v>0</v>
      </c>
      <c r="E493" s="273">
        <v>819</v>
      </c>
      <c r="F493" s="273">
        <v>819</v>
      </c>
    </row>
    <row r="494" spans="1:6" x14ac:dyDescent="0.6">
      <c r="A494" s="106" t="s">
        <v>3119</v>
      </c>
      <c r="B494" s="273">
        <v>0</v>
      </c>
      <c r="C494" s="273">
        <v>10235.049999999999</v>
      </c>
      <c r="D494" s="273">
        <v>2940</v>
      </c>
      <c r="E494" s="273">
        <v>0</v>
      </c>
      <c r="F494" s="273">
        <v>13175.05</v>
      </c>
    </row>
    <row r="495" spans="1:6" x14ac:dyDescent="0.6">
      <c r="A495" s="106" t="s">
        <v>3125</v>
      </c>
      <c r="B495" s="273">
        <v>6600</v>
      </c>
      <c r="C495" s="273">
        <v>4400</v>
      </c>
      <c r="D495" s="273">
        <v>15400</v>
      </c>
      <c r="E495" s="273">
        <v>0</v>
      </c>
      <c r="F495" s="273">
        <v>26400</v>
      </c>
    </row>
    <row r="496" spans="1:6" x14ac:dyDescent="0.6">
      <c r="A496" s="106" t="s">
        <v>3137</v>
      </c>
      <c r="B496" s="273">
        <v>0</v>
      </c>
      <c r="C496" s="273">
        <v>186.17500000000001</v>
      </c>
      <c r="D496" s="273">
        <v>0</v>
      </c>
      <c r="E496" s="273">
        <v>0</v>
      </c>
      <c r="F496" s="273">
        <v>186.17500000000001</v>
      </c>
    </row>
    <row r="497" spans="1:6" x14ac:dyDescent="0.6">
      <c r="A497" s="106" t="s">
        <v>3157</v>
      </c>
      <c r="B497" s="273"/>
      <c r="C497" s="273"/>
      <c r="D497" s="273"/>
      <c r="E497" s="273"/>
      <c r="F497" s="273"/>
    </row>
    <row r="498" spans="1:6" x14ac:dyDescent="0.6">
      <c r="A498" s="106" t="s">
        <v>3163</v>
      </c>
      <c r="B498" s="273"/>
      <c r="C498" s="273"/>
      <c r="D498" s="273"/>
      <c r="E498" s="273"/>
      <c r="F498" s="273"/>
    </row>
    <row r="499" spans="1:6" x14ac:dyDescent="0.6">
      <c r="A499" s="102" t="s">
        <v>2679</v>
      </c>
      <c r="B499" s="273">
        <v>525.21999999999991</v>
      </c>
      <c r="C499" s="273">
        <v>329.5</v>
      </c>
      <c r="D499" s="273">
        <v>406</v>
      </c>
      <c r="E499" s="273">
        <v>428.5</v>
      </c>
      <c r="F499" s="273">
        <v>1689.22</v>
      </c>
    </row>
    <row r="500" spans="1:6" x14ac:dyDescent="0.6">
      <c r="A500" s="106" t="s">
        <v>2786</v>
      </c>
      <c r="B500" s="273">
        <v>30</v>
      </c>
      <c r="C500" s="273">
        <v>50</v>
      </c>
      <c r="D500" s="273">
        <v>50</v>
      </c>
      <c r="E500" s="273">
        <v>50</v>
      </c>
      <c r="F500" s="273">
        <v>180</v>
      </c>
    </row>
    <row r="501" spans="1:6" x14ac:dyDescent="0.6">
      <c r="A501" s="106" t="s">
        <v>2789</v>
      </c>
      <c r="B501" s="273">
        <v>106</v>
      </c>
      <c r="C501" s="273">
        <v>106</v>
      </c>
      <c r="D501" s="273">
        <v>6</v>
      </c>
      <c r="E501" s="273">
        <v>6</v>
      </c>
      <c r="F501" s="273">
        <v>224</v>
      </c>
    </row>
    <row r="502" spans="1:6" x14ac:dyDescent="0.6">
      <c r="A502" s="106" t="s">
        <v>2820</v>
      </c>
      <c r="B502" s="273">
        <v>10.780000000000001</v>
      </c>
      <c r="C502" s="273">
        <v>3.5000000000000004</v>
      </c>
      <c r="D502" s="273">
        <v>3.5000000000000004</v>
      </c>
      <c r="E502" s="273">
        <v>3.5000000000000004</v>
      </c>
      <c r="F502" s="273">
        <v>21.28</v>
      </c>
    </row>
    <row r="503" spans="1:6" x14ac:dyDescent="0.6">
      <c r="A503" s="106" t="s">
        <v>2821</v>
      </c>
      <c r="B503" s="273">
        <v>77</v>
      </c>
      <c r="C503" s="273">
        <v>50</v>
      </c>
      <c r="D503" s="273">
        <v>50</v>
      </c>
      <c r="E503" s="273">
        <v>50</v>
      </c>
      <c r="F503" s="273">
        <v>227</v>
      </c>
    </row>
    <row r="504" spans="1:6" x14ac:dyDescent="0.6">
      <c r="A504" s="106" t="s">
        <v>2834</v>
      </c>
      <c r="B504" s="273">
        <v>10</v>
      </c>
      <c r="C504" s="273">
        <v>10</v>
      </c>
      <c r="D504" s="273">
        <v>10</v>
      </c>
      <c r="E504" s="273">
        <v>10</v>
      </c>
      <c r="F504" s="273">
        <v>40</v>
      </c>
    </row>
    <row r="505" spans="1:6" x14ac:dyDescent="0.6">
      <c r="A505" s="106" t="s">
        <v>2845</v>
      </c>
      <c r="B505" s="273">
        <v>78.540000000000006</v>
      </c>
      <c r="C505" s="273">
        <v>0</v>
      </c>
      <c r="D505" s="273">
        <v>25.5</v>
      </c>
      <c r="E505" s="273">
        <v>0</v>
      </c>
      <c r="F505" s="273">
        <v>104.04</v>
      </c>
    </row>
    <row r="506" spans="1:6" x14ac:dyDescent="0.6">
      <c r="A506" s="106" t="s">
        <v>3040</v>
      </c>
      <c r="B506" s="273"/>
      <c r="C506" s="273"/>
      <c r="D506" s="273"/>
      <c r="E506" s="273"/>
      <c r="F506" s="273"/>
    </row>
    <row r="507" spans="1:6" x14ac:dyDescent="0.6">
      <c r="A507" s="106" t="s">
        <v>3041</v>
      </c>
      <c r="B507" s="273"/>
      <c r="C507" s="273"/>
      <c r="D507" s="273"/>
      <c r="E507" s="273"/>
      <c r="F507" s="273"/>
    </row>
    <row r="508" spans="1:6" x14ac:dyDescent="0.6">
      <c r="A508" s="106" t="s">
        <v>3042</v>
      </c>
      <c r="B508" s="273"/>
      <c r="C508" s="273"/>
      <c r="D508" s="273"/>
      <c r="E508" s="273"/>
      <c r="F508" s="273"/>
    </row>
    <row r="509" spans="1:6" x14ac:dyDescent="0.6">
      <c r="A509" s="106" t="s">
        <v>3043</v>
      </c>
      <c r="B509" s="273"/>
      <c r="C509" s="273"/>
      <c r="D509" s="273"/>
      <c r="E509" s="273"/>
      <c r="F509" s="273"/>
    </row>
    <row r="510" spans="1:6" x14ac:dyDescent="0.6">
      <c r="A510" s="106" t="s">
        <v>3044</v>
      </c>
      <c r="B510" s="273"/>
      <c r="C510" s="273"/>
      <c r="D510" s="273"/>
      <c r="E510" s="273"/>
      <c r="F510" s="273"/>
    </row>
    <row r="511" spans="1:6" x14ac:dyDescent="0.6">
      <c r="A511" s="106" t="s">
        <v>3045</v>
      </c>
      <c r="B511" s="273"/>
      <c r="C511" s="273"/>
      <c r="D511" s="273"/>
      <c r="E511" s="273"/>
      <c r="F511" s="273"/>
    </row>
    <row r="512" spans="1:6" x14ac:dyDescent="0.6">
      <c r="A512" s="106" t="s">
        <v>3046</v>
      </c>
      <c r="B512" s="273"/>
      <c r="C512" s="273"/>
      <c r="D512" s="273"/>
      <c r="E512" s="273"/>
      <c r="F512" s="273"/>
    </row>
    <row r="513" spans="1:6" x14ac:dyDescent="0.6">
      <c r="A513" s="106" t="s">
        <v>3047</v>
      </c>
      <c r="B513" s="273"/>
      <c r="C513" s="273"/>
      <c r="D513" s="273"/>
      <c r="E513" s="273"/>
      <c r="F513" s="273"/>
    </row>
    <row r="514" spans="1:6" x14ac:dyDescent="0.6">
      <c r="A514" s="106" t="s">
        <v>3048</v>
      </c>
      <c r="B514" s="273"/>
      <c r="C514" s="273"/>
      <c r="D514" s="273"/>
      <c r="E514" s="273"/>
      <c r="F514" s="273"/>
    </row>
    <row r="515" spans="1:6" x14ac:dyDescent="0.6">
      <c r="A515" s="106" t="s">
        <v>2716</v>
      </c>
      <c r="B515" s="273"/>
      <c r="C515" s="273"/>
      <c r="D515" s="273"/>
      <c r="E515" s="273"/>
      <c r="F515" s="273"/>
    </row>
    <row r="516" spans="1:6" x14ac:dyDescent="0.6">
      <c r="A516" s="106" t="s">
        <v>3049</v>
      </c>
      <c r="B516" s="273">
        <v>150</v>
      </c>
      <c r="C516" s="273">
        <v>50</v>
      </c>
      <c r="D516" s="273">
        <v>200</v>
      </c>
      <c r="E516" s="273">
        <v>250</v>
      </c>
      <c r="F516" s="273">
        <v>650</v>
      </c>
    </row>
    <row r="517" spans="1:6" x14ac:dyDescent="0.6">
      <c r="A517" s="106" t="s">
        <v>3050</v>
      </c>
      <c r="B517" s="273"/>
      <c r="C517" s="273"/>
      <c r="D517" s="273"/>
      <c r="E517" s="273"/>
      <c r="F517" s="273"/>
    </row>
    <row r="518" spans="1:6" x14ac:dyDescent="0.6">
      <c r="A518" s="106" t="s">
        <v>3051</v>
      </c>
      <c r="B518" s="273"/>
      <c r="C518" s="273"/>
      <c r="D518" s="273"/>
      <c r="E518" s="273"/>
      <c r="F518" s="273"/>
    </row>
    <row r="519" spans="1:6" x14ac:dyDescent="0.6">
      <c r="A519" s="106" t="s">
        <v>3052</v>
      </c>
      <c r="B519" s="273"/>
      <c r="C519" s="273"/>
      <c r="D519" s="273"/>
      <c r="E519" s="273"/>
      <c r="F519" s="273"/>
    </row>
    <row r="520" spans="1:6" x14ac:dyDescent="0.6">
      <c r="A520" s="106" t="s">
        <v>3053</v>
      </c>
      <c r="B520" s="273"/>
      <c r="C520" s="273"/>
      <c r="D520" s="273"/>
      <c r="E520" s="273"/>
      <c r="F520" s="273"/>
    </row>
    <row r="521" spans="1:6" x14ac:dyDescent="0.6">
      <c r="A521" s="106" t="s">
        <v>3054</v>
      </c>
      <c r="B521" s="273"/>
      <c r="C521" s="273"/>
      <c r="D521" s="273"/>
      <c r="E521" s="273"/>
      <c r="F521" s="273"/>
    </row>
    <row r="522" spans="1:6" x14ac:dyDescent="0.6">
      <c r="A522" s="106" t="s">
        <v>2717</v>
      </c>
      <c r="B522" s="273"/>
      <c r="C522" s="273"/>
      <c r="D522" s="273"/>
      <c r="E522" s="273"/>
      <c r="F522" s="273"/>
    </row>
    <row r="523" spans="1:6" x14ac:dyDescent="0.6">
      <c r="A523" s="106" t="s">
        <v>2718</v>
      </c>
      <c r="B523" s="273"/>
      <c r="C523" s="273"/>
      <c r="D523" s="273"/>
      <c r="E523" s="273"/>
      <c r="F523" s="273"/>
    </row>
    <row r="524" spans="1:6" x14ac:dyDescent="0.6">
      <c r="A524" s="106" t="s">
        <v>3055</v>
      </c>
      <c r="B524" s="273"/>
      <c r="C524" s="273"/>
      <c r="D524" s="273"/>
      <c r="E524" s="273"/>
      <c r="F524" s="273"/>
    </row>
    <row r="525" spans="1:6" x14ac:dyDescent="0.6">
      <c r="A525" s="106" t="s">
        <v>3056</v>
      </c>
      <c r="B525" s="273"/>
      <c r="C525" s="273"/>
      <c r="D525" s="273"/>
      <c r="E525" s="273"/>
      <c r="F525" s="273"/>
    </row>
    <row r="526" spans="1:6" x14ac:dyDescent="0.6">
      <c r="A526" s="106" t="s">
        <v>3057</v>
      </c>
      <c r="B526" s="273"/>
      <c r="C526" s="273"/>
      <c r="D526" s="273"/>
      <c r="E526" s="273"/>
      <c r="F526" s="273"/>
    </row>
    <row r="527" spans="1:6" x14ac:dyDescent="0.6">
      <c r="A527" s="106" t="s">
        <v>3058</v>
      </c>
      <c r="B527" s="273"/>
      <c r="C527" s="273"/>
      <c r="D527" s="273"/>
      <c r="E527" s="273"/>
      <c r="F527" s="273"/>
    </row>
    <row r="528" spans="1:6" x14ac:dyDescent="0.6">
      <c r="A528" s="106" t="s">
        <v>3059</v>
      </c>
      <c r="B528" s="273"/>
      <c r="C528" s="273"/>
      <c r="D528" s="273"/>
      <c r="E528" s="273"/>
      <c r="F528" s="273"/>
    </row>
    <row r="529" spans="1:6" x14ac:dyDescent="0.6">
      <c r="A529" s="106" t="s">
        <v>3060</v>
      </c>
      <c r="B529" s="273"/>
      <c r="C529" s="273"/>
      <c r="D529" s="273"/>
      <c r="E529" s="273"/>
      <c r="F529" s="273"/>
    </row>
    <row r="530" spans="1:6" x14ac:dyDescent="0.6">
      <c r="A530" s="106" t="s">
        <v>3061</v>
      </c>
      <c r="B530" s="273"/>
      <c r="C530" s="273"/>
      <c r="D530" s="273"/>
      <c r="E530" s="273"/>
      <c r="F530" s="273"/>
    </row>
    <row r="531" spans="1:6" x14ac:dyDescent="0.6">
      <c r="A531" s="106" t="s">
        <v>3062</v>
      </c>
      <c r="B531" s="273"/>
      <c r="C531" s="273"/>
      <c r="D531" s="273"/>
      <c r="E531" s="273"/>
      <c r="F531" s="273"/>
    </row>
    <row r="532" spans="1:6" x14ac:dyDescent="0.6">
      <c r="A532" s="106" t="s">
        <v>3063</v>
      </c>
      <c r="B532" s="273"/>
      <c r="C532" s="273"/>
      <c r="D532" s="273"/>
      <c r="E532" s="273"/>
      <c r="F532" s="273"/>
    </row>
    <row r="533" spans="1:6" x14ac:dyDescent="0.6">
      <c r="A533" s="106" t="s">
        <v>3064</v>
      </c>
      <c r="B533" s="273"/>
      <c r="C533" s="273"/>
      <c r="D533" s="273"/>
      <c r="E533" s="273"/>
      <c r="F533" s="273"/>
    </row>
    <row r="534" spans="1:6" x14ac:dyDescent="0.6">
      <c r="A534" s="106" t="s">
        <v>3065</v>
      </c>
      <c r="B534" s="273"/>
      <c r="C534" s="273"/>
      <c r="D534" s="273"/>
      <c r="E534" s="273"/>
      <c r="F534" s="273"/>
    </row>
    <row r="535" spans="1:6" x14ac:dyDescent="0.6">
      <c r="A535" s="106" t="s">
        <v>3066</v>
      </c>
      <c r="B535" s="273"/>
      <c r="C535" s="273"/>
      <c r="D535" s="273"/>
      <c r="E535" s="273"/>
      <c r="F535" s="273"/>
    </row>
    <row r="536" spans="1:6" x14ac:dyDescent="0.6">
      <c r="A536" s="106" t="s">
        <v>3067</v>
      </c>
      <c r="B536" s="273"/>
      <c r="C536" s="273"/>
      <c r="D536" s="273"/>
      <c r="E536" s="273"/>
      <c r="F536" s="273"/>
    </row>
    <row r="537" spans="1:6" x14ac:dyDescent="0.6">
      <c r="A537" s="106" t="s">
        <v>2719</v>
      </c>
      <c r="B537" s="273"/>
      <c r="C537" s="273"/>
      <c r="D537" s="273"/>
      <c r="E537" s="273"/>
      <c r="F537" s="273"/>
    </row>
    <row r="538" spans="1:6" x14ac:dyDescent="0.6">
      <c r="A538" s="106" t="s">
        <v>3068</v>
      </c>
      <c r="B538" s="273"/>
      <c r="C538" s="273"/>
      <c r="D538" s="273"/>
      <c r="E538" s="273"/>
      <c r="F538" s="273"/>
    </row>
    <row r="539" spans="1:6" x14ac:dyDescent="0.6">
      <c r="A539" s="106" t="s">
        <v>3069</v>
      </c>
      <c r="B539" s="273"/>
      <c r="C539" s="273"/>
      <c r="D539" s="273"/>
      <c r="E539" s="273"/>
      <c r="F539" s="273"/>
    </row>
    <row r="540" spans="1:6" x14ac:dyDescent="0.6">
      <c r="A540" s="106" t="s">
        <v>3070</v>
      </c>
      <c r="B540" s="273"/>
      <c r="C540" s="273"/>
      <c r="D540" s="273"/>
      <c r="E540" s="273"/>
      <c r="F540" s="273"/>
    </row>
    <row r="541" spans="1:6" x14ac:dyDescent="0.6">
      <c r="A541" s="106" t="s">
        <v>3071</v>
      </c>
      <c r="B541" s="273"/>
      <c r="C541" s="273"/>
      <c r="D541" s="273"/>
      <c r="E541" s="273"/>
      <c r="F541" s="273"/>
    </row>
    <row r="542" spans="1:6" x14ac:dyDescent="0.6">
      <c r="A542" s="106" t="s">
        <v>3072</v>
      </c>
      <c r="B542" s="273"/>
      <c r="C542" s="273"/>
      <c r="D542" s="273"/>
      <c r="E542" s="273"/>
      <c r="F542" s="273"/>
    </row>
    <row r="543" spans="1:6" x14ac:dyDescent="0.6">
      <c r="A543" s="106" t="s">
        <v>3073</v>
      </c>
      <c r="B543" s="273"/>
      <c r="C543" s="273"/>
      <c r="D543" s="273"/>
      <c r="E543" s="273"/>
      <c r="F543" s="273"/>
    </row>
    <row r="544" spans="1:6" x14ac:dyDescent="0.6">
      <c r="A544" s="106" t="s">
        <v>3074</v>
      </c>
      <c r="B544" s="273"/>
      <c r="C544" s="273"/>
      <c r="D544" s="273"/>
      <c r="E544" s="273"/>
      <c r="F544" s="273"/>
    </row>
    <row r="545" spans="1:6" x14ac:dyDescent="0.6">
      <c r="A545" s="106" t="s">
        <v>2720</v>
      </c>
      <c r="B545" s="273"/>
      <c r="C545" s="273"/>
      <c r="D545" s="273"/>
      <c r="E545" s="273"/>
      <c r="F545" s="273"/>
    </row>
    <row r="546" spans="1:6" x14ac:dyDescent="0.6">
      <c r="A546" s="106" t="s">
        <v>3075</v>
      </c>
      <c r="B546" s="273"/>
      <c r="C546" s="273"/>
      <c r="D546" s="273"/>
      <c r="E546" s="273"/>
      <c r="F546" s="273"/>
    </row>
    <row r="547" spans="1:6" x14ac:dyDescent="0.6">
      <c r="A547" s="106" t="s">
        <v>3076</v>
      </c>
      <c r="B547" s="273"/>
      <c r="C547" s="273"/>
      <c r="D547" s="273"/>
      <c r="E547" s="273"/>
      <c r="F547" s="273"/>
    </row>
    <row r="548" spans="1:6" x14ac:dyDescent="0.6">
      <c r="A548" s="106" t="s">
        <v>3077</v>
      </c>
      <c r="B548" s="273"/>
      <c r="C548" s="273"/>
      <c r="D548" s="273"/>
      <c r="E548" s="273"/>
      <c r="F548" s="273"/>
    </row>
    <row r="549" spans="1:6" x14ac:dyDescent="0.6">
      <c r="A549" s="106" t="s">
        <v>3078</v>
      </c>
      <c r="B549" s="273"/>
      <c r="C549" s="273"/>
      <c r="D549" s="273"/>
      <c r="E549" s="273"/>
      <c r="F549" s="273"/>
    </row>
    <row r="550" spans="1:6" x14ac:dyDescent="0.6">
      <c r="A550" s="106" t="s">
        <v>3079</v>
      </c>
      <c r="B550" s="273"/>
      <c r="C550" s="273"/>
      <c r="D550" s="273"/>
      <c r="E550" s="273"/>
      <c r="F550" s="273"/>
    </row>
    <row r="551" spans="1:6" x14ac:dyDescent="0.6">
      <c r="A551" s="106" t="s">
        <v>3080</v>
      </c>
      <c r="B551" s="273"/>
      <c r="C551" s="273"/>
      <c r="D551" s="273"/>
      <c r="E551" s="273"/>
      <c r="F551" s="273"/>
    </row>
    <row r="552" spans="1:6" x14ac:dyDescent="0.6">
      <c r="A552" s="106" t="s">
        <v>3081</v>
      </c>
      <c r="B552" s="273"/>
      <c r="C552" s="273"/>
      <c r="D552" s="273"/>
      <c r="E552" s="273"/>
      <c r="F552" s="273"/>
    </row>
    <row r="553" spans="1:6" x14ac:dyDescent="0.6">
      <c r="A553" s="106" t="s">
        <v>3082</v>
      </c>
      <c r="B553" s="273"/>
      <c r="C553" s="273"/>
      <c r="D553" s="273"/>
      <c r="E553" s="273"/>
      <c r="F553" s="273"/>
    </row>
    <row r="554" spans="1:6" x14ac:dyDescent="0.6">
      <c r="A554" s="106" t="s">
        <v>3083</v>
      </c>
      <c r="B554" s="273"/>
      <c r="C554" s="273"/>
      <c r="D554" s="273"/>
      <c r="E554" s="273"/>
      <c r="F554" s="273"/>
    </row>
    <row r="555" spans="1:6" x14ac:dyDescent="0.6">
      <c r="A555" s="106" t="s">
        <v>3084</v>
      </c>
      <c r="B555" s="273"/>
      <c r="C555" s="273"/>
      <c r="D555" s="273"/>
      <c r="E555" s="273"/>
      <c r="F555" s="273"/>
    </row>
    <row r="556" spans="1:6" x14ac:dyDescent="0.6">
      <c r="A556" s="106" t="s">
        <v>3085</v>
      </c>
      <c r="B556" s="273"/>
      <c r="C556" s="273"/>
      <c r="D556" s="273"/>
      <c r="E556" s="273"/>
      <c r="F556" s="273"/>
    </row>
    <row r="557" spans="1:6" x14ac:dyDescent="0.6">
      <c r="A557" s="106" t="s">
        <v>3086</v>
      </c>
      <c r="B557" s="273"/>
      <c r="C557" s="273"/>
      <c r="D557" s="273"/>
      <c r="E557" s="273"/>
      <c r="F557" s="273"/>
    </row>
    <row r="558" spans="1:6" x14ac:dyDescent="0.6">
      <c r="A558" s="106" t="s">
        <v>3087</v>
      </c>
      <c r="B558" s="273"/>
      <c r="C558" s="273"/>
      <c r="D558" s="273"/>
      <c r="E558" s="273"/>
      <c r="F558" s="273"/>
    </row>
    <row r="559" spans="1:6" x14ac:dyDescent="0.6">
      <c r="A559" s="106" t="s">
        <v>3088</v>
      </c>
      <c r="B559" s="273"/>
      <c r="C559" s="273"/>
      <c r="D559" s="273"/>
      <c r="E559" s="273"/>
      <c r="F559" s="273"/>
    </row>
    <row r="560" spans="1:6" x14ac:dyDescent="0.6">
      <c r="A560" s="106" t="s">
        <v>3089</v>
      </c>
      <c r="B560" s="273"/>
      <c r="C560" s="273"/>
      <c r="D560" s="273"/>
      <c r="E560" s="273"/>
      <c r="F560" s="273"/>
    </row>
    <row r="561" spans="1:6" x14ac:dyDescent="0.6">
      <c r="A561" s="106" t="s">
        <v>3090</v>
      </c>
      <c r="B561" s="273"/>
      <c r="C561" s="273"/>
      <c r="D561" s="273"/>
      <c r="E561" s="273"/>
      <c r="F561" s="273"/>
    </row>
    <row r="562" spans="1:6" x14ac:dyDescent="0.6">
      <c r="A562" s="106" t="s">
        <v>3091</v>
      </c>
      <c r="B562" s="273"/>
      <c r="C562" s="273"/>
      <c r="D562" s="273"/>
      <c r="E562" s="273"/>
      <c r="F562" s="273"/>
    </row>
    <row r="563" spans="1:6" x14ac:dyDescent="0.6">
      <c r="A563" s="106" t="s">
        <v>3092</v>
      </c>
      <c r="B563" s="273"/>
      <c r="C563" s="273"/>
      <c r="D563" s="273"/>
      <c r="E563" s="273"/>
      <c r="F563" s="273"/>
    </row>
    <row r="564" spans="1:6" x14ac:dyDescent="0.6">
      <c r="A564" s="106" t="s">
        <v>3093</v>
      </c>
      <c r="B564" s="273"/>
      <c r="C564" s="273"/>
      <c r="D564" s="273"/>
      <c r="E564" s="273"/>
      <c r="F564" s="273"/>
    </row>
    <row r="565" spans="1:6" x14ac:dyDescent="0.6">
      <c r="A565" s="106" t="s">
        <v>3094</v>
      </c>
      <c r="B565" s="273"/>
      <c r="C565" s="273"/>
      <c r="D565" s="273"/>
      <c r="E565" s="273"/>
      <c r="F565" s="273"/>
    </row>
    <row r="566" spans="1:6" x14ac:dyDescent="0.6">
      <c r="A566" s="106" t="s">
        <v>3095</v>
      </c>
      <c r="B566" s="273"/>
      <c r="C566" s="273"/>
      <c r="D566" s="273"/>
      <c r="E566" s="273"/>
      <c r="F566" s="273"/>
    </row>
    <row r="567" spans="1:6" x14ac:dyDescent="0.6">
      <c r="A567" s="106" t="s">
        <v>3096</v>
      </c>
      <c r="B567" s="273"/>
      <c r="C567" s="273"/>
      <c r="D567" s="273"/>
      <c r="E567" s="273"/>
      <c r="F567" s="273"/>
    </row>
    <row r="568" spans="1:6" x14ac:dyDescent="0.6">
      <c r="A568" s="106" t="s">
        <v>2721</v>
      </c>
      <c r="B568" s="273"/>
      <c r="C568" s="273"/>
      <c r="D568" s="273"/>
      <c r="E568" s="273"/>
      <c r="F568" s="273"/>
    </row>
    <row r="569" spans="1:6" x14ac:dyDescent="0.6">
      <c r="A569" s="106" t="s">
        <v>3097</v>
      </c>
      <c r="B569" s="273">
        <v>5</v>
      </c>
      <c r="C569" s="273">
        <v>5</v>
      </c>
      <c r="D569" s="273">
        <v>5</v>
      </c>
      <c r="E569" s="273">
        <v>5</v>
      </c>
      <c r="F569" s="273">
        <v>20</v>
      </c>
    </row>
    <row r="570" spans="1:6" x14ac:dyDescent="0.6">
      <c r="A570" s="106" t="s">
        <v>3098</v>
      </c>
      <c r="B570" s="273"/>
      <c r="C570" s="273"/>
      <c r="D570" s="273"/>
      <c r="E570" s="273"/>
      <c r="F570" s="273"/>
    </row>
    <row r="571" spans="1:6" x14ac:dyDescent="0.6">
      <c r="A571" s="106" t="s">
        <v>3099</v>
      </c>
      <c r="B571" s="273"/>
      <c r="C571" s="273"/>
      <c r="D571" s="273"/>
      <c r="E571" s="273"/>
      <c r="F571" s="273"/>
    </row>
    <row r="572" spans="1:6" x14ac:dyDescent="0.6">
      <c r="A572" s="106" t="s">
        <v>3100</v>
      </c>
      <c r="B572" s="273"/>
      <c r="C572" s="273"/>
      <c r="D572" s="273"/>
      <c r="E572" s="273"/>
      <c r="F572" s="273"/>
    </row>
    <row r="573" spans="1:6" x14ac:dyDescent="0.6">
      <c r="A573" s="106" t="s">
        <v>3101</v>
      </c>
      <c r="B573" s="273"/>
      <c r="C573" s="273"/>
      <c r="D573" s="273"/>
      <c r="E573" s="273"/>
      <c r="F573" s="273"/>
    </row>
    <row r="574" spans="1:6" x14ac:dyDescent="0.6">
      <c r="A574" s="106" t="s">
        <v>3102</v>
      </c>
      <c r="B574" s="273"/>
      <c r="C574" s="273"/>
      <c r="D574" s="273"/>
      <c r="E574" s="273"/>
      <c r="F574" s="273"/>
    </row>
    <row r="575" spans="1:6" x14ac:dyDescent="0.6">
      <c r="A575" s="106" t="s">
        <v>3103</v>
      </c>
      <c r="B575" s="273"/>
      <c r="C575" s="273"/>
      <c r="D575" s="273"/>
      <c r="E575" s="273"/>
      <c r="F575" s="273"/>
    </row>
    <row r="576" spans="1:6" x14ac:dyDescent="0.6">
      <c r="A576" s="106" t="s">
        <v>3104</v>
      </c>
      <c r="B576" s="273"/>
      <c r="C576" s="273"/>
      <c r="D576" s="273"/>
      <c r="E576" s="273"/>
      <c r="F576" s="273"/>
    </row>
    <row r="577" spans="1:6" x14ac:dyDescent="0.6">
      <c r="A577" s="106" t="s">
        <v>3105</v>
      </c>
      <c r="B577" s="273"/>
      <c r="C577" s="273"/>
      <c r="D577" s="273"/>
      <c r="E577" s="273"/>
      <c r="F577" s="273"/>
    </row>
    <row r="578" spans="1:6" x14ac:dyDescent="0.6">
      <c r="A578" s="106" t="s">
        <v>3106</v>
      </c>
      <c r="B578" s="273"/>
      <c r="C578" s="273"/>
      <c r="D578" s="273"/>
      <c r="E578" s="273"/>
      <c r="F578" s="273"/>
    </row>
    <row r="579" spans="1:6" x14ac:dyDescent="0.6">
      <c r="A579" s="106" t="s">
        <v>3107</v>
      </c>
      <c r="B579" s="273"/>
      <c r="C579" s="273"/>
      <c r="D579" s="273"/>
      <c r="E579" s="273"/>
      <c r="F579" s="273"/>
    </row>
    <row r="580" spans="1:6" x14ac:dyDescent="0.6">
      <c r="A580" s="106" t="s">
        <v>3108</v>
      </c>
      <c r="B580" s="273"/>
      <c r="C580" s="273"/>
      <c r="D580" s="273"/>
      <c r="E580" s="273"/>
      <c r="F580" s="273"/>
    </row>
    <row r="581" spans="1:6" x14ac:dyDescent="0.6">
      <c r="A581" s="106" t="s">
        <v>3109</v>
      </c>
      <c r="B581" s="273"/>
      <c r="C581" s="273"/>
      <c r="D581" s="273"/>
      <c r="E581" s="273"/>
      <c r="F581" s="273"/>
    </row>
    <row r="582" spans="1:6" x14ac:dyDescent="0.6">
      <c r="A582" s="106" t="s">
        <v>2722</v>
      </c>
      <c r="B582" s="273"/>
      <c r="C582" s="273"/>
      <c r="D582" s="273"/>
      <c r="E582" s="273"/>
      <c r="F582" s="273"/>
    </row>
    <row r="583" spans="1:6" x14ac:dyDescent="0.6">
      <c r="A583" s="106" t="s">
        <v>3110</v>
      </c>
      <c r="B583" s="273"/>
      <c r="C583" s="273"/>
      <c r="D583" s="273"/>
      <c r="E583" s="273"/>
      <c r="F583" s="273"/>
    </row>
    <row r="584" spans="1:6" x14ac:dyDescent="0.6">
      <c r="A584" s="106" t="s">
        <v>3111</v>
      </c>
      <c r="B584" s="273">
        <v>50</v>
      </c>
      <c r="C584" s="273">
        <v>50</v>
      </c>
      <c r="D584" s="273">
        <v>50</v>
      </c>
      <c r="E584" s="273">
        <v>50</v>
      </c>
      <c r="F584" s="273">
        <v>200</v>
      </c>
    </row>
    <row r="585" spans="1:6" x14ac:dyDescent="0.6">
      <c r="A585" s="106" t="s">
        <v>3112</v>
      </c>
      <c r="B585" s="273"/>
      <c r="C585" s="273"/>
      <c r="D585" s="273"/>
      <c r="E585" s="273"/>
      <c r="F585" s="273"/>
    </row>
    <row r="586" spans="1:6" x14ac:dyDescent="0.6">
      <c r="A586" s="106" t="s">
        <v>3113</v>
      </c>
      <c r="B586" s="273"/>
      <c r="C586" s="273"/>
      <c r="D586" s="273"/>
      <c r="E586" s="273"/>
      <c r="F586" s="273"/>
    </row>
    <row r="587" spans="1:6" x14ac:dyDescent="0.6">
      <c r="A587" s="106" t="s">
        <v>3114</v>
      </c>
      <c r="B587" s="273"/>
      <c r="C587" s="273"/>
      <c r="D587" s="273"/>
      <c r="E587" s="273"/>
      <c r="F587" s="273"/>
    </row>
    <row r="588" spans="1:6" x14ac:dyDescent="0.6">
      <c r="A588" s="106" t="s">
        <v>3115</v>
      </c>
      <c r="B588" s="273"/>
      <c r="C588" s="273"/>
      <c r="D588" s="273"/>
      <c r="E588" s="273"/>
      <c r="F588" s="273"/>
    </row>
    <row r="589" spans="1:6" x14ac:dyDescent="0.6">
      <c r="A589" s="106" t="s">
        <v>3116</v>
      </c>
      <c r="B589" s="273"/>
      <c r="C589" s="273"/>
      <c r="D589" s="273"/>
      <c r="E589" s="273"/>
      <c r="F589" s="273"/>
    </row>
    <row r="590" spans="1:6" x14ac:dyDescent="0.6">
      <c r="A590" s="106" t="s">
        <v>3117</v>
      </c>
      <c r="B590" s="273"/>
      <c r="C590" s="273"/>
      <c r="D590" s="273"/>
      <c r="E590" s="273"/>
      <c r="F590" s="273"/>
    </row>
    <row r="591" spans="1:6" x14ac:dyDescent="0.6">
      <c r="A591" s="106" t="s">
        <v>3118</v>
      </c>
      <c r="B591" s="273"/>
      <c r="C591" s="273"/>
      <c r="D591" s="273"/>
      <c r="E591" s="273"/>
      <c r="F591" s="273"/>
    </row>
    <row r="592" spans="1:6" x14ac:dyDescent="0.6">
      <c r="A592" s="106" t="s">
        <v>3119</v>
      </c>
      <c r="B592" s="273"/>
      <c r="C592" s="273"/>
      <c r="D592" s="273"/>
      <c r="E592" s="273"/>
      <c r="F592" s="273"/>
    </row>
    <row r="593" spans="1:6" x14ac:dyDescent="0.6">
      <c r="A593" s="106" t="s">
        <v>2723</v>
      </c>
      <c r="B593" s="273"/>
      <c r="C593" s="273"/>
      <c r="D593" s="273"/>
      <c r="E593" s="273"/>
      <c r="F593" s="273"/>
    </row>
    <row r="594" spans="1:6" x14ac:dyDescent="0.6">
      <c r="A594" s="106" t="s">
        <v>3120</v>
      </c>
      <c r="B594" s="273"/>
      <c r="C594" s="273"/>
      <c r="D594" s="273"/>
      <c r="E594" s="273"/>
      <c r="F594" s="273"/>
    </row>
    <row r="595" spans="1:6" x14ac:dyDescent="0.6">
      <c r="A595" s="106" t="s">
        <v>3121</v>
      </c>
      <c r="B595" s="273"/>
      <c r="C595" s="273"/>
      <c r="D595" s="273"/>
      <c r="E595" s="273"/>
      <c r="F595" s="273"/>
    </row>
    <row r="596" spans="1:6" x14ac:dyDescent="0.6">
      <c r="A596" s="106" t="s">
        <v>3122</v>
      </c>
      <c r="B596" s="273">
        <v>7.9</v>
      </c>
      <c r="C596" s="273">
        <v>5</v>
      </c>
      <c r="D596" s="273">
        <v>6</v>
      </c>
      <c r="E596" s="273">
        <v>4</v>
      </c>
      <c r="F596" s="273">
        <v>22.9</v>
      </c>
    </row>
    <row r="597" spans="1:6" x14ac:dyDescent="0.6">
      <c r="A597" s="106" t="s">
        <v>3123</v>
      </c>
      <c r="B597" s="273"/>
      <c r="C597" s="273"/>
      <c r="D597" s="273"/>
      <c r="E597" s="273"/>
      <c r="F597" s="273"/>
    </row>
    <row r="598" spans="1:6" x14ac:dyDescent="0.6">
      <c r="A598" s="106" t="s">
        <v>3124</v>
      </c>
      <c r="B598" s="273"/>
      <c r="C598" s="273"/>
      <c r="D598" s="273"/>
      <c r="E598" s="273"/>
      <c r="F598" s="273"/>
    </row>
    <row r="599" spans="1:6" x14ac:dyDescent="0.6">
      <c r="A599" s="106" t="s">
        <v>3125</v>
      </c>
      <c r="B599" s="273"/>
      <c r="C599" s="273"/>
      <c r="D599" s="273"/>
      <c r="E599" s="273"/>
      <c r="F599" s="273"/>
    </row>
    <row r="600" spans="1:6" x14ac:dyDescent="0.6">
      <c r="A600" s="106" t="s">
        <v>3126</v>
      </c>
      <c r="B600" s="273"/>
      <c r="C600" s="273"/>
      <c r="D600" s="273"/>
      <c r="E600" s="273"/>
      <c r="F600" s="273"/>
    </row>
    <row r="601" spans="1:6" x14ac:dyDescent="0.6">
      <c r="A601" s="106" t="s">
        <v>3127</v>
      </c>
      <c r="B601" s="273"/>
      <c r="C601" s="273"/>
      <c r="D601" s="273"/>
      <c r="E601" s="273"/>
      <c r="F601" s="273"/>
    </row>
    <row r="602" spans="1:6" x14ac:dyDescent="0.6">
      <c r="A602" s="106" t="s">
        <v>3128</v>
      </c>
      <c r="B602" s="273"/>
      <c r="C602" s="273"/>
      <c r="D602" s="273"/>
      <c r="E602" s="273"/>
      <c r="F602" s="273"/>
    </row>
    <row r="603" spans="1:6" x14ac:dyDescent="0.6">
      <c r="A603" s="106" t="s">
        <v>3129</v>
      </c>
      <c r="B603" s="273"/>
      <c r="C603" s="273"/>
      <c r="D603" s="273"/>
      <c r="E603" s="273"/>
      <c r="F603" s="273"/>
    </row>
    <row r="604" spans="1:6" x14ac:dyDescent="0.6">
      <c r="A604" s="106" t="s">
        <v>3130</v>
      </c>
      <c r="B604" s="273"/>
      <c r="C604" s="273"/>
      <c r="D604" s="273"/>
      <c r="E604" s="273"/>
      <c r="F604" s="273"/>
    </row>
    <row r="605" spans="1:6" x14ac:dyDescent="0.6">
      <c r="A605" s="106" t="s">
        <v>3131</v>
      </c>
      <c r="B605" s="273"/>
      <c r="C605" s="273"/>
      <c r="D605" s="273"/>
      <c r="E605" s="273"/>
      <c r="F605" s="273"/>
    </row>
    <row r="606" spans="1:6" x14ac:dyDescent="0.6">
      <c r="A606" s="106" t="s">
        <v>3132</v>
      </c>
      <c r="B606" s="273"/>
      <c r="C606" s="273"/>
      <c r="D606" s="273"/>
      <c r="E606" s="273"/>
      <c r="F606" s="273"/>
    </row>
    <row r="607" spans="1:6" x14ac:dyDescent="0.6">
      <c r="A607" s="106" t="s">
        <v>3133</v>
      </c>
      <c r="B607" s="273"/>
      <c r="C607" s="273"/>
      <c r="D607" s="273"/>
      <c r="E607" s="273"/>
      <c r="F607" s="273"/>
    </row>
    <row r="608" spans="1:6" x14ac:dyDescent="0.6">
      <c r="A608" s="106" t="s">
        <v>3134</v>
      </c>
      <c r="B608" s="273"/>
      <c r="C608" s="273"/>
      <c r="D608" s="273"/>
      <c r="E608" s="273"/>
      <c r="F608" s="273"/>
    </row>
    <row r="609" spans="1:6" x14ac:dyDescent="0.6">
      <c r="A609" s="106" t="s">
        <v>3135</v>
      </c>
      <c r="B609" s="273"/>
      <c r="C609" s="273"/>
      <c r="D609" s="273"/>
      <c r="E609" s="273"/>
      <c r="F609" s="273"/>
    </row>
    <row r="610" spans="1:6" x14ac:dyDescent="0.6">
      <c r="A610" s="106" t="s">
        <v>3136</v>
      </c>
      <c r="B610" s="273"/>
      <c r="C610" s="273"/>
      <c r="D610" s="273"/>
      <c r="E610" s="273"/>
      <c r="F610" s="273"/>
    </row>
    <row r="611" spans="1:6" x14ac:dyDescent="0.6">
      <c r="A611" s="106" t="s">
        <v>3137</v>
      </c>
      <c r="B611" s="273"/>
      <c r="C611" s="273"/>
      <c r="D611" s="273"/>
      <c r="E611" s="273"/>
      <c r="F611" s="273"/>
    </row>
    <row r="612" spans="1:6" x14ac:dyDescent="0.6">
      <c r="A612" s="106" t="s">
        <v>3138</v>
      </c>
      <c r="B612" s="273"/>
      <c r="C612" s="273"/>
      <c r="D612" s="273"/>
      <c r="E612" s="273"/>
      <c r="F612" s="273"/>
    </row>
    <row r="613" spans="1:6" x14ac:dyDescent="0.6">
      <c r="A613" s="106" t="s">
        <v>3139</v>
      </c>
      <c r="B613" s="273"/>
      <c r="C613" s="273"/>
      <c r="D613" s="273"/>
      <c r="E613" s="273"/>
      <c r="F613" s="273"/>
    </row>
    <row r="614" spans="1:6" x14ac:dyDescent="0.6">
      <c r="A614" s="106" t="s">
        <v>2687</v>
      </c>
      <c r="B614" s="273"/>
      <c r="C614" s="273"/>
      <c r="D614" s="273"/>
      <c r="E614" s="273"/>
      <c r="F614" s="273"/>
    </row>
    <row r="615" spans="1:6" x14ac:dyDescent="0.6">
      <c r="A615" s="106" t="s">
        <v>3140</v>
      </c>
      <c r="B615" s="273"/>
      <c r="C615" s="273"/>
      <c r="D615" s="273"/>
      <c r="E615" s="273"/>
      <c r="F615" s="273"/>
    </row>
    <row r="616" spans="1:6" x14ac:dyDescent="0.6">
      <c r="A616" s="106" t="s">
        <v>3141</v>
      </c>
      <c r="B616" s="273"/>
      <c r="C616" s="273"/>
      <c r="D616" s="273"/>
      <c r="E616" s="273"/>
      <c r="F616" s="273"/>
    </row>
    <row r="617" spans="1:6" x14ac:dyDescent="0.6">
      <c r="A617" s="106" t="s">
        <v>3142</v>
      </c>
      <c r="B617" s="273"/>
      <c r="C617" s="273"/>
      <c r="D617" s="273"/>
      <c r="E617" s="273"/>
      <c r="F617" s="273"/>
    </row>
    <row r="618" spans="1:6" x14ac:dyDescent="0.6">
      <c r="A618" s="106" t="s">
        <v>3143</v>
      </c>
      <c r="B618" s="273"/>
      <c r="C618" s="273"/>
      <c r="D618" s="273"/>
      <c r="E618" s="273"/>
      <c r="F618" s="273"/>
    </row>
    <row r="619" spans="1:6" x14ac:dyDescent="0.6">
      <c r="A619" s="106" t="s">
        <v>3144</v>
      </c>
      <c r="B619" s="273"/>
      <c r="C619" s="273"/>
      <c r="D619" s="273"/>
      <c r="E619" s="273"/>
      <c r="F619" s="273"/>
    </row>
    <row r="620" spans="1:6" x14ac:dyDescent="0.6">
      <c r="A620" s="106" t="s">
        <v>3145</v>
      </c>
      <c r="B620" s="273"/>
      <c r="C620" s="273"/>
      <c r="D620" s="273"/>
      <c r="E620" s="273"/>
      <c r="F620" s="273"/>
    </row>
    <row r="621" spans="1:6" x14ac:dyDescent="0.6">
      <c r="A621" s="106" t="s">
        <v>3146</v>
      </c>
      <c r="B621" s="273"/>
      <c r="C621" s="273"/>
      <c r="D621" s="273"/>
      <c r="E621" s="273"/>
      <c r="F621" s="273"/>
    </row>
    <row r="622" spans="1:6" x14ac:dyDescent="0.6">
      <c r="A622" s="106" t="s">
        <v>3147</v>
      </c>
      <c r="B622" s="273"/>
      <c r="C622" s="273"/>
      <c r="D622" s="273"/>
      <c r="E622" s="273"/>
      <c r="F622" s="273"/>
    </row>
    <row r="623" spans="1:6" x14ac:dyDescent="0.6">
      <c r="A623" s="106" t="s">
        <v>2724</v>
      </c>
      <c r="B623" s="273"/>
      <c r="C623" s="273"/>
      <c r="D623" s="273"/>
      <c r="E623" s="273"/>
      <c r="F623" s="273"/>
    </row>
    <row r="624" spans="1:6" x14ac:dyDescent="0.6">
      <c r="A624" s="106" t="s">
        <v>2725</v>
      </c>
      <c r="B624" s="273"/>
      <c r="C624" s="273"/>
      <c r="D624" s="273"/>
      <c r="E624" s="273"/>
      <c r="F624" s="273"/>
    </row>
    <row r="625" spans="1:6" x14ac:dyDescent="0.6">
      <c r="A625" s="106" t="s">
        <v>3148</v>
      </c>
      <c r="B625" s="273"/>
      <c r="C625" s="273"/>
      <c r="D625" s="273"/>
      <c r="E625" s="273"/>
      <c r="F625" s="273"/>
    </row>
    <row r="626" spans="1:6" x14ac:dyDescent="0.6">
      <c r="A626" s="106" t="s">
        <v>3149</v>
      </c>
      <c r="B626" s="273"/>
      <c r="C626" s="273"/>
      <c r="D626" s="273"/>
      <c r="E626" s="273"/>
      <c r="F626" s="273"/>
    </row>
    <row r="627" spans="1:6" x14ac:dyDescent="0.6">
      <c r="A627" s="106" t="s">
        <v>3150</v>
      </c>
      <c r="B627" s="273"/>
      <c r="C627" s="273"/>
      <c r="D627" s="273"/>
      <c r="E627" s="273"/>
      <c r="F627" s="273"/>
    </row>
    <row r="628" spans="1:6" x14ac:dyDescent="0.6">
      <c r="A628" s="106" t="s">
        <v>2726</v>
      </c>
      <c r="B628" s="273"/>
      <c r="C628" s="273"/>
      <c r="D628" s="273"/>
      <c r="E628" s="273"/>
      <c r="F628" s="273"/>
    </row>
    <row r="629" spans="1:6" x14ac:dyDescent="0.6">
      <c r="A629" s="106" t="s">
        <v>3151</v>
      </c>
      <c r="B629" s="273"/>
      <c r="C629" s="273"/>
      <c r="D629" s="273"/>
      <c r="E629" s="273"/>
      <c r="F629" s="273"/>
    </row>
    <row r="630" spans="1:6" x14ac:dyDescent="0.6">
      <c r="A630" s="106" t="s">
        <v>3152</v>
      </c>
      <c r="B630" s="273"/>
      <c r="C630" s="273"/>
      <c r="D630" s="273"/>
      <c r="E630" s="273"/>
      <c r="F630" s="273"/>
    </row>
    <row r="631" spans="1:6" x14ac:dyDescent="0.6">
      <c r="A631" s="106" t="s">
        <v>3153</v>
      </c>
      <c r="B631" s="273"/>
      <c r="C631" s="273"/>
      <c r="D631" s="273"/>
      <c r="E631" s="273"/>
      <c r="F631" s="273"/>
    </row>
    <row r="632" spans="1:6" x14ac:dyDescent="0.6">
      <c r="A632" s="106" t="s">
        <v>3154</v>
      </c>
      <c r="B632" s="273"/>
      <c r="C632" s="273"/>
      <c r="D632" s="273"/>
      <c r="E632" s="273"/>
      <c r="F632" s="273"/>
    </row>
    <row r="633" spans="1:6" x14ac:dyDescent="0.6">
      <c r="A633" s="106" t="s">
        <v>3155</v>
      </c>
      <c r="B633" s="273"/>
      <c r="C633" s="273"/>
      <c r="D633" s="273"/>
      <c r="E633" s="273"/>
      <c r="F633" s="273"/>
    </row>
    <row r="634" spans="1:6" x14ac:dyDescent="0.6">
      <c r="A634" s="106" t="s">
        <v>3156</v>
      </c>
      <c r="B634" s="273"/>
      <c r="C634" s="273"/>
      <c r="D634" s="273"/>
      <c r="E634" s="273"/>
      <c r="F634" s="273"/>
    </row>
    <row r="635" spans="1:6" x14ac:dyDescent="0.6">
      <c r="A635" s="106" t="s">
        <v>3157</v>
      </c>
      <c r="B635" s="273"/>
      <c r="C635" s="273"/>
      <c r="D635" s="273"/>
      <c r="E635" s="273"/>
      <c r="F635" s="273"/>
    </row>
    <row r="636" spans="1:6" x14ac:dyDescent="0.6">
      <c r="A636" s="106" t="s">
        <v>3158</v>
      </c>
      <c r="B636" s="273"/>
      <c r="C636" s="273"/>
      <c r="D636" s="273"/>
      <c r="E636" s="273"/>
      <c r="F636" s="273"/>
    </row>
    <row r="637" spans="1:6" x14ac:dyDescent="0.6">
      <c r="A637" s="106" t="s">
        <v>3159</v>
      </c>
      <c r="B637" s="273"/>
      <c r="C637" s="273"/>
      <c r="D637" s="273"/>
      <c r="E637" s="273"/>
      <c r="F637" s="273"/>
    </row>
    <row r="638" spans="1:6" x14ac:dyDescent="0.6">
      <c r="A638" s="106" t="s">
        <v>3160</v>
      </c>
      <c r="B638" s="273"/>
      <c r="C638" s="273"/>
      <c r="D638" s="273"/>
      <c r="E638" s="273"/>
      <c r="F638" s="273"/>
    </row>
    <row r="639" spans="1:6" x14ac:dyDescent="0.6">
      <c r="A639" s="106" t="s">
        <v>3161</v>
      </c>
      <c r="B639" s="273"/>
      <c r="C639" s="273"/>
      <c r="D639" s="273"/>
      <c r="E639" s="273"/>
      <c r="F639" s="273"/>
    </row>
    <row r="640" spans="1:6" x14ac:dyDescent="0.6">
      <c r="A640" s="106" t="s">
        <v>3162</v>
      </c>
      <c r="B640" s="273"/>
      <c r="C640" s="273"/>
      <c r="D640" s="273"/>
      <c r="E640" s="273"/>
      <c r="F640" s="273"/>
    </row>
    <row r="641" spans="1:6" x14ac:dyDescent="0.6">
      <c r="A641" s="106" t="s">
        <v>3163</v>
      </c>
      <c r="B641" s="273"/>
      <c r="C641" s="273"/>
      <c r="D641" s="273"/>
      <c r="E641" s="273"/>
      <c r="F641" s="273"/>
    </row>
    <row r="642" spans="1:6" x14ac:dyDescent="0.6">
      <c r="A642" s="106" t="s">
        <v>3164</v>
      </c>
      <c r="B642" s="273"/>
      <c r="C642" s="273"/>
      <c r="D642" s="273"/>
      <c r="E642" s="273"/>
      <c r="F642" s="273"/>
    </row>
    <row r="643" spans="1:6" x14ac:dyDescent="0.6">
      <c r="A643" s="106" t="s">
        <v>3165</v>
      </c>
      <c r="B643" s="273"/>
      <c r="C643" s="273"/>
      <c r="D643" s="273"/>
      <c r="E643" s="273"/>
      <c r="F643" s="273"/>
    </row>
    <row r="644" spans="1:6" x14ac:dyDescent="0.6">
      <c r="A644" s="106" t="s">
        <v>3166</v>
      </c>
      <c r="B644" s="273"/>
      <c r="C644" s="273"/>
      <c r="D644" s="273"/>
      <c r="E644" s="273"/>
      <c r="F644" s="273"/>
    </row>
    <row r="645" spans="1:6" x14ac:dyDescent="0.6">
      <c r="A645" s="106" t="s">
        <v>3167</v>
      </c>
      <c r="B645" s="273"/>
      <c r="C645" s="273"/>
      <c r="D645" s="273"/>
      <c r="E645" s="273"/>
      <c r="F645" s="273"/>
    </row>
    <row r="646" spans="1:6" x14ac:dyDescent="0.6">
      <c r="A646" s="106" t="s">
        <v>3168</v>
      </c>
      <c r="B646" s="273"/>
      <c r="C646" s="273"/>
      <c r="D646" s="273"/>
      <c r="E646" s="273"/>
      <c r="F646" s="273"/>
    </row>
    <row r="647" spans="1:6" x14ac:dyDescent="0.6">
      <c r="A647" s="106" t="s">
        <v>3169</v>
      </c>
      <c r="B647" s="273"/>
      <c r="C647" s="273"/>
      <c r="D647" s="273"/>
      <c r="E647" s="273"/>
      <c r="F647" s="273"/>
    </row>
    <row r="648" spans="1:6" x14ac:dyDescent="0.6">
      <c r="A648" s="106" t="s">
        <v>3170</v>
      </c>
      <c r="B648" s="273"/>
      <c r="C648" s="273"/>
      <c r="D648" s="273"/>
      <c r="E648" s="273"/>
      <c r="F648" s="273"/>
    </row>
    <row r="649" spans="1:6" x14ac:dyDescent="0.6">
      <c r="A649" s="106" t="s">
        <v>3171</v>
      </c>
      <c r="B649" s="273"/>
      <c r="C649" s="273"/>
      <c r="D649" s="273"/>
      <c r="E649" s="273"/>
      <c r="F649" s="273"/>
    </row>
    <row r="650" spans="1:6" x14ac:dyDescent="0.6">
      <c r="A650" s="106" t="s">
        <v>3172</v>
      </c>
      <c r="B650" s="273"/>
      <c r="C650" s="273"/>
      <c r="D650" s="273"/>
      <c r="E650" s="273"/>
      <c r="F650" s="273"/>
    </row>
    <row r="651" spans="1:6" x14ac:dyDescent="0.6">
      <c r="A651" s="106" t="s">
        <v>3173</v>
      </c>
      <c r="B651" s="273"/>
      <c r="C651" s="273"/>
      <c r="D651" s="273"/>
      <c r="E651" s="273"/>
      <c r="F651" s="273"/>
    </row>
    <row r="652" spans="1:6" x14ac:dyDescent="0.6">
      <c r="A652" s="106" t="s">
        <v>3174</v>
      </c>
      <c r="B652" s="273"/>
      <c r="C652" s="273"/>
      <c r="D652" s="273"/>
      <c r="E652" s="273"/>
      <c r="F652" s="273"/>
    </row>
    <row r="653" spans="1:6" x14ac:dyDescent="0.6">
      <c r="A653" s="106" t="s">
        <v>3175</v>
      </c>
      <c r="B653" s="273"/>
      <c r="C653" s="273"/>
      <c r="D653" s="273"/>
      <c r="E653" s="273"/>
      <c r="F653" s="273"/>
    </row>
    <row r="654" spans="1:6" x14ac:dyDescent="0.6">
      <c r="A654" s="106" t="s">
        <v>3176</v>
      </c>
      <c r="B654" s="273"/>
      <c r="C654" s="273"/>
      <c r="D654" s="273"/>
      <c r="E654" s="273"/>
      <c r="F654" s="273"/>
    </row>
    <row r="655" spans="1:6" x14ac:dyDescent="0.6">
      <c r="A655" s="106" t="s">
        <v>3177</v>
      </c>
      <c r="B655" s="273"/>
      <c r="C655" s="273"/>
      <c r="D655" s="273"/>
      <c r="E655" s="273"/>
      <c r="F655" s="273"/>
    </row>
    <row r="656" spans="1:6" x14ac:dyDescent="0.6">
      <c r="A656" s="106" t="s">
        <v>3178</v>
      </c>
      <c r="B656" s="273"/>
      <c r="C656" s="273"/>
      <c r="D656" s="273"/>
      <c r="E656" s="273"/>
      <c r="F656" s="273"/>
    </row>
    <row r="657" spans="1:6" x14ac:dyDescent="0.6">
      <c r="A657" s="106" t="s">
        <v>3179</v>
      </c>
      <c r="B657" s="273"/>
      <c r="C657" s="273"/>
      <c r="D657" s="273"/>
      <c r="E657" s="273"/>
      <c r="F657" s="273"/>
    </row>
    <row r="658" spans="1:6" x14ac:dyDescent="0.6">
      <c r="A658" s="106" t="s">
        <v>3180</v>
      </c>
      <c r="B658" s="273"/>
      <c r="C658" s="273"/>
      <c r="D658" s="273"/>
      <c r="E658" s="273"/>
      <c r="F658" s="273"/>
    </row>
    <row r="659" spans="1:6" x14ac:dyDescent="0.6">
      <c r="A659" s="106" t="s">
        <v>3181</v>
      </c>
      <c r="B659" s="273"/>
      <c r="C659" s="273"/>
      <c r="D659" s="273"/>
      <c r="E659" s="273"/>
      <c r="F659" s="273"/>
    </row>
    <row r="660" spans="1:6" x14ac:dyDescent="0.6">
      <c r="A660" s="106" t="s">
        <v>3182</v>
      </c>
      <c r="B660" s="273"/>
      <c r="C660" s="273"/>
      <c r="D660" s="273"/>
      <c r="E660" s="273"/>
      <c r="F660" s="273"/>
    </row>
    <row r="661" spans="1:6" x14ac:dyDescent="0.6">
      <c r="A661" s="106" t="s">
        <v>2727</v>
      </c>
      <c r="B661" s="273"/>
      <c r="C661" s="273"/>
      <c r="D661" s="273"/>
      <c r="E661" s="273"/>
      <c r="F661" s="273"/>
    </row>
    <row r="662" spans="1:6" x14ac:dyDescent="0.6">
      <c r="A662" s="106" t="s">
        <v>2688</v>
      </c>
      <c r="B662" s="273"/>
      <c r="C662" s="273"/>
      <c r="D662" s="273"/>
      <c r="E662" s="273"/>
      <c r="F662" s="273"/>
    </row>
    <row r="663" spans="1:6" x14ac:dyDescent="0.6">
      <c r="A663" s="102" t="s">
        <v>2680</v>
      </c>
      <c r="B663" s="273">
        <v>5534538.5764640691</v>
      </c>
      <c r="C663" s="273">
        <v>4168856.3329445054</v>
      </c>
      <c r="D663" s="273">
        <v>4894903.9582899436</v>
      </c>
      <c r="E663" s="273">
        <v>4197281.6552832443</v>
      </c>
      <c r="F663" s="273">
        <v>18786580.522981729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rgb="FF00B0F0"/>
  </sheetPr>
  <dimension ref="A1:AD2128"/>
  <sheetViews>
    <sheetView zoomScale="70" zoomScaleNormal="70" workbookViewId="0">
      <selection activeCell="E1058" sqref="E1058"/>
    </sheetView>
  </sheetViews>
  <sheetFormatPr baseColWidth="10" defaultColWidth="11" defaultRowHeight="15.25" x14ac:dyDescent="0.8"/>
  <cols>
    <col min="1" max="1" width="12.75" style="49" customWidth="1"/>
    <col min="2" max="2" width="5.125" style="2" customWidth="1"/>
    <col min="3" max="3" width="5.5" style="2" customWidth="1"/>
    <col min="4" max="4" width="6.25" style="2" customWidth="1"/>
    <col min="5" max="5" width="8.75" style="2" customWidth="1"/>
    <col min="6" max="6" width="61.125" style="2" customWidth="1"/>
    <col min="7" max="7" width="14.5" style="3" customWidth="1"/>
    <col min="8" max="8" width="18" style="3" bestFit="1" customWidth="1"/>
    <col min="9" max="9" width="17.25" style="4" bestFit="1" customWidth="1"/>
    <col min="10" max="10" width="19.125" style="4" bestFit="1" customWidth="1"/>
    <col min="11" max="11" width="17.25" style="4" bestFit="1" customWidth="1"/>
    <col min="12" max="12" width="18.625" style="4" bestFit="1" customWidth="1"/>
    <col min="13" max="13" width="19.125" style="4" bestFit="1" customWidth="1"/>
    <col min="14" max="14" width="17.25" style="4" bestFit="1" customWidth="1"/>
    <col min="15" max="15" width="19.375" style="4" customWidth="1"/>
    <col min="16" max="16" width="21.375" style="4" customWidth="1"/>
    <col min="17" max="17" width="21" style="4" bestFit="1" customWidth="1"/>
    <col min="18" max="18" width="23.25" style="4" bestFit="1" customWidth="1"/>
    <col min="19" max="19" width="18.75" style="6" customWidth="1"/>
    <col min="20" max="20" width="14.375" style="7" customWidth="1"/>
    <col min="21" max="21" width="26.25" style="4" customWidth="1"/>
    <col min="22" max="22" width="21.25" style="4" customWidth="1"/>
    <col min="23" max="23" width="16" style="4" customWidth="1"/>
    <col min="24" max="24" width="17.25" style="4" customWidth="1"/>
    <col min="25" max="25" width="16.125" style="4" customWidth="1"/>
    <col min="26" max="26" width="23.125" style="4" customWidth="1"/>
    <col min="27" max="27" width="37.5" style="4" customWidth="1"/>
    <col min="28" max="28" width="38.75" style="4" customWidth="1"/>
    <col min="29" max="29" width="83.75" style="8" customWidth="1"/>
    <col min="30" max="30" width="65" style="3" customWidth="1"/>
    <col min="31" max="16384" width="11" style="3"/>
  </cols>
  <sheetData>
    <row r="1" spans="1:30" ht="25" x14ac:dyDescent="0.8">
      <c r="A1" s="1" t="s">
        <v>0</v>
      </c>
      <c r="N1" s="5"/>
      <c r="O1" s="5"/>
      <c r="P1" s="5"/>
      <c r="Q1" s="5"/>
      <c r="R1" s="5"/>
    </row>
    <row r="2" spans="1:30" s="13" customFormat="1" ht="45.75" x14ac:dyDescent="0.8">
      <c r="A2" s="9" t="s">
        <v>1</v>
      </c>
      <c r="B2" s="9" t="s">
        <v>2</v>
      </c>
      <c r="C2" s="9" t="s">
        <v>3</v>
      </c>
      <c r="D2" s="9" t="s">
        <v>4</v>
      </c>
      <c r="E2" s="9" t="s">
        <v>5</v>
      </c>
      <c r="F2" s="9" t="s">
        <v>6</v>
      </c>
      <c r="G2" s="9" t="s">
        <v>7</v>
      </c>
      <c r="H2" s="9" t="s">
        <v>8</v>
      </c>
      <c r="I2" s="10" t="s">
        <v>9</v>
      </c>
      <c r="J2" s="10" t="s">
        <v>10</v>
      </c>
      <c r="K2" s="10" t="s">
        <v>11</v>
      </c>
      <c r="L2" s="10" t="s">
        <v>12</v>
      </c>
      <c r="M2" s="10" t="s">
        <v>13</v>
      </c>
      <c r="N2" s="10" t="s">
        <v>14</v>
      </c>
      <c r="O2" s="10" t="s">
        <v>15</v>
      </c>
      <c r="P2" s="10" t="s">
        <v>16</v>
      </c>
      <c r="Q2" s="10" t="s">
        <v>17</v>
      </c>
      <c r="R2" s="10" t="s">
        <v>18</v>
      </c>
      <c r="S2" s="11" t="s">
        <v>19</v>
      </c>
      <c r="T2" s="10" t="s">
        <v>20</v>
      </c>
      <c r="U2" s="10" t="s">
        <v>21</v>
      </c>
      <c r="V2" s="10" t="s">
        <v>22</v>
      </c>
      <c r="W2" s="10" t="s">
        <v>23</v>
      </c>
      <c r="X2" s="10" t="s">
        <v>24</v>
      </c>
      <c r="Y2" s="10" t="s">
        <v>25</v>
      </c>
      <c r="Z2" s="10" t="s">
        <v>26</v>
      </c>
      <c r="AA2" s="10" t="s">
        <v>27</v>
      </c>
      <c r="AB2" s="10" t="s">
        <v>28</v>
      </c>
      <c r="AC2" s="12" t="s">
        <v>29</v>
      </c>
      <c r="AD2" s="12" t="s">
        <v>30</v>
      </c>
    </row>
    <row r="3" spans="1:30" s="22" customFormat="1" ht="30" hidden="1" customHeight="1" x14ac:dyDescent="0.8">
      <c r="A3" s="14">
        <v>1</v>
      </c>
      <c r="B3" s="15">
        <v>1</v>
      </c>
      <c r="C3" s="15">
        <v>1</v>
      </c>
      <c r="D3" s="15">
        <v>1</v>
      </c>
      <c r="E3" s="15">
        <v>1</v>
      </c>
      <c r="F3" s="16" t="s">
        <v>31</v>
      </c>
      <c r="G3" s="17"/>
      <c r="H3" s="17"/>
      <c r="I3" s="18"/>
      <c r="J3" s="18"/>
      <c r="K3" s="18"/>
      <c r="L3" s="18"/>
      <c r="M3" s="18"/>
      <c r="N3" s="18"/>
      <c r="O3" s="18"/>
      <c r="P3" s="18"/>
      <c r="Q3" s="18"/>
      <c r="R3" s="18"/>
      <c r="S3" s="18"/>
      <c r="T3" s="18"/>
      <c r="U3" s="18"/>
      <c r="V3" s="18"/>
      <c r="W3" s="18"/>
      <c r="X3" s="18"/>
      <c r="Y3" s="19" t="s">
        <v>32</v>
      </c>
      <c r="Z3" s="18" t="str">
        <f>A3 &amp; "-" &amp; VLOOKUP(A3,[4]PROGRAMMES!$E$1:$F$7,2,FALSE)</f>
        <v>1-Accès et équité à l'enseignement général</v>
      </c>
      <c r="AA3" s="19" t="str">
        <f>B3 &amp; "-" &amp; VLOOKUP(B3,[4]SOUSPROGRAMMES!$E$1:$F$44,2,FALSE)</f>
        <v>1-Accès et équité à l'enseignement général</v>
      </c>
      <c r="AB3" s="19" t="str">
        <f>C3 &amp; "-" &amp; VLOOKUP(C3,[4]RESULTATS!$E$1:$F$176,2,FALSE)</f>
        <v>1-Accès et équité à l'enseignement général</v>
      </c>
      <c r="AC3" s="20" t="str">
        <f>D3 &amp; "-" &amp; VLOOKUP(D3,[4]STRATEGIES!$E$1:$F$504,2,FALSE)</f>
        <v>1-Accès et équité à l'enseignement général</v>
      </c>
      <c r="AD3" s="21" t="str">
        <f>E3 &amp; "-" &amp; F3</f>
        <v>1-Accès et équité à l'enseignement général</v>
      </c>
    </row>
    <row r="4" spans="1:30" s="22" customFormat="1" ht="15" hidden="1" customHeight="1" x14ac:dyDescent="0.8">
      <c r="A4" s="14">
        <v>1</v>
      </c>
      <c r="B4" s="15">
        <v>11</v>
      </c>
      <c r="C4" s="15">
        <v>11</v>
      </c>
      <c r="D4" s="15">
        <v>11</v>
      </c>
      <c r="E4" s="15">
        <v>11</v>
      </c>
      <c r="F4" s="16" t="s">
        <v>33</v>
      </c>
      <c r="G4" s="17"/>
      <c r="H4" s="17"/>
      <c r="I4" s="18"/>
      <c r="J4" s="18"/>
      <c r="K4" s="18"/>
      <c r="L4" s="18"/>
      <c r="M4" s="18"/>
      <c r="N4" s="18"/>
      <c r="O4" s="18"/>
      <c r="P4" s="18"/>
      <c r="Q4" s="18"/>
      <c r="R4" s="18"/>
      <c r="S4" s="18"/>
      <c r="T4" s="18"/>
      <c r="U4" s="18"/>
      <c r="V4" s="18"/>
      <c r="W4" s="18"/>
      <c r="X4" s="18"/>
      <c r="Y4" s="19" t="s">
        <v>32</v>
      </c>
      <c r="Z4" s="18" t="str">
        <f>A4 &amp; "-" &amp; VLOOKUP(A4,[4]PROGRAMMES!$E$1:$F$7,2,FALSE)</f>
        <v>1-Accès et équité à l'enseignement général</v>
      </c>
      <c r="AA4" s="19" t="str">
        <f>B4 &amp; "-" &amp; VLOOKUP(B4,[4]SOUSPROGRAMMES!$E$1:$F$44,2,FALSE)</f>
        <v>11- Accès équitable au préscolaire</v>
      </c>
      <c r="AB4" s="19" t="str">
        <f>C4 &amp; "-" &amp; VLOOKUP(C4,[4]RESULTATS!$E$1:$F$176,2,FALSE)</f>
        <v>11- Accès équitable au préscolaire</v>
      </c>
      <c r="AC4" s="20" t="str">
        <f>D4 &amp; "-" &amp; VLOOKUP(D4,[4]STRATEGIES!$E$1:$F$504,2,FALSE)</f>
        <v>11- Accès équitable au préscolaire</v>
      </c>
      <c r="AD4" s="21" t="str">
        <f t="shared" ref="AD4:AD67" si="0">E4 &amp; "-" &amp; F4</f>
        <v>11-Accès équitable au préscolaire</v>
      </c>
    </row>
    <row r="5" spans="1:30" s="22" customFormat="1" ht="15" hidden="1" customHeight="1" x14ac:dyDescent="0.8">
      <c r="A5" s="14">
        <v>1</v>
      </c>
      <c r="B5" s="15">
        <v>11</v>
      </c>
      <c r="C5" s="15">
        <v>111</v>
      </c>
      <c r="D5" s="15">
        <v>111</v>
      </c>
      <c r="E5" s="15">
        <v>111</v>
      </c>
      <c r="F5" s="16" t="s">
        <v>34</v>
      </c>
      <c r="G5" s="17"/>
      <c r="H5" s="17"/>
      <c r="I5" s="18"/>
      <c r="J5" s="18"/>
      <c r="K5" s="18"/>
      <c r="L5" s="18"/>
      <c r="M5" s="18"/>
      <c r="N5" s="18"/>
      <c r="O5" s="18"/>
      <c r="P5" s="18"/>
      <c r="Q5" s="18"/>
      <c r="R5" s="18"/>
      <c r="S5" s="18"/>
      <c r="T5" s="18"/>
      <c r="U5" s="18"/>
      <c r="V5" s="18"/>
      <c r="W5" s="18"/>
      <c r="X5" s="18"/>
      <c r="Y5" s="19" t="s">
        <v>32</v>
      </c>
      <c r="Z5" s="18" t="str">
        <f>A5 &amp; "-" &amp; VLOOKUP(A5,[4]PROGRAMMES!$E$1:$F$7,2,FALSE)</f>
        <v>1-Accès et équité à l'enseignement général</v>
      </c>
      <c r="AA5" s="19" t="str">
        <f>B5 &amp; "-" &amp; VLOOKUP(B5,[4]SOUSPROGRAMMES!$E$1:$F$44,2,FALSE)</f>
        <v>11- Accès équitable au préscolaire</v>
      </c>
      <c r="AB5" s="19" t="str">
        <f>C5 &amp; "-" &amp; VLOOKUP(C5,[4]RESULTATS!$E$1:$F$176,2,FALSE)</f>
        <v>111- Le préscolaire est réorganisé</v>
      </c>
      <c r="AC5" s="20" t="str">
        <f>D5 &amp; "-" &amp; VLOOKUP(D5,[4]STRATEGIES!$E$1:$F$504,2,FALSE)</f>
        <v>111- Le préscolaire est réorganisé</v>
      </c>
      <c r="AD5" s="21" t="str">
        <f t="shared" si="0"/>
        <v>111- Le préscolaire est réorganisé</v>
      </c>
    </row>
    <row r="6" spans="1:30" s="22" customFormat="1" ht="15" hidden="1" customHeight="1" x14ac:dyDescent="0.8">
      <c r="A6" s="14">
        <v>1</v>
      </c>
      <c r="B6" s="15">
        <v>11</v>
      </c>
      <c r="C6" s="15">
        <v>111</v>
      </c>
      <c r="D6" s="15">
        <v>1111</v>
      </c>
      <c r="E6" s="15">
        <v>1111</v>
      </c>
      <c r="F6" s="16" t="s">
        <v>35</v>
      </c>
      <c r="G6" s="17"/>
      <c r="H6" s="17"/>
      <c r="I6" s="18"/>
      <c r="J6" s="18"/>
      <c r="K6" s="18"/>
      <c r="L6" s="18"/>
      <c r="M6" s="18"/>
      <c r="N6" s="18"/>
      <c r="O6" s="18"/>
      <c r="P6" s="18"/>
      <c r="Q6" s="18"/>
      <c r="R6" s="18"/>
      <c r="S6" s="18"/>
      <c r="T6" s="18"/>
      <c r="U6" s="18"/>
      <c r="V6" s="18"/>
      <c r="W6" s="18"/>
      <c r="X6" s="18"/>
      <c r="Y6" s="19" t="s">
        <v>32</v>
      </c>
      <c r="Z6" s="18" t="str">
        <f>A6 &amp; "-" &amp; VLOOKUP(A6,[4]PROGRAMMES!$E$1:$F$7,2,FALSE)</f>
        <v>1-Accès et équité à l'enseignement général</v>
      </c>
      <c r="AA6" s="19" t="str">
        <f>B6 &amp; "-" &amp; VLOOKUP(B6,[4]SOUSPROGRAMMES!$E$1:$F$44,2,FALSE)</f>
        <v>11- Accès équitable au préscolaire</v>
      </c>
      <c r="AB6" s="19" t="str">
        <f>C6 &amp; "-" &amp; VLOOKUP(C6,[4]RESULTATS!$E$1:$F$176,2,FALSE)</f>
        <v>111- Le préscolaire est réorganisé</v>
      </c>
      <c r="AC6" s="20" t="str">
        <f>D6 &amp; "-" &amp; VLOOKUP(D6,[4]STRATEGIES!$E$1:$F$504,2,FALSE)</f>
        <v>1111-Réorganisation de l’offre du préscolaire (de 3 à 2 ans)</v>
      </c>
      <c r="AD6" s="21" t="str">
        <f t="shared" si="0"/>
        <v>1111-Réorganisation de l’offre du préscolaire (de 3 à 2 ans)</v>
      </c>
    </row>
    <row r="7" spans="1:30" s="22" customFormat="1" ht="45" hidden="1" customHeight="1" x14ac:dyDescent="0.8">
      <c r="A7" s="14">
        <v>1</v>
      </c>
      <c r="B7" s="15">
        <v>11</v>
      </c>
      <c r="C7" s="15">
        <v>111</v>
      </c>
      <c r="D7" s="15">
        <v>1111</v>
      </c>
      <c r="E7" s="15">
        <v>11111</v>
      </c>
      <c r="F7" s="16" t="s">
        <v>36</v>
      </c>
      <c r="G7" s="21" t="s">
        <v>37</v>
      </c>
      <c r="H7" s="17" t="s">
        <v>38</v>
      </c>
      <c r="I7" s="18">
        <f>50*1</f>
        <v>50</v>
      </c>
      <c r="J7" s="18"/>
      <c r="K7" s="18"/>
      <c r="L7" s="18"/>
      <c r="M7" s="18">
        <f t="shared" ref="M7:M75" si="1">SUM(I7:L7)</f>
        <v>50</v>
      </c>
      <c r="N7" s="18">
        <f>IF(OR(H7="",H7="sif",H7="PM"),0,VLOOKUP(H7,[5]CU!$C$4:$H$255,6,FALSE))</f>
        <v>0.3133333333333333</v>
      </c>
      <c r="O7" s="18">
        <f>IFERROR($N7*I7,0)</f>
        <v>15.666666666666664</v>
      </c>
      <c r="P7" s="18">
        <f t="shared" ref="P7:R13" si="2">$N7*J7</f>
        <v>0</v>
      </c>
      <c r="Q7" s="18">
        <f t="shared" si="2"/>
        <v>0</v>
      </c>
      <c r="R7" s="18">
        <f t="shared" si="2"/>
        <v>0</v>
      </c>
      <c r="S7" s="18">
        <f t="shared" ref="S7:S13" si="3">SUM(O7:R7)</f>
        <v>15.666666666666664</v>
      </c>
      <c r="T7" s="23" t="s">
        <v>39</v>
      </c>
      <c r="U7" s="19" t="s">
        <v>40</v>
      </c>
      <c r="V7" s="19" t="str">
        <f>IF(OR($H7="",$H7="sif",$H7="PM"),"",VLOOKUP($H7,[5]CU!$C$5:$J$255,8,FALSE))</f>
        <v>3. Formation</v>
      </c>
      <c r="W7" s="19" t="s">
        <v>41</v>
      </c>
      <c r="X7" s="19" t="s">
        <v>41</v>
      </c>
      <c r="Y7" s="19" t="s">
        <v>32</v>
      </c>
      <c r="Z7" s="18" t="str">
        <f>A7 &amp; "-" &amp; VLOOKUP(A7,[4]PROGRAMMES!$E$1:$F$7,2,FALSE)</f>
        <v>1-Accès et équité à l'enseignement général</v>
      </c>
      <c r="AA7" s="19" t="str">
        <f>B7 &amp; "-" &amp; VLOOKUP(B7,[4]SOUSPROGRAMMES!$E$1:$F$44,2,FALSE)</f>
        <v>11- Accès équitable au préscolaire</v>
      </c>
      <c r="AB7" s="19" t="str">
        <f>C7 &amp; "-" &amp; VLOOKUP(C7,[4]RESULTATS!$E$1:$F$176,2,FALSE)</f>
        <v>111- Le préscolaire est réorganisé</v>
      </c>
      <c r="AC7" s="20" t="str">
        <f>D7 &amp; "-" &amp; VLOOKUP(D7,[4]STRATEGIES!$E$1:$F$504,2,FALSE)</f>
        <v>1111-Réorganisation de l’offre du préscolaire (de 3 à 2 ans)</v>
      </c>
      <c r="AD7" s="21" t="str">
        <f t="shared" si="0"/>
        <v>11111-Validation politique des normes et standards du préscolaire (projet disponible)</v>
      </c>
    </row>
    <row r="8" spans="1:30" s="22" customFormat="1" ht="45" hidden="1" customHeight="1" x14ac:dyDescent="0.8">
      <c r="A8" s="14">
        <v>1</v>
      </c>
      <c r="B8" s="15">
        <v>11</v>
      </c>
      <c r="C8" s="15">
        <v>111</v>
      </c>
      <c r="D8" s="15">
        <v>1111</v>
      </c>
      <c r="E8" s="15">
        <v>11112</v>
      </c>
      <c r="F8" s="16" t="s">
        <v>42</v>
      </c>
      <c r="G8" s="21" t="s">
        <v>37</v>
      </c>
      <c r="H8" s="17" t="s">
        <v>38</v>
      </c>
      <c r="I8" s="18">
        <f>25*5</f>
        <v>125</v>
      </c>
      <c r="J8" s="18">
        <f>25*5</f>
        <v>125</v>
      </c>
      <c r="K8" s="18"/>
      <c r="L8" s="18"/>
      <c r="M8" s="18">
        <f t="shared" si="1"/>
        <v>250</v>
      </c>
      <c r="N8" s="18">
        <f>IF(OR(H8="",H8="sif",H8="PM"),0,VLOOKUP(H8,[5]CU!$C$4:$H$255,6,FALSE))</f>
        <v>0.3133333333333333</v>
      </c>
      <c r="O8" s="18">
        <f>$N8*I8</f>
        <v>39.166666666666664</v>
      </c>
      <c r="P8" s="18">
        <f t="shared" si="2"/>
        <v>39.166666666666664</v>
      </c>
      <c r="Q8" s="18">
        <f t="shared" si="2"/>
        <v>0</v>
      </c>
      <c r="R8" s="18">
        <f t="shared" si="2"/>
        <v>0</v>
      </c>
      <c r="S8" s="18">
        <f t="shared" si="3"/>
        <v>78.333333333333329</v>
      </c>
      <c r="T8" s="23" t="s">
        <v>39</v>
      </c>
      <c r="U8" s="19" t="s">
        <v>40</v>
      </c>
      <c r="V8" s="19" t="str">
        <f>IF(OR($H8="",$H8="sif",$H8="PM"),"",VLOOKUP($H8,[5]CU!$C$5:$J$255,8,FALSE))</f>
        <v>3. Formation</v>
      </c>
      <c r="W8" s="19" t="s">
        <v>41</v>
      </c>
      <c r="X8" s="19" t="s">
        <v>41</v>
      </c>
      <c r="Y8" s="19" t="s">
        <v>32</v>
      </c>
      <c r="Z8" s="18" t="str">
        <f>A8 &amp; "-" &amp; VLOOKUP(A8,[4]PROGRAMMES!$E$1:$F$7,2,FALSE)</f>
        <v>1-Accès et équité à l'enseignement général</v>
      </c>
      <c r="AA8" s="19" t="str">
        <f>B8 &amp; "-" &amp; VLOOKUP(B8,[4]SOUSPROGRAMMES!$E$1:$F$44,2,FALSE)</f>
        <v>11- Accès équitable au préscolaire</v>
      </c>
      <c r="AB8" s="19" t="str">
        <f>C8 &amp; "-" &amp; VLOOKUP(C8,[4]RESULTATS!$E$1:$F$176,2,FALSE)</f>
        <v>111- Le préscolaire est réorganisé</v>
      </c>
      <c r="AC8" s="20" t="str">
        <f>D8 &amp; "-" &amp; VLOOKUP(D8,[4]STRATEGIES!$E$1:$F$504,2,FALSE)</f>
        <v>1111-Réorganisation de l’offre du préscolaire (de 3 à 2 ans)</v>
      </c>
      <c r="AD8" s="21" t="str">
        <f t="shared" si="0"/>
        <v>11112-Finalisation du document politique du préscolaire</v>
      </c>
    </row>
    <row r="9" spans="1:30" s="22" customFormat="1" ht="45" hidden="1" customHeight="1" x14ac:dyDescent="0.8">
      <c r="A9" s="14">
        <v>1</v>
      </c>
      <c r="B9" s="15">
        <v>11</v>
      </c>
      <c r="C9" s="15">
        <v>111</v>
      </c>
      <c r="D9" s="15">
        <v>1111</v>
      </c>
      <c r="E9" s="15">
        <v>11113</v>
      </c>
      <c r="F9" s="16" t="s">
        <v>43</v>
      </c>
      <c r="G9" s="21" t="s">
        <v>44</v>
      </c>
      <c r="H9" s="17" t="s">
        <v>45</v>
      </c>
      <c r="I9" s="18"/>
      <c r="J9" s="18">
        <v>2000</v>
      </c>
      <c r="K9" s="18"/>
      <c r="L9" s="18"/>
      <c r="M9" s="18">
        <f t="shared" si="1"/>
        <v>2000</v>
      </c>
      <c r="N9" s="18">
        <f>IF(OR(H9="",H9="sif",H9="PM"),0,VLOOKUP(H9,[5]CU!$C$4:$H$255,6,FALSE))</f>
        <v>0.03</v>
      </c>
      <c r="O9" s="18">
        <f>$N9*I9</f>
        <v>0</v>
      </c>
      <c r="P9" s="18">
        <f t="shared" si="2"/>
        <v>60</v>
      </c>
      <c r="Q9" s="18">
        <f t="shared" si="2"/>
        <v>0</v>
      </c>
      <c r="R9" s="18">
        <f t="shared" si="2"/>
        <v>0</v>
      </c>
      <c r="S9" s="18">
        <f t="shared" si="3"/>
        <v>60</v>
      </c>
      <c r="T9" s="23" t="s">
        <v>39</v>
      </c>
      <c r="U9" s="19" t="s">
        <v>40</v>
      </c>
      <c r="V9" s="19" t="str">
        <f>IF(OR($H9="",$H9="sif",$H9="PM"),"",VLOOKUP($H9,[5]CU!$C$5:$J$255,8,FALSE))</f>
        <v>3. Manuels scolaires et matériels pédagogiques</v>
      </c>
      <c r="W9" s="19" t="s">
        <v>41</v>
      </c>
      <c r="X9" s="19" t="s">
        <v>41</v>
      </c>
      <c r="Y9" s="19" t="s">
        <v>32</v>
      </c>
      <c r="Z9" s="18" t="str">
        <f>A9 &amp; "-" &amp; VLOOKUP(A9,[4]PROGRAMMES!$E$1:$F$7,2,FALSE)</f>
        <v>1-Accès et équité à l'enseignement général</v>
      </c>
      <c r="AA9" s="19" t="str">
        <f>B9 &amp; "-" &amp; VLOOKUP(B9,[4]SOUSPROGRAMMES!$E$1:$F$44,2,FALSE)</f>
        <v>11- Accès équitable au préscolaire</v>
      </c>
      <c r="AB9" s="19" t="str">
        <f>C9 &amp; "-" &amp; VLOOKUP(C9,[4]RESULTATS!$E$1:$F$176,2,FALSE)</f>
        <v>111- Le préscolaire est réorganisé</v>
      </c>
      <c r="AC9" s="20" t="str">
        <f>D9 &amp; "-" &amp; VLOOKUP(D9,[4]STRATEGIES!$E$1:$F$504,2,FALSE)</f>
        <v>1111-Réorganisation de l’offre du préscolaire (de 3 à 2 ans)</v>
      </c>
      <c r="AD9" s="21" t="str">
        <f t="shared" si="0"/>
        <v>11113-Reprographie du document de politique du préscolaire et les normes et standards</v>
      </c>
    </row>
    <row r="10" spans="1:30" s="22" customFormat="1" ht="45" hidden="1" customHeight="1" x14ac:dyDescent="0.8">
      <c r="A10" s="14">
        <v>1</v>
      </c>
      <c r="B10" s="15">
        <v>11</v>
      </c>
      <c r="C10" s="15">
        <v>111</v>
      </c>
      <c r="D10" s="15">
        <v>1111</v>
      </c>
      <c r="E10" s="15">
        <v>11114</v>
      </c>
      <c r="F10" s="16" t="s">
        <v>46</v>
      </c>
      <c r="G10" s="21" t="s">
        <v>47</v>
      </c>
      <c r="H10" s="17" t="s">
        <v>38</v>
      </c>
      <c r="I10" s="18"/>
      <c r="J10" s="18">
        <f>8*40*2</f>
        <v>640</v>
      </c>
      <c r="K10" s="18"/>
      <c r="L10" s="18"/>
      <c r="M10" s="18">
        <f t="shared" si="1"/>
        <v>640</v>
      </c>
      <c r="N10" s="18">
        <f>IF(OR(H10="",H10="sif",H10="PM"),0,VLOOKUP(H10,[5]CU!$C$4:$H$255,6,FALSE))</f>
        <v>0.3133333333333333</v>
      </c>
      <c r="O10" s="18">
        <f>$N10*I10</f>
        <v>0</v>
      </c>
      <c r="P10" s="18">
        <f t="shared" si="2"/>
        <v>200.5333333333333</v>
      </c>
      <c r="Q10" s="18">
        <f t="shared" si="2"/>
        <v>0</v>
      </c>
      <c r="R10" s="18">
        <f t="shared" si="2"/>
        <v>0</v>
      </c>
      <c r="S10" s="18">
        <f t="shared" si="3"/>
        <v>200.5333333333333</v>
      </c>
      <c r="T10" s="23" t="s">
        <v>39</v>
      </c>
      <c r="U10" s="19" t="s">
        <v>40</v>
      </c>
      <c r="V10" s="19" t="str">
        <f>IF(OR($H10="",$H10="sif",$H10="PM"),"",VLOOKUP($H10,[5]CU!$C$5:$J$255,8,FALSE))</f>
        <v>3. Formation</v>
      </c>
      <c r="W10" s="19" t="s">
        <v>41</v>
      </c>
      <c r="X10" s="19" t="s">
        <v>41</v>
      </c>
      <c r="Y10" s="19" t="s">
        <v>32</v>
      </c>
      <c r="Z10" s="18" t="str">
        <f>A10 &amp; "-" &amp; VLOOKUP(A10,[4]PROGRAMMES!$E$1:$F$7,2,FALSE)</f>
        <v>1-Accès et équité à l'enseignement général</v>
      </c>
      <c r="AA10" s="19" t="str">
        <f>B10 &amp; "-" &amp; VLOOKUP(B10,[4]SOUSPROGRAMMES!$E$1:$F$44,2,FALSE)</f>
        <v>11- Accès équitable au préscolaire</v>
      </c>
      <c r="AB10" s="19" t="str">
        <f>C10 &amp; "-" &amp; VLOOKUP(C10,[4]RESULTATS!$E$1:$F$176,2,FALSE)</f>
        <v>111- Le préscolaire est réorganisé</v>
      </c>
      <c r="AC10" s="20" t="str">
        <f>D10 &amp; "-" &amp; VLOOKUP(D10,[4]STRATEGIES!$E$1:$F$504,2,FALSE)</f>
        <v>1111-Réorganisation de l’offre du préscolaire (de 3 à 2 ans)</v>
      </c>
      <c r="AD10" s="21" t="str">
        <f t="shared" si="0"/>
        <v xml:space="preserve">11114-Vulgarisation au niveau régional de la politique et les normes et standards du préscolaire  </v>
      </c>
    </row>
    <row r="11" spans="1:30" s="22" customFormat="1" ht="45" hidden="1" customHeight="1" x14ac:dyDescent="0.8">
      <c r="A11" s="14">
        <v>1</v>
      </c>
      <c r="B11" s="15">
        <v>11</v>
      </c>
      <c r="C11" s="15">
        <v>111</v>
      </c>
      <c r="D11" s="15">
        <v>1111</v>
      </c>
      <c r="E11" s="15">
        <v>11115</v>
      </c>
      <c r="F11" s="16" t="s">
        <v>48</v>
      </c>
      <c r="G11" s="21" t="s">
        <v>47</v>
      </c>
      <c r="H11" s="17" t="s">
        <v>38</v>
      </c>
      <c r="I11" s="18"/>
      <c r="J11" s="18">
        <f>427*4</f>
        <v>1708</v>
      </c>
      <c r="K11" s="18">
        <f>427*4</f>
        <v>1708</v>
      </c>
      <c r="L11" s="18"/>
      <c r="M11" s="18">
        <f t="shared" si="1"/>
        <v>3416</v>
      </c>
      <c r="N11" s="18">
        <f>IF(OR(H11="",H11="sif",H11="PM"),0,VLOOKUP(H11,[5]CU!$C$4:$H$255,6,FALSE))</f>
        <v>0.3133333333333333</v>
      </c>
      <c r="O11" s="18">
        <f>$N11*I11</f>
        <v>0</v>
      </c>
      <c r="P11" s="18">
        <f t="shared" si="2"/>
        <v>535.17333333333329</v>
      </c>
      <c r="Q11" s="18">
        <f t="shared" si="2"/>
        <v>535.17333333333329</v>
      </c>
      <c r="R11" s="18">
        <f t="shared" si="2"/>
        <v>0</v>
      </c>
      <c r="S11" s="18">
        <f t="shared" si="3"/>
        <v>1070.3466666666666</v>
      </c>
      <c r="T11" s="23" t="s">
        <v>39</v>
      </c>
      <c r="U11" s="19" t="s">
        <v>40</v>
      </c>
      <c r="V11" s="19" t="str">
        <f>IF(OR($H11="",$H11="sif",$H11="PM"),"",VLOOKUP($H11,[5]CU!$C$5:$J$255,8,FALSE))</f>
        <v>3. Formation</v>
      </c>
      <c r="W11" s="19" t="s">
        <v>41</v>
      </c>
      <c r="X11" s="19" t="s">
        <v>41</v>
      </c>
      <c r="Y11" s="19" t="s">
        <v>32</v>
      </c>
      <c r="Z11" s="18" t="str">
        <f>A11 &amp; "-" &amp; VLOOKUP(A11,[4]PROGRAMMES!$E$1:$F$7,2,FALSE)</f>
        <v>1-Accès et équité à l'enseignement général</v>
      </c>
      <c r="AA11" s="19" t="str">
        <f>B11 &amp; "-" &amp; VLOOKUP(B11,[4]SOUSPROGRAMMES!$E$1:$F$44,2,FALSE)</f>
        <v>11- Accès équitable au préscolaire</v>
      </c>
      <c r="AB11" s="19" t="str">
        <f>C11 &amp; "-" &amp; VLOOKUP(C11,[4]RESULTATS!$E$1:$F$176,2,FALSE)</f>
        <v>111- Le préscolaire est réorganisé</v>
      </c>
      <c r="AC11" s="20" t="str">
        <f>D11 &amp; "-" &amp; VLOOKUP(D11,[4]STRATEGIES!$E$1:$F$504,2,FALSE)</f>
        <v>1111-Réorganisation de l’offre du préscolaire (de 3 à 2 ans)</v>
      </c>
      <c r="AD11" s="21" t="str">
        <f t="shared" si="0"/>
        <v xml:space="preserve">11115-Vulgarisation au niveau préfectoral du document de politique du préscolaire et des normes et standards  </v>
      </c>
    </row>
    <row r="12" spans="1:30" s="22" customFormat="1" ht="15" hidden="1" customHeight="1" x14ac:dyDescent="0.8">
      <c r="A12" s="14">
        <v>1</v>
      </c>
      <c r="B12" s="15">
        <v>11</v>
      </c>
      <c r="C12" s="15">
        <v>111</v>
      </c>
      <c r="D12" s="15">
        <v>1112</v>
      </c>
      <c r="E12" s="15">
        <v>1112</v>
      </c>
      <c r="F12" s="16" t="s">
        <v>49</v>
      </c>
      <c r="G12" s="17"/>
      <c r="H12" s="17"/>
      <c r="I12" s="18"/>
      <c r="J12" s="18"/>
      <c r="K12" s="18"/>
      <c r="L12" s="18"/>
      <c r="M12" s="18"/>
      <c r="N12" s="18"/>
      <c r="O12" s="18"/>
      <c r="P12" s="18"/>
      <c r="Q12" s="18"/>
      <c r="R12" s="18"/>
      <c r="S12" s="18"/>
      <c r="T12" s="18"/>
      <c r="U12" s="18"/>
      <c r="V12" s="18"/>
      <c r="W12" s="18"/>
      <c r="X12" s="18"/>
      <c r="Y12" s="19" t="s">
        <v>32</v>
      </c>
      <c r="Z12" s="18" t="str">
        <f>A12 &amp; "-" &amp; VLOOKUP(A12,[4]PROGRAMMES!$E$1:$F$7,2,FALSE)</f>
        <v>1-Accès et équité à l'enseignement général</v>
      </c>
      <c r="AA12" s="19" t="str">
        <f>B12 &amp; "-" &amp; VLOOKUP(B12,[4]SOUSPROGRAMMES!$E$1:$F$44,2,FALSE)</f>
        <v>11- Accès équitable au préscolaire</v>
      </c>
      <c r="AB12" s="19" t="str">
        <f>C12 &amp; "-" &amp; VLOOKUP(C12,[4]RESULTATS!$E$1:$F$176,2,FALSE)</f>
        <v>111- Le préscolaire est réorganisé</v>
      </c>
      <c r="AC12" s="20" t="str">
        <f>D12 &amp; "-" &amp; VLOOKUP(D12,[4]STRATEGIES!$E$1:$F$504,2,FALSE)</f>
        <v>1112-Adaptation du mode de fonctionnement du préscolaire</v>
      </c>
      <c r="AD12" s="21" t="str">
        <f t="shared" si="0"/>
        <v>1112-Adaptation du mode de fonctionnement du préscolaire</v>
      </c>
    </row>
    <row r="13" spans="1:30" s="22" customFormat="1" ht="60" hidden="1" customHeight="1" x14ac:dyDescent="0.8">
      <c r="A13" s="14">
        <v>1</v>
      </c>
      <c r="B13" s="15">
        <v>11</v>
      </c>
      <c r="C13" s="15">
        <v>111</v>
      </c>
      <c r="D13" s="15">
        <v>1112</v>
      </c>
      <c r="E13" s="15">
        <v>11121</v>
      </c>
      <c r="F13" s="16" t="s">
        <v>50</v>
      </c>
      <c r="G13" s="21" t="s">
        <v>51</v>
      </c>
      <c r="H13" s="17" t="s">
        <v>52</v>
      </c>
      <c r="I13" s="18"/>
      <c r="J13" s="18">
        <f>(8+38+427+10)</f>
        <v>483</v>
      </c>
      <c r="K13" s="18"/>
      <c r="L13" s="18"/>
      <c r="M13" s="18">
        <f t="shared" si="1"/>
        <v>483</v>
      </c>
      <c r="N13" s="18">
        <f>IF(OR(H13="",H13="sif",H13="PM"),0,VLOOKUP(H13,[5]CU!$C$4:$H$255,6,FALSE))</f>
        <v>1.5</v>
      </c>
      <c r="O13" s="18">
        <f>$N13*I18</f>
        <v>67.2</v>
      </c>
      <c r="P13" s="18">
        <f t="shared" si="2"/>
        <v>724.5</v>
      </c>
      <c r="Q13" s="18">
        <f t="shared" si="2"/>
        <v>0</v>
      </c>
      <c r="R13" s="18">
        <f t="shared" si="2"/>
        <v>0</v>
      </c>
      <c r="S13" s="18">
        <f t="shared" si="3"/>
        <v>791.7</v>
      </c>
      <c r="T13" s="23" t="s">
        <v>39</v>
      </c>
      <c r="U13" s="19" t="s">
        <v>40</v>
      </c>
      <c r="V13" s="19" t="str">
        <f>IF(OR($H13="",$H13="sif",$H13="PM"),"",VLOOKUP($H13,[5]CU!$C$5:$J$255,8,FALSE))</f>
        <v>3. Formation</v>
      </c>
      <c r="W13" s="19" t="s">
        <v>41</v>
      </c>
      <c r="X13" s="19" t="s">
        <v>41</v>
      </c>
      <c r="Y13" s="19" t="s">
        <v>32</v>
      </c>
      <c r="Z13" s="18" t="str">
        <f>A13 &amp; "-" &amp; VLOOKUP(A13,[4]PROGRAMMES!$E$1:$F$7,2,FALSE)</f>
        <v>1-Accès et équité à l'enseignement général</v>
      </c>
      <c r="AA13" s="19" t="str">
        <f>B13 &amp; "-" &amp; VLOOKUP(B13,[4]SOUSPROGRAMMES!$E$1:$F$44,2,FALSE)</f>
        <v>11- Accès équitable au préscolaire</v>
      </c>
      <c r="AB13" s="19" t="str">
        <f>C13 &amp; "-" &amp; VLOOKUP(C13,[4]RESULTATS!$E$1:$F$176,2,FALSE)</f>
        <v>111- Le préscolaire est réorganisé</v>
      </c>
      <c r="AC13" s="20" t="str">
        <f>D13 &amp; "-" &amp; VLOOKUP(D13,[4]STRATEGIES!$E$1:$F$504,2,FALSE)</f>
        <v>1112-Adaptation du mode de fonctionnement du préscolaire</v>
      </c>
      <c r="AD13" s="21" t="str">
        <f t="shared" si="0"/>
        <v>11121-Formation des encadreurs du préscolaire au niveau IRE, DPE/DCE, DSEE sur l'encadrement du préscolaire (y compris les classes uniques au Préscolaire)/pris en compte dans activité 23327</v>
      </c>
    </row>
    <row r="14" spans="1:30" s="22" customFormat="1" ht="30" hidden="1" customHeight="1" x14ac:dyDescent="0.8">
      <c r="A14" s="14">
        <v>1</v>
      </c>
      <c r="B14" s="15">
        <v>11</v>
      </c>
      <c r="C14" s="15">
        <v>111</v>
      </c>
      <c r="D14" s="15">
        <v>1112</v>
      </c>
      <c r="E14" s="15">
        <v>11122</v>
      </c>
      <c r="F14" s="16" t="s">
        <v>53</v>
      </c>
      <c r="G14" s="21" t="s">
        <v>54</v>
      </c>
      <c r="H14" s="17" t="s">
        <v>55</v>
      </c>
      <c r="I14" s="18"/>
      <c r="J14" s="18">
        <v>1</v>
      </c>
      <c r="K14" s="18">
        <v>1</v>
      </c>
      <c r="L14" s="18">
        <v>1</v>
      </c>
      <c r="M14" s="18">
        <f t="shared" si="1"/>
        <v>3</v>
      </c>
      <c r="N14" s="18">
        <f>IF(OR(H14="",H14="sif",H14="PM"),0,VLOOKUP(H14,[5]CU!$C$4:$H$255,6,FALSE))</f>
        <v>0</v>
      </c>
      <c r="O14" s="18"/>
      <c r="P14" s="18"/>
      <c r="Q14" s="18"/>
      <c r="R14" s="18"/>
      <c r="S14" s="18"/>
      <c r="T14" s="23" t="s">
        <v>56</v>
      </c>
      <c r="U14" s="18" t="s">
        <v>40</v>
      </c>
      <c r="V14" s="18" t="str">
        <f>IF(OR($H14="",$H14="sif",$H14="PM"),"",VLOOKUP($H14,[5]CU!$C$5:$J$255,8,FALSE))</f>
        <v/>
      </c>
      <c r="W14" s="18" t="s">
        <v>41</v>
      </c>
      <c r="X14" s="18" t="s">
        <v>41</v>
      </c>
      <c r="Y14" s="19" t="s">
        <v>32</v>
      </c>
      <c r="Z14" s="18" t="str">
        <f>A14 &amp; "-" &amp; VLOOKUP(A14,[4]PROGRAMMES!$E$1:$F$7,2,FALSE)</f>
        <v>1-Accès et équité à l'enseignement général</v>
      </c>
      <c r="AA14" s="19" t="str">
        <f>B14 &amp; "-" &amp; VLOOKUP(B14,[4]SOUSPROGRAMMES!$E$1:$F$44,2,FALSE)</f>
        <v>11- Accès équitable au préscolaire</v>
      </c>
      <c r="AB14" s="19" t="str">
        <f>C14 &amp; "-" &amp; VLOOKUP(C14,[4]RESULTATS!$E$1:$F$176,2,FALSE)</f>
        <v>111- Le préscolaire est réorganisé</v>
      </c>
      <c r="AC14" s="20" t="str">
        <f>D14 &amp; "-" &amp; VLOOKUP(D14,[4]STRATEGIES!$E$1:$F$504,2,FALSE)</f>
        <v>1112-Adaptation du mode de fonctionnement du préscolaire</v>
      </c>
      <c r="AD14" s="21" t="str">
        <f t="shared" si="0"/>
        <v>11122-Mise en place des classes uniques du préscolaire dans les écoles primaires publiques en zone rurale</v>
      </c>
    </row>
    <row r="15" spans="1:30" s="22" customFormat="1" ht="15" hidden="1" customHeight="1" x14ac:dyDescent="0.8">
      <c r="A15" s="14">
        <v>1</v>
      </c>
      <c r="B15" s="15">
        <v>11</v>
      </c>
      <c r="C15" s="15">
        <v>111</v>
      </c>
      <c r="D15" s="15">
        <v>1112</v>
      </c>
      <c r="E15" s="15">
        <v>11123</v>
      </c>
      <c r="F15" s="16" t="s">
        <v>57</v>
      </c>
      <c r="G15" s="21" t="s">
        <v>58</v>
      </c>
      <c r="H15" s="17" t="s">
        <v>59</v>
      </c>
      <c r="I15" s="18">
        <f>(3*8*6)*92.04%</f>
        <v>132.53760000000003</v>
      </c>
      <c r="J15" s="18">
        <f>(3*8*6)*92.04%</f>
        <v>132.53760000000003</v>
      </c>
      <c r="K15" s="18">
        <f>(3*8*10)*92.04%</f>
        <v>220.89600000000002</v>
      </c>
      <c r="L15" s="18">
        <f>(3*8*10)*92.04%</f>
        <v>220.89600000000002</v>
      </c>
      <c r="M15" s="18">
        <f>SUM(I15:L15)</f>
        <v>706.86720000000014</v>
      </c>
      <c r="N15" s="18">
        <f>IF(OR(H15="",H15="sif",H15="PM"),0,VLOOKUP(H15,[5]CU!$C$4:$H$255,6,FALSE))</f>
        <v>0.8177777777777776</v>
      </c>
      <c r="O15" s="18">
        <f t="shared" ref="O15:R18" si="4">$N15*I15</f>
        <v>108.386304</v>
      </c>
      <c r="P15" s="18">
        <f t="shared" si="4"/>
        <v>108.386304</v>
      </c>
      <c r="Q15" s="18">
        <f t="shared" si="4"/>
        <v>180.64383999999998</v>
      </c>
      <c r="R15" s="18">
        <f t="shared" si="4"/>
        <v>180.64383999999998</v>
      </c>
      <c r="S15" s="18">
        <f>SUM(O15:R15)</f>
        <v>578.0602879999999</v>
      </c>
      <c r="T15" s="23" t="s">
        <v>56</v>
      </c>
      <c r="U15" s="18" t="s">
        <v>40</v>
      </c>
      <c r="V15" s="18" t="str">
        <f>IF(OR($H15="",$H15="sif",$H15="PM"),"",VLOOKUP($H15,[5]CU!$C$5:$J$255,8,FALSE))</f>
        <v>3. Dépenses de fonctionnement</v>
      </c>
      <c r="W15" s="18" t="s">
        <v>41</v>
      </c>
      <c r="X15" s="18" t="s">
        <v>41</v>
      </c>
      <c r="Y15" s="19" t="s">
        <v>32</v>
      </c>
      <c r="Z15" s="18" t="str">
        <f>A15 &amp; "-" &amp; VLOOKUP(A15,[4]PROGRAMMES!$E$1:$F$7,2,FALSE)</f>
        <v>1-Accès et équité à l'enseignement général</v>
      </c>
      <c r="AA15" s="19" t="str">
        <f>B15 &amp; "-" &amp; VLOOKUP(B15,[4]SOUSPROGRAMMES!$E$1:$F$44,2,FALSE)</f>
        <v>11- Accès équitable au préscolaire</v>
      </c>
      <c r="AB15" s="19" t="str">
        <f>C15 &amp; "-" &amp; VLOOKUP(C15,[4]RESULTATS!$E$1:$F$176,2,FALSE)</f>
        <v>111- Le préscolaire est réorganisé</v>
      </c>
      <c r="AC15" s="20" t="str">
        <f>D15 &amp; "-" &amp; VLOOKUP(D15,[4]STRATEGIES!$E$1:$F$504,2,FALSE)</f>
        <v>1112-Adaptation du mode de fonctionnement du préscolaire</v>
      </c>
      <c r="AD15" s="21" t="str">
        <f t="shared" si="0"/>
        <v>11123-Supervision des CEC et des établissements préscolaires publics</v>
      </c>
    </row>
    <row r="16" spans="1:30" s="22" customFormat="1" ht="15" hidden="1" customHeight="1" x14ac:dyDescent="0.8">
      <c r="A16" s="14">
        <v>1</v>
      </c>
      <c r="B16" s="15">
        <v>11</v>
      </c>
      <c r="C16" s="15">
        <v>111</v>
      </c>
      <c r="D16" s="15">
        <v>1112</v>
      </c>
      <c r="E16" s="15">
        <v>11123</v>
      </c>
      <c r="F16" s="16" t="s">
        <v>57</v>
      </c>
      <c r="G16" s="21" t="s">
        <v>58</v>
      </c>
      <c r="H16" s="17" t="s">
        <v>59</v>
      </c>
      <c r="I16" s="18">
        <f>(3*8*6)*7.96%</f>
        <v>11.462400000000001</v>
      </c>
      <c r="J16" s="18">
        <f>(3*8*6)*7.96%</f>
        <v>11.462400000000001</v>
      </c>
      <c r="K16" s="18">
        <f>(3*8*10)*7.96%</f>
        <v>19.103999999999999</v>
      </c>
      <c r="L16" s="18">
        <f>(3*8*10)*7.96%</f>
        <v>19.103999999999999</v>
      </c>
      <c r="M16" s="18">
        <f t="shared" si="1"/>
        <v>61.132800000000003</v>
      </c>
      <c r="N16" s="18">
        <f>IF(OR(H16="",H16="sif",H16="PM"),0,VLOOKUP(H16,[5]CU!$C$4:$H$255,6,FALSE))</f>
        <v>0.8177777777777776</v>
      </c>
      <c r="O16" s="18">
        <f t="shared" si="4"/>
        <v>9.3736959999999989</v>
      </c>
      <c r="P16" s="18">
        <f t="shared" si="4"/>
        <v>9.3736959999999989</v>
      </c>
      <c r="Q16" s="18">
        <f t="shared" si="4"/>
        <v>15.622826666666663</v>
      </c>
      <c r="R16" s="18">
        <f t="shared" si="4"/>
        <v>15.622826666666663</v>
      </c>
      <c r="S16" s="18">
        <f t="shared" ref="S16:S28" si="5">SUM(O16:R16)</f>
        <v>49.99304533333332</v>
      </c>
      <c r="T16" s="23" t="s">
        <v>60</v>
      </c>
      <c r="U16" s="18" t="s">
        <v>40</v>
      </c>
      <c r="V16" s="18" t="str">
        <f>IF(OR($H16="",$H16="sif",$H16="PM"),"",VLOOKUP($H16,[5]CU!$C$5:$J$255,8,FALSE))</f>
        <v>3. Dépenses de fonctionnement</v>
      </c>
      <c r="W16" s="18" t="s">
        <v>41</v>
      </c>
      <c r="X16" s="18" t="s">
        <v>41</v>
      </c>
      <c r="Y16" s="19" t="s">
        <v>32</v>
      </c>
      <c r="Z16" s="18" t="str">
        <f>A16 &amp; "-" &amp; VLOOKUP(A16,[4]PROGRAMMES!$E$1:$F$7,2,FALSE)</f>
        <v>1-Accès et équité à l'enseignement général</v>
      </c>
      <c r="AA16" s="19" t="str">
        <f>B16 &amp; "-" &amp; VLOOKUP(B16,[4]SOUSPROGRAMMES!$E$1:$F$44,2,FALSE)</f>
        <v>11- Accès équitable au préscolaire</v>
      </c>
      <c r="AB16" s="19" t="str">
        <f>C16 &amp; "-" &amp; VLOOKUP(C16,[4]RESULTATS!$E$1:$F$176,2,FALSE)</f>
        <v>111- Le préscolaire est réorganisé</v>
      </c>
      <c r="AC16" s="20" t="str">
        <f>D16 &amp; "-" &amp; VLOOKUP(D16,[4]STRATEGIES!$E$1:$F$504,2,FALSE)</f>
        <v>1112-Adaptation du mode de fonctionnement du préscolaire</v>
      </c>
      <c r="AD16" s="21" t="str">
        <f t="shared" si="0"/>
        <v>11123-Supervision des CEC et des établissements préscolaires publics</v>
      </c>
    </row>
    <row r="17" spans="1:30" s="22" customFormat="1" ht="45" hidden="1" customHeight="1" x14ac:dyDescent="0.8">
      <c r="A17" s="14">
        <v>1</v>
      </c>
      <c r="B17" s="15">
        <v>11</v>
      </c>
      <c r="C17" s="15">
        <v>111</v>
      </c>
      <c r="D17" s="15">
        <v>1112</v>
      </c>
      <c r="E17" s="15">
        <v>11124</v>
      </c>
      <c r="F17" s="16" t="s">
        <v>61</v>
      </c>
      <c r="G17" s="21" t="s">
        <v>51</v>
      </c>
      <c r="H17" s="17" t="s">
        <v>52</v>
      </c>
      <c r="I17" s="18">
        <f>((8+38+10))*20%</f>
        <v>11.200000000000001</v>
      </c>
      <c r="J17" s="18">
        <f>(215*3)*20%</f>
        <v>129</v>
      </c>
      <c r="K17" s="18">
        <f>(215*3)*20%</f>
        <v>129</v>
      </c>
      <c r="L17" s="18">
        <f>(215*3)*20%</f>
        <v>129</v>
      </c>
      <c r="M17" s="18">
        <f>SUM(I17:L17)</f>
        <v>398.2</v>
      </c>
      <c r="N17" s="18">
        <f>IF(OR(H17="",H17="sif",H17="PM"),0,VLOOKUP(H17,[5]CU!$C$4:$H$255,6,FALSE))</f>
        <v>1.5</v>
      </c>
      <c r="O17" s="18">
        <f t="shared" si="4"/>
        <v>16.8</v>
      </c>
      <c r="P17" s="18">
        <f t="shared" si="4"/>
        <v>193.5</v>
      </c>
      <c r="Q17" s="18">
        <f t="shared" si="4"/>
        <v>193.5</v>
      </c>
      <c r="R17" s="18">
        <f t="shared" si="4"/>
        <v>193.5</v>
      </c>
      <c r="S17" s="18">
        <f>SUM(O17:R17)</f>
        <v>597.29999999999995</v>
      </c>
      <c r="T17" s="23" t="s">
        <v>39</v>
      </c>
      <c r="U17" s="19" t="s">
        <v>40</v>
      </c>
      <c r="V17" s="19" t="str">
        <f>IF(OR($H17="",$H17="sif",$H17="PM"),"",VLOOKUP($H17,[5]CU!$C$5:$J$255,8,FALSE))</f>
        <v>3. Formation</v>
      </c>
      <c r="W17" s="19" t="s">
        <v>41</v>
      </c>
      <c r="X17" s="19" t="s">
        <v>62</v>
      </c>
      <c r="Y17" s="19" t="s">
        <v>32</v>
      </c>
      <c r="Z17" s="18" t="str">
        <f>A17 &amp; "-" &amp; VLOOKUP(A17,[4]PROGRAMMES!$E$1:$F$7,2,FALSE)</f>
        <v>1-Accès et équité à l'enseignement général</v>
      </c>
      <c r="AA17" s="19" t="str">
        <f>B17 &amp; "-" &amp; VLOOKUP(B17,[4]SOUSPROGRAMMES!$E$1:$F$44,2,FALSE)</f>
        <v>11- Accès équitable au préscolaire</v>
      </c>
      <c r="AB17" s="19" t="str">
        <f>C17 &amp; "-" &amp; VLOOKUP(C17,[4]RESULTATS!$E$1:$F$176,2,FALSE)</f>
        <v>111- Le préscolaire est réorganisé</v>
      </c>
      <c r="AC17" s="20" t="str">
        <f>D17 &amp; "-" &amp; VLOOKUP(D17,[4]STRATEGIES!$E$1:$F$504,2,FALSE)</f>
        <v>1112-Adaptation du mode de fonctionnement du préscolaire</v>
      </c>
      <c r="AD17" s="21" t="str">
        <f t="shared" si="0"/>
        <v xml:space="preserve">11124-Formation des éducateurs sur la gestion des classes uniques </v>
      </c>
    </row>
    <row r="18" spans="1:30" s="22" customFormat="1" ht="45" hidden="1" customHeight="1" x14ac:dyDescent="0.8">
      <c r="A18" s="14">
        <v>1</v>
      </c>
      <c r="B18" s="15">
        <v>11</v>
      </c>
      <c r="C18" s="15">
        <v>111</v>
      </c>
      <c r="D18" s="15">
        <v>1112</v>
      </c>
      <c r="E18" s="15">
        <v>11124</v>
      </c>
      <c r="F18" s="16" t="s">
        <v>61</v>
      </c>
      <c r="G18" s="21" t="s">
        <v>51</v>
      </c>
      <c r="H18" s="17" t="s">
        <v>52</v>
      </c>
      <c r="I18" s="18">
        <f>((8+38+10))*80%</f>
        <v>44.800000000000004</v>
      </c>
      <c r="J18" s="18">
        <f>(215*3)*80%</f>
        <v>516</v>
      </c>
      <c r="K18" s="18">
        <f>(215*3)*80%</f>
        <v>516</v>
      </c>
      <c r="L18" s="18">
        <f>(215*3)*80%</f>
        <v>516</v>
      </c>
      <c r="M18" s="18">
        <f>SUM(I18:L18)</f>
        <v>1592.8</v>
      </c>
      <c r="N18" s="18">
        <f>IF(OR(H18="",H18="sif",H18="PM"),0,VLOOKUP(H18,[5]CU!$C$4:$H$255,6,FALSE))</f>
        <v>1.5</v>
      </c>
      <c r="O18" s="18">
        <f t="shared" si="4"/>
        <v>67.2</v>
      </c>
      <c r="P18" s="18">
        <f t="shared" si="4"/>
        <v>774</v>
      </c>
      <c r="Q18" s="18">
        <f t="shared" si="4"/>
        <v>774</v>
      </c>
      <c r="R18" s="18">
        <f t="shared" si="4"/>
        <v>774</v>
      </c>
      <c r="S18" s="18">
        <f>SUM(O18:R18)</f>
        <v>2389.1999999999998</v>
      </c>
      <c r="T18" s="23" t="s">
        <v>39</v>
      </c>
      <c r="U18" s="19" t="s">
        <v>40</v>
      </c>
      <c r="V18" s="19" t="str">
        <f>IF(OR($H18="",$H18="sif",$H18="PM"),"",VLOOKUP($H18,[5]CU!$C$5:$J$255,8,FALSE))</f>
        <v>3. Formation</v>
      </c>
      <c r="W18" s="19" t="s">
        <v>41</v>
      </c>
      <c r="X18" s="19" t="s">
        <v>62</v>
      </c>
      <c r="Y18" s="19" t="s">
        <v>32</v>
      </c>
      <c r="Z18" s="18" t="str">
        <f>A18 &amp; "-" &amp; VLOOKUP(A18,[4]PROGRAMMES!$E$1:$F$7,2,FALSE)</f>
        <v>1-Accès et équité à l'enseignement général</v>
      </c>
      <c r="AA18" s="19" t="str">
        <f>B18 &amp; "-" &amp; VLOOKUP(B18,[4]SOUSPROGRAMMES!$E$1:$F$44,2,FALSE)</f>
        <v>11- Accès équitable au préscolaire</v>
      </c>
      <c r="AB18" s="19" t="str">
        <f>C18 &amp; "-" &amp; VLOOKUP(C18,[4]RESULTATS!$E$1:$F$176,2,FALSE)</f>
        <v>111- Le préscolaire est réorganisé</v>
      </c>
      <c r="AC18" s="20" t="str">
        <f>D18 &amp; "-" &amp; VLOOKUP(D18,[4]STRATEGIES!$E$1:$F$504,2,FALSE)</f>
        <v>1112-Adaptation du mode de fonctionnement du préscolaire</v>
      </c>
      <c r="AD18" s="21" t="str">
        <f t="shared" si="0"/>
        <v xml:space="preserve">11124-Formation des éducateurs sur la gestion des classes uniques </v>
      </c>
    </row>
    <row r="19" spans="1:30" s="22" customFormat="1" ht="30" hidden="1" customHeight="1" x14ac:dyDescent="0.8">
      <c r="A19" s="14">
        <v>1</v>
      </c>
      <c r="B19" s="15">
        <v>11</v>
      </c>
      <c r="C19" s="15">
        <v>112</v>
      </c>
      <c r="D19" s="15">
        <v>112</v>
      </c>
      <c r="E19" s="15">
        <v>112</v>
      </c>
      <c r="F19" s="16" t="s">
        <v>63</v>
      </c>
      <c r="G19" s="17"/>
      <c r="H19" s="17"/>
      <c r="I19" s="18"/>
      <c r="J19" s="18"/>
      <c r="K19" s="18"/>
      <c r="L19" s="18"/>
      <c r="M19" s="18"/>
      <c r="N19" s="18"/>
      <c r="O19" s="18"/>
      <c r="P19" s="18"/>
      <c r="Q19" s="18"/>
      <c r="R19" s="18"/>
      <c r="S19" s="18"/>
      <c r="T19" s="18"/>
      <c r="U19" s="18"/>
      <c r="V19" s="18"/>
      <c r="W19" s="18"/>
      <c r="X19" s="18"/>
      <c r="Y19" s="19" t="s">
        <v>32</v>
      </c>
      <c r="Z19" s="18" t="str">
        <f>A19 &amp; "-" &amp; VLOOKUP(A19,[4]PROGRAMMES!$E$1:$F$7,2,FALSE)</f>
        <v>1-Accès et équité à l'enseignement général</v>
      </c>
      <c r="AA19" s="19" t="str">
        <f>B19 &amp; "-" &amp; VLOOKUP(B19,[4]SOUSPROGRAMMES!$E$1:$F$44,2,FALSE)</f>
        <v>11- Accès équitable au préscolaire</v>
      </c>
      <c r="AB19" s="19" t="str">
        <f>C19 &amp; "-" &amp; VLOOKUP(C19,[4]RESULTATS!$E$1:$F$176,2,FALSE)</f>
        <v>112- La demande de préscolarisation est stimulée</v>
      </c>
      <c r="AC19" s="20" t="str">
        <f>D19 &amp; "-" &amp; VLOOKUP(D19,[4]STRATEGIES!$E$1:$F$504,2,FALSE)</f>
        <v>112- La demande de préscolarisation est stimulée</v>
      </c>
      <c r="AD19" s="21" t="str">
        <f t="shared" si="0"/>
        <v>112- La demande de préscolarisation est stimulée</v>
      </c>
    </row>
    <row r="20" spans="1:30" s="22" customFormat="1" ht="45" hidden="1" customHeight="1" x14ac:dyDescent="0.8">
      <c r="A20" s="14">
        <v>1</v>
      </c>
      <c r="B20" s="15">
        <v>11</v>
      </c>
      <c r="C20" s="15">
        <v>112</v>
      </c>
      <c r="D20" s="15">
        <v>1121</v>
      </c>
      <c r="E20" s="15">
        <v>1121</v>
      </c>
      <c r="F20" s="16" t="s">
        <v>64</v>
      </c>
      <c r="G20" s="17"/>
      <c r="H20" s="17"/>
      <c r="I20" s="18"/>
      <c r="J20" s="18"/>
      <c r="K20" s="18"/>
      <c r="L20" s="18"/>
      <c r="M20" s="18"/>
      <c r="N20" s="18"/>
      <c r="O20" s="18"/>
      <c r="P20" s="18"/>
      <c r="Q20" s="18"/>
      <c r="R20" s="18"/>
      <c r="S20" s="18"/>
      <c r="T20" s="18"/>
      <c r="U20" s="18"/>
      <c r="V20" s="18"/>
      <c r="W20" s="18"/>
      <c r="X20" s="18"/>
      <c r="Y20" s="19" t="s">
        <v>32</v>
      </c>
      <c r="Z20" s="18" t="str">
        <f>A20 &amp; "-" &amp; VLOOKUP(A20,[4]PROGRAMMES!$E$1:$F$7,2,FALSE)</f>
        <v>1-Accès et équité à l'enseignement général</v>
      </c>
      <c r="AA20" s="19" t="str">
        <f>B20 &amp; "-" &amp; VLOOKUP(B20,[4]SOUSPROGRAMMES!$E$1:$F$44,2,FALSE)</f>
        <v>11- Accès équitable au préscolaire</v>
      </c>
      <c r="AB20" s="19" t="str">
        <f>C20 &amp; "-" &amp; VLOOKUP(C20,[4]RESULTATS!$E$1:$F$176,2,FALSE)</f>
        <v>112- La demande de préscolarisation est stimulée</v>
      </c>
      <c r="AC20" s="20" t="str">
        <f>D20 &amp; "-" &amp; VLOOKUP(D20,[4]STRATEGIES!$E$1:$F$504,2,FALSE)</f>
        <v>1121-Sensibilisation des communautés sur l'importance de la préscolarisation des enfants et la nouvelle organisation du préscolaire</v>
      </c>
      <c r="AD20" s="21" t="str">
        <f t="shared" si="0"/>
        <v>1121-Sensibilisation des communautés sur l'importance de la préscolarisation des enfants et la nouvelle organisation du préscolaire</v>
      </c>
    </row>
    <row r="21" spans="1:30" s="22" customFormat="1" ht="30" hidden="1" customHeight="1" x14ac:dyDescent="0.8">
      <c r="A21" s="14">
        <v>1</v>
      </c>
      <c r="B21" s="15">
        <v>11</v>
      </c>
      <c r="C21" s="15">
        <v>112</v>
      </c>
      <c r="D21" s="15">
        <v>1121</v>
      </c>
      <c r="E21" s="15">
        <v>11211</v>
      </c>
      <c r="F21" s="16" t="s">
        <v>65</v>
      </c>
      <c r="G21" s="21" t="s">
        <v>37</v>
      </c>
      <c r="H21" s="17" t="s">
        <v>66</v>
      </c>
      <c r="I21" s="18"/>
      <c r="J21" s="18">
        <f>20*5*1</f>
        <v>100</v>
      </c>
      <c r="K21" s="18"/>
      <c r="L21" s="18"/>
      <c r="M21" s="18">
        <f t="shared" si="1"/>
        <v>100</v>
      </c>
      <c r="N21" s="18">
        <f>IF(OR(H21="",H21="sif",H21="PM"),0,VLOOKUP(H21,[5]CU!$C$4:$H$255,6,FALSE))</f>
        <v>0.255</v>
      </c>
      <c r="O21" s="18">
        <f t="shared" ref="O21:R28" si="6">$N21*I21</f>
        <v>0</v>
      </c>
      <c r="P21" s="18">
        <f t="shared" si="6"/>
        <v>25.5</v>
      </c>
      <c r="Q21" s="18">
        <f t="shared" si="6"/>
        <v>0</v>
      </c>
      <c r="R21" s="18">
        <f t="shared" si="6"/>
        <v>0</v>
      </c>
      <c r="S21" s="18">
        <f t="shared" si="5"/>
        <v>25.5</v>
      </c>
      <c r="T21" s="23" t="s">
        <v>67</v>
      </c>
      <c r="U21" s="18" t="s">
        <v>40</v>
      </c>
      <c r="V21" s="18" t="str">
        <f>IF(OR($H21="",$H21="sif",$H21="PM"),"",VLOOKUP($H21,[5]CU!$C$5:$J$255,8,FALSE))</f>
        <v>3. Dépenses de fonctionnement</v>
      </c>
      <c r="W21" s="18" t="s">
        <v>41</v>
      </c>
      <c r="X21" s="18" t="s">
        <v>41</v>
      </c>
      <c r="Y21" s="19" t="s">
        <v>32</v>
      </c>
      <c r="Z21" s="18" t="str">
        <f>A21 &amp; "-" &amp; VLOOKUP(A21,[4]PROGRAMMES!$E$1:$F$7,2,FALSE)</f>
        <v>1-Accès et équité à l'enseignement général</v>
      </c>
      <c r="AA21" s="19" t="str">
        <f>B21 &amp; "-" &amp; VLOOKUP(B21,[4]SOUSPROGRAMMES!$E$1:$F$44,2,FALSE)</f>
        <v>11- Accès équitable au préscolaire</v>
      </c>
      <c r="AB21" s="19" t="str">
        <f>C21 &amp; "-" &amp; VLOOKUP(C21,[4]RESULTATS!$E$1:$F$176,2,FALSE)</f>
        <v>112- La demande de préscolarisation est stimulée</v>
      </c>
      <c r="AC21" s="20" t="str">
        <f>D21 &amp; "-" &amp; VLOOKUP(D21,[4]STRATEGIES!$E$1:$F$504,2,FALSE)</f>
        <v>1121-Sensibilisation des communautés sur l'importance de la préscolarisation des enfants et la nouvelle organisation du préscolaire</v>
      </c>
      <c r="AD21" s="21" t="str">
        <f t="shared" si="0"/>
        <v>11211-Conception des messages publicitaires et des affiches sur la préscolarisation des enfants</v>
      </c>
    </row>
    <row r="22" spans="1:30" s="22" customFormat="1" ht="45" hidden="1" customHeight="1" x14ac:dyDescent="0.8">
      <c r="A22" s="14">
        <v>1</v>
      </c>
      <c r="B22" s="15">
        <v>11</v>
      </c>
      <c r="C22" s="15">
        <v>112</v>
      </c>
      <c r="D22" s="15">
        <v>1121</v>
      </c>
      <c r="E22" s="15">
        <v>11212</v>
      </c>
      <c r="F22" s="16" t="s">
        <v>68</v>
      </c>
      <c r="G22" s="21" t="s">
        <v>69</v>
      </c>
      <c r="H22" s="17" t="s">
        <v>70</v>
      </c>
      <c r="I22" s="18">
        <v>25</v>
      </c>
      <c r="J22" s="18">
        <v>30</v>
      </c>
      <c r="K22" s="18">
        <v>27</v>
      </c>
      <c r="L22" s="18">
        <v>25</v>
      </c>
      <c r="M22" s="18">
        <f t="shared" si="1"/>
        <v>107</v>
      </c>
      <c r="N22" s="18">
        <f>IF(OR(H22="",H22="sif",H22="PM"),0,VLOOKUP(H22,[5]CU!$C$4:$H$255,6,FALSE))</f>
        <v>30.702576112412178</v>
      </c>
      <c r="O22" s="18">
        <f t="shared" si="6"/>
        <v>767.5644028103045</v>
      </c>
      <c r="P22" s="18">
        <f t="shared" si="6"/>
        <v>921.07728337236529</v>
      </c>
      <c r="Q22" s="18">
        <f t="shared" si="6"/>
        <v>828.96955503512879</v>
      </c>
      <c r="R22" s="18">
        <f t="shared" si="6"/>
        <v>767.5644028103045</v>
      </c>
      <c r="S22" s="18">
        <f t="shared" si="5"/>
        <v>3285.1756440281033</v>
      </c>
      <c r="T22" s="23" t="s">
        <v>67</v>
      </c>
      <c r="U22" s="19" t="s">
        <v>40</v>
      </c>
      <c r="V22" s="19" t="str">
        <f>IF(OR($H22="",$H22="sif",$H22="PM"),"",VLOOKUP($H22,[5]CU!$C$5:$J$255,8,FALSE))</f>
        <v>3. Dépenses de fonctionnement</v>
      </c>
      <c r="W22" s="19" t="s">
        <v>41</v>
      </c>
      <c r="X22" s="19" t="s">
        <v>41</v>
      </c>
      <c r="Y22" s="19" t="s">
        <v>32</v>
      </c>
      <c r="Z22" s="18" t="str">
        <f>A22 &amp; "-" &amp; VLOOKUP(A22,[4]PROGRAMMES!$E$1:$F$7,2,FALSE)</f>
        <v>1-Accès et équité à l'enseignement général</v>
      </c>
      <c r="AA22" s="19" t="str">
        <f>B22 &amp; "-" &amp; VLOOKUP(B22,[4]SOUSPROGRAMMES!$E$1:$F$44,2,FALSE)</f>
        <v>11- Accès équitable au préscolaire</v>
      </c>
      <c r="AB22" s="19" t="str">
        <f>C22 &amp; "-" &amp; VLOOKUP(C22,[4]RESULTATS!$E$1:$F$176,2,FALSE)</f>
        <v>112- La demande de préscolarisation est stimulée</v>
      </c>
      <c r="AC22" s="20" t="str">
        <f>D22 &amp; "-" &amp; VLOOKUP(D22,[4]STRATEGIES!$E$1:$F$504,2,FALSE)</f>
        <v>1121-Sensibilisation des communautés sur l'importance de la préscolarisation des enfants et la nouvelle organisation du préscolaire</v>
      </c>
      <c r="AD22" s="21" t="str">
        <f t="shared" si="0"/>
        <v>11212-Impression et distribution des outils de sensibilisation des communautés sur la préscolarisation des enfants (Affiches, boîtes à image, etc.)</v>
      </c>
    </row>
    <row r="23" spans="1:30" s="22" customFormat="1" ht="45" hidden="1" customHeight="1" x14ac:dyDescent="0.8">
      <c r="A23" s="14">
        <v>1</v>
      </c>
      <c r="B23" s="15">
        <v>11</v>
      </c>
      <c r="C23" s="15">
        <v>112</v>
      </c>
      <c r="D23" s="15">
        <v>1121</v>
      </c>
      <c r="E23" s="15">
        <v>11212</v>
      </c>
      <c r="F23" s="16" t="s">
        <v>68</v>
      </c>
      <c r="G23" s="21" t="s">
        <v>69</v>
      </c>
      <c r="H23" s="17" t="s">
        <v>70</v>
      </c>
      <c r="I23" s="18">
        <v>61</v>
      </c>
      <c r="J23" s="18">
        <v>70</v>
      </c>
      <c r="K23" s="18">
        <v>70</v>
      </c>
      <c r="L23" s="18">
        <v>70</v>
      </c>
      <c r="M23" s="18">
        <f>SUM(I23:L23)</f>
        <v>271</v>
      </c>
      <c r="N23" s="18">
        <f>IF(OR(H23="",H23="sif",H23="PM"),0,VLOOKUP(H23,[5]CU!$C$4:$H$255,6,FALSE))</f>
        <v>30.702576112412178</v>
      </c>
      <c r="O23" s="18">
        <f t="shared" si="6"/>
        <v>1872.8571428571429</v>
      </c>
      <c r="P23" s="18">
        <f t="shared" si="6"/>
        <v>2149.1803278688526</v>
      </c>
      <c r="Q23" s="18">
        <f t="shared" si="6"/>
        <v>2149.1803278688526</v>
      </c>
      <c r="R23" s="18">
        <f t="shared" si="6"/>
        <v>2149.1803278688526</v>
      </c>
      <c r="S23" s="18">
        <f>SUM(O23:R23)</f>
        <v>8320.3981264637005</v>
      </c>
      <c r="T23" s="23" t="s">
        <v>39</v>
      </c>
      <c r="U23" s="19" t="s">
        <v>40</v>
      </c>
      <c r="V23" s="19" t="str">
        <f>IF(OR($H23="",$H23="sif",$H23="PM"),"",VLOOKUP($H23,[5]CU!$C$5:$J$255,8,FALSE))</f>
        <v>3. Dépenses de fonctionnement</v>
      </c>
      <c r="W23" s="19" t="s">
        <v>41</v>
      </c>
      <c r="X23" s="19" t="s">
        <v>41</v>
      </c>
      <c r="Y23" s="19" t="s">
        <v>32</v>
      </c>
      <c r="Z23" s="18" t="str">
        <f>A23 &amp; "-" &amp; VLOOKUP(A23,[4]PROGRAMMES!$E$1:$F$7,2,FALSE)</f>
        <v>1-Accès et équité à l'enseignement général</v>
      </c>
      <c r="AA23" s="19" t="str">
        <f>B23 &amp; "-" &amp; VLOOKUP(B23,[4]SOUSPROGRAMMES!$E$1:$F$44,2,FALSE)</f>
        <v>11- Accès équitable au préscolaire</v>
      </c>
      <c r="AB23" s="19" t="str">
        <f>C23 &amp; "-" &amp; VLOOKUP(C23,[4]RESULTATS!$E$1:$F$176,2,FALSE)</f>
        <v>112- La demande de préscolarisation est stimulée</v>
      </c>
      <c r="AC23" s="20" t="str">
        <f>D23 &amp; "-" &amp; VLOOKUP(D23,[4]STRATEGIES!$E$1:$F$504,2,FALSE)</f>
        <v>1121-Sensibilisation des communautés sur l'importance de la préscolarisation des enfants et la nouvelle organisation du préscolaire</v>
      </c>
      <c r="AD23" s="21" t="str">
        <f t="shared" si="0"/>
        <v>11212-Impression et distribution des outils de sensibilisation des communautés sur la préscolarisation des enfants (Affiches, boîtes à image, etc.)</v>
      </c>
    </row>
    <row r="24" spans="1:30" s="22" customFormat="1" ht="45" hidden="1" customHeight="1" x14ac:dyDescent="0.8">
      <c r="A24" s="14">
        <v>1</v>
      </c>
      <c r="B24" s="15">
        <v>11</v>
      </c>
      <c r="C24" s="15">
        <v>112</v>
      </c>
      <c r="D24" s="15">
        <v>1121</v>
      </c>
      <c r="E24" s="15">
        <v>11212</v>
      </c>
      <c r="F24" s="16" t="s">
        <v>68</v>
      </c>
      <c r="G24" s="21" t="s">
        <v>69</v>
      </c>
      <c r="H24" s="17" t="s">
        <v>70</v>
      </c>
      <c r="I24" s="18">
        <v>14</v>
      </c>
      <c r="J24" s="18">
        <v>20</v>
      </c>
      <c r="K24" s="18">
        <v>10</v>
      </c>
      <c r="L24" s="18">
        <v>5</v>
      </c>
      <c r="M24" s="18">
        <f t="shared" si="1"/>
        <v>49</v>
      </c>
      <c r="N24" s="18">
        <f>IF(OR(H24="",H24="sif",H24="PM"),0,VLOOKUP(H24,[5]CU!$C$4:$H$255,6,FALSE))</f>
        <v>30.702576112412178</v>
      </c>
      <c r="O24" s="18">
        <f t="shared" si="6"/>
        <v>429.8360655737705</v>
      </c>
      <c r="P24" s="18">
        <f t="shared" si="6"/>
        <v>614.0515222482436</v>
      </c>
      <c r="Q24" s="18">
        <f t="shared" si="6"/>
        <v>307.0257611241218</v>
      </c>
      <c r="R24" s="18">
        <f t="shared" si="6"/>
        <v>153.5128805620609</v>
      </c>
      <c r="S24" s="18">
        <f t="shared" si="5"/>
        <v>1504.4262295081969</v>
      </c>
      <c r="T24" s="23" t="s">
        <v>56</v>
      </c>
      <c r="U24" s="19" t="s">
        <v>40</v>
      </c>
      <c r="V24" s="19" t="str">
        <f>IF(OR($H24="",$H24="sif",$H24="PM"),"",VLOOKUP($H24,[5]CU!$C$5:$J$255,8,FALSE))</f>
        <v>3. Dépenses de fonctionnement</v>
      </c>
      <c r="W24" s="19" t="s">
        <v>41</v>
      </c>
      <c r="X24" s="19" t="s">
        <v>41</v>
      </c>
      <c r="Y24" s="19" t="s">
        <v>32</v>
      </c>
      <c r="Z24" s="18" t="str">
        <f>A24 &amp; "-" &amp; VLOOKUP(A24,[4]PROGRAMMES!$E$1:$F$7,2,FALSE)</f>
        <v>1-Accès et équité à l'enseignement général</v>
      </c>
      <c r="AA24" s="19" t="str">
        <f>B24 &amp; "-" &amp; VLOOKUP(B24,[4]SOUSPROGRAMMES!$E$1:$F$44,2,FALSE)</f>
        <v>11- Accès équitable au préscolaire</v>
      </c>
      <c r="AB24" s="19" t="str">
        <f>C24 &amp; "-" &amp; VLOOKUP(C24,[4]RESULTATS!$E$1:$F$176,2,FALSE)</f>
        <v>112- La demande de préscolarisation est stimulée</v>
      </c>
      <c r="AC24" s="20" t="str">
        <f>D24 &amp; "-" &amp; VLOOKUP(D24,[4]STRATEGIES!$E$1:$F$504,2,FALSE)</f>
        <v>1121-Sensibilisation des communautés sur l'importance de la préscolarisation des enfants et la nouvelle organisation du préscolaire</v>
      </c>
      <c r="AD24" s="21" t="str">
        <f t="shared" si="0"/>
        <v>11212-Impression et distribution des outils de sensibilisation des communautés sur la préscolarisation des enfants (Affiches, boîtes à image, etc.)</v>
      </c>
    </row>
    <row r="25" spans="1:30" s="22" customFormat="1" ht="30" hidden="1" customHeight="1" x14ac:dyDescent="0.8">
      <c r="A25" s="14">
        <v>1</v>
      </c>
      <c r="B25" s="15">
        <v>11</v>
      </c>
      <c r="C25" s="15">
        <v>112</v>
      </c>
      <c r="D25" s="15">
        <v>1121</v>
      </c>
      <c r="E25" s="15">
        <v>11213</v>
      </c>
      <c r="F25" s="16" t="s">
        <v>71</v>
      </c>
      <c r="G25" s="21" t="s">
        <v>72</v>
      </c>
      <c r="H25" s="17" t="s">
        <v>73</v>
      </c>
      <c r="I25" s="18">
        <f>33*2*60*70%</f>
        <v>2772</v>
      </c>
      <c r="J25" s="18">
        <f>ROUNDDOWN(33*15*0.7,0)</f>
        <v>346</v>
      </c>
      <c r="K25" s="18">
        <f>ROUNDDOWN(33*15*0.7,0)</f>
        <v>346</v>
      </c>
      <c r="L25" s="18">
        <f>ROUNDDOWN(33*15*0.7,0)</f>
        <v>346</v>
      </c>
      <c r="M25" s="18">
        <f>SUM(I25:L25)</f>
        <v>3810</v>
      </c>
      <c r="N25" s="18">
        <f>IF(OR(H25="",H25="sif",H25="PM"),0,VLOOKUP(H25,[5]CU!$C$4:$H$255,6,FALSE))</f>
        <v>0.4</v>
      </c>
      <c r="O25" s="18">
        <f t="shared" si="6"/>
        <v>1108.8</v>
      </c>
      <c r="P25" s="18">
        <f t="shared" si="6"/>
        <v>138.4</v>
      </c>
      <c r="Q25" s="18">
        <f t="shared" si="6"/>
        <v>138.4</v>
      </c>
      <c r="R25" s="18">
        <f t="shared" si="6"/>
        <v>138.4</v>
      </c>
      <c r="S25" s="18">
        <f>SUM(O25:R25)</f>
        <v>1524.0000000000002</v>
      </c>
      <c r="T25" s="23" t="s">
        <v>67</v>
      </c>
      <c r="U25" s="18" t="s">
        <v>40</v>
      </c>
      <c r="V25" s="18" t="str">
        <f>IF(OR($H25="",$H25="sif",$H25="PM"),"",VLOOKUP($H25,[5]CU!$C$5:$J$255,8,FALSE))</f>
        <v>3. Dépenses de fonctionnement</v>
      </c>
      <c r="W25" s="18" t="s">
        <v>41</v>
      </c>
      <c r="X25" s="18" t="s">
        <v>41</v>
      </c>
      <c r="Y25" s="19" t="s">
        <v>32</v>
      </c>
      <c r="Z25" s="18" t="str">
        <f>A25 &amp; "-" &amp; VLOOKUP(A25,[4]PROGRAMMES!$E$1:$F$7,2,FALSE)</f>
        <v>1-Accès et équité à l'enseignement général</v>
      </c>
      <c r="AA25" s="19" t="str">
        <f>B25 &amp; "-" &amp; VLOOKUP(B25,[4]SOUSPROGRAMMES!$E$1:$F$44,2,FALSE)</f>
        <v>11- Accès équitable au préscolaire</v>
      </c>
      <c r="AB25" s="19" t="str">
        <f>C25 &amp; "-" &amp; VLOOKUP(C25,[4]RESULTATS!$E$1:$F$176,2,FALSE)</f>
        <v>112- La demande de préscolarisation est stimulée</v>
      </c>
      <c r="AC25" s="20" t="str">
        <f>D25 &amp; "-" &amp; VLOOKUP(D25,[4]STRATEGIES!$E$1:$F$504,2,FALSE)</f>
        <v>1121-Sensibilisation des communautés sur l'importance de la préscolarisation des enfants et la nouvelle organisation du préscolaire</v>
      </c>
      <c r="AD25" s="21" t="str">
        <f t="shared" si="0"/>
        <v>11213-Diffusions des messages dans les médias sur la préscolarisation des enfants</v>
      </c>
    </row>
    <row r="26" spans="1:30" s="22" customFormat="1" ht="30" hidden="1" customHeight="1" x14ac:dyDescent="0.8">
      <c r="A26" s="14">
        <v>1</v>
      </c>
      <c r="B26" s="15">
        <v>11</v>
      </c>
      <c r="C26" s="15">
        <v>112</v>
      </c>
      <c r="D26" s="15">
        <v>1121</v>
      </c>
      <c r="E26" s="15">
        <v>11213</v>
      </c>
      <c r="F26" s="16" t="s">
        <v>71</v>
      </c>
      <c r="G26" s="21" t="s">
        <v>72</v>
      </c>
      <c r="H26" s="17" t="s">
        <v>73</v>
      </c>
      <c r="I26" s="18">
        <f>(33*2*60)*0.3</f>
        <v>1188</v>
      </c>
      <c r="J26" s="18">
        <f>ROUNDUP(33*15*0.3,0)</f>
        <v>149</v>
      </c>
      <c r="K26" s="18">
        <f>ROUNDUP(33*15*0.3,0)</f>
        <v>149</v>
      </c>
      <c r="L26" s="18">
        <f>ROUNDUP(33*15*0.3,0)</f>
        <v>149</v>
      </c>
      <c r="M26" s="18">
        <f>SUM(I26:L26)</f>
        <v>1635</v>
      </c>
      <c r="N26" s="18">
        <f>IF(OR(H26="",H26="sif",H26="PM"),0,VLOOKUP(H26,[5]CU!$C$4:$H$255,6,FALSE))</f>
        <v>0.4</v>
      </c>
      <c r="O26" s="18">
        <f t="shared" si="6"/>
        <v>475.20000000000005</v>
      </c>
      <c r="P26" s="18">
        <f t="shared" si="6"/>
        <v>59.6</v>
      </c>
      <c r="Q26" s="18">
        <f t="shared" si="6"/>
        <v>59.6</v>
      </c>
      <c r="R26" s="18">
        <f t="shared" si="6"/>
        <v>59.6</v>
      </c>
      <c r="S26" s="18">
        <f t="shared" si="5"/>
        <v>654.00000000000011</v>
      </c>
      <c r="T26" s="23" t="s">
        <v>56</v>
      </c>
      <c r="U26" s="18" t="s">
        <v>40</v>
      </c>
      <c r="V26" s="18" t="str">
        <f>IF(OR($H26="",$H26="sif",$H26="PM"),"",VLOOKUP($H26,[5]CU!$C$5:$J$255,8,FALSE))</f>
        <v>3. Dépenses de fonctionnement</v>
      </c>
      <c r="W26" s="18" t="s">
        <v>41</v>
      </c>
      <c r="X26" s="18" t="s">
        <v>41</v>
      </c>
      <c r="Y26" s="19" t="s">
        <v>32</v>
      </c>
      <c r="Z26" s="18" t="str">
        <f>A26 &amp; "-" &amp; VLOOKUP(A26,[4]PROGRAMMES!$E$1:$F$7,2,FALSE)</f>
        <v>1-Accès et équité à l'enseignement général</v>
      </c>
      <c r="AA26" s="19" t="str">
        <f>B26 &amp; "-" &amp; VLOOKUP(B26,[4]SOUSPROGRAMMES!$E$1:$F$44,2,FALSE)</f>
        <v>11- Accès équitable au préscolaire</v>
      </c>
      <c r="AB26" s="19" t="str">
        <f>C26 &amp; "-" &amp; VLOOKUP(C26,[4]RESULTATS!$E$1:$F$176,2,FALSE)</f>
        <v>112- La demande de préscolarisation est stimulée</v>
      </c>
      <c r="AC26" s="20" t="str">
        <f>D26 &amp; "-" &amp; VLOOKUP(D26,[4]STRATEGIES!$E$1:$F$504,2,FALSE)</f>
        <v>1121-Sensibilisation des communautés sur l'importance de la préscolarisation des enfants et la nouvelle organisation du préscolaire</v>
      </c>
      <c r="AD26" s="21" t="str">
        <f t="shared" si="0"/>
        <v>11213-Diffusions des messages dans les médias sur la préscolarisation des enfants</v>
      </c>
    </row>
    <row r="27" spans="1:30" s="22" customFormat="1" ht="30" hidden="1" customHeight="1" x14ac:dyDescent="0.8">
      <c r="A27" s="14">
        <v>1</v>
      </c>
      <c r="B27" s="15">
        <v>11</v>
      </c>
      <c r="C27" s="15">
        <v>112</v>
      </c>
      <c r="D27" s="15">
        <v>1121</v>
      </c>
      <c r="E27" s="15">
        <v>11214</v>
      </c>
      <c r="F27" s="16" t="s">
        <v>74</v>
      </c>
      <c r="G27" s="21" t="s">
        <v>75</v>
      </c>
      <c r="H27" s="17" t="s">
        <v>76</v>
      </c>
      <c r="I27" s="18">
        <v>8</v>
      </c>
      <c r="J27" s="18">
        <v>7</v>
      </c>
      <c r="K27" s="18">
        <v>1</v>
      </c>
      <c r="L27" s="18">
        <v>1</v>
      </c>
      <c r="M27" s="18">
        <f>SUM(I27:L27)</f>
        <v>17</v>
      </c>
      <c r="N27" s="18">
        <f>IF(OR(H27="",H27="sif",H27="PM"),0,VLOOKUP(H27,[5]CU!$C$4:$H$255,6,FALSE))</f>
        <v>45.936799999999998</v>
      </c>
      <c r="O27" s="18">
        <f t="shared" si="6"/>
        <v>367.49439999999998</v>
      </c>
      <c r="P27" s="18">
        <f t="shared" si="6"/>
        <v>321.55759999999998</v>
      </c>
      <c r="Q27" s="18">
        <f t="shared" si="6"/>
        <v>45.936799999999998</v>
      </c>
      <c r="R27" s="18">
        <f t="shared" si="6"/>
        <v>45.936799999999998</v>
      </c>
      <c r="S27" s="18">
        <f>SUM(O27:R27)</f>
        <v>780.9255999999998</v>
      </c>
      <c r="T27" s="23" t="s">
        <v>67</v>
      </c>
      <c r="U27" s="18" t="s">
        <v>40</v>
      </c>
      <c r="V27" s="18" t="str">
        <f>IF(OR($H27="",$H27="sif",$H27="PM"),"",VLOOKUP($H27,[5]CU!$C$5:$J$255,8,FALSE))</f>
        <v>3. Dépenses de fonctionnement</v>
      </c>
      <c r="W27" s="18" t="s">
        <v>41</v>
      </c>
      <c r="X27" s="18" t="s">
        <v>77</v>
      </c>
      <c r="Y27" s="19" t="s">
        <v>32</v>
      </c>
      <c r="Z27" s="18" t="str">
        <f>A27 &amp; "-" &amp; VLOOKUP(A27,[4]PROGRAMMES!$E$1:$F$7,2,FALSE)</f>
        <v>1-Accès et équité à l'enseignement général</v>
      </c>
      <c r="AA27" s="19" t="str">
        <f>B27 &amp; "-" &amp; VLOOKUP(B27,[4]SOUSPROGRAMMES!$E$1:$F$44,2,FALSE)</f>
        <v>11- Accès équitable au préscolaire</v>
      </c>
      <c r="AB27" s="19" t="str">
        <f>C27 &amp; "-" &amp; VLOOKUP(C27,[4]RESULTATS!$E$1:$F$176,2,FALSE)</f>
        <v>112- La demande de préscolarisation est stimulée</v>
      </c>
      <c r="AC27" s="20" t="str">
        <f>D27 &amp; "-" &amp; VLOOKUP(D27,[4]STRATEGIES!$E$1:$F$504,2,FALSE)</f>
        <v>1121-Sensibilisation des communautés sur l'importance de la préscolarisation des enfants et la nouvelle organisation du préscolaire</v>
      </c>
      <c r="AD27" s="21" t="str">
        <f t="shared" si="0"/>
        <v xml:space="preserve">11214-Sensibilisation des communautés sur la préscolarisation des enfants à l'intérieur du pays </v>
      </c>
    </row>
    <row r="28" spans="1:30" s="22" customFormat="1" ht="30" hidden="1" customHeight="1" x14ac:dyDescent="0.8">
      <c r="A28" s="14">
        <v>1</v>
      </c>
      <c r="B28" s="15">
        <v>11</v>
      </c>
      <c r="C28" s="15">
        <v>112</v>
      </c>
      <c r="D28" s="15">
        <v>1121</v>
      </c>
      <c r="E28" s="15">
        <v>11214</v>
      </c>
      <c r="F28" s="16" t="s">
        <v>74</v>
      </c>
      <c r="G28" s="21" t="s">
        <v>75</v>
      </c>
      <c r="H28" s="17" t="s">
        <v>76</v>
      </c>
      <c r="I28" s="18">
        <v>0</v>
      </c>
      <c r="J28" s="18">
        <v>1</v>
      </c>
      <c r="K28" s="18">
        <v>1</v>
      </c>
      <c r="L28" s="18">
        <v>1</v>
      </c>
      <c r="M28" s="18">
        <f t="shared" si="1"/>
        <v>3</v>
      </c>
      <c r="N28" s="18">
        <f>IF(OR(H28="",H28="sif",H28="PM"),0,VLOOKUP(H28,[5]CU!$C$4:$H$255,6,FALSE))</f>
        <v>45.936799999999998</v>
      </c>
      <c r="O28" s="18">
        <f t="shared" si="6"/>
        <v>0</v>
      </c>
      <c r="P28" s="18">
        <f t="shared" si="6"/>
        <v>45.936799999999998</v>
      </c>
      <c r="Q28" s="18">
        <f t="shared" si="6"/>
        <v>45.936799999999998</v>
      </c>
      <c r="R28" s="18">
        <f t="shared" si="6"/>
        <v>45.936799999999998</v>
      </c>
      <c r="S28" s="18">
        <f t="shared" si="5"/>
        <v>137.81039999999999</v>
      </c>
      <c r="T28" s="23" t="s">
        <v>56</v>
      </c>
      <c r="U28" s="18" t="s">
        <v>40</v>
      </c>
      <c r="V28" s="18" t="str">
        <f>IF(OR($H28="",$H28="sif",$H28="PM"),"",VLOOKUP($H28,[5]CU!$C$5:$J$255,8,FALSE))</f>
        <v>3. Dépenses de fonctionnement</v>
      </c>
      <c r="W28" s="18" t="s">
        <v>41</v>
      </c>
      <c r="X28" s="18" t="s">
        <v>77</v>
      </c>
      <c r="Y28" s="19" t="s">
        <v>32</v>
      </c>
      <c r="Z28" s="18" t="str">
        <f>A28 &amp; "-" &amp; VLOOKUP(A28,[4]PROGRAMMES!$E$1:$F$7,2,FALSE)</f>
        <v>1-Accès et équité à l'enseignement général</v>
      </c>
      <c r="AA28" s="19" t="str">
        <f>B28 &amp; "-" &amp; VLOOKUP(B28,[4]SOUSPROGRAMMES!$E$1:$F$44,2,FALSE)</f>
        <v>11- Accès équitable au préscolaire</v>
      </c>
      <c r="AB28" s="19" t="str">
        <f>C28 &amp; "-" &amp; VLOOKUP(C28,[4]RESULTATS!$E$1:$F$176,2,FALSE)</f>
        <v>112- La demande de préscolarisation est stimulée</v>
      </c>
      <c r="AC28" s="20" t="str">
        <f>D28 &amp; "-" &amp; VLOOKUP(D28,[4]STRATEGIES!$E$1:$F$504,2,FALSE)</f>
        <v>1121-Sensibilisation des communautés sur l'importance de la préscolarisation des enfants et la nouvelle organisation du préscolaire</v>
      </c>
      <c r="AD28" s="21" t="str">
        <f t="shared" si="0"/>
        <v xml:space="preserve">11214-Sensibilisation des communautés sur la préscolarisation des enfants à l'intérieur du pays </v>
      </c>
    </row>
    <row r="29" spans="1:30" s="22" customFormat="1" ht="30" hidden="1" customHeight="1" x14ac:dyDescent="0.8">
      <c r="A29" s="14">
        <v>1</v>
      </c>
      <c r="B29" s="15">
        <v>11</v>
      </c>
      <c r="C29" s="15">
        <v>112</v>
      </c>
      <c r="D29" s="15">
        <v>1122</v>
      </c>
      <c r="E29" s="15">
        <v>1122</v>
      </c>
      <c r="F29" s="16" t="s">
        <v>78</v>
      </c>
      <c r="G29" s="17"/>
      <c r="H29" s="17"/>
      <c r="I29" s="18"/>
      <c r="J29" s="18"/>
      <c r="K29" s="18"/>
      <c r="L29" s="18"/>
      <c r="M29" s="18"/>
      <c r="N29" s="18"/>
      <c r="O29" s="18"/>
      <c r="P29" s="18"/>
      <c r="Q29" s="18"/>
      <c r="R29" s="18"/>
      <c r="S29" s="18"/>
      <c r="T29" s="18"/>
      <c r="U29" s="18"/>
      <c r="V29" s="18"/>
      <c r="W29" s="18"/>
      <c r="X29" s="18"/>
      <c r="Y29" s="19" t="s">
        <v>32</v>
      </c>
      <c r="Z29" s="18" t="str">
        <f>A29 &amp; "-" &amp; VLOOKUP(A29,[4]PROGRAMMES!$E$1:$F$7,2,FALSE)</f>
        <v>1-Accès et équité à l'enseignement général</v>
      </c>
      <c r="AA29" s="19" t="str">
        <f>B29 &amp; "-" &amp; VLOOKUP(B29,[4]SOUSPROGRAMMES!$E$1:$F$44,2,FALSE)</f>
        <v>11- Accès équitable au préscolaire</v>
      </c>
      <c r="AB29" s="19" t="str">
        <f>C29 &amp; "-" &amp; VLOOKUP(C29,[4]RESULTATS!$E$1:$F$176,2,FALSE)</f>
        <v>112- La demande de préscolarisation est stimulée</v>
      </c>
      <c r="AC29" s="20" t="str">
        <f>D29 &amp; "-" &amp; VLOOKUP(D29,[4]STRATEGIES!$E$1:$F$504,2,FALSE)</f>
        <v>1122-Prise en charge des enfants du préscolaire par les cantines des écoles situées à proximité</v>
      </c>
      <c r="AD29" s="21" t="str">
        <f t="shared" si="0"/>
        <v>1122-Prise en charge des enfants du préscolaire par les cantines des écoles situées à proximité</v>
      </c>
    </row>
    <row r="30" spans="1:30" s="22" customFormat="1" ht="30" hidden="1" customHeight="1" x14ac:dyDescent="0.8">
      <c r="A30" s="14">
        <v>1</v>
      </c>
      <c r="B30" s="15">
        <v>11</v>
      </c>
      <c r="C30" s="15">
        <v>112</v>
      </c>
      <c r="D30" s="15">
        <v>1122</v>
      </c>
      <c r="E30" s="15">
        <v>11221</v>
      </c>
      <c r="F30" s="16" t="s">
        <v>79</v>
      </c>
      <c r="G30" s="21" t="s">
        <v>80</v>
      </c>
      <c r="H30" s="17" t="s">
        <v>55</v>
      </c>
      <c r="I30" s="18">
        <v>1</v>
      </c>
      <c r="J30" s="18"/>
      <c r="K30" s="18"/>
      <c r="L30" s="18"/>
      <c r="M30" s="18">
        <f t="shared" si="1"/>
        <v>1</v>
      </c>
      <c r="N30" s="18">
        <f>IF(OR(H30="",H30="sif",H30="PM"),0,VLOOKUP(H30,[5]CU!$C$4:$H$255,6,FALSE))</f>
        <v>0</v>
      </c>
      <c r="O30" s="18"/>
      <c r="P30" s="18"/>
      <c r="Q30" s="18"/>
      <c r="R30" s="18"/>
      <c r="S30" s="18"/>
      <c r="T30" s="23" t="s">
        <v>56</v>
      </c>
      <c r="U30" s="18" t="s">
        <v>40</v>
      </c>
      <c r="V30" s="18" t="str">
        <f>IF(OR($H30="",$H30="sif",$H30="PM"),"",VLOOKUP($H30,[5]CU!$C$5:$J$255,8,FALSE))</f>
        <v/>
      </c>
      <c r="W30" s="18" t="s">
        <v>41</v>
      </c>
      <c r="X30" s="18" t="s">
        <v>81</v>
      </c>
      <c r="Y30" s="19" t="s">
        <v>32</v>
      </c>
      <c r="Z30" s="18" t="str">
        <f>A30 &amp; "-" &amp; VLOOKUP(A30,[4]PROGRAMMES!$E$1:$F$7,2,FALSE)</f>
        <v>1-Accès et équité à l'enseignement général</v>
      </c>
      <c r="AA30" s="19" t="str">
        <f>B30 &amp; "-" &amp; VLOOKUP(B30,[4]SOUSPROGRAMMES!$E$1:$F$44,2,FALSE)</f>
        <v>11- Accès équitable au préscolaire</v>
      </c>
      <c r="AB30" s="19" t="str">
        <f>C30 &amp; "-" &amp; VLOOKUP(C30,[4]RESULTATS!$E$1:$F$176,2,FALSE)</f>
        <v>112- La demande de préscolarisation est stimulée</v>
      </c>
      <c r="AC30" s="20" t="str">
        <f>D30 &amp; "-" &amp; VLOOKUP(D30,[4]STRATEGIES!$E$1:$F$504,2,FALSE)</f>
        <v>1122-Prise en charge des enfants du préscolaire par les cantines des écoles situées à proximité</v>
      </c>
      <c r="AD30" s="21" t="str">
        <f t="shared" si="0"/>
        <v>11221-Identification des CEC situés à proximité des écoles à cantines</v>
      </c>
    </row>
    <row r="31" spans="1:30" s="22" customFormat="1" ht="45" hidden="1" customHeight="1" x14ac:dyDescent="0.8">
      <c r="A31" s="14">
        <v>1</v>
      </c>
      <c r="B31" s="15">
        <v>11</v>
      </c>
      <c r="C31" s="15">
        <v>112</v>
      </c>
      <c r="D31" s="15">
        <v>1122</v>
      </c>
      <c r="E31" s="15">
        <v>11222</v>
      </c>
      <c r="F31" s="16" t="s">
        <v>82</v>
      </c>
      <c r="G31" s="21" t="s">
        <v>83</v>
      </c>
      <c r="H31" s="17" t="s">
        <v>84</v>
      </c>
      <c r="I31" s="18"/>
      <c r="J31" s="18"/>
      <c r="K31" s="18">
        <v>6000</v>
      </c>
      <c r="L31" s="18">
        <v>18000</v>
      </c>
      <c r="M31" s="18">
        <f t="shared" si="1"/>
        <v>24000</v>
      </c>
      <c r="N31" s="18">
        <f>IF(OR(H31="",H31="sif",H31="PM"),0,VLOOKUP(H31,[5]CU!$C$4:$H$255,6,FALSE))</f>
        <v>0.25</v>
      </c>
      <c r="O31" s="18">
        <f t="shared" ref="O31:R32" si="7">$N31*I31</f>
        <v>0</v>
      </c>
      <c r="P31" s="18">
        <f t="shared" si="7"/>
        <v>0</v>
      </c>
      <c r="Q31" s="18">
        <f t="shared" si="7"/>
        <v>1500</v>
      </c>
      <c r="R31" s="18">
        <f t="shared" si="7"/>
        <v>4500</v>
      </c>
      <c r="S31" s="18">
        <f>SUM(O31:R31)</f>
        <v>6000</v>
      </c>
      <c r="T31" s="23" t="s">
        <v>39</v>
      </c>
      <c r="U31" s="19" t="s">
        <v>40</v>
      </c>
      <c r="V31" s="19" t="str">
        <f>IF(OR($H31="",$H31="sif",$H31="PM"),"",VLOOKUP($H31,[5]CU!$C$5:$J$255,8,FALSE))</f>
        <v>4. Transferts et subventions</v>
      </c>
      <c r="W31" s="19" t="s">
        <v>41</v>
      </c>
      <c r="X31" s="19" t="s">
        <v>81</v>
      </c>
      <c r="Y31" s="19" t="s">
        <v>32</v>
      </c>
      <c r="Z31" s="18" t="str">
        <f>A31 &amp; "-" &amp; VLOOKUP(A31,[4]PROGRAMMES!$E$1:$F$7,2,FALSE)</f>
        <v>1-Accès et équité à l'enseignement général</v>
      </c>
      <c r="AA31" s="19" t="str">
        <f>B31 &amp; "-" &amp; VLOOKUP(B31,[4]SOUSPROGRAMMES!$E$1:$F$44,2,FALSE)</f>
        <v>11- Accès équitable au préscolaire</v>
      </c>
      <c r="AB31" s="19" t="str">
        <f>C31 &amp; "-" &amp; VLOOKUP(C31,[4]RESULTATS!$E$1:$F$176,2,FALSE)</f>
        <v>112- La demande de préscolarisation est stimulée</v>
      </c>
      <c r="AC31" s="20" t="str">
        <f>D31 &amp; "-" &amp; VLOOKUP(D31,[4]STRATEGIES!$E$1:$F$504,2,FALSE)</f>
        <v>1122-Prise en charge des enfants du préscolaire par les cantines des écoles situées à proximité</v>
      </c>
      <c r="AD31" s="21" t="str">
        <f t="shared" si="0"/>
        <v>11222-Acquisition et distribution des vivres supplémentaires</v>
      </c>
    </row>
    <row r="32" spans="1:30" s="22" customFormat="1" ht="45" hidden="1" customHeight="1" x14ac:dyDescent="0.8">
      <c r="A32" s="14">
        <v>1</v>
      </c>
      <c r="B32" s="15">
        <v>11</v>
      </c>
      <c r="C32" s="15">
        <v>112</v>
      </c>
      <c r="D32" s="15">
        <v>1122</v>
      </c>
      <c r="E32" s="15">
        <v>11223</v>
      </c>
      <c r="F32" s="16" t="s">
        <v>85</v>
      </c>
      <c r="G32" s="21" t="s">
        <v>58</v>
      </c>
      <c r="H32" s="17" t="s">
        <v>59</v>
      </c>
      <c r="I32" s="18">
        <f>7*3*10</f>
        <v>210</v>
      </c>
      <c r="J32" s="18">
        <f>10*3*10</f>
        <v>300</v>
      </c>
      <c r="K32" s="18">
        <f>15*3*10</f>
        <v>450</v>
      </c>
      <c r="L32" s="18">
        <f>20*3*10</f>
        <v>600</v>
      </c>
      <c r="M32" s="18">
        <f t="shared" si="1"/>
        <v>1560</v>
      </c>
      <c r="N32" s="18">
        <f>IF(OR(H32="",H32="sif",H32="PM"),0,VLOOKUP(H32,[5]CU!$C$4:$H$255,6,FALSE))</f>
        <v>0.8177777777777776</v>
      </c>
      <c r="O32" s="18">
        <f t="shared" si="7"/>
        <v>171.73333333333329</v>
      </c>
      <c r="P32" s="18">
        <f t="shared" si="7"/>
        <v>245.33333333333329</v>
      </c>
      <c r="Q32" s="18">
        <f t="shared" si="7"/>
        <v>367.99999999999994</v>
      </c>
      <c r="R32" s="18">
        <f t="shared" si="7"/>
        <v>490.66666666666657</v>
      </c>
      <c r="S32" s="18">
        <f>SUM(O32:R32)</f>
        <v>1275.7333333333331</v>
      </c>
      <c r="T32" s="23" t="s">
        <v>39</v>
      </c>
      <c r="U32" s="19" t="s">
        <v>40</v>
      </c>
      <c r="V32" s="19" t="str">
        <f>IF(OR($H32="",$H32="sif",$H32="PM"),"",VLOOKUP($H32,[5]CU!$C$5:$J$255,8,FALSE))</f>
        <v>3. Dépenses de fonctionnement</v>
      </c>
      <c r="W32" s="19" t="s">
        <v>41</v>
      </c>
      <c r="X32" s="19" t="s">
        <v>81</v>
      </c>
      <c r="Y32" s="19" t="s">
        <v>32</v>
      </c>
      <c r="Z32" s="18" t="str">
        <f>A32 &amp; "-" &amp; VLOOKUP(A32,[4]PROGRAMMES!$E$1:$F$7,2,FALSE)</f>
        <v>1-Accès et équité à l'enseignement général</v>
      </c>
      <c r="AA32" s="19" t="str">
        <f>B32 &amp; "-" &amp; VLOOKUP(B32,[4]SOUSPROGRAMMES!$E$1:$F$44,2,FALSE)</f>
        <v>11- Accès équitable au préscolaire</v>
      </c>
      <c r="AB32" s="19" t="str">
        <f>C32 &amp; "-" &amp; VLOOKUP(C32,[4]RESULTATS!$E$1:$F$176,2,FALSE)</f>
        <v>112- La demande de préscolarisation est stimulée</v>
      </c>
      <c r="AC32" s="20" t="str">
        <f>D32 &amp; "-" &amp; VLOOKUP(D32,[4]STRATEGIES!$E$1:$F$504,2,FALSE)</f>
        <v>1122-Prise en charge des enfants du préscolaire par les cantines des écoles situées à proximité</v>
      </c>
      <c r="AD32" s="21" t="str">
        <f t="shared" si="0"/>
        <v>11223-Suivi de la gestion des cantines scolaires</v>
      </c>
    </row>
    <row r="33" spans="1:30" s="22" customFormat="1" ht="30" hidden="1" customHeight="1" x14ac:dyDescent="0.8">
      <c r="A33" s="14">
        <v>1</v>
      </c>
      <c r="B33" s="15">
        <v>11</v>
      </c>
      <c r="C33" s="15">
        <v>112</v>
      </c>
      <c r="D33" s="15">
        <v>1123</v>
      </c>
      <c r="E33" s="15">
        <v>1123</v>
      </c>
      <c r="F33" s="16" t="s">
        <v>86</v>
      </c>
      <c r="G33" s="17"/>
      <c r="H33" s="17"/>
      <c r="I33" s="18"/>
      <c r="J33" s="18"/>
      <c r="K33" s="18"/>
      <c r="L33" s="18"/>
      <c r="M33" s="18"/>
      <c r="N33" s="18"/>
      <c r="O33" s="18"/>
      <c r="P33" s="18"/>
      <c r="Q33" s="18"/>
      <c r="R33" s="18"/>
      <c r="S33" s="18"/>
      <c r="T33" s="18"/>
      <c r="U33" s="18"/>
      <c r="V33" s="18"/>
      <c r="W33" s="18"/>
      <c r="X33" s="18"/>
      <c r="Y33" s="19" t="s">
        <v>32</v>
      </c>
      <c r="Z33" s="18" t="str">
        <f>A33 &amp; "-" &amp; VLOOKUP(A33,[4]PROGRAMMES!$E$1:$F$7,2,FALSE)</f>
        <v>1-Accès et équité à l'enseignement général</v>
      </c>
      <c r="AA33" s="19" t="str">
        <f>B33 &amp; "-" &amp; VLOOKUP(B33,[4]SOUSPROGRAMMES!$E$1:$F$44,2,FALSE)</f>
        <v>11- Accès équitable au préscolaire</v>
      </c>
      <c r="AB33" s="19" t="str">
        <f>C33 &amp; "-" &amp; VLOOKUP(C33,[4]RESULTATS!$E$1:$F$176,2,FALSE)</f>
        <v>112- La demande de préscolarisation est stimulée</v>
      </c>
      <c r="AC33" s="20" t="str">
        <f>D33 &amp; "-" &amp; VLOOKUP(D33,[4]STRATEGIES!$E$1:$F$504,2,FALSE)</f>
        <v>1123-Création de cantines au niveau des CEC éloignés des écoles primaires à cantine</v>
      </c>
      <c r="AD33" s="21" t="str">
        <f t="shared" si="0"/>
        <v>1123-Création de cantines au niveau des CEC éloignés des écoles primaires à cantine</v>
      </c>
    </row>
    <row r="34" spans="1:30" s="22" customFormat="1" ht="30" hidden="1" customHeight="1" x14ac:dyDescent="0.8">
      <c r="A34" s="14">
        <v>1</v>
      </c>
      <c r="B34" s="15">
        <v>11</v>
      </c>
      <c r="C34" s="15">
        <v>112</v>
      </c>
      <c r="D34" s="15">
        <v>1123</v>
      </c>
      <c r="E34" s="15">
        <v>11231</v>
      </c>
      <c r="F34" s="16" t="s">
        <v>87</v>
      </c>
      <c r="G34" s="21" t="s">
        <v>88</v>
      </c>
      <c r="H34" s="17" t="s">
        <v>55</v>
      </c>
      <c r="I34" s="18">
        <v>1</v>
      </c>
      <c r="J34" s="18"/>
      <c r="K34" s="18">
        <v>2</v>
      </c>
      <c r="L34" s="18"/>
      <c r="M34" s="18">
        <f t="shared" si="1"/>
        <v>3</v>
      </c>
      <c r="N34" s="18">
        <f>IF(OR(H34="",H34="sif",H34="PM"),0,VLOOKUP(H34,[5]CU!$C$4:$H$255,6,FALSE))</f>
        <v>0</v>
      </c>
      <c r="O34" s="18"/>
      <c r="P34" s="18"/>
      <c r="Q34" s="18"/>
      <c r="R34" s="18"/>
      <c r="S34" s="18"/>
      <c r="T34" s="23" t="s">
        <v>56</v>
      </c>
      <c r="U34" s="18" t="s">
        <v>40</v>
      </c>
      <c r="V34" s="18" t="str">
        <f>IF(OR($H34="",$H34="sif",$H34="PM"),"",VLOOKUP($H34,[5]CU!$C$5:$J$255,8,FALSE))</f>
        <v/>
      </c>
      <c r="W34" s="18" t="s">
        <v>41</v>
      </c>
      <c r="X34" s="18" t="s">
        <v>81</v>
      </c>
      <c r="Y34" s="19" t="s">
        <v>32</v>
      </c>
      <c r="Z34" s="18" t="str">
        <f>A34 &amp; "-" &amp; VLOOKUP(A34,[4]PROGRAMMES!$E$1:$F$7,2,FALSE)</f>
        <v>1-Accès et équité à l'enseignement général</v>
      </c>
      <c r="AA34" s="19" t="str">
        <f>B34 &amp; "-" &amp; VLOOKUP(B34,[4]SOUSPROGRAMMES!$E$1:$F$44,2,FALSE)</f>
        <v>11- Accès équitable au préscolaire</v>
      </c>
      <c r="AB34" s="19" t="str">
        <f>C34 &amp; "-" &amp; VLOOKUP(C34,[4]RESULTATS!$E$1:$F$176,2,FALSE)</f>
        <v>112- La demande de préscolarisation est stimulée</v>
      </c>
      <c r="AC34" s="20" t="str">
        <f>D34 &amp; "-" &amp; VLOOKUP(D34,[4]STRATEGIES!$E$1:$F$504,2,FALSE)</f>
        <v>1123-Création de cantines au niveau des CEC éloignés des écoles primaires à cantine</v>
      </c>
      <c r="AD34" s="21" t="str">
        <f t="shared" si="0"/>
        <v>11231-Identification des CEC éloignés des écoles primaires à cantine</v>
      </c>
    </row>
    <row r="35" spans="1:30" s="22" customFormat="1" ht="30" hidden="1" customHeight="1" x14ac:dyDescent="0.8">
      <c r="A35" s="14">
        <v>1</v>
      </c>
      <c r="B35" s="15">
        <v>11</v>
      </c>
      <c r="C35" s="15">
        <v>112</v>
      </c>
      <c r="D35" s="15">
        <v>1123</v>
      </c>
      <c r="E35" s="15">
        <v>11232</v>
      </c>
      <c r="F35" s="16" t="s">
        <v>89</v>
      </c>
      <c r="G35" s="21" t="s">
        <v>58</v>
      </c>
      <c r="H35" s="17" t="s">
        <v>59</v>
      </c>
      <c r="I35" s="18"/>
      <c r="J35" s="18">
        <v>1</v>
      </c>
      <c r="K35" s="18"/>
      <c r="L35" s="18"/>
      <c r="M35" s="18">
        <f t="shared" si="1"/>
        <v>1</v>
      </c>
      <c r="N35" s="18">
        <f>IF(OR(H35="",H35="sif",H35="PM"),0,VLOOKUP(H35,[5]CU!$C$4:$H$255,6,FALSE))</f>
        <v>0.8177777777777776</v>
      </c>
      <c r="O35" s="18">
        <f t="shared" ref="O35:R37" si="8">$N35*I35</f>
        <v>0</v>
      </c>
      <c r="P35" s="18">
        <f t="shared" si="8"/>
        <v>0.8177777777777776</v>
      </c>
      <c r="Q35" s="18">
        <f t="shared" si="8"/>
        <v>0</v>
      </c>
      <c r="R35" s="18">
        <f t="shared" si="8"/>
        <v>0</v>
      </c>
      <c r="S35" s="18">
        <f>SUM(O35:R35)</f>
        <v>0.8177777777777776</v>
      </c>
      <c r="T35" s="23" t="s">
        <v>56</v>
      </c>
      <c r="U35" s="18" t="s">
        <v>40</v>
      </c>
      <c r="V35" s="18" t="str">
        <f>IF(OR($H35="",$H35="sif",$H35="PM"),"",VLOOKUP($H35,[5]CU!$C$5:$J$255,8,FALSE))</f>
        <v>3. Dépenses de fonctionnement</v>
      </c>
      <c r="W35" s="18" t="s">
        <v>41</v>
      </c>
      <c r="X35" s="18" t="s">
        <v>81</v>
      </c>
      <c r="Y35" s="19" t="s">
        <v>32</v>
      </c>
      <c r="Z35" s="18" t="str">
        <f>A35 &amp; "-" &amp; VLOOKUP(A35,[4]PROGRAMMES!$E$1:$F$7,2,FALSE)</f>
        <v>1-Accès et équité à l'enseignement général</v>
      </c>
      <c r="AA35" s="19" t="str">
        <f>B35 &amp; "-" &amp; VLOOKUP(B35,[4]SOUSPROGRAMMES!$E$1:$F$44,2,FALSE)</f>
        <v>11- Accès équitable au préscolaire</v>
      </c>
      <c r="AB35" s="19" t="str">
        <f>C35 &amp; "-" &amp; VLOOKUP(C35,[4]RESULTATS!$E$1:$F$176,2,FALSE)</f>
        <v>112- La demande de préscolarisation est stimulée</v>
      </c>
      <c r="AC35" s="20" t="str">
        <f>D35 &amp; "-" &amp; VLOOKUP(D35,[4]STRATEGIES!$E$1:$F$504,2,FALSE)</f>
        <v>1123-Création de cantines au niveau des CEC éloignés des écoles primaires à cantine</v>
      </c>
      <c r="AD35" s="21" t="str">
        <f t="shared" si="0"/>
        <v xml:space="preserve">11232-Implantation des nouvelles cantines dans les CEC en concertation avec les communautés </v>
      </c>
    </row>
    <row r="36" spans="1:30" s="22" customFormat="1" ht="30" hidden="1" customHeight="1" x14ac:dyDescent="0.8">
      <c r="A36" s="14">
        <v>1</v>
      </c>
      <c r="B36" s="15">
        <v>11</v>
      </c>
      <c r="C36" s="15">
        <v>112</v>
      </c>
      <c r="D36" s="15">
        <v>1123</v>
      </c>
      <c r="E36" s="15">
        <v>11233</v>
      </c>
      <c r="F36" s="16" t="s">
        <v>90</v>
      </c>
      <c r="G36" s="21" t="s">
        <v>83</v>
      </c>
      <c r="H36" s="17" t="s">
        <v>84</v>
      </c>
      <c r="I36" s="18"/>
      <c r="J36" s="18">
        <v>2897</v>
      </c>
      <c r="K36" s="18">
        <v>3488</v>
      </c>
      <c r="L36" s="18">
        <v>4134</v>
      </c>
      <c r="M36" s="18">
        <f>SUM(I36:L36)</f>
        <v>10519</v>
      </c>
      <c r="N36" s="18">
        <f>IF(OR(H36="",H36="sif",H36="PM"),0,VLOOKUP(H36,[5]CU!$C$4:$H$255,6,FALSE))</f>
        <v>0.25</v>
      </c>
      <c r="O36" s="18">
        <f>$N36*I36</f>
        <v>0</v>
      </c>
      <c r="P36" s="18">
        <f>$N36*J36</f>
        <v>724.25</v>
      </c>
      <c r="Q36" s="18">
        <f>$N36*K36</f>
        <v>872</v>
      </c>
      <c r="R36" s="18">
        <f>$N36*L36</f>
        <v>1033.5</v>
      </c>
      <c r="S36" s="18">
        <f>SUM(O36:R36)</f>
        <v>2629.75</v>
      </c>
      <c r="T36" s="23" t="s">
        <v>60</v>
      </c>
      <c r="U36" s="18" t="s">
        <v>40</v>
      </c>
      <c r="V36" s="18" t="str">
        <f>IF(OR($H36="",$H36="sif",$H36="PM"),"",VLOOKUP($H36,[5]CU!$C$5:$J$255,8,FALSE))</f>
        <v>4. Transferts et subventions</v>
      </c>
      <c r="W36" s="18" t="s">
        <v>41</v>
      </c>
      <c r="X36" s="18" t="s">
        <v>81</v>
      </c>
      <c r="Y36" s="19" t="s">
        <v>32</v>
      </c>
      <c r="Z36" s="18" t="str">
        <f>A36 &amp; "-" &amp; VLOOKUP(A36,[4]PROGRAMMES!$E$1:$F$7,2,FALSE)</f>
        <v>1-Accès et équité à l'enseignement général</v>
      </c>
      <c r="AA36" s="19" t="str">
        <f>B36 &amp; "-" &amp; VLOOKUP(B36,[4]SOUSPROGRAMMES!$E$1:$F$44,2,FALSE)</f>
        <v>11- Accès équitable au préscolaire</v>
      </c>
      <c r="AB36" s="19" t="str">
        <f>C36 &amp; "-" &amp; VLOOKUP(C36,[4]RESULTATS!$E$1:$F$176,2,FALSE)</f>
        <v>112- La demande de préscolarisation est stimulée</v>
      </c>
      <c r="AC36" s="20" t="str">
        <f>D36 &amp; "-" &amp; VLOOKUP(D36,[4]STRATEGIES!$E$1:$F$504,2,FALSE)</f>
        <v>1123-Création de cantines au niveau des CEC éloignés des écoles primaires à cantine</v>
      </c>
      <c r="AD36" s="21" t="str">
        <f t="shared" si="0"/>
        <v>11233-Acquisition et distribution des vivres aux CEC à cantine</v>
      </c>
    </row>
    <row r="37" spans="1:30" s="22" customFormat="1" ht="30" hidden="1" customHeight="1" x14ac:dyDescent="0.8">
      <c r="A37" s="14">
        <v>1</v>
      </c>
      <c r="B37" s="15">
        <v>11</v>
      </c>
      <c r="C37" s="15">
        <v>112</v>
      </c>
      <c r="D37" s="15">
        <v>1123</v>
      </c>
      <c r="E37" s="15">
        <v>11233</v>
      </c>
      <c r="F37" s="16" t="s">
        <v>90</v>
      </c>
      <c r="G37" s="21" t="s">
        <v>83</v>
      </c>
      <c r="H37" s="17" t="s">
        <v>84</v>
      </c>
      <c r="I37" s="18"/>
      <c r="J37" s="18">
        <v>2896</v>
      </c>
      <c r="K37" s="18">
        <v>3488</v>
      </c>
      <c r="L37" s="18">
        <v>4134</v>
      </c>
      <c r="M37" s="18">
        <f t="shared" si="1"/>
        <v>10518</v>
      </c>
      <c r="N37" s="18">
        <f>IF(OR(H37="",H37="sif",H37="PM"),0,VLOOKUP(H37,[5]CU!$C$4:$H$255,6,FALSE))</f>
        <v>0.25</v>
      </c>
      <c r="O37" s="18">
        <f t="shared" si="8"/>
        <v>0</v>
      </c>
      <c r="P37" s="18">
        <f t="shared" si="8"/>
        <v>724</v>
      </c>
      <c r="Q37" s="18">
        <f t="shared" si="8"/>
        <v>872</v>
      </c>
      <c r="R37" s="18">
        <f t="shared" si="8"/>
        <v>1033.5</v>
      </c>
      <c r="S37" s="18">
        <f>SUM(O37:R37)</f>
        <v>2629.5</v>
      </c>
      <c r="T37" s="23" t="s">
        <v>56</v>
      </c>
      <c r="U37" s="18" t="s">
        <v>40</v>
      </c>
      <c r="V37" s="18" t="str">
        <f>IF(OR($H37="",$H37="sif",$H37="PM"),"",VLOOKUP($H37,[5]CU!$C$5:$J$255,8,FALSE))</f>
        <v>4. Transferts et subventions</v>
      </c>
      <c r="W37" s="18" t="s">
        <v>41</v>
      </c>
      <c r="X37" s="18" t="s">
        <v>81</v>
      </c>
      <c r="Y37" s="19" t="s">
        <v>32</v>
      </c>
      <c r="Z37" s="18" t="str">
        <f>A37 &amp; "-" &amp; VLOOKUP(A37,[4]PROGRAMMES!$E$1:$F$7,2,FALSE)</f>
        <v>1-Accès et équité à l'enseignement général</v>
      </c>
      <c r="AA37" s="19" t="str">
        <f>B37 &amp; "-" &amp; VLOOKUP(B37,[4]SOUSPROGRAMMES!$E$1:$F$44,2,FALSE)</f>
        <v>11- Accès équitable au préscolaire</v>
      </c>
      <c r="AB37" s="19" t="str">
        <f>C37 &amp; "-" &amp; VLOOKUP(C37,[4]RESULTATS!$E$1:$F$176,2,FALSE)</f>
        <v>112- La demande de préscolarisation est stimulée</v>
      </c>
      <c r="AC37" s="20" t="str">
        <f>D37 &amp; "-" &amp; VLOOKUP(D37,[4]STRATEGIES!$E$1:$F$504,2,FALSE)</f>
        <v>1123-Création de cantines au niveau des CEC éloignés des écoles primaires à cantine</v>
      </c>
      <c r="AD37" s="21" t="str">
        <f t="shared" si="0"/>
        <v>11233-Acquisition et distribution des vivres aux CEC à cantine</v>
      </c>
    </row>
    <row r="38" spans="1:30" s="22" customFormat="1" ht="30" hidden="1" customHeight="1" x14ac:dyDescent="0.8">
      <c r="A38" s="14">
        <v>1</v>
      </c>
      <c r="B38" s="15">
        <v>11</v>
      </c>
      <c r="C38" s="15">
        <v>112</v>
      </c>
      <c r="D38" s="15">
        <v>1123</v>
      </c>
      <c r="E38" s="15">
        <v>11234</v>
      </c>
      <c r="F38" s="16" t="s">
        <v>91</v>
      </c>
      <c r="G38" s="21" t="s">
        <v>92</v>
      </c>
      <c r="H38" s="17" t="s">
        <v>55</v>
      </c>
      <c r="I38" s="18"/>
      <c r="J38" s="18"/>
      <c r="K38" s="18">
        <v>1</v>
      </c>
      <c r="L38" s="18">
        <v>1</v>
      </c>
      <c r="M38" s="18">
        <f t="shared" si="1"/>
        <v>2</v>
      </c>
      <c r="N38" s="18">
        <f>IF(OR(H38="",H38="sif",H38="PM"),0,VLOOKUP(H38,[5]CU!$C$4:$H$255,6,FALSE))</f>
        <v>0</v>
      </c>
      <c r="O38" s="18"/>
      <c r="P38" s="18"/>
      <c r="Q38" s="18"/>
      <c r="R38" s="18"/>
      <c r="S38" s="18"/>
      <c r="T38" s="23" t="s">
        <v>56</v>
      </c>
      <c r="U38" s="18" t="s">
        <v>40</v>
      </c>
      <c r="V38" s="18" t="str">
        <f>IF(OR($H38="",$H38="sif",$H38="PM"),"",VLOOKUP($H38,[5]CU!$C$5:$J$255,8,FALSE))</f>
        <v/>
      </c>
      <c r="W38" s="18" t="s">
        <v>41</v>
      </c>
      <c r="X38" s="18" t="s">
        <v>81</v>
      </c>
      <c r="Y38" s="19" t="s">
        <v>32</v>
      </c>
      <c r="Z38" s="18" t="str">
        <f>A38 &amp; "-" &amp; VLOOKUP(A38,[4]PROGRAMMES!$E$1:$F$7,2,FALSE)</f>
        <v>1-Accès et équité à l'enseignement général</v>
      </c>
      <c r="AA38" s="19" t="str">
        <f>B38 &amp; "-" &amp; VLOOKUP(B38,[4]SOUSPROGRAMMES!$E$1:$F$44,2,FALSE)</f>
        <v>11- Accès équitable au préscolaire</v>
      </c>
      <c r="AB38" s="19" t="str">
        <f>C38 &amp; "-" &amp; VLOOKUP(C38,[4]RESULTATS!$E$1:$F$176,2,FALSE)</f>
        <v>112- La demande de préscolarisation est stimulée</v>
      </c>
      <c r="AC38" s="20" t="str">
        <f>D38 &amp; "-" &amp; VLOOKUP(D38,[4]STRATEGIES!$E$1:$F$504,2,FALSE)</f>
        <v>1123-Création de cantines au niveau des CEC éloignés des écoles primaires à cantine</v>
      </c>
      <c r="AD38" s="21" t="str">
        <f t="shared" si="0"/>
        <v>11234-Suivi de la gestion des cantines préscolaires (pris en compte dans activité 11223)</v>
      </c>
    </row>
    <row r="39" spans="1:30" s="22" customFormat="1" ht="45" hidden="1" customHeight="1" x14ac:dyDescent="0.8">
      <c r="A39" s="14">
        <v>1</v>
      </c>
      <c r="B39" s="15">
        <v>11</v>
      </c>
      <c r="C39" s="15">
        <v>113</v>
      </c>
      <c r="D39" s="15">
        <v>113</v>
      </c>
      <c r="E39" s="15">
        <v>113</v>
      </c>
      <c r="F39" s="16" t="s">
        <v>93</v>
      </c>
      <c r="G39" s="17"/>
      <c r="H39" s="17"/>
      <c r="I39" s="18"/>
      <c r="J39" s="18"/>
      <c r="K39" s="18"/>
      <c r="L39" s="18"/>
      <c r="M39" s="18"/>
      <c r="N39" s="18"/>
      <c r="O39" s="18"/>
      <c r="P39" s="18"/>
      <c r="Q39" s="18"/>
      <c r="R39" s="18"/>
      <c r="S39" s="18"/>
      <c r="T39" s="18"/>
      <c r="U39" s="18"/>
      <c r="V39" s="18"/>
      <c r="W39" s="18"/>
      <c r="X39" s="18"/>
      <c r="Y39" s="19" t="s">
        <v>32</v>
      </c>
      <c r="Z39" s="18" t="str">
        <f>A39 &amp; "-" &amp; VLOOKUP(A39,[4]PROGRAMMES!$E$1:$F$7,2,FALSE)</f>
        <v>1-Accès et équité à l'enseignement général</v>
      </c>
      <c r="AA39" s="19" t="str">
        <f>B39 &amp; "-" &amp; VLOOKUP(B39,[4]SOUSPROGRAMMES!$E$1:$F$44,2,FALSE)</f>
        <v>11- Accès équitable au préscolaire</v>
      </c>
      <c r="AB39" s="19" t="str">
        <f>C39 &amp; "-" &amp; VLOOKUP(C39,[4]RESULTATS!$E$1:$F$176,2,FALSE)</f>
        <v>113- Les capacités d’accueil au préscolaire public et communautaires augmentent en milieux rural et urbain</v>
      </c>
      <c r="AC39" s="20" t="str">
        <f>D39 &amp; "-" &amp; VLOOKUP(D39,[4]STRATEGIES!$E$1:$F$504,2,FALSE)</f>
        <v>113- Les capacités d’accueil au préscolaire public et communautaires augmentent en milieux rural et urbain</v>
      </c>
      <c r="AD39" s="21" t="str">
        <f t="shared" si="0"/>
        <v>113- Les capacités d’accueil au préscolaire public et communautaires augmentent en milieux rural et urbain</v>
      </c>
    </row>
    <row r="40" spans="1:30" s="22" customFormat="1" ht="45" hidden="1" customHeight="1" x14ac:dyDescent="0.8">
      <c r="A40" s="14">
        <v>1</v>
      </c>
      <c r="B40" s="15">
        <v>11</v>
      </c>
      <c r="C40" s="15">
        <v>113</v>
      </c>
      <c r="D40" s="15">
        <v>1131</v>
      </c>
      <c r="E40" s="15">
        <v>1131</v>
      </c>
      <c r="F40" s="16" t="s">
        <v>94</v>
      </c>
      <c r="G40" s="17"/>
      <c r="H40" s="17"/>
      <c r="I40" s="18"/>
      <c r="J40" s="18"/>
      <c r="K40" s="18"/>
      <c r="L40" s="18"/>
      <c r="M40" s="18"/>
      <c r="N40" s="18"/>
      <c r="O40" s="18"/>
      <c r="P40" s="18"/>
      <c r="Q40" s="18"/>
      <c r="R40" s="18"/>
      <c r="S40" s="18"/>
      <c r="T40" s="18"/>
      <c r="U40" s="18"/>
      <c r="V40" s="18"/>
      <c r="W40" s="18"/>
      <c r="X40" s="18"/>
      <c r="Y40" s="19" t="s">
        <v>32</v>
      </c>
      <c r="Z40" s="18" t="str">
        <f>A40 &amp; "-" &amp; VLOOKUP(A40,[4]PROGRAMMES!$E$1:$F$7,2,FALSE)</f>
        <v>1-Accès et équité à l'enseignement général</v>
      </c>
      <c r="AA40" s="19" t="str">
        <f>B40 &amp; "-" &amp; VLOOKUP(B40,[4]SOUSPROGRAMMES!$E$1:$F$44,2,FALSE)</f>
        <v>11- Accès équitable au préscolaire</v>
      </c>
      <c r="AB40" s="19" t="str">
        <f>C40 &amp; "-" &amp; VLOOKUP(C40,[4]RESULTATS!$E$1:$F$176,2,FALSE)</f>
        <v>113- Les capacités d’accueil au préscolaire public et communautaires augmentent en milieux rural et urbain</v>
      </c>
      <c r="AC40" s="20" t="str">
        <f>D40 &amp; "-" &amp; VLOOKUP(D40,[4]STRATEGIES!$E$1:$F$504,2,FALSE)</f>
        <v>1131-Construction d'établissements préscolaires publics en zone urbaine</v>
      </c>
      <c r="AD40" s="21" t="str">
        <f t="shared" si="0"/>
        <v>1131-Construction d'établissements préscolaires publics en zone urbaine</v>
      </c>
    </row>
    <row r="41" spans="1:30" s="22" customFormat="1" ht="45" hidden="1" customHeight="1" x14ac:dyDescent="0.8">
      <c r="A41" s="14">
        <v>1</v>
      </c>
      <c r="B41" s="15">
        <v>11</v>
      </c>
      <c r="C41" s="15">
        <v>113</v>
      </c>
      <c r="D41" s="15">
        <v>1131</v>
      </c>
      <c r="E41" s="15">
        <v>11311</v>
      </c>
      <c r="F41" s="16" t="s">
        <v>95</v>
      </c>
      <c r="G41" s="21" t="s">
        <v>88</v>
      </c>
      <c r="H41" s="17" t="s">
        <v>55</v>
      </c>
      <c r="I41" s="18">
        <v>1</v>
      </c>
      <c r="J41" s="18"/>
      <c r="K41" s="18"/>
      <c r="L41" s="18"/>
      <c r="M41" s="18">
        <f t="shared" si="1"/>
        <v>1</v>
      </c>
      <c r="N41" s="18">
        <f>IF(OR(H41="",H41="sif",H41="PM"),0,VLOOKUP(H41,[5]CU!$C$4:$H$255,6,FALSE))</f>
        <v>0</v>
      </c>
      <c r="O41" s="18"/>
      <c r="P41" s="18"/>
      <c r="Q41" s="18"/>
      <c r="R41" s="18"/>
      <c r="S41" s="18"/>
      <c r="T41" s="23" t="s">
        <v>56</v>
      </c>
      <c r="U41" s="18" t="s">
        <v>40</v>
      </c>
      <c r="V41" s="18" t="str">
        <f>IF(OR($H41="",$H41="sif",$H41="PM"),"",VLOOKUP($H41,[5]CU!$C$5:$J$255,8,FALSE))</f>
        <v/>
      </c>
      <c r="W41" s="18" t="s">
        <v>41</v>
      </c>
      <c r="X41" s="18" t="s">
        <v>96</v>
      </c>
      <c r="Y41" s="19" t="s">
        <v>32</v>
      </c>
      <c r="Z41" s="18" t="str">
        <f>A41 &amp; "-" &amp; VLOOKUP(A41,[4]PROGRAMMES!$E$1:$F$7,2,FALSE)</f>
        <v>1-Accès et équité à l'enseignement général</v>
      </c>
      <c r="AA41" s="19" t="str">
        <f>B41 &amp; "-" &amp; VLOOKUP(B41,[4]SOUSPROGRAMMES!$E$1:$F$44,2,FALSE)</f>
        <v>11- Accès équitable au préscolaire</v>
      </c>
      <c r="AB41" s="19" t="str">
        <f>C41 &amp; "-" &amp; VLOOKUP(C41,[4]RESULTATS!$E$1:$F$176,2,FALSE)</f>
        <v>113- Les capacités d’accueil au préscolaire public et communautaires augmentent en milieux rural et urbain</v>
      </c>
      <c r="AC41" s="20" t="str">
        <f>D41 &amp; "-" &amp; VLOOKUP(D41,[4]STRATEGIES!$E$1:$F$504,2,FALSE)</f>
        <v>1131-Construction d'établissements préscolaires publics en zone urbaine</v>
      </c>
      <c r="AD41" s="21" t="str">
        <f t="shared" si="0"/>
        <v>11311-Identification des sites de construction des établissements préscolaires publics</v>
      </c>
    </row>
    <row r="42" spans="1:30" s="22" customFormat="1" ht="45" hidden="1" customHeight="1" x14ac:dyDescent="0.8">
      <c r="A42" s="14">
        <v>1</v>
      </c>
      <c r="B42" s="15">
        <v>11</v>
      </c>
      <c r="C42" s="15">
        <v>113</v>
      </c>
      <c r="D42" s="15">
        <v>1131</v>
      </c>
      <c r="E42" s="15">
        <v>11312</v>
      </c>
      <c r="F42" s="16" t="s">
        <v>97</v>
      </c>
      <c r="G42" s="21" t="s">
        <v>58</v>
      </c>
      <c r="H42" s="17" t="s">
        <v>59</v>
      </c>
      <c r="I42" s="18"/>
      <c r="J42" s="18">
        <f>4*5*2</f>
        <v>40</v>
      </c>
      <c r="K42" s="18">
        <f>4*5*4</f>
        <v>80</v>
      </c>
      <c r="L42" s="18">
        <f>4*5*6</f>
        <v>120</v>
      </c>
      <c r="M42" s="18">
        <f t="shared" si="1"/>
        <v>240</v>
      </c>
      <c r="N42" s="18">
        <f>IF(OR(H42="",H42="sif",H42="PM"),0,VLOOKUP(H42,[5]CU!$C$4:$H$255,6,FALSE))</f>
        <v>0.8177777777777776</v>
      </c>
      <c r="O42" s="18">
        <f t="shared" ref="O42:R46" si="9">$N42*I42</f>
        <v>0</v>
      </c>
      <c r="P42" s="18">
        <f t="shared" si="9"/>
        <v>32.711111111111101</v>
      </c>
      <c r="Q42" s="18">
        <f t="shared" si="9"/>
        <v>65.422222222222203</v>
      </c>
      <c r="R42" s="18">
        <f t="shared" si="9"/>
        <v>98.133333333333312</v>
      </c>
      <c r="S42" s="18">
        <f>SUM(O42:R42)</f>
        <v>196.26666666666659</v>
      </c>
      <c r="T42" s="23" t="s">
        <v>56</v>
      </c>
      <c r="U42" s="18" t="s">
        <v>40</v>
      </c>
      <c r="V42" s="18" t="str">
        <f>IF(OR($H42="",$H42="sif",$H42="PM"),"",VLOOKUP($H42,[5]CU!$C$5:$J$255,8,FALSE))</f>
        <v>3. Dépenses de fonctionnement</v>
      </c>
      <c r="W42" s="18" t="s">
        <v>96</v>
      </c>
      <c r="X42" s="18" t="s">
        <v>98</v>
      </c>
      <c r="Y42" s="19" t="s">
        <v>32</v>
      </c>
      <c r="Z42" s="18" t="str">
        <f>A42 &amp; "-" &amp; VLOOKUP(A42,[4]PROGRAMMES!$E$1:$F$7,2,FALSE)</f>
        <v>1-Accès et équité à l'enseignement général</v>
      </c>
      <c r="AA42" s="19" t="str">
        <f>B42 &amp; "-" &amp; VLOOKUP(B42,[4]SOUSPROGRAMMES!$E$1:$F$44,2,FALSE)</f>
        <v>11- Accès équitable au préscolaire</v>
      </c>
      <c r="AB42" s="19" t="str">
        <f>C42 &amp; "-" &amp; VLOOKUP(C42,[4]RESULTATS!$E$1:$F$176,2,FALSE)</f>
        <v>113- Les capacités d’accueil au préscolaire public et communautaires augmentent en milieux rural et urbain</v>
      </c>
      <c r="AC42" s="20" t="str">
        <f>D42 &amp; "-" &amp; VLOOKUP(D42,[4]STRATEGIES!$E$1:$F$504,2,FALSE)</f>
        <v>1131-Construction d'établissements préscolaires publics en zone urbaine</v>
      </c>
      <c r="AD42" s="21" t="str">
        <f t="shared" si="0"/>
        <v>11312-Confirmation des sites de construction des établissements préscolaires publics</v>
      </c>
    </row>
    <row r="43" spans="1:30" s="22" customFormat="1" ht="45" hidden="1" customHeight="1" x14ac:dyDescent="0.8">
      <c r="A43" s="14">
        <v>1</v>
      </c>
      <c r="B43" s="15">
        <v>11</v>
      </c>
      <c r="C43" s="15">
        <v>113</v>
      </c>
      <c r="D43" s="15">
        <v>1131</v>
      </c>
      <c r="E43" s="15">
        <v>11313</v>
      </c>
      <c r="F43" s="16" t="s">
        <v>99</v>
      </c>
      <c r="G43" s="21" t="s">
        <v>100</v>
      </c>
      <c r="H43" s="17" t="s">
        <v>101</v>
      </c>
      <c r="I43" s="18"/>
      <c r="J43" s="18">
        <f>1*15</f>
        <v>15</v>
      </c>
      <c r="K43" s="18"/>
      <c r="L43" s="18"/>
      <c r="M43" s="18">
        <f t="shared" si="1"/>
        <v>15</v>
      </c>
      <c r="N43" s="18">
        <f>IF(OR(H43="",H43="sif",H43="PM"),0,VLOOKUP(H43,[5]CU!$C$4:$H$255,6,FALSE))</f>
        <v>2.651545</v>
      </c>
      <c r="O43" s="18">
        <f t="shared" si="9"/>
        <v>0</v>
      </c>
      <c r="P43" s="18">
        <f t="shared" si="9"/>
        <v>39.773175000000002</v>
      </c>
      <c r="Q43" s="18">
        <f t="shared" si="9"/>
        <v>0</v>
      </c>
      <c r="R43" s="18">
        <f t="shared" si="9"/>
        <v>0</v>
      </c>
      <c r="S43" s="18">
        <f>SUM(O43:R43)</f>
        <v>39.773175000000002</v>
      </c>
      <c r="T43" s="23" t="s">
        <v>39</v>
      </c>
      <c r="U43" s="19" t="s">
        <v>40</v>
      </c>
      <c r="V43" s="19" t="str">
        <f>IF(OR($H43="",$H43="sif",$H43="PM"),"",VLOOKUP($H43,[5]CU!$C$5:$J$255,8,FALSE))</f>
        <v>3. Dépenses de fonctionnement</v>
      </c>
      <c r="W43" s="19" t="s">
        <v>41</v>
      </c>
      <c r="X43" s="19" t="s">
        <v>98</v>
      </c>
      <c r="Y43" s="19" t="s">
        <v>32</v>
      </c>
      <c r="Z43" s="18" t="str">
        <f>A43 &amp; "-" &amp; VLOOKUP(A43,[4]PROGRAMMES!$E$1:$F$7,2,FALSE)</f>
        <v>1-Accès et équité à l'enseignement général</v>
      </c>
      <c r="AA43" s="19" t="str">
        <f>B43 &amp; "-" &amp; VLOOKUP(B43,[4]SOUSPROGRAMMES!$E$1:$F$44,2,FALSE)</f>
        <v>11- Accès équitable au préscolaire</v>
      </c>
      <c r="AB43" s="19" t="str">
        <f>C43 &amp; "-" &amp; VLOOKUP(C43,[4]RESULTATS!$E$1:$F$176,2,FALSE)</f>
        <v>113- Les capacités d’accueil au préscolaire public et communautaires augmentent en milieux rural et urbain</v>
      </c>
      <c r="AC43" s="20" t="str">
        <f>D43 &amp; "-" &amp; VLOOKUP(D43,[4]STRATEGIES!$E$1:$F$504,2,FALSE)</f>
        <v>1131-Construction d'établissements préscolaires publics en zone urbaine</v>
      </c>
      <c r="AD43" s="21" t="str">
        <f t="shared" si="0"/>
        <v>11313-Etude du plan-type d'établissement préscolaire préfectoral public</v>
      </c>
    </row>
    <row r="44" spans="1:30" s="22" customFormat="1" ht="45" hidden="1" customHeight="1" x14ac:dyDescent="0.8">
      <c r="A44" s="14">
        <v>1</v>
      </c>
      <c r="B44" s="15">
        <v>11</v>
      </c>
      <c r="C44" s="15">
        <v>113</v>
      </c>
      <c r="D44" s="15">
        <v>1131</v>
      </c>
      <c r="E44" s="15">
        <v>11314</v>
      </c>
      <c r="F44" s="16" t="s">
        <v>102</v>
      </c>
      <c r="G44" s="21" t="s">
        <v>103</v>
      </c>
      <c r="H44" s="17" t="s">
        <v>104</v>
      </c>
      <c r="I44" s="18"/>
      <c r="J44" s="18">
        <f>12*2</f>
        <v>24</v>
      </c>
      <c r="K44" s="18">
        <f>12*4</f>
        <v>48</v>
      </c>
      <c r="L44" s="18">
        <f>12*6</f>
        <v>72</v>
      </c>
      <c r="M44" s="18">
        <f t="shared" si="1"/>
        <v>144</v>
      </c>
      <c r="N44" s="18">
        <f>IF(OR(H44="",H44="sif",H44="PM"),0,VLOOKUP(H44,[5]CU!$C$4:$H$255,6,FALSE))</f>
        <v>168.65</v>
      </c>
      <c r="O44" s="18">
        <f t="shared" si="9"/>
        <v>0</v>
      </c>
      <c r="P44" s="18">
        <f t="shared" si="9"/>
        <v>4047.6000000000004</v>
      </c>
      <c r="Q44" s="18">
        <f t="shared" si="9"/>
        <v>8095.2000000000007</v>
      </c>
      <c r="R44" s="18">
        <f t="shared" si="9"/>
        <v>12142.800000000001</v>
      </c>
      <c r="S44" s="18">
        <f>SUM(O44:R44)</f>
        <v>24285.600000000002</v>
      </c>
      <c r="T44" s="23" t="s">
        <v>56</v>
      </c>
      <c r="U44" s="18" t="s">
        <v>40</v>
      </c>
      <c r="V44" s="18" t="str">
        <f>IF(OR($H44="",$H44="sif",$H44="PM"),"",VLOOKUP($H44,[5]CU!$C$5:$J$255,8,FALSE))</f>
        <v>5. Investissement</v>
      </c>
      <c r="W44" s="18" t="s">
        <v>41</v>
      </c>
      <c r="X44" s="18" t="s">
        <v>98</v>
      </c>
      <c r="Y44" s="19" t="s">
        <v>32</v>
      </c>
      <c r="Z44" s="18" t="str">
        <f>A44 &amp; "-" &amp; VLOOKUP(A44,[4]PROGRAMMES!$E$1:$F$7,2,FALSE)</f>
        <v>1-Accès et équité à l'enseignement général</v>
      </c>
      <c r="AA44" s="19" t="str">
        <f>B44 &amp; "-" &amp; VLOOKUP(B44,[4]SOUSPROGRAMMES!$E$1:$F$44,2,FALSE)</f>
        <v>11- Accès équitable au préscolaire</v>
      </c>
      <c r="AB44" s="19" t="str">
        <f>C44 &amp; "-" &amp; VLOOKUP(C44,[4]RESULTATS!$E$1:$F$176,2,FALSE)</f>
        <v>113- Les capacités d’accueil au préscolaire public et communautaires augmentent en milieux rural et urbain</v>
      </c>
      <c r="AC44" s="20" t="str">
        <f>D44 &amp; "-" &amp; VLOOKUP(D44,[4]STRATEGIES!$E$1:$F$504,2,FALSE)</f>
        <v>1131-Construction d'établissements préscolaires publics en zone urbaine</v>
      </c>
      <c r="AD44" s="21" t="str">
        <f t="shared" si="0"/>
        <v>11314-Exécution des travaux de construction des établissements préscolaires publics</v>
      </c>
    </row>
    <row r="45" spans="1:30" s="22" customFormat="1" ht="45" hidden="1" customHeight="1" x14ac:dyDescent="0.8">
      <c r="A45" s="14">
        <v>1</v>
      </c>
      <c r="B45" s="15">
        <v>11</v>
      </c>
      <c r="C45" s="15">
        <v>113</v>
      </c>
      <c r="D45" s="15">
        <v>1131</v>
      </c>
      <c r="E45" s="15">
        <v>11315</v>
      </c>
      <c r="F45" s="16" t="s">
        <v>105</v>
      </c>
      <c r="G45" s="21" t="s">
        <v>106</v>
      </c>
      <c r="H45" s="17" t="s">
        <v>107</v>
      </c>
      <c r="I45" s="18"/>
      <c r="J45" s="18"/>
      <c r="K45" s="18">
        <f>J44</f>
        <v>24</v>
      </c>
      <c r="L45" s="18">
        <f>K44</f>
        <v>48</v>
      </c>
      <c r="M45" s="18">
        <f t="shared" si="1"/>
        <v>72</v>
      </c>
      <c r="N45" s="18">
        <f>IF(OR(H45="",H45="sif",H45="PM"),0,VLOOKUP(H45,[5]CU!$C$4:$H$255,6,FALSE))</f>
        <v>31.675000000000001</v>
      </c>
      <c r="O45" s="18">
        <f t="shared" si="9"/>
        <v>0</v>
      </c>
      <c r="P45" s="18">
        <f t="shared" si="9"/>
        <v>0</v>
      </c>
      <c r="Q45" s="18">
        <f t="shared" si="9"/>
        <v>760.2</v>
      </c>
      <c r="R45" s="18">
        <f t="shared" si="9"/>
        <v>1520.4</v>
      </c>
      <c r="S45" s="18">
        <f>SUM(O45:R45)</f>
        <v>2280.6000000000004</v>
      </c>
      <c r="T45" s="23" t="s">
        <v>56</v>
      </c>
      <c r="U45" s="18" t="s">
        <v>40</v>
      </c>
      <c r="V45" s="18" t="str">
        <f>IF(OR($H45="",$H45="sif",$H45="PM"),"",VLOOKUP($H45,[5]CU!$C$5:$J$255,8,FALSE))</f>
        <v>5. Investissement</v>
      </c>
      <c r="W45" s="18" t="s">
        <v>41</v>
      </c>
      <c r="X45" s="18" t="s">
        <v>98</v>
      </c>
      <c r="Y45" s="19" t="s">
        <v>32</v>
      </c>
      <c r="Z45" s="18" t="str">
        <f>A45 &amp; "-" &amp; VLOOKUP(A45,[4]PROGRAMMES!$E$1:$F$7,2,FALSE)</f>
        <v>1-Accès et équité à l'enseignement général</v>
      </c>
      <c r="AA45" s="19" t="str">
        <f>B45 &amp; "-" &amp; VLOOKUP(B45,[4]SOUSPROGRAMMES!$E$1:$F$44,2,FALSE)</f>
        <v>11- Accès équitable au préscolaire</v>
      </c>
      <c r="AB45" s="19" t="str">
        <f>C45 &amp; "-" &amp; VLOOKUP(C45,[4]RESULTATS!$E$1:$F$176,2,FALSE)</f>
        <v>113- Les capacités d’accueil au préscolaire public et communautaires augmentent en milieux rural et urbain</v>
      </c>
      <c r="AC45" s="20" t="str">
        <f>D45 &amp; "-" &amp; VLOOKUP(D45,[4]STRATEGIES!$E$1:$F$504,2,FALSE)</f>
        <v>1131-Construction d'établissements préscolaires publics en zone urbaine</v>
      </c>
      <c r="AD45" s="21" t="str">
        <f t="shared" si="0"/>
        <v>11315-Equipement des établissements préscolaires public en mobiliers et matériels ludiques</v>
      </c>
    </row>
    <row r="46" spans="1:30" s="22" customFormat="1" ht="45" hidden="1" customHeight="1" x14ac:dyDescent="0.8">
      <c r="A46" s="14">
        <v>1</v>
      </c>
      <c r="B46" s="15">
        <v>11</v>
      </c>
      <c r="C46" s="15">
        <v>113</v>
      </c>
      <c r="D46" s="15">
        <v>1131</v>
      </c>
      <c r="E46" s="15">
        <v>11316</v>
      </c>
      <c r="F46" s="16" t="s">
        <v>108</v>
      </c>
      <c r="G46" s="21" t="s">
        <v>109</v>
      </c>
      <c r="H46" s="17" t="s">
        <v>110</v>
      </c>
      <c r="I46" s="18"/>
      <c r="J46" s="18">
        <f>J44</f>
        <v>24</v>
      </c>
      <c r="K46" s="18">
        <f>K44</f>
        <v>48</v>
      </c>
      <c r="L46" s="18">
        <f>L44</f>
        <v>72</v>
      </c>
      <c r="M46" s="18">
        <f t="shared" si="1"/>
        <v>144</v>
      </c>
      <c r="N46" s="18">
        <f>IF(OR(H46="",H46="sif",H46="PM"),0,VLOOKUP(H46,[5]CU!$C$4:$H$255,6,FALSE))</f>
        <v>7.1760000000000002</v>
      </c>
      <c r="O46" s="18">
        <f t="shared" si="9"/>
        <v>0</v>
      </c>
      <c r="P46" s="18">
        <f t="shared" si="9"/>
        <v>172.22399999999999</v>
      </c>
      <c r="Q46" s="18">
        <f t="shared" si="9"/>
        <v>344.44799999999998</v>
      </c>
      <c r="R46" s="18">
        <f t="shared" si="9"/>
        <v>516.67200000000003</v>
      </c>
      <c r="S46" s="18">
        <f>SUM(O46:R46)</f>
        <v>1033.3440000000001</v>
      </c>
      <c r="T46" s="23" t="s">
        <v>56</v>
      </c>
      <c r="U46" s="18" t="s">
        <v>40</v>
      </c>
      <c r="V46" s="18" t="str">
        <f>IF(OR($H46="",$H46="sif",$H46="PM"),"",VLOOKUP($H46,[5]CU!$C$5:$J$255,8,FALSE))</f>
        <v>3. Dépenses de fonctionnement</v>
      </c>
      <c r="W46" s="18" t="s">
        <v>98</v>
      </c>
      <c r="X46" s="18" t="s">
        <v>98</v>
      </c>
      <c r="Y46" s="19" t="s">
        <v>32</v>
      </c>
      <c r="Z46" s="18" t="str">
        <f>A46 &amp; "-" &amp; VLOOKUP(A46,[4]PROGRAMMES!$E$1:$F$7,2,FALSE)</f>
        <v>1-Accès et équité à l'enseignement général</v>
      </c>
      <c r="AA46" s="19" t="str">
        <f>B46 &amp; "-" &amp; VLOOKUP(B46,[4]SOUSPROGRAMMES!$E$1:$F$44,2,FALSE)</f>
        <v>11- Accès équitable au préscolaire</v>
      </c>
      <c r="AB46" s="19" t="str">
        <f>C46 &amp; "-" &amp; VLOOKUP(C46,[4]RESULTATS!$E$1:$F$176,2,FALSE)</f>
        <v>113- Les capacités d’accueil au préscolaire public et communautaires augmentent en milieux rural et urbain</v>
      </c>
      <c r="AC46" s="20" t="str">
        <f>D46 &amp; "-" &amp; VLOOKUP(D46,[4]STRATEGIES!$E$1:$F$504,2,FALSE)</f>
        <v>1131-Construction d'établissements préscolaires publics en zone urbaine</v>
      </c>
      <c r="AD46" s="21" t="str">
        <f t="shared" si="0"/>
        <v>11316-Supervision des travaux de construction des établissements préscolaires publics</v>
      </c>
    </row>
    <row r="47" spans="1:30" s="22" customFormat="1" ht="45" hidden="1" customHeight="1" x14ac:dyDescent="0.8">
      <c r="A47" s="14">
        <v>1</v>
      </c>
      <c r="B47" s="15">
        <v>11</v>
      </c>
      <c r="C47" s="15">
        <v>113</v>
      </c>
      <c r="D47" s="15">
        <v>1132</v>
      </c>
      <c r="E47" s="15">
        <v>1132</v>
      </c>
      <c r="F47" s="16" t="s">
        <v>111</v>
      </c>
      <c r="G47" s="17"/>
      <c r="H47" s="17"/>
      <c r="I47" s="18"/>
      <c r="J47" s="18"/>
      <c r="K47" s="18"/>
      <c r="L47" s="18"/>
      <c r="M47" s="18"/>
      <c r="N47" s="18"/>
      <c r="O47" s="18"/>
      <c r="P47" s="18"/>
      <c r="Q47" s="18"/>
      <c r="R47" s="18"/>
      <c r="S47" s="18"/>
      <c r="T47" s="18"/>
      <c r="U47" s="18"/>
      <c r="V47" s="18"/>
      <c r="W47" s="18"/>
      <c r="X47" s="18"/>
      <c r="Y47" s="19" t="s">
        <v>32</v>
      </c>
      <c r="Z47" s="18" t="str">
        <f>A47 &amp; "-" &amp; VLOOKUP(A47,[4]PROGRAMMES!$E$1:$F$7,2,FALSE)</f>
        <v>1-Accès et équité à l'enseignement général</v>
      </c>
      <c r="AA47" s="19" t="str">
        <f>B47 &amp; "-" &amp; VLOOKUP(B47,[4]SOUSPROGRAMMES!$E$1:$F$44,2,FALSE)</f>
        <v>11- Accès équitable au préscolaire</v>
      </c>
      <c r="AB47" s="19" t="str">
        <f>C47 &amp; "-" &amp; VLOOKUP(C47,[4]RESULTATS!$E$1:$F$176,2,FALSE)</f>
        <v>113- Les capacités d’accueil au préscolaire public et communautaires augmentent en milieux rural et urbain</v>
      </c>
      <c r="AC47" s="20" t="str">
        <f>D47 &amp; "-" &amp; VLOOKUP(D47,[4]STRATEGIES!$E$1:$F$504,2,FALSE)</f>
        <v>1132-Construction de salles d’activités de préprimaire à coté des écoles primaires publiques à cantine en zone rurale</v>
      </c>
      <c r="AD47" s="21" t="str">
        <f t="shared" si="0"/>
        <v>1132-Construction de salles d’activités de préprimaire à coté des écoles primaires publiques à cantine en zone rurale</v>
      </c>
    </row>
    <row r="48" spans="1:30" s="22" customFormat="1" ht="45" hidden="1" customHeight="1" x14ac:dyDescent="0.8">
      <c r="A48" s="14">
        <v>1</v>
      </c>
      <c r="B48" s="15">
        <v>11</v>
      </c>
      <c r="C48" s="15">
        <v>113</v>
      </c>
      <c r="D48" s="15">
        <v>1132</v>
      </c>
      <c r="E48" s="15">
        <v>11321</v>
      </c>
      <c r="F48" s="16" t="s">
        <v>112</v>
      </c>
      <c r="G48" s="21" t="s">
        <v>88</v>
      </c>
      <c r="H48" s="17" t="s">
        <v>55</v>
      </c>
      <c r="I48" s="18">
        <v>1</v>
      </c>
      <c r="J48" s="18"/>
      <c r="K48" s="18"/>
      <c r="L48" s="18"/>
      <c r="M48" s="18">
        <f t="shared" si="1"/>
        <v>1</v>
      </c>
      <c r="N48" s="18">
        <f>IF(OR(H48="",H48="sif",H48="PM"),0,VLOOKUP(H48,[5]CU!$C$4:$H$255,6,FALSE))</f>
        <v>0</v>
      </c>
      <c r="O48" s="18"/>
      <c r="P48" s="18"/>
      <c r="Q48" s="18"/>
      <c r="R48" s="18"/>
      <c r="S48" s="18"/>
      <c r="T48" s="23" t="s">
        <v>56</v>
      </c>
      <c r="U48" s="18" t="s">
        <v>40</v>
      </c>
      <c r="V48" s="18" t="str">
        <f>IF(OR($H48="",$H48="sif",$H48="PM"),"",VLOOKUP($H48,[5]CU!$C$5:$J$255,8,FALSE))</f>
        <v/>
      </c>
      <c r="W48" s="18" t="s">
        <v>41</v>
      </c>
      <c r="X48" s="18" t="s">
        <v>96</v>
      </c>
      <c r="Y48" s="19" t="s">
        <v>32</v>
      </c>
      <c r="Z48" s="18" t="str">
        <f>A48 &amp; "-" &amp; VLOOKUP(A48,[4]PROGRAMMES!$E$1:$F$7,2,FALSE)</f>
        <v>1-Accès et équité à l'enseignement général</v>
      </c>
      <c r="AA48" s="19" t="str">
        <f>B48 &amp; "-" &amp; VLOOKUP(B48,[4]SOUSPROGRAMMES!$E$1:$F$44,2,FALSE)</f>
        <v>11- Accès équitable au préscolaire</v>
      </c>
      <c r="AB48" s="19" t="str">
        <f>C48 &amp; "-" &amp; VLOOKUP(C48,[4]RESULTATS!$E$1:$F$176,2,FALSE)</f>
        <v>113- Les capacités d’accueil au préscolaire public et communautaires augmentent en milieux rural et urbain</v>
      </c>
      <c r="AC48" s="20" t="str">
        <f>D48 &amp; "-" &amp; VLOOKUP(D48,[4]STRATEGIES!$E$1:$F$504,2,FALSE)</f>
        <v>1132-Construction de salles d’activités de préprimaire à coté des écoles primaires publiques à cantine en zone rurale</v>
      </c>
      <c r="AD48" s="21" t="str">
        <f t="shared" si="0"/>
        <v xml:space="preserve">11321-Identification des sites de construction des salles d’activités de pré primaire </v>
      </c>
    </row>
    <row r="49" spans="1:30" s="22" customFormat="1" ht="45" hidden="1" customHeight="1" x14ac:dyDescent="0.8">
      <c r="A49" s="14">
        <v>1</v>
      </c>
      <c r="B49" s="15">
        <v>11</v>
      </c>
      <c r="C49" s="15">
        <v>113</v>
      </c>
      <c r="D49" s="15">
        <v>1132</v>
      </c>
      <c r="E49" s="15">
        <v>11322</v>
      </c>
      <c r="F49" s="16" t="s">
        <v>113</v>
      </c>
      <c r="G49" s="21" t="s">
        <v>58</v>
      </c>
      <c r="H49" s="17" t="s">
        <v>59</v>
      </c>
      <c r="I49" s="18"/>
      <c r="J49" s="18">
        <f>4*5*4</f>
        <v>80</v>
      </c>
      <c r="K49" s="18">
        <f>4*7*4</f>
        <v>112</v>
      </c>
      <c r="L49" s="18">
        <f>4*10*4</f>
        <v>160</v>
      </c>
      <c r="M49" s="18">
        <f t="shared" si="1"/>
        <v>352</v>
      </c>
      <c r="N49" s="18">
        <f>IF(OR(H49="",H49="sif",H49="PM"),0,VLOOKUP(H49,[5]CU!$C$4:$H$255,6,FALSE))</f>
        <v>0.8177777777777776</v>
      </c>
      <c r="O49" s="18">
        <f t="shared" ref="O49:R53" si="10">$N49*I49</f>
        <v>0</v>
      </c>
      <c r="P49" s="18">
        <f t="shared" si="10"/>
        <v>65.422222222222203</v>
      </c>
      <c r="Q49" s="18">
        <f t="shared" si="10"/>
        <v>91.59111111111109</v>
      </c>
      <c r="R49" s="18">
        <f t="shared" si="10"/>
        <v>130.84444444444441</v>
      </c>
      <c r="S49" s="18">
        <f>SUM(O49:R49)</f>
        <v>287.8577777777777</v>
      </c>
      <c r="T49" s="23" t="s">
        <v>39</v>
      </c>
      <c r="U49" s="19" t="s">
        <v>40</v>
      </c>
      <c r="V49" s="19" t="str">
        <f>IF(OR($H49="",$H49="sif",$H49="PM"),"",VLOOKUP($H49,[5]CU!$C$5:$J$255,8,FALSE))</f>
        <v>3. Dépenses de fonctionnement</v>
      </c>
      <c r="W49" s="19" t="s">
        <v>96</v>
      </c>
      <c r="X49" s="19" t="s">
        <v>98</v>
      </c>
      <c r="Y49" s="19" t="s">
        <v>32</v>
      </c>
      <c r="Z49" s="18" t="str">
        <f>A49 &amp; "-" &amp; VLOOKUP(A49,[4]PROGRAMMES!$E$1:$F$7,2,FALSE)</f>
        <v>1-Accès et équité à l'enseignement général</v>
      </c>
      <c r="AA49" s="19" t="str">
        <f>B49 &amp; "-" &amp; VLOOKUP(B49,[4]SOUSPROGRAMMES!$E$1:$F$44,2,FALSE)</f>
        <v>11- Accès équitable au préscolaire</v>
      </c>
      <c r="AB49" s="19" t="str">
        <f>C49 &amp; "-" &amp; VLOOKUP(C49,[4]RESULTATS!$E$1:$F$176,2,FALSE)</f>
        <v>113- Les capacités d’accueil au préscolaire public et communautaires augmentent en milieux rural et urbain</v>
      </c>
      <c r="AC49" s="20" t="str">
        <f>D49 &amp; "-" &amp; VLOOKUP(D49,[4]STRATEGIES!$E$1:$F$504,2,FALSE)</f>
        <v>1132-Construction de salles d’activités de préprimaire à coté des écoles primaires publiques à cantine en zone rurale</v>
      </c>
      <c r="AD49" s="21" t="str">
        <f t="shared" si="0"/>
        <v xml:space="preserve">11322-Confirmation des sites de construction des salles d’activités de pré primaire </v>
      </c>
    </row>
    <row r="50" spans="1:30" s="22" customFormat="1" ht="45" hidden="1" customHeight="1" x14ac:dyDescent="0.8">
      <c r="A50" s="14">
        <v>1</v>
      </c>
      <c r="B50" s="15">
        <v>11</v>
      </c>
      <c r="C50" s="15">
        <v>113</v>
      </c>
      <c r="D50" s="15">
        <v>1132</v>
      </c>
      <c r="E50" s="15">
        <v>11323</v>
      </c>
      <c r="F50" s="16" t="s">
        <v>114</v>
      </c>
      <c r="G50" s="21" t="s">
        <v>115</v>
      </c>
      <c r="H50" s="17" t="s">
        <v>104</v>
      </c>
      <c r="I50" s="18"/>
      <c r="J50" s="18">
        <v>200</v>
      </c>
      <c r="K50" s="18">
        <v>300</v>
      </c>
      <c r="L50" s="18">
        <v>300</v>
      </c>
      <c r="M50" s="18">
        <f t="shared" si="1"/>
        <v>800</v>
      </c>
      <c r="N50" s="18">
        <f>IF(OR(H50="",H50="sif",H50="PM"),0,VLOOKUP(H50,[5]CU!$C$4:$H$255,6,FALSE))</f>
        <v>168.65</v>
      </c>
      <c r="O50" s="18">
        <f t="shared" si="10"/>
        <v>0</v>
      </c>
      <c r="P50" s="18">
        <f t="shared" si="10"/>
        <v>33730</v>
      </c>
      <c r="Q50" s="18">
        <f t="shared" si="10"/>
        <v>50595</v>
      </c>
      <c r="R50" s="18">
        <f t="shared" si="10"/>
        <v>50595</v>
      </c>
      <c r="S50" s="18">
        <f>SUM(O50:R50)</f>
        <v>134920</v>
      </c>
      <c r="T50" s="23" t="s">
        <v>39</v>
      </c>
      <c r="U50" s="19" t="s">
        <v>40</v>
      </c>
      <c r="V50" s="19" t="str">
        <f>IF(OR($H50="",$H50="sif",$H50="PM"),"",VLOOKUP($H50,[5]CU!$C$5:$J$255,8,FALSE))</f>
        <v>5. Investissement</v>
      </c>
      <c r="W50" s="19" t="s">
        <v>41</v>
      </c>
      <c r="X50" s="19" t="s">
        <v>98</v>
      </c>
      <c r="Y50" s="19" t="s">
        <v>32</v>
      </c>
      <c r="Z50" s="18" t="str">
        <f>A50 &amp; "-" &amp; VLOOKUP(A50,[4]PROGRAMMES!$E$1:$F$7,2,FALSE)</f>
        <v>1-Accès et équité à l'enseignement général</v>
      </c>
      <c r="AA50" s="19" t="str">
        <f>B50 &amp; "-" &amp; VLOOKUP(B50,[4]SOUSPROGRAMMES!$E$1:$F$44,2,FALSE)</f>
        <v>11- Accès équitable au préscolaire</v>
      </c>
      <c r="AB50" s="19" t="str">
        <f>C50 &amp; "-" &amp; VLOOKUP(C50,[4]RESULTATS!$E$1:$F$176,2,FALSE)</f>
        <v>113- Les capacités d’accueil au préscolaire public et communautaires augmentent en milieux rural et urbain</v>
      </c>
      <c r="AC50" s="20" t="str">
        <f>D50 &amp; "-" &amp; VLOOKUP(D50,[4]STRATEGIES!$E$1:$F$504,2,FALSE)</f>
        <v>1132-Construction de salles d’activités de préprimaire à coté des écoles primaires publiques à cantine en zone rurale</v>
      </c>
      <c r="AD50" s="21" t="str">
        <f t="shared" si="0"/>
        <v>11323-Exécution des travaux de construction des salles d'activité de pré primaire</v>
      </c>
    </row>
    <row r="51" spans="1:30" s="22" customFormat="1" ht="45" hidden="1" customHeight="1" x14ac:dyDescent="0.8">
      <c r="A51" s="14">
        <v>1</v>
      </c>
      <c r="B51" s="15">
        <v>11</v>
      </c>
      <c r="C51" s="15">
        <v>113</v>
      </c>
      <c r="D51" s="15">
        <v>1132</v>
      </c>
      <c r="E51" s="15">
        <v>11324</v>
      </c>
      <c r="F51" s="16" t="s">
        <v>116</v>
      </c>
      <c r="G51" s="21" t="s">
        <v>117</v>
      </c>
      <c r="H51" s="17" t="s">
        <v>107</v>
      </c>
      <c r="I51" s="18"/>
      <c r="J51" s="18">
        <f>(J49)*50%</f>
        <v>40</v>
      </c>
      <c r="K51" s="18">
        <f>(K49)*50%</f>
        <v>56</v>
      </c>
      <c r="L51" s="18">
        <f>(L49)*50%</f>
        <v>80</v>
      </c>
      <c r="M51" s="18">
        <f>SUM(I51:L51)</f>
        <v>176</v>
      </c>
      <c r="N51" s="18">
        <f>IF(OR(H51="",H51="sif",H51="PM"),0,VLOOKUP(H51,[5]CU!$C$4:$H$255,6,FALSE))</f>
        <v>31.675000000000001</v>
      </c>
      <c r="O51" s="18">
        <f>$N51*I51</f>
        <v>0</v>
      </c>
      <c r="P51" s="18">
        <f>$N51*J51</f>
        <v>1267</v>
      </c>
      <c r="Q51" s="18">
        <f>$N51*K51</f>
        <v>1773.8</v>
      </c>
      <c r="R51" s="18">
        <f>$N51*L51</f>
        <v>2534</v>
      </c>
      <c r="S51" s="18">
        <f>SUM(O51:R51)</f>
        <v>5574.8</v>
      </c>
      <c r="T51" s="23" t="s">
        <v>39</v>
      </c>
      <c r="U51" s="19" t="s">
        <v>40</v>
      </c>
      <c r="V51" s="19" t="str">
        <f>IF(OR($H51="",$H51="sif",$H51="PM"),"",VLOOKUP($H51,[5]CU!$C$5:$J$255,8,FALSE))</f>
        <v>5. Investissement</v>
      </c>
      <c r="W51" s="19" t="s">
        <v>41</v>
      </c>
      <c r="X51" s="19" t="s">
        <v>98</v>
      </c>
      <c r="Y51" s="19" t="s">
        <v>32</v>
      </c>
      <c r="Z51" s="18" t="str">
        <f>A51 &amp; "-" &amp; VLOOKUP(A51,[4]PROGRAMMES!$E$1:$F$7,2,FALSE)</f>
        <v>1-Accès et équité à l'enseignement général</v>
      </c>
      <c r="AA51" s="19" t="str">
        <f>B51 &amp; "-" &amp; VLOOKUP(B51,[4]SOUSPROGRAMMES!$E$1:$F$44,2,FALSE)</f>
        <v>11- Accès équitable au préscolaire</v>
      </c>
      <c r="AB51" s="19" t="str">
        <f>C51 &amp; "-" &amp; VLOOKUP(C51,[4]RESULTATS!$E$1:$F$176,2,FALSE)</f>
        <v>113- Les capacités d’accueil au préscolaire public et communautaires augmentent en milieux rural et urbain</v>
      </c>
      <c r="AC51" s="20" t="str">
        <f>D51 &amp; "-" &amp; VLOOKUP(D51,[4]STRATEGIES!$E$1:$F$504,2,FALSE)</f>
        <v>1132-Construction de salles d’activités de préprimaire à coté des écoles primaires publiques à cantine en zone rurale</v>
      </c>
      <c r="AD51" s="21" t="str">
        <f t="shared" si="0"/>
        <v>11324-Equipement des salles de pré primaire en mobiliers et matériels ludiques</v>
      </c>
    </row>
    <row r="52" spans="1:30" s="22" customFormat="1" ht="45" hidden="1" customHeight="1" x14ac:dyDescent="0.8">
      <c r="A52" s="14">
        <v>1</v>
      </c>
      <c r="B52" s="15">
        <v>11</v>
      </c>
      <c r="C52" s="15">
        <v>113</v>
      </c>
      <c r="D52" s="15">
        <v>1132</v>
      </c>
      <c r="E52" s="15">
        <v>11324</v>
      </c>
      <c r="F52" s="16" t="s">
        <v>116</v>
      </c>
      <c r="G52" s="21" t="s">
        <v>117</v>
      </c>
      <c r="H52" s="17" t="s">
        <v>107</v>
      </c>
      <c r="I52" s="18"/>
      <c r="J52" s="18">
        <f>(J49)*50%</f>
        <v>40</v>
      </c>
      <c r="K52" s="18">
        <f>(K49)*50%</f>
        <v>56</v>
      </c>
      <c r="L52" s="18">
        <f>(L49)*50%</f>
        <v>80</v>
      </c>
      <c r="M52" s="18">
        <f t="shared" si="1"/>
        <v>176</v>
      </c>
      <c r="N52" s="18">
        <f>IF(OR(H52="",H52="sif",H52="PM"),0,VLOOKUP(H52,[5]CU!$C$4:$H$255,6,FALSE))</f>
        <v>31.675000000000001</v>
      </c>
      <c r="O52" s="18">
        <f t="shared" si="10"/>
        <v>0</v>
      </c>
      <c r="P52" s="18">
        <f t="shared" si="10"/>
        <v>1267</v>
      </c>
      <c r="Q52" s="18">
        <f t="shared" si="10"/>
        <v>1773.8</v>
      </c>
      <c r="R52" s="18">
        <f t="shared" si="10"/>
        <v>2534</v>
      </c>
      <c r="S52" s="24">
        <f>SUM(O52:R52)</f>
        <v>5574.8</v>
      </c>
      <c r="T52" s="23" t="s">
        <v>118</v>
      </c>
      <c r="U52" s="19" t="s">
        <v>40</v>
      </c>
      <c r="V52" s="19" t="str">
        <f>IF(OR($H52="",$H52="sif",$H52="PM"),"",VLOOKUP($H52,[5]CU!$C$5:$J$255,8,FALSE))</f>
        <v>5. Investissement</v>
      </c>
      <c r="W52" s="19" t="s">
        <v>41</v>
      </c>
      <c r="X52" s="19" t="s">
        <v>98</v>
      </c>
      <c r="Y52" s="19" t="s">
        <v>32</v>
      </c>
      <c r="Z52" s="18" t="str">
        <f>A52 &amp; "-" &amp; VLOOKUP(A52,[4]PROGRAMMES!$E$1:$F$7,2,FALSE)</f>
        <v>1-Accès et équité à l'enseignement général</v>
      </c>
      <c r="AA52" s="19" t="str">
        <f>B52 &amp; "-" &amp; VLOOKUP(B52,[4]SOUSPROGRAMMES!$E$1:$F$44,2,FALSE)</f>
        <v>11- Accès équitable au préscolaire</v>
      </c>
      <c r="AB52" s="19" t="str">
        <f>C52 &amp; "-" &amp; VLOOKUP(C52,[4]RESULTATS!$E$1:$F$176,2,FALSE)</f>
        <v>113- Les capacités d’accueil au préscolaire public et communautaires augmentent en milieux rural et urbain</v>
      </c>
      <c r="AC52" s="20" t="str">
        <f>D52 &amp; "-" &amp; VLOOKUP(D52,[4]STRATEGIES!$E$1:$F$504,2,FALSE)</f>
        <v>1132-Construction de salles d’activités de préprimaire à coté des écoles primaires publiques à cantine en zone rurale</v>
      </c>
      <c r="AD52" s="21" t="str">
        <f t="shared" si="0"/>
        <v>11324-Equipement des salles de pré primaire en mobiliers et matériels ludiques</v>
      </c>
    </row>
    <row r="53" spans="1:30" s="22" customFormat="1" ht="45" hidden="1" customHeight="1" x14ac:dyDescent="0.8">
      <c r="A53" s="14">
        <v>1</v>
      </c>
      <c r="B53" s="15">
        <v>11</v>
      </c>
      <c r="C53" s="15">
        <v>113</v>
      </c>
      <c r="D53" s="15">
        <v>1132</v>
      </c>
      <c r="E53" s="15">
        <v>11325</v>
      </c>
      <c r="F53" s="16" t="s">
        <v>119</v>
      </c>
      <c r="G53" s="21" t="s">
        <v>109</v>
      </c>
      <c r="H53" s="17" t="s">
        <v>110</v>
      </c>
      <c r="I53" s="18"/>
      <c r="J53" s="18">
        <f>J50</f>
        <v>200</v>
      </c>
      <c r="K53" s="18">
        <f>K50</f>
        <v>300</v>
      </c>
      <c r="L53" s="18">
        <f>L50</f>
        <v>300</v>
      </c>
      <c r="M53" s="18">
        <f t="shared" si="1"/>
        <v>800</v>
      </c>
      <c r="N53" s="18">
        <f>IF(OR(H53="",H53="sif",H53="PM"),0,VLOOKUP(H53,[5]CU!$C$4:$H$255,6,FALSE))</f>
        <v>7.1760000000000002</v>
      </c>
      <c r="O53" s="18">
        <f t="shared" si="10"/>
        <v>0</v>
      </c>
      <c r="P53" s="18">
        <f t="shared" si="10"/>
        <v>1435.2</v>
      </c>
      <c r="Q53" s="18">
        <f t="shared" si="10"/>
        <v>2152.8000000000002</v>
      </c>
      <c r="R53" s="18">
        <f t="shared" si="10"/>
        <v>2152.8000000000002</v>
      </c>
      <c r="S53" s="18">
        <f>SUM(O53:R53)</f>
        <v>5740.8</v>
      </c>
      <c r="T53" s="23" t="s">
        <v>39</v>
      </c>
      <c r="U53" s="19" t="s">
        <v>40</v>
      </c>
      <c r="V53" s="19" t="str">
        <f>IF(OR($H53="",$H53="sif",$H53="PM"),"",VLOOKUP($H53,[5]CU!$C$5:$J$255,8,FALSE))</f>
        <v>3. Dépenses de fonctionnement</v>
      </c>
      <c r="W53" s="19" t="s">
        <v>98</v>
      </c>
      <c r="X53" s="19" t="s">
        <v>98</v>
      </c>
      <c r="Y53" s="19" t="s">
        <v>32</v>
      </c>
      <c r="Z53" s="18" t="str">
        <f>A53 &amp; "-" &amp; VLOOKUP(A53,[4]PROGRAMMES!$E$1:$F$7,2,FALSE)</f>
        <v>1-Accès et équité à l'enseignement général</v>
      </c>
      <c r="AA53" s="19" t="str">
        <f>B53 &amp; "-" &amp; VLOOKUP(B53,[4]SOUSPROGRAMMES!$E$1:$F$44,2,FALSE)</f>
        <v>11- Accès équitable au préscolaire</v>
      </c>
      <c r="AB53" s="19" t="str">
        <f>C53 &amp; "-" &amp; VLOOKUP(C53,[4]RESULTATS!$E$1:$F$176,2,FALSE)</f>
        <v>113- Les capacités d’accueil au préscolaire public et communautaires augmentent en milieux rural et urbain</v>
      </c>
      <c r="AC53" s="20" t="str">
        <f>D53 &amp; "-" &amp; VLOOKUP(D53,[4]STRATEGIES!$E$1:$F$504,2,FALSE)</f>
        <v>1132-Construction de salles d’activités de préprimaire à coté des écoles primaires publiques à cantine en zone rurale</v>
      </c>
      <c r="AD53" s="21" t="str">
        <f t="shared" si="0"/>
        <v>11325-Supervision des travaux de construction et d'équipement des salles d'activité de pré primaire</v>
      </c>
    </row>
    <row r="54" spans="1:30" s="22" customFormat="1" ht="45" hidden="1" customHeight="1" x14ac:dyDescent="0.8">
      <c r="A54" s="14">
        <v>1</v>
      </c>
      <c r="B54" s="15">
        <v>11</v>
      </c>
      <c r="C54" s="15">
        <v>113</v>
      </c>
      <c r="D54" s="15">
        <v>1133</v>
      </c>
      <c r="E54" s="15">
        <v>1133</v>
      </c>
      <c r="F54" s="16" t="s">
        <v>120</v>
      </c>
      <c r="G54" s="17"/>
      <c r="H54" s="17"/>
      <c r="I54" s="18"/>
      <c r="J54" s="18"/>
      <c r="K54" s="18"/>
      <c r="L54" s="18"/>
      <c r="M54" s="18"/>
      <c r="N54" s="18"/>
      <c r="O54" s="18"/>
      <c r="P54" s="18"/>
      <c r="Q54" s="18"/>
      <c r="R54" s="18"/>
      <c r="S54" s="18"/>
      <c r="T54" s="18"/>
      <c r="U54" s="18"/>
      <c r="V54" s="18"/>
      <c r="W54" s="18"/>
      <c r="X54" s="18"/>
      <c r="Y54" s="19" t="s">
        <v>32</v>
      </c>
      <c r="Z54" s="18" t="str">
        <f>A54 &amp; "-" &amp; VLOOKUP(A54,[4]PROGRAMMES!$E$1:$F$7,2,FALSE)</f>
        <v>1-Accès et équité à l'enseignement général</v>
      </c>
      <c r="AA54" s="19" t="str">
        <f>B54 &amp; "-" &amp; VLOOKUP(B54,[4]SOUSPROGRAMMES!$E$1:$F$44,2,FALSE)</f>
        <v>11- Accès équitable au préscolaire</v>
      </c>
      <c r="AB54" s="19" t="str">
        <f>C54 &amp; "-" &amp; VLOOKUP(C54,[4]RESULTATS!$E$1:$F$176,2,FALSE)</f>
        <v>113- Les capacités d’accueil au préscolaire public et communautaires augmentent en milieux rural et urbain</v>
      </c>
      <c r="AC54" s="20" t="str">
        <f>D54 &amp; "-" &amp; VLOOKUP(D54,[4]STRATEGIES!$E$1:$F$504,2,FALSE)</f>
        <v>1133-Construction/réhabilitation/rénovation de CEC</v>
      </c>
      <c r="AD54" s="21" t="str">
        <f t="shared" si="0"/>
        <v>1133-Construction/réhabilitation/rénovation de CEC</v>
      </c>
    </row>
    <row r="55" spans="1:30" s="22" customFormat="1" ht="45" hidden="1" customHeight="1" x14ac:dyDescent="0.8">
      <c r="A55" s="14">
        <v>1</v>
      </c>
      <c r="B55" s="15">
        <v>11</v>
      </c>
      <c r="C55" s="15">
        <v>113</v>
      </c>
      <c r="D55" s="15">
        <v>1133</v>
      </c>
      <c r="E55" s="15">
        <v>11331</v>
      </c>
      <c r="F55" s="16" t="s">
        <v>121</v>
      </c>
      <c r="G55" s="21" t="s">
        <v>58</v>
      </c>
      <c r="H55" s="17" t="s">
        <v>55</v>
      </c>
      <c r="I55" s="18">
        <v>1</v>
      </c>
      <c r="J55" s="18"/>
      <c r="K55" s="18"/>
      <c r="L55" s="18"/>
      <c r="M55" s="18">
        <f t="shared" si="1"/>
        <v>1</v>
      </c>
      <c r="N55" s="18">
        <f>IF(OR(H55="",H55="sif",H55="PM"),0,VLOOKUP(H55,[5]CU!$C$4:$H$255,6,FALSE))</f>
        <v>0</v>
      </c>
      <c r="O55" s="18"/>
      <c r="P55" s="18"/>
      <c r="Q55" s="18"/>
      <c r="R55" s="18"/>
      <c r="S55" s="18"/>
      <c r="T55" s="23" t="s">
        <v>56</v>
      </c>
      <c r="U55" s="18" t="s">
        <v>40</v>
      </c>
      <c r="V55" s="18" t="str">
        <f>IF(OR($H55="",$H55="sif",$H55="PM"),"",VLOOKUP($H55,[5]CU!$C$5:$J$255,8,FALSE))</f>
        <v/>
      </c>
      <c r="W55" s="18" t="s">
        <v>41</v>
      </c>
      <c r="X55" s="18" t="s">
        <v>96</v>
      </c>
      <c r="Y55" s="19" t="s">
        <v>32</v>
      </c>
      <c r="Z55" s="18" t="str">
        <f>A55 &amp; "-" &amp; VLOOKUP(A55,[4]PROGRAMMES!$E$1:$F$7,2,FALSE)</f>
        <v>1-Accès et équité à l'enseignement général</v>
      </c>
      <c r="AA55" s="19" t="str">
        <f>B55 &amp; "-" &amp; VLOOKUP(B55,[4]SOUSPROGRAMMES!$E$1:$F$44,2,FALSE)</f>
        <v>11- Accès équitable au préscolaire</v>
      </c>
      <c r="AB55" s="19" t="str">
        <f>C55 &amp; "-" &amp; VLOOKUP(C55,[4]RESULTATS!$E$1:$F$176,2,FALSE)</f>
        <v>113- Les capacités d’accueil au préscolaire public et communautaires augmentent en milieux rural et urbain</v>
      </c>
      <c r="AC55" s="20" t="str">
        <f>D55 &amp; "-" &amp; VLOOKUP(D55,[4]STRATEGIES!$E$1:$F$504,2,FALSE)</f>
        <v>1133-Construction/réhabilitation/rénovation de CEC</v>
      </c>
      <c r="AD55" s="21" t="str">
        <f t="shared" si="0"/>
        <v xml:space="preserve">11331-Evaluation/inventaire des CEC existants </v>
      </c>
    </row>
    <row r="56" spans="1:30" s="22" customFormat="1" ht="45" hidden="1" customHeight="1" x14ac:dyDescent="0.8">
      <c r="A56" s="14">
        <v>1</v>
      </c>
      <c r="B56" s="15">
        <v>11</v>
      </c>
      <c r="C56" s="15">
        <v>113</v>
      </c>
      <c r="D56" s="15">
        <v>1133</v>
      </c>
      <c r="E56" s="15">
        <v>11332</v>
      </c>
      <c r="F56" s="16" t="s">
        <v>122</v>
      </c>
      <c r="G56" s="21" t="s">
        <v>123</v>
      </c>
      <c r="H56" s="17" t="s">
        <v>55</v>
      </c>
      <c r="I56" s="18">
        <v>1</v>
      </c>
      <c r="J56" s="18"/>
      <c r="K56" s="18"/>
      <c r="L56" s="18"/>
      <c r="M56" s="18">
        <f t="shared" si="1"/>
        <v>1</v>
      </c>
      <c r="N56" s="18">
        <f>IF(OR(H56="",H56="sif",H56="PM"),0,VLOOKUP(H56,[5]CU!$C$4:$H$255,6,FALSE))</f>
        <v>0</v>
      </c>
      <c r="O56" s="18"/>
      <c r="P56" s="18"/>
      <c r="Q56" s="18"/>
      <c r="R56" s="18"/>
      <c r="S56" s="18"/>
      <c r="T56" s="23" t="s">
        <v>56</v>
      </c>
      <c r="U56" s="18" t="s">
        <v>40</v>
      </c>
      <c r="V56" s="18" t="str">
        <f>IF(OR($H56="",$H56="sif",$H56="PM"),"",VLOOKUP($H56,[5]CU!$C$5:$J$255,8,FALSE))</f>
        <v/>
      </c>
      <c r="W56" s="18" t="s">
        <v>41</v>
      </c>
      <c r="X56" s="18" t="s">
        <v>96</v>
      </c>
      <c r="Y56" s="19" t="s">
        <v>32</v>
      </c>
      <c r="Z56" s="18" t="str">
        <f>A56 &amp; "-" &amp; VLOOKUP(A56,[4]PROGRAMMES!$E$1:$F$7,2,FALSE)</f>
        <v>1-Accès et équité à l'enseignement général</v>
      </c>
      <c r="AA56" s="19" t="str">
        <f>B56 &amp; "-" &amp; VLOOKUP(B56,[4]SOUSPROGRAMMES!$E$1:$F$44,2,FALSE)</f>
        <v>11- Accès équitable au préscolaire</v>
      </c>
      <c r="AB56" s="19" t="str">
        <f>C56 &amp; "-" &amp; VLOOKUP(C56,[4]RESULTATS!$E$1:$F$176,2,FALSE)</f>
        <v>113- Les capacités d’accueil au préscolaire public et communautaires augmentent en milieux rural et urbain</v>
      </c>
      <c r="AC56" s="20" t="str">
        <f>D56 &amp; "-" &amp; VLOOKUP(D56,[4]STRATEGIES!$E$1:$F$504,2,FALSE)</f>
        <v>1133-Construction/réhabilitation/rénovation de CEC</v>
      </c>
      <c r="AD56" s="21" t="str">
        <f t="shared" si="0"/>
        <v xml:space="preserve">11332-Identification des CEC à rénover/réhabiliter </v>
      </c>
    </row>
    <row r="57" spans="1:30" s="22" customFormat="1" ht="45" hidden="1" customHeight="1" x14ac:dyDescent="0.8">
      <c r="A57" s="14">
        <v>1</v>
      </c>
      <c r="B57" s="15">
        <v>11</v>
      </c>
      <c r="C57" s="15">
        <v>113</v>
      </c>
      <c r="D57" s="15">
        <v>1133</v>
      </c>
      <c r="E57" s="15">
        <v>11333</v>
      </c>
      <c r="F57" s="16" t="s">
        <v>124</v>
      </c>
      <c r="G57" s="21" t="s">
        <v>92</v>
      </c>
      <c r="H57" s="17" t="s">
        <v>55</v>
      </c>
      <c r="I57" s="18"/>
      <c r="J57" s="18">
        <v>1</v>
      </c>
      <c r="K57" s="18">
        <v>1</v>
      </c>
      <c r="L57" s="18">
        <v>1</v>
      </c>
      <c r="M57" s="18">
        <f t="shared" si="1"/>
        <v>3</v>
      </c>
      <c r="N57" s="18">
        <f>IF(OR(H57="",H57="sif",H57="PM"),0,VLOOKUP(H57,[5]CU!$C$4:$H$255,6,FALSE))</f>
        <v>0</v>
      </c>
      <c r="O57" s="18"/>
      <c r="P57" s="18"/>
      <c r="Q57" s="18"/>
      <c r="R57" s="18"/>
      <c r="S57" s="18"/>
      <c r="T57" s="23" t="s">
        <v>56</v>
      </c>
      <c r="U57" s="18" t="s">
        <v>40</v>
      </c>
      <c r="V57" s="18" t="str">
        <f>IF(OR($H57="",$H57="sif",$H57="PM"),"",VLOOKUP($H57,[5]CU!$C$5:$J$255,8,FALSE))</f>
        <v/>
      </c>
      <c r="W57" s="18" t="s">
        <v>96</v>
      </c>
      <c r="X57" s="18" t="s">
        <v>98</v>
      </c>
      <c r="Y57" s="19" t="s">
        <v>32</v>
      </c>
      <c r="Z57" s="18" t="str">
        <f>A57 &amp; "-" &amp; VLOOKUP(A57,[4]PROGRAMMES!$E$1:$F$7,2,FALSE)</f>
        <v>1-Accès et équité à l'enseignement général</v>
      </c>
      <c r="AA57" s="19" t="str">
        <f>B57 &amp; "-" &amp; VLOOKUP(B57,[4]SOUSPROGRAMMES!$E$1:$F$44,2,FALSE)</f>
        <v>11- Accès équitable au préscolaire</v>
      </c>
      <c r="AB57" s="19" t="str">
        <f>C57 &amp; "-" &amp; VLOOKUP(C57,[4]RESULTATS!$E$1:$F$176,2,FALSE)</f>
        <v>113- Les capacités d’accueil au préscolaire public et communautaires augmentent en milieux rural et urbain</v>
      </c>
      <c r="AC57" s="20" t="str">
        <f>D57 &amp; "-" &amp; VLOOKUP(D57,[4]STRATEGIES!$E$1:$F$504,2,FALSE)</f>
        <v>1133-Construction/réhabilitation/rénovation de CEC</v>
      </c>
      <c r="AD57" s="21" t="str">
        <f t="shared" si="0"/>
        <v>11333-Confirmation des sites de construction des nouveaux CEC (par les partenaires)</v>
      </c>
    </row>
    <row r="58" spans="1:30" s="22" customFormat="1" ht="45" hidden="1" customHeight="1" x14ac:dyDescent="0.8">
      <c r="A58" s="14">
        <v>1</v>
      </c>
      <c r="B58" s="15">
        <v>11</v>
      </c>
      <c r="C58" s="15">
        <v>113</v>
      </c>
      <c r="D58" s="15">
        <v>1133</v>
      </c>
      <c r="E58" s="15">
        <v>11334</v>
      </c>
      <c r="F58" s="16" t="s">
        <v>125</v>
      </c>
      <c r="G58" s="21" t="s">
        <v>103</v>
      </c>
      <c r="H58" s="17" t="s">
        <v>126</v>
      </c>
      <c r="I58" s="18"/>
      <c r="J58" s="18">
        <f>340*0.03</f>
        <v>10.199999999999999</v>
      </c>
      <c r="K58" s="18">
        <f>340*0.03</f>
        <v>10.199999999999999</v>
      </c>
      <c r="L58" s="18">
        <f>340*0.1</f>
        <v>34</v>
      </c>
      <c r="M58" s="18">
        <f t="shared" si="1"/>
        <v>54.4</v>
      </c>
      <c r="N58" s="18">
        <f>IF(OR(H58="",H58="sif",H58="PM"),0,VLOOKUP(H58,[5]CU!$C$4:$H$255,6,FALSE))</f>
        <v>24.340499999999999</v>
      </c>
      <c r="O58" s="18">
        <f t="shared" ref="O58:R67" si="11">$N58*I58</f>
        <v>0</v>
      </c>
      <c r="P58" s="18">
        <f t="shared" si="11"/>
        <v>248.27309999999997</v>
      </c>
      <c r="Q58" s="18">
        <f t="shared" si="11"/>
        <v>248.27309999999997</v>
      </c>
      <c r="R58" s="18">
        <f t="shared" si="11"/>
        <v>827.577</v>
      </c>
      <c r="S58" s="18">
        <f t="shared" ref="S58:S68" si="12">SUM(O58:R58)</f>
        <v>1324.1232</v>
      </c>
      <c r="T58" s="23" t="s">
        <v>67</v>
      </c>
      <c r="U58" s="18" t="s">
        <v>40</v>
      </c>
      <c r="V58" s="18" t="str">
        <f>IF(OR($H58="",$H58="sif",$H58="PM"),"",VLOOKUP($H58,[5]CU!$C$5:$J$255,8,FALSE))</f>
        <v>5. Investissement</v>
      </c>
      <c r="W58" s="18" t="s">
        <v>41</v>
      </c>
      <c r="X58" s="18" t="s">
        <v>98</v>
      </c>
      <c r="Y58" s="19" t="s">
        <v>32</v>
      </c>
      <c r="Z58" s="18" t="str">
        <f>A58 &amp; "-" &amp; VLOOKUP(A58,[4]PROGRAMMES!$E$1:$F$7,2,FALSE)</f>
        <v>1-Accès et équité à l'enseignement général</v>
      </c>
      <c r="AA58" s="19" t="str">
        <f>B58 &amp; "-" &amp; VLOOKUP(B58,[4]SOUSPROGRAMMES!$E$1:$F$44,2,FALSE)</f>
        <v>11- Accès équitable au préscolaire</v>
      </c>
      <c r="AB58" s="19" t="str">
        <f>C58 &amp; "-" &amp; VLOOKUP(C58,[4]RESULTATS!$E$1:$F$176,2,FALSE)</f>
        <v>113- Les capacités d’accueil au préscolaire public et communautaires augmentent en milieux rural et urbain</v>
      </c>
      <c r="AC58" s="20" t="str">
        <f>D58 &amp; "-" &amp; VLOOKUP(D58,[4]STRATEGIES!$E$1:$F$504,2,FALSE)</f>
        <v>1133-Construction/réhabilitation/rénovation de CEC</v>
      </c>
      <c r="AD58" s="21" t="str">
        <f t="shared" si="0"/>
        <v>11334-Exécution des travaux de réhabilitation/rénovation des CEC</v>
      </c>
    </row>
    <row r="59" spans="1:30" s="22" customFormat="1" ht="45" hidden="1" customHeight="1" x14ac:dyDescent="0.8">
      <c r="A59" s="14">
        <v>1</v>
      </c>
      <c r="B59" s="15">
        <v>11</v>
      </c>
      <c r="C59" s="15">
        <v>113</v>
      </c>
      <c r="D59" s="15">
        <v>1133</v>
      </c>
      <c r="E59" s="15">
        <v>11335</v>
      </c>
      <c r="F59" s="16" t="s">
        <v>127</v>
      </c>
      <c r="G59" s="21" t="s">
        <v>103</v>
      </c>
      <c r="H59" s="17" t="s">
        <v>128</v>
      </c>
      <c r="I59" s="18"/>
      <c r="J59" s="18">
        <v>20</v>
      </c>
      <c r="K59" s="18"/>
      <c r="L59" s="18"/>
      <c r="M59" s="18">
        <f t="shared" si="1"/>
        <v>20</v>
      </c>
      <c r="N59" s="18">
        <f>IF(OR(H59="",H59="sif",H59="PM"),0,VLOOKUP(H59,[5]CU!$C$4:$H$255,6,FALSE))</f>
        <v>81.135000000000005</v>
      </c>
      <c r="O59" s="18">
        <f t="shared" si="11"/>
        <v>0</v>
      </c>
      <c r="P59" s="18">
        <f t="shared" si="11"/>
        <v>1622.7</v>
      </c>
      <c r="Q59" s="18">
        <f t="shared" si="11"/>
        <v>0</v>
      </c>
      <c r="R59" s="18">
        <f t="shared" si="11"/>
        <v>0</v>
      </c>
      <c r="S59" s="18">
        <f t="shared" si="12"/>
        <v>1622.7</v>
      </c>
      <c r="T59" s="23" t="s">
        <v>67</v>
      </c>
      <c r="U59" s="18" t="s">
        <v>40</v>
      </c>
      <c r="V59" s="18" t="str">
        <f>IF(OR($H59="",$H59="sif",$H59="PM"),"",VLOOKUP($H59,[5]CU!$C$5:$J$255,8,FALSE))</f>
        <v>5. Investissement</v>
      </c>
      <c r="W59" s="18" t="s">
        <v>41</v>
      </c>
      <c r="X59" s="18" t="s">
        <v>98</v>
      </c>
      <c r="Y59" s="19" t="s">
        <v>32</v>
      </c>
      <c r="Z59" s="18" t="str">
        <f>A59 &amp; "-" &amp; VLOOKUP(A59,[4]PROGRAMMES!$E$1:$F$7,2,FALSE)</f>
        <v>1-Accès et équité à l'enseignement général</v>
      </c>
      <c r="AA59" s="19" t="str">
        <f>B59 &amp; "-" &amp; VLOOKUP(B59,[4]SOUSPROGRAMMES!$E$1:$F$44,2,FALSE)</f>
        <v>11- Accès équitable au préscolaire</v>
      </c>
      <c r="AB59" s="19" t="str">
        <f>C59 &amp; "-" &amp; VLOOKUP(C59,[4]RESULTATS!$E$1:$F$176,2,FALSE)</f>
        <v>113- Les capacités d’accueil au préscolaire public et communautaires augmentent en milieux rural et urbain</v>
      </c>
      <c r="AC59" s="20" t="str">
        <f>D59 &amp; "-" &amp; VLOOKUP(D59,[4]STRATEGIES!$E$1:$F$504,2,FALSE)</f>
        <v>1133-Construction/réhabilitation/rénovation de CEC</v>
      </c>
      <c r="AD59" s="21" t="str">
        <f t="shared" si="0"/>
        <v>11335-Exécution des travaux de construction des nouveaux CEC</v>
      </c>
    </row>
    <row r="60" spans="1:30" s="22" customFormat="1" ht="45" hidden="1" customHeight="1" x14ac:dyDescent="0.8">
      <c r="A60" s="14">
        <v>1</v>
      </c>
      <c r="B60" s="15">
        <v>11</v>
      </c>
      <c r="C60" s="15">
        <v>113</v>
      </c>
      <c r="D60" s="15">
        <v>1133</v>
      </c>
      <c r="E60" s="15">
        <v>11335</v>
      </c>
      <c r="F60" s="16" t="s">
        <v>127</v>
      </c>
      <c r="G60" s="21" t="s">
        <v>103</v>
      </c>
      <c r="H60" s="17" t="s">
        <v>128</v>
      </c>
      <c r="I60" s="18"/>
      <c r="J60" s="18"/>
      <c r="K60" s="18">
        <v>7</v>
      </c>
      <c r="L60" s="18"/>
      <c r="M60" s="18">
        <f t="shared" si="1"/>
        <v>7</v>
      </c>
      <c r="N60" s="18">
        <f>IF(OR(H60="",H60="sif",H60="PM"),0,VLOOKUP(H60,[5]CU!$C$4:$H$255,6,FALSE))</f>
        <v>81.135000000000005</v>
      </c>
      <c r="O60" s="18">
        <f t="shared" si="11"/>
        <v>0</v>
      </c>
      <c r="P60" s="18">
        <f t="shared" si="11"/>
        <v>0</v>
      </c>
      <c r="Q60" s="18">
        <f t="shared" si="11"/>
        <v>567.94500000000005</v>
      </c>
      <c r="R60" s="18">
        <f t="shared" si="11"/>
        <v>0</v>
      </c>
      <c r="S60" s="18">
        <f>SUM(O60:R60)</f>
        <v>567.94500000000005</v>
      </c>
      <c r="T60" s="23" t="s">
        <v>60</v>
      </c>
      <c r="U60" s="18" t="s">
        <v>40</v>
      </c>
      <c r="V60" s="18" t="str">
        <f>IF(OR($H60="",$H60="sif",$H60="PM"),"",VLOOKUP($H60,[5]CU!$C$5:$J$255,8,FALSE))</f>
        <v>5. Investissement</v>
      </c>
      <c r="W60" s="18" t="s">
        <v>41</v>
      </c>
      <c r="X60" s="18" t="s">
        <v>98</v>
      </c>
      <c r="Y60" s="19" t="s">
        <v>32</v>
      </c>
      <c r="Z60" s="18" t="str">
        <f>A60 &amp; "-" &amp; VLOOKUP(A60,[4]PROGRAMMES!$E$1:$F$7,2,FALSE)</f>
        <v>1-Accès et équité à l'enseignement général</v>
      </c>
      <c r="AA60" s="19" t="str">
        <f>B60 &amp; "-" &amp; VLOOKUP(B60,[4]SOUSPROGRAMMES!$E$1:$F$44,2,FALSE)</f>
        <v>11- Accès équitable au préscolaire</v>
      </c>
      <c r="AB60" s="19" t="str">
        <f>C60 &amp; "-" &amp; VLOOKUP(C60,[4]RESULTATS!$E$1:$F$176,2,FALSE)</f>
        <v>113- Les capacités d’accueil au préscolaire public et communautaires augmentent en milieux rural et urbain</v>
      </c>
      <c r="AC60" s="20" t="str">
        <f>D60 &amp; "-" &amp; VLOOKUP(D60,[4]STRATEGIES!$E$1:$F$504,2,FALSE)</f>
        <v>1133-Construction/réhabilitation/rénovation de CEC</v>
      </c>
      <c r="AD60" s="21" t="str">
        <f t="shared" si="0"/>
        <v>11335-Exécution des travaux de construction des nouveaux CEC</v>
      </c>
    </row>
    <row r="61" spans="1:30" s="22" customFormat="1" ht="45" hidden="1" customHeight="1" x14ac:dyDescent="0.8">
      <c r="A61" s="14">
        <v>1</v>
      </c>
      <c r="B61" s="15">
        <v>11</v>
      </c>
      <c r="C61" s="15">
        <v>113</v>
      </c>
      <c r="D61" s="15">
        <v>1133</v>
      </c>
      <c r="E61" s="15">
        <v>11335</v>
      </c>
      <c r="F61" s="16" t="s">
        <v>127</v>
      </c>
      <c r="G61" s="21" t="s">
        <v>103</v>
      </c>
      <c r="H61" s="17" t="s">
        <v>128</v>
      </c>
      <c r="I61" s="18"/>
      <c r="J61" s="18"/>
      <c r="K61" s="18">
        <v>10</v>
      </c>
      <c r="L61" s="18"/>
      <c r="M61" s="18">
        <f t="shared" si="1"/>
        <v>10</v>
      </c>
      <c r="N61" s="18">
        <f>IF(OR(H61="",H61="sif",H61="PM"),0,VLOOKUP(H61,[5]CU!$C$4:$H$255,6,FALSE))</f>
        <v>81.135000000000005</v>
      </c>
      <c r="O61" s="18">
        <f t="shared" si="11"/>
        <v>0</v>
      </c>
      <c r="P61" s="18">
        <f t="shared" si="11"/>
        <v>0</v>
      </c>
      <c r="Q61" s="18">
        <f t="shared" si="11"/>
        <v>811.35</v>
      </c>
      <c r="R61" s="18">
        <f t="shared" si="11"/>
        <v>0</v>
      </c>
      <c r="S61" s="18">
        <f>SUM(O61:R61)</f>
        <v>811.35</v>
      </c>
      <c r="T61" s="23" t="s">
        <v>129</v>
      </c>
      <c r="U61" s="18" t="s">
        <v>40</v>
      </c>
      <c r="V61" s="18" t="str">
        <f>IF(OR($H61="",$H61="sif",$H61="PM"),"",VLOOKUP($H61,[5]CU!$C$5:$J$255,8,FALSE))</f>
        <v>5. Investissement</v>
      </c>
      <c r="W61" s="18" t="s">
        <v>41</v>
      </c>
      <c r="X61" s="18" t="s">
        <v>98</v>
      </c>
      <c r="Y61" s="19" t="s">
        <v>32</v>
      </c>
      <c r="Z61" s="18" t="str">
        <f>A61 &amp; "-" &amp; VLOOKUP(A61,[4]PROGRAMMES!$E$1:$F$7,2,FALSE)</f>
        <v>1-Accès et équité à l'enseignement général</v>
      </c>
      <c r="AA61" s="19" t="str">
        <f>B61 &amp; "-" &amp; VLOOKUP(B61,[4]SOUSPROGRAMMES!$E$1:$F$44,2,FALSE)</f>
        <v>11- Accès équitable au préscolaire</v>
      </c>
      <c r="AB61" s="19" t="str">
        <f>C61 &amp; "-" &amp; VLOOKUP(C61,[4]RESULTATS!$E$1:$F$176,2,FALSE)</f>
        <v>113- Les capacités d’accueil au préscolaire public et communautaires augmentent en milieux rural et urbain</v>
      </c>
      <c r="AC61" s="20" t="str">
        <f>D61 &amp; "-" &amp; VLOOKUP(D61,[4]STRATEGIES!$E$1:$F$504,2,FALSE)</f>
        <v>1133-Construction/réhabilitation/rénovation de CEC</v>
      </c>
      <c r="AD61" s="21" t="str">
        <f t="shared" si="0"/>
        <v>11335-Exécution des travaux de construction des nouveaux CEC</v>
      </c>
    </row>
    <row r="62" spans="1:30" s="22" customFormat="1" ht="45" hidden="1" customHeight="1" x14ac:dyDescent="0.8">
      <c r="A62" s="14">
        <v>1</v>
      </c>
      <c r="B62" s="15">
        <v>11</v>
      </c>
      <c r="C62" s="15">
        <v>113</v>
      </c>
      <c r="D62" s="15">
        <v>1133</v>
      </c>
      <c r="E62" s="15">
        <v>11335</v>
      </c>
      <c r="F62" s="16" t="s">
        <v>127</v>
      </c>
      <c r="G62" s="21" t="s">
        <v>103</v>
      </c>
      <c r="H62" s="17" t="s">
        <v>128</v>
      </c>
      <c r="I62" s="18"/>
      <c r="J62" s="18"/>
      <c r="K62" s="18"/>
      <c r="L62" s="18">
        <v>5</v>
      </c>
      <c r="M62" s="18">
        <f t="shared" si="1"/>
        <v>5</v>
      </c>
      <c r="N62" s="18">
        <f>IF(OR(H62="",H62="sif",H62="PM"),0,VLOOKUP(H62,[5]CU!$C$4:$H$255,6,FALSE))</f>
        <v>81.135000000000005</v>
      </c>
      <c r="O62" s="18">
        <f t="shared" si="11"/>
        <v>0</v>
      </c>
      <c r="P62" s="18">
        <f t="shared" si="11"/>
        <v>0</v>
      </c>
      <c r="Q62" s="18">
        <f t="shared" si="11"/>
        <v>0</v>
      </c>
      <c r="R62" s="18">
        <f t="shared" si="11"/>
        <v>405.67500000000001</v>
      </c>
      <c r="S62" s="18">
        <f>SUM(O62:R62)</f>
        <v>405.67500000000001</v>
      </c>
      <c r="T62" s="23" t="s">
        <v>56</v>
      </c>
      <c r="U62" s="18" t="s">
        <v>40</v>
      </c>
      <c r="V62" s="18" t="str">
        <f>IF(OR($H62="",$H62="sif",$H62="PM"),"",VLOOKUP($H62,[5]CU!$C$5:$J$255,8,FALSE))</f>
        <v>5. Investissement</v>
      </c>
      <c r="W62" s="18" t="s">
        <v>41</v>
      </c>
      <c r="X62" s="18" t="s">
        <v>98</v>
      </c>
      <c r="Y62" s="19" t="s">
        <v>32</v>
      </c>
      <c r="Z62" s="18" t="str">
        <f>A62 &amp; "-" &amp; VLOOKUP(A62,[4]PROGRAMMES!$E$1:$F$7,2,FALSE)</f>
        <v>1-Accès et équité à l'enseignement général</v>
      </c>
      <c r="AA62" s="19" t="str">
        <f>B62 &amp; "-" &amp; VLOOKUP(B62,[4]SOUSPROGRAMMES!$E$1:$F$44,2,FALSE)</f>
        <v>11- Accès équitable au préscolaire</v>
      </c>
      <c r="AB62" s="19" t="str">
        <f>C62 &amp; "-" &amp; VLOOKUP(C62,[4]RESULTATS!$E$1:$F$176,2,FALSE)</f>
        <v>113- Les capacités d’accueil au préscolaire public et communautaires augmentent en milieux rural et urbain</v>
      </c>
      <c r="AC62" s="20" t="str">
        <f>D62 &amp; "-" &amp; VLOOKUP(D62,[4]STRATEGIES!$E$1:$F$504,2,FALSE)</f>
        <v>1133-Construction/réhabilitation/rénovation de CEC</v>
      </c>
      <c r="AD62" s="21" t="str">
        <f t="shared" si="0"/>
        <v>11335-Exécution des travaux de construction des nouveaux CEC</v>
      </c>
    </row>
    <row r="63" spans="1:30" s="22" customFormat="1" ht="45" hidden="1" customHeight="1" x14ac:dyDescent="0.8">
      <c r="A63" s="14">
        <v>1</v>
      </c>
      <c r="B63" s="15">
        <v>11</v>
      </c>
      <c r="C63" s="15">
        <v>113</v>
      </c>
      <c r="D63" s="15">
        <v>1133</v>
      </c>
      <c r="E63" s="15">
        <v>11336</v>
      </c>
      <c r="F63" s="16" t="s">
        <v>130</v>
      </c>
      <c r="G63" s="21" t="s">
        <v>131</v>
      </c>
      <c r="H63" s="17" t="s">
        <v>132</v>
      </c>
      <c r="I63" s="18"/>
      <c r="J63" s="18">
        <f>J59</f>
        <v>20</v>
      </c>
      <c r="K63" s="18">
        <f>K59</f>
        <v>0</v>
      </c>
      <c r="L63" s="18">
        <f>L59</f>
        <v>0</v>
      </c>
      <c r="M63" s="18">
        <f t="shared" si="1"/>
        <v>20</v>
      </c>
      <c r="N63" s="18">
        <f>IF(OR(H63="",H63="sif",H63="PM"),0,VLOOKUP(H63,[5]CU!$C$4:$H$255,6,FALSE))</f>
        <v>18.75</v>
      </c>
      <c r="O63" s="18">
        <f t="shared" si="11"/>
        <v>0</v>
      </c>
      <c r="P63" s="18">
        <f t="shared" si="11"/>
        <v>375</v>
      </c>
      <c r="Q63" s="18">
        <f t="shared" si="11"/>
        <v>0</v>
      </c>
      <c r="R63" s="18">
        <f t="shared" si="11"/>
        <v>0</v>
      </c>
      <c r="S63" s="18">
        <f t="shared" si="12"/>
        <v>375</v>
      </c>
      <c r="T63" s="23" t="s">
        <v>67</v>
      </c>
      <c r="U63" s="18" t="s">
        <v>40</v>
      </c>
      <c r="V63" s="18" t="str">
        <f>IF(OR($H63="",$H63="sif",$H63="PM"),"",VLOOKUP($H63,[5]CU!$C$5:$J$255,8,FALSE))</f>
        <v>5. Investissement</v>
      </c>
      <c r="W63" s="18" t="s">
        <v>41</v>
      </c>
      <c r="X63" s="18" t="s">
        <v>98</v>
      </c>
      <c r="Y63" s="19" t="s">
        <v>32</v>
      </c>
      <c r="Z63" s="18" t="str">
        <f>A63 &amp; "-" &amp; VLOOKUP(A63,[4]PROGRAMMES!$E$1:$F$7,2,FALSE)</f>
        <v>1-Accès et équité à l'enseignement général</v>
      </c>
      <c r="AA63" s="19" t="str">
        <f>B63 &amp; "-" &amp; VLOOKUP(B63,[4]SOUSPROGRAMMES!$E$1:$F$44,2,FALSE)</f>
        <v>11- Accès équitable au préscolaire</v>
      </c>
      <c r="AB63" s="19" t="str">
        <f>C63 &amp; "-" &amp; VLOOKUP(C63,[4]RESULTATS!$E$1:$F$176,2,FALSE)</f>
        <v>113- Les capacités d’accueil au préscolaire public et communautaires augmentent en milieux rural et urbain</v>
      </c>
      <c r="AC63" s="20" t="str">
        <f>D63 &amp; "-" &amp; VLOOKUP(D63,[4]STRATEGIES!$E$1:$F$504,2,FALSE)</f>
        <v>1133-Construction/réhabilitation/rénovation de CEC</v>
      </c>
      <c r="AD63" s="21" t="str">
        <f t="shared" si="0"/>
        <v xml:space="preserve">11336-Equipement des CEC en mobiliers </v>
      </c>
    </row>
    <row r="64" spans="1:30" s="22" customFormat="1" ht="45" hidden="1" customHeight="1" x14ac:dyDescent="0.8">
      <c r="A64" s="14">
        <v>1</v>
      </c>
      <c r="B64" s="15">
        <v>11</v>
      </c>
      <c r="C64" s="15">
        <v>113</v>
      </c>
      <c r="D64" s="15">
        <v>1133</v>
      </c>
      <c r="E64" s="15">
        <v>11336</v>
      </c>
      <c r="F64" s="16" t="s">
        <v>130</v>
      </c>
      <c r="G64" s="21" t="s">
        <v>131</v>
      </c>
      <c r="H64" s="17" t="s">
        <v>132</v>
      </c>
      <c r="I64" s="18">
        <f>I62+I58</f>
        <v>0</v>
      </c>
      <c r="J64" s="18">
        <f>J62+J58</f>
        <v>10.199999999999999</v>
      </c>
      <c r="K64" s="18">
        <f>K62+K58</f>
        <v>10.199999999999999</v>
      </c>
      <c r="L64" s="18">
        <f>L62+L58</f>
        <v>39</v>
      </c>
      <c r="M64" s="18">
        <f t="shared" si="1"/>
        <v>59.4</v>
      </c>
      <c r="N64" s="18">
        <f>IF(OR(H64="",H64="sif",H64="PM"),0,VLOOKUP(H64,[5]CU!$C$4:$H$255,6,FALSE))</f>
        <v>18.75</v>
      </c>
      <c r="O64" s="18">
        <f t="shared" si="11"/>
        <v>0</v>
      </c>
      <c r="P64" s="18">
        <f t="shared" si="11"/>
        <v>191.25</v>
      </c>
      <c r="Q64" s="18">
        <f t="shared" si="11"/>
        <v>191.25</v>
      </c>
      <c r="R64" s="18">
        <f t="shared" si="11"/>
        <v>731.25</v>
      </c>
      <c r="S64" s="18">
        <f t="shared" si="12"/>
        <v>1113.75</v>
      </c>
      <c r="T64" s="23" t="s">
        <v>56</v>
      </c>
      <c r="U64" s="18" t="s">
        <v>40</v>
      </c>
      <c r="V64" s="18" t="str">
        <f>IF(OR($H64="",$H64="sif",$H64="PM"),"",VLOOKUP($H64,[5]CU!$C$5:$J$255,8,FALSE))</f>
        <v>5. Investissement</v>
      </c>
      <c r="W64" s="18" t="s">
        <v>41</v>
      </c>
      <c r="X64" s="18" t="s">
        <v>98</v>
      </c>
      <c r="Y64" s="19" t="s">
        <v>32</v>
      </c>
      <c r="Z64" s="18" t="str">
        <f>A64 &amp; "-" &amp; VLOOKUP(A64,[4]PROGRAMMES!$E$1:$F$7,2,FALSE)</f>
        <v>1-Accès et équité à l'enseignement général</v>
      </c>
      <c r="AA64" s="19" t="str">
        <f>B64 &amp; "-" &amp; VLOOKUP(B64,[4]SOUSPROGRAMMES!$E$1:$F$44,2,FALSE)</f>
        <v>11- Accès équitable au préscolaire</v>
      </c>
      <c r="AB64" s="19" t="str">
        <f>C64 &amp; "-" &amp; VLOOKUP(C64,[4]RESULTATS!$E$1:$F$176,2,FALSE)</f>
        <v>113- Les capacités d’accueil au préscolaire public et communautaires augmentent en milieux rural et urbain</v>
      </c>
      <c r="AC64" s="20" t="str">
        <f>D64 &amp; "-" &amp; VLOOKUP(D64,[4]STRATEGIES!$E$1:$F$504,2,FALSE)</f>
        <v>1133-Construction/réhabilitation/rénovation de CEC</v>
      </c>
      <c r="AD64" s="21" t="str">
        <f t="shared" si="0"/>
        <v xml:space="preserve">11336-Equipement des CEC en mobiliers </v>
      </c>
    </row>
    <row r="65" spans="1:30" s="22" customFormat="1" ht="45" hidden="1" customHeight="1" x14ac:dyDescent="0.8">
      <c r="A65" s="14">
        <v>1</v>
      </c>
      <c r="B65" s="15">
        <v>11</v>
      </c>
      <c r="C65" s="15">
        <v>113</v>
      </c>
      <c r="D65" s="15">
        <v>1133</v>
      </c>
      <c r="E65" s="15">
        <v>11337</v>
      </c>
      <c r="F65" s="16" t="s">
        <v>133</v>
      </c>
      <c r="G65" s="21" t="s">
        <v>134</v>
      </c>
      <c r="H65" s="17" t="s">
        <v>135</v>
      </c>
      <c r="I65" s="18">
        <f>460*60.03%</f>
        <v>276.13800000000003</v>
      </c>
      <c r="J65" s="18">
        <f>(J61+J57+J58+J59+J60)*60.03%</f>
        <v>18.72936</v>
      </c>
      <c r="K65" s="18">
        <f>(K61+K57+K58+K59+K60)*60.03%</f>
        <v>16.928460000000001</v>
      </c>
      <c r="L65" s="18">
        <f>(L61+L57+L58+L59+L60)*60.03%</f>
        <v>21.0105</v>
      </c>
      <c r="M65" s="18">
        <f>SUM(I65:L65)</f>
        <v>332.80632000000003</v>
      </c>
      <c r="N65" s="18">
        <f>IF(OR(H65="",H65="sif",H65="PM"),0,VLOOKUP(H65,[5]CU!$C$4:$H$255,6,FALSE))</f>
        <v>3.5</v>
      </c>
      <c r="O65" s="18">
        <f>$N65*I65</f>
        <v>966.48300000000017</v>
      </c>
      <c r="P65" s="18">
        <f>$N65*J65</f>
        <v>65.552760000000006</v>
      </c>
      <c r="Q65" s="18">
        <f>$N65*K65</f>
        <v>59.249610000000004</v>
      </c>
      <c r="R65" s="18">
        <f>$N65*L65</f>
        <v>73.536749999999998</v>
      </c>
      <c r="S65" s="18">
        <f>SUM(O65:R65)</f>
        <v>1164.8221200000003</v>
      </c>
      <c r="T65" s="23" t="s">
        <v>67</v>
      </c>
      <c r="U65" s="18" t="s">
        <v>40</v>
      </c>
      <c r="V65" s="18" t="str">
        <f>IF(OR($H65="",$H65="sif",$H65="PM"),"",VLOOKUP($H65,[5]CU!$C$5:$J$255,8,FALSE))</f>
        <v>3. Manuels scolaires et matériels pédagogiques</v>
      </c>
      <c r="W65" s="18" t="s">
        <v>41</v>
      </c>
      <c r="X65" s="18" t="s">
        <v>98</v>
      </c>
      <c r="Y65" s="19" t="s">
        <v>32</v>
      </c>
      <c r="Z65" s="18" t="str">
        <f>A65 &amp; "-" &amp; VLOOKUP(A65,[4]PROGRAMMES!$E$1:$F$7,2,FALSE)</f>
        <v>1-Accès et équité à l'enseignement général</v>
      </c>
      <c r="AA65" s="19" t="str">
        <f>B65 &amp; "-" &amp; VLOOKUP(B65,[4]SOUSPROGRAMMES!$E$1:$F$44,2,FALSE)</f>
        <v>11- Accès équitable au préscolaire</v>
      </c>
      <c r="AB65" s="19" t="str">
        <f>C65 &amp; "-" &amp; VLOOKUP(C65,[4]RESULTATS!$E$1:$F$176,2,FALSE)</f>
        <v>113- Les capacités d’accueil au préscolaire public et communautaires augmentent en milieux rural et urbain</v>
      </c>
      <c r="AC65" s="20" t="str">
        <f>D65 &amp; "-" &amp; VLOOKUP(D65,[4]STRATEGIES!$E$1:$F$504,2,FALSE)</f>
        <v>1133-Construction/réhabilitation/rénovation de CEC</v>
      </c>
      <c r="AD65" s="21" t="str">
        <f t="shared" si="0"/>
        <v>11337-Equipement des CEC en matériels ludiques</v>
      </c>
    </row>
    <row r="66" spans="1:30" s="22" customFormat="1" ht="45" hidden="1" customHeight="1" x14ac:dyDescent="0.8">
      <c r="A66" s="14">
        <v>1</v>
      </c>
      <c r="B66" s="15">
        <v>11</v>
      </c>
      <c r="C66" s="15">
        <v>113</v>
      </c>
      <c r="D66" s="15">
        <v>1133</v>
      </c>
      <c r="E66" s="15">
        <v>11337</v>
      </c>
      <c r="F66" s="16" t="s">
        <v>133</v>
      </c>
      <c r="G66" s="21" t="s">
        <v>134</v>
      </c>
      <c r="H66" s="17" t="s">
        <v>135</v>
      </c>
      <c r="I66" s="18">
        <f>460*39.97%</f>
        <v>183.86199999999999</v>
      </c>
      <c r="J66" s="18">
        <f>(J61+J57+J58+J59+J60)*39.97%</f>
        <v>12.47064</v>
      </c>
      <c r="K66" s="18">
        <f>(K61+K57+K58+K59+K60)*39.97%</f>
        <v>11.27154</v>
      </c>
      <c r="L66" s="18">
        <f>(L61+L57+L58+L59+L60)*39.97%</f>
        <v>13.9895</v>
      </c>
      <c r="M66" s="18">
        <f t="shared" si="1"/>
        <v>221.59367999999998</v>
      </c>
      <c r="N66" s="18">
        <f>IF(OR(H66="",H66="sif",H66="PM"),0,VLOOKUP(H66,[5]CU!$C$4:$H$255,6,FALSE))</f>
        <v>3.5</v>
      </c>
      <c r="O66" s="18">
        <f t="shared" si="11"/>
        <v>643.51699999999994</v>
      </c>
      <c r="P66" s="18">
        <f t="shared" si="11"/>
        <v>43.647239999999996</v>
      </c>
      <c r="Q66" s="18">
        <f t="shared" si="11"/>
        <v>39.450389999999999</v>
      </c>
      <c r="R66" s="18">
        <f t="shared" si="11"/>
        <v>48.963250000000002</v>
      </c>
      <c r="S66" s="18">
        <f t="shared" si="12"/>
        <v>775.57787999999994</v>
      </c>
      <c r="T66" s="23" t="s">
        <v>118</v>
      </c>
      <c r="U66" s="18" t="s">
        <v>40</v>
      </c>
      <c r="V66" s="18" t="str">
        <f>IF(OR($H66="",$H66="sif",$H66="PM"),"",VLOOKUP($H66,[5]CU!$C$5:$J$255,8,FALSE))</f>
        <v>3. Manuels scolaires et matériels pédagogiques</v>
      </c>
      <c r="W66" s="18" t="s">
        <v>41</v>
      </c>
      <c r="X66" s="18" t="s">
        <v>98</v>
      </c>
      <c r="Y66" s="19" t="s">
        <v>32</v>
      </c>
      <c r="Z66" s="18" t="str">
        <f>A66 &amp; "-" &amp; VLOOKUP(A66,[4]PROGRAMMES!$E$1:$F$7,2,FALSE)</f>
        <v>1-Accès et équité à l'enseignement général</v>
      </c>
      <c r="AA66" s="19" t="str">
        <f>B66 &amp; "-" &amp; VLOOKUP(B66,[4]SOUSPROGRAMMES!$E$1:$F$44,2,FALSE)</f>
        <v>11- Accès équitable au préscolaire</v>
      </c>
      <c r="AB66" s="19" t="str">
        <f>C66 &amp; "-" &amp; VLOOKUP(C66,[4]RESULTATS!$E$1:$F$176,2,FALSE)</f>
        <v>113- Les capacités d’accueil au préscolaire public et communautaires augmentent en milieux rural et urbain</v>
      </c>
      <c r="AC66" s="20" t="str">
        <f>D66 &amp; "-" &amp; VLOOKUP(D66,[4]STRATEGIES!$E$1:$F$504,2,FALSE)</f>
        <v>1133-Construction/réhabilitation/rénovation de CEC</v>
      </c>
      <c r="AD66" s="21" t="str">
        <f t="shared" si="0"/>
        <v>11337-Equipement des CEC en matériels ludiques</v>
      </c>
    </row>
    <row r="67" spans="1:30" s="22" customFormat="1" ht="45" hidden="1" customHeight="1" x14ac:dyDescent="0.8">
      <c r="A67" s="14">
        <v>1</v>
      </c>
      <c r="B67" s="15">
        <v>11</v>
      </c>
      <c r="C67" s="15">
        <v>113</v>
      </c>
      <c r="D67" s="15">
        <v>1133</v>
      </c>
      <c r="E67" s="15">
        <v>11338</v>
      </c>
      <c r="F67" s="16" t="s">
        <v>136</v>
      </c>
      <c r="G67" s="21" t="s">
        <v>137</v>
      </c>
      <c r="H67" s="17" t="s">
        <v>138</v>
      </c>
      <c r="I67" s="18">
        <f>+I66</f>
        <v>183.86199999999999</v>
      </c>
      <c r="J67" s="18">
        <f>+J66</f>
        <v>12.47064</v>
      </c>
      <c r="K67" s="18">
        <f>+K66</f>
        <v>11.27154</v>
      </c>
      <c r="L67" s="18">
        <f>+L66</f>
        <v>13.9895</v>
      </c>
      <c r="M67" s="18">
        <f>+M66</f>
        <v>221.59367999999998</v>
      </c>
      <c r="N67" s="18">
        <f>IF(OR(H67="",H67="sif",H67="PM"),0,VLOOKUP(H67,[5]CU!$C$4:$H$255,6,FALSE))</f>
        <v>1.7549999999999999</v>
      </c>
      <c r="O67" s="18">
        <f>$N67*I67</f>
        <v>322.67780999999997</v>
      </c>
      <c r="P67" s="18">
        <f t="shared" si="11"/>
        <v>21.885973199999999</v>
      </c>
      <c r="Q67" s="18">
        <f t="shared" si="11"/>
        <v>19.781552699999999</v>
      </c>
      <c r="R67" s="18">
        <f t="shared" si="11"/>
        <v>24.551572499999999</v>
      </c>
      <c r="S67" s="18">
        <f t="shared" si="12"/>
        <v>388.89690840000003</v>
      </c>
      <c r="T67" s="23" t="s">
        <v>67</v>
      </c>
      <c r="U67" s="18" t="s">
        <v>40</v>
      </c>
      <c r="V67" s="18" t="str">
        <f>IF(OR($H67="",$H67="sif",$H67="PM"),"",VLOOKUP($H67,[5]CU!$C$5:$J$255,8,FALSE))</f>
        <v>5. Investissement</v>
      </c>
      <c r="W67" s="18" t="s">
        <v>98</v>
      </c>
      <c r="X67" s="18" t="s">
        <v>98</v>
      </c>
      <c r="Y67" s="19" t="s">
        <v>32</v>
      </c>
      <c r="Z67" s="18" t="str">
        <f>A67 &amp; "-" &amp; VLOOKUP(A67,[4]PROGRAMMES!$E$1:$F$7,2,FALSE)</f>
        <v>1-Accès et équité à l'enseignement général</v>
      </c>
      <c r="AA67" s="19" t="str">
        <f>B67 &amp; "-" &amp; VLOOKUP(B67,[4]SOUSPROGRAMMES!$E$1:$F$44,2,FALSE)</f>
        <v>11- Accès équitable au préscolaire</v>
      </c>
      <c r="AB67" s="19" t="str">
        <f>C67 &amp; "-" &amp; VLOOKUP(C67,[4]RESULTATS!$E$1:$F$176,2,FALSE)</f>
        <v>113- Les capacités d’accueil au préscolaire public et communautaires augmentent en milieux rural et urbain</v>
      </c>
      <c r="AC67" s="20" t="str">
        <f>D67 &amp; "-" &amp; VLOOKUP(D67,[4]STRATEGIES!$E$1:$F$504,2,FALSE)</f>
        <v>1133-Construction/réhabilitation/rénovation de CEC</v>
      </c>
      <c r="AD67" s="21" t="str">
        <f t="shared" si="0"/>
        <v>11338-Supervision des travaux de construction/ réhabilitation/ rénovation /équipement des CEC</v>
      </c>
    </row>
    <row r="68" spans="1:30" s="22" customFormat="1" ht="45" hidden="1" customHeight="1" x14ac:dyDescent="0.8">
      <c r="A68" s="14">
        <v>1</v>
      </c>
      <c r="B68" s="15">
        <v>11</v>
      </c>
      <c r="C68" s="15">
        <v>113</v>
      </c>
      <c r="D68" s="15">
        <v>1133</v>
      </c>
      <c r="E68" s="15">
        <v>11338</v>
      </c>
      <c r="F68" s="16" t="s">
        <v>136</v>
      </c>
      <c r="G68" s="21" t="s">
        <v>137</v>
      </c>
      <c r="H68" s="17" t="s">
        <v>138</v>
      </c>
      <c r="I68" s="18">
        <f>I62</f>
        <v>0</v>
      </c>
      <c r="J68" s="18">
        <f>J62</f>
        <v>0</v>
      </c>
      <c r="K68" s="18">
        <f>K62</f>
        <v>0</v>
      </c>
      <c r="L68" s="18">
        <f>L62</f>
        <v>5</v>
      </c>
      <c r="M68" s="18">
        <f>SUM(I68:L68)</f>
        <v>5</v>
      </c>
      <c r="N68" s="18">
        <f>IF(OR(H68="",H68="sif",H68="PM"),0,VLOOKUP(H68,[5]CU!$C$4:$H$255,6,FALSE))</f>
        <v>1.7549999999999999</v>
      </c>
      <c r="O68" s="18">
        <f>$N68*I68</f>
        <v>0</v>
      </c>
      <c r="P68" s="18">
        <f>$N68*J68</f>
        <v>0</v>
      </c>
      <c r="Q68" s="18">
        <f>$N68*K68</f>
        <v>0</v>
      </c>
      <c r="R68" s="18">
        <f>$N68*L68</f>
        <v>8.7749999999999986</v>
      </c>
      <c r="S68" s="18">
        <f t="shared" si="12"/>
        <v>8.7749999999999986</v>
      </c>
      <c r="T68" s="23" t="s">
        <v>56</v>
      </c>
      <c r="U68" s="18" t="s">
        <v>40</v>
      </c>
      <c r="V68" s="18" t="str">
        <f>IF(OR($H68="",$H68="sif",$H68="PM"),"",VLOOKUP($H68,[5]CU!$C$5:$J$255,8,FALSE))</f>
        <v>5. Investissement</v>
      </c>
      <c r="W68" s="18" t="s">
        <v>98</v>
      </c>
      <c r="X68" s="18" t="s">
        <v>98</v>
      </c>
      <c r="Y68" s="19" t="s">
        <v>32</v>
      </c>
      <c r="Z68" s="18" t="str">
        <f>A68 &amp; "-" &amp; VLOOKUP(A68,[4]PROGRAMMES!$E$1:$F$7,2,FALSE)</f>
        <v>1-Accès et équité à l'enseignement général</v>
      </c>
      <c r="AA68" s="19" t="str">
        <f>B68 &amp; "-" &amp; VLOOKUP(B68,[4]SOUSPROGRAMMES!$E$1:$F$44,2,FALSE)</f>
        <v>11- Accès équitable au préscolaire</v>
      </c>
      <c r="AB68" s="19" t="str">
        <f>C68 &amp; "-" &amp; VLOOKUP(C68,[4]RESULTATS!$E$1:$F$176,2,FALSE)</f>
        <v>113- Les capacités d’accueil au préscolaire public et communautaires augmentent en milieux rural et urbain</v>
      </c>
      <c r="AC68" s="20" t="str">
        <f>D68 &amp; "-" &amp; VLOOKUP(D68,[4]STRATEGIES!$E$1:$F$504,2,FALSE)</f>
        <v>1133-Construction/réhabilitation/rénovation de CEC</v>
      </c>
      <c r="AD68" s="21" t="str">
        <f t="shared" ref="AD68:AD131" si="13">E68 &amp; "-" &amp; F68</f>
        <v>11338-Supervision des travaux de construction/ réhabilitation/ rénovation /équipement des CEC</v>
      </c>
    </row>
    <row r="69" spans="1:30" s="22" customFormat="1" ht="45" hidden="1" customHeight="1" x14ac:dyDescent="0.8">
      <c r="A69" s="14">
        <v>1</v>
      </c>
      <c r="B69" s="15">
        <v>11</v>
      </c>
      <c r="C69" s="15">
        <v>114</v>
      </c>
      <c r="D69" s="15">
        <v>114</v>
      </c>
      <c r="E69" s="15">
        <v>114</v>
      </c>
      <c r="F69" s="16" t="s">
        <v>139</v>
      </c>
      <c r="G69" s="17"/>
      <c r="H69" s="17"/>
      <c r="I69" s="18"/>
      <c r="J69" s="18"/>
      <c r="K69" s="18"/>
      <c r="L69" s="18"/>
      <c r="M69" s="18"/>
      <c r="N69" s="18"/>
      <c r="O69" s="18"/>
      <c r="P69" s="18"/>
      <c r="Q69" s="18"/>
      <c r="R69" s="18"/>
      <c r="S69" s="18"/>
      <c r="T69" s="18"/>
      <c r="U69" s="18"/>
      <c r="V69" s="18"/>
      <c r="W69" s="18"/>
      <c r="X69" s="18"/>
      <c r="Y69" s="19" t="s">
        <v>32</v>
      </c>
      <c r="Z69" s="18" t="str">
        <f>A69 &amp; "-" &amp; VLOOKUP(A69,[4]PROGRAMMES!$E$1:$F$7,2,FALSE)</f>
        <v>1-Accès et équité à l'enseignement général</v>
      </c>
      <c r="AA69" s="19" t="str">
        <f>B69 &amp; "-" &amp; VLOOKUP(B69,[4]SOUSPROGRAMMES!$E$1:$F$44,2,FALSE)</f>
        <v>11- Accès équitable au préscolaire</v>
      </c>
      <c r="AB69" s="19" t="str">
        <f>C69 &amp; "-" &amp; VLOOKUP(C69,[4]RESULTATS!$E$1:$F$176,2,FALSE)</f>
        <v xml:space="preserve">114- Les CEC et les établissements préscolaires publics sont dotées en éducateurs en nombre suffisant </v>
      </c>
      <c r="AC69" s="20" t="str">
        <f>D69 &amp; "-" &amp; VLOOKUP(D69,[4]STRATEGIES!$E$1:$F$504,2,FALSE)</f>
        <v xml:space="preserve">114- Les CEC et les établissements préscolaires publics sont dotées en éducateurs en nombre suffisant </v>
      </c>
      <c r="AD69" s="21" t="str">
        <f t="shared" si="13"/>
        <v xml:space="preserve">114- Les CEC et les établissements préscolaires publics sont dotées en éducateurs en nombre suffisant </v>
      </c>
    </row>
    <row r="70" spans="1:30" s="22" customFormat="1" ht="45" hidden="1" customHeight="1" x14ac:dyDescent="0.8">
      <c r="A70" s="14">
        <v>1</v>
      </c>
      <c r="B70" s="15">
        <v>11</v>
      </c>
      <c r="C70" s="15">
        <v>114</v>
      </c>
      <c r="D70" s="15">
        <v>1141</v>
      </c>
      <c r="E70" s="15">
        <v>1141</v>
      </c>
      <c r="F70" s="16" t="s">
        <v>140</v>
      </c>
      <c r="G70" s="17"/>
      <c r="H70" s="17"/>
      <c r="I70" s="18"/>
      <c r="J70" s="18"/>
      <c r="K70" s="18"/>
      <c r="L70" s="18"/>
      <c r="M70" s="18"/>
      <c r="N70" s="18"/>
      <c r="O70" s="18"/>
      <c r="P70" s="18"/>
      <c r="Q70" s="18"/>
      <c r="R70" s="18"/>
      <c r="S70" s="18"/>
      <c r="T70" s="18"/>
      <c r="U70" s="18"/>
      <c r="V70" s="18"/>
      <c r="W70" s="18"/>
      <c r="X70" s="18"/>
      <c r="Y70" s="19" t="s">
        <v>32</v>
      </c>
      <c r="Z70" s="18" t="str">
        <f>A70 &amp; "-" &amp; VLOOKUP(A70,[4]PROGRAMMES!$E$1:$F$7,2,FALSE)</f>
        <v>1-Accès et équité à l'enseignement général</v>
      </c>
      <c r="AA70" s="19" t="str">
        <f>B70 &amp; "-" &amp; VLOOKUP(B70,[4]SOUSPROGRAMMES!$E$1:$F$44,2,FALSE)</f>
        <v>11- Accès équitable au préscolaire</v>
      </c>
      <c r="AB70" s="19" t="str">
        <f>C70 &amp; "-" &amp; VLOOKUP(C70,[4]RESULTATS!$E$1:$F$176,2,FALSE)</f>
        <v xml:space="preserve">114- Les CEC et les établissements préscolaires publics sont dotées en éducateurs en nombre suffisant </v>
      </c>
      <c r="AC70" s="20" t="str">
        <f>D70 &amp; "-" &amp; VLOOKUP(D70,[4]STRATEGIES!$E$1:$F$504,2,FALSE)</f>
        <v>1141-Recrutement d’éducateurs en nombre suffisant</v>
      </c>
      <c r="AD70" s="21" t="str">
        <f t="shared" si="13"/>
        <v>1141-Recrutement d’éducateurs en nombre suffisant</v>
      </c>
    </row>
    <row r="71" spans="1:30" s="22" customFormat="1" ht="45" hidden="1" customHeight="1" x14ac:dyDescent="0.8">
      <c r="A71" s="14">
        <v>1</v>
      </c>
      <c r="B71" s="15">
        <v>11</v>
      </c>
      <c r="C71" s="15">
        <v>114</v>
      </c>
      <c r="D71" s="15">
        <v>1141</v>
      </c>
      <c r="E71" s="15">
        <v>11411</v>
      </c>
      <c r="F71" s="16" t="s">
        <v>141</v>
      </c>
      <c r="G71" s="21" t="s">
        <v>88</v>
      </c>
      <c r="H71" s="17" t="s">
        <v>55</v>
      </c>
      <c r="I71" s="18">
        <v>1</v>
      </c>
      <c r="J71" s="18">
        <v>1</v>
      </c>
      <c r="K71" s="18">
        <v>1</v>
      </c>
      <c r="L71" s="18">
        <v>1</v>
      </c>
      <c r="M71" s="18">
        <f t="shared" si="1"/>
        <v>4</v>
      </c>
      <c r="N71" s="18">
        <f>IF(OR(H71="",H71="sif",H71="PM"),0,VLOOKUP(H71,[5]CU!$C$4:$H$255,6,FALSE))</f>
        <v>0</v>
      </c>
      <c r="O71" s="18"/>
      <c r="P71" s="18"/>
      <c r="Q71" s="18"/>
      <c r="R71" s="18"/>
      <c r="S71" s="18"/>
      <c r="T71" s="23" t="s">
        <v>56</v>
      </c>
      <c r="U71" s="18" t="s">
        <v>40</v>
      </c>
      <c r="V71" s="18" t="str">
        <f>IF(OR($H71="",$H71="sif",$H71="PM"),"",VLOOKUP($H71,[5]CU!$C$5:$J$255,8,FALSE))</f>
        <v/>
      </c>
      <c r="W71" s="18" t="s">
        <v>142</v>
      </c>
      <c r="X71" s="18" t="s">
        <v>96</v>
      </c>
      <c r="Y71" s="19" t="s">
        <v>32</v>
      </c>
      <c r="Z71" s="18" t="str">
        <f>A71 &amp; "-" &amp; VLOOKUP(A71,[4]PROGRAMMES!$E$1:$F$7,2,FALSE)</f>
        <v>1-Accès et équité à l'enseignement général</v>
      </c>
      <c r="AA71" s="19" t="str">
        <f>B71 &amp; "-" &amp; VLOOKUP(B71,[4]SOUSPROGRAMMES!$E$1:$F$44,2,FALSE)</f>
        <v>11- Accès équitable au préscolaire</v>
      </c>
      <c r="AB71" s="19" t="str">
        <f>C71 &amp; "-" &amp; VLOOKUP(C71,[4]RESULTATS!$E$1:$F$176,2,FALSE)</f>
        <v xml:space="preserve">114- Les CEC et les établissements préscolaires publics sont dotées en éducateurs en nombre suffisant </v>
      </c>
      <c r="AC71" s="20" t="str">
        <f>D71 &amp; "-" &amp; VLOOKUP(D71,[4]STRATEGIES!$E$1:$F$504,2,FALSE)</f>
        <v>1141-Recrutement d’éducateurs en nombre suffisant</v>
      </c>
      <c r="AD71" s="21" t="str">
        <f t="shared" si="13"/>
        <v>11411-Identification des besoins en tenant compte des capacités d'accueil</v>
      </c>
    </row>
    <row r="72" spans="1:30" s="22" customFormat="1" ht="45" hidden="1" customHeight="1" x14ac:dyDescent="0.8">
      <c r="A72" s="14">
        <v>1</v>
      </c>
      <c r="B72" s="15">
        <v>11</v>
      </c>
      <c r="C72" s="15">
        <v>114</v>
      </c>
      <c r="D72" s="15">
        <v>1141</v>
      </c>
      <c r="E72" s="15">
        <v>11412</v>
      </c>
      <c r="F72" s="16" t="s">
        <v>143</v>
      </c>
      <c r="G72" s="21" t="s">
        <v>92</v>
      </c>
      <c r="H72" s="17" t="s">
        <v>55</v>
      </c>
      <c r="I72" s="18">
        <v>1</v>
      </c>
      <c r="J72" s="18">
        <v>1</v>
      </c>
      <c r="K72" s="18">
        <v>1</v>
      </c>
      <c r="L72" s="18">
        <v>1</v>
      </c>
      <c r="M72" s="18">
        <f t="shared" si="1"/>
        <v>4</v>
      </c>
      <c r="N72" s="18">
        <f>IF(OR(H72="",H72="sif",H72="PM"),0,VLOOKUP(H72,[5]CU!$C$4:$H$255,6,FALSE))</f>
        <v>0</v>
      </c>
      <c r="O72" s="18"/>
      <c r="P72" s="18"/>
      <c r="Q72" s="18"/>
      <c r="R72" s="18"/>
      <c r="S72" s="18"/>
      <c r="T72" s="23" t="s">
        <v>56</v>
      </c>
      <c r="U72" s="18" t="s">
        <v>40</v>
      </c>
      <c r="V72" s="18" t="str">
        <f>IF(OR($H72="",$H72="sif",$H72="PM"),"",VLOOKUP($H72,[5]CU!$C$5:$J$255,8,FALSE))</f>
        <v/>
      </c>
      <c r="W72" s="18" t="s">
        <v>142</v>
      </c>
      <c r="X72" s="18" t="s">
        <v>144</v>
      </c>
      <c r="Y72" s="19" t="s">
        <v>32</v>
      </c>
      <c r="Z72" s="18" t="str">
        <f>A72 &amp; "-" &amp; VLOOKUP(A72,[4]PROGRAMMES!$E$1:$F$7,2,FALSE)</f>
        <v>1-Accès et équité à l'enseignement général</v>
      </c>
      <c r="AA72" s="19" t="str">
        <f>B72 &amp; "-" &amp; VLOOKUP(B72,[4]SOUSPROGRAMMES!$E$1:$F$44,2,FALSE)</f>
        <v>11- Accès équitable au préscolaire</v>
      </c>
      <c r="AB72" s="19" t="str">
        <f>C72 &amp; "-" &amp; VLOOKUP(C72,[4]RESULTATS!$E$1:$F$176,2,FALSE)</f>
        <v xml:space="preserve">114- Les CEC et les établissements préscolaires publics sont dotées en éducateurs en nombre suffisant </v>
      </c>
      <c r="AC72" s="20" t="str">
        <f>D72 &amp; "-" &amp; VLOOKUP(D72,[4]STRATEGIES!$E$1:$F$504,2,FALSE)</f>
        <v>1141-Recrutement d’éducateurs en nombre suffisant</v>
      </c>
      <c r="AD72" s="21" t="str">
        <f t="shared" si="13"/>
        <v>11412-Organisation de concours de recrutement des éducateurs au niveau déconcentré/décentralisé (organisé par la fonction publique)</v>
      </c>
    </row>
    <row r="73" spans="1:30" s="22" customFormat="1" ht="45" hidden="1" customHeight="1" x14ac:dyDescent="0.8">
      <c r="A73" s="14">
        <v>1</v>
      </c>
      <c r="B73" s="15">
        <v>11</v>
      </c>
      <c r="C73" s="15">
        <v>114</v>
      </c>
      <c r="D73" s="15">
        <v>1141</v>
      </c>
      <c r="E73" s="15">
        <v>11413</v>
      </c>
      <c r="F73" s="16" t="s">
        <v>145</v>
      </c>
      <c r="G73" s="21" t="s">
        <v>146</v>
      </c>
      <c r="H73" s="17" t="s">
        <v>147</v>
      </c>
      <c r="I73" s="18"/>
      <c r="J73" s="18">
        <f>68*94.32%</f>
        <v>64.137599999999992</v>
      </c>
      <c r="K73" s="18">
        <f>66*94.32%</f>
        <v>62.251199999999997</v>
      </c>
      <c r="L73" s="18">
        <f>63*94.32%</f>
        <v>59.421599999999998</v>
      </c>
      <c r="M73" s="18">
        <f>SUM(I73:L73)</f>
        <v>185.81039999999999</v>
      </c>
      <c r="N73" s="18">
        <f>IF(OR(H73="",H73="sif",H73="PM"),0,VLOOKUP(H73,[5]CU!$C$4:$H$255,6,FALSE))</f>
        <v>26.97945149076298</v>
      </c>
      <c r="O73" s="18">
        <f>$N73*I73</f>
        <v>0</v>
      </c>
      <c r="P73" s="18">
        <f>$N73*J73</f>
        <v>1730.3972679339595</v>
      </c>
      <c r="Q73" s="18">
        <f>$N73*K73</f>
        <v>1679.5032306417843</v>
      </c>
      <c r="R73" s="18">
        <f>$N73*L73</f>
        <v>1603.1621747035215</v>
      </c>
      <c r="S73" s="18">
        <f>SUM(O73:R73)</f>
        <v>5013.0626732792653</v>
      </c>
      <c r="T73" s="23" t="s">
        <v>56</v>
      </c>
      <c r="U73" s="18" t="s">
        <v>40</v>
      </c>
      <c r="V73" s="18" t="str">
        <f>IF(OR($H73="",$H73="sif",$H73="PM"),"",VLOOKUP($H73,[5]CU!$C$5:$J$255,8,FALSE))</f>
        <v>2. Personnel</v>
      </c>
      <c r="W73" s="18" t="s">
        <v>142</v>
      </c>
      <c r="X73" s="18" t="s">
        <v>144</v>
      </c>
      <c r="Y73" s="19" t="s">
        <v>32</v>
      </c>
      <c r="Z73" s="18" t="str">
        <f>A73 &amp; "-" &amp; VLOOKUP(A73,[4]PROGRAMMES!$E$1:$F$7,2,FALSE)</f>
        <v>1-Accès et équité à l'enseignement général</v>
      </c>
      <c r="AA73" s="19" t="str">
        <f>B73 &amp; "-" &amp; VLOOKUP(B73,[4]SOUSPROGRAMMES!$E$1:$F$44,2,FALSE)</f>
        <v>11- Accès équitable au préscolaire</v>
      </c>
      <c r="AB73" s="19" t="str">
        <f>C73 &amp; "-" &amp; VLOOKUP(C73,[4]RESULTATS!$E$1:$F$176,2,FALSE)</f>
        <v xml:space="preserve">114- Les CEC et les établissements préscolaires publics sont dotées en éducateurs en nombre suffisant </v>
      </c>
      <c r="AC73" s="20" t="str">
        <f>D73 &amp; "-" &amp; VLOOKUP(D73,[4]STRATEGIES!$E$1:$F$504,2,FALSE)</f>
        <v>1141-Recrutement d’éducateurs en nombre suffisant</v>
      </c>
      <c r="AD73" s="21" t="str">
        <f t="shared" si="13"/>
        <v>11413-Prise en charge des candidats retenus après leur prise de service</v>
      </c>
    </row>
    <row r="74" spans="1:30" s="22" customFormat="1" ht="45" hidden="1" customHeight="1" x14ac:dyDescent="0.8">
      <c r="A74" s="14">
        <v>1</v>
      </c>
      <c r="B74" s="15">
        <v>11</v>
      </c>
      <c r="C74" s="15">
        <v>114</v>
      </c>
      <c r="D74" s="15">
        <v>1141</v>
      </c>
      <c r="E74" s="15">
        <v>11413</v>
      </c>
      <c r="F74" s="16" t="s">
        <v>145</v>
      </c>
      <c r="G74" s="21" t="s">
        <v>146</v>
      </c>
      <c r="H74" s="17" t="s">
        <v>147</v>
      </c>
      <c r="I74" s="18"/>
      <c r="J74" s="18">
        <f>68*5.68%</f>
        <v>3.8623999999999996</v>
      </c>
      <c r="K74" s="18">
        <f>66*5.68%</f>
        <v>3.7487999999999997</v>
      </c>
      <c r="L74" s="18">
        <f>63*5.68%</f>
        <v>3.5783999999999998</v>
      </c>
      <c r="M74" s="18">
        <f t="shared" si="1"/>
        <v>11.189599999999999</v>
      </c>
      <c r="N74" s="18">
        <f>IF(OR(H74="",H74="sif",H74="PM"),0,VLOOKUP(H74,[5]CU!$C$4:$H$255,6,FALSE))</f>
        <v>26.97945149076298</v>
      </c>
      <c r="O74" s="18">
        <f t="shared" ref="O74:R75" si="14">$N74*I74</f>
        <v>0</v>
      </c>
      <c r="P74" s="18">
        <f t="shared" si="14"/>
        <v>104.20543343792292</v>
      </c>
      <c r="Q74" s="18">
        <f t="shared" si="14"/>
        <v>101.14056774857225</v>
      </c>
      <c r="R74" s="18">
        <f t="shared" si="14"/>
        <v>96.543269214546243</v>
      </c>
      <c r="S74" s="18">
        <f>SUM(O74:R74)</f>
        <v>301.88927040104141</v>
      </c>
      <c r="T74" s="23" t="s">
        <v>118</v>
      </c>
      <c r="U74" s="18" t="s">
        <v>40</v>
      </c>
      <c r="V74" s="18" t="str">
        <f>IF(OR($H74="",$H74="sif",$H74="PM"),"",VLOOKUP($H74,[5]CU!$C$5:$J$255,8,FALSE))</f>
        <v>2. Personnel</v>
      </c>
      <c r="W74" s="18" t="s">
        <v>142</v>
      </c>
      <c r="X74" s="18" t="s">
        <v>144</v>
      </c>
      <c r="Y74" s="19" t="s">
        <v>32</v>
      </c>
      <c r="Z74" s="18" t="str">
        <f>A74 &amp; "-" &amp; VLOOKUP(A74,[4]PROGRAMMES!$E$1:$F$7,2,FALSE)</f>
        <v>1-Accès et équité à l'enseignement général</v>
      </c>
      <c r="AA74" s="19" t="str">
        <f>B74 &amp; "-" &amp; VLOOKUP(B74,[4]SOUSPROGRAMMES!$E$1:$F$44,2,FALSE)</f>
        <v>11- Accès équitable au préscolaire</v>
      </c>
      <c r="AB74" s="19" t="str">
        <f>C74 &amp; "-" &amp; VLOOKUP(C74,[4]RESULTATS!$E$1:$F$176,2,FALSE)</f>
        <v xml:space="preserve">114- Les CEC et les établissements préscolaires publics sont dotées en éducateurs en nombre suffisant </v>
      </c>
      <c r="AC74" s="20" t="str">
        <f>D74 &amp; "-" &amp; VLOOKUP(D74,[4]STRATEGIES!$E$1:$F$504,2,FALSE)</f>
        <v>1141-Recrutement d’éducateurs en nombre suffisant</v>
      </c>
      <c r="AD74" s="21" t="str">
        <f t="shared" si="13"/>
        <v>11413-Prise en charge des candidats retenus après leur prise de service</v>
      </c>
    </row>
    <row r="75" spans="1:30" s="22" customFormat="1" ht="45" hidden="1" customHeight="1" x14ac:dyDescent="0.8">
      <c r="A75" s="14">
        <v>1</v>
      </c>
      <c r="B75" s="15">
        <v>11</v>
      </c>
      <c r="C75" s="15">
        <v>114</v>
      </c>
      <c r="D75" s="15">
        <v>1141</v>
      </c>
      <c r="E75" s="15">
        <v>11414</v>
      </c>
      <c r="F75" s="16" t="s">
        <v>148</v>
      </c>
      <c r="G75" s="21" t="s">
        <v>149</v>
      </c>
      <c r="H75" s="17" t="s">
        <v>150</v>
      </c>
      <c r="I75" s="18">
        <v>0.64587672675183305</v>
      </c>
      <c r="J75" s="18">
        <v>0.65612691651796995</v>
      </c>
      <c r="K75" s="18">
        <v>0.98880131112164604</v>
      </c>
      <c r="L75" s="18">
        <v>1.35507177236038</v>
      </c>
      <c r="M75" s="18">
        <f t="shared" si="1"/>
        <v>3.6458767267518288</v>
      </c>
      <c r="N75" s="18">
        <f>IF(OR(H75="",H75="sif",H75="PM"),0,VLOOKUP(H75,[5]CU!$C$4:$H$255,6,FALSE))</f>
        <v>46555.023127581044</v>
      </c>
      <c r="O75" s="18">
        <f t="shared" si="14"/>
        <v>30068.805951497929</v>
      </c>
      <c r="P75" s="18">
        <f t="shared" si="14"/>
        <v>30546.003773122527</v>
      </c>
      <c r="Q75" s="18">
        <f t="shared" si="14"/>
        <v>46033.667907850693</v>
      </c>
      <c r="R75" s="18">
        <f t="shared" si="14"/>
        <v>63085.397701769725</v>
      </c>
      <c r="S75" s="18">
        <f>SUM(O75:R75)</f>
        <v>169733.87533424087</v>
      </c>
      <c r="T75" s="23" t="s">
        <v>56</v>
      </c>
      <c r="U75" s="18" t="s">
        <v>40</v>
      </c>
      <c r="V75" s="18" t="str">
        <f>IF(OR($H75="",$H75="sif",$H75="PM"),"",VLOOKUP($H75,[5]CU!$C$5:$J$255,8,FALSE))</f>
        <v>2. Personnel</v>
      </c>
      <c r="W75" s="18" t="s">
        <v>142</v>
      </c>
      <c r="X75" s="18" t="s">
        <v>96</v>
      </c>
      <c r="Y75" s="19" t="s">
        <v>32</v>
      </c>
      <c r="Z75" s="18" t="str">
        <f>A75 &amp; "-" &amp; VLOOKUP(A75,[4]PROGRAMMES!$E$1:$F$7,2,FALSE)</f>
        <v>1-Accès et équité à l'enseignement général</v>
      </c>
      <c r="AA75" s="19" t="str">
        <f>B75 &amp; "-" &amp; VLOOKUP(B75,[4]SOUSPROGRAMMES!$E$1:$F$44,2,FALSE)</f>
        <v>11- Accès équitable au préscolaire</v>
      </c>
      <c r="AB75" s="19" t="str">
        <f>C75 &amp; "-" &amp; VLOOKUP(C75,[4]RESULTATS!$E$1:$F$176,2,FALSE)</f>
        <v xml:space="preserve">114- Les CEC et les établissements préscolaires publics sont dotées en éducateurs en nombre suffisant </v>
      </c>
      <c r="AC75" s="20" t="str">
        <f>D75 &amp; "-" &amp; VLOOKUP(D75,[4]STRATEGIES!$E$1:$F$504,2,FALSE)</f>
        <v>1141-Recrutement d’éducateurs en nombre suffisant</v>
      </c>
      <c r="AD75" s="21" t="str">
        <f t="shared" si="13"/>
        <v>11414-prise en charge des salaires du personnel dans les établissements du préscolaire</v>
      </c>
    </row>
    <row r="76" spans="1:30" s="22" customFormat="1" ht="45" hidden="1" customHeight="1" x14ac:dyDescent="0.8">
      <c r="A76" s="14">
        <v>1</v>
      </c>
      <c r="B76" s="15">
        <v>11</v>
      </c>
      <c r="C76" s="15">
        <v>114</v>
      </c>
      <c r="D76" s="15">
        <v>1141</v>
      </c>
      <c r="E76" s="15">
        <v>11415</v>
      </c>
      <c r="F76" s="16" t="s">
        <v>151</v>
      </c>
      <c r="G76" s="21" t="s">
        <v>92</v>
      </c>
      <c r="H76" s="17" t="s">
        <v>55</v>
      </c>
      <c r="I76" s="18">
        <v>1</v>
      </c>
      <c r="J76" s="18">
        <v>1</v>
      </c>
      <c r="K76" s="18">
        <v>1</v>
      </c>
      <c r="L76" s="18">
        <v>1</v>
      </c>
      <c r="M76" s="18"/>
      <c r="N76" s="18">
        <f>IF(OR(H76="",H76="sif",H76="PM"),0,VLOOKUP(H76,[5]CU!$C$4:$H$255,6,FALSE))</f>
        <v>0</v>
      </c>
      <c r="O76" s="18"/>
      <c r="P76" s="18"/>
      <c r="Q76" s="18"/>
      <c r="R76" s="18"/>
      <c r="S76" s="18"/>
      <c r="T76" s="23" t="s">
        <v>56</v>
      </c>
      <c r="U76" s="18" t="s">
        <v>40</v>
      </c>
      <c r="V76" s="18" t="str">
        <f>IF(OR($H76="",$H76="sif",$H76="PM"),"",VLOOKUP($H76,[5]CU!$C$5:$J$255,8,FALSE))</f>
        <v/>
      </c>
      <c r="W76" s="18" t="s">
        <v>142</v>
      </c>
      <c r="X76" s="18" t="s">
        <v>142</v>
      </c>
      <c r="Y76" s="19" t="s">
        <v>32</v>
      </c>
      <c r="Z76" s="18" t="str">
        <f>A76 &amp; "-" &amp; VLOOKUP(A76,[4]PROGRAMMES!$E$1:$F$7,2,FALSE)</f>
        <v>1-Accès et équité à l'enseignement général</v>
      </c>
      <c r="AA76" s="19" t="str">
        <f>B76 &amp; "-" &amp; VLOOKUP(B76,[4]SOUSPROGRAMMES!$E$1:$F$44,2,FALSE)</f>
        <v>11- Accès équitable au préscolaire</v>
      </c>
      <c r="AB76" s="19" t="str">
        <f>C76 &amp; "-" &amp; VLOOKUP(C76,[4]RESULTATS!$E$1:$F$176,2,FALSE)</f>
        <v xml:space="preserve">114- Les CEC et les établissements préscolaires publics sont dotées en éducateurs en nombre suffisant </v>
      </c>
      <c r="AC76" s="20" t="str">
        <f>D76 &amp; "-" &amp; VLOOKUP(D76,[4]STRATEGIES!$E$1:$F$504,2,FALSE)</f>
        <v>1141-Recrutement d’éducateurs en nombre suffisant</v>
      </c>
      <c r="AD76" s="21" t="str">
        <f t="shared" si="13"/>
        <v>11415-Suivi de l'allocation des éducateurs aux établissements (pris en compte dans gouvernance)</v>
      </c>
    </row>
    <row r="77" spans="1:30" s="22" customFormat="1" ht="45" hidden="1" customHeight="1" x14ac:dyDescent="0.8">
      <c r="A77" s="14">
        <v>1</v>
      </c>
      <c r="B77" s="15">
        <v>11</v>
      </c>
      <c r="C77" s="15">
        <v>114</v>
      </c>
      <c r="D77" s="15">
        <v>1142</v>
      </c>
      <c r="E77" s="15">
        <v>1142</v>
      </c>
      <c r="F77" s="16" t="s">
        <v>152</v>
      </c>
      <c r="G77" s="17"/>
      <c r="H77" s="17"/>
      <c r="I77" s="18"/>
      <c r="J77" s="18"/>
      <c r="K77" s="18"/>
      <c r="L77" s="18"/>
      <c r="M77" s="18"/>
      <c r="N77" s="18"/>
      <c r="O77" s="18"/>
      <c r="P77" s="18"/>
      <c r="Q77" s="18"/>
      <c r="R77" s="18"/>
      <c r="S77" s="18"/>
      <c r="T77" s="18"/>
      <c r="U77" s="18"/>
      <c r="V77" s="18"/>
      <c r="W77" s="18"/>
      <c r="X77" s="18"/>
      <c r="Y77" s="19" t="s">
        <v>32</v>
      </c>
      <c r="Z77" s="18" t="str">
        <f>A77 &amp; "-" &amp; VLOOKUP(A77,[4]PROGRAMMES!$E$1:$F$7,2,FALSE)</f>
        <v>1-Accès et équité à l'enseignement général</v>
      </c>
      <c r="AA77" s="19" t="str">
        <f>B77 &amp; "-" &amp; VLOOKUP(B77,[4]SOUSPROGRAMMES!$E$1:$F$44,2,FALSE)</f>
        <v>11- Accès équitable au préscolaire</v>
      </c>
      <c r="AB77" s="19" t="str">
        <f>C77 &amp; "-" &amp; VLOOKUP(C77,[4]RESULTATS!$E$1:$F$176,2,FALSE)</f>
        <v xml:space="preserve">114- Les CEC et les établissements préscolaires publics sont dotées en éducateurs en nombre suffisant </v>
      </c>
      <c r="AC77" s="20" t="str">
        <f>D77 &amp; "-" &amp; VLOOKUP(D77,[4]STRATEGIES!$E$1:$F$504,2,FALSE)</f>
        <v>1142-Prise en charge progressive de la rémunération des éducateurs communautaires par l’Etat</v>
      </c>
      <c r="AD77" s="21" t="str">
        <f t="shared" si="13"/>
        <v>1142-Prise en charge progressive de la rémunération des éducateurs communautaires par l’Etat</v>
      </c>
    </row>
    <row r="78" spans="1:30" s="22" customFormat="1" ht="45" hidden="1" customHeight="1" x14ac:dyDescent="0.8">
      <c r="A78" s="14">
        <v>1</v>
      </c>
      <c r="B78" s="15">
        <v>11</v>
      </c>
      <c r="C78" s="15">
        <v>114</v>
      </c>
      <c r="D78" s="15">
        <v>1142</v>
      </c>
      <c r="E78" s="15">
        <v>11421</v>
      </c>
      <c r="F78" s="16" t="s">
        <v>153</v>
      </c>
      <c r="G78" s="21" t="s">
        <v>58</v>
      </c>
      <c r="H78" s="17" t="s">
        <v>59</v>
      </c>
      <c r="I78" s="18"/>
      <c r="J78" s="18">
        <f>4*5*8</f>
        <v>160</v>
      </c>
      <c r="K78" s="18"/>
      <c r="L78" s="18"/>
      <c r="M78" s="18">
        <f t="shared" ref="M78:M115" si="15">SUM(I78:L78)</f>
        <v>160</v>
      </c>
      <c r="N78" s="18">
        <f>IF(OR(H78="",H78="sif",H78="PM"),0,VLOOKUP(H78,[5]CU!$C$4:$H$255,6,FALSE))</f>
        <v>0.8177777777777776</v>
      </c>
      <c r="O78" s="18">
        <f t="shared" ref="O78:R79" si="16">$N78*I78</f>
        <v>0</v>
      </c>
      <c r="P78" s="18">
        <f t="shared" si="16"/>
        <v>130.84444444444441</v>
      </c>
      <c r="Q78" s="18">
        <f t="shared" si="16"/>
        <v>0</v>
      </c>
      <c r="R78" s="18">
        <f t="shared" si="16"/>
        <v>0</v>
      </c>
      <c r="S78" s="18">
        <f>SUM(O78:R78)</f>
        <v>130.84444444444441</v>
      </c>
      <c r="T78" s="23" t="s">
        <v>56</v>
      </c>
      <c r="U78" s="18" t="s">
        <v>40</v>
      </c>
      <c r="V78" s="18" t="str">
        <f>IF(OR($H78="",$H78="sif",$H78="PM"),"",VLOOKUP($H78,[5]CU!$C$5:$J$255,8,FALSE))</f>
        <v>3. Dépenses de fonctionnement</v>
      </c>
      <c r="W78" s="18" t="s">
        <v>142</v>
      </c>
      <c r="X78" s="18" t="s">
        <v>144</v>
      </c>
      <c r="Y78" s="19" t="s">
        <v>32</v>
      </c>
      <c r="Z78" s="18" t="str">
        <f>A78 &amp; "-" &amp; VLOOKUP(A78,[4]PROGRAMMES!$E$1:$F$7,2,FALSE)</f>
        <v>1-Accès et équité à l'enseignement général</v>
      </c>
      <c r="AA78" s="19" t="str">
        <f>B78 &amp; "-" &amp; VLOOKUP(B78,[4]SOUSPROGRAMMES!$E$1:$F$44,2,FALSE)</f>
        <v>11- Accès équitable au préscolaire</v>
      </c>
      <c r="AB78" s="19" t="str">
        <f>C78 &amp; "-" &amp; VLOOKUP(C78,[4]RESULTATS!$E$1:$F$176,2,FALSE)</f>
        <v xml:space="preserve">114- Les CEC et les établissements préscolaires publics sont dotées en éducateurs en nombre suffisant </v>
      </c>
      <c r="AC78" s="20" t="str">
        <f>D78 &amp; "-" &amp; VLOOKUP(D78,[4]STRATEGIES!$E$1:$F$504,2,FALSE)</f>
        <v>1142-Prise en charge progressive de la rémunération des éducateurs communautaires par l’Etat</v>
      </c>
      <c r="AD78" s="21" t="str">
        <f t="shared" si="13"/>
        <v>11421-Identification et évaluation des éducateurs communautaires en service</v>
      </c>
    </row>
    <row r="79" spans="1:30" s="22" customFormat="1" ht="45" hidden="1" customHeight="1" x14ac:dyDescent="0.8">
      <c r="A79" s="14">
        <v>1</v>
      </c>
      <c r="B79" s="15">
        <v>11</v>
      </c>
      <c r="C79" s="15">
        <v>114</v>
      </c>
      <c r="D79" s="15">
        <v>1142</v>
      </c>
      <c r="E79" s="15">
        <v>11422</v>
      </c>
      <c r="F79" s="16" t="s">
        <v>154</v>
      </c>
      <c r="G79" s="21" t="s">
        <v>155</v>
      </c>
      <c r="H79" s="17" t="s">
        <v>156</v>
      </c>
      <c r="I79" s="18"/>
      <c r="J79" s="18">
        <v>145</v>
      </c>
      <c r="K79" s="18">
        <v>211</v>
      </c>
      <c r="L79" s="18">
        <v>293</v>
      </c>
      <c r="M79" s="18">
        <f t="shared" si="15"/>
        <v>649</v>
      </c>
      <c r="N79" s="18">
        <f>IF(OR(H79="",H79="sif",H79="PM"),0,VLOOKUP(H79,[5]CU!$C$4:$H$255,6,FALSE))</f>
        <v>13.489725745381435</v>
      </c>
      <c r="O79" s="18">
        <f t="shared" si="16"/>
        <v>0</v>
      </c>
      <c r="P79" s="18">
        <f t="shared" si="16"/>
        <v>1956.0102330803081</v>
      </c>
      <c r="Q79" s="18">
        <f t="shared" si="16"/>
        <v>2846.3321322754828</v>
      </c>
      <c r="R79" s="18">
        <f t="shared" si="16"/>
        <v>3952.4896433967606</v>
      </c>
      <c r="S79" s="18">
        <f>SUM(O79:R79)</f>
        <v>8754.8320087525517</v>
      </c>
      <c r="T79" s="23" t="s">
        <v>56</v>
      </c>
      <c r="U79" s="18" t="s">
        <v>40</v>
      </c>
      <c r="V79" s="18" t="str">
        <f>IF(OR($H79="",$H79="sif",$H79="PM"),"",VLOOKUP($H79,[5]CU!$C$5:$J$255,8,FALSE))</f>
        <v>2. Personnel</v>
      </c>
      <c r="W79" s="18" t="s">
        <v>142</v>
      </c>
      <c r="X79" s="18" t="s">
        <v>142</v>
      </c>
      <c r="Y79" s="19" t="s">
        <v>32</v>
      </c>
      <c r="Z79" s="18" t="str">
        <f>A79 &amp; "-" &amp; VLOOKUP(A79,[4]PROGRAMMES!$E$1:$F$7,2,FALSE)</f>
        <v>1-Accès et équité à l'enseignement général</v>
      </c>
      <c r="AA79" s="19" t="str">
        <f>B79 &amp; "-" &amp; VLOOKUP(B79,[4]SOUSPROGRAMMES!$E$1:$F$44,2,FALSE)</f>
        <v>11- Accès équitable au préscolaire</v>
      </c>
      <c r="AB79" s="19" t="str">
        <f>C79 &amp; "-" &amp; VLOOKUP(C79,[4]RESULTATS!$E$1:$F$176,2,FALSE)</f>
        <v xml:space="preserve">114- Les CEC et les établissements préscolaires publics sont dotées en éducateurs en nombre suffisant </v>
      </c>
      <c r="AC79" s="20" t="str">
        <f>D79 &amp; "-" &amp; VLOOKUP(D79,[4]STRATEGIES!$E$1:$F$504,2,FALSE)</f>
        <v>1142-Prise en charge progressive de la rémunération des éducateurs communautaires par l’Etat</v>
      </c>
      <c r="AD79" s="21" t="str">
        <f t="shared" si="13"/>
        <v>11422-Prise en charge des élèves-éducateurs certifiés après leur reprise de service</v>
      </c>
    </row>
    <row r="80" spans="1:30" s="22" customFormat="1" ht="45" hidden="1" customHeight="1" x14ac:dyDescent="0.8">
      <c r="A80" s="14">
        <v>1</v>
      </c>
      <c r="B80" s="15">
        <v>11</v>
      </c>
      <c r="C80" s="15">
        <v>114</v>
      </c>
      <c r="D80" s="15">
        <v>1143</v>
      </c>
      <c r="E80" s="15">
        <v>1143</v>
      </c>
      <c r="F80" s="16" t="s">
        <v>157</v>
      </c>
      <c r="G80" s="17"/>
      <c r="H80" s="17"/>
      <c r="I80" s="18"/>
      <c r="J80" s="18"/>
      <c r="K80" s="18"/>
      <c r="L80" s="18"/>
      <c r="M80" s="18"/>
      <c r="N80" s="18"/>
      <c r="O80" s="18"/>
      <c r="P80" s="18"/>
      <c r="Q80" s="18"/>
      <c r="R80" s="18"/>
      <c r="S80" s="18"/>
      <c r="T80" s="18"/>
      <c r="U80" s="18"/>
      <c r="V80" s="18"/>
      <c r="W80" s="18"/>
      <c r="X80" s="18"/>
      <c r="Y80" s="19" t="s">
        <v>32</v>
      </c>
      <c r="Z80" s="18" t="str">
        <f>A80 &amp; "-" &amp; VLOOKUP(A80,[4]PROGRAMMES!$E$1:$F$7,2,FALSE)</f>
        <v>1-Accès et équité à l'enseignement général</v>
      </c>
      <c r="AA80" s="19" t="str">
        <f>B80 &amp; "-" &amp; VLOOKUP(B80,[4]SOUSPROGRAMMES!$E$1:$F$44,2,FALSE)</f>
        <v>11- Accès équitable au préscolaire</v>
      </c>
      <c r="AB80" s="19" t="str">
        <f>C80 &amp; "-" &amp; VLOOKUP(C80,[4]RESULTATS!$E$1:$F$176,2,FALSE)</f>
        <v xml:space="preserve">114- Les CEC et les établissements préscolaires publics sont dotées en éducateurs en nombre suffisant </v>
      </c>
      <c r="AC80" s="20" t="str">
        <f>D80 &amp; "-" &amp; VLOOKUP(D80,[4]STRATEGIES!$E$1:$F$504,2,FALSE)</f>
        <v>1143-Prise en charge des aides-éducateurs par l’Etat à travers de subventions aux comités de gestion</v>
      </c>
      <c r="AD80" s="21" t="str">
        <f t="shared" si="13"/>
        <v>1143-Prise en charge des aides-éducateurs par l’Etat à travers de subventions aux comités de gestion</v>
      </c>
    </row>
    <row r="81" spans="1:30" s="22" customFormat="1" ht="45" hidden="1" customHeight="1" x14ac:dyDescent="0.8">
      <c r="A81" s="14">
        <v>1</v>
      </c>
      <c r="B81" s="15">
        <v>11</v>
      </c>
      <c r="C81" s="15">
        <v>114</v>
      </c>
      <c r="D81" s="15">
        <v>1143</v>
      </c>
      <c r="E81" s="15">
        <v>11431</v>
      </c>
      <c r="F81" s="16" t="s">
        <v>158</v>
      </c>
      <c r="G81" s="21" t="s">
        <v>159</v>
      </c>
      <c r="H81" s="17" t="s">
        <v>55</v>
      </c>
      <c r="I81" s="18"/>
      <c r="J81" s="18">
        <v>1</v>
      </c>
      <c r="K81" s="18"/>
      <c r="L81" s="18"/>
      <c r="M81" s="18">
        <f t="shared" si="15"/>
        <v>1</v>
      </c>
      <c r="N81" s="18">
        <f>IF(OR(H81="",H81="sif",H81="PM"),0,VLOOKUP(H81,[5]CU!$C$4:$H$255,6,FALSE))</f>
        <v>0</v>
      </c>
      <c r="O81" s="18"/>
      <c r="P81" s="18"/>
      <c r="Q81" s="18"/>
      <c r="R81" s="18"/>
      <c r="S81" s="18"/>
      <c r="T81" s="23" t="s">
        <v>56</v>
      </c>
      <c r="U81" s="18" t="s">
        <v>40</v>
      </c>
      <c r="V81" s="18" t="str">
        <f>IF(OR($H81="",$H81="sif",$H81="PM"),"",VLOOKUP($H81,[5]CU!$C$5:$J$255,8,FALSE))</f>
        <v/>
      </c>
      <c r="W81" s="18" t="s">
        <v>41</v>
      </c>
      <c r="X81" s="18" t="s">
        <v>160</v>
      </c>
      <c r="Y81" s="19" t="s">
        <v>32</v>
      </c>
      <c r="Z81" s="18" t="str">
        <f>A81 &amp; "-" &amp; VLOOKUP(A81,[4]PROGRAMMES!$E$1:$F$7,2,FALSE)</f>
        <v>1-Accès et équité à l'enseignement général</v>
      </c>
      <c r="AA81" s="19" t="str">
        <f>B81 &amp; "-" &amp; VLOOKUP(B81,[4]SOUSPROGRAMMES!$E$1:$F$44,2,FALSE)</f>
        <v>11- Accès équitable au préscolaire</v>
      </c>
      <c r="AB81" s="19" t="str">
        <f>C81 &amp; "-" &amp; VLOOKUP(C81,[4]RESULTATS!$E$1:$F$176,2,FALSE)</f>
        <v xml:space="preserve">114- Les CEC et les établissements préscolaires publics sont dotées en éducateurs en nombre suffisant </v>
      </c>
      <c r="AC81" s="20" t="str">
        <f>D81 &amp; "-" &amp; VLOOKUP(D81,[4]STRATEGIES!$E$1:$F$504,2,FALSE)</f>
        <v>1143-Prise en charge des aides-éducateurs par l’Etat à travers de subventions aux comités de gestion</v>
      </c>
      <c r="AD81" s="21" t="str">
        <f t="shared" si="13"/>
        <v>11431-Identification et évaluation des aides-éducateurs communautaires en service ( Voir activité 11421)</v>
      </c>
    </row>
    <row r="82" spans="1:30" s="22" customFormat="1" ht="45" hidden="1" customHeight="1" x14ac:dyDescent="0.8">
      <c r="A82" s="14">
        <v>1</v>
      </c>
      <c r="B82" s="15">
        <v>11</v>
      </c>
      <c r="C82" s="15">
        <v>114</v>
      </c>
      <c r="D82" s="15">
        <v>1143</v>
      </c>
      <c r="E82" s="15">
        <v>11432</v>
      </c>
      <c r="F82" s="16" t="s">
        <v>161</v>
      </c>
      <c r="G82" s="21" t="s">
        <v>37</v>
      </c>
      <c r="H82" s="17" t="s">
        <v>66</v>
      </c>
      <c r="I82" s="18"/>
      <c r="J82" s="18">
        <f>30*3</f>
        <v>90</v>
      </c>
      <c r="K82" s="18"/>
      <c r="L82" s="18"/>
      <c r="M82" s="18">
        <f t="shared" si="15"/>
        <v>90</v>
      </c>
      <c r="N82" s="18">
        <f>IF(OR(H82="",H82="sif",H82="PM"),0,VLOOKUP(H82,[5]CU!$C$4:$H$255,6,FALSE))</f>
        <v>0.255</v>
      </c>
      <c r="O82" s="18">
        <f>$N82*I82</f>
        <v>0</v>
      </c>
      <c r="P82" s="18">
        <f>$N82*J82</f>
        <v>22.95</v>
      </c>
      <c r="Q82" s="18">
        <f>$N82*K82</f>
        <v>0</v>
      </c>
      <c r="R82" s="18">
        <f>$N82*L82</f>
        <v>0</v>
      </c>
      <c r="S82" s="18">
        <f>SUM(O82:R82)</f>
        <v>22.95</v>
      </c>
      <c r="T82" s="23" t="s">
        <v>56</v>
      </c>
      <c r="U82" s="18" t="s">
        <v>40</v>
      </c>
      <c r="V82" s="18" t="str">
        <f>IF(OR($H82="",$H82="sif",$H82="PM"),"",VLOOKUP($H82,[5]CU!$C$5:$J$255,8,FALSE))</f>
        <v>3. Dépenses de fonctionnement</v>
      </c>
      <c r="W82" s="18" t="s">
        <v>41</v>
      </c>
      <c r="X82" s="18" t="s">
        <v>160</v>
      </c>
      <c r="Y82" s="19" t="s">
        <v>32</v>
      </c>
      <c r="Z82" s="18" t="str">
        <f>A82 &amp; "-" &amp; VLOOKUP(A82,[4]PROGRAMMES!$E$1:$F$7,2,FALSE)</f>
        <v>1-Accès et équité à l'enseignement général</v>
      </c>
      <c r="AA82" s="19" t="str">
        <f>B82 &amp; "-" &amp; VLOOKUP(B82,[4]SOUSPROGRAMMES!$E$1:$F$44,2,FALSE)</f>
        <v>11- Accès équitable au préscolaire</v>
      </c>
      <c r="AB82" s="19" t="str">
        <f>C82 &amp; "-" &amp; VLOOKUP(C82,[4]RESULTATS!$E$1:$F$176,2,FALSE)</f>
        <v xml:space="preserve">114- Les CEC et les établissements préscolaires publics sont dotées en éducateurs en nombre suffisant </v>
      </c>
      <c r="AC82" s="20" t="str">
        <f>D82 &amp; "-" &amp; VLOOKUP(D82,[4]STRATEGIES!$E$1:$F$504,2,FALSE)</f>
        <v>1143-Prise en charge des aides-éducateurs par l’Etat à travers de subventions aux comités de gestion</v>
      </c>
      <c r="AD82" s="21" t="str">
        <f t="shared" si="13"/>
        <v>11432-Elaboration et adoption d'un protocole d'accord avec les CR pour la prise en charge des aides-éducateurs</v>
      </c>
    </row>
    <row r="83" spans="1:30" s="22" customFormat="1" ht="45" hidden="1" customHeight="1" x14ac:dyDescent="0.8">
      <c r="A83" s="14">
        <v>1</v>
      </c>
      <c r="B83" s="15">
        <v>11</v>
      </c>
      <c r="C83" s="15">
        <v>114</v>
      </c>
      <c r="D83" s="15">
        <v>1143</v>
      </c>
      <c r="E83" s="15">
        <v>11433</v>
      </c>
      <c r="F83" s="16" t="s">
        <v>162</v>
      </c>
      <c r="G83" s="21" t="s">
        <v>92</v>
      </c>
      <c r="H83" s="17" t="s">
        <v>55</v>
      </c>
      <c r="I83" s="18"/>
      <c r="J83" s="18">
        <v>872</v>
      </c>
      <c r="K83" s="18">
        <v>970</v>
      </c>
      <c r="L83" s="18">
        <v>1074</v>
      </c>
      <c r="M83" s="18">
        <f t="shared" si="15"/>
        <v>2916</v>
      </c>
      <c r="N83" s="18">
        <f>IF(OR(H83="",H83="sif",H83="PM"),0,VLOOKUP(H83,[5]CU!$C$4:$H$255,6,FALSE))</f>
        <v>0</v>
      </c>
      <c r="O83" s="18"/>
      <c r="P83" s="18"/>
      <c r="Q83" s="18"/>
      <c r="R83" s="18"/>
      <c r="S83" s="18"/>
      <c r="T83" s="23" t="s">
        <v>56</v>
      </c>
      <c r="U83" s="18" t="s">
        <v>40</v>
      </c>
      <c r="V83" s="18" t="str">
        <f>IF(OR($H83="",$H83="sif",$H83="PM"),"",VLOOKUP($H83,[5]CU!$C$5:$J$255,8,FALSE))</f>
        <v/>
      </c>
      <c r="W83" s="18" t="s">
        <v>41</v>
      </c>
      <c r="X83" s="18" t="s">
        <v>160</v>
      </c>
      <c r="Y83" s="19" t="s">
        <v>32</v>
      </c>
      <c r="Z83" s="18" t="str">
        <f>A83 &amp; "-" &amp; VLOOKUP(A83,[4]PROGRAMMES!$E$1:$F$7,2,FALSE)</f>
        <v>1-Accès et équité à l'enseignement général</v>
      </c>
      <c r="AA83" s="19" t="str">
        <f>B83 &amp; "-" &amp; VLOOKUP(B83,[4]SOUSPROGRAMMES!$E$1:$F$44,2,FALSE)</f>
        <v>11- Accès équitable au préscolaire</v>
      </c>
      <c r="AB83" s="19" t="str">
        <f>C83 &amp; "-" &amp; VLOOKUP(C83,[4]RESULTATS!$E$1:$F$176,2,FALSE)</f>
        <v xml:space="preserve">114- Les CEC et les établissements préscolaires publics sont dotées en éducateurs en nombre suffisant </v>
      </c>
      <c r="AC83" s="20" t="str">
        <f>D83 &amp; "-" &amp; VLOOKUP(D83,[4]STRATEGIES!$E$1:$F$504,2,FALSE)</f>
        <v>1143-Prise en charge des aides-éducateurs par l’Etat à travers de subventions aux comités de gestion</v>
      </c>
      <c r="AD83" s="21" t="str">
        <f t="shared" si="13"/>
        <v>11433-Prise en charge des aides-éducateurs suivant le protocole adopté (pris en charge par les CT)</v>
      </c>
    </row>
    <row r="84" spans="1:30" s="22" customFormat="1" ht="30" hidden="1" customHeight="1" x14ac:dyDescent="0.8">
      <c r="A84" s="14">
        <v>1</v>
      </c>
      <c r="B84" s="15">
        <v>12</v>
      </c>
      <c r="C84" s="15">
        <v>12</v>
      </c>
      <c r="D84" s="15">
        <v>12</v>
      </c>
      <c r="E84" s="15">
        <v>12</v>
      </c>
      <c r="F84" s="16" t="s">
        <v>163</v>
      </c>
      <c r="G84" s="17"/>
      <c r="H84" s="17"/>
      <c r="I84" s="18"/>
      <c r="J84" s="18"/>
      <c r="K84" s="18"/>
      <c r="L84" s="18"/>
      <c r="M84" s="18"/>
      <c r="N84" s="18"/>
      <c r="O84" s="18"/>
      <c r="P84" s="18"/>
      <c r="Q84" s="18"/>
      <c r="R84" s="18"/>
      <c r="S84" s="18"/>
      <c r="T84" s="18"/>
      <c r="U84" s="18"/>
      <c r="V84" s="18"/>
      <c r="W84" s="18"/>
      <c r="X84" s="18"/>
      <c r="Y84" s="19" t="s">
        <v>32</v>
      </c>
      <c r="Z84" s="18" t="str">
        <f>A84 &amp; "-" &amp; VLOOKUP(A84,[4]PROGRAMMES!$E$1:$F$7,2,FALSE)</f>
        <v>1-Accès et équité à l'enseignement général</v>
      </c>
      <c r="AA84" s="19" t="str">
        <f>B84 &amp; "-" &amp; VLOOKUP(B84,[4]SOUSPROGRAMMES!$E$1:$F$44,2,FALSE)</f>
        <v>12- Accès équitable et achèvement du primaire</v>
      </c>
      <c r="AB84" s="19" t="str">
        <f>C84 &amp; "-" &amp; VLOOKUP(C84,[4]RESULTATS!$E$1:$F$176,2,FALSE)</f>
        <v>12- Accès équitable et achèvement du primaire</v>
      </c>
      <c r="AC84" s="20" t="str">
        <f>D84 &amp; "-" &amp; VLOOKUP(D84,[4]STRATEGIES!$E$1:$F$504,2,FALSE)</f>
        <v>12- Accès équitable et achèvement du primaire</v>
      </c>
      <c r="AD84" s="21" t="str">
        <f t="shared" si="13"/>
        <v>12- Accès équitable et achèvement du primaire</v>
      </c>
    </row>
    <row r="85" spans="1:30" s="22" customFormat="1" ht="30" hidden="1" customHeight="1" x14ac:dyDescent="0.8">
      <c r="A85" s="14">
        <v>1</v>
      </c>
      <c r="B85" s="15">
        <v>12</v>
      </c>
      <c r="C85" s="15">
        <v>121</v>
      </c>
      <c r="D85" s="15">
        <v>121</v>
      </c>
      <c r="E85" s="15">
        <v>121</v>
      </c>
      <c r="F85" s="16" t="s">
        <v>164</v>
      </c>
      <c r="G85" s="17"/>
      <c r="H85" s="17"/>
      <c r="I85" s="18"/>
      <c r="J85" s="18"/>
      <c r="K85" s="18"/>
      <c r="L85" s="18"/>
      <c r="M85" s="18"/>
      <c r="N85" s="18"/>
      <c r="O85" s="18"/>
      <c r="P85" s="18"/>
      <c r="Q85" s="18"/>
      <c r="R85" s="18"/>
      <c r="S85" s="18"/>
      <c r="T85" s="18"/>
      <c r="U85" s="18"/>
      <c r="V85" s="18"/>
      <c r="W85" s="18"/>
      <c r="X85" s="18"/>
      <c r="Y85" s="19" t="s">
        <v>32</v>
      </c>
      <c r="Z85" s="18" t="str">
        <f>A85 &amp; "-" &amp; VLOOKUP(A85,[4]PROGRAMMES!$E$1:$F$7,2,FALSE)</f>
        <v>1-Accès et équité à l'enseignement général</v>
      </c>
      <c r="AA85" s="19" t="str">
        <f>B85 &amp; "-" &amp; VLOOKUP(B85,[4]SOUSPROGRAMMES!$E$1:$F$44,2,FALSE)</f>
        <v>12- Accès équitable et achèvement du primaire</v>
      </c>
      <c r="AB85" s="19" t="str">
        <f>C85 &amp; "-" &amp; VLOOKUP(C85,[4]RESULTATS!$E$1:$F$176,2,FALSE)</f>
        <v xml:space="preserve">121- Tous les enfants de 6 ans sont inscrits au primaire </v>
      </c>
      <c r="AC85" s="20" t="str">
        <f>D85 &amp; "-" &amp; VLOOKUP(D85,[4]STRATEGIES!$E$1:$F$504,2,FALSE)</f>
        <v xml:space="preserve">121- Tous les enfants de 6 ans sont inscrits au primaire </v>
      </c>
      <c r="AD85" s="21" t="str">
        <f t="shared" si="13"/>
        <v xml:space="preserve">121- Tous les enfants de 6 ans sont inscrits au primaire </v>
      </c>
    </row>
    <row r="86" spans="1:30" s="22" customFormat="1" ht="30" hidden="1" customHeight="1" x14ac:dyDescent="0.8">
      <c r="A86" s="14">
        <v>1</v>
      </c>
      <c r="B86" s="15">
        <v>12</v>
      </c>
      <c r="C86" s="15">
        <v>121</v>
      </c>
      <c r="D86" s="15">
        <v>1211</v>
      </c>
      <c r="E86" s="15">
        <v>1211</v>
      </c>
      <c r="F86" s="16" t="s">
        <v>165</v>
      </c>
      <c r="G86" s="17"/>
      <c r="H86" s="17"/>
      <c r="I86" s="18"/>
      <c r="J86" s="18"/>
      <c r="K86" s="18"/>
      <c r="L86" s="18"/>
      <c r="M86" s="18"/>
      <c r="N86" s="18"/>
      <c r="O86" s="18"/>
      <c r="P86" s="18"/>
      <c r="Q86" s="18"/>
      <c r="R86" s="18"/>
      <c r="S86" s="18"/>
      <c r="T86" s="18"/>
      <c r="U86" s="18"/>
      <c r="V86" s="18"/>
      <c r="W86" s="18"/>
      <c r="X86" s="18"/>
      <c r="Y86" s="19" t="s">
        <v>32</v>
      </c>
      <c r="Z86" s="18" t="str">
        <f>A86 &amp; "-" &amp; VLOOKUP(A86,[4]PROGRAMMES!$E$1:$F$7,2,FALSE)</f>
        <v>1-Accès et équité à l'enseignement général</v>
      </c>
      <c r="AA86" s="19" t="str">
        <f>B86 &amp; "-" &amp; VLOOKUP(B86,[4]SOUSPROGRAMMES!$E$1:$F$44,2,FALSE)</f>
        <v>12- Accès équitable et achèvement du primaire</v>
      </c>
      <c r="AB86" s="19" t="str">
        <f>C86 &amp; "-" &amp; VLOOKUP(C86,[4]RESULTATS!$E$1:$F$176,2,FALSE)</f>
        <v xml:space="preserve">121- Tous les enfants de 6 ans sont inscrits au primaire </v>
      </c>
      <c r="AC86" s="20" t="str">
        <f>D86 &amp; "-" &amp; VLOOKUP(D86,[4]STRATEGIES!$E$1:$F$504,2,FALSE)</f>
        <v>1211-Identification des causes de la faiblesse de la scolarisation</v>
      </c>
      <c r="AD86" s="21" t="str">
        <f t="shared" si="13"/>
        <v>1211-Identification des causes de la faiblesse de la scolarisation</v>
      </c>
    </row>
    <row r="87" spans="1:30" ht="30" hidden="1" customHeight="1" x14ac:dyDescent="0.8">
      <c r="A87" s="25">
        <v>1</v>
      </c>
      <c r="B87" s="16">
        <v>12</v>
      </c>
      <c r="C87" s="16">
        <v>121</v>
      </c>
      <c r="D87" s="16">
        <v>1211</v>
      </c>
      <c r="E87" s="16">
        <v>12111</v>
      </c>
      <c r="F87" s="16" t="s">
        <v>166</v>
      </c>
      <c r="G87" s="21" t="s">
        <v>167</v>
      </c>
      <c r="H87" s="21" t="s">
        <v>168</v>
      </c>
      <c r="I87" s="19">
        <v>0</v>
      </c>
      <c r="J87" s="19"/>
      <c r="K87" s="19">
        <v>1</v>
      </c>
      <c r="L87" s="19"/>
      <c r="M87" s="19">
        <f t="shared" si="15"/>
        <v>1</v>
      </c>
      <c r="N87" s="19">
        <f>IF(OR(H87="",H87="sif",H87="PM"),0,VLOOKUP(H87,[5]CU!$C$4:$H$255,6,FALSE))</f>
        <v>262.5</v>
      </c>
      <c r="O87" s="19">
        <f t="shared" ref="O87:R95" si="17">$N87*I87</f>
        <v>0</v>
      </c>
      <c r="P87" s="19">
        <f t="shared" si="17"/>
        <v>0</v>
      </c>
      <c r="Q87" s="19">
        <f>$N87*K87</f>
        <v>262.5</v>
      </c>
      <c r="R87" s="19">
        <f t="shared" si="17"/>
        <v>0</v>
      </c>
      <c r="S87" s="19">
        <f t="shared" ref="S87:S94" si="18">SUM(O87:R87)</f>
        <v>262.5</v>
      </c>
      <c r="T87" s="26" t="s">
        <v>169</v>
      </c>
      <c r="U87" s="19" t="s">
        <v>170</v>
      </c>
      <c r="V87" s="19" t="str">
        <f>IF(OR($H87="",$H87="sif",$H87="PM"),"",VLOOKUP($H87,[5]CU!$C$5:$J$255,8,FALSE))</f>
        <v>3. Dépenses de fonctionnement</v>
      </c>
      <c r="W87" s="19" t="s">
        <v>96</v>
      </c>
      <c r="X87" s="19" t="s">
        <v>96</v>
      </c>
      <c r="Y87" s="19" t="s">
        <v>32</v>
      </c>
      <c r="Z87" s="19" t="str">
        <f>A87 &amp; "-" &amp; VLOOKUP(A87,[4]PROGRAMMES!$E$1:$F$7,2,FALSE)</f>
        <v>1-Accès et équité à l'enseignement général</v>
      </c>
      <c r="AA87" s="19" t="str">
        <f>B87 &amp; "-" &amp; VLOOKUP(B87,[4]SOUSPROGRAMMES!$E$1:$F$44,2,FALSE)</f>
        <v>12- Accès équitable et achèvement du primaire</v>
      </c>
      <c r="AB87" s="19" t="str">
        <f>C87 &amp; "-" &amp; VLOOKUP(C87,[4]RESULTATS!$E$1:$F$176,2,FALSE)</f>
        <v xml:space="preserve">121- Tous les enfants de 6 ans sont inscrits au primaire </v>
      </c>
      <c r="AC87" s="20" t="str">
        <f>D87 &amp; "-" &amp; VLOOKUP(D87,[4]STRATEGIES!$E$1:$F$504,2,FALSE)</f>
        <v>1211-Identification des causes de la faiblesse de la scolarisation</v>
      </c>
      <c r="AD87" s="21" t="str">
        <f t="shared" si="13"/>
        <v>12111-Etude sur les causes de la faible scolarisation</v>
      </c>
    </row>
    <row r="88" spans="1:30" ht="45" hidden="1" customHeight="1" x14ac:dyDescent="0.8">
      <c r="A88" s="25">
        <v>1</v>
      </c>
      <c r="B88" s="16">
        <v>12</v>
      </c>
      <c r="C88" s="16">
        <v>121</v>
      </c>
      <c r="D88" s="16">
        <v>1212</v>
      </c>
      <c r="E88" s="16">
        <v>1212</v>
      </c>
      <c r="F88" s="16" t="s">
        <v>171</v>
      </c>
      <c r="G88" s="21"/>
      <c r="H88" s="21"/>
      <c r="I88" s="19"/>
      <c r="J88" s="19"/>
      <c r="K88" s="19"/>
      <c r="L88" s="19"/>
      <c r="M88" s="19"/>
      <c r="N88" s="19"/>
      <c r="O88" s="19"/>
      <c r="P88" s="19"/>
      <c r="Q88" s="19"/>
      <c r="R88" s="19"/>
      <c r="S88" s="19"/>
      <c r="T88" s="19"/>
      <c r="U88" s="19"/>
      <c r="V88" s="19"/>
      <c r="W88" s="19"/>
      <c r="X88" s="19"/>
      <c r="Y88" s="19" t="s">
        <v>32</v>
      </c>
      <c r="Z88" s="19" t="str">
        <f>A88 &amp; "-" &amp; VLOOKUP(A88,[4]PROGRAMMES!$E$1:$F$7,2,FALSE)</f>
        <v>1-Accès et équité à l'enseignement général</v>
      </c>
      <c r="AA88" s="19" t="str">
        <f>B88 &amp; "-" &amp; VLOOKUP(B88,[4]SOUSPROGRAMMES!$E$1:$F$44,2,FALSE)</f>
        <v>12- Accès équitable et achèvement du primaire</v>
      </c>
      <c r="AB88" s="19" t="str">
        <f>C88 &amp; "-" &amp; VLOOKUP(C88,[4]RESULTATS!$E$1:$F$176,2,FALSE)</f>
        <v xml:space="preserve">121- Tous les enfants de 6 ans sont inscrits au primaire </v>
      </c>
      <c r="AC88" s="20" t="str">
        <f>D88 &amp; "-" &amp; VLOOKUP(D88,[4]STRATEGIES!$E$1:$F$504,2,FALSE)</f>
        <v>1212-Information/sensibilisation des parents pour la scolarisation des enfants en particulier les filles dans les zones à faible taux de scolarisation</v>
      </c>
      <c r="AD88" s="21" t="str">
        <f t="shared" si="13"/>
        <v>1212-Information/sensibilisation des parents pour la scolarisation des enfants en particulier les filles dans les zones à faible taux de scolarisation</v>
      </c>
    </row>
    <row r="89" spans="1:30" ht="30" hidden="1" customHeight="1" x14ac:dyDescent="0.8">
      <c r="A89" s="25">
        <v>1</v>
      </c>
      <c r="B89" s="16">
        <v>12</v>
      </c>
      <c r="C89" s="16">
        <v>121</v>
      </c>
      <c r="D89" s="16">
        <v>1212</v>
      </c>
      <c r="E89" s="16">
        <v>12121</v>
      </c>
      <c r="F89" s="16" t="s">
        <v>172</v>
      </c>
      <c r="G89" s="21" t="s">
        <v>37</v>
      </c>
      <c r="H89" s="21" t="s">
        <v>38</v>
      </c>
      <c r="I89" s="19">
        <v>0</v>
      </c>
      <c r="J89" s="19"/>
      <c r="K89" s="19"/>
      <c r="L89" s="19"/>
      <c r="M89" s="19">
        <f t="shared" si="15"/>
        <v>0</v>
      </c>
      <c r="N89" s="19">
        <f>IF(OR(H89="",H89="sif",H89="PM"),0,VLOOKUP(H89,[5]CU!$C$4:$H$255,6,FALSE))</f>
        <v>0.3133333333333333</v>
      </c>
      <c r="O89" s="19">
        <f t="shared" si="17"/>
        <v>0</v>
      </c>
      <c r="P89" s="19">
        <f t="shared" si="17"/>
        <v>0</v>
      </c>
      <c r="Q89" s="19">
        <f t="shared" si="17"/>
        <v>0</v>
      </c>
      <c r="R89" s="19">
        <f t="shared" si="17"/>
        <v>0</v>
      </c>
      <c r="S89" s="19">
        <f t="shared" si="18"/>
        <v>0</v>
      </c>
      <c r="T89" s="26" t="s">
        <v>169</v>
      </c>
      <c r="U89" s="19" t="s">
        <v>170</v>
      </c>
      <c r="V89" s="19" t="str">
        <f>IF(OR($H89="",$H89="sif",$H89="PM"),"",VLOOKUP($H89,[5]CU!$C$5:$J$255,8,FALSE))</f>
        <v>3. Formation</v>
      </c>
      <c r="W89" s="19" t="s">
        <v>173</v>
      </c>
      <c r="X89" s="19" t="s">
        <v>173</v>
      </c>
      <c r="Y89" s="19" t="s">
        <v>32</v>
      </c>
      <c r="Z89" s="19" t="str">
        <f>A89 &amp; "-" &amp; VLOOKUP(A89,[4]PROGRAMMES!$E$1:$F$7,2,FALSE)</f>
        <v>1-Accès et équité à l'enseignement général</v>
      </c>
      <c r="AA89" s="19" t="str">
        <f>B89 &amp; "-" &amp; VLOOKUP(B89,[4]SOUSPROGRAMMES!$E$1:$F$44,2,FALSE)</f>
        <v>12- Accès équitable et achèvement du primaire</v>
      </c>
      <c r="AB89" s="19" t="str">
        <f>C89 &amp; "-" &amp; VLOOKUP(C89,[4]RESULTATS!$E$1:$F$176,2,FALSE)</f>
        <v xml:space="preserve">121- Tous les enfants de 6 ans sont inscrits au primaire </v>
      </c>
      <c r="AC89" s="20" t="str">
        <f>D89 &amp; "-" &amp; VLOOKUP(D89,[4]STRATEGIES!$E$1:$F$504,2,FALSE)</f>
        <v>1212-Information/sensibilisation des parents pour la scolarisation des enfants en particulier les filles dans les zones à faible taux de scolarisation</v>
      </c>
      <c r="AD89" s="21" t="str">
        <f t="shared" si="13"/>
        <v>12121-Conception de messages publicitaires</v>
      </c>
    </row>
    <row r="90" spans="1:30" ht="30" hidden="1" customHeight="1" x14ac:dyDescent="0.8">
      <c r="A90" s="25">
        <v>1</v>
      </c>
      <c r="B90" s="16">
        <v>12</v>
      </c>
      <c r="C90" s="16">
        <v>121</v>
      </c>
      <c r="D90" s="16">
        <v>1212</v>
      </c>
      <c r="E90" s="16">
        <v>12122</v>
      </c>
      <c r="F90" s="16" t="s">
        <v>174</v>
      </c>
      <c r="G90" s="21" t="s">
        <v>72</v>
      </c>
      <c r="H90" s="21" t="s">
        <v>73</v>
      </c>
      <c r="I90" s="19">
        <v>0</v>
      </c>
      <c r="J90" s="19">
        <f>(38*2*15)*20%</f>
        <v>228</v>
      </c>
      <c r="K90" s="19">
        <f t="shared" ref="J90:L91" si="19">(38*2*15)*50%</f>
        <v>570</v>
      </c>
      <c r="L90" s="19">
        <f t="shared" si="19"/>
        <v>570</v>
      </c>
      <c r="M90" s="19">
        <f>SUM(I90:L90)</f>
        <v>1368</v>
      </c>
      <c r="N90" s="19">
        <f>IF(OR(H90="",H90="sif",H90="PM"),0,VLOOKUP(H90,[5]CU!$C$4:$H$255,6,FALSE))</f>
        <v>0.4</v>
      </c>
      <c r="O90" s="19">
        <f>$N90*I90</f>
        <v>0</v>
      </c>
      <c r="P90" s="19">
        <f>$N90*J90</f>
        <v>91.2</v>
      </c>
      <c r="Q90" s="19">
        <f t="shared" si="17"/>
        <v>228</v>
      </c>
      <c r="R90" s="19">
        <f>$N90*L90</f>
        <v>228</v>
      </c>
      <c r="S90" s="19">
        <f>SUM(O90:R90)</f>
        <v>547.20000000000005</v>
      </c>
      <c r="T90" s="26" t="s">
        <v>169</v>
      </c>
      <c r="U90" s="19" t="s">
        <v>170</v>
      </c>
      <c r="V90" s="19" t="str">
        <f>IF(OR($H90="",$H90="sif",$H90="PM"),"",VLOOKUP($H90,[5]CU!$C$5:$J$255,8,FALSE))</f>
        <v>3. Dépenses de fonctionnement</v>
      </c>
      <c r="W90" s="19" t="s">
        <v>173</v>
      </c>
      <c r="X90" s="19" t="s">
        <v>173</v>
      </c>
      <c r="Y90" s="19" t="s">
        <v>32</v>
      </c>
      <c r="Z90" s="19" t="str">
        <f>A90 &amp; "-" &amp; VLOOKUP(A90,[4]PROGRAMMES!$E$1:$F$7,2,FALSE)</f>
        <v>1-Accès et équité à l'enseignement général</v>
      </c>
      <c r="AA90" s="19" t="str">
        <f>B90 &amp; "-" &amp; VLOOKUP(B90,[4]SOUSPROGRAMMES!$E$1:$F$44,2,FALSE)</f>
        <v>12- Accès équitable et achèvement du primaire</v>
      </c>
      <c r="AB90" s="19" t="str">
        <f>C90 &amp; "-" &amp; VLOOKUP(C90,[4]RESULTATS!$E$1:$F$176,2,FALSE)</f>
        <v xml:space="preserve">121- Tous les enfants de 6 ans sont inscrits au primaire </v>
      </c>
      <c r="AC90" s="20" t="str">
        <f>D90 &amp; "-" &amp; VLOOKUP(D90,[4]STRATEGIES!$E$1:$F$504,2,FALSE)</f>
        <v>1212-Information/sensibilisation des parents pour la scolarisation des enfants en particulier les filles dans les zones à faible taux de scolarisation</v>
      </c>
      <c r="AD90" s="21" t="str">
        <f t="shared" si="13"/>
        <v>12122-Diffusions des messages dans les médias</v>
      </c>
    </row>
    <row r="91" spans="1:30" s="22" customFormat="1" ht="30" hidden="1" customHeight="1" x14ac:dyDescent="0.8">
      <c r="A91" s="14">
        <v>1</v>
      </c>
      <c r="B91" s="15">
        <v>12</v>
      </c>
      <c r="C91" s="15">
        <v>121</v>
      </c>
      <c r="D91" s="15">
        <v>1212</v>
      </c>
      <c r="E91" s="15">
        <v>12122</v>
      </c>
      <c r="F91" s="16" t="s">
        <v>174</v>
      </c>
      <c r="G91" s="21" t="s">
        <v>72</v>
      </c>
      <c r="H91" s="17" t="s">
        <v>73</v>
      </c>
      <c r="I91" s="18">
        <v>0</v>
      </c>
      <c r="J91" s="18">
        <f t="shared" si="19"/>
        <v>570</v>
      </c>
      <c r="K91" s="18">
        <f t="shared" si="19"/>
        <v>570</v>
      </c>
      <c r="L91" s="18">
        <f t="shared" si="19"/>
        <v>570</v>
      </c>
      <c r="M91" s="18">
        <f t="shared" si="15"/>
        <v>1710</v>
      </c>
      <c r="N91" s="18">
        <f>IF(OR(H91="",H91="sif",H91="PM"),0,VLOOKUP(H91,[5]CU!$C$4:$H$255,6,FALSE))</f>
        <v>0.4</v>
      </c>
      <c r="O91" s="18">
        <f t="shared" si="17"/>
        <v>0</v>
      </c>
      <c r="P91" s="18">
        <f t="shared" si="17"/>
        <v>228</v>
      </c>
      <c r="Q91" s="18">
        <f t="shared" si="17"/>
        <v>228</v>
      </c>
      <c r="R91" s="18">
        <f t="shared" si="17"/>
        <v>228</v>
      </c>
      <c r="S91" s="18">
        <f t="shared" si="18"/>
        <v>684</v>
      </c>
      <c r="T91" s="23" t="s">
        <v>39</v>
      </c>
      <c r="U91" s="19" t="s">
        <v>170</v>
      </c>
      <c r="V91" s="19" t="str">
        <f>IF(OR($H91="",$H91="sif",$H91="PM"),"",VLOOKUP($H91,[5]CU!$C$5:$J$255,8,FALSE))</f>
        <v>3. Dépenses de fonctionnement</v>
      </c>
      <c r="W91" s="19" t="s">
        <v>173</v>
      </c>
      <c r="X91" s="19" t="s">
        <v>173</v>
      </c>
      <c r="Y91" s="19" t="s">
        <v>32</v>
      </c>
      <c r="Z91" s="18" t="str">
        <f>A91 &amp; "-" &amp; VLOOKUP(A91,[4]PROGRAMMES!$E$1:$F$7,2,FALSE)</f>
        <v>1-Accès et équité à l'enseignement général</v>
      </c>
      <c r="AA91" s="19" t="str">
        <f>B91 &amp; "-" &amp; VLOOKUP(B91,[4]SOUSPROGRAMMES!$E$1:$F$44,2,FALSE)</f>
        <v>12- Accès équitable et achèvement du primaire</v>
      </c>
      <c r="AB91" s="19" t="str">
        <f>C91 &amp; "-" &amp; VLOOKUP(C91,[4]RESULTATS!$E$1:$F$176,2,FALSE)</f>
        <v xml:space="preserve">121- Tous les enfants de 6 ans sont inscrits au primaire </v>
      </c>
      <c r="AC91" s="20" t="str">
        <f>D91 &amp; "-" &amp; VLOOKUP(D91,[4]STRATEGIES!$E$1:$F$504,2,FALSE)</f>
        <v>1212-Information/sensibilisation des parents pour la scolarisation des enfants en particulier les filles dans les zones à faible taux de scolarisation</v>
      </c>
      <c r="AD91" s="21" t="str">
        <f t="shared" si="13"/>
        <v>12122-Diffusions des messages dans les médias</v>
      </c>
    </row>
    <row r="92" spans="1:30" s="22" customFormat="1" ht="30" hidden="1" customHeight="1" x14ac:dyDescent="0.8">
      <c r="A92" s="14">
        <v>1</v>
      </c>
      <c r="B92" s="15">
        <v>12</v>
      </c>
      <c r="C92" s="15">
        <v>121</v>
      </c>
      <c r="D92" s="15">
        <v>1212</v>
      </c>
      <c r="E92" s="15">
        <v>12123</v>
      </c>
      <c r="F92" s="16" t="s">
        <v>175</v>
      </c>
      <c r="G92" s="21" t="s">
        <v>58</v>
      </c>
      <c r="H92" s="17" t="s">
        <v>59</v>
      </c>
      <c r="I92" s="18">
        <v>0</v>
      </c>
      <c r="J92" s="18">
        <f>(3*7*10)*97.05%</f>
        <v>203.80499999999998</v>
      </c>
      <c r="K92" s="18">
        <f>(3*7*10)*97.05%</f>
        <v>203.80499999999998</v>
      </c>
      <c r="L92" s="18">
        <f>(3*7*10)*97.05%</f>
        <v>203.80499999999998</v>
      </c>
      <c r="M92" s="18">
        <f>SUM(I92:L92)</f>
        <v>611.41499999999996</v>
      </c>
      <c r="N92" s="18">
        <f>IF(OR(H92="",H92="sif",H92="PM"),0,VLOOKUP(H92,[5]CU!$C$4:$H$255,6,FALSE))</f>
        <v>0.8177777777777776</v>
      </c>
      <c r="O92" s="18">
        <f>$N92*I92</f>
        <v>0</v>
      </c>
      <c r="P92" s="18">
        <f>$N92*J92</f>
        <v>166.66719999999995</v>
      </c>
      <c r="Q92" s="18">
        <f>$N92*K92</f>
        <v>166.66719999999995</v>
      </c>
      <c r="R92" s="18">
        <f>$N92*L92</f>
        <v>166.66719999999995</v>
      </c>
      <c r="S92" s="18">
        <f>SUM(O92:R92)</f>
        <v>500.00159999999983</v>
      </c>
      <c r="T92" s="23" t="s">
        <v>67</v>
      </c>
      <c r="U92" s="18" t="s">
        <v>170</v>
      </c>
      <c r="V92" s="18" t="str">
        <f>IF(OR($H92="",$H92="sif",$H92="PM"),"",VLOOKUP($H92,[5]CU!$C$5:$J$255,8,FALSE))</f>
        <v>3. Dépenses de fonctionnement</v>
      </c>
      <c r="W92" s="18" t="s">
        <v>173</v>
      </c>
      <c r="X92" s="18" t="s">
        <v>173</v>
      </c>
      <c r="Y92" s="19" t="s">
        <v>32</v>
      </c>
      <c r="Z92" s="18" t="str">
        <f>A92 &amp; "-" &amp; VLOOKUP(A92,[4]PROGRAMMES!$E$1:$F$7,2,FALSE)</f>
        <v>1-Accès et équité à l'enseignement général</v>
      </c>
      <c r="AA92" s="19" t="str">
        <f>B92 &amp; "-" &amp; VLOOKUP(B92,[4]SOUSPROGRAMMES!$E$1:$F$44,2,FALSE)</f>
        <v>12- Accès équitable et achèvement du primaire</v>
      </c>
      <c r="AB92" s="19" t="str">
        <f>C92 &amp; "-" &amp; VLOOKUP(C92,[4]RESULTATS!$E$1:$F$176,2,FALSE)</f>
        <v xml:space="preserve">121- Tous les enfants de 6 ans sont inscrits au primaire </v>
      </c>
      <c r="AC92" s="20" t="str">
        <f>D92 &amp; "-" &amp; VLOOKUP(D92,[4]STRATEGIES!$E$1:$F$504,2,FALSE)</f>
        <v>1212-Information/sensibilisation des parents pour la scolarisation des enfants en particulier les filles dans les zones à faible taux de scolarisation</v>
      </c>
      <c r="AD92" s="21" t="str">
        <f t="shared" si="13"/>
        <v>12123-Missions de sensibilisation des communautés dans les sous-préfectures les moins scolarisées (genre et entrées précoces)</v>
      </c>
    </row>
    <row r="93" spans="1:30" s="22" customFormat="1" ht="30" hidden="1" customHeight="1" x14ac:dyDescent="0.8">
      <c r="A93" s="14">
        <v>1</v>
      </c>
      <c r="B93" s="15">
        <v>12</v>
      </c>
      <c r="C93" s="15">
        <v>121</v>
      </c>
      <c r="D93" s="15">
        <v>1212</v>
      </c>
      <c r="E93" s="15">
        <v>12123</v>
      </c>
      <c r="F93" s="16" t="s">
        <v>175</v>
      </c>
      <c r="G93" s="21" t="s">
        <v>58</v>
      </c>
      <c r="H93" s="17" t="s">
        <v>59</v>
      </c>
      <c r="I93" s="18">
        <v>0</v>
      </c>
      <c r="J93" s="18">
        <f>(3*7*10)*2.95%</f>
        <v>6.1950000000000003</v>
      </c>
      <c r="K93" s="18">
        <f>(3*7*10)*2.95%</f>
        <v>6.1950000000000003</v>
      </c>
      <c r="L93" s="18">
        <f>(3*7*10)*2.95%</f>
        <v>6.1950000000000003</v>
      </c>
      <c r="M93" s="18">
        <f t="shared" si="15"/>
        <v>18.585000000000001</v>
      </c>
      <c r="N93" s="18">
        <f>IF(OR(H93="",H93="sif",H93="PM"),0,VLOOKUP(H93,[5]CU!$C$4:$H$255,6,FALSE))</f>
        <v>0.8177777777777776</v>
      </c>
      <c r="O93" s="18">
        <f t="shared" si="17"/>
        <v>0</v>
      </c>
      <c r="P93" s="18">
        <f t="shared" si="17"/>
        <v>5.0661333333333323</v>
      </c>
      <c r="Q93" s="18">
        <f t="shared" si="17"/>
        <v>5.0661333333333323</v>
      </c>
      <c r="R93" s="18">
        <f t="shared" si="17"/>
        <v>5.0661333333333323</v>
      </c>
      <c r="S93" s="18">
        <f t="shared" si="18"/>
        <v>15.198399999999996</v>
      </c>
      <c r="T93" s="23" t="s">
        <v>118</v>
      </c>
      <c r="U93" s="18" t="s">
        <v>170</v>
      </c>
      <c r="V93" s="18" t="str">
        <f>IF(OR($H93="",$H93="sif",$H93="PM"),"",VLOOKUP($H93,[5]CU!$C$5:$J$255,8,FALSE))</f>
        <v>3. Dépenses de fonctionnement</v>
      </c>
      <c r="W93" s="18" t="s">
        <v>173</v>
      </c>
      <c r="X93" s="18" t="s">
        <v>173</v>
      </c>
      <c r="Y93" s="19" t="s">
        <v>32</v>
      </c>
      <c r="Z93" s="18" t="str">
        <f>A93 &amp; "-" &amp; VLOOKUP(A93,[4]PROGRAMMES!$E$1:$F$7,2,FALSE)</f>
        <v>1-Accès et équité à l'enseignement général</v>
      </c>
      <c r="AA93" s="19" t="str">
        <f>B93 &amp; "-" &amp; VLOOKUP(B93,[4]SOUSPROGRAMMES!$E$1:$F$44,2,FALSE)</f>
        <v>12- Accès équitable et achèvement du primaire</v>
      </c>
      <c r="AB93" s="19" t="str">
        <f>C93 &amp; "-" &amp; VLOOKUP(C93,[4]RESULTATS!$E$1:$F$176,2,FALSE)</f>
        <v xml:space="preserve">121- Tous les enfants de 6 ans sont inscrits au primaire </v>
      </c>
      <c r="AC93" s="20" t="str">
        <f>D93 &amp; "-" &amp; VLOOKUP(D93,[4]STRATEGIES!$E$1:$F$504,2,FALSE)</f>
        <v>1212-Information/sensibilisation des parents pour la scolarisation des enfants en particulier les filles dans les zones à faible taux de scolarisation</v>
      </c>
      <c r="AD93" s="21" t="str">
        <f t="shared" si="13"/>
        <v>12123-Missions de sensibilisation des communautés dans les sous-préfectures les moins scolarisées (genre et entrées précoces)</v>
      </c>
    </row>
    <row r="94" spans="1:30" s="22" customFormat="1" ht="30" hidden="1" customHeight="1" x14ac:dyDescent="0.8">
      <c r="A94" s="14">
        <v>1</v>
      </c>
      <c r="B94" s="15">
        <v>12</v>
      </c>
      <c r="C94" s="15">
        <v>121</v>
      </c>
      <c r="D94" s="15">
        <v>1212</v>
      </c>
      <c r="E94" s="15">
        <v>12124</v>
      </c>
      <c r="F94" s="16" t="s">
        <v>176</v>
      </c>
      <c r="G94" s="21" t="s">
        <v>177</v>
      </c>
      <c r="H94" s="17" t="s">
        <v>59</v>
      </c>
      <c r="I94" s="18">
        <v>0</v>
      </c>
      <c r="J94" s="18">
        <v>0</v>
      </c>
      <c r="K94" s="18">
        <v>0</v>
      </c>
      <c r="L94" s="18">
        <v>0</v>
      </c>
      <c r="M94" s="18">
        <f>SUM(I94:L94)</f>
        <v>0</v>
      </c>
      <c r="N94" s="18">
        <f>IF(OR(H94="",H94="sif",H94="PM"),0,VLOOKUP(H94,[5]CU!$C$4:$H$255,6,FALSE))</f>
        <v>0.8177777777777776</v>
      </c>
      <c r="O94" s="18">
        <f>$N94*I94</f>
        <v>0</v>
      </c>
      <c r="P94" s="18"/>
      <c r="Q94" s="18"/>
      <c r="R94" s="18"/>
      <c r="S94" s="18">
        <f t="shared" si="18"/>
        <v>0</v>
      </c>
      <c r="T94" s="23" t="s">
        <v>178</v>
      </c>
      <c r="U94" s="18" t="s">
        <v>170</v>
      </c>
      <c r="V94" s="18" t="str">
        <f>IF(OR($H94="",$H94="sif",$H94="PM"),"",VLOOKUP($H94,[5]CU!$C$5:$J$255,8,FALSE))</f>
        <v>3. Dépenses de fonctionnement</v>
      </c>
      <c r="W94" s="18" t="s">
        <v>173</v>
      </c>
      <c r="X94" s="18" t="s">
        <v>179</v>
      </c>
      <c r="Y94" s="19" t="s">
        <v>32</v>
      </c>
      <c r="Z94" s="18" t="str">
        <f>A94 &amp; "-" &amp; VLOOKUP(A94,[4]PROGRAMMES!$E$1:$F$7,2,FALSE)</f>
        <v>1-Accès et équité à l'enseignement général</v>
      </c>
      <c r="AA94" s="19" t="str">
        <f>B94 &amp; "-" &amp; VLOOKUP(B94,[4]SOUSPROGRAMMES!$E$1:$F$44,2,FALSE)</f>
        <v>12- Accès équitable et achèvement du primaire</v>
      </c>
      <c r="AB94" s="19" t="str">
        <f>C94 &amp; "-" &amp; VLOOKUP(C94,[4]RESULTATS!$E$1:$F$176,2,FALSE)</f>
        <v xml:space="preserve">121- Tous les enfants de 6 ans sont inscrits au primaire </v>
      </c>
      <c r="AC94" s="20" t="str">
        <f>D94 &amp; "-" &amp; VLOOKUP(D94,[4]STRATEGIES!$E$1:$F$504,2,FALSE)</f>
        <v>1212-Information/sensibilisation des parents pour la scolarisation des enfants en particulier les filles dans les zones à faible taux de scolarisation</v>
      </c>
      <c r="AD94" s="21" t="str">
        <f t="shared" si="13"/>
        <v>12124-Sensibilisation des enseignants et encadreurs sur la question de genre et les entrées précoces à l'école</v>
      </c>
    </row>
    <row r="95" spans="1:30" s="22" customFormat="1" ht="30" hidden="1" customHeight="1" x14ac:dyDescent="0.8">
      <c r="A95" s="14">
        <v>1</v>
      </c>
      <c r="B95" s="15">
        <v>12</v>
      </c>
      <c r="C95" s="15">
        <v>121</v>
      </c>
      <c r="D95" s="15">
        <v>1212</v>
      </c>
      <c r="E95" s="15">
        <v>12124</v>
      </c>
      <c r="F95" s="16" t="s">
        <v>176</v>
      </c>
      <c r="G95" s="21" t="s">
        <v>177</v>
      </c>
      <c r="H95" s="17" t="s">
        <v>59</v>
      </c>
      <c r="I95" s="18">
        <v>0</v>
      </c>
      <c r="J95" s="18">
        <f>4*5*8</f>
        <v>160</v>
      </c>
      <c r="K95" s="18">
        <f>4*5*8</f>
        <v>160</v>
      </c>
      <c r="L95" s="18">
        <f>4*5*8</f>
        <v>160</v>
      </c>
      <c r="M95" s="18">
        <f t="shared" si="15"/>
        <v>480</v>
      </c>
      <c r="N95" s="18">
        <f>IF(OR(H95="",H95="sif",H95="PM"),0,VLOOKUP(H95,[5]CU!$C$4:$H$255,6,FALSE))</f>
        <v>0.8177777777777776</v>
      </c>
      <c r="O95" s="18"/>
      <c r="P95" s="18">
        <f t="shared" si="17"/>
        <v>130.84444444444441</v>
      </c>
      <c r="Q95" s="18">
        <f t="shared" si="17"/>
        <v>130.84444444444441</v>
      </c>
      <c r="R95" s="18">
        <f t="shared" si="17"/>
        <v>130.84444444444441</v>
      </c>
      <c r="S95" s="18">
        <f>SUM(O95:R95)</f>
        <v>392.53333333333319</v>
      </c>
      <c r="T95" s="23" t="s">
        <v>56</v>
      </c>
      <c r="U95" s="18" t="s">
        <v>170</v>
      </c>
      <c r="V95" s="18" t="str">
        <f>IF(OR($H95="",$H95="sif",$H95="PM"),"",VLOOKUP($H95,[5]CU!$C$5:$J$255,8,FALSE))</f>
        <v>3. Dépenses de fonctionnement</v>
      </c>
      <c r="W95" s="18" t="s">
        <v>173</v>
      </c>
      <c r="X95" s="18" t="s">
        <v>179</v>
      </c>
      <c r="Y95" s="19" t="s">
        <v>32</v>
      </c>
      <c r="Z95" s="18" t="str">
        <f>A95 &amp; "-" &amp; VLOOKUP(A95,[4]PROGRAMMES!$E$1:$F$7,2,FALSE)</f>
        <v>1-Accès et équité à l'enseignement général</v>
      </c>
      <c r="AA95" s="19" t="str">
        <f>B95 &amp; "-" &amp; VLOOKUP(B95,[4]SOUSPROGRAMMES!$E$1:$F$44,2,FALSE)</f>
        <v>12- Accès équitable et achèvement du primaire</v>
      </c>
      <c r="AB95" s="19" t="str">
        <f>C95 &amp; "-" &amp; VLOOKUP(C95,[4]RESULTATS!$E$1:$F$176,2,FALSE)</f>
        <v xml:space="preserve">121- Tous les enfants de 6 ans sont inscrits au primaire </v>
      </c>
      <c r="AC95" s="20" t="str">
        <f>D95 &amp; "-" &amp; VLOOKUP(D95,[4]STRATEGIES!$E$1:$F$504,2,FALSE)</f>
        <v>1212-Information/sensibilisation des parents pour la scolarisation des enfants en particulier les filles dans les zones à faible taux de scolarisation</v>
      </c>
      <c r="AD95" s="21" t="str">
        <f t="shared" si="13"/>
        <v>12124-Sensibilisation des enseignants et encadreurs sur la question de genre et les entrées précoces à l'école</v>
      </c>
    </row>
    <row r="96" spans="1:30" s="22" customFormat="1" ht="30" hidden="1" customHeight="1" x14ac:dyDescent="0.8">
      <c r="A96" s="14">
        <v>1</v>
      </c>
      <c r="B96" s="15">
        <v>12</v>
      </c>
      <c r="C96" s="15">
        <v>121</v>
      </c>
      <c r="D96" s="15">
        <v>1213</v>
      </c>
      <c r="E96" s="15">
        <v>1213</v>
      </c>
      <c r="F96" s="16" t="s">
        <v>180</v>
      </c>
      <c r="G96" s="17"/>
      <c r="H96" s="17"/>
      <c r="I96" s="18">
        <v>0</v>
      </c>
      <c r="J96" s="18"/>
      <c r="K96" s="18"/>
      <c r="L96" s="18"/>
      <c r="M96" s="18"/>
      <c r="N96" s="18"/>
      <c r="O96" s="18"/>
      <c r="P96" s="18"/>
      <c r="Q96" s="18"/>
      <c r="R96" s="18"/>
      <c r="S96" s="18"/>
      <c r="T96" s="18"/>
      <c r="U96" s="18"/>
      <c r="V96" s="18"/>
      <c r="W96" s="18"/>
      <c r="X96" s="18"/>
      <c r="Y96" s="19" t="s">
        <v>32</v>
      </c>
      <c r="Z96" s="18" t="str">
        <f>A96 &amp; "-" &amp; VLOOKUP(A96,[4]PROGRAMMES!$E$1:$F$7,2,FALSE)</f>
        <v>1-Accès et équité à l'enseignement général</v>
      </c>
      <c r="AA96" s="19" t="str">
        <f>B96 &amp; "-" &amp; VLOOKUP(B96,[4]SOUSPROGRAMMES!$E$1:$F$44,2,FALSE)</f>
        <v>12- Accès équitable et achèvement du primaire</v>
      </c>
      <c r="AB96" s="19" t="str">
        <f>C96 &amp; "-" &amp; VLOOKUP(C96,[4]RESULTATS!$E$1:$F$176,2,FALSE)</f>
        <v xml:space="preserve">121- Tous les enfants de 6 ans sont inscrits au primaire </v>
      </c>
      <c r="AC96" s="20" t="str">
        <f>D96 &amp; "-" &amp; VLOOKUP(D96,[4]STRATEGIES!$E$1:$F$504,2,FALSE)</f>
        <v>1213-Incitation de la demande de scolarisation par la création des cantines dans les milieux défavorisés y compris les écoles FA</v>
      </c>
      <c r="AD96" s="21" t="str">
        <f t="shared" si="13"/>
        <v>1213-Incitation de la demande de scolarisation par la création des cantines dans les milieux défavorisés y compris les écoles FA</v>
      </c>
    </row>
    <row r="97" spans="1:30" s="22" customFormat="1" ht="30" hidden="1" customHeight="1" x14ac:dyDescent="0.8">
      <c r="A97" s="14">
        <v>1</v>
      </c>
      <c r="B97" s="15">
        <v>12</v>
      </c>
      <c r="C97" s="15">
        <v>121</v>
      </c>
      <c r="D97" s="15">
        <v>1213</v>
      </c>
      <c r="E97" s="15">
        <v>12131</v>
      </c>
      <c r="F97" s="16" t="s">
        <v>181</v>
      </c>
      <c r="G97" s="21" t="s">
        <v>182</v>
      </c>
      <c r="H97" s="17" t="s">
        <v>55</v>
      </c>
      <c r="I97" s="18">
        <v>0</v>
      </c>
      <c r="J97" s="18">
        <v>1</v>
      </c>
      <c r="K97" s="18"/>
      <c r="L97" s="18"/>
      <c r="M97" s="18">
        <f t="shared" si="15"/>
        <v>1</v>
      </c>
      <c r="N97" s="18">
        <f>IF(OR(H97="",H97="sif",H97="PM"),0,VLOOKUP(H97,[5]CU!$C$4:$H$255,6,FALSE))</f>
        <v>0</v>
      </c>
      <c r="O97" s="18"/>
      <c r="P97" s="18"/>
      <c r="Q97" s="18"/>
      <c r="R97" s="18"/>
      <c r="S97" s="18"/>
      <c r="T97" s="23" t="s">
        <v>56</v>
      </c>
      <c r="U97" s="18" t="s">
        <v>170</v>
      </c>
      <c r="V97" s="18" t="str">
        <f>IF(OR($H97="",$H97="sif",$H97="PM"),"",VLOOKUP($H97,[5]CU!$C$5:$J$255,8,FALSE))</f>
        <v/>
      </c>
      <c r="W97" s="18" t="s">
        <v>96</v>
      </c>
      <c r="X97" s="18" t="s">
        <v>96</v>
      </c>
      <c r="Y97" s="19" t="s">
        <v>32</v>
      </c>
      <c r="Z97" s="18" t="str">
        <f>A97 &amp; "-" &amp; VLOOKUP(A97,[4]PROGRAMMES!$E$1:$F$7,2,FALSE)</f>
        <v>1-Accès et équité à l'enseignement général</v>
      </c>
      <c r="AA97" s="19" t="str">
        <f>B97 &amp; "-" &amp; VLOOKUP(B97,[4]SOUSPROGRAMMES!$E$1:$F$44,2,FALSE)</f>
        <v>12- Accès équitable et achèvement du primaire</v>
      </c>
      <c r="AB97" s="19" t="str">
        <f>C97 &amp; "-" &amp; VLOOKUP(C97,[4]RESULTATS!$E$1:$F$176,2,FALSE)</f>
        <v xml:space="preserve">121- Tous les enfants de 6 ans sont inscrits au primaire </v>
      </c>
      <c r="AC97" s="20" t="str">
        <f>D97 &amp; "-" &amp; VLOOKUP(D97,[4]STRATEGIES!$E$1:$F$504,2,FALSE)</f>
        <v>1213-Incitation de la demande de scolarisation par la création des cantines dans les milieux défavorisés y compris les écoles FA</v>
      </c>
      <c r="AD97" s="21" t="str">
        <f t="shared" si="13"/>
        <v>12131-DéFinition concertée de critères de choix des écoles devant bénéficier de cantines</v>
      </c>
    </row>
    <row r="98" spans="1:30" s="22" customFormat="1" ht="30" hidden="1" customHeight="1" x14ac:dyDescent="0.8">
      <c r="A98" s="14">
        <v>1</v>
      </c>
      <c r="B98" s="15">
        <v>12</v>
      </c>
      <c r="C98" s="15">
        <v>121</v>
      </c>
      <c r="D98" s="15">
        <v>1213</v>
      </c>
      <c r="E98" s="15">
        <v>12132</v>
      </c>
      <c r="F98" s="16" t="s">
        <v>183</v>
      </c>
      <c r="G98" s="21" t="s">
        <v>88</v>
      </c>
      <c r="H98" s="17" t="s">
        <v>55</v>
      </c>
      <c r="I98" s="18">
        <v>0</v>
      </c>
      <c r="J98" s="18">
        <v>1</v>
      </c>
      <c r="K98" s="18">
        <v>1</v>
      </c>
      <c r="L98" s="18">
        <v>1</v>
      </c>
      <c r="M98" s="18">
        <f t="shared" si="15"/>
        <v>3</v>
      </c>
      <c r="N98" s="18">
        <f>IF(OR(H98="",H98="sif",H98="PM"),0,VLOOKUP(H98,[5]CU!$C$4:$H$255,6,FALSE))</f>
        <v>0</v>
      </c>
      <c r="O98" s="18"/>
      <c r="P98" s="18"/>
      <c r="Q98" s="18"/>
      <c r="R98" s="18"/>
      <c r="S98" s="18"/>
      <c r="T98" s="23" t="s">
        <v>56</v>
      </c>
      <c r="U98" s="18" t="s">
        <v>170</v>
      </c>
      <c r="V98" s="18" t="str">
        <f>IF(OR($H98="",$H98="sif",$H98="PM"),"",VLOOKUP($H98,[5]CU!$C$5:$J$255,8,FALSE))</f>
        <v/>
      </c>
      <c r="W98" s="18" t="s">
        <v>96</v>
      </c>
      <c r="X98" s="18" t="s">
        <v>96</v>
      </c>
      <c r="Y98" s="19" t="s">
        <v>32</v>
      </c>
      <c r="Z98" s="18" t="str">
        <f>A98 &amp; "-" &amp; VLOOKUP(A98,[4]PROGRAMMES!$E$1:$F$7,2,FALSE)</f>
        <v>1-Accès et équité à l'enseignement général</v>
      </c>
      <c r="AA98" s="19" t="str">
        <f>B98 &amp; "-" &amp; VLOOKUP(B98,[4]SOUSPROGRAMMES!$E$1:$F$44,2,FALSE)</f>
        <v>12- Accès équitable et achèvement du primaire</v>
      </c>
      <c r="AB98" s="19" t="str">
        <f>C98 &amp; "-" &amp; VLOOKUP(C98,[4]RESULTATS!$E$1:$F$176,2,FALSE)</f>
        <v xml:space="preserve">121- Tous les enfants de 6 ans sont inscrits au primaire </v>
      </c>
      <c r="AC98" s="20" t="str">
        <f>D98 &amp; "-" &amp; VLOOKUP(D98,[4]STRATEGIES!$E$1:$F$504,2,FALSE)</f>
        <v>1213-Incitation de la demande de scolarisation par la création des cantines dans les milieux défavorisés y compris les écoles FA</v>
      </c>
      <c r="AD98" s="21" t="str">
        <f t="shared" si="13"/>
        <v>12132-Identification des écoles prioritaires sur la base des critères retenus</v>
      </c>
    </row>
    <row r="99" spans="1:30" s="22" customFormat="1" ht="30" hidden="1" customHeight="1" x14ac:dyDescent="0.8">
      <c r="A99" s="14">
        <v>1</v>
      </c>
      <c r="B99" s="15">
        <v>12</v>
      </c>
      <c r="C99" s="15">
        <v>121</v>
      </c>
      <c r="D99" s="15">
        <v>1213</v>
      </c>
      <c r="E99" s="15">
        <v>12133</v>
      </c>
      <c r="F99" s="16" t="s">
        <v>184</v>
      </c>
      <c r="G99" s="21" t="s">
        <v>58</v>
      </c>
      <c r="H99" s="17" t="s">
        <v>59</v>
      </c>
      <c r="I99" s="18">
        <v>0</v>
      </c>
      <c r="J99" s="18">
        <f>(4*5*20)*20%</f>
        <v>80</v>
      </c>
      <c r="K99" s="18">
        <f>(4*7*10)*20%</f>
        <v>56</v>
      </c>
      <c r="L99" s="18">
        <f>(4*7*10)*20%</f>
        <v>56</v>
      </c>
      <c r="M99" s="18">
        <f>SUM(I99:L99)</f>
        <v>192</v>
      </c>
      <c r="N99" s="18">
        <f>IF(OR(H99="",H99="sif",H99="PM"),0,VLOOKUP(H99,[5]CU!$C$4:$H$255,6,FALSE))</f>
        <v>0.8177777777777776</v>
      </c>
      <c r="O99" s="18">
        <f>$N99*I99</f>
        <v>0</v>
      </c>
      <c r="P99" s="18">
        <f>$N99*J99</f>
        <v>65.422222222222203</v>
      </c>
      <c r="Q99" s="18">
        <f>$N99*K99</f>
        <v>45.795555555555545</v>
      </c>
      <c r="R99" s="18">
        <f>$N99*L99</f>
        <v>45.795555555555545</v>
      </c>
      <c r="S99" s="18">
        <f>SUM(O99:R99)</f>
        <v>157.01333333333329</v>
      </c>
      <c r="T99" s="23" t="s">
        <v>56</v>
      </c>
      <c r="U99" s="18" t="s">
        <v>170</v>
      </c>
      <c r="V99" s="18" t="str">
        <f>IF(OR($H99="",$H99="sif",$H99="PM"),"",VLOOKUP($H99,[5]CU!$C$5:$J$255,8,FALSE))</f>
        <v>3. Dépenses de fonctionnement</v>
      </c>
      <c r="W99" s="18" t="s">
        <v>81</v>
      </c>
      <c r="X99" s="18" t="s">
        <v>81</v>
      </c>
      <c r="Y99" s="19" t="s">
        <v>32</v>
      </c>
      <c r="Z99" s="18" t="str">
        <f>A99 &amp; "-" &amp; VLOOKUP(A99,[4]PROGRAMMES!$E$1:$F$7,2,FALSE)</f>
        <v>1-Accès et équité à l'enseignement général</v>
      </c>
      <c r="AA99" s="19" t="str">
        <f>B99 &amp; "-" &amp; VLOOKUP(B99,[4]SOUSPROGRAMMES!$E$1:$F$44,2,FALSE)</f>
        <v>12- Accès équitable et achèvement du primaire</v>
      </c>
      <c r="AB99" s="19" t="str">
        <f>C99 &amp; "-" &amp; VLOOKUP(C99,[4]RESULTATS!$E$1:$F$176,2,FALSE)</f>
        <v xml:space="preserve">121- Tous les enfants de 6 ans sont inscrits au primaire </v>
      </c>
      <c r="AC99" s="20" t="str">
        <f>D99 &amp; "-" &amp; VLOOKUP(D99,[4]STRATEGIES!$E$1:$F$504,2,FALSE)</f>
        <v>1213-Incitation de la demande de scolarisation par la création des cantines dans les milieux défavorisés y compris les écoles FA</v>
      </c>
      <c r="AD99" s="21" t="str">
        <f t="shared" si="13"/>
        <v xml:space="preserve">12133-Implantation des nouvelles cantines en concertation avec les communautés </v>
      </c>
    </row>
    <row r="100" spans="1:30" s="22" customFormat="1" ht="30" hidden="1" customHeight="1" x14ac:dyDescent="0.8">
      <c r="A100" s="14">
        <v>1</v>
      </c>
      <c r="B100" s="15">
        <v>12</v>
      </c>
      <c r="C100" s="15">
        <v>121</v>
      </c>
      <c r="D100" s="15">
        <v>1213</v>
      </c>
      <c r="E100" s="15">
        <v>12133</v>
      </c>
      <c r="F100" s="16" t="s">
        <v>184</v>
      </c>
      <c r="G100" s="21" t="s">
        <v>58</v>
      </c>
      <c r="H100" s="17" t="s">
        <v>59</v>
      </c>
      <c r="I100" s="18">
        <v>0</v>
      </c>
      <c r="J100" s="18">
        <f>(4*5*20)*80%</f>
        <v>320</v>
      </c>
      <c r="K100" s="18">
        <f>(4*7*10)*80%</f>
        <v>224</v>
      </c>
      <c r="L100" s="18">
        <f>(4*7*10)*80%</f>
        <v>224</v>
      </c>
      <c r="M100" s="18">
        <f t="shared" si="15"/>
        <v>768</v>
      </c>
      <c r="N100" s="18">
        <f>IF(OR(H100="",H100="sif",H100="PM"),0,VLOOKUP(H100,[5]CU!$C$4:$H$255,6,FALSE))</f>
        <v>0.8177777777777776</v>
      </c>
      <c r="O100" s="18">
        <f t="shared" ref="O100:R115" si="20">$N100*I100</f>
        <v>0</v>
      </c>
      <c r="P100" s="18">
        <f t="shared" si="20"/>
        <v>261.68888888888881</v>
      </c>
      <c r="Q100" s="18">
        <f t="shared" si="20"/>
        <v>183.18222222222218</v>
      </c>
      <c r="R100" s="18">
        <f t="shared" si="20"/>
        <v>183.18222222222218</v>
      </c>
      <c r="S100" s="18">
        <f t="shared" ref="S100:S115" si="21">SUM(O100:R100)</f>
        <v>628.05333333333317</v>
      </c>
      <c r="T100" s="23" t="s">
        <v>118</v>
      </c>
      <c r="U100" s="18" t="s">
        <v>170</v>
      </c>
      <c r="V100" s="18" t="str">
        <f>IF(OR($H100="",$H100="sif",$H100="PM"),"",VLOOKUP($H100,[5]CU!$C$5:$J$255,8,FALSE))</f>
        <v>3. Dépenses de fonctionnement</v>
      </c>
      <c r="W100" s="18" t="s">
        <v>81</v>
      </c>
      <c r="X100" s="18" t="s">
        <v>81</v>
      </c>
      <c r="Y100" s="19" t="s">
        <v>32</v>
      </c>
      <c r="Z100" s="18" t="str">
        <f>A100 &amp; "-" &amp; VLOOKUP(A100,[4]PROGRAMMES!$E$1:$F$7,2,FALSE)</f>
        <v>1-Accès et équité à l'enseignement général</v>
      </c>
      <c r="AA100" s="19" t="str">
        <f>B100 &amp; "-" &amp; VLOOKUP(B100,[4]SOUSPROGRAMMES!$E$1:$F$44,2,FALSE)</f>
        <v>12- Accès équitable et achèvement du primaire</v>
      </c>
      <c r="AB100" s="19" t="str">
        <f>C100 &amp; "-" &amp; VLOOKUP(C100,[4]RESULTATS!$E$1:$F$176,2,FALSE)</f>
        <v xml:space="preserve">121- Tous les enfants de 6 ans sont inscrits au primaire </v>
      </c>
      <c r="AC100" s="20" t="str">
        <f>D100 &amp; "-" &amp; VLOOKUP(D100,[4]STRATEGIES!$E$1:$F$504,2,FALSE)</f>
        <v>1213-Incitation de la demande de scolarisation par la création des cantines dans les milieux défavorisés y compris les écoles FA</v>
      </c>
      <c r="AD100" s="21" t="str">
        <f t="shared" si="13"/>
        <v xml:space="preserve">12133-Implantation des nouvelles cantines en concertation avec les communautés </v>
      </c>
    </row>
    <row r="101" spans="1:30" s="22" customFormat="1" ht="30" hidden="1" customHeight="1" x14ac:dyDescent="0.8">
      <c r="A101" s="14">
        <v>1</v>
      </c>
      <c r="B101" s="15">
        <v>12</v>
      </c>
      <c r="C101" s="15">
        <v>121</v>
      </c>
      <c r="D101" s="15">
        <v>1213</v>
      </c>
      <c r="E101" s="15">
        <v>12134</v>
      </c>
      <c r="F101" s="16" t="s">
        <v>185</v>
      </c>
      <c r="G101" s="21" t="s">
        <v>83</v>
      </c>
      <c r="H101" s="17" t="s">
        <v>186</v>
      </c>
      <c r="I101" s="18">
        <v>0</v>
      </c>
      <c r="J101" s="18">
        <f>198976.756766479*20%</f>
        <v>39795.351353295802</v>
      </c>
      <c r="K101" s="18">
        <f>227525.647602184*20%</f>
        <v>45505.129520436807</v>
      </c>
      <c r="L101" s="18">
        <f>256776.621425082*20%</f>
        <v>51355.324285016402</v>
      </c>
      <c r="M101" s="18">
        <f t="shared" si="15"/>
        <v>136655.80515874902</v>
      </c>
      <c r="N101" s="18">
        <f>IF(OR(H101="",H101="sif",H101="PM"),0,VLOOKUP(H101,[5]CU!$C$4:$H$255,6,FALSE))</f>
        <v>0.25</v>
      </c>
      <c r="O101" s="18">
        <f t="shared" si="20"/>
        <v>0</v>
      </c>
      <c r="P101" s="18">
        <f t="shared" si="20"/>
        <v>9948.8378383239506</v>
      </c>
      <c r="Q101" s="18">
        <f t="shared" si="20"/>
        <v>11376.282380109202</v>
      </c>
      <c r="R101" s="18">
        <f t="shared" si="20"/>
        <v>12838.831071254101</v>
      </c>
      <c r="S101" s="18">
        <f t="shared" si="21"/>
        <v>34163.951289687255</v>
      </c>
      <c r="T101" s="23" t="s">
        <v>56</v>
      </c>
      <c r="U101" s="19" t="s">
        <v>170</v>
      </c>
      <c r="V101" s="19" t="str">
        <f>IF(OR($H101="",$H101="sif",$H101="PM"),"",VLOOKUP($H101,[5]CU!$C$5:$J$255,8,FALSE))</f>
        <v>4. Transferts et subventions</v>
      </c>
      <c r="W101" s="19" t="s">
        <v>81</v>
      </c>
      <c r="X101" s="19" t="s">
        <v>81</v>
      </c>
      <c r="Y101" s="19" t="s">
        <v>32</v>
      </c>
      <c r="Z101" s="18" t="str">
        <f>A101 &amp; "-" &amp; VLOOKUP(A101,[4]PROGRAMMES!$E$1:$F$7,2,FALSE)</f>
        <v>1-Accès et équité à l'enseignement général</v>
      </c>
      <c r="AA101" s="19" t="str">
        <f>B101 &amp; "-" &amp; VLOOKUP(B101,[4]SOUSPROGRAMMES!$E$1:$F$44,2,FALSE)</f>
        <v>12- Accès équitable et achèvement du primaire</v>
      </c>
      <c r="AB101" s="19" t="str">
        <f>C101 &amp; "-" &amp; VLOOKUP(C101,[4]RESULTATS!$E$1:$F$176,2,FALSE)</f>
        <v xml:space="preserve">121- Tous les enfants de 6 ans sont inscrits au primaire </v>
      </c>
      <c r="AC101" s="20" t="str">
        <f>D101 &amp; "-" &amp; VLOOKUP(D101,[4]STRATEGIES!$E$1:$F$504,2,FALSE)</f>
        <v>1213-Incitation de la demande de scolarisation par la création des cantines dans les milieux défavorisés y compris les écoles FA</v>
      </c>
      <c r="AD101" s="21" t="str">
        <f t="shared" si="13"/>
        <v>12134-Acquisition et distribution des vivres pour les cantines scolaires</v>
      </c>
    </row>
    <row r="102" spans="1:30" s="22" customFormat="1" ht="30" hidden="1" customHeight="1" x14ac:dyDescent="0.8">
      <c r="A102" s="14">
        <v>1</v>
      </c>
      <c r="B102" s="15">
        <v>12</v>
      </c>
      <c r="C102" s="15">
        <v>121</v>
      </c>
      <c r="D102" s="15">
        <v>1213</v>
      </c>
      <c r="E102" s="15">
        <v>12134</v>
      </c>
      <c r="F102" s="16" t="s">
        <v>185</v>
      </c>
      <c r="G102" s="21" t="s">
        <v>83</v>
      </c>
      <c r="H102" s="17" t="s">
        <v>186</v>
      </c>
      <c r="I102" s="18">
        <v>0</v>
      </c>
      <c r="J102" s="18">
        <f>198976.756766479*75%</f>
        <v>149232.56757485925</v>
      </c>
      <c r="K102" s="18">
        <f>227525.647602184*75%</f>
        <v>170644.23570163801</v>
      </c>
      <c r="L102" s="18">
        <f>256776.621425082*75%</f>
        <v>192582.46606881151</v>
      </c>
      <c r="M102" s="18">
        <f>SUM(I102:L102)</f>
        <v>512459.26934530877</v>
      </c>
      <c r="N102" s="18">
        <f>IF(OR(H102="",H102="sif",H102="PM"),0,VLOOKUP(H102,[5]CU!$C$4:$H$255,6,FALSE))</f>
        <v>0.25</v>
      </c>
      <c r="O102" s="18">
        <f t="shared" si="20"/>
        <v>0</v>
      </c>
      <c r="P102" s="18">
        <f t="shared" si="20"/>
        <v>37308.141893714812</v>
      </c>
      <c r="Q102" s="18">
        <f t="shared" si="20"/>
        <v>42661.058925409503</v>
      </c>
      <c r="R102" s="18">
        <f t="shared" si="20"/>
        <v>48145.616517202878</v>
      </c>
      <c r="S102" s="18">
        <f>SUM(O102:R102)</f>
        <v>128114.81733632719</v>
      </c>
      <c r="T102" s="23" t="s">
        <v>187</v>
      </c>
      <c r="U102" s="19" t="s">
        <v>170</v>
      </c>
      <c r="V102" s="19" t="str">
        <f>IF(OR($H102="",$H102="sif",$H102="PM"),"",VLOOKUP($H102,[5]CU!$C$5:$J$255,8,FALSE))</f>
        <v>4. Transferts et subventions</v>
      </c>
      <c r="W102" s="19" t="s">
        <v>81</v>
      </c>
      <c r="X102" s="19" t="s">
        <v>81</v>
      </c>
      <c r="Y102" s="19" t="s">
        <v>32</v>
      </c>
      <c r="Z102" s="18" t="str">
        <f>A102 &amp; "-" &amp; VLOOKUP(A102,[4]PROGRAMMES!$E$1:$F$7,2,FALSE)</f>
        <v>1-Accès et équité à l'enseignement général</v>
      </c>
      <c r="AA102" s="19" t="str">
        <f>B102 &amp; "-" &amp; VLOOKUP(B102,[4]SOUSPROGRAMMES!$E$1:$F$44,2,FALSE)</f>
        <v>12- Accès équitable et achèvement du primaire</v>
      </c>
      <c r="AB102" s="19" t="str">
        <f>C102 &amp; "-" &amp; VLOOKUP(C102,[4]RESULTATS!$E$1:$F$176,2,FALSE)</f>
        <v xml:space="preserve">121- Tous les enfants de 6 ans sont inscrits au primaire </v>
      </c>
      <c r="AC102" s="20" t="str">
        <f>D102 &amp; "-" &amp; VLOOKUP(D102,[4]STRATEGIES!$E$1:$F$504,2,FALSE)</f>
        <v>1213-Incitation de la demande de scolarisation par la création des cantines dans les milieux défavorisés y compris les écoles FA</v>
      </c>
      <c r="AD102" s="21" t="str">
        <f t="shared" si="13"/>
        <v>12134-Acquisition et distribution des vivres pour les cantines scolaires</v>
      </c>
    </row>
    <row r="103" spans="1:30" s="22" customFormat="1" ht="30" hidden="1" customHeight="1" x14ac:dyDescent="0.8">
      <c r="A103" s="14">
        <v>1</v>
      </c>
      <c r="B103" s="15">
        <v>12</v>
      </c>
      <c r="C103" s="15">
        <v>121</v>
      </c>
      <c r="D103" s="15">
        <v>1213</v>
      </c>
      <c r="E103" s="15">
        <v>12134</v>
      </c>
      <c r="F103" s="16" t="s">
        <v>185</v>
      </c>
      <c r="G103" s="21" t="s">
        <v>83</v>
      </c>
      <c r="H103" s="17" t="s">
        <v>186</v>
      </c>
      <c r="I103" s="18">
        <v>0</v>
      </c>
      <c r="J103" s="18">
        <f>198976.756766479-J101-J102</f>
        <v>9948.8378383239615</v>
      </c>
      <c r="K103" s="18">
        <f>227525.647602184-K101-K102</f>
        <v>11376.282380109187</v>
      </c>
      <c r="L103" s="18">
        <f>256776.621425082-L101-L102</f>
        <v>12838.831071254099</v>
      </c>
      <c r="M103" s="18">
        <f>SUM(I103:L103)</f>
        <v>34163.951289687247</v>
      </c>
      <c r="N103" s="18">
        <f>IF(OR(H103="",H103="sif",H103="PM"),0,VLOOKUP(H103,[5]CU!$C$4:$H$255,6,FALSE))</f>
        <v>0.25</v>
      </c>
      <c r="O103" s="18">
        <f t="shared" si="20"/>
        <v>0</v>
      </c>
      <c r="P103" s="18">
        <f t="shared" si="20"/>
        <v>2487.2094595809904</v>
      </c>
      <c r="Q103" s="18">
        <f t="shared" si="20"/>
        <v>2844.0705950272968</v>
      </c>
      <c r="R103" s="18">
        <f t="shared" si="20"/>
        <v>3209.7077678135247</v>
      </c>
      <c r="S103" s="18">
        <f>SUM(O103:R103)</f>
        <v>8540.9878224218119</v>
      </c>
      <c r="T103" s="23" t="s">
        <v>118</v>
      </c>
      <c r="U103" s="19" t="s">
        <v>170</v>
      </c>
      <c r="V103" s="19" t="str">
        <f>IF(OR($H103="",$H103="sif",$H103="PM"),"",VLOOKUP($H103,[5]CU!$C$5:$J$255,8,FALSE))</f>
        <v>4. Transferts et subventions</v>
      </c>
      <c r="W103" s="19" t="s">
        <v>81</v>
      </c>
      <c r="X103" s="19" t="s">
        <v>81</v>
      </c>
      <c r="Y103" s="19" t="s">
        <v>32</v>
      </c>
      <c r="Z103" s="18" t="str">
        <f>A103 &amp; "-" &amp; VLOOKUP(A103,[4]PROGRAMMES!$E$1:$F$7,2,FALSE)</f>
        <v>1-Accès et équité à l'enseignement général</v>
      </c>
      <c r="AA103" s="19" t="str">
        <f>B103 &amp; "-" &amp; VLOOKUP(B103,[4]SOUSPROGRAMMES!$E$1:$F$44,2,FALSE)</f>
        <v>12- Accès équitable et achèvement du primaire</v>
      </c>
      <c r="AB103" s="19" t="str">
        <f>C103 &amp; "-" &amp; VLOOKUP(C103,[4]RESULTATS!$E$1:$F$176,2,FALSE)</f>
        <v xml:space="preserve">121- Tous les enfants de 6 ans sont inscrits au primaire </v>
      </c>
      <c r="AC103" s="20" t="str">
        <f>D103 &amp; "-" &amp; VLOOKUP(D103,[4]STRATEGIES!$E$1:$F$504,2,FALSE)</f>
        <v>1213-Incitation de la demande de scolarisation par la création des cantines dans les milieux défavorisés y compris les écoles FA</v>
      </c>
      <c r="AD103" s="21" t="str">
        <f t="shared" si="13"/>
        <v>12134-Acquisition et distribution des vivres pour les cantines scolaires</v>
      </c>
    </row>
    <row r="104" spans="1:30" s="22" customFormat="1" ht="30" hidden="1" customHeight="1" x14ac:dyDescent="0.8">
      <c r="A104" s="14">
        <v>1</v>
      </c>
      <c r="B104" s="15">
        <v>12</v>
      </c>
      <c r="C104" s="15">
        <v>121</v>
      </c>
      <c r="D104" s="15">
        <v>1213</v>
      </c>
      <c r="E104" s="15">
        <v>12135</v>
      </c>
      <c r="F104" s="16" t="s">
        <v>188</v>
      </c>
      <c r="G104" s="21" t="s">
        <v>58</v>
      </c>
      <c r="H104" s="17" t="s">
        <v>59</v>
      </c>
      <c r="I104" s="18">
        <v>0</v>
      </c>
      <c r="J104" s="18">
        <f>(4*10*8)*15.01%</f>
        <v>48.032000000000004</v>
      </c>
      <c r="K104" s="18">
        <f>(4*10*8)*15.01%</f>
        <v>48.032000000000004</v>
      </c>
      <c r="L104" s="18">
        <f>(4*15*8)*15.01%</f>
        <v>72.048000000000002</v>
      </c>
      <c r="M104" s="18">
        <f>SUM(I104:L104)</f>
        <v>168.11200000000002</v>
      </c>
      <c r="N104" s="18">
        <f>IF(OR(H104="",H104="sif",H104="PM"),0,VLOOKUP(H104,[5]CU!$C$4:$H$255,6,FALSE))</f>
        <v>0.8177777777777776</v>
      </c>
      <c r="O104" s="18">
        <f t="shared" si="20"/>
        <v>0</v>
      </c>
      <c r="P104" s="18">
        <f t="shared" si="20"/>
        <v>39.27950222222222</v>
      </c>
      <c r="Q104" s="18">
        <f t="shared" si="20"/>
        <v>39.27950222222222</v>
      </c>
      <c r="R104" s="18">
        <f t="shared" si="20"/>
        <v>58.919253333333323</v>
      </c>
      <c r="S104" s="18">
        <f>SUM(O104:R104)</f>
        <v>137.47825777777777</v>
      </c>
      <c r="T104" s="23" t="s">
        <v>39</v>
      </c>
      <c r="U104" s="19" t="s">
        <v>170</v>
      </c>
      <c r="V104" s="19" t="str">
        <f>IF(OR($H104="",$H104="sif",$H104="PM"),"",VLOOKUP($H104,[5]CU!$C$5:$J$255,8,FALSE))</f>
        <v>3. Dépenses de fonctionnement</v>
      </c>
      <c r="W104" s="19" t="s">
        <v>81</v>
      </c>
      <c r="X104" s="19" t="s">
        <v>81</v>
      </c>
      <c r="Y104" s="19" t="s">
        <v>32</v>
      </c>
      <c r="Z104" s="18" t="str">
        <f>A104 &amp; "-" &amp; VLOOKUP(A104,[4]PROGRAMMES!$E$1:$F$7,2,FALSE)</f>
        <v>1-Accès et équité à l'enseignement général</v>
      </c>
      <c r="AA104" s="19" t="str">
        <f>B104 &amp; "-" &amp; VLOOKUP(B104,[4]SOUSPROGRAMMES!$E$1:$F$44,2,FALSE)</f>
        <v>12- Accès équitable et achèvement du primaire</v>
      </c>
      <c r="AB104" s="19" t="str">
        <f>C104 &amp; "-" &amp; VLOOKUP(C104,[4]RESULTATS!$E$1:$F$176,2,FALSE)</f>
        <v xml:space="preserve">121- Tous les enfants de 6 ans sont inscrits au primaire </v>
      </c>
      <c r="AC104" s="20" t="str">
        <f>D104 &amp; "-" &amp; VLOOKUP(D104,[4]STRATEGIES!$E$1:$F$504,2,FALSE)</f>
        <v>1213-Incitation de la demande de scolarisation par la création des cantines dans les milieux défavorisés y compris les écoles FA</v>
      </c>
      <c r="AD104" s="21" t="str">
        <f t="shared" si="13"/>
        <v>12135-Suivi des cantines scolaires</v>
      </c>
    </row>
    <row r="105" spans="1:30" s="22" customFormat="1" ht="30" hidden="1" customHeight="1" x14ac:dyDescent="0.8">
      <c r="A105" s="14">
        <v>1</v>
      </c>
      <c r="B105" s="15">
        <v>12</v>
      </c>
      <c r="C105" s="15">
        <v>121</v>
      </c>
      <c r="D105" s="15">
        <v>1213</v>
      </c>
      <c r="E105" s="15">
        <v>12135</v>
      </c>
      <c r="F105" s="16" t="s">
        <v>188</v>
      </c>
      <c r="G105" s="21" t="s">
        <v>58</v>
      </c>
      <c r="H105" s="17" t="s">
        <v>59</v>
      </c>
      <c r="I105" s="18">
        <v>0</v>
      </c>
      <c r="J105" s="18">
        <f>(4*10*8)*69.99%</f>
        <v>223.96799999999999</v>
      </c>
      <c r="K105" s="18">
        <f>(4*10*8)*69.99%</f>
        <v>223.96799999999999</v>
      </c>
      <c r="L105" s="18">
        <f>(4*15*8)*69.99%</f>
        <v>335.952</v>
      </c>
      <c r="M105" s="18">
        <f>SUM(I105:L105)</f>
        <v>783.88799999999992</v>
      </c>
      <c r="N105" s="18">
        <f>IF(OR(H105="",H105="sif",H105="PM"),0,VLOOKUP(H105,[5]CU!$C$4:$H$255,6,FALSE))</f>
        <v>0.8177777777777776</v>
      </c>
      <c r="O105" s="18">
        <f t="shared" si="20"/>
        <v>0</v>
      </c>
      <c r="P105" s="18">
        <f t="shared" si="20"/>
        <v>183.15605333333329</v>
      </c>
      <c r="Q105" s="18">
        <f t="shared" si="20"/>
        <v>183.15605333333329</v>
      </c>
      <c r="R105" s="18">
        <f t="shared" si="20"/>
        <v>274.73407999999995</v>
      </c>
      <c r="S105" s="18">
        <f>SUM(O105:R105)</f>
        <v>641.04618666666647</v>
      </c>
      <c r="T105" s="23" t="s">
        <v>187</v>
      </c>
      <c r="U105" s="19" t="s">
        <v>170</v>
      </c>
      <c r="V105" s="19" t="str">
        <f>IF(OR($H105="",$H105="sif",$H105="PM"),"",VLOOKUP($H105,[5]CU!$C$5:$J$255,8,FALSE))</f>
        <v>3. Dépenses de fonctionnement</v>
      </c>
      <c r="W105" s="19" t="s">
        <v>81</v>
      </c>
      <c r="X105" s="19" t="s">
        <v>81</v>
      </c>
      <c r="Y105" s="19" t="s">
        <v>32</v>
      </c>
      <c r="Z105" s="18" t="str">
        <f>A105 &amp; "-" &amp; VLOOKUP(A105,[4]PROGRAMMES!$E$1:$F$7,2,FALSE)</f>
        <v>1-Accès et équité à l'enseignement général</v>
      </c>
      <c r="AA105" s="19" t="str">
        <f>B105 &amp; "-" &amp; VLOOKUP(B105,[4]SOUSPROGRAMMES!$E$1:$F$44,2,FALSE)</f>
        <v>12- Accès équitable et achèvement du primaire</v>
      </c>
      <c r="AB105" s="19" t="str">
        <f>C105 &amp; "-" &amp; VLOOKUP(C105,[4]RESULTATS!$E$1:$F$176,2,FALSE)</f>
        <v xml:space="preserve">121- Tous les enfants de 6 ans sont inscrits au primaire </v>
      </c>
      <c r="AC105" s="20" t="str">
        <f>D105 &amp; "-" &amp; VLOOKUP(D105,[4]STRATEGIES!$E$1:$F$504,2,FALSE)</f>
        <v>1213-Incitation de la demande de scolarisation par la création des cantines dans les milieux défavorisés y compris les écoles FA</v>
      </c>
      <c r="AD105" s="21" t="str">
        <f t="shared" si="13"/>
        <v>12135-Suivi des cantines scolaires</v>
      </c>
    </row>
    <row r="106" spans="1:30" s="22" customFormat="1" ht="30" hidden="1" customHeight="1" x14ac:dyDescent="0.8">
      <c r="A106" s="14">
        <v>1</v>
      </c>
      <c r="B106" s="15">
        <v>12</v>
      </c>
      <c r="C106" s="15">
        <v>121</v>
      </c>
      <c r="D106" s="15">
        <v>1213</v>
      </c>
      <c r="E106" s="15">
        <v>12135</v>
      </c>
      <c r="F106" s="16" t="s">
        <v>188</v>
      </c>
      <c r="G106" s="21" t="s">
        <v>58</v>
      </c>
      <c r="H106" s="17" t="s">
        <v>59</v>
      </c>
      <c r="I106" s="18">
        <v>0</v>
      </c>
      <c r="J106" s="18">
        <f>(4*10*8)*15%</f>
        <v>48</v>
      </c>
      <c r="K106" s="18">
        <f>(4*10*8)*15%</f>
        <v>48</v>
      </c>
      <c r="L106" s="18">
        <f>(4*15*8)*15%</f>
        <v>72</v>
      </c>
      <c r="M106" s="18">
        <f t="shared" si="15"/>
        <v>168</v>
      </c>
      <c r="N106" s="18">
        <f>IF(OR(H106="",H106="sif",H106="PM"),0,VLOOKUP(H106,[5]CU!$C$4:$H$255,6,FALSE))</f>
        <v>0.8177777777777776</v>
      </c>
      <c r="O106" s="18">
        <f t="shared" si="20"/>
        <v>0</v>
      </c>
      <c r="P106" s="18">
        <f t="shared" si="20"/>
        <v>39.253333333333323</v>
      </c>
      <c r="Q106" s="18">
        <f t="shared" si="20"/>
        <v>39.253333333333323</v>
      </c>
      <c r="R106" s="18">
        <f t="shared" si="20"/>
        <v>58.879999999999988</v>
      </c>
      <c r="S106" s="18">
        <f t="shared" si="21"/>
        <v>137.38666666666663</v>
      </c>
      <c r="T106" s="23" t="s">
        <v>39</v>
      </c>
      <c r="U106" s="19" t="s">
        <v>170</v>
      </c>
      <c r="V106" s="19" t="str">
        <f>IF(OR($H106="",$H106="sif",$H106="PM"),"",VLOOKUP($H106,[5]CU!$C$5:$J$255,8,FALSE))</f>
        <v>3. Dépenses de fonctionnement</v>
      </c>
      <c r="W106" s="19" t="s">
        <v>81</v>
      </c>
      <c r="X106" s="19" t="s">
        <v>81</v>
      </c>
      <c r="Y106" s="19" t="s">
        <v>32</v>
      </c>
      <c r="Z106" s="18" t="str">
        <f>A106 &amp; "-" &amp; VLOOKUP(A106,[4]PROGRAMMES!$E$1:$F$7,2,FALSE)</f>
        <v>1-Accès et équité à l'enseignement général</v>
      </c>
      <c r="AA106" s="19" t="str">
        <f>B106 &amp; "-" &amp; VLOOKUP(B106,[4]SOUSPROGRAMMES!$E$1:$F$44,2,FALSE)</f>
        <v>12- Accès équitable et achèvement du primaire</v>
      </c>
      <c r="AB106" s="19" t="str">
        <f>C106 &amp; "-" &amp; VLOOKUP(C106,[4]RESULTATS!$E$1:$F$176,2,FALSE)</f>
        <v xml:space="preserve">121- Tous les enfants de 6 ans sont inscrits au primaire </v>
      </c>
      <c r="AC106" s="20" t="str">
        <f>D106 &amp; "-" &amp; VLOOKUP(D106,[4]STRATEGIES!$E$1:$F$504,2,FALSE)</f>
        <v>1213-Incitation de la demande de scolarisation par la création des cantines dans les milieux défavorisés y compris les écoles FA</v>
      </c>
      <c r="AD106" s="21" t="str">
        <f t="shared" si="13"/>
        <v>12135-Suivi des cantines scolaires</v>
      </c>
    </row>
    <row r="107" spans="1:30" s="22" customFormat="1" ht="30" hidden="1" customHeight="1" x14ac:dyDescent="0.8">
      <c r="A107" s="14">
        <v>1</v>
      </c>
      <c r="B107" s="15">
        <v>12</v>
      </c>
      <c r="C107" s="15">
        <v>121</v>
      </c>
      <c r="D107" s="15">
        <v>1214</v>
      </c>
      <c r="E107" s="15">
        <v>1214</v>
      </c>
      <c r="F107" s="16" t="s">
        <v>189</v>
      </c>
      <c r="G107" s="17"/>
      <c r="H107" s="17"/>
      <c r="I107" s="18">
        <v>0</v>
      </c>
      <c r="J107" s="18"/>
      <c r="K107" s="18"/>
      <c r="L107" s="18"/>
      <c r="M107" s="18"/>
      <c r="N107" s="18"/>
      <c r="O107" s="18"/>
      <c r="P107" s="18"/>
      <c r="Q107" s="18"/>
      <c r="R107" s="18"/>
      <c r="S107" s="18"/>
      <c r="T107" s="18"/>
      <c r="U107" s="18"/>
      <c r="V107" s="18"/>
      <c r="W107" s="18"/>
      <c r="X107" s="18"/>
      <c r="Y107" s="19" t="s">
        <v>32</v>
      </c>
      <c r="Z107" s="18" t="str">
        <f>A107 &amp; "-" &amp; VLOOKUP(A107,[4]PROGRAMMES!$E$1:$F$7,2,FALSE)</f>
        <v>1-Accès et équité à l'enseignement général</v>
      </c>
      <c r="AA107" s="19" t="str">
        <f>B107 &amp; "-" &amp; VLOOKUP(B107,[4]SOUSPROGRAMMES!$E$1:$F$44,2,FALSE)</f>
        <v>12- Accès équitable et achèvement du primaire</v>
      </c>
      <c r="AB107" s="19" t="str">
        <f>C107 &amp; "-" &amp; VLOOKUP(C107,[4]RESULTATS!$E$1:$F$176,2,FALSE)</f>
        <v xml:space="preserve">121- Tous les enfants de 6 ans sont inscrits au primaire </v>
      </c>
      <c r="AC107" s="20" t="str">
        <f>D107 &amp; "-" &amp; VLOOKUP(D107,[4]STRATEGIES!$E$1:$F$504,2,FALSE)</f>
        <v>1214-Mise en place d'une stratégie de scolarisation des enfants des foyers coraniques et des centres de mémorisation du Saint Coran</v>
      </c>
      <c r="AD107" s="21" t="str">
        <f t="shared" si="13"/>
        <v>1214-Mise en place d'une stratégie de scolarisation des enfants des foyers coraniques et des centres de mémorisation du Saint Coran</v>
      </c>
    </row>
    <row r="108" spans="1:30" s="22" customFormat="1" ht="30" hidden="1" customHeight="1" x14ac:dyDescent="0.8">
      <c r="A108" s="14">
        <v>1</v>
      </c>
      <c r="B108" s="15">
        <v>12</v>
      </c>
      <c r="C108" s="15">
        <v>121</v>
      </c>
      <c r="D108" s="15">
        <v>1214</v>
      </c>
      <c r="E108" s="15">
        <v>12141</v>
      </c>
      <c r="F108" s="16" t="s">
        <v>190</v>
      </c>
      <c r="G108" s="21" t="s">
        <v>58</v>
      </c>
      <c r="H108" s="17" t="s">
        <v>59</v>
      </c>
      <c r="I108" s="18">
        <v>0</v>
      </c>
      <c r="J108" s="18">
        <f>3*2*427</f>
        <v>2562</v>
      </c>
      <c r="K108" s="18"/>
      <c r="L108" s="18"/>
      <c r="M108" s="18">
        <f t="shared" si="15"/>
        <v>2562</v>
      </c>
      <c r="N108" s="18">
        <f>IF(OR(H108="",H108="sif",H108="PM"),0,VLOOKUP(H108,[5]CU!$C$4:$H$255,6,FALSE))</f>
        <v>0.8177777777777776</v>
      </c>
      <c r="O108" s="18">
        <f t="shared" si="20"/>
        <v>0</v>
      </c>
      <c r="P108" s="18">
        <f t="shared" si="20"/>
        <v>2095.1466666666661</v>
      </c>
      <c r="Q108" s="18">
        <f t="shared" si="20"/>
        <v>0</v>
      </c>
      <c r="R108" s="18">
        <f t="shared" si="20"/>
        <v>0</v>
      </c>
      <c r="S108" s="18">
        <f t="shared" si="21"/>
        <v>2095.1466666666661</v>
      </c>
      <c r="T108" s="23" t="s">
        <v>191</v>
      </c>
      <c r="U108" s="18" t="s">
        <v>170</v>
      </c>
      <c r="V108" s="18" t="str">
        <f>IF(OR($H108="",$H108="sif",$H108="PM"),"",VLOOKUP($H108,[5]CU!$C$5:$J$255,8,FALSE))</f>
        <v>3. Dépenses de fonctionnement</v>
      </c>
      <c r="W108" s="18" t="s">
        <v>192</v>
      </c>
      <c r="X108" s="18" t="s">
        <v>193</v>
      </c>
      <c r="Y108" s="19" t="s">
        <v>32</v>
      </c>
      <c r="Z108" s="18" t="str">
        <f>A108 &amp; "-" &amp; VLOOKUP(A108,[4]PROGRAMMES!$E$1:$F$7,2,FALSE)</f>
        <v>1-Accès et équité à l'enseignement général</v>
      </c>
      <c r="AA108" s="19" t="str">
        <f>B108 &amp; "-" &amp; VLOOKUP(B108,[4]SOUSPROGRAMMES!$E$1:$F$44,2,FALSE)</f>
        <v>12- Accès équitable et achèvement du primaire</v>
      </c>
      <c r="AB108" s="19" t="str">
        <f>C108 &amp; "-" &amp; VLOOKUP(C108,[4]RESULTATS!$E$1:$F$176,2,FALSE)</f>
        <v xml:space="preserve">121- Tous les enfants de 6 ans sont inscrits au primaire </v>
      </c>
      <c r="AC108" s="20" t="str">
        <f>D108 &amp; "-" &amp; VLOOKUP(D108,[4]STRATEGIES!$E$1:$F$504,2,FALSE)</f>
        <v>1214-Mise en place d'une stratégie de scolarisation des enfants des foyers coraniques et des centres de mémorisation du Saint Coran</v>
      </c>
      <c r="AD108" s="21" t="str">
        <f t="shared" si="13"/>
        <v>12141-Recensement des écoles arabo-islamiques, des foyers coraniques et des centres de mémorisation du saint Coran</v>
      </c>
    </row>
    <row r="109" spans="1:30" s="22" customFormat="1" ht="45" hidden="1" customHeight="1" x14ac:dyDescent="0.8">
      <c r="A109" s="14">
        <v>1</v>
      </c>
      <c r="B109" s="15">
        <v>12</v>
      </c>
      <c r="C109" s="15">
        <v>121</v>
      </c>
      <c r="D109" s="15">
        <v>1214</v>
      </c>
      <c r="E109" s="15">
        <v>12142</v>
      </c>
      <c r="F109" s="16" t="s">
        <v>194</v>
      </c>
      <c r="G109" s="21" t="s">
        <v>195</v>
      </c>
      <c r="H109" s="17" t="s">
        <v>101</v>
      </c>
      <c r="I109" s="18">
        <v>0</v>
      </c>
      <c r="J109" s="18">
        <f>(2*40)*74.96%</f>
        <v>59.967999999999996</v>
      </c>
      <c r="K109" s="18"/>
      <c r="L109" s="18"/>
      <c r="M109" s="18">
        <f>SUM(I109:L109)</f>
        <v>59.967999999999996</v>
      </c>
      <c r="N109" s="18">
        <f>IF(OR(H109="",H109="sif",H109="PM"),0,VLOOKUP(H109,[5]CU!$C$4:$H$255,6,FALSE))</f>
        <v>2.651545</v>
      </c>
      <c r="O109" s="18">
        <f>$N109*I109</f>
        <v>0</v>
      </c>
      <c r="P109" s="18">
        <f>$N109*J109</f>
        <v>159.00785055999998</v>
      </c>
      <c r="Q109" s="18">
        <f>$N109*K109</f>
        <v>0</v>
      </c>
      <c r="R109" s="18">
        <f>$N109*L109</f>
        <v>0</v>
      </c>
      <c r="S109" s="18">
        <f>SUM(O109:R109)</f>
        <v>159.00785055999998</v>
      </c>
      <c r="T109" s="23" t="s">
        <v>191</v>
      </c>
      <c r="U109" s="18" t="s">
        <v>170</v>
      </c>
      <c r="V109" s="18" t="str">
        <f>IF(OR($H109="",$H109="sif",$H109="PM"),"",VLOOKUP($H109,[5]CU!$C$5:$J$255,8,FALSE))</f>
        <v>3. Dépenses de fonctionnement</v>
      </c>
      <c r="W109" s="18" t="s">
        <v>192</v>
      </c>
      <c r="X109" s="18" t="s">
        <v>196</v>
      </c>
      <c r="Y109" s="19" t="s">
        <v>32</v>
      </c>
      <c r="Z109" s="18" t="str">
        <f>A109 &amp; "-" &amp; VLOOKUP(A109,[4]PROGRAMMES!$E$1:$F$7,2,FALSE)</f>
        <v>1-Accès et équité à l'enseignement général</v>
      </c>
      <c r="AA109" s="19" t="str">
        <f>B109 &amp; "-" &amp; VLOOKUP(B109,[4]SOUSPROGRAMMES!$E$1:$F$44,2,FALSE)</f>
        <v>12- Accès équitable et achèvement du primaire</v>
      </c>
      <c r="AB109" s="19" t="str">
        <f>C109 &amp; "-" &amp; VLOOKUP(C109,[4]RESULTATS!$E$1:$F$176,2,FALSE)</f>
        <v xml:space="preserve">121- Tous les enfants de 6 ans sont inscrits au primaire </v>
      </c>
      <c r="AC109" s="20" t="str">
        <f>D109 &amp; "-" &amp; VLOOKUP(D109,[4]STRATEGIES!$E$1:$F$504,2,FALSE)</f>
        <v>1214-Mise en place d'une stratégie de scolarisation des enfants des foyers coraniques et des centres de mémorisation du Saint Coran</v>
      </c>
      <c r="AD109" s="21" t="str">
        <f t="shared" si="13"/>
        <v>12142-Elaboration d'une stratégie de scolarisation des enfants des écoles arabo-islamiques, des foyers coraniques et des centres de mémorisation du saint Coran</v>
      </c>
    </row>
    <row r="110" spans="1:30" s="22" customFormat="1" ht="45" hidden="1" customHeight="1" x14ac:dyDescent="0.8">
      <c r="A110" s="14">
        <v>1</v>
      </c>
      <c r="B110" s="15">
        <v>12</v>
      </c>
      <c r="C110" s="15">
        <v>121</v>
      </c>
      <c r="D110" s="15">
        <v>1214</v>
      </c>
      <c r="E110" s="15">
        <v>12142</v>
      </c>
      <c r="F110" s="16" t="s">
        <v>194</v>
      </c>
      <c r="G110" s="21" t="s">
        <v>195</v>
      </c>
      <c r="H110" s="17" t="s">
        <v>101</v>
      </c>
      <c r="I110" s="18">
        <v>0</v>
      </c>
      <c r="J110" s="18">
        <f>(2*40)*25.04%</f>
        <v>20.032</v>
      </c>
      <c r="K110" s="18"/>
      <c r="L110" s="18"/>
      <c r="M110" s="18">
        <f t="shared" si="15"/>
        <v>20.032</v>
      </c>
      <c r="N110" s="18">
        <f>IF(OR(H110="",H110="sif",H110="PM"),0,VLOOKUP(H110,[5]CU!$C$4:$H$255,6,FALSE))</f>
        <v>2.651545</v>
      </c>
      <c r="O110" s="18">
        <f t="shared" si="20"/>
        <v>0</v>
      </c>
      <c r="P110" s="18">
        <f t="shared" si="20"/>
        <v>53.115749440000002</v>
      </c>
      <c r="Q110" s="18">
        <f t="shared" si="20"/>
        <v>0</v>
      </c>
      <c r="R110" s="18">
        <f t="shared" si="20"/>
        <v>0</v>
      </c>
      <c r="S110" s="18">
        <f t="shared" si="21"/>
        <v>53.115749440000002</v>
      </c>
      <c r="T110" s="23" t="s">
        <v>118</v>
      </c>
      <c r="U110" s="18" t="s">
        <v>170</v>
      </c>
      <c r="V110" s="18" t="str">
        <f>IF(OR($H110="",$H110="sif",$H110="PM"),"",VLOOKUP($H110,[5]CU!$C$5:$J$255,8,FALSE))</f>
        <v>3. Dépenses de fonctionnement</v>
      </c>
      <c r="W110" s="18" t="s">
        <v>192</v>
      </c>
      <c r="X110" s="18" t="s">
        <v>196</v>
      </c>
      <c r="Y110" s="19" t="s">
        <v>32</v>
      </c>
      <c r="Z110" s="18" t="str">
        <f>A110 &amp; "-" &amp; VLOOKUP(A110,[4]PROGRAMMES!$E$1:$F$7,2,FALSE)</f>
        <v>1-Accès et équité à l'enseignement général</v>
      </c>
      <c r="AA110" s="19" t="str">
        <f>B110 &amp; "-" &amp; VLOOKUP(B110,[4]SOUSPROGRAMMES!$E$1:$F$44,2,FALSE)</f>
        <v>12- Accès équitable et achèvement du primaire</v>
      </c>
      <c r="AB110" s="19" t="str">
        <f>C110 &amp; "-" &amp; VLOOKUP(C110,[4]RESULTATS!$E$1:$F$176,2,FALSE)</f>
        <v xml:space="preserve">121- Tous les enfants de 6 ans sont inscrits au primaire </v>
      </c>
      <c r="AC110" s="20" t="str">
        <f>D110 &amp; "-" &amp; VLOOKUP(D110,[4]STRATEGIES!$E$1:$F$504,2,FALSE)</f>
        <v>1214-Mise en place d'une stratégie de scolarisation des enfants des foyers coraniques et des centres de mémorisation du Saint Coran</v>
      </c>
      <c r="AD110" s="21" t="str">
        <f t="shared" si="13"/>
        <v>12142-Elaboration d'une stratégie de scolarisation des enfants des écoles arabo-islamiques, des foyers coraniques et des centres de mémorisation du saint Coran</v>
      </c>
    </row>
    <row r="111" spans="1:30" s="22" customFormat="1" ht="45" hidden="1" customHeight="1" x14ac:dyDescent="0.8">
      <c r="A111" s="14">
        <v>1</v>
      </c>
      <c r="B111" s="15">
        <v>12</v>
      </c>
      <c r="C111" s="15">
        <v>121</v>
      </c>
      <c r="D111" s="15">
        <v>1214</v>
      </c>
      <c r="E111" s="15">
        <v>12143</v>
      </c>
      <c r="F111" s="16" t="s">
        <v>197</v>
      </c>
      <c r="G111" s="21" t="s">
        <v>37</v>
      </c>
      <c r="H111" s="17" t="s">
        <v>38</v>
      </c>
      <c r="I111" s="18">
        <v>0</v>
      </c>
      <c r="J111" s="18"/>
      <c r="K111" s="18">
        <f>30*3</f>
        <v>90</v>
      </c>
      <c r="L111" s="18"/>
      <c r="M111" s="18">
        <f t="shared" si="15"/>
        <v>90</v>
      </c>
      <c r="N111" s="18">
        <f>IF(OR(H111="",H111="sif",H111="PM"),0,VLOOKUP(H111,[5]CU!$C$4:$H$255,6,FALSE))</f>
        <v>0.3133333333333333</v>
      </c>
      <c r="O111" s="18">
        <f t="shared" si="20"/>
        <v>0</v>
      </c>
      <c r="P111" s="18">
        <f t="shared" si="20"/>
        <v>0</v>
      </c>
      <c r="Q111" s="18">
        <f t="shared" si="20"/>
        <v>28.199999999999996</v>
      </c>
      <c r="R111" s="18">
        <f t="shared" si="20"/>
        <v>0</v>
      </c>
      <c r="S111" s="18">
        <f t="shared" si="21"/>
        <v>28.199999999999996</v>
      </c>
      <c r="T111" s="23" t="s">
        <v>191</v>
      </c>
      <c r="U111" s="18" t="s">
        <v>170</v>
      </c>
      <c r="V111" s="18" t="str">
        <f>IF(OR($H111="",$H111="sif",$H111="PM"),"",VLOOKUP($H111,[5]CU!$C$5:$J$255,8,FALSE))</f>
        <v>3. Formation</v>
      </c>
      <c r="W111" s="18" t="s">
        <v>192</v>
      </c>
      <c r="X111" s="18" t="s">
        <v>196</v>
      </c>
      <c r="Y111" s="19" t="s">
        <v>32</v>
      </c>
      <c r="Z111" s="18" t="str">
        <f>A111 &amp; "-" &amp; VLOOKUP(A111,[4]PROGRAMMES!$E$1:$F$7,2,FALSE)</f>
        <v>1-Accès et équité à l'enseignement général</v>
      </c>
      <c r="AA111" s="19" t="str">
        <f>B111 &amp; "-" &amp; VLOOKUP(B111,[4]SOUSPROGRAMMES!$E$1:$F$44,2,FALSE)</f>
        <v>12- Accès équitable et achèvement du primaire</v>
      </c>
      <c r="AB111" s="19" t="str">
        <f>C111 &amp; "-" &amp; VLOOKUP(C111,[4]RESULTATS!$E$1:$F$176,2,FALSE)</f>
        <v xml:space="preserve">121- Tous les enfants de 6 ans sont inscrits au primaire </v>
      </c>
      <c r="AC111" s="20" t="str">
        <f>D111 &amp; "-" &amp; VLOOKUP(D111,[4]STRATEGIES!$E$1:$F$504,2,FALSE)</f>
        <v>1214-Mise en place d'une stratégie de scolarisation des enfants des foyers coraniques et des centres de mémorisation du Saint Coran</v>
      </c>
      <c r="AD111" s="21" t="str">
        <f t="shared" si="13"/>
        <v>12143-Validation et diffusion de la stratégie de scolarisation des enfants des écoles arabo-islamiques, des foyers coraniques et des centres de mémorisation du saint Coran</v>
      </c>
    </row>
    <row r="112" spans="1:30" s="22" customFormat="1" ht="45" hidden="1" customHeight="1" x14ac:dyDescent="0.8">
      <c r="A112" s="14">
        <v>1</v>
      </c>
      <c r="B112" s="15">
        <v>12</v>
      </c>
      <c r="C112" s="15">
        <v>121</v>
      </c>
      <c r="D112" s="15">
        <v>1214</v>
      </c>
      <c r="E112" s="15">
        <v>12144</v>
      </c>
      <c r="F112" s="16" t="s">
        <v>198</v>
      </c>
      <c r="G112" s="21" t="s">
        <v>199</v>
      </c>
      <c r="H112" s="17" t="s">
        <v>200</v>
      </c>
      <c r="I112" s="18">
        <v>0</v>
      </c>
      <c r="J112" s="18"/>
      <c r="K112" s="18"/>
      <c r="L112" s="18">
        <f>1*50%</f>
        <v>0.5</v>
      </c>
      <c r="M112" s="18">
        <f>SUM(I112:L112)</f>
        <v>0.5</v>
      </c>
      <c r="N112" s="18">
        <f>IF(OR(H112="",H112="sif",H112="PM"),0,VLOOKUP(H112,[5]CU!$C$4:$H$255,6,FALSE))</f>
        <v>1046</v>
      </c>
      <c r="O112" s="18">
        <f>$N112*I112</f>
        <v>0</v>
      </c>
      <c r="P112" s="18">
        <f>$N112*J112</f>
        <v>0</v>
      </c>
      <c r="Q112" s="18">
        <f>$N112*K112</f>
        <v>0</v>
      </c>
      <c r="R112" s="18">
        <f>$N112*L112</f>
        <v>523</v>
      </c>
      <c r="S112" s="18">
        <f>SUM(O112:R112)</f>
        <v>523</v>
      </c>
      <c r="T112" s="23" t="s">
        <v>191</v>
      </c>
      <c r="U112" s="18" t="s">
        <v>170</v>
      </c>
      <c r="V112" s="18" t="str">
        <f>IF(OR($H112="",$H112="sif",$H112="PM"),"",VLOOKUP($H112,[5]CU!$C$5:$J$255,8,FALSE))</f>
        <v>4. Transferts et subventions</v>
      </c>
      <c r="W112" s="18" t="s">
        <v>192</v>
      </c>
      <c r="X112" s="18" t="s">
        <v>192</v>
      </c>
      <c r="Y112" s="19" t="s">
        <v>32</v>
      </c>
      <c r="Z112" s="18" t="str">
        <f>A112 &amp; "-" &amp; VLOOKUP(A112,[4]PROGRAMMES!$E$1:$F$7,2,FALSE)</f>
        <v>1-Accès et équité à l'enseignement général</v>
      </c>
      <c r="AA112" s="19" t="str">
        <f>B112 &amp; "-" &amp; VLOOKUP(B112,[4]SOUSPROGRAMMES!$E$1:$F$44,2,FALSE)</f>
        <v>12- Accès équitable et achèvement du primaire</v>
      </c>
      <c r="AB112" s="19" t="str">
        <f>C112 &amp; "-" &amp; VLOOKUP(C112,[4]RESULTATS!$E$1:$F$176,2,FALSE)</f>
        <v xml:space="preserve">121- Tous les enfants de 6 ans sont inscrits au primaire </v>
      </c>
      <c r="AC112" s="20" t="str">
        <f>D112 &amp; "-" &amp; VLOOKUP(D112,[4]STRATEGIES!$E$1:$F$504,2,FALSE)</f>
        <v>1214-Mise en place d'une stratégie de scolarisation des enfants des foyers coraniques et des centres de mémorisation du Saint Coran</v>
      </c>
      <c r="AD112" s="21" t="str">
        <f t="shared" si="13"/>
        <v>12144-Mise en œuvre de la stratégie de scolarisation des enfants des écoles arabo-islamiques, des foyers coraniques et des centres de mémorisation du saint Coran</v>
      </c>
    </row>
    <row r="113" spans="1:30" s="22" customFormat="1" ht="45" hidden="1" customHeight="1" x14ac:dyDescent="0.8">
      <c r="A113" s="14">
        <v>1</v>
      </c>
      <c r="B113" s="15">
        <v>12</v>
      </c>
      <c r="C113" s="15">
        <v>121</v>
      </c>
      <c r="D113" s="15">
        <v>1214</v>
      </c>
      <c r="E113" s="15">
        <v>12144</v>
      </c>
      <c r="F113" s="16" t="s">
        <v>198</v>
      </c>
      <c r="G113" s="21" t="s">
        <v>199</v>
      </c>
      <c r="H113" s="17" t="s">
        <v>200</v>
      </c>
      <c r="I113" s="18">
        <v>0</v>
      </c>
      <c r="J113" s="18"/>
      <c r="K113" s="18"/>
      <c r="L113" s="18">
        <f>1*50%</f>
        <v>0.5</v>
      </c>
      <c r="M113" s="18">
        <f>SUM(I113:L113)</f>
        <v>0.5</v>
      </c>
      <c r="N113" s="18">
        <f>IF(OR(H113="",H113="sif",H113="PM"),0,VLOOKUP(H113,[5]CU!$C$4:$H$255,6,FALSE))</f>
        <v>1046</v>
      </c>
      <c r="O113" s="18">
        <f t="shared" si="20"/>
        <v>0</v>
      </c>
      <c r="P113" s="18">
        <f t="shared" si="20"/>
        <v>0</v>
      </c>
      <c r="Q113" s="18">
        <f t="shared" si="20"/>
        <v>0</v>
      </c>
      <c r="R113" s="18">
        <f t="shared" si="20"/>
        <v>523</v>
      </c>
      <c r="S113" s="18">
        <f t="shared" si="21"/>
        <v>523</v>
      </c>
      <c r="T113" s="23" t="s">
        <v>118</v>
      </c>
      <c r="U113" s="18" t="s">
        <v>170</v>
      </c>
      <c r="V113" s="18" t="str">
        <f>IF(OR($H113="",$H113="sif",$H113="PM"),"",VLOOKUP($H113,[5]CU!$C$5:$J$255,8,FALSE))</f>
        <v>4. Transferts et subventions</v>
      </c>
      <c r="W113" s="18" t="s">
        <v>192</v>
      </c>
      <c r="X113" s="18" t="s">
        <v>192</v>
      </c>
      <c r="Y113" s="19" t="s">
        <v>32</v>
      </c>
      <c r="Z113" s="18" t="str">
        <f>A113 &amp; "-" &amp; VLOOKUP(A113,[4]PROGRAMMES!$E$1:$F$7,2,FALSE)</f>
        <v>1-Accès et équité à l'enseignement général</v>
      </c>
      <c r="AA113" s="19" t="str">
        <f>B113 &amp; "-" &amp; VLOOKUP(B113,[4]SOUSPROGRAMMES!$E$1:$F$44,2,FALSE)</f>
        <v>12- Accès équitable et achèvement du primaire</v>
      </c>
      <c r="AB113" s="19" t="str">
        <f>C113 &amp; "-" &amp; VLOOKUP(C113,[4]RESULTATS!$E$1:$F$176,2,FALSE)</f>
        <v xml:space="preserve">121- Tous les enfants de 6 ans sont inscrits au primaire </v>
      </c>
      <c r="AC113" s="20" t="str">
        <f>D113 &amp; "-" &amp; VLOOKUP(D113,[4]STRATEGIES!$E$1:$F$504,2,FALSE)</f>
        <v>1214-Mise en place d'une stratégie de scolarisation des enfants des foyers coraniques et des centres de mémorisation du Saint Coran</v>
      </c>
      <c r="AD113" s="21" t="str">
        <f t="shared" si="13"/>
        <v>12144-Mise en œuvre de la stratégie de scolarisation des enfants des écoles arabo-islamiques, des foyers coraniques et des centres de mémorisation du saint Coran</v>
      </c>
    </row>
    <row r="114" spans="1:30" s="22" customFormat="1" ht="30" hidden="1" customHeight="1" x14ac:dyDescent="0.8">
      <c r="A114" s="14">
        <v>1</v>
      </c>
      <c r="B114" s="15">
        <v>12</v>
      </c>
      <c r="C114" s="15">
        <v>121</v>
      </c>
      <c r="D114" s="15">
        <v>1214</v>
      </c>
      <c r="E114" s="15">
        <v>12145</v>
      </c>
      <c r="F114" s="16" t="s">
        <v>201</v>
      </c>
      <c r="G114" s="21" t="s">
        <v>58</v>
      </c>
      <c r="H114" s="17" t="s">
        <v>59</v>
      </c>
      <c r="I114" s="18">
        <v>0</v>
      </c>
      <c r="J114" s="18"/>
      <c r="K114" s="18">
        <f>(4*10*8)*50%</f>
        <v>160</v>
      </c>
      <c r="L114" s="18">
        <f>(4*5*8)*50%</f>
        <v>80</v>
      </c>
      <c r="M114" s="18">
        <f>SUM(I114:L114)</f>
        <v>240</v>
      </c>
      <c r="N114" s="18">
        <f>IF(OR(H114="",H114="sif",H114="PM"),0,VLOOKUP(H114,[5]CU!$C$4:$H$255,6,FALSE))</f>
        <v>0.8177777777777776</v>
      </c>
      <c r="O114" s="18">
        <f>$N114*I114</f>
        <v>0</v>
      </c>
      <c r="P114" s="18">
        <f>$N114*J114</f>
        <v>0</v>
      </c>
      <c r="Q114" s="18">
        <f>$N114*K114</f>
        <v>130.84444444444441</v>
      </c>
      <c r="R114" s="18">
        <f>$N114*L114</f>
        <v>65.422222222222203</v>
      </c>
      <c r="S114" s="18">
        <f>SUM(O114:R114)</f>
        <v>196.26666666666659</v>
      </c>
      <c r="T114" s="23" t="s">
        <v>191</v>
      </c>
      <c r="U114" s="18" t="s">
        <v>170</v>
      </c>
      <c r="V114" s="18" t="str">
        <f>IF(OR($H114="",$H114="sif",$H114="PM"),"",VLOOKUP($H114,[5]CU!$C$5:$J$255,8,FALSE))</f>
        <v>3. Dépenses de fonctionnement</v>
      </c>
      <c r="W114" s="18" t="s">
        <v>192</v>
      </c>
      <c r="X114" s="18" t="s">
        <v>192</v>
      </c>
      <c r="Y114" s="19" t="s">
        <v>32</v>
      </c>
      <c r="Z114" s="18" t="str">
        <f>A114 &amp; "-" &amp; VLOOKUP(A114,[4]PROGRAMMES!$E$1:$F$7,2,FALSE)</f>
        <v>1-Accès et équité à l'enseignement général</v>
      </c>
      <c r="AA114" s="19" t="str">
        <f>B114 &amp; "-" &amp; VLOOKUP(B114,[4]SOUSPROGRAMMES!$E$1:$F$44,2,FALSE)</f>
        <v>12- Accès équitable et achèvement du primaire</v>
      </c>
      <c r="AB114" s="19" t="str">
        <f>C114 &amp; "-" &amp; VLOOKUP(C114,[4]RESULTATS!$E$1:$F$176,2,FALSE)</f>
        <v xml:space="preserve">121- Tous les enfants de 6 ans sont inscrits au primaire </v>
      </c>
      <c r="AC114" s="20" t="str">
        <f>D114 &amp; "-" &amp; VLOOKUP(D114,[4]STRATEGIES!$E$1:$F$504,2,FALSE)</f>
        <v>1214-Mise en place d'une stratégie de scolarisation des enfants des foyers coraniques et des centres de mémorisation du Saint Coran</v>
      </c>
      <c r="AD114" s="21" t="str">
        <f t="shared" si="13"/>
        <v>12145-Suivi/évaluation de la mise en œuvre de la stratégie</v>
      </c>
    </row>
    <row r="115" spans="1:30" s="22" customFormat="1" ht="30" hidden="1" customHeight="1" x14ac:dyDescent="0.8">
      <c r="A115" s="14">
        <v>1</v>
      </c>
      <c r="B115" s="15">
        <v>12</v>
      </c>
      <c r="C115" s="15">
        <v>121</v>
      </c>
      <c r="D115" s="15">
        <v>1214</v>
      </c>
      <c r="E115" s="15">
        <v>12145</v>
      </c>
      <c r="F115" s="16" t="s">
        <v>201</v>
      </c>
      <c r="G115" s="21" t="s">
        <v>58</v>
      </c>
      <c r="H115" s="17" t="s">
        <v>59</v>
      </c>
      <c r="I115" s="18">
        <v>0</v>
      </c>
      <c r="J115" s="18"/>
      <c r="K115" s="18">
        <f>(4*10*8)*50%</f>
        <v>160</v>
      </c>
      <c r="L115" s="18">
        <f>(4*5*8)*50%</f>
        <v>80</v>
      </c>
      <c r="M115" s="18">
        <f t="shared" si="15"/>
        <v>240</v>
      </c>
      <c r="N115" s="18">
        <f>IF(OR(H115="",H115="sif",H115="PM"),0,VLOOKUP(H115,[5]CU!$C$4:$H$255,6,FALSE))</f>
        <v>0.8177777777777776</v>
      </c>
      <c r="O115" s="18">
        <f t="shared" si="20"/>
        <v>0</v>
      </c>
      <c r="P115" s="18">
        <f t="shared" si="20"/>
        <v>0</v>
      </c>
      <c r="Q115" s="18">
        <f t="shared" si="20"/>
        <v>130.84444444444441</v>
      </c>
      <c r="R115" s="18">
        <f t="shared" si="20"/>
        <v>65.422222222222203</v>
      </c>
      <c r="S115" s="18">
        <f t="shared" si="21"/>
        <v>196.26666666666659</v>
      </c>
      <c r="T115" s="23" t="s">
        <v>118</v>
      </c>
      <c r="U115" s="18" t="s">
        <v>170</v>
      </c>
      <c r="V115" s="18" t="str">
        <f>IF(OR($H115="",$H115="sif",$H115="PM"),"",VLOOKUP($H115,[5]CU!$C$5:$J$255,8,FALSE))</f>
        <v>3. Dépenses de fonctionnement</v>
      </c>
      <c r="W115" s="18" t="s">
        <v>192</v>
      </c>
      <c r="X115" s="18" t="s">
        <v>192</v>
      </c>
      <c r="Y115" s="19" t="s">
        <v>32</v>
      </c>
      <c r="Z115" s="18" t="str">
        <f>A115 &amp; "-" &amp; VLOOKUP(A115,[4]PROGRAMMES!$E$1:$F$7,2,FALSE)</f>
        <v>1-Accès et équité à l'enseignement général</v>
      </c>
      <c r="AA115" s="19" t="str">
        <f>B115 &amp; "-" &amp; VLOOKUP(B115,[4]SOUSPROGRAMMES!$E$1:$F$44,2,FALSE)</f>
        <v>12- Accès équitable et achèvement du primaire</v>
      </c>
      <c r="AB115" s="19" t="str">
        <f>C115 &amp; "-" &amp; VLOOKUP(C115,[4]RESULTATS!$E$1:$F$176,2,FALSE)</f>
        <v xml:space="preserve">121- Tous les enfants de 6 ans sont inscrits au primaire </v>
      </c>
      <c r="AC115" s="20" t="str">
        <f>D115 &amp; "-" &amp; VLOOKUP(D115,[4]STRATEGIES!$E$1:$F$504,2,FALSE)</f>
        <v>1214-Mise en place d'une stratégie de scolarisation des enfants des foyers coraniques et des centres de mémorisation du Saint Coran</v>
      </c>
      <c r="AD115" s="21" t="str">
        <f t="shared" si="13"/>
        <v>12145-Suivi/évaluation de la mise en œuvre de la stratégie</v>
      </c>
    </row>
    <row r="116" spans="1:30" s="22" customFormat="1" ht="45" hidden="1" customHeight="1" x14ac:dyDescent="0.8">
      <c r="A116" s="14">
        <v>1</v>
      </c>
      <c r="B116" s="15">
        <v>12</v>
      </c>
      <c r="C116" s="15">
        <v>122</v>
      </c>
      <c r="D116" s="15">
        <v>122</v>
      </c>
      <c r="E116" s="15">
        <v>122</v>
      </c>
      <c r="F116" s="16" t="s">
        <v>202</v>
      </c>
      <c r="G116" s="17"/>
      <c r="H116" s="17"/>
      <c r="I116" s="18">
        <v>0</v>
      </c>
      <c r="J116" s="18"/>
      <c r="K116" s="18"/>
      <c r="L116" s="18"/>
      <c r="M116" s="18"/>
      <c r="N116" s="18"/>
      <c r="O116" s="18"/>
      <c r="P116" s="18"/>
      <c r="Q116" s="18"/>
      <c r="R116" s="18"/>
      <c r="S116" s="18"/>
      <c r="T116" s="18"/>
      <c r="U116" s="18"/>
      <c r="V116" s="18"/>
      <c r="W116" s="18"/>
      <c r="X116" s="18"/>
      <c r="Y116" s="19" t="s">
        <v>32</v>
      </c>
      <c r="Z116" s="18" t="str">
        <f>A116 &amp; "-" &amp; VLOOKUP(A116,[4]PROGRAMMES!$E$1:$F$7,2,FALSE)</f>
        <v>1-Accès et équité à l'enseignement général</v>
      </c>
      <c r="AA116" s="19" t="str">
        <f>B116 &amp; "-" &amp; VLOOKUP(B116,[4]SOUSPROGRAMMES!$E$1:$F$44,2,FALSE)</f>
        <v>12- Accès équitable et achèvement du primaire</v>
      </c>
      <c r="AB116" s="19" t="str">
        <f>C116 &amp; "-" &amp; VLOOKUP(C116,[4]RESULTATS!$E$1:$F$176,2,FALSE)</f>
        <v xml:space="preserve">122- Toutes les localités disposent d’écoles primaires avec des infrastructures adéquates  </v>
      </c>
      <c r="AC116" s="20" t="str">
        <f>D116 &amp; "-" &amp; VLOOKUP(D116,[4]STRATEGIES!$E$1:$F$504,2,FALSE)</f>
        <v xml:space="preserve">122- Toutes les localités disposent d’écoles primaires avec des infrastructures adéquates  </v>
      </c>
      <c r="AD116" s="21" t="str">
        <f t="shared" si="13"/>
        <v xml:space="preserve">122- Toutes les localités disposent d’écoles primaires avec des infrastructures adéquates  </v>
      </c>
    </row>
    <row r="117" spans="1:30" s="22" customFormat="1" ht="45" hidden="1" customHeight="1" x14ac:dyDescent="0.8">
      <c r="A117" s="14">
        <v>1</v>
      </c>
      <c r="B117" s="15">
        <v>12</v>
      </c>
      <c r="C117" s="15">
        <v>122</v>
      </c>
      <c r="D117" s="15">
        <v>1221</v>
      </c>
      <c r="E117" s="15">
        <v>1221</v>
      </c>
      <c r="F117" s="16" t="s">
        <v>203</v>
      </c>
      <c r="G117" s="17"/>
      <c r="H117" s="17"/>
      <c r="I117" s="18">
        <v>0</v>
      </c>
      <c r="J117" s="18"/>
      <c r="K117" s="18"/>
      <c r="L117" s="18"/>
      <c r="M117" s="18"/>
      <c r="N117" s="18"/>
      <c r="O117" s="18"/>
      <c r="P117" s="18"/>
      <c r="Q117" s="18"/>
      <c r="R117" s="18"/>
      <c r="S117" s="18"/>
      <c r="T117" s="18"/>
      <c r="U117" s="18"/>
      <c r="V117" s="18"/>
      <c r="W117" s="18"/>
      <c r="X117" s="18"/>
      <c r="Y117" s="19" t="s">
        <v>32</v>
      </c>
      <c r="Z117" s="18" t="str">
        <f>A117 &amp; "-" &amp; VLOOKUP(A117,[4]PROGRAMMES!$E$1:$F$7,2,FALSE)</f>
        <v>1-Accès et équité à l'enseignement général</v>
      </c>
      <c r="AA117" s="19" t="str">
        <f>B117 &amp; "-" &amp; VLOOKUP(B117,[4]SOUSPROGRAMMES!$E$1:$F$44,2,FALSE)</f>
        <v>12- Accès équitable et achèvement du primaire</v>
      </c>
      <c r="AB117" s="19" t="str">
        <f>C117 &amp; "-" &amp; VLOOKUP(C117,[4]RESULTATS!$E$1:$F$176,2,FALSE)</f>
        <v xml:space="preserve">122- Toutes les localités disposent d’écoles primaires avec des infrastructures adéquates  </v>
      </c>
      <c r="AC117" s="20" t="str">
        <f>D117 &amp; "-" &amp; VLOOKUP(D117,[4]STRATEGIES!$E$1:$F$504,2,FALSE)</f>
        <v>1221-Rénovation/réhabilitation de salles de classe en tenant compte de la prévention des catastrophes naturels, y compris dans les FA</v>
      </c>
      <c r="AD117" s="21" t="str">
        <f t="shared" si="13"/>
        <v>1221-Rénovation/réhabilitation de salles de classe en tenant compte de la prévention des catastrophes naturels, y compris dans les FA</v>
      </c>
    </row>
    <row r="118" spans="1:30" s="22" customFormat="1" ht="45" hidden="1" customHeight="1" x14ac:dyDescent="0.8">
      <c r="A118" s="14">
        <v>1</v>
      </c>
      <c r="B118" s="15">
        <v>12</v>
      </c>
      <c r="C118" s="15">
        <v>122</v>
      </c>
      <c r="D118" s="15">
        <v>1221</v>
      </c>
      <c r="E118" s="15">
        <v>12211</v>
      </c>
      <c r="F118" s="16" t="s">
        <v>204</v>
      </c>
      <c r="G118" s="21" t="s">
        <v>159</v>
      </c>
      <c r="H118" s="17" t="s">
        <v>55</v>
      </c>
      <c r="I118" s="18">
        <v>0</v>
      </c>
      <c r="J118" s="18"/>
      <c r="K118" s="18"/>
      <c r="L118" s="18"/>
      <c r="M118" s="18"/>
      <c r="N118" s="18">
        <f>IF(OR(H118="",H118="sif",H118="PM"),0,VLOOKUP(H118,[5]CU!$C$4:$H$255,6,FALSE))</f>
        <v>0</v>
      </c>
      <c r="O118" s="18"/>
      <c r="P118" s="18"/>
      <c r="Q118" s="18"/>
      <c r="R118" s="18"/>
      <c r="S118" s="18"/>
      <c r="T118" s="23" t="s">
        <v>56</v>
      </c>
      <c r="U118" s="18" t="s">
        <v>170</v>
      </c>
      <c r="V118" s="18" t="str">
        <f>IF(OR($H118="",$H118="sif",$H118="PM"),"",VLOOKUP($H118,[5]CU!$C$5:$J$255,8,FALSE))</f>
        <v/>
      </c>
      <c r="W118" s="18" t="s">
        <v>205</v>
      </c>
      <c r="X118" s="18" t="s">
        <v>206</v>
      </c>
      <c r="Y118" s="19" t="s">
        <v>32</v>
      </c>
      <c r="Z118" s="18" t="str">
        <f>A118 &amp; "-" &amp; VLOOKUP(A118,[4]PROGRAMMES!$E$1:$F$7,2,FALSE)</f>
        <v>1-Accès et équité à l'enseignement général</v>
      </c>
      <c r="AA118" s="19" t="str">
        <f>B118 &amp; "-" &amp; VLOOKUP(B118,[4]SOUSPROGRAMMES!$E$1:$F$44,2,FALSE)</f>
        <v>12- Accès équitable et achèvement du primaire</v>
      </c>
      <c r="AB118" s="19" t="str">
        <f>C118 &amp; "-" &amp; VLOOKUP(C118,[4]RESULTATS!$E$1:$F$176,2,FALSE)</f>
        <v xml:space="preserve">122- Toutes les localités disposent d’écoles primaires avec des infrastructures adéquates  </v>
      </c>
      <c r="AC118" s="20" t="str">
        <f>D118 &amp; "-" &amp; VLOOKUP(D118,[4]STRATEGIES!$E$1:$F$504,2,FALSE)</f>
        <v>1221-Rénovation/réhabilitation de salles de classe en tenant compte de la prévention des catastrophes naturels, y compris dans les FA</v>
      </c>
      <c r="AD118" s="21" t="str">
        <f t="shared" si="13"/>
        <v>12211-Identification des écoles devant bénéficier de réhabilitation ou de rénovation de salles de classe en tenant compte de la prévention des catastrophes naturels (travaux effectués par les communes)</v>
      </c>
    </row>
    <row r="119" spans="1:30" s="22" customFormat="1" ht="45" hidden="1" customHeight="1" x14ac:dyDescent="0.8">
      <c r="A119" s="14">
        <v>1</v>
      </c>
      <c r="B119" s="15">
        <v>12</v>
      </c>
      <c r="C119" s="15">
        <v>122</v>
      </c>
      <c r="D119" s="15">
        <v>1221</v>
      </c>
      <c r="E119" s="15">
        <v>12212</v>
      </c>
      <c r="F119" s="16" t="s">
        <v>207</v>
      </c>
      <c r="G119" s="21" t="s">
        <v>208</v>
      </c>
      <c r="H119" s="17" t="s">
        <v>209</v>
      </c>
      <c r="I119" s="18">
        <v>0</v>
      </c>
      <c r="J119" s="18">
        <v>232</v>
      </c>
      <c r="K119" s="18">
        <v>232</v>
      </c>
      <c r="L119" s="18">
        <v>232</v>
      </c>
      <c r="M119" s="18">
        <f t="shared" ref="M119:M189" si="22">SUM(I119:L119)</f>
        <v>696</v>
      </c>
      <c r="N119" s="18">
        <f>IF(OR(H119="",H119="sif",H119="PM"),0,VLOOKUP(H119,[5]CU!$C$4:$H$255,6,FALSE))</f>
        <v>25</v>
      </c>
      <c r="O119" s="18">
        <f t="shared" ref="O119:R120" si="23">$N119*I119</f>
        <v>0</v>
      </c>
      <c r="P119" s="18">
        <f t="shared" si="23"/>
        <v>5800</v>
      </c>
      <c r="Q119" s="18">
        <f t="shared" si="23"/>
        <v>5800</v>
      </c>
      <c r="R119" s="18">
        <f t="shared" si="23"/>
        <v>5800</v>
      </c>
      <c r="S119" s="18">
        <f>SUM(O119:R119)</f>
        <v>17400</v>
      </c>
      <c r="T119" s="23" t="s">
        <v>56</v>
      </c>
      <c r="U119" s="18" t="s">
        <v>170</v>
      </c>
      <c r="V119" s="18" t="str">
        <f>IF(OR($H119="",$H119="sif",$H119="PM"),"",VLOOKUP($H119,[5]CU!$C$5:$J$255,8,FALSE))</f>
        <v>5. Investissement</v>
      </c>
      <c r="W119" s="18" t="s">
        <v>205</v>
      </c>
      <c r="X119" s="18" t="s">
        <v>210</v>
      </c>
      <c r="Y119" s="19" t="s">
        <v>32</v>
      </c>
      <c r="Z119" s="18" t="str">
        <f>A119 &amp; "-" &amp; VLOOKUP(A119,[4]PROGRAMMES!$E$1:$F$7,2,FALSE)</f>
        <v>1-Accès et équité à l'enseignement général</v>
      </c>
      <c r="AA119" s="19" t="str">
        <f>B119 &amp; "-" &amp; VLOOKUP(B119,[4]SOUSPROGRAMMES!$E$1:$F$44,2,FALSE)</f>
        <v>12- Accès équitable et achèvement du primaire</v>
      </c>
      <c r="AB119" s="19" t="str">
        <f>C119 &amp; "-" &amp; VLOOKUP(C119,[4]RESULTATS!$E$1:$F$176,2,FALSE)</f>
        <v xml:space="preserve">122- Toutes les localités disposent d’écoles primaires avec des infrastructures adéquates  </v>
      </c>
      <c r="AC119" s="20" t="str">
        <f>D119 &amp; "-" &amp; VLOOKUP(D119,[4]STRATEGIES!$E$1:$F$504,2,FALSE)</f>
        <v>1221-Rénovation/réhabilitation de salles de classe en tenant compte de la prévention des catastrophes naturels, y compris dans les FA</v>
      </c>
      <c r="AD119" s="21" t="str">
        <f t="shared" si="13"/>
        <v>12212-Rénovation/réhabilitation de salles de classe, y compris dans les FA</v>
      </c>
    </row>
    <row r="120" spans="1:30" s="22" customFormat="1" ht="45" hidden="1" customHeight="1" x14ac:dyDescent="0.8">
      <c r="A120" s="14">
        <v>1</v>
      </c>
      <c r="B120" s="15">
        <v>12</v>
      </c>
      <c r="C120" s="15">
        <v>122</v>
      </c>
      <c r="D120" s="15">
        <v>1221</v>
      </c>
      <c r="E120" s="15">
        <v>12213</v>
      </c>
      <c r="F120" s="16" t="s">
        <v>211</v>
      </c>
      <c r="G120" s="21" t="s">
        <v>109</v>
      </c>
      <c r="H120" s="17" t="s">
        <v>138</v>
      </c>
      <c r="I120" s="18">
        <v>0</v>
      </c>
      <c r="J120" s="18">
        <f>J119</f>
        <v>232</v>
      </c>
      <c r="K120" s="18">
        <f>K119</f>
        <v>232</v>
      </c>
      <c r="L120" s="18">
        <f>L119</f>
        <v>232</v>
      </c>
      <c r="M120" s="18">
        <f t="shared" si="22"/>
        <v>696</v>
      </c>
      <c r="N120" s="18">
        <f>IF(OR(H120="",H120="sif",H120="PM"),0,VLOOKUP(H120,[5]CU!$C$4:$H$255,6,FALSE))</f>
        <v>1.7549999999999999</v>
      </c>
      <c r="O120" s="18">
        <f t="shared" si="23"/>
        <v>0</v>
      </c>
      <c r="P120" s="18">
        <f t="shared" si="23"/>
        <v>407.15999999999997</v>
      </c>
      <c r="Q120" s="18">
        <f t="shared" si="23"/>
        <v>407.15999999999997</v>
      </c>
      <c r="R120" s="18">
        <f t="shared" si="23"/>
        <v>407.15999999999997</v>
      </c>
      <c r="S120" s="18">
        <f>SUM(O120:R120)</f>
        <v>1221.48</v>
      </c>
      <c r="T120" s="23" t="s">
        <v>56</v>
      </c>
      <c r="U120" s="18" t="s">
        <v>170</v>
      </c>
      <c r="V120" s="18" t="str">
        <f>IF(OR($H120="",$H120="sif",$H120="PM"),"",VLOOKUP($H120,[5]CU!$C$5:$J$255,8,FALSE))</f>
        <v>5. Investissement</v>
      </c>
      <c r="W120" s="18" t="s">
        <v>205</v>
      </c>
      <c r="X120" s="18" t="s">
        <v>210</v>
      </c>
      <c r="Y120" s="19" t="s">
        <v>32</v>
      </c>
      <c r="Z120" s="18" t="str">
        <f>A120 &amp; "-" &amp; VLOOKUP(A120,[4]PROGRAMMES!$E$1:$F$7,2,FALSE)</f>
        <v>1-Accès et équité à l'enseignement général</v>
      </c>
      <c r="AA120" s="19" t="str">
        <f>B120 &amp; "-" &amp; VLOOKUP(B120,[4]SOUSPROGRAMMES!$E$1:$F$44,2,FALSE)</f>
        <v>12- Accès équitable et achèvement du primaire</v>
      </c>
      <c r="AB120" s="19" t="str">
        <f>C120 &amp; "-" &amp; VLOOKUP(C120,[4]RESULTATS!$E$1:$F$176,2,FALSE)</f>
        <v xml:space="preserve">122- Toutes les localités disposent d’écoles primaires avec des infrastructures adéquates  </v>
      </c>
      <c r="AC120" s="20" t="str">
        <f>D120 &amp; "-" &amp; VLOOKUP(D120,[4]STRATEGIES!$E$1:$F$504,2,FALSE)</f>
        <v>1221-Rénovation/réhabilitation de salles de classe en tenant compte de la prévention des catastrophes naturels, y compris dans les FA</v>
      </c>
      <c r="AD120" s="21" t="str">
        <f t="shared" si="13"/>
        <v>12213-Supervision des travaux de réhabilitation/rénovation des salles de classe</v>
      </c>
    </row>
    <row r="121" spans="1:30" s="22" customFormat="1" ht="45" hidden="1" customHeight="1" x14ac:dyDescent="0.8">
      <c r="A121" s="14">
        <v>1</v>
      </c>
      <c r="B121" s="15">
        <v>12</v>
      </c>
      <c r="C121" s="15">
        <v>122</v>
      </c>
      <c r="D121" s="15">
        <v>1221</v>
      </c>
      <c r="E121" s="15">
        <v>12214</v>
      </c>
      <c r="F121" s="16" t="s">
        <v>212</v>
      </c>
      <c r="G121" s="21" t="s">
        <v>213</v>
      </c>
      <c r="H121" s="17" t="s">
        <v>55</v>
      </c>
      <c r="I121" s="18">
        <v>0</v>
      </c>
      <c r="J121" s="18">
        <v>1</v>
      </c>
      <c r="K121" s="18">
        <v>1</v>
      </c>
      <c r="L121" s="18">
        <v>1</v>
      </c>
      <c r="M121" s="18">
        <f t="shared" si="22"/>
        <v>3</v>
      </c>
      <c r="N121" s="18">
        <f>IF(OR(H121="",H121="sif",H121="PM"),0,VLOOKUP(H121,[5]CU!$C$4:$H$255,6,FALSE))</f>
        <v>0</v>
      </c>
      <c r="O121" s="18"/>
      <c r="P121" s="18"/>
      <c r="Q121" s="18"/>
      <c r="R121" s="18"/>
      <c r="S121" s="18"/>
      <c r="T121" s="23" t="s">
        <v>56</v>
      </c>
      <c r="U121" s="18" t="s">
        <v>170</v>
      </c>
      <c r="V121" s="18" t="str">
        <f>IF(OR($H121="",$H121="sif",$H121="PM"),"",VLOOKUP($H121,[5]CU!$C$5:$J$255,8,FALSE))</f>
        <v/>
      </c>
      <c r="W121" s="18" t="s">
        <v>205</v>
      </c>
      <c r="X121" s="18" t="s">
        <v>210</v>
      </c>
      <c r="Y121" s="19" t="s">
        <v>32</v>
      </c>
      <c r="Z121" s="18" t="str">
        <f>A121 &amp; "-" &amp; VLOOKUP(A121,[4]PROGRAMMES!$E$1:$F$7,2,FALSE)</f>
        <v>1-Accès et équité à l'enseignement général</v>
      </c>
      <c r="AA121" s="19" t="str">
        <f>B121 &amp; "-" &amp; VLOOKUP(B121,[4]SOUSPROGRAMMES!$E$1:$F$44,2,FALSE)</f>
        <v>12- Accès équitable et achèvement du primaire</v>
      </c>
      <c r="AB121" s="19" t="str">
        <f>C121 &amp; "-" &amp; VLOOKUP(C121,[4]RESULTATS!$E$1:$F$176,2,FALSE)</f>
        <v xml:space="preserve">122- Toutes les localités disposent d’écoles primaires avec des infrastructures adéquates  </v>
      </c>
      <c r="AC121" s="20" t="str">
        <f>D121 &amp; "-" &amp; VLOOKUP(D121,[4]STRATEGIES!$E$1:$F$504,2,FALSE)</f>
        <v>1221-Rénovation/réhabilitation de salles de classe en tenant compte de la prévention des catastrophes naturels, y compris dans les FA</v>
      </c>
      <c r="AD121" s="21" t="str">
        <f t="shared" si="13"/>
        <v>12214-Suivi/évaluation de la réhabilitation/rénovation des salles de classe (voir suivi construction activité 122210)</v>
      </c>
    </row>
    <row r="122" spans="1:30" s="22" customFormat="1" ht="45" hidden="1" customHeight="1" x14ac:dyDescent="0.8">
      <c r="A122" s="14">
        <v>1</v>
      </c>
      <c r="B122" s="15">
        <v>12</v>
      </c>
      <c r="C122" s="15">
        <v>122</v>
      </c>
      <c r="D122" s="15">
        <v>1222</v>
      </c>
      <c r="E122" s="15">
        <v>1222</v>
      </c>
      <c r="F122" s="16" t="s">
        <v>214</v>
      </c>
      <c r="G122" s="17"/>
      <c r="H122" s="17"/>
      <c r="I122" s="18">
        <v>0</v>
      </c>
      <c r="J122" s="18"/>
      <c r="K122" s="18"/>
      <c r="L122" s="18"/>
      <c r="M122" s="18"/>
      <c r="N122" s="18"/>
      <c r="O122" s="18"/>
      <c r="P122" s="18"/>
      <c r="Q122" s="18"/>
      <c r="R122" s="18"/>
      <c r="S122" s="18"/>
      <c r="T122" s="18"/>
      <c r="U122" s="18"/>
      <c r="V122" s="18"/>
      <c r="W122" s="18"/>
      <c r="X122" s="18"/>
      <c r="Y122" s="19" t="s">
        <v>32</v>
      </c>
      <c r="Z122" s="18" t="str">
        <f>A122 &amp; "-" &amp; VLOOKUP(A122,[4]PROGRAMMES!$E$1:$F$7,2,FALSE)</f>
        <v>1-Accès et équité à l'enseignement général</v>
      </c>
      <c r="AA122" s="19" t="str">
        <f>B122 &amp; "-" &amp; VLOOKUP(B122,[4]SOUSPROGRAMMES!$E$1:$F$44,2,FALSE)</f>
        <v>12- Accès équitable et achèvement du primaire</v>
      </c>
      <c r="AB122" s="19" t="str">
        <f>C122 &amp; "-" &amp; VLOOKUP(C122,[4]RESULTATS!$E$1:$F$176,2,FALSE)</f>
        <v xml:space="preserve">122- Toutes les localités disposent d’écoles primaires avec des infrastructures adéquates  </v>
      </c>
      <c r="AC122" s="20" t="str">
        <f>D122 &amp; "-" &amp; VLOOKUP(D122,[4]STRATEGIES!$E$1:$F$504,2,FALSE)</f>
        <v>1222-Construction et équipement de salles de classe au primaire avec rampe d’accès et en tenant compte de la prévention des catastrophes naturels</v>
      </c>
      <c r="AD122" s="21" t="str">
        <f t="shared" si="13"/>
        <v>1222-Construction et équipement de salles de classe au primaire avec rampe d’accès et en tenant compte de la prévention des catastrophes naturels</v>
      </c>
    </row>
    <row r="123" spans="1:30" s="22" customFormat="1" ht="45" hidden="1" customHeight="1" x14ac:dyDescent="0.8">
      <c r="A123" s="14">
        <v>1</v>
      </c>
      <c r="B123" s="15">
        <v>12</v>
      </c>
      <c r="C123" s="15">
        <v>122</v>
      </c>
      <c r="D123" s="15">
        <v>1222</v>
      </c>
      <c r="E123" s="15">
        <v>12221</v>
      </c>
      <c r="F123" s="16" t="s">
        <v>215</v>
      </c>
      <c r="G123" s="21" t="s">
        <v>88</v>
      </c>
      <c r="H123" s="17" t="s">
        <v>55</v>
      </c>
      <c r="I123" s="18">
        <v>0</v>
      </c>
      <c r="J123" s="18">
        <v>1</v>
      </c>
      <c r="K123" s="18">
        <v>1</v>
      </c>
      <c r="L123" s="18">
        <v>1</v>
      </c>
      <c r="M123" s="18">
        <f t="shared" si="22"/>
        <v>3</v>
      </c>
      <c r="N123" s="18">
        <f>IF(OR(H123="",H123="sif",H123="PM"),0,VLOOKUP(H123,[5]CU!$C$4:$H$255,6,FALSE))</f>
        <v>0</v>
      </c>
      <c r="O123" s="18"/>
      <c r="P123" s="18"/>
      <c r="Q123" s="18"/>
      <c r="R123" s="18"/>
      <c r="S123" s="18"/>
      <c r="T123" s="23" t="s">
        <v>56</v>
      </c>
      <c r="U123" s="18" t="s">
        <v>170</v>
      </c>
      <c r="V123" s="18" t="str">
        <f>IF(OR($H123="",$H123="sif",$H123="PM"),"",VLOOKUP($H123,[5]CU!$C$5:$J$255,8,FALSE))</f>
        <v/>
      </c>
      <c r="W123" s="18" t="s">
        <v>96</v>
      </c>
      <c r="X123" s="18" t="s">
        <v>77</v>
      </c>
      <c r="Y123" s="19" t="s">
        <v>32</v>
      </c>
      <c r="Z123" s="18" t="str">
        <f>A123 &amp; "-" &amp; VLOOKUP(A123,[4]PROGRAMMES!$E$1:$F$7,2,FALSE)</f>
        <v>1-Accès et équité à l'enseignement général</v>
      </c>
      <c r="AA123" s="19" t="str">
        <f>B123 &amp; "-" &amp; VLOOKUP(B123,[4]SOUSPROGRAMMES!$E$1:$F$44,2,FALSE)</f>
        <v>12- Accès équitable et achèvement du primaire</v>
      </c>
      <c r="AB123" s="19" t="str">
        <f>C123 &amp; "-" &amp; VLOOKUP(C123,[4]RESULTATS!$E$1:$F$176,2,FALSE)</f>
        <v xml:space="preserve">122- Toutes les localités disposent d’écoles primaires avec des infrastructures adéquates  </v>
      </c>
      <c r="AC123" s="20" t="str">
        <f>D123 &amp; "-" &amp; VLOOKUP(D123,[4]STRATEGIES!$E$1:$F$504,2,FALSE)</f>
        <v>1222-Construction et équipement de salles de classe au primaire avec rampe d’accès et en tenant compte de la prévention des catastrophes naturels</v>
      </c>
      <c r="AD123" s="21" t="str">
        <f t="shared" si="13"/>
        <v>12221-Identification de sites de nouvelles constructions ou d'extension</v>
      </c>
    </row>
    <row r="124" spans="1:30" ht="45" hidden="1" customHeight="1" x14ac:dyDescent="0.8">
      <c r="A124" s="25">
        <v>1</v>
      </c>
      <c r="B124" s="16">
        <v>12</v>
      </c>
      <c r="C124" s="16">
        <v>122</v>
      </c>
      <c r="D124" s="16">
        <v>1222</v>
      </c>
      <c r="E124" s="16">
        <v>12222</v>
      </c>
      <c r="F124" s="16" t="s">
        <v>216</v>
      </c>
      <c r="G124" s="21" t="s">
        <v>58</v>
      </c>
      <c r="H124" s="21" t="s">
        <v>59</v>
      </c>
      <c r="I124" s="19">
        <v>0</v>
      </c>
      <c r="J124" s="19"/>
      <c r="K124" s="19">
        <f>15*10*2</f>
        <v>300</v>
      </c>
      <c r="L124" s="19">
        <f>15*10</f>
        <v>150</v>
      </c>
      <c r="M124" s="19">
        <f t="shared" si="22"/>
        <v>450</v>
      </c>
      <c r="N124" s="19">
        <f>IF(OR(H124="",H124="sif",H124="PM"),0,VLOOKUP(H124,[5]CU!$C$4:$H$255,6,FALSE))</f>
        <v>0.8177777777777776</v>
      </c>
      <c r="O124" s="19">
        <f t="shared" ref="O124:R141" si="24">$N124*I124</f>
        <v>0</v>
      </c>
      <c r="P124" s="19">
        <f t="shared" si="24"/>
        <v>0</v>
      </c>
      <c r="Q124" s="19">
        <f>$N124*K124</f>
        <v>245.33333333333329</v>
      </c>
      <c r="R124" s="19">
        <f t="shared" si="24"/>
        <v>122.66666666666664</v>
      </c>
      <c r="S124" s="19">
        <f t="shared" ref="S124:S141" si="25">SUM(O124:R124)</f>
        <v>367.99999999999994</v>
      </c>
      <c r="T124" s="26" t="s">
        <v>169</v>
      </c>
      <c r="U124" s="19" t="s">
        <v>170</v>
      </c>
      <c r="V124" s="19" t="str">
        <f>IF(OR($H124="",$H124="sif",$H124="PM"),"",VLOOKUP($H124,[5]CU!$C$5:$J$255,8,FALSE))</f>
        <v>3. Dépenses de fonctionnement</v>
      </c>
      <c r="W124" s="19" t="s">
        <v>96</v>
      </c>
      <c r="X124" s="19" t="s">
        <v>98</v>
      </c>
      <c r="Y124" s="19" t="s">
        <v>32</v>
      </c>
      <c r="Z124" s="19" t="str">
        <f>A124 &amp; "-" &amp; VLOOKUP(A124,[4]PROGRAMMES!$E$1:$F$7,2,FALSE)</f>
        <v>1-Accès et équité à l'enseignement général</v>
      </c>
      <c r="AA124" s="19" t="str">
        <f>B124 &amp; "-" &amp; VLOOKUP(B124,[4]SOUSPROGRAMMES!$E$1:$F$44,2,FALSE)</f>
        <v>12- Accès équitable et achèvement du primaire</v>
      </c>
      <c r="AB124" s="19" t="str">
        <f>C124 &amp; "-" &amp; VLOOKUP(C124,[4]RESULTATS!$E$1:$F$176,2,FALSE)</f>
        <v xml:space="preserve">122- Toutes les localités disposent d’écoles primaires avec des infrastructures adéquates  </v>
      </c>
      <c r="AC124" s="20" t="str">
        <f>D124 &amp; "-" &amp; VLOOKUP(D124,[4]STRATEGIES!$E$1:$F$504,2,FALSE)</f>
        <v>1222-Construction et équipement de salles de classe au primaire avec rampe d’accès et en tenant compte de la prévention des catastrophes naturels</v>
      </c>
      <c r="AD124" s="21" t="str">
        <f t="shared" si="13"/>
        <v>12222-Validation des sites devant bénéficier de construction de salles de classe</v>
      </c>
    </row>
    <row r="125" spans="1:30" s="22" customFormat="1" ht="45" hidden="1" customHeight="1" x14ac:dyDescent="0.8">
      <c r="A125" s="14">
        <v>1</v>
      </c>
      <c r="B125" s="15">
        <v>12</v>
      </c>
      <c r="C125" s="15">
        <v>122</v>
      </c>
      <c r="D125" s="15">
        <v>1222</v>
      </c>
      <c r="E125" s="15">
        <v>12223</v>
      </c>
      <c r="F125" s="16" t="s">
        <v>217</v>
      </c>
      <c r="G125" s="21" t="s">
        <v>103</v>
      </c>
      <c r="H125" s="17" t="s">
        <v>218</v>
      </c>
      <c r="I125" s="18">
        <v>0</v>
      </c>
      <c r="J125" s="18">
        <f>(4167/2)*20%</f>
        <v>416.70000000000005</v>
      </c>
      <c r="K125" s="18">
        <f>(4167/2)*50%</f>
        <v>1041.75</v>
      </c>
      <c r="L125" s="18">
        <f>(4167/2)*30%</f>
        <v>625.04999999999995</v>
      </c>
      <c r="M125" s="18">
        <f t="shared" si="22"/>
        <v>2083.5</v>
      </c>
      <c r="N125" s="18">
        <f>IF(OR(H125="",H125="sif",H125="PM"),0,VLOOKUP(H125,[5]CU!$C$4:$H$255,6,FALSE))</f>
        <v>138</v>
      </c>
      <c r="O125" s="18">
        <f t="shared" si="24"/>
        <v>0</v>
      </c>
      <c r="P125" s="18">
        <f t="shared" si="24"/>
        <v>57504.600000000006</v>
      </c>
      <c r="Q125" s="18">
        <f t="shared" si="24"/>
        <v>143761.5</v>
      </c>
      <c r="R125" s="18">
        <f t="shared" si="24"/>
        <v>86256.9</v>
      </c>
      <c r="S125" s="18">
        <f t="shared" si="25"/>
        <v>287523</v>
      </c>
      <c r="T125" s="23" t="s">
        <v>56</v>
      </c>
      <c r="U125" s="18" t="s">
        <v>170</v>
      </c>
      <c r="V125" s="18" t="str">
        <f>IF(OR($H125="",$H125="sif",$H125="PM"),"",VLOOKUP($H125,[5]CU!$C$5:$J$255,8,FALSE))</f>
        <v>5. Investissement</v>
      </c>
      <c r="W125" s="18" t="s">
        <v>206</v>
      </c>
      <c r="X125" s="18" t="s">
        <v>205</v>
      </c>
      <c r="Y125" s="19" t="s">
        <v>32</v>
      </c>
      <c r="Z125" s="18" t="str">
        <f>A125 &amp; "-" &amp; VLOOKUP(A125,[4]PROGRAMMES!$E$1:$F$7,2,FALSE)</f>
        <v>1-Accès et équité à l'enseignement général</v>
      </c>
      <c r="AA125" s="19" t="str">
        <f>B125 &amp; "-" &amp; VLOOKUP(B125,[4]SOUSPROGRAMMES!$E$1:$F$44,2,FALSE)</f>
        <v>12- Accès équitable et achèvement du primaire</v>
      </c>
      <c r="AB125" s="19" t="str">
        <f>C125 &amp; "-" &amp; VLOOKUP(C125,[4]RESULTATS!$E$1:$F$176,2,FALSE)</f>
        <v xml:space="preserve">122- Toutes les localités disposent d’écoles primaires avec des infrastructures adéquates  </v>
      </c>
      <c r="AC125" s="20" t="str">
        <f>D125 &amp; "-" &amp; VLOOKUP(D125,[4]STRATEGIES!$E$1:$F$504,2,FALSE)</f>
        <v>1222-Construction et équipement de salles de classe au primaire avec rampe d’accès et en tenant compte de la prévention des catastrophes naturels</v>
      </c>
      <c r="AD125" s="21" t="str">
        <f t="shared" si="13"/>
        <v>12223-Réalisation des travaux de construction des salles de classe maitrise d'ouvrage des communes</v>
      </c>
    </row>
    <row r="126" spans="1:30" s="22" customFormat="1" ht="45" hidden="1" customHeight="1" x14ac:dyDescent="0.8">
      <c r="A126" s="14">
        <v>1</v>
      </c>
      <c r="B126" s="15">
        <v>12</v>
      </c>
      <c r="C126" s="15">
        <v>122</v>
      </c>
      <c r="D126" s="15">
        <v>1222</v>
      </c>
      <c r="E126" s="15">
        <v>12224</v>
      </c>
      <c r="F126" s="16" t="s">
        <v>219</v>
      </c>
      <c r="G126" s="21" t="s">
        <v>103</v>
      </c>
      <c r="H126" s="17" t="s">
        <v>218</v>
      </c>
      <c r="I126" s="18">
        <v>0</v>
      </c>
      <c r="J126" s="18"/>
      <c r="K126" s="18"/>
      <c r="L126" s="18"/>
      <c r="M126" s="18">
        <f>SUM(I126:L126)</f>
        <v>0</v>
      </c>
      <c r="N126" s="18">
        <f>IF(OR(H126="",H126="sif",H126="PM"),0,VLOOKUP(H126,[5]CU!$C$4:$H$255,6,FALSE))</f>
        <v>138</v>
      </c>
      <c r="O126" s="18">
        <f>$N126*I126</f>
        <v>0</v>
      </c>
      <c r="P126" s="18">
        <f>$N126*J126</f>
        <v>0</v>
      </c>
      <c r="Q126" s="18">
        <f>$N126*K126</f>
        <v>0</v>
      </c>
      <c r="R126" s="18">
        <f>$N126*L126</f>
        <v>0</v>
      </c>
      <c r="S126" s="27">
        <f>SUM(O126:R126)</f>
        <v>0</v>
      </c>
      <c r="T126" s="23" t="s">
        <v>178</v>
      </c>
      <c r="U126" s="18" t="s">
        <v>170</v>
      </c>
      <c r="V126" s="18" t="str">
        <f>IF(OR($H126="",$H126="sif",$H126="PM"),"",VLOOKUP($H126,[5]CU!$C$5:$J$255,8,FALSE))</f>
        <v>5. Investissement</v>
      </c>
      <c r="W126" s="18" t="s">
        <v>98</v>
      </c>
      <c r="X126" s="18" t="s">
        <v>98</v>
      </c>
      <c r="Y126" s="19" t="s">
        <v>32</v>
      </c>
      <c r="Z126" s="18" t="str">
        <f>A126 &amp; "-" &amp; VLOOKUP(A126,[4]PROGRAMMES!$E$1:$F$7,2,FALSE)</f>
        <v>1-Accès et équité à l'enseignement général</v>
      </c>
      <c r="AA126" s="19" t="str">
        <f>B126 &amp; "-" &amp; VLOOKUP(B126,[4]SOUSPROGRAMMES!$E$1:$F$44,2,FALSE)</f>
        <v>12- Accès équitable et achèvement du primaire</v>
      </c>
      <c r="AB126" s="19" t="str">
        <f>C126 &amp; "-" &amp; VLOOKUP(C126,[4]RESULTATS!$E$1:$F$176,2,FALSE)</f>
        <v xml:space="preserve">122- Toutes les localités disposent d’écoles primaires avec des infrastructures adéquates  </v>
      </c>
      <c r="AC126" s="20" t="str">
        <f>D126 &amp; "-" &amp; VLOOKUP(D126,[4]STRATEGIES!$E$1:$F$504,2,FALSE)</f>
        <v>1222-Construction et équipement de salles de classe au primaire avec rampe d’accès et en tenant compte de la prévention des catastrophes naturels</v>
      </c>
      <c r="AD126" s="21" t="str">
        <f t="shared" si="13"/>
        <v>12224-Réalisation des travaux de construction des salles de classe maitrise d'ouvrage SNIES</v>
      </c>
    </row>
    <row r="127" spans="1:30" ht="45" hidden="1" customHeight="1" x14ac:dyDescent="0.8">
      <c r="A127" s="25">
        <v>1</v>
      </c>
      <c r="B127" s="16">
        <v>12</v>
      </c>
      <c r="C127" s="16">
        <v>122</v>
      </c>
      <c r="D127" s="16">
        <v>1222</v>
      </c>
      <c r="E127" s="16">
        <v>12224</v>
      </c>
      <c r="F127" s="16" t="s">
        <v>219</v>
      </c>
      <c r="G127" s="21" t="s">
        <v>103</v>
      </c>
      <c r="H127" s="21" t="s">
        <v>218</v>
      </c>
      <c r="I127" s="19">
        <v>0</v>
      </c>
      <c r="J127" s="19">
        <v>0</v>
      </c>
      <c r="K127" s="19">
        <v>180</v>
      </c>
      <c r="L127" s="19">
        <v>90</v>
      </c>
      <c r="M127" s="19">
        <f>SUM(I127:L127)</f>
        <v>270</v>
      </c>
      <c r="N127" s="19">
        <f>IF(OR(H127="",H127="sif",H127="PM"),0,VLOOKUP(H127,[5]CU!$C$4:$H$255,6,FALSE))</f>
        <v>138</v>
      </c>
      <c r="O127" s="19">
        <f t="shared" si="24"/>
        <v>0</v>
      </c>
      <c r="P127" s="19">
        <f t="shared" si="24"/>
        <v>0</v>
      </c>
      <c r="Q127" s="19">
        <f>$N127*K127</f>
        <v>24840</v>
      </c>
      <c r="R127" s="19">
        <f t="shared" si="24"/>
        <v>12420</v>
      </c>
      <c r="S127" s="28">
        <f t="shared" si="25"/>
        <v>37260</v>
      </c>
      <c r="T127" s="26" t="s">
        <v>169</v>
      </c>
      <c r="U127" s="19" t="s">
        <v>170</v>
      </c>
      <c r="V127" s="19" t="str">
        <f>IF(OR($H127="",$H127="sif",$H127="PM"),"",VLOOKUP($H127,[5]CU!$C$5:$J$255,8,FALSE))</f>
        <v>5. Investissement</v>
      </c>
      <c r="W127" s="19" t="s">
        <v>98</v>
      </c>
      <c r="X127" s="19" t="s">
        <v>98</v>
      </c>
      <c r="Y127" s="19" t="s">
        <v>32</v>
      </c>
      <c r="Z127" s="19" t="str">
        <f>A127 &amp; "-" &amp; VLOOKUP(A127,[4]PROGRAMMES!$E$1:$F$7,2,FALSE)</f>
        <v>1-Accès et équité à l'enseignement général</v>
      </c>
      <c r="AA127" s="19" t="str">
        <f>B127 &amp; "-" &amp; VLOOKUP(B127,[4]SOUSPROGRAMMES!$E$1:$F$44,2,FALSE)</f>
        <v>12- Accès équitable et achèvement du primaire</v>
      </c>
      <c r="AB127" s="19" t="str">
        <f>C127 &amp; "-" &amp; VLOOKUP(C127,[4]RESULTATS!$E$1:$F$176,2,FALSE)</f>
        <v xml:space="preserve">122- Toutes les localités disposent d’écoles primaires avec des infrastructures adéquates  </v>
      </c>
      <c r="AC127" s="20" t="str">
        <f>D127 &amp; "-" &amp; VLOOKUP(D127,[4]STRATEGIES!$E$1:$F$504,2,FALSE)</f>
        <v>1222-Construction et équipement de salles de classe au primaire avec rampe d’accès et en tenant compte de la prévention des catastrophes naturels</v>
      </c>
      <c r="AD127" s="21" t="str">
        <f t="shared" si="13"/>
        <v>12224-Réalisation des travaux de construction des salles de classe maitrise d'ouvrage SNIES</v>
      </c>
    </row>
    <row r="128" spans="1:30" ht="45" hidden="1" customHeight="1" x14ac:dyDescent="0.8">
      <c r="A128" s="25">
        <v>1</v>
      </c>
      <c r="B128" s="16">
        <v>12</v>
      </c>
      <c r="C128" s="16">
        <v>122</v>
      </c>
      <c r="D128" s="16">
        <v>1222</v>
      </c>
      <c r="E128" s="16">
        <v>12224</v>
      </c>
      <c r="F128" s="16" t="s">
        <v>219</v>
      </c>
      <c r="G128" s="21" t="s">
        <v>103</v>
      </c>
      <c r="H128" s="21" t="s">
        <v>218</v>
      </c>
      <c r="I128" s="19">
        <v>0</v>
      </c>
      <c r="J128" s="19">
        <f>(208.35-J126-J127)</f>
        <v>208.35</v>
      </c>
      <c r="K128" s="19">
        <f>(520.875-K126-K127)</f>
        <v>340.875</v>
      </c>
      <c r="L128" s="19">
        <f>(312.525-L126-L127)</f>
        <v>222.52499999999998</v>
      </c>
      <c r="M128" s="19">
        <f>SUM(I128:L128)</f>
        <v>771.75</v>
      </c>
      <c r="N128" s="19">
        <f>IF(OR(H128="",H128="sif",H128="PM"),0,VLOOKUP(H128,[5]CU!$C$4:$H$255,6,FALSE))</f>
        <v>138</v>
      </c>
      <c r="O128" s="19">
        <f t="shared" si="24"/>
        <v>0</v>
      </c>
      <c r="P128" s="19">
        <f t="shared" si="24"/>
        <v>28752.3</v>
      </c>
      <c r="Q128" s="19">
        <f t="shared" si="24"/>
        <v>47040.75</v>
      </c>
      <c r="R128" s="19">
        <f t="shared" si="24"/>
        <v>30708.449999999997</v>
      </c>
      <c r="S128" s="28">
        <f>SUM(O128:R128)</f>
        <v>106501.5</v>
      </c>
      <c r="T128" s="26" t="s">
        <v>118</v>
      </c>
      <c r="U128" s="19" t="s">
        <v>170</v>
      </c>
      <c r="V128" s="19" t="str">
        <f>IF(OR($H128="",$H128="sif",$H128="PM"),"",VLOOKUP($H128,[5]CU!$C$5:$J$255,8,FALSE))</f>
        <v>5. Investissement</v>
      </c>
      <c r="W128" s="19" t="s">
        <v>98</v>
      </c>
      <c r="X128" s="19" t="s">
        <v>98</v>
      </c>
      <c r="Y128" s="19" t="s">
        <v>32</v>
      </c>
      <c r="Z128" s="19" t="str">
        <f>A128 &amp; "-" &amp; VLOOKUP(A128,[4]PROGRAMMES!$E$1:$F$7,2,FALSE)</f>
        <v>1-Accès et équité à l'enseignement général</v>
      </c>
      <c r="AA128" s="19" t="str">
        <f>B128 &amp; "-" &amp; VLOOKUP(B128,[4]SOUSPROGRAMMES!$E$1:$F$44,2,FALSE)</f>
        <v>12- Accès équitable et achèvement du primaire</v>
      </c>
      <c r="AB128" s="19" t="str">
        <f>C128 &amp; "-" &amp; VLOOKUP(C128,[4]RESULTATS!$E$1:$F$176,2,FALSE)</f>
        <v xml:space="preserve">122- Toutes les localités disposent d’écoles primaires avec des infrastructures adéquates  </v>
      </c>
      <c r="AC128" s="20" t="str">
        <f>D128 &amp; "-" &amp; VLOOKUP(D128,[4]STRATEGIES!$E$1:$F$504,2,FALSE)</f>
        <v>1222-Construction et équipement de salles de classe au primaire avec rampe d’accès et en tenant compte de la prévention des catastrophes naturels</v>
      </c>
      <c r="AD128" s="21" t="str">
        <f t="shared" si="13"/>
        <v>12224-Réalisation des travaux de construction des salles de classe maitrise d'ouvrage SNIES</v>
      </c>
    </row>
    <row r="129" spans="1:30" ht="45" hidden="1" customHeight="1" x14ac:dyDescent="0.8">
      <c r="A129" s="25">
        <v>1</v>
      </c>
      <c r="B129" s="16">
        <v>12</v>
      </c>
      <c r="C129" s="16">
        <v>122</v>
      </c>
      <c r="D129" s="16">
        <v>1222</v>
      </c>
      <c r="E129" s="16">
        <v>12225</v>
      </c>
      <c r="F129" s="16" t="s">
        <v>220</v>
      </c>
      <c r="G129" s="21" t="s">
        <v>103</v>
      </c>
      <c r="H129" s="21" t="s">
        <v>218</v>
      </c>
      <c r="I129" s="19">
        <v>0</v>
      </c>
      <c r="J129" s="19">
        <f>(J124/2)*82.24%</f>
        <v>0</v>
      </c>
      <c r="K129" s="19">
        <f>(K124/2)*82.24%</f>
        <v>123.35999999999999</v>
      </c>
      <c r="L129" s="19">
        <f>(L124/2)*82.24%</f>
        <v>61.679999999999993</v>
      </c>
      <c r="M129" s="19">
        <f>SUM(I129:L129)</f>
        <v>185.03999999999996</v>
      </c>
      <c r="N129" s="19">
        <f>IF(OR(H129="",H129="sif",H129="PM"),0,VLOOKUP(H129,[5]CU!$C$4:$H$255,6,FALSE))</f>
        <v>138</v>
      </c>
      <c r="O129" s="19">
        <f t="shared" si="24"/>
        <v>0</v>
      </c>
      <c r="P129" s="19">
        <f t="shared" si="24"/>
        <v>0</v>
      </c>
      <c r="Q129" s="19">
        <f t="shared" si="24"/>
        <v>17023.679999999997</v>
      </c>
      <c r="R129" s="19">
        <f t="shared" si="24"/>
        <v>8511.8399999999983</v>
      </c>
      <c r="S129" s="19">
        <f>SUM(O129:R129)</f>
        <v>25535.519999999997</v>
      </c>
      <c r="T129" s="26" t="s">
        <v>221</v>
      </c>
      <c r="U129" s="19" t="s">
        <v>170</v>
      </c>
      <c r="V129" s="19" t="str">
        <f>IF(OR($H129="",$H129="sif",$H129="PM"),"",VLOOKUP($H129,[5]CU!$C$5:$J$255,8,FALSE))</f>
        <v>5. Investissement</v>
      </c>
      <c r="W129" s="19" t="s">
        <v>98</v>
      </c>
      <c r="X129" s="19" t="s">
        <v>222</v>
      </c>
      <c r="Y129" s="19" t="s">
        <v>32</v>
      </c>
      <c r="Z129" s="19" t="str">
        <f>A129 &amp; "-" &amp; VLOOKUP(A129,[4]PROGRAMMES!$E$1:$F$7,2,FALSE)</f>
        <v>1-Accès et équité à l'enseignement général</v>
      </c>
      <c r="AA129" s="19" t="str">
        <f>B129 &amp; "-" &amp; VLOOKUP(B129,[4]SOUSPROGRAMMES!$E$1:$F$44,2,FALSE)</f>
        <v>12- Accès équitable et achèvement du primaire</v>
      </c>
      <c r="AB129" s="19" t="str">
        <f>C129 &amp; "-" &amp; VLOOKUP(C129,[4]RESULTATS!$E$1:$F$176,2,FALSE)</f>
        <v xml:space="preserve">122- Toutes les localités disposent d’écoles primaires avec des infrastructures adéquates  </v>
      </c>
      <c r="AC129" s="20" t="str">
        <f>D129 &amp; "-" &amp; VLOOKUP(D129,[4]STRATEGIES!$E$1:$F$504,2,FALSE)</f>
        <v>1222-Construction et équipement de salles de classe au primaire avec rampe d’accès et en tenant compte de la prévention des catastrophes naturels</v>
      </c>
      <c r="AD129" s="21" t="str">
        <f t="shared" si="13"/>
        <v>12225-Réalisation des travaux de construction des salles de classe maitrise d'ouvrage ONG</v>
      </c>
    </row>
    <row r="130" spans="1:30" ht="45" hidden="1" customHeight="1" x14ac:dyDescent="0.8">
      <c r="A130" s="25">
        <v>1</v>
      </c>
      <c r="B130" s="16">
        <v>12</v>
      </c>
      <c r="C130" s="16">
        <v>122</v>
      </c>
      <c r="D130" s="16">
        <v>1222</v>
      </c>
      <c r="E130" s="16">
        <v>12225</v>
      </c>
      <c r="F130" s="16" t="s">
        <v>220</v>
      </c>
      <c r="G130" s="21" t="s">
        <v>103</v>
      </c>
      <c r="H130" s="21" t="s">
        <v>218</v>
      </c>
      <c r="I130" s="19">
        <v>0</v>
      </c>
      <c r="J130" s="19">
        <f>(J124/2)*17.76%</f>
        <v>0</v>
      </c>
      <c r="K130" s="19">
        <f>(K124/2)*17.76%</f>
        <v>26.64</v>
      </c>
      <c r="L130" s="19">
        <f>(L124/2)*17.76%</f>
        <v>13.32</v>
      </c>
      <c r="M130" s="19">
        <f t="shared" si="22"/>
        <v>39.96</v>
      </c>
      <c r="N130" s="19">
        <f>IF(OR(H130="",H130="sif",H130="PM"),0,VLOOKUP(H130,[5]CU!$C$4:$H$255,6,FALSE))</f>
        <v>138</v>
      </c>
      <c r="O130" s="19">
        <f t="shared" si="24"/>
        <v>0</v>
      </c>
      <c r="P130" s="19">
        <f t="shared" si="24"/>
        <v>0</v>
      </c>
      <c r="Q130" s="19">
        <f t="shared" si="24"/>
        <v>3676.32</v>
      </c>
      <c r="R130" s="19">
        <f t="shared" si="24"/>
        <v>1838.16</v>
      </c>
      <c r="S130" s="19">
        <f t="shared" si="25"/>
        <v>5514.4800000000005</v>
      </c>
      <c r="T130" s="26" t="s">
        <v>118</v>
      </c>
      <c r="U130" s="19" t="s">
        <v>170</v>
      </c>
      <c r="V130" s="19" t="str">
        <f>IF(OR($H130="",$H130="sif",$H130="PM"),"",VLOOKUP($H130,[5]CU!$C$5:$J$255,8,FALSE))</f>
        <v>5. Investissement</v>
      </c>
      <c r="W130" s="19" t="s">
        <v>98</v>
      </c>
      <c r="X130" s="19" t="s">
        <v>222</v>
      </c>
      <c r="Y130" s="19" t="s">
        <v>32</v>
      </c>
      <c r="Z130" s="19" t="str">
        <f>A130 &amp; "-" &amp; VLOOKUP(A130,[4]PROGRAMMES!$E$1:$F$7,2,FALSE)</f>
        <v>1-Accès et équité à l'enseignement général</v>
      </c>
      <c r="AA130" s="19" t="str">
        <f>B130 &amp; "-" &amp; VLOOKUP(B130,[4]SOUSPROGRAMMES!$E$1:$F$44,2,FALSE)</f>
        <v>12- Accès équitable et achèvement du primaire</v>
      </c>
      <c r="AB130" s="19" t="str">
        <f>C130 &amp; "-" &amp; VLOOKUP(C130,[4]RESULTATS!$E$1:$F$176,2,FALSE)</f>
        <v xml:space="preserve">122- Toutes les localités disposent d’écoles primaires avec des infrastructures adéquates  </v>
      </c>
      <c r="AC130" s="20" t="str">
        <f>D130 &amp; "-" &amp; VLOOKUP(D130,[4]STRATEGIES!$E$1:$F$504,2,FALSE)</f>
        <v>1222-Construction et équipement de salles de classe au primaire avec rampe d’accès et en tenant compte de la prévention des catastrophes naturels</v>
      </c>
      <c r="AD130" s="21" t="str">
        <f t="shared" si="13"/>
        <v>12225-Réalisation des travaux de construction des salles de classe maitrise d'ouvrage ONG</v>
      </c>
    </row>
    <row r="131" spans="1:30" ht="45" hidden="1" customHeight="1" x14ac:dyDescent="0.8">
      <c r="A131" s="25">
        <v>1</v>
      </c>
      <c r="B131" s="16">
        <v>12</v>
      </c>
      <c r="C131" s="16">
        <v>122</v>
      </c>
      <c r="D131" s="16">
        <v>1222</v>
      </c>
      <c r="E131" s="16">
        <v>12226</v>
      </c>
      <c r="F131" s="16" t="s">
        <v>223</v>
      </c>
      <c r="G131" s="21" t="s">
        <v>103</v>
      </c>
      <c r="H131" s="21" t="s">
        <v>224</v>
      </c>
      <c r="I131" s="19">
        <v>0</v>
      </c>
      <c r="J131" s="19"/>
      <c r="K131" s="19"/>
      <c r="L131" s="19"/>
      <c r="M131" s="19">
        <f t="shared" si="22"/>
        <v>0</v>
      </c>
      <c r="N131" s="19">
        <f>IF(OR(H131="",H131="sif",H131="PM"),0,VLOOKUP(H131,[5]CU!$C$4:$H$255,6,FALSE))</f>
        <v>655.52327147401945</v>
      </c>
      <c r="O131" s="19">
        <f t="shared" si="24"/>
        <v>0</v>
      </c>
      <c r="P131" s="19">
        <f t="shared" si="24"/>
        <v>0</v>
      </c>
      <c r="Q131" s="19">
        <f t="shared" si="24"/>
        <v>0</v>
      </c>
      <c r="R131" s="19">
        <f t="shared" si="24"/>
        <v>0</v>
      </c>
      <c r="S131" s="19">
        <f t="shared" si="25"/>
        <v>0</v>
      </c>
      <c r="T131" s="26" t="s">
        <v>178</v>
      </c>
      <c r="U131" s="19" t="s">
        <v>170</v>
      </c>
      <c r="V131" s="19" t="str">
        <f>IF(OR($H131="",$H131="sif",$H131="PM"),"",VLOOKUP($H131,[5]CU!$C$5:$J$255,8,FALSE))</f>
        <v>5. Investissement</v>
      </c>
      <c r="W131" s="19" t="s">
        <v>206</v>
      </c>
      <c r="X131" s="19" t="s">
        <v>205</v>
      </c>
      <c r="Y131" s="19" t="s">
        <v>32</v>
      </c>
      <c r="Z131" s="19" t="str">
        <f>A131 &amp; "-" &amp; VLOOKUP(A131,[4]PROGRAMMES!$E$1:$F$7,2,FALSE)</f>
        <v>1-Accès et équité à l'enseignement général</v>
      </c>
      <c r="AA131" s="19" t="str">
        <f>B131 &amp; "-" &amp; VLOOKUP(B131,[4]SOUSPROGRAMMES!$E$1:$F$44,2,FALSE)</f>
        <v>12- Accès équitable et achèvement du primaire</v>
      </c>
      <c r="AB131" s="19" t="str">
        <f>C131 &amp; "-" &amp; VLOOKUP(C131,[4]RESULTATS!$E$1:$F$176,2,FALSE)</f>
        <v xml:space="preserve">122- Toutes les localités disposent d’écoles primaires avec des infrastructures adéquates  </v>
      </c>
      <c r="AC131" s="20" t="str">
        <f>D131 &amp; "-" &amp; VLOOKUP(D131,[4]STRATEGIES!$E$1:$F$504,2,FALSE)</f>
        <v>1222-Construction et équipement de salles de classe au primaire avec rampe d’accès et en tenant compte de la prévention des catastrophes naturels</v>
      </c>
      <c r="AD131" s="21" t="str">
        <f t="shared" si="13"/>
        <v>12226-Réalisation des travaux de construction de 123 salles de classe, latrines et équipement (maitrise d'ouvrage partenaire)</v>
      </c>
    </row>
    <row r="132" spans="1:30" ht="45" hidden="1" customHeight="1" x14ac:dyDescent="0.8">
      <c r="A132" s="25">
        <v>1</v>
      </c>
      <c r="B132" s="16">
        <v>12</v>
      </c>
      <c r="C132" s="16">
        <v>122</v>
      </c>
      <c r="D132" s="16">
        <v>1222</v>
      </c>
      <c r="E132" s="16">
        <v>12227</v>
      </c>
      <c r="F132" s="16" t="s">
        <v>225</v>
      </c>
      <c r="G132" s="21" t="s">
        <v>106</v>
      </c>
      <c r="H132" s="21" t="s">
        <v>226</v>
      </c>
      <c r="I132" s="19">
        <v>0</v>
      </c>
      <c r="J132" s="19">
        <f>J125</f>
        <v>416.70000000000005</v>
      </c>
      <c r="K132" s="19">
        <f>K125</f>
        <v>1041.75</v>
      </c>
      <c r="L132" s="19">
        <f>L125</f>
        <v>625.04999999999995</v>
      </c>
      <c r="M132" s="19">
        <f t="shared" si="22"/>
        <v>2083.5</v>
      </c>
      <c r="N132" s="19">
        <f>IF(OR(H132="",H132="sif",H132="PM"),0,VLOOKUP(H132,[5]CU!$C$4:$H$255,6,FALSE))</f>
        <v>23.333333333333332</v>
      </c>
      <c r="O132" s="19">
        <f t="shared" si="24"/>
        <v>0</v>
      </c>
      <c r="P132" s="19">
        <f t="shared" si="24"/>
        <v>9723</v>
      </c>
      <c r="Q132" s="19">
        <f t="shared" si="24"/>
        <v>24307.5</v>
      </c>
      <c r="R132" s="19">
        <f t="shared" si="24"/>
        <v>14584.499999999998</v>
      </c>
      <c r="S132" s="19">
        <f t="shared" si="25"/>
        <v>48615</v>
      </c>
      <c r="T132" s="26" t="s">
        <v>56</v>
      </c>
      <c r="U132" s="19" t="s">
        <v>170</v>
      </c>
      <c r="V132" s="19" t="str">
        <f>IF(OR($H132="",$H132="sif",$H132="PM"),"",VLOOKUP($H132,[5]CU!$C$5:$J$255,8,FALSE))</f>
        <v>5. Investissement</v>
      </c>
      <c r="W132" s="19" t="s">
        <v>98</v>
      </c>
      <c r="X132" s="19" t="s">
        <v>98</v>
      </c>
      <c r="Y132" s="19" t="s">
        <v>32</v>
      </c>
      <c r="Z132" s="19" t="str">
        <f>A132 &amp; "-" &amp; VLOOKUP(A132,[4]PROGRAMMES!$E$1:$F$7,2,FALSE)</f>
        <v>1-Accès et équité à l'enseignement général</v>
      </c>
      <c r="AA132" s="19" t="str">
        <f>B132 &amp; "-" &amp; VLOOKUP(B132,[4]SOUSPROGRAMMES!$E$1:$F$44,2,FALSE)</f>
        <v>12- Accès équitable et achèvement du primaire</v>
      </c>
      <c r="AB132" s="19" t="str">
        <f>C132 &amp; "-" &amp; VLOOKUP(C132,[4]RESULTATS!$E$1:$F$176,2,FALSE)</f>
        <v xml:space="preserve">122- Toutes les localités disposent d’écoles primaires avec des infrastructures adéquates  </v>
      </c>
      <c r="AC132" s="20" t="str">
        <f>D132 &amp; "-" &amp; VLOOKUP(D132,[4]STRATEGIES!$E$1:$F$504,2,FALSE)</f>
        <v>1222-Construction et équipement de salles de classe au primaire avec rampe d’accès et en tenant compte de la prévention des catastrophes naturels</v>
      </c>
      <c r="AD132" s="21" t="str">
        <f t="shared" ref="AD132:AD195" si="26">E132 &amp; "-" &amp; F132</f>
        <v>12227-Équipement des salles de classe en mobiliers scolaires (communes)</v>
      </c>
    </row>
    <row r="133" spans="1:30" ht="45" hidden="1" customHeight="1" x14ac:dyDescent="0.8">
      <c r="A133" s="25">
        <v>1</v>
      </c>
      <c r="B133" s="16">
        <v>12</v>
      </c>
      <c r="C133" s="16">
        <v>122</v>
      </c>
      <c r="D133" s="16">
        <v>1222</v>
      </c>
      <c r="E133" s="16">
        <v>12228</v>
      </c>
      <c r="F133" s="16" t="s">
        <v>227</v>
      </c>
      <c r="G133" s="21" t="s">
        <v>106</v>
      </c>
      <c r="H133" s="21" t="s">
        <v>226</v>
      </c>
      <c r="I133" s="19">
        <v>0</v>
      </c>
      <c r="J133" s="19"/>
      <c r="K133" s="19"/>
      <c r="L133" s="19"/>
      <c r="M133" s="19">
        <f>SUM(I133:L133)</f>
        <v>0</v>
      </c>
      <c r="N133" s="19">
        <f>IF(OR(H133="",H133="sif",H133="PM"),0,VLOOKUP(H133,[5]CU!$C$4:$H$255,6,FALSE))</f>
        <v>23.333333333333332</v>
      </c>
      <c r="O133" s="19">
        <f>$N133*I133</f>
        <v>0</v>
      </c>
      <c r="P133" s="19">
        <f>$N133*J133</f>
        <v>0</v>
      </c>
      <c r="Q133" s="19">
        <f>$N133*K133</f>
        <v>0</v>
      </c>
      <c r="R133" s="19">
        <f>$N133*L133</f>
        <v>0</v>
      </c>
      <c r="S133" s="28">
        <f>SUM(O133:R133)</f>
        <v>0</v>
      </c>
      <c r="T133" s="26" t="s">
        <v>178</v>
      </c>
      <c r="U133" s="19" t="s">
        <v>170</v>
      </c>
      <c r="V133" s="19" t="str">
        <f>IF(OR($H133="",$H133="sif",$H133="PM"),"",VLOOKUP($H133,[5]CU!$C$5:$J$255,8,FALSE))</f>
        <v>5. Investissement</v>
      </c>
      <c r="W133" s="19" t="s">
        <v>98</v>
      </c>
      <c r="X133" s="19" t="s">
        <v>222</v>
      </c>
      <c r="Y133" s="19" t="s">
        <v>32</v>
      </c>
      <c r="Z133" s="19" t="str">
        <f>A133 &amp; "-" &amp; VLOOKUP(A133,[4]PROGRAMMES!$E$1:$F$7,2,FALSE)</f>
        <v>1-Accès et équité à l'enseignement général</v>
      </c>
      <c r="AA133" s="19" t="str">
        <f>B133 &amp; "-" &amp; VLOOKUP(B133,[4]SOUSPROGRAMMES!$E$1:$F$44,2,FALSE)</f>
        <v>12- Accès équitable et achèvement du primaire</v>
      </c>
      <c r="AB133" s="19" t="str">
        <f>C133 &amp; "-" &amp; VLOOKUP(C133,[4]RESULTATS!$E$1:$F$176,2,FALSE)</f>
        <v xml:space="preserve">122- Toutes les localités disposent d’écoles primaires avec des infrastructures adéquates  </v>
      </c>
      <c r="AC133" s="20" t="str">
        <f>D133 &amp; "-" &amp; VLOOKUP(D133,[4]STRATEGIES!$E$1:$F$504,2,FALSE)</f>
        <v>1222-Construction et équipement de salles de classe au primaire avec rampe d’accès et en tenant compte de la prévention des catastrophes naturels</v>
      </c>
      <c r="AD133" s="21" t="str">
        <f t="shared" si="26"/>
        <v>12228-Equipement des salles de classe en mobiliers scolaires (SNIES)</v>
      </c>
    </row>
    <row r="134" spans="1:30" ht="45" hidden="1" customHeight="1" x14ac:dyDescent="0.8">
      <c r="A134" s="25">
        <v>1</v>
      </c>
      <c r="B134" s="16">
        <v>12</v>
      </c>
      <c r="C134" s="16">
        <v>122</v>
      </c>
      <c r="D134" s="16">
        <v>1222</v>
      </c>
      <c r="E134" s="16">
        <v>12228</v>
      </c>
      <c r="F134" s="16" t="s">
        <v>227</v>
      </c>
      <c r="G134" s="21" t="s">
        <v>106</v>
      </c>
      <c r="H134" s="21" t="s">
        <v>226</v>
      </c>
      <c r="I134" s="19">
        <v>0</v>
      </c>
      <c r="J134" s="19"/>
      <c r="K134" s="19">
        <f>K127*2</f>
        <v>360</v>
      </c>
      <c r="L134" s="19">
        <f t="shared" ref="J134:L135" si="27">L127</f>
        <v>90</v>
      </c>
      <c r="M134" s="19">
        <f t="shared" si="22"/>
        <v>450</v>
      </c>
      <c r="N134" s="19">
        <f>IF(OR(H134="",H134="sif",H134="PM"),0,VLOOKUP(H134,[5]CU!$C$4:$H$255,6,FALSE))</f>
        <v>23.333333333333332</v>
      </c>
      <c r="O134" s="19">
        <f t="shared" si="24"/>
        <v>0</v>
      </c>
      <c r="P134" s="19">
        <f t="shared" si="24"/>
        <v>0</v>
      </c>
      <c r="Q134" s="19">
        <f>$N134*K134</f>
        <v>8400</v>
      </c>
      <c r="R134" s="19">
        <f t="shared" si="24"/>
        <v>2100</v>
      </c>
      <c r="S134" s="28">
        <f t="shared" si="25"/>
        <v>10500</v>
      </c>
      <c r="T134" s="26" t="s">
        <v>169</v>
      </c>
      <c r="U134" s="19" t="s">
        <v>170</v>
      </c>
      <c r="V134" s="19" t="str">
        <f>IF(OR($H134="",$H134="sif",$H134="PM"),"",VLOOKUP($H134,[5]CU!$C$5:$J$255,8,FALSE))</f>
        <v>5. Investissement</v>
      </c>
      <c r="W134" s="19" t="s">
        <v>98</v>
      </c>
      <c r="X134" s="19" t="s">
        <v>222</v>
      </c>
      <c r="Y134" s="19" t="s">
        <v>32</v>
      </c>
      <c r="Z134" s="19" t="str">
        <f>A134 &amp; "-" &amp; VLOOKUP(A134,[4]PROGRAMMES!$E$1:$F$7,2,FALSE)</f>
        <v>1-Accès et équité à l'enseignement général</v>
      </c>
      <c r="AA134" s="19" t="str">
        <f>B134 &amp; "-" &amp; VLOOKUP(B134,[4]SOUSPROGRAMMES!$E$1:$F$44,2,FALSE)</f>
        <v>12- Accès équitable et achèvement du primaire</v>
      </c>
      <c r="AB134" s="19" t="str">
        <f>C134 &amp; "-" &amp; VLOOKUP(C134,[4]RESULTATS!$E$1:$F$176,2,FALSE)</f>
        <v xml:space="preserve">122- Toutes les localités disposent d’écoles primaires avec des infrastructures adéquates  </v>
      </c>
      <c r="AC134" s="20" t="str">
        <f>D134 &amp; "-" &amp; VLOOKUP(D134,[4]STRATEGIES!$E$1:$F$504,2,FALSE)</f>
        <v>1222-Construction et équipement de salles de classe au primaire avec rampe d’accès et en tenant compte de la prévention des catastrophes naturels</v>
      </c>
      <c r="AD134" s="21" t="str">
        <f t="shared" si="26"/>
        <v>12228-Equipement des salles de classe en mobiliers scolaires (SNIES)</v>
      </c>
    </row>
    <row r="135" spans="1:30" s="22" customFormat="1" ht="45" hidden="1" customHeight="1" x14ac:dyDescent="0.8">
      <c r="A135" s="14">
        <v>1</v>
      </c>
      <c r="B135" s="15">
        <v>12</v>
      </c>
      <c r="C135" s="15">
        <v>122</v>
      </c>
      <c r="D135" s="15">
        <v>1222</v>
      </c>
      <c r="E135" s="15">
        <v>12228</v>
      </c>
      <c r="F135" s="16" t="s">
        <v>227</v>
      </c>
      <c r="G135" s="21" t="s">
        <v>106</v>
      </c>
      <c r="H135" s="17" t="s">
        <v>226</v>
      </c>
      <c r="I135" s="18">
        <v>0</v>
      </c>
      <c r="J135" s="18">
        <f t="shared" si="27"/>
        <v>208.35</v>
      </c>
      <c r="K135" s="18">
        <f t="shared" si="27"/>
        <v>340.875</v>
      </c>
      <c r="L135" s="18">
        <f t="shared" si="27"/>
        <v>222.52499999999998</v>
      </c>
      <c r="M135" s="18">
        <f>SUM(I135:L135)</f>
        <v>771.75</v>
      </c>
      <c r="N135" s="18">
        <f>IF(OR(H135="",H135="sif",H135="PM"),0,VLOOKUP(H135,[5]CU!$C$4:$H$255,6,FALSE))</f>
        <v>23.333333333333332</v>
      </c>
      <c r="O135" s="18">
        <f>$N135*I135</f>
        <v>0</v>
      </c>
      <c r="P135" s="18">
        <f>$N135*J135</f>
        <v>4861.5</v>
      </c>
      <c r="Q135" s="18">
        <f>$N135*K135</f>
        <v>7953.75</v>
      </c>
      <c r="R135" s="18">
        <f>$N135*L135</f>
        <v>5192.2499999999991</v>
      </c>
      <c r="S135" s="27">
        <f>SUM(O135:R135)</f>
        <v>18007.5</v>
      </c>
      <c r="T135" s="23" t="s">
        <v>118</v>
      </c>
      <c r="U135" s="18" t="s">
        <v>170</v>
      </c>
      <c r="V135" s="18" t="str">
        <f>IF(OR($H135="",$H135="sif",$H135="PM"),"",VLOOKUP($H135,[5]CU!$C$5:$J$255,8,FALSE))</f>
        <v>5. Investissement</v>
      </c>
      <c r="W135" s="18" t="s">
        <v>98</v>
      </c>
      <c r="X135" s="18" t="s">
        <v>222</v>
      </c>
      <c r="Y135" s="19" t="s">
        <v>32</v>
      </c>
      <c r="Z135" s="18" t="str">
        <f>A135 &amp; "-" &amp; VLOOKUP(A135,[4]PROGRAMMES!$E$1:$F$7,2,FALSE)</f>
        <v>1-Accès et équité à l'enseignement général</v>
      </c>
      <c r="AA135" s="19" t="str">
        <f>B135 &amp; "-" &amp; VLOOKUP(B135,[4]SOUSPROGRAMMES!$E$1:$F$44,2,FALSE)</f>
        <v>12- Accès équitable et achèvement du primaire</v>
      </c>
      <c r="AB135" s="19" t="str">
        <f>C135 &amp; "-" &amp; VLOOKUP(C135,[4]RESULTATS!$E$1:$F$176,2,FALSE)</f>
        <v xml:space="preserve">122- Toutes les localités disposent d’écoles primaires avec des infrastructures adéquates  </v>
      </c>
      <c r="AC135" s="20" t="str">
        <f>D135 &amp; "-" &amp; VLOOKUP(D135,[4]STRATEGIES!$E$1:$F$504,2,FALSE)</f>
        <v>1222-Construction et équipement de salles de classe au primaire avec rampe d’accès et en tenant compte de la prévention des catastrophes naturels</v>
      </c>
      <c r="AD135" s="21" t="str">
        <f t="shared" si="26"/>
        <v>12228-Equipement des salles de classe en mobiliers scolaires (SNIES)</v>
      </c>
    </row>
    <row r="136" spans="1:30" s="22" customFormat="1" ht="45" hidden="1" customHeight="1" x14ac:dyDescent="0.8">
      <c r="A136" s="14">
        <v>1</v>
      </c>
      <c r="B136" s="15">
        <v>12</v>
      </c>
      <c r="C136" s="15">
        <v>122</v>
      </c>
      <c r="D136" s="15">
        <v>1222</v>
      </c>
      <c r="E136" s="15">
        <v>12229</v>
      </c>
      <c r="F136" s="16" t="s">
        <v>228</v>
      </c>
      <c r="G136" s="21" t="s">
        <v>106</v>
      </c>
      <c r="H136" s="17" t="s">
        <v>226</v>
      </c>
      <c r="I136" s="18">
        <v>0</v>
      </c>
      <c r="J136" s="18">
        <f>J130</f>
        <v>0</v>
      </c>
      <c r="K136" s="18">
        <f>K130</f>
        <v>26.64</v>
      </c>
      <c r="L136" s="18">
        <f>L130</f>
        <v>13.32</v>
      </c>
      <c r="M136" s="18">
        <f t="shared" si="22"/>
        <v>39.96</v>
      </c>
      <c r="N136" s="18">
        <f>IF(OR(H136="",H136="sif",H136="PM"),0,VLOOKUP(H136,[5]CU!$C$4:$H$255,6,FALSE))</f>
        <v>23.333333333333332</v>
      </c>
      <c r="O136" s="18">
        <f t="shared" si="24"/>
        <v>0</v>
      </c>
      <c r="P136" s="18">
        <f t="shared" si="24"/>
        <v>0</v>
      </c>
      <c r="Q136" s="18">
        <f t="shared" si="24"/>
        <v>621.6</v>
      </c>
      <c r="R136" s="18">
        <f t="shared" si="24"/>
        <v>310.8</v>
      </c>
      <c r="S136" s="18">
        <f t="shared" si="25"/>
        <v>932.40000000000009</v>
      </c>
      <c r="T136" s="23" t="s">
        <v>221</v>
      </c>
      <c r="U136" s="18" t="s">
        <v>170</v>
      </c>
      <c r="V136" s="18" t="str">
        <f>IF(OR($H136="",$H136="sif",$H136="PM"),"",VLOOKUP($H136,[5]CU!$C$5:$J$255,8,FALSE))</f>
        <v>5. Investissement</v>
      </c>
      <c r="W136" s="18" t="s">
        <v>98</v>
      </c>
      <c r="X136" s="18" t="s">
        <v>98</v>
      </c>
      <c r="Y136" s="19" t="s">
        <v>32</v>
      </c>
      <c r="Z136" s="18" t="str">
        <f>A136 &amp; "-" &amp; VLOOKUP(A136,[4]PROGRAMMES!$E$1:$F$7,2,FALSE)</f>
        <v>1-Accès et équité à l'enseignement général</v>
      </c>
      <c r="AA136" s="19" t="str">
        <f>B136 &amp; "-" &amp; VLOOKUP(B136,[4]SOUSPROGRAMMES!$E$1:$F$44,2,FALSE)</f>
        <v>12- Accès équitable et achèvement du primaire</v>
      </c>
      <c r="AB136" s="19" t="str">
        <f>C136 &amp; "-" &amp; VLOOKUP(C136,[4]RESULTATS!$E$1:$F$176,2,FALSE)</f>
        <v xml:space="preserve">122- Toutes les localités disposent d’écoles primaires avec des infrastructures adéquates  </v>
      </c>
      <c r="AC136" s="20" t="str">
        <f>D136 &amp; "-" &amp; VLOOKUP(D136,[4]STRATEGIES!$E$1:$F$504,2,FALSE)</f>
        <v>1222-Construction et équipement de salles de classe au primaire avec rampe d’accès et en tenant compte de la prévention des catastrophes naturels</v>
      </c>
      <c r="AD136" s="21" t="str">
        <f t="shared" si="26"/>
        <v>12229-Equipement des salles de classe en mobiliers scolaires (ONG)</v>
      </c>
    </row>
    <row r="137" spans="1:30" s="22" customFormat="1" ht="45" hidden="1" customHeight="1" x14ac:dyDescent="0.8">
      <c r="A137" s="14">
        <v>1</v>
      </c>
      <c r="B137" s="15">
        <v>12</v>
      </c>
      <c r="C137" s="15">
        <v>122</v>
      </c>
      <c r="D137" s="15">
        <v>1222</v>
      </c>
      <c r="E137" s="15">
        <v>122210</v>
      </c>
      <c r="F137" s="16" t="s">
        <v>229</v>
      </c>
      <c r="G137" s="21" t="s">
        <v>58</v>
      </c>
      <c r="H137" s="17" t="s">
        <v>110</v>
      </c>
      <c r="I137" s="18">
        <v>0</v>
      </c>
      <c r="J137" s="18">
        <f>J125</f>
        <v>416.70000000000005</v>
      </c>
      <c r="K137" s="18">
        <f>K125</f>
        <v>1041.75</v>
      </c>
      <c r="L137" s="18">
        <f>L125</f>
        <v>625.04999999999995</v>
      </c>
      <c r="M137" s="18">
        <f t="shared" si="22"/>
        <v>2083.5</v>
      </c>
      <c r="N137" s="18">
        <f>IF(OR(H137="",H137="sif",H137="PM"),0,VLOOKUP(H137,[5]CU!$C$4:$H$255,6,FALSE))</f>
        <v>7.1760000000000002</v>
      </c>
      <c r="O137" s="18">
        <f t="shared" si="24"/>
        <v>0</v>
      </c>
      <c r="P137" s="18">
        <f t="shared" si="24"/>
        <v>2990.2392000000004</v>
      </c>
      <c r="Q137" s="18">
        <f t="shared" si="24"/>
        <v>7475.598</v>
      </c>
      <c r="R137" s="18">
        <f t="shared" si="24"/>
        <v>4485.3588</v>
      </c>
      <c r="S137" s="18">
        <f t="shared" si="25"/>
        <v>14951.196</v>
      </c>
      <c r="T137" s="23" t="s">
        <v>56</v>
      </c>
      <c r="U137" s="18" t="s">
        <v>170</v>
      </c>
      <c r="V137" s="18" t="str">
        <f>IF(OR($H137="",$H137="sif",$H137="PM"),"",VLOOKUP($H137,[5]CU!$C$5:$J$255,8,FALSE))</f>
        <v>3. Dépenses de fonctionnement</v>
      </c>
      <c r="W137" s="18" t="s">
        <v>98</v>
      </c>
      <c r="X137" s="18" t="s">
        <v>98</v>
      </c>
      <c r="Y137" s="19" t="s">
        <v>32</v>
      </c>
      <c r="Z137" s="18" t="str">
        <f>A137 &amp; "-" &amp; VLOOKUP(A137,[4]PROGRAMMES!$E$1:$F$7,2,FALSE)</f>
        <v>1-Accès et équité à l'enseignement général</v>
      </c>
      <c r="AA137" s="19" t="str">
        <f>B137 &amp; "-" &amp; VLOOKUP(B137,[4]SOUSPROGRAMMES!$E$1:$F$44,2,FALSE)</f>
        <v>12- Accès équitable et achèvement du primaire</v>
      </c>
      <c r="AB137" s="19" t="str">
        <f>C137 &amp; "-" &amp; VLOOKUP(C137,[4]RESULTATS!$E$1:$F$176,2,FALSE)</f>
        <v xml:space="preserve">122- Toutes les localités disposent d’écoles primaires avec des infrastructures adéquates  </v>
      </c>
      <c r="AC137" s="20" t="str">
        <f>D137 &amp; "-" &amp; VLOOKUP(D137,[4]STRATEGIES!$E$1:$F$504,2,FALSE)</f>
        <v>1222-Construction et équipement de salles de classe au primaire avec rampe d’accès et en tenant compte de la prévention des catastrophes naturels</v>
      </c>
      <c r="AD137" s="21" t="str">
        <f t="shared" si="26"/>
        <v>122210-Supervision des travaux de construction et d'équipement des salles de classe (maitrise d'ouvrage des communes)</v>
      </c>
    </row>
    <row r="138" spans="1:30" ht="45" hidden="1" customHeight="1" x14ac:dyDescent="0.8">
      <c r="A138" s="25">
        <v>1</v>
      </c>
      <c r="B138" s="16">
        <v>12</v>
      </c>
      <c r="C138" s="16">
        <v>122</v>
      </c>
      <c r="D138" s="16">
        <v>1222</v>
      </c>
      <c r="E138" s="16">
        <v>122210</v>
      </c>
      <c r="F138" s="16" t="s">
        <v>230</v>
      </c>
      <c r="G138" s="21" t="s">
        <v>58</v>
      </c>
      <c r="H138" s="21" t="s">
        <v>110</v>
      </c>
      <c r="I138" s="19">
        <v>0</v>
      </c>
      <c r="J138" s="19">
        <f>J127</f>
        <v>0</v>
      </c>
      <c r="K138" s="19">
        <f>K127*2</f>
        <v>360</v>
      </c>
      <c r="L138" s="19">
        <f>L127</f>
        <v>90</v>
      </c>
      <c r="M138" s="19">
        <f>SUM(I138:L138)</f>
        <v>450</v>
      </c>
      <c r="N138" s="19">
        <f>IF(OR(H138="",H138="sif",H138="PM"),0,VLOOKUP(H138,[5]CU!$C$4:$H$255,6,FALSE))</f>
        <v>7.1760000000000002</v>
      </c>
      <c r="O138" s="19">
        <f>$N138*I138</f>
        <v>0</v>
      </c>
      <c r="P138" s="19">
        <f>$N138*J138</f>
        <v>0</v>
      </c>
      <c r="Q138" s="19">
        <f>$N138*K138</f>
        <v>2583.36</v>
      </c>
      <c r="R138" s="19">
        <f>$N138*L138</f>
        <v>645.84</v>
      </c>
      <c r="S138" s="28">
        <f>SUM(O138:R138)</f>
        <v>3229.2000000000003</v>
      </c>
      <c r="T138" s="26" t="s">
        <v>169</v>
      </c>
      <c r="U138" s="19" t="s">
        <v>170</v>
      </c>
      <c r="V138" s="19" t="str">
        <f>IF(OR($H138="",$H138="sif",$H138="PM"),"",VLOOKUP($H138,[5]CU!$C$5:$J$255,8,FALSE))</f>
        <v>3. Dépenses de fonctionnement</v>
      </c>
      <c r="W138" s="19" t="s">
        <v>98</v>
      </c>
      <c r="X138" s="19" t="s">
        <v>98</v>
      </c>
      <c r="Y138" s="19" t="s">
        <v>32</v>
      </c>
      <c r="Z138" s="19" t="str">
        <f>A138 &amp; "-" &amp; VLOOKUP(A138,[4]PROGRAMMES!$E$1:$F$7,2,FALSE)</f>
        <v>1-Accès et équité à l'enseignement général</v>
      </c>
      <c r="AA138" s="19" t="str">
        <f>B138 &amp; "-" &amp; VLOOKUP(B138,[4]SOUSPROGRAMMES!$E$1:$F$44,2,FALSE)</f>
        <v>12- Accès équitable et achèvement du primaire</v>
      </c>
      <c r="AB138" s="19" t="str">
        <f>C138 &amp; "-" &amp; VLOOKUP(C138,[4]RESULTATS!$E$1:$F$176,2,FALSE)</f>
        <v xml:space="preserve">122- Toutes les localités disposent d’écoles primaires avec des infrastructures adéquates  </v>
      </c>
      <c r="AC138" s="20" t="str">
        <f>D138 &amp; "-" &amp; VLOOKUP(D138,[4]STRATEGIES!$E$1:$F$504,2,FALSE)</f>
        <v>1222-Construction et équipement de salles de classe au primaire avec rampe d’accès et en tenant compte de la prévention des catastrophes naturels</v>
      </c>
      <c r="AD138" s="21" t="str">
        <f t="shared" si="26"/>
        <v>122210-Supervision des travaux de construction et d'équipement des salles de classe (maitrise d'ouvrage SNIES)</v>
      </c>
    </row>
    <row r="139" spans="1:30" s="22" customFormat="1" ht="45" hidden="1" customHeight="1" x14ac:dyDescent="0.8">
      <c r="A139" s="14">
        <v>1</v>
      </c>
      <c r="B139" s="15">
        <v>12</v>
      </c>
      <c r="C139" s="15">
        <v>122</v>
      </c>
      <c r="D139" s="15">
        <v>1222</v>
      </c>
      <c r="E139" s="15">
        <v>122210</v>
      </c>
      <c r="F139" s="16" t="s">
        <v>231</v>
      </c>
      <c r="G139" s="21" t="s">
        <v>58</v>
      </c>
      <c r="H139" s="17" t="s">
        <v>110</v>
      </c>
      <c r="I139" s="18">
        <v>0</v>
      </c>
      <c r="J139" s="18">
        <f>J130</f>
        <v>0</v>
      </c>
      <c r="K139" s="18">
        <f>K130</f>
        <v>26.64</v>
      </c>
      <c r="L139" s="18">
        <f>L130</f>
        <v>13.32</v>
      </c>
      <c r="M139" s="18">
        <f t="shared" si="22"/>
        <v>39.96</v>
      </c>
      <c r="N139" s="18">
        <f>IF(OR(H139="",H139="sif",H139="PM"),0,VLOOKUP(H139,[5]CU!$C$4:$H$255,6,FALSE))</f>
        <v>7.1760000000000002</v>
      </c>
      <c r="O139" s="18">
        <f t="shared" si="24"/>
        <v>0</v>
      </c>
      <c r="P139" s="18">
        <f t="shared" si="24"/>
        <v>0</v>
      </c>
      <c r="Q139" s="18">
        <f t="shared" si="24"/>
        <v>191.16864000000001</v>
      </c>
      <c r="R139" s="18">
        <f t="shared" si="24"/>
        <v>95.584320000000005</v>
      </c>
      <c r="S139" s="18">
        <f t="shared" si="25"/>
        <v>286.75296000000003</v>
      </c>
      <c r="T139" s="23" t="s">
        <v>221</v>
      </c>
      <c r="U139" s="18" t="s">
        <v>170</v>
      </c>
      <c r="V139" s="18" t="str">
        <f>IF(OR($H139="",$H139="sif",$H139="PM"),"",VLOOKUP($H139,[5]CU!$C$5:$J$255,8,FALSE))</f>
        <v>3. Dépenses de fonctionnement</v>
      </c>
      <c r="W139" s="18" t="s">
        <v>98</v>
      </c>
      <c r="X139" s="18" t="s">
        <v>98</v>
      </c>
      <c r="Y139" s="19" t="s">
        <v>32</v>
      </c>
      <c r="Z139" s="18" t="str">
        <f>A139 &amp; "-" &amp; VLOOKUP(A139,[4]PROGRAMMES!$E$1:$F$7,2,FALSE)</f>
        <v>1-Accès et équité à l'enseignement général</v>
      </c>
      <c r="AA139" s="19" t="str">
        <f>B139 &amp; "-" &amp; VLOOKUP(B139,[4]SOUSPROGRAMMES!$E$1:$F$44,2,FALSE)</f>
        <v>12- Accès équitable et achèvement du primaire</v>
      </c>
      <c r="AB139" s="19" t="str">
        <f>C139 &amp; "-" &amp; VLOOKUP(C139,[4]RESULTATS!$E$1:$F$176,2,FALSE)</f>
        <v xml:space="preserve">122- Toutes les localités disposent d’écoles primaires avec des infrastructures adéquates  </v>
      </c>
      <c r="AC139" s="20" t="str">
        <f>D139 &amp; "-" &amp; VLOOKUP(D139,[4]STRATEGIES!$E$1:$F$504,2,FALSE)</f>
        <v>1222-Construction et équipement de salles de classe au primaire avec rampe d’accès et en tenant compte de la prévention des catastrophes naturels</v>
      </c>
      <c r="AD139" s="21" t="str">
        <f t="shared" si="26"/>
        <v>122210-Supervision des travaux de construction et d'équipement des salles de classe (maitrise d'ouvrage ONG)</v>
      </c>
    </row>
    <row r="140" spans="1:30" ht="45" hidden="1" customHeight="1" x14ac:dyDescent="0.8">
      <c r="A140" s="25">
        <v>1</v>
      </c>
      <c r="B140" s="16">
        <v>12</v>
      </c>
      <c r="C140" s="16">
        <v>122</v>
      </c>
      <c r="D140" s="16">
        <v>1222</v>
      </c>
      <c r="E140" s="16">
        <v>122211</v>
      </c>
      <c r="F140" s="16" t="s">
        <v>232</v>
      </c>
      <c r="G140" s="21" t="s">
        <v>58</v>
      </c>
      <c r="H140" s="21" t="s">
        <v>59</v>
      </c>
      <c r="I140" s="19">
        <v>0</v>
      </c>
      <c r="J140" s="19">
        <v>0</v>
      </c>
      <c r="K140" s="19">
        <f>(4*15*4)*50%*2</f>
        <v>240</v>
      </c>
      <c r="L140" s="19">
        <f t="shared" ref="J140:L141" si="28">(4*15*4)*50%</f>
        <v>120</v>
      </c>
      <c r="M140" s="19">
        <f>SUM(I140:L140)</f>
        <v>360</v>
      </c>
      <c r="N140" s="19">
        <f>IF(OR(H140="",H140="sif",H140="PM"),0,VLOOKUP(H140,[5]CU!$C$4:$H$255,6,FALSE))</f>
        <v>0.8177777777777776</v>
      </c>
      <c r="O140" s="19">
        <f>$N140*I140</f>
        <v>0</v>
      </c>
      <c r="P140" s="19">
        <f>$N140*J140</f>
        <v>0</v>
      </c>
      <c r="Q140" s="19">
        <f>$N140*K140</f>
        <v>196.26666666666662</v>
      </c>
      <c r="R140" s="19">
        <f>$N140*L140</f>
        <v>98.133333333333312</v>
      </c>
      <c r="S140" s="19">
        <f>SUM(O140:R140)</f>
        <v>294.39999999999992</v>
      </c>
      <c r="T140" s="26" t="s">
        <v>169</v>
      </c>
      <c r="U140" s="19" t="s">
        <v>170</v>
      </c>
      <c r="V140" s="19" t="str">
        <f>IF(OR($H140="",$H140="sif",$H140="PM"),"",VLOOKUP($H140,[5]CU!$C$5:$J$255,8,FALSE))</f>
        <v>3. Dépenses de fonctionnement</v>
      </c>
      <c r="W140" s="19" t="s">
        <v>96</v>
      </c>
      <c r="X140" s="19" t="s">
        <v>96</v>
      </c>
      <c r="Y140" s="19" t="s">
        <v>32</v>
      </c>
      <c r="Z140" s="19" t="str">
        <f>A140 &amp; "-" &amp; VLOOKUP(A140,[4]PROGRAMMES!$E$1:$F$7,2,FALSE)</f>
        <v>1-Accès et équité à l'enseignement général</v>
      </c>
      <c r="AA140" s="19" t="str">
        <f>B140 &amp; "-" &amp; VLOOKUP(B140,[4]SOUSPROGRAMMES!$E$1:$F$44,2,FALSE)</f>
        <v>12- Accès équitable et achèvement du primaire</v>
      </c>
      <c r="AB140" s="19" t="str">
        <f>C140 &amp; "-" &amp; VLOOKUP(C140,[4]RESULTATS!$E$1:$F$176,2,FALSE)</f>
        <v xml:space="preserve">122- Toutes les localités disposent d’écoles primaires avec des infrastructures adéquates  </v>
      </c>
      <c r="AC140" s="20" t="str">
        <f>D140 &amp; "-" &amp; VLOOKUP(D140,[4]STRATEGIES!$E$1:$F$504,2,FALSE)</f>
        <v>1222-Construction et équipement de salles de classe au primaire avec rampe d’accès et en tenant compte de la prévention des catastrophes naturels</v>
      </c>
      <c r="AD140" s="21" t="str">
        <f t="shared" si="26"/>
        <v>122211-Suivi évaluation des constructions (à tous les niveaux de l'enseignement général et les réhabilitations)</v>
      </c>
    </row>
    <row r="141" spans="1:30" s="22" customFormat="1" ht="45" hidden="1" customHeight="1" x14ac:dyDescent="0.8">
      <c r="A141" s="14">
        <v>1</v>
      </c>
      <c r="B141" s="15">
        <v>12</v>
      </c>
      <c r="C141" s="15">
        <v>122</v>
      </c>
      <c r="D141" s="15">
        <v>1222</v>
      </c>
      <c r="E141" s="15">
        <v>122211</v>
      </c>
      <c r="F141" s="16" t="s">
        <v>232</v>
      </c>
      <c r="G141" s="21" t="s">
        <v>58</v>
      </c>
      <c r="H141" s="17" t="s">
        <v>59</v>
      </c>
      <c r="I141" s="18">
        <v>0</v>
      </c>
      <c r="J141" s="18">
        <f t="shared" si="28"/>
        <v>120</v>
      </c>
      <c r="K141" s="18">
        <f t="shared" si="28"/>
        <v>120</v>
      </c>
      <c r="L141" s="18">
        <f t="shared" si="28"/>
        <v>120</v>
      </c>
      <c r="M141" s="18">
        <f t="shared" si="22"/>
        <v>360</v>
      </c>
      <c r="N141" s="18">
        <f>IF(OR(H141="",H141="sif",H141="PM"),0,VLOOKUP(H141,[5]CU!$C$4:$H$255,6,FALSE))</f>
        <v>0.8177777777777776</v>
      </c>
      <c r="O141" s="18">
        <f t="shared" si="24"/>
        <v>0</v>
      </c>
      <c r="P141" s="18">
        <f t="shared" si="24"/>
        <v>98.133333333333312</v>
      </c>
      <c r="Q141" s="18">
        <f t="shared" si="24"/>
        <v>98.133333333333312</v>
      </c>
      <c r="R141" s="18">
        <f t="shared" si="24"/>
        <v>98.133333333333312</v>
      </c>
      <c r="S141" s="18">
        <f t="shared" si="25"/>
        <v>294.39999999999992</v>
      </c>
      <c r="T141" s="23" t="s">
        <v>118</v>
      </c>
      <c r="U141" s="18" t="s">
        <v>170</v>
      </c>
      <c r="V141" s="18" t="str">
        <f>IF(OR($H141="",$H141="sif",$H141="PM"),"",VLOOKUP($H141,[5]CU!$C$5:$J$255,8,FALSE))</f>
        <v>3. Dépenses de fonctionnement</v>
      </c>
      <c r="W141" s="18" t="s">
        <v>96</v>
      </c>
      <c r="X141" s="18" t="s">
        <v>96</v>
      </c>
      <c r="Y141" s="19" t="s">
        <v>32</v>
      </c>
      <c r="Z141" s="18" t="str">
        <f>A141 &amp; "-" &amp; VLOOKUP(A141,[4]PROGRAMMES!$E$1:$F$7,2,FALSE)</f>
        <v>1-Accès et équité à l'enseignement général</v>
      </c>
      <c r="AA141" s="19" t="str">
        <f>B141 &amp; "-" &amp; VLOOKUP(B141,[4]SOUSPROGRAMMES!$E$1:$F$44,2,FALSE)</f>
        <v>12- Accès équitable et achèvement du primaire</v>
      </c>
      <c r="AB141" s="19" t="str">
        <f>C141 &amp; "-" &amp; VLOOKUP(C141,[4]RESULTATS!$E$1:$F$176,2,FALSE)</f>
        <v xml:space="preserve">122- Toutes les localités disposent d’écoles primaires avec des infrastructures adéquates  </v>
      </c>
      <c r="AC141" s="20" t="str">
        <f>D141 &amp; "-" &amp; VLOOKUP(D141,[4]STRATEGIES!$E$1:$F$504,2,FALSE)</f>
        <v>1222-Construction et équipement de salles de classe au primaire avec rampe d’accès et en tenant compte de la prévention des catastrophes naturels</v>
      </c>
      <c r="AD141" s="21" t="str">
        <f t="shared" si="26"/>
        <v>122211-Suivi évaluation des constructions (à tous les niveaux de l'enseignement général et les réhabilitations)</v>
      </c>
    </row>
    <row r="142" spans="1:30" s="22" customFormat="1" ht="60" hidden="1" customHeight="1" x14ac:dyDescent="0.8">
      <c r="A142" s="14">
        <v>1</v>
      </c>
      <c r="B142" s="15">
        <v>12</v>
      </c>
      <c r="C142" s="15">
        <v>123</v>
      </c>
      <c r="D142" s="15">
        <v>123</v>
      </c>
      <c r="E142" s="15">
        <v>123</v>
      </c>
      <c r="F142" s="16" t="s">
        <v>233</v>
      </c>
      <c r="G142" s="17"/>
      <c r="H142" s="17"/>
      <c r="I142" s="18">
        <v>0</v>
      </c>
      <c r="J142" s="18"/>
      <c r="K142" s="18"/>
      <c r="L142" s="18"/>
      <c r="M142" s="18"/>
      <c r="N142" s="18"/>
      <c r="O142" s="18"/>
      <c r="P142" s="18"/>
      <c r="Q142" s="18"/>
      <c r="R142" s="18"/>
      <c r="S142" s="18"/>
      <c r="T142" s="18"/>
      <c r="U142" s="18"/>
      <c r="V142" s="18"/>
      <c r="W142" s="18"/>
      <c r="X142" s="18"/>
      <c r="Y142" s="19" t="s">
        <v>32</v>
      </c>
      <c r="Z142" s="18" t="str">
        <f>A142 &amp; "-" &amp; VLOOKUP(A142,[4]PROGRAMMES!$E$1:$F$7,2,FALSE)</f>
        <v>1-Accès et équité à l'enseignement général</v>
      </c>
      <c r="AA142" s="19" t="str">
        <f>B142 &amp; "-" &amp; VLOOKUP(B142,[4]SOUSPROGRAMMES!$E$1:$F$44,2,FALSE)</f>
        <v>12- Accès équitable et achèvement du primaire</v>
      </c>
      <c r="AB142" s="19" t="str">
        <f>C142 &amp; "-" &amp; VLOOKUP(C142,[4]RESULTATS!$E$1:$F$176,2,FALSE)</f>
        <v>123- Toutes les écoles primaires publiques et communautaires sont dotées en enseignants en nombre suffisant, y compris les FA</v>
      </c>
      <c r="AC142" s="20" t="str">
        <f>D142 &amp; "-" &amp; VLOOKUP(D142,[4]STRATEGIES!$E$1:$F$504,2,FALSE)</f>
        <v>123- Toutes les écoles primaires publiques et communautaires sont dotées en enseignants en nombre suffisant, y compris les FA</v>
      </c>
      <c r="AD142" s="21" t="str">
        <f t="shared" si="26"/>
        <v>123- Toutes les écoles primaires publiques et communautaires sont dotées en enseignants en nombre suffisant, y compris les FA</v>
      </c>
    </row>
    <row r="143" spans="1:30" s="22" customFormat="1" ht="60" hidden="1" customHeight="1" x14ac:dyDescent="0.8">
      <c r="A143" s="14">
        <v>1</v>
      </c>
      <c r="B143" s="15">
        <v>12</v>
      </c>
      <c r="C143" s="15">
        <v>123</v>
      </c>
      <c r="D143" s="15">
        <v>1231</v>
      </c>
      <c r="E143" s="15">
        <v>1231</v>
      </c>
      <c r="F143" s="16" t="s">
        <v>234</v>
      </c>
      <c r="G143" s="17"/>
      <c r="H143" s="17"/>
      <c r="I143" s="18">
        <v>0</v>
      </c>
      <c r="J143" s="18"/>
      <c r="K143" s="18"/>
      <c r="L143" s="18"/>
      <c r="M143" s="18"/>
      <c r="N143" s="18"/>
      <c r="O143" s="18"/>
      <c r="P143" s="18"/>
      <c r="Q143" s="18"/>
      <c r="R143" s="18"/>
      <c r="S143" s="18"/>
      <c r="T143" s="18"/>
      <c r="U143" s="18"/>
      <c r="V143" s="18"/>
      <c r="W143" s="18"/>
      <c r="X143" s="18"/>
      <c r="Y143" s="19" t="s">
        <v>32</v>
      </c>
      <c r="Z143" s="18" t="str">
        <f>A143 &amp; "-" &amp; VLOOKUP(A143,[4]PROGRAMMES!$E$1:$F$7,2,FALSE)</f>
        <v>1-Accès et équité à l'enseignement général</v>
      </c>
      <c r="AA143" s="19" t="str">
        <f>B143 &amp; "-" &amp; VLOOKUP(B143,[4]SOUSPROGRAMMES!$E$1:$F$44,2,FALSE)</f>
        <v>12- Accès équitable et achèvement du primaire</v>
      </c>
      <c r="AB143" s="19" t="str">
        <f>C143 &amp; "-" &amp; VLOOKUP(C143,[4]RESULTATS!$E$1:$F$176,2,FALSE)</f>
        <v>123- Toutes les écoles primaires publiques et communautaires sont dotées en enseignants en nombre suffisant, y compris les FA</v>
      </c>
      <c r="AC143" s="20" t="str">
        <f>D143 &amp; "-" &amp; VLOOKUP(D143,[4]STRATEGIES!$E$1:$F$504,2,FALSE)</f>
        <v>1231-Recrutement d’enseignants</v>
      </c>
      <c r="AD143" s="21" t="str">
        <f t="shared" si="26"/>
        <v>1231-Recrutement d’enseignants</v>
      </c>
    </row>
    <row r="144" spans="1:30" s="22" customFormat="1" ht="60" hidden="1" customHeight="1" x14ac:dyDescent="0.8">
      <c r="A144" s="14">
        <v>1</v>
      </c>
      <c r="B144" s="15">
        <v>12</v>
      </c>
      <c r="C144" s="15">
        <v>123</v>
      </c>
      <c r="D144" s="15">
        <v>1231</v>
      </c>
      <c r="E144" s="15">
        <v>12311</v>
      </c>
      <c r="F144" s="16" t="s">
        <v>235</v>
      </c>
      <c r="G144" s="21" t="s">
        <v>88</v>
      </c>
      <c r="H144" s="17" t="s">
        <v>55</v>
      </c>
      <c r="I144" s="18">
        <v>0</v>
      </c>
      <c r="J144" s="18">
        <v>1</v>
      </c>
      <c r="K144" s="18">
        <v>1</v>
      </c>
      <c r="L144" s="18">
        <v>1</v>
      </c>
      <c r="M144" s="18">
        <f t="shared" si="22"/>
        <v>3</v>
      </c>
      <c r="N144" s="18">
        <f>IF(OR(H144="",H144="sif",H144="PM"),0,VLOOKUP(H144,[5]CU!$C$4:$H$255,6,FALSE))</f>
        <v>0</v>
      </c>
      <c r="O144" s="18"/>
      <c r="P144" s="18"/>
      <c r="Q144" s="18"/>
      <c r="R144" s="18"/>
      <c r="S144" s="18"/>
      <c r="T144" s="23" t="s">
        <v>56</v>
      </c>
      <c r="U144" s="18" t="s">
        <v>170</v>
      </c>
      <c r="V144" s="18" t="str">
        <f>IF(OR($H144="",$H144="sif",$H144="PM"),"",VLOOKUP($H144,[5]CU!$C$5:$J$255,8,FALSE))</f>
        <v/>
      </c>
      <c r="W144" s="18" t="s">
        <v>142</v>
      </c>
      <c r="X144" s="18" t="s">
        <v>236</v>
      </c>
      <c r="Y144" s="19" t="s">
        <v>32</v>
      </c>
      <c r="Z144" s="18" t="str">
        <f>A144 &amp; "-" &amp; VLOOKUP(A144,[4]PROGRAMMES!$E$1:$F$7,2,FALSE)</f>
        <v>1-Accès et équité à l'enseignement général</v>
      </c>
      <c r="AA144" s="19" t="str">
        <f>B144 &amp; "-" &amp; VLOOKUP(B144,[4]SOUSPROGRAMMES!$E$1:$F$44,2,FALSE)</f>
        <v>12- Accès équitable et achèvement du primaire</v>
      </c>
      <c r="AB144" s="19" t="str">
        <f>C144 &amp; "-" &amp; VLOOKUP(C144,[4]RESULTATS!$E$1:$F$176,2,FALSE)</f>
        <v>123- Toutes les écoles primaires publiques et communautaires sont dotées en enseignants en nombre suffisant, y compris les FA</v>
      </c>
      <c r="AC144" s="20" t="str">
        <f>D144 &amp; "-" &amp; VLOOKUP(D144,[4]STRATEGIES!$E$1:$F$504,2,FALSE)</f>
        <v>1231-Recrutement d’enseignants</v>
      </c>
      <c r="AD144" s="21" t="str">
        <f t="shared" si="26"/>
        <v>12311-Identification des besoins en enseignants</v>
      </c>
    </row>
    <row r="145" spans="1:30" s="22" customFormat="1" ht="60" hidden="1" customHeight="1" x14ac:dyDescent="0.8">
      <c r="A145" s="14">
        <v>1</v>
      </c>
      <c r="B145" s="15">
        <v>12</v>
      </c>
      <c r="C145" s="15">
        <v>123</v>
      </c>
      <c r="D145" s="15">
        <v>1231</v>
      </c>
      <c r="E145" s="15">
        <v>12312</v>
      </c>
      <c r="F145" s="16" t="s">
        <v>237</v>
      </c>
      <c r="G145" s="21" t="s">
        <v>238</v>
      </c>
      <c r="H145" s="17" t="s">
        <v>55</v>
      </c>
      <c r="I145" s="18">
        <v>0</v>
      </c>
      <c r="J145" s="18">
        <v>1</v>
      </c>
      <c r="K145" s="18">
        <v>1</v>
      </c>
      <c r="L145" s="18">
        <v>1</v>
      </c>
      <c r="M145" s="18">
        <f t="shared" si="22"/>
        <v>3</v>
      </c>
      <c r="N145" s="18">
        <f>IF(OR(H145="",H145="sif",H145="PM"),0,VLOOKUP(H145,[5]CU!$C$4:$H$255,6,FALSE))</f>
        <v>0</v>
      </c>
      <c r="O145" s="18"/>
      <c r="P145" s="18"/>
      <c r="Q145" s="18"/>
      <c r="R145" s="18"/>
      <c r="S145" s="18"/>
      <c r="T145" s="23" t="s">
        <v>56</v>
      </c>
      <c r="U145" s="18" t="s">
        <v>170</v>
      </c>
      <c r="V145" s="18" t="str">
        <f>IF(OR($H145="",$H145="sif",$H145="PM"),"",VLOOKUP($H145,[5]CU!$C$5:$J$255,8,FALSE))</f>
        <v/>
      </c>
      <c r="W145" s="18" t="s">
        <v>142</v>
      </c>
      <c r="X145" s="18" t="s">
        <v>239</v>
      </c>
      <c r="Y145" s="19" t="s">
        <v>32</v>
      </c>
      <c r="Z145" s="18" t="str">
        <f>A145 &amp; "-" &amp; VLOOKUP(A145,[4]PROGRAMMES!$E$1:$F$7,2,FALSE)</f>
        <v>1-Accès et équité à l'enseignement général</v>
      </c>
      <c r="AA145" s="19" t="str">
        <f>B145 &amp; "-" &amp; VLOOKUP(B145,[4]SOUSPROGRAMMES!$E$1:$F$44,2,FALSE)</f>
        <v>12- Accès équitable et achèvement du primaire</v>
      </c>
      <c r="AB145" s="19" t="str">
        <f>C145 &amp; "-" &amp; VLOOKUP(C145,[4]RESULTATS!$E$1:$F$176,2,FALSE)</f>
        <v>123- Toutes les écoles primaires publiques et communautaires sont dotées en enseignants en nombre suffisant, y compris les FA</v>
      </c>
      <c r="AC145" s="20" t="str">
        <f>D145 &amp; "-" &amp; VLOOKUP(D145,[4]STRATEGIES!$E$1:$F$504,2,FALSE)</f>
        <v>1231-Recrutement d’enseignants</v>
      </c>
      <c r="AD145" s="21" t="str">
        <f t="shared" si="26"/>
        <v>12312-Organisation de concours de recrutement des enseignants au niveau déconcentré/décentralisé (pris en charge par les frais d'inscription)</v>
      </c>
    </row>
    <row r="146" spans="1:30" s="22" customFormat="1" ht="75" hidden="1" customHeight="1" x14ac:dyDescent="0.8">
      <c r="A146" s="14">
        <v>1</v>
      </c>
      <c r="B146" s="15">
        <v>12</v>
      </c>
      <c r="C146" s="15">
        <v>123</v>
      </c>
      <c r="D146" s="15">
        <v>1231</v>
      </c>
      <c r="E146" s="15">
        <v>12313</v>
      </c>
      <c r="F146" s="16" t="s">
        <v>145</v>
      </c>
      <c r="G146" s="21" t="s">
        <v>240</v>
      </c>
      <c r="H146" s="17" t="s">
        <v>241</v>
      </c>
      <c r="I146" s="18">
        <v>0</v>
      </c>
      <c r="J146" s="18">
        <v>2509</v>
      </c>
      <c r="K146" s="18">
        <v>2554</v>
      </c>
      <c r="L146" s="18">
        <v>2528</v>
      </c>
      <c r="M146" s="18">
        <f t="shared" si="22"/>
        <v>7591</v>
      </c>
      <c r="N146" s="18">
        <f>IF(OR(H146="",H146="sif",H146="PM"),0,VLOOKUP(H146,[5]CU!$C$4:$H$255,6,FALSE))</f>
        <v>25.101235436167226</v>
      </c>
      <c r="O146" s="18">
        <f t="shared" ref="O146:R147" si="29">$N146*I146</f>
        <v>0</v>
      </c>
      <c r="P146" s="18">
        <f t="shared" si="29"/>
        <v>62978.999709343567</v>
      </c>
      <c r="Q146" s="18">
        <f t="shared" si="29"/>
        <v>64108.555303971094</v>
      </c>
      <c r="R146" s="18">
        <f t="shared" si="29"/>
        <v>63455.923182630744</v>
      </c>
      <c r="S146" s="18">
        <f>SUM(O146:R146)</f>
        <v>190543.47819594541</v>
      </c>
      <c r="T146" s="23" t="s">
        <v>56</v>
      </c>
      <c r="U146" s="18" t="s">
        <v>170</v>
      </c>
      <c r="V146" s="18" t="str">
        <f>IF(OR($H146="",$H146="sif",$H146="PM"),"",VLOOKUP($H146,[5]CU!$C$5:$J$255,8,FALSE))</f>
        <v>2. Personnel</v>
      </c>
      <c r="W146" s="18" t="s">
        <v>142</v>
      </c>
      <c r="X146" s="18" t="s">
        <v>242</v>
      </c>
      <c r="Y146" s="19" t="s">
        <v>32</v>
      </c>
      <c r="Z146" s="18" t="str">
        <f>A146 &amp; "-" &amp; VLOOKUP(A146,[4]PROGRAMMES!$E$1:$F$7,2,FALSE)</f>
        <v>1-Accès et équité à l'enseignement général</v>
      </c>
      <c r="AA146" s="19" t="str">
        <f>B146 &amp; "-" &amp; VLOOKUP(B146,[4]SOUSPROGRAMMES!$E$1:$F$44,2,FALSE)</f>
        <v>12- Accès équitable et achèvement du primaire</v>
      </c>
      <c r="AB146" s="19" t="str">
        <f>C146 &amp; "-" &amp; VLOOKUP(C146,[4]RESULTATS!$E$1:$F$176,2,FALSE)</f>
        <v>123- Toutes les écoles primaires publiques et communautaires sont dotées en enseignants en nombre suffisant, y compris les FA</v>
      </c>
      <c r="AC146" s="20" t="str">
        <f>D146 &amp; "-" &amp; VLOOKUP(D146,[4]STRATEGIES!$E$1:$F$504,2,FALSE)</f>
        <v>1231-Recrutement d’enseignants</v>
      </c>
      <c r="AD146" s="21" t="str">
        <f t="shared" si="26"/>
        <v>12313-Prise en charge des candidats retenus après leur prise de service</v>
      </c>
    </row>
    <row r="147" spans="1:30" s="22" customFormat="1" ht="60" hidden="1" customHeight="1" x14ac:dyDescent="0.8">
      <c r="A147" s="14">
        <v>1</v>
      </c>
      <c r="B147" s="15">
        <v>12</v>
      </c>
      <c r="C147" s="15">
        <v>123</v>
      </c>
      <c r="D147" s="15">
        <v>1231</v>
      </c>
      <c r="E147" s="15">
        <v>12314</v>
      </c>
      <c r="F147" s="16" t="s">
        <v>243</v>
      </c>
      <c r="G147" s="21" t="s">
        <v>58</v>
      </c>
      <c r="H147" s="17" t="s">
        <v>59</v>
      </c>
      <c r="I147" s="18">
        <v>0</v>
      </c>
      <c r="J147" s="18">
        <f>4*7*38</f>
        <v>1064</v>
      </c>
      <c r="K147" s="18">
        <f>4*7*38</f>
        <v>1064</v>
      </c>
      <c r="L147" s="18">
        <f>4*7*38</f>
        <v>1064</v>
      </c>
      <c r="M147" s="18">
        <f t="shared" si="22"/>
        <v>3192</v>
      </c>
      <c r="N147" s="18">
        <f>IF(OR(H147="",H147="sif",H147="PM"),0,VLOOKUP(H147,[5]CU!$C$4:$H$255,6,FALSE))</f>
        <v>0.8177777777777776</v>
      </c>
      <c r="O147" s="18">
        <f t="shared" si="29"/>
        <v>0</v>
      </c>
      <c r="P147" s="18">
        <f t="shared" si="29"/>
        <v>870.11555555555537</v>
      </c>
      <c r="Q147" s="18">
        <f t="shared" si="29"/>
        <v>870.11555555555537</v>
      </c>
      <c r="R147" s="18">
        <f t="shared" si="29"/>
        <v>870.11555555555537</v>
      </c>
      <c r="S147" s="18">
        <f>SUM(O147:R147)</f>
        <v>2610.3466666666664</v>
      </c>
      <c r="T147" s="23" t="s">
        <v>39</v>
      </c>
      <c r="U147" s="18" t="s">
        <v>170</v>
      </c>
      <c r="V147" s="18" t="str">
        <f>IF(OR($H147="",$H147="sif",$H147="PM"),"",VLOOKUP($H147,[5]CU!$C$5:$J$255,8,FALSE))</f>
        <v>3. Dépenses de fonctionnement</v>
      </c>
      <c r="W147" s="18" t="s">
        <v>142</v>
      </c>
      <c r="X147" s="18" t="s">
        <v>242</v>
      </c>
      <c r="Y147" s="19" t="s">
        <v>32</v>
      </c>
      <c r="Z147" s="18" t="str">
        <f>A147 &amp; "-" &amp; VLOOKUP(A147,[4]PROGRAMMES!$E$1:$F$7,2,FALSE)</f>
        <v>1-Accès et équité à l'enseignement général</v>
      </c>
      <c r="AA147" s="19" t="str">
        <f>B147 &amp; "-" &amp; VLOOKUP(B147,[4]SOUSPROGRAMMES!$E$1:$F$44,2,FALSE)</f>
        <v>12- Accès équitable et achèvement du primaire</v>
      </c>
      <c r="AB147" s="19" t="str">
        <f>C147 &amp; "-" &amp; VLOOKUP(C147,[4]RESULTATS!$E$1:$F$176,2,FALSE)</f>
        <v>123- Toutes les écoles primaires publiques et communautaires sont dotées en enseignants en nombre suffisant, y compris les FA</v>
      </c>
      <c r="AC147" s="20" t="str">
        <f>D147 &amp; "-" &amp; VLOOKUP(D147,[4]STRATEGIES!$E$1:$F$504,2,FALSE)</f>
        <v>1231-Recrutement d’enseignants</v>
      </c>
      <c r="AD147" s="21" t="str">
        <f t="shared" si="26"/>
        <v>12314-Suivi de l'allocation des enseignants</v>
      </c>
    </row>
    <row r="148" spans="1:30" s="22" customFormat="1" ht="60" hidden="1" customHeight="1" x14ac:dyDescent="0.8">
      <c r="A148" s="14">
        <v>1</v>
      </c>
      <c r="B148" s="15">
        <v>12</v>
      </c>
      <c r="C148" s="15">
        <v>123</v>
      </c>
      <c r="D148" s="15">
        <v>1232</v>
      </c>
      <c r="E148" s="15">
        <v>1232</v>
      </c>
      <c r="F148" s="16" t="s">
        <v>244</v>
      </c>
      <c r="G148" s="17"/>
      <c r="H148" s="17"/>
      <c r="I148" s="18">
        <v>0</v>
      </c>
      <c r="J148" s="18"/>
      <c r="K148" s="18"/>
      <c r="L148" s="18"/>
      <c r="M148" s="18"/>
      <c r="N148" s="18"/>
      <c r="O148" s="18"/>
      <c r="P148" s="18"/>
      <c r="Q148" s="18"/>
      <c r="R148" s="18"/>
      <c r="S148" s="18"/>
      <c r="T148" s="18"/>
      <c r="U148" s="18"/>
      <c r="V148" s="18"/>
      <c r="W148" s="18"/>
      <c r="X148" s="18"/>
      <c r="Y148" s="19" t="s">
        <v>32</v>
      </c>
      <c r="Z148" s="18" t="str">
        <f>A148 &amp; "-" &amp; VLOOKUP(A148,[4]PROGRAMMES!$E$1:$F$7,2,FALSE)</f>
        <v>1-Accès et équité à l'enseignement général</v>
      </c>
      <c r="AA148" s="19" t="str">
        <f>B148 &amp; "-" &amp; VLOOKUP(B148,[4]SOUSPROGRAMMES!$E$1:$F$44,2,FALSE)</f>
        <v>12- Accès équitable et achèvement du primaire</v>
      </c>
      <c r="AB148" s="19" t="str">
        <f>C148 &amp; "-" &amp; VLOOKUP(C148,[4]RESULTATS!$E$1:$F$176,2,FALSE)</f>
        <v>123- Toutes les écoles primaires publiques et communautaires sont dotées en enseignants en nombre suffisant, y compris les FA</v>
      </c>
      <c r="AC148" s="20" t="str">
        <f>D148 &amp; "-" &amp; VLOOKUP(D148,[4]STRATEGIES!$E$1:$F$504,2,FALSE)</f>
        <v>1232-Prise en charge progressive des enseignants communautaires</v>
      </c>
      <c r="AD148" s="21" t="str">
        <f t="shared" si="26"/>
        <v>1232-Prise en charge progressive des enseignants communautaires</v>
      </c>
    </row>
    <row r="149" spans="1:30" s="22" customFormat="1" ht="60" hidden="1" customHeight="1" x14ac:dyDescent="0.8">
      <c r="A149" s="14">
        <v>1</v>
      </c>
      <c r="B149" s="15">
        <v>12</v>
      </c>
      <c r="C149" s="15">
        <v>123</v>
      </c>
      <c r="D149" s="15">
        <v>1232</v>
      </c>
      <c r="E149" s="15">
        <v>12321</v>
      </c>
      <c r="F149" s="16" t="s">
        <v>245</v>
      </c>
      <c r="G149" s="21" t="s">
        <v>58</v>
      </c>
      <c r="H149" s="17" t="s">
        <v>55</v>
      </c>
      <c r="I149" s="18">
        <v>0</v>
      </c>
      <c r="J149" s="18">
        <v>1</v>
      </c>
      <c r="K149" s="18"/>
      <c r="L149" s="18"/>
      <c r="M149" s="18">
        <f t="shared" si="22"/>
        <v>1</v>
      </c>
      <c r="N149" s="18">
        <f>IF(OR(H149="",H149="sif",H149="PM"),0,VLOOKUP(H149,[5]CU!$C$4:$H$255,6,FALSE))</f>
        <v>0</v>
      </c>
      <c r="O149" s="18"/>
      <c r="P149" s="18"/>
      <c r="Q149" s="18"/>
      <c r="R149" s="18"/>
      <c r="S149" s="18"/>
      <c r="T149" s="23" t="s">
        <v>56</v>
      </c>
      <c r="U149" s="18" t="s">
        <v>170</v>
      </c>
      <c r="V149" s="18" t="str">
        <f>IF(OR($H149="",$H149="sif",$H149="PM"),"",VLOOKUP($H149,[5]CU!$C$5:$J$255,8,FALSE))</f>
        <v/>
      </c>
      <c r="W149" s="18" t="s">
        <v>142</v>
      </c>
      <c r="X149" s="18" t="s">
        <v>246</v>
      </c>
      <c r="Y149" s="19" t="s">
        <v>32</v>
      </c>
      <c r="Z149" s="18" t="str">
        <f>A149 &amp; "-" &amp; VLOOKUP(A149,[4]PROGRAMMES!$E$1:$F$7,2,FALSE)</f>
        <v>1-Accès et équité à l'enseignement général</v>
      </c>
      <c r="AA149" s="19" t="str">
        <f>B149 &amp; "-" &amp; VLOOKUP(B149,[4]SOUSPROGRAMMES!$E$1:$F$44,2,FALSE)</f>
        <v>12- Accès équitable et achèvement du primaire</v>
      </c>
      <c r="AB149" s="19" t="str">
        <f>C149 &amp; "-" &amp; VLOOKUP(C149,[4]RESULTATS!$E$1:$F$176,2,FALSE)</f>
        <v>123- Toutes les écoles primaires publiques et communautaires sont dotées en enseignants en nombre suffisant, y compris les FA</v>
      </c>
      <c r="AC149" s="20" t="str">
        <f>D149 &amp; "-" &amp; VLOOKUP(D149,[4]STRATEGIES!$E$1:$F$504,2,FALSE)</f>
        <v>1232-Prise en charge progressive des enseignants communautaires</v>
      </c>
      <c r="AD149" s="21" t="str">
        <f t="shared" si="26"/>
        <v>12321-Identification de qualification des enseignants communautaires en service</v>
      </c>
    </row>
    <row r="150" spans="1:30" s="22" customFormat="1" ht="60" hidden="1" customHeight="1" x14ac:dyDescent="0.8">
      <c r="A150" s="14">
        <v>1</v>
      </c>
      <c r="B150" s="15">
        <v>12</v>
      </c>
      <c r="C150" s="15">
        <v>123</v>
      </c>
      <c r="D150" s="15">
        <v>1232</v>
      </c>
      <c r="E150" s="15">
        <v>12322</v>
      </c>
      <c r="F150" s="16" t="s">
        <v>247</v>
      </c>
      <c r="G150" s="21" t="s">
        <v>159</v>
      </c>
      <c r="H150" s="17" t="s">
        <v>55</v>
      </c>
      <c r="I150" s="18">
        <v>0</v>
      </c>
      <c r="J150" s="18">
        <v>1</v>
      </c>
      <c r="K150" s="18">
        <v>1</v>
      </c>
      <c r="L150" s="18">
        <v>1</v>
      </c>
      <c r="M150" s="18">
        <f t="shared" si="22"/>
        <v>3</v>
      </c>
      <c r="N150" s="18">
        <f>IF(OR(H150="",H150="sif",H150="PM"),0,VLOOKUP(H150,[5]CU!$C$4:$H$255,6,FALSE))</f>
        <v>0</v>
      </c>
      <c r="O150" s="18"/>
      <c r="P150" s="18"/>
      <c r="Q150" s="18"/>
      <c r="R150" s="18"/>
      <c r="S150" s="18"/>
      <c r="T150" s="23" t="s">
        <v>56</v>
      </c>
      <c r="U150" s="18" t="s">
        <v>170</v>
      </c>
      <c r="V150" s="18" t="str">
        <f>IF(OR($H150="",$H150="sif",$H150="PM"),"",VLOOKUP($H150,[5]CU!$C$5:$J$255,8,FALSE))</f>
        <v/>
      </c>
      <c r="W150" s="18" t="s">
        <v>142</v>
      </c>
      <c r="X150" s="18" t="s">
        <v>248</v>
      </c>
      <c r="Y150" s="19" t="s">
        <v>32</v>
      </c>
      <c r="Z150" s="18" t="str">
        <f>A150 &amp; "-" &amp; VLOOKUP(A150,[4]PROGRAMMES!$E$1:$F$7,2,FALSE)</f>
        <v>1-Accès et équité à l'enseignement général</v>
      </c>
      <c r="AA150" s="19" t="str">
        <f>B150 &amp; "-" &amp; VLOOKUP(B150,[4]SOUSPROGRAMMES!$E$1:$F$44,2,FALSE)</f>
        <v>12- Accès équitable et achèvement du primaire</v>
      </c>
      <c r="AB150" s="19" t="str">
        <f>C150 &amp; "-" &amp; VLOOKUP(C150,[4]RESULTATS!$E$1:$F$176,2,FALSE)</f>
        <v>123- Toutes les écoles primaires publiques et communautaires sont dotées en enseignants en nombre suffisant, y compris les FA</v>
      </c>
      <c r="AC150" s="20" t="str">
        <f>D150 &amp; "-" &amp; VLOOKUP(D150,[4]STRATEGIES!$E$1:$F$504,2,FALSE)</f>
        <v>1232-Prise en charge progressive des enseignants communautaires</v>
      </c>
      <c r="AD150" s="21" t="str">
        <f t="shared" si="26"/>
        <v>12322-Formation des enseignants communautaires à l'ENI (pris en compte dans budget ENI)</v>
      </c>
    </row>
    <row r="151" spans="1:30" s="22" customFormat="1" ht="60" hidden="1" customHeight="1" x14ac:dyDescent="0.8">
      <c r="A151" s="14">
        <v>1</v>
      </c>
      <c r="B151" s="15">
        <v>12</v>
      </c>
      <c r="C151" s="15">
        <v>123</v>
      </c>
      <c r="D151" s="15">
        <v>1232</v>
      </c>
      <c r="E151" s="15">
        <v>12323</v>
      </c>
      <c r="F151" s="16" t="s">
        <v>249</v>
      </c>
      <c r="G151" s="21" t="s">
        <v>159</v>
      </c>
      <c r="H151" s="17" t="s">
        <v>55</v>
      </c>
      <c r="I151" s="18">
        <v>0</v>
      </c>
      <c r="J151" s="18">
        <v>1</v>
      </c>
      <c r="K151" s="18">
        <v>1</v>
      </c>
      <c r="L151" s="18">
        <v>1</v>
      </c>
      <c r="M151" s="18">
        <f t="shared" si="22"/>
        <v>3</v>
      </c>
      <c r="N151" s="18">
        <f>IF(OR(H151="",H151="sif",H151="PM"),0,VLOOKUP(H151,[5]CU!$C$4:$H$255,6,FALSE))</f>
        <v>0</v>
      </c>
      <c r="O151" s="18"/>
      <c r="P151" s="18"/>
      <c r="Q151" s="18"/>
      <c r="R151" s="18"/>
      <c r="S151" s="18"/>
      <c r="T151" s="23" t="s">
        <v>56</v>
      </c>
      <c r="U151" s="18" t="s">
        <v>170</v>
      </c>
      <c r="V151" s="18" t="str">
        <f>IF(OR($H151="",$H151="sif",$H151="PM"),"",VLOOKUP($H151,[5]CU!$C$5:$J$255,8,FALSE))</f>
        <v/>
      </c>
      <c r="W151" s="18" t="s">
        <v>142</v>
      </c>
      <c r="X151" s="18" t="s">
        <v>142</v>
      </c>
      <c r="Y151" s="19" t="s">
        <v>32</v>
      </c>
      <c r="Z151" s="18" t="str">
        <f>A151 &amp; "-" &amp; VLOOKUP(A151,[4]PROGRAMMES!$E$1:$F$7,2,FALSE)</f>
        <v>1-Accès et équité à l'enseignement général</v>
      </c>
      <c r="AA151" s="19" t="str">
        <f>B151 &amp; "-" &amp; VLOOKUP(B151,[4]SOUSPROGRAMMES!$E$1:$F$44,2,FALSE)</f>
        <v>12- Accès équitable et achèvement du primaire</v>
      </c>
      <c r="AB151" s="19" t="str">
        <f>C151 &amp; "-" &amp; VLOOKUP(C151,[4]RESULTATS!$E$1:$F$176,2,FALSE)</f>
        <v>123- Toutes les écoles primaires publiques et communautaires sont dotées en enseignants en nombre suffisant, y compris les FA</v>
      </c>
      <c r="AC151" s="20" t="str">
        <f>D151 &amp; "-" &amp; VLOOKUP(D151,[4]STRATEGIES!$E$1:$F$504,2,FALSE)</f>
        <v>1232-Prise en charge progressive des enseignants communautaires</v>
      </c>
      <c r="AD151" s="21" t="str">
        <f t="shared" si="26"/>
        <v>12323-Prise en charge des maîtres communautaires certifiés (pris en compte dans activité 12313)</v>
      </c>
    </row>
    <row r="152" spans="1:30" s="22" customFormat="1" ht="60" hidden="1" customHeight="1" x14ac:dyDescent="0.8">
      <c r="A152" s="14">
        <v>1</v>
      </c>
      <c r="B152" s="15">
        <v>12</v>
      </c>
      <c r="C152" s="15">
        <v>123</v>
      </c>
      <c r="D152" s="15">
        <v>1233</v>
      </c>
      <c r="E152" s="15">
        <v>1233</v>
      </c>
      <c r="F152" s="16" t="s">
        <v>250</v>
      </c>
      <c r="G152" s="17"/>
      <c r="H152" s="17"/>
      <c r="I152" s="18">
        <v>0</v>
      </c>
      <c r="J152" s="18"/>
      <c r="K152" s="18"/>
      <c r="L152" s="18"/>
      <c r="M152" s="18"/>
      <c r="N152" s="18"/>
      <c r="O152" s="18"/>
      <c r="P152" s="18"/>
      <c r="Q152" s="18"/>
      <c r="R152" s="18"/>
      <c r="S152" s="18"/>
      <c r="T152" s="18"/>
      <c r="U152" s="18"/>
      <c r="V152" s="18"/>
      <c r="W152" s="18"/>
      <c r="X152" s="18"/>
      <c r="Y152" s="19" t="s">
        <v>32</v>
      </c>
      <c r="Z152" s="18" t="str">
        <f>A152 &amp; "-" &amp; VLOOKUP(A152,[4]PROGRAMMES!$E$1:$F$7,2,FALSE)</f>
        <v>1-Accès et équité à l'enseignement général</v>
      </c>
      <c r="AA152" s="19" t="str">
        <f>B152 &amp; "-" &amp; VLOOKUP(B152,[4]SOUSPROGRAMMES!$E$1:$F$44,2,FALSE)</f>
        <v>12- Accès équitable et achèvement du primaire</v>
      </c>
      <c r="AB152" s="19" t="str">
        <f>C152 &amp; "-" &amp; VLOOKUP(C152,[4]RESULTATS!$E$1:$F$176,2,FALSE)</f>
        <v>123- Toutes les écoles primaires publiques et communautaires sont dotées en enseignants en nombre suffisant, y compris les FA</v>
      </c>
      <c r="AC152" s="20" t="str">
        <f>D152 &amp; "-" &amp; VLOOKUP(D152,[4]STRATEGIES!$E$1:$F$504,2,FALSE)</f>
        <v>1233-Optimisation de l’utilisation des enseignants</v>
      </c>
      <c r="AD152" s="21" t="str">
        <f t="shared" si="26"/>
        <v>1233-Optimisation de l’utilisation des enseignants</v>
      </c>
    </row>
    <row r="153" spans="1:30" ht="60" hidden="1" customHeight="1" x14ac:dyDescent="0.8">
      <c r="A153" s="25">
        <v>1</v>
      </c>
      <c r="B153" s="16">
        <v>12</v>
      </c>
      <c r="C153" s="16">
        <v>123</v>
      </c>
      <c r="D153" s="16">
        <v>1233</v>
      </c>
      <c r="E153" s="16">
        <v>12331</v>
      </c>
      <c r="F153" s="16" t="s">
        <v>251</v>
      </c>
      <c r="G153" s="21" t="s">
        <v>37</v>
      </c>
      <c r="H153" s="21" t="s">
        <v>66</v>
      </c>
      <c r="I153" s="19">
        <v>0</v>
      </c>
      <c r="J153" s="19">
        <f>30*5*1</f>
        <v>150</v>
      </c>
      <c r="K153" s="19">
        <f t="shared" ref="K153:L153" si="30">30*5*1</f>
        <v>150</v>
      </c>
      <c r="L153" s="19">
        <f t="shared" si="30"/>
        <v>150</v>
      </c>
      <c r="M153" s="19">
        <f t="shared" si="22"/>
        <v>450</v>
      </c>
      <c r="N153" s="19">
        <f>IF(OR(H153="",H153="sif",H153="PM"),0,VLOOKUP(H153,[5]CU!$C$4:$H$255,6,FALSE))</f>
        <v>0.255</v>
      </c>
      <c r="O153" s="19">
        <f>$N153*I153</f>
        <v>0</v>
      </c>
      <c r="P153" s="19">
        <f>$N153*J153</f>
        <v>38.25</v>
      </c>
      <c r="Q153" s="19">
        <f>$N153*K153</f>
        <v>38.25</v>
      </c>
      <c r="R153" s="19">
        <f>$N153*L153</f>
        <v>38.25</v>
      </c>
      <c r="S153" s="19">
        <f>SUM(O153:R153)</f>
        <v>114.75</v>
      </c>
      <c r="T153" s="26" t="s">
        <v>169</v>
      </c>
      <c r="U153" s="19" t="s">
        <v>170</v>
      </c>
      <c r="V153" s="19" t="str">
        <f>IF(OR($H153="",$H153="sif",$H153="PM"),"",VLOOKUP($H153,[5]CU!$C$5:$J$255,8,FALSE))</f>
        <v>3. Dépenses de fonctionnement</v>
      </c>
      <c r="W153" s="19" t="s">
        <v>142</v>
      </c>
      <c r="X153" s="19" t="s">
        <v>142</v>
      </c>
      <c r="Y153" s="19" t="s">
        <v>32</v>
      </c>
      <c r="Z153" s="19" t="str">
        <f>A153 &amp; "-" &amp; VLOOKUP(A153,[4]PROGRAMMES!$E$1:$F$7,2,FALSE)</f>
        <v>1-Accès et équité à l'enseignement général</v>
      </c>
      <c r="AA153" s="19" t="str">
        <f>B153 &amp; "-" &amp; VLOOKUP(B153,[4]SOUSPROGRAMMES!$E$1:$F$44,2,FALSE)</f>
        <v>12- Accès équitable et achèvement du primaire</v>
      </c>
      <c r="AB153" s="19" t="str">
        <f>C153 &amp; "-" &amp; VLOOKUP(C153,[4]RESULTATS!$E$1:$F$176,2,FALSE)</f>
        <v>123- Toutes les écoles primaires publiques et communautaires sont dotées en enseignants en nombre suffisant, y compris les FA</v>
      </c>
      <c r="AC153" s="20" t="str">
        <f>D153 &amp; "-" &amp; VLOOKUP(D153,[4]STRATEGIES!$E$1:$F$504,2,FALSE)</f>
        <v>1233-Optimisation de l’utilisation des enseignants</v>
      </c>
      <c r="AD153" s="21" t="str">
        <f t="shared" si="26"/>
        <v>12331-Réactualisation des critères de redéploiement des enseignants en concertation avec les syndicats</v>
      </c>
    </row>
    <row r="154" spans="1:30" s="22" customFormat="1" ht="60" hidden="1" customHeight="1" x14ac:dyDescent="0.8">
      <c r="A154" s="14">
        <v>1</v>
      </c>
      <c r="B154" s="15">
        <v>12</v>
      </c>
      <c r="C154" s="15">
        <v>123</v>
      </c>
      <c r="D154" s="15">
        <v>1233</v>
      </c>
      <c r="E154" s="15">
        <v>12332</v>
      </c>
      <c r="F154" s="16" t="s">
        <v>252</v>
      </c>
      <c r="G154" s="21" t="s">
        <v>182</v>
      </c>
      <c r="H154" s="17" t="s">
        <v>55</v>
      </c>
      <c r="I154" s="18">
        <v>0</v>
      </c>
      <c r="J154" s="18">
        <v>1</v>
      </c>
      <c r="K154" s="18">
        <v>1</v>
      </c>
      <c r="L154" s="18">
        <v>1</v>
      </c>
      <c r="M154" s="18">
        <f t="shared" si="22"/>
        <v>3</v>
      </c>
      <c r="N154" s="18">
        <f>IF(OR(H154="",H154="sif",H154="PM"),0,VLOOKUP(H154,[5]CU!$C$4:$H$255,6,FALSE))</f>
        <v>0</v>
      </c>
      <c r="O154" s="18"/>
      <c r="P154" s="18"/>
      <c r="Q154" s="18"/>
      <c r="R154" s="18"/>
      <c r="S154" s="18"/>
      <c r="T154" s="23" t="s">
        <v>56</v>
      </c>
      <c r="U154" s="18" t="s">
        <v>170</v>
      </c>
      <c r="V154" s="18" t="str">
        <f>IF(OR($H154="",$H154="sif",$H154="PM"),"",VLOOKUP($H154,[5]CU!$C$5:$J$255,8,FALSE))</f>
        <v/>
      </c>
      <c r="W154" s="18" t="s">
        <v>142</v>
      </c>
      <c r="X154" s="18" t="s">
        <v>77</v>
      </c>
      <c r="Y154" s="19" t="s">
        <v>32</v>
      </c>
      <c r="Z154" s="18" t="str">
        <f>A154 &amp; "-" &amp; VLOOKUP(A154,[4]PROGRAMMES!$E$1:$F$7,2,FALSE)</f>
        <v>1-Accès et équité à l'enseignement général</v>
      </c>
      <c r="AA154" s="19" t="str">
        <f>B154 &amp; "-" &amp; VLOOKUP(B154,[4]SOUSPROGRAMMES!$E$1:$F$44,2,FALSE)</f>
        <v>12- Accès équitable et achèvement du primaire</v>
      </c>
      <c r="AB154" s="19" t="str">
        <f>C154 &amp; "-" &amp; VLOOKUP(C154,[4]RESULTATS!$E$1:$F$176,2,FALSE)</f>
        <v>123- Toutes les écoles primaires publiques et communautaires sont dotées en enseignants en nombre suffisant, y compris les FA</v>
      </c>
      <c r="AC154" s="20" t="str">
        <f>D154 &amp; "-" &amp; VLOOKUP(D154,[4]STRATEGIES!$E$1:$F$504,2,FALSE)</f>
        <v>1233-Optimisation de l’utilisation des enseignants</v>
      </c>
      <c r="AD154" s="21" t="str">
        <f t="shared" si="26"/>
        <v>12332-Identification des enseignants sans charge horaire (pris en compte dans le budget des structures déconcentrées)</v>
      </c>
    </row>
    <row r="155" spans="1:30" s="22" customFormat="1" ht="60" hidden="1" customHeight="1" x14ac:dyDescent="0.8">
      <c r="A155" s="14">
        <v>1</v>
      </c>
      <c r="B155" s="15">
        <v>12</v>
      </c>
      <c r="C155" s="15">
        <v>123</v>
      </c>
      <c r="D155" s="15">
        <v>1233</v>
      </c>
      <c r="E155" s="15">
        <v>12333</v>
      </c>
      <c r="F155" s="16" t="s">
        <v>253</v>
      </c>
      <c r="G155" s="21" t="s">
        <v>54</v>
      </c>
      <c r="H155" s="17" t="s">
        <v>55</v>
      </c>
      <c r="I155" s="18">
        <v>0</v>
      </c>
      <c r="J155" s="18">
        <v>1</v>
      </c>
      <c r="K155" s="18">
        <v>1</v>
      </c>
      <c r="L155" s="18">
        <v>1</v>
      </c>
      <c r="M155" s="18">
        <f t="shared" si="22"/>
        <v>3</v>
      </c>
      <c r="N155" s="18">
        <f>IF(OR(H155="",H155="sif",H155="PM"),0,VLOOKUP(H155,[5]CU!$C$4:$H$255,6,FALSE))</f>
        <v>0</v>
      </c>
      <c r="O155" s="18"/>
      <c r="P155" s="18"/>
      <c r="Q155" s="18"/>
      <c r="R155" s="18"/>
      <c r="S155" s="18"/>
      <c r="T155" s="23" t="s">
        <v>56</v>
      </c>
      <c r="U155" s="18" t="s">
        <v>170</v>
      </c>
      <c r="V155" s="18" t="str">
        <f>IF(OR($H155="",$H155="sif",$H155="PM"),"",VLOOKUP($H155,[5]CU!$C$5:$J$255,8,FALSE))</f>
        <v/>
      </c>
      <c r="W155" s="18" t="s">
        <v>254</v>
      </c>
      <c r="X155" s="18" t="s">
        <v>255</v>
      </c>
      <c r="Y155" s="19" t="s">
        <v>32</v>
      </c>
      <c r="Z155" s="18" t="str">
        <f>A155 &amp; "-" &amp; VLOOKUP(A155,[4]PROGRAMMES!$E$1:$F$7,2,FALSE)</f>
        <v>1-Accès et équité à l'enseignement général</v>
      </c>
      <c r="AA155" s="19" t="str">
        <f>B155 &amp; "-" &amp; VLOOKUP(B155,[4]SOUSPROGRAMMES!$E$1:$F$44,2,FALSE)</f>
        <v>12- Accès équitable et achèvement du primaire</v>
      </c>
      <c r="AB155" s="19" t="str">
        <f>C155 &amp; "-" &amp; VLOOKUP(C155,[4]RESULTATS!$E$1:$F$176,2,FALSE)</f>
        <v>123- Toutes les écoles primaires publiques et communautaires sont dotées en enseignants en nombre suffisant, y compris les FA</v>
      </c>
      <c r="AC155" s="20" t="str">
        <f>D155 &amp; "-" &amp; VLOOKUP(D155,[4]STRATEGIES!$E$1:$F$504,2,FALSE)</f>
        <v>1233-Optimisation de l’utilisation des enseignants</v>
      </c>
      <c r="AD155" s="21" t="str">
        <f t="shared" si="26"/>
        <v>12333-Redéploiement des enseignants sans charge vers les zones déficitaires</v>
      </c>
    </row>
    <row r="156" spans="1:30" s="22" customFormat="1" ht="60" hidden="1" customHeight="1" x14ac:dyDescent="0.8">
      <c r="A156" s="14">
        <v>1</v>
      </c>
      <c r="B156" s="15">
        <v>12</v>
      </c>
      <c r="C156" s="15">
        <v>123</v>
      </c>
      <c r="D156" s="15">
        <v>1233</v>
      </c>
      <c r="E156" s="15">
        <v>12334</v>
      </c>
      <c r="F156" s="16" t="s">
        <v>256</v>
      </c>
      <c r="G156" s="21" t="s">
        <v>92</v>
      </c>
      <c r="H156" s="17" t="s">
        <v>55</v>
      </c>
      <c r="I156" s="18">
        <v>0</v>
      </c>
      <c r="J156" s="18">
        <v>1</v>
      </c>
      <c r="K156" s="18">
        <v>1</v>
      </c>
      <c r="L156" s="18">
        <v>1</v>
      </c>
      <c r="M156" s="18">
        <f t="shared" si="22"/>
        <v>3</v>
      </c>
      <c r="N156" s="18">
        <f>IF(OR(H156="",H156="sif",H156="PM"),0,VLOOKUP(H156,[5]CU!$C$4:$H$255,6,FALSE))</f>
        <v>0</v>
      </c>
      <c r="O156" s="18"/>
      <c r="P156" s="18"/>
      <c r="Q156" s="18"/>
      <c r="R156" s="18"/>
      <c r="S156" s="18"/>
      <c r="T156" s="23" t="s">
        <v>56</v>
      </c>
      <c r="U156" s="18" t="s">
        <v>170</v>
      </c>
      <c r="V156" s="18" t="str">
        <f>IF(OR($H156="",$H156="sif",$H156="PM"),"",VLOOKUP($H156,[5]CU!$C$5:$J$255,8,FALSE))</f>
        <v/>
      </c>
      <c r="W156" s="18" t="s">
        <v>142</v>
      </c>
      <c r="X156" s="18" t="s">
        <v>142</v>
      </c>
      <c r="Y156" s="19" t="s">
        <v>32</v>
      </c>
      <c r="Z156" s="18" t="str">
        <f>A156 &amp; "-" &amp; VLOOKUP(A156,[4]PROGRAMMES!$E$1:$F$7,2,FALSE)</f>
        <v>1-Accès et équité à l'enseignement général</v>
      </c>
      <c r="AA156" s="19" t="str">
        <f>B156 &amp; "-" &amp; VLOOKUP(B156,[4]SOUSPROGRAMMES!$E$1:$F$44,2,FALSE)</f>
        <v>12- Accès équitable et achèvement du primaire</v>
      </c>
      <c r="AB156" s="19" t="str">
        <f>C156 &amp; "-" &amp; VLOOKUP(C156,[4]RESULTATS!$E$1:$F$176,2,FALSE)</f>
        <v>123- Toutes les écoles primaires publiques et communautaires sont dotées en enseignants en nombre suffisant, y compris les FA</v>
      </c>
      <c r="AC156" s="20" t="str">
        <f>D156 &amp; "-" &amp; VLOOKUP(D156,[4]STRATEGIES!$E$1:$F$504,2,FALSE)</f>
        <v>1233-Optimisation de l’utilisation des enseignants</v>
      </c>
      <c r="AD156" s="21" t="str">
        <f t="shared" si="26"/>
        <v>12334-Suivi du redéploiement des enseignants (pris en compte dans activité 12314)</v>
      </c>
    </row>
    <row r="157" spans="1:30" s="22" customFormat="1" ht="60" hidden="1" customHeight="1" x14ac:dyDescent="0.8">
      <c r="A157" s="14">
        <v>1</v>
      </c>
      <c r="B157" s="15">
        <v>12</v>
      </c>
      <c r="C157" s="15">
        <v>123</v>
      </c>
      <c r="D157" s="15">
        <v>1233</v>
      </c>
      <c r="E157" s="15">
        <v>12335</v>
      </c>
      <c r="F157" s="16" t="s">
        <v>257</v>
      </c>
      <c r="G157" s="21" t="s">
        <v>149</v>
      </c>
      <c r="H157" s="17" t="s">
        <v>258</v>
      </c>
      <c r="I157" s="18">
        <v>0</v>
      </c>
      <c r="J157" s="18">
        <v>0.92965546113574704</v>
      </c>
      <c r="K157" s="18">
        <v>1.02623733201423</v>
      </c>
      <c r="L157" s="18">
        <v>1.12897507139086</v>
      </c>
      <c r="M157" s="18">
        <f t="shared" si="22"/>
        <v>3.0848678645408372</v>
      </c>
      <c r="N157" s="18">
        <f>IF(OR(H157="",H157="sif",H157="PM"),0,VLOOKUP(H157,[5]CU!$C$4:$H$255,6,FALSE))</f>
        <v>853398.98543631705</v>
      </c>
      <c r="O157" s="18">
        <f>$N157*I157</f>
        <v>0</v>
      </c>
      <c r="P157" s="18">
        <f>$N157*J157</f>
        <v>793367.02733857802</v>
      </c>
      <c r="Q157" s="18">
        <f>$N157*K157</f>
        <v>875789.89795781672</v>
      </c>
      <c r="R157" s="18">
        <f>$N157*L157</f>
        <v>963466.18050785351</v>
      </c>
      <c r="S157" s="18">
        <f>SUM(O157:R157)</f>
        <v>2632623.1058042482</v>
      </c>
      <c r="T157" s="23" t="s">
        <v>56</v>
      </c>
      <c r="U157" s="18" t="s">
        <v>170</v>
      </c>
      <c r="V157" s="18" t="str">
        <f>IF(OR($H157="",$H157="sif",$H157="PM"),"",VLOOKUP($H157,[5]CU!$C$5:$J$255,8,FALSE))</f>
        <v>2. Personnel</v>
      </c>
      <c r="W157" s="18" t="s">
        <v>142</v>
      </c>
      <c r="X157" s="18" t="s">
        <v>142</v>
      </c>
      <c r="Y157" s="19" t="s">
        <v>32</v>
      </c>
      <c r="Z157" s="18" t="str">
        <f>A157 &amp; "-" &amp; VLOOKUP(A157,[4]PROGRAMMES!$E$1:$F$7,2,FALSE)</f>
        <v>1-Accès et équité à l'enseignement général</v>
      </c>
      <c r="AA157" s="19" t="str">
        <f>B157 &amp; "-" &amp; VLOOKUP(B157,[4]SOUSPROGRAMMES!$E$1:$F$44,2,FALSE)</f>
        <v>12- Accès équitable et achèvement du primaire</v>
      </c>
      <c r="AB157" s="19" t="str">
        <f>C157 &amp; "-" &amp; VLOOKUP(C157,[4]RESULTATS!$E$1:$F$176,2,FALSE)</f>
        <v>123- Toutes les écoles primaires publiques et communautaires sont dotées en enseignants en nombre suffisant, y compris les FA</v>
      </c>
      <c r="AC157" s="20" t="str">
        <f>D157 &amp; "-" &amp; VLOOKUP(D157,[4]STRATEGIES!$E$1:$F$504,2,FALSE)</f>
        <v>1233-Optimisation de l’utilisation des enseignants</v>
      </c>
      <c r="AD157" s="21" t="str">
        <f t="shared" si="26"/>
        <v>12335-Paiement des salaires des enseignants en service</v>
      </c>
    </row>
    <row r="158" spans="1:30" s="22" customFormat="1" ht="60" hidden="1" customHeight="1" x14ac:dyDescent="0.8">
      <c r="A158" s="14">
        <v>1</v>
      </c>
      <c r="B158" s="15">
        <v>12</v>
      </c>
      <c r="C158" s="15">
        <v>123</v>
      </c>
      <c r="D158" s="15">
        <v>1234</v>
      </c>
      <c r="E158" s="15">
        <v>1234</v>
      </c>
      <c r="F158" s="16" t="s">
        <v>259</v>
      </c>
      <c r="G158" s="17"/>
      <c r="H158" s="17"/>
      <c r="I158" s="18">
        <v>0</v>
      </c>
      <c r="J158" s="18"/>
      <c r="K158" s="18"/>
      <c r="L158" s="18"/>
      <c r="M158" s="18"/>
      <c r="N158" s="18"/>
      <c r="O158" s="18"/>
      <c r="P158" s="18"/>
      <c r="Q158" s="18"/>
      <c r="R158" s="18"/>
      <c r="S158" s="18"/>
      <c r="T158" s="18"/>
      <c r="U158" s="18"/>
      <c r="V158" s="18"/>
      <c r="W158" s="18"/>
      <c r="X158" s="18"/>
      <c r="Y158" s="19" t="s">
        <v>32</v>
      </c>
      <c r="Z158" s="18" t="str">
        <f>A158 &amp; "-" &amp; VLOOKUP(A158,[4]PROGRAMMES!$E$1:$F$7,2,FALSE)</f>
        <v>1-Accès et équité à l'enseignement général</v>
      </c>
      <c r="AA158" s="19" t="str">
        <f>B158 &amp; "-" &amp; VLOOKUP(B158,[4]SOUSPROGRAMMES!$E$1:$F$44,2,FALSE)</f>
        <v>12- Accès équitable et achèvement du primaire</v>
      </c>
      <c r="AB158" s="19" t="str">
        <f>C158 &amp; "-" &amp; VLOOKUP(C158,[4]RESULTATS!$E$1:$F$176,2,FALSE)</f>
        <v>123- Toutes les écoles primaires publiques et communautaires sont dotées en enseignants en nombre suffisant, y compris les FA</v>
      </c>
      <c r="AC158" s="20" t="str">
        <f>D158 &amp; "-" &amp; VLOOKUP(D158,[4]STRATEGIES!$E$1:$F$504,2,FALSE)</f>
        <v>1234-Renforcement des mesures incitatives pour le maintien des enseignants dans les zones difficiles</v>
      </c>
      <c r="AD158" s="21" t="str">
        <f t="shared" si="26"/>
        <v>1234-Renforcement des mesures incitatives pour le maintien des enseignants dans les zones difficiles</v>
      </c>
    </row>
    <row r="159" spans="1:30" s="22" customFormat="1" ht="60" hidden="1" customHeight="1" x14ac:dyDescent="0.8">
      <c r="A159" s="14">
        <v>1</v>
      </c>
      <c r="B159" s="15">
        <v>12</v>
      </c>
      <c r="C159" s="15">
        <v>123</v>
      </c>
      <c r="D159" s="15">
        <v>1234</v>
      </c>
      <c r="E159" s="15">
        <v>12341</v>
      </c>
      <c r="F159" s="16" t="s">
        <v>260</v>
      </c>
      <c r="G159" s="21" t="s">
        <v>182</v>
      </c>
      <c r="H159" s="17" t="s">
        <v>55</v>
      </c>
      <c r="I159" s="18">
        <v>0</v>
      </c>
      <c r="J159" s="18">
        <v>1</v>
      </c>
      <c r="K159" s="18"/>
      <c r="L159" s="18"/>
      <c r="M159" s="18">
        <f t="shared" si="22"/>
        <v>1</v>
      </c>
      <c r="N159" s="18">
        <f>IF(OR(H159="",H159="sif",H159="PM"),0,VLOOKUP(H159,[5]CU!$C$4:$H$255,6,FALSE))</f>
        <v>0</v>
      </c>
      <c r="O159" s="18"/>
      <c r="P159" s="18"/>
      <c r="Q159" s="18"/>
      <c r="R159" s="18"/>
      <c r="S159" s="18"/>
      <c r="T159" s="23" t="s">
        <v>56</v>
      </c>
      <c r="U159" s="18" t="s">
        <v>170</v>
      </c>
      <c r="V159" s="18" t="str">
        <f>IF(OR($H159="",$H159="sif",$H159="PM"),"",VLOOKUP($H159,[5]CU!$C$5:$J$255,8,FALSE))</f>
        <v/>
      </c>
      <c r="W159" s="18" t="s">
        <v>142</v>
      </c>
      <c r="X159" s="18" t="s">
        <v>142</v>
      </c>
      <c r="Y159" s="19" t="s">
        <v>32</v>
      </c>
      <c r="Z159" s="18" t="str">
        <f>A159 &amp; "-" &amp; VLOOKUP(A159,[4]PROGRAMMES!$E$1:$F$7,2,FALSE)</f>
        <v>1-Accès et équité à l'enseignement général</v>
      </c>
      <c r="AA159" s="19" t="str">
        <f>B159 &amp; "-" &amp; VLOOKUP(B159,[4]SOUSPROGRAMMES!$E$1:$F$44,2,FALSE)</f>
        <v>12- Accès équitable et achèvement du primaire</v>
      </c>
      <c r="AB159" s="19" t="str">
        <f>C159 &amp; "-" &amp; VLOOKUP(C159,[4]RESULTATS!$E$1:$F$176,2,FALSE)</f>
        <v>123- Toutes les écoles primaires publiques et communautaires sont dotées en enseignants en nombre suffisant, y compris les FA</v>
      </c>
      <c r="AC159" s="20" t="str">
        <f>D159 &amp; "-" &amp; VLOOKUP(D159,[4]STRATEGIES!$E$1:$F$504,2,FALSE)</f>
        <v>1234-Renforcement des mesures incitatives pour le maintien des enseignants dans les zones difficiles</v>
      </c>
      <c r="AD159" s="21" t="str">
        <f t="shared" si="26"/>
        <v>12341-Travaux préparatoires de la concertation sur les mesures incitatives à mettre en place en faveur des enseignants (enveloppes des primes accordées aux enseignants, nombre de bénéficiaires : craie, prime de zone, multigrade, critères, etc.)</v>
      </c>
    </row>
    <row r="160" spans="1:30" ht="60" hidden="1" customHeight="1" x14ac:dyDescent="0.8">
      <c r="A160" s="25">
        <v>1</v>
      </c>
      <c r="B160" s="16">
        <v>12</v>
      </c>
      <c r="C160" s="16">
        <v>123</v>
      </c>
      <c r="D160" s="16">
        <v>1234</v>
      </c>
      <c r="E160" s="16">
        <v>12342</v>
      </c>
      <c r="F160" s="16" t="s">
        <v>261</v>
      </c>
      <c r="G160" s="21" t="s">
        <v>262</v>
      </c>
      <c r="H160" s="21" t="s">
        <v>38</v>
      </c>
      <c r="I160" s="19">
        <v>0</v>
      </c>
      <c r="J160" s="19">
        <f>54*3*4</f>
        <v>648</v>
      </c>
      <c r="K160" s="19">
        <f>54*3*4</f>
        <v>648</v>
      </c>
      <c r="L160" s="19">
        <f>54*3*4</f>
        <v>648</v>
      </c>
      <c r="M160" s="19">
        <f t="shared" si="22"/>
        <v>1944</v>
      </c>
      <c r="N160" s="19">
        <f>IF(OR(H160="",H160="sif",H160="PM"),0,VLOOKUP(H160,[5]CU!$C$4:$H$255,6,FALSE))</f>
        <v>0.3133333333333333</v>
      </c>
      <c r="O160" s="19">
        <f t="shared" ref="O160:R161" si="31">$N160*I160</f>
        <v>0</v>
      </c>
      <c r="P160" s="19">
        <f>$N160*J160</f>
        <v>203.03999999999996</v>
      </c>
      <c r="Q160" s="19">
        <f t="shared" ref="Q160:Q161" si="32">$N160*K160</f>
        <v>203.03999999999996</v>
      </c>
      <c r="R160" s="19">
        <f t="shared" si="31"/>
        <v>203.03999999999996</v>
      </c>
      <c r="S160" s="19">
        <f>SUM(O160:R160)</f>
        <v>609.11999999999989</v>
      </c>
      <c r="T160" s="26" t="s">
        <v>169</v>
      </c>
      <c r="U160" s="19" t="s">
        <v>170</v>
      </c>
      <c r="V160" s="19" t="str">
        <f>IF(OR($H160="",$H160="sif",$H160="PM"),"",VLOOKUP($H160,[5]CU!$C$5:$J$255,8,FALSE))</f>
        <v>3. Formation</v>
      </c>
      <c r="W160" s="19" t="s">
        <v>263</v>
      </c>
      <c r="X160" s="19" t="s">
        <v>142</v>
      </c>
      <c r="Y160" s="19" t="s">
        <v>32</v>
      </c>
      <c r="Z160" s="19" t="str">
        <f>A160 &amp; "-" &amp; VLOOKUP(A160,[4]PROGRAMMES!$E$1:$F$7,2,FALSE)</f>
        <v>1-Accès et équité à l'enseignement général</v>
      </c>
      <c r="AA160" s="19" t="str">
        <f>B160 &amp; "-" &amp; VLOOKUP(B160,[4]SOUSPROGRAMMES!$E$1:$F$44,2,FALSE)</f>
        <v>12- Accès équitable et achèvement du primaire</v>
      </c>
      <c r="AB160" s="19" t="str">
        <f>C160 &amp; "-" &amp; VLOOKUP(C160,[4]RESULTATS!$E$1:$F$176,2,FALSE)</f>
        <v>123- Toutes les écoles primaires publiques et communautaires sont dotées en enseignants en nombre suffisant, y compris les FA</v>
      </c>
      <c r="AC160" s="20" t="str">
        <f>D160 &amp; "-" &amp; VLOOKUP(D160,[4]STRATEGIES!$E$1:$F$504,2,FALSE)</f>
        <v>1234-Renforcement des mesures incitatives pour le maintien des enseignants dans les zones difficiles</v>
      </c>
      <c r="AD160" s="21" t="str">
        <f t="shared" si="26"/>
        <v>12342-Concertation avec les partenaires sociaux (en particulier les syndicats) pour l'identification des mesures incitatives pour le maintien des enseignants dans les zones difficiles</v>
      </c>
    </row>
    <row r="161" spans="1:30" ht="60" hidden="1" customHeight="1" x14ac:dyDescent="0.8">
      <c r="A161" s="25">
        <v>1</v>
      </c>
      <c r="B161" s="16">
        <v>12</v>
      </c>
      <c r="C161" s="16">
        <v>123</v>
      </c>
      <c r="D161" s="16">
        <v>1234</v>
      </c>
      <c r="E161" s="16">
        <v>12343</v>
      </c>
      <c r="F161" s="16" t="s">
        <v>264</v>
      </c>
      <c r="G161" s="21" t="s">
        <v>37</v>
      </c>
      <c r="H161" s="21" t="s">
        <v>38</v>
      </c>
      <c r="I161" s="19">
        <v>0</v>
      </c>
      <c r="J161" s="19"/>
      <c r="K161" s="19">
        <f t="shared" ref="K161" si="33">30*5*1</f>
        <v>150</v>
      </c>
      <c r="L161" s="19"/>
      <c r="M161" s="19">
        <f t="shared" si="22"/>
        <v>150</v>
      </c>
      <c r="N161" s="19">
        <f>IF(OR(H161="",H161="sif",H161="PM"),0,VLOOKUP(H161,[5]CU!$C$4:$H$255,6,FALSE))</f>
        <v>0.3133333333333333</v>
      </c>
      <c r="O161" s="19">
        <f t="shared" si="31"/>
        <v>0</v>
      </c>
      <c r="P161" s="19">
        <f t="shared" si="31"/>
        <v>0</v>
      </c>
      <c r="Q161" s="19">
        <f t="shared" si="32"/>
        <v>46.999999999999993</v>
      </c>
      <c r="R161" s="19">
        <f t="shared" si="31"/>
        <v>0</v>
      </c>
      <c r="S161" s="19">
        <f>SUM(O161:R161)</f>
        <v>46.999999999999993</v>
      </c>
      <c r="T161" s="26" t="s">
        <v>169</v>
      </c>
      <c r="U161" s="19" t="s">
        <v>170</v>
      </c>
      <c r="V161" s="19" t="str">
        <f>IF(OR($H161="",$H161="sif",$H161="PM"),"",VLOOKUP($H161,[5]CU!$C$5:$J$255,8,FALSE))</f>
        <v>3. Formation</v>
      </c>
      <c r="W161" s="19" t="s">
        <v>263</v>
      </c>
      <c r="X161" s="19" t="s">
        <v>142</v>
      </c>
      <c r="Y161" s="19" t="s">
        <v>32</v>
      </c>
      <c r="Z161" s="19" t="str">
        <f>A161 &amp; "-" &amp; VLOOKUP(A161,[4]PROGRAMMES!$E$1:$F$7,2,FALSE)</f>
        <v>1-Accès et équité à l'enseignement général</v>
      </c>
      <c r="AA161" s="19" t="str">
        <f>B161 &amp; "-" &amp; VLOOKUP(B161,[4]SOUSPROGRAMMES!$E$1:$F$44,2,FALSE)</f>
        <v>12- Accès équitable et achèvement du primaire</v>
      </c>
      <c r="AB161" s="19" t="str">
        <f>C161 &amp; "-" &amp; VLOOKUP(C161,[4]RESULTATS!$E$1:$F$176,2,FALSE)</f>
        <v>123- Toutes les écoles primaires publiques et communautaires sont dotées en enseignants en nombre suffisant, y compris les FA</v>
      </c>
      <c r="AC161" s="20" t="str">
        <f>D161 &amp; "-" &amp; VLOOKUP(D161,[4]STRATEGIES!$E$1:$F$504,2,FALSE)</f>
        <v>1234-Renforcement des mesures incitatives pour le maintien des enseignants dans les zones difficiles</v>
      </c>
      <c r="AD161" s="21" t="str">
        <f t="shared" si="26"/>
        <v xml:space="preserve">12343-Validation des mesures incitatives et des modalités de paiement pour le maintien des enseignants dans les zones difficiles </v>
      </c>
    </row>
    <row r="162" spans="1:30" s="22" customFormat="1" ht="60" hidden="1" customHeight="1" x14ac:dyDescent="0.8">
      <c r="A162" s="14">
        <v>1</v>
      </c>
      <c r="B162" s="15">
        <v>12</v>
      </c>
      <c r="C162" s="15">
        <v>123</v>
      </c>
      <c r="D162" s="15">
        <v>1234</v>
      </c>
      <c r="E162" s="15">
        <v>12344</v>
      </c>
      <c r="F162" s="16" t="s">
        <v>265</v>
      </c>
      <c r="G162" s="21" t="s">
        <v>88</v>
      </c>
      <c r="H162" s="17" t="s">
        <v>55</v>
      </c>
      <c r="I162" s="18">
        <v>0</v>
      </c>
      <c r="J162" s="18">
        <v>1</v>
      </c>
      <c r="K162" s="18"/>
      <c r="L162" s="18"/>
      <c r="M162" s="18">
        <f t="shared" si="22"/>
        <v>1</v>
      </c>
      <c r="N162" s="18">
        <f>IF(OR(H162="",H162="sif",H162="PM"),0,VLOOKUP(H162,[5]CU!$C$4:$H$255,6,FALSE))</f>
        <v>0</v>
      </c>
      <c r="O162" s="18"/>
      <c r="P162" s="18"/>
      <c r="Q162" s="18"/>
      <c r="R162" s="18"/>
      <c r="S162" s="18"/>
      <c r="T162" s="23" t="s">
        <v>56</v>
      </c>
      <c r="U162" s="18" t="s">
        <v>170</v>
      </c>
      <c r="V162" s="18" t="str">
        <f>IF(OR($H162="",$H162="sif",$H162="PM"),"",VLOOKUP($H162,[5]CU!$C$5:$J$255,8,FALSE))</f>
        <v/>
      </c>
      <c r="W162" s="18" t="s">
        <v>263</v>
      </c>
      <c r="X162" s="18" t="s">
        <v>142</v>
      </c>
      <c r="Y162" s="19" t="s">
        <v>32</v>
      </c>
      <c r="Z162" s="18" t="str">
        <f>A162 &amp; "-" &amp; VLOOKUP(A162,[4]PROGRAMMES!$E$1:$F$7,2,FALSE)</f>
        <v>1-Accès et équité à l'enseignement général</v>
      </c>
      <c r="AA162" s="19" t="str">
        <f>B162 &amp; "-" &amp; VLOOKUP(B162,[4]SOUSPROGRAMMES!$E$1:$F$44,2,FALSE)</f>
        <v>12- Accès équitable et achèvement du primaire</v>
      </c>
      <c r="AB162" s="19" t="str">
        <f>C162 &amp; "-" &amp; VLOOKUP(C162,[4]RESULTATS!$E$1:$F$176,2,FALSE)</f>
        <v>123- Toutes les écoles primaires publiques et communautaires sont dotées en enseignants en nombre suffisant, y compris les FA</v>
      </c>
      <c r="AC162" s="20" t="str">
        <f>D162 &amp; "-" &amp; VLOOKUP(D162,[4]STRATEGIES!$E$1:$F$504,2,FALSE)</f>
        <v>1234-Renforcement des mesures incitatives pour le maintien des enseignants dans les zones difficiles</v>
      </c>
      <c r="AD162" s="21" t="str">
        <f t="shared" si="26"/>
        <v>12344-Adoption du document portant les modalités d'octroi et de paiement des primes aux enseignants (craie, zones, etc.)</v>
      </c>
    </row>
    <row r="163" spans="1:30" s="22" customFormat="1" ht="60" hidden="1" customHeight="1" x14ac:dyDescent="0.8">
      <c r="A163" s="14">
        <v>1</v>
      </c>
      <c r="B163" s="15">
        <v>12</v>
      </c>
      <c r="C163" s="15">
        <v>123</v>
      </c>
      <c r="D163" s="15">
        <v>1234</v>
      </c>
      <c r="E163" s="15">
        <v>12345</v>
      </c>
      <c r="F163" s="16" t="s">
        <v>266</v>
      </c>
      <c r="G163" s="21" t="s">
        <v>159</v>
      </c>
      <c r="H163" s="17" t="s">
        <v>55</v>
      </c>
      <c r="I163" s="18">
        <v>0</v>
      </c>
      <c r="J163" s="18"/>
      <c r="K163" s="18">
        <v>1</v>
      </c>
      <c r="L163" s="18">
        <v>1</v>
      </c>
      <c r="M163" s="18">
        <f t="shared" si="22"/>
        <v>2</v>
      </c>
      <c r="N163" s="18">
        <f>IF(OR(H163="",H163="sif",H163="PM"),0,VLOOKUP(H163,[5]CU!$C$4:$H$255,6,FALSE))</f>
        <v>0</v>
      </c>
      <c r="O163" s="18"/>
      <c r="P163" s="18"/>
      <c r="Q163" s="18"/>
      <c r="R163" s="18"/>
      <c r="S163" s="18"/>
      <c r="T163" s="23" t="s">
        <v>56</v>
      </c>
      <c r="U163" s="18" t="s">
        <v>170</v>
      </c>
      <c r="V163" s="18" t="str">
        <f>IF(OR($H163="",$H163="sif",$H163="PM"),"",VLOOKUP($H163,[5]CU!$C$5:$J$255,8,FALSE))</f>
        <v/>
      </c>
      <c r="W163" s="18" t="s">
        <v>142</v>
      </c>
      <c r="X163" s="18" t="s">
        <v>77</v>
      </c>
      <c r="Y163" s="19" t="s">
        <v>32</v>
      </c>
      <c r="Z163" s="18" t="str">
        <f>A163 &amp; "-" &amp; VLOOKUP(A163,[4]PROGRAMMES!$E$1:$F$7,2,FALSE)</f>
        <v>1-Accès et équité à l'enseignement général</v>
      </c>
      <c r="AA163" s="19" t="str">
        <f>B163 &amp; "-" &amp; VLOOKUP(B163,[4]SOUSPROGRAMMES!$E$1:$F$44,2,FALSE)</f>
        <v>12- Accès équitable et achèvement du primaire</v>
      </c>
      <c r="AB163" s="19" t="str">
        <f>C163 &amp; "-" &amp; VLOOKUP(C163,[4]RESULTATS!$E$1:$F$176,2,FALSE)</f>
        <v>123- Toutes les écoles primaires publiques et communautaires sont dotées en enseignants en nombre suffisant, y compris les FA</v>
      </c>
      <c r="AC163" s="20" t="str">
        <f>D163 &amp; "-" &amp; VLOOKUP(D163,[4]STRATEGIES!$E$1:$F$504,2,FALSE)</f>
        <v>1234-Renforcement des mesures incitatives pour le maintien des enseignants dans les zones difficiles</v>
      </c>
      <c r="AD163" s="21" t="str">
        <f t="shared" si="26"/>
        <v>12345-Identification annuelle des enseignants des zones difficiles devant bénéficier des mesures incitatives (pris en compte dans budget services déconcentrés)</v>
      </c>
    </row>
    <row r="164" spans="1:30" s="22" customFormat="1" ht="60" hidden="1" customHeight="1" x14ac:dyDescent="0.8">
      <c r="A164" s="14">
        <v>1</v>
      </c>
      <c r="B164" s="15">
        <v>12</v>
      </c>
      <c r="C164" s="15">
        <v>123</v>
      </c>
      <c r="D164" s="15">
        <v>1234</v>
      </c>
      <c r="E164" s="15">
        <v>12346</v>
      </c>
      <c r="F164" s="16" t="s">
        <v>267</v>
      </c>
      <c r="G164" s="21" t="s">
        <v>159</v>
      </c>
      <c r="H164" s="17" t="s">
        <v>55</v>
      </c>
      <c r="I164" s="18">
        <v>0</v>
      </c>
      <c r="J164" s="18">
        <v>1</v>
      </c>
      <c r="K164" s="18">
        <v>1</v>
      </c>
      <c r="L164" s="18">
        <v>1</v>
      </c>
      <c r="M164" s="18">
        <f t="shared" si="22"/>
        <v>3</v>
      </c>
      <c r="N164" s="18">
        <f>IF(OR(H164="",H164="sif",H164="PM"),0,VLOOKUP(H164,[5]CU!$C$4:$H$255,6,FALSE))</f>
        <v>0</v>
      </c>
      <c r="O164" s="18"/>
      <c r="P164" s="18"/>
      <c r="Q164" s="18"/>
      <c r="R164" s="18"/>
      <c r="S164" s="18"/>
      <c r="T164" s="23" t="s">
        <v>56</v>
      </c>
      <c r="U164" s="18" t="s">
        <v>170</v>
      </c>
      <c r="V164" s="18" t="str">
        <f>IF(OR($H164="",$H164="sif",$H164="PM"),"",VLOOKUP($H164,[5]CU!$C$5:$J$255,8,FALSE))</f>
        <v/>
      </c>
      <c r="W164" s="18" t="s">
        <v>142</v>
      </c>
      <c r="X164" s="18" t="s">
        <v>268</v>
      </c>
      <c r="Y164" s="19" t="s">
        <v>32</v>
      </c>
      <c r="Z164" s="18" t="str">
        <f>A164 &amp; "-" &amp; VLOOKUP(A164,[4]PROGRAMMES!$E$1:$F$7,2,FALSE)</f>
        <v>1-Accès et équité à l'enseignement général</v>
      </c>
      <c r="AA164" s="19" t="str">
        <f>B164 &amp; "-" &amp; VLOOKUP(B164,[4]SOUSPROGRAMMES!$E$1:$F$44,2,FALSE)</f>
        <v>12- Accès équitable et achèvement du primaire</v>
      </c>
      <c r="AB164" s="19" t="str">
        <f>C164 &amp; "-" &amp; VLOOKUP(C164,[4]RESULTATS!$E$1:$F$176,2,FALSE)</f>
        <v>123- Toutes les écoles primaires publiques et communautaires sont dotées en enseignants en nombre suffisant, y compris les FA</v>
      </c>
      <c r="AC164" s="20" t="str">
        <f>D164 &amp; "-" &amp; VLOOKUP(D164,[4]STRATEGIES!$E$1:$F$504,2,FALSE)</f>
        <v>1234-Renforcement des mesures incitatives pour le maintien des enseignants dans les zones difficiles</v>
      </c>
      <c r="AD164" s="21" t="str">
        <f t="shared" si="26"/>
        <v>12346-Octroi des avantages aux enseignants évoluant dans les zones difficiles (pris en compte dans le salaire moyen des enseignants)</v>
      </c>
    </row>
    <row r="165" spans="1:30" ht="60" hidden="1" customHeight="1" x14ac:dyDescent="0.8">
      <c r="A165" s="25">
        <v>1</v>
      </c>
      <c r="B165" s="16">
        <v>12</v>
      </c>
      <c r="C165" s="16">
        <v>123</v>
      </c>
      <c r="D165" s="16">
        <v>1234</v>
      </c>
      <c r="E165" s="16">
        <v>12347</v>
      </c>
      <c r="F165" s="16" t="s">
        <v>269</v>
      </c>
      <c r="G165" s="21" t="s">
        <v>58</v>
      </c>
      <c r="H165" s="21" t="s">
        <v>59</v>
      </c>
      <c r="I165" s="19">
        <v>0</v>
      </c>
      <c r="J165" s="19"/>
      <c r="K165" s="19">
        <f>4*10*8*2</f>
        <v>640</v>
      </c>
      <c r="L165" s="19">
        <f>4*10*8</f>
        <v>320</v>
      </c>
      <c r="M165" s="19">
        <f t="shared" si="22"/>
        <v>960</v>
      </c>
      <c r="N165" s="19">
        <f>IF(OR(H165="",H165="sif",H165="PM"),0,VLOOKUP(H165,[5]CU!$C$4:$H$255,6,FALSE))</f>
        <v>0.8177777777777776</v>
      </c>
      <c r="O165" s="19">
        <f t="shared" ref="O165:R169" si="34">$N165*I165</f>
        <v>0</v>
      </c>
      <c r="P165" s="19">
        <f t="shared" si="34"/>
        <v>0</v>
      </c>
      <c r="Q165" s="19">
        <f>$N165*K165</f>
        <v>523.37777777777762</v>
      </c>
      <c r="R165" s="19">
        <f t="shared" si="34"/>
        <v>261.68888888888881</v>
      </c>
      <c r="S165" s="19">
        <f>SUM(O165:R165)</f>
        <v>785.06666666666638</v>
      </c>
      <c r="T165" s="26" t="s">
        <v>169</v>
      </c>
      <c r="U165" s="19" t="s">
        <v>170</v>
      </c>
      <c r="V165" s="19" t="str">
        <f>IF(OR($H165="",$H165="sif",$H165="PM"),"",VLOOKUP($H165,[5]CU!$C$5:$J$255,8,FALSE))</f>
        <v>3. Dépenses de fonctionnement</v>
      </c>
      <c r="W165" s="19" t="s">
        <v>142</v>
      </c>
      <c r="X165" s="19" t="s">
        <v>270</v>
      </c>
      <c r="Y165" s="19" t="s">
        <v>32</v>
      </c>
      <c r="Z165" s="19" t="str">
        <f>A165 &amp; "-" &amp; VLOOKUP(A165,[4]PROGRAMMES!$E$1:$F$7,2,FALSE)</f>
        <v>1-Accès et équité à l'enseignement général</v>
      </c>
      <c r="AA165" s="19" t="str">
        <f>B165 &amp; "-" &amp; VLOOKUP(B165,[4]SOUSPROGRAMMES!$E$1:$F$44,2,FALSE)</f>
        <v>12- Accès équitable et achèvement du primaire</v>
      </c>
      <c r="AB165" s="19" t="str">
        <f>C165 &amp; "-" &amp; VLOOKUP(C165,[4]RESULTATS!$E$1:$F$176,2,FALSE)</f>
        <v>123- Toutes les écoles primaires publiques et communautaires sont dotées en enseignants en nombre suffisant, y compris les FA</v>
      </c>
      <c r="AC165" s="20" t="str">
        <f>D165 &amp; "-" &amp; VLOOKUP(D165,[4]STRATEGIES!$E$1:$F$504,2,FALSE)</f>
        <v>1234-Renforcement des mesures incitatives pour le maintien des enseignants dans les zones difficiles</v>
      </c>
      <c r="AD165" s="21" t="str">
        <f t="shared" si="26"/>
        <v>12347-Suivi de l'octroi des primes et autres avantages (pour tous les niveaux)</v>
      </c>
    </row>
    <row r="166" spans="1:30" s="22" customFormat="1" ht="60" hidden="1" customHeight="1" x14ac:dyDescent="0.8">
      <c r="A166" s="14">
        <v>1</v>
      </c>
      <c r="B166" s="15">
        <v>12</v>
      </c>
      <c r="C166" s="15">
        <v>123</v>
      </c>
      <c r="D166" s="15">
        <v>1235</v>
      </c>
      <c r="E166" s="15">
        <v>1235</v>
      </c>
      <c r="F166" s="16" t="s">
        <v>271</v>
      </c>
      <c r="G166" s="17"/>
      <c r="H166" s="17"/>
      <c r="I166" s="18">
        <v>0</v>
      </c>
      <c r="J166" s="18"/>
      <c r="K166" s="18"/>
      <c r="L166" s="18"/>
      <c r="M166" s="18"/>
      <c r="N166" s="18"/>
      <c r="O166" s="18"/>
      <c r="P166" s="18"/>
      <c r="Q166" s="18"/>
      <c r="R166" s="18"/>
      <c r="S166" s="18"/>
      <c r="T166" s="18"/>
      <c r="U166" s="18"/>
      <c r="V166" s="18"/>
      <c r="W166" s="18"/>
      <c r="X166" s="18"/>
      <c r="Y166" s="19" t="s">
        <v>32</v>
      </c>
      <c r="Z166" s="18" t="str">
        <f>A166 &amp; "-" &amp; VLOOKUP(A166,[4]PROGRAMMES!$E$1:$F$7,2,FALSE)</f>
        <v>1-Accès et équité à l'enseignement général</v>
      </c>
      <c r="AA166" s="19" t="str">
        <f>B166 &amp; "-" &amp; VLOOKUP(B166,[4]SOUSPROGRAMMES!$E$1:$F$44,2,FALSE)</f>
        <v>12- Accès équitable et achèvement du primaire</v>
      </c>
      <c r="AB166" s="19" t="str">
        <f>C166 &amp; "-" &amp; VLOOKUP(C166,[4]RESULTATS!$E$1:$F$176,2,FALSE)</f>
        <v>123- Toutes les écoles primaires publiques et communautaires sont dotées en enseignants en nombre suffisant, y compris les FA</v>
      </c>
      <c r="AC166" s="20" t="str">
        <f>D166 &amp; "-" &amp; VLOOKUP(D166,[4]STRATEGIES!$E$1:$F$504,2,FALSE)</f>
        <v>1235-Normalisation des enseignement dans les écoles FA privées</v>
      </c>
      <c r="AD166" s="21" t="str">
        <f t="shared" si="26"/>
        <v>1235-Normalisation des enseignement dans les écoles FA privées</v>
      </c>
    </row>
    <row r="167" spans="1:30" s="22" customFormat="1" ht="60" hidden="1" customHeight="1" x14ac:dyDescent="0.8">
      <c r="A167" s="14">
        <v>1</v>
      </c>
      <c r="B167" s="15">
        <v>12</v>
      </c>
      <c r="C167" s="15">
        <v>123</v>
      </c>
      <c r="D167" s="15">
        <v>1235</v>
      </c>
      <c r="E167" s="15">
        <v>12351</v>
      </c>
      <c r="F167" s="16" t="s">
        <v>272</v>
      </c>
      <c r="G167" s="21" t="s">
        <v>177</v>
      </c>
      <c r="H167" s="17" t="s">
        <v>59</v>
      </c>
      <c r="I167" s="18">
        <v>0</v>
      </c>
      <c r="J167" s="18">
        <f>4*15*8</f>
        <v>480</v>
      </c>
      <c r="K167" s="18"/>
      <c r="L167" s="18"/>
      <c r="M167" s="18">
        <f t="shared" si="22"/>
        <v>480</v>
      </c>
      <c r="N167" s="18">
        <f>IF(OR(H167="",H167="sif",H167="PM"),0,VLOOKUP(H167,[5]CU!$C$4:$H$255,6,FALSE))</f>
        <v>0.8177777777777776</v>
      </c>
      <c r="O167" s="18">
        <f t="shared" si="34"/>
        <v>0</v>
      </c>
      <c r="P167" s="18">
        <f t="shared" si="34"/>
        <v>392.53333333333325</v>
      </c>
      <c r="Q167" s="18">
        <f t="shared" si="34"/>
        <v>0</v>
      </c>
      <c r="R167" s="18">
        <f t="shared" si="34"/>
        <v>0</v>
      </c>
      <c r="S167" s="18">
        <f>SUM(O167:R167)</f>
        <v>392.53333333333325</v>
      </c>
      <c r="T167" s="23" t="s">
        <v>191</v>
      </c>
      <c r="U167" s="18" t="s">
        <v>170</v>
      </c>
      <c r="V167" s="18" t="str">
        <f>IF(OR($H167="",$H167="sif",$H167="PM"),"",VLOOKUP($H167,[5]CU!$C$5:$J$255,8,FALSE))</f>
        <v>3. Dépenses de fonctionnement</v>
      </c>
      <c r="W167" s="18" t="s">
        <v>273</v>
      </c>
      <c r="X167" s="18" t="s">
        <v>77</v>
      </c>
      <c r="Y167" s="19" t="s">
        <v>32</v>
      </c>
      <c r="Z167" s="18" t="str">
        <f>A167 &amp; "-" &amp; VLOOKUP(A167,[4]PROGRAMMES!$E$1:$F$7,2,FALSE)</f>
        <v>1-Accès et équité à l'enseignement général</v>
      </c>
      <c r="AA167" s="19" t="str">
        <f>B167 &amp; "-" &amp; VLOOKUP(B167,[4]SOUSPROGRAMMES!$E$1:$F$44,2,FALSE)</f>
        <v>12- Accès équitable et achèvement du primaire</v>
      </c>
      <c r="AB167" s="19" t="str">
        <f>C167 &amp; "-" &amp; VLOOKUP(C167,[4]RESULTATS!$E$1:$F$176,2,FALSE)</f>
        <v>123- Toutes les écoles primaires publiques et communautaires sont dotées en enseignants en nombre suffisant, y compris les FA</v>
      </c>
      <c r="AC167" s="20" t="str">
        <f>D167 &amp; "-" &amp; VLOOKUP(D167,[4]STRATEGIES!$E$1:$F$504,2,FALSE)</f>
        <v>1235-Normalisation des enseignement dans les écoles FA privées</v>
      </c>
      <c r="AD167" s="21" t="str">
        <f t="shared" si="26"/>
        <v>12351-Etude diagnostique de l'enseignement FA en Guinée</v>
      </c>
    </row>
    <row r="168" spans="1:30" s="22" customFormat="1" ht="60" hidden="1" customHeight="1" x14ac:dyDescent="0.8">
      <c r="A168" s="14">
        <v>1</v>
      </c>
      <c r="B168" s="15">
        <v>12</v>
      </c>
      <c r="C168" s="15">
        <v>123</v>
      </c>
      <c r="D168" s="15">
        <v>1235</v>
      </c>
      <c r="E168" s="15">
        <v>12352</v>
      </c>
      <c r="F168" s="16" t="s">
        <v>274</v>
      </c>
      <c r="G168" s="21" t="s">
        <v>37</v>
      </c>
      <c r="H168" s="17" t="s">
        <v>66</v>
      </c>
      <c r="I168" s="18">
        <v>0</v>
      </c>
      <c r="J168" s="18">
        <f xml:space="preserve"> 10*5</f>
        <v>50</v>
      </c>
      <c r="K168" s="18"/>
      <c r="L168" s="18"/>
      <c r="M168" s="18">
        <f t="shared" si="22"/>
        <v>50</v>
      </c>
      <c r="N168" s="18">
        <f>IF(OR(H168="",H168="sif",H168="PM"),0,VLOOKUP(H168,[5]CU!$C$4:$H$255,6,FALSE))</f>
        <v>0.255</v>
      </c>
      <c r="O168" s="18">
        <f t="shared" si="34"/>
        <v>0</v>
      </c>
      <c r="P168" s="18">
        <f t="shared" si="34"/>
        <v>12.75</v>
      </c>
      <c r="Q168" s="18">
        <f t="shared" si="34"/>
        <v>0</v>
      </c>
      <c r="R168" s="18">
        <f t="shared" si="34"/>
        <v>0</v>
      </c>
      <c r="S168" s="18">
        <f>SUM(O168:R168)</f>
        <v>12.75</v>
      </c>
      <c r="T168" s="23" t="s">
        <v>191</v>
      </c>
      <c r="U168" s="18" t="s">
        <v>170</v>
      </c>
      <c r="V168" s="18" t="str">
        <f>IF(OR($H168="",$H168="sif",$H168="PM"),"",VLOOKUP($H168,[5]CU!$C$5:$J$255,8,FALSE))</f>
        <v>3. Dépenses de fonctionnement</v>
      </c>
      <c r="W168" s="18" t="s">
        <v>273</v>
      </c>
      <c r="X168" s="18" t="s">
        <v>273</v>
      </c>
      <c r="Y168" s="19" t="s">
        <v>32</v>
      </c>
      <c r="Z168" s="18" t="str">
        <f>A168 &amp; "-" &amp; VLOOKUP(A168,[4]PROGRAMMES!$E$1:$F$7,2,FALSE)</f>
        <v>1-Accès et équité à l'enseignement général</v>
      </c>
      <c r="AA168" s="19" t="str">
        <f>B168 &amp; "-" &amp; VLOOKUP(B168,[4]SOUSPROGRAMMES!$E$1:$F$44,2,FALSE)</f>
        <v>12- Accès équitable et achèvement du primaire</v>
      </c>
      <c r="AB168" s="19" t="str">
        <f>C168 &amp; "-" &amp; VLOOKUP(C168,[4]RESULTATS!$E$1:$F$176,2,FALSE)</f>
        <v>123- Toutes les écoles primaires publiques et communautaires sont dotées en enseignants en nombre suffisant, y compris les FA</v>
      </c>
      <c r="AC168" s="20" t="str">
        <f>D168 &amp; "-" &amp; VLOOKUP(D168,[4]STRATEGIES!$E$1:$F$504,2,FALSE)</f>
        <v>1235-Normalisation des enseignement dans les écoles FA privées</v>
      </c>
      <c r="AD168" s="21" t="str">
        <f t="shared" si="26"/>
        <v xml:space="preserve">12352-Elaboration d'un cahier de charge type et d'un modèle d'un plan de modernisation </v>
      </c>
    </row>
    <row r="169" spans="1:30" s="22" customFormat="1" ht="60" hidden="1" customHeight="1" x14ac:dyDescent="0.8">
      <c r="A169" s="14">
        <v>1</v>
      </c>
      <c r="B169" s="15">
        <v>12</v>
      </c>
      <c r="C169" s="15">
        <v>123</v>
      </c>
      <c r="D169" s="15">
        <v>1235</v>
      </c>
      <c r="E169" s="15">
        <v>12353</v>
      </c>
      <c r="F169" s="16" t="s">
        <v>275</v>
      </c>
      <c r="G169" s="21" t="s">
        <v>37</v>
      </c>
      <c r="H169" s="17" t="s">
        <v>38</v>
      </c>
      <c r="I169" s="18">
        <v>0</v>
      </c>
      <c r="J169" s="18">
        <f>50*1*2</f>
        <v>100</v>
      </c>
      <c r="K169" s="18"/>
      <c r="L169" s="18"/>
      <c r="M169" s="18">
        <f t="shared" si="22"/>
        <v>100</v>
      </c>
      <c r="N169" s="18">
        <f>IF(OR(H169="",H169="sif",H169="PM"),0,VLOOKUP(H169,[5]CU!$C$4:$H$255,6,FALSE))</f>
        <v>0.3133333333333333</v>
      </c>
      <c r="O169" s="18">
        <f t="shared" si="34"/>
        <v>0</v>
      </c>
      <c r="P169" s="18">
        <f t="shared" si="34"/>
        <v>31.333333333333329</v>
      </c>
      <c r="Q169" s="18">
        <f t="shared" si="34"/>
        <v>0</v>
      </c>
      <c r="R169" s="18">
        <f t="shared" si="34"/>
        <v>0</v>
      </c>
      <c r="S169" s="18">
        <f>SUM(O169:R169)</f>
        <v>31.333333333333329</v>
      </c>
      <c r="T169" s="23" t="s">
        <v>191</v>
      </c>
      <c r="U169" s="18" t="s">
        <v>170</v>
      </c>
      <c r="V169" s="18" t="str">
        <f>IF(OR($H169="",$H169="sif",$H169="PM"),"",VLOOKUP($H169,[5]CU!$C$5:$J$255,8,FALSE))</f>
        <v>3. Formation</v>
      </c>
      <c r="W169" s="18" t="s">
        <v>273</v>
      </c>
      <c r="X169" s="18" t="s">
        <v>273</v>
      </c>
      <c r="Y169" s="19" t="s">
        <v>32</v>
      </c>
      <c r="Z169" s="18" t="str">
        <f>A169 &amp; "-" &amp; VLOOKUP(A169,[4]PROGRAMMES!$E$1:$F$7,2,FALSE)</f>
        <v>1-Accès et équité à l'enseignement général</v>
      </c>
      <c r="AA169" s="19" t="str">
        <f>B169 &amp; "-" &amp; VLOOKUP(B169,[4]SOUSPROGRAMMES!$E$1:$F$44,2,FALSE)</f>
        <v>12- Accès équitable et achèvement du primaire</v>
      </c>
      <c r="AB169" s="19" t="str">
        <f>C169 &amp; "-" &amp; VLOOKUP(C169,[4]RESULTATS!$E$1:$F$176,2,FALSE)</f>
        <v>123- Toutes les écoles primaires publiques et communautaires sont dotées en enseignants en nombre suffisant, y compris les FA</v>
      </c>
      <c r="AC169" s="20" t="str">
        <f>D169 &amp; "-" &amp; VLOOKUP(D169,[4]STRATEGIES!$E$1:$F$504,2,FALSE)</f>
        <v>1235-Normalisation des enseignement dans les écoles FA privées</v>
      </c>
      <c r="AD169" s="21" t="str">
        <f t="shared" si="26"/>
        <v>12353-Concertation et diffusion auprès des promoteurs des écoles FA</v>
      </c>
    </row>
    <row r="170" spans="1:30" s="22" customFormat="1" ht="60" hidden="1" customHeight="1" x14ac:dyDescent="0.8">
      <c r="A170" s="14">
        <v>1</v>
      </c>
      <c r="B170" s="15">
        <v>12</v>
      </c>
      <c r="C170" s="15">
        <v>123</v>
      </c>
      <c r="D170" s="15">
        <v>1235</v>
      </c>
      <c r="E170" s="15">
        <v>12354</v>
      </c>
      <c r="F170" s="16" t="s">
        <v>276</v>
      </c>
      <c r="G170" s="21" t="s">
        <v>92</v>
      </c>
      <c r="H170" s="17" t="s">
        <v>55</v>
      </c>
      <c r="I170" s="18">
        <v>0</v>
      </c>
      <c r="J170" s="18">
        <v>1</v>
      </c>
      <c r="K170" s="18"/>
      <c r="L170" s="18">
        <v>1</v>
      </c>
      <c r="M170" s="18">
        <f t="shared" si="22"/>
        <v>2</v>
      </c>
      <c r="N170" s="18">
        <f>IF(OR(H170="",H170="sif",H170="PM"),0,VLOOKUP(H170,[5]CU!$C$4:$H$255,6,FALSE))</f>
        <v>0</v>
      </c>
      <c r="O170" s="18"/>
      <c r="P170" s="18"/>
      <c r="Q170" s="18"/>
      <c r="R170" s="18"/>
      <c r="S170" s="18"/>
      <c r="T170" s="23" t="s">
        <v>191</v>
      </c>
      <c r="U170" s="18" t="s">
        <v>170</v>
      </c>
      <c r="V170" s="18" t="str">
        <f>IF(OR($H170="",$H170="sif",$H170="PM"),"",VLOOKUP($H170,[5]CU!$C$5:$J$255,8,FALSE))</f>
        <v/>
      </c>
      <c r="W170" s="18" t="s">
        <v>273</v>
      </c>
      <c r="X170" s="18" t="s">
        <v>277</v>
      </c>
      <c r="Y170" s="19" t="s">
        <v>32</v>
      </c>
      <c r="Z170" s="18" t="str">
        <f>A170 &amp; "-" &amp; VLOOKUP(A170,[4]PROGRAMMES!$E$1:$F$7,2,FALSE)</f>
        <v>1-Accès et équité à l'enseignement général</v>
      </c>
      <c r="AA170" s="19" t="str">
        <f>B170 &amp; "-" &amp; VLOOKUP(B170,[4]SOUSPROGRAMMES!$E$1:$F$44,2,FALSE)</f>
        <v>12- Accès équitable et achèvement du primaire</v>
      </c>
      <c r="AB170" s="19" t="str">
        <f>C170 &amp; "-" &amp; VLOOKUP(C170,[4]RESULTATS!$E$1:$F$176,2,FALSE)</f>
        <v>123- Toutes les écoles primaires publiques et communautaires sont dotées en enseignants en nombre suffisant, y compris les FA</v>
      </c>
      <c r="AC170" s="20" t="str">
        <f>D170 &amp; "-" &amp; VLOOKUP(D170,[4]STRATEGIES!$E$1:$F$504,2,FALSE)</f>
        <v>1235-Normalisation des enseignement dans les écoles FA privées</v>
      </c>
      <c r="AD170" s="21" t="str">
        <f t="shared" si="26"/>
        <v xml:space="preserve">12354-Elaboration de plan de normalisation par les écoles FA </v>
      </c>
    </row>
    <row r="171" spans="1:30" s="22" customFormat="1" ht="60" hidden="1" customHeight="1" x14ac:dyDescent="0.8">
      <c r="A171" s="14">
        <v>1</v>
      </c>
      <c r="B171" s="15">
        <v>12</v>
      </c>
      <c r="C171" s="15">
        <v>123</v>
      </c>
      <c r="D171" s="15">
        <v>1235</v>
      </c>
      <c r="E171" s="15">
        <v>12355</v>
      </c>
      <c r="F171" s="16" t="s">
        <v>278</v>
      </c>
      <c r="G171" s="21" t="s">
        <v>182</v>
      </c>
      <c r="H171" s="17" t="s">
        <v>55</v>
      </c>
      <c r="I171" s="18">
        <v>0</v>
      </c>
      <c r="J171" s="18">
        <v>1</v>
      </c>
      <c r="K171" s="18"/>
      <c r="L171" s="18">
        <v>1</v>
      </c>
      <c r="M171" s="18">
        <f t="shared" si="22"/>
        <v>2</v>
      </c>
      <c r="N171" s="18">
        <f>IF(OR(H171="",H171="sif",H171="PM"),0,VLOOKUP(H171,[5]CU!$C$4:$H$255,6,FALSE))</f>
        <v>0</v>
      </c>
      <c r="O171" s="18"/>
      <c r="P171" s="18"/>
      <c r="Q171" s="18"/>
      <c r="R171" s="18"/>
      <c r="S171" s="18"/>
      <c r="T171" s="23" t="s">
        <v>191</v>
      </c>
      <c r="U171" s="18" t="s">
        <v>170</v>
      </c>
      <c r="V171" s="18" t="str">
        <f>IF(OR($H171="",$H171="sif",$H171="PM"),"",VLOOKUP($H171,[5]CU!$C$5:$J$255,8,FALSE))</f>
        <v/>
      </c>
      <c r="W171" s="18" t="s">
        <v>273</v>
      </c>
      <c r="X171" s="18" t="s">
        <v>273</v>
      </c>
      <c r="Y171" s="19" t="s">
        <v>32</v>
      </c>
      <c r="Z171" s="18" t="str">
        <f>A171 &amp; "-" &amp; VLOOKUP(A171,[4]PROGRAMMES!$E$1:$F$7,2,FALSE)</f>
        <v>1-Accès et équité à l'enseignement général</v>
      </c>
      <c r="AA171" s="19" t="str">
        <f>B171 &amp; "-" &amp; VLOOKUP(B171,[4]SOUSPROGRAMMES!$E$1:$F$44,2,FALSE)</f>
        <v>12- Accès équitable et achèvement du primaire</v>
      </c>
      <c r="AB171" s="19" t="str">
        <f>C171 &amp; "-" &amp; VLOOKUP(C171,[4]RESULTATS!$E$1:$F$176,2,FALSE)</f>
        <v>123- Toutes les écoles primaires publiques et communautaires sont dotées en enseignants en nombre suffisant, y compris les FA</v>
      </c>
      <c r="AC171" s="20" t="str">
        <f>D171 &amp; "-" &amp; VLOOKUP(D171,[4]STRATEGIES!$E$1:$F$504,2,FALSE)</f>
        <v>1235-Normalisation des enseignement dans les écoles FA privées</v>
      </c>
      <c r="AD171" s="21" t="str">
        <f t="shared" si="26"/>
        <v>12355-Choix des écoles à normaliser et signature de contrat de normalisation</v>
      </c>
    </row>
    <row r="172" spans="1:30" s="22" customFormat="1" ht="60" hidden="1" customHeight="1" x14ac:dyDescent="0.8">
      <c r="A172" s="14">
        <v>1</v>
      </c>
      <c r="B172" s="15">
        <v>12</v>
      </c>
      <c r="C172" s="15">
        <v>123</v>
      </c>
      <c r="D172" s="15">
        <v>1235</v>
      </c>
      <c r="E172" s="15">
        <v>12356</v>
      </c>
      <c r="F172" s="16" t="s">
        <v>279</v>
      </c>
      <c r="G172" s="21" t="s">
        <v>280</v>
      </c>
      <c r="H172" s="17" t="s">
        <v>281</v>
      </c>
      <c r="I172" s="18">
        <v>0</v>
      </c>
      <c r="J172" s="18">
        <v>0.76753395380891098</v>
      </c>
      <c r="K172" s="18">
        <v>1.0611362869919501</v>
      </c>
      <c r="L172" s="18">
        <v>1.1713297591991401</v>
      </c>
      <c r="M172" s="18">
        <f t="shared" si="22"/>
        <v>3.0000000000000009</v>
      </c>
      <c r="N172" s="18">
        <f>IF(OR(H172="",H172="sif",H172="PM"),0,VLOOKUP(H172,[5]CU!$C$4:$H$255,6,FALSE))</f>
        <v>16029.6606705131</v>
      </c>
      <c r="O172" s="18">
        <f t="shared" ref="O172:R173" si="35">$N172*I172</f>
        <v>0</v>
      </c>
      <c r="P172" s="18">
        <f t="shared" si="35"/>
        <v>12303.308832654118</v>
      </c>
      <c r="Q172" s="18">
        <f t="shared" si="35"/>
        <v>17009.654605649164</v>
      </c>
      <c r="R172" s="18">
        <f t="shared" si="35"/>
        <v>18776.018573236037</v>
      </c>
      <c r="S172" s="18">
        <f>SUM(O172:R172)</f>
        <v>48088.982011539323</v>
      </c>
      <c r="T172" s="23" t="s">
        <v>191</v>
      </c>
      <c r="U172" s="18" t="s">
        <v>170</v>
      </c>
      <c r="V172" s="18" t="str">
        <f>IF(OR($H172="",$H172="sif",$H172="PM"),"",VLOOKUP($H172,[5]CU!$C$5:$J$255,8,FALSE))</f>
        <v>4. Transferts et subventions</v>
      </c>
      <c r="W172" s="18" t="s">
        <v>273</v>
      </c>
      <c r="X172" s="18" t="s">
        <v>282</v>
      </c>
      <c r="Y172" s="19" t="s">
        <v>32</v>
      </c>
      <c r="Z172" s="18" t="str">
        <f>A172 &amp; "-" &amp; VLOOKUP(A172,[4]PROGRAMMES!$E$1:$F$7,2,FALSE)</f>
        <v>1-Accès et équité à l'enseignement général</v>
      </c>
      <c r="AA172" s="19" t="str">
        <f>B172 &amp; "-" &amp; VLOOKUP(B172,[4]SOUSPROGRAMMES!$E$1:$F$44,2,FALSE)</f>
        <v>12- Accès équitable et achèvement du primaire</v>
      </c>
      <c r="AB172" s="19" t="str">
        <f>C172 &amp; "-" &amp; VLOOKUP(C172,[4]RESULTATS!$E$1:$F$176,2,FALSE)</f>
        <v>123- Toutes les écoles primaires publiques et communautaires sont dotées en enseignants en nombre suffisant, y compris les FA</v>
      </c>
      <c r="AC172" s="20" t="str">
        <f>D172 &amp; "-" &amp; VLOOKUP(D172,[4]STRATEGIES!$E$1:$F$504,2,FALSE)</f>
        <v>1235-Normalisation des enseignement dans les écoles FA privées</v>
      </c>
      <c r="AD172" s="21" t="str">
        <f t="shared" si="26"/>
        <v>12356-Appui aux écoles retenues</v>
      </c>
    </row>
    <row r="173" spans="1:30" s="22" customFormat="1" ht="60" hidden="1" customHeight="1" x14ac:dyDescent="0.8">
      <c r="A173" s="14">
        <v>1</v>
      </c>
      <c r="B173" s="15">
        <v>12</v>
      </c>
      <c r="C173" s="15">
        <v>123</v>
      </c>
      <c r="D173" s="15">
        <v>1235</v>
      </c>
      <c r="E173" s="15">
        <v>12357</v>
      </c>
      <c r="F173" s="16" t="s">
        <v>283</v>
      </c>
      <c r="G173" s="21" t="s">
        <v>58</v>
      </c>
      <c r="H173" s="17" t="s">
        <v>59</v>
      </c>
      <c r="I173" s="18">
        <v>0</v>
      </c>
      <c r="J173" s="18">
        <f>2*10*1</f>
        <v>20</v>
      </c>
      <c r="K173" s="18">
        <f>2*50*1</f>
        <v>100</v>
      </c>
      <c r="L173" s="18">
        <f>2*30*1</f>
        <v>60</v>
      </c>
      <c r="M173" s="18">
        <f t="shared" si="22"/>
        <v>180</v>
      </c>
      <c r="N173" s="18">
        <f>IF(OR(H173="",H173="sif",H173="PM"),0,VLOOKUP(H173,[5]CU!$C$4:$H$255,6,FALSE))</f>
        <v>0.8177777777777776</v>
      </c>
      <c r="O173" s="18">
        <f t="shared" si="35"/>
        <v>0</v>
      </c>
      <c r="P173" s="18">
        <f t="shared" si="35"/>
        <v>16.355555555555551</v>
      </c>
      <c r="Q173" s="18">
        <f t="shared" si="35"/>
        <v>81.777777777777757</v>
      </c>
      <c r="R173" s="18">
        <f t="shared" si="35"/>
        <v>49.066666666666656</v>
      </c>
      <c r="S173" s="18">
        <f>SUM(O173:R173)</f>
        <v>147.19999999999996</v>
      </c>
      <c r="T173" s="23" t="s">
        <v>191</v>
      </c>
      <c r="U173" s="18" t="s">
        <v>170</v>
      </c>
      <c r="V173" s="18" t="str">
        <f>IF(OR($H173="",$H173="sif",$H173="PM"),"",VLOOKUP($H173,[5]CU!$C$5:$J$255,8,FALSE))</f>
        <v>3. Dépenses de fonctionnement</v>
      </c>
      <c r="W173" s="18" t="s">
        <v>273</v>
      </c>
      <c r="X173" s="18" t="s">
        <v>282</v>
      </c>
      <c r="Y173" s="19" t="s">
        <v>32</v>
      </c>
      <c r="Z173" s="18" t="str">
        <f>A173 &amp; "-" &amp; VLOOKUP(A173,[4]PROGRAMMES!$E$1:$F$7,2,FALSE)</f>
        <v>1-Accès et équité à l'enseignement général</v>
      </c>
      <c r="AA173" s="19" t="str">
        <f>B173 &amp; "-" &amp; VLOOKUP(B173,[4]SOUSPROGRAMMES!$E$1:$F$44,2,FALSE)</f>
        <v>12- Accès équitable et achèvement du primaire</v>
      </c>
      <c r="AB173" s="19" t="str">
        <f>C173 &amp; "-" &amp; VLOOKUP(C173,[4]RESULTATS!$E$1:$F$176,2,FALSE)</f>
        <v>123- Toutes les écoles primaires publiques et communautaires sont dotées en enseignants en nombre suffisant, y compris les FA</v>
      </c>
      <c r="AC173" s="20" t="str">
        <f>D173 &amp; "-" &amp; VLOOKUP(D173,[4]STRATEGIES!$E$1:$F$504,2,FALSE)</f>
        <v>1235-Normalisation des enseignement dans les écoles FA privées</v>
      </c>
      <c r="AD173" s="21" t="str">
        <f t="shared" si="26"/>
        <v>12357-Suivi de la normalisation des écoles retenues</v>
      </c>
    </row>
    <row r="174" spans="1:30" s="22" customFormat="1" ht="60" hidden="1" customHeight="1" x14ac:dyDescent="0.8">
      <c r="A174" s="14">
        <v>1</v>
      </c>
      <c r="B174" s="15">
        <v>12</v>
      </c>
      <c r="C174" s="15">
        <v>123</v>
      </c>
      <c r="D174" s="15">
        <v>1236</v>
      </c>
      <c r="E174" s="15">
        <v>1236</v>
      </c>
      <c r="F174" s="16" t="s">
        <v>284</v>
      </c>
      <c r="G174" s="17"/>
      <c r="H174" s="17"/>
      <c r="I174" s="18">
        <v>0</v>
      </c>
      <c r="J174" s="18"/>
      <c r="K174" s="18"/>
      <c r="L174" s="18"/>
      <c r="M174" s="18"/>
      <c r="N174" s="18"/>
      <c r="O174" s="18"/>
      <c r="P174" s="18"/>
      <c r="Q174" s="18"/>
      <c r="R174" s="18"/>
      <c r="S174" s="18"/>
      <c r="T174" s="18"/>
      <c r="U174" s="18"/>
      <c r="V174" s="18"/>
      <c r="W174" s="18"/>
      <c r="X174" s="18"/>
      <c r="Y174" s="19" t="s">
        <v>32</v>
      </c>
      <c r="Z174" s="18" t="str">
        <f>A174 &amp; "-" &amp; VLOOKUP(A174,[4]PROGRAMMES!$E$1:$F$7,2,FALSE)</f>
        <v>1-Accès et équité à l'enseignement général</v>
      </c>
      <c r="AA174" s="19" t="str">
        <f>B174 &amp; "-" &amp; VLOOKUP(B174,[4]SOUSPROGRAMMES!$E$1:$F$44,2,FALSE)</f>
        <v>12- Accès équitable et achèvement du primaire</v>
      </c>
      <c r="AB174" s="19" t="str">
        <f>C174 &amp; "-" &amp; VLOOKUP(C174,[4]RESULTATS!$E$1:$F$176,2,FALSE)</f>
        <v>123- Toutes les écoles primaires publiques et communautaires sont dotées en enseignants en nombre suffisant, y compris les FA</v>
      </c>
      <c r="AC174" s="20" t="str">
        <f>D174 &amp; "-" &amp; VLOOKUP(D174,[4]STRATEGIES!$E$1:$F$504,2,FALSE)</f>
        <v>1236-Remplacement de salles de classe précaires, y compris dans les FA</v>
      </c>
      <c r="AD174" s="21" t="str">
        <f t="shared" si="26"/>
        <v>1236-Remplacement de salles de classe précaires, y compris dans les FA</v>
      </c>
    </row>
    <row r="175" spans="1:30" ht="60" hidden="1" customHeight="1" x14ac:dyDescent="0.8">
      <c r="A175" s="25">
        <v>1</v>
      </c>
      <c r="B175" s="16">
        <v>12</v>
      </c>
      <c r="C175" s="16">
        <v>123</v>
      </c>
      <c r="D175" s="16">
        <v>1236</v>
      </c>
      <c r="E175" s="16">
        <v>12361</v>
      </c>
      <c r="F175" s="16" t="s">
        <v>285</v>
      </c>
      <c r="G175" s="21" t="s">
        <v>88</v>
      </c>
      <c r="H175" s="21" t="s">
        <v>55</v>
      </c>
      <c r="I175" s="19">
        <v>0</v>
      </c>
      <c r="J175" s="19">
        <v>1</v>
      </c>
      <c r="K175" s="19">
        <v>1</v>
      </c>
      <c r="L175" s="19">
        <v>1</v>
      </c>
      <c r="M175" s="19">
        <f t="shared" si="22"/>
        <v>3</v>
      </c>
      <c r="N175" s="19">
        <f>IF(OR(H175="",H175="sif",H175="PM"),0,VLOOKUP(H175,[5]CU!$C$4:$H$255,6,FALSE))</f>
        <v>0</v>
      </c>
      <c r="O175" s="19"/>
      <c r="P175" s="19"/>
      <c r="Q175" s="19">
        <f>$N175*K175</f>
        <v>0</v>
      </c>
      <c r="R175" s="19"/>
      <c r="S175" s="19"/>
      <c r="T175" s="26" t="s">
        <v>169</v>
      </c>
      <c r="U175" s="19" t="s">
        <v>170</v>
      </c>
      <c r="V175" s="19" t="str">
        <f>IF(OR($H175="",$H175="sif",$H175="PM"),"",VLOOKUP($H175,[5]CU!$C$5:$J$255,8,FALSE))</f>
        <v/>
      </c>
      <c r="W175" s="19" t="s">
        <v>96</v>
      </c>
      <c r="X175" s="19" t="s">
        <v>77</v>
      </c>
      <c r="Y175" s="19" t="s">
        <v>32</v>
      </c>
      <c r="Z175" s="19" t="str">
        <f>A175 &amp; "-" &amp; VLOOKUP(A175,[4]PROGRAMMES!$E$1:$F$7,2,FALSE)</f>
        <v>1-Accès et équité à l'enseignement général</v>
      </c>
      <c r="AA175" s="19" t="str">
        <f>B175 &amp; "-" &amp; VLOOKUP(B175,[4]SOUSPROGRAMMES!$E$1:$F$44,2,FALSE)</f>
        <v>12- Accès équitable et achèvement du primaire</v>
      </c>
      <c r="AB175" s="19" t="str">
        <f>C175 &amp; "-" &amp; VLOOKUP(C175,[4]RESULTATS!$E$1:$F$176,2,FALSE)</f>
        <v>123- Toutes les écoles primaires publiques et communautaires sont dotées en enseignants en nombre suffisant, y compris les FA</v>
      </c>
      <c r="AC175" s="20" t="str">
        <f>D175 &amp; "-" &amp; VLOOKUP(D175,[4]STRATEGIES!$E$1:$F$504,2,FALSE)</f>
        <v>1236-Remplacement de salles de classe précaires, y compris dans les FA</v>
      </c>
      <c r="AD175" s="21" t="str">
        <f t="shared" si="26"/>
        <v>12361-Identification des écoles avec des classes précaires (hangars, banco, paille, etc.)</v>
      </c>
    </row>
    <row r="176" spans="1:30" s="22" customFormat="1" ht="60" hidden="1" customHeight="1" x14ac:dyDescent="0.8">
      <c r="A176" s="14">
        <v>1</v>
      </c>
      <c r="B176" s="15">
        <v>12</v>
      </c>
      <c r="C176" s="15">
        <v>123</v>
      </c>
      <c r="D176" s="15">
        <v>1236</v>
      </c>
      <c r="E176" s="15">
        <v>12362</v>
      </c>
      <c r="F176" s="16" t="s">
        <v>286</v>
      </c>
      <c r="G176" s="21" t="s">
        <v>103</v>
      </c>
      <c r="H176" s="17" t="s">
        <v>218</v>
      </c>
      <c r="I176" s="18">
        <v>0</v>
      </c>
      <c r="J176" s="18">
        <f>(534/2)*20%</f>
        <v>53.400000000000006</v>
      </c>
      <c r="K176" s="18">
        <f>(534/2)*50%</f>
        <v>133.5</v>
      </c>
      <c r="L176" s="18">
        <f>(534/2)*30%</f>
        <v>80.099999999999994</v>
      </c>
      <c r="M176" s="18">
        <f t="shared" si="22"/>
        <v>267</v>
      </c>
      <c r="N176" s="18">
        <f>IF(OR(H176="",H176="sif",H176="PM"),0,VLOOKUP(H176,[5]CU!$C$4:$H$255,6,FALSE))</f>
        <v>138</v>
      </c>
      <c r="O176" s="18">
        <f t="shared" ref="O176:R183" si="36">$N176*I176</f>
        <v>0</v>
      </c>
      <c r="P176" s="18">
        <f t="shared" si="36"/>
        <v>7369.2000000000007</v>
      </c>
      <c r="Q176" s="18">
        <f t="shared" si="36"/>
        <v>18423</v>
      </c>
      <c r="R176" s="18">
        <f t="shared" si="36"/>
        <v>11053.8</v>
      </c>
      <c r="S176" s="18">
        <f t="shared" ref="S176:S183" si="37">SUM(O176:R176)</f>
        <v>36846</v>
      </c>
      <c r="T176" s="23" t="s">
        <v>56</v>
      </c>
      <c r="U176" s="18" t="s">
        <v>170</v>
      </c>
      <c r="V176" s="18" t="str">
        <f>IF(OR($H176="",$H176="sif",$H176="PM"),"",VLOOKUP($H176,[5]CU!$C$5:$J$255,8,FALSE))</f>
        <v>5. Investissement</v>
      </c>
      <c r="W176" s="18" t="s">
        <v>206</v>
      </c>
      <c r="X176" s="18" t="s">
        <v>205</v>
      </c>
      <c r="Y176" s="19" t="s">
        <v>32</v>
      </c>
      <c r="Z176" s="18" t="str">
        <f>A176 &amp; "-" &amp; VLOOKUP(A176,[4]PROGRAMMES!$E$1:$F$7,2,FALSE)</f>
        <v>1-Accès et équité à l'enseignement général</v>
      </c>
      <c r="AA176" s="19" t="str">
        <f>B176 &amp; "-" &amp; VLOOKUP(B176,[4]SOUSPROGRAMMES!$E$1:$F$44,2,FALSE)</f>
        <v>12- Accès équitable et achèvement du primaire</v>
      </c>
      <c r="AB176" s="19" t="str">
        <f>C176 &amp; "-" &amp; VLOOKUP(C176,[4]RESULTATS!$E$1:$F$176,2,FALSE)</f>
        <v>123- Toutes les écoles primaires publiques et communautaires sont dotées en enseignants en nombre suffisant, y compris les FA</v>
      </c>
      <c r="AC176" s="20" t="str">
        <f>D176 &amp; "-" &amp; VLOOKUP(D176,[4]STRATEGIES!$E$1:$F$504,2,FALSE)</f>
        <v>1236-Remplacement de salles de classe précaires, y compris dans les FA</v>
      </c>
      <c r="AD176" s="21" t="str">
        <f t="shared" si="26"/>
        <v>12362-Construction de salles de classe pour le remplacement des salles de classe précaires, y compris dans les FA (maitrise d'ouvrage communes)</v>
      </c>
    </row>
    <row r="177" spans="1:30" ht="60" hidden="1" customHeight="1" x14ac:dyDescent="0.8">
      <c r="A177" s="25">
        <v>1</v>
      </c>
      <c r="B177" s="16">
        <v>12</v>
      </c>
      <c r="C177" s="16">
        <v>123</v>
      </c>
      <c r="D177" s="16">
        <v>1236</v>
      </c>
      <c r="E177" s="16">
        <v>12363</v>
      </c>
      <c r="F177" s="16" t="s">
        <v>287</v>
      </c>
      <c r="G177" s="21" t="s">
        <v>103</v>
      </c>
      <c r="H177" s="21" t="s">
        <v>218</v>
      </c>
      <c r="I177" s="19">
        <v>0</v>
      </c>
      <c r="J177" s="19">
        <v>0</v>
      </c>
      <c r="K177" s="19">
        <v>90</v>
      </c>
      <c r="L177" s="19">
        <v>45</v>
      </c>
      <c r="M177" s="19">
        <f t="shared" si="22"/>
        <v>135</v>
      </c>
      <c r="N177" s="19">
        <f>IF(OR(H177="",H177="sif",H177="PM"),0,VLOOKUP(H177,[5]CU!$C$4:$H$255,6,FALSE))</f>
        <v>138</v>
      </c>
      <c r="O177" s="19">
        <f t="shared" si="36"/>
        <v>0</v>
      </c>
      <c r="P177" s="19">
        <f t="shared" si="36"/>
        <v>0</v>
      </c>
      <c r="Q177" s="19">
        <f>$N177*K177</f>
        <v>12420</v>
      </c>
      <c r="R177" s="19">
        <f t="shared" si="36"/>
        <v>6210</v>
      </c>
      <c r="S177" s="28">
        <f>SUM(O177:R177)</f>
        <v>18630</v>
      </c>
      <c r="T177" s="26" t="s">
        <v>169</v>
      </c>
      <c r="U177" s="19" t="s">
        <v>170</v>
      </c>
      <c r="V177" s="19" t="str">
        <f>IF(OR($H177="",$H177="sif",$H177="PM"),"",VLOOKUP($H177,[5]CU!$C$5:$J$255,8,FALSE))</f>
        <v>5. Investissement</v>
      </c>
      <c r="W177" s="19" t="s">
        <v>98</v>
      </c>
      <c r="X177" s="19" t="s">
        <v>98</v>
      </c>
      <c r="Y177" s="19" t="s">
        <v>32</v>
      </c>
      <c r="Z177" s="19" t="str">
        <f>A177 &amp; "-" &amp; VLOOKUP(A177,[4]PROGRAMMES!$E$1:$F$7,2,FALSE)</f>
        <v>1-Accès et équité à l'enseignement général</v>
      </c>
      <c r="AA177" s="19" t="str">
        <f>B177 &amp; "-" &amp; VLOOKUP(B177,[4]SOUSPROGRAMMES!$E$1:$F$44,2,FALSE)</f>
        <v>12- Accès équitable et achèvement du primaire</v>
      </c>
      <c r="AB177" s="19" t="str">
        <f>C177 &amp; "-" &amp; VLOOKUP(C177,[4]RESULTATS!$E$1:$F$176,2,FALSE)</f>
        <v>123- Toutes les écoles primaires publiques et communautaires sont dotées en enseignants en nombre suffisant, y compris les FA</v>
      </c>
      <c r="AC177" s="20" t="str">
        <f>D177 &amp; "-" &amp; VLOOKUP(D177,[4]STRATEGIES!$E$1:$F$504,2,FALSE)</f>
        <v>1236-Remplacement de salles de classe précaires, y compris dans les FA</v>
      </c>
      <c r="AD177" s="21" t="str">
        <f t="shared" si="26"/>
        <v>12363-Construction de salles de classe pour le remplacement des salles de classe précaires, y compris dans les FA maitrise d'ouvrage SNIES</v>
      </c>
    </row>
    <row r="178" spans="1:30" s="22" customFormat="1" ht="60" hidden="1" customHeight="1" x14ac:dyDescent="0.8">
      <c r="A178" s="14">
        <v>1</v>
      </c>
      <c r="B178" s="15">
        <v>12</v>
      </c>
      <c r="C178" s="15">
        <v>123</v>
      </c>
      <c r="D178" s="15">
        <v>1236</v>
      </c>
      <c r="E178" s="15">
        <v>12364</v>
      </c>
      <c r="F178" s="16" t="s">
        <v>288</v>
      </c>
      <c r="G178" s="21" t="s">
        <v>103</v>
      </c>
      <c r="H178" s="17" t="s">
        <v>218</v>
      </c>
      <c r="I178" s="18">
        <v>0</v>
      </c>
      <c r="J178" s="18">
        <f>J176/2</f>
        <v>26.700000000000003</v>
      </c>
      <c r="K178" s="18">
        <f>K176/2</f>
        <v>66.75</v>
      </c>
      <c r="L178" s="18">
        <f>L176/2</f>
        <v>40.049999999999997</v>
      </c>
      <c r="M178" s="18">
        <f t="shared" si="22"/>
        <v>133.5</v>
      </c>
      <c r="N178" s="18">
        <f>IF(OR(H178="",H178="sif",H178="PM"),0,VLOOKUP(H178,[5]CU!$C$4:$H$255,6,FALSE))</f>
        <v>138</v>
      </c>
      <c r="O178" s="18">
        <f t="shared" si="36"/>
        <v>0</v>
      </c>
      <c r="P178" s="18">
        <f t="shared" si="36"/>
        <v>3684.6000000000004</v>
      </c>
      <c r="Q178" s="18">
        <f t="shared" si="36"/>
        <v>9211.5</v>
      </c>
      <c r="R178" s="18">
        <f t="shared" si="36"/>
        <v>5526.9</v>
      </c>
      <c r="S178" s="18">
        <f t="shared" si="37"/>
        <v>18423</v>
      </c>
      <c r="T178" s="23" t="s">
        <v>221</v>
      </c>
      <c r="U178" s="18" t="s">
        <v>170</v>
      </c>
      <c r="V178" s="18" t="str">
        <f>IF(OR($H178="",$H178="sif",$H178="PM"),"",VLOOKUP($H178,[5]CU!$C$5:$J$255,8,FALSE))</f>
        <v>5. Investissement</v>
      </c>
      <c r="W178" s="18" t="s">
        <v>98</v>
      </c>
      <c r="X178" s="18" t="s">
        <v>222</v>
      </c>
      <c r="Y178" s="19" t="s">
        <v>32</v>
      </c>
      <c r="Z178" s="18" t="str">
        <f>A178 &amp; "-" &amp; VLOOKUP(A178,[4]PROGRAMMES!$E$1:$F$7,2,FALSE)</f>
        <v>1-Accès et équité à l'enseignement général</v>
      </c>
      <c r="AA178" s="19" t="str">
        <f>B178 &amp; "-" &amp; VLOOKUP(B178,[4]SOUSPROGRAMMES!$E$1:$F$44,2,FALSE)</f>
        <v>12- Accès équitable et achèvement du primaire</v>
      </c>
      <c r="AB178" s="19" t="str">
        <f>C178 &amp; "-" &amp; VLOOKUP(C178,[4]RESULTATS!$E$1:$F$176,2,FALSE)</f>
        <v>123- Toutes les écoles primaires publiques et communautaires sont dotées en enseignants en nombre suffisant, y compris les FA</v>
      </c>
      <c r="AC178" s="20" t="str">
        <f>D178 &amp; "-" &amp; VLOOKUP(D178,[4]STRATEGIES!$E$1:$F$504,2,FALSE)</f>
        <v>1236-Remplacement de salles de classe précaires, y compris dans les FA</v>
      </c>
      <c r="AD178" s="21" t="str">
        <f t="shared" si="26"/>
        <v>12364-Construction de salles de classe pour le remplacement des salles de classe précaires, y compris dans les FA maitrise d'ouvrage ONG</v>
      </c>
    </row>
    <row r="179" spans="1:30" s="22" customFormat="1" ht="60" hidden="1" customHeight="1" x14ac:dyDescent="0.8">
      <c r="A179" s="14">
        <v>1</v>
      </c>
      <c r="B179" s="15">
        <v>12</v>
      </c>
      <c r="C179" s="15">
        <v>123</v>
      </c>
      <c r="D179" s="15">
        <v>1236</v>
      </c>
      <c r="E179" s="15">
        <v>12365</v>
      </c>
      <c r="F179" s="16" t="s">
        <v>289</v>
      </c>
      <c r="G179" s="21" t="s">
        <v>106</v>
      </c>
      <c r="H179" s="17" t="s">
        <v>226</v>
      </c>
      <c r="I179" s="18">
        <v>0</v>
      </c>
      <c r="J179" s="18">
        <f t="shared" ref="J179:L181" si="38">J176</f>
        <v>53.400000000000006</v>
      </c>
      <c r="K179" s="18">
        <f t="shared" si="38"/>
        <v>133.5</v>
      </c>
      <c r="L179" s="18">
        <f t="shared" si="38"/>
        <v>80.099999999999994</v>
      </c>
      <c r="M179" s="18">
        <f t="shared" si="22"/>
        <v>267</v>
      </c>
      <c r="N179" s="18">
        <f>IF(OR(H179="",H179="sif",H179="PM"),0,VLOOKUP(H179,[5]CU!$C$4:$H$255,6,FALSE))</f>
        <v>23.333333333333332</v>
      </c>
      <c r="O179" s="18">
        <f t="shared" si="36"/>
        <v>0</v>
      </c>
      <c r="P179" s="18">
        <f t="shared" si="36"/>
        <v>1246</v>
      </c>
      <c r="Q179" s="18">
        <f t="shared" si="36"/>
        <v>3115</v>
      </c>
      <c r="R179" s="18">
        <f t="shared" si="36"/>
        <v>1868.9999999999998</v>
      </c>
      <c r="S179" s="18">
        <f t="shared" si="37"/>
        <v>6230</v>
      </c>
      <c r="T179" s="23" t="s">
        <v>56</v>
      </c>
      <c r="U179" s="18" t="s">
        <v>170</v>
      </c>
      <c r="V179" s="18" t="str">
        <f>IF(OR($H179="",$H179="sif",$H179="PM"),"",VLOOKUP($H179,[5]CU!$C$5:$J$255,8,FALSE))</f>
        <v>5. Investissement</v>
      </c>
      <c r="W179" s="18" t="s">
        <v>206</v>
      </c>
      <c r="X179" s="18" t="s">
        <v>205</v>
      </c>
      <c r="Y179" s="19" t="s">
        <v>32</v>
      </c>
      <c r="Z179" s="18" t="str">
        <f>A179 &amp; "-" &amp; VLOOKUP(A179,[4]PROGRAMMES!$E$1:$F$7,2,FALSE)</f>
        <v>1-Accès et équité à l'enseignement général</v>
      </c>
      <c r="AA179" s="19" t="str">
        <f>B179 &amp; "-" &amp; VLOOKUP(B179,[4]SOUSPROGRAMMES!$E$1:$F$44,2,FALSE)</f>
        <v>12- Accès équitable et achèvement du primaire</v>
      </c>
      <c r="AB179" s="19" t="str">
        <f>C179 &amp; "-" &amp; VLOOKUP(C179,[4]RESULTATS!$E$1:$F$176,2,FALSE)</f>
        <v>123- Toutes les écoles primaires publiques et communautaires sont dotées en enseignants en nombre suffisant, y compris les FA</v>
      </c>
      <c r="AC179" s="20" t="str">
        <f>D179 &amp; "-" &amp; VLOOKUP(D179,[4]STRATEGIES!$E$1:$F$504,2,FALSE)</f>
        <v>1236-Remplacement de salles de classe précaires, y compris dans les FA</v>
      </c>
      <c r="AD179" s="21" t="str">
        <f t="shared" si="26"/>
        <v>12365-Equipement des salles de classe en mobiliers scolaires (communes)</v>
      </c>
    </row>
    <row r="180" spans="1:30" ht="60" hidden="1" customHeight="1" x14ac:dyDescent="0.8">
      <c r="A180" s="25">
        <v>1</v>
      </c>
      <c r="B180" s="16">
        <v>12</v>
      </c>
      <c r="C180" s="16">
        <v>123</v>
      </c>
      <c r="D180" s="16">
        <v>1236</v>
      </c>
      <c r="E180" s="16">
        <v>12366</v>
      </c>
      <c r="F180" s="16" t="s">
        <v>227</v>
      </c>
      <c r="G180" s="21" t="s">
        <v>106</v>
      </c>
      <c r="H180" s="21" t="s">
        <v>226</v>
      </c>
      <c r="I180" s="19">
        <v>0</v>
      </c>
      <c r="J180" s="19">
        <f t="shared" si="38"/>
        <v>0</v>
      </c>
      <c r="K180" s="19">
        <f>K177*2</f>
        <v>180</v>
      </c>
      <c r="L180" s="19">
        <f t="shared" si="38"/>
        <v>45</v>
      </c>
      <c r="M180" s="19">
        <f t="shared" si="22"/>
        <v>225</v>
      </c>
      <c r="N180" s="19">
        <f>IF(OR(H180="",H180="sif",H180="PM"),0,VLOOKUP(H180,[5]CU!$C$4:$H$255,6,FALSE))</f>
        <v>23.333333333333332</v>
      </c>
      <c r="O180" s="19">
        <f t="shared" si="36"/>
        <v>0</v>
      </c>
      <c r="P180" s="19">
        <f t="shared" si="36"/>
        <v>0</v>
      </c>
      <c r="Q180" s="19">
        <f>$N180*K180</f>
        <v>4200</v>
      </c>
      <c r="R180" s="19">
        <f t="shared" si="36"/>
        <v>1050</v>
      </c>
      <c r="S180" s="19">
        <f t="shared" si="37"/>
        <v>5250</v>
      </c>
      <c r="T180" s="26" t="s">
        <v>169</v>
      </c>
      <c r="U180" s="19" t="s">
        <v>170</v>
      </c>
      <c r="V180" s="19" t="str">
        <f>IF(OR($H180="",$H180="sif",$H180="PM"),"",VLOOKUP($H180,[5]CU!$C$5:$J$255,8,FALSE))</f>
        <v>5. Investissement</v>
      </c>
      <c r="W180" s="19" t="s">
        <v>98</v>
      </c>
      <c r="X180" s="19" t="s">
        <v>98</v>
      </c>
      <c r="Y180" s="19" t="s">
        <v>32</v>
      </c>
      <c r="Z180" s="19" t="str">
        <f>A180 &amp; "-" &amp; VLOOKUP(A180,[4]PROGRAMMES!$E$1:$F$7,2,FALSE)</f>
        <v>1-Accès et équité à l'enseignement général</v>
      </c>
      <c r="AA180" s="19" t="str">
        <f>B180 &amp; "-" &amp; VLOOKUP(B180,[4]SOUSPROGRAMMES!$E$1:$F$44,2,FALSE)</f>
        <v>12- Accès équitable et achèvement du primaire</v>
      </c>
      <c r="AB180" s="19" t="str">
        <f>C180 &amp; "-" &amp; VLOOKUP(C180,[4]RESULTATS!$E$1:$F$176,2,FALSE)</f>
        <v>123- Toutes les écoles primaires publiques et communautaires sont dotées en enseignants en nombre suffisant, y compris les FA</v>
      </c>
      <c r="AC180" s="20" t="str">
        <f>D180 &amp; "-" &amp; VLOOKUP(D180,[4]STRATEGIES!$E$1:$F$504,2,FALSE)</f>
        <v>1236-Remplacement de salles de classe précaires, y compris dans les FA</v>
      </c>
      <c r="AD180" s="21" t="str">
        <f t="shared" si="26"/>
        <v>12366-Equipement des salles de classe en mobiliers scolaires (SNIES)</v>
      </c>
    </row>
    <row r="181" spans="1:30" s="22" customFormat="1" ht="60" hidden="1" customHeight="1" x14ac:dyDescent="0.8">
      <c r="A181" s="14">
        <v>1</v>
      </c>
      <c r="B181" s="15">
        <v>12</v>
      </c>
      <c r="C181" s="15">
        <v>123</v>
      </c>
      <c r="D181" s="15">
        <v>1236</v>
      </c>
      <c r="E181" s="15">
        <v>12367</v>
      </c>
      <c r="F181" s="16" t="s">
        <v>228</v>
      </c>
      <c r="G181" s="21" t="s">
        <v>106</v>
      </c>
      <c r="H181" s="17" t="s">
        <v>226</v>
      </c>
      <c r="I181" s="18">
        <v>0</v>
      </c>
      <c r="J181" s="18">
        <f t="shared" si="38"/>
        <v>26.700000000000003</v>
      </c>
      <c r="K181" s="18">
        <f t="shared" si="38"/>
        <v>66.75</v>
      </c>
      <c r="L181" s="18">
        <f t="shared" si="38"/>
        <v>40.049999999999997</v>
      </c>
      <c r="M181" s="18">
        <f t="shared" si="22"/>
        <v>133.5</v>
      </c>
      <c r="N181" s="18">
        <f>IF(OR(H181="",H181="sif",H181="PM"),0,VLOOKUP(H181,[5]CU!$C$4:$H$255,6,FALSE))</f>
        <v>23.333333333333332</v>
      </c>
      <c r="O181" s="18">
        <f t="shared" si="36"/>
        <v>0</v>
      </c>
      <c r="P181" s="18">
        <f t="shared" si="36"/>
        <v>623</v>
      </c>
      <c r="Q181" s="18">
        <f t="shared" si="36"/>
        <v>1557.5</v>
      </c>
      <c r="R181" s="18">
        <f t="shared" si="36"/>
        <v>934.49999999999989</v>
      </c>
      <c r="S181" s="18">
        <f t="shared" si="37"/>
        <v>3115</v>
      </c>
      <c r="T181" s="23" t="s">
        <v>221</v>
      </c>
      <c r="U181" s="18" t="s">
        <v>170</v>
      </c>
      <c r="V181" s="18" t="str">
        <f>IF(OR($H181="",$H181="sif",$H181="PM"),"",VLOOKUP($H181,[5]CU!$C$5:$J$255,8,FALSE))</f>
        <v>5. Investissement</v>
      </c>
      <c r="W181" s="18" t="s">
        <v>98</v>
      </c>
      <c r="X181" s="18" t="s">
        <v>222</v>
      </c>
      <c r="Y181" s="19" t="s">
        <v>32</v>
      </c>
      <c r="Z181" s="18" t="str">
        <f>A181 &amp; "-" &amp; VLOOKUP(A181,[4]PROGRAMMES!$E$1:$F$7,2,FALSE)</f>
        <v>1-Accès et équité à l'enseignement général</v>
      </c>
      <c r="AA181" s="19" t="str">
        <f>B181 &amp; "-" &amp; VLOOKUP(B181,[4]SOUSPROGRAMMES!$E$1:$F$44,2,FALSE)</f>
        <v>12- Accès équitable et achèvement du primaire</v>
      </c>
      <c r="AB181" s="19" t="str">
        <f>C181 &amp; "-" &amp; VLOOKUP(C181,[4]RESULTATS!$E$1:$F$176,2,FALSE)</f>
        <v>123- Toutes les écoles primaires publiques et communautaires sont dotées en enseignants en nombre suffisant, y compris les FA</v>
      </c>
      <c r="AC181" s="20" t="str">
        <f>D181 &amp; "-" &amp; VLOOKUP(D181,[4]STRATEGIES!$E$1:$F$504,2,FALSE)</f>
        <v>1236-Remplacement de salles de classe précaires, y compris dans les FA</v>
      </c>
      <c r="AD181" s="21" t="str">
        <f t="shared" si="26"/>
        <v>12367-Equipement des salles de classe en mobiliers scolaires (ONG)</v>
      </c>
    </row>
    <row r="182" spans="1:30" ht="60" hidden="1" customHeight="1" x14ac:dyDescent="0.8">
      <c r="A182" s="25">
        <v>1</v>
      </c>
      <c r="B182" s="16">
        <v>12</v>
      </c>
      <c r="C182" s="16">
        <v>123</v>
      </c>
      <c r="D182" s="16">
        <v>1236</v>
      </c>
      <c r="E182" s="16">
        <v>12368</v>
      </c>
      <c r="F182" s="16" t="s">
        <v>290</v>
      </c>
      <c r="G182" s="21" t="s">
        <v>58</v>
      </c>
      <c r="H182" s="21" t="s">
        <v>110</v>
      </c>
      <c r="I182" s="19">
        <v>0</v>
      </c>
      <c r="J182" s="19">
        <f>(J177+J176+J175)*0%</f>
        <v>0</v>
      </c>
      <c r="K182" s="19">
        <f>(K177+K176+K175)*62.19%*2</f>
        <v>279.23309999999998</v>
      </c>
      <c r="L182" s="19">
        <f>(L177+L176+L175)*62.19%</f>
        <v>78.421589999999995</v>
      </c>
      <c r="M182" s="19">
        <f>SUM(I182:L182)</f>
        <v>357.65468999999996</v>
      </c>
      <c r="N182" s="19">
        <f>IF(OR(H182="",H182="sif",H182="PM"),0,VLOOKUP(H182,[5]CU!$C$4:$H$255,6,FALSE))</f>
        <v>7.1760000000000002</v>
      </c>
      <c r="O182" s="19">
        <f>$N182*I182</f>
        <v>0</v>
      </c>
      <c r="P182" s="19">
        <f>$N182*J182</f>
        <v>0</v>
      </c>
      <c r="Q182" s="19">
        <f>$N182*K182</f>
        <v>2003.7767256</v>
      </c>
      <c r="R182" s="19">
        <f>$N182*L182</f>
        <v>562.75332983999999</v>
      </c>
      <c r="S182" s="19">
        <f>SUM(O182:R182)</f>
        <v>2566.5300554400001</v>
      </c>
      <c r="T182" s="26" t="s">
        <v>169</v>
      </c>
      <c r="U182" s="19" t="s">
        <v>170</v>
      </c>
      <c r="V182" s="19" t="str">
        <f>IF(OR($H182="",$H182="sif",$H182="PM"),"",VLOOKUP($H182,[5]CU!$C$5:$J$255,8,FALSE))</f>
        <v>3. Dépenses de fonctionnement</v>
      </c>
      <c r="W182" s="19" t="s">
        <v>98</v>
      </c>
      <c r="X182" s="19" t="s">
        <v>98</v>
      </c>
      <c r="Y182" s="19" t="s">
        <v>32</v>
      </c>
      <c r="Z182" s="19" t="str">
        <f>A182 &amp; "-" &amp; VLOOKUP(A182,[4]PROGRAMMES!$E$1:$F$7,2,FALSE)</f>
        <v>1-Accès et équité à l'enseignement général</v>
      </c>
      <c r="AA182" s="19" t="str">
        <f>B182 &amp; "-" &amp; VLOOKUP(B182,[4]SOUSPROGRAMMES!$E$1:$F$44,2,FALSE)</f>
        <v>12- Accès équitable et achèvement du primaire</v>
      </c>
      <c r="AB182" s="19" t="str">
        <f>C182 &amp; "-" &amp; VLOOKUP(C182,[4]RESULTATS!$E$1:$F$176,2,FALSE)</f>
        <v>123- Toutes les écoles primaires publiques et communautaires sont dotées en enseignants en nombre suffisant, y compris les FA</v>
      </c>
      <c r="AC182" s="20" t="str">
        <f>D182 &amp; "-" &amp; VLOOKUP(D182,[4]STRATEGIES!$E$1:$F$504,2,FALSE)</f>
        <v>1236-Remplacement de salles de classe précaires, y compris dans les FA</v>
      </c>
      <c r="AD182" s="21" t="str">
        <f t="shared" si="26"/>
        <v>12368-Supervision des travaux de construction de salles de classe pour le remplacement des salles de classe précaires, y compris dans les FA</v>
      </c>
    </row>
    <row r="183" spans="1:30" s="22" customFormat="1" ht="60" hidden="1" customHeight="1" x14ac:dyDescent="0.8">
      <c r="A183" s="14">
        <v>1</v>
      </c>
      <c r="B183" s="15">
        <v>12</v>
      </c>
      <c r="C183" s="15">
        <v>123</v>
      </c>
      <c r="D183" s="15">
        <v>1236</v>
      </c>
      <c r="E183" s="15">
        <v>12368</v>
      </c>
      <c r="F183" s="16" t="s">
        <v>290</v>
      </c>
      <c r="G183" s="21" t="s">
        <v>58</v>
      </c>
      <c r="H183" s="17" t="s">
        <v>110</v>
      </c>
      <c r="I183" s="18">
        <v>0</v>
      </c>
      <c r="J183" s="18">
        <f>(J177+J176+J175)*37.81%</f>
        <v>20.568640000000006</v>
      </c>
      <c r="K183" s="18">
        <f>(K177+K176+K175)*37.81%</f>
        <v>84.883450000000011</v>
      </c>
      <c r="L183" s="18">
        <f>(L177+L176+L175)*37.81%</f>
        <v>47.678410000000007</v>
      </c>
      <c r="M183" s="18">
        <f t="shared" si="22"/>
        <v>153.13050000000001</v>
      </c>
      <c r="N183" s="18">
        <f>IF(OR(H183="",H183="sif",H183="PM"),0,VLOOKUP(H183,[5]CU!$C$4:$H$255,6,FALSE))</f>
        <v>7.1760000000000002</v>
      </c>
      <c r="O183" s="18">
        <f t="shared" si="36"/>
        <v>0</v>
      </c>
      <c r="P183" s="18">
        <f t="shared" si="36"/>
        <v>147.60056064000005</v>
      </c>
      <c r="Q183" s="18">
        <f t="shared" si="36"/>
        <v>609.12363720000008</v>
      </c>
      <c r="R183" s="18">
        <f t="shared" si="36"/>
        <v>342.14027016000006</v>
      </c>
      <c r="S183" s="18">
        <f t="shared" si="37"/>
        <v>1098.8644680000002</v>
      </c>
      <c r="T183" s="23" t="s">
        <v>118</v>
      </c>
      <c r="U183" s="18" t="s">
        <v>170</v>
      </c>
      <c r="V183" s="18" t="str">
        <f>IF(OR($H183="",$H183="sif",$H183="PM"),"",VLOOKUP($H183,[5]CU!$C$5:$J$255,8,FALSE))</f>
        <v>3. Dépenses de fonctionnement</v>
      </c>
      <c r="W183" s="18" t="s">
        <v>98</v>
      </c>
      <c r="X183" s="18" t="s">
        <v>98</v>
      </c>
      <c r="Y183" s="19" t="s">
        <v>32</v>
      </c>
      <c r="Z183" s="18" t="str">
        <f>A183 &amp; "-" &amp; VLOOKUP(A183,[4]PROGRAMMES!$E$1:$F$7,2,FALSE)</f>
        <v>1-Accès et équité à l'enseignement général</v>
      </c>
      <c r="AA183" s="19" t="str">
        <f>B183 &amp; "-" &amp; VLOOKUP(B183,[4]SOUSPROGRAMMES!$E$1:$F$44,2,FALSE)</f>
        <v>12- Accès équitable et achèvement du primaire</v>
      </c>
      <c r="AB183" s="19" t="str">
        <f>C183 &amp; "-" &amp; VLOOKUP(C183,[4]RESULTATS!$E$1:$F$176,2,FALSE)</f>
        <v>123- Toutes les écoles primaires publiques et communautaires sont dotées en enseignants en nombre suffisant, y compris les FA</v>
      </c>
      <c r="AC183" s="20" t="str">
        <f>D183 &amp; "-" &amp; VLOOKUP(D183,[4]STRATEGIES!$E$1:$F$504,2,FALSE)</f>
        <v>1236-Remplacement de salles de classe précaires, y compris dans les FA</v>
      </c>
      <c r="AD183" s="21" t="str">
        <f t="shared" si="26"/>
        <v>12368-Supervision des travaux de construction de salles de classe pour le remplacement des salles de classe précaires, y compris dans les FA</v>
      </c>
    </row>
    <row r="184" spans="1:30" s="22" customFormat="1" ht="60" hidden="1" customHeight="1" x14ac:dyDescent="0.8">
      <c r="A184" s="14">
        <v>1</v>
      </c>
      <c r="B184" s="15">
        <v>12</v>
      </c>
      <c r="C184" s="15">
        <v>123</v>
      </c>
      <c r="D184" s="15">
        <v>1236</v>
      </c>
      <c r="E184" s="15">
        <v>12369</v>
      </c>
      <c r="F184" s="16" t="s">
        <v>212</v>
      </c>
      <c r="G184" s="21" t="s">
        <v>159</v>
      </c>
      <c r="H184" s="17" t="s">
        <v>55</v>
      </c>
      <c r="I184" s="18">
        <v>0</v>
      </c>
      <c r="J184" s="18">
        <v>1</v>
      </c>
      <c r="K184" s="18">
        <v>1</v>
      </c>
      <c r="L184" s="18">
        <v>1</v>
      </c>
      <c r="M184" s="18">
        <f t="shared" si="22"/>
        <v>3</v>
      </c>
      <c r="N184" s="18">
        <f>IF(OR(H184="",H184="sif",H184="PM"),0,VLOOKUP(H184,[5]CU!$C$4:$H$255,6,FALSE))</f>
        <v>0</v>
      </c>
      <c r="O184" s="18"/>
      <c r="P184" s="18"/>
      <c r="Q184" s="18"/>
      <c r="R184" s="18"/>
      <c r="S184" s="18"/>
      <c r="T184" s="23" t="s">
        <v>56</v>
      </c>
      <c r="U184" s="18" t="s">
        <v>170</v>
      </c>
      <c r="V184" s="18" t="str">
        <f>IF(OR($H184="",$H184="sif",$H184="PM"),"",VLOOKUP($H184,[5]CU!$C$5:$J$255,8,FALSE))</f>
        <v/>
      </c>
      <c r="W184" s="18" t="s">
        <v>205</v>
      </c>
      <c r="X184" s="18" t="s">
        <v>210</v>
      </c>
      <c r="Y184" s="19" t="s">
        <v>32</v>
      </c>
      <c r="Z184" s="18" t="str">
        <f>A184 &amp; "-" &amp; VLOOKUP(A184,[4]PROGRAMMES!$E$1:$F$7,2,FALSE)</f>
        <v>1-Accès et équité à l'enseignement général</v>
      </c>
      <c r="AA184" s="19" t="str">
        <f>B184 &amp; "-" &amp; VLOOKUP(B184,[4]SOUSPROGRAMMES!$E$1:$F$44,2,FALSE)</f>
        <v>12- Accès équitable et achèvement du primaire</v>
      </c>
      <c r="AB184" s="19" t="str">
        <f>C184 &amp; "-" &amp; VLOOKUP(C184,[4]RESULTATS!$E$1:$F$176,2,FALSE)</f>
        <v>123- Toutes les écoles primaires publiques et communautaires sont dotées en enseignants en nombre suffisant, y compris les FA</v>
      </c>
      <c r="AC184" s="20" t="str">
        <f>D184 &amp; "-" &amp; VLOOKUP(D184,[4]STRATEGIES!$E$1:$F$504,2,FALSE)</f>
        <v>1236-Remplacement de salles de classe précaires, y compris dans les FA</v>
      </c>
      <c r="AD184" s="21" t="str">
        <f t="shared" si="26"/>
        <v>12369-Suivi/évaluation de la réhabilitation/rénovation des salles de classe (voir suivi construction activité 122210)</v>
      </c>
    </row>
    <row r="185" spans="1:30" s="22" customFormat="1" ht="60" hidden="1" customHeight="1" x14ac:dyDescent="0.8">
      <c r="A185" s="14">
        <v>1</v>
      </c>
      <c r="B185" s="15">
        <v>12</v>
      </c>
      <c r="C185" s="15">
        <v>124</v>
      </c>
      <c r="D185" s="15">
        <v>124</v>
      </c>
      <c r="E185" s="15">
        <v>124</v>
      </c>
      <c r="F185" s="16" t="s">
        <v>291</v>
      </c>
      <c r="G185" s="17"/>
      <c r="H185" s="17"/>
      <c r="I185" s="18">
        <v>0</v>
      </c>
      <c r="J185" s="18"/>
      <c r="K185" s="18"/>
      <c r="L185" s="18"/>
      <c r="M185" s="18"/>
      <c r="N185" s="18"/>
      <c r="O185" s="18"/>
      <c r="P185" s="18"/>
      <c r="Q185" s="18"/>
      <c r="R185" s="18"/>
      <c r="S185" s="18"/>
      <c r="T185" s="18"/>
      <c r="U185" s="18"/>
      <c r="V185" s="18"/>
      <c r="W185" s="18"/>
      <c r="X185" s="18"/>
      <c r="Y185" s="19" t="s">
        <v>32</v>
      </c>
      <c r="Z185" s="18" t="str">
        <f>A185 &amp; "-" &amp; VLOOKUP(A185,[4]PROGRAMMES!$E$1:$F$7,2,FALSE)</f>
        <v>1-Accès et équité à l'enseignement général</v>
      </c>
      <c r="AA185" s="19" t="str">
        <f>B185 &amp; "-" &amp; VLOOKUP(B185,[4]SOUSPROGRAMMES!$E$1:$F$44,2,FALSE)</f>
        <v>12- Accès équitable et achèvement du primaire</v>
      </c>
      <c r="AB185" s="19" t="str">
        <f>C185 &amp; "-" &amp; VLOOKUP(C185,[4]RESULTATS!$E$1:$F$176,2,FALSE)</f>
        <v>124- Toutes les écoles primaires, y compris les FA, offrent aux élèves des conditions favorables à leur maintien, en particulier, les filles</v>
      </c>
      <c r="AC185" s="20" t="str">
        <f>D185 &amp; "-" &amp; VLOOKUP(D185,[4]STRATEGIES!$E$1:$F$504,2,FALSE)</f>
        <v>124- Toutes les écoles primaires, y compris les FA, offrent aux élèves des conditions favorables à leur maintien, en particulier, les filles</v>
      </c>
      <c r="AD185" s="21" t="str">
        <f t="shared" si="26"/>
        <v>124- Toutes les écoles primaires, y compris les FA, offrent aux élèves des conditions favorables à leur maintien, en particulier, les filles</v>
      </c>
    </row>
    <row r="186" spans="1:30" s="22" customFormat="1" ht="60" hidden="1" customHeight="1" x14ac:dyDescent="0.8">
      <c r="A186" s="14">
        <v>1</v>
      </c>
      <c r="B186" s="15">
        <v>12</v>
      </c>
      <c r="C186" s="15">
        <v>124</v>
      </c>
      <c r="D186" s="15">
        <v>1241</v>
      </c>
      <c r="E186" s="15">
        <v>1241</v>
      </c>
      <c r="F186" s="16" t="s">
        <v>292</v>
      </c>
      <c r="G186" s="17"/>
      <c r="H186" s="17"/>
      <c r="I186" s="18">
        <v>0</v>
      </c>
      <c r="J186" s="18"/>
      <c r="K186" s="18"/>
      <c r="L186" s="18"/>
      <c r="M186" s="18"/>
      <c r="N186" s="18"/>
      <c r="O186" s="18"/>
      <c r="P186" s="18"/>
      <c r="Q186" s="18"/>
      <c r="R186" s="18"/>
      <c r="S186" s="18"/>
      <c r="T186" s="18"/>
      <c r="U186" s="18"/>
      <c r="V186" s="18"/>
      <c r="W186" s="18"/>
      <c r="X186" s="18"/>
      <c r="Y186" s="19" t="s">
        <v>32</v>
      </c>
      <c r="Z186" s="18" t="str">
        <f>A186 &amp; "-" &amp; VLOOKUP(A186,[4]PROGRAMMES!$E$1:$F$7,2,FALSE)</f>
        <v>1-Accès et équité à l'enseignement général</v>
      </c>
      <c r="AA186" s="19" t="str">
        <f>B186 &amp; "-" &amp; VLOOKUP(B186,[4]SOUSPROGRAMMES!$E$1:$F$44,2,FALSE)</f>
        <v>12- Accès équitable et achèvement du primaire</v>
      </c>
      <c r="AB186" s="19" t="str">
        <f>C186 &amp; "-" &amp; VLOOKUP(C186,[4]RESULTATS!$E$1:$F$176,2,FALSE)</f>
        <v>124- Toutes les écoles primaires, y compris les FA, offrent aux élèves des conditions favorables à leur maintien, en particulier, les filles</v>
      </c>
      <c r="AC186" s="20" t="str">
        <f>D186 &amp; "-" &amp; VLOOKUP(D186,[4]STRATEGIES!$E$1:$F$504,2,FALSE)</f>
        <v>1241-Adaptation du mode de fonctionnement de l’école aux ressources disponibles pour assurer la continuité éducative</v>
      </c>
      <c r="AD186" s="21" t="str">
        <f t="shared" si="26"/>
        <v>1241-Adaptation du mode de fonctionnement de l’école aux ressources disponibles pour assurer la continuité éducative</v>
      </c>
    </row>
    <row r="187" spans="1:30" s="22" customFormat="1" ht="60" hidden="1" customHeight="1" x14ac:dyDescent="0.8">
      <c r="A187" s="14">
        <v>1</v>
      </c>
      <c r="B187" s="15">
        <v>12</v>
      </c>
      <c r="C187" s="15">
        <v>124</v>
      </c>
      <c r="D187" s="15">
        <v>1241</v>
      </c>
      <c r="E187" s="15">
        <v>12411</v>
      </c>
      <c r="F187" s="16" t="s">
        <v>293</v>
      </c>
      <c r="G187" s="21" t="s">
        <v>294</v>
      </c>
      <c r="H187" s="17" t="s">
        <v>295</v>
      </c>
      <c r="I187" s="18">
        <v>0</v>
      </c>
      <c r="J187" s="18"/>
      <c r="K187" s="18"/>
      <c r="L187" s="18"/>
      <c r="M187" s="18">
        <f t="shared" si="22"/>
        <v>0</v>
      </c>
      <c r="N187" s="18">
        <f>IF(OR(H187="",H187="sif",H187="PM"),0,VLOOKUP(H187,[5]CU!$C$4:$H$255,6,FALSE))</f>
        <v>40.32</v>
      </c>
      <c r="O187" s="18">
        <f t="shared" ref="O187:R191" si="39">$N187*I187</f>
        <v>0</v>
      </c>
      <c r="P187" s="18">
        <f t="shared" si="39"/>
        <v>0</v>
      </c>
      <c r="Q187" s="18">
        <f t="shared" si="39"/>
        <v>0</v>
      </c>
      <c r="R187" s="18">
        <f t="shared" si="39"/>
        <v>0</v>
      </c>
      <c r="S187" s="18">
        <f>SUM(O187:R187)</f>
        <v>0</v>
      </c>
      <c r="T187" s="23" t="s">
        <v>178</v>
      </c>
      <c r="U187" s="18" t="s">
        <v>170</v>
      </c>
      <c r="V187" s="18" t="str">
        <f>IF(OR($H187="",$H187="sif",$H187="PM"),"",VLOOKUP($H187,[5]CU!$C$5:$J$255,8,FALSE))</f>
        <v>3. Formation</v>
      </c>
      <c r="W187" s="18" t="s">
        <v>192</v>
      </c>
      <c r="X187" s="18" t="s">
        <v>296</v>
      </c>
      <c r="Y187" s="19" t="s">
        <v>32</v>
      </c>
      <c r="Z187" s="18" t="str">
        <f>A187 &amp; "-" &amp; VLOOKUP(A187,[4]PROGRAMMES!$E$1:$F$7,2,FALSE)</f>
        <v>1-Accès et équité à l'enseignement général</v>
      </c>
      <c r="AA187" s="19" t="str">
        <f>B187 &amp; "-" &amp; VLOOKUP(B187,[4]SOUSPROGRAMMES!$E$1:$F$44,2,FALSE)</f>
        <v>12- Accès équitable et achèvement du primaire</v>
      </c>
      <c r="AB187" s="19" t="str">
        <f>C187 &amp; "-" &amp; VLOOKUP(C187,[4]RESULTATS!$E$1:$F$176,2,FALSE)</f>
        <v>124- Toutes les écoles primaires, y compris les FA, offrent aux élèves des conditions favorables à leur maintien, en particulier, les filles</v>
      </c>
      <c r="AC187" s="20" t="str">
        <f>D187 &amp; "-" &amp; VLOOKUP(D187,[4]STRATEGIES!$E$1:$F$504,2,FALSE)</f>
        <v>1241-Adaptation du mode de fonctionnement de l’école aux ressources disponibles pour assurer la continuité éducative</v>
      </c>
      <c r="AD187" s="21" t="str">
        <f t="shared" si="26"/>
        <v>12411-Voyage d'études pour s'enquérir des expériences de certains pays dans la mise en place des écoles à classe unique</v>
      </c>
    </row>
    <row r="188" spans="1:30" s="22" customFormat="1" ht="60" hidden="1" customHeight="1" x14ac:dyDescent="0.8">
      <c r="A188" s="14">
        <v>1</v>
      </c>
      <c r="B188" s="15">
        <v>12</v>
      </c>
      <c r="C188" s="15">
        <v>124</v>
      </c>
      <c r="D188" s="15">
        <v>1241</v>
      </c>
      <c r="E188" s="15">
        <v>12412</v>
      </c>
      <c r="F188" s="16" t="s">
        <v>297</v>
      </c>
      <c r="G188" s="21" t="s">
        <v>298</v>
      </c>
      <c r="H188" s="17" t="s">
        <v>38</v>
      </c>
      <c r="I188" s="18">
        <v>0</v>
      </c>
      <c r="J188" s="18"/>
      <c r="K188" s="18"/>
      <c r="L188" s="18"/>
      <c r="M188" s="18">
        <f>SUM(I188:L188)</f>
        <v>0</v>
      </c>
      <c r="N188" s="18">
        <f>IF(OR(H188="",H188="sif",H188="PM"),0,VLOOKUP(H188,[5]CU!$C$4:$H$255,6,FALSE))</f>
        <v>0.3133333333333333</v>
      </c>
      <c r="O188" s="18">
        <f>$N188*I188</f>
        <v>0</v>
      </c>
      <c r="P188" s="18">
        <f>$N188*J188</f>
        <v>0</v>
      </c>
      <c r="Q188" s="18">
        <f>$N188*K188</f>
        <v>0</v>
      </c>
      <c r="R188" s="18">
        <f>$N188*L188</f>
        <v>0</v>
      </c>
      <c r="S188" s="18">
        <f>SUM(O188:R188)</f>
        <v>0</v>
      </c>
      <c r="T188" s="23" t="s">
        <v>178</v>
      </c>
      <c r="U188" s="18" t="s">
        <v>170</v>
      </c>
      <c r="V188" s="18" t="str">
        <f>IF(OR($H188="",$H188="sif",$H188="PM"),"",VLOOKUP($H188,[5]CU!$C$5:$J$255,8,FALSE))</f>
        <v>3. Formation</v>
      </c>
      <c r="W188" s="18" t="s">
        <v>192</v>
      </c>
      <c r="X188" s="18" t="s">
        <v>296</v>
      </c>
      <c r="Y188" s="19" t="s">
        <v>32</v>
      </c>
      <c r="Z188" s="18" t="str">
        <f>A188 &amp; "-" &amp; VLOOKUP(A188,[4]PROGRAMMES!$E$1:$F$7,2,FALSE)</f>
        <v>1-Accès et équité à l'enseignement général</v>
      </c>
      <c r="AA188" s="19" t="str">
        <f>B188 &amp; "-" &amp; VLOOKUP(B188,[4]SOUSPROGRAMMES!$E$1:$F$44,2,FALSE)</f>
        <v>12- Accès équitable et achèvement du primaire</v>
      </c>
      <c r="AB188" s="19" t="str">
        <f>C188 &amp; "-" &amp; VLOOKUP(C188,[4]RESULTATS!$E$1:$F$176,2,FALSE)</f>
        <v>124- Toutes les écoles primaires, y compris les FA, offrent aux élèves des conditions favorables à leur maintien, en particulier, les filles</v>
      </c>
      <c r="AC188" s="20" t="str">
        <f>D188 &amp; "-" &amp; VLOOKUP(D188,[4]STRATEGIES!$E$1:$F$504,2,FALSE)</f>
        <v>1241-Adaptation du mode de fonctionnement de l’école aux ressources disponibles pour assurer la continuité éducative</v>
      </c>
      <c r="AD188" s="21" t="str">
        <f t="shared" si="26"/>
        <v>12412-Atelier intégré pour dégager les rôles et responsabilités, formation, capitalisation des acquis du voyage d'études et actualisation du reférentiel de compétences</v>
      </c>
    </row>
    <row r="189" spans="1:30" s="22" customFormat="1" ht="60" hidden="1" customHeight="1" x14ac:dyDescent="0.8">
      <c r="A189" s="14">
        <v>1</v>
      </c>
      <c r="B189" s="15">
        <v>12</v>
      </c>
      <c r="C189" s="15">
        <v>124</v>
      </c>
      <c r="D189" s="15">
        <v>1241</v>
      </c>
      <c r="E189" s="15">
        <v>12412</v>
      </c>
      <c r="F189" s="16" t="s">
        <v>297</v>
      </c>
      <c r="G189" s="21" t="s">
        <v>298</v>
      </c>
      <c r="H189" s="17" t="s">
        <v>38</v>
      </c>
      <c r="I189" s="18">
        <v>0</v>
      </c>
      <c r="J189" s="18"/>
      <c r="K189" s="18"/>
      <c r="L189" s="18"/>
      <c r="M189" s="18">
        <f t="shared" si="22"/>
        <v>0</v>
      </c>
      <c r="N189" s="18">
        <f>IF(OR(H189="",H189="sif",H189="PM"),0,VLOOKUP(H189,[5]CU!$C$4:$H$255,6,FALSE))</f>
        <v>0.3133333333333333</v>
      </c>
      <c r="O189" s="18">
        <f t="shared" si="39"/>
        <v>0</v>
      </c>
      <c r="P189" s="18">
        <f t="shared" si="39"/>
        <v>0</v>
      </c>
      <c r="Q189" s="18">
        <f t="shared" si="39"/>
        <v>0</v>
      </c>
      <c r="R189" s="18">
        <f t="shared" si="39"/>
        <v>0</v>
      </c>
      <c r="S189" s="18">
        <f>SUM(O189:R189)</f>
        <v>0</v>
      </c>
      <c r="T189" s="23" t="s">
        <v>118</v>
      </c>
      <c r="U189" s="18" t="s">
        <v>170</v>
      </c>
      <c r="V189" s="18" t="str">
        <f>IF(OR($H189="",$H189="sif",$H189="PM"),"",VLOOKUP($H189,[5]CU!$C$5:$J$255,8,FALSE))</f>
        <v>3. Formation</v>
      </c>
      <c r="W189" s="18" t="s">
        <v>192</v>
      </c>
      <c r="X189" s="18" t="s">
        <v>296</v>
      </c>
      <c r="Y189" s="19" t="s">
        <v>32</v>
      </c>
      <c r="Z189" s="18" t="str">
        <f>A189 &amp; "-" &amp; VLOOKUP(A189,[4]PROGRAMMES!$E$1:$F$7,2,FALSE)</f>
        <v>1-Accès et équité à l'enseignement général</v>
      </c>
      <c r="AA189" s="19" t="str">
        <f>B189 &amp; "-" &amp; VLOOKUP(B189,[4]SOUSPROGRAMMES!$E$1:$F$44,2,FALSE)</f>
        <v>12- Accès équitable et achèvement du primaire</v>
      </c>
      <c r="AB189" s="19" t="str">
        <f>C189 &amp; "-" &amp; VLOOKUP(C189,[4]RESULTATS!$E$1:$F$176,2,FALSE)</f>
        <v>124- Toutes les écoles primaires, y compris les FA, offrent aux élèves des conditions favorables à leur maintien, en particulier, les filles</v>
      </c>
      <c r="AC189" s="20" t="str">
        <f>D189 &amp; "-" &amp; VLOOKUP(D189,[4]STRATEGIES!$E$1:$F$504,2,FALSE)</f>
        <v>1241-Adaptation du mode de fonctionnement de l’école aux ressources disponibles pour assurer la continuité éducative</v>
      </c>
      <c r="AD189" s="21" t="str">
        <f t="shared" si="26"/>
        <v>12412-Atelier intégré pour dégager les rôles et responsabilités, formation, capitalisation des acquis du voyage d'études et actualisation du reférentiel de compétences</v>
      </c>
    </row>
    <row r="190" spans="1:30" ht="60" hidden="1" customHeight="1" x14ac:dyDescent="0.8">
      <c r="A190" s="25">
        <v>1</v>
      </c>
      <c r="B190" s="16">
        <v>12</v>
      </c>
      <c r="C190" s="16">
        <v>124</v>
      </c>
      <c r="D190" s="16">
        <v>1241</v>
      </c>
      <c r="E190" s="16">
        <v>12413</v>
      </c>
      <c r="F190" s="16" t="s">
        <v>299</v>
      </c>
      <c r="G190" s="21" t="s">
        <v>37</v>
      </c>
      <c r="H190" s="21" t="s">
        <v>66</v>
      </c>
      <c r="I190" s="19">
        <v>0</v>
      </c>
      <c r="J190" s="19">
        <f>25*5</f>
        <v>125</v>
      </c>
      <c r="K190" s="19"/>
      <c r="L190" s="19"/>
      <c r="M190" s="19">
        <f t="shared" ref="M190:M230" si="40">SUM(I190:L190)</f>
        <v>125</v>
      </c>
      <c r="N190" s="19">
        <f>IF(OR(H190="",H190="sif",H190="PM"),0,VLOOKUP(H190,[5]CU!$C$4:$H$255,6,FALSE))</f>
        <v>0.255</v>
      </c>
      <c r="O190" s="19">
        <f t="shared" si="39"/>
        <v>0</v>
      </c>
      <c r="P190" s="19">
        <f t="shared" si="39"/>
        <v>31.875</v>
      </c>
      <c r="Q190" s="19">
        <f t="shared" si="39"/>
        <v>0</v>
      </c>
      <c r="R190" s="19">
        <f t="shared" si="39"/>
        <v>0</v>
      </c>
      <c r="S190" s="19">
        <f>SUM(O190:R190)</f>
        <v>31.875</v>
      </c>
      <c r="T190" s="26" t="s">
        <v>169</v>
      </c>
      <c r="U190" s="19" t="s">
        <v>170</v>
      </c>
      <c r="V190" s="19" t="str">
        <f>IF(OR($H190="",$H190="sif",$H190="PM"),"",VLOOKUP($H190,[5]CU!$C$5:$J$255,8,FALSE))</f>
        <v>3. Dépenses de fonctionnement</v>
      </c>
      <c r="W190" s="19" t="s">
        <v>192</v>
      </c>
      <c r="X190" s="19" t="s">
        <v>192</v>
      </c>
      <c r="Y190" s="19" t="s">
        <v>32</v>
      </c>
      <c r="Z190" s="19" t="str">
        <f>A190 &amp; "-" &amp; VLOOKUP(A190,[4]PROGRAMMES!$E$1:$F$7,2,FALSE)</f>
        <v>1-Accès et équité à l'enseignement général</v>
      </c>
      <c r="AA190" s="19" t="str">
        <f>B190 &amp; "-" &amp; VLOOKUP(B190,[4]SOUSPROGRAMMES!$E$1:$F$44,2,FALSE)</f>
        <v>12- Accès équitable et achèvement du primaire</v>
      </c>
      <c r="AB190" s="19" t="str">
        <f>C190 &amp; "-" &amp; VLOOKUP(C190,[4]RESULTATS!$E$1:$F$176,2,FALSE)</f>
        <v>124- Toutes les écoles primaires, y compris les FA, offrent aux élèves des conditions favorables à leur maintien, en particulier, les filles</v>
      </c>
      <c r="AC190" s="20" t="str">
        <f>D190 &amp; "-" &amp; VLOOKUP(D190,[4]STRATEGIES!$E$1:$F$504,2,FALSE)</f>
        <v>1241-Adaptation du mode de fonctionnement de l’école aux ressources disponibles pour assurer la continuité éducative</v>
      </c>
      <c r="AD190" s="21" t="str">
        <f t="shared" si="26"/>
        <v>12413-Révision des normes de fonctionnement des écoles (mode de recrutement, Ratio élèves/enseignant maximum, minimum, double-vacation, CMG, etc.)</v>
      </c>
    </row>
    <row r="191" spans="1:30" ht="60" hidden="1" customHeight="1" x14ac:dyDescent="0.8">
      <c r="A191" s="25">
        <v>1</v>
      </c>
      <c r="B191" s="16">
        <v>12</v>
      </c>
      <c r="C191" s="16">
        <v>124</v>
      </c>
      <c r="D191" s="16">
        <v>1241</v>
      </c>
      <c r="E191" s="16">
        <v>12414</v>
      </c>
      <c r="F191" s="16" t="s">
        <v>300</v>
      </c>
      <c r="G191" s="21" t="s">
        <v>37</v>
      </c>
      <c r="H191" s="21" t="s">
        <v>301</v>
      </c>
      <c r="I191" s="19">
        <v>0</v>
      </c>
      <c r="J191" s="19">
        <f>50*3*5</f>
        <v>750</v>
      </c>
      <c r="K191" s="19">
        <f>60*3*5</f>
        <v>900</v>
      </c>
      <c r="L191" s="19">
        <f>60*3*5</f>
        <v>900</v>
      </c>
      <c r="M191" s="19">
        <f t="shared" si="40"/>
        <v>2550</v>
      </c>
      <c r="N191" s="19">
        <f>IF(OR(H191="",H191="sif",H191="PM"),0,VLOOKUP(H191,[5]CU!$C$4:$H$255,6,FALSE))</f>
        <v>0.67666666666666664</v>
      </c>
      <c r="O191" s="19">
        <f t="shared" si="39"/>
        <v>0</v>
      </c>
      <c r="P191" s="19">
        <f t="shared" si="39"/>
        <v>507.5</v>
      </c>
      <c r="Q191" s="19">
        <f t="shared" si="39"/>
        <v>609</v>
      </c>
      <c r="R191" s="19">
        <f t="shared" si="39"/>
        <v>609</v>
      </c>
      <c r="S191" s="19">
        <f>SUM(O191:R191)</f>
        <v>1725.5</v>
      </c>
      <c r="T191" s="26" t="s">
        <v>169</v>
      </c>
      <c r="U191" s="19" t="s">
        <v>170</v>
      </c>
      <c r="V191" s="19" t="str">
        <f>IF(OR($H191="",$H191="sif",$H191="PM"),"",VLOOKUP($H191,[5]CU!$C$5:$J$255,8,FALSE))</f>
        <v>3. Formation</v>
      </c>
      <c r="W191" s="19" t="s">
        <v>192</v>
      </c>
      <c r="X191" s="19" t="s">
        <v>192</v>
      </c>
      <c r="Y191" s="19" t="s">
        <v>32</v>
      </c>
      <c r="Z191" s="19" t="str">
        <f>A191 &amp; "-" &amp; VLOOKUP(A191,[4]PROGRAMMES!$E$1:$F$7,2,FALSE)</f>
        <v>1-Accès et équité à l'enseignement général</v>
      </c>
      <c r="AA191" s="19" t="str">
        <f>B191 &amp; "-" &amp; VLOOKUP(B191,[4]SOUSPROGRAMMES!$E$1:$F$44,2,FALSE)</f>
        <v>12- Accès équitable et achèvement du primaire</v>
      </c>
      <c r="AB191" s="19" t="str">
        <f>C191 &amp; "-" &amp; VLOOKUP(C191,[4]RESULTATS!$E$1:$F$176,2,FALSE)</f>
        <v>124- Toutes les écoles primaires, y compris les FA, offrent aux élèves des conditions favorables à leur maintien, en particulier, les filles</v>
      </c>
      <c r="AC191" s="20" t="str">
        <f>D191 &amp; "-" &amp; VLOOKUP(D191,[4]STRATEGIES!$E$1:$F$504,2,FALSE)</f>
        <v>1241-Adaptation du mode de fonctionnement de l’école aux ressources disponibles pour assurer la continuité éducative</v>
      </c>
      <c r="AD191" s="21" t="str">
        <f t="shared" si="26"/>
        <v>12414-Formation des encadreurs au niveau IRE, DPE/DCE, DSEE sur la stratégie d'optimisation de l'utilisation des ressources (salles, enseignants) : Double-flux, CMG</v>
      </c>
    </row>
    <row r="192" spans="1:30" s="22" customFormat="1" ht="60" hidden="1" customHeight="1" x14ac:dyDescent="0.8">
      <c r="A192" s="14">
        <v>1</v>
      </c>
      <c r="B192" s="15">
        <v>12</v>
      </c>
      <c r="C192" s="15">
        <v>124</v>
      </c>
      <c r="D192" s="15">
        <v>1241</v>
      </c>
      <c r="E192" s="15">
        <v>12415</v>
      </c>
      <c r="F192" s="16" t="s">
        <v>302</v>
      </c>
      <c r="G192" s="21" t="s">
        <v>54</v>
      </c>
      <c r="H192" s="17" t="s">
        <v>55</v>
      </c>
      <c r="I192" s="18">
        <v>0</v>
      </c>
      <c r="J192" s="18">
        <v>1</v>
      </c>
      <c r="K192" s="18">
        <v>1</v>
      </c>
      <c r="L192" s="18">
        <v>1</v>
      </c>
      <c r="M192" s="18">
        <f t="shared" si="40"/>
        <v>3</v>
      </c>
      <c r="N192" s="18">
        <f>IF(OR(H192="",H192="sif",H192="PM"),0,VLOOKUP(H192,[5]CU!$C$4:$H$255,6,FALSE))</f>
        <v>0</v>
      </c>
      <c r="O192" s="18"/>
      <c r="P192" s="18"/>
      <c r="Q192" s="18"/>
      <c r="R192" s="18"/>
      <c r="S192" s="18"/>
      <c r="T192" s="23" t="s">
        <v>56</v>
      </c>
      <c r="U192" s="18" t="s">
        <v>170</v>
      </c>
      <c r="V192" s="18" t="str">
        <f>IF(OR($H192="",$H192="sif",$H192="PM"),"",VLOOKUP($H192,[5]CU!$C$5:$J$255,8,FALSE))</f>
        <v/>
      </c>
      <c r="W192" s="18" t="s">
        <v>192</v>
      </c>
      <c r="X192" s="18" t="s">
        <v>246</v>
      </c>
      <c r="Y192" s="19" t="s">
        <v>32</v>
      </c>
      <c r="Z192" s="18" t="str">
        <f>A192 &amp; "-" &amp; VLOOKUP(A192,[4]PROGRAMMES!$E$1:$F$7,2,FALSE)</f>
        <v>1-Accès et équité à l'enseignement général</v>
      </c>
      <c r="AA192" s="19" t="str">
        <f>B192 &amp; "-" &amp; VLOOKUP(B192,[4]SOUSPROGRAMMES!$E$1:$F$44,2,FALSE)</f>
        <v>12- Accès équitable et achèvement du primaire</v>
      </c>
      <c r="AB192" s="19" t="str">
        <f>C192 &amp; "-" &amp; VLOOKUP(C192,[4]RESULTATS!$E$1:$F$176,2,FALSE)</f>
        <v>124- Toutes les écoles primaires, y compris les FA, offrent aux élèves des conditions favorables à leur maintien, en particulier, les filles</v>
      </c>
      <c r="AC192" s="20" t="str">
        <f>D192 &amp; "-" &amp; VLOOKUP(D192,[4]STRATEGIES!$E$1:$F$504,2,FALSE)</f>
        <v>1241-Adaptation du mode de fonctionnement de l’école aux ressources disponibles pour assurer la continuité éducative</v>
      </c>
      <c r="AD192" s="21" t="str">
        <f t="shared" si="26"/>
        <v>12415-Mise en place des classes multigrades, double vacation dans les écoles primaires en fonction de leur situation</v>
      </c>
    </row>
    <row r="193" spans="1:30" s="22" customFormat="1" ht="60" hidden="1" customHeight="1" x14ac:dyDescent="0.8">
      <c r="A193" s="14">
        <v>1</v>
      </c>
      <c r="B193" s="15">
        <v>12</v>
      </c>
      <c r="C193" s="15">
        <v>124</v>
      </c>
      <c r="D193" s="15">
        <v>1241</v>
      </c>
      <c r="E193" s="15">
        <v>12416</v>
      </c>
      <c r="F193" s="16" t="s">
        <v>303</v>
      </c>
      <c r="G193" s="21" t="s">
        <v>37</v>
      </c>
      <c r="H193" s="17" t="s">
        <v>52</v>
      </c>
      <c r="I193" s="18">
        <v>0</v>
      </c>
      <c r="J193" s="18"/>
      <c r="K193" s="18"/>
      <c r="L193" s="18"/>
      <c r="M193" s="18">
        <f>SUM(I193:L193)</f>
        <v>0</v>
      </c>
      <c r="N193" s="18">
        <f>IF(OR(H193="",H193="sif",H193="PM"),0,VLOOKUP(H193,[5]CU!$C$4:$H$255,6,FALSE))</f>
        <v>1.5</v>
      </c>
      <c r="O193" s="18">
        <f>$N193*I193</f>
        <v>0</v>
      </c>
      <c r="P193" s="18">
        <f>$N193*J193</f>
        <v>0</v>
      </c>
      <c r="Q193" s="18">
        <f>$N193*K193</f>
        <v>0</v>
      </c>
      <c r="R193" s="18">
        <f>$N193*L193</f>
        <v>0</v>
      </c>
      <c r="S193" s="18">
        <f>SUM(O193:R193)</f>
        <v>0</v>
      </c>
      <c r="T193" s="23" t="s">
        <v>178</v>
      </c>
      <c r="U193" s="19" t="s">
        <v>170</v>
      </c>
      <c r="V193" s="19" t="str">
        <f>IF(OR($H193="",$H193="sif",$H193="PM"),"",VLOOKUP($H193,[5]CU!$C$5:$J$255,8,FALSE))</f>
        <v>3. Formation</v>
      </c>
      <c r="W193" s="19" t="s">
        <v>192</v>
      </c>
      <c r="X193" s="19" t="s">
        <v>304</v>
      </c>
      <c r="Y193" s="19" t="s">
        <v>32</v>
      </c>
      <c r="Z193" s="18" t="str">
        <f>A193 &amp; "-" &amp; VLOOKUP(A193,[4]PROGRAMMES!$E$1:$F$7,2,FALSE)</f>
        <v>1-Accès et équité à l'enseignement général</v>
      </c>
      <c r="AA193" s="19" t="str">
        <f>B193 &amp; "-" &amp; VLOOKUP(B193,[4]SOUSPROGRAMMES!$E$1:$F$44,2,FALSE)</f>
        <v>12- Accès équitable et achèvement du primaire</v>
      </c>
      <c r="AB193" s="19" t="str">
        <f>C193 &amp; "-" &amp; VLOOKUP(C193,[4]RESULTATS!$E$1:$F$176,2,FALSE)</f>
        <v>124- Toutes les écoles primaires, y compris les FA, offrent aux élèves des conditions favorables à leur maintien, en particulier, les filles</v>
      </c>
      <c r="AC193" s="20" t="str">
        <f>D193 &amp; "-" &amp; VLOOKUP(D193,[4]STRATEGIES!$E$1:$F$504,2,FALSE)</f>
        <v>1241-Adaptation du mode de fonctionnement de l’école aux ressources disponibles pour assurer la continuité éducative</v>
      </c>
      <c r="AD193" s="21" t="str">
        <f t="shared" si="26"/>
        <v>12416-Formation des enseignants sur la gestion des classes multigrades, uniques ou à effectif pléthoriques</v>
      </c>
    </row>
    <row r="194" spans="1:30" ht="60" hidden="1" customHeight="1" x14ac:dyDescent="0.8">
      <c r="A194" s="25">
        <v>1</v>
      </c>
      <c r="B194" s="16">
        <v>12</v>
      </c>
      <c r="C194" s="16">
        <v>124</v>
      </c>
      <c r="D194" s="16">
        <v>1241</v>
      </c>
      <c r="E194" s="16">
        <v>12416</v>
      </c>
      <c r="F194" s="16" t="s">
        <v>303</v>
      </c>
      <c r="G194" s="21" t="s">
        <v>37</v>
      </c>
      <c r="H194" s="21" t="s">
        <v>52</v>
      </c>
      <c r="I194" s="19">
        <v>0</v>
      </c>
      <c r="J194" s="19"/>
      <c r="K194" s="19">
        <v>6000</v>
      </c>
      <c r="L194" s="19">
        <v>6000</v>
      </c>
      <c r="M194" s="19">
        <f t="shared" si="40"/>
        <v>12000</v>
      </c>
      <c r="N194" s="19">
        <f>IF(OR(H194="",H194="sif",H194="PM"),0,VLOOKUP(H194,[5]CU!$C$4:$H$255,6,FALSE))</f>
        <v>1.5</v>
      </c>
      <c r="O194" s="19">
        <f t="shared" ref="O194:R207" si="41">$N194*I194</f>
        <v>0</v>
      </c>
      <c r="P194" s="19">
        <f t="shared" si="41"/>
        <v>0</v>
      </c>
      <c r="Q194" s="19">
        <f>$N194*K194</f>
        <v>9000</v>
      </c>
      <c r="R194" s="19">
        <f t="shared" si="41"/>
        <v>9000</v>
      </c>
      <c r="S194" s="28">
        <f t="shared" ref="S194:S207" si="42">SUM(O194:R194)</f>
        <v>18000</v>
      </c>
      <c r="T194" s="26" t="s">
        <v>169</v>
      </c>
      <c r="U194" s="19" t="s">
        <v>170</v>
      </c>
      <c r="V194" s="19" t="str">
        <f>IF(OR($H194="",$H194="sif",$H194="PM"),"",VLOOKUP($H194,[5]CU!$C$5:$J$255,8,FALSE))</f>
        <v>3. Formation</v>
      </c>
      <c r="W194" s="19" t="s">
        <v>192</v>
      </c>
      <c r="X194" s="19" t="s">
        <v>304</v>
      </c>
      <c r="Y194" s="19" t="s">
        <v>32</v>
      </c>
      <c r="Z194" s="19" t="str">
        <f>A194 &amp; "-" &amp; VLOOKUP(A194,[4]PROGRAMMES!$E$1:$F$7,2,FALSE)</f>
        <v>1-Accès et équité à l'enseignement général</v>
      </c>
      <c r="AA194" s="19" t="str">
        <f>B194 &amp; "-" &amp; VLOOKUP(B194,[4]SOUSPROGRAMMES!$E$1:$F$44,2,FALSE)</f>
        <v>12- Accès équitable et achèvement du primaire</v>
      </c>
      <c r="AB194" s="19" t="str">
        <f>C194 &amp; "-" &amp; VLOOKUP(C194,[4]RESULTATS!$E$1:$F$176,2,FALSE)</f>
        <v>124- Toutes les écoles primaires, y compris les FA, offrent aux élèves des conditions favorables à leur maintien, en particulier, les filles</v>
      </c>
      <c r="AC194" s="20" t="str">
        <f>D194 &amp; "-" &amp; VLOOKUP(D194,[4]STRATEGIES!$E$1:$F$504,2,FALSE)</f>
        <v>1241-Adaptation du mode de fonctionnement de l’école aux ressources disponibles pour assurer la continuité éducative</v>
      </c>
      <c r="AD194" s="21" t="str">
        <f t="shared" si="26"/>
        <v>12416-Formation des enseignants sur la gestion des classes multigrades, uniques ou à effectif pléthoriques</v>
      </c>
    </row>
    <row r="195" spans="1:30" s="22" customFormat="1" ht="60" hidden="1" customHeight="1" x14ac:dyDescent="0.8">
      <c r="A195" s="14">
        <v>1</v>
      </c>
      <c r="B195" s="15">
        <v>12</v>
      </c>
      <c r="C195" s="15">
        <v>124</v>
      </c>
      <c r="D195" s="15">
        <v>1241</v>
      </c>
      <c r="E195" s="15">
        <v>12417</v>
      </c>
      <c r="F195" s="16" t="s">
        <v>305</v>
      </c>
      <c r="G195" s="21" t="s">
        <v>58</v>
      </c>
      <c r="H195" s="17" t="s">
        <v>59</v>
      </c>
      <c r="I195" s="18">
        <v>0</v>
      </c>
      <c r="J195" s="18"/>
      <c r="K195" s="18"/>
      <c r="L195" s="18"/>
      <c r="M195" s="18">
        <f>SUM(I195:L195)</f>
        <v>0</v>
      </c>
      <c r="N195" s="18">
        <f>IF(OR(H195="",H195="sif",H195="PM"),0,VLOOKUP(H195,[5]CU!$C$4:$H$255,6,FALSE))</f>
        <v>0.8177777777777776</v>
      </c>
      <c r="O195" s="18">
        <f>$N195*I195</f>
        <v>0</v>
      </c>
      <c r="P195" s="18">
        <f>$N195*J195</f>
        <v>0</v>
      </c>
      <c r="Q195" s="18">
        <f>$N195*K195</f>
        <v>0</v>
      </c>
      <c r="R195" s="18">
        <f>$N195*L195</f>
        <v>0</v>
      </c>
      <c r="S195" s="18">
        <f>SUM(O195:R195)</f>
        <v>0</v>
      </c>
      <c r="T195" s="23" t="s">
        <v>178</v>
      </c>
      <c r="U195" s="18" t="s">
        <v>170</v>
      </c>
      <c r="V195" s="18" t="str">
        <f>IF(OR($H195="",$H195="sif",$H195="PM"),"",VLOOKUP($H195,[5]CU!$C$5:$J$255,8,FALSE))</f>
        <v>3. Dépenses de fonctionnement</v>
      </c>
      <c r="W195" s="18" t="s">
        <v>192</v>
      </c>
      <c r="X195" s="18" t="s">
        <v>192</v>
      </c>
      <c r="Y195" s="19" t="s">
        <v>32</v>
      </c>
      <c r="Z195" s="18" t="str">
        <f>A195 &amp; "-" &amp; VLOOKUP(A195,[4]PROGRAMMES!$E$1:$F$7,2,FALSE)</f>
        <v>1-Accès et équité à l'enseignement général</v>
      </c>
      <c r="AA195" s="19" t="str">
        <f>B195 &amp; "-" &amp; VLOOKUP(B195,[4]SOUSPROGRAMMES!$E$1:$F$44,2,FALSE)</f>
        <v>12- Accès équitable et achèvement du primaire</v>
      </c>
      <c r="AB195" s="19" t="str">
        <f>C195 &amp; "-" &amp; VLOOKUP(C195,[4]RESULTATS!$E$1:$F$176,2,FALSE)</f>
        <v>124- Toutes les écoles primaires, y compris les FA, offrent aux élèves des conditions favorables à leur maintien, en particulier, les filles</v>
      </c>
      <c r="AC195" s="20" t="str">
        <f>D195 &amp; "-" &amp; VLOOKUP(D195,[4]STRATEGIES!$E$1:$F$504,2,FALSE)</f>
        <v>1241-Adaptation du mode de fonctionnement de l’école aux ressources disponibles pour assurer la continuité éducative</v>
      </c>
      <c r="AD195" s="21" t="str">
        <f t="shared" si="26"/>
        <v>12417-Supervision du fonctionnement des CMG, des CDV, classe unique</v>
      </c>
    </row>
    <row r="196" spans="1:30" ht="60" hidden="1" customHeight="1" x14ac:dyDescent="0.8">
      <c r="A196" s="25">
        <v>1</v>
      </c>
      <c r="B196" s="16">
        <v>12</v>
      </c>
      <c r="C196" s="16">
        <v>124</v>
      </c>
      <c r="D196" s="16">
        <v>1241</v>
      </c>
      <c r="E196" s="16">
        <v>12417</v>
      </c>
      <c r="F196" s="16" t="s">
        <v>305</v>
      </c>
      <c r="G196" s="21" t="s">
        <v>58</v>
      </c>
      <c r="H196" s="21" t="s">
        <v>59</v>
      </c>
      <c r="I196" s="19">
        <v>0</v>
      </c>
      <c r="J196" s="19"/>
      <c r="K196" s="19">
        <f>4*50*4</f>
        <v>800</v>
      </c>
      <c r="L196" s="19">
        <f>4*10*4</f>
        <v>160</v>
      </c>
      <c r="M196" s="19">
        <f t="shared" si="40"/>
        <v>960</v>
      </c>
      <c r="N196" s="19">
        <f>IF(OR(H196="",H196="sif",H196="PM"),0,VLOOKUP(H196,[5]CU!$C$4:$H$255,6,FALSE))</f>
        <v>0.8177777777777776</v>
      </c>
      <c r="O196" s="19">
        <f t="shared" si="41"/>
        <v>0</v>
      </c>
      <c r="P196" s="19">
        <f t="shared" si="41"/>
        <v>0</v>
      </c>
      <c r="Q196" s="19">
        <f>$N196*K196</f>
        <v>654.22222222222206</v>
      </c>
      <c r="R196" s="19">
        <f t="shared" si="41"/>
        <v>130.84444444444441</v>
      </c>
      <c r="S196" s="19">
        <f t="shared" si="42"/>
        <v>785.06666666666649</v>
      </c>
      <c r="T196" s="26" t="s">
        <v>169</v>
      </c>
      <c r="U196" s="19" t="s">
        <v>170</v>
      </c>
      <c r="V196" s="19" t="str">
        <f>IF(OR($H196="",$H196="sif",$H196="PM"),"",VLOOKUP($H196,[5]CU!$C$5:$J$255,8,FALSE))</f>
        <v>3. Dépenses de fonctionnement</v>
      </c>
      <c r="W196" s="19" t="s">
        <v>192</v>
      </c>
      <c r="X196" s="19" t="s">
        <v>192</v>
      </c>
      <c r="Y196" s="19" t="s">
        <v>32</v>
      </c>
      <c r="Z196" s="19" t="str">
        <f>A196 &amp; "-" &amp; VLOOKUP(A196,[4]PROGRAMMES!$E$1:$F$7,2,FALSE)</f>
        <v>1-Accès et équité à l'enseignement général</v>
      </c>
      <c r="AA196" s="19" t="str">
        <f>B196 &amp; "-" &amp; VLOOKUP(B196,[4]SOUSPROGRAMMES!$E$1:$F$44,2,FALSE)</f>
        <v>12- Accès équitable et achèvement du primaire</v>
      </c>
      <c r="AB196" s="19" t="str">
        <f>C196 &amp; "-" &amp; VLOOKUP(C196,[4]RESULTATS!$E$1:$F$176,2,FALSE)</f>
        <v>124- Toutes les écoles primaires, y compris les FA, offrent aux élèves des conditions favorables à leur maintien, en particulier, les filles</v>
      </c>
      <c r="AC196" s="20" t="str">
        <f>D196 &amp; "-" &amp; VLOOKUP(D196,[4]STRATEGIES!$E$1:$F$504,2,FALSE)</f>
        <v>1241-Adaptation du mode de fonctionnement de l’école aux ressources disponibles pour assurer la continuité éducative</v>
      </c>
      <c r="AD196" s="21" t="str">
        <f t="shared" ref="AD196:AD259" si="43">E196 &amp; "-" &amp; F196</f>
        <v>12417-Supervision du fonctionnement des CMG, des CDV, classe unique</v>
      </c>
    </row>
    <row r="197" spans="1:30" s="22" customFormat="1" ht="60" hidden="1" customHeight="1" x14ac:dyDescent="0.8">
      <c r="A197" s="14">
        <v>1</v>
      </c>
      <c r="B197" s="15">
        <v>12</v>
      </c>
      <c r="C197" s="15">
        <v>124</v>
      </c>
      <c r="D197" s="15">
        <v>1242</v>
      </c>
      <c r="E197" s="15">
        <v>1242</v>
      </c>
      <c r="F197" s="16" t="s">
        <v>306</v>
      </c>
      <c r="G197" s="17"/>
      <c r="H197" s="17"/>
      <c r="I197" s="18">
        <v>0</v>
      </c>
      <c r="J197" s="18"/>
      <c r="K197" s="18"/>
      <c r="L197" s="18"/>
      <c r="M197" s="18"/>
      <c r="N197" s="18"/>
      <c r="O197" s="18"/>
      <c r="P197" s="18"/>
      <c r="Q197" s="18"/>
      <c r="R197" s="18"/>
      <c r="S197" s="18"/>
      <c r="T197" s="18"/>
      <c r="U197" s="18"/>
      <c r="V197" s="18"/>
      <c r="W197" s="18"/>
      <c r="X197" s="18"/>
      <c r="Y197" s="19" t="s">
        <v>32</v>
      </c>
      <c r="Z197" s="18" t="str">
        <f>A197 &amp; "-" &amp; VLOOKUP(A197,[4]PROGRAMMES!$E$1:$F$7,2,FALSE)</f>
        <v>1-Accès et équité à l'enseignement général</v>
      </c>
      <c r="AA197" s="19" t="str">
        <f>B197 &amp; "-" &amp; VLOOKUP(B197,[4]SOUSPROGRAMMES!$E$1:$F$44,2,FALSE)</f>
        <v>12- Accès équitable et achèvement du primaire</v>
      </c>
      <c r="AB197" s="19" t="str">
        <f>C197 &amp; "-" &amp; VLOOKUP(C197,[4]RESULTATS!$E$1:$F$176,2,FALSE)</f>
        <v>124- Toutes les écoles primaires, y compris les FA, offrent aux élèves des conditions favorables à leur maintien, en particulier, les filles</v>
      </c>
      <c r="AC197" s="20" t="str">
        <f>D197 &amp; "-" &amp; VLOOKUP(D197,[4]STRATEGIES!$E$1:$F$504,2,FALSE)</f>
        <v>1242-Lutte contre les violences sur le chemin de l’école, dans les écoles, et dans les familles, particulièrement envers les filles</v>
      </c>
      <c r="AD197" s="21" t="str">
        <f t="shared" si="43"/>
        <v>1242-Lutte contre les violences sur le chemin de l’école, dans les écoles, et dans les familles, particulièrement envers les filles</v>
      </c>
    </row>
    <row r="198" spans="1:30" ht="60" hidden="1" customHeight="1" x14ac:dyDescent="0.8">
      <c r="A198" s="25">
        <v>1</v>
      </c>
      <c r="B198" s="16">
        <v>12</v>
      </c>
      <c r="C198" s="16">
        <v>124</v>
      </c>
      <c r="D198" s="16">
        <v>1242</v>
      </c>
      <c r="E198" s="16">
        <v>12421</v>
      </c>
      <c r="F198" s="16" t="s">
        <v>307</v>
      </c>
      <c r="G198" s="21" t="s">
        <v>195</v>
      </c>
      <c r="H198" s="21" t="s">
        <v>308</v>
      </c>
      <c r="I198" s="19">
        <v>0</v>
      </c>
      <c r="J198" s="19"/>
      <c r="K198" s="19">
        <v>1</v>
      </c>
      <c r="L198" s="19"/>
      <c r="M198" s="19">
        <f t="shared" si="40"/>
        <v>1</v>
      </c>
      <c r="N198" s="19">
        <f>IF(OR(H198="",H198="sif",H198="PM"),0,VLOOKUP(H198,[5]CU!$C$4:$H$255,6,FALSE))</f>
        <v>855</v>
      </c>
      <c r="O198" s="19">
        <f t="shared" si="41"/>
        <v>0</v>
      </c>
      <c r="P198" s="19">
        <f t="shared" si="41"/>
        <v>0</v>
      </c>
      <c r="Q198" s="19">
        <f t="shared" si="41"/>
        <v>855</v>
      </c>
      <c r="R198" s="19">
        <f t="shared" si="41"/>
        <v>0</v>
      </c>
      <c r="S198" s="19">
        <f t="shared" si="42"/>
        <v>855</v>
      </c>
      <c r="T198" s="26" t="s">
        <v>169</v>
      </c>
      <c r="U198" s="19" t="s">
        <v>170</v>
      </c>
      <c r="V198" s="19" t="str">
        <f>IF(OR($H198="",$H198="sif",$H198="PM"),"",VLOOKUP($H198,[5]CU!$C$5:$J$255,8,FALSE))</f>
        <v>3. Dépenses de fonctionnement</v>
      </c>
      <c r="W198" s="19" t="s">
        <v>309</v>
      </c>
      <c r="X198" s="19" t="s">
        <v>309</v>
      </c>
      <c r="Y198" s="19" t="s">
        <v>32</v>
      </c>
      <c r="Z198" s="19" t="str">
        <f>A198 &amp; "-" &amp; VLOOKUP(A198,[4]PROGRAMMES!$E$1:$F$7,2,FALSE)</f>
        <v>1-Accès et équité à l'enseignement général</v>
      </c>
      <c r="AA198" s="19" t="str">
        <f>B198 &amp; "-" &amp; VLOOKUP(B198,[4]SOUSPROGRAMMES!$E$1:$F$44,2,FALSE)</f>
        <v>12- Accès équitable et achèvement du primaire</v>
      </c>
      <c r="AB198" s="19" t="str">
        <f>C198 &amp; "-" &amp; VLOOKUP(C198,[4]RESULTATS!$E$1:$F$176,2,FALSE)</f>
        <v>124- Toutes les écoles primaires, y compris les FA, offrent aux élèves des conditions favorables à leur maintien, en particulier, les filles</v>
      </c>
      <c r="AC198" s="20" t="str">
        <f>D198 &amp; "-" &amp; VLOOKUP(D198,[4]STRATEGIES!$E$1:$F$504,2,FALSE)</f>
        <v>1242-Lutte contre les violences sur le chemin de l’école, dans les écoles, et dans les familles, particulièrement envers les filles</v>
      </c>
      <c r="AD198" s="21" t="str">
        <f t="shared" si="43"/>
        <v>12421-Etude sur les violences en milieu scolaire</v>
      </c>
    </row>
    <row r="199" spans="1:30" ht="60" hidden="1" customHeight="1" x14ac:dyDescent="0.8">
      <c r="A199" s="25">
        <v>1</v>
      </c>
      <c r="B199" s="16">
        <v>12</v>
      </c>
      <c r="C199" s="16">
        <v>124</v>
      </c>
      <c r="D199" s="16">
        <v>1242</v>
      </c>
      <c r="E199" s="16">
        <v>12422</v>
      </c>
      <c r="F199" s="16" t="s">
        <v>310</v>
      </c>
      <c r="G199" s="21" t="s">
        <v>37</v>
      </c>
      <c r="H199" s="21" t="s">
        <v>66</v>
      </c>
      <c r="I199" s="19">
        <v>0</v>
      </c>
      <c r="J199" s="19">
        <f>20*5</f>
        <v>100</v>
      </c>
      <c r="K199" s="19"/>
      <c r="L199" s="19"/>
      <c r="M199" s="19">
        <f t="shared" si="40"/>
        <v>100</v>
      </c>
      <c r="N199" s="19">
        <f>IF(OR(H199="",H199="sif",H199="PM"),0,VLOOKUP(H199,[5]CU!$C$4:$H$255,6,FALSE))</f>
        <v>0.255</v>
      </c>
      <c r="O199" s="19">
        <f t="shared" si="41"/>
        <v>0</v>
      </c>
      <c r="P199" s="19">
        <f t="shared" si="41"/>
        <v>25.5</v>
      </c>
      <c r="Q199" s="19">
        <f t="shared" si="41"/>
        <v>0</v>
      </c>
      <c r="R199" s="19">
        <f t="shared" si="41"/>
        <v>0</v>
      </c>
      <c r="S199" s="19">
        <f t="shared" si="42"/>
        <v>25.5</v>
      </c>
      <c r="T199" s="26" t="s">
        <v>169</v>
      </c>
      <c r="U199" s="19" t="s">
        <v>170</v>
      </c>
      <c r="V199" s="19" t="str">
        <f>IF(OR($H199="",$H199="sif",$H199="PM"),"",VLOOKUP($H199,[5]CU!$C$5:$J$255,8,FALSE))</f>
        <v>3. Dépenses de fonctionnement</v>
      </c>
      <c r="W199" s="19" t="s">
        <v>309</v>
      </c>
      <c r="X199" s="19" t="s">
        <v>311</v>
      </c>
      <c r="Y199" s="19" t="s">
        <v>32</v>
      </c>
      <c r="Z199" s="19" t="str">
        <f>A199 &amp; "-" &amp; VLOOKUP(A199,[4]PROGRAMMES!$E$1:$F$7,2,FALSE)</f>
        <v>1-Accès et équité à l'enseignement général</v>
      </c>
      <c r="AA199" s="19" t="str">
        <f>B199 &amp; "-" &amp; VLOOKUP(B199,[4]SOUSPROGRAMMES!$E$1:$F$44,2,FALSE)</f>
        <v>12- Accès équitable et achèvement du primaire</v>
      </c>
      <c r="AB199" s="19" t="str">
        <f>C199 &amp; "-" &amp; VLOOKUP(C199,[4]RESULTATS!$E$1:$F$176,2,FALSE)</f>
        <v>124- Toutes les écoles primaires, y compris les FA, offrent aux élèves des conditions favorables à leur maintien, en particulier, les filles</v>
      </c>
      <c r="AC199" s="20" t="str">
        <f>D199 &amp; "-" &amp; VLOOKUP(D199,[4]STRATEGIES!$E$1:$F$504,2,FALSE)</f>
        <v>1242-Lutte contre les violences sur le chemin de l’école, dans les écoles, et dans les familles, particulièrement envers les filles</v>
      </c>
      <c r="AD199" s="21" t="str">
        <f t="shared" si="43"/>
        <v>12422-Actualisation des textes règlementaires sur les violences en milieu scolaire</v>
      </c>
    </row>
    <row r="200" spans="1:30" ht="60" hidden="1" customHeight="1" x14ac:dyDescent="0.8">
      <c r="A200" s="25">
        <v>1</v>
      </c>
      <c r="B200" s="16">
        <v>12</v>
      </c>
      <c r="C200" s="16">
        <v>124</v>
      </c>
      <c r="D200" s="16">
        <v>1242</v>
      </c>
      <c r="E200" s="16">
        <v>12423</v>
      </c>
      <c r="F200" s="16" t="s">
        <v>312</v>
      </c>
      <c r="G200" s="21" t="s">
        <v>44</v>
      </c>
      <c r="H200" s="21" t="s">
        <v>313</v>
      </c>
      <c r="I200" s="19">
        <v>0</v>
      </c>
      <c r="J200" s="19"/>
      <c r="K200" s="19">
        <f>10*100000</f>
        <v>1000000</v>
      </c>
      <c r="L200" s="19"/>
      <c r="M200" s="19">
        <f t="shared" si="40"/>
        <v>1000000</v>
      </c>
      <c r="N200" s="19">
        <f>IF(OR(H200="",H200="sif",H200="PM"),0,VLOOKUP(H200,[5]CU!$C$4:$H$255,6,FALSE))</f>
        <v>7.4999999999999997E-3</v>
      </c>
      <c r="O200" s="19">
        <f t="shared" si="41"/>
        <v>0</v>
      </c>
      <c r="P200" s="19">
        <f t="shared" si="41"/>
        <v>0</v>
      </c>
      <c r="Q200" s="19">
        <f t="shared" si="41"/>
        <v>7500</v>
      </c>
      <c r="R200" s="19">
        <f t="shared" si="41"/>
        <v>0</v>
      </c>
      <c r="S200" s="19">
        <f t="shared" si="42"/>
        <v>7500</v>
      </c>
      <c r="T200" s="26" t="s">
        <v>169</v>
      </c>
      <c r="U200" s="19" t="s">
        <v>170</v>
      </c>
      <c r="V200" s="19" t="str">
        <f>IF(OR($H200="",$H200="sif",$H200="PM"),"",VLOOKUP($H200,[5]CU!$C$5:$J$255,8,FALSE))</f>
        <v>3. Dépenses de fonctionnement</v>
      </c>
      <c r="W200" s="19" t="s">
        <v>309</v>
      </c>
      <c r="X200" s="19" t="s">
        <v>309</v>
      </c>
      <c r="Y200" s="19" t="s">
        <v>32</v>
      </c>
      <c r="Z200" s="19" t="str">
        <f>A200 &amp; "-" &amp; VLOOKUP(A200,[4]PROGRAMMES!$E$1:$F$7,2,FALSE)</f>
        <v>1-Accès et équité à l'enseignement général</v>
      </c>
      <c r="AA200" s="19" t="str">
        <f>B200 &amp; "-" &amp; VLOOKUP(B200,[4]SOUSPROGRAMMES!$E$1:$F$44,2,FALSE)</f>
        <v>12- Accès équitable et achèvement du primaire</v>
      </c>
      <c r="AB200" s="19" t="str">
        <f>C200 &amp; "-" &amp; VLOOKUP(C200,[4]RESULTATS!$E$1:$F$176,2,FALSE)</f>
        <v>124- Toutes les écoles primaires, y compris les FA, offrent aux élèves des conditions favorables à leur maintien, en particulier, les filles</v>
      </c>
      <c r="AC200" s="20" t="str">
        <f>D200 &amp; "-" &amp; VLOOKUP(D200,[4]STRATEGIES!$E$1:$F$504,2,FALSE)</f>
        <v>1242-Lutte contre les violences sur le chemin de l’école, dans les écoles, et dans les familles, particulièrement envers les filles</v>
      </c>
      <c r="AD200" s="21" t="str">
        <f t="shared" si="43"/>
        <v>12423-Impression des textes règlementaires sur les violences en milieu scolaire</v>
      </c>
    </row>
    <row r="201" spans="1:30" ht="60" hidden="1" customHeight="1" x14ac:dyDescent="0.8">
      <c r="A201" s="25">
        <v>1</v>
      </c>
      <c r="B201" s="16">
        <v>12</v>
      </c>
      <c r="C201" s="16">
        <v>124</v>
      </c>
      <c r="D201" s="16">
        <v>1242</v>
      </c>
      <c r="E201" s="16">
        <v>12424</v>
      </c>
      <c r="F201" s="16" t="s">
        <v>314</v>
      </c>
      <c r="G201" s="21" t="s">
        <v>315</v>
      </c>
      <c r="H201" s="21" t="s">
        <v>38</v>
      </c>
      <c r="I201" s="19">
        <v>0</v>
      </c>
      <c r="J201" s="19"/>
      <c r="K201" s="19">
        <f>50*3*8*2</f>
        <v>2400</v>
      </c>
      <c r="L201" s="19"/>
      <c r="M201" s="19">
        <f t="shared" si="40"/>
        <v>2400</v>
      </c>
      <c r="N201" s="19">
        <f>IF(OR(H201="",H201="sif",H201="PM"),0,VLOOKUP(H201,[5]CU!$C$4:$H$255,6,FALSE))</f>
        <v>0.3133333333333333</v>
      </c>
      <c r="O201" s="19">
        <f t="shared" si="41"/>
        <v>0</v>
      </c>
      <c r="P201" s="19">
        <f t="shared" si="41"/>
        <v>0</v>
      </c>
      <c r="Q201" s="19">
        <f t="shared" si="41"/>
        <v>751.99999999999989</v>
      </c>
      <c r="R201" s="19">
        <f t="shared" si="41"/>
        <v>0</v>
      </c>
      <c r="S201" s="19">
        <f t="shared" si="42"/>
        <v>751.99999999999989</v>
      </c>
      <c r="T201" s="26" t="s">
        <v>169</v>
      </c>
      <c r="U201" s="19" t="s">
        <v>170</v>
      </c>
      <c r="V201" s="19" t="str">
        <f>IF(OR($H201="",$H201="sif",$H201="PM"),"",VLOOKUP($H201,[5]CU!$C$5:$J$255,8,FALSE))</f>
        <v>3. Formation</v>
      </c>
      <c r="W201" s="19" t="s">
        <v>309</v>
      </c>
      <c r="X201" s="19" t="s">
        <v>316</v>
      </c>
      <c r="Y201" s="19" t="s">
        <v>32</v>
      </c>
      <c r="Z201" s="19" t="str">
        <f>A201 &amp; "-" &amp; VLOOKUP(A201,[4]PROGRAMMES!$E$1:$F$7,2,FALSE)</f>
        <v>1-Accès et équité à l'enseignement général</v>
      </c>
      <c r="AA201" s="19" t="str">
        <f>B201 &amp; "-" &amp; VLOOKUP(B201,[4]SOUSPROGRAMMES!$E$1:$F$44,2,FALSE)</f>
        <v>12- Accès équitable et achèvement du primaire</v>
      </c>
      <c r="AB201" s="19" t="str">
        <f>C201 &amp; "-" &amp; VLOOKUP(C201,[4]RESULTATS!$E$1:$F$176,2,FALSE)</f>
        <v>124- Toutes les écoles primaires, y compris les FA, offrent aux élèves des conditions favorables à leur maintien, en particulier, les filles</v>
      </c>
      <c r="AC201" s="20" t="str">
        <f>D201 &amp; "-" &amp; VLOOKUP(D201,[4]STRATEGIES!$E$1:$F$504,2,FALSE)</f>
        <v>1242-Lutte contre les violences sur le chemin de l’école, dans les écoles, et dans les familles, particulièrement envers les filles</v>
      </c>
      <c r="AD201" s="21" t="str">
        <f t="shared" si="43"/>
        <v>12424-Vulgarisation des textes règlementaires sur les violences en milieu scolaire</v>
      </c>
    </row>
    <row r="202" spans="1:30" ht="60" hidden="1" customHeight="1" x14ac:dyDescent="0.8">
      <c r="A202" s="25">
        <v>1</v>
      </c>
      <c r="B202" s="16">
        <v>12</v>
      </c>
      <c r="C202" s="16">
        <v>124</v>
      </c>
      <c r="D202" s="16">
        <v>1242</v>
      </c>
      <c r="E202" s="16">
        <v>12425</v>
      </c>
      <c r="F202" s="16" t="s">
        <v>317</v>
      </c>
      <c r="G202" s="21" t="s">
        <v>177</v>
      </c>
      <c r="H202" s="21" t="s">
        <v>59</v>
      </c>
      <c r="I202" s="19">
        <v>0</v>
      </c>
      <c r="J202" s="19"/>
      <c r="K202" s="19">
        <f>(427*2*3)*50%*2</f>
        <v>2562</v>
      </c>
      <c r="L202" s="19">
        <f t="shared" ref="J202:L203" si="44">(427*2*3)*46.6%</f>
        <v>1193.8920000000001</v>
      </c>
      <c r="M202" s="19">
        <f t="shared" si="40"/>
        <v>3755.8919999999998</v>
      </c>
      <c r="N202" s="19">
        <f>IF(OR(H202="",H202="sif",H202="PM"),0,VLOOKUP(H202,[5]CU!$C$4:$H$255,6,FALSE))</f>
        <v>0.8177777777777776</v>
      </c>
      <c r="O202" s="19">
        <f t="shared" si="41"/>
        <v>0</v>
      </c>
      <c r="P202" s="19">
        <f t="shared" si="41"/>
        <v>0</v>
      </c>
      <c r="Q202" s="19">
        <f t="shared" si="41"/>
        <v>2095.1466666666661</v>
      </c>
      <c r="R202" s="19">
        <f t="shared" si="41"/>
        <v>976.33834666666655</v>
      </c>
      <c r="S202" s="28">
        <f t="shared" si="42"/>
        <v>3071.4850133333325</v>
      </c>
      <c r="T202" s="26" t="s">
        <v>169</v>
      </c>
      <c r="U202" s="19" t="s">
        <v>170</v>
      </c>
      <c r="V202" s="19" t="str">
        <f>IF(OR($H202="",$H202="sif",$H202="PM"),"",VLOOKUP($H202,[5]CU!$C$5:$J$255,8,FALSE))</f>
        <v>3. Dépenses de fonctionnement</v>
      </c>
      <c r="W202" s="19" t="s">
        <v>309</v>
      </c>
      <c r="X202" s="19" t="s">
        <v>77</v>
      </c>
      <c r="Y202" s="19" t="s">
        <v>32</v>
      </c>
      <c r="Z202" s="19" t="str">
        <f>A202 &amp; "-" &amp; VLOOKUP(A202,[4]PROGRAMMES!$E$1:$F$7,2,FALSE)</f>
        <v>1-Accès et équité à l'enseignement général</v>
      </c>
      <c r="AA202" s="19" t="str">
        <f>B202 &amp; "-" &amp; VLOOKUP(B202,[4]SOUSPROGRAMMES!$E$1:$F$44,2,FALSE)</f>
        <v>12- Accès équitable et achèvement du primaire</v>
      </c>
      <c r="AB202" s="19" t="str">
        <f>C202 &amp; "-" &amp; VLOOKUP(C202,[4]RESULTATS!$E$1:$F$176,2,FALSE)</f>
        <v>124- Toutes les écoles primaires, y compris les FA, offrent aux élèves des conditions favorables à leur maintien, en particulier, les filles</v>
      </c>
      <c r="AC202" s="20" t="str">
        <f>D202 &amp; "-" &amp; VLOOKUP(D202,[4]STRATEGIES!$E$1:$F$504,2,FALSE)</f>
        <v>1242-Lutte contre les violences sur le chemin de l’école, dans les écoles, et dans les familles, particulièrement envers les filles</v>
      </c>
      <c r="AD202" s="21" t="str">
        <f t="shared" si="43"/>
        <v xml:space="preserve">12425-Sensibilisation des élèves, enseignants et parents d'élèves sur les méfaits des différentes formes de violences </v>
      </c>
    </row>
    <row r="203" spans="1:30" s="22" customFormat="1" ht="60" hidden="1" customHeight="1" x14ac:dyDescent="0.8">
      <c r="A203" s="14">
        <v>1</v>
      </c>
      <c r="B203" s="15">
        <v>12</v>
      </c>
      <c r="C203" s="15">
        <v>124</v>
      </c>
      <c r="D203" s="15">
        <v>1242</v>
      </c>
      <c r="E203" s="15">
        <v>12425</v>
      </c>
      <c r="F203" s="16" t="s">
        <v>317</v>
      </c>
      <c r="G203" s="21" t="s">
        <v>177</v>
      </c>
      <c r="H203" s="17" t="s">
        <v>59</v>
      </c>
      <c r="I203" s="18">
        <v>0</v>
      </c>
      <c r="J203" s="18">
        <f t="shared" si="44"/>
        <v>1193.8920000000001</v>
      </c>
      <c r="K203" s="18">
        <f t="shared" si="44"/>
        <v>1193.8920000000001</v>
      </c>
      <c r="L203" s="18">
        <f t="shared" si="44"/>
        <v>1193.8920000000001</v>
      </c>
      <c r="M203" s="18">
        <f>SUM(I203:L203)</f>
        <v>3581.6760000000004</v>
      </c>
      <c r="N203" s="18">
        <f>IF(OR(H203="",H203="sif",H203="PM"),0,VLOOKUP(H203,[5]CU!$C$4:$H$255,6,FALSE))</f>
        <v>0.8177777777777776</v>
      </c>
      <c r="O203" s="18">
        <f>$N203*I203</f>
        <v>0</v>
      </c>
      <c r="P203" s="18">
        <f>$N203*J203</f>
        <v>976.33834666666655</v>
      </c>
      <c r="Q203" s="18">
        <f>$N203*K203</f>
        <v>976.33834666666655</v>
      </c>
      <c r="R203" s="18">
        <f>$N203*L203</f>
        <v>976.33834666666655</v>
      </c>
      <c r="S203" s="27">
        <f>SUM(O203:R203)</f>
        <v>2929.0150399999998</v>
      </c>
      <c r="T203" s="23" t="s">
        <v>118</v>
      </c>
      <c r="U203" s="18" t="s">
        <v>170</v>
      </c>
      <c r="V203" s="18" t="str">
        <f>IF(OR($H203="",$H203="sif",$H203="PM"),"",VLOOKUP($H203,[5]CU!$C$5:$J$255,8,FALSE))</f>
        <v>3. Dépenses de fonctionnement</v>
      </c>
      <c r="W203" s="18" t="s">
        <v>309</v>
      </c>
      <c r="X203" s="18" t="s">
        <v>77</v>
      </c>
      <c r="Y203" s="19" t="s">
        <v>32</v>
      </c>
      <c r="Z203" s="18" t="str">
        <f>A203 &amp; "-" &amp; VLOOKUP(A203,[4]PROGRAMMES!$E$1:$F$7,2,FALSE)</f>
        <v>1-Accès et équité à l'enseignement général</v>
      </c>
      <c r="AA203" s="19" t="str">
        <f>B203 &amp; "-" &amp; VLOOKUP(B203,[4]SOUSPROGRAMMES!$E$1:$F$44,2,FALSE)</f>
        <v>12- Accès équitable et achèvement du primaire</v>
      </c>
      <c r="AB203" s="19" t="str">
        <f>C203 &amp; "-" &amp; VLOOKUP(C203,[4]RESULTATS!$E$1:$F$176,2,FALSE)</f>
        <v>124- Toutes les écoles primaires, y compris les FA, offrent aux élèves des conditions favorables à leur maintien, en particulier, les filles</v>
      </c>
      <c r="AC203" s="20" t="str">
        <f>D203 &amp; "-" &amp; VLOOKUP(D203,[4]STRATEGIES!$E$1:$F$504,2,FALSE)</f>
        <v>1242-Lutte contre les violences sur le chemin de l’école, dans les écoles, et dans les familles, particulièrement envers les filles</v>
      </c>
      <c r="AD203" s="21" t="str">
        <f t="shared" si="43"/>
        <v xml:space="preserve">12425-Sensibilisation des élèves, enseignants et parents d'élèves sur les méfaits des différentes formes de violences </v>
      </c>
    </row>
    <row r="204" spans="1:30" s="22" customFormat="1" ht="60" hidden="1" customHeight="1" x14ac:dyDescent="0.8">
      <c r="A204" s="14">
        <v>1</v>
      </c>
      <c r="B204" s="15">
        <v>12</v>
      </c>
      <c r="C204" s="15">
        <v>124</v>
      </c>
      <c r="D204" s="15">
        <v>1242</v>
      </c>
      <c r="E204" s="15">
        <v>12425</v>
      </c>
      <c r="F204" s="16" t="s">
        <v>317</v>
      </c>
      <c r="G204" s="21" t="s">
        <v>177</v>
      </c>
      <c r="H204" s="17" t="s">
        <v>59</v>
      </c>
      <c r="I204" s="18">
        <v>0</v>
      </c>
      <c r="J204" s="18">
        <f>(427*2*3)*6.8%</f>
        <v>174.21600000000001</v>
      </c>
      <c r="K204" s="18">
        <f>(427*2*3)*6.8%</f>
        <v>174.21600000000001</v>
      </c>
      <c r="L204" s="18">
        <f>(427*2*3)*6.8%</f>
        <v>174.21600000000001</v>
      </c>
      <c r="M204" s="18">
        <f t="shared" si="40"/>
        <v>522.64800000000002</v>
      </c>
      <c r="N204" s="18">
        <f>IF(OR(H204="",H204="sif",H204="PM"),0,VLOOKUP(H204,[5]CU!$C$4:$H$255,6,FALSE))</f>
        <v>0.8177777777777776</v>
      </c>
      <c r="O204" s="18">
        <f t="shared" si="41"/>
        <v>0</v>
      </c>
      <c r="P204" s="18">
        <f t="shared" si="41"/>
        <v>142.46997333333331</v>
      </c>
      <c r="Q204" s="18">
        <f t="shared" si="41"/>
        <v>142.46997333333331</v>
      </c>
      <c r="R204" s="18">
        <f t="shared" si="41"/>
        <v>142.46997333333331</v>
      </c>
      <c r="S204" s="27">
        <f t="shared" si="42"/>
        <v>427.40991999999994</v>
      </c>
      <c r="T204" s="23" t="s">
        <v>67</v>
      </c>
      <c r="U204" s="18" t="s">
        <v>170</v>
      </c>
      <c r="V204" s="18" t="str">
        <f>IF(OR($H204="",$H204="sif",$H204="PM"),"",VLOOKUP($H204,[5]CU!$C$5:$J$255,8,FALSE))</f>
        <v>3. Dépenses de fonctionnement</v>
      </c>
      <c r="W204" s="18" t="s">
        <v>309</v>
      </c>
      <c r="X204" s="18" t="s">
        <v>77</v>
      </c>
      <c r="Y204" s="19" t="s">
        <v>32</v>
      </c>
      <c r="Z204" s="18" t="str">
        <f>A204 &amp; "-" &amp; VLOOKUP(A204,[4]PROGRAMMES!$E$1:$F$7,2,FALSE)</f>
        <v>1-Accès et équité à l'enseignement général</v>
      </c>
      <c r="AA204" s="19" t="str">
        <f>B204 &amp; "-" &amp; VLOOKUP(B204,[4]SOUSPROGRAMMES!$E$1:$F$44,2,FALSE)</f>
        <v>12- Accès équitable et achèvement du primaire</v>
      </c>
      <c r="AB204" s="19" t="str">
        <f>C204 &amp; "-" &amp; VLOOKUP(C204,[4]RESULTATS!$E$1:$F$176,2,FALSE)</f>
        <v>124- Toutes les écoles primaires, y compris les FA, offrent aux élèves des conditions favorables à leur maintien, en particulier, les filles</v>
      </c>
      <c r="AC204" s="20" t="str">
        <f>D204 &amp; "-" &amp; VLOOKUP(D204,[4]STRATEGIES!$E$1:$F$504,2,FALSE)</f>
        <v>1242-Lutte contre les violences sur le chemin de l’école, dans les écoles, et dans les familles, particulièrement envers les filles</v>
      </c>
      <c r="AD204" s="21" t="str">
        <f t="shared" si="43"/>
        <v xml:space="preserve">12425-Sensibilisation des élèves, enseignants et parents d'élèves sur les méfaits des différentes formes de violences </v>
      </c>
    </row>
    <row r="205" spans="1:30" ht="60" hidden="1" customHeight="1" x14ac:dyDescent="0.8">
      <c r="A205" s="25">
        <v>1</v>
      </c>
      <c r="B205" s="16">
        <v>12</v>
      </c>
      <c r="C205" s="16">
        <v>124</v>
      </c>
      <c r="D205" s="16">
        <v>1242</v>
      </c>
      <c r="E205" s="16">
        <v>12426</v>
      </c>
      <c r="F205" s="16" t="s">
        <v>318</v>
      </c>
      <c r="G205" s="21" t="s">
        <v>262</v>
      </c>
      <c r="H205" s="21" t="s">
        <v>59</v>
      </c>
      <c r="I205" s="19">
        <v>0</v>
      </c>
      <c r="J205" s="19"/>
      <c r="K205" s="19">
        <f>(10*2*427)*50%</f>
        <v>4270</v>
      </c>
      <c r="L205" s="19"/>
      <c r="M205" s="19">
        <f t="shared" si="40"/>
        <v>4270</v>
      </c>
      <c r="N205" s="19">
        <f>IF(OR(H205="",H205="sif",H205="PM"),0,VLOOKUP(H205,[5]CU!$C$4:$H$255,6,FALSE))</f>
        <v>0.8177777777777776</v>
      </c>
      <c r="O205" s="19">
        <f t="shared" si="41"/>
        <v>0</v>
      </c>
      <c r="P205" s="19">
        <f t="shared" si="41"/>
        <v>0</v>
      </c>
      <c r="Q205" s="19">
        <f>$N205*K205</f>
        <v>3491.9111111111106</v>
      </c>
      <c r="R205" s="19">
        <f t="shared" si="41"/>
        <v>0</v>
      </c>
      <c r="S205" s="19">
        <f t="shared" si="42"/>
        <v>3491.9111111111106</v>
      </c>
      <c r="T205" s="26" t="s">
        <v>169</v>
      </c>
      <c r="U205" s="19" t="s">
        <v>170</v>
      </c>
      <c r="V205" s="19" t="str">
        <f>IF(OR($H205="",$H205="sif",$H205="PM"),"",VLOOKUP($H205,[5]CU!$C$5:$J$255,8,FALSE))</f>
        <v>3. Dépenses de fonctionnement</v>
      </c>
      <c r="W205" s="19" t="s">
        <v>309</v>
      </c>
      <c r="X205" s="19" t="s">
        <v>77</v>
      </c>
      <c r="Y205" s="19" t="s">
        <v>32</v>
      </c>
      <c r="Z205" s="19" t="str">
        <f>A205 &amp; "-" &amp; VLOOKUP(A205,[4]PROGRAMMES!$E$1:$F$7,2,FALSE)</f>
        <v>1-Accès et équité à l'enseignement général</v>
      </c>
      <c r="AA205" s="19" t="str">
        <f>B205 &amp; "-" &amp; VLOOKUP(B205,[4]SOUSPROGRAMMES!$E$1:$F$44,2,FALSE)</f>
        <v>12- Accès équitable et achèvement du primaire</v>
      </c>
      <c r="AB205" s="19" t="str">
        <f>C205 &amp; "-" &amp; VLOOKUP(C205,[4]RESULTATS!$E$1:$F$176,2,FALSE)</f>
        <v>124- Toutes les écoles primaires, y compris les FA, offrent aux élèves des conditions favorables à leur maintien, en particulier, les filles</v>
      </c>
      <c r="AC205" s="20" t="str">
        <f>D205 &amp; "-" &amp; VLOOKUP(D205,[4]STRATEGIES!$E$1:$F$504,2,FALSE)</f>
        <v>1242-Lutte contre les violences sur le chemin de l’école, dans les écoles, et dans les familles, particulièrement envers les filles</v>
      </c>
      <c r="AD205" s="21" t="str">
        <f t="shared" si="43"/>
        <v>12426-Mise en place de structures de veille sur les violences en milieu scolaires</v>
      </c>
    </row>
    <row r="206" spans="1:30" s="22" customFormat="1" ht="60" hidden="1" customHeight="1" x14ac:dyDescent="0.8">
      <c r="A206" s="14">
        <v>1</v>
      </c>
      <c r="B206" s="15">
        <v>12</v>
      </c>
      <c r="C206" s="15">
        <v>124</v>
      </c>
      <c r="D206" s="15">
        <v>1242</v>
      </c>
      <c r="E206" s="15">
        <v>12426</v>
      </c>
      <c r="F206" s="16" t="s">
        <v>318</v>
      </c>
      <c r="G206" s="21" t="s">
        <v>262</v>
      </c>
      <c r="H206" s="17" t="s">
        <v>59</v>
      </c>
      <c r="I206" s="18">
        <v>0</v>
      </c>
      <c r="J206" s="18"/>
      <c r="K206" s="18">
        <f>(10*2*427)*40%</f>
        <v>3416</v>
      </c>
      <c r="L206" s="18"/>
      <c r="M206" s="18">
        <f>SUM(I206:L206)</f>
        <v>3416</v>
      </c>
      <c r="N206" s="18">
        <f>IF(OR(H206="",H206="sif",H206="PM"),0,VLOOKUP(H206,[5]CU!$C$4:$H$255,6,FALSE))</f>
        <v>0.8177777777777776</v>
      </c>
      <c r="O206" s="18">
        <f>$N206*I206</f>
        <v>0</v>
      </c>
      <c r="P206" s="18">
        <f>$N206*J206</f>
        <v>0</v>
      </c>
      <c r="Q206" s="18">
        <f>$N206*K206</f>
        <v>2793.5288888888881</v>
      </c>
      <c r="R206" s="18">
        <f>$N206*L206</f>
        <v>0</v>
      </c>
      <c r="S206" s="18">
        <f>SUM(O206:R206)</f>
        <v>2793.5288888888881</v>
      </c>
      <c r="T206" s="23" t="s">
        <v>118</v>
      </c>
      <c r="U206" s="18" t="s">
        <v>170</v>
      </c>
      <c r="V206" s="18" t="str">
        <f>IF(OR($H206="",$H206="sif",$H206="PM"),"",VLOOKUP($H206,[5]CU!$C$5:$J$255,8,FALSE))</f>
        <v>3. Dépenses de fonctionnement</v>
      </c>
      <c r="W206" s="18" t="s">
        <v>309</v>
      </c>
      <c r="X206" s="18" t="s">
        <v>77</v>
      </c>
      <c r="Y206" s="19" t="s">
        <v>32</v>
      </c>
      <c r="Z206" s="18" t="str">
        <f>A206 &amp; "-" &amp; VLOOKUP(A206,[4]PROGRAMMES!$E$1:$F$7,2,FALSE)</f>
        <v>1-Accès et équité à l'enseignement général</v>
      </c>
      <c r="AA206" s="19" t="str">
        <f>B206 &amp; "-" &amp; VLOOKUP(B206,[4]SOUSPROGRAMMES!$E$1:$F$44,2,FALSE)</f>
        <v>12- Accès équitable et achèvement du primaire</v>
      </c>
      <c r="AB206" s="19" t="str">
        <f>C206 &amp; "-" &amp; VLOOKUP(C206,[4]RESULTATS!$E$1:$F$176,2,FALSE)</f>
        <v>124- Toutes les écoles primaires, y compris les FA, offrent aux élèves des conditions favorables à leur maintien, en particulier, les filles</v>
      </c>
      <c r="AC206" s="20" t="str">
        <f>D206 &amp; "-" &amp; VLOOKUP(D206,[4]STRATEGIES!$E$1:$F$504,2,FALSE)</f>
        <v>1242-Lutte contre les violences sur le chemin de l’école, dans les écoles, et dans les familles, particulièrement envers les filles</v>
      </c>
      <c r="AD206" s="21" t="str">
        <f t="shared" si="43"/>
        <v>12426-Mise en place de structures de veille sur les violences en milieu scolaires</v>
      </c>
    </row>
    <row r="207" spans="1:30" s="22" customFormat="1" ht="60" hidden="1" customHeight="1" x14ac:dyDescent="0.8">
      <c r="A207" s="14">
        <v>1</v>
      </c>
      <c r="B207" s="15">
        <v>12</v>
      </c>
      <c r="C207" s="15">
        <v>124</v>
      </c>
      <c r="D207" s="15">
        <v>1242</v>
      </c>
      <c r="E207" s="15">
        <v>12426</v>
      </c>
      <c r="F207" s="16" t="s">
        <v>318</v>
      </c>
      <c r="G207" s="21" t="s">
        <v>262</v>
      </c>
      <c r="H207" s="17" t="s">
        <v>59</v>
      </c>
      <c r="I207" s="18">
        <v>0</v>
      </c>
      <c r="J207" s="18"/>
      <c r="K207" s="18">
        <f>(10*2*427)*10%</f>
        <v>854</v>
      </c>
      <c r="L207" s="18"/>
      <c r="M207" s="18">
        <f t="shared" si="40"/>
        <v>854</v>
      </c>
      <c r="N207" s="18">
        <f>IF(OR(H207="",H207="sif",H207="PM"),0,VLOOKUP(H207,[5]CU!$C$4:$H$255,6,FALSE))</f>
        <v>0.8177777777777776</v>
      </c>
      <c r="O207" s="18">
        <f t="shared" si="41"/>
        <v>0</v>
      </c>
      <c r="P207" s="18">
        <f t="shared" si="41"/>
        <v>0</v>
      </c>
      <c r="Q207" s="18">
        <f t="shared" si="41"/>
        <v>698.38222222222203</v>
      </c>
      <c r="R207" s="18">
        <f t="shared" si="41"/>
        <v>0</v>
      </c>
      <c r="S207" s="18">
        <f t="shared" si="42"/>
        <v>698.38222222222203</v>
      </c>
      <c r="T207" s="23" t="s">
        <v>67</v>
      </c>
      <c r="U207" s="18" t="s">
        <v>170</v>
      </c>
      <c r="V207" s="18" t="str">
        <f>IF(OR($H207="",$H207="sif",$H207="PM"),"",VLOOKUP($H207,[5]CU!$C$5:$J$255,8,FALSE))</f>
        <v>3. Dépenses de fonctionnement</v>
      </c>
      <c r="W207" s="18" t="s">
        <v>309</v>
      </c>
      <c r="X207" s="18" t="s">
        <v>77</v>
      </c>
      <c r="Y207" s="19" t="s">
        <v>32</v>
      </c>
      <c r="Z207" s="18" t="str">
        <f>A207 &amp; "-" &amp; VLOOKUP(A207,[4]PROGRAMMES!$E$1:$F$7,2,FALSE)</f>
        <v>1-Accès et équité à l'enseignement général</v>
      </c>
      <c r="AA207" s="19" t="str">
        <f>B207 &amp; "-" &amp; VLOOKUP(B207,[4]SOUSPROGRAMMES!$E$1:$F$44,2,FALSE)</f>
        <v>12- Accès équitable et achèvement du primaire</v>
      </c>
      <c r="AB207" s="19" t="str">
        <f>C207 &amp; "-" &amp; VLOOKUP(C207,[4]RESULTATS!$E$1:$F$176,2,FALSE)</f>
        <v>124- Toutes les écoles primaires, y compris les FA, offrent aux élèves des conditions favorables à leur maintien, en particulier, les filles</v>
      </c>
      <c r="AC207" s="20" t="str">
        <f>D207 &amp; "-" &amp; VLOOKUP(D207,[4]STRATEGIES!$E$1:$F$504,2,FALSE)</f>
        <v>1242-Lutte contre les violences sur le chemin de l’école, dans les écoles, et dans les familles, particulièrement envers les filles</v>
      </c>
      <c r="AD207" s="21" t="str">
        <f t="shared" si="43"/>
        <v>12426-Mise en place de structures de veille sur les violences en milieu scolaires</v>
      </c>
    </row>
    <row r="208" spans="1:30" s="22" customFormat="1" ht="60" hidden="1" customHeight="1" x14ac:dyDescent="0.8">
      <c r="A208" s="14">
        <v>1</v>
      </c>
      <c r="B208" s="15">
        <v>12</v>
      </c>
      <c r="C208" s="15">
        <v>124</v>
      </c>
      <c r="D208" s="15">
        <v>1242</v>
      </c>
      <c r="E208" s="15">
        <v>12427</v>
      </c>
      <c r="F208" s="16" t="s">
        <v>319</v>
      </c>
      <c r="G208" s="21" t="s">
        <v>54</v>
      </c>
      <c r="H208" s="17" t="s">
        <v>55</v>
      </c>
      <c r="I208" s="18">
        <v>0</v>
      </c>
      <c r="J208" s="18">
        <v>1</v>
      </c>
      <c r="K208" s="18"/>
      <c r="L208" s="18"/>
      <c r="M208" s="18">
        <f t="shared" si="40"/>
        <v>1</v>
      </c>
      <c r="N208" s="18">
        <f>IF(OR(H208="",H208="sif",H208="PM"),0,VLOOKUP(H208,[5]CU!$C$4:$H$255,6,FALSE))</f>
        <v>0</v>
      </c>
      <c r="O208" s="18"/>
      <c r="P208" s="18"/>
      <c r="Q208" s="18"/>
      <c r="R208" s="18"/>
      <c r="S208" s="18"/>
      <c r="T208" s="23" t="s">
        <v>56</v>
      </c>
      <c r="U208" s="18" t="s">
        <v>170</v>
      </c>
      <c r="V208" s="18" t="str">
        <f>IF(OR($H208="",$H208="sif",$H208="PM"),"",VLOOKUP($H208,[5]CU!$C$5:$J$255,8,FALSE))</f>
        <v/>
      </c>
      <c r="W208" s="18" t="s">
        <v>273</v>
      </c>
      <c r="X208" s="18" t="s">
        <v>77</v>
      </c>
      <c r="Y208" s="19" t="s">
        <v>32</v>
      </c>
      <c r="Z208" s="18" t="str">
        <f>A208 &amp; "-" &amp; VLOOKUP(A208,[4]PROGRAMMES!$E$1:$F$7,2,FALSE)</f>
        <v>1-Accès et équité à l'enseignement général</v>
      </c>
      <c r="AA208" s="19" t="str">
        <f>B208 &amp; "-" &amp; VLOOKUP(B208,[4]SOUSPROGRAMMES!$E$1:$F$44,2,FALSE)</f>
        <v>12- Accès équitable et achèvement du primaire</v>
      </c>
      <c r="AB208" s="19" t="str">
        <f>C208 &amp; "-" &amp; VLOOKUP(C208,[4]RESULTATS!$E$1:$F$176,2,FALSE)</f>
        <v>124- Toutes les écoles primaires, y compris les FA, offrent aux élèves des conditions favorables à leur maintien, en particulier, les filles</v>
      </c>
      <c r="AC208" s="20" t="str">
        <f>D208 &amp; "-" &amp; VLOOKUP(D208,[4]STRATEGIES!$E$1:$F$504,2,FALSE)</f>
        <v>1242-Lutte contre les violences sur le chemin de l’école, dans les écoles, et dans les familles, particulièrement envers les filles</v>
      </c>
      <c r="AD208" s="21" t="str">
        <f t="shared" si="43"/>
        <v>12427-Renforcement des conseils de discipline au sein des établissements scolaires en matière de violences</v>
      </c>
    </row>
    <row r="209" spans="1:30" s="22" customFormat="1" ht="60" hidden="1" customHeight="1" x14ac:dyDescent="0.8">
      <c r="A209" s="14">
        <v>1</v>
      </c>
      <c r="B209" s="15">
        <v>12</v>
      </c>
      <c r="C209" s="15">
        <v>124</v>
      </c>
      <c r="D209" s="15">
        <v>1242</v>
      </c>
      <c r="E209" s="15">
        <v>12428</v>
      </c>
      <c r="F209" s="29" t="s">
        <v>320</v>
      </c>
      <c r="G209" s="21" t="s">
        <v>321</v>
      </c>
      <c r="H209" s="17" t="s">
        <v>55</v>
      </c>
      <c r="I209" s="18">
        <v>0</v>
      </c>
      <c r="J209" s="18">
        <v>1</v>
      </c>
      <c r="K209" s="18">
        <v>1</v>
      </c>
      <c r="L209" s="18">
        <v>1</v>
      </c>
      <c r="M209" s="18">
        <f t="shared" si="40"/>
        <v>3</v>
      </c>
      <c r="N209" s="18">
        <f>IF(OR(H209="",H209="sif",H209="PM"),0,VLOOKUP(H209,[5]CU!$C$4:$H$255,6,FALSE))</f>
        <v>0</v>
      </c>
      <c r="O209" s="18"/>
      <c r="P209" s="18"/>
      <c r="Q209" s="18"/>
      <c r="R209" s="18"/>
      <c r="S209" s="18"/>
      <c r="T209" s="23" t="s">
        <v>56</v>
      </c>
      <c r="U209" s="18" t="s">
        <v>170</v>
      </c>
      <c r="V209" s="18" t="str">
        <f>IF(OR($H209="",$H209="sif",$H209="PM"),"",VLOOKUP($H209,[5]CU!$C$5:$J$255,8,FALSE))</f>
        <v/>
      </c>
      <c r="W209" s="18" t="s">
        <v>322</v>
      </c>
      <c r="X209" s="18" t="s">
        <v>205</v>
      </c>
      <c r="Y209" s="19" t="s">
        <v>32</v>
      </c>
      <c r="Z209" s="18" t="str">
        <f>A209 &amp; "-" &amp; VLOOKUP(A209,[4]PROGRAMMES!$E$1:$F$7,2,FALSE)</f>
        <v>1-Accès et équité à l'enseignement général</v>
      </c>
      <c r="AA209" s="19" t="str">
        <f>B209 &amp; "-" &amp; VLOOKUP(B209,[4]SOUSPROGRAMMES!$E$1:$F$44,2,FALSE)</f>
        <v>12- Accès équitable et achèvement du primaire</v>
      </c>
      <c r="AB209" s="19" t="str">
        <f>C209 &amp; "-" &amp; VLOOKUP(C209,[4]RESULTATS!$E$1:$F$176,2,FALSE)</f>
        <v>124- Toutes les écoles primaires, y compris les FA, offrent aux élèves des conditions favorables à leur maintien, en particulier, les filles</v>
      </c>
      <c r="AC209" s="20" t="str">
        <f>D209 &amp; "-" &amp; VLOOKUP(D209,[4]STRATEGIES!$E$1:$F$504,2,FALSE)</f>
        <v>1242-Lutte contre les violences sur le chemin de l’école, dans les écoles, et dans les familles, particulièrement envers les filles</v>
      </c>
      <c r="AD209" s="21" t="str">
        <f t="shared" si="43"/>
        <v>12428-Appui à la stratégie de tutorat en faveur des élèves vulnérables, notamment les filles (par les communautés)</v>
      </c>
    </row>
    <row r="210" spans="1:30" ht="60" hidden="1" customHeight="1" x14ac:dyDescent="0.8">
      <c r="A210" s="25">
        <v>1</v>
      </c>
      <c r="B210" s="16">
        <v>12</v>
      </c>
      <c r="C210" s="16">
        <v>124</v>
      </c>
      <c r="D210" s="16">
        <v>1242</v>
      </c>
      <c r="E210" s="16">
        <v>12429</v>
      </c>
      <c r="F210" s="16" t="s">
        <v>323</v>
      </c>
      <c r="G210" s="21" t="s">
        <v>199</v>
      </c>
      <c r="H210" s="21" t="s">
        <v>324</v>
      </c>
      <c r="I210" s="19">
        <v>0</v>
      </c>
      <c r="J210" s="19"/>
      <c r="K210" s="19">
        <f>427*60%</f>
        <v>256.2</v>
      </c>
      <c r="L210" s="19">
        <f>427*29.15%</f>
        <v>124.47049999999999</v>
      </c>
      <c r="M210" s="19">
        <f t="shared" si="40"/>
        <v>380.67049999999995</v>
      </c>
      <c r="N210" s="19">
        <f>IF(OR(H210="",H210="sif",H210="PM"),0,VLOOKUP(H210,[5]CU!$C$4:$H$255,6,FALSE))</f>
        <v>2</v>
      </c>
      <c r="O210" s="19">
        <f t="shared" ref="O210:R214" si="45">$N210*I210</f>
        <v>0</v>
      </c>
      <c r="P210" s="19">
        <f t="shared" si="45"/>
        <v>0</v>
      </c>
      <c r="Q210" s="19">
        <f>$N210*K210</f>
        <v>512.4</v>
      </c>
      <c r="R210" s="19">
        <f t="shared" si="45"/>
        <v>248.94099999999997</v>
      </c>
      <c r="S210" s="19">
        <f>SUM(O210:R210)</f>
        <v>761.34099999999989</v>
      </c>
      <c r="T210" s="26" t="s">
        <v>169</v>
      </c>
      <c r="U210" s="19" t="s">
        <v>170</v>
      </c>
      <c r="V210" s="19" t="str">
        <f>IF(OR($H210="",$H210="sif",$H210="PM"),"",VLOOKUP($H210,[5]CU!$C$5:$J$255,8,FALSE))</f>
        <v>4. Transferts et subventions</v>
      </c>
      <c r="W210" s="19" t="s">
        <v>309</v>
      </c>
      <c r="X210" s="19" t="s">
        <v>193</v>
      </c>
      <c r="Y210" s="19" t="s">
        <v>32</v>
      </c>
      <c r="Z210" s="19" t="str">
        <f>A210 &amp; "-" &amp; VLOOKUP(A210,[4]PROGRAMMES!$E$1:$F$7,2,FALSE)</f>
        <v>1-Accès et équité à l'enseignement général</v>
      </c>
      <c r="AA210" s="19" t="str">
        <f>B210 &amp; "-" &amp; VLOOKUP(B210,[4]SOUSPROGRAMMES!$E$1:$F$44,2,FALSE)</f>
        <v>12- Accès équitable et achèvement du primaire</v>
      </c>
      <c r="AB210" s="19" t="str">
        <f>C210 &amp; "-" &amp; VLOOKUP(C210,[4]RESULTATS!$E$1:$F$176,2,FALSE)</f>
        <v>124- Toutes les écoles primaires, y compris les FA, offrent aux élèves des conditions favorables à leur maintien, en particulier, les filles</v>
      </c>
      <c r="AC210" s="20" t="str">
        <f>D210 &amp; "-" &amp; VLOOKUP(D210,[4]STRATEGIES!$E$1:$F$504,2,FALSE)</f>
        <v>1242-Lutte contre les violences sur le chemin de l’école, dans les écoles, et dans les familles, particulièrement envers les filles</v>
      </c>
      <c r="AD210" s="21" t="str">
        <f t="shared" si="43"/>
        <v>12429-Prise en charge psychosociale des filles victimes de violences</v>
      </c>
    </row>
    <row r="211" spans="1:30" s="22" customFormat="1" ht="60" hidden="1" customHeight="1" x14ac:dyDescent="0.8">
      <c r="A211" s="14">
        <v>1</v>
      </c>
      <c r="B211" s="15">
        <v>12</v>
      </c>
      <c r="C211" s="15">
        <v>124</v>
      </c>
      <c r="D211" s="15">
        <v>1242</v>
      </c>
      <c r="E211" s="15">
        <v>12429</v>
      </c>
      <c r="F211" s="16" t="s">
        <v>323</v>
      </c>
      <c r="G211" s="21" t="s">
        <v>199</v>
      </c>
      <c r="H211" s="17" t="s">
        <v>324</v>
      </c>
      <c r="I211" s="18">
        <v>0</v>
      </c>
      <c r="J211" s="18">
        <f>427*29.14%</f>
        <v>124.42779999999999</v>
      </c>
      <c r="K211" s="18">
        <f>427*29.14%</f>
        <v>124.42779999999999</v>
      </c>
      <c r="L211" s="18">
        <f>427*29.14%</f>
        <v>124.42779999999999</v>
      </c>
      <c r="M211" s="18">
        <f>SUM(I211:L211)</f>
        <v>373.28339999999997</v>
      </c>
      <c r="N211" s="18">
        <f>IF(OR(H211="",H211="sif",H211="PM"),0,VLOOKUP(H211,[5]CU!$C$4:$H$255,6,FALSE))</f>
        <v>2</v>
      </c>
      <c r="O211" s="18">
        <f t="shared" si="45"/>
        <v>0</v>
      </c>
      <c r="P211" s="18">
        <f t="shared" si="45"/>
        <v>248.85559999999998</v>
      </c>
      <c r="Q211" s="18">
        <f t="shared" si="45"/>
        <v>248.85559999999998</v>
      </c>
      <c r="R211" s="18">
        <f t="shared" si="45"/>
        <v>248.85559999999998</v>
      </c>
      <c r="S211" s="18">
        <f>SUM(O211:R211)</f>
        <v>746.56679999999994</v>
      </c>
      <c r="T211" s="23" t="s">
        <v>118</v>
      </c>
      <c r="U211" s="18" t="s">
        <v>170</v>
      </c>
      <c r="V211" s="18" t="str">
        <f>IF(OR($H211="",$H211="sif",$H211="PM"),"",VLOOKUP($H211,[5]CU!$C$5:$J$255,8,FALSE))</f>
        <v>4. Transferts et subventions</v>
      </c>
      <c r="W211" s="18" t="s">
        <v>309</v>
      </c>
      <c r="X211" s="18" t="s">
        <v>193</v>
      </c>
      <c r="Y211" s="19" t="s">
        <v>32</v>
      </c>
      <c r="Z211" s="18" t="str">
        <f>A211 &amp; "-" &amp; VLOOKUP(A211,[4]PROGRAMMES!$E$1:$F$7,2,FALSE)</f>
        <v>1-Accès et équité à l'enseignement général</v>
      </c>
      <c r="AA211" s="19" t="str">
        <f>B211 &amp; "-" &amp; VLOOKUP(B211,[4]SOUSPROGRAMMES!$E$1:$F$44,2,FALSE)</f>
        <v>12- Accès équitable et achèvement du primaire</v>
      </c>
      <c r="AB211" s="19" t="str">
        <f>C211 &amp; "-" &amp; VLOOKUP(C211,[4]RESULTATS!$E$1:$F$176,2,FALSE)</f>
        <v>124- Toutes les écoles primaires, y compris les FA, offrent aux élèves des conditions favorables à leur maintien, en particulier, les filles</v>
      </c>
      <c r="AC211" s="20" t="str">
        <f>D211 &amp; "-" &amp; VLOOKUP(D211,[4]STRATEGIES!$E$1:$F$504,2,FALSE)</f>
        <v>1242-Lutte contre les violences sur le chemin de l’école, dans les écoles, et dans les familles, particulièrement envers les filles</v>
      </c>
      <c r="AD211" s="21" t="str">
        <f t="shared" si="43"/>
        <v>12429-Prise en charge psychosociale des filles victimes de violences</v>
      </c>
    </row>
    <row r="212" spans="1:30" s="22" customFormat="1" ht="60" hidden="1" customHeight="1" x14ac:dyDescent="0.8">
      <c r="A212" s="14">
        <v>1</v>
      </c>
      <c r="B212" s="15">
        <v>12</v>
      </c>
      <c r="C212" s="15">
        <v>124</v>
      </c>
      <c r="D212" s="15">
        <v>1242</v>
      </c>
      <c r="E212" s="15">
        <v>12429</v>
      </c>
      <c r="F212" s="16" t="s">
        <v>323</v>
      </c>
      <c r="G212" s="21" t="s">
        <v>199</v>
      </c>
      <c r="H212" s="17" t="s">
        <v>324</v>
      </c>
      <c r="I212" s="18">
        <v>0</v>
      </c>
      <c r="J212" s="18">
        <f>427*41.71%</f>
        <v>178.10170000000002</v>
      </c>
      <c r="K212" s="18">
        <f>427*41.71%</f>
        <v>178.10170000000002</v>
      </c>
      <c r="L212" s="18">
        <f>427*41.71%</f>
        <v>178.10170000000002</v>
      </c>
      <c r="M212" s="18">
        <f t="shared" si="40"/>
        <v>534.30510000000004</v>
      </c>
      <c r="N212" s="18">
        <f>IF(OR(H212="",H212="sif",H212="PM"),0,VLOOKUP(H212,[5]CU!$C$4:$H$255,6,FALSE))</f>
        <v>2</v>
      </c>
      <c r="O212" s="18">
        <f t="shared" si="45"/>
        <v>0</v>
      </c>
      <c r="P212" s="18">
        <f t="shared" si="45"/>
        <v>356.20340000000004</v>
      </c>
      <c r="Q212" s="18">
        <f t="shared" si="45"/>
        <v>356.20340000000004</v>
      </c>
      <c r="R212" s="18">
        <f t="shared" si="45"/>
        <v>356.20340000000004</v>
      </c>
      <c r="S212" s="18">
        <f t="shared" ref="S212:S230" si="46">SUM(O212:R212)</f>
        <v>1068.6102000000001</v>
      </c>
      <c r="T212" s="23" t="s">
        <v>67</v>
      </c>
      <c r="U212" s="18" t="s">
        <v>170</v>
      </c>
      <c r="V212" s="18" t="str">
        <f>IF(OR($H212="",$H212="sif",$H212="PM"),"",VLOOKUP($H212,[5]CU!$C$5:$J$255,8,FALSE))</f>
        <v>4. Transferts et subventions</v>
      </c>
      <c r="W212" s="18" t="s">
        <v>309</v>
      </c>
      <c r="X212" s="18" t="s">
        <v>193</v>
      </c>
      <c r="Y212" s="19" t="s">
        <v>32</v>
      </c>
      <c r="Z212" s="18" t="str">
        <f>A212 &amp; "-" &amp; VLOOKUP(A212,[4]PROGRAMMES!$E$1:$F$7,2,FALSE)</f>
        <v>1-Accès et équité à l'enseignement général</v>
      </c>
      <c r="AA212" s="19" t="str">
        <f>B212 &amp; "-" &amp; VLOOKUP(B212,[4]SOUSPROGRAMMES!$E$1:$F$44,2,FALSE)</f>
        <v>12- Accès équitable et achèvement du primaire</v>
      </c>
      <c r="AB212" s="19" t="str">
        <f>C212 &amp; "-" &amp; VLOOKUP(C212,[4]RESULTATS!$E$1:$F$176,2,FALSE)</f>
        <v>124- Toutes les écoles primaires, y compris les FA, offrent aux élèves des conditions favorables à leur maintien, en particulier, les filles</v>
      </c>
      <c r="AC212" s="20" t="str">
        <f>D212 &amp; "-" &amp; VLOOKUP(D212,[4]STRATEGIES!$E$1:$F$504,2,FALSE)</f>
        <v>1242-Lutte contre les violences sur le chemin de l’école, dans les écoles, et dans les familles, particulièrement envers les filles</v>
      </c>
      <c r="AD212" s="21" t="str">
        <f t="shared" si="43"/>
        <v>12429-Prise en charge psychosociale des filles victimes de violences</v>
      </c>
    </row>
    <row r="213" spans="1:30" ht="60" hidden="1" customHeight="1" x14ac:dyDescent="0.8">
      <c r="A213" s="25">
        <v>1</v>
      </c>
      <c r="B213" s="16">
        <v>12</v>
      </c>
      <c r="C213" s="16">
        <v>124</v>
      </c>
      <c r="D213" s="16">
        <v>1242</v>
      </c>
      <c r="E213" s="16">
        <v>124210</v>
      </c>
      <c r="F213" s="16" t="s">
        <v>325</v>
      </c>
      <c r="G213" s="21" t="s">
        <v>177</v>
      </c>
      <c r="H213" s="21" t="s">
        <v>59</v>
      </c>
      <c r="I213" s="19">
        <v>0</v>
      </c>
      <c r="J213" s="19">
        <f>(4*5*8)*39.5%</f>
        <v>63.2</v>
      </c>
      <c r="K213" s="19">
        <f>(4*5*8)*50%*2</f>
        <v>160</v>
      </c>
      <c r="L213" s="19">
        <f>(4*5*8)*39.5%</f>
        <v>63.2</v>
      </c>
      <c r="M213" s="19">
        <f>SUM(I213:L213)</f>
        <v>286.39999999999998</v>
      </c>
      <c r="N213" s="19">
        <f>IF(OR(H213="",H213="sif",H213="PM"),0,VLOOKUP(H213,[5]CU!$C$4:$H$255,6,FALSE))</f>
        <v>0.8177777777777776</v>
      </c>
      <c r="O213" s="19">
        <f>$N213*I213</f>
        <v>0</v>
      </c>
      <c r="P213" s="19">
        <f>$N213*J213</f>
        <v>51.68355555555555</v>
      </c>
      <c r="Q213" s="19">
        <f>$N213*K213</f>
        <v>130.84444444444441</v>
      </c>
      <c r="R213" s="19">
        <f>$N213*L213</f>
        <v>51.68355555555555</v>
      </c>
      <c r="S213" s="19">
        <f>SUM(O213:R213)</f>
        <v>234.21155555555552</v>
      </c>
      <c r="T213" s="26" t="s">
        <v>169</v>
      </c>
      <c r="U213" s="19" t="s">
        <v>170</v>
      </c>
      <c r="V213" s="19" t="str">
        <f>IF(OR($H213="",$H213="sif",$H213="PM"),"",VLOOKUP($H213,[5]CU!$C$5:$J$255,8,FALSE))</f>
        <v>3. Dépenses de fonctionnement</v>
      </c>
      <c r="W213" s="19" t="s">
        <v>309</v>
      </c>
      <c r="X213" s="19" t="s">
        <v>326</v>
      </c>
      <c r="Y213" s="19" t="s">
        <v>32</v>
      </c>
      <c r="Z213" s="19" t="str">
        <f>A213 &amp; "-" &amp; VLOOKUP(A213,[4]PROGRAMMES!$E$1:$F$7,2,FALSE)</f>
        <v>1-Accès et équité à l'enseignement général</v>
      </c>
      <c r="AA213" s="19" t="str">
        <f>B213 &amp; "-" &amp; VLOOKUP(B213,[4]SOUSPROGRAMMES!$E$1:$F$44,2,FALSE)</f>
        <v>12- Accès équitable et achèvement du primaire</v>
      </c>
      <c r="AB213" s="19" t="str">
        <f>C213 &amp; "-" &amp; VLOOKUP(C213,[4]RESULTATS!$E$1:$F$176,2,FALSE)</f>
        <v>124- Toutes les écoles primaires, y compris les FA, offrent aux élèves des conditions favorables à leur maintien, en particulier, les filles</v>
      </c>
      <c r="AC213" s="20" t="str">
        <f>D213 &amp; "-" &amp; VLOOKUP(D213,[4]STRATEGIES!$E$1:$F$504,2,FALSE)</f>
        <v>1242-Lutte contre les violences sur le chemin de l’école, dans les écoles, et dans les familles, particulièrement envers les filles</v>
      </c>
      <c r="AD213" s="21" t="str">
        <f t="shared" si="43"/>
        <v>124210-Suivi/évaluation des activités sur les violences en milieu scolaire</v>
      </c>
    </row>
    <row r="214" spans="1:30" s="22" customFormat="1" ht="60" hidden="1" customHeight="1" x14ac:dyDescent="0.8">
      <c r="A214" s="14">
        <v>1</v>
      </c>
      <c r="B214" s="15">
        <v>12</v>
      </c>
      <c r="C214" s="15">
        <v>124</v>
      </c>
      <c r="D214" s="15">
        <v>1242</v>
      </c>
      <c r="E214" s="15">
        <v>124210</v>
      </c>
      <c r="F214" s="16" t="s">
        <v>325</v>
      </c>
      <c r="G214" s="21" t="s">
        <v>177</v>
      </c>
      <c r="H214" s="17" t="s">
        <v>59</v>
      </c>
      <c r="I214" s="18">
        <v>0</v>
      </c>
      <c r="J214" s="18">
        <f>(4*5*8)*60.5%</f>
        <v>96.8</v>
      </c>
      <c r="K214" s="18">
        <f>(4*5*8)*60.5%</f>
        <v>96.8</v>
      </c>
      <c r="L214" s="18">
        <f>(4*5*8)*60.5%</f>
        <v>96.8</v>
      </c>
      <c r="M214" s="18">
        <f t="shared" si="40"/>
        <v>290.39999999999998</v>
      </c>
      <c r="N214" s="18">
        <f>IF(OR(H214="",H214="sif",H214="PM"),0,VLOOKUP(H214,[5]CU!$C$4:$H$255,6,FALSE))</f>
        <v>0.8177777777777776</v>
      </c>
      <c r="O214" s="18">
        <f t="shared" si="45"/>
        <v>0</v>
      </c>
      <c r="P214" s="18">
        <f t="shared" si="45"/>
        <v>79.160888888888863</v>
      </c>
      <c r="Q214" s="18">
        <f t="shared" si="45"/>
        <v>79.160888888888863</v>
      </c>
      <c r="R214" s="18">
        <f t="shared" si="45"/>
        <v>79.160888888888863</v>
      </c>
      <c r="S214" s="18">
        <f t="shared" si="46"/>
        <v>237.4826666666666</v>
      </c>
      <c r="T214" s="23" t="s">
        <v>67</v>
      </c>
      <c r="U214" s="18" t="s">
        <v>170</v>
      </c>
      <c r="V214" s="18" t="str">
        <f>IF(OR($H214="",$H214="sif",$H214="PM"),"",VLOOKUP($H214,[5]CU!$C$5:$J$255,8,FALSE))</f>
        <v>3. Dépenses de fonctionnement</v>
      </c>
      <c r="W214" s="18" t="s">
        <v>309</v>
      </c>
      <c r="X214" s="18" t="s">
        <v>326</v>
      </c>
      <c r="Y214" s="19" t="s">
        <v>32</v>
      </c>
      <c r="Z214" s="18" t="str">
        <f>A214 &amp; "-" &amp; VLOOKUP(A214,[4]PROGRAMMES!$E$1:$F$7,2,FALSE)</f>
        <v>1-Accès et équité à l'enseignement général</v>
      </c>
      <c r="AA214" s="19" t="str">
        <f>B214 &amp; "-" &amp; VLOOKUP(B214,[4]SOUSPROGRAMMES!$E$1:$F$44,2,FALSE)</f>
        <v>12- Accès équitable et achèvement du primaire</v>
      </c>
      <c r="AB214" s="19" t="str">
        <f>C214 &amp; "-" &amp; VLOOKUP(C214,[4]RESULTATS!$E$1:$F$176,2,FALSE)</f>
        <v>124- Toutes les écoles primaires, y compris les FA, offrent aux élèves des conditions favorables à leur maintien, en particulier, les filles</v>
      </c>
      <c r="AC214" s="20" t="str">
        <f>D214 &amp; "-" &amp; VLOOKUP(D214,[4]STRATEGIES!$E$1:$F$504,2,FALSE)</f>
        <v>1242-Lutte contre les violences sur le chemin de l’école, dans les écoles, et dans les familles, particulièrement envers les filles</v>
      </c>
      <c r="AD214" s="21" t="str">
        <f t="shared" si="43"/>
        <v>124210-Suivi/évaluation des activités sur les violences en milieu scolaire</v>
      </c>
    </row>
    <row r="215" spans="1:30" s="22" customFormat="1" ht="15" hidden="1" customHeight="1" x14ac:dyDescent="0.8">
      <c r="A215" s="14">
        <v>1</v>
      </c>
      <c r="B215" s="15">
        <v>13</v>
      </c>
      <c r="C215" s="15">
        <v>13</v>
      </c>
      <c r="D215" s="15">
        <v>13</v>
      </c>
      <c r="E215" s="15">
        <v>13</v>
      </c>
      <c r="F215" s="16" t="s">
        <v>327</v>
      </c>
      <c r="G215" s="17"/>
      <c r="H215" s="17"/>
      <c r="I215" s="18">
        <v>0</v>
      </c>
      <c r="J215" s="18"/>
      <c r="K215" s="18"/>
      <c r="L215" s="18"/>
      <c r="M215" s="18"/>
      <c r="N215" s="18"/>
      <c r="O215" s="18"/>
      <c r="P215" s="18"/>
      <c r="Q215" s="18"/>
      <c r="R215" s="18"/>
      <c r="S215" s="18"/>
      <c r="T215" s="18"/>
      <c r="U215" s="18"/>
      <c r="V215" s="18"/>
      <c r="W215" s="18"/>
      <c r="X215" s="18"/>
      <c r="Y215" s="19" t="s">
        <v>32</v>
      </c>
      <c r="Z215" s="18" t="str">
        <f>A215 &amp; "-" &amp; VLOOKUP(A215,[4]PROGRAMMES!$E$1:$F$7,2,FALSE)</f>
        <v>1-Accès et équité à l'enseignement général</v>
      </c>
      <c r="AA215" s="19" t="str">
        <f>B215 &amp; "-" &amp; VLOOKUP(B215,[4]SOUSPROGRAMMES!$E$1:$F$44,2,FALSE)</f>
        <v>13- Accès à l’éducation non formelle</v>
      </c>
      <c r="AB215" s="19" t="str">
        <f>C215 &amp; "-" &amp; VLOOKUP(C215,[4]RESULTATS!$E$1:$F$176,2,FALSE)</f>
        <v>13- Accès à l’éducation non formelle</v>
      </c>
      <c r="AC215" s="20" t="str">
        <f>D215 &amp; "-" &amp; VLOOKUP(D215,[4]STRATEGIES!$E$1:$F$504,2,FALSE)</f>
        <v>13- Accès à l’éducation non formelle</v>
      </c>
      <c r="AD215" s="21" t="str">
        <f t="shared" si="43"/>
        <v>13- Accès à l’éducation non formelle</v>
      </c>
    </row>
    <row r="216" spans="1:30" s="22" customFormat="1" ht="45" hidden="1" customHeight="1" x14ac:dyDescent="0.8">
      <c r="A216" s="14">
        <v>1</v>
      </c>
      <c r="B216" s="15">
        <v>13</v>
      </c>
      <c r="C216" s="15">
        <v>131</v>
      </c>
      <c r="D216" s="15">
        <v>131</v>
      </c>
      <c r="E216" s="15">
        <v>131</v>
      </c>
      <c r="F216" s="16" t="s">
        <v>328</v>
      </c>
      <c r="G216" s="17"/>
      <c r="H216" s="17"/>
      <c r="I216" s="18">
        <v>0</v>
      </c>
      <c r="J216" s="18"/>
      <c r="K216" s="18"/>
      <c r="L216" s="18"/>
      <c r="M216" s="18"/>
      <c r="N216" s="18"/>
      <c r="O216" s="18"/>
      <c r="P216" s="18"/>
      <c r="Q216" s="18"/>
      <c r="R216" s="18"/>
      <c r="S216" s="18"/>
      <c r="T216" s="18"/>
      <c r="U216" s="18"/>
      <c r="V216" s="18"/>
      <c r="W216" s="18"/>
      <c r="X216" s="18"/>
      <c r="Y216" s="19" t="s">
        <v>32</v>
      </c>
      <c r="Z216" s="18" t="str">
        <f>A216 &amp; "-" &amp; VLOOKUP(A216,[4]PROGRAMMES!$E$1:$F$7,2,FALSE)</f>
        <v>1-Accès et équité à l'enseignement général</v>
      </c>
      <c r="AA216" s="19" t="str">
        <f>B216 &amp; "-" &amp; VLOOKUP(B216,[4]SOUSPROGRAMMES!$E$1:$F$44,2,FALSE)</f>
        <v>13- Accès à l’éducation non formelle</v>
      </c>
      <c r="AB216" s="19" t="str">
        <f>C216 &amp; "-" &amp; VLOOKUP(C216,[4]RESULTATS!$E$1:$F$176,2,FALSE)</f>
        <v>131-La demande de scolarisation non formelle est accrue chez les enfants déscolarisés et les non scolarisés</v>
      </c>
      <c r="AC216" s="20" t="str">
        <f>D216 &amp; "-" &amp; VLOOKUP(D216,[4]STRATEGIES!$E$1:$F$504,2,FALSE)</f>
        <v>131-La demande de scolarisation non formelle est accrue chez les enfants déscolarisés et les non scolarisés</v>
      </c>
      <c r="AD216" s="21" t="str">
        <f t="shared" si="43"/>
        <v>131-La demande de scolarisation non formelle est accrue chez les enfants déscolarisés et les non scolarisés</v>
      </c>
    </row>
    <row r="217" spans="1:30" s="22" customFormat="1" ht="45" hidden="1" customHeight="1" x14ac:dyDescent="0.8">
      <c r="A217" s="14">
        <v>1</v>
      </c>
      <c r="B217" s="15">
        <v>13</v>
      </c>
      <c r="C217" s="15">
        <v>131</v>
      </c>
      <c r="D217" s="15">
        <v>1311</v>
      </c>
      <c r="E217" s="15">
        <v>1311</v>
      </c>
      <c r="F217" s="16" t="s">
        <v>329</v>
      </c>
      <c r="G217" s="17"/>
      <c r="H217" s="17"/>
      <c r="I217" s="18">
        <v>0</v>
      </c>
      <c r="J217" s="18"/>
      <c r="K217" s="18"/>
      <c r="L217" s="18"/>
      <c r="M217" s="18"/>
      <c r="N217" s="18"/>
      <c r="O217" s="18"/>
      <c r="P217" s="18"/>
      <c r="Q217" s="18"/>
      <c r="R217" s="18"/>
      <c r="S217" s="18"/>
      <c r="T217" s="18"/>
      <c r="U217" s="18"/>
      <c r="V217" s="18"/>
      <c r="W217" s="18"/>
      <c r="X217" s="18"/>
      <c r="Y217" s="19" t="s">
        <v>32</v>
      </c>
      <c r="Z217" s="18" t="str">
        <f>A217 &amp; "-" &amp; VLOOKUP(A217,[4]PROGRAMMES!$E$1:$F$7,2,FALSE)</f>
        <v>1-Accès et équité à l'enseignement général</v>
      </c>
      <c r="AA217" s="19" t="str">
        <f>B217 &amp; "-" &amp; VLOOKUP(B217,[4]SOUSPROGRAMMES!$E$1:$F$44,2,FALSE)</f>
        <v>13- Accès à l’éducation non formelle</v>
      </c>
      <c r="AB217" s="19" t="str">
        <f>C217 &amp; "-" &amp; VLOOKUP(C217,[4]RESULTATS!$E$1:$F$176,2,FALSE)</f>
        <v>131-La demande de scolarisation non formelle est accrue chez les enfants déscolarisés et les non scolarisés</v>
      </c>
      <c r="AC217" s="20" t="str">
        <f>D217 &amp; "-" &amp; VLOOKUP(D217,[4]STRATEGIES!$E$1:$F$504,2,FALSE)</f>
        <v>1311-Information/sensibilisation des communautés sur l’offre d’éducation non-formelle</v>
      </c>
      <c r="AD217" s="21" t="str">
        <f t="shared" si="43"/>
        <v>1311-Information/sensibilisation des communautés sur l’offre d’éducation non-formelle</v>
      </c>
    </row>
    <row r="218" spans="1:30" ht="45" hidden="1" customHeight="1" x14ac:dyDescent="0.8">
      <c r="A218" s="25">
        <v>1</v>
      </c>
      <c r="B218" s="16">
        <v>13</v>
      </c>
      <c r="C218" s="16">
        <v>131</v>
      </c>
      <c r="D218" s="16">
        <v>1311</v>
      </c>
      <c r="E218" s="16">
        <v>13111</v>
      </c>
      <c r="F218" s="16" t="s">
        <v>172</v>
      </c>
      <c r="G218" s="21" t="s">
        <v>37</v>
      </c>
      <c r="H218" s="21" t="s">
        <v>66</v>
      </c>
      <c r="I218" s="19">
        <v>0</v>
      </c>
      <c r="J218" s="19"/>
      <c r="K218" s="19">
        <f>50*5*1</f>
        <v>250</v>
      </c>
      <c r="L218" s="19"/>
      <c r="M218" s="19">
        <f t="shared" si="40"/>
        <v>250</v>
      </c>
      <c r="N218" s="19">
        <f>IF(OR(H218="",H218="sif",H218="PM"),0,VLOOKUP(H218,[5]CU!$C$4:$H$255,6,FALSE))</f>
        <v>0.255</v>
      </c>
      <c r="O218" s="19">
        <f t="shared" ref="O218:O230" si="47">N218*J218</f>
        <v>0</v>
      </c>
      <c r="P218" s="19">
        <f t="shared" ref="P218:R220" si="48">$N218*J218</f>
        <v>0</v>
      </c>
      <c r="Q218" s="19">
        <f t="shared" si="48"/>
        <v>63.75</v>
      </c>
      <c r="R218" s="19">
        <f t="shared" si="48"/>
        <v>0</v>
      </c>
      <c r="S218" s="19">
        <f t="shared" si="46"/>
        <v>63.75</v>
      </c>
      <c r="T218" s="26" t="s">
        <v>169</v>
      </c>
      <c r="U218" s="19" t="s">
        <v>330</v>
      </c>
      <c r="V218" s="19" t="str">
        <f>IF(OR($H218="",$H218="sif",$H218="PM"),"",VLOOKUP($H218,[5]CU!$C$5:$J$255,8,FALSE))</f>
        <v>3. Dépenses de fonctionnement</v>
      </c>
      <c r="W218" s="19" t="s">
        <v>331</v>
      </c>
      <c r="X218" s="19" t="s">
        <v>331</v>
      </c>
      <c r="Y218" s="19" t="s">
        <v>32</v>
      </c>
      <c r="Z218" s="19" t="str">
        <f>A218 &amp; "-" &amp; VLOOKUP(A218,[4]PROGRAMMES!$E$1:$F$7,2,FALSE)</f>
        <v>1-Accès et équité à l'enseignement général</v>
      </c>
      <c r="AA218" s="19" t="str">
        <f>B218 &amp; "-" &amp; VLOOKUP(B218,[4]SOUSPROGRAMMES!$E$1:$F$44,2,FALSE)</f>
        <v>13- Accès à l’éducation non formelle</v>
      </c>
      <c r="AB218" s="19" t="str">
        <f>C218 &amp; "-" &amp; VLOOKUP(C218,[4]RESULTATS!$E$1:$F$176,2,FALSE)</f>
        <v>131-La demande de scolarisation non formelle est accrue chez les enfants déscolarisés et les non scolarisés</v>
      </c>
      <c r="AC218" s="20" t="str">
        <f>D218 &amp; "-" &amp; VLOOKUP(D218,[4]STRATEGIES!$E$1:$F$504,2,FALSE)</f>
        <v>1311-Information/sensibilisation des communautés sur l’offre d’éducation non-formelle</v>
      </c>
      <c r="AD218" s="21" t="str">
        <f t="shared" si="43"/>
        <v>13111-Conception de messages publicitaires</v>
      </c>
    </row>
    <row r="219" spans="1:30" ht="45" hidden="1" customHeight="1" x14ac:dyDescent="0.8">
      <c r="A219" s="25">
        <v>1</v>
      </c>
      <c r="B219" s="16">
        <v>13</v>
      </c>
      <c r="C219" s="16">
        <v>131</v>
      </c>
      <c r="D219" s="16">
        <v>1311</v>
      </c>
      <c r="E219" s="16">
        <v>13112</v>
      </c>
      <c r="F219" s="16" t="s">
        <v>174</v>
      </c>
      <c r="G219" s="21" t="s">
        <v>72</v>
      </c>
      <c r="H219" s="21" t="s">
        <v>73</v>
      </c>
      <c r="I219" s="19">
        <v>0</v>
      </c>
      <c r="J219" s="19">
        <v>0</v>
      </c>
      <c r="K219" s="19">
        <f>2*50*33*2</f>
        <v>6600</v>
      </c>
      <c r="L219" s="19">
        <f>2*15*33</f>
        <v>990</v>
      </c>
      <c r="M219" s="19">
        <f t="shared" si="40"/>
        <v>7590</v>
      </c>
      <c r="N219" s="19">
        <f>IF(OR(H219="",H219="sif",H219="PM"),0,VLOOKUP(H219,[5]CU!$C$4:$H$255,6,FALSE))</f>
        <v>0.4</v>
      </c>
      <c r="O219" s="19">
        <f t="shared" si="47"/>
        <v>0</v>
      </c>
      <c r="P219" s="19">
        <f t="shared" si="48"/>
        <v>0</v>
      </c>
      <c r="Q219" s="19">
        <f t="shared" si="48"/>
        <v>2640</v>
      </c>
      <c r="R219" s="19">
        <f t="shared" si="48"/>
        <v>396</v>
      </c>
      <c r="S219" s="19">
        <f t="shared" si="46"/>
        <v>3036</v>
      </c>
      <c r="T219" s="26" t="s">
        <v>169</v>
      </c>
      <c r="U219" s="19" t="s">
        <v>330</v>
      </c>
      <c r="V219" s="19" t="str">
        <f>IF(OR($H219="",$H219="sif",$H219="PM"),"",VLOOKUP($H219,[5]CU!$C$5:$J$255,8,FALSE))</f>
        <v>3. Dépenses de fonctionnement</v>
      </c>
      <c r="W219" s="19" t="s">
        <v>331</v>
      </c>
      <c r="X219" s="19" t="s">
        <v>77</v>
      </c>
      <c r="Y219" s="19" t="s">
        <v>32</v>
      </c>
      <c r="Z219" s="19" t="str">
        <f>A219 &amp; "-" &amp; VLOOKUP(A219,[4]PROGRAMMES!$E$1:$F$7,2,FALSE)</f>
        <v>1-Accès et équité à l'enseignement général</v>
      </c>
      <c r="AA219" s="19" t="str">
        <f>B219 &amp; "-" &amp; VLOOKUP(B219,[4]SOUSPROGRAMMES!$E$1:$F$44,2,FALSE)</f>
        <v>13- Accès à l’éducation non formelle</v>
      </c>
      <c r="AB219" s="19" t="str">
        <f>C219 &amp; "-" &amp; VLOOKUP(C219,[4]RESULTATS!$E$1:$F$176,2,FALSE)</f>
        <v>131-La demande de scolarisation non formelle est accrue chez les enfants déscolarisés et les non scolarisés</v>
      </c>
      <c r="AC219" s="20" t="str">
        <f>D219 &amp; "-" &amp; VLOOKUP(D219,[4]STRATEGIES!$E$1:$F$504,2,FALSE)</f>
        <v>1311-Information/sensibilisation des communautés sur l’offre d’éducation non-formelle</v>
      </c>
      <c r="AD219" s="21" t="str">
        <f t="shared" si="43"/>
        <v>13112-Diffusions des messages dans les médias</v>
      </c>
    </row>
    <row r="220" spans="1:30" ht="45" hidden="1" customHeight="1" x14ac:dyDescent="0.8">
      <c r="A220" s="25">
        <v>1</v>
      </c>
      <c r="B220" s="16">
        <v>13</v>
      </c>
      <c r="C220" s="16">
        <v>131</v>
      </c>
      <c r="D220" s="16">
        <v>1311</v>
      </c>
      <c r="E220" s="16">
        <v>13113</v>
      </c>
      <c r="F220" s="16" t="s">
        <v>332</v>
      </c>
      <c r="G220" s="21" t="s">
        <v>58</v>
      </c>
      <c r="H220" s="21" t="s">
        <v>59</v>
      </c>
      <c r="I220" s="19">
        <v>0</v>
      </c>
      <c r="J220" s="19"/>
      <c r="K220" s="19">
        <f>40*2*8*2</f>
        <v>1280</v>
      </c>
      <c r="L220" s="19">
        <f>40*2*8</f>
        <v>640</v>
      </c>
      <c r="M220" s="19">
        <f t="shared" si="40"/>
        <v>1920</v>
      </c>
      <c r="N220" s="19">
        <f>IF(OR(H220="",H220="sif",H220="PM"),0,VLOOKUP(H220,[5]CU!$C$4:$H$255,6,FALSE))</f>
        <v>0.8177777777777776</v>
      </c>
      <c r="O220" s="19">
        <f t="shared" si="47"/>
        <v>0</v>
      </c>
      <c r="P220" s="19">
        <f>N220*K220</f>
        <v>1046.7555555555552</v>
      </c>
      <c r="Q220" s="19">
        <f t="shared" si="48"/>
        <v>1046.7555555555552</v>
      </c>
      <c r="R220" s="19">
        <f>$N220*L220</f>
        <v>523.37777777777762</v>
      </c>
      <c r="S220" s="19">
        <f t="shared" si="46"/>
        <v>2616.8888888888882</v>
      </c>
      <c r="T220" s="26" t="s">
        <v>169</v>
      </c>
      <c r="U220" s="19" t="s">
        <v>330</v>
      </c>
      <c r="V220" s="19" t="str">
        <f>IF(OR($H220="",$H220="sif",$H220="PM"),"",VLOOKUP($H220,[5]CU!$C$5:$J$255,8,FALSE))</f>
        <v>3. Dépenses de fonctionnement</v>
      </c>
      <c r="W220" s="19" t="s">
        <v>331</v>
      </c>
      <c r="X220" s="19" t="s">
        <v>77</v>
      </c>
      <c r="Y220" s="19" t="s">
        <v>32</v>
      </c>
      <c r="Z220" s="19" t="str">
        <f>A220 &amp; "-" &amp; VLOOKUP(A220,[4]PROGRAMMES!$E$1:$F$7,2,FALSE)</f>
        <v>1-Accès et équité à l'enseignement général</v>
      </c>
      <c r="AA220" s="19" t="str">
        <f>B220 &amp; "-" &amp; VLOOKUP(B220,[4]SOUSPROGRAMMES!$E$1:$F$44,2,FALSE)</f>
        <v>13- Accès à l’éducation non formelle</v>
      </c>
      <c r="AB220" s="19" t="str">
        <f>C220 &amp; "-" &amp; VLOOKUP(C220,[4]RESULTATS!$E$1:$F$176,2,FALSE)</f>
        <v>131-La demande de scolarisation non formelle est accrue chez les enfants déscolarisés et les non scolarisés</v>
      </c>
      <c r="AC220" s="20" t="str">
        <f>D220 &amp; "-" &amp; VLOOKUP(D220,[4]STRATEGIES!$E$1:$F$504,2,FALSE)</f>
        <v>1311-Information/sensibilisation des communautés sur l’offre d’éducation non-formelle</v>
      </c>
      <c r="AD220" s="21" t="str">
        <f t="shared" si="43"/>
        <v xml:space="preserve">13113-Missions de sensibilisation des communautés </v>
      </c>
    </row>
    <row r="221" spans="1:30" s="22" customFormat="1" ht="45" hidden="1" customHeight="1" x14ac:dyDescent="0.8">
      <c r="A221" s="14">
        <v>1</v>
      </c>
      <c r="B221" s="15">
        <v>13</v>
      </c>
      <c r="C221" s="15">
        <v>131</v>
      </c>
      <c r="D221" s="15">
        <v>1312</v>
      </c>
      <c r="E221" s="15">
        <v>1312</v>
      </c>
      <c r="F221" s="16" t="s">
        <v>333</v>
      </c>
      <c r="G221" s="17"/>
      <c r="H221" s="17"/>
      <c r="I221" s="18">
        <v>0</v>
      </c>
      <c r="J221" s="18"/>
      <c r="K221" s="18"/>
      <c r="L221" s="18"/>
      <c r="M221" s="18"/>
      <c r="N221" s="18"/>
      <c r="O221" s="18"/>
      <c r="P221" s="18"/>
      <c r="Q221" s="18"/>
      <c r="R221" s="18"/>
      <c r="S221" s="18"/>
      <c r="T221" s="18"/>
      <c r="U221" s="18"/>
      <c r="V221" s="18"/>
      <c r="W221" s="18"/>
      <c r="X221" s="18"/>
      <c r="Y221" s="19" t="s">
        <v>32</v>
      </c>
      <c r="Z221" s="18" t="str">
        <f>A221 &amp; "-" &amp; VLOOKUP(A221,[4]PROGRAMMES!$E$1:$F$7,2,FALSE)</f>
        <v>1-Accès et équité à l'enseignement général</v>
      </c>
      <c r="AA221" s="19" t="str">
        <f>B221 &amp; "-" &amp; VLOOKUP(B221,[4]SOUSPROGRAMMES!$E$1:$F$44,2,FALSE)</f>
        <v>13- Accès à l’éducation non formelle</v>
      </c>
      <c r="AB221" s="19" t="str">
        <f>C221 &amp; "-" &amp; VLOOKUP(C221,[4]RESULTATS!$E$1:$F$176,2,FALSE)</f>
        <v>131-La demande de scolarisation non formelle est accrue chez les enfants déscolarisés et les non scolarisés</v>
      </c>
      <c r="AC221" s="20" t="str">
        <f>D221 &amp; "-" &amp; VLOOKUP(D221,[4]STRATEGIES!$E$1:$F$504,2,FALSE)</f>
        <v>1312-Octroi de kits scolaires auxs apprenants</v>
      </c>
      <c r="AD221" s="21" t="str">
        <f t="shared" si="43"/>
        <v>1312-Octroi de kits scolaires auxs apprenants</v>
      </c>
    </row>
    <row r="222" spans="1:30" s="22" customFormat="1" ht="45" hidden="1" customHeight="1" x14ac:dyDescent="0.8">
      <c r="A222" s="14">
        <v>1</v>
      </c>
      <c r="B222" s="15">
        <v>13</v>
      </c>
      <c r="C222" s="15">
        <v>131</v>
      </c>
      <c r="D222" s="15">
        <v>1312</v>
      </c>
      <c r="E222" s="15">
        <v>13121</v>
      </c>
      <c r="F222" s="16" t="s">
        <v>334</v>
      </c>
      <c r="G222" s="21" t="s">
        <v>335</v>
      </c>
      <c r="H222" s="17" t="s">
        <v>336</v>
      </c>
      <c r="I222" s="18">
        <v>0</v>
      </c>
      <c r="J222" s="18">
        <f>2592*80%</f>
        <v>2073.6</v>
      </c>
      <c r="K222" s="18">
        <f>4821*80%</f>
        <v>3856.8</v>
      </c>
      <c r="L222" s="18">
        <f>6749*80%</f>
        <v>5399.2000000000007</v>
      </c>
      <c r="M222" s="18">
        <f>SUM(I222:L222)</f>
        <v>11329.6</v>
      </c>
      <c r="N222" s="18">
        <f>IF(OR(H222="",H222="sif",H222="PM"),0,VLOOKUP(H222,[5]CU!$C$4:$H$255,6,FALSE))</f>
        <v>0.12</v>
      </c>
      <c r="O222" s="18">
        <f>N222*J222</f>
        <v>248.83199999999999</v>
      </c>
      <c r="P222" s="18">
        <f t="shared" ref="P222:R225" si="49">$N222*J222</f>
        <v>248.83199999999999</v>
      </c>
      <c r="Q222" s="18">
        <f t="shared" si="49"/>
        <v>462.81600000000003</v>
      </c>
      <c r="R222" s="18">
        <f t="shared" si="49"/>
        <v>647.90400000000011</v>
      </c>
      <c r="S222" s="18">
        <f>SUM(O222:R222)</f>
        <v>1608.384</v>
      </c>
      <c r="T222" s="23" t="s">
        <v>56</v>
      </c>
      <c r="U222" s="18" t="s">
        <v>330</v>
      </c>
      <c r="V222" s="18" t="str">
        <f>IF(OR($H222="",$H222="sif",$H222="PM"),"",VLOOKUP($H222,[5]CU!$C$5:$J$255,8,FALSE))</f>
        <v>3. Manuels scolaires et matériels pédagogiques</v>
      </c>
      <c r="W222" s="18" t="s">
        <v>331</v>
      </c>
      <c r="X222" s="18" t="s">
        <v>331</v>
      </c>
      <c r="Y222" s="19" t="s">
        <v>32</v>
      </c>
      <c r="Z222" s="18" t="str">
        <f>A222 &amp; "-" &amp; VLOOKUP(A222,[4]PROGRAMMES!$E$1:$F$7,2,FALSE)</f>
        <v>1-Accès et équité à l'enseignement général</v>
      </c>
      <c r="AA222" s="19" t="str">
        <f>B222 &amp; "-" &amp; VLOOKUP(B222,[4]SOUSPROGRAMMES!$E$1:$F$44,2,FALSE)</f>
        <v>13- Accès à l’éducation non formelle</v>
      </c>
      <c r="AB222" s="19" t="str">
        <f>C222 &amp; "-" &amp; VLOOKUP(C222,[4]RESULTATS!$E$1:$F$176,2,FALSE)</f>
        <v>131-La demande de scolarisation non formelle est accrue chez les enfants déscolarisés et les non scolarisés</v>
      </c>
      <c r="AC222" s="20" t="str">
        <f>D222 &amp; "-" &amp; VLOOKUP(D222,[4]STRATEGIES!$E$1:$F$504,2,FALSE)</f>
        <v>1312-Octroi de kits scolaires auxs apprenants</v>
      </c>
      <c r="AD222" s="21" t="str">
        <f t="shared" si="43"/>
        <v>13121-Acquisition et distribution des kits scolaires</v>
      </c>
    </row>
    <row r="223" spans="1:30" s="22" customFormat="1" ht="45" hidden="1" customHeight="1" x14ac:dyDescent="0.8">
      <c r="A223" s="14">
        <v>1</v>
      </c>
      <c r="B223" s="15">
        <v>13</v>
      </c>
      <c r="C223" s="15">
        <v>131</v>
      </c>
      <c r="D223" s="15">
        <v>1312</v>
      </c>
      <c r="E223" s="15">
        <v>13121</v>
      </c>
      <c r="F223" s="16" t="s">
        <v>334</v>
      </c>
      <c r="G223" s="21" t="s">
        <v>335</v>
      </c>
      <c r="H223" s="17" t="s">
        <v>336</v>
      </c>
      <c r="I223" s="18">
        <v>0</v>
      </c>
      <c r="J223" s="18">
        <f>2592*20%</f>
        <v>518.4</v>
      </c>
      <c r="K223" s="18">
        <f>4821*20%</f>
        <v>964.2</v>
      </c>
      <c r="L223" s="18">
        <f>6749*20%</f>
        <v>1349.8000000000002</v>
      </c>
      <c r="M223" s="18">
        <f t="shared" si="40"/>
        <v>2832.4</v>
      </c>
      <c r="N223" s="18">
        <f>IF(OR(H223="",H223="sif",H223="PM"),0,VLOOKUP(H223,[5]CU!$C$4:$H$255,6,FALSE))</f>
        <v>0.12</v>
      </c>
      <c r="O223" s="18">
        <f t="shared" si="47"/>
        <v>62.207999999999998</v>
      </c>
      <c r="P223" s="18">
        <f t="shared" si="49"/>
        <v>62.207999999999998</v>
      </c>
      <c r="Q223" s="18">
        <f t="shared" si="49"/>
        <v>115.70400000000001</v>
      </c>
      <c r="R223" s="18">
        <f t="shared" si="49"/>
        <v>161.97600000000003</v>
      </c>
      <c r="S223" s="18">
        <f t="shared" si="46"/>
        <v>402.096</v>
      </c>
      <c r="T223" s="23" t="s">
        <v>118</v>
      </c>
      <c r="U223" s="18" t="s">
        <v>330</v>
      </c>
      <c r="V223" s="18" t="str">
        <f>IF(OR($H223="",$H223="sif",$H223="PM"),"",VLOOKUP($H223,[5]CU!$C$5:$J$255,8,FALSE))</f>
        <v>3. Manuels scolaires et matériels pédagogiques</v>
      </c>
      <c r="W223" s="18" t="s">
        <v>331</v>
      </c>
      <c r="X223" s="18" t="s">
        <v>331</v>
      </c>
      <c r="Y223" s="19" t="s">
        <v>32</v>
      </c>
      <c r="Z223" s="18" t="str">
        <f>A223 &amp; "-" &amp; VLOOKUP(A223,[4]PROGRAMMES!$E$1:$F$7,2,FALSE)</f>
        <v>1-Accès et équité à l'enseignement général</v>
      </c>
      <c r="AA223" s="19" t="str">
        <f>B223 &amp; "-" &amp; VLOOKUP(B223,[4]SOUSPROGRAMMES!$E$1:$F$44,2,FALSE)</f>
        <v>13- Accès à l’éducation non formelle</v>
      </c>
      <c r="AB223" s="19" t="str">
        <f>C223 &amp; "-" &amp; VLOOKUP(C223,[4]RESULTATS!$E$1:$F$176,2,FALSE)</f>
        <v>131-La demande de scolarisation non formelle est accrue chez les enfants déscolarisés et les non scolarisés</v>
      </c>
      <c r="AC223" s="20" t="str">
        <f>D223 &amp; "-" &amp; VLOOKUP(D223,[4]STRATEGIES!$E$1:$F$504,2,FALSE)</f>
        <v>1312-Octroi de kits scolaires auxs apprenants</v>
      </c>
      <c r="AD223" s="21" t="str">
        <f t="shared" si="43"/>
        <v>13121-Acquisition et distribution des kits scolaires</v>
      </c>
    </row>
    <row r="224" spans="1:30" s="22" customFormat="1" ht="45" hidden="1" customHeight="1" x14ac:dyDescent="0.8">
      <c r="A224" s="14">
        <v>1</v>
      </c>
      <c r="B224" s="15">
        <v>13</v>
      </c>
      <c r="C224" s="15">
        <v>131</v>
      </c>
      <c r="D224" s="15">
        <v>1312</v>
      </c>
      <c r="E224" s="15">
        <v>13122</v>
      </c>
      <c r="F224" s="16" t="s">
        <v>337</v>
      </c>
      <c r="G224" s="21" t="s">
        <v>58</v>
      </c>
      <c r="H224" s="17" t="s">
        <v>110</v>
      </c>
      <c r="I224" s="18">
        <v>0</v>
      </c>
      <c r="J224" s="18">
        <f>(8*4*10)*80.01%</f>
        <v>256.03200000000004</v>
      </c>
      <c r="K224" s="18">
        <f>(8*4*10)*80.01%</f>
        <v>256.03200000000004</v>
      </c>
      <c r="L224" s="18">
        <f>(8*4*10)*80.01%</f>
        <v>256.03200000000004</v>
      </c>
      <c r="M224" s="18">
        <f>SUM(I224:L224)</f>
        <v>768.09600000000012</v>
      </c>
      <c r="N224" s="18">
        <f>IF(OR(H224="",H224="sif",H224="PM"),0,VLOOKUP(H224,[5]CU!$C$4:$H$255,6,FALSE))</f>
        <v>7.1760000000000002</v>
      </c>
      <c r="O224" s="18">
        <f>N224*J224</f>
        <v>1837.2856320000003</v>
      </c>
      <c r="P224" s="18">
        <f t="shared" si="49"/>
        <v>1837.2856320000003</v>
      </c>
      <c r="Q224" s="18">
        <f t="shared" si="49"/>
        <v>1837.2856320000003</v>
      </c>
      <c r="R224" s="18">
        <f t="shared" si="49"/>
        <v>1837.2856320000003</v>
      </c>
      <c r="S224" s="18">
        <f>SUM(O224:R224)</f>
        <v>7349.1425280000012</v>
      </c>
      <c r="T224" s="23" t="s">
        <v>56</v>
      </c>
      <c r="U224" s="18" t="s">
        <v>330</v>
      </c>
      <c r="V224" s="18" t="str">
        <f>IF(OR($H224="",$H224="sif",$H224="PM"),"",VLOOKUP($H224,[5]CU!$C$5:$J$255,8,FALSE))</f>
        <v>3. Dépenses de fonctionnement</v>
      </c>
      <c r="W224" s="18" t="s">
        <v>331</v>
      </c>
      <c r="X224" s="18" t="s">
        <v>282</v>
      </c>
      <c r="Y224" s="19" t="s">
        <v>32</v>
      </c>
      <c r="Z224" s="18" t="str">
        <f>A224 &amp; "-" &amp; VLOOKUP(A224,[4]PROGRAMMES!$E$1:$F$7,2,FALSE)</f>
        <v>1-Accès et équité à l'enseignement général</v>
      </c>
      <c r="AA224" s="19" t="str">
        <f>B224 &amp; "-" &amp; VLOOKUP(B224,[4]SOUSPROGRAMMES!$E$1:$F$44,2,FALSE)</f>
        <v>13- Accès à l’éducation non formelle</v>
      </c>
      <c r="AB224" s="19" t="str">
        <f>C224 &amp; "-" &amp; VLOOKUP(C224,[4]RESULTATS!$E$1:$F$176,2,FALSE)</f>
        <v>131-La demande de scolarisation non formelle est accrue chez les enfants déscolarisés et les non scolarisés</v>
      </c>
      <c r="AC224" s="20" t="str">
        <f>D224 &amp; "-" &amp; VLOOKUP(D224,[4]STRATEGIES!$E$1:$F$504,2,FALSE)</f>
        <v>1312-Octroi de kits scolaires auxs apprenants</v>
      </c>
      <c r="AD224" s="21" t="str">
        <f t="shared" si="43"/>
        <v>13122-Suivi/évaluation de la distribution des kits scolaires</v>
      </c>
    </row>
    <row r="225" spans="1:30" s="22" customFormat="1" ht="45" hidden="1" customHeight="1" x14ac:dyDescent="0.8">
      <c r="A225" s="14">
        <v>1</v>
      </c>
      <c r="B225" s="15">
        <v>13</v>
      </c>
      <c r="C225" s="15">
        <v>131</v>
      </c>
      <c r="D225" s="15">
        <v>1312</v>
      </c>
      <c r="E225" s="15">
        <v>13122</v>
      </c>
      <c r="F225" s="16" t="s">
        <v>337</v>
      </c>
      <c r="G225" s="21" t="s">
        <v>58</v>
      </c>
      <c r="H225" s="17" t="s">
        <v>110</v>
      </c>
      <c r="I225" s="18">
        <v>0</v>
      </c>
      <c r="J225" s="18">
        <f>(8*4*10)*19.99%</f>
        <v>63.967999999999996</v>
      </c>
      <c r="K225" s="18">
        <f>(8*4*10)*19.99%</f>
        <v>63.967999999999996</v>
      </c>
      <c r="L225" s="18">
        <f>(8*4*10)*19.99%</f>
        <v>63.967999999999996</v>
      </c>
      <c r="M225" s="18">
        <f t="shared" si="40"/>
        <v>191.904</v>
      </c>
      <c r="N225" s="18">
        <f>IF(OR(H225="",H225="sif",H225="PM"),0,VLOOKUP(H225,[5]CU!$C$4:$H$255,6,FALSE))</f>
        <v>7.1760000000000002</v>
      </c>
      <c r="O225" s="18">
        <f t="shared" si="47"/>
        <v>459.03436799999997</v>
      </c>
      <c r="P225" s="18">
        <f t="shared" si="49"/>
        <v>459.03436799999997</v>
      </c>
      <c r="Q225" s="18">
        <f t="shared" si="49"/>
        <v>459.03436799999997</v>
      </c>
      <c r="R225" s="18">
        <f t="shared" si="49"/>
        <v>459.03436799999997</v>
      </c>
      <c r="S225" s="18">
        <f t="shared" si="46"/>
        <v>1836.1374719999999</v>
      </c>
      <c r="T225" s="23" t="s">
        <v>118</v>
      </c>
      <c r="U225" s="18" t="s">
        <v>330</v>
      </c>
      <c r="V225" s="18" t="str">
        <f>IF(OR($H225="",$H225="sif",$H225="PM"),"",VLOOKUP($H225,[5]CU!$C$5:$J$255,8,FALSE))</f>
        <v>3. Dépenses de fonctionnement</v>
      </c>
      <c r="W225" s="18" t="s">
        <v>331</v>
      </c>
      <c r="X225" s="18" t="s">
        <v>282</v>
      </c>
      <c r="Y225" s="19" t="s">
        <v>32</v>
      </c>
      <c r="Z225" s="18" t="str">
        <f>A225 &amp; "-" &amp; VLOOKUP(A225,[4]PROGRAMMES!$E$1:$F$7,2,FALSE)</f>
        <v>1-Accès et équité à l'enseignement général</v>
      </c>
      <c r="AA225" s="19" t="str">
        <f>B225 &amp; "-" &amp; VLOOKUP(B225,[4]SOUSPROGRAMMES!$E$1:$F$44,2,FALSE)</f>
        <v>13- Accès à l’éducation non formelle</v>
      </c>
      <c r="AB225" s="19" t="str">
        <f>C225 &amp; "-" &amp; VLOOKUP(C225,[4]RESULTATS!$E$1:$F$176,2,FALSE)</f>
        <v>131-La demande de scolarisation non formelle est accrue chez les enfants déscolarisés et les non scolarisés</v>
      </c>
      <c r="AC225" s="20" t="str">
        <f>D225 &amp; "-" &amp; VLOOKUP(D225,[4]STRATEGIES!$E$1:$F$504,2,FALSE)</f>
        <v>1312-Octroi de kits scolaires auxs apprenants</v>
      </c>
      <c r="AD225" s="21" t="str">
        <f t="shared" si="43"/>
        <v>13122-Suivi/évaluation de la distribution des kits scolaires</v>
      </c>
    </row>
    <row r="226" spans="1:30" s="22" customFormat="1" ht="45" hidden="1" customHeight="1" x14ac:dyDescent="0.8">
      <c r="A226" s="14">
        <v>1</v>
      </c>
      <c r="B226" s="15">
        <v>13</v>
      </c>
      <c r="C226" s="15">
        <v>131</v>
      </c>
      <c r="D226" s="15">
        <v>1313</v>
      </c>
      <c r="E226" s="15">
        <v>1313</v>
      </c>
      <c r="F226" s="16" t="s">
        <v>338</v>
      </c>
      <c r="G226" s="17"/>
      <c r="H226" s="17"/>
      <c r="I226" s="18">
        <v>0</v>
      </c>
      <c r="J226" s="18"/>
      <c r="K226" s="18"/>
      <c r="L226" s="18"/>
      <c r="M226" s="18"/>
      <c r="N226" s="18"/>
      <c r="O226" s="18"/>
      <c r="P226" s="18"/>
      <c r="Q226" s="18"/>
      <c r="R226" s="18"/>
      <c r="S226" s="18"/>
      <c r="T226" s="18"/>
      <c r="U226" s="18"/>
      <c r="V226" s="18"/>
      <c r="W226" s="18"/>
      <c r="X226" s="18"/>
      <c r="Y226" s="19" t="s">
        <v>32</v>
      </c>
      <c r="Z226" s="18" t="str">
        <f>A226 &amp; "-" &amp; VLOOKUP(A226,[4]PROGRAMMES!$E$1:$F$7,2,FALSE)</f>
        <v>1-Accès et équité à l'enseignement général</v>
      </c>
      <c r="AA226" s="19" t="str">
        <f>B226 &amp; "-" &amp; VLOOKUP(B226,[4]SOUSPROGRAMMES!$E$1:$F$44,2,FALSE)</f>
        <v>13- Accès à l’éducation non formelle</v>
      </c>
      <c r="AB226" s="19" t="str">
        <f>C226 &amp; "-" &amp; VLOOKUP(C226,[4]RESULTATS!$E$1:$F$176,2,FALSE)</f>
        <v>131-La demande de scolarisation non formelle est accrue chez les enfants déscolarisés et les non scolarisés</v>
      </c>
      <c r="AC226" s="20" t="str">
        <f>D226 &amp; "-" &amp; VLOOKUP(D226,[4]STRATEGIES!$E$1:$F$504,2,FALSE)</f>
        <v>1313-Prise en charge des apprenants du non formelle par les cantines des écoles situées à proximité</v>
      </c>
      <c r="AD226" s="21" t="str">
        <f t="shared" si="43"/>
        <v>1313-Prise en charge des apprenants du non formelle par les cantines des écoles situées à proximité</v>
      </c>
    </row>
    <row r="227" spans="1:30" s="22" customFormat="1" ht="45" hidden="1" customHeight="1" x14ac:dyDescent="0.8">
      <c r="A227" s="14">
        <v>1</v>
      </c>
      <c r="B227" s="15">
        <v>13</v>
      </c>
      <c r="C227" s="15">
        <v>131</v>
      </c>
      <c r="D227" s="15">
        <v>1313</v>
      </c>
      <c r="E227" s="15">
        <v>13131</v>
      </c>
      <c r="F227" s="16" t="s">
        <v>339</v>
      </c>
      <c r="G227" s="21" t="s">
        <v>58</v>
      </c>
      <c r="H227" s="17" t="s">
        <v>59</v>
      </c>
      <c r="I227" s="18">
        <v>0</v>
      </c>
      <c r="J227" s="18">
        <f>(16*5*2)*80.01%</f>
        <v>128.01600000000002</v>
      </c>
      <c r="K227" s="18"/>
      <c r="L227" s="18"/>
      <c r="M227" s="18">
        <f>SUM(I227:L227)</f>
        <v>128.01600000000002</v>
      </c>
      <c r="N227" s="18">
        <f>IF(OR(H227="",H227="sif",H227="PM"),0,VLOOKUP(H227,[5]CU!$C$4:$H$255,6,FALSE))</f>
        <v>0.8177777777777776</v>
      </c>
      <c r="O227" s="18">
        <f>N227*J227</f>
        <v>104.68863999999999</v>
      </c>
      <c r="P227" s="18">
        <f t="shared" ref="P227:R230" si="50">$N227*J227</f>
        <v>104.68863999999999</v>
      </c>
      <c r="Q227" s="18">
        <f t="shared" si="50"/>
        <v>0</v>
      </c>
      <c r="R227" s="18">
        <f t="shared" si="50"/>
        <v>0</v>
      </c>
      <c r="S227" s="18">
        <f>SUM(O227:R227)</f>
        <v>209.37727999999998</v>
      </c>
      <c r="T227" s="23" t="s">
        <v>56</v>
      </c>
      <c r="U227" s="18" t="s">
        <v>330</v>
      </c>
      <c r="V227" s="18" t="str">
        <f>IF(OR($H227="",$H227="sif",$H227="PM"),"",VLOOKUP($H227,[5]CU!$C$5:$J$255,8,FALSE))</f>
        <v>3. Dépenses de fonctionnement</v>
      </c>
      <c r="W227" s="18" t="s">
        <v>331</v>
      </c>
      <c r="X227" s="18" t="s">
        <v>77</v>
      </c>
      <c r="Y227" s="19" t="s">
        <v>32</v>
      </c>
      <c r="Z227" s="18" t="str">
        <f>A227 &amp; "-" &amp; VLOOKUP(A227,[4]PROGRAMMES!$E$1:$F$7,2,FALSE)</f>
        <v>1-Accès et équité à l'enseignement général</v>
      </c>
      <c r="AA227" s="19" t="str">
        <f>B227 &amp; "-" &amp; VLOOKUP(B227,[4]SOUSPROGRAMMES!$E$1:$F$44,2,FALSE)</f>
        <v>13- Accès à l’éducation non formelle</v>
      </c>
      <c r="AB227" s="19" t="str">
        <f>C227 &amp; "-" &amp; VLOOKUP(C227,[4]RESULTATS!$E$1:$F$176,2,FALSE)</f>
        <v>131-La demande de scolarisation non formelle est accrue chez les enfants déscolarisés et les non scolarisés</v>
      </c>
      <c r="AC227" s="20" t="str">
        <f>D227 &amp; "-" &amp; VLOOKUP(D227,[4]STRATEGIES!$E$1:$F$504,2,FALSE)</f>
        <v>1313-Prise en charge des apprenants du non formelle par les cantines des écoles situées à proximité</v>
      </c>
      <c r="AD227" s="21" t="str">
        <f t="shared" si="43"/>
        <v>13131-Identification des centres Nafa situés à proximité des écoles à cantines</v>
      </c>
    </row>
    <row r="228" spans="1:30" s="22" customFormat="1" ht="45" hidden="1" customHeight="1" x14ac:dyDescent="0.8">
      <c r="A228" s="14">
        <v>1</v>
      </c>
      <c r="B228" s="15">
        <v>13</v>
      </c>
      <c r="C228" s="15">
        <v>131</v>
      </c>
      <c r="D228" s="15">
        <v>1313</v>
      </c>
      <c r="E228" s="15">
        <v>13131</v>
      </c>
      <c r="F228" s="16" t="s">
        <v>339</v>
      </c>
      <c r="G228" s="21" t="s">
        <v>58</v>
      </c>
      <c r="H228" s="17" t="s">
        <v>59</v>
      </c>
      <c r="I228" s="18">
        <v>0</v>
      </c>
      <c r="J228" s="18">
        <f>(16*5*2)*19.99%</f>
        <v>31.983999999999998</v>
      </c>
      <c r="K228" s="18"/>
      <c r="L228" s="18"/>
      <c r="M228" s="18">
        <f t="shared" si="40"/>
        <v>31.983999999999998</v>
      </c>
      <c r="N228" s="18">
        <f>IF(OR(H228="",H228="sif",H228="PM"),0,VLOOKUP(H228,[5]CU!$C$4:$H$255,6,FALSE))</f>
        <v>0.8177777777777776</v>
      </c>
      <c r="O228" s="18">
        <f t="shared" si="47"/>
        <v>26.155804444444438</v>
      </c>
      <c r="P228" s="18">
        <f t="shared" si="50"/>
        <v>26.155804444444438</v>
      </c>
      <c r="Q228" s="18">
        <f t="shared" si="50"/>
        <v>0</v>
      </c>
      <c r="R228" s="18">
        <f t="shared" si="50"/>
        <v>0</v>
      </c>
      <c r="S228" s="18">
        <f t="shared" si="46"/>
        <v>52.311608888888877</v>
      </c>
      <c r="T228" s="23" t="s">
        <v>118</v>
      </c>
      <c r="U228" s="18" t="s">
        <v>330</v>
      </c>
      <c r="V228" s="18" t="str">
        <f>IF(OR($H228="",$H228="sif",$H228="PM"),"",VLOOKUP($H228,[5]CU!$C$5:$J$255,8,FALSE))</f>
        <v>3. Dépenses de fonctionnement</v>
      </c>
      <c r="W228" s="18" t="s">
        <v>331</v>
      </c>
      <c r="X228" s="18" t="s">
        <v>77</v>
      </c>
      <c r="Y228" s="19" t="s">
        <v>32</v>
      </c>
      <c r="Z228" s="18" t="str">
        <f>A228 &amp; "-" &amp; VLOOKUP(A228,[4]PROGRAMMES!$E$1:$F$7,2,FALSE)</f>
        <v>1-Accès et équité à l'enseignement général</v>
      </c>
      <c r="AA228" s="19" t="str">
        <f>B228 &amp; "-" &amp; VLOOKUP(B228,[4]SOUSPROGRAMMES!$E$1:$F$44,2,FALSE)</f>
        <v>13- Accès à l’éducation non formelle</v>
      </c>
      <c r="AB228" s="19" t="str">
        <f>C228 &amp; "-" &amp; VLOOKUP(C228,[4]RESULTATS!$E$1:$F$176,2,FALSE)</f>
        <v>131-La demande de scolarisation non formelle est accrue chez les enfants déscolarisés et les non scolarisés</v>
      </c>
      <c r="AC228" s="20" t="str">
        <f>D228 &amp; "-" &amp; VLOOKUP(D228,[4]STRATEGIES!$E$1:$F$504,2,FALSE)</f>
        <v>1313-Prise en charge des apprenants du non formelle par les cantines des écoles situées à proximité</v>
      </c>
      <c r="AD228" s="21" t="str">
        <f t="shared" si="43"/>
        <v>13131-Identification des centres Nafa situés à proximité des écoles à cantines</v>
      </c>
    </row>
    <row r="229" spans="1:30" s="22" customFormat="1" ht="45" hidden="1" customHeight="1" x14ac:dyDescent="0.8">
      <c r="A229" s="14">
        <v>1</v>
      </c>
      <c r="B229" s="15">
        <v>13</v>
      </c>
      <c r="C229" s="15">
        <v>131</v>
      </c>
      <c r="D229" s="15">
        <v>1313</v>
      </c>
      <c r="E229" s="15">
        <v>13132</v>
      </c>
      <c r="F229" s="16" t="s">
        <v>82</v>
      </c>
      <c r="G229" s="21" t="s">
        <v>340</v>
      </c>
      <c r="H229" s="17" t="s">
        <v>84</v>
      </c>
      <c r="I229" s="18">
        <v>0</v>
      </c>
      <c r="J229" s="18">
        <f>(J222*12.3%)*20.01%</f>
        <v>51.03606528000001</v>
      </c>
      <c r="K229" s="18">
        <f>(K222*13.5%)*20.01%</f>
        <v>104.18566680000002</v>
      </c>
      <c r="L229" s="18">
        <f>(L222*14.8%)*20.01%</f>
        <v>159.89622816000008</v>
      </c>
      <c r="M229" s="18">
        <f>SUM(I229:L229)</f>
        <v>315.11796024000012</v>
      </c>
      <c r="N229" s="18">
        <f>IF(OR(H229="",H229="sif",H229="PM"),0,VLOOKUP(H229,[5]CU!$C$4:$H$255,6,FALSE))</f>
        <v>0.25</v>
      </c>
      <c r="O229" s="18">
        <f>N229*J229</f>
        <v>12.759016320000002</v>
      </c>
      <c r="P229" s="18">
        <f t="shared" si="50"/>
        <v>12.759016320000002</v>
      </c>
      <c r="Q229" s="18">
        <f t="shared" si="50"/>
        <v>26.046416700000005</v>
      </c>
      <c r="R229" s="18">
        <f t="shared" si="50"/>
        <v>39.974057040000019</v>
      </c>
      <c r="S229" s="18">
        <f>SUM(O229:R229)</f>
        <v>91.53850638000003</v>
      </c>
      <c r="T229" s="23" t="s">
        <v>56</v>
      </c>
      <c r="U229" s="18" t="s">
        <v>330</v>
      </c>
      <c r="V229" s="18" t="str">
        <f>IF(OR($H229="",$H229="sif",$H229="PM"),"",VLOOKUP($H229,[5]CU!$C$5:$J$255,8,FALSE))</f>
        <v>4. Transferts et subventions</v>
      </c>
      <c r="W229" s="18" t="s">
        <v>81</v>
      </c>
      <c r="X229" s="18" t="s">
        <v>81</v>
      </c>
      <c r="Y229" s="19" t="s">
        <v>32</v>
      </c>
      <c r="Z229" s="18" t="str">
        <f>A229 &amp; "-" &amp; VLOOKUP(A229,[4]PROGRAMMES!$E$1:$F$7,2,FALSE)</f>
        <v>1-Accès et équité à l'enseignement général</v>
      </c>
      <c r="AA229" s="19" t="str">
        <f>B229 &amp; "-" &amp; VLOOKUP(B229,[4]SOUSPROGRAMMES!$E$1:$F$44,2,FALSE)</f>
        <v>13- Accès à l’éducation non formelle</v>
      </c>
      <c r="AB229" s="19" t="str">
        <f>C229 &amp; "-" &amp; VLOOKUP(C229,[4]RESULTATS!$E$1:$F$176,2,FALSE)</f>
        <v>131-La demande de scolarisation non formelle est accrue chez les enfants déscolarisés et les non scolarisés</v>
      </c>
      <c r="AC229" s="20" t="str">
        <f>D229 &amp; "-" &amp; VLOOKUP(D229,[4]STRATEGIES!$E$1:$F$504,2,FALSE)</f>
        <v>1313-Prise en charge des apprenants du non formelle par les cantines des écoles situées à proximité</v>
      </c>
      <c r="AD229" s="21" t="str">
        <f t="shared" si="43"/>
        <v>13132-Acquisition et distribution des vivres supplémentaires</v>
      </c>
    </row>
    <row r="230" spans="1:30" s="22" customFormat="1" ht="45" hidden="1" customHeight="1" x14ac:dyDescent="0.8">
      <c r="A230" s="14">
        <v>1</v>
      </c>
      <c r="B230" s="15">
        <v>13</v>
      </c>
      <c r="C230" s="15">
        <v>131</v>
      </c>
      <c r="D230" s="15">
        <v>1313</v>
      </c>
      <c r="E230" s="15">
        <v>13132</v>
      </c>
      <c r="F230" s="16" t="s">
        <v>82</v>
      </c>
      <c r="G230" s="21" t="s">
        <v>340</v>
      </c>
      <c r="H230" s="17" t="s">
        <v>84</v>
      </c>
      <c r="I230" s="18">
        <v>0</v>
      </c>
      <c r="J230" s="18">
        <f>(J222*12.3%)*79.99%</f>
        <v>204.01673471999999</v>
      </c>
      <c r="K230" s="18">
        <f>(K222*13.5%)*79.99%</f>
        <v>416.48233319999997</v>
      </c>
      <c r="L230" s="18">
        <f>(L222*14.8%)*79.99%</f>
        <v>639.18537184000013</v>
      </c>
      <c r="M230" s="18">
        <f t="shared" si="40"/>
        <v>1259.6844397600003</v>
      </c>
      <c r="N230" s="18">
        <f>IF(OR(H230="",H230="sif",H230="PM"),0,VLOOKUP(H230,[5]CU!$C$4:$H$255,6,FALSE))</f>
        <v>0.25</v>
      </c>
      <c r="O230" s="18">
        <f t="shared" si="47"/>
        <v>51.004183679999997</v>
      </c>
      <c r="P230" s="18">
        <f t="shared" si="50"/>
        <v>51.004183679999997</v>
      </c>
      <c r="Q230" s="18">
        <f t="shared" si="50"/>
        <v>104.12058329999999</v>
      </c>
      <c r="R230" s="18">
        <f t="shared" si="50"/>
        <v>159.79634296000003</v>
      </c>
      <c r="S230" s="18">
        <f t="shared" si="46"/>
        <v>365.92529362000005</v>
      </c>
      <c r="T230" s="23" t="s">
        <v>118</v>
      </c>
      <c r="U230" s="18" t="s">
        <v>330</v>
      </c>
      <c r="V230" s="18" t="str">
        <f>IF(OR($H230="",$H230="sif",$H230="PM"),"",VLOOKUP($H230,[5]CU!$C$5:$J$255,8,FALSE))</f>
        <v>4. Transferts et subventions</v>
      </c>
      <c r="W230" s="18" t="s">
        <v>81</v>
      </c>
      <c r="X230" s="18" t="s">
        <v>81</v>
      </c>
      <c r="Y230" s="19" t="s">
        <v>32</v>
      </c>
      <c r="Z230" s="18" t="str">
        <f>A230 &amp; "-" &amp; VLOOKUP(A230,[4]PROGRAMMES!$E$1:$F$7,2,FALSE)</f>
        <v>1-Accès et équité à l'enseignement général</v>
      </c>
      <c r="AA230" s="19" t="str">
        <f>B230 &amp; "-" &amp; VLOOKUP(B230,[4]SOUSPROGRAMMES!$E$1:$F$44,2,FALSE)</f>
        <v>13- Accès à l’éducation non formelle</v>
      </c>
      <c r="AB230" s="19" t="str">
        <f>C230 &amp; "-" &amp; VLOOKUP(C230,[4]RESULTATS!$E$1:$F$176,2,FALSE)</f>
        <v>131-La demande de scolarisation non formelle est accrue chez les enfants déscolarisés et les non scolarisés</v>
      </c>
      <c r="AC230" s="20" t="str">
        <f>D230 &amp; "-" &amp; VLOOKUP(D230,[4]STRATEGIES!$E$1:$F$504,2,FALSE)</f>
        <v>1313-Prise en charge des apprenants du non formelle par les cantines des écoles situées à proximité</v>
      </c>
      <c r="AD230" s="21" t="str">
        <f t="shared" si="43"/>
        <v>13132-Acquisition et distribution des vivres supplémentaires</v>
      </c>
    </row>
    <row r="231" spans="1:30" s="22" customFormat="1" ht="45" hidden="1" customHeight="1" x14ac:dyDescent="0.8">
      <c r="A231" s="14">
        <v>1</v>
      </c>
      <c r="B231" s="15">
        <v>13</v>
      </c>
      <c r="C231" s="15">
        <v>131</v>
      </c>
      <c r="D231" s="15">
        <v>1313</v>
      </c>
      <c r="E231" s="15">
        <v>13133</v>
      </c>
      <c r="F231" s="16" t="s">
        <v>341</v>
      </c>
      <c r="G231" s="21" t="s">
        <v>92</v>
      </c>
      <c r="H231" s="17" t="s">
        <v>55</v>
      </c>
      <c r="I231" s="18">
        <v>0</v>
      </c>
      <c r="J231" s="18">
        <v>1</v>
      </c>
      <c r="K231" s="18">
        <v>1</v>
      </c>
      <c r="L231" s="18">
        <v>1</v>
      </c>
      <c r="M231" s="18"/>
      <c r="N231" s="18">
        <f>IF(OR(H231="",H231="sif",H231="PM"),0,VLOOKUP(H231,[5]CU!$C$4:$H$255,6,FALSE))</f>
        <v>0</v>
      </c>
      <c r="O231" s="18"/>
      <c r="P231" s="18"/>
      <c r="Q231" s="18"/>
      <c r="R231" s="18"/>
      <c r="S231" s="18"/>
      <c r="T231" s="23" t="s">
        <v>56</v>
      </c>
      <c r="U231" s="18" t="s">
        <v>330</v>
      </c>
      <c r="V231" s="18" t="str">
        <f>IF(OR($H231="",$H231="sif",$H231="PM"),"",VLOOKUP($H231,[5]CU!$C$5:$J$255,8,FALSE))</f>
        <v/>
      </c>
      <c r="W231" s="18" t="s">
        <v>81</v>
      </c>
      <c r="X231" s="18" t="s">
        <v>81</v>
      </c>
      <c r="Y231" s="19" t="s">
        <v>32</v>
      </c>
      <c r="Z231" s="18" t="str">
        <f>A231 &amp; "-" &amp; VLOOKUP(A231,[4]PROGRAMMES!$E$1:$F$7,2,FALSE)</f>
        <v>1-Accès et équité à l'enseignement général</v>
      </c>
      <c r="AA231" s="19" t="str">
        <f>B231 &amp; "-" &amp; VLOOKUP(B231,[4]SOUSPROGRAMMES!$E$1:$F$44,2,FALSE)</f>
        <v>13- Accès à l’éducation non formelle</v>
      </c>
      <c r="AB231" s="19" t="str">
        <f>C231 &amp; "-" &amp; VLOOKUP(C231,[4]RESULTATS!$E$1:$F$176,2,FALSE)</f>
        <v>131-La demande de scolarisation non formelle est accrue chez les enfants déscolarisés et les non scolarisés</v>
      </c>
      <c r="AC231" s="20" t="str">
        <f>D231 &amp; "-" &amp; VLOOKUP(D231,[4]STRATEGIES!$E$1:$F$504,2,FALSE)</f>
        <v>1313-Prise en charge des apprenants du non formelle par les cantines des écoles situées à proximité</v>
      </c>
      <c r="AD231" s="21" t="str">
        <f t="shared" si="43"/>
        <v>13133-Suivi de la gestion des cantines scolaires dans les centres Nafa (voir suivi cantines activités 12125)</v>
      </c>
    </row>
    <row r="232" spans="1:30" s="22" customFormat="1" ht="30" hidden="1" customHeight="1" x14ac:dyDescent="0.8">
      <c r="A232" s="14">
        <v>1</v>
      </c>
      <c r="B232" s="15">
        <v>13</v>
      </c>
      <c r="C232" s="15">
        <v>132</v>
      </c>
      <c r="D232" s="15">
        <v>132</v>
      </c>
      <c r="E232" s="15">
        <v>132</v>
      </c>
      <c r="F232" s="16" t="s">
        <v>342</v>
      </c>
      <c r="G232" s="17"/>
      <c r="H232" s="17"/>
      <c r="I232" s="18">
        <v>0</v>
      </c>
      <c r="J232" s="18"/>
      <c r="K232" s="18"/>
      <c r="L232" s="18"/>
      <c r="M232" s="18"/>
      <c r="N232" s="18"/>
      <c r="O232" s="18"/>
      <c r="P232" s="18"/>
      <c r="Q232" s="18"/>
      <c r="R232" s="18"/>
      <c r="S232" s="18"/>
      <c r="T232" s="18"/>
      <c r="U232" s="18"/>
      <c r="V232" s="18"/>
      <c r="W232" s="18"/>
      <c r="X232" s="18"/>
      <c r="Y232" s="19" t="s">
        <v>32</v>
      </c>
      <c r="Z232" s="18" t="str">
        <f>A232 &amp; "-" &amp; VLOOKUP(A232,[4]PROGRAMMES!$E$1:$F$7,2,FALSE)</f>
        <v>1-Accès et équité à l'enseignement général</v>
      </c>
      <c r="AA232" s="19" t="str">
        <f>B232 &amp; "-" &amp; VLOOKUP(B232,[4]SOUSPROGRAMMES!$E$1:$F$44,2,FALSE)</f>
        <v>13- Accès à l’éducation non formelle</v>
      </c>
      <c r="AB232" s="19" t="str">
        <f>C232 &amp; "-" &amp; VLOOKUP(C232,[4]RESULTATS!$E$1:$F$176,2,FALSE)</f>
        <v>132- L’offre d’éducation non formelle est diversifiée</v>
      </c>
      <c r="AC232" s="20" t="str">
        <f>D232 &amp; "-" &amp; VLOOKUP(D232,[4]STRATEGIES!$E$1:$F$504,2,FALSE)</f>
        <v>132- L’offre d’éducation non formelle est diversifiée</v>
      </c>
      <c r="AD232" s="21" t="str">
        <f t="shared" si="43"/>
        <v>132- L’offre d’éducation non formelle est diversifiée</v>
      </c>
    </row>
    <row r="233" spans="1:30" s="22" customFormat="1" ht="30" hidden="1" customHeight="1" x14ac:dyDescent="0.8">
      <c r="A233" s="14">
        <v>1</v>
      </c>
      <c r="B233" s="15">
        <v>13</v>
      </c>
      <c r="C233" s="15">
        <v>132</v>
      </c>
      <c r="D233" s="15">
        <v>1321</v>
      </c>
      <c r="E233" s="15">
        <v>1321</v>
      </c>
      <c r="F233" s="16" t="s">
        <v>343</v>
      </c>
      <c r="G233" s="17"/>
      <c r="H233" s="17"/>
      <c r="I233" s="18">
        <v>0</v>
      </c>
      <c r="J233" s="18"/>
      <c r="K233" s="18"/>
      <c r="L233" s="18"/>
      <c r="M233" s="18"/>
      <c r="N233" s="18"/>
      <c r="O233" s="18"/>
      <c r="P233" s="18"/>
      <c r="Q233" s="18"/>
      <c r="R233" s="18"/>
      <c r="S233" s="18"/>
      <c r="T233" s="18"/>
      <c r="U233" s="18"/>
      <c r="V233" s="18"/>
      <c r="W233" s="18"/>
      <c r="X233" s="18"/>
      <c r="Y233" s="19" t="s">
        <v>32</v>
      </c>
      <c r="Z233" s="18" t="str">
        <f>A233 &amp; "-" &amp; VLOOKUP(A233,[4]PROGRAMMES!$E$1:$F$7,2,FALSE)</f>
        <v>1-Accès et équité à l'enseignement général</v>
      </c>
      <c r="AA233" s="19" t="str">
        <f>B233 &amp; "-" &amp; VLOOKUP(B233,[4]SOUSPROGRAMMES!$E$1:$F$44,2,FALSE)</f>
        <v>13- Accès à l’éducation non formelle</v>
      </c>
      <c r="AB233" s="19" t="str">
        <f>C233 &amp; "-" &amp; VLOOKUP(C233,[4]RESULTATS!$E$1:$F$176,2,FALSE)</f>
        <v>132- L’offre d’éducation non formelle est diversifiée</v>
      </c>
      <c r="AC233" s="20" t="str">
        <f>D233 &amp; "-" &amp; VLOOKUP(D233,[4]STRATEGIES!$E$1:$F$504,2,FALSE)</f>
        <v>1321-Elargissement de l’approche de la scolarisation primaire accélérée</v>
      </c>
      <c r="AD233" s="21" t="str">
        <f t="shared" si="43"/>
        <v>1321-Elargissement de l’approche de la scolarisation primaire accélérée</v>
      </c>
    </row>
    <row r="234" spans="1:30" ht="45" hidden="1" customHeight="1" x14ac:dyDescent="0.8">
      <c r="A234" s="25">
        <v>1</v>
      </c>
      <c r="B234" s="16">
        <v>13</v>
      </c>
      <c r="C234" s="16">
        <v>132</v>
      </c>
      <c r="D234" s="16">
        <v>1321</v>
      </c>
      <c r="E234" s="16">
        <v>13211</v>
      </c>
      <c r="F234" s="16" t="s">
        <v>344</v>
      </c>
      <c r="G234" s="21" t="s">
        <v>54</v>
      </c>
      <c r="H234" s="21" t="s">
        <v>55</v>
      </c>
      <c r="I234" s="19">
        <v>0</v>
      </c>
      <c r="J234" s="19">
        <v>1</v>
      </c>
      <c r="K234" s="19"/>
      <c r="L234" s="19"/>
      <c r="M234" s="19">
        <f t="shared" ref="M234:M260" si="51">SUM(I234:L234)</f>
        <v>1</v>
      </c>
      <c r="N234" s="19">
        <f>IF(OR(H234="",H234="sif",H234="PM"),0,VLOOKUP(H234,[5]CU!$C$4:$H$255,6,FALSE))</f>
        <v>0</v>
      </c>
      <c r="O234" s="19"/>
      <c r="P234" s="19"/>
      <c r="Q234" s="19">
        <f t="shared" ref="Q234:Q239" si="52">$N234*K234</f>
        <v>0</v>
      </c>
      <c r="R234" s="19"/>
      <c r="S234" s="19"/>
      <c r="T234" s="26" t="s">
        <v>169</v>
      </c>
      <c r="U234" s="19" t="s">
        <v>330</v>
      </c>
      <c r="V234" s="19" t="str">
        <f>IF(OR($H234="",$H234="sif",$H234="PM"),"",VLOOKUP($H234,[5]CU!$C$5:$J$255,8,FALSE))</f>
        <v/>
      </c>
      <c r="W234" s="19" t="s">
        <v>331</v>
      </c>
      <c r="X234" s="19" t="s">
        <v>255</v>
      </c>
      <c r="Y234" s="19" t="s">
        <v>32</v>
      </c>
      <c r="Z234" s="19" t="str">
        <f>A234 &amp; "-" &amp; VLOOKUP(A234,[4]PROGRAMMES!$E$1:$F$7,2,FALSE)</f>
        <v>1-Accès et équité à l'enseignement général</v>
      </c>
      <c r="AA234" s="19" t="str">
        <f>B234 &amp; "-" &amp; VLOOKUP(B234,[4]SOUSPROGRAMMES!$E$1:$F$44,2,FALSE)</f>
        <v>13- Accès à l’éducation non formelle</v>
      </c>
      <c r="AB234" s="19" t="str">
        <f>C234 &amp; "-" &amp; VLOOKUP(C234,[4]RESULTATS!$E$1:$F$176,2,FALSE)</f>
        <v>132- L’offre d’éducation non formelle est diversifiée</v>
      </c>
      <c r="AC234" s="20" t="str">
        <f>D234 &amp; "-" &amp; VLOOKUP(D234,[4]STRATEGIES!$E$1:$F$504,2,FALSE)</f>
        <v>1321-Elargissement de l’approche de la scolarisation primaire accélérée</v>
      </c>
      <c r="AD234" s="21" t="str">
        <f t="shared" si="43"/>
        <v>13211-Elargissement progressif de l’approche de la scolarisation primaire accélérée</v>
      </c>
    </row>
    <row r="235" spans="1:30" ht="45" hidden="1" customHeight="1" x14ac:dyDescent="0.8">
      <c r="A235" s="25">
        <v>1</v>
      </c>
      <c r="B235" s="16">
        <v>13</v>
      </c>
      <c r="C235" s="16">
        <v>132</v>
      </c>
      <c r="D235" s="16">
        <v>1321</v>
      </c>
      <c r="E235" s="16">
        <v>13212</v>
      </c>
      <c r="F235" s="16" t="s">
        <v>345</v>
      </c>
      <c r="G235" s="21" t="s">
        <v>37</v>
      </c>
      <c r="H235" s="21" t="s">
        <v>38</v>
      </c>
      <c r="I235" s="19">
        <v>0</v>
      </c>
      <c r="J235" s="19">
        <f>50*3*1</f>
        <v>150</v>
      </c>
      <c r="K235" s="19">
        <f>50*3*1</f>
        <v>150</v>
      </c>
      <c r="L235" s="19"/>
      <c r="M235" s="19">
        <f t="shared" si="51"/>
        <v>300</v>
      </c>
      <c r="N235" s="19">
        <f>IF(OR(H235="",H235="sif",H235="PM"),0,VLOOKUP(H235,[5]CU!$C$4:$H$255,6,FALSE))</f>
        <v>0.3133333333333333</v>
      </c>
      <c r="O235" s="19">
        <f>N235*I235</f>
        <v>0</v>
      </c>
      <c r="P235" s="19">
        <f t="shared" ref="P235:R246" si="53">$N235*J235</f>
        <v>46.999999999999993</v>
      </c>
      <c r="Q235" s="19">
        <f t="shared" si="52"/>
        <v>46.999999999999993</v>
      </c>
      <c r="R235" s="19">
        <f t="shared" si="53"/>
        <v>0</v>
      </c>
      <c r="S235" s="19">
        <f t="shared" ref="S235:S244" si="54">SUM(O235:R235)</f>
        <v>93.999999999999986</v>
      </c>
      <c r="T235" s="26" t="s">
        <v>169</v>
      </c>
      <c r="U235" s="19" t="s">
        <v>330</v>
      </c>
      <c r="V235" s="19" t="str">
        <f>IF(OR($H235="",$H235="sif",$H235="PM"),"",VLOOKUP($H235,[5]CU!$C$5:$J$255,8,FALSE))</f>
        <v>3. Formation</v>
      </c>
      <c r="W235" s="19" t="s">
        <v>331</v>
      </c>
      <c r="X235" s="19" t="s">
        <v>331</v>
      </c>
      <c r="Y235" s="19" t="s">
        <v>32</v>
      </c>
      <c r="Z235" s="19" t="str">
        <f>A235 &amp; "-" &amp; VLOOKUP(A235,[4]PROGRAMMES!$E$1:$F$7,2,FALSE)</f>
        <v>1-Accès et équité à l'enseignement général</v>
      </c>
      <c r="AA235" s="19" t="str">
        <f>B235 &amp; "-" &amp; VLOOKUP(B235,[4]SOUSPROGRAMMES!$E$1:$F$44,2,FALSE)</f>
        <v>13- Accès à l’éducation non formelle</v>
      </c>
      <c r="AB235" s="19" t="str">
        <f>C235 &amp; "-" &amp; VLOOKUP(C235,[4]RESULTATS!$E$1:$F$176,2,FALSE)</f>
        <v>132- L’offre d’éducation non formelle est diversifiée</v>
      </c>
      <c r="AC235" s="20" t="str">
        <f>D235 &amp; "-" &amp; VLOOKUP(D235,[4]STRATEGIES!$E$1:$F$504,2,FALSE)</f>
        <v>1321-Elargissement de l’approche de la scolarisation primaire accélérée</v>
      </c>
      <c r="AD235" s="21" t="str">
        <f t="shared" si="43"/>
        <v>13212-Partage de l'expérience de Télimélé sur l’approche de la scolarisation primaire accélérée</v>
      </c>
    </row>
    <row r="236" spans="1:30" ht="45" hidden="1" customHeight="1" x14ac:dyDescent="0.8">
      <c r="A236" s="25">
        <v>1</v>
      </c>
      <c r="B236" s="16">
        <v>13</v>
      </c>
      <c r="C236" s="16">
        <v>132</v>
      </c>
      <c r="D236" s="16">
        <v>1321</v>
      </c>
      <c r="E236" s="16">
        <v>13213</v>
      </c>
      <c r="F236" s="16" t="s">
        <v>346</v>
      </c>
      <c r="G236" s="21" t="s">
        <v>37</v>
      </c>
      <c r="H236" s="21" t="s">
        <v>66</v>
      </c>
      <c r="I236" s="19">
        <v>0</v>
      </c>
      <c r="J236" s="19">
        <f>10*10</f>
        <v>100</v>
      </c>
      <c r="K236" s="19">
        <f>10*10</f>
        <v>100</v>
      </c>
      <c r="L236" s="19"/>
      <c r="M236" s="19">
        <f t="shared" si="51"/>
        <v>200</v>
      </c>
      <c r="N236" s="19">
        <f>IF(OR(H236="",H236="sif",H236="PM"),0,VLOOKUP(H236,[5]CU!$C$4:$H$255,6,FALSE))</f>
        <v>0.255</v>
      </c>
      <c r="O236" s="19">
        <f t="shared" ref="O236:O237" si="55">N236*I236</f>
        <v>0</v>
      </c>
      <c r="P236" s="19">
        <f t="shared" si="53"/>
        <v>25.5</v>
      </c>
      <c r="Q236" s="19">
        <f t="shared" si="52"/>
        <v>25.5</v>
      </c>
      <c r="R236" s="19">
        <f t="shared" si="53"/>
        <v>0</v>
      </c>
      <c r="S236" s="19">
        <f t="shared" si="54"/>
        <v>51</v>
      </c>
      <c r="T236" s="26" t="s">
        <v>169</v>
      </c>
      <c r="U236" s="19" t="s">
        <v>330</v>
      </c>
      <c r="V236" s="19" t="str">
        <f>IF(OR($H236="",$H236="sif",$H236="PM"),"",VLOOKUP($H236,[5]CU!$C$5:$J$255,8,FALSE))</f>
        <v>3. Dépenses de fonctionnement</v>
      </c>
      <c r="W236" s="19" t="s">
        <v>331</v>
      </c>
      <c r="X236" s="19" t="s">
        <v>347</v>
      </c>
      <c r="Y236" s="19" t="s">
        <v>32</v>
      </c>
      <c r="Z236" s="19" t="str">
        <f>A236 &amp; "-" &amp; VLOOKUP(A236,[4]PROGRAMMES!$E$1:$F$7,2,FALSE)</f>
        <v>1-Accès et équité à l'enseignement général</v>
      </c>
      <c r="AA236" s="19" t="str">
        <f>B236 &amp; "-" &amp; VLOOKUP(B236,[4]SOUSPROGRAMMES!$E$1:$F$44,2,FALSE)</f>
        <v>13- Accès à l’éducation non formelle</v>
      </c>
      <c r="AB236" s="19" t="str">
        <f>C236 &amp; "-" &amp; VLOOKUP(C236,[4]RESULTATS!$E$1:$F$176,2,FALSE)</f>
        <v>132- L’offre d’éducation non formelle est diversifiée</v>
      </c>
      <c r="AC236" s="20" t="str">
        <f>D236 &amp; "-" &amp; VLOOKUP(D236,[4]STRATEGIES!$E$1:$F$504,2,FALSE)</f>
        <v>1321-Elargissement de l’approche de la scolarisation primaire accélérée</v>
      </c>
      <c r="AD236" s="21" t="str">
        <f t="shared" si="43"/>
        <v>13213-Toilettage des programmes des classes accélérés</v>
      </c>
    </row>
    <row r="237" spans="1:30" ht="45" hidden="1" customHeight="1" x14ac:dyDescent="0.8">
      <c r="A237" s="25">
        <v>1</v>
      </c>
      <c r="B237" s="16">
        <v>13</v>
      </c>
      <c r="C237" s="16">
        <v>132</v>
      </c>
      <c r="D237" s="16">
        <v>1321</v>
      </c>
      <c r="E237" s="16">
        <v>13214</v>
      </c>
      <c r="F237" s="16" t="s">
        <v>348</v>
      </c>
      <c r="G237" s="21" t="s">
        <v>37</v>
      </c>
      <c r="H237" s="21" t="s">
        <v>38</v>
      </c>
      <c r="I237" s="19">
        <v>0</v>
      </c>
      <c r="J237" s="19">
        <f>30*2</f>
        <v>60</v>
      </c>
      <c r="K237" s="19"/>
      <c r="L237" s="19"/>
      <c r="M237" s="19">
        <f t="shared" si="51"/>
        <v>60</v>
      </c>
      <c r="N237" s="19">
        <f>IF(OR(H237="",H237="sif",H237="PM"),0,VLOOKUP(H237,[5]CU!$C$4:$H$255,6,FALSE))</f>
        <v>0.3133333333333333</v>
      </c>
      <c r="O237" s="19">
        <f t="shared" si="55"/>
        <v>0</v>
      </c>
      <c r="P237" s="19">
        <f t="shared" si="53"/>
        <v>18.799999999999997</v>
      </c>
      <c r="Q237" s="19">
        <f t="shared" si="52"/>
        <v>0</v>
      </c>
      <c r="R237" s="19">
        <f t="shared" si="53"/>
        <v>0</v>
      </c>
      <c r="S237" s="19">
        <f t="shared" si="54"/>
        <v>18.799999999999997</v>
      </c>
      <c r="T237" s="26" t="s">
        <v>169</v>
      </c>
      <c r="U237" s="19" t="s">
        <v>330</v>
      </c>
      <c r="V237" s="19" t="str">
        <f>IF(OR($H237="",$H237="sif",$H237="PM"),"",VLOOKUP($H237,[5]CU!$C$5:$J$255,8,FALSE))</f>
        <v>3. Formation</v>
      </c>
      <c r="W237" s="19" t="s">
        <v>331</v>
      </c>
      <c r="X237" s="19" t="s">
        <v>331</v>
      </c>
      <c r="Y237" s="19" t="s">
        <v>32</v>
      </c>
      <c r="Z237" s="19" t="str">
        <f>A237 &amp; "-" &amp; VLOOKUP(A237,[4]PROGRAMMES!$E$1:$F$7,2,FALSE)</f>
        <v>1-Accès et équité à l'enseignement général</v>
      </c>
      <c r="AA237" s="19" t="str">
        <f>B237 &amp; "-" &amp; VLOOKUP(B237,[4]SOUSPROGRAMMES!$E$1:$F$44,2,FALSE)</f>
        <v>13- Accès à l’éducation non formelle</v>
      </c>
      <c r="AB237" s="19" t="str">
        <f>C237 &amp; "-" &amp; VLOOKUP(C237,[4]RESULTATS!$E$1:$F$176,2,FALSE)</f>
        <v>132- L’offre d’éducation non formelle est diversifiée</v>
      </c>
      <c r="AC237" s="20" t="str">
        <f>D237 &amp; "-" &amp; VLOOKUP(D237,[4]STRATEGIES!$E$1:$F$504,2,FALSE)</f>
        <v>1321-Elargissement de l’approche de la scolarisation primaire accélérée</v>
      </c>
      <c r="AD237" s="21" t="str">
        <f t="shared" si="43"/>
        <v>13214-Validation des nouveaux programmes</v>
      </c>
    </row>
    <row r="238" spans="1:30" ht="45" hidden="1" customHeight="1" x14ac:dyDescent="0.8">
      <c r="A238" s="25">
        <v>1</v>
      </c>
      <c r="B238" s="16">
        <v>13</v>
      </c>
      <c r="C238" s="16">
        <v>132</v>
      </c>
      <c r="D238" s="16">
        <v>1321</v>
      </c>
      <c r="E238" s="16">
        <v>13215</v>
      </c>
      <c r="F238" s="16" t="s">
        <v>349</v>
      </c>
      <c r="G238" s="21" t="s">
        <v>44</v>
      </c>
      <c r="H238" s="21" t="s">
        <v>350</v>
      </c>
      <c r="I238" s="19">
        <v>0</v>
      </c>
      <c r="J238" s="19"/>
      <c r="K238" s="19">
        <f>60*8*3</f>
        <v>1440</v>
      </c>
      <c r="L238" s="19"/>
      <c r="M238" s="19">
        <f t="shared" si="51"/>
        <v>1440</v>
      </c>
      <c r="N238" s="19">
        <f>IF(OR(H238="",H238="sif",H238="PM"),0,VLOOKUP(H238,[5]CU!$C$4:$H$255,6,FALSE))</f>
        <v>0.03</v>
      </c>
      <c r="O238" s="19">
        <f t="shared" ref="O238:O242" si="56">N238*J238</f>
        <v>0</v>
      </c>
      <c r="P238" s="19">
        <f t="shared" si="53"/>
        <v>0</v>
      </c>
      <c r="Q238" s="19">
        <f t="shared" si="52"/>
        <v>43.199999999999996</v>
      </c>
      <c r="R238" s="19">
        <f t="shared" si="53"/>
        <v>0</v>
      </c>
      <c r="S238" s="19">
        <f t="shared" si="54"/>
        <v>43.199999999999996</v>
      </c>
      <c r="T238" s="26" t="s">
        <v>169</v>
      </c>
      <c r="U238" s="19" t="s">
        <v>330</v>
      </c>
      <c r="V238" s="19" t="str">
        <f>IF(OR($H238="",$H238="sif",$H238="PM"),"",VLOOKUP($H238,[5]CU!$C$5:$J$255,8,FALSE))</f>
        <v>3. Manuels scolaires et matériels pédagogiques</v>
      </c>
      <c r="W238" s="19" t="s">
        <v>331</v>
      </c>
      <c r="X238" s="19" t="s">
        <v>331</v>
      </c>
      <c r="Y238" s="19" t="s">
        <v>32</v>
      </c>
      <c r="Z238" s="19" t="str">
        <f>A238 &amp; "-" &amp; VLOOKUP(A238,[4]PROGRAMMES!$E$1:$F$7,2,FALSE)</f>
        <v>1-Accès et équité à l'enseignement général</v>
      </c>
      <c r="AA238" s="19" t="str">
        <f>B238 &amp; "-" &amp; VLOOKUP(B238,[4]SOUSPROGRAMMES!$E$1:$F$44,2,FALSE)</f>
        <v>13- Accès à l’éducation non formelle</v>
      </c>
      <c r="AB238" s="19" t="str">
        <f>C238 &amp; "-" &amp; VLOOKUP(C238,[4]RESULTATS!$E$1:$F$176,2,FALSE)</f>
        <v>132- L’offre d’éducation non formelle est diversifiée</v>
      </c>
      <c r="AC238" s="20" t="str">
        <f>D238 &amp; "-" &amp; VLOOKUP(D238,[4]STRATEGIES!$E$1:$F$504,2,FALSE)</f>
        <v>1321-Elargissement de l’approche de la scolarisation primaire accélérée</v>
      </c>
      <c r="AD238" s="21" t="str">
        <f t="shared" si="43"/>
        <v>13215-Reprographie des nouveaux programmes et des guides</v>
      </c>
    </row>
    <row r="239" spans="1:30" ht="45" hidden="1" customHeight="1" x14ac:dyDescent="0.8">
      <c r="A239" s="25">
        <v>1</v>
      </c>
      <c r="B239" s="16">
        <v>13</v>
      </c>
      <c r="C239" s="16">
        <v>132</v>
      </c>
      <c r="D239" s="16">
        <v>1321</v>
      </c>
      <c r="E239" s="16">
        <v>13216</v>
      </c>
      <c r="F239" s="16" t="s">
        <v>351</v>
      </c>
      <c r="G239" s="21" t="s">
        <v>51</v>
      </c>
      <c r="H239" s="21" t="s">
        <v>352</v>
      </c>
      <c r="I239" s="19">
        <v>0</v>
      </c>
      <c r="J239" s="19">
        <f>(10*5*8)*5%</f>
        <v>20</v>
      </c>
      <c r="K239" s="19">
        <f>(50*5*8)</f>
        <v>2000</v>
      </c>
      <c r="L239" s="19">
        <f>(10*5*8)*80.01%</f>
        <v>320.04000000000002</v>
      </c>
      <c r="M239" s="19">
        <f>SUM(I239:L239)</f>
        <v>2340.04</v>
      </c>
      <c r="N239" s="19">
        <f>IF(OR(H239="",H239="sif",H239="PM"),0,VLOOKUP(H239,[5]CU!$C$4:$H$255,6,FALSE))</f>
        <v>0.54600000000000004</v>
      </c>
      <c r="O239" s="19">
        <f>N239*I239</f>
        <v>0</v>
      </c>
      <c r="P239" s="19">
        <f>$N239*J239</f>
        <v>10.920000000000002</v>
      </c>
      <c r="Q239" s="19">
        <f t="shared" si="52"/>
        <v>1092</v>
      </c>
      <c r="R239" s="19">
        <f>$N239*L239</f>
        <v>174.74184000000002</v>
      </c>
      <c r="S239" s="19">
        <f>SUM(O239:R239)</f>
        <v>1277.6618400000002</v>
      </c>
      <c r="T239" s="26" t="s">
        <v>169</v>
      </c>
      <c r="U239" s="19" t="s">
        <v>330</v>
      </c>
      <c r="V239" s="19" t="str">
        <f>IF(OR($H239="",$H239="sif",$H239="PM"),"",VLOOKUP($H239,[5]CU!$C$5:$J$255,8,FALSE))</f>
        <v>3. Formation</v>
      </c>
      <c r="W239" s="19" t="s">
        <v>331</v>
      </c>
      <c r="X239" s="19" t="s">
        <v>282</v>
      </c>
      <c r="Y239" s="19" t="s">
        <v>32</v>
      </c>
      <c r="Z239" s="19" t="str">
        <f>A239 &amp; "-" &amp; VLOOKUP(A239,[4]PROGRAMMES!$E$1:$F$7,2,FALSE)</f>
        <v>1-Accès et équité à l'enseignement général</v>
      </c>
      <c r="AA239" s="19" t="str">
        <f>B239 &amp; "-" &amp; VLOOKUP(B239,[4]SOUSPROGRAMMES!$E$1:$F$44,2,FALSE)</f>
        <v>13- Accès à l’éducation non formelle</v>
      </c>
      <c r="AB239" s="19" t="str">
        <f>C239 &amp; "-" &amp; VLOOKUP(C239,[4]RESULTATS!$E$1:$F$176,2,FALSE)</f>
        <v>132- L’offre d’éducation non formelle est diversifiée</v>
      </c>
      <c r="AC239" s="20" t="str">
        <f>D239 &amp; "-" &amp; VLOOKUP(D239,[4]STRATEGIES!$E$1:$F$504,2,FALSE)</f>
        <v>1321-Elargissement de l’approche de la scolarisation primaire accélérée</v>
      </c>
      <c r="AD239" s="21" t="str">
        <f t="shared" si="43"/>
        <v>13216-Vulgarisation et formation des encadreurs sur les programmes accéléré</v>
      </c>
    </row>
    <row r="240" spans="1:30" s="22" customFormat="1" ht="30" hidden="1" customHeight="1" x14ac:dyDescent="0.8">
      <c r="A240" s="14">
        <v>1</v>
      </c>
      <c r="B240" s="15">
        <v>13</v>
      </c>
      <c r="C240" s="15">
        <v>132</v>
      </c>
      <c r="D240" s="15">
        <v>1321</v>
      </c>
      <c r="E240" s="15">
        <v>13216</v>
      </c>
      <c r="F240" s="16" t="s">
        <v>351</v>
      </c>
      <c r="G240" s="21" t="s">
        <v>51</v>
      </c>
      <c r="H240" s="17" t="s">
        <v>352</v>
      </c>
      <c r="I240" s="18">
        <v>0</v>
      </c>
      <c r="J240" s="18">
        <f>(10*5*8)*19.99%</f>
        <v>79.959999999999994</v>
      </c>
      <c r="K240" s="18"/>
      <c r="L240" s="18">
        <f>(10*5*8)*19.99%</f>
        <v>79.959999999999994</v>
      </c>
      <c r="M240" s="18">
        <f t="shared" si="51"/>
        <v>159.91999999999999</v>
      </c>
      <c r="N240" s="18">
        <f>IF(OR(H240="",H240="sif",H240="PM"),0,VLOOKUP(H240,[5]CU!$C$4:$H$255,6,FALSE))</f>
        <v>0.54600000000000004</v>
      </c>
      <c r="O240" s="18">
        <f t="shared" si="56"/>
        <v>43.658160000000002</v>
      </c>
      <c r="P240" s="18">
        <f t="shared" si="53"/>
        <v>43.658160000000002</v>
      </c>
      <c r="Q240" s="18">
        <f t="shared" si="53"/>
        <v>0</v>
      </c>
      <c r="R240" s="18">
        <f t="shared" si="53"/>
        <v>43.658160000000002</v>
      </c>
      <c r="S240" s="18">
        <f t="shared" si="54"/>
        <v>130.97448</v>
      </c>
      <c r="T240" s="23" t="s">
        <v>118</v>
      </c>
      <c r="U240" s="18" t="s">
        <v>330</v>
      </c>
      <c r="V240" s="18" t="str">
        <f>IF(OR($H240="",$H240="sif",$H240="PM"),"",VLOOKUP($H240,[5]CU!$C$5:$J$255,8,FALSE))</f>
        <v>3. Formation</v>
      </c>
      <c r="W240" s="18" t="s">
        <v>331</v>
      </c>
      <c r="X240" s="18" t="s">
        <v>282</v>
      </c>
      <c r="Y240" s="19" t="s">
        <v>32</v>
      </c>
      <c r="Z240" s="18" t="str">
        <f>A240 &amp; "-" &amp; VLOOKUP(A240,[4]PROGRAMMES!$E$1:$F$7,2,FALSE)</f>
        <v>1-Accès et équité à l'enseignement général</v>
      </c>
      <c r="AA240" s="19" t="str">
        <f>B240 &amp; "-" &amp; VLOOKUP(B240,[4]SOUSPROGRAMMES!$E$1:$F$44,2,FALSE)</f>
        <v>13- Accès à l’éducation non formelle</v>
      </c>
      <c r="AB240" s="19" t="str">
        <f>C240 &amp; "-" &amp; VLOOKUP(C240,[4]RESULTATS!$E$1:$F$176,2,FALSE)</f>
        <v>132- L’offre d’éducation non formelle est diversifiée</v>
      </c>
      <c r="AC240" s="20" t="str">
        <f>D240 &amp; "-" &amp; VLOOKUP(D240,[4]STRATEGIES!$E$1:$F$504,2,FALSE)</f>
        <v>1321-Elargissement de l’approche de la scolarisation primaire accélérée</v>
      </c>
      <c r="AD240" s="21" t="str">
        <f t="shared" si="43"/>
        <v>13216-Vulgarisation et formation des encadreurs sur les programmes accéléré</v>
      </c>
    </row>
    <row r="241" spans="1:30" s="22" customFormat="1" ht="30" hidden="1" customHeight="1" x14ac:dyDescent="0.8">
      <c r="A241" s="14">
        <v>1</v>
      </c>
      <c r="B241" s="15">
        <v>13</v>
      </c>
      <c r="C241" s="15">
        <v>132</v>
      </c>
      <c r="D241" s="15">
        <v>1321</v>
      </c>
      <c r="E241" s="15">
        <v>13217</v>
      </c>
      <c r="F241" s="16" t="s">
        <v>353</v>
      </c>
      <c r="G241" s="21" t="s">
        <v>51</v>
      </c>
      <c r="H241" s="17" t="s">
        <v>52</v>
      </c>
      <c r="I241" s="18">
        <v>0</v>
      </c>
      <c r="J241" s="18">
        <f>30*2</f>
        <v>60</v>
      </c>
      <c r="K241" s="18">
        <f>30*2</f>
        <v>60</v>
      </c>
      <c r="L241" s="18">
        <f>30*2</f>
        <v>60</v>
      </c>
      <c r="M241" s="18">
        <f>SUM(I241:L241)</f>
        <v>180</v>
      </c>
      <c r="N241" s="18">
        <f>IF(OR(H241="",H241="sif",H241="PM"),0,VLOOKUP(H241,[5]CU!$C$4:$H$255,6,FALSE))</f>
        <v>1.5</v>
      </c>
      <c r="O241" s="18">
        <f>N241*J241</f>
        <v>90</v>
      </c>
      <c r="P241" s="18">
        <f>$N241*J241</f>
        <v>90</v>
      </c>
      <c r="Q241" s="18">
        <f>$N241*K241</f>
        <v>90</v>
      </c>
      <c r="R241" s="18">
        <f>$N241*L241</f>
        <v>90</v>
      </c>
      <c r="S241" s="18">
        <f>SUM(O241:R241)</f>
        <v>360</v>
      </c>
      <c r="T241" s="23" t="s">
        <v>67</v>
      </c>
      <c r="U241" s="18" t="s">
        <v>330</v>
      </c>
      <c r="V241" s="18" t="str">
        <f>IF(OR($H241="",$H241="sif",$H241="PM"),"",VLOOKUP($H241,[5]CU!$C$5:$J$255,8,FALSE))</f>
        <v>3. Formation</v>
      </c>
      <c r="W241" s="18" t="s">
        <v>331</v>
      </c>
      <c r="X241" s="18" t="s">
        <v>282</v>
      </c>
      <c r="Y241" s="19" t="s">
        <v>32</v>
      </c>
      <c r="Z241" s="18" t="str">
        <f>A241 &amp; "-" &amp; VLOOKUP(A241,[4]PROGRAMMES!$E$1:$F$7,2,FALSE)</f>
        <v>1-Accès et équité à l'enseignement général</v>
      </c>
      <c r="AA241" s="19" t="str">
        <f>B241 &amp; "-" &amp; VLOOKUP(B241,[4]SOUSPROGRAMMES!$E$1:$F$44,2,FALSE)</f>
        <v>13- Accès à l’éducation non formelle</v>
      </c>
      <c r="AB241" s="19" t="str">
        <f>C241 &amp; "-" &amp; VLOOKUP(C241,[4]RESULTATS!$E$1:$F$176,2,FALSE)</f>
        <v>132- L’offre d’éducation non formelle est diversifiée</v>
      </c>
      <c r="AC241" s="20" t="str">
        <f>D241 &amp; "-" &amp; VLOOKUP(D241,[4]STRATEGIES!$E$1:$F$504,2,FALSE)</f>
        <v>1321-Elargissement de l’approche de la scolarisation primaire accélérée</v>
      </c>
      <c r="AD241" s="21" t="str">
        <f t="shared" si="43"/>
        <v>13217-Formation des enseignants à l'approche de la scolarisation primaire accélérée (évaluation des élèves, etc.)</v>
      </c>
    </row>
    <row r="242" spans="1:30" s="22" customFormat="1" ht="30" hidden="1" customHeight="1" x14ac:dyDescent="0.8">
      <c r="A242" s="14">
        <v>1</v>
      </c>
      <c r="B242" s="15">
        <v>13</v>
      </c>
      <c r="C242" s="15">
        <v>132</v>
      </c>
      <c r="D242" s="15">
        <v>1321</v>
      </c>
      <c r="E242" s="15">
        <v>13217</v>
      </c>
      <c r="F242" s="16" t="s">
        <v>353</v>
      </c>
      <c r="G242" s="21" t="s">
        <v>51</v>
      </c>
      <c r="H242" s="17" t="s">
        <v>52</v>
      </c>
      <c r="I242" s="18">
        <v>0</v>
      </c>
      <c r="J242" s="18">
        <f>30*6</f>
        <v>180</v>
      </c>
      <c r="K242" s="18">
        <f>40*6</f>
        <v>240</v>
      </c>
      <c r="L242" s="18">
        <f>50*6</f>
        <v>300</v>
      </c>
      <c r="M242" s="18">
        <f t="shared" si="51"/>
        <v>720</v>
      </c>
      <c r="N242" s="18">
        <f>IF(OR(H242="",H242="sif",H242="PM"),0,VLOOKUP(H242,[5]CU!$C$4:$H$255,6,FALSE))</f>
        <v>1.5</v>
      </c>
      <c r="O242" s="18">
        <f t="shared" si="56"/>
        <v>270</v>
      </c>
      <c r="P242" s="18">
        <f t="shared" si="53"/>
        <v>270</v>
      </c>
      <c r="Q242" s="18">
        <f t="shared" si="53"/>
        <v>360</v>
      </c>
      <c r="R242" s="18">
        <f t="shared" si="53"/>
        <v>450</v>
      </c>
      <c r="S242" s="18">
        <f t="shared" si="54"/>
        <v>1350</v>
      </c>
      <c r="T242" s="23" t="s">
        <v>56</v>
      </c>
      <c r="U242" s="18" t="s">
        <v>330</v>
      </c>
      <c r="V242" s="18" t="str">
        <f>IF(OR($H242="",$H242="sif",$H242="PM"),"",VLOOKUP($H242,[5]CU!$C$5:$J$255,8,FALSE))</f>
        <v>3. Formation</v>
      </c>
      <c r="W242" s="18" t="s">
        <v>331</v>
      </c>
      <c r="X242" s="18" t="s">
        <v>282</v>
      </c>
      <c r="Y242" s="19" t="s">
        <v>32</v>
      </c>
      <c r="Z242" s="18" t="str">
        <f>A242 &amp; "-" &amp; VLOOKUP(A242,[4]PROGRAMMES!$E$1:$F$7,2,FALSE)</f>
        <v>1-Accès et équité à l'enseignement général</v>
      </c>
      <c r="AA242" s="19" t="str">
        <f>B242 &amp; "-" &amp; VLOOKUP(B242,[4]SOUSPROGRAMMES!$E$1:$F$44,2,FALSE)</f>
        <v>13- Accès à l’éducation non formelle</v>
      </c>
      <c r="AB242" s="19" t="str">
        <f>C242 &amp; "-" &amp; VLOOKUP(C242,[4]RESULTATS!$E$1:$F$176,2,FALSE)</f>
        <v>132- L’offre d’éducation non formelle est diversifiée</v>
      </c>
      <c r="AC242" s="20" t="str">
        <f>D242 &amp; "-" &amp; VLOOKUP(D242,[4]STRATEGIES!$E$1:$F$504,2,FALSE)</f>
        <v>1321-Elargissement de l’approche de la scolarisation primaire accélérée</v>
      </c>
      <c r="AD242" s="21" t="str">
        <f t="shared" si="43"/>
        <v>13217-Formation des enseignants à l'approche de la scolarisation primaire accélérée (évaluation des élèves, etc.)</v>
      </c>
    </row>
    <row r="243" spans="1:30" ht="45" hidden="1" customHeight="1" x14ac:dyDescent="0.8">
      <c r="A243" s="25">
        <v>1</v>
      </c>
      <c r="B243" s="16">
        <v>13</v>
      </c>
      <c r="C243" s="16">
        <v>132</v>
      </c>
      <c r="D243" s="16">
        <v>1321</v>
      </c>
      <c r="E243" s="16">
        <v>13218</v>
      </c>
      <c r="F243" s="16" t="s">
        <v>354</v>
      </c>
      <c r="G243" s="21" t="s">
        <v>355</v>
      </c>
      <c r="H243" s="21" t="s">
        <v>59</v>
      </c>
      <c r="I243" s="19">
        <v>0</v>
      </c>
      <c r="J243" s="19"/>
      <c r="K243" s="19">
        <f>(10*10*8)*60%*2</f>
        <v>960</v>
      </c>
      <c r="L243" s="19">
        <f>(10*10*8)*58.62%</f>
        <v>468.96</v>
      </c>
      <c r="M243" s="19">
        <f>SUM(I243:L243)</f>
        <v>1428.96</v>
      </c>
      <c r="N243" s="19">
        <f>IF(OR(H243="",H243="sif",H243="PM"),0,VLOOKUP(H243,[5]CU!$C$4:$H$255,6,FALSE))</f>
        <v>0.8177777777777776</v>
      </c>
      <c r="O243" s="19">
        <f>$N243*I243</f>
        <v>0</v>
      </c>
      <c r="P243" s="19">
        <f>$N243*J243</f>
        <v>0</v>
      </c>
      <c r="Q243" s="19">
        <f>$N243*K243</f>
        <v>785.06666666666649</v>
      </c>
      <c r="R243" s="19">
        <f>$N243*L243</f>
        <v>383.50506666666655</v>
      </c>
      <c r="S243" s="19">
        <f>SUM(O243:R243)</f>
        <v>1168.571733333333</v>
      </c>
      <c r="T243" s="26" t="s">
        <v>169</v>
      </c>
      <c r="U243" s="19" t="s">
        <v>330</v>
      </c>
      <c r="V243" s="19" t="str">
        <f>IF(OR($H243="",$H243="sif",$H243="PM"),"",VLOOKUP($H243,[5]CU!$C$5:$J$255,8,FALSE))</f>
        <v>3. Dépenses de fonctionnement</v>
      </c>
      <c r="W243" s="19" t="s">
        <v>331</v>
      </c>
      <c r="X243" s="19" t="s">
        <v>77</v>
      </c>
      <c r="Y243" s="19" t="s">
        <v>32</v>
      </c>
      <c r="Z243" s="19" t="str">
        <f>A243 &amp; "-" &amp; VLOOKUP(A243,[4]PROGRAMMES!$E$1:$F$7,2,FALSE)</f>
        <v>1-Accès et équité à l'enseignement général</v>
      </c>
      <c r="AA243" s="19" t="str">
        <f>B243 &amp; "-" &amp; VLOOKUP(B243,[4]SOUSPROGRAMMES!$E$1:$F$44,2,FALSE)</f>
        <v>13- Accès à l’éducation non formelle</v>
      </c>
      <c r="AB243" s="19" t="str">
        <f>C243 &amp; "-" &amp; VLOOKUP(C243,[4]RESULTATS!$E$1:$F$176,2,FALSE)</f>
        <v>132- L’offre d’éducation non formelle est diversifiée</v>
      </c>
      <c r="AC243" s="20" t="str">
        <f>D243 &amp; "-" &amp; VLOOKUP(D243,[4]STRATEGIES!$E$1:$F$504,2,FALSE)</f>
        <v>1321-Elargissement de l’approche de la scolarisation primaire accélérée</v>
      </c>
      <c r="AD243" s="21" t="str">
        <f t="shared" si="43"/>
        <v xml:space="preserve">13218-Sensibilisation des parents et du personnel enseignant à l'approche de la scolarisation primaire accélérée </v>
      </c>
    </row>
    <row r="244" spans="1:30" s="22" customFormat="1" ht="30" hidden="1" customHeight="1" x14ac:dyDescent="0.8">
      <c r="A244" s="14">
        <v>1</v>
      </c>
      <c r="B244" s="15">
        <v>13</v>
      </c>
      <c r="C244" s="15">
        <v>132</v>
      </c>
      <c r="D244" s="15">
        <v>1321</v>
      </c>
      <c r="E244" s="15">
        <v>13218</v>
      </c>
      <c r="F244" s="16" t="s">
        <v>354</v>
      </c>
      <c r="G244" s="21" t="s">
        <v>355</v>
      </c>
      <c r="H244" s="17" t="s">
        <v>59</v>
      </c>
      <c r="I244" s="18">
        <v>0</v>
      </c>
      <c r="J244" s="18">
        <f>(10*10*8)*41.38%</f>
        <v>331.04</v>
      </c>
      <c r="K244" s="18">
        <f>(10*10*8)*41.38%</f>
        <v>331.04</v>
      </c>
      <c r="L244" s="18">
        <f>(10*10*8)*41.38%</f>
        <v>331.04</v>
      </c>
      <c r="M244" s="18">
        <f t="shared" si="51"/>
        <v>993.12000000000012</v>
      </c>
      <c r="N244" s="18">
        <f>IF(OR(H244="",H244="sif",H244="PM"),0,VLOOKUP(H244,[5]CU!$C$4:$H$255,6,FALSE))</f>
        <v>0.8177777777777776</v>
      </c>
      <c r="O244" s="18">
        <f>$N244*I244</f>
        <v>0</v>
      </c>
      <c r="P244" s="18">
        <f t="shared" si="53"/>
        <v>270.71715555555551</v>
      </c>
      <c r="Q244" s="18">
        <f t="shared" si="53"/>
        <v>270.71715555555551</v>
      </c>
      <c r="R244" s="18">
        <f t="shared" si="53"/>
        <v>270.71715555555551</v>
      </c>
      <c r="S244" s="18">
        <f t="shared" si="54"/>
        <v>812.15146666666647</v>
      </c>
      <c r="T244" s="23" t="s">
        <v>67</v>
      </c>
      <c r="U244" s="18" t="s">
        <v>330</v>
      </c>
      <c r="V244" s="18" t="str">
        <f>IF(OR($H244="",$H244="sif",$H244="PM"),"",VLOOKUP($H244,[5]CU!$C$5:$J$255,8,FALSE))</f>
        <v>3. Dépenses de fonctionnement</v>
      </c>
      <c r="W244" s="18" t="s">
        <v>331</v>
      </c>
      <c r="X244" s="18" t="s">
        <v>77</v>
      </c>
      <c r="Y244" s="19" t="s">
        <v>32</v>
      </c>
      <c r="Z244" s="18" t="str">
        <f>A244 &amp; "-" &amp; VLOOKUP(A244,[4]PROGRAMMES!$E$1:$F$7,2,FALSE)</f>
        <v>1-Accès et équité à l'enseignement général</v>
      </c>
      <c r="AA244" s="19" t="str">
        <f>B244 &amp; "-" &amp; VLOOKUP(B244,[4]SOUSPROGRAMMES!$E$1:$F$44,2,FALSE)</f>
        <v>13- Accès à l’éducation non formelle</v>
      </c>
      <c r="AB244" s="19" t="str">
        <f>C244 &amp; "-" &amp; VLOOKUP(C244,[4]RESULTATS!$E$1:$F$176,2,FALSE)</f>
        <v>132- L’offre d’éducation non formelle est diversifiée</v>
      </c>
      <c r="AC244" s="20" t="str">
        <f>D244 &amp; "-" &amp; VLOOKUP(D244,[4]STRATEGIES!$E$1:$F$504,2,FALSE)</f>
        <v>1321-Elargissement de l’approche de la scolarisation primaire accélérée</v>
      </c>
      <c r="AD244" s="21" t="str">
        <f t="shared" si="43"/>
        <v xml:space="preserve">13218-Sensibilisation des parents et du personnel enseignant à l'approche de la scolarisation primaire accélérée </v>
      </c>
    </row>
    <row r="245" spans="1:30" ht="45" hidden="1" customHeight="1" x14ac:dyDescent="0.8">
      <c r="A245" s="25">
        <v>1</v>
      </c>
      <c r="B245" s="16">
        <v>13</v>
      </c>
      <c r="C245" s="16">
        <v>132</v>
      </c>
      <c r="D245" s="16">
        <v>1321</v>
      </c>
      <c r="E245" s="16">
        <v>13219</v>
      </c>
      <c r="F245" s="16" t="s">
        <v>356</v>
      </c>
      <c r="G245" s="21" t="s">
        <v>54</v>
      </c>
      <c r="H245" s="21" t="s">
        <v>55</v>
      </c>
      <c r="I245" s="19">
        <v>0</v>
      </c>
      <c r="J245" s="19"/>
      <c r="K245" s="19">
        <v>1</v>
      </c>
      <c r="L245" s="19">
        <v>1</v>
      </c>
      <c r="M245" s="19">
        <f t="shared" si="51"/>
        <v>2</v>
      </c>
      <c r="N245" s="19">
        <f>IF(OR(H245="",H245="sif",H245="PM"),0,VLOOKUP(H245,[5]CU!$C$4:$H$255,6,FALSE))</f>
        <v>0</v>
      </c>
      <c r="O245" s="19"/>
      <c r="P245" s="19"/>
      <c r="Q245" s="19">
        <f t="shared" si="53"/>
        <v>0</v>
      </c>
      <c r="R245" s="19"/>
      <c r="S245" s="19"/>
      <c r="T245" s="26" t="s">
        <v>169</v>
      </c>
      <c r="U245" s="19" t="s">
        <v>330</v>
      </c>
      <c r="V245" s="19" t="str">
        <f>IF(OR($H245="",$H245="sif",$H245="PM"),"",VLOOKUP($H245,[5]CU!$C$5:$J$255,8,FALSE))</f>
        <v/>
      </c>
      <c r="W245" s="19" t="s">
        <v>331</v>
      </c>
      <c r="X245" s="19" t="s">
        <v>77</v>
      </c>
      <c r="Y245" s="19" t="s">
        <v>32</v>
      </c>
      <c r="Z245" s="19" t="str">
        <f>A245 &amp; "-" &amp; VLOOKUP(A245,[4]PROGRAMMES!$E$1:$F$7,2,FALSE)</f>
        <v>1-Accès et équité à l'enseignement général</v>
      </c>
      <c r="AA245" s="19" t="str">
        <f>B245 &amp; "-" &amp; VLOOKUP(B245,[4]SOUSPROGRAMMES!$E$1:$F$44,2,FALSE)</f>
        <v>13- Accès à l’éducation non formelle</v>
      </c>
      <c r="AB245" s="19" t="str">
        <f>C245 &amp; "-" &amp; VLOOKUP(C245,[4]RESULTATS!$E$1:$F$176,2,FALSE)</f>
        <v>132- L’offre d’éducation non formelle est diversifiée</v>
      </c>
      <c r="AC245" s="20" t="str">
        <f>D245 &amp; "-" &amp; VLOOKUP(D245,[4]STRATEGIES!$E$1:$F$504,2,FALSE)</f>
        <v>1321-Elargissement de l’approche de la scolarisation primaire accélérée</v>
      </c>
      <c r="AD245" s="21" t="str">
        <f t="shared" si="43"/>
        <v xml:space="preserve">13219-Mise place progressive de l'approche de la scolarisation primaire accélérée dans les écoles </v>
      </c>
    </row>
    <row r="246" spans="1:30" ht="45" hidden="1" customHeight="1" x14ac:dyDescent="0.8">
      <c r="A246" s="25">
        <v>1</v>
      </c>
      <c r="B246" s="16">
        <v>13</v>
      </c>
      <c r="C246" s="16">
        <v>132</v>
      </c>
      <c r="D246" s="16">
        <v>1321</v>
      </c>
      <c r="E246" s="16">
        <v>132110</v>
      </c>
      <c r="F246" s="16" t="s">
        <v>357</v>
      </c>
      <c r="G246" s="21" t="s">
        <v>358</v>
      </c>
      <c r="H246" s="21" t="s">
        <v>359</v>
      </c>
      <c r="I246" s="19">
        <v>0</v>
      </c>
      <c r="J246" s="19">
        <f>1*80.01%</f>
        <v>0.80010000000000003</v>
      </c>
      <c r="K246" s="19">
        <v>1</v>
      </c>
      <c r="L246" s="19">
        <f>1*80.01%</f>
        <v>0.80010000000000003</v>
      </c>
      <c r="M246" s="19">
        <f>SUM(I246:L246)</f>
        <v>2.6002000000000001</v>
      </c>
      <c r="N246" s="19">
        <f>IF(OR(H246="",H246="sif",H246="PM"),0,VLOOKUP(H246,[5]CU!$C$4:$H$255,6,FALSE))</f>
        <v>60.923138000000002</v>
      </c>
      <c r="O246" s="19">
        <f t="shared" ref="O246:R247" si="57">$N246*I246</f>
        <v>0</v>
      </c>
      <c r="P246" s="19">
        <f t="shared" si="57"/>
        <v>48.744602713800006</v>
      </c>
      <c r="Q246" s="19">
        <f t="shared" si="53"/>
        <v>60.923138000000002</v>
      </c>
      <c r="R246" s="19">
        <f t="shared" si="57"/>
        <v>48.744602713800006</v>
      </c>
      <c r="S246" s="19">
        <f>SUM(O246:R246)</f>
        <v>158.41234342760004</v>
      </c>
      <c r="T246" s="26" t="s">
        <v>169</v>
      </c>
      <c r="U246" s="19" t="s">
        <v>330</v>
      </c>
      <c r="V246" s="19" t="str">
        <f>IF(OR($H246="",$H246="sif",$H246="PM"),"",VLOOKUP($H246,[5]CU!$C$5:$J$255,8,FALSE))</f>
        <v>3. Manuels scolaires et matériels pédagogiques</v>
      </c>
      <c r="W246" s="19" t="s">
        <v>331</v>
      </c>
      <c r="X246" s="19" t="s">
        <v>77</v>
      </c>
      <c r="Y246" s="19" t="s">
        <v>32</v>
      </c>
      <c r="Z246" s="19" t="str">
        <f>A246 &amp; "-" &amp; VLOOKUP(A246,[4]PROGRAMMES!$E$1:$F$7,2,FALSE)</f>
        <v>1-Accès et équité à l'enseignement général</v>
      </c>
      <c r="AA246" s="19" t="str">
        <f>B246 &amp; "-" &amp; VLOOKUP(B246,[4]SOUSPROGRAMMES!$E$1:$F$44,2,FALSE)</f>
        <v>13- Accès à l’éducation non formelle</v>
      </c>
      <c r="AB246" s="19" t="str">
        <f>C246 &amp; "-" &amp; VLOOKUP(C246,[4]RESULTATS!$E$1:$F$176,2,FALSE)</f>
        <v>132- L’offre d’éducation non formelle est diversifiée</v>
      </c>
      <c r="AC246" s="20" t="str">
        <f>D246 &amp; "-" &amp; VLOOKUP(D246,[4]STRATEGIES!$E$1:$F$504,2,FALSE)</f>
        <v>1321-Elargissement de l’approche de la scolarisation primaire accélérée</v>
      </c>
      <c r="AD246" s="21" t="str">
        <f t="shared" si="43"/>
        <v>132110-Acquisition et distribution de fourniture scolaire et de matériel didactique pour les élèves au primaire)</v>
      </c>
    </row>
    <row r="247" spans="1:30" s="22" customFormat="1" ht="30" hidden="1" customHeight="1" x14ac:dyDescent="0.8">
      <c r="A247" s="14">
        <v>1</v>
      </c>
      <c r="B247" s="15">
        <v>13</v>
      </c>
      <c r="C247" s="15">
        <v>132</v>
      </c>
      <c r="D247" s="15">
        <v>1321</v>
      </c>
      <c r="E247" s="15">
        <v>132110</v>
      </c>
      <c r="F247" s="16" t="s">
        <v>357</v>
      </c>
      <c r="G247" s="21" t="s">
        <v>358</v>
      </c>
      <c r="H247" s="17" t="s">
        <v>359</v>
      </c>
      <c r="I247" s="18">
        <v>0</v>
      </c>
      <c r="J247" s="18">
        <f>1*19.99%</f>
        <v>0.19989999999999999</v>
      </c>
      <c r="K247" s="18">
        <f>1*19.99%</f>
        <v>0.19989999999999999</v>
      </c>
      <c r="L247" s="18">
        <f>1*19.99%</f>
        <v>0.19989999999999999</v>
      </c>
      <c r="M247" s="18">
        <f t="shared" si="51"/>
        <v>0.59970000000000001</v>
      </c>
      <c r="N247" s="18">
        <f>IF(OR(H247="",H247="sif",H247="PM"),0,VLOOKUP(H247,[5]CU!$C$4:$H$255,6,FALSE))</f>
        <v>60.923138000000002</v>
      </c>
      <c r="O247" s="18">
        <f t="shared" si="57"/>
        <v>0</v>
      </c>
      <c r="P247" s="18">
        <f t="shared" si="57"/>
        <v>12.178535286200001</v>
      </c>
      <c r="Q247" s="18">
        <f t="shared" si="57"/>
        <v>12.178535286200001</v>
      </c>
      <c r="R247" s="18">
        <f t="shared" si="57"/>
        <v>12.178535286200001</v>
      </c>
      <c r="S247" s="18">
        <f>SUM(O247:R247)</f>
        <v>36.5356058586</v>
      </c>
      <c r="T247" s="23" t="s">
        <v>118</v>
      </c>
      <c r="U247" s="18" t="s">
        <v>330</v>
      </c>
      <c r="V247" s="18" t="str">
        <f>IF(OR($H247="",$H247="sif",$H247="PM"),"",VLOOKUP($H247,[5]CU!$C$5:$J$255,8,FALSE))</f>
        <v>3. Manuels scolaires et matériels pédagogiques</v>
      </c>
      <c r="W247" s="18" t="s">
        <v>331</v>
      </c>
      <c r="X247" s="18" t="s">
        <v>77</v>
      </c>
      <c r="Y247" s="19" t="s">
        <v>32</v>
      </c>
      <c r="Z247" s="18" t="str">
        <f>A247 &amp; "-" &amp; VLOOKUP(A247,[4]PROGRAMMES!$E$1:$F$7,2,FALSE)</f>
        <v>1-Accès et équité à l'enseignement général</v>
      </c>
      <c r="AA247" s="19" t="str">
        <f>B247 &amp; "-" &amp; VLOOKUP(B247,[4]SOUSPROGRAMMES!$E$1:$F$44,2,FALSE)</f>
        <v>13- Accès à l’éducation non formelle</v>
      </c>
      <c r="AB247" s="19" t="str">
        <f>C247 &amp; "-" &amp; VLOOKUP(C247,[4]RESULTATS!$E$1:$F$176,2,FALSE)</f>
        <v>132- L’offre d’éducation non formelle est diversifiée</v>
      </c>
      <c r="AC247" s="20" t="str">
        <f>D247 &amp; "-" &amp; VLOOKUP(D247,[4]STRATEGIES!$E$1:$F$504,2,FALSE)</f>
        <v>1321-Elargissement de l’approche de la scolarisation primaire accélérée</v>
      </c>
      <c r="AD247" s="21" t="str">
        <f t="shared" si="43"/>
        <v>132110-Acquisition et distribution de fourniture scolaire et de matériel didactique pour les élèves au primaire)</v>
      </c>
    </row>
    <row r="248" spans="1:30" s="22" customFormat="1" ht="45" hidden="1" customHeight="1" x14ac:dyDescent="0.8">
      <c r="A248" s="14">
        <v>1</v>
      </c>
      <c r="B248" s="15">
        <v>13</v>
      </c>
      <c r="C248" s="15">
        <v>132</v>
      </c>
      <c r="D248" s="15">
        <v>1321</v>
      </c>
      <c r="E248" s="15">
        <v>132111</v>
      </c>
      <c r="F248" s="16" t="s">
        <v>360</v>
      </c>
      <c r="G248" s="21" t="s">
        <v>88</v>
      </c>
      <c r="H248" s="17" t="s">
        <v>55</v>
      </c>
      <c r="I248" s="18">
        <v>0</v>
      </c>
      <c r="J248" s="18">
        <v>1</v>
      </c>
      <c r="K248" s="18">
        <v>1</v>
      </c>
      <c r="L248" s="18">
        <v>1</v>
      </c>
      <c r="M248" s="18">
        <f t="shared" si="51"/>
        <v>3</v>
      </c>
      <c r="N248" s="18">
        <f>IF(OR(H248="",H248="sif",H248="PM"),0,VLOOKUP(H248,[5]CU!$C$4:$H$255,6,FALSE))</f>
        <v>0</v>
      </c>
      <c r="O248" s="18"/>
      <c r="P248" s="18"/>
      <c r="Q248" s="18"/>
      <c r="R248" s="18"/>
      <c r="S248" s="18"/>
      <c r="T248" s="23" t="s">
        <v>56</v>
      </c>
      <c r="U248" s="18" t="s">
        <v>330</v>
      </c>
      <c r="V248" s="18" t="str">
        <f>IF(OR($H248="",$H248="sif",$H248="PM"),"",VLOOKUP($H248,[5]CU!$C$5:$J$255,8,FALSE))</f>
        <v/>
      </c>
      <c r="W248" s="18" t="s">
        <v>331</v>
      </c>
      <c r="X248" s="18" t="s">
        <v>282</v>
      </c>
      <c r="Y248" s="19" t="s">
        <v>32</v>
      </c>
      <c r="Z248" s="18" t="str">
        <f>A248 &amp; "-" &amp; VLOOKUP(A248,[4]PROGRAMMES!$E$1:$F$7,2,FALSE)</f>
        <v>1-Accès et équité à l'enseignement général</v>
      </c>
      <c r="AA248" s="19" t="str">
        <f>B248 &amp; "-" &amp; VLOOKUP(B248,[4]SOUSPROGRAMMES!$E$1:$F$44,2,FALSE)</f>
        <v>13- Accès à l’éducation non formelle</v>
      </c>
      <c r="AB248" s="19" t="str">
        <f>C248 &amp; "-" &amp; VLOOKUP(C248,[4]RESULTATS!$E$1:$F$176,2,FALSE)</f>
        <v>132- L’offre d’éducation non formelle est diversifiée</v>
      </c>
      <c r="AC248" s="20" t="str">
        <f>D248 &amp; "-" &amp; VLOOKUP(D248,[4]STRATEGIES!$E$1:$F$504,2,FALSE)</f>
        <v>1321-Elargissement de l’approche de la scolarisation primaire accélérée</v>
      </c>
      <c r="AD248" s="21" t="str">
        <f t="shared" si="43"/>
        <v>132111-Réorganisation de l'horaire des cours pour optimiser l’utilisation des infrastructures existantes en vue d’assurer la scolarisation accélérée</v>
      </c>
    </row>
    <row r="249" spans="1:30" ht="45" hidden="1" customHeight="1" x14ac:dyDescent="0.8">
      <c r="A249" s="25">
        <v>1</v>
      </c>
      <c r="B249" s="16">
        <v>13</v>
      </c>
      <c r="C249" s="16">
        <v>132</v>
      </c>
      <c r="D249" s="16">
        <v>1321</v>
      </c>
      <c r="E249" s="16">
        <v>132112</v>
      </c>
      <c r="F249" s="16" t="s">
        <v>361</v>
      </c>
      <c r="G249" s="21" t="s">
        <v>177</v>
      </c>
      <c r="H249" s="21" t="s">
        <v>59</v>
      </c>
      <c r="I249" s="19">
        <v>0</v>
      </c>
      <c r="J249" s="19"/>
      <c r="K249" s="19">
        <f>(4*10*8)*95%</f>
        <v>304</v>
      </c>
      <c r="L249" s="19">
        <f>(4*10*8)*80.01%</f>
        <v>256.03200000000004</v>
      </c>
      <c r="M249" s="19">
        <f>SUM(I249:L249)</f>
        <v>560.03200000000004</v>
      </c>
      <c r="N249" s="19">
        <f>IF(OR(H249="",H249="sif",H249="PM"),0,VLOOKUP(H249,[5]CU!$C$4:$H$255,6,FALSE))</f>
        <v>0.8177777777777776</v>
      </c>
      <c r="O249" s="19">
        <f>$N249*I249</f>
        <v>0</v>
      </c>
      <c r="P249" s="19">
        <f>$N249*J249</f>
        <v>0</v>
      </c>
      <c r="Q249" s="19">
        <f>$N249*K249</f>
        <v>248.6044444444444</v>
      </c>
      <c r="R249" s="19">
        <f>$N249*L249</f>
        <v>209.37727999999998</v>
      </c>
      <c r="S249" s="19">
        <f>SUM(O249:R249)</f>
        <v>457.98172444444435</v>
      </c>
      <c r="T249" s="26" t="s">
        <v>169</v>
      </c>
      <c r="U249" s="19" t="s">
        <v>330</v>
      </c>
      <c r="V249" s="19" t="str">
        <f>IF(OR($H249="",$H249="sif",$H249="PM"),"",VLOOKUP($H249,[5]CU!$C$5:$J$255,8,FALSE))</f>
        <v>3. Dépenses de fonctionnement</v>
      </c>
      <c r="W249" s="19" t="s">
        <v>331</v>
      </c>
      <c r="X249" s="19" t="s">
        <v>331</v>
      </c>
      <c r="Y249" s="19" t="s">
        <v>32</v>
      </c>
      <c r="Z249" s="19" t="str">
        <f>A249 &amp; "-" &amp; VLOOKUP(A249,[4]PROGRAMMES!$E$1:$F$7,2,FALSE)</f>
        <v>1-Accès et équité à l'enseignement général</v>
      </c>
      <c r="AA249" s="19" t="str">
        <f>B249 &amp; "-" &amp; VLOOKUP(B249,[4]SOUSPROGRAMMES!$E$1:$F$44,2,FALSE)</f>
        <v>13- Accès à l’éducation non formelle</v>
      </c>
      <c r="AB249" s="19" t="str">
        <f>C249 &amp; "-" &amp; VLOOKUP(C249,[4]RESULTATS!$E$1:$F$176,2,FALSE)</f>
        <v>132- L’offre d’éducation non formelle est diversifiée</v>
      </c>
      <c r="AC249" s="20" t="str">
        <f>D249 &amp; "-" &amp; VLOOKUP(D249,[4]STRATEGIES!$E$1:$F$504,2,FALSE)</f>
        <v>1321-Elargissement de l’approche de la scolarisation primaire accélérée</v>
      </c>
      <c r="AD249" s="21" t="str">
        <f t="shared" si="43"/>
        <v>132112-Suivi/évaluation de l'approche de la scolarisation primaire accélérée</v>
      </c>
    </row>
    <row r="250" spans="1:30" s="22" customFormat="1" ht="30" hidden="1" customHeight="1" x14ac:dyDescent="0.8">
      <c r="A250" s="14">
        <v>1</v>
      </c>
      <c r="B250" s="15">
        <v>13</v>
      </c>
      <c r="C250" s="15">
        <v>132</v>
      </c>
      <c r="D250" s="15">
        <v>1321</v>
      </c>
      <c r="E250" s="15">
        <v>132112</v>
      </c>
      <c r="F250" s="16" t="s">
        <v>361</v>
      </c>
      <c r="G250" s="21" t="s">
        <v>177</v>
      </c>
      <c r="H250" s="17" t="s">
        <v>59</v>
      </c>
      <c r="I250" s="18">
        <v>0</v>
      </c>
      <c r="J250" s="18"/>
      <c r="K250" s="18">
        <f>(4*10*8)*19.99%</f>
        <v>63.967999999999996</v>
      </c>
      <c r="L250" s="18">
        <f>(4*10*8)*19.99%</f>
        <v>63.967999999999996</v>
      </c>
      <c r="M250" s="18">
        <f t="shared" si="51"/>
        <v>127.93599999999999</v>
      </c>
      <c r="N250" s="18">
        <f>IF(OR(H250="",H250="sif",H250="PM"),0,VLOOKUP(H250,[5]CU!$C$4:$H$255,6,FALSE))</f>
        <v>0.8177777777777776</v>
      </c>
      <c r="O250" s="18">
        <f t="shared" ref="O250:R259" si="58">$N250*I250</f>
        <v>0</v>
      </c>
      <c r="P250" s="18">
        <f t="shared" si="58"/>
        <v>0</v>
      </c>
      <c r="Q250" s="18">
        <f t="shared" si="58"/>
        <v>52.311608888888877</v>
      </c>
      <c r="R250" s="18">
        <f t="shared" si="58"/>
        <v>52.311608888888877</v>
      </c>
      <c r="S250" s="18">
        <f>SUM(O250:R250)</f>
        <v>104.62321777777775</v>
      </c>
      <c r="T250" s="23" t="s">
        <v>118</v>
      </c>
      <c r="U250" s="18" t="s">
        <v>330</v>
      </c>
      <c r="V250" s="18" t="str">
        <f>IF(OR($H250="",$H250="sif",$H250="PM"),"",VLOOKUP($H250,[5]CU!$C$5:$J$255,8,FALSE))</f>
        <v>3. Dépenses de fonctionnement</v>
      </c>
      <c r="W250" s="18" t="s">
        <v>331</v>
      </c>
      <c r="X250" s="18" t="s">
        <v>331</v>
      </c>
      <c r="Y250" s="19" t="s">
        <v>32</v>
      </c>
      <c r="Z250" s="18" t="str">
        <f>A250 &amp; "-" &amp; VLOOKUP(A250,[4]PROGRAMMES!$E$1:$F$7,2,FALSE)</f>
        <v>1-Accès et équité à l'enseignement général</v>
      </c>
      <c r="AA250" s="19" t="str">
        <f>B250 &amp; "-" &amp; VLOOKUP(B250,[4]SOUSPROGRAMMES!$E$1:$F$44,2,FALSE)</f>
        <v>13- Accès à l’éducation non formelle</v>
      </c>
      <c r="AB250" s="19" t="str">
        <f>C250 &amp; "-" &amp; VLOOKUP(C250,[4]RESULTATS!$E$1:$F$176,2,FALSE)</f>
        <v>132- L’offre d’éducation non formelle est diversifiée</v>
      </c>
      <c r="AC250" s="20" t="str">
        <f>D250 &amp; "-" &amp; VLOOKUP(D250,[4]STRATEGIES!$E$1:$F$504,2,FALSE)</f>
        <v>1321-Elargissement de l’approche de la scolarisation primaire accélérée</v>
      </c>
      <c r="AD250" s="21" t="str">
        <f t="shared" si="43"/>
        <v>132112-Suivi/évaluation de l'approche de la scolarisation primaire accélérée</v>
      </c>
    </row>
    <row r="251" spans="1:30" s="22" customFormat="1" ht="45" hidden="1" customHeight="1" x14ac:dyDescent="0.8">
      <c r="A251" s="14">
        <v>1</v>
      </c>
      <c r="B251" s="15">
        <v>13</v>
      </c>
      <c r="C251" s="15">
        <v>132</v>
      </c>
      <c r="D251" s="15">
        <v>1322</v>
      </c>
      <c r="E251" s="15">
        <v>1322</v>
      </c>
      <c r="F251" s="16" t="s">
        <v>362</v>
      </c>
      <c r="G251" s="17"/>
      <c r="H251" s="17"/>
      <c r="I251" s="18">
        <v>0</v>
      </c>
      <c r="J251" s="18"/>
      <c r="K251" s="18"/>
      <c r="L251" s="18"/>
      <c r="M251" s="18"/>
      <c r="N251" s="18"/>
      <c r="O251" s="18"/>
      <c r="P251" s="18"/>
      <c r="Q251" s="18"/>
      <c r="R251" s="18"/>
      <c r="S251" s="18"/>
      <c r="T251" s="18"/>
      <c r="U251" s="18"/>
      <c r="V251" s="18"/>
      <c r="W251" s="18"/>
      <c r="X251" s="18"/>
      <c r="Y251" s="19" t="s">
        <v>32</v>
      </c>
      <c r="Z251" s="18" t="str">
        <f>A251 &amp; "-" &amp; VLOOKUP(A251,[4]PROGRAMMES!$E$1:$F$7,2,FALSE)</f>
        <v>1-Accès et équité à l'enseignement général</v>
      </c>
      <c r="AA251" s="19" t="str">
        <f>B251 &amp; "-" &amp; VLOOKUP(B251,[4]SOUSPROGRAMMES!$E$1:$F$44,2,FALSE)</f>
        <v>13- Accès à l’éducation non formelle</v>
      </c>
      <c r="AB251" s="19" t="str">
        <f>C251 &amp; "-" &amp; VLOOKUP(C251,[4]RESULTATS!$E$1:$F$176,2,FALSE)</f>
        <v>132- L’offre d’éducation non formelle est diversifiée</v>
      </c>
      <c r="AC251" s="20" t="str">
        <f>D251 &amp; "-" &amp; VLOOKUP(D251,[4]STRATEGIES!$E$1:$F$504,2,FALSE)</f>
        <v>1322-Réorganisation de l’apprentissage dans les centres NAFA en fonction des besoins locaux et développement des passerelles entre le formel et le non formel</v>
      </c>
      <c r="AD251" s="21" t="str">
        <f t="shared" si="43"/>
        <v>1322-Réorganisation de l’apprentissage dans les centres NAFA en fonction des besoins locaux et développement des passerelles entre le formel et le non formel</v>
      </c>
    </row>
    <row r="252" spans="1:30" ht="45" hidden="1" customHeight="1" x14ac:dyDescent="0.8">
      <c r="A252" s="25">
        <v>1</v>
      </c>
      <c r="B252" s="16">
        <v>13</v>
      </c>
      <c r="C252" s="16">
        <v>132</v>
      </c>
      <c r="D252" s="16">
        <v>1322</v>
      </c>
      <c r="E252" s="16">
        <v>13221</v>
      </c>
      <c r="F252" s="16" t="s">
        <v>363</v>
      </c>
      <c r="G252" s="21" t="s">
        <v>37</v>
      </c>
      <c r="H252" s="21" t="s">
        <v>66</v>
      </c>
      <c r="I252" s="19">
        <v>0</v>
      </c>
      <c r="J252" s="19"/>
      <c r="K252" s="19">
        <f>8*20*4</f>
        <v>640</v>
      </c>
      <c r="L252" s="19"/>
      <c r="M252" s="19">
        <f t="shared" si="51"/>
        <v>640</v>
      </c>
      <c r="N252" s="19">
        <f>IF(OR(H252="",H252="sif",H252="PM"),0,VLOOKUP(H252,[5]CU!$C$4:$H$255,6,FALSE))</f>
        <v>0.255</v>
      </c>
      <c r="O252" s="19">
        <f t="shared" si="58"/>
        <v>0</v>
      </c>
      <c r="P252" s="19">
        <f t="shared" si="58"/>
        <v>0</v>
      </c>
      <c r="Q252" s="19">
        <f t="shared" si="58"/>
        <v>163.19999999999999</v>
      </c>
      <c r="R252" s="19">
        <f t="shared" si="58"/>
        <v>0</v>
      </c>
      <c r="S252" s="19">
        <f>SUM(O252:R252)</f>
        <v>163.19999999999999</v>
      </c>
      <c r="T252" s="26" t="s">
        <v>169</v>
      </c>
      <c r="U252" s="19" t="s">
        <v>330</v>
      </c>
      <c r="V252" s="19" t="str">
        <f>IF(OR($H252="",$H252="sif",$H252="PM"),"",VLOOKUP($H252,[5]CU!$C$5:$J$255,8,FALSE))</f>
        <v>3. Dépenses de fonctionnement</v>
      </c>
      <c r="W252" s="19" t="s">
        <v>331</v>
      </c>
      <c r="X252" s="19" t="s">
        <v>347</v>
      </c>
      <c r="Y252" s="19" t="s">
        <v>32</v>
      </c>
      <c r="Z252" s="19" t="str">
        <f>A252 &amp; "-" &amp; VLOOKUP(A252,[4]PROGRAMMES!$E$1:$F$7,2,FALSE)</f>
        <v>1-Accès et équité à l'enseignement général</v>
      </c>
      <c r="AA252" s="19" t="str">
        <f>B252 &amp; "-" &amp; VLOOKUP(B252,[4]SOUSPROGRAMMES!$E$1:$F$44,2,FALSE)</f>
        <v>13- Accès à l’éducation non formelle</v>
      </c>
      <c r="AB252" s="19" t="str">
        <f>C252 &amp; "-" &amp; VLOOKUP(C252,[4]RESULTATS!$E$1:$F$176,2,FALSE)</f>
        <v>132- L’offre d’éducation non formelle est diversifiée</v>
      </c>
      <c r="AC252" s="20" t="str">
        <f>D252 &amp; "-" &amp; VLOOKUP(D252,[4]STRATEGIES!$E$1:$F$504,2,FALSE)</f>
        <v>1322-Réorganisation de l’apprentissage dans les centres NAFA en fonction des besoins locaux et développement des passerelles entre le formel et le non formel</v>
      </c>
      <c r="AD252" s="21" t="str">
        <f t="shared" si="43"/>
        <v>13221-Révision des contenus des programmes pour favoriser les passerelles (programmes NAFA)</v>
      </c>
    </row>
    <row r="253" spans="1:30" ht="45" hidden="1" customHeight="1" x14ac:dyDescent="0.8">
      <c r="A253" s="25">
        <v>1</v>
      </c>
      <c r="B253" s="16">
        <v>13</v>
      </c>
      <c r="C253" s="16">
        <v>132</v>
      </c>
      <c r="D253" s="16">
        <v>1322</v>
      </c>
      <c r="E253" s="16">
        <v>13222</v>
      </c>
      <c r="F253" s="16" t="s">
        <v>348</v>
      </c>
      <c r="G253" s="21" t="s">
        <v>37</v>
      </c>
      <c r="H253" s="21" t="s">
        <v>38</v>
      </c>
      <c r="I253" s="19">
        <v>0</v>
      </c>
      <c r="J253" s="19">
        <f>30*2</f>
        <v>60</v>
      </c>
      <c r="K253" s="19"/>
      <c r="L253" s="19"/>
      <c r="M253" s="19">
        <f t="shared" si="51"/>
        <v>60</v>
      </c>
      <c r="N253" s="19">
        <f>IF(OR(H253="",H253="sif",H253="PM"),0,VLOOKUP(H253,[5]CU!$C$4:$H$255,6,FALSE))</f>
        <v>0.3133333333333333</v>
      </c>
      <c r="O253" s="19">
        <f t="shared" si="58"/>
        <v>0</v>
      </c>
      <c r="P253" s="19">
        <f t="shared" si="58"/>
        <v>18.799999999999997</v>
      </c>
      <c r="Q253" s="19">
        <f t="shared" si="58"/>
        <v>0</v>
      </c>
      <c r="R253" s="19">
        <f t="shared" si="58"/>
        <v>0</v>
      </c>
      <c r="S253" s="19">
        <f>SUM(O253:R253)</f>
        <v>18.799999999999997</v>
      </c>
      <c r="T253" s="26" t="s">
        <v>169</v>
      </c>
      <c r="U253" s="19" t="s">
        <v>330</v>
      </c>
      <c r="V253" s="19" t="str">
        <f>IF(OR($H253="",$H253="sif",$H253="PM"),"",VLOOKUP($H253,[5]CU!$C$5:$J$255,8,FALSE))</f>
        <v>3. Formation</v>
      </c>
      <c r="W253" s="19" t="s">
        <v>331</v>
      </c>
      <c r="X253" s="19" t="s">
        <v>347</v>
      </c>
      <c r="Y253" s="19" t="s">
        <v>32</v>
      </c>
      <c r="Z253" s="19" t="str">
        <f>A253 &amp; "-" &amp; VLOOKUP(A253,[4]PROGRAMMES!$E$1:$F$7,2,FALSE)</f>
        <v>1-Accès et équité à l'enseignement général</v>
      </c>
      <c r="AA253" s="19" t="str">
        <f>B253 &amp; "-" &amp; VLOOKUP(B253,[4]SOUSPROGRAMMES!$E$1:$F$44,2,FALSE)</f>
        <v>13- Accès à l’éducation non formelle</v>
      </c>
      <c r="AB253" s="19" t="str">
        <f>C253 &amp; "-" &amp; VLOOKUP(C253,[4]RESULTATS!$E$1:$F$176,2,FALSE)</f>
        <v>132- L’offre d’éducation non formelle est diversifiée</v>
      </c>
      <c r="AC253" s="20" t="str">
        <f>D253 &amp; "-" &amp; VLOOKUP(D253,[4]STRATEGIES!$E$1:$F$504,2,FALSE)</f>
        <v>1322-Réorganisation de l’apprentissage dans les centres NAFA en fonction des besoins locaux et développement des passerelles entre le formel et le non formel</v>
      </c>
      <c r="AD253" s="21" t="str">
        <f t="shared" si="43"/>
        <v>13222-Validation des nouveaux programmes</v>
      </c>
    </row>
    <row r="254" spans="1:30" ht="45" hidden="1" customHeight="1" x14ac:dyDescent="0.8">
      <c r="A254" s="25">
        <v>1</v>
      </c>
      <c r="B254" s="16">
        <v>13</v>
      </c>
      <c r="C254" s="16">
        <v>132</v>
      </c>
      <c r="D254" s="16">
        <v>1322</v>
      </c>
      <c r="E254" s="16">
        <v>13223</v>
      </c>
      <c r="F254" s="16" t="s">
        <v>349</v>
      </c>
      <c r="G254" s="21" t="s">
        <v>44</v>
      </c>
      <c r="H254" s="21" t="s">
        <v>350</v>
      </c>
      <c r="I254" s="19">
        <v>0</v>
      </c>
      <c r="J254" s="19"/>
      <c r="K254" s="19">
        <f>500*50*1</f>
        <v>25000</v>
      </c>
      <c r="L254" s="19"/>
      <c r="M254" s="19">
        <f t="shared" si="51"/>
        <v>25000</v>
      </c>
      <c r="N254" s="19">
        <f>IF(OR(H254="",H254="sif",H254="PM"),0,VLOOKUP(H254,[5]CU!$C$4:$H$255,6,FALSE))</f>
        <v>0.03</v>
      </c>
      <c r="O254" s="19">
        <f t="shared" si="58"/>
        <v>0</v>
      </c>
      <c r="P254" s="19">
        <f t="shared" si="58"/>
        <v>0</v>
      </c>
      <c r="Q254" s="19">
        <f t="shared" si="58"/>
        <v>750</v>
      </c>
      <c r="R254" s="19">
        <f t="shared" si="58"/>
        <v>0</v>
      </c>
      <c r="S254" s="19">
        <f>SUM(O254:R254)</f>
        <v>750</v>
      </c>
      <c r="T254" s="26" t="s">
        <v>169</v>
      </c>
      <c r="U254" s="19" t="s">
        <v>330</v>
      </c>
      <c r="V254" s="19" t="str">
        <f>IF(OR($H254="",$H254="sif",$H254="PM"),"",VLOOKUP($H254,[5]CU!$C$5:$J$255,8,FALSE))</f>
        <v>3. Manuels scolaires et matériels pédagogiques</v>
      </c>
      <c r="W254" s="19" t="s">
        <v>331</v>
      </c>
      <c r="X254" s="19" t="s">
        <v>331</v>
      </c>
      <c r="Y254" s="19" t="s">
        <v>32</v>
      </c>
      <c r="Z254" s="19" t="str">
        <f>A254 &amp; "-" &amp; VLOOKUP(A254,[4]PROGRAMMES!$E$1:$F$7,2,FALSE)</f>
        <v>1-Accès et équité à l'enseignement général</v>
      </c>
      <c r="AA254" s="19" t="str">
        <f>B254 &amp; "-" &amp; VLOOKUP(B254,[4]SOUSPROGRAMMES!$E$1:$F$44,2,FALSE)</f>
        <v>13- Accès à l’éducation non formelle</v>
      </c>
      <c r="AB254" s="19" t="str">
        <f>C254 &amp; "-" &amp; VLOOKUP(C254,[4]RESULTATS!$E$1:$F$176,2,FALSE)</f>
        <v>132- L’offre d’éducation non formelle est diversifiée</v>
      </c>
      <c r="AC254" s="20" t="str">
        <f>D254 &amp; "-" &amp; VLOOKUP(D254,[4]STRATEGIES!$E$1:$F$504,2,FALSE)</f>
        <v>1322-Réorganisation de l’apprentissage dans les centres NAFA en fonction des besoins locaux et développement des passerelles entre le formel et le non formel</v>
      </c>
      <c r="AD254" s="21" t="str">
        <f t="shared" si="43"/>
        <v>13223-Reprographie des nouveaux programmes et des guides</v>
      </c>
    </row>
    <row r="255" spans="1:30" ht="45" hidden="1" customHeight="1" x14ac:dyDescent="0.8">
      <c r="A255" s="25">
        <v>1</v>
      </c>
      <c r="B255" s="16">
        <v>13</v>
      </c>
      <c r="C255" s="16">
        <v>132</v>
      </c>
      <c r="D255" s="16">
        <v>1322</v>
      </c>
      <c r="E255" s="16">
        <v>13224</v>
      </c>
      <c r="F255" s="16" t="s">
        <v>364</v>
      </c>
      <c r="G255" s="21" t="s">
        <v>37</v>
      </c>
      <c r="H255" s="21" t="s">
        <v>52</v>
      </c>
      <c r="I255" s="19">
        <v>0</v>
      </c>
      <c r="J255" s="19">
        <f>(230)*20%</f>
        <v>46</v>
      </c>
      <c r="K255" s="19">
        <f>(230)*80%</f>
        <v>184</v>
      </c>
      <c r="L255" s="19"/>
      <c r="M255" s="19">
        <f>SUM(I255:L255)</f>
        <v>230</v>
      </c>
      <c r="N255" s="19">
        <f>IF(OR(H255="",H255="sif",H255="PM"),0,VLOOKUP(H255,[5]CU!$C$4:$H$255,6,FALSE))</f>
        <v>1.5</v>
      </c>
      <c r="O255" s="19">
        <f>$N255*I255</f>
        <v>0</v>
      </c>
      <c r="P255" s="19">
        <f>$N255*J255</f>
        <v>69</v>
      </c>
      <c r="Q255" s="19">
        <f t="shared" si="58"/>
        <v>276</v>
      </c>
      <c r="R255" s="19">
        <f>$N255*L255</f>
        <v>0</v>
      </c>
      <c r="S255" s="19">
        <f>SUM(O255:R255)</f>
        <v>345</v>
      </c>
      <c r="T255" s="26" t="s">
        <v>169</v>
      </c>
      <c r="U255" s="19" t="s">
        <v>330</v>
      </c>
      <c r="V255" s="19" t="str">
        <f>IF(OR($H255="",$H255="sif",$H255="PM"),"",VLOOKUP($H255,[5]CU!$C$5:$J$255,8,FALSE))</f>
        <v>3. Formation</v>
      </c>
      <c r="W255" s="19" t="s">
        <v>331</v>
      </c>
      <c r="X255" s="19" t="s">
        <v>331</v>
      </c>
      <c r="Y255" s="19" t="s">
        <v>32</v>
      </c>
      <c r="Z255" s="19" t="str">
        <f>A255 &amp; "-" &amp; VLOOKUP(A255,[4]PROGRAMMES!$E$1:$F$7,2,FALSE)</f>
        <v>1-Accès et équité à l'enseignement général</v>
      </c>
      <c r="AA255" s="19" t="str">
        <f>B255 &amp; "-" &amp; VLOOKUP(B255,[4]SOUSPROGRAMMES!$E$1:$F$44,2,FALSE)</f>
        <v>13- Accès à l’éducation non formelle</v>
      </c>
      <c r="AB255" s="19" t="str">
        <f>C255 &amp; "-" &amp; VLOOKUP(C255,[4]RESULTATS!$E$1:$F$176,2,FALSE)</f>
        <v>132- L’offre d’éducation non formelle est diversifiée</v>
      </c>
      <c r="AC255" s="20" t="str">
        <f>D255 &amp; "-" &amp; VLOOKUP(D255,[4]STRATEGIES!$E$1:$F$504,2,FALSE)</f>
        <v>1322-Réorganisation de l’apprentissage dans les centres NAFA en fonction des besoins locaux et développement des passerelles entre le formel et le non formel</v>
      </c>
      <c r="AD255" s="21" t="str">
        <f t="shared" si="43"/>
        <v xml:space="preserve">13224-Formation des enseignants </v>
      </c>
    </row>
    <row r="256" spans="1:30" s="22" customFormat="1" ht="30" hidden="1" customHeight="1" x14ac:dyDescent="0.8">
      <c r="A256" s="14">
        <v>1</v>
      </c>
      <c r="B256" s="15">
        <v>13</v>
      </c>
      <c r="C256" s="15">
        <v>132</v>
      </c>
      <c r="D256" s="15">
        <v>1322</v>
      </c>
      <c r="E256" s="15">
        <v>13224</v>
      </c>
      <c r="F256" s="16" t="s">
        <v>364</v>
      </c>
      <c r="G256" s="21" t="s">
        <v>37</v>
      </c>
      <c r="H256" s="17" t="s">
        <v>52</v>
      </c>
      <c r="I256" s="18">
        <v>0</v>
      </c>
      <c r="J256" s="18">
        <f>(230)*20%</f>
        <v>46</v>
      </c>
      <c r="K256" s="18">
        <f>(230)*20%</f>
        <v>46</v>
      </c>
      <c r="L256" s="18"/>
      <c r="M256" s="18">
        <f t="shared" si="51"/>
        <v>92</v>
      </c>
      <c r="N256" s="18">
        <f>IF(OR(H256="",H256="sif",H256="PM"),0,VLOOKUP(H256,[5]CU!$C$4:$H$255,6,FALSE))</f>
        <v>1.5</v>
      </c>
      <c r="O256" s="18">
        <f t="shared" si="58"/>
        <v>0</v>
      </c>
      <c r="P256" s="18">
        <f t="shared" si="58"/>
        <v>69</v>
      </c>
      <c r="Q256" s="18">
        <f t="shared" si="58"/>
        <v>69</v>
      </c>
      <c r="R256" s="18">
        <f t="shared" si="58"/>
        <v>0</v>
      </c>
      <c r="S256" s="18">
        <f>SUM(O256:R256)</f>
        <v>138</v>
      </c>
      <c r="T256" s="23" t="s">
        <v>118</v>
      </c>
      <c r="U256" s="18" t="s">
        <v>330</v>
      </c>
      <c r="V256" s="18" t="str">
        <f>IF(OR($H256="",$H256="sif",$H256="PM"),"",VLOOKUP($H256,[5]CU!$C$5:$J$255,8,FALSE))</f>
        <v>3. Formation</v>
      </c>
      <c r="W256" s="18" t="s">
        <v>331</v>
      </c>
      <c r="X256" s="18" t="s">
        <v>331</v>
      </c>
      <c r="Y256" s="19" t="s">
        <v>32</v>
      </c>
      <c r="Z256" s="18" t="str">
        <f>A256 &amp; "-" &amp; VLOOKUP(A256,[4]PROGRAMMES!$E$1:$F$7,2,FALSE)</f>
        <v>1-Accès et équité à l'enseignement général</v>
      </c>
      <c r="AA256" s="19" t="str">
        <f>B256 &amp; "-" &amp; VLOOKUP(B256,[4]SOUSPROGRAMMES!$E$1:$F$44,2,FALSE)</f>
        <v>13- Accès à l’éducation non formelle</v>
      </c>
      <c r="AB256" s="19" t="str">
        <f>C256 &amp; "-" &amp; VLOOKUP(C256,[4]RESULTATS!$E$1:$F$176,2,FALSE)</f>
        <v>132- L’offre d’éducation non formelle est diversifiée</v>
      </c>
      <c r="AC256" s="20" t="str">
        <f>D256 &amp; "-" &amp; VLOOKUP(D256,[4]STRATEGIES!$E$1:$F$504,2,FALSE)</f>
        <v>1322-Réorganisation de l’apprentissage dans les centres NAFA en fonction des besoins locaux et développement des passerelles entre le formel et le non formel</v>
      </c>
      <c r="AD256" s="21" t="str">
        <f t="shared" si="43"/>
        <v xml:space="preserve">13224-Formation des enseignants </v>
      </c>
    </row>
    <row r="257" spans="1:30" ht="45" hidden="1" customHeight="1" x14ac:dyDescent="0.8">
      <c r="A257" s="25">
        <v>1</v>
      </c>
      <c r="B257" s="16">
        <v>13</v>
      </c>
      <c r="C257" s="16">
        <v>132</v>
      </c>
      <c r="D257" s="16">
        <v>1322</v>
      </c>
      <c r="E257" s="16">
        <v>13225</v>
      </c>
      <c r="F257" s="16" t="s">
        <v>365</v>
      </c>
      <c r="G257" s="21" t="s">
        <v>366</v>
      </c>
      <c r="H257" s="21" t="s">
        <v>55</v>
      </c>
      <c r="I257" s="19">
        <v>0</v>
      </c>
      <c r="J257" s="19">
        <v>1</v>
      </c>
      <c r="K257" s="19">
        <v>1</v>
      </c>
      <c r="L257" s="19">
        <v>1</v>
      </c>
      <c r="M257" s="19">
        <f t="shared" si="51"/>
        <v>3</v>
      </c>
      <c r="N257" s="19">
        <f>IF(OR(H257="",H257="sif",H257="PM"),0,VLOOKUP(H257,[5]CU!$C$4:$H$255,6,FALSE))</f>
        <v>0</v>
      </c>
      <c r="O257" s="19"/>
      <c r="P257" s="19"/>
      <c r="Q257" s="19">
        <f t="shared" si="58"/>
        <v>0</v>
      </c>
      <c r="R257" s="19"/>
      <c r="S257" s="19"/>
      <c r="T257" s="26" t="s">
        <v>169</v>
      </c>
      <c r="U257" s="19" t="s">
        <v>330</v>
      </c>
      <c r="V257" s="19" t="str">
        <f>IF(OR($H257="",$H257="sif",$H257="PM"),"",VLOOKUP($H257,[5]CU!$C$5:$J$255,8,FALSE))</f>
        <v/>
      </c>
      <c r="W257" s="19" t="s">
        <v>282</v>
      </c>
      <c r="X257" s="19" t="s">
        <v>367</v>
      </c>
      <c r="Y257" s="19" t="s">
        <v>32</v>
      </c>
      <c r="Z257" s="19" t="str">
        <f>A257 &amp; "-" &amp; VLOOKUP(A257,[4]PROGRAMMES!$E$1:$F$7,2,FALSE)</f>
        <v>1-Accès et équité à l'enseignement général</v>
      </c>
      <c r="AA257" s="19" t="str">
        <f>B257 &amp; "-" &amp; VLOOKUP(B257,[4]SOUSPROGRAMMES!$E$1:$F$44,2,FALSE)</f>
        <v>13- Accès à l’éducation non formelle</v>
      </c>
      <c r="AB257" s="19" t="str">
        <f>C257 &amp; "-" &amp; VLOOKUP(C257,[4]RESULTATS!$E$1:$F$176,2,FALSE)</f>
        <v>132- L’offre d’éducation non formelle est diversifiée</v>
      </c>
      <c r="AC257" s="20" t="str">
        <f>D257 &amp; "-" &amp; VLOOKUP(D257,[4]STRATEGIES!$E$1:$F$504,2,FALSE)</f>
        <v>1322-Réorganisation de l’apprentissage dans les centres NAFA en fonction des besoins locaux et développement des passerelles entre le formel et le non formel</v>
      </c>
      <c r="AD257" s="21" t="str">
        <f t="shared" si="43"/>
        <v>13225-Suivi/évaluation de l'application des passerelles</v>
      </c>
    </row>
    <row r="258" spans="1:30" ht="45" hidden="1" customHeight="1" x14ac:dyDescent="0.8">
      <c r="A258" s="25">
        <v>1</v>
      </c>
      <c r="B258" s="16">
        <v>13</v>
      </c>
      <c r="C258" s="16">
        <v>132</v>
      </c>
      <c r="D258" s="16">
        <v>1322</v>
      </c>
      <c r="E258" s="16">
        <v>13226</v>
      </c>
      <c r="F258" s="16" t="s">
        <v>368</v>
      </c>
      <c r="G258" s="21" t="s">
        <v>88</v>
      </c>
      <c r="H258" s="21" t="s">
        <v>55</v>
      </c>
      <c r="I258" s="19">
        <v>0</v>
      </c>
      <c r="J258" s="19"/>
      <c r="K258" s="19"/>
      <c r="L258" s="19"/>
      <c r="M258" s="19">
        <f t="shared" si="51"/>
        <v>0</v>
      </c>
      <c r="N258" s="19">
        <f>IF(OR(H258="",H258="sif",H258="PM"),0,VLOOKUP(H258,[5]CU!$C$4:$H$255,6,FALSE))</f>
        <v>0</v>
      </c>
      <c r="O258" s="19"/>
      <c r="P258" s="19"/>
      <c r="Q258" s="19">
        <f t="shared" si="58"/>
        <v>0</v>
      </c>
      <c r="R258" s="19"/>
      <c r="S258" s="19"/>
      <c r="T258" s="26" t="s">
        <v>169</v>
      </c>
      <c r="U258" s="19" t="s">
        <v>330</v>
      </c>
      <c r="V258" s="19" t="str">
        <f>IF(OR($H258="",$H258="sif",$H258="PM"),"",VLOOKUP($H258,[5]CU!$C$5:$J$255,8,FALSE))</f>
        <v/>
      </c>
      <c r="W258" s="19" t="s">
        <v>331</v>
      </c>
      <c r="X258" s="19" t="s">
        <v>331</v>
      </c>
      <c r="Y258" s="19" t="s">
        <v>32</v>
      </c>
      <c r="Z258" s="19" t="str">
        <f>A258 &amp; "-" &amp; VLOOKUP(A258,[4]PROGRAMMES!$E$1:$F$7,2,FALSE)</f>
        <v>1-Accès et équité à l'enseignement général</v>
      </c>
      <c r="AA258" s="19" t="str">
        <f>B258 &amp; "-" &amp; VLOOKUP(B258,[4]SOUSPROGRAMMES!$E$1:$F$44,2,FALSE)</f>
        <v>13- Accès à l’éducation non formelle</v>
      </c>
      <c r="AB258" s="19" t="str">
        <f>C258 &amp; "-" &amp; VLOOKUP(C258,[4]RESULTATS!$E$1:$F$176,2,FALSE)</f>
        <v>132- L’offre d’éducation non formelle est diversifiée</v>
      </c>
      <c r="AC258" s="20" t="str">
        <f>D258 &amp; "-" &amp; VLOOKUP(D258,[4]STRATEGIES!$E$1:$F$504,2,FALSE)</f>
        <v>1322-Réorganisation de l’apprentissage dans les centres NAFA en fonction des besoins locaux et développement des passerelles entre le formel et le non formel</v>
      </c>
      <c r="AD258" s="21" t="str">
        <f t="shared" si="43"/>
        <v>13226-Diversification des métiers en fonction de l'économie locale</v>
      </c>
    </row>
    <row r="259" spans="1:30" ht="45" hidden="1" customHeight="1" x14ac:dyDescent="0.8">
      <c r="A259" s="25">
        <v>1</v>
      </c>
      <c r="B259" s="16">
        <v>13</v>
      </c>
      <c r="C259" s="16">
        <v>132</v>
      </c>
      <c r="D259" s="16">
        <v>1322</v>
      </c>
      <c r="E259" s="16">
        <v>13227</v>
      </c>
      <c r="F259" s="16" t="s">
        <v>369</v>
      </c>
      <c r="G259" s="21" t="s">
        <v>37</v>
      </c>
      <c r="H259" s="21" t="s">
        <v>52</v>
      </c>
      <c r="I259" s="19">
        <v>0</v>
      </c>
      <c r="J259" s="19"/>
      <c r="K259" s="19">
        <f>(250*6*1)</f>
        <v>1500</v>
      </c>
      <c r="L259" s="19">
        <f>(250*4)*80%</f>
        <v>800</v>
      </c>
      <c r="M259" s="19">
        <f>SUM(I259:L259)</f>
        <v>2300</v>
      </c>
      <c r="N259" s="19">
        <f>IF(OR(H259="",H259="sif",H259="PM"),0,VLOOKUP(H259,[5]CU!$C$4:$H$255,6,FALSE))</f>
        <v>1.5</v>
      </c>
      <c r="O259" s="19">
        <f t="shared" ref="O259:R260" si="59">$N259*I259</f>
        <v>0</v>
      </c>
      <c r="P259" s="19">
        <f t="shared" si="59"/>
        <v>0</v>
      </c>
      <c r="Q259" s="19">
        <f t="shared" si="58"/>
        <v>2250</v>
      </c>
      <c r="R259" s="19">
        <f t="shared" si="59"/>
        <v>1200</v>
      </c>
      <c r="S259" s="19">
        <f>SUM(O259:R259)</f>
        <v>3450</v>
      </c>
      <c r="T259" s="26" t="s">
        <v>169</v>
      </c>
      <c r="U259" s="19" t="s">
        <v>330</v>
      </c>
      <c r="V259" s="19" t="str">
        <f>IF(OR($H259="",$H259="sif",$H259="PM"),"",VLOOKUP($H259,[5]CU!$C$5:$J$255,8,FALSE))</f>
        <v>3. Formation</v>
      </c>
      <c r="W259" s="19" t="s">
        <v>331</v>
      </c>
      <c r="X259" s="19" t="s">
        <v>331</v>
      </c>
      <c r="Y259" s="19" t="s">
        <v>32</v>
      </c>
      <c r="Z259" s="19" t="str">
        <f>A259 &amp; "-" &amp; VLOOKUP(A259,[4]PROGRAMMES!$E$1:$F$7,2,FALSE)</f>
        <v>1-Accès et équité à l'enseignement général</v>
      </c>
      <c r="AA259" s="19" t="str">
        <f>B259 &amp; "-" &amp; VLOOKUP(B259,[4]SOUSPROGRAMMES!$E$1:$F$44,2,FALSE)</f>
        <v>13- Accès à l’éducation non formelle</v>
      </c>
      <c r="AB259" s="19" t="str">
        <f>C259 &amp; "-" &amp; VLOOKUP(C259,[4]RESULTATS!$E$1:$F$176,2,FALSE)</f>
        <v>132- L’offre d’éducation non formelle est diversifiée</v>
      </c>
      <c r="AC259" s="20" t="str">
        <f>D259 &amp; "-" &amp; VLOOKUP(D259,[4]STRATEGIES!$E$1:$F$504,2,FALSE)</f>
        <v>1322-Réorganisation de l’apprentissage dans les centres NAFA en fonction des besoins locaux et développement des passerelles entre le formel et le non formel</v>
      </c>
      <c r="AD259" s="21" t="str">
        <f t="shared" si="43"/>
        <v>13227-Formation des animateurs à l'approche Nafa</v>
      </c>
    </row>
    <row r="260" spans="1:30" s="22" customFormat="1" ht="30" hidden="1" customHeight="1" x14ac:dyDescent="0.8">
      <c r="A260" s="14">
        <v>1</v>
      </c>
      <c r="B260" s="15">
        <v>13</v>
      </c>
      <c r="C260" s="15">
        <v>132</v>
      </c>
      <c r="D260" s="15">
        <v>1322</v>
      </c>
      <c r="E260" s="15">
        <v>13227</v>
      </c>
      <c r="F260" s="16" t="s">
        <v>369</v>
      </c>
      <c r="G260" s="21" t="s">
        <v>37</v>
      </c>
      <c r="H260" s="17" t="s">
        <v>52</v>
      </c>
      <c r="I260" s="18">
        <v>0</v>
      </c>
      <c r="J260" s="18">
        <f>(250*4)*20%</f>
        <v>200</v>
      </c>
      <c r="K260" s="18"/>
      <c r="L260" s="18">
        <f>(250*4)*20%</f>
        <v>200</v>
      </c>
      <c r="M260" s="18">
        <f t="shared" si="51"/>
        <v>400</v>
      </c>
      <c r="N260" s="18">
        <f>IF(OR(H260="",H260="sif",H260="PM"),0,VLOOKUP(H260,[5]CU!$C$4:$H$255,6,FALSE))</f>
        <v>1.5</v>
      </c>
      <c r="O260" s="18">
        <f t="shared" si="59"/>
        <v>0</v>
      </c>
      <c r="P260" s="18">
        <f t="shared" si="59"/>
        <v>300</v>
      </c>
      <c r="Q260" s="18">
        <f t="shared" si="59"/>
        <v>0</v>
      </c>
      <c r="R260" s="18">
        <f t="shared" si="59"/>
        <v>300</v>
      </c>
      <c r="S260" s="18">
        <f>SUM(O260:R260)</f>
        <v>600</v>
      </c>
      <c r="T260" s="23" t="s">
        <v>118</v>
      </c>
      <c r="U260" s="18" t="s">
        <v>330</v>
      </c>
      <c r="V260" s="18" t="str">
        <f>IF(OR($H260="",$H260="sif",$H260="PM"),"",VLOOKUP($H260,[5]CU!$C$5:$J$255,8,FALSE))</f>
        <v>3. Formation</v>
      </c>
      <c r="W260" s="18" t="s">
        <v>331</v>
      </c>
      <c r="X260" s="18" t="s">
        <v>331</v>
      </c>
      <c r="Y260" s="19" t="s">
        <v>32</v>
      </c>
      <c r="Z260" s="18" t="str">
        <f>A260 &amp; "-" &amp; VLOOKUP(A260,[4]PROGRAMMES!$E$1:$F$7,2,FALSE)</f>
        <v>1-Accès et équité à l'enseignement général</v>
      </c>
      <c r="AA260" s="19" t="str">
        <f>B260 &amp; "-" &amp; VLOOKUP(B260,[4]SOUSPROGRAMMES!$E$1:$F$44,2,FALSE)</f>
        <v>13- Accès à l’éducation non formelle</v>
      </c>
      <c r="AB260" s="19" t="str">
        <f>C260 &amp; "-" &amp; VLOOKUP(C260,[4]RESULTATS!$E$1:$F$176,2,FALSE)</f>
        <v>132- L’offre d’éducation non formelle est diversifiée</v>
      </c>
      <c r="AC260" s="20" t="str">
        <f>D260 &amp; "-" &amp; VLOOKUP(D260,[4]STRATEGIES!$E$1:$F$504,2,FALSE)</f>
        <v>1322-Réorganisation de l’apprentissage dans les centres NAFA en fonction des besoins locaux et développement des passerelles entre le formel et le non formel</v>
      </c>
      <c r="AD260" s="21" t="str">
        <f t="shared" ref="AD260:AD323" si="60">E260 &amp; "-" &amp; F260</f>
        <v>13227-Formation des animateurs à l'approche Nafa</v>
      </c>
    </row>
    <row r="261" spans="1:30" s="22" customFormat="1" ht="30" hidden="1" customHeight="1" x14ac:dyDescent="0.8">
      <c r="A261" s="14">
        <v>1</v>
      </c>
      <c r="B261" s="15">
        <v>13</v>
      </c>
      <c r="C261" s="15">
        <v>133</v>
      </c>
      <c r="D261" s="15">
        <v>133</v>
      </c>
      <c r="E261" s="15">
        <v>133</v>
      </c>
      <c r="F261" s="16" t="s">
        <v>370</v>
      </c>
      <c r="G261" s="17"/>
      <c r="H261" s="17"/>
      <c r="I261" s="18">
        <v>0</v>
      </c>
      <c r="J261" s="18"/>
      <c r="K261" s="18"/>
      <c r="L261" s="18"/>
      <c r="M261" s="18"/>
      <c r="N261" s="18"/>
      <c r="O261" s="18"/>
      <c r="P261" s="18"/>
      <c r="Q261" s="18"/>
      <c r="R261" s="18"/>
      <c r="S261" s="18"/>
      <c r="T261" s="18"/>
      <c r="U261" s="18"/>
      <c r="V261" s="18"/>
      <c r="W261" s="18"/>
      <c r="X261" s="18"/>
      <c r="Y261" s="19" t="s">
        <v>32</v>
      </c>
      <c r="Z261" s="18" t="str">
        <f>A261 &amp; "-" &amp; VLOOKUP(A261,[4]PROGRAMMES!$E$1:$F$7,2,FALSE)</f>
        <v>1-Accès et équité à l'enseignement général</v>
      </c>
      <c r="AA261" s="19" t="str">
        <f>B261 &amp; "-" &amp; VLOOKUP(B261,[4]SOUSPROGRAMMES!$E$1:$F$44,2,FALSE)</f>
        <v>13- Accès à l’éducation non formelle</v>
      </c>
      <c r="AB261" s="19" t="str">
        <f>C261 &amp; "-" &amp; VLOOKUP(C261,[4]RESULTATS!$E$1:$F$176,2,FALSE)</f>
        <v>133-Les capacités d’accueil d’éducation non formelle se sont accrues</v>
      </c>
      <c r="AC261" s="20" t="str">
        <f>D261 &amp; "-" &amp; VLOOKUP(D261,[4]STRATEGIES!$E$1:$F$504,2,FALSE)</f>
        <v>133-Les capacités d’accueil d’éducation non formelle se sont accrues</v>
      </c>
      <c r="AD261" s="21" t="str">
        <f t="shared" si="60"/>
        <v>133-Les capacités d’accueil d’éducation non formelle se sont accrues</v>
      </c>
    </row>
    <row r="262" spans="1:30" s="22" customFormat="1" ht="30" hidden="1" customHeight="1" x14ac:dyDescent="0.8">
      <c r="A262" s="14">
        <v>1</v>
      </c>
      <c r="B262" s="15">
        <v>13</v>
      </c>
      <c r="C262" s="15">
        <v>133</v>
      </c>
      <c r="D262" s="15">
        <v>1331</v>
      </c>
      <c r="E262" s="15">
        <v>1331</v>
      </c>
      <c r="F262" s="16" t="s">
        <v>371</v>
      </c>
      <c r="G262" s="17"/>
      <c r="H262" s="17"/>
      <c r="I262" s="18">
        <v>0</v>
      </c>
      <c r="J262" s="18"/>
      <c r="K262" s="18"/>
      <c r="L262" s="18"/>
      <c r="M262" s="18"/>
      <c r="N262" s="18"/>
      <c r="O262" s="18"/>
      <c r="P262" s="18"/>
      <c r="Q262" s="18"/>
      <c r="R262" s="18"/>
      <c r="S262" s="18"/>
      <c r="T262" s="18"/>
      <c r="U262" s="18"/>
      <c r="V262" s="18"/>
      <c r="W262" s="18"/>
      <c r="X262" s="18"/>
      <c r="Y262" s="19" t="s">
        <v>32</v>
      </c>
      <c r="Z262" s="18" t="str">
        <f>A262 &amp; "-" &amp; VLOOKUP(A262,[4]PROGRAMMES!$E$1:$F$7,2,FALSE)</f>
        <v>1-Accès et équité à l'enseignement général</v>
      </c>
      <c r="AA262" s="19" t="str">
        <f>B262 &amp; "-" &amp; VLOOKUP(B262,[4]SOUSPROGRAMMES!$E$1:$F$44,2,FALSE)</f>
        <v>13- Accès à l’éducation non formelle</v>
      </c>
      <c r="AB262" s="19" t="str">
        <f>C262 &amp; "-" &amp; VLOOKUP(C262,[4]RESULTATS!$E$1:$F$176,2,FALSE)</f>
        <v>133-Les capacités d’accueil d’éducation non formelle se sont accrues</v>
      </c>
      <c r="AC262" s="20" t="str">
        <f>D262 &amp; "-" &amp; VLOOKUP(D262,[4]STRATEGIES!$E$1:$F$504,2,FALSE)</f>
        <v>1331-Construction/Réhabilitation/Renovation des centres NAFA</v>
      </c>
      <c r="AD262" s="21" t="str">
        <f t="shared" si="60"/>
        <v>1331-Construction/Réhabilitation/Renovation des centres NAFA</v>
      </c>
    </row>
    <row r="263" spans="1:30" ht="45" hidden="1" customHeight="1" x14ac:dyDescent="0.8">
      <c r="A263" s="25">
        <v>1</v>
      </c>
      <c r="B263" s="16">
        <v>13</v>
      </c>
      <c r="C263" s="16">
        <v>133</v>
      </c>
      <c r="D263" s="16">
        <v>1331</v>
      </c>
      <c r="E263" s="16">
        <v>13311</v>
      </c>
      <c r="F263" s="16" t="s">
        <v>372</v>
      </c>
      <c r="G263" s="21" t="s">
        <v>92</v>
      </c>
      <c r="H263" s="21" t="s">
        <v>55</v>
      </c>
      <c r="I263" s="19">
        <v>0</v>
      </c>
      <c r="J263" s="19"/>
      <c r="K263" s="19"/>
      <c r="L263" s="19"/>
      <c r="M263" s="19"/>
      <c r="N263" s="19">
        <f>IF(OR(H263="",H263="sif",H263="PM"),0,VLOOKUP(H263,[5]CU!$C$4:$H$255,6,FALSE))</f>
        <v>0</v>
      </c>
      <c r="O263" s="19"/>
      <c r="P263" s="19"/>
      <c r="Q263" s="19">
        <f t="shared" ref="Q263:Q264" si="61">$N263*K263</f>
        <v>0</v>
      </c>
      <c r="R263" s="19"/>
      <c r="S263" s="19"/>
      <c r="T263" s="26" t="s">
        <v>169</v>
      </c>
      <c r="U263" s="19" t="s">
        <v>330</v>
      </c>
      <c r="V263" s="19" t="str">
        <f>IF(OR($H263="",$H263="sif",$H263="PM"),"",VLOOKUP($H263,[5]CU!$C$5:$J$255,8,FALSE))</f>
        <v/>
      </c>
      <c r="W263" s="19" t="s">
        <v>331</v>
      </c>
      <c r="X263" s="19" t="s">
        <v>96</v>
      </c>
      <c r="Y263" s="19" t="s">
        <v>32</v>
      </c>
      <c r="Z263" s="19" t="str">
        <f>A263 &amp; "-" &amp; VLOOKUP(A263,[4]PROGRAMMES!$E$1:$F$7,2,FALSE)</f>
        <v>1-Accès et équité à l'enseignement général</v>
      </c>
      <c r="AA263" s="19" t="str">
        <f>B263 &amp; "-" &amp; VLOOKUP(B263,[4]SOUSPROGRAMMES!$E$1:$F$44,2,FALSE)</f>
        <v>13- Accès à l’éducation non formelle</v>
      </c>
      <c r="AB263" s="19" t="str">
        <f>C263 &amp; "-" &amp; VLOOKUP(C263,[4]RESULTATS!$E$1:$F$176,2,FALSE)</f>
        <v>133-Les capacités d’accueil d’éducation non formelle se sont accrues</v>
      </c>
      <c r="AC263" s="20" t="str">
        <f>D263 &amp; "-" &amp; VLOOKUP(D263,[4]STRATEGIES!$E$1:$F$504,2,FALSE)</f>
        <v>1331-Construction/Réhabilitation/Renovation des centres NAFA</v>
      </c>
      <c r="AD263" s="21" t="str">
        <f t="shared" si="60"/>
        <v>13311-Identification des centres à rénover et des sites de construction de nouveaux centres NAFA (effectuée par les structures déconcentrées)</v>
      </c>
    </row>
    <row r="264" spans="1:30" ht="45" hidden="1" customHeight="1" x14ac:dyDescent="0.8">
      <c r="A264" s="25">
        <v>1</v>
      </c>
      <c r="B264" s="16">
        <v>13</v>
      </c>
      <c r="C264" s="16">
        <v>133</v>
      </c>
      <c r="D264" s="16">
        <v>1331</v>
      </c>
      <c r="E264" s="16">
        <v>13312</v>
      </c>
      <c r="F264" s="16" t="s">
        <v>373</v>
      </c>
      <c r="G264" s="21" t="s">
        <v>374</v>
      </c>
      <c r="H264" s="21" t="s">
        <v>375</v>
      </c>
      <c r="I264" s="19">
        <v>0</v>
      </c>
      <c r="J264" s="19">
        <f>5*80.01%</f>
        <v>4.0005000000000006</v>
      </c>
      <c r="K264" s="19">
        <v>4</v>
      </c>
      <c r="L264" s="19">
        <f>6*80.01%</f>
        <v>4.8006000000000002</v>
      </c>
      <c r="M264" s="19">
        <f>SUM(I264:L264)</f>
        <v>12.801100000000002</v>
      </c>
      <c r="N264" s="19">
        <f>IF(OR(H264="",H264="sif",H264="PM"),0,VLOOKUP(H264,[5]CU!$C$4:$H$255,6,FALSE))</f>
        <v>48</v>
      </c>
      <c r="O264" s="19">
        <f>$N264*I264</f>
        <v>0</v>
      </c>
      <c r="P264" s="19">
        <f>$N264*J264</f>
        <v>192.02400000000003</v>
      </c>
      <c r="Q264" s="19">
        <f t="shared" si="61"/>
        <v>192</v>
      </c>
      <c r="R264" s="19">
        <f>$N264*L264</f>
        <v>230.42880000000002</v>
      </c>
      <c r="S264" s="19">
        <f>SUM(O264:R264)</f>
        <v>614.45280000000002</v>
      </c>
      <c r="T264" s="26" t="s">
        <v>169</v>
      </c>
      <c r="U264" s="19" t="s">
        <v>330</v>
      </c>
      <c r="V264" s="19" t="str">
        <f>IF(OR($H264="",$H264="sif",$H264="PM"),"",VLOOKUP($H264,[5]CU!$C$5:$J$255,8,FALSE))</f>
        <v>5. Investissement</v>
      </c>
      <c r="W264" s="19" t="s">
        <v>98</v>
      </c>
      <c r="X264" s="19" t="s">
        <v>98</v>
      </c>
      <c r="Y264" s="19" t="s">
        <v>32</v>
      </c>
      <c r="Z264" s="19" t="str">
        <f>A264 &amp; "-" &amp; VLOOKUP(A264,[4]PROGRAMMES!$E$1:$F$7,2,FALSE)</f>
        <v>1-Accès et équité à l'enseignement général</v>
      </c>
      <c r="AA264" s="19" t="str">
        <f>B264 &amp; "-" &amp; VLOOKUP(B264,[4]SOUSPROGRAMMES!$E$1:$F$44,2,FALSE)</f>
        <v>13- Accès à l’éducation non formelle</v>
      </c>
      <c r="AB264" s="19" t="str">
        <f>C264 &amp; "-" &amp; VLOOKUP(C264,[4]RESULTATS!$E$1:$F$176,2,FALSE)</f>
        <v>133-Les capacités d’accueil d’éducation non formelle se sont accrues</v>
      </c>
      <c r="AC264" s="20" t="str">
        <f>D264 &amp; "-" &amp; VLOOKUP(D264,[4]STRATEGIES!$E$1:$F$504,2,FALSE)</f>
        <v>1331-Construction/Réhabilitation/Renovation des centres NAFA</v>
      </c>
      <c r="AD264" s="21" t="str">
        <f t="shared" si="60"/>
        <v>13312-Réhabilitation des centres existants</v>
      </c>
    </row>
    <row r="265" spans="1:30" s="22" customFormat="1" ht="30" hidden="1" customHeight="1" x14ac:dyDescent="0.8">
      <c r="A265" s="14">
        <v>1</v>
      </c>
      <c r="B265" s="15">
        <v>13</v>
      </c>
      <c r="C265" s="15">
        <v>133</v>
      </c>
      <c r="D265" s="15">
        <v>1331</v>
      </c>
      <c r="E265" s="15">
        <v>13312</v>
      </c>
      <c r="F265" s="16" t="s">
        <v>373</v>
      </c>
      <c r="G265" s="21" t="s">
        <v>374</v>
      </c>
      <c r="H265" s="17" t="s">
        <v>375</v>
      </c>
      <c r="I265" s="18">
        <v>0</v>
      </c>
      <c r="J265" s="18">
        <f>5*19.99%</f>
        <v>0.99949999999999994</v>
      </c>
      <c r="K265" s="18">
        <f>5*19.99%</f>
        <v>0.99949999999999994</v>
      </c>
      <c r="L265" s="18">
        <f>6*19.99%</f>
        <v>1.1994</v>
      </c>
      <c r="M265" s="18">
        <f t="shared" ref="M265:M283" si="62">SUM(I265:L265)</f>
        <v>3.1983999999999999</v>
      </c>
      <c r="N265" s="18">
        <f>IF(OR(H265="",H265="sif",H265="PM"),0,VLOOKUP(H265,[5]CU!$C$4:$H$255,6,FALSE))</f>
        <v>48</v>
      </c>
      <c r="O265" s="18">
        <f t="shared" ref="O265:R268" si="63">$N265*I265</f>
        <v>0</v>
      </c>
      <c r="P265" s="18">
        <f t="shared" si="63"/>
        <v>47.975999999999999</v>
      </c>
      <c r="Q265" s="18">
        <f t="shared" si="63"/>
        <v>47.975999999999999</v>
      </c>
      <c r="R265" s="18">
        <f t="shared" si="63"/>
        <v>57.571200000000005</v>
      </c>
      <c r="S265" s="18">
        <f>SUM(O265:R265)</f>
        <v>153.5232</v>
      </c>
      <c r="T265" s="23" t="s">
        <v>118</v>
      </c>
      <c r="U265" s="18" t="s">
        <v>330</v>
      </c>
      <c r="V265" s="18" t="str">
        <f>IF(OR($H265="",$H265="sif",$H265="PM"),"",VLOOKUP($H265,[5]CU!$C$5:$J$255,8,FALSE))</f>
        <v>5. Investissement</v>
      </c>
      <c r="W265" s="18" t="s">
        <v>98</v>
      </c>
      <c r="X265" s="18" t="s">
        <v>98</v>
      </c>
      <c r="Y265" s="19" t="s">
        <v>32</v>
      </c>
      <c r="Z265" s="18" t="str">
        <f>A265 &amp; "-" &amp; VLOOKUP(A265,[4]PROGRAMMES!$E$1:$F$7,2,FALSE)</f>
        <v>1-Accès et équité à l'enseignement général</v>
      </c>
      <c r="AA265" s="19" t="str">
        <f>B265 &amp; "-" &amp; VLOOKUP(B265,[4]SOUSPROGRAMMES!$E$1:$F$44,2,FALSE)</f>
        <v>13- Accès à l’éducation non formelle</v>
      </c>
      <c r="AB265" s="19" t="str">
        <f>C265 &amp; "-" &amp; VLOOKUP(C265,[4]RESULTATS!$E$1:$F$176,2,FALSE)</f>
        <v>133-Les capacités d’accueil d’éducation non formelle se sont accrues</v>
      </c>
      <c r="AC265" s="20" t="str">
        <f>D265 &amp; "-" &amp; VLOOKUP(D265,[4]STRATEGIES!$E$1:$F$504,2,FALSE)</f>
        <v>1331-Construction/Réhabilitation/Renovation des centres NAFA</v>
      </c>
      <c r="AD265" s="21" t="str">
        <f t="shared" si="60"/>
        <v>13312-Réhabilitation des centres existants</v>
      </c>
    </row>
    <row r="266" spans="1:30" ht="45" hidden="1" customHeight="1" x14ac:dyDescent="0.8">
      <c r="A266" s="25">
        <v>1</v>
      </c>
      <c r="B266" s="16">
        <v>13</v>
      </c>
      <c r="C266" s="16">
        <v>133</v>
      </c>
      <c r="D266" s="16">
        <v>1331</v>
      </c>
      <c r="E266" s="16">
        <v>13313</v>
      </c>
      <c r="F266" s="16" t="s">
        <v>376</v>
      </c>
      <c r="G266" s="21" t="s">
        <v>103</v>
      </c>
      <c r="H266" s="21" t="s">
        <v>377</v>
      </c>
      <c r="I266" s="19">
        <v>0</v>
      </c>
      <c r="J266" s="19"/>
      <c r="K266" s="19">
        <f>10*80%</f>
        <v>8</v>
      </c>
      <c r="L266" s="19">
        <f>11*80%</f>
        <v>8.8000000000000007</v>
      </c>
      <c r="M266" s="19">
        <f>SUM(I266:L266)</f>
        <v>16.8</v>
      </c>
      <c r="N266" s="19">
        <f>IF(OR(H266="",H266="sif",H266="PM"),0,VLOOKUP(H266,[5]CU!$C$4:$H$255,6,FALSE))</f>
        <v>320</v>
      </c>
      <c r="O266" s="19">
        <f>$N266*I266</f>
        <v>0</v>
      </c>
      <c r="P266" s="19">
        <f>$N266*J266</f>
        <v>0</v>
      </c>
      <c r="Q266" s="19">
        <f>$N266*K266</f>
        <v>2560</v>
      </c>
      <c r="R266" s="19">
        <f>$N266*L266</f>
        <v>2816</v>
      </c>
      <c r="S266" s="19">
        <f>SUM(O266:R266)</f>
        <v>5376</v>
      </c>
      <c r="T266" s="26" t="s">
        <v>169</v>
      </c>
      <c r="U266" s="19" t="s">
        <v>330</v>
      </c>
      <c r="V266" s="19" t="str">
        <f>IF(OR($H266="",$H266="sif",$H266="PM"),"",VLOOKUP($H266,[5]CU!$C$5:$J$255,8,FALSE))</f>
        <v>5. Investissement</v>
      </c>
      <c r="W266" s="19" t="s">
        <v>98</v>
      </c>
      <c r="X266" s="19" t="s">
        <v>98</v>
      </c>
      <c r="Y266" s="19" t="s">
        <v>32</v>
      </c>
      <c r="Z266" s="19" t="str">
        <f>A266 &amp; "-" &amp; VLOOKUP(A266,[4]PROGRAMMES!$E$1:$F$7,2,FALSE)</f>
        <v>1-Accès et équité à l'enseignement général</v>
      </c>
      <c r="AA266" s="19" t="str">
        <f>B266 &amp; "-" &amp; VLOOKUP(B266,[4]SOUSPROGRAMMES!$E$1:$F$44,2,FALSE)</f>
        <v>13- Accès à l’éducation non formelle</v>
      </c>
      <c r="AB266" s="19" t="str">
        <f>C266 &amp; "-" &amp; VLOOKUP(C266,[4]RESULTATS!$E$1:$F$176,2,FALSE)</f>
        <v>133-Les capacités d’accueil d’éducation non formelle se sont accrues</v>
      </c>
      <c r="AC266" s="20" t="str">
        <f>D266 &amp; "-" &amp; VLOOKUP(D266,[4]STRATEGIES!$E$1:$F$504,2,FALSE)</f>
        <v>1331-Construction/Réhabilitation/Renovation des centres NAFA</v>
      </c>
      <c r="AD266" s="21" t="str">
        <f t="shared" si="60"/>
        <v>13313-Construction de nouveaux centres Nafa</v>
      </c>
    </row>
    <row r="267" spans="1:30" s="22" customFormat="1" ht="30" hidden="1" customHeight="1" x14ac:dyDescent="0.8">
      <c r="A267" s="14">
        <v>1</v>
      </c>
      <c r="B267" s="15">
        <v>13</v>
      </c>
      <c r="C267" s="15">
        <v>133</v>
      </c>
      <c r="D267" s="15">
        <v>1331</v>
      </c>
      <c r="E267" s="15">
        <v>13313</v>
      </c>
      <c r="F267" s="16" t="s">
        <v>376</v>
      </c>
      <c r="G267" s="21" t="s">
        <v>103</v>
      </c>
      <c r="H267" s="17" t="s">
        <v>377</v>
      </c>
      <c r="I267" s="18">
        <v>0</v>
      </c>
      <c r="J267" s="18"/>
      <c r="K267" s="18">
        <f>10*20%</f>
        <v>2</v>
      </c>
      <c r="L267" s="18">
        <f>11*20%</f>
        <v>2.2000000000000002</v>
      </c>
      <c r="M267" s="18">
        <f t="shared" si="62"/>
        <v>4.2</v>
      </c>
      <c r="N267" s="18">
        <f>IF(OR(H267="",H267="sif",H267="PM"),0,VLOOKUP(H267,[5]CU!$C$4:$H$255,6,FALSE))</f>
        <v>320</v>
      </c>
      <c r="O267" s="18">
        <f t="shared" si="63"/>
        <v>0</v>
      </c>
      <c r="P267" s="18">
        <f t="shared" si="63"/>
        <v>0</v>
      </c>
      <c r="Q267" s="18">
        <f t="shared" si="63"/>
        <v>640</v>
      </c>
      <c r="R267" s="18">
        <f t="shared" si="63"/>
        <v>704</v>
      </c>
      <c r="S267" s="18">
        <f>SUM(O267:R267)</f>
        <v>1344</v>
      </c>
      <c r="T267" s="23" t="s">
        <v>118</v>
      </c>
      <c r="U267" s="18" t="s">
        <v>330</v>
      </c>
      <c r="V267" s="18" t="str">
        <f>IF(OR($H267="",$H267="sif",$H267="PM"),"",VLOOKUP($H267,[5]CU!$C$5:$J$255,8,FALSE))</f>
        <v>5. Investissement</v>
      </c>
      <c r="W267" s="18" t="s">
        <v>98</v>
      </c>
      <c r="X267" s="18" t="s">
        <v>98</v>
      </c>
      <c r="Y267" s="19" t="s">
        <v>32</v>
      </c>
      <c r="Z267" s="18" t="str">
        <f>A267 &amp; "-" &amp; VLOOKUP(A267,[4]PROGRAMMES!$E$1:$F$7,2,FALSE)</f>
        <v>1-Accès et équité à l'enseignement général</v>
      </c>
      <c r="AA267" s="19" t="str">
        <f>B267 &amp; "-" &amp; VLOOKUP(B267,[4]SOUSPROGRAMMES!$E$1:$F$44,2,FALSE)</f>
        <v>13- Accès à l’éducation non formelle</v>
      </c>
      <c r="AB267" s="19" t="str">
        <f>C267 &amp; "-" &amp; VLOOKUP(C267,[4]RESULTATS!$E$1:$F$176,2,FALSE)</f>
        <v>133-Les capacités d’accueil d’éducation non formelle se sont accrues</v>
      </c>
      <c r="AC267" s="20" t="str">
        <f>D267 &amp; "-" &amp; VLOOKUP(D267,[4]STRATEGIES!$E$1:$F$504,2,FALSE)</f>
        <v>1331-Construction/Réhabilitation/Renovation des centres NAFA</v>
      </c>
      <c r="AD267" s="21" t="str">
        <f t="shared" si="60"/>
        <v>13313-Construction de nouveaux centres Nafa</v>
      </c>
    </row>
    <row r="268" spans="1:30" ht="45" hidden="1" customHeight="1" x14ac:dyDescent="0.8">
      <c r="A268" s="25">
        <v>1</v>
      </c>
      <c r="B268" s="16">
        <v>13</v>
      </c>
      <c r="C268" s="16">
        <v>133</v>
      </c>
      <c r="D268" s="16">
        <v>1331</v>
      </c>
      <c r="E268" s="16">
        <v>13314</v>
      </c>
      <c r="F268" s="16" t="s">
        <v>378</v>
      </c>
      <c r="G268" s="21" t="s">
        <v>109</v>
      </c>
      <c r="H268" s="21" t="s">
        <v>110</v>
      </c>
      <c r="I268" s="19">
        <v>0</v>
      </c>
      <c r="J268" s="19">
        <f>J267</f>
        <v>0</v>
      </c>
      <c r="K268" s="19">
        <f>K267+K265</f>
        <v>2.9994999999999998</v>
      </c>
      <c r="L268" s="19">
        <f>L267+L265</f>
        <v>3.3994</v>
      </c>
      <c r="M268" s="19">
        <f t="shared" si="62"/>
        <v>6.3988999999999994</v>
      </c>
      <c r="N268" s="19">
        <f>IF(OR(H268="",H268="sif",H268="PM"),0,VLOOKUP(H268,[5]CU!$C$4:$H$255,6,FALSE))</f>
        <v>7.1760000000000002</v>
      </c>
      <c r="O268" s="19">
        <f t="shared" si="63"/>
        <v>0</v>
      </c>
      <c r="P268" s="19">
        <f t="shared" si="63"/>
        <v>0</v>
      </c>
      <c r="Q268" s="19">
        <f>$N268*K268</f>
        <v>21.524411999999998</v>
      </c>
      <c r="R268" s="19">
        <f t="shared" si="63"/>
        <v>24.3940944</v>
      </c>
      <c r="S268" s="19">
        <f>SUM(O268:R268)</f>
        <v>45.918506399999998</v>
      </c>
      <c r="T268" s="26" t="s">
        <v>169</v>
      </c>
      <c r="U268" s="19" t="s">
        <v>330</v>
      </c>
      <c r="V268" s="19" t="str">
        <f>IF(OR($H268="",$H268="sif",$H268="PM"),"",VLOOKUP($H268,[5]CU!$C$5:$J$255,8,FALSE))</f>
        <v>3. Dépenses de fonctionnement</v>
      </c>
      <c r="W268" s="19" t="s">
        <v>98</v>
      </c>
      <c r="X268" s="19" t="s">
        <v>179</v>
      </c>
      <c r="Y268" s="19" t="s">
        <v>32</v>
      </c>
      <c r="Z268" s="19" t="str">
        <f>A268 &amp; "-" &amp; VLOOKUP(A268,[4]PROGRAMMES!$E$1:$F$7,2,FALSE)</f>
        <v>1-Accès et équité à l'enseignement général</v>
      </c>
      <c r="AA268" s="19" t="str">
        <f>B268 &amp; "-" &amp; VLOOKUP(B268,[4]SOUSPROGRAMMES!$E$1:$F$44,2,FALSE)</f>
        <v>13- Accès à l’éducation non formelle</v>
      </c>
      <c r="AB268" s="19" t="str">
        <f>C268 &amp; "-" &amp; VLOOKUP(C268,[4]RESULTATS!$E$1:$F$176,2,FALSE)</f>
        <v>133-Les capacités d’accueil d’éducation non formelle se sont accrues</v>
      </c>
      <c r="AC268" s="20" t="str">
        <f>D268 &amp; "-" &amp; VLOOKUP(D268,[4]STRATEGIES!$E$1:$F$504,2,FALSE)</f>
        <v>1331-Construction/Réhabilitation/Renovation des centres NAFA</v>
      </c>
      <c r="AD268" s="21" t="str">
        <f t="shared" si="60"/>
        <v>13314-Supervision des travaux de construction/réhabilitation des centres Nafa</v>
      </c>
    </row>
    <row r="269" spans="1:30" s="22" customFormat="1" ht="30" hidden="1" customHeight="1" x14ac:dyDescent="0.8">
      <c r="A269" s="14">
        <v>1</v>
      </c>
      <c r="B269" s="15">
        <v>13</v>
      </c>
      <c r="C269" s="15">
        <v>133</v>
      </c>
      <c r="D269" s="15">
        <v>1332</v>
      </c>
      <c r="E269" s="15">
        <v>1332</v>
      </c>
      <c r="F269" s="16" t="s">
        <v>379</v>
      </c>
      <c r="G269" s="17"/>
      <c r="H269" s="17"/>
      <c r="I269" s="18">
        <v>0</v>
      </c>
      <c r="J269" s="18"/>
      <c r="K269" s="18"/>
      <c r="L269" s="18"/>
      <c r="M269" s="18"/>
      <c r="N269" s="18"/>
      <c r="O269" s="18"/>
      <c r="P269" s="18"/>
      <c r="Q269" s="18"/>
      <c r="R269" s="18"/>
      <c r="S269" s="18"/>
      <c r="T269" s="18"/>
      <c r="U269" s="18"/>
      <c r="V269" s="18"/>
      <c r="W269" s="18"/>
      <c r="X269" s="18"/>
      <c r="Y269" s="19" t="s">
        <v>32</v>
      </c>
      <c r="Z269" s="18" t="str">
        <f>A269 &amp; "-" &amp; VLOOKUP(A269,[4]PROGRAMMES!$E$1:$F$7,2,FALSE)</f>
        <v>1-Accès et équité à l'enseignement général</v>
      </c>
      <c r="AA269" s="19" t="str">
        <f>B269 &amp; "-" &amp; VLOOKUP(B269,[4]SOUSPROGRAMMES!$E$1:$F$44,2,FALSE)</f>
        <v>13- Accès à l’éducation non formelle</v>
      </c>
      <c r="AB269" s="19" t="str">
        <f>C269 &amp; "-" &amp; VLOOKUP(C269,[4]RESULTATS!$E$1:$F$176,2,FALSE)</f>
        <v>133-Les capacités d’accueil d’éducation non formelle se sont accrues</v>
      </c>
      <c r="AC269" s="20" t="str">
        <f>D269 &amp; "-" &amp; VLOOKUP(D269,[4]STRATEGIES!$E$1:$F$504,2,FALSE)</f>
        <v>1332-Dotation des centres NAFA en équipements et mobilier</v>
      </c>
      <c r="AD269" s="21" t="str">
        <f t="shared" si="60"/>
        <v>1332-Dotation des centres NAFA en équipements et mobilier</v>
      </c>
    </row>
    <row r="270" spans="1:30" ht="45" hidden="1" customHeight="1" x14ac:dyDescent="0.8">
      <c r="A270" s="25">
        <v>1</v>
      </c>
      <c r="B270" s="16">
        <v>13</v>
      </c>
      <c r="C270" s="16">
        <v>133</v>
      </c>
      <c r="D270" s="16">
        <v>1332</v>
      </c>
      <c r="E270" s="16">
        <v>13321</v>
      </c>
      <c r="F270" s="16" t="s">
        <v>380</v>
      </c>
      <c r="G270" s="21" t="s">
        <v>88</v>
      </c>
      <c r="H270" s="21" t="s">
        <v>55</v>
      </c>
      <c r="I270" s="19">
        <v>0</v>
      </c>
      <c r="J270" s="19">
        <v>1</v>
      </c>
      <c r="K270" s="19"/>
      <c r="L270" s="19"/>
      <c r="M270" s="19">
        <f t="shared" si="62"/>
        <v>1</v>
      </c>
      <c r="N270" s="19">
        <f>IF(OR(H270="",H270="sif",H270="PM"),0,VLOOKUP(H270,[5]CU!$C$4:$H$255,6,FALSE))</f>
        <v>0</v>
      </c>
      <c r="O270" s="19"/>
      <c r="P270" s="19"/>
      <c r="Q270" s="19">
        <f t="shared" ref="Q270:Q272" si="64">$N270*K270</f>
        <v>0</v>
      </c>
      <c r="R270" s="19"/>
      <c r="S270" s="19"/>
      <c r="T270" s="26" t="s">
        <v>169</v>
      </c>
      <c r="U270" s="19" t="s">
        <v>330</v>
      </c>
      <c r="V270" s="19" t="str">
        <f>IF(OR($H270="",$H270="sif",$H270="PM"),"",VLOOKUP($H270,[5]CU!$C$5:$J$255,8,FALSE))</f>
        <v/>
      </c>
      <c r="W270" s="19" t="s">
        <v>331</v>
      </c>
      <c r="X270" s="19" t="s">
        <v>96</v>
      </c>
      <c r="Y270" s="19" t="s">
        <v>32</v>
      </c>
      <c r="Z270" s="19" t="str">
        <f>A270 &amp; "-" &amp; VLOOKUP(A270,[4]PROGRAMMES!$E$1:$F$7,2,FALSE)</f>
        <v>1-Accès et équité à l'enseignement général</v>
      </c>
      <c r="AA270" s="19" t="str">
        <f>B270 &amp; "-" &amp; VLOOKUP(B270,[4]SOUSPROGRAMMES!$E$1:$F$44,2,FALSE)</f>
        <v>13- Accès à l’éducation non formelle</v>
      </c>
      <c r="AB270" s="19" t="str">
        <f>C270 &amp; "-" &amp; VLOOKUP(C270,[4]RESULTATS!$E$1:$F$176,2,FALSE)</f>
        <v>133-Les capacités d’accueil d’éducation non formelle se sont accrues</v>
      </c>
      <c r="AC270" s="20" t="str">
        <f>D270 &amp; "-" &amp; VLOOKUP(D270,[4]STRATEGIES!$E$1:$F$504,2,FALSE)</f>
        <v>1332-Dotation des centres NAFA en équipements et mobilier</v>
      </c>
      <c r="AD270" s="21" t="str">
        <f t="shared" si="60"/>
        <v>13321-Estimation des besoins en mobilier et équipement des centres Nafa</v>
      </c>
    </row>
    <row r="271" spans="1:30" ht="45" hidden="1" customHeight="1" x14ac:dyDescent="0.8">
      <c r="A271" s="25">
        <v>1</v>
      </c>
      <c r="B271" s="16">
        <v>13</v>
      </c>
      <c r="C271" s="16">
        <v>133</v>
      </c>
      <c r="D271" s="16">
        <v>1332</v>
      </c>
      <c r="E271" s="16">
        <v>13322</v>
      </c>
      <c r="F271" s="16" t="s">
        <v>381</v>
      </c>
      <c r="G271" s="21" t="s">
        <v>382</v>
      </c>
      <c r="H271" s="21" t="s">
        <v>383</v>
      </c>
      <c r="I271" s="19">
        <v>0</v>
      </c>
      <c r="J271" s="19"/>
      <c r="K271" s="19">
        <f>K267</f>
        <v>2</v>
      </c>
      <c r="L271" s="19">
        <f>L267</f>
        <v>2.2000000000000002</v>
      </c>
      <c r="M271" s="19">
        <f t="shared" si="62"/>
        <v>4.2</v>
      </c>
      <c r="N271" s="19">
        <f>IF(OR(H271="",H271="sif",H271="PM"),0,VLOOKUP(H271,[5]CU!$C$4:$H$255,6,FALSE))</f>
        <v>10.012499999999999</v>
      </c>
      <c r="O271" s="19">
        <f t="shared" ref="O271:R273" si="65">$N271*I271</f>
        <v>0</v>
      </c>
      <c r="P271" s="19">
        <f t="shared" si="65"/>
        <v>0</v>
      </c>
      <c r="Q271" s="19">
        <f t="shared" si="64"/>
        <v>20.024999999999999</v>
      </c>
      <c r="R271" s="19">
        <f t="shared" si="65"/>
        <v>22.0275</v>
      </c>
      <c r="S271" s="19">
        <f>SUM(O271:R271)</f>
        <v>42.052499999999995</v>
      </c>
      <c r="T271" s="26" t="s">
        <v>169</v>
      </c>
      <c r="U271" s="19" t="s">
        <v>330</v>
      </c>
      <c r="V271" s="19" t="str">
        <f>IF(OR($H271="",$H271="sif",$H271="PM"),"",VLOOKUP($H271,[5]CU!$C$5:$J$255,8,FALSE))</f>
        <v>5. Investissement</v>
      </c>
      <c r="W271" s="19" t="s">
        <v>98</v>
      </c>
      <c r="X271" s="19" t="s">
        <v>98</v>
      </c>
      <c r="Y271" s="19" t="s">
        <v>32</v>
      </c>
      <c r="Z271" s="19" t="str">
        <f>A271 &amp; "-" &amp; VLOOKUP(A271,[4]PROGRAMMES!$E$1:$F$7,2,FALSE)</f>
        <v>1-Accès et équité à l'enseignement général</v>
      </c>
      <c r="AA271" s="19" t="str">
        <f>B271 &amp; "-" &amp; VLOOKUP(B271,[4]SOUSPROGRAMMES!$E$1:$F$44,2,FALSE)</f>
        <v>13- Accès à l’éducation non formelle</v>
      </c>
      <c r="AB271" s="19" t="str">
        <f>C271 &amp; "-" &amp; VLOOKUP(C271,[4]RESULTATS!$E$1:$F$176,2,FALSE)</f>
        <v>133-Les capacités d’accueil d’éducation non formelle se sont accrues</v>
      </c>
      <c r="AC271" s="20" t="str">
        <f>D271 &amp; "-" &amp; VLOOKUP(D271,[4]STRATEGIES!$E$1:$F$504,2,FALSE)</f>
        <v>1332-Dotation des centres NAFA en équipements et mobilier</v>
      </c>
      <c r="AD271" s="21" t="str">
        <f t="shared" si="60"/>
        <v>13322-Acquisition et distribution des mobiliers pour les nouveaux centres Nafa</v>
      </c>
    </row>
    <row r="272" spans="1:30" ht="45" hidden="1" customHeight="1" x14ac:dyDescent="0.8">
      <c r="A272" s="25">
        <v>1</v>
      </c>
      <c r="B272" s="16">
        <v>13</v>
      </c>
      <c r="C272" s="16">
        <v>133</v>
      </c>
      <c r="D272" s="16">
        <v>1332</v>
      </c>
      <c r="E272" s="16">
        <v>13323</v>
      </c>
      <c r="F272" s="16" t="s">
        <v>384</v>
      </c>
      <c r="G272" s="21" t="s">
        <v>385</v>
      </c>
      <c r="H272" s="21" t="s">
        <v>386</v>
      </c>
      <c r="I272" s="19">
        <v>0</v>
      </c>
      <c r="J272" s="19">
        <f>(J264+J266)*19.98%</f>
        <v>0.79929990000000017</v>
      </c>
      <c r="K272" s="19">
        <f>(K264+K266)*19.98%</f>
        <v>2.3976000000000002</v>
      </c>
      <c r="L272" s="19">
        <f>(L264+L266)*19.98%</f>
        <v>2.7173998799999999</v>
      </c>
      <c r="M272" s="19">
        <f>SUM(I272:L272)</f>
        <v>5.9142997800000003</v>
      </c>
      <c r="N272" s="19">
        <f>IF(OR(H272="",H272="sif",H272="PM"),0,VLOOKUP(H272,[5]CU!$C$4:$H$255,6,FALSE))</f>
        <v>8.3363318181818169</v>
      </c>
      <c r="O272" s="19">
        <f>$N272*I272</f>
        <v>0</v>
      </c>
      <c r="P272" s="19">
        <f>$N272*J272</f>
        <v>6.6632291886395461</v>
      </c>
      <c r="Q272" s="19">
        <f t="shared" si="64"/>
        <v>19.987189167272724</v>
      </c>
      <c r="R272" s="19">
        <f>$N272*L272</f>
        <v>22.65314708236745</v>
      </c>
      <c r="S272" s="19">
        <f>SUM(O272:R272)</f>
        <v>49.303565438279719</v>
      </c>
      <c r="T272" s="26" t="s">
        <v>169</v>
      </c>
      <c r="U272" s="19" t="s">
        <v>330</v>
      </c>
      <c r="V272" s="19" t="str">
        <f>IF(OR($H272="",$H272="sif",$H272="PM"),"",VLOOKUP($H272,[5]CU!$C$5:$J$255,8,FALSE))</f>
        <v>5. Investissement</v>
      </c>
      <c r="W272" s="19" t="s">
        <v>331</v>
      </c>
      <c r="X272" s="19" t="s">
        <v>331</v>
      </c>
      <c r="Y272" s="19" t="s">
        <v>32</v>
      </c>
      <c r="Z272" s="19" t="str">
        <f>A272 &amp; "-" &amp; VLOOKUP(A272,[4]PROGRAMMES!$E$1:$F$7,2,FALSE)</f>
        <v>1-Accès et équité à l'enseignement général</v>
      </c>
      <c r="AA272" s="19" t="str">
        <f>B272 &amp; "-" &amp; VLOOKUP(B272,[4]SOUSPROGRAMMES!$E$1:$F$44,2,FALSE)</f>
        <v>13- Accès à l’éducation non formelle</v>
      </c>
      <c r="AB272" s="19" t="str">
        <f>C272 &amp; "-" &amp; VLOOKUP(C272,[4]RESULTATS!$E$1:$F$176,2,FALSE)</f>
        <v>133-Les capacités d’accueil d’éducation non formelle se sont accrues</v>
      </c>
      <c r="AC272" s="20" t="str">
        <f>D272 &amp; "-" &amp; VLOOKUP(D272,[4]STRATEGIES!$E$1:$F$504,2,FALSE)</f>
        <v>1332-Dotation des centres NAFA en équipements et mobilier</v>
      </c>
      <c r="AD272" s="21" t="str">
        <f t="shared" si="60"/>
        <v>13323-Acquisition et distribution des équipements pour les centres Nafa</v>
      </c>
    </row>
    <row r="273" spans="1:30" s="22" customFormat="1" ht="30" hidden="1" customHeight="1" x14ac:dyDescent="0.8">
      <c r="A273" s="14">
        <v>1</v>
      </c>
      <c r="B273" s="15">
        <v>13</v>
      </c>
      <c r="C273" s="15">
        <v>133</v>
      </c>
      <c r="D273" s="15">
        <v>1332</v>
      </c>
      <c r="E273" s="15">
        <v>13323</v>
      </c>
      <c r="F273" s="16" t="s">
        <v>384</v>
      </c>
      <c r="G273" s="21" t="s">
        <v>385</v>
      </c>
      <c r="H273" s="17" t="s">
        <v>386</v>
      </c>
      <c r="I273" s="18">
        <v>0</v>
      </c>
      <c r="J273" s="18">
        <f>(J264+J266)*80.02%</f>
        <v>3.2012001000000003</v>
      </c>
      <c r="K273" s="18">
        <f>(K264+K266)*80.02%</f>
        <v>9.6023999999999994</v>
      </c>
      <c r="L273" s="18">
        <f>(L264+L266)*80.02%</f>
        <v>10.88320012</v>
      </c>
      <c r="M273" s="18">
        <f t="shared" si="62"/>
        <v>23.686800220000002</v>
      </c>
      <c r="N273" s="18">
        <f>IF(OR(H273="",H273="sif",H273="PM"),0,VLOOKUP(H273,[5]CU!$C$4:$H$255,6,FALSE))</f>
        <v>8.3363318181818169</v>
      </c>
      <c r="O273" s="18">
        <f t="shared" si="65"/>
        <v>0</v>
      </c>
      <c r="P273" s="18">
        <f t="shared" si="65"/>
        <v>26.686266249996816</v>
      </c>
      <c r="Q273" s="18">
        <f t="shared" si="65"/>
        <v>80.048792650909078</v>
      </c>
      <c r="R273" s="18">
        <f t="shared" si="65"/>
        <v>90.725967443996169</v>
      </c>
      <c r="S273" s="18">
        <f>SUM(O273:R273)</f>
        <v>197.46102634490205</v>
      </c>
      <c r="T273" s="23" t="s">
        <v>118</v>
      </c>
      <c r="U273" s="18" t="s">
        <v>330</v>
      </c>
      <c r="V273" s="18" t="str">
        <f>IF(OR($H273="",$H273="sif",$H273="PM"),"",VLOOKUP($H273,[5]CU!$C$5:$J$255,8,FALSE))</f>
        <v>5. Investissement</v>
      </c>
      <c r="W273" s="18" t="s">
        <v>331</v>
      </c>
      <c r="X273" s="18" t="s">
        <v>331</v>
      </c>
      <c r="Y273" s="19" t="s">
        <v>32</v>
      </c>
      <c r="Z273" s="18" t="str">
        <f>A273 &amp; "-" &amp; VLOOKUP(A273,[4]PROGRAMMES!$E$1:$F$7,2,FALSE)</f>
        <v>1-Accès et équité à l'enseignement général</v>
      </c>
      <c r="AA273" s="19" t="str">
        <f>B273 &amp; "-" &amp; VLOOKUP(B273,[4]SOUSPROGRAMMES!$E$1:$F$44,2,FALSE)</f>
        <v>13- Accès à l’éducation non formelle</v>
      </c>
      <c r="AB273" s="19" t="str">
        <f>C273 &amp; "-" &amp; VLOOKUP(C273,[4]RESULTATS!$E$1:$F$176,2,FALSE)</f>
        <v>133-Les capacités d’accueil d’éducation non formelle se sont accrues</v>
      </c>
      <c r="AC273" s="20" t="str">
        <f>D273 &amp; "-" &amp; VLOOKUP(D273,[4]STRATEGIES!$E$1:$F$504,2,FALSE)</f>
        <v>1332-Dotation des centres NAFA en équipements et mobilier</v>
      </c>
      <c r="AD273" s="21" t="str">
        <f t="shared" si="60"/>
        <v>13323-Acquisition et distribution des équipements pour les centres Nafa</v>
      </c>
    </row>
    <row r="274" spans="1:30" ht="45" hidden="1" customHeight="1" x14ac:dyDescent="0.8">
      <c r="A274" s="25">
        <v>1</v>
      </c>
      <c r="B274" s="16">
        <v>13</v>
      </c>
      <c r="C274" s="16">
        <v>133</v>
      </c>
      <c r="D274" s="16">
        <v>1332</v>
      </c>
      <c r="E274" s="16">
        <v>13324</v>
      </c>
      <c r="F274" s="16" t="s">
        <v>387</v>
      </c>
      <c r="G274" s="21" t="s">
        <v>159</v>
      </c>
      <c r="H274" s="21" t="s">
        <v>55</v>
      </c>
      <c r="I274" s="19">
        <v>0</v>
      </c>
      <c r="J274" s="19">
        <v>1</v>
      </c>
      <c r="K274" s="19">
        <v>1</v>
      </c>
      <c r="L274" s="19">
        <v>1</v>
      </c>
      <c r="M274" s="19">
        <f t="shared" si="62"/>
        <v>3</v>
      </c>
      <c r="N274" s="19">
        <f>IF(OR(H274="",H274="sif",H274="PM"),0,VLOOKUP(H274,[5]CU!$C$4:$H$255,6,FALSE))</f>
        <v>0</v>
      </c>
      <c r="O274" s="19"/>
      <c r="P274" s="19"/>
      <c r="Q274" s="19">
        <f>$N274*K274</f>
        <v>0</v>
      </c>
      <c r="R274" s="19"/>
      <c r="S274" s="19"/>
      <c r="T274" s="26" t="s">
        <v>169</v>
      </c>
      <c r="U274" s="19" t="s">
        <v>330</v>
      </c>
      <c r="V274" s="19" t="str">
        <f>IF(OR($H274="",$H274="sif",$H274="PM"),"",VLOOKUP($H274,[5]CU!$C$5:$J$255,8,FALSE))</f>
        <v/>
      </c>
      <c r="W274" s="19" t="s">
        <v>331</v>
      </c>
      <c r="X274" s="19" t="s">
        <v>179</v>
      </c>
      <c r="Y274" s="19" t="s">
        <v>32</v>
      </c>
      <c r="Z274" s="19" t="str">
        <f>A274 &amp; "-" &amp; VLOOKUP(A274,[4]PROGRAMMES!$E$1:$F$7,2,FALSE)</f>
        <v>1-Accès et équité à l'enseignement général</v>
      </c>
      <c r="AA274" s="19" t="str">
        <f>B274 &amp; "-" &amp; VLOOKUP(B274,[4]SOUSPROGRAMMES!$E$1:$F$44,2,FALSE)</f>
        <v>13- Accès à l’éducation non formelle</v>
      </c>
      <c r="AB274" s="19" t="str">
        <f>C274 &amp; "-" &amp; VLOOKUP(C274,[4]RESULTATS!$E$1:$F$176,2,FALSE)</f>
        <v>133-Les capacités d’accueil d’éducation non formelle se sont accrues</v>
      </c>
      <c r="AC274" s="20" t="str">
        <f>D274 &amp; "-" &amp; VLOOKUP(D274,[4]STRATEGIES!$E$1:$F$504,2,FALSE)</f>
        <v>1332-Dotation des centres NAFA en équipements et mobilier</v>
      </c>
      <c r="AD274" s="21" t="str">
        <f t="shared" si="60"/>
        <v>13324-Suivi de la distribution des mobiliers et équipements des centres Nafa</v>
      </c>
    </row>
    <row r="275" spans="1:30" s="22" customFormat="1" ht="30" hidden="1" customHeight="1" x14ac:dyDescent="0.8">
      <c r="A275" s="14">
        <v>1</v>
      </c>
      <c r="B275" s="15">
        <v>13</v>
      </c>
      <c r="C275" s="15">
        <v>133</v>
      </c>
      <c r="D275" s="15">
        <v>1333</v>
      </c>
      <c r="E275" s="15">
        <v>1333</v>
      </c>
      <c r="F275" s="16" t="s">
        <v>388</v>
      </c>
      <c r="G275" s="17"/>
      <c r="H275" s="17"/>
      <c r="I275" s="18">
        <v>0</v>
      </c>
      <c r="J275" s="18"/>
      <c r="K275" s="18"/>
      <c r="L275" s="18"/>
      <c r="M275" s="18"/>
      <c r="N275" s="18"/>
      <c r="O275" s="18"/>
      <c r="P275" s="18"/>
      <c r="Q275" s="18"/>
      <c r="R275" s="18"/>
      <c r="S275" s="18"/>
      <c r="T275" s="18"/>
      <c r="U275" s="18"/>
      <c r="V275" s="18"/>
      <c r="W275" s="18"/>
      <c r="X275" s="18"/>
      <c r="Y275" s="19" t="s">
        <v>32</v>
      </c>
      <c r="Z275" s="18" t="str">
        <f>A275 &amp; "-" &amp; VLOOKUP(A275,[4]PROGRAMMES!$E$1:$F$7,2,FALSE)</f>
        <v>1-Accès et équité à l'enseignement général</v>
      </c>
      <c r="AA275" s="19" t="str">
        <f>B275 &amp; "-" &amp; VLOOKUP(B275,[4]SOUSPROGRAMMES!$E$1:$F$44,2,FALSE)</f>
        <v>13- Accès à l’éducation non formelle</v>
      </c>
      <c r="AB275" s="19" t="str">
        <f>C275 &amp; "-" &amp; VLOOKUP(C275,[4]RESULTATS!$E$1:$F$176,2,FALSE)</f>
        <v>133-Les capacités d’accueil d’éducation non formelle se sont accrues</v>
      </c>
      <c r="AC275" s="20" t="str">
        <f>D275 &amp; "-" &amp; VLOOKUP(D275,[4]STRATEGIES!$E$1:$F$504,2,FALSE)</f>
        <v>1333-Dotation des centres NAFA en matières d'œuvre</v>
      </c>
      <c r="AD275" s="21" t="str">
        <f t="shared" si="60"/>
        <v>1333-Dotation des centres NAFA en matières d'œuvre</v>
      </c>
    </row>
    <row r="276" spans="1:30" s="22" customFormat="1" ht="30" hidden="1" customHeight="1" x14ac:dyDescent="0.8">
      <c r="A276" s="14">
        <v>1</v>
      </c>
      <c r="B276" s="15">
        <v>13</v>
      </c>
      <c r="C276" s="15">
        <v>133</v>
      </c>
      <c r="D276" s="15">
        <v>1333</v>
      </c>
      <c r="E276" s="15">
        <v>13331</v>
      </c>
      <c r="F276" s="16" t="s">
        <v>389</v>
      </c>
      <c r="G276" s="21" t="s">
        <v>390</v>
      </c>
      <c r="H276" s="17" t="s">
        <v>391</v>
      </c>
      <c r="I276" s="18">
        <v>0</v>
      </c>
      <c r="J276" s="18"/>
      <c r="K276" s="18"/>
      <c r="L276" s="18"/>
      <c r="M276" s="18">
        <f>SUM(I276:L276)</f>
        <v>0</v>
      </c>
      <c r="N276" s="18">
        <f>IF(OR(H276="",H276="sif",H276="PM"),0,VLOOKUP(H276,[5]CU!$C$4:$H$255,6,FALSE))</f>
        <v>5.75</v>
      </c>
      <c r="O276" s="18">
        <f>$N276*I276</f>
        <v>0</v>
      </c>
      <c r="P276" s="18">
        <f>$N276*J276</f>
        <v>0</v>
      </c>
      <c r="Q276" s="18">
        <f>$N276*K276</f>
        <v>0</v>
      </c>
      <c r="R276" s="18">
        <f>$N276*L276</f>
        <v>0</v>
      </c>
      <c r="S276" s="18">
        <f>SUM(O276:R276)</f>
        <v>0</v>
      </c>
      <c r="T276" s="23" t="s">
        <v>178</v>
      </c>
      <c r="U276" s="18" t="s">
        <v>330</v>
      </c>
      <c r="V276" s="18" t="str">
        <f>IF(OR($H276="",$H276="sif",$H276="PM"),"",VLOOKUP($H276,[5]CU!$C$5:$J$255,8,FALSE))</f>
        <v>3. Manuels scolaires et matériels pédagogiques</v>
      </c>
      <c r="W276" s="18" t="s">
        <v>331</v>
      </c>
      <c r="X276" s="18" t="s">
        <v>282</v>
      </c>
      <c r="Y276" s="19" t="s">
        <v>32</v>
      </c>
      <c r="Z276" s="18" t="str">
        <f>A276 &amp; "-" &amp; VLOOKUP(A276,[4]PROGRAMMES!$E$1:$F$7,2,FALSE)</f>
        <v>1-Accès et équité à l'enseignement général</v>
      </c>
      <c r="AA276" s="19" t="str">
        <f>B276 &amp; "-" &amp; VLOOKUP(B276,[4]SOUSPROGRAMMES!$E$1:$F$44,2,FALSE)</f>
        <v>13- Accès à l’éducation non formelle</v>
      </c>
      <c r="AB276" s="19" t="str">
        <f>C276 &amp; "-" &amp; VLOOKUP(C276,[4]RESULTATS!$E$1:$F$176,2,FALSE)</f>
        <v>133-Les capacités d’accueil d’éducation non formelle se sont accrues</v>
      </c>
      <c r="AC276" s="20" t="str">
        <f>D276 &amp; "-" &amp; VLOOKUP(D276,[4]STRATEGIES!$E$1:$F$504,2,FALSE)</f>
        <v>1333-Dotation des centres NAFA en matières d'œuvre</v>
      </c>
      <c r="AD276" s="21" t="str">
        <f t="shared" si="60"/>
        <v xml:space="preserve">13331-Acquisition et distribution de matières d'œuvre </v>
      </c>
    </row>
    <row r="277" spans="1:30" ht="45" hidden="1" customHeight="1" x14ac:dyDescent="0.8">
      <c r="A277" s="25">
        <v>1</v>
      </c>
      <c r="B277" s="16">
        <v>13</v>
      </c>
      <c r="C277" s="16">
        <v>133</v>
      </c>
      <c r="D277" s="16">
        <v>1333</v>
      </c>
      <c r="E277" s="16">
        <v>13331</v>
      </c>
      <c r="F277" s="16" t="s">
        <v>389</v>
      </c>
      <c r="G277" s="21" t="s">
        <v>390</v>
      </c>
      <c r="H277" s="21" t="s">
        <v>391</v>
      </c>
      <c r="I277" s="19">
        <v>0</v>
      </c>
      <c r="J277" s="19">
        <v>112</v>
      </c>
      <c r="K277" s="19">
        <f>(J277+J273)*2</f>
        <v>230.40240019999999</v>
      </c>
      <c r="L277" s="19">
        <f>K277+K273</f>
        <v>240.00480019999998</v>
      </c>
      <c r="M277" s="19">
        <f t="shared" si="62"/>
        <v>582.40720039999997</v>
      </c>
      <c r="N277" s="19">
        <f>IF(OR(H277="",H277="sif",H277="PM"),0,VLOOKUP(H277,[5]CU!$C$4:$H$255,6,FALSE))</f>
        <v>5.75</v>
      </c>
      <c r="O277" s="19">
        <f t="shared" ref="O277:R278" si="66">$N277*I277</f>
        <v>0</v>
      </c>
      <c r="P277" s="19">
        <f t="shared" si="66"/>
        <v>644</v>
      </c>
      <c r="Q277" s="19">
        <f t="shared" si="66"/>
        <v>1324.81380115</v>
      </c>
      <c r="R277" s="19">
        <f t="shared" si="66"/>
        <v>1380.0276011499998</v>
      </c>
      <c r="S277" s="19">
        <f>SUM(O277:R277)</f>
        <v>3348.8414022999996</v>
      </c>
      <c r="T277" s="26" t="s">
        <v>169</v>
      </c>
      <c r="U277" s="19" t="s">
        <v>330</v>
      </c>
      <c r="V277" s="19" t="str">
        <f>IF(OR($H277="",$H277="sif",$H277="PM"),"",VLOOKUP($H277,[5]CU!$C$5:$J$255,8,FALSE))</f>
        <v>3. Manuels scolaires et matériels pédagogiques</v>
      </c>
      <c r="W277" s="19" t="s">
        <v>331</v>
      </c>
      <c r="X277" s="19" t="s">
        <v>282</v>
      </c>
      <c r="Y277" s="19" t="s">
        <v>32</v>
      </c>
      <c r="Z277" s="19" t="str">
        <f>A277 &amp; "-" &amp; VLOOKUP(A277,[4]PROGRAMMES!$E$1:$F$7,2,FALSE)</f>
        <v>1-Accès et équité à l'enseignement général</v>
      </c>
      <c r="AA277" s="19" t="str">
        <f>B277 &amp; "-" &amp; VLOOKUP(B277,[4]SOUSPROGRAMMES!$E$1:$F$44,2,FALSE)</f>
        <v>13- Accès à l’éducation non formelle</v>
      </c>
      <c r="AB277" s="19" t="str">
        <f>C277 &amp; "-" &amp; VLOOKUP(C277,[4]RESULTATS!$E$1:$F$176,2,FALSE)</f>
        <v>133-Les capacités d’accueil d’éducation non formelle se sont accrues</v>
      </c>
      <c r="AC277" s="20" t="str">
        <f>D277 &amp; "-" &amp; VLOOKUP(D277,[4]STRATEGIES!$E$1:$F$504,2,FALSE)</f>
        <v>1333-Dotation des centres NAFA en matières d'œuvre</v>
      </c>
      <c r="AD277" s="21" t="str">
        <f t="shared" si="60"/>
        <v xml:space="preserve">13331-Acquisition et distribution de matières d'œuvre </v>
      </c>
    </row>
    <row r="278" spans="1:30" ht="45" hidden="1" customHeight="1" x14ac:dyDescent="0.8">
      <c r="A278" s="25">
        <v>1</v>
      </c>
      <c r="B278" s="16">
        <v>13</v>
      </c>
      <c r="C278" s="16">
        <v>133</v>
      </c>
      <c r="D278" s="16">
        <v>1333</v>
      </c>
      <c r="E278" s="16">
        <v>13332</v>
      </c>
      <c r="F278" s="16" t="s">
        <v>392</v>
      </c>
      <c r="G278" s="21" t="s">
        <v>58</v>
      </c>
      <c r="H278" s="21" t="s">
        <v>59</v>
      </c>
      <c r="I278" s="19">
        <v>0</v>
      </c>
      <c r="J278" s="19">
        <f>4*7*4</f>
        <v>112</v>
      </c>
      <c r="K278" s="19">
        <f>4*7*4</f>
        <v>112</v>
      </c>
      <c r="L278" s="19">
        <f>4*7*4</f>
        <v>112</v>
      </c>
      <c r="M278" s="19">
        <f t="shared" si="62"/>
        <v>336</v>
      </c>
      <c r="N278" s="19">
        <f>IF(OR(H278="",H278="sif",H278="PM"),0,VLOOKUP(H278,[5]CU!$C$4:$H$255,6,FALSE))</f>
        <v>0.8177777777777776</v>
      </c>
      <c r="O278" s="19">
        <f t="shared" si="66"/>
        <v>0</v>
      </c>
      <c r="P278" s="19">
        <f t="shared" si="66"/>
        <v>91.59111111111109</v>
      </c>
      <c r="Q278" s="19">
        <f t="shared" si="66"/>
        <v>91.59111111111109</v>
      </c>
      <c r="R278" s="19">
        <f t="shared" si="66"/>
        <v>91.59111111111109</v>
      </c>
      <c r="S278" s="19">
        <f>SUM(O278:R278)</f>
        <v>274.77333333333326</v>
      </c>
      <c r="T278" s="26" t="s">
        <v>169</v>
      </c>
      <c r="U278" s="19" t="s">
        <v>330</v>
      </c>
      <c r="V278" s="19" t="str">
        <f>IF(OR($H278="",$H278="sif",$H278="PM"),"",VLOOKUP($H278,[5]CU!$C$5:$J$255,8,FALSE))</f>
        <v>3. Dépenses de fonctionnement</v>
      </c>
      <c r="W278" s="19" t="s">
        <v>331</v>
      </c>
      <c r="X278" s="19" t="s">
        <v>331</v>
      </c>
      <c r="Y278" s="19" t="s">
        <v>32</v>
      </c>
      <c r="Z278" s="19" t="str">
        <f>A278 &amp; "-" &amp; VLOOKUP(A278,[4]PROGRAMMES!$E$1:$F$7,2,FALSE)</f>
        <v>1-Accès et équité à l'enseignement général</v>
      </c>
      <c r="AA278" s="19" t="str">
        <f>B278 &amp; "-" &amp; VLOOKUP(B278,[4]SOUSPROGRAMMES!$E$1:$F$44,2,FALSE)</f>
        <v>13- Accès à l’éducation non formelle</v>
      </c>
      <c r="AB278" s="19" t="str">
        <f>C278 &amp; "-" &amp; VLOOKUP(C278,[4]RESULTATS!$E$1:$F$176,2,FALSE)</f>
        <v>133-Les capacités d’accueil d’éducation non formelle se sont accrues</v>
      </c>
      <c r="AC278" s="20" t="str">
        <f>D278 &amp; "-" &amp; VLOOKUP(D278,[4]STRATEGIES!$E$1:$F$504,2,FALSE)</f>
        <v>1333-Dotation des centres NAFA en matières d'œuvre</v>
      </c>
      <c r="AD278" s="21" t="str">
        <f t="shared" si="60"/>
        <v>13332-Suivi/évaluation de la distribution des matières d'œuvre</v>
      </c>
    </row>
    <row r="279" spans="1:30" s="22" customFormat="1" ht="15" hidden="1" customHeight="1" x14ac:dyDescent="0.8">
      <c r="A279" s="14">
        <v>1</v>
      </c>
      <c r="B279" s="15">
        <v>14</v>
      </c>
      <c r="C279" s="15">
        <v>14</v>
      </c>
      <c r="D279" s="15">
        <v>14</v>
      </c>
      <c r="E279" s="15">
        <v>14</v>
      </c>
      <c r="F279" s="16" t="s">
        <v>393</v>
      </c>
      <c r="G279" s="17"/>
      <c r="H279" s="17"/>
      <c r="I279" s="18">
        <v>0</v>
      </c>
      <c r="J279" s="18"/>
      <c r="K279" s="18"/>
      <c r="L279" s="18"/>
      <c r="M279" s="18"/>
      <c r="N279" s="18"/>
      <c r="O279" s="18"/>
      <c r="P279" s="18"/>
      <c r="Q279" s="18"/>
      <c r="R279" s="18"/>
      <c r="S279" s="18"/>
      <c r="T279" s="18"/>
      <c r="U279" s="18"/>
      <c r="V279" s="18"/>
      <c r="W279" s="18"/>
      <c r="X279" s="18"/>
      <c r="Y279" s="19" t="s">
        <v>32</v>
      </c>
      <c r="Z279" s="18" t="str">
        <f>A279 &amp; "-" &amp; VLOOKUP(A279,[4]PROGRAMMES!$E$1:$F$7,2,FALSE)</f>
        <v>1-Accès et équité à l'enseignement général</v>
      </c>
      <c r="AA279" s="19" t="str">
        <f>B279 &amp; "-" &amp; VLOOKUP(B279,[4]SOUSPROGRAMMES!$E$1:$F$44,2,FALSE)</f>
        <v>14- Accès et équité au collège</v>
      </c>
      <c r="AB279" s="19" t="str">
        <f>C279 &amp; "-" &amp; VLOOKUP(C279,[4]RESULTATS!$E$1:$F$176,2,FALSE)</f>
        <v>14- Accès et équité au collège</v>
      </c>
      <c r="AC279" s="20" t="str">
        <f>D279 &amp; "-" &amp; VLOOKUP(D279,[4]STRATEGIES!$E$1:$F$504,2,FALSE)</f>
        <v>14- Accès et équité au collège</v>
      </c>
      <c r="AD279" s="21" t="str">
        <f t="shared" si="60"/>
        <v>14- Accès et équité au collège</v>
      </c>
    </row>
    <row r="280" spans="1:30" s="22" customFormat="1" ht="45" hidden="1" customHeight="1" x14ac:dyDescent="0.8">
      <c r="A280" s="14">
        <v>1</v>
      </c>
      <c r="B280" s="15">
        <v>14</v>
      </c>
      <c r="C280" s="15">
        <v>141</v>
      </c>
      <c r="D280" s="15">
        <v>141</v>
      </c>
      <c r="E280" s="15">
        <v>141</v>
      </c>
      <c r="F280" s="16" t="s">
        <v>394</v>
      </c>
      <c r="G280" s="17"/>
      <c r="H280" s="17"/>
      <c r="I280" s="18">
        <v>0</v>
      </c>
      <c r="J280" s="18"/>
      <c r="K280" s="18"/>
      <c r="L280" s="18"/>
      <c r="M280" s="18"/>
      <c r="N280" s="18"/>
      <c r="O280" s="18"/>
      <c r="P280" s="18"/>
      <c r="Q280" s="18"/>
      <c r="R280" s="18"/>
      <c r="S280" s="18"/>
      <c r="T280" s="18"/>
      <c r="U280" s="18"/>
      <c r="V280" s="18"/>
      <c r="W280" s="18"/>
      <c r="X280" s="18"/>
      <c r="Y280" s="19" t="s">
        <v>32</v>
      </c>
      <c r="Z280" s="18" t="str">
        <f>A280 &amp; "-" &amp; VLOOKUP(A280,[4]PROGRAMMES!$E$1:$F$7,2,FALSE)</f>
        <v>1-Accès et équité à l'enseignement général</v>
      </c>
      <c r="AA280" s="19" t="str">
        <f>B280 &amp; "-" &amp; VLOOKUP(B280,[4]SOUSPROGRAMMES!$E$1:$F$44,2,FALSE)</f>
        <v>14- Accès et équité au collège</v>
      </c>
      <c r="AB280" s="19" t="str">
        <f>C280 &amp; "-" &amp; VLOOKUP(C280,[4]RESULTATS!$E$1:$F$176,2,FALSE)</f>
        <v>141- L’accès au collège est amélioré en tenant compte de l’équité et de l’élargissement de l’éducation de base</v>
      </c>
      <c r="AC280" s="20" t="str">
        <f>D280 &amp; "-" &amp; VLOOKUP(D280,[4]STRATEGIES!$E$1:$F$504,2,FALSE)</f>
        <v>141- L’accès au collège est amélioré en tenant compte de l’équité et de l’élargissement de l’éducation de base</v>
      </c>
      <c r="AD280" s="21" t="str">
        <f t="shared" si="60"/>
        <v>141- L’accès au collège est amélioré en tenant compte de l’équité et de l’élargissement de l’éducation de base</v>
      </c>
    </row>
    <row r="281" spans="1:30" s="22" customFormat="1" ht="45" hidden="1" customHeight="1" x14ac:dyDescent="0.8">
      <c r="A281" s="14">
        <v>1</v>
      </c>
      <c r="B281" s="15">
        <v>14</v>
      </c>
      <c r="C281" s="15">
        <v>141</v>
      </c>
      <c r="D281" s="15">
        <v>1411</v>
      </c>
      <c r="E281" s="15">
        <v>1411</v>
      </c>
      <c r="F281" s="16" t="s">
        <v>395</v>
      </c>
      <c r="G281" s="17"/>
      <c r="H281" s="17"/>
      <c r="I281" s="18">
        <v>0</v>
      </c>
      <c r="J281" s="18"/>
      <c r="K281" s="18"/>
      <c r="L281" s="18"/>
      <c r="M281" s="18"/>
      <c r="N281" s="18"/>
      <c r="O281" s="18"/>
      <c r="P281" s="18"/>
      <c r="Q281" s="18"/>
      <c r="R281" s="18"/>
      <c r="S281" s="18"/>
      <c r="T281" s="18"/>
      <c r="U281" s="18"/>
      <c r="V281" s="18"/>
      <c r="W281" s="18"/>
      <c r="X281" s="18"/>
      <c r="Y281" s="19" t="s">
        <v>32</v>
      </c>
      <c r="Z281" s="18" t="str">
        <f>A281 &amp; "-" &amp; VLOOKUP(A281,[4]PROGRAMMES!$E$1:$F$7,2,FALSE)</f>
        <v>1-Accès et équité à l'enseignement général</v>
      </c>
      <c r="AA281" s="19" t="str">
        <f>B281 &amp; "-" &amp; VLOOKUP(B281,[4]SOUSPROGRAMMES!$E$1:$F$44,2,FALSE)</f>
        <v>14- Accès et équité au collège</v>
      </c>
      <c r="AB281" s="19" t="str">
        <f>C281 &amp; "-" &amp; VLOOKUP(C281,[4]RESULTATS!$E$1:$F$176,2,FALSE)</f>
        <v>141- L’accès au collège est amélioré en tenant compte de l’équité et de l’élargissement de l’éducation de base</v>
      </c>
      <c r="AC281" s="20" t="str">
        <f>D281 &amp; "-" &amp; VLOOKUP(D281,[4]STRATEGIES!$E$1:$F$504,2,FALSE)</f>
        <v>1411-Réorganisation du collège (tronc commun, collège de proximité etc)</v>
      </c>
      <c r="AD281" s="21" t="str">
        <f t="shared" si="60"/>
        <v>1411-Réorganisation du collège (tronc commun, collège de proximité etc)</v>
      </c>
    </row>
    <row r="282" spans="1:30" s="22" customFormat="1" ht="45" hidden="1" customHeight="1" x14ac:dyDescent="0.8">
      <c r="A282" s="14">
        <v>1</v>
      </c>
      <c r="B282" s="15">
        <v>14</v>
      </c>
      <c r="C282" s="15">
        <v>141</v>
      </c>
      <c r="D282" s="15">
        <v>1411</v>
      </c>
      <c r="E282" s="15">
        <v>14111</v>
      </c>
      <c r="F282" s="16" t="s">
        <v>396</v>
      </c>
      <c r="G282" s="21" t="s">
        <v>88</v>
      </c>
      <c r="H282" s="17" t="s">
        <v>55</v>
      </c>
      <c r="I282" s="18">
        <v>0</v>
      </c>
      <c r="J282" s="18">
        <v>1</v>
      </c>
      <c r="K282" s="18"/>
      <c r="L282" s="18"/>
      <c r="M282" s="18">
        <f t="shared" si="62"/>
        <v>1</v>
      </c>
      <c r="N282" s="18">
        <f>IF(OR(H282="",H282="sif",H282="PM"),0,VLOOKUP(H282,[5]CU!$C$4:$H$255,6,FALSE))</f>
        <v>0</v>
      </c>
      <c r="O282" s="18"/>
      <c r="P282" s="18"/>
      <c r="Q282" s="18"/>
      <c r="R282" s="18"/>
      <c r="S282" s="18"/>
      <c r="T282" s="23" t="s">
        <v>56</v>
      </c>
      <c r="U282" s="18" t="s">
        <v>397</v>
      </c>
      <c r="V282" s="18" t="str">
        <f>IF(OR($H282="",$H282="sif",$H282="PM"),"",VLOOKUP($H282,[5]CU!$C$5:$J$255,8,FALSE))</f>
        <v/>
      </c>
      <c r="W282" s="18" t="s">
        <v>398</v>
      </c>
      <c r="X282" s="18" t="s">
        <v>398</v>
      </c>
      <c r="Y282" s="19" t="s">
        <v>32</v>
      </c>
      <c r="Z282" s="18" t="str">
        <f>A282 &amp; "-" &amp; VLOOKUP(A282,[4]PROGRAMMES!$E$1:$F$7,2,FALSE)</f>
        <v>1-Accès et équité à l'enseignement général</v>
      </c>
      <c r="AA282" s="19" t="str">
        <f>B282 &amp; "-" &amp; VLOOKUP(B282,[4]SOUSPROGRAMMES!$E$1:$F$44,2,FALSE)</f>
        <v>14- Accès et équité au collège</v>
      </c>
      <c r="AB282" s="19" t="str">
        <f>C282 &amp; "-" &amp; VLOOKUP(C282,[4]RESULTATS!$E$1:$F$176,2,FALSE)</f>
        <v>141- L’accès au collège est amélioré en tenant compte de l’équité et de l’élargissement de l’éducation de base</v>
      </c>
      <c r="AC282" s="20" t="str">
        <f>D282 &amp; "-" &amp; VLOOKUP(D282,[4]STRATEGIES!$E$1:$F$504,2,FALSE)</f>
        <v>1411-Réorganisation du collège (tronc commun, collège de proximité etc)</v>
      </c>
      <c r="AD282" s="21" t="str">
        <f t="shared" si="60"/>
        <v>14111-Révision des textes de fonctionnement des collèges</v>
      </c>
    </row>
    <row r="283" spans="1:30" ht="45" hidden="1" customHeight="1" x14ac:dyDescent="0.8">
      <c r="A283" s="25">
        <v>1</v>
      </c>
      <c r="B283" s="16">
        <v>14</v>
      </c>
      <c r="C283" s="16">
        <v>141</v>
      </c>
      <c r="D283" s="16">
        <v>1411</v>
      </c>
      <c r="E283" s="16">
        <v>14112</v>
      </c>
      <c r="F283" s="16" t="s">
        <v>399</v>
      </c>
      <c r="G283" s="21" t="s">
        <v>37</v>
      </c>
      <c r="H283" s="21" t="s">
        <v>38</v>
      </c>
      <c r="I283" s="19">
        <v>0</v>
      </c>
      <c r="J283" s="19">
        <f>18*8*3</f>
        <v>432</v>
      </c>
      <c r="K283" s="19"/>
      <c r="L283" s="19"/>
      <c r="M283" s="19">
        <f t="shared" si="62"/>
        <v>432</v>
      </c>
      <c r="N283" s="19">
        <f>IF(OR(H283="",H283="sif",H283="PM"),0,VLOOKUP(H283,[5]CU!$C$4:$H$255,6,FALSE))</f>
        <v>0.3133333333333333</v>
      </c>
      <c r="O283" s="19">
        <f>$N283*I283</f>
        <v>0</v>
      </c>
      <c r="P283" s="19">
        <f>$N283*J283</f>
        <v>135.35999999999999</v>
      </c>
      <c r="Q283" s="19">
        <f>$N283*K283</f>
        <v>0</v>
      </c>
      <c r="R283" s="19">
        <f>$N283*L283</f>
        <v>0</v>
      </c>
      <c r="S283" s="19">
        <f>SUM(O283:R283)</f>
        <v>135.35999999999999</v>
      </c>
      <c r="T283" s="26" t="s">
        <v>169</v>
      </c>
      <c r="U283" s="19" t="s">
        <v>397</v>
      </c>
      <c r="V283" s="19" t="str">
        <f>IF(OR($H283="",$H283="sif",$H283="PM"),"",VLOOKUP($H283,[5]CU!$C$5:$J$255,8,FALSE))</f>
        <v>3. Formation</v>
      </c>
      <c r="W283" s="19" t="s">
        <v>398</v>
      </c>
      <c r="X283" s="19" t="s">
        <v>398</v>
      </c>
      <c r="Y283" s="19" t="s">
        <v>32</v>
      </c>
      <c r="Z283" s="19" t="str">
        <f>A283 &amp; "-" &amp; VLOOKUP(A283,[4]PROGRAMMES!$E$1:$F$7,2,FALSE)</f>
        <v>1-Accès et équité à l'enseignement général</v>
      </c>
      <c r="AA283" s="19" t="str">
        <f>B283 &amp; "-" &amp; VLOOKUP(B283,[4]SOUSPROGRAMMES!$E$1:$F$44,2,FALSE)</f>
        <v>14- Accès et équité au collège</v>
      </c>
      <c r="AB283" s="19" t="str">
        <f>C283 &amp; "-" &amp; VLOOKUP(C283,[4]RESULTATS!$E$1:$F$176,2,FALSE)</f>
        <v>141- L’accès au collège est amélioré en tenant compte de l’équité et de l’élargissement de l’éducation de base</v>
      </c>
      <c r="AC283" s="20" t="str">
        <f>D283 &amp; "-" &amp; VLOOKUP(D283,[4]STRATEGIES!$E$1:$F$504,2,FALSE)</f>
        <v>1411-Réorganisation du collège (tronc commun, collège de proximité etc)</v>
      </c>
      <c r="AD283" s="21" t="str">
        <f t="shared" si="60"/>
        <v>14112-Diffusion et partage des nouveaux textes</v>
      </c>
    </row>
    <row r="284" spans="1:30" s="22" customFormat="1" ht="45" hidden="1" customHeight="1" x14ac:dyDescent="0.8">
      <c r="A284" s="14">
        <v>1</v>
      </c>
      <c r="B284" s="15">
        <v>14</v>
      </c>
      <c r="C284" s="15">
        <v>141</v>
      </c>
      <c r="D284" s="15">
        <v>1411</v>
      </c>
      <c r="E284" s="15">
        <v>14113</v>
      </c>
      <c r="F284" s="16" t="s">
        <v>400</v>
      </c>
      <c r="G284" s="21" t="s">
        <v>159</v>
      </c>
      <c r="H284" s="17" t="s">
        <v>55</v>
      </c>
      <c r="I284" s="18">
        <v>0</v>
      </c>
      <c r="J284" s="18"/>
      <c r="K284" s="18"/>
      <c r="L284" s="18"/>
      <c r="M284" s="18"/>
      <c r="N284" s="18">
        <f>IF(OR(H284="",H284="sif",H284="PM"),0,VLOOKUP(H284,[5]CU!$C$4:$H$255,6,FALSE))</f>
        <v>0</v>
      </c>
      <c r="O284" s="18"/>
      <c r="P284" s="18"/>
      <c r="Q284" s="18"/>
      <c r="R284" s="18"/>
      <c r="S284" s="18"/>
      <c r="T284" s="23" t="s">
        <v>56</v>
      </c>
      <c r="U284" s="18" t="s">
        <v>397</v>
      </c>
      <c r="V284" s="18" t="str">
        <f>IF(OR($H284="",$H284="sif",$H284="PM"),"",VLOOKUP($H284,[5]CU!$C$5:$J$255,8,FALSE))</f>
        <v/>
      </c>
      <c r="W284" s="18" t="s">
        <v>398</v>
      </c>
      <c r="X284" s="18" t="s">
        <v>347</v>
      </c>
      <c r="Y284" s="19" t="s">
        <v>32</v>
      </c>
      <c r="Z284" s="18" t="str">
        <f>A284 &amp; "-" &amp; VLOOKUP(A284,[4]PROGRAMMES!$E$1:$F$7,2,FALSE)</f>
        <v>1-Accès et équité à l'enseignement général</v>
      </c>
      <c r="AA284" s="19" t="str">
        <f>B284 &amp; "-" &amp; VLOOKUP(B284,[4]SOUSPROGRAMMES!$E$1:$F$44,2,FALSE)</f>
        <v>14- Accès et équité au collège</v>
      </c>
      <c r="AB284" s="19" t="str">
        <f>C284 &amp; "-" &amp; VLOOKUP(C284,[4]RESULTATS!$E$1:$F$176,2,FALSE)</f>
        <v>141- L’accès au collège est amélioré en tenant compte de l’équité et de l’élargissement de l’éducation de base</v>
      </c>
      <c r="AC284" s="20" t="str">
        <f>D284 &amp; "-" &amp; VLOOKUP(D284,[4]STRATEGIES!$E$1:$F$504,2,FALSE)</f>
        <v>1411-Réorganisation du collège (tronc commun, collège de proximité etc)</v>
      </c>
      <c r="AD284" s="21" t="str">
        <f t="shared" si="60"/>
        <v>14113-Adaptation des curricula des collèges (voir qualité)</v>
      </c>
    </row>
    <row r="285" spans="1:30" s="22" customFormat="1" ht="45" hidden="1" customHeight="1" x14ac:dyDescent="0.8">
      <c r="A285" s="14">
        <v>1</v>
      </c>
      <c r="B285" s="15">
        <v>14</v>
      </c>
      <c r="C285" s="15">
        <v>141</v>
      </c>
      <c r="D285" s="15">
        <v>1411</v>
      </c>
      <c r="E285" s="15">
        <v>14114</v>
      </c>
      <c r="F285" s="16" t="s">
        <v>401</v>
      </c>
      <c r="G285" s="21" t="s">
        <v>54</v>
      </c>
      <c r="H285" s="17" t="s">
        <v>55</v>
      </c>
      <c r="I285" s="18">
        <v>0</v>
      </c>
      <c r="J285" s="18"/>
      <c r="K285" s="18">
        <v>1</v>
      </c>
      <c r="L285" s="18"/>
      <c r="M285" s="18">
        <f>SUM(I285:L285)</f>
        <v>1</v>
      </c>
      <c r="N285" s="18">
        <f>IF(OR(H285="",H285="sif",H285="PM"),0,VLOOKUP(H285,[5]CU!$C$4:$H$255,6,FALSE))</f>
        <v>0</v>
      </c>
      <c r="O285" s="18"/>
      <c r="P285" s="18"/>
      <c r="Q285" s="18"/>
      <c r="R285" s="18"/>
      <c r="S285" s="18"/>
      <c r="T285" s="23" t="s">
        <v>56</v>
      </c>
      <c r="U285" s="18" t="s">
        <v>397</v>
      </c>
      <c r="V285" s="18" t="str">
        <f>IF(OR($H285="",$H285="sif",$H285="PM"),"",VLOOKUP($H285,[5]CU!$C$5:$J$255,8,FALSE))</f>
        <v/>
      </c>
      <c r="W285" s="18" t="s">
        <v>398</v>
      </c>
      <c r="X285" s="18" t="s">
        <v>398</v>
      </c>
      <c r="Y285" s="19" t="s">
        <v>32</v>
      </c>
      <c r="Z285" s="18" t="str">
        <f>A285 &amp; "-" &amp; VLOOKUP(A285,[4]PROGRAMMES!$E$1:$F$7,2,FALSE)</f>
        <v>1-Accès et équité à l'enseignement général</v>
      </c>
      <c r="AA285" s="19" t="str">
        <f>B285 &amp; "-" &amp; VLOOKUP(B285,[4]SOUSPROGRAMMES!$E$1:$F$44,2,FALSE)</f>
        <v>14- Accès et équité au collège</v>
      </c>
      <c r="AB285" s="19" t="str">
        <f>C285 &amp; "-" &amp; VLOOKUP(C285,[4]RESULTATS!$E$1:$F$176,2,FALSE)</f>
        <v>141- L’accès au collège est amélioré en tenant compte de l’équité et de l’élargissement de l’éducation de base</v>
      </c>
      <c r="AC285" s="20" t="str">
        <f>D285 &amp; "-" &amp; VLOOKUP(D285,[4]STRATEGIES!$E$1:$F$504,2,FALSE)</f>
        <v>1411-Réorganisation du collège (tronc commun, collège de proximité etc)</v>
      </c>
      <c r="AD285" s="21" t="str">
        <f t="shared" si="60"/>
        <v>14114-Introduction progressive de l'apprentissage des métiers traditionnels locaux au collège</v>
      </c>
    </row>
    <row r="286" spans="1:30" s="22" customFormat="1" ht="45" hidden="1" customHeight="1" x14ac:dyDescent="0.8">
      <c r="A286" s="14">
        <v>1</v>
      </c>
      <c r="B286" s="15">
        <v>14</v>
      </c>
      <c r="C286" s="15">
        <v>141</v>
      </c>
      <c r="D286" s="15">
        <v>1411</v>
      </c>
      <c r="E286" s="15">
        <v>14115</v>
      </c>
      <c r="F286" s="16" t="s">
        <v>402</v>
      </c>
      <c r="G286" s="21" t="s">
        <v>159</v>
      </c>
      <c r="H286" s="17" t="s">
        <v>55</v>
      </c>
      <c r="I286" s="18">
        <v>0</v>
      </c>
      <c r="J286" s="18"/>
      <c r="K286" s="18"/>
      <c r="L286" s="18"/>
      <c r="M286" s="18"/>
      <c r="N286" s="18">
        <f>IF(OR(H286="",H286="sif",H286="PM"),0,VLOOKUP(H286,[5]CU!$C$4:$H$255,6,FALSE))</f>
        <v>0</v>
      </c>
      <c r="O286" s="18"/>
      <c r="P286" s="18"/>
      <c r="Q286" s="18"/>
      <c r="R286" s="18"/>
      <c r="S286" s="18"/>
      <c r="T286" s="23" t="s">
        <v>56</v>
      </c>
      <c r="U286" s="18" t="s">
        <v>397</v>
      </c>
      <c r="V286" s="18" t="str">
        <f>IF(OR($H286="",$H286="sif",$H286="PM"),"",VLOOKUP($H286,[5]CU!$C$5:$J$255,8,FALSE))</f>
        <v/>
      </c>
      <c r="W286" s="18" t="s">
        <v>398</v>
      </c>
      <c r="X286" s="18" t="s">
        <v>273</v>
      </c>
      <c r="Y286" s="19" t="s">
        <v>32</v>
      </c>
      <c r="Z286" s="18" t="str">
        <f>A286 &amp; "-" &amp; VLOOKUP(A286,[4]PROGRAMMES!$E$1:$F$7,2,FALSE)</f>
        <v>1-Accès et équité à l'enseignement général</v>
      </c>
      <c r="AA286" s="19" t="str">
        <f>B286 &amp; "-" &amp; VLOOKUP(B286,[4]SOUSPROGRAMMES!$E$1:$F$44,2,FALSE)</f>
        <v>14- Accès et équité au collège</v>
      </c>
      <c r="AB286" s="19" t="str">
        <f>C286 &amp; "-" &amp; VLOOKUP(C286,[4]RESULTATS!$E$1:$F$176,2,FALSE)</f>
        <v>141- L’accès au collège est amélioré en tenant compte de l’équité et de l’élargissement de l’éducation de base</v>
      </c>
      <c r="AC286" s="20" t="str">
        <f>D286 &amp; "-" &amp; VLOOKUP(D286,[4]STRATEGIES!$E$1:$F$504,2,FALSE)</f>
        <v>1411-Réorganisation du collège (tronc commun, collège de proximité etc)</v>
      </c>
      <c r="AD286" s="21" t="str">
        <f t="shared" si="60"/>
        <v>14115-Suivi/évaluation du fonctionnement des nouveaux collèges (voir implantation des nouveaux programmes)</v>
      </c>
    </row>
    <row r="287" spans="1:30" s="22" customFormat="1" ht="45" hidden="1" customHeight="1" x14ac:dyDescent="0.8">
      <c r="A287" s="14">
        <v>1</v>
      </c>
      <c r="B287" s="15">
        <v>14</v>
      </c>
      <c r="C287" s="15">
        <v>141</v>
      </c>
      <c r="D287" s="15">
        <v>1412</v>
      </c>
      <c r="E287" s="15">
        <v>1412</v>
      </c>
      <c r="F287" s="16" t="s">
        <v>403</v>
      </c>
      <c r="G287" s="17"/>
      <c r="H287" s="17"/>
      <c r="I287" s="18">
        <v>0</v>
      </c>
      <c r="J287" s="18"/>
      <c r="K287" s="18"/>
      <c r="L287" s="18"/>
      <c r="M287" s="18"/>
      <c r="N287" s="18"/>
      <c r="O287" s="18"/>
      <c r="P287" s="18"/>
      <c r="Q287" s="18"/>
      <c r="R287" s="18"/>
      <c r="S287" s="18"/>
      <c r="T287" s="18"/>
      <c r="U287" s="18"/>
      <c r="V287" s="18"/>
      <c r="W287" s="18"/>
      <c r="X287" s="18"/>
      <c r="Y287" s="19" t="s">
        <v>32</v>
      </c>
      <c r="Z287" s="18" t="str">
        <f>A287 &amp; "-" &amp; VLOOKUP(A287,[4]PROGRAMMES!$E$1:$F$7,2,FALSE)</f>
        <v>1-Accès et équité à l'enseignement général</v>
      </c>
      <c r="AA287" s="19" t="str">
        <f>B287 &amp; "-" &amp; VLOOKUP(B287,[4]SOUSPROGRAMMES!$E$1:$F$44,2,FALSE)</f>
        <v>14- Accès et équité au collège</v>
      </c>
      <c r="AB287" s="19" t="str">
        <f>C287 &amp; "-" &amp; VLOOKUP(C287,[4]RESULTATS!$E$1:$F$176,2,FALSE)</f>
        <v>141- L’accès au collège est amélioré en tenant compte de l’équité et de l’élargissement de l’éducation de base</v>
      </c>
      <c r="AC287" s="20" t="str">
        <f>D287 &amp; "-" &amp; VLOOKUP(D287,[4]STRATEGIES!$E$1:$F$504,2,FALSE)</f>
        <v>1412-Optimisation de l’utilisation des salles de classe au collège, y compris les FA</v>
      </c>
      <c r="AD287" s="21" t="str">
        <f t="shared" si="60"/>
        <v>1412-Optimisation de l’utilisation des salles de classe au collège, y compris les FA</v>
      </c>
    </row>
    <row r="288" spans="1:30" s="22" customFormat="1" ht="45" hidden="1" customHeight="1" x14ac:dyDescent="0.8">
      <c r="A288" s="14">
        <v>1</v>
      </c>
      <c r="B288" s="15">
        <v>14</v>
      </c>
      <c r="C288" s="15">
        <v>141</v>
      </c>
      <c r="D288" s="15">
        <v>1412</v>
      </c>
      <c r="E288" s="15">
        <v>14121</v>
      </c>
      <c r="F288" s="16" t="s">
        <v>404</v>
      </c>
      <c r="G288" s="21" t="s">
        <v>54</v>
      </c>
      <c r="H288" s="17" t="s">
        <v>55</v>
      </c>
      <c r="I288" s="18">
        <v>0</v>
      </c>
      <c r="J288" s="18"/>
      <c r="K288" s="18">
        <v>1</v>
      </c>
      <c r="L288" s="18"/>
      <c r="M288" s="18">
        <f t="shared" ref="M288:M324" si="67">SUM(I288:L288)</f>
        <v>1</v>
      </c>
      <c r="N288" s="18">
        <f>IF(OR(H288="",H288="sif",H288="PM"),0,VLOOKUP(H288,[5]CU!$C$4:$H$255,6,FALSE))</f>
        <v>0</v>
      </c>
      <c r="O288" s="18"/>
      <c r="P288" s="18"/>
      <c r="Q288" s="18"/>
      <c r="R288" s="18"/>
      <c r="S288" s="18"/>
      <c r="T288" s="23" t="s">
        <v>56</v>
      </c>
      <c r="U288" s="18" t="s">
        <v>397</v>
      </c>
      <c r="V288" s="18" t="str">
        <f>IF(OR($H288="",$H288="sif",$H288="PM"),"",VLOOKUP($H288,[5]CU!$C$5:$J$255,8,FALSE))</f>
        <v/>
      </c>
      <c r="W288" s="18" t="s">
        <v>398</v>
      </c>
      <c r="X288" s="18" t="s">
        <v>398</v>
      </c>
      <c r="Y288" s="19" t="s">
        <v>32</v>
      </c>
      <c r="Z288" s="18" t="str">
        <f>A288 &amp; "-" &amp; VLOOKUP(A288,[4]PROGRAMMES!$E$1:$F$7,2,FALSE)</f>
        <v>1-Accès et équité à l'enseignement général</v>
      </c>
      <c r="AA288" s="19" t="str">
        <f>B288 &amp; "-" &amp; VLOOKUP(B288,[4]SOUSPROGRAMMES!$E$1:$F$44,2,FALSE)</f>
        <v>14- Accès et équité au collège</v>
      </c>
      <c r="AB288" s="19" t="str">
        <f>C288 &amp; "-" &amp; VLOOKUP(C288,[4]RESULTATS!$E$1:$F$176,2,FALSE)</f>
        <v>141- L’accès au collège est amélioré en tenant compte de l’équité et de l’élargissement de l’éducation de base</v>
      </c>
      <c r="AC288" s="20" t="str">
        <f>D288 &amp; "-" &amp; VLOOKUP(D288,[4]STRATEGIES!$E$1:$F$504,2,FALSE)</f>
        <v>1412-Optimisation de l’utilisation des salles de classe au collège, y compris les FA</v>
      </c>
      <c r="AD288" s="21" t="str">
        <f t="shared" si="60"/>
        <v>14121-Généralisation progressive de la stratégie de double flux aux collèges ruraux</v>
      </c>
    </row>
    <row r="289" spans="1:30" s="22" customFormat="1" ht="45" hidden="1" customHeight="1" x14ac:dyDescent="0.8">
      <c r="A289" s="14">
        <v>1</v>
      </c>
      <c r="B289" s="15">
        <v>14</v>
      </c>
      <c r="C289" s="15">
        <v>141</v>
      </c>
      <c r="D289" s="15">
        <v>1412</v>
      </c>
      <c r="E289" s="15">
        <v>14122</v>
      </c>
      <c r="F289" s="16" t="s">
        <v>405</v>
      </c>
      <c r="G289" s="21" t="s">
        <v>159</v>
      </c>
      <c r="H289" s="17" t="s">
        <v>55</v>
      </c>
      <c r="I289" s="18">
        <v>0</v>
      </c>
      <c r="J289" s="18"/>
      <c r="K289" s="18"/>
      <c r="L289" s="18">
        <v>1</v>
      </c>
      <c r="M289" s="18">
        <f t="shared" si="67"/>
        <v>1</v>
      </c>
      <c r="N289" s="18">
        <f>IF(OR(H289="",H289="sif",H289="PM"),0,VLOOKUP(H289,[5]CU!$C$4:$H$255,6,FALSE))</f>
        <v>0</v>
      </c>
      <c r="O289" s="18"/>
      <c r="P289" s="18"/>
      <c r="Q289" s="18"/>
      <c r="R289" s="18"/>
      <c r="S289" s="18"/>
      <c r="T289" s="23" t="s">
        <v>56</v>
      </c>
      <c r="U289" s="18" t="s">
        <v>397</v>
      </c>
      <c r="V289" s="18" t="str">
        <f>IF(OR($H289="",$H289="sif",$H289="PM"),"",VLOOKUP($H289,[5]CU!$C$5:$J$255,8,FALSE))</f>
        <v/>
      </c>
      <c r="W289" s="18" t="s">
        <v>398</v>
      </c>
      <c r="X289" s="18" t="s">
        <v>273</v>
      </c>
      <c r="Y289" s="19" t="s">
        <v>32</v>
      </c>
      <c r="Z289" s="18" t="str">
        <f>A289 &amp; "-" &amp; VLOOKUP(A289,[4]PROGRAMMES!$E$1:$F$7,2,FALSE)</f>
        <v>1-Accès et équité à l'enseignement général</v>
      </c>
      <c r="AA289" s="19" t="str">
        <f>B289 &amp; "-" &amp; VLOOKUP(B289,[4]SOUSPROGRAMMES!$E$1:$F$44,2,FALSE)</f>
        <v>14- Accès et équité au collège</v>
      </c>
      <c r="AB289" s="19" t="str">
        <f>C289 &amp; "-" &amp; VLOOKUP(C289,[4]RESULTATS!$E$1:$F$176,2,FALSE)</f>
        <v>141- L’accès au collège est amélioré en tenant compte de l’équité et de l’élargissement de l’éducation de base</v>
      </c>
      <c r="AC289" s="20" t="str">
        <f>D289 &amp; "-" &amp; VLOOKUP(D289,[4]STRATEGIES!$E$1:$F$504,2,FALSE)</f>
        <v>1412-Optimisation de l’utilisation des salles de classe au collège, y compris les FA</v>
      </c>
      <c r="AD289" s="21" t="str">
        <f t="shared" si="60"/>
        <v>14122-Suivi/évaluation du fonctionnement des double-flux collèges (Pris en compte dans les budgets des IRE)</v>
      </c>
    </row>
    <row r="290" spans="1:30" s="22" customFormat="1" ht="45" hidden="1" customHeight="1" x14ac:dyDescent="0.8">
      <c r="A290" s="14">
        <v>1</v>
      </c>
      <c r="B290" s="15">
        <v>14</v>
      </c>
      <c r="C290" s="15">
        <v>141</v>
      </c>
      <c r="D290" s="15">
        <v>1413</v>
      </c>
      <c r="E290" s="15">
        <v>1413</v>
      </c>
      <c r="F290" s="16" t="s">
        <v>406</v>
      </c>
      <c r="G290" s="17"/>
      <c r="H290" s="17"/>
      <c r="I290" s="18">
        <v>0</v>
      </c>
      <c r="J290" s="18"/>
      <c r="K290" s="18"/>
      <c r="L290" s="18"/>
      <c r="M290" s="18"/>
      <c r="N290" s="18"/>
      <c r="O290" s="18"/>
      <c r="P290" s="18"/>
      <c r="Q290" s="18"/>
      <c r="R290" s="18"/>
      <c r="S290" s="18"/>
      <c r="T290" s="18"/>
      <c r="U290" s="18"/>
      <c r="V290" s="18"/>
      <c r="W290" s="18"/>
      <c r="X290" s="18"/>
      <c r="Y290" s="19" t="s">
        <v>32</v>
      </c>
      <c r="Z290" s="18" t="str">
        <f>A290 &amp; "-" &amp; VLOOKUP(A290,[4]PROGRAMMES!$E$1:$F$7,2,FALSE)</f>
        <v>1-Accès et équité à l'enseignement général</v>
      </c>
      <c r="AA290" s="19" t="str">
        <f>B290 &amp; "-" &amp; VLOOKUP(B290,[4]SOUSPROGRAMMES!$E$1:$F$44,2,FALSE)</f>
        <v>14- Accès et équité au collège</v>
      </c>
      <c r="AB290" s="19" t="str">
        <f>C290 &amp; "-" &amp; VLOOKUP(C290,[4]RESULTATS!$E$1:$F$176,2,FALSE)</f>
        <v>141- L’accès au collège est amélioré en tenant compte de l’équité et de l’élargissement de l’éducation de base</v>
      </c>
      <c r="AC290" s="20" t="str">
        <f>D290 &amp; "-" &amp; VLOOKUP(D290,[4]STRATEGIES!$E$1:$F$504,2,FALSE)</f>
        <v>1413-Construction/réhabilitation/rénovation de salles de classe avec rampe d’accès au Collège en tenant compte de la prévention des catastrophes naturelles, y compris les FA</v>
      </c>
      <c r="AD290" s="21" t="str">
        <f t="shared" si="60"/>
        <v>1413-Construction/réhabilitation/rénovation de salles de classe avec rampe d’accès au Collège en tenant compte de la prévention des catastrophes naturelles, y compris les FA</v>
      </c>
    </row>
    <row r="291" spans="1:30" s="22" customFormat="1" ht="45" hidden="1" customHeight="1" x14ac:dyDescent="0.8">
      <c r="A291" s="14">
        <v>1</v>
      </c>
      <c r="B291" s="15">
        <v>14</v>
      </c>
      <c r="C291" s="15">
        <v>141</v>
      </c>
      <c r="D291" s="15">
        <v>1413</v>
      </c>
      <c r="E291" s="15">
        <v>14131</v>
      </c>
      <c r="F291" s="16" t="s">
        <v>407</v>
      </c>
      <c r="G291" s="21" t="s">
        <v>159</v>
      </c>
      <c r="H291" s="17" t="s">
        <v>55</v>
      </c>
      <c r="I291" s="18">
        <v>0</v>
      </c>
      <c r="J291" s="18">
        <v>1</v>
      </c>
      <c r="K291" s="18">
        <v>1</v>
      </c>
      <c r="L291" s="18">
        <v>1</v>
      </c>
      <c r="M291" s="18">
        <f t="shared" si="67"/>
        <v>3</v>
      </c>
      <c r="N291" s="18">
        <f>IF(OR(H291="",H291="sif",H291="PM"),0,VLOOKUP(H291,[5]CU!$C$4:$H$255,6,FALSE))</f>
        <v>0</v>
      </c>
      <c r="O291" s="18"/>
      <c r="P291" s="18"/>
      <c r="Q291" s="18"/>
      <c r="R291" s="18"/>
      <c r="S291" s="18"/>
      <c r="T291" s="23" t="s">
        <v>56</v>
      </c>
      <c r="U291" s="18" t="s">
        <v>397</v>
      </c>
      <c r="V291" s="18" t="str">
        <f>IF(OR($H291="",$H291="sif",$H291="PM"),"",VLOOKUP($H291,[5]CU!$C$5:$J$255,8,FALSE))</f>
        <v/>
      </c>
      <c r="W291" s="18" t="s">
        <v>96</v>
      </c>
      <c r="X291" s="18" t="s">
        <v>282</v>
      </c>
      <c r="Y291" s="19" t="s">
        <v>32</v>
      </c>
      <c r="Z291" s="18" t="str">
        <f>A291 &amp; "-" &amp; VLOOKUP(A291,[4]PROGRAMMES!$E$1:$F$7,2,FALSE)</f>
        <v>1-Accès et équité à l'enseignement général</v>
      </c>
      <c r="AA291" s="19" t="str">
        <f>B291 &amp; "-" &amp; VLOOKUP(B291,[4]SOUSPROGRAMMES!$E$1:$F$44,2,FALSE)</f>
        <v>14- Accès et équité au collège</v>
      </c>
      <c r="AB291" s="19" t="str">
        <f>C291 &amp; "-" &amp; VLOOKUP(C291,[4]RESULTATS!$E$1:$F$176,2,FALSE)</f>
        <v>141- L’accès au collège est amélioré en tenant compte de l’équité et de l’élargissement de l’éducation de base</v>
      </c>
      <c r="AC291" s="20" t="str">
        <f>D291 &amp; "-" &amp; VLOOKUP(D291,[4]STRATEGIES!$E$1:$F$504,2,FALSE)</f>
        <v>1413-Construction/réhabilitation/rénovation de salles de classe avec rampe d’accès au Collège en tenant compte de la prévention des catastrophes naturelles, y compris les FA</v>
      </c>
      <c r="AD291" s="21" t="str">
        <f t="shared" si="60"/>
        <v>14131-Identification des établissements et des localités devant bénéficier de construction de réhabilitation ou de rénovation de salles de classe au Collège (budget IRE)</v>
      </c>
    </row>
    <row r="292" spans="1:30" ht="45" hidden="1" customHeight="1" x14ac:dyDescent="0.8">
      <c r="A292" s="25">
        <v>1</v>
      </c>
      <c r="B292" s="16">
        <v>14</v>
      </c>
      <c r="C292" s="16">
        <v>141</v>
      </c>
      <c r="D292" s="16">
        <v>1413</v>
      </c>
      <c r="E292" s="16">
        <v>14132</v>
      </c>
      <c r="F292" s="16" t="s">
        <v>216</v>
      </c>
      <c r="G292" s="21" t="s">
        <v>58</v>
      </c>
      <c r="H292" s="21" t="s">
        <v>59</v>
      </c>
      <c r="I292" s="19">
        <v>0</v>
      </c>
      <c r="J292" s="19">
        <f>4*7*5</f>
        <v>140</v>
      </c>
      <c r="K292" s="19">
        <f>4*6*4</f>
        <v>96</v>
      </c>
      <c r="L292" s="19">
        <f>4*7*4</f>
        <v>112</v>
      </c>
      <c r="M292" s="19">
        <f t="shared" si="67"/>
        <v>348</v>
      </c>
      <c r="N292" s="19">
        <f>IF(OR(H292="",H292="sif",H292="PM"),0,VLOOKUP(H292,[5]CU!$C$4:$H$255,6,FALSE))</f>
        <v>0.8177777777777776</v>
      </c>
      <c r="O292" s="19">
        <f t="shared" ref="O292:R304" si="68">$N292*I292</f>
        <v>0</v>
      </c>
      <c r="P292" s="19">
        <f t="shared" si="68"/>
        <v>114.48888888888887</v>
      </c>
      <c r="Q292" s="19">
        <f>$N292*K292</f>
        <v>78.506666666666646</v>
      </c>
      <c r="R292" s="19">
        <f t="shared" si="68"/>
        <v>91.59111111111109</v>
      </c>
      <c r="S292" s="19">
        <f t="shared" ref="S292:S304" si="69">SUM(O292:R292)</f>
        <v>284.58666666666659</v>
      </c>
      <c r="T292" s="26" t="s">
        <v>169</v>
      </c>
      <c r="U292" s="19" t="s">
        <v>397</v>
      </c>
      <c r="V292" s="19" t="str">
        <f>IF(OR($H292="",$H292="sif",$H292="PM"),"",VLOOKUP($H292,[5]CU!$C$5:$J$255,8,FALSE))</f>
        <v>3. Dépenses de fonctionnement</v>
      </c>
      <c r="W292" s="19" t="s">
        <v>96</v>
      </c>
      <c r="X292" s="19" t="s">
        <v>98</v>
      </c>
      <c r="Y292" s="19" t="s">
        <v>32</v>
      </c>
      <c r="Z292" s="19" t="str">
        <f>A292 &amp; "-" &amp; VLOOKUP(A292,[4]PROGRAMMES!$E$1:$F$7,2,FALSE)</f>
        <v>1-Accès et équité à l'enseignement général</v>
      </c>
      <c r="AA292" s="19" t="str">
        <f>B292 &amp; "-" &amp; VLOOKUP(B292,[4]SOUSPROGRAMMES!$E$1:$F$44,2,FALSE)</f>
        <v>14- Accès et équité au collège</v>
      </c>
      <c r="AB292" s="19" t="str">
        <f>C292 &amp; "-" &amp; VLOOKUP(C292,[4]RESULTATS!$E$1:$F$176,2,FALSE)</f>
        <v>141- L’accès au collège est amélioré en tenant compte de l’équité et de l’élargissement de l’éducation de base</v>
      </c>
      <c r="AC292" s="20" t="str">
        <f>D292 &amp; "-" &amp; VLOOKUP(D292,[4]STRATEGIES!$E$1:$F$504,2,FALSE)</f>
        <v>1413-Construction/réhabilitation/rénovation de salles de classe avec rampe d’accès au Collège en tenant compte de la prévention des catastrophes naturelles, y compris les FA</v>
      </c>
      <c r="AD292" s="21" t="str">
        <f t="shared" si="60"/>
        <v>14132-Validation des sites devant bénéficier de construction de salles de classe</v>
      </c>
    </row>
    <row r="293" spans="1:30" s="22" customFormat="1" ht="45" hidden="1" customHeight="1" x14ac:dyDescent="0.8">
      <c r="A293" s="14">
        <v>1</v>
      </c>
      <c r="B293" s="15">
        <v>14</v>
      </c>
      <c r="C293" s="15">
        <v>141</v>
      </c>
      <c r="D293" s="15">
        <v>1413</v>
      </c>
      <c r="E293" s="15">
        <v>14133</v>
      </c>
      <c r="F293" s="16" t="s">
        <v>408</v>
      </c>
      <c r="G293" s="21" t="s">
        <v>374</v>
      </c>
      <c r="H293" s="17" t="s">
        <v>409</v>
      </c>
      <c r="I293" s="18">
        <v>0</v>
      </c>
      <c r="J293" s="18">
        <f>36*3*20%</f>
        <v>21.6</v>
      </c>
      <c r="K293" s="18">
        <f>36*3*50%</f>
        <v>54</v>
      </c>
      <c r="L293" s="18">
        <f>36*3*30%</f>
        <v>32.4</v>
      </c>
      <c r="M293" s="18">
        <f t="shared" si="67"/>
        <v>108</v>
      </c>
      <c r="N293" s="18">
        <f>IF(OR(H293="",H293="sif",H293="PM"),0,VLOOKUP(H293,[5]CU!$C$4:$H$255,6,FALSE))</f>
        <v>33.75</v>
      </c>
      <c r="O293" s="18">
        <f t="shared" si="68"/>
        <v>0</v>
      </c>
      <c r="P293" s="18">
        <f t="shared" si="68"/>
        <v>729</v>
      </c>
      <c r="Q293" s="18">
        <f t="shared" si="68"/>
        <v>1822.5</v>
      </c>
      <c r="R293" s="18">
        <f t="shared" si="68"/>
        <v>1093.5</v>
      </c>
      <c r="S293" s="18">
        <f t="shared" si="69"/>
        <v>3645</v>
      </c>
      <c r="T293" s="23" t="s">
        <v>56</v>
      </c>
      <c r="U293" s="18" t="s">
        <v>397</v>
      </c>
      <c r="V293" s="18" t="str">
        <f>IF(OR($H293="",$H293="sif",$H293="PM"),"",VLOOKUP($H293,[5]CU!$C$5:$J$255,8,FALSE))</f>
        <v>5. Investissement</v>
      </c>
      <c r="W293" s="18" t="s">
        <v>98</v>
      </c>
      <c r="X293" s="18" t="s">
        <v>98</v>
      </c>
      <c r="Y293" s="19" t="s">
        <v>32</v>
      </c>
      <c r="Z293" s="18" t="str">
        <f>A293 &amp; "-" &amp; VLOOKUP(A293,[4]PROGRAMMES!$E$1:$F$7,2,FALSE)</f>
        <v>1-Accès et équité à l'enseignement général</v>
      </c>
      <c r="AA293" s="19" t="str">
        <f>B293 &amp; "-" &amp; VLOOKUP(B293,[4]SOUSPROGRAMMES!$E$1:$F$44,2,FALSE)</f>
        <v>14- Accès et équité au collège</v>
      </c>
      <c r="AB293" s="19" t="str">
        <f>C293 &amp; "-" &amp; VLOOKUP(C293,[4]RESULTATS!$E$1:$F$176,2,FALSE)</f>
        <v>141- L’accès au collège est amélioré en tenant compte de l’équité et de l’élargissement de l’éducation de base</v>
      </c>
      <c r="AC293" s="20" t="str">
        <f>D293 &amp; "-" &amp; VLOOKUP(D293,[4]STRATEGIES!$E$1:$F$504,2,FALSE)</f>
        <v>1413-Construction/réhabilitation/rénovation de salles de classe avec rampe d’accès au Collège en tenant compte de la prévention des catastrophes naturelles, y compris les FA</v>
      </c>
      <c r="AD293" s="21" t="str">
        <f t="shared" si="60"/>
        <v>14133-Réalisation des travaux de réhabilitation ou de rénovation des salles de classe</v>
      </c>
    </row>
    <row r="294" spans="1:30" s="22" customFormat="1" ht="45" hidden="1" customHeight="1" x14ac:dyDescent="0.8">
      <c r="A294" s="14">
        <v>1</v>
      </c>
      <c r="B294" s="15">
        <v>14</v>
      </c>
      <c r="C294" s="15">
        <v>141</v>
      </c>
      <c r="D294" s="15">
        <v>1413</v>
      </c>
      <c r="E294" s="15">
        <v>14134</v>
      </c>
      <c r="F294" s="16" t="s">
        <v>410</v>
      </c>
      <c r="G294" s="21" t="s">
        <v>103</v>
      </c>
      <c r="H294" s="17" t="s">
        <v>411</v>
      </c>
      <c r="I294" s="18">
        <v>0</v>
      </c>
      <c r="J294" s="18"/>
      <c r="K294" s="18"/>
      <c r="L294" s="18"/>
      <c r="M294" s="18">
        <f>SUM(I294:L294)</f>
        <v>0</v>
      </c>
      <c r="N294" s="18">
        <f>IF(OR(H294="",H294="sif",H294="PM"),0,VLOOKUP(H294,[5]CU!$C$4:$H$255,6,FALSE))</f>
        <v>187.5</v>
      </c>
      <c r="O294" s="18">
        <f t="shared" si="68"/>
        <v>0</v>
      </c>
      <c r="P294" s="18">
        <f t="shared" si="68"/>
        <v>0</v>
      </c>
      <c r="Q294" s="18">
        <f t="shared" si="68"/>
        <v>0</v>
      </c>
      <c r="R294" s="18">
        <f t="shared" si="68"/>
        <v>0</v>
      </c>
      <c r="S294" s="18">
        <f>SUM(O294:R294)</f>
        <v>0</v>
      </c>
      <c r="T294" s="23" t="s">
        <v>178</v>
      </c>
      <c r="U294" s="18" t="s">
        <v>397</v>
      </c>
      <c r="V294" s="18" t="str">
        <f>IF(OR($H294="",$H294="sif",$H294="PM"),"",VLOOKUP($H294,[5]CU!$C$5:$J$255,8,FALSE))</f>
        <v>5. Investissement</v>
      </c>
      <c r="W294" s="18" t="s">
        <v>98</v>
      </c>
      <c r="X294" s="18" t="s">
        <v>98</v>
      </c>
      <c r="Y294" s="19" t="s">
        <v>32</v>
      </c>
      <c r="Z294" s="18" t="str">
        <f>A294 &amp; "-" &amp; VLOOKUP(A294,[4]PROGRAMMES!$E$1:$F$7,2,FALSE)</f>
        <v>1-Accès et équité à l'enseignement général</v>
      </c>
      <c r="AA294" s="19" t="str">
        <f>B294 &amp; "-" &amp; VLOOKUP(B294,[4]SOUSPROGRAMMES!$E$1:$F$44,2,FALSE)</f>
        <v>14- Accès et équité au collège</v>
      </c>
      <c r="AB294" s="19" t="str">
        <f>C294 &amp; "-" &amp; VLOOKUP(C294,[4]RESULTATS!$E$1:$F$176,2,FALSE)</f>
        <v>141- L’accès au collège est amélioré en tenant compte de l’équité et de l’élargissement de l’éducation de base</v>
      </c>
      <c r="AC294" s="20" t="str">
        <f>D294 &amp; "-" &amp; VLOOKUP(D294,[4]STRATEGIES!$E$1:$F$504,2,FALSE)</f>
        <v>1413-Construction/réhabilitation/rénovation de salles de classe avec rampe d’accès au Collège en tenant compte de la prévention des catastrophes naturelles, y compris les FA</v>
      </c>
      <c r="AD294" s="21" t="str">
        <f t="shared" si="60"/>
        <v>14134-Réalisation des travaux de construction des salles de classe</v>
      </c>
    </row>
    <row r="295" spans="1:30" s="22" customFormat="1" ht="45" hidden="1" customHeight="1" x14ac:dyDescent="0.8">
      <c r="A295" s="14">
        <v>1</v>
      </c>
      <c r="B295" s="15">
        <v>14</v>
      </c>
      <c r="C295" s="15">
        <v>141</v>
      </c>
      <c r="D295" s="15">
        <v>1413</v>
      </c>
      <c r="E295" s="15">
        <v>14134</v>
      </c>
      <c r="F295" s="16" t="s">
        <v>410</v>
      </c>
      <c r="G295" s="21" t="s">
        <v>103</v>
      </c>
      <c r="H295" s="17" t="s">
        <v>411</v>
      </c>
      <c r="I295" s="18">
        <v>0</v>
      </c>
      <c r="J295" s="18">
        <f>627*3*20%-J296</f>
        <v>376.20000000000005</v>
      </c>
      <c r="K295" s="18">
        <f>627*3*50%-K296</f>
        <v>840.5</v>
      </c>
      <c r="L295" s="18">
        <f>627*3*30%-L296</f>
        <v>464.29999999999995</v>
      </c>
      <c r="M295" s="18">
        <f>SUM(I295:L295)</f>
        <v>1681</v>
      </c>
      <c r="N295" s="18">
        <f>IF(OR(H295="",H295="sif",H295="PM"),0,VLOOKUP(H295,[5]CU!$C$4:$H$255,6,FALSE))</f>
        <v>187.5</v>
      </c>
      <c r="O295" s="18">
        <f t="shared" si="68"/>
        <v>0</v>
      </c>
      <c r="P295" s="18">
        <f t="shared" si="68"/>
        <v>70537.500000000015</v>
      </c>
      <c r="Q295" s="18">
        <f t="shared" si="68"/>
        <v>157593.75</v>
      </c>
      <c r="R295" s="18">
        <f t="shared" si="68"/>
        <v>87056.249999999985</v>
      </c>
      <c r="S295" s="18">
        <f>SUM(O295:R295)</f>
        <v>315187.5</v>
      </c>
      <c r="T295" s="23" t="s">
        <v>56</v>
      </c>
      <c r="U295" s="18" t="s">
        <v>397</v>
      </c>
      <c r="V295" s="18" t="str">
        <f>IF(OR($H295="",$H295="sif",$H295="PM"),"",VLOOKUP($H295,[5]CU!$C$5:$J$255,8,FALSE))</f>
        <v>5. Investissement</v>
      </c>
      <c r="W295" s="18" t="s">
        <v>98</v>
      </c>
      <c r="X295" s="18" t="s">
        <v>98</v>
      </c>
      <c r="Y295" s="19" t="s">
        <v>32</v>
      </c>
      <c r="Z295" s="18" t="str">
        <f>A295 &amp; "-" &amp; VLOOKUP(A295,[4]PROGRAMMES!$E$1:$F$7,2,FALSE)</f>
        <v>1-Accès et équité à l'enseignement général</v>
      </c>
      <c r="AA295" s="19" t="str">
        <f>B295 &amp; "-" &amp; VLOOKUP(B295,[4]SOUSPROGRAMMES!$E$1:$F$44,2,FALSE)</f>
        <v>14- Accès et équité au collège</v>
      </c>
      <c r="AB295" s="19" t="str">
        <f>C295 &amp; "-" &amp; VLOOKUP(C295,[4]RESULTATS!$E$1:$F$176,2,FALSE)</f>
        <v>141- L’accès au collège est amélioré en tenant compte de l’équité et de l’élargissement de l’éducation de base</v>
      </c>
      <c r="AC295" s="20" t="str">
        <f>D295 &amp; "-" &amp; VLOOKUP(D295,[4]STRATEGIES!$E$1:$F$504,2,FALSE)</f>
        <v>1413-Construction/réhabilitation/rénovation de salles de classe avec rampe d’accès au Collège en tenant compte de la prévention des catastrophes naturelles, y compris les FA</v>
      </c>
      <c r="AD295" s="21" t="str">
        <f t="shared" si="60"/>
        <v>14134-Réalisation des travaux de construction des salles de classe</v>
      </c>
    </row>
    <row r="296" spans="1:30" ht="45" hidden="1" customHeight="1" x14ac:dyDescent="0.8">
      <c r="A296" s="25">
        <v>1</v>
      </c>
      <c r="B296" s="16">
        <v>14</v>
      </c>
      <c r="C296" s="16">
        <v>141</v>
      </c>
      <c r="D296" s="16">
        <v>1413</v>
      </c>
      <c r="E296" s="16">
        <v>14134</v>
      </c>
      <c r="F296" s="16" t="s">
        <v>410</v>
      </c>
      <c r="G296" s="21" t="s">
        <v>103</v>
      </c>
      <c r="H296" s="21" t="s">
        <v>411</v>
      </c>
      <c r="I296" s="19">
        <v>0</v>
      </c>
      <c r="J296" s="19">
        <v>0</v>
      </c>
      <c r="K296" s="19">
        <v>100</v>
      </c>
      <c r="L296" s="19">
        <v>100</v>
      </c>
      <c r="M296" s="19">
        <f t="shared" si="67"/>
        <v>200</v>
      </c>
      <c r="N296" s="19">
        <f>IF(OR(H296="",H296="sif",H296="PM"),0,VLOOKUP(H296,[5]CU!$C$4:$H$255,6,FALSE))</f>
        <v>187.5</v>
      </c>
      <c r="O296" s="19">
        <f t="shared" si="68"/>
        <v>0</v>
      </c>
      <c r="P296" s="19">
        <f t="shared" si="68"/>
        <v>0</v>
      </c>
      <c r="Q296" s="19">
        <f>$N296*K296</f>
        <v>18750</v>
      </c>
      <c r="R296" s="19">
        <f t="shared" si="68"/>
        <v>18750</v>
      </c>
      <c r="S296" s="19">
        <f t="shared" si="69"/>
        <v>37500</v>
      </c>
      <c r="T296" s="26" t="s">
        <v>169</v>
      </c>
      <c r="U296" s="19" t="s">
        <v>397</v>
      </c>
      <c r="V296" s="19" t="str">
        <f>IF(OR($H296="",$H296="sif",$H296="PM"),"",VLOOKUP($H296,[5]CU!$C$5:$J$255,8,FALSE))</f>
        <v>5. Investissement</v>
      </c>
      <c r="W296" s="19" t="s">
        <v>98</v>
      </c>
      <c r="X296" s="19" t="s">
        <v>98</v>
      </c>
      <c r="Y296" s="19" t="s">
        <v>32</v>
      </c>
      <c r="Z296" s="19" t="str">
        <f>A296 &amp; "-" &amp; VLOOKUP(A296,[4]PROGRAMMES!$E$1:$F$7,2,FALSE)</f>
        <v>1-Accès et équité à l'enseignement général</v>
      </c>
      <c r="AA296" s="19" t="str">
        <f>B296 &amp; "-" &amp; VLOOKUP(B296,[4]SOUSPROGRAMMES!$E$1:$F$44,2,FALSE)</f>
        <v>14- Accès et équité au collège</v>
      </c>
      <c r="AB296" s="19" t="str">
        <f>C296 &amp; "-" &amp; VLOOKUP(C296,[4]RESULTATS!$E$1:$F$176,2,FALSE)</f>
        <v>141- L’accès au collège est amélioré en tenant compte de l’équité et de l’élargissement de l’éducation de base</v>
      </c>
      <c r="AC296" s="20" t="str">
        <f>D296 &amp; "-" &amp; VLOOKUP(D296,[4]STRATEGIES!$E$1:$F$504,2,FALSE)</f>
        <v>1413-Construction/réhabilitation/rénovation de salles de classe avec rampe d’accès au Collège en tenant compte de la prévention des catastrophes naturelles, y compris les FA</v>
      </c>
      <c r="AD296" s="21" t="str">
        <f t="shared" si="60"/>
        <v>14134-Réalisation des travaux de construction des salles de classe</v>
      </c>
    </row>
    <row r="297" spans="1:30" s="22" customFormat="1" ht="45" hidden="1" customHeight="1" x14ac:dyDescent="0.8">
      <c r="A297" s="14">
        <v>1</v>
      </c>
      <c r="B297" s="15">
        <v>14</v>
      </c>
      <c r="C297" s="15">
        <v>141</v>
      </c>
      <c r="D297" s="15">
        <v>1413</v>
      </c>
      <c r="E297" s="15">
        <v>14135</v>
      </c>
      <c r="F297" s="16" t="s">
        <v>412</v>
      </c>
      <c r="G297" s="21" t="s">
        <v>103</v>
      </c>
      <c r="H297" s="17" t="s">
        <v>413</v>
      </c>
      <c r="I297" s="18">
        <v>0</v>
      </c>
      <c r="J297" s="18"/>
      <c r="K297" s="18"/>
      <c r="L297" s="18"/>
      <c r="M297" s="18">
        <f t="shared" si="67"/>
        <v>0</v>
      </c>
      <c r="N297" s="18">
        <f>IF(OR(H297="",H297="sif",H297="PM"),0,VLOOKUP(H297,[5]CU!$C$4:$H$255,6,FALSE))</f>
        <v>619.27313664596227</v>
      </c>
      <c r="O297" s="18">
        <f t="shared" si="68"/>
        <v>0</v>
      </c>
      <c r="P297" s="18">
        <f t="shared" si="68"/>
        <v>0</v>
      </c>
      <c r="Q297" s="18">
        <f t="shared" si="68"/>
        <v>0</v>
      </c>
      <c r="R297" s="18">
        <f t="shared" si="68"/>
        <v>0</v>
      </c>
      <c r="S297" s="18">
        <f t="shared" si="69"/>
        <v>0</v>
      </c>
      <c r="T297" s="23" t="s">
        <v>414</v>
      </c>
      <c r="U297" s="18" t="s">
        <v>397</v>
      </c>
      <c r="V297" s="18" t="str">
        <f>IF(OR($H297="",$H297="sif",$H297="PM"),"",VLOOKUP($H297,[5]CU!$C$5:$J$255,8,FALSE))</f>
        <v>5. Investissement</v>
      </c>
      <c r="W297" s="18" t="s">
        <v>98</v>
      </c>
      <c r="X297" s="18" t="s">
        <v>98</v>
      </c>
      <c r="Y297" s="19" t="s">
        <v>32</v>
      </c>
      <c r="Z297" s="18" t="str">
        <f>A297 &amp; "-" &amp; VLOOKUP(A297,[4]PROGRAMMES!$E$1:$F$7,2,FALSE)</f>
        <v>1-Accès et équité à l'enseignement général</v>
      </c>
      <c r="AA297" s="19" t="str">
        <f>B297 &amp; "-" &amp; VLOOKUP(B297,[4]SOUSPROGRAMMES!$E$1:$F$44,2,FALSE)</f>
        <v>14- Accès et équité au collège</v>
      </c>
      <c r="AB297" s="19" t="str">
        <f>C297 &amp; "-" &amp; VLOOKUP(C297,[4]RESULTATS!$E$1:$F$176,2,FALSE)</f>
        <v>141- L’accès au collège est amélioré en tenant compte de l’équité et de l’élargissement de l’éducation de base</v>
      </c>
      <c r="AC297" s="20" t="str">
        <f>D297 &amp; "-" &amp; VLOOKUP(D297,[4]STRATEGIES!$E$1:$F$504,2,FALSE)</f>
        <v>1413-Construction/réhabilitation/rénovation de salles de classe avec rampe d’accès au Collège en tenant compte de la prévention des catastrophes naturelles, y compris les FA</v>
      </c>
      <c r="AD297" s="21" t="str">
        <f t="shared" si="60"/>
        <v>14135-Construction de 63 classes, latrines et équipement (maitrise d'ouvrage partenaire)</v>
      </c>
    </row>
    <row r="298" spans="1:30" s="22" customFormat="1" ht="45" hidden="1" customHeight="1" x14ac:dyDescent="0.8">
      <c r="A298" s="14">
        <v>1</v>
      </c>
      <c r="B298" s="30">
        <v>14</v>
      </c>
      <c r="C298" s="30">
        <v>141</v>
      </c>
      <c r="D298" s="15">
        <v>1413</v>
      </c>
      <c r="E298" s="15">
        <v>14136</v>
      </c>
      <c r="F298" s="16" t="s">
        <v>415</v>
      </c>
      <c r="G298" s="21" t="s">
        <v>416</v>
      </c>
      <c r="H298" s="17" t="s">
        <v>417</v>
      </c>
      <c r="I298" s="18">
        <v>0</v>
      </c>
      <c r="J298" s="18"/>
      <c r="K298" s="18"/>
      <c r="L298" s="18"/>
      <c r="M298" s="18">
        <f t="shared" si="67"/>
        <v>0</v>
      </c>
      <c r="N298" s="18">
        <f>IF(OR(H298="",H298="sif",H298="PM"),0,VLOOKUP(H298,[5]CU!$C$4:$H$255,6,FALSE))</f>
        <v>35</v>
      </c>
      <c r="O298" s="18">
        <f t="shared" si="68"/>
        <v>0</v>
      </c>
      <c r="P298" s="18">
        <f t="shared" si="68"/>
        <v>0</v>
      </c>
      <c r="Q298" s="18">
        <f t="shared" si="68"/>
        <v>0</v>
      </c>
      <c r="R298" s="18">
        <f t="shared" si="68"/>
        <v>0</v>
      </c>
      <c r="S298" s="18">
        <f t="shared" si="69"/>
        <v>0</v>
      </c>
      <c r="T298" s="23" t="s">
        <v>178</v>
      </c>
      <c r="U298" s="18" t="s">
        <v>397</v>
      </c>
      <c r="V298" s="18" t="str">
        <f>IF(OR($H298="",$H298="sif",$H298="PM"),"",VLOOKUP($H298,[5]CU!$C$5:$J$255,8,FALSE))</f>
        <v>5. Investissement</v>
      </c>
      <c r="W298" s="18" t="s">
        <v>98</v>
      </c>
      <c r="X298" s="18" t="s">
        <v>98</v>
      </c>
      <c r="Y298" s="19" t="s">
        <v>32</v>
      </c>
      <c r="Z298" s="18" t="str">
        <f>A298 &amp; "-" &amp; VLOOKUP(A298,[4]PROGRAMMES!$E$1:$F$7,2,FALSE)</f>
        <v>1-Accès et équité à l'enseignement général</v>
      </c>
      <c r="AA298" s="19" t="str">
        <f>B298 &amp; "-" &amp; VLOOKUP(B298,[4]SOUSPROGRAMMES!$E$1:$F$44,2,FALSE)</f>
        <v>14- Accès et équité au collège</v>
      </c>
      <c r="AB298" s="19" t="str">
        <f>C298 &amp; "-" &amp; VLOOKUP(C298,[4]RESULTATS!$E$1:$F$176,2,FALSE)</f>
        <v>141- L’accès au collège est amélioré en tenant compte de l’équité et de l’élargissement de l’éducation de base</v>
      </c>
      <c r="AC298" s="20" t="str">
        <f>D298 &amp; "-" &amp; VLOOKUP(D298,[4]STRATEGIES!$E$1:$F$504,2,FALSE)</f>
        <v>1413-Construction/réhabilitation/rénovation de salles de classe avec rampe d’accès au Collège en tenant compte de la prévention des catastrophes naturelles, y compris les FA</v>
      </c>
      <c r="AD298" s="21" t="str">
        <f t="shared" si="60"/>
        <v>14136-Equipement des salles de classe en mobiliers scolaires</v>
      </c>
    </row>
    <row r="299" spans="1:30" ht="45" hidden="1" customHeight="1" x14ac:dyDescent="0.8">
      <c r="A299" s="25">
        <v>1</v>
      </c>
      <c r="B299" s="16">
        <v>14</v>
      </c>
      <c r="C299" s="16">
        <v>141</v>
      </c>
      <c r="D299" s="16">
        <v>1413</v>
      </c>
      <c r="E299" s="16">
        <v>14136</v>
      </c>
      <c r="F299" s="16" t="s">
        <v>415</v>
      </c>
      <c r="G299" s="21" t="s">
        <v>416</v>
      </c>
      <c r="H299" s="21" t="s">
        <v>417</v>
      </c>
      <c r="I299" s="19">
        <v>0</v>
      </c>
      <c r="J299" s="19">
        <f>+J296</f>
        <v>0</v>
      </c>
      <c r="K299" s="19">
        <f>+K296</f>
        <v>100</v>
      </c>
      <c r="L299" s="19">
        <f>+L296</f>
        <v>100</v>
      </c>
      <c r="M299" s="19">
        <f>SUM(I299:L299)</f>
        <v>200</v>
      </c>
      <c r="N299" s="19">
        <f>IF(OR(H299="",H299="sif",H299="PM"),0,VLOOKUP(H299,[5]CU!$C$4:$H$255,6,FALSE))</f>
        <v>35</v>
      </c>
      <c r="O299" s="19">
        <f>$N299*I299</f>
        <v>0</v>
      </c>
      <c r="P299" s="19">
        <f>$N299*J299</f>
        <v>0</v>
      </c>
      <c r="Q299" s="19">
        <f>$N299*K299</f>
        <v>3500</v>
      </c>
      <c r="R299" s="19">
        <f>$N299*L299</f>
        <v>3500</v>
      </c>
      <c r="S299" s="19">
        <f>SUM(O299:R299)</f>
        <v>7000</v>
      </c>
      <c r="T299" s="26" t="s">
        <v>169</v>
      </c>
      <c r="U299" s="19" t="s">
        <v>397</v>
      </c>
      <c r="V299" s="19" t="str">
        <f>IF(OR($H299="",$H299="sif",$H299="PM"),"",VLOOKUP($H299,[5]CU!$C$5:$J$255,8,FALSE))</f>
        <v>5. Investissement</v>
      </c>
      <c r="W299" s="19" t="s">
        <v>98</v>
      </c>
      <c r="X299" s="19" t="s">
        <v>98</v>
      </c>
      <c r="Y299" s="19" t="s">
        <v>32</v>
      </c>
      <c r="Z299" s="19" t="str">
        <f>A299 &amp; "-" &amp; VLOOKUP(A299,[4]PROGRAMMES!$E$1:$F$7,2,FALSE)</f>
        <v>1-Accès et équité à l'enseignement général</v>
      </c>
      <c r="AA299" s="19" t="str">
        <f>B299 &amp; "-" &amp; VLOOKUP(B299,[4]SOUSPROGRAMMES!$E$1:$F$44,2,FALSE)</f>
        <v>14- Accès et équité au collège</v>
      </c>
      <c r="AB299" s="19" t="str">
        <f>C299 &amp; "-" &amp; VLOOKUP(C299,[4]RESULTATS!$E$1:$F$176,2,FALSE)</f>
        <v>141- L’accès au collège est amélioré en tenant compte de l’équité et de l’élargissement de l’éducation de base</v>
      </c>
      <c r="AC299" s="20" t="str">
        <f>D299 &amp; "-" &amp; VLOOKUP(D299,[4]STRATEGIES!$E$1:$F$504,2,FALSE)</f>
        <v>1413-Construction/réhabilitation/rénovation de salles de classe avec rampe d’accès au Collège en tenant compte de la prévention des catastrophes naturelles, y compris les FA</v>
      </c>
      <c r="AD299" s="21" t="str">
        <f t="shared" si="60"/>
        <v>14136-Equipement des salles de classe en mobiliers scolaires</v>
      </c>
    </row>
    <row r="300" spans="1:30" s="22" customFormat="1" ht="45" hidden="1" customHeight="1" x14ac:dyDescent="0.8">
      <c r="A300" s="14">
        <v>1</v>
      </c>
      <c r="B300" s="15">
        <v>14</v>
      </c>
      <c r="C300" s="15">
        <v>141</v>
      </c>
      <c r="D300" s="15">
        <v>1413</v>
      </c>
      <c r="E300" s="15">
        <v>14136</v>
      </c>
      <c r="F300" s="16" t="s">
        <v>415</v>
      </c>
      <c r="G300" s="21" t="s">
        <v>416</v>
      </c>
      <c r="H300" s="17" t="s">
        <v>417</v>
      </c>
      <c r="I300" s="18">
        <v>0</v>
      </c>
      <c r="J300" s="18">
        <f>J293</f>
        <v>21.6</v>
      </c>
      <c r="K300" s="18">
        <f>K293</f>
        <v>54</v>
      </c>
      <c r="L300" s="18">
        <f>L293</f>
        <v>32.4</v>
      </c>
      <c r="M300" s="18">
        <f t="shared" si="67"/>
        <v>108</v>
      </c>
      <c r="N300" s="18">
        <f>IF(OR(H300="",H300="sif",H300="PM"),0,VLOOKUP(H300,[5]CU!$C$4:$H$255,6,FALSE))</f>
        <v>35</v>
      </c>
      <c r="O300" s="18">
        <f t="shared" si="68"/>
        <v>0</v>
      </c>
      <c r="P300" s="18">
        <f t="shared" si="68"/>
        <v>756</v>
      </c>
      <c r="Q300" s="18">
        <f t="shared" si="68"/>
        <v>1890</v>
      </c>
      <c r="R300" s="18">
        <f t="shared" si="68"/>
        <v>1134</v>
      </c>
      <c r="S300" s="18">
        <f t="shared" si="69"/>
        <v>3780</v>
      </c>
      <c r="T300" s="23" t="s">
        <v>56</v>
      </c>
      <c r="U300" s="18" t="s">
        <v>397</v>
      </c>
      <c r="V300" s="18" t="str">
        <f>IF(OR($H300="",$H300="sif",$H300="PM"),"",VLOOKUP($H300,[5]CU!$C$5:$J$255,8,FALSE))</f>
        <v>5. Investissement</v>
      </c>
      <c r="W300" s="18" t="s">
        <v>98</v>
      </c>
      <c r="X300" s="18" t="s">
        <v>98</v>
      </c>
      <c r="Y300" s="19" t="s">
        <v>32</v>
      </c>
      <c r="Z300" s="18" t="str">
        <f>A300 &amp; "-" &amp; VLOOKUP(A300,[4]PROGRAMMES!$E$1:$F$7,2,FALSE)</f>
        <v>1-Accès et équité à l'enseignement général</v>
      </c>
      <c r="AA300" s="19" t="str">
        <f>B300 &amp; "-" &amp; VLOOKUP(B300,[4]SOUSPROGRAMMES!$E$1:$F$44,2,FALSE)</f>
        <v>14- Accès et équité au collège</v>
      </c>
      <c r="AB300" s="19" t="str">
        <f>C300 &amp; "-" &amp; VLOOKUP(C300,[4]RESULTATS!$E$1:$F$176,2,FALSE)</f>
        <v>141- L’accès au collège est amélioré en tenant compte de l’équité et de l’élargissement de l’éducation de base</v>
      </c>
      <c r="AC300" s="20" t="str">
        <f>D300 &amp; "-" &amp; VLOOKUP(D300,[4]STRATEGIES!$E$1:$F$504,2,FALSE)</f>
        <v>1413-Construction/réhabilitation/rénovation de salles de classe avec rampe d’accès au Collège en tenant compte de la prévention des catastrophes naturelles, y compris les FA</v>
      </c>
      <c r="AD300" s="21" t="str">
        <f t="shared" si="60"/>
        <v>14136-Equipement des salles de classe en mobiliers scolaires</v>
      </c>
    </row>
    <row r="301" spans="1:30" s="22" customFormat="1" ht="45" hidden="1" customHeight="1" x14ac:dyDescent="0.8">
      <c r="A301" s="14">
        <v>1</v>
      </c>
      <c r="B301" s="15">
        <v>14</v>
      </c>
      <c r="C301" s="15">
        <v>141</v>
      </c>
      <c r="D301" s="15">
        <v>1413</v>
      </c>
      <c r="E301" s="15">
        <v>14137</v>
      </c>
      <c r="F301" s="16" t="s">
        <v>418</v>
      </c>
      <c r="G301" s="21" t="s">
        <v>58</v>
      </c>
      <c r="H301" s="17" t="s">
        <v>110</v>
      </c>
      <c r="I301" s="18">
        <v>0</v>
      </c>
      <c r="J301" s="18"/>
      <c r="K301" s="18"/>
      <c r="L301" s="18"/>
      <c r="M301" s="18">
        <f>SUM(I301:L301)</f>
        <v>0</v>
      </c>
      <c r="N301" s="18">
        <f>IF(OR(H301="",H301="sif",H301="PM"),0,VLOOKUP(H301,[5]CU!$C$4:$H$255,6,FALSE))</f>
        <v>7.1760000000000002</v>
      </c>
      <c r="O301" s="18">
        <f t="shared" si="68"/>
        <v>0</v>
      </c>
      <c r="P301" s="18">
        <f t="shared" si="68"/>
        <v>0</v>
      </c>
      <c r="Q301" s="18">
        <f t="shared" si="68"/>
        <v>0</v>
      </c>
      <c r="R301" s="18">
        <f t="shared" si="68"/>
        <v>0</v>
      </c>
      <c r="S301" s="18">
        <f>SUM(O301:R301)</f>
        <v>0</v>
      </c>
      <c r="T301" s="23" t="s">
        <v>178</v>
      </c>
      <c r="U301" s="18" t="s">
        <v>397</v>
      </c>
      <c r="V301" s="18" t="str">
        <f>IF(OR($H301="",$H301="sif",$H301="PM"),"",VLOOKUP($H301,[5]CU!$C$5:$J$255,8,FALSE))</f>
        <v>3. Dépenses de fonctionnement</v>
      </c>
      <c r="W301" s="18" t="s">
        <v>98</v>
      </c>
      <c r="X301" s="18" t="s">
        <v>282</v>
      </c>
      <c r="Y301" s="19" t="s">
        <v>32</v>
      </c>
      <c r="Z301" s="18" t="str">
        <f>A301 &amp; "-" &amp; VLOOKUP(A301,[4]PROGRAMMES!$E$1:$F$7,2,FALSE)</f>
        <v>1-Accès et équité à l'enseignement général</v>
      </c>
      <c r="AA301" s="19" t="str">
        <f>B301 &amp; "-" &amp; VLOOKUP(B301,[4]SOUSPROGRAMMES!$E$1:$F$44,2,FALSE)</f>
        <v>14- Accès et équité au collège</v>
      </c>
      <c r="AB301" s="19" t="str">
        <f>C301 &amp; "-" &amp; VLOOKUP(C301,[4]RESULTATS!$E$1:$F$176,2,FALSE)</f>
        <v>141- L’accès au collège est amélioré en tenant compte de l’équité et de l’élargissement de l’éducation de base</v>
      </c>
      <c r="AC301" s="20" t="str">
        <f>D301 &amp; "-" &amp; VLOOKUP(D301,[4]STRATEGIES!$E$1:$F$504,2,FALSE)</f>
        <v>1413-Construction/réhabilitation/rénovation de salles de classe avec rampe d’accès au Collège en tenant compte de la prévention des catastrophes naturelles, y compris les FA</v>
      </c>
      <c r="AD301" s="21" t="str">
        <f t="shared" si="60"/>
        <v>14137-Supervision de la construction, réhabilitation et de l'équipement des salles de classe</v>
      </c>
    </row>
    <row r="302" spans="1:30" s="22" customFormat="1" ht="45" hidden="1" customHeight="1" x14ac:dyDescent="0.8">
      <c r="A302" s="14">
        <v>1</v>
      </c>
      <c r="B302" s="15">
        <v>14</v>
      </c>
      <c r="C302" s="15">
        <v>141</v>
      </c>
      <c r="D302" s="15">
        <v>1413</v>
      </c>
      <c r="E302" s="15">
        <v>14137</v>
      </c>
      <c r="F302" s="16" t="s">
        <v>418</v>
      </c>
      <c r="G302" s="21" t="s">
        <v>58</v>
      </c>
      <c r="H302" s="17" t="s">
        <v>110</v>
      </c>
      <c r="I302" s="18">
        <v>0</v>
      </c>
      <c r="J302" s="18"/>
      <c r="K302" s="18"/>
      <c r="L302" s="18"/>
      <c r="M302" s="18">
        <f>SUM(I302:L302)</f>
        <v>0</v>
      </c>
      <c r="N302" s="18">
        <f>IF(OR(H302="",H302="sif",H302="PM"),0,VLOOKUP(H302,[5]CU!$C$4:$H$255,6,FALSE))</f>
        <v>7.1760000000000002</v>
      </c>
      <c r="O302" s="18">
        <f t="shared" si="68"/>
        <v>0</v>
      </c>
      <c r="P302" s="18">
        <f t="shared" si="68"/>
        <v>0</v>
      </c>
      <c r="Q302" s="18">
        <f t="shared" si="68"/>
        <v>0</v>
      </c>
      <c r="R302" s="18">
        <f t="shared" si="68"/>
        <v>0</v>
      </c>
      <c r="S302" s="18">
        <f>SUM(O302:R302)</f>
        <v>0</v>
      </c>
      <c r="T302" s="23" t="s">
        <v>178</v>
      </c>
      <c r="U302" s="18" t="s">
        <v>397</v>
      </c>
      <c r="V302" s="18" t="str">
        <f>IF(OR($H302="",$H302="sif",$H302="PM"),"",VLOOKUP($H302,[5]CU!$C$5:$J$255,8,FALSE))</f>
        <v>3. Dépenses de fonctionnement</v>
      </c>
      <c r="W302" s="18" t="s">
        <v>98</v>
      </c>
      <c r="X302" s="18" t="s">
        <v>282</v>
      </c>
      <c r="Y302" s="19" t="s">
        <v>32</v>
      </c>
      <c r="Z302" s="18" t="str">
        <f>A302 &amp; "-" &amp; VLOOKUP(A302,[4]PROGRAMMES!$E$1:$F$7,2,FALSE)</f>
        <v>1-Accès et équité à l'enseignement général</v>
      </c>
      <c r="AA302" s="19" t="str">
        <f>B302 &amp; "-" &amp; VLOOKUP(B302,[4]SOUSPROGRAMMES!$E$1:$F$44,2,FALSE)</f>
        <v>14- Accès et équité au collège</v>
      </c>
      <c r="AB302" s="19" t="str">
        <f>C302 &amp; "-" &amp; VLOOKUP(C302,[4]RESULTATS!$E$1:$F$176,2,FALSE)</f>
        <v>141- L’accès au collège est amélioré en tenant compte de l’équité et de l’élargissement de l’éducation de base</v>
      </c>
      <c r="AC302" s="20" t="str">
        <f>D302 &amp; "-" &amp; VLOOKUP(D302,[4]STRATEGIES!$E$1:$F$504,2,FALSE)</f>
        <v>1413-Construction/réhabilitation/rénovation de salles de classe avec rampe d’accès au Collège en tenant compte de la prévention des catastrophes naturelles, y compris les FA</v>
      </c>
      <c r="AD302" s="21" t="str">
        <f t="shared" si="60"/>
        <v>14137-Supervision de la construction, réhabilitation et de l'équipement des salles de classe</v>
      </c>
    </row>
    <row r="303" spans="1:30" ht="45" hidden="1" customHeight="1" x14ac:dyDescent="0.8">
      <c r="A303" s="25">
        <v>1</v>
      </c>
      <c r="B303" s="16">
        <v>14</v>
      </c>
      <c r="C303" s="16">
        <v>141</v>
      </c>
      <c r="D303" s="16">
        <v>1413</v>
      </c>
      <c r="E303" s="16">
        <v>14137</v>
      </c>
      <c r="F303" s="16" t="s">
        <v>418</v>
      </c>
      <c r="G303" s="21" t="s">
        <v>58</v>
      </c>
      <c r="H303" s="21" t="s">
        <v>110</v>
      </c>
      <c r="I303" s="19">
        <v>0</v>
      </c>
      <c r="J303" s="19">
        <f>J299</f>
        <v>0</v>
      </c>
      <c r="K303" s="19">
        <f t="shared" ref="J303:L304" si="70">K299</f>
        <v>100</v>
      </c>
      <c r="L303" s="19">
        <f>L299</f>
        <v>100</v>
      </c>
      <c r="M303" s="19">
        <f>SUM(I303:L303)</f>
        <v>200</v>
      </c>
      <c r="N303" s="19">
        <f>IF(OR(H303="",H303="sif",H303="PM"),0,VLOOKUP(H303,[5]CU!$C$4:$H$255,6,FALSE))</f>
        <v>7.1760000000000002</v>
      </c>
      <c r="O303" s="19">
        <f t="shared" si="68"/>
        <v>0</v>
      </c>
      <c r="P303" s="19">
        <f t="shared" si="68"/>
        <v>0</v>
      </c>
      <c r="Q303" s="19">
        <f>$N303*K303</f>
        <v>717.6</v>
      </c>
      <c r="R303" s="19">
        <f t="shared" si="68"/>
        <v>717.6</v>
      </c>
      <c r="S303" s="19">
        <f>SUM(O303:R303)</f>
        <v>1435.2</v>
      </c>
      <c r="T303" s="26" t="s">
        <v>169</v>
      </c>
      <c r="U303" s="19" t="s">
        <v>397</v>
      </c>
      <c r="V303" s="19" t="str">
        <f>IF(OR($H303="",$H303="sif",$H303="PM"),"",VLOOKUP($H303,[5]CU!$C$5:$J$255,8,FALSE))</f>
        <v>3. Dépenses de fonctionnement</v>
      </c>
      <c r="W303" s="19" t="s">
        <v>98</v>
      </c>
      <c r="X303" s="19" t="s">
        <v>282</v>
      </c>
      <c r="Y303" s="19" t="s">
        <v>32</v>
      </c>
      <c r="Z303" s="19" t="str">
        <f>A303 &amp; "-" &amp; VLOOKUP(A303,[4]PROGRAMMES!$E$1:$F$7,2,FALSE)</f>
        <v>1-Accès et équité à l'enseignement général</v>
      </c>
      <c r="AA303" s="19" t="str">
        <f>B303 &amp; "-" &amp; VLOOKUP(B303,[4]SOUSPROGRAMMES!$E$1:$F$44,2,FALSE)</f>
        <v>14- Accès et équité au collège</v>
      </c>
      <c r="AB303" s="19" t="str">
        <f>C303 &amp; "-" &amp; VLOOKUP(C303,[4]RESULTATS!$E$1:$F$176,2,FALSE)</f>
        <v>141- L’accès au collège est amélioré en tenant compte de l’équité et de l’élargissement de l’éducation de base</v>
      </c>
      <c r="AC303" s="20" t="str">
        <f>D303 &amp; "-" &amp; VLOOKUP(D303,[4]STRATEGIES!$E$1:$F$504,2,FALSE)</f>
        <v>1413-Construction/réhabilitation/rénovation de salles de classe avec rampe d’accès au Collège en tenant compte de la prévention des catastrophes naturelles, y compris les FA</v>
      </c>
      <c r="AD303" s="21" t="str">
        <f t="shared" si="60"/>
        <v>14137-Supervision de la construction, réhabilitation et de l'équipement des salles de classe</v>
      </c>
    </row>
    <row r="304" spans="1:30" s="22" customFormat="1" ht="45" hidden="1" customHeight="1" x14ac:dyDescent="0.8">
      <c r="A304" s="14">
        <v>1</v>
      </c>
      <c r="B304" s="15">
        <v>14</v>
      </c>
      <c r="C304" s="15">
        <v>141</v>
      </c>
      <c r="D304" s="15">
        <v>1413</v>
      </c>
      <c r="E304" s="15">
        <v>14137</v>
      </c>
      <c r="F304" s="16" t="s">
        <v>418</v>
      </c>
      <c r="G304" s="21" t="s">
        <v>58</v>
      </c>
      <c r="H304" s="17" t="s">
        <v>110</v>
      </c>
      <c r="I304" s="18">
        <v>0</v>
      </c>
      <c r="J304" s="18">
        <f t="shared" si="70"/>
        <v>21.6</v>
      </c>
      <c r="K304" s="18">
        <f t="shared" si="70"/>
        <v>54</v>
      </c>
      <c r="L304" s="18">
        <f t="shared" si="70"/>
        <v>32.4</v>
      </c>
      <c r="M304" s="18">
        <f t="shared" si="67"/>
        <v>108</v>
      </c>
      <c r="N304" s="18">
        <f>IF(OR(H304="",H304="sif",H304="PM"),0,VLOOKUP(H304,[5]CU!$C$4:$H$255,6,FALSE))</f>
        <v>7.1760000000000002</v>
      </c>
      <c r="O304" s="18">
        <f t="shared" si="68"/>
        <v>0</v>
      </c>
      <c r="P304" s="18">
        <f t="shared" si="68"/>
        <v>155.00160000000002</v>
      </c>
      <c r="Q304" s="18">
        <f t="shared" si="68"/>
        <v>387.50400000000002</v>
      </c>
      <c r="R304" s="18">
        <f t="shared" si="68"/>
        <v>232.50239999999999</v>
      </c>
      <c r="S304" s="18">
        <f t="shared" si="69"/>
        <v>775.00800000000004</v>
      </c>
      <c r="T304" s="23" t="s">
        <v>56</v>
      </c>
      <c r="U304" s="18" t="s">
        <v>397</v>
      </c>
      <c r="V304" s="18" t="str">
        <f>IF(OR($H304="",$H304="sif",$H304="PM"),"",VLOOKUP($H304,[5]CU!$C$5:$J$255,8,FALSE))</f>
        <v>3. Dépenses de fonctionnement</v>
      </c>
      <c r="W304" s="18" t="s">
        <v>98</v>
      </c>
      <c r="X304" s="18" t="s">
        <v>282</v>
      </c>
      <c r="Y304" s="19" t="s">
        <v>32</v>
      </c>
      <c r="Z304" s="18" t="str">
        <f>A304 &amp; "-" &amp; VLOOKUP(A304,[4]PROGRAMMES!$E$1:$F$7,2,FALSE)</f>
        <v>1-Accès et équité à l'enseignement général</v>
      </c>
      <c r="AA304" s="19" t="str">
        <f>B304 &amp; "-" &amp; VLOOKUP(B304,[4]SOUSPROGRAMMES!$E$1:$F$44,2,FALSE)</f>
        <v>14- Accès et équité au collège</v>
      </c>
      <c r="AB304" s="19" t="str">
        <f>C304 &amp; "-" &amp; VLOOKUP(C304,[4]RESULTATS!$E$1:$F$176,2,FALSE)</f>
        <v>141- L’accès au collège est amélioré en tenant compte de l’équité et de l’élargissement de l’éducation de base</v>
      </c>
      <c r="AC304" s="20" t="str">
        <f>D304 &amp; "-" &amp; VLOOKUP(D304,[4]STRATEGIES!$E$1:$F$504,2,FALSE)</f>
        <v>1413-Construction/réhabilitation/rénovation de salles de classe avec rampe d’accès au Collège en tenant compte de la prévention des catastrophes naturelles, y compris les FA</v>
      </c>
      <c r="AD304" s="21" t="str">
        <f t="shared" si="60"/>
        <v>14137-Supervision de la construction, réhabilitation et de l'équipement des salles de classe</v>
      </c>
    </row>
    <row r="305" spans="1:30" s="22" customFormat="1" ht="45" hidden="1" customHeight="1" x14ac:dyDescent="0.8">
      <c r="A305" s="14">
        <v>1</v>
      </c>
      <c r="B305" s="15">
        <v>14</v>
      </c>
      <c r="C305" s="15">
        <v>142</v>
      </c>
      <c r="D305" s="15">
        <v>142</v>
      </c>
      <c r="E305" s="15">
        <v>142</v>
      </c>
      <c r="F305" s="16" t="s">
        <v>419</v>
      </c>
      <c r="G305" s="17"/>
      <c r="H305" s="17"/>
      <c r="I305" s="18">
        <v>0</v>
      </c>
      <c r="J305" s="18"/>
      <c r="K305" s="18"/>
      <c r="L305" s="18"/>
      <c r="M305" s="18"/>
      <c r="N305" s="18"/>
      <c r="O305" s="18"/>
      <c r="P305" s="18"/>
      <c r="Q305" s="18"/>
      <c r="R305" s="18"/>
      <c r="S305" s="24"/>
      <c r="T305" s="18"/>
      <c r="U305" s="18"/>
      <c r="V305" s="18"/>
      <c r="W305" s="18"/>
      <c r="X305" s="18"/>
      <c r="Y305" s="19" t="s">
        <v>32</v>
      </c>
      <c r="Z305" s="18" t="str">
        <f>A305 &amp; "-" &amp; VLOOKUP(A305,[4]PROGRAMMES!$E$1:$F$7,2,FALSE)</f>
        <v>1-Accès et équité à l'enseignement général</v>
      </c>
      <c r="AA305" s="19" t="str">
        <f>B305 &amp; "-" &amp; VLOOKUP(B305,[4]SOUSPROGRAMMES!$E$1:$F$44,2,FALSE)</f>
        <v>14- Accès et équité au collège</v>
      </c>
      <c r="AB305" s="19" t="str">
        <f>C305 &amp; "-" &amp; VLOOKUP(C305,[4]RESULTATS!$E$1:$F$176,2,FALSE)</f>
        <v xml:space="preserve">142- Tous les Collèges publics sont dotés en enseignants en nombre suffisant </v>
      </c>
      <c r="AC305" s="20" t="str">
        <f>D305 &amp; "-" &amp; VLOOKUP(D305,[4]STRATEGIES!$E$1:$F$504,2,FALSE)</f>
        <v xml:space="preserve">142- Tous les Collèges publics sont dotés en enseignants en nombre suffisant </v>
      </c>
      <c r="AD305" s="21" t="str">
        <f t="shared" si="60"/>
        <v xml:space="preserve">142- Tous les Collèges publics sont dotés en enseignants en nombre suffisant </v>
      </c>
    </row>
    <row r="306" spans="1:30" s="22" customFormat="1" ht="45" hidden="1" customHeight="1" x14ac:dyDescent="0.8">
      <c r="A306" s="14">
        <v>1</v>
      </c>
      <c r="B306" s="15">
        <v>14</v>
      </c>
      <c r="C306" s="15">
        <v>142</v>
      </c>
      <c r="D306" s="15">
        <v>1421</v>
      </c>
      <c r="E306" s="15">
        <v>1421</v>
      </c>
      <c r="F306" s="16" t="s">
        <v>420</v>
      </c>
      <c r="G306" s="17"/>
      <c r="H306" s="17"/>
      <c r="I306" s="18">
        <v>0</v>
      </c>
      <c r="J306" s="18"/>
      <c r="K306" s="18"/>
      <c r="L306" s="18"/>
      <c r="M306" s="18"/>
      <c r="N306" s="18"/>
      <c r="O306" s="18"/>
      <c r="P306" s="18"/>
      <c r="Q306" s="18"/>
      <c r="R306" s="18"/>
      <c r="S306" s="24"/>
      <c r="T306" s="18"/>
      <c r="U306" s="18"/>
      <c r="V306" s="18"/>
      <c r="W306" s="18"/>
      <c r="X306" s="18"/>
      <c r="Y306" s="19" t="s">
        <v>32</v>
      </c>
      <c r="Z306" s="18" t="str">
        <f>A306 &amp; "-" &amp; VLOOKUP(A306,[4]PROGRAMMES!$E$1:$F$7,2,FALSE)</f>
        <v>1-Accès et équité à l'enseignement général</v>
      </c>
      <c r="AA306" s="19" t="str">
        <f>B306 &amp; "-" &amp; VLOOKUP(B306,[4]SOUSPROGRAMMES!$E$1:$F$44,2,FALSE)</f>
        <v>14- Accès et équité au collège</v>
      </c>
      <c r="AB306" s="19" t="str">
        <f>C306 &amp; "-" &amp; VLOOKUP(C306,[4]RESULTATS!$E$1:$F$176,2,FALSE)</f>
        <v xml:space="preserve">142- Tous les Collèges publics sont dotés en enseignants en nombre suffisant </v>
      </c>
      <c r="AC306" s="20" t="str">
        <f>D306 &amp; "-" &amp; VLOOKUP(D306,[4]STRATEGIES!$E$1:$F$504,2,FALSE)</f>
        <v>1421-Recrutement d’enseignants en nombre suffisant</v>
      </c>
      <c r="AD306" s="21" t="str">
        <f t="shared" si="60"/>
        <v>1421-Recrutement d’enseignants en nombre suffisant</v>
      </c>
    </row>
    <row r="307" spans="1:30" s="22" customFormat="1" ht="45" hidden="1" customHeight="1" x14ac:dyDescent="0.8">
      <c r="A307" s="14">
        <v>1</v>
      </c>
      <c r="B307" s="15">
        <v>14</v>
      </c>
      <c r="C307" s="15">
        <v>142</v>
      </c>
      <c r="D307" s="15">
        <v>1421</v>
      </c>
      <c r="E307" s="15">
        <v>14211</v>
      </c>
      <c r="F307" s="16" t="s">
        <v>141</v>
      </c>
      <c r="G307" s="21" t="s">
        <v>88</v>
      </c>
      <c r="H307" s="17" t="s">
        <v>55</v>
      </c>
      <c r="I307" s="18">
        <v>0</v>
      </c>
      <c r="J307" s="18">
        <v>1</v>
      </c>
      <c r="K307" s="18">
        <v>1</v>
      </c>
      <c r="L307" s="18">
        <v>1</v>
      </c>
      <c r="M307" s="18">
        <f t="shared" si="67"/>
        <v>3</v>
      </c>
      <c r="N307" s="18">
        <f>IF(OR(H307="",H307="sif",H307="PM"),0,VLOOKUP(H307,[5]CU!$C$4:$H$255,6,FALSE))</f>
        <v>0</v>
      </c>
      <c r="O307" s="18"/>
      <c r="P307" s="18"/>
      <c r="Q307" s="18"/>
      <c r="R307" s="18"/>
      <c r="S307" s="24"/>
      <c r="T307" s="23" t="s">
        <v>56</v>
      </c>
      <c r="U307" s="18" t="s">
        <v>397</v>
      </c>
      <c r="V307" s="18" t="str">
        <f>IF(OR($H307="",$H307="sif",$H307="PM"),"",VLOOKUP($H307,[5]CU!$C$5:$J$255,8,FALSE))</f>
        <v/>
      </c>
      <c r="W307" s="18" t="s">
        <v>142</v>
      </c>
      <c r="X307" s="18" t="s">
        <v>421</v>
      </c>
      <c r="Y307" s="19" t="s">
        <v>32</v>
      </c>
      <c r="Z307" s="18" t="str">
        <f>A307 &amp; "-" &amp; VLOOKUP(A307,[4]PROGRAMMES!$E$1:$F$7,2,FALSE)</f>
        <v>1-Accès et équité à l'enseignement général</v>
      </c>
      <c r="AA307" s="19" t="str">
        <f>B307 &amp; "-" &amp; VLOOKUP(B307,[4]SOUSPROGRAMMES!$E$1:$F$44,2,FALSE)</f>
        <v>14- Accès et équité au collège</v>
      </c>
      <c r="AB307" s="19" t="str">
        <f>C307 &amp; "-" &amp; VLOOKUP(C307,[4]RESULTATS!$E$1:$F$176,2,FALSE)</f>
        <v xml:space="preserve">142- Tous les Collèges publics sont dotés en enseignants en nombre suffisant </v>
      </c>
      <c r="AC307" s="20" t="str">
        <f>D307 &amp; "-" &amp; VLOOKUP(D307,[4]STRATEGIES!$E$1:$F$504,2,FALSE)</f>
        <v>1421-Recrutement d’enseignants en nombre suffisant</v>
      </c>
      <c r="AD307" s="21" t="str">
        <f t="shared" si="60"/>
        <v>14211-Identification des besoins en tenant compte des capacités d'accueil</v>
      </c>
    </row>
    <row r="308" spans="1:30" s="22" customFormat="1" ht="45" hidden="1" customHeight="1" x14ac:dyDescent="0.8">
      <c r="A308" s="14">
        <v>1</v>
      </c>
      <c r="B308" s="15">
        <v>14</v>
      </c>
      <c r="C308" s="15">
        <v>142</v>
      </c>
      <c r="D308" s="15">
        <v>1421</v>
      </c>
      <c r="E308" s="15">
        <v>14212</v>
      </c>
      <c r="F308" s="16" t="s">
        <v>422</v>
      </c>
      <c r="G308" s="21" t="s">
        <v>423</v>
      </c>
      <c r="H308" s="17" t="s">
        <v>55</v>
      </c>
      <c r="I308" s="18">
        <v>0</v>
      </c>
      <c r="J308" s="18">
        <v>1</v>
      </c>
      <c r="K308" s="18">
        <v>1</v>
      </c>
      <c r="L308" s="18">
        <v>1</v>
      </c>
      <c r="M308" s="18">
        <f t="shared" si="67"/>
        <v>3</v>
      </c>
      <c r="N308" s="18">
        <f>IF(OR(H308="",H308="sif",H308="PM"),0,VLOOKUP(H308,[5]CU!$C$4:$H$255,6,FALSE))</f>
        <v>0</v>
      </c>
      <c r="O308" s="18"/>
      <c r="P308" s="18"/>
      <c r="Q308" s="18"/>
      <c r="R308" s="18"/>
      <c r="S308" s="24"/>
      <c r="T308" s="23" t="s">
        <v>56</v>
      </c>
      <c r="U308" s="18" t="s">
        <v>397</v>
      </c>
      <c r="V308" s="18" t="str">
        <f>IF(OR($H308="",$H308="sif",$H308="PM"),"",VLOOKUP($H308,[5]CU!$C$5:$J$255,8,FALSE))</f>
        <v/>
      </c>
      <c r="W308" s="18" t="s">
        <v>142</v>
      </c>
      <c r="X308" s="18" t="s">
        <v>282</v>
      </c>
      <c r="Y308" s="19" t="s">
        <v>32</v>
      </c>
      <c r="Z308" s="18" t="str">
        <f>A308 &amp; "-" &amp; VLOOKUP(A308,[4]PROGRAMMES!$E$1:$F$7,2,FALSE)</f>
        <v>1-Accès et équité à l'enseignement général</v>
      </c>
      <c r="AA308" s="19" t="str">
        <f>B308 &amp; "-" &amp; VLOOKUP(B308,[4]SOUSPROGRAMMES!$E$1:$F$44,2,FALSE)</f>
        <v>14- Accès et équité au collège</v>
      </c>
      <c r="AB308" s="19" t="str">
        <f>C308 &amp; "-" &amp; VLOOKUP(C308,[4]RESULTATS!$E$1:$F$176,2,FALSE)</f>
        <v xml:space="preserve">142- Tous les Collèges publics sont dotés en enseignants en nombre suffisant </v>
      </c>
      <c r="AC308" s="20" t="str">
        <f>D308 &amp; "-" &amp; VLOOKUP(D308,[4]STRATEGIES!$E$1:$F$504,2,FALSE)</f>
        <v>1421-Recrutement d’enseignants en nombre suffisant</v>
      </c>
      <c r="AD308" s="21" t="str">
        <f t="shared" si="60"/>
        <v xml:space="preserve">14212-Organisation de concours de recrutement des enseignants au niveau déconcentré/décentralisé </v>
      </c>
    </row>
    <row r="309" spans="1:30" s="22" customFormat="1" ht="45" hidden="1" customHeight="1" x14ac:dyDescent="0.8">
      <c r="A309" s="14">
        <v>1</v>
      </c>
      <c r="B309" s="15">
        <v>14</v>
      </c>
      <c r="C309" s="15">
        <v>142</v>
      </c>
      <c r="D309" s="15">
        <v>1421</v>
      </c>
      <c r="E309" s="15">
        <v>14213</v>
      </c>
      <c r="F309" s="16" t="s">
        <v>145</v>
      </c>
      <c r="G309" s="21" t="s">
        <v>146</v>
      </c>
      <c r="H309" s="17" t="s">
        <v>424</v>
      </c>
      <c r="I309" s="18">
        <v>0</v>
      </c>
      <c r="J309" s="18">
        <v>1103</v>
      </c>
      <c r="K309" s="18">
        <v>1198</v>
      </c>
      <c r="L309" s="18">
        <v>1292</v>
      </c>
      <c r="M309" s="18">
        <f t="shared" si="67"/>
        <v>3593</v>
      </c>
      <c r="N309" s="18">
        <f>IF(OR(H309="",H309="sif",H309="PM"),0,VLOOKUP(H309,[5]CU!$C$4:$H$255,6,FALSE))</f>
        <v>24.008179985529882</v>
      </c>
      <c r="O309" s="18">
        <f t="shared" ref="O309:R313" si="71">$N309*I309</f>
        <v>0</v>
      </c>
      <c r="P309" s="18">
        <f t="shared" si="71"/>
        <v>26481.022524039461</v>
      </c>
      <c r="Q309" s="18">
        <f t="shared" si="71"/>
        <v>28761.799622664799</v>
      </c>
      <c r="R309" s="18">
        <f t="shared" si="71"/>
        <v>31018.568541304609</v>
      </c>
      <c r="S309" s="24">
        <f>SUM(O309:R309)</f>
        <v>86261.390688008862</v>
      </c>
      <c r="T309" s="23" t="s">
        <v>56</v>
      </c>
      <c r="U309" s="18" t="s">
        <v>397</v>
      </c>
      <c r="V309" s="18" t="str">
        <f>IF(OR($H309="",$H309="sif",$H309="PM"),"",VLOOKUP($H309,[5]CU!$C$5:$J$255,8,FALSE))</f>
        <v>2. Personnel</v>
      </c>
      <c r="W309" s="18" t="s">
        <v>142</v>
      </c>
      <c r="X309" s="18" t="s">
        <v>144</v>
      </c>
      <c r="Y309" s="19" t="s">
        <v>32</v>
      </c>
      <c r="Z309" s="18" t="str">
        <f>A309 &amp; "-" &amp; VLOOKUP(A309,[4]PROGRAMMES!$E$1:$F$7,2,FALSE)</f>
        <v>1-Accès et équité à l'enseignement général</v>
      </c>
      <c r="AA309" s="19" t="str">
        <f>B309 &amp; "-" &amp; VLOOKUP(B309,[4]SOUSPROGRAMMES!$E$1:$F$44,2,FALSE)</f>
        <v>14- Accès et équité au collège</v>
      </c>
      <c r="AB309" s="19" t="str">
        <f>C309 &amp; "-" &amp; VLOOKUP(C309,[4]RESULTATS!$E$1:$F$176,2,FALSE)</f>
        <v xml:space="preserve">142- Tous les Collèges publics sont dotés en enseignants en nombre suffisant </v>
      </c>
      <c r="AC309" s="20" t="str">
        <f>D309 &amp; "-" &amp; VLOOKUP(D309,[4]STRATEGIES!$E$1:$F$504,2,FALSE)</f>
        <v>1421-Recrutement d’enseignants en nombre suffisant</v>
      </c>
      <c r="AD309" s="21" t="str">
        <f t="shared" si="60"/>
        <v>14213-Prise en charge des candidats retenus après leur prise de service</v>
      </c>
    </row>
    <row r="310" spans="1:30" s="22" customFormat="1" ht="45" hidden="1" customHeight="1" x14ac:dyDescent="0.8">
      <c r="A310" s="14">
        <v>1</v>
      </c>
      <c r="B310" s="15">
        <v>14</v>
      </c>
      <c r="C310" s="15">
        <v>142</v>
      </c>
      <c r="D310" s="15">
        <v>1421</v>
      </c>
      <c r="E310" s="15">
        <v>14214</v>
      </c>
      <c r="F310" s="16" t="s">
        <v>425</v>
      </c>
      <c r="G310" s="21" t="s">
        <v>146</v>
      </c>
      <c r="H310" s="17" t="s">
        <v>426</v>
      </c>
      <c r="I310" s="18">
        <v>0</v>
      </c>
      <c r="J310" s="18">
        <v>0.90884271076613798</v>
      </c>
      <c r="K310" s="18">
        <v>1.03044911307633</v>
      </c>
      <c r="L310" s="18">
        <v>1.1660636487281899</v>
      </c>
      <c r="M310" s="18">
        <f t="shared" si="67"/>
        <v>3.1053554725706576</v>
      </c>
      <c r="N310" s="18">
        <f>IF(OR(H310="",H310="sif",H310="PM"),0,VLOOKUP(H310,[5]CU!$C$4:$H$255,6,FALSE))</f>
        <v>217355.719702717</v>
      </c>
      <c r="O310" s="18">
        <f t="shared" si="71"/>
        <v>0</v>
      </c>
      <c r="P310" s="18">
        <f t="shared" si="71"/>
        <v>197542.16149514218</v>
      </c>
      <c r="Q310" s="18">
        <f t="shared" si="71"/>
        <v>223974.00858973214</v>
      </c>
      <c r="R310" s="18">
        <f t="shared" si="71"/>
        <v>253450.60358849191</v>
      </c>
      <c r="S310" s="24">
        <f>SUM(O310:R310)</f>
        <v>674966.77367336629</v>
      </c>
      <c r="T310" s="23" t="s">
        <v>56</v>
      </c>
      <c r="U310" s="18" t="s">
        <v>397</v>
      </c>
      <c r="V310" s="18" t="str">
        <f>IF(OR($H310="",$H310="sif",$H310="PM"),"",VLOOKUP($H310,[5]CU!$C$5:$J$255,8,FALSE))</f>
        <v>2. Personnel</v>
      </c>
      <c r="W310" s="18" t="s">
        <v>142</v>
      </c>
      <c r="X310" s="18" t="s">
        <v>144</v>
      </c>
      <c r="Y310" s="19" t="s">
        <v>32</v>
      </c>
      <c r="Z310" s="18" t="str">
        <f>A310 &amp; "-" &amp; VLOOKUP(A310,[4]PROGRAMMES!$E$1:$F$7,2,FALSE)</f>
        <v>1-Accès et équité à l'enseignement général</v>
      </c>
      <c r="AA310" s="19" t="str">
        <f>B310 &amp; "-" &amp; VLOOKUP(B310,[4]SOUSPROGRAMMES!$E$1:$F$44,2,FALSE)</f>
        <v>14- Accès et équité au collège</v>
      </c>
      <c r="AB310" s="19" t="str">
        <f>C310 &amp; "-" &amp; VLOOKUP(C310,[4]RESULTATS!$E$1:$F$176,2,FALSE)</f>
        <v xml:space="preserve">142- Tous les Collèges publics sont dotés en enseignants en nombre suffisant </v>
      </c>
      <c r="AC310" s="20" t="str">
        <f>D310 &amp; "-" &amp; VLOOKUP(D310,[4]STRATEGIES!$E$1:$F$504,2,FALSE)</f>
        <v>1421-Recrutement d’enseignants en nombre suffisant</v>
      </c>
      <c r="AD310" s="21" t="str">
        <f t="shared" si="60"/>
        <v>14214-Prise en charge du personnel en service dans les établissements du premier cycle du secondaire</v>
      </c>
    </row>
    <row r="311" spans="1:30" ht="45" hidden="1" customHeight="1" x14ac:dyDescent="0.8">
      <c r="A311" s="25">
        <v>1</v>
      </c>
      <c r="B311" s="16">
        <v>14</v>
      </c>
      <c r="C311" s="16">
        <v>142</v>
      </c>
      <c r="D311" s="16">
        <v>1421</v>
      </c>
      <c r="E311" s="16">
        <v>14215</v>
      </c>
      <c r="F311" s="16" t="s">
        <v>243</v>
      </c>
      <c r="G311" s="21" t="s">
        <v>58</v>
      </c>
      <c r="H311" s="21" t="s">
        <v>59</v>
      </c>
      <c r="I311" s="19">
        <v>0</v>
      </c>
      <c r="J311" s="19"/>
      <c r="K311" s="19">
        <f>8*4*5*2</f>
        <v>320</v>
      </c>
      <c r="L311" s="19">
        <f>8*4*5</f>
        <v>160</v>
      </c>
      <c r="M311" s="19">
        <f t="shared" si="67"/>
        <v>480</v>
      </c>
      <c r="N311" s="19">
        <f>IF(OR(H311="",H311="sif",H311="PM"),0,VLOOKUP(H311,[5]CU!$C$4:$H$255,6,FALSE))</f>
        <v>0.8177777777777776</v>
      </c>
      <c r="O311" s="19">
        <f t="shared" si="71"/>
        <v>0</v>
      </c>
      <c r="P311" s="19">
        <f t="shared" si="71"/>
        <v>0</v>
      </c>
      <c r="Q311" s="19">
        <f>$N311*K311</f>
        <v>261.68888888888881</v>
      </c>
      <c r="R311" s="19">
        <f t="shared" si="71"/>
        <v>130.84444444444441</v>
      </c>
      <c r="S311" s="31">
        <f>SUM(O311:R311)</f>
        <v>392.53333333333319</v>
      </c>
      <c r="T311" s="26" t="s">
        <v>169</v>
      </c>
      <c r="U311" s="19" t="s">
        <v>397</v>
      </c>
      <c r="V311" s="19" t="str">
        <f>IF(OR($H311="",$H311="sif",$H311="PM"),"",VLOOKUP($H311,[5]CU!$C$5:$J$255,8,FALSE))</f>
        <v>3. Dépenses de fonctionnement</v>
      </c>
      <c r="W311" s="19" t="s">
        <v>142</v>
      </c>
      <c r="X311" s="19" t="s">
        <v>421</v>
      </c>
      <c r="Y311" s="19" t="s">
        <v>32</v>
      </c>
      <c r="Z311" s="19" t="str">
        <f>A311 &amp; "-" &amp; VLOOKUP(A311,[4]PROGRAMMES!$E$1:$F$7,2,FALSE)</f>
        <v>1-Accès et équité à l'enseignement général</v>
      </c>
      <c r="AA311" s="19" t="str">
        <f>B311 &amp; "-" &amp; VLOOKUP(B311,[4]SOUSPROGRAMMES!$E$1:$F$44,2,FALSE)</f>
        <v>14- Accès et équité au collège</v>
      </c>
      <c r="AB311" s="19" t="str">
        <f>C311 &amp; "-" &amp; VLOOKUP(C311,[4]RESULTATS!$E$1:$F$176,2,FALSE)</f>
        <v xml:space="preserve">142- Tous les Collèges publics sont dotés en enseignants en nombre suffisant </v>
      </c>
      <c r="AC311" s="20" t="str">
        <f>D311 &amp; "-" &amp; VLOOKUP(D311,[4]STRATEGIES!$E$1:$F$504,2,FALSE)</f>
        <v>1421-Recrutement d’enseignants en nombre suffisant</v>
      </c>
      <c r="AD311" s="21" t="str">
        <f t="shared" si="60"/>
        <v>14215-Suivi de l'allocation des enseignants</v>
      </c>
    </row>
    <row r="312" spans="1:30" s="22" customFormat="1" ht="45" hidden="1" customHeight="1" x14ac:dyDescent="0.8">
      <c r="A312" s="14">
        <v>1</v>
      </c>
      <c r="B312" s="15">
        <v>14</v>
      </c>
      <c r="C312" s="15">
        <v>142</v>
      </c>
      <c r="D312" s="15">
        <v>1422</v>
      </c>
      <c r="E312" s="15">
        <v>1422</v>
      </c>
      <c r="F312" s="16" t="s">
        <v>427</v>
      </c>
      <c r="G312" s="17"/>
      <c r="H312" s="17"/>
      <c r="I312" s="18">
        <v>0</v>
      </c>
      <c r="J312" s="18"/>
      <c r="K312" s="18"/>
      <c r="L312" s="18"/>
      <c r="M312" s="18"/>
      <c r="N312" s="18"/>
      <c r="O312" s="18"/>
      <c r="P312" s="18"/>
      <c r="Q312" s="18"/>
      <c r="R312" s="18"/>
      <c r="S312" s="24"/>
      <c r="T312" s="18"/>
      <c r="U312" s="18"/>
      <c r="V312" s="18"/>
      <c r="W312" s="18"/>
      <c r="X312" s="18"/>
      <c r="Y312" s="19" t="s">
        <v>32</v>
      </c>
      <c r="Z312" s="18" t="str">
        <f>A312 &amp; "-" &amp; VLOOKUP(A312,[4]PROGRAMMES!$E$1:$F$7,2,FALSE)</f>
        <v>1-Accès et équité à l'enseignement général</v>
      </c>
      <c r="AA312" s="19" t="str">
        <f>B312 &amp; "-" &amp; VLOOKUP(B312,[4]SOUSPROGRAMMES!$E$1:$F$44,2,FALSE)</f>
        <v>14- Accès et équité au collège</v>
      </c>
      <c r="AB312" s="19" t="str">
        <f>C312 &amp; "-" &amp; VLOOKUP(C312,[4]RESULTATS!$E$1:$F$176,2,FALSE)</f>
        <v xml:space="preserve">142- Tous les Collèges publics sont dotés en enseignants en nombre suffisant </v>
      </c>
      <c r="AC312" s="20" t="str">
        <f>D312 &amp; "-" &amp; VLOOKUP(D312,[4]STRATEGIES!$E$1:$F$504,2,FALSE)</f>
        <v>1422-Prise en charge progressive des enseignants contractuels communautaire</v>
      </c>
      <c r="AD312" s="21" t="str">
        <f t="shared" si="60"/>
        <v>1422-Prise en charge progressive des enseignants contractuels communautaire</v>
      </c>
    </row>
    <row r="313" spans="1:30" s="22" customFormat="1" ht="45" hidden="1" customHeight="1" x14ac:dyDescent="0.8">
      <c r="A313" s="14">
        <v>1</v>
      </c>
      <c r="B313" s="15">
        <v>14</v>
      </c>
      <c r="C313" s="15">
        <v>142</v>
      </c>
      <c r="D313" s="15">
        <v>1422</v>
      </c>
      <c r="E313" s="15">
        <v>14221</v>
      </c>
      <c r="F313" s="16" t="s">
        <v>428</v>
      </c>
      <c r="G313" s="21" t="s">
        <v>58</v>
      </c>
      <c r="H313" s="17" t="s">
        <v>59</v>
      </c>
      <c r="I313" s="18">
        <v>0</v>
      </c>
      <c r="J313" s="18">
        <f>4*10*8</f>
        <v>320</v>
      </c>
      <c r="K313" s="18"/>
      <c r="L313" s="18"/>
      <c r="M313" s="18">
        <f t="shared" si="67"/>
        <v>320</v>
      </c>
      <c r="N313" s="18">
        <f>IF(OR(H313="",H313="sif",H313="PM"),0,VLOOKUP(H313,[5]CU!$C$4:$H$255,6,FALSE))</f>
        <v>0.8177777777777776</v>
      </c>
      <c r="O313" s="18">
        <f t="shared" si="71"/>
        <v>0</v>
      </c>
      <c r="P313" s="18">
        <f t="shared" si="71"/>
        <v>261.68888888888881</v>
      </c>
      <c r="Q313" s="18">
        <f t="shared" si="71"/>
        <v>0</v>
      </c>
      <c r="R313" s="18">
        <f t="shared" si="71"/>
        <v>0</v>
      </c>
      <c r="S313" s="24">
        <f>SUM(O313:R313)</f>
        <v>261.68888888888881</v>
      </c>
      <c r="T313" s="23" t="s">
        <v>56</v>
      </c>
      <c r="U313" s="18" t="s">
        <v>397</v>
      </c>
      <c r="V313" s="18" t="str">
        <f>IF(OR($H313="",$H313="sif",$H313="PM"),"",VLOOKUP($H313,[5]CU!$C$5:$J$255,8,FALSE))</f>
        <v>3. Dépenses de fonctionnement</v>
      </c>
      <c r="W313" s="18" t="s">
        <v>142</v>
      </c>
      <c r="X313" s="18" t="s">
        <v>429</v>
      </c>
      <c r="Y313" s="19" t="s">
        <v>32</v>
      </c>
      <c r="Z313" s="18" t="str">
        <f>A313 &amp; "-" &amp; VLOOKUP(A313,[4]PROGRAMMES!$E$1:$F$7,2,FALSE)</f>
        <v>1-Accès et équité à l'enseignement général</v>
      </c>
      <c r="AA313" s="19" t="str">
        <f>B313 &amp; "-" &amp; VLOOKUP(B313,[4]SOUSPROGRAMMES!$E$1:$F$44,2,FALSE)</f>
        <v>14- Accès et équité au collège</v>
      </c>
      <c r="AB313" s="19" t="str">
        <f>C313 &amp; "-" &amp; VLOOKUP(C313,[4]RESULTATS!$E$1:$F$176,2,FALSE)</f>
        <v xml:space="preserve">142- Tous les Collèges publics sont dotés en enseignants en nombre suffisant </v>
      </c>
      <c r="AC313" s="20" t="str">
        <f>D313 &amp; "-" &amp; VLOOKUP(D313,[4]STRATEGIES!$E$1:$F$504,2,FALSE)</f>
        <v>1422-Prise en charge progressive des enseignants contractuels communautaire</v>
      </c>
      <c r="AD313" s="21" t="str">
        <f t="shared" si="60"/>
        <v>14221-Identification et évaluation des enseignants contractuels communautaire en service</v>
      </c>
    </row>
    <row r="314" spans="1:30" s="22" customFormat="1" ht="45" hidden="1" customHeight="1" x14ac:dyDescent="0.8">
      <c r="A314" s="14">
        <v>1</v>
      </c>
      <c r="B314" s="15">
        <v>14</v>
      </c>
      <c r="C314" s="15">
        <v>142</v>
      </c>
      <c r="D314" s="15">
        <v>1422</v>
      </c>
      <c r="E314" s="15">
        <v>14222</v>
      </c>
      <c r="F314" s="16" t="s">
        <v>430</v>
      </c>
      <c r="G314" s="21" t="s">
        <v>159</v>
      </c>
      <c r="H314" s="17" t="s">
        <v>55</v>
      </c>
      <c r="I314" s="18">
        <v>0</v>
      </c>
      <c r="J314" s="18">
        <v>1</v>
      </c>
      <c r="K314" s="18">
        <v>1</v>
      </c>
      <c r="L314" s="18">
        <v>1</v>
      </c>
      <c r="M314" s="18">
        <f t="shared" si="67"/>
        <v>3</v>
      </c>
      <c r="N314" s="18">
        <f>IF(OR(H314="",H314="sif",H314="PM"),0,VLOOKUP(H314,[5]CU!$C$4:$H$255,6,FALSE))</f>
        <v>0</v>
      </c>
      <c r="O314" s="18"/>
      <c r="P314" s="18"/>
      <c r="Q314" s="18"/>
      <c r="R314" s="18"/>
      <c r="S314" s="24"/>
      <c r="T314" s="23" t="s">
        <v>56</v>
      </c>
      <c r="U314" s="18" t="s">
        <v>397</v>
      </c>
      <c r="V314" s="18" t="str">
        <f>IF(OR($H314="",$H314="sif",$H314="PM"),"",VLOOKUP($H314,[5]CU!$C$5:$J$255,8,FALSE))</f>
        <v/>
      </c>
      <c r="W314" s="18" t="s">
        <v>142</v>
      </c>
      <c r="X314" s="18" t="s">
        <v>431</v>
      </c>
      <c r="Y314" s="19" t="s">
        <v>32</v>
      </c>
      <c r="Z314" s="18" t="str">
        <f>A314 &amp; "-" &amp; VLOOKUP(A314,[4]PROGRAMMES!$E$1:$F$7,2,FALSE)</f>
        <v>1-Accès et équité à l'enseignement général</v>
      </c>
      <c r="AA314" s="19" t="str">
        <f>B314 &amp; "-" &amp; VLOOKUP(B314,[4]SOUSPROGRAMMES!$E$1:$F$44,2,FALSE)</f>
        <v>14- Accès et équité au collège</v>
      </c>
      <c r="AB314" s="19" t="str">
        <f>C314 &amp; "-" &amp; VLOOKUP(C314,[4]RESULTATS!$E$1:$F$176,2,FALSE)</f>
        <v xml:space="preserve">142- Tous les Collèges publics sont dotés en enseignants en nombre suffisant </v>
      </c>
      <c r="AC314" s="20" t="str">
        <f>D314 &amp; "-" &amp; VLOOKUP(D314,[4]STRATEGIES!$E$1:$F$504,2,FALSE)</f>
        <v>1422-Prise en charge progressive des enseignants contractuels communautaire</v>
      </c>
      <c r="AD314" s="21" t="str">
        <f t="shared" si="60"/>
        <v>14222-Formation des enseignants communautaires en service ayant les qualifications nécessaires à l'ISSEG (Budget ISSEG)</v>
      </c>
    </row>
    <row r="315" spans="1:30" s="22" customFormat="1" ht="45" hidden="1" customHeight="1" x14ac:dyDescent="0.8">
      <c r="A315" s="14">
        <v>1</v>
      </c>
      <c r="B315" s="15">
        <v>14</v>
      </c>
      <c r="C315" s="15">
        <v>142</v>
      </c>
      <c r="D315" s="15">
        <v>1422</v>
      </c>
      <c r="E315" s="15">
        <v>14223</v>
      </c>
      <c r="F315" s="16" t="s">
        <v>432</v>
      </c>
      <c r="G315" s="21" t="s">
        <v>92</v>
      </c>
      <c r="H315" s="17" t="s">
        <v>55</v>
      </c>
      <c r="I315" s="18">
        <v>0</v>
      </c>
      <c r="J315" s="18"/>
      <c r="K315" s="18"/>
      <c r="L315" s="18">
        <v>1</v>
      </c>
      <c r="M315" s="18">
        <f t="shared" si="67"/>
        <v>1</v>
      </c>
      <c r="N315" s="18">
        <f>IF(OR(H315="",H315="sif",H315="PM"),0,VLOOKUP(H315,[5]CU!$C$4:$H$255,6,FALSE))</f>
        <v>0</v>
      </c>
      <c r="O315" s="18"/>
      <c r="P315" s="18"/>
      <c r="Q315" s="18"/>
      <c r="R315" s="18"/>
      <c r="S315" s="24"/>
      <c r="T315" s="23" t="s">
        <v>56</v>
      </c>
      <c r="U315" s="18" t="s">
        <v>397</v>
      </c>
      <c r="V315" s="18" t="str">
        <f>IF(OR($H315="",$H315="sif",$H315="PM"),"",VLOOKUP($H315,[5]CU!$C$5:$J$255,8,FALSE))</f>
        <v/>
      </c>
      <c r="W315" s="18" t="s">
        <v>142</v>
      </c>
      <c r="X315" s="18" t="s">
        <v>144</v>
      </c>
      <c r="Y315" s="19" t="s">
        <v>32</v>
      </c>
      <c r="Z315" s="18" t="str">
        <f>A315 &amp; "-" &amp; VLOOKUP(A315,[4]PROGRAMMES!$E$1:$F$7,2,FALSE)</f>
        <v>1-Accès et équité à l'enseignement général</v>
      </c>
      <c r="AA315" s="19" t="str">
        <f>B315 &amp; "-" &amp; VLOOKUP(B315,[4]SOUSPROGRAMMES!$E$1:$F$44,2,FALSE)</f>
        <v>14- Accès et équité au collège</v>
      </c>
      <c r="AB315" s="19" t="str">
        <f>C315 &amp; "-" &amp; VLOOKUP(C315,[4]RESULTATS!$E$1:$F$176,2,FALSE)</f>
        <v xml:space="preserve">142- Tous les Collèges publics sont dotés en enseignants en nombre suffisant </v>
      </c>
      <c r="AC315" s="20" t="str">
        <f>D315 &amp; "-" &amp; VLOOKUP(D315,[4]STRATEGIES!$E$1:$F$504,2,FALSE)</f>
        <v>1422-Prise en charge progressive des enseignants contractuels communautaire</v>
      </c>
      <c r="AD315" s="21" t="str">
        <f t="shared" si="60"/>
        <v>14223-Prise en charge des élèves-enseignants certifiés après leur reprise de service (pris en compte dans activité 14213)</v>
      </c>
    </row>
    <row r="316" spans="1:30" s="22" customFormat="1" ht="45" hidden="1" customHeight="1" x14ac:dyDescent="0.8">
      <c r="A316" s="14">
        <v>1</v>
      </c>
      <c r="B316" s="15">
        <v>14</v>
      </c>
      <c r="C316" s="15">
        <v>142</v>
      </c>
      <c r="D316" s="15">
        <v>1423</v>
      </c>
      <c r="E316" s="15">
        <v>1423</v>
      </c>
      <c r="F316" s="16" t="s">
        <v>250</v>
      </c>
      <c r="G316" s="17"/>
      <c r="H316" s="17"/>
      <c r="I316" s="18">
        <v>0</v>
      </c>
      <c r="J316" s="18"/>
      <c r="K316" s="18"/>
      <c r="L316" s="18"/>
      <c r="M316" s="18"/>
      <c r="N316" s="18"/>
      <c r="O316" s="18"/>
      <c r="P316" s="18"/>
      <c r="Q316" s="18"/>
      <c r="R316" s="18"/>
      <c r="S316" s="24"/>
      <c r="T316" s="18"/>
      <c r="U316" s="18"/>
      <c r="V316" s="18"/>
      <c r="W316" s="18"/>
      <c r="X316" s="18"/>
      <c r="Y316" s="19" t="s">
        <v>32</v>
      </c>
      <c r="Z316" s="18" t="str">
        <f>A316 &amp; "-" &amp; VLOOKUP(A316,[4]PROGRAMMES!$E$1:$F$7,2,FALSE)</f>
        <v>1-Accès et équité à l'enseignement général</v>
      </c>
      <c r="AA316" s="19" t="str">
        <f>B316 &amp; "-" &amp; VLOOKUP(B316,[4]SOUSPROGRAMMES!$E$1:$F$44,2,FALSE)</f>
        <v>14- Accès et équité au collège</v>
      </c>
      <c r="AB316" s="19" t="str">
        <f>C316 &amp; "-" &amp; VLOOKUP(C316,[4]RESULTATS!$E$1:$F$176,2,FALSE)</f>
        <v xml:space="preserve">142- Tous les Collèges publics sont dotés en enseignants en nombre suffisant </v>
      </c>
      <c r="AC316" s="20" t="str">
        <f>D316 &amp; "-" &amp; VLOOKUP(D316,[4]STRATEGIES!$E$1:$F$504,2,FALSE)</f>
        <v>1423-Optimisation de l’utilisation des enseignants</v>
      </c>
      <c r="AD316" s="21" t="str">
        <f t="shared" si="60"/>
        <v>1423-Optimisation de l’utilisation des enseignants</v>
      </c>
    </row>
    <row r="317" spans="1:30" ht="45" hidden="1" customHeight="1" x14ac:dyDescent="0.8">
      <c r="A317" s="25">
        <v>1</v>
      </c>
      <c r="B317" s="16">
        <v>14</v>
      </c>
      <c r="C317" s="16">
        <v>142</v>
      </c>
      <c r="D317" s="16">
        <v>1423</v>
      </c>
      <c r="E317" s="16">
        <v>14231</v>
      </c>
      <c r="F317" s="16" t="s">
        <v>433</v>
      </c>
      <c r="G317" s="21" t="s">
        <v>37</v>
      </c>
      <c r="H317" s="21" t="s">
        <v>66</v>
      </c>
      <c r="I317" s="19">
        <v>0</v>
      </c>
      <c r="J317" s="19">
        <f>10*3*1</f>
        <v>30</v>
      </c>
      <c r="K317" s="19"/>
      <c r="L317" s="19"/>
      <c r="M317" s="19">
        <f t="shared" si="67"/>
        <v>30</v>
      </c>
      <c r="N317" s="19">
        <f>IF(OR(H317="",H317="sif",H317="PM"),0,VLOOKUP(H317,[5]CU!$C$4:$H$255,6,FALSE))</f>
        <v>0.255</v>
      </c>
      <c r="O317" s="19">
        <f t="shared" ref="O317:R320" si="72">$N317*I317</f>
        <v>0</v>
      </c>
      <c r="P317" s="19">
        <f t="shared" si="72"/>
        <v>7.65</v>
      </c>
      <c r="Q317" s="19">
        <f t="shared" si="72"/>
        <v>0</v>
      </c>
      <c r="R317" s="19">
        <f t="shared" si="72"/>
        <v>0</v>
      </c>
      <c r="S317" s="31">
        <f>SUM(O317:R317)</f>
        <v>7.65</v>
      </c>
      <c r="T317" s="26" t="s">
        <v>169</v>
      </c>
      <c r="U317" s="19" t="s">
        <v>397</v>
      </c>
      <c r="V317" s="19" t="str">
        <f>IF(OR($H317="",$H317="sif",$H317="PM"),"",VLOOKUP($H317,[5]CU!$C$5:$J$255,8,FALSE))</f>
        <v>3. Dépenses de fonctionnement</v>
      </c>
      <c r="W317" s="19" t="s">
        <v>398</v>
      </c>
      <c r="X317" s="19" t="s">
        <v>273</v>
      </c>
      <c r="Y317" s="19" t="s">
        <v>32</v>
      </c>
      <c r="Z317" s="19" t="str">
        <f>A317 &amp; "-" &amp; VLOOKUP(A317,[4]PROGRAMMES!$E$1:$F$7,2,FALSE)</f>
        <v>1-Accès et équité à l'enseignement général</v>
      </c>
      <c r="AA317" s="19" t="str">
        <f>B317 &amp; "-" &amp; VLOOKUP(B317,[4]SOUSPROGRAMMES!$E$1:$F$44,2,FALSE)</f>
        <v>14- Accès et équité au collège</v>
      </c>
      <c r="AB317" s="19" t="str">
        <f>C317 &amp; "-" &amp; VLOOKUP(C317,[4]RESULTATS!$E$1:$F$176,2,FALSE)</f>
        <v xml:space="preserve">142- Tous les Collèges publics sont dotés en enseignants en nombre suffisant </v>
      </c>
      <c r="AC317" s="20" t="str">
        <f>D317 &amp; "-" &amp; VLOOKUP(D317,[4]STRATEGIES!$E$1:$F$504,2,FALSE)</f>
        <v>1423-Optimisation de l’utilisation des enseignants</v>
      </c>
      <c r="AD317" s="21" t="str">
        <f t="shared" si="60"/>
        <v>14231-DéFinition des normes et critères de fonctionnement des Collèges (Ratio élèves/GP maximum, minimum, double-vacation.)</v>
      </c>
    </row>
    <row r="318" spans="1:30" ht="45" hidden="1" customHeight="1" x14ac:dyDescent="0.8">
      <c r="A318" s="25">
        <v>1</v>
      </c>
      <c r="B318" s="16">
        <v>14</v>
      </c>
      <c r="C318" s="16">
        <v>142</v>
      </c>
      <c r="D318" s="16">
        <v>1423</v>
      </c>
      <c r="E318" s="16">
        <v>14232</v>
      </c>
      <c r="F318" s="16" t="s">
        <v>434</v>
      </c>
      <c r="G318" s="21" t="s">
        <v>37</v>
      </c>
      <c r="H318" s="21" t="s">
        <v>66</v>
      </c>
      <c r="I318" s="19">
        <v>0</v>
      </c>
      <c r="J318" s="19">
        <f>40*2*1</f>
        <v>80</v>
      </c>
      <c r="K318" s="19"/>
      <c r="L318" s="19"/>
      <c r="M318" s="19">
        <f t="shared" si="67"/>
        <v>80</v>
      </c>
      <c r="N318" s="19">
        <f>IF(OR(H318="",H318="sif",H318="PM"),0,VLOOKUP(H318,[5]CU!$C$4:$H$255,6,FALSE))</f>
        <v>0.255</v>
      </c>
      <c r="O318" s="19">
        <f t="shared" si="72"/>
        <v>0</v>
      </c>
      <c r="P318" s="19">
        <f t="shared" si="72"/>
        <v>20.399999999999999</v>
      </c>
      <c r="Q318" s="19">
        <f t="shared" si="72"/>
        <v>0</v>
      </c>
      <c r="R318" s="19">
        <f t="shared" si="72"/>
        <v>0</v>
      </c>
      <c r="S318" s="31">
        <f>SUM(O318:R318)</f>
        <v>20.399999999999999</v>
      </c>
      <c r="T318" s="26" t="s">
        <v>169</v>
      </c>
      <c r="U318" s="19" t="s">
        <v>397</v>
      </c>
      <c r="V318" s="19" t="str">
        <f>IF(OR($H318="",$H318="sif",$H318="PM"),"",VLOOKUP($H318,[5]CU!$C$5:$J$255,8,FALSE))</f>
        <v>3. Dépenses de fonctionnement</v>
      </c>
      <c r="W318" s="19" t="s">
        <v>398</v>
      </c>
      <c r="X318" s="19" t="s">
        <v>273</v>
      </c>
      <c r="Y318" s="19" t="s">
        <v>32</v>
      </c>
      <c r="Z318" s="19" t="str">
        <f>A318 &amp; "-" &amp; VLOOKUP(A318,[4]PROGRAMMES!$E$1:$F$7,2,FALSE)</f>
        <v>1-Accès et équité à l'enseignement général</v>
      </c>
      <c r="AA318" s="19" t="str">
        <f>B318 &amp; "-" &amp; VLOOKUP(B318,[4]SOUSPROGRAMMES!$E$1:$F$44,2,FALSE)</f>
        <v>14- Accès et équité au collège</v>
      </c>
      <c r="AB318" s="19" t="str">
        <f>C318 &amp; "-" &amp; VLOOKUP(C318,[4]RESULTATS!$E$1:$F$176,2,FALSE)</f>
        <v xml:space="preserve">142- Tous les Collèges publics sont dotés en enseignants en nombre suffisant </v>
      </c>
      <c r="AC318" s="20" t="str">
        <f>D318 &amp; "-" &amp; VLOOKUP(D318,[4]STRATEGIES!$E$1:$F$504,2,FALSE)</f>
        <v>1423-Optimisation de l’utilisation des enseignants</v>
      </c>
      <c r="AD318" s="21" t="str">
        <f t="shared" si="60"/>
        <v>14232-Validation des normes et critères de fonctionnement des Collèges (Ratio élèves/GP maximum, minimum, double-vacation.)</v>
      </c>
    </row>
    <row r="319" spans="1:30" ht="45" hidden="1" customHeight="1" x14ac:dyDescent="0.8">
      <c r="A319" s="25">
        <v>1</v>
      </c>
      <c r="B319" s="16">
        <v>14</v>
      </c>
      <c r="C319" s="16">
        <v>142</v>
      </c>
      <c r="D319" s="16">
        <v>1423</v>
      </c>
      <c r="E319" s="16">
        <v>14233</v>
      </c>
      <c r="F319" s="16" t="s">
        <v>435</v>
      </c>
      <c r="G319" s="21" t="s">
        <v>436</v>
      </c>
      <c r="H319" s="21" t="s">
        <v>352</v>
      </c>
      <c r="I319" s="19">
        <v>0</v>
      </c>
      <c r="J319" s="19"/>
      <c r="K319" s="19">
        <f>20*3*4</f>
        <v>240</v>
      </c>
      <c r="L319" s="19"/>
      <c r="M319" s="19">
        <f t="shared" si="67"/>
        <v>240</v>
      </c>
      <c r="N319" s="19">
        <f>IF(OR(H319="",H319="sif",H319="PM"),0,VLOOKUP(H319,[5]CU!$C$4:$H$255,6,FALSE))</f>
        <v>0.54600000000000004</v>
      </c>
      <c r="O319" s="19">
        <f t="shared" si="72"/>
        <v>0</v>
      </c>
      <c r="P319" s="19">
        <f t="shared" si="72"/>
        <v>0</v>
      </c>
      <c r="Q319" s="19">
        <f t="shared" si="72"/>
        <v>131.04000000000002</v>
      </c>
      <c r="R319" s="19">
        <f t="shared" si="72"/>
        <v>0</v>
      </c>
      <c r="S319" s="31">
        <f>SUM(O319:R319)</f>
        <v>131.04000000000002</v>
      </c>
      <c r="T319" s="26" t="s">
        <v>169</v>
      </c>
      <c r="U319" s="19" t="s">
        <v>397</v>
      </c>
      <c r="V319" s="19" t="str">
        <f>IF(OR($H319="",$H319="sif",$H319="PM"),"",VLOOKUP($H319,[5]CU!$C$5:$J$255,8,FALSE))</f>
        <v>3. Formation</v>
      </c>
      <c r="W319" s="19" t="s">
        <v>398</v>
      </c>
      <c r="X319" s="19" t="s">
        <v>398</v>
      </c>
      <c r="Y319" s="19" t="s">
        <v>32</v>
      </c>
      <c r="Z319" s="19" t="str">
        <f>A319 &amp; "-" &amp; VLOOKUP(A319,[4]PROGRAMMES!$E$1:$F$7,2,FALSE)</f>
        <v>1-Accès et équité à l'enseignement général</v>
      </c>
      <c r="AA319" s="19" t="str">
        <f>B319 &amp; "-" &amp; VLOOKUP(B319,[4]SOUSPROGRAMMES!$E$1:$F$44,2,FALSE)</f>
        <v>14- Accès et équité au collège</v>
      </c>
      <c r="AB319" s="19" t="str">
        <f>C319 &amp; "-" &amp; VLOOKUP(C319,[4]RESULTATS!$E$1:$F$176,2,FALSE)</f>
        <v xml:space="preserve">142- Tous les Collèges publics sont dotés en enseignants en nombre suffisant </v>
      </c>
      <c r="AC319" s="20" t="str">
        <f>D319 &amp; "-" &amp; VLOOKUP(D319,[4]STRATEGIES!$E$1:$F$504,2,FALSE)</f>
        <v>1423-Optimisation de l’utilisation des enseignants</v>
      </c>
      <c r="AD319" s="21" t="str">
        <f t="shared" si="60"/>
        <v>14233-Formation des encadreurs au niveau IRE, DPE/DCE sur la stratégie d'optimisation de l'utilisation des ressources (salles, enseignants)</v>
      </c>
    </row>
    <row r="320" spans="1:30" ht="45" hidden="1" customHeight="1" x14ac:dyDescent="0.8">
      <c r="A320" s="25">
        <v>1</v>
      </c>
      <c r="B320" s="16">
        <v>14</v>
      </c>
      <c r="C320" s="16">
        <v>142</v>
      </c>
      <c r="D320" s="16">
        <v>1423</v>
      </c>
      <c r="E320" s="16">
        <v>14234</v>
      </c>
      <c r="F320" s="16" t="s">
        <v>437</v>
      </c>
      <c r="G320" s="21" t="s">
        <v>92</v>
      </c>
      <c r="H320" s="21" t="s">
        <v>55</v>
      </c>
      <c r="I320" s="19">
        <v>0</v>
      </c>
      <c r="J320" s="19">
        <v>1</v>
      </c>
      <c r="K320" s="19">
        <v>1</v>
      </c>
      <c r="L320" s="19">
        <v>1</v>
      </c>
      <c r="M320" s="19">
        <f t="shared" si="67"/>
        <v>3</v>
      </c>
      <c r="N320" s="19">
        <f>IF(OR(H320="",H320="sif",H320="PM"),0,VLOOKUP(H320,[5]CU!$C$4:$H$255,6,FALSE))</f>
        <v>0</v>
      </c>
      <c r="O320" s="19"/>
      <c r="P320" s="19"/>
      <c r="Q320" s="19">
        <f t="shared" si="72"/>
        <v>0</v>
      </c>
      <c r="R320" s="19"/>
      <c r="S320" s="31"/>
      <c r="T320" s="26" t="s">
        <v>169</v>
      </c>
      <c r="U320" s="19" t="s">
        <v>397</v>
      </c>
      <c r="V320" s="19" t="str">
        <f>IF(OR($H320="",$H320="sif",$H320="PM"),"",VLOOKUP($H320,[5]CU!$C$5:$J$255,8,FALSE))</f>
        <v/>
      </c>
      <c r="W320" s="19" t="s">
        <v>398</v>
      </c>
      <c r="X320" s="19" t="s">
        <v>282</v>
      </c>
      <c r="Y320" s="19" t="s">
        <v>32</v>
      </c>
      <c r="Z320" s="19" t="str">
        <f>A320 &amp; "-" &amp; VLOOKUP(A320,[4]PROGRAMMES!$E$1:$F$7,2,FALSE)</f>
        <v>1-Accès et équité à l'enseignement général</v>
      </c>
      <c r="AA320" s="19" t="str">
        <f>B320 &amp; "-" &amp; VLOOKUP(B320,[4]SOUSPROGRAMMES!$E$1:$F$44,2,FALSE)</f>
        <v>14- Accès et équité au collège</v>
      </c>
      <c r="AB320" s="19" t="str">
        <f>C320 &amp; "-" &amp; VLOOKUP(C320,[4]RESULTATS!$E$1:$F$176,2,FALSE)</f>
        <v xml:space="preserve">142- Tous les Collèges publics sont dotés en enseignants en nombre suffisant </v>
      </c>
      <c r="AC320" s="20" t="str">
        <f>D320 &amp; "-" &amp; VLOOKUP(D320,[4]STRATEGIES!$E$1:$F$504,2,FALSE)</f>
        <v>1423-Optimisation de l’utilisation des enseignants</v>
      </c>
      <c r="AD320" s="21" t="str">
        <f t="shared" si="60"/>
        <v>14234-Supervision de l'utilisation des enseignants et salles de classe (pris en compte dans budget structures déconcentrées)</v>
      </c>
    </row>
    <row r="321" spans="1:30" s="22" customFormat="1" ht="45" hidden="1" customHeight="1" x14ac:dyDescent="0.8">
      <c r="A321" s="14">
        <v>1</v>
      </c>
      <c r="B321" s="15">
        <v>14</v>
      </c>
      <c r="C321" s="15">
        <v>142</v>
      </c>
      <c r="D321" s="15">
        <v>1424</v>
      </c>
      <c r="E321" s="15">
        <v>1424</v>
      </c>
      <c r="F321" s="16" t="s">
        <v>259</v>
      </c>
      <c r="G321" s="17"/>
      <c r="H321" s="17"/>
      <c r="I321" s="18">
        <v>0</v>
      </c>
      <c r="J321" s="18"/>
      <c r="K321" s="18"/>
      <c r="L321" s="18"/>
      <c r="M321" s="18"/>
      <c r="N321" s="18"/>
      <c r="O321" s="18"/>
      <c r="P321" s="18"/>
      <c r="Q321" s="18"/>
      <c r="R321" s="18"/>
      <c r="S321" s="24"/>
      <c r="T321" s="18"/>
      <c r="U321" s="18"/>
      <c r="V321" s="18"/>
      <c r="W321" s="18"/>
      <c r="X321" s="18"/>
      <c r="Y321" s="19" t="s">
        <v>32</v>
      </c>
      <c r="Z321" s="18" t="str">
        <f>A321 &amp; "-" &amp; VLOOKUP(A321,[4]PROGRAMMES!$E$1:$F$7,2,FALSE)</f>
        <v>1-Accès et équité à l'enseignement général</v>
      </c>
      <c r="AA321" s="19" t="str">
        <f>B321 &amp; "-" &amp; VLOOKUP(B321,[4]SOUSPROGRAMMES!$E$1:$F$44,2,FALSE)</f>
        <v>14- Accès et équité au collège</v>
      </c>
      <c r="AB321" s="19" t="str">
        <f>C321 &amp; "-" &amp; VLOOKUP(C321,[4]RESULTATS!$E$1:$F$176,2,FALSE)</f>
        <v xml:space="preserve">142- Tous les Collèges publics sont dotés en enseignants en nombre suffisant </v>
      </c>
      <c r="AC321" s="20" t="str">
        <f>D321 &amp; "-" &amp; VLOOKUP(D321,[4]STRATEGIES!$E$1:$F$504,2,FALSE)</f>
        <v>1424-Renforcement des mesures incitatives pour le maintien des enseignants dans les zones difficiles</v>
      </c>
      <c r="AD321" s="21" t="str">
        <f t="shared" si="60"/>
        <v>1424-Renforcement des mesures incitatives pour le maintien des enseignants dans les zones difficiles</v>
      </c>
    </row>
    <row r="322" spans="1:30" ht="45" hidden="1" customHeight="1" x14ac:dyDescent="0.8">
      <c r="A322" s="25">
        <v>1</v>
      </c>
      <c r="B322" s="16">
        <v>14</v>
      </c>
      <c r="C322" s="16">
        <v>142</v>
      </c>
      <c r="D322" s="16">
        <v>1424</v>
      </c>
      <c r="E322" s="16">
        <v>14241</v>
      </c>
      <c r="F322" s="16" t="s">
        <v>438</v>
      </c>
      <c r="G322" s="21" t="s">
        <v>159</v>
      </c>
      <c r="H322" s="21" t="s">
        <v>55</v>
      </c>
      <c r="I322" s="19">
        <v>0</v>
      </c>
      <c r="J322" s="19">
        <v>1</v>
      </c>
      <c r="K322" s="19">
        <v>1</v>
      </c>
      <c r="L322" s="19">
        <v>1</v>
      </c>
      <c r="M322" s="19">
        <f t="shared" si="67"/>
        <v>3</v>
      </c>
      <c r="N322" s="19">
        <f>IF(OR(H322="",H322="sif",H322="PM"),0,VLOOKUP(H322,[5]CU!$C$4:$H$255,6,FALSE))</f>
        <v>0</v>
      </c>
      <c r="O322" s="19"/>
      <c r="P322" s="19"/>
      <c r="Q322" s="19">
        <f t="shared" ref="Q322:Q324" si="73">$N322*K322</f>
        <v>0</v>
      </c>
      <c r="R322" s="19"/>
      <c r="S322" s="31"/>
      <c r="T322" s="26" t="s">
        <v>169</v>
      </c>
      <c r="U322" s="19" t="s">
        <v>397</v>
      </c>
      <c r="V322" s="19" t="str">
        <f>IF(OR($H322="",$H322="sif",$H322="PM"),"",VLOOKUP($H322,[5]CU!$C$5:$J$255,8,FALSE))</f>
        <v/>
      </c>
      <c r="W322" s="19" t="s">
        <v>142</v>
      </c>
      <c r="X322" s="19" t="s">
        <v>142</v>
      </c>
      <c r="Y322" s="19" t="s">
        <v>32</v>
      </c>
      <c r="Z322" s="19" t="str">
        <f>A322 &amp; "-" &amp; VLOOKUP(A322,[4]PROGRAMMES!$E$1:$F$7,2,FALSE)</f>
        <v>1-Accès et équité à l'enseignement général</v>
      </c>
      <c r="AA322" s="19" t="str">
        <f>B322 &amp; "-" &amp; VLOOKUP(B322,[4]SOUSPROGRAMMES!$E$1:$F$44,2,FALSE)</f>
        <v>14- Accès et équité au collège</v>
      </c>
      <c r="AB322" s="19" t="str">
        <f>C322 &amp; "-" &amp; VLOOKUP(C322,[4]RESULTATS!$E$1:$F$176,2,FALSE)</f>
        <v xml:space="preserve">142- Tous les Collèges publics sont dotés en enseignants en nombre suffisant </v>
      </c>
      <c r="AC322" s="20" t="str">
        <f>D322 &amp; "-" &amp; VLOOKUP(D322,[4]STRATEGIES!$E$1:$F$504,2,FALSE)</f>
        <v>1424-Renforcement des mesures incitatives pour le maintien des enseignants dans les zones difficiles</v>
      </c>
      <c r="AD322" s="21" t="str">
        <f t="shared" si="60"/>
        <v>14241-Identification des mesures incitatives pour le maintien des enseignants dans les zones difficiles en concertation avec les syndicats, y compris la prime de zone (voir activité 12341)</v>
      </c>
    </row>
    <row r="323" spans="1:30" ht="45" hidden="1" customHeight="1" x14ac:dyDescent="0.8">
      <c r="A323" s="25">
        <v>1</v>
      </c>
      <c r="B323" s="16">
        <v>14</v>
      </c>
      <c r="C323" s="16">
        <v>142</v>
      </c>
      <c r="D323" s="16">
        <v>1424</v>
      </c>
      <c r="E323" s="16">
        <v>14242</v>
      </c>
      <c r="F323" s="16" t="s">
        <v>439</v>
      </c>
      <c r="G323" s="21" t="s">
        <v>159</v>
      </c>
      <c r="H323" s="21" t="s">
        <v>55</v>
      </c>
      <c r="I323" s="19">
        <v>0</v>
      </c>
      <c r="J323" s="19">
        <v>1</v>
      </c>
      <c r="K323" s="19">
        <v>1</v>
      </c>
      <c r="L323" s="19">
        <v>1</v>
      </c>
      <c r="M323" s="19">
        <f t="shared" si="67"/>
        <v>3</v>
      </c>
      <c r="N323" s="19">
        <f>IF(OR(H323="",H323="sif",H323="PM"),0,VLOOKUP(H323,[5]CU!$C$4:$H$255,6,FALSE))</f>
        <v>0</v>
      </c>
      <c r="O323" s="19"/>
      <c r="P323" s="19"/>
      <c r="Q323" s="19">
        <f t="shared" si="73"/>
        <v>0</v>
      </c>
      <c r="R323" s="19"/>
      <c r="S323" s="31"/>
      <c r="T323" s="26" t="s">
        <v>169</v>
      </c>
      <c r="U323" s="19" t="s">
        <v>397</v>
      </c>
      <c r="V323" s="19" t="str">
        <f>IF(OR($H323="",$H323="sif",$H323="PM"),"",VLOOKUP($H323,[5]CU!$C$5:$J$255,8,FALSE))</f>
        <v/>
      </c>
      <c r="W323" s="19" t="s">
        <v>142</v>
      </c>
      <c r="X323" s="19" t="s">
        <v>144</v>
      </c>
      <c r="Y323" s="19" t="s">
        <v>32</v>
      </c>
      <c r="Z323" s="19" t="str">
        <f>A323 &amp; "-" &amp; VLOOKUP(A323,[4]PROGRAMMES!$E$1:$F$7,2,FALSE)</f>
        <v>1-Accès et équité à l'enseignement général</v>
      </c>
      <c r="AA323" s="19" t="str">
        <f>B323 &amp; "-" &amp; VLOOKUP(B323,[4]SOUSPROGRAMMES!$E$1:$F$44,2,FALSE)</f>
        <v>14- Accès et équité au collège</v>
      </c>
      <c r="AB323" s="19" t="str">
        <f>C323 &amp; "-" &amp; VLOOKUP(C323,[4]RESULTATS!$E$1:$F$176,2,FALSE)</f>
        <v xml:space="preserve">142- Tous les Collèges publics sont dotés en enseignants en nombre suffisant </v>
      </c>
      <c r="AC323" s="20" t="str">
        <f>D323 &amp; "-" &amp; VLOOKUP(D323,[4]STRATEGIES!$E$1:$F$504,2,FALSE)</f>
        <v>1424-Renforcement des mesures incitatives pour le maintien des enseignants dans les zones difficiles</v>
      </c>
      <c r="AD323" s="21" t="str">
        <f t="shared" si="60"/>
        <v>14242-Validation et adoption des mesures incitatives (activité 12342 et 12343)</v>
      </c>
    </row>
    <row r="324" spans="1:30" ht="45" hidden="1" customHeight="1" x14ac:dyDescent="0.8">
      <c r="A324" s="25">
        <v>1</v>
      </c>
      <c r="B324" s="16">
        <v>14</v>
      </c>
      <c r="C324" s="16">
        <v>142</v>
      </c>
      <c r="D324" s="16">
        <v>1424</v>
      </c>
      <c r="E324" s="16">
        <v>14243</v>
      </c>
      <c r="F324" s="16" t="s">
        <v>440</v>
      </c>
      <c r="G324" s="21" t="s">
        <v>159</v>
      </c>
      <c r="H324" s="21" t="s">
        <v>55</v>
      </c>
      <c r="I324" s="19">
        <v>0</v>
      </c>
      <c r="J324" s="19">
        <v>1</v>
      </c>
      <c r="K324" s="19">
        <v>1</v>
      </c>
      <c r="L324" s="19">
        <v>1</v>
      </c>
      <c r="M324" s="19">
        <f t="shared" si="67"/>
        <v>3</v>
      </c>
      <c r="N324" s="19">
        <f>IF(OR(H324="",H324="sif",H324="PM"),0,VLOOKUP(H324,[5]CU!$C$4:$H$255,6,FALSE))</f>
        <v>0</v>
      </c>
      <c r="O324" s="19"/>
      <c r="P324" s="19"/>
      <c r="Q324" s="19">
        <f t="shared" si="73"/>
        <v>0</v>
      </c>
      <c r="R324" s="19"/>
      <c r="S324" s="31"/>
      <c r="T324" s="26" t="s">
        <v>169</v>
      </c>
      <c r="U324" s="19" t="s">
        <v>397</v>
      </c>
      <c r="V324" s="19" t="str">
        <f>IF(OR($H324="",$H324="sif",$H324="PM"),"",VLOOKUP($H324,[5]CU!$C$5:$J$255,8,FALSE))</f>
        <v/>
      </c>
      <c r="W324" s="19" t="s">
        <v>142</v>
      </c>
      <c r="X324" s="19" t="s">
        <v>96</v>
      </c>
      <c r="Y324" s="19" t="s">
        <v>32</v>
      </c>
      <c r="Z324" s="19" t="str">
        <f>A324 &amp; "-" &amp; VLOOKUP(A324,[4]PROGRAMMES!$E$1:$F$7,2,FALSE)</f>
        <v>1-Accès et équité à l'enseignement général</v>
      </c>
      <c r="AA324" s="19" t="str">
        <f>B324 &amp; "-" &amp; VLOOKUP(B324,[4]SOUSPROGRAMMES!$E$1:$F$44,2,FALSE)</f>
        <v>14- Accès et équité au collège</v>
      </c>
      <c r="AB324" s="19" t="str">
        <f>C324 &amp; "-" &amp; VLOOKUP(C324,[4]RESULTATS!$E$1:$F$176,2,FALSE)</f>
        <v xml:space="preserve">142- Tous les Collèges publics sont dotés en enseignants en nombre suffisant </v>
      </c>
      <c r="AC324" s="20" t="str">
        <f>D324 &amp; "-" &amp; VLOOKUP(D324,[4]STRATEGIES!$E$1:$F$504,2,FALSE)</f>
        <v>1424-Renforcement des mesures incitatives pour le maintien des enseignants dans les zones difficiles</v>
      </c>
      <c r="AD324" s="21" t="str">
        <f t="shared" ref="AD324:AD387" si="74">E324 &amp; "-" &amp; F324</f>
        <v>14243-Identification des enseignants dans zones difficiles devant bénéficier des avantages (voir activité 12345)</v>
      </c>
    </row>
    <row r="325" spans="1:30" s="22" customFormat="1" ht="45" hidden="1" customHeight="1" x14ac:dyDescent="0.8">
      <c r="A325" s="14">
        <v>1</v>
      </c>
      <c r="B325" s="15">
        <v>14</v>
      </c>
      <c r="C325" s="15">
        <v>142</v>
      </c>
      <c r="D325" s="15">
        <v>1424</v>
      </c>
      <c r="E325" s="15">
        <v>14244</v>
      </c>
      <c r="F325" s="16" t="s">
        <v>267</v>
      </c>
      <c r="G325" s="21" t="s">
        <v>159</v>
      </c>
      <c r="H325" s="17" t="s">
        <v>55</v>
      </c>
      <c r="I325" s="18">
        <v>0</v>
      </c>
      <c r="J325" s="18"/>
      <c r="K325" s="18"/>
      <c r="L325" s="18"/>
      <c r="M325" s="18"/>
      <c r="N325" s="18">
        <f>IF(OR(H325="",H325="sif",H325="PM"),0,VLOOKUP(H325,[5]CU!$C$4:$H$255,6,FALSE))</f>
        <v>0</v>
      </c>
      <c r="O325" s="18"/>
      <c r="P325" s="18"/>
      <c r="Q325" s="18"/>
      <c r="R325" s="18"/>
      <c r="S325" s="24"/>
      <c r="T325" s="23" t="s">
        <v>56</v>
      </c>
      <c r="U325" s="18" t="s">
        <v>397</v>
      </c>
      <c r="V325" s="18" t="str">
        <f>IF(OR($H325="",$H325="sif",$H325="PM"),"",VLOOKUP($H325,[5]CU!$C$5:$J$255,8,FALSE))</f>
        <v/>
      </c>
      <c r="W325" s="18" t="s">
        <v>142</v>
      </c>
      <c r="X325" s="18" t="s">
        <v>441</v>
      </c>
      <c r="Y325" s="19" t="s">
        <v>32</v>
      </c>
      <c r="Z325" s="18" t="str">
        <f>A325 &amp; "-" &amp; VLOOKUP(A325,[4]PROGRAMMES!$E$1:$F$7,2,FALSE)</f>
        <v>1-Accès et équité à l'enseignement général</v>
      </c>
      <c r="AA325" s="19" t="str">
        <f>B325 &amp; "-" &amp; VLOOKUP(B325,[4]SOUSPROGRAMMES!$E$1:$F$44,2,FALSE)</f>
        <v>14- Accès et équité au collège</v>
      </c>
      <c r="AB325" s="19" t="str">
        <f>C325 &amp; "-" &amp; VLOOKUP(C325,[4]RESULTATS!$E$1:$F$176,2,FALSE)</f>
        <v xml:space="preserve">142- Tous les Collèges publics sont dotés en enseignants en nombre suffisant </v>
      </c>
      <c r="AC325" s="20" t="str">
        <f>D325 &amp; "-" &amp; VLOOKUP(D325,[4]STRATEGIES!$E$1:$F$504,2,FALSE)</f>
        <v>1424-Renforcement des mesures incitatives pour le maintien des enseignants dans les zones difficiles</v>
      </c>
      <c r="AD325" s="21" t="str">
        <f t="shared" si="74"/>
        <v>14244-Octroi des avantages aux enseignants évoluant dans les zones difficiles (pris en compte dans le salaire moyen des enseignants)</v>
      </c>
    </row>
    <row r="326" spans="1:30" s="22" customFormat="1" ht="45" hidden="1" customHeight="1" x14ac:dyDescent="0.8">
      <c r="A326" s="14">
        <v>1</v>
      </c>
      <c r="B326" s="15">
        <v>14</v>
      </c>
      <c r="C326" s="15">
        <v>142</v>
      </c>
      <c r="D326" s="15">
        <v>1424</v>
      </c>
      <c r="E326" s="15">
        <v>14245</v>
      </c>
      <c r="F326" s="16" t="s">
        <v>442</v>
      </c>
      <c r="G326" s="21" t="s">
        <v>159</v>
      </c>
      <c r="H326" s="17" t="s">
        <v>55</v>
      </c>
      <c r="I326" s="18">
        <v>0</v>
      </c>
      <c r="J326" s="18"/>
      <c r="K326" s="18">
        <v>1</v>
      </c>
      <c r="L326" s="18">
        <v>1</v>
      </c>
      <c r="M326" s="18">
        <f t="shared" ref="M326:M336" si="75">SUM(I326:L326)</f>
        <v>2</v>
      </c>
      <c r="N326" s="18">
        <f>IF(OR(H326="",H326="sif",H326="PM"),0,VLOOKUP(H326,[5]CU!$C$4:$H$255,6,FALSE))</f>
        <v>0</v>
      </c>
      <c r="O326" s="18"/>
      <c r="P326" s="18"/>
      <c r="Q326" s="18"/>
      <c r="R326" s="18"/>
      <c r="S326" s="24"/>
      <c r="T326" s="23" t="s">
        <v>56</v>
      </c>
      <c r="U326" s="18" t="s">
        <v>397</v>
      </c>
      <c r="V326" s="18" t="str">
        <f>IF(OR($H326="",$H326="sif",$H326="PM"),"",VLOOKUP($H326,[5]CU!$C$5:$J$255,8,FALSE))</f>
        <v/>
      </c>
      <c r="W326" s="18" t="s">
        <v>142</v>
      </c>
      <c r="X326" s="18" t="s">
        <v>142</v>
      </c>
      <c r="Y326" s="19" t="s">
        <v>32</v>
      </c>
      <c r="Z326" s="18" t="str">
        <f>A326 &amp; "-" &amp; VLOOKUP(A326,[4]PROGRAMMES!$E$1:$F$7,2,FALSE)</f>
        <v>1-Accès et équité à l'enseignement général</v>
      </c>
      <c r="AA326" s="19" t="str">
        <f>B326 &amp; "-" &amp; VLOOKUP(B326,[4]SOUSPROGRAMMES!$E$1:$F$44,2,FALSE)</f>
        <v>14- Accès et équité au collège</v>
      </c>
      <c r="AB326" s="19" t="str">
        <f>C326 &amp; "-" &amp; VLOOKUP(C326,[4]RESULTATS!$E$1:$F$176,2,FALSE)</f>
        <v xml:space="preserve">142- Tous les Collèges publics sont dotés en enseignants en nombre suffisant </v>
      </c>
      <c r="AC326" s="20" t="str">
        <f>D326 &amp; "-" &amp; VLOOKUP(D326,[4]STRATEGIES!$E$1:$F$504,2,FALSE)</f>
        <v>1424-Renforcement des mesures incitatives pour le maintien des enseignants dans les zones difficiles</v>
      </c>
      <c r="AD326" s="21" t="str">
        <f t="shared" si="74"/>
        <v>14245-Suivi de l'octroi des primes et autres avantages et réactualisation annuelles des listes (activité 12347)</v>
      </c>
    </row>
    <row r="327" spans="1:30" s="22" customFormat="1" ht="45" hidden="1" customHeight="1" x14ac:dyDescent="0.8">
      <c r="A327" s="14">
        <v>1</v>
      </c>
      <c r="B327" s="15">
        <v>14</v>
      </c>
      <c r="C327" s="15">
        <v>143</v>
      </c>
      <c r="D327" s="15">
        <v>143</v>
      </c>
      <c r="E327" s="15">
        <v>143</v>
      </c>
      <c r="F327" s="16" t="s">
        <v>443</v>
      </c>
      <c r="G327" s="17"/>
      <c r="H327" s="17"/>
      <c r="I327" s="18">
        <v>0</v>
      </c>
      <c r="J327" s="18"/>
      <c r="K327" s="18"/>
      <c r="L327" s="18"/>
      <c r="M327" s="18"/>
      <c r="N327" s="18"/>
      <c r="O327" s="18"/>
      <c r="P327" s="18"/>
      <c r="Q327" s="18"/>
      <c r="R327" s="18"/>
      <c r="S327" s="24"/>
      <c r="T327" s="18"/>
      <c r="U327" s="18"/>
      <c r="V327" s="18"/>
      <c r="W327" s="18"/>
      <c r="X327" s="18"/>
      <c r="Y327" s="19" t="s">
        <v>32</v>
      </c>
      <c r="Z327" s="18" t="str">
        <f>A327 &amp; "-" &amp; VLOOKUP(A327,[4]PROGRAMMES!$E$1:$F$7,2,FALSE)</f>
        <v>1-Accès et équité à l'enseignement général</v>
      </c>
      <c r="AA327" s="19" t="str">
        <f>B327 &amp; "-" &amp; VLOOKUP(B327,[4]SOUSPROGRAMMES!$E$1:$F$44,2,FALSE)</f>
        <v>14- Accès et équité au collège</v>
      </c>
      <c r="AB327" s="19" t="str">
        <f>C327 &amp; "-" &amp; VLOOKUP(C327,[4]RESULTATS!$E$1:$F$176,2,FALSE)</f>
        <v>143- Tous les Collèges offrent aux élèves des conditions favorables à leur maintien</v>
      </c>
      <c r="AC327" s="20" t="str">
        <f>D327 &amp; "-" &amp; VLOOKUP(D327,[4]STRATEGIES!$E$1:$F$504,2,FALSE)</f>
        <v>143- Tous les Collèges offrent aux élèves des conditions favorables à leur maintien</v>
      </c>
      <c r="AD327" s="21" t="str">
        <f t="shared" si="74"/>
        <v>143- Tous les Collèges offrent aux élèves des conditions favorables à leur maintien</v>
      </c>
    </row>
    <row r="328" spans="1:30" s="22" customFormat="1" ht="45" hidden="1" customHeight="1" x14ac:dyDescent="0.8">
      <c r="A328" s="14">
        <v>1</v>
      </c>
      <c r="B328" s="15">
        <v>14</v>
      </c>
      <c r="C328" s="15">
        <v>143</v>
      </c>
      <c r="D328" s="15">
        <v>1431</v>
      </c>
      <c r="E328" s="15">
        <v>1431</v>
      </c>
      <c r="F328" s="16" t="s">
        <v>444</v>
      </c>
      <c r="G328" s="17"/>
      <c r="H328" s="17"/>
      <c r="I328" s="18">
        <v>0</v>
      </c>
      <c r="J328" s="18"/>
      <c r="K328" s="18"/>
      <c r="L328" s="18"/>
      <c r="M328" s="18"/>
      <c r="N328" s="18"/>
      <c r="O328" s="18"/>
      <c r="P328" s="18"/>
      <c r="Q328" s="18"/>
      <c r="R328" s="18"/>
      <c r="S328" s="24"/>
      <c r="T328" s="18"/>
      <c r="U328" s="18"/>
      <c r="V328" s="18"/>
      <c r="W328" s="18"/>
      <c r="X328" s="18"/>
      <c r="Y328" s="19" t="s">
        <v>32</v>
      </c>
      <c r="Z328" s="18" t="str">
        <f>A328 &amp; "-" &amp; VLOOKUP(A328,[4]PROGRAMMES!$E$1:$F$7,2,FALSE)</f>
        <v>1-Accès et équité à l'enseignement général</v>
      </c>
      <c r="AA328" s="19" t="str">
        <f>B328 &amp; "-" &amp; VLOOKUP(B328,[4]SOUSPROGRAMMES!$E$1:$F$44,2,FALSE)</f>
        <v>14- Accès et équité au collège</v>
      </c>
      <c r="AB328" s="19" t="str">
        <f>C328 &amp; "-" &amp; VLOOKUP(C328,[4]RESULTATS!$E$1:$F$176,2,FALSE)</f>
        <v>143- Tous les Collèges offrent aux élèves des conditions favorables à leur maintien</v>
      </c>
      <c r="AC328" s="20" t="str">
        <f>D328 &amp; "-" &amp; VLOOKUP(D328,[4]STRATEGIES!$E$1:$F$504,2,FALSE)</f>
        <v>1431-Adaptation du calendrier scolaire des Collèges aux conditions locales et aux dates des examens nationaux</v>
      </c>
      <c r="AD328" s="21" t="str">
        <f t="shared" si="74"/>
        <v>1431-Adaptation du calendrier scolaire des Collèges aux conditions locales et aux dates des examens nationaux</v>
      </c>
    </row>
    <row r="329" spans="1:30" s="22" customFormat="1" ht="60" hidden="1" customHeight="1" x14ac:dyDescent="0.8">
      <c r="A329" s="14">
        <v>1</v>
      </c>
      <c r="B329" s="15">
        <v>14</v>
      </c>
      <c r="C329" s="15">
        <v>143</v>
      </c>
      <c r="D329" s="15">
        <v>1431</v>
      </c>
      <c r="E329" s="15">
        <v>14311</v>
      </c>
      <c r="F329" s="16" t="s">
        <v>445</v>
      </c>
      <c r="G329" s="21" t="s">
        <v>92</v>
      </c>
      <c r="H329" s="17" t="s">
        <v>55</v>
      </c>
      <c r="I329" s="18">
        <v>0</v>
      </c>
      <c r="J329" s="18">
        <v>1</v>
      </c>
      <c r="K329" s="18"/>
      <c r="L329" s="18"/>
      <c r="M329" s="18">
        <f t="shared" si="75"/>
        <v>1</v>
      </c>
      <c r="N329" s="18">
        <f>IF(OR(H329="",H329="sif",H329="PM"),0,VLOOKUP(H329,[5]CU!$C$4:$H$255,6,FALSE))</f>
        <v>0</v>
      </c>
      <c r="O329" s="18"/>
      <c r="P329" s="18"/>
      <c r="Q329" s="18"/>
      <c r="R329" s="18"/>
      <c r="S329" s="24"/>
      <c r="T329" s="23" t="s">
        <v>56</v>
      </c>
      <c r="U329" s="18" t="s">
        <v>397</v>
      </c>
      <c r="V329" s="18" t="str">
        <f>IF(OR($H329="",$H329="sif",$H329="PM"),"",VLOOKUP($H329,[5]CU!$C$5:$J$255,8,FALSE))</f>
        <v/>
      </c>
      <c r="W329" s="18" t="s">
        <v>398</v>
      </c>
      <c r="X329" s="18" t="s">
        <v>282</v>
      </c>
      <c r="Y329" s="19" t="s">
        <v>32</v>
      </c>
      <c r="Z329" s="18" t="str">
        <f>A329 &amp; "-" &amp; VLOOKUP(A329,[4]PROGRAMMES!$E$1:$F$7,2,FALSE)</f>
        <v>1-Accès et équité à l'enseignement général</v>
      </c>
      <c r="AA329" s="19" t="str">
        <f>B329 &amp; "-" &amp; VLOOKUP(B329,[4]SOUSPROGRAMMES!$E$1:$F$44,2,FALSE)</f>
        <v>14- Accès et équité au collège</v>
      </c>
      <c r="AB329" s="19" t="str">
        <f>C329 &amp; "-" &amp; VLOOKUP(C329,[4]RESULTATS!$E$1:$F$176,2,FALSE)</f>
        <v>143- Tous les Collèges offrent aux élèves des conditions favorables à leur maintien</v>
      </c>
      <c r="AC329" s="20" t="str">
        <f>D329 &amp; "-" &amp; VLOOKUP(D329,[4]STRATEGIES!$E$1:$F$504,2,FALSE)</f>
        <v>1431-Adaptation du calendrier scolaire des Collèges aux conditions locales et aux dates des examens nationaux</v>
      </c>
      <c r="AD329" s="21" t="str">
        <f t="shared" si="74"/>
        <v>14311-Concertation sur les critères d'adaptation du calendrier scolaire aux réalités locales et en tenant compte du calendrier des examens nationaux (activité organisée par les structures déconcentrées sur leur budget)</v>
      </c>
    </row>
    <row r="330" spans="1:30" s="22" customFormat="1" ht="45" hidden="1" customHeight="1" x14ac:dyDescent="0.8">
      <c r="A330" s="14">
        <v>1</v>
      </c>
      <c r="B330" s="15">
        <v>14</v>
      </c>
      <c r="C330" s="15">
        <v>143</v>
      </c>
      <c r="D330" s="15">
        <v>1431</v>
      </c>
      <c r="E330" s="15">
        <v>14312</v>
      </c>
      <c r="F330" s="16" t="s">
        <v>446</v>
      </c>
      <c r="G330" s="21" t="s">
        <v>447</v>
      </c>
      <c r="H330" s="17" t="s">
        <v>55</v>
      </c>
      <c r="I330" s="18">
        <v>0</v>
      </c>
      <c r="J330" s="18"/>
      <c r="K330" s="18">
        <v>1</v>
      </c>
      <c r="L330" s="18">
        <v>1</v>
      </c>
      <c r="M330" s="18">
        <f t="shared" si="75"/>
        <v>2</v>
      </c>
      <c r="N330" s="18">
        <f>IF(OR(H330="",H330="sif",H330="PM"),0,VLOOKUP(H330,[5]CU!$C$4:$H$255,6,FALSE))</f>
        <v>0</v>
      </c>
      <c r="O330" s="18"/>
      <c r="P330" s="18"/>
      <c r="Q330" s="18"/>
      <c r="R330" s="18"/>
      <c r="S330" s="24"/>
      <c r="T330" s="23" t="s">
        <v>56</v>
      </c>
      <c r="U330" s="18" t="s">
        <v>397</v>
      </c>
      <c r="V330" s="18" t="str">
        <f>IF(OR($H330="",$H330="sif",$H330="PM"),"",VLOOKUP($H330,[5]CU!$C$5:$J$255,8,FALSE))</f>
        <v/>
      </c>
      <c r="W330" s="18" t="s">
        <v>398</v>
      </c>
      <c r="X330" s="18" t="s">
        <v>179</v>
      </c>
      <c r="Y330" s="19" t="s">
        <v>32</v>
      </c>
      <c r="Z330" s="18" t="str">
        <f>A330 &amp; "-" &amp; VLOOKUP(A330,[4]PROGRAMMES!$E$1:$F$7,2,FALSE)</f>
        <v>1-Accès et équité à l'enseignement général</v>
      </c>
      <c r="AA330" s="19" t="str">
        <f>B330 &amp; "-" &amp; VLOOKUP(B330,[4]SOUSPROGRAMMES!$E$1:$F$44,2,FALSE)</f>
        <v>14- Accès et équité au collège</v>
      </c>
      <c r="AB330" s="19" t="str">
        <f>C330 &amp; "-" &amp; VLOOKUP(C330,[4]RESULTATS!$E$1:$F$176,2,FALSE)</f>
        <v>143- Tous les Collèges offrent aux élèves des conditions favorables à leur maintien</v>
      </c>
      <c r="AC330" s="20" t="str">
        <f>D330 &amp; "-" &amp; VLOOKUP(D330,[4]STRATEGIES!$E$1:$F$504,2,FALSE)</f>
        <v>1431-Adaptation du calendrier scolaire des Collèges aux conditions locales et aux dates des examens nationaux</v>
      </c>
      <c r="AD330" s="21" t="str">
        <f t="shared" si="74"/>
        <v>14312-Aménagement des calendriers scolaires en fonction des réalités de chaque établissement</v>
      </c>
    </row>
    <row r="331" spans="1:30" s="22" customFormat="1" ht="45" hidden="1" customHeight="1" x14ac:dyDescent="0.8">
      <c r="A331" s="14">
        <v>1</v>
      </c>
      <c r="B331" s="15">
        <v>14</v>
      </c>
      <c r="C331" s="15">
        <v>143</v>
      </c>
      <c r="D331" s="15">
        <v>1432</v>
      </c>
      <c r="E331" s="15">
        <v>1432</v>
      </c>
      <c r="F331" s="16" t="s">
        <v>448</v>
      </c>
      <c r="G331" s="17"/>
      <c r="H331" s="17"/>
      <c r="I331" s="18">
        <v>0</v>
      </c>
      <c r="J331" s="18"/>
      <c r="K331" s="18"/>
      <c r="L331" s="18"/>
      <c r="M331" s="18"/>
      <c r="N331" s="18"/>
      <c r="O331" s="18"/>
      <c r="P331" s="18"/>
      <c r="Q331" s="18"/>
      <c r="R331" s="18"/>
      <c r="S331" s="24"/>
      <c r="T331" s="18"/>
      <c r="U331" s="18"/>
      <c r="V331" s="18"/>
      <c r="W331" s="18"/>
      <c r="X331" s="18"/>
      <c r="Y331" s="19" t="s">
        <v>32</v>
      </c>
      <c r="Z331" s="18" t="str">
        <f>A331 &amp; "-" &amp; VLOOKUP(A331,[4]PROGRAMMES!$E$1:$F$7,2,FALSE)</f>
        <v>1-Accès et équité à l'enseignement général</v>
      </c>
      <c r="AA331" s="19" t="str">
        <f>B331 &amp; "-" &amp; VLOOKUP(B331,[4]SOUSPROGRAMMES!$E$1:$F$44,2,FALSE)</f>
        <v>14- Accès et équité au collège</v>
      </c>
      <c r="AB331" s="19" t="str">
        <f>C331 &amp; "-" &amp; VLOOKUP(C331,[4]RESULTATS!$E$1:$F$176,2,FALSE)</f>
        <v>143- Tous les Collèges offrent aux élèves des conditions favorables à leur maintien</v>
      </c>
      <c r="AC331" s="20" t="str">
        <f>D331 &amp; "-" &amp; VLOOKUP(D331,[4]STRATEGIES!$E$1:$F$504,2,FALSE)</f>
        <v>1432-Lutte contre les violences et les harcèlements subis par les filles sur le chemin de l’école et dans les écoles (pris en compte dans 1242)</v>
      </c>
      <c r="AD331" s="21" t="str">
        <f t="shared" si="74"/>
        <v>1432-Lutte contre les violences et les harcèlements subis par les filles sur le chemin de l’école et dans les écoles (pris en compte dans 1242)</v>
      </c>
    </row>
    <row r="332" spans="1:30" s="22" customFormat="1" ht="45" hidden="1" customHeight="1" x14ac:dyDescent="0.8">
      <c r="A332" s="14">
        <v>1</v>
      </c>
      <c r="B332" s="15">
        <v>14</v>
      </c>
      <c r="C332" s="15">
        <v>143</v>
      </c>
      <c r="D332" s="15">
        <v>1432</v>
      </c>
      <c r="E332" s="15">
        <v>14321</v>
      </c>
      <c r="F332" s="16" t="s">
        <v>449</v>
      </c>
      <c r="G332" s="21" t="s">
        <v>159</v>
      </c>
      <c r="H332" s="17" t="s">
        <v>55</v>
      </c>
      <c r="I332" s="18">
        <v>0</v>
      </c>
      <c r="J332" s="18">
        <v>1</v>
      </c>
      <c r="K332" s="18"/>
      <c r="L332" s="18"/>
      <c r="M332" s="18">
        <f t="shared" si="75"/>
        <v>1</v>
      </c>
      <c r="N332" s="18">
        <f>IF(OR(H332="",H332="sif",H332="PM"),0,VLOOKUP(H332,[5]CU!$C$4:$H$255,6,FALSE))</f>
        <v>0</v>
      </c>
      <c r="O332" s="18"/>
      <c r="P332" s="18"/>
      <c r="Q332" s="18"/>
      <c r="R332" s="18"/>
      <c r="S332" s="24"/>
      <c r="T332" s="23" t="s">
        <v>56</v>
      </c>
      <c r="U332" s="18" t="s">
        <v>397</v>
      </c>
      <c r="V332" s="18" t="str">
        <f>IF(OR($H332="",$H332="sif",$H332="PM"),"",VLOOKUP($H332,[5]CU!$C$5:$J$255,8,FALSE))</f>
        <v/>
      </c>
      <c r="W332" s="18" t="s">
        <v>309</v>
      </c>
      <c r="X332" s="18" t="s">
        <v>311</v>
      </c>
      <c r="Y332" s="19" t="s">
        <v>32</v>
      </c>
      <c r="Z332" s="18" t="str">
        <f>A332 &amp; "-" &amp; VLOOKUP(A332,[4]PROGRAMMES!$E$1:$F$7,2,FALSE)</f>
        <v>1-Accès et équité à l'enseignement général</v>
      </c>
      <c r="AA332" s="19" t="str">
        <f>B332 &amp; "-" &amp; VLOOKUP(B332,[4]SOUSPROGRAMMES!$E$1:$F$44,2,FALSE)</f>
        <v>14- Accès et équité au collège</v>
      </c>
      <c r="AB332" s="19" t="str">
        <f>C332 &amp; "-" &amp; VLOOKUP(C332,[4]RESULTATS!$E$1:$F$176,2,FALSE)</f>
        <v>143- Tous les Collèges offrent aux élèves des conditions favorables à leur maintien</v>
      </c>
      <c r="AC332" s="20" t="str">
        <f>D332 &amp; "-" &amp; VLOOKUP(D332,[4]STRATEGIES!$E$1:$F$504,2,FALSE)</f>
        <v>1432-Lutte contre les violences et les harcèlements subis par les filles sur le chemin de l’école et dans les écoles (pris en compte dans 1242)</v>
      </c>
      <c r="AD332" s="21" t="str">
        <f t="shared" si="74"/>
        <v>14321-Actualisation des textes règlementaires sur les violences en milieu scolaire (pris en compte dans act. 12421)</v>
      </c>
    </row>
    <row r="333" spans="1:30" ht="45" hidden="1" customHeight="1" x14ac:dyDescent="0.8">
      <c r="A333" s="25">
        <v>1</v>
      </c>
      <c r="B333" s="16">
        <v>14</v>
      </c>
      <c r="C333" s="16">
        <v>143</v>
      </c>
      <c r="D333" s="16">
        <v>1432</v>
      </c>
      <c r="E333" s="16">
        <v>14322</v>
      </c>
      <c r="F333" s="16" t="s">
        <v>450</v>
      </c>
      <c r="G333" s="21" t="s">
        <v>451</v>
      </c>
      <c r="H333" s="21" t="s">
        <v>452</v>
      </c>
      <c r="I333" s="19">
        <v>0</v>
      </c>
      <c r="J333" s="19"/>
      <c r="K333" s="19">
        <f>1000*1</f>
        <v>1000</v>
      </c>
      <c r="L333" s="19"/>
      <c r="M333" s="19">
        <f t="shared" si="75"/>
        <v>1000</v>
      </c>
      <c r="N333" s="19">
        <f>IF(OR(H333="",H333="sif",H333="PM"),0,VLOOKUP(H333,[5]CU!$C$4:$H$255,6,FALSE))</f>
        <v>7.4999999999999997E-3</v>
      </c>
      <c r="O333" s="19">
        <f>$N333*I333</f>
        <v>0</v>
      </c>
      <c r="P333" s="19">
        <f>$N333*J333</f>
        <v>0</v>
      </c>
      <c r="Q333" s="19">
        <f t="shared" ref="Q333:Q335" si="76">$N333*K333</f>
        <v>7.5</v>
      </c>
      <c r="R333" s="19">
        <f>$N333*L333</f>
        <v>0</v>
      </c>
      <c r="S333" s="31">
        <f>SUM(O333:R333)</f>
        <v>7.5</v>
      </c>
      <c r="T333" s="26" t="s">
        <v>169</v>
      </c>
      <c r="U333" s="19" t="s">
        <v>397</v>
      </c>
      <c r="V333" s="19" t="str">
        <f>IF(OR($H333="",$H333="sif",$H333="PM"),"",VLOOKUP($H333,[5]CU!$C$5:$J$255,8,FALSE))</f>
        <v>3. Dépenses de fonctionnement</v>
      </c>
      <c r="W333" s="19" t="s">
        <v>309</v>
      </c>
      <c r="X333" s="19" t="s">
        <v>309</v>
      </c>
      <c r="Y333" s="19" t="s">
        <v>32</v>
      </c>
      <c r="Z333" s="19" t="str">
        <f>A333 &amp; "-" &amp; VLOOKUP(A333,[4]PROGRAMMES!$E$1:$F$7,2,FALSE)</f>
        <v>1-Accès et équité à l'enseignement général</v>
      </c>
      <c r="AA333" s="19" t="str">
        <f>B333 &amp; "-" &amp; VLOOKUP(B333,[4]SOUSPROGRAMMES!$E$1:$F$44,2,FALSE)</f>
        <v>14- Accès et équité au collège</v>
      </c>
      <c r="AB333" s="19" t="str">
        <f>C333 &amp; "-" &amp; VLOOKUP(C333,[4]RESULTATS!$E$1:$F$176,2,FALSE)</f>
        <v>143- Tous les Collèges offrent aux élèves des conditions favorables à leur maintien</v>
      </c>
      <c r="AC333" s="20" t="str">
        <f>D333 &amp; "-" &amp; VLOOKUP(D333,[4]STRATEGIES!$E$1:$F$504,2,FALSE)</f>
        <v>1432-Lutte contre les violences et les harcèlements subis par les filles sur le chemin de l’école et dans les écoles (pris en compte dans 1242)</v>
      </c>
      <c r="AD333" s="21" t="str">
        <f t="shared" si="74"/>
        <v xml:space="preserve">14322-Impression des textes règlementaires sur les violences en milieu scolaire </v>
      </c>
    </row>
    <row r="334" spans="1:30" ht="45" hidden="1" customHeight="1" x14ac:dyDescent="0.8">
      <c r="A334" s="25">
        <v>1</v>
      </c>
      <c r="B334" s="16">
        <v>14</v>
      </c>
      <c r="C334" s="16">
        <v>143</v>
      </c>
      <c r="D334" s="16">
        <v>1432</v>
      </c>
      <c r="E334" s="16">
        <v>14323</v>
      </c>
      <c r="F334" s="16" t="s">
        <v>453</v>
      </c>
      <c r="G334" s="21" t="s">
        <v>159</v>
      </c>
      <c r="H334" s="21" t="s">
        <v>55</v>
      </c>
      <c r="I334" s="19">
        <v>0</v>
      </c>
      <c r="J334" s="19">
        <v>1</v>
      </c>
      <c r="K334" s="19"/>
      <c r="L334" s="19"/>
      <c r="M334" s="19">
        <f t="shared" si="75"/>
        <v>1</v>
      </c>
      <c r="N334" s="19">
        <f>IF(OR(H334="",H334="sif",H334="PM"),0,VLOOKUP(H334,[5]CU!$C$4:$H$255,6,FALSE))</f>
        <v>0</v>
      </c>
      <c r="O334" s="19"/>
      <c r="P334" s="19"/>
      <c r="Q334" s="19">
        <f t="shared" si="76"/>
        <v>0</v>
      </c>
      <c r="R334" s="19"/>
      <c r="S334" s="31"/>
      <c r="T334" s="26" t="s">
        <v>169</v>
      </c>
      <c r="U334" s="19" t="s">
        <v>397</v>
      </c>
      <c r="V334" s="19" t="str">
        <f>IF(OR($H334="",$H334="sif",$H334="PM"),"",VLOOKUP($H334,[5]CU!$C$5:$J$255,8,FALSE))</f>
        <v/>
      </c>
      <c r="W334" s="19" t="s">
        <v>309</v>
      </c>
      <c r="X334" s="19" t="s">
        <v>316</v>
      </c>
      <c r="Y334" s="19" t="s">
        <v>32</v>
      </c>
      <c r="Z334" s="19" t="str">
        <f>A334 &amp; "-" &amp; VLOOKUP(A334,[4]PROGRAMMES!$E$1:$F$7,2,FALSE)</f>
        <v>1-Accès et équité à l'enseignement général</v>
      </c>
      <c r="AA334" s="19" t="str">
        <f>B334 &amp; "-" &amp; VLOOKUP(B334,[4]SOUSPROGRAMMES!$E$1:$F$44,2,FALSE)</f>
        <v>14- Accès et équité au collège</v>
      </c>
      <c r="AB334" s="19" t="str">
        <f>C334 &amp; "-" &amp; VLOOKUP(C334,[4]RESULTATS!$E$1:$F$176,2,FALSE)</f>
        <v>143- Tous les Collèges offrent aux élèves des conditions favorables à leur maintien</v>
      </c>
      <c r="AC334" s="20" t="str">
        <f>D334 &amp; "-" &amp; VLOOKUP(D334,[4]STRATEGIES!$E$1:$F$504,2,FALSE)</f>
        <v>1432-Lutte contre les violences et les harcèlements subis par les filles sur le chemin de l’école et dans les écoles (pris en compte dans 1242)</v>
      </c>
      <c r="AD334" s="21" t="str">
        <f t="shared" si="74"/>
        <v>14323-Vulgarisation des textes règlementaires sur les violences en milieu scolaire (compris dans activité 12423)</v>
      </c>
    </row>
    <row r="335" spans="1:30" ht="45" hidden="1" customHeight="1" x14ac:dyDescent="0.8">
      <c r="A335" s="25">
        <v>1</v>
      </c>
      <c r="B335" s="16">
        <v>14</v>
      </c>
      <c r="C335" s="16">
        <v>143</v>
      </c>
      <c r="D335" s="16">
        <v>1432</v>
      </c>
      <c r="E335" s="16">
        <v>14324</v>
      </c>
      <c r="F335" s="16" t="s">
        <v>317</v>
      </c>
      <c r="G335" s="21" t="s">
        <v>454</v>
      </c>
      <c r="H335" s="21" t="s">
        <v>76</v>
      </c>
      <c r="I335" s="19">
        <v>0</v>
      </c>
      <c r="J335" s="19">
        <v>1</v>
      </c>
      <c r="K335" s="19">
        <v>3</v>
      </c>
      <c r="L335" s="19">
        <v>2</v>
      </c>
      <c r="M335" s="19">
        <f t="shared" si="75"/>
        <v>6</v>
      </c>
      <c r="N335" s="19">
        <f>IF(OR(H335="",H335="sif",H335="PM"),0,VLOOKUP(H335,[5]CU!$C$4:$H$255,6,FALSE))</f>
        <v>45.936799999999998</v>
      </c>
      <c r="O335" s="19">
        <f>$N335*I335</f>
        <v>0</v>
      </c>
      <c r="P335" s="19">
        <f>$N335*J335</f>
        <v>45.936799999999998</v>
      </c>
      <c r="Q335" s="19">
        <f t="shared" si="76"/>
        <v>137.81039999999999</v>
      </c>
      <c r="R335" s="19">
        <f>$N335*L335</f>
        <v>91.873599999999996</v>
      </c>
      <c r="S335" s="31">
        <f>SUM(O335:R335)</f>
        <v>275.62079999999997</v>
      </c>
      <c r="T335" s="26" t="s">
        <v>169</v>
      </c>
      <c r="U335" s="19" t="s">
        <v>397</v>
      </c>
      <c r="V335" s="19" t="str">
        <f>IF(OR($H335="",$H335="sif",$H335="PM"),"",VLOOKUP($H335,[5]CU!$C$5:$J$255,8,FALSE))</f>
        <v>3. Dépenses de fonctionnement</v>
      </c>
      <c r="W335" s="19" t="s">
        <v>309</v>
      </c>
      <c r="X335" s="19" t="s">
        <v>77</v>
      </c>
      <c r="Y335" s="19" t="s">
        <v>32</v>
      </c>
      <c r="Z335" s="19" t="str">
        <f>A335 &amp; "-" &amp; VLOOKUP(A335,[4]PROGRAMMES!$E$1:$F$7,2,FALSE)</f>
        <v>1-Accès et équité à l'enseignement général</v>
      </c>
      <c r="AA335" s="19" t="str">
        <f>B335 &amp; "-" &amp; VLOOKUP(B335,[4]SOUSPROGRAMMES!$E$1:$F$44,2,FALSE)</f>
        <v>14- Accès et équité au collège</v>
      </c>
      <c r="AB335" s="19" t="str">
        <f>C335 &amp; "-" &amp; VLOOKUP(C335,[4]RESULTATS!$E$1:$F$176,2,FALSE)</f>
        <v>143- Tous les Collèges offrent aux élèves des conditions favorables à leur maintien</v>
      </c>
      <c r="AC335" s="20" t="str">
        <f>D335 &amp; "-" &amp; VLOOKUP(D335,[4]STRATEGIES!$E$1:$F$504,2,FALSE)</f>
        <v>1432-Lutte contre les violences et les harcèlements subis par les filles sur le chemin de l’école et dans les écoles (pris en compte dans 1242)</v>
      </c>
      <c r="AD335" s="21" t="str">
        <f t="shared" si="74"/>
        <v xml:space="preserve">14324-Sensibilisation des élèves, enseignants et parents d'élèves sur les méfaits des différentes formes de violences </v>
      </c>
    </row>
    <row r="336" spans="1:30" s="22" customFormat="1" ht="45" hidden="1" customHeight="1" x14ac:dyDescent="0.8">
      <c r="A336" s="14">
        <v>1</v>
      </c>
      <c r="B336" s="15">
        <v>14</v>
      </c>
      <c r="C336" s="15">
        <v>143</v>
      </c>
      <c r="D336" s="15">
        <v>1432</v>
      </c>
      <c r="E336" s="15">
        <v>14325</v>
      </c>
      <c r="F336" s="16" t="s">
        <v>455</v>
      </c>
      <c r="G336" s="21" t="s">
        <v>159</v>
      </c>
      <c r="H336" s="17" t="s">
        <v>55</v>
      </c>
      <c r="I336" s="18">
        <v>0</v>
      </c>
      <c r="J336" s="18"/>
      <c r="K336" s="18">
        <v>1</v>
      </c>
      <c r="L336" s="18">
        <v>1</v>
      </c>
      <c r="M336" s="18">
        <f t="shared" si="75"/>
        <v>2</v>
      </c>
      <c r="N336" s="18">
        <f>IF(OR(H336="",H336="sif",H336="PM"),0,VLOOKUP(H336,[5]CU!$C$4:$H$255,6,FALSE))</f>
        <v>0</v>
      </c>
      <c r="O336" s="18"/>
      <c r="P336" s="18"/>
      <c r="Q336" s="18"/>
      <c r="R336" s="18"/>
      <c r="S336" s="24"/>
      <c r="T336" s="23" t="s">
        <v>56</v>
      </c>
      <c r="U336" s="18" t="s">
        <v>397</v>
      </c>
      <c r="V336" s="18" t="str">
        <f>IF(OR($H336="",$H336="sif",$H336="PM"),"",VLOOKUP($H336,[5]CU!$C$5:$J$255,8,FALSE))</f>
        <v/>
      </c>
      <c r="W336" s="18" t="s">
        <v>309</v>
      </c>
      <c r="X336" s="18" t="s">
        <v>309</v>
      </c>
      <c r="Y336" s="19" t="s">
        <v>32</v>
      </c>
      <c r="Z336" s="18" t="str">
        <f>A336 &amp; "-" &amp; VLOOKUP(A336,[4]PROGRAMMES!$E$1:$F$7,2,FALSE)</f>
        <v>1-Accès et équité à l'enseignement général</v>
      </c>
      <c r="AA336" s="19" t="str">
        <f>B336 &amp; "-" &amp; VLOOKUP(B336,[4]SOUSPROGRAMMES!$E$1:$F$44,2,FALSE)</f>
        <v>14- Accès et équité au collège</v>
      </c>
      <c r="AB336" s="19" t="str">
        <f>C336 &amp; "-" &amp; VLOOKUP(C336,[4]RESULTATS!$E$1:$F$176,2,FALSE)</f>
        <v>143- Tous les Collèges offrent aux élèves des conditions favorables à leur maintien</v>
      </c>
      <c r="AC336" s="20" t="str">
        <f>D336 &amp; "-" &amp; VLOOKUP(D336,[4]STRATEGIES!$E$1:$F$504,2,FALSE)</f>
        <v>1432-Lutte contre les violences et les harcèlements subis par les filles sur le chemin de l’école et dans les écoles (pris en compte dans 1242)</v>
      </c>
      <c r="AD336" s="21" t="str">
        <f t="shared" si="74"/>
        <v>14325-Mise en place de structures de veille sur les violences en milieu scolaires (12425)</v>
      </c>
    </row>
    <row r="337" spans="1:30" s="22" customFormat="1" ht="45" hidden="1" customHeight="1" x14ac:dyDescent="0.8">
      <c r="A337" s="14">
        <v>1</v>
      </c>
      <c r="B337" s="15">
        <v>14</v>
      </c>
      <c r="C337" s="15">
        <v>143</v>
      </c>
      <c r="D337" s="15">
        <v>1432</v>
      </c>
      <c r="E337" s="15">
        <v>14326</v>
      </c>
      <c r="F337" s="16" t="s">
        <v>319</v>
      </c>
      <c r="G337" s="21" t="s">
        <v>159</v>
      </c>
      <c r="H337" s="17" t="s">
        <v>55</v>
      </c>
      <c r="I337" s="18">
        <v>0</v>
      </c>
      <c r="J337" s="18"/>
      <c r="K337" s="18"/>
      <c r="L337" s="18"/>
      <c r="M337" s="18"/>
      <c r="N337" s="18">
        <f>IF(OR(H337="",H337="sif",H337="PM"),0,VLOOKUP(H337,[5]CU!$C$4:$H$255,6,FALSE))</f>
        <v>0</v>
      </c>
      <c r="O337" s="18"/>
      <c r="P337" s="18"/>
      <c r="Q337" s="18"/>
      <c r="R337" s="18"/>
      <c r="S337" s="24"/>
      <c r="T337" s="23" t="s">
        <v>56</v>
      </c>
      <c r="U337" s="18" t="s">
        <v>397</v>
      </c>
      <c r="V337" s="18" t="str">
        <f>IF(OR($H337="",$H337="sif",$H337="PM"),"",VLOOKUP($H337,[5]CU!$C$5:$J$255,8,FALSE))</f>
        <v/>
      </c>
      <c r="W337" s="18" t="s">
        <v>309</v>
      </c>
      <c r="X337" s="18" t="s">
        <v>282</v>
      </c>
      <c r="Y337" s="19" t="s">
        <v>32</v>
      </c>
      <c r="Z337" s="18" t="str">
        <f>A337 &amp; "-" &amp; VLOOKUP(A337,[4]PROGRAMMES!$E$1:$F$7,2,FALSE)</f>
        <v>1-Accès et équité à l'enseignement général</v>
      </c>
      <c r="AA337" s="19" t="str">
        <f>B337 &amp; "-" &amp; VLOOKUP(B337,[4]SOUSPROGRAMMES!$E$1:$F$44,2,FALSE)</f>
        <v>14- Accès et équité au collège</v>
      </c>
      <c r="AB337" s="19" t="str">
        <f>C337 &amp; "-" &amp; VLOOKUP(C337,[4]RESULTATS!$E$1:$F$176,2,FALSE)</f>
        <v>143- Tous les Collèges offrent aux élèves des conditions favorables à leur maintien</v>
      </c>
      <c r="AC337" s="20" t="str">
        <f>D337 &amp; "-" &amp; VLOOKUP(D337,[4]STRATEGIES!$E$1:$F$504,2,FALSE)</f>
        <v>1432-Lutte contre les violences et les harcèlements subis par les filles sur le chemin de l’école et dans les écoles (pris en compte dans 1242)</v>
      </c>
      <c r="AD337" s="21" t="str">
        <f t="shared" si="74"/>
        <v>14326-Renforcement des conseils de discipline au sein des établissements scolaires en matière de violences</v>
      </c>
    </row>
    <row r="338" spans="1:30" s="22" customFormat="1" ht="45" hidden="1" customHeight="1" x14ac:dyDescent="0.8">
      <c r="A338" s="14">
        <v>1</v>
      </c>
      <c r="B338" s="15">
        <v>14</v>
      </c>
      <c r="C338" s="15">
        <v>143</v>
      </c>
      <c r="D338" s="15">
        <v>1432</v>
      </c>
      <c r="E338" s="15">
        <v>14327</v>
      </c>
      <c r="F338" s="16" t="s">
        <v>456</v>
      </c>
      <c r="G338" s="21" t="s">
        <v>159</v>
      </c>
      <c r="H338" s="17" t="s">
        <v>55</v>
      </c>
      <c r="I338" s="18">
        <v>0</v>
      </c>
      <c r="J338" s="18">
        <v>1</v>
      </c>
      <c r="K338" s="18">
        <v>1</v>
      </c>
      <c r="L338" s="18">
        <v>1</v>
      </c>
      <c r="M338" s="18">
        <f t="shared" ref="M338:M352" si="77">SUM(I338:L338)</f>
        <v>3</v>
      </c>
      <c r="N338" s="18">
        <f>IF(OR(H338="",H338="sif",H338="PM"),0,VLOOKUP(H338,[5]CU!$C$4:$H$255,6,FALSE))</f>
        <v>0</v>
      </c>
      <c r="O338" s="18"/>
      <c r="P338" s="18"/>
      <c r="Q338" s="18"/>
      <c r="R338" s="18"/>
      <c r="S338" s="24"/>
      <c r="T338" s="23" t="s">
        <v>56</v>
      </c>
      <c r="U338" s="18" t="s">
        <v>397</v>
      </c>
      <c r="V338" s="18" t="str">
        <f>IF(OR($H338="",$H338="sif",$H338="PM"),"",VLOOKUP($H338,[5]CU!$C$5:$J$255,8,FALSE))</f>
        <v/>
      </c>
      <c r="W338" s="18" t="s">
        <v>322</v>
      </c>
      <c r="X338" s="18" t="s">
        <v>322</v>
      </c>
      <c r="Y338" s="19" t="s">
        <v>32</v>
      </c>
      <c r="Z338" s="18" t="str">
        <f>A338 &amp; "-" &amp; VLOOKUP(A338,[4]PROGRAMMES!$E$1:$F$7,2,FALSE)</f>
        <v>1-Accès et équité à l'enseignement général</v>
      </c>
      <c r="AA338" s="19" t="str">
        <f>B338 &amp; "-" &amp; VLOOKUP(B338,[4]SOUSPROGRAMMES!$E$1:$F$44,2,FALSE)</f>
        <v>14- Accès et équité au collège</v>
      </c>
      <c r="AB338" s="19" t="str">
        <f>C338 &amp; "-" &amp; VLOOKUP(C338,[4]RESULTATS!$E$1:$F$176,2,FALSE)</f>
        <v>143- Tous les Collèges offrent aux élèves des conditions favorables à leur maintien</v>
      </c>
      <c r="AC338" s="20" t="str">
        <f>D338 &amp; "-" &amp; VLOOKUP(D338,[4]STRATEGIES!$E$1:$F$504,2,FALSE)</f>
        <v>1432-Lutte contre les violences et les harcèlements subis par les filles sur le chemin de l’école et dans les écoles (pris en compte dans 1242)</v>
      </c>
      <c r="AD338" s="21" t="str">
        <f t="shared" si="74"/>
        <v>14327-Appui à la stratégie de tutorat en faveur des élèves vulnérables, notamment les filles</v>
      </c>
    </row>
    <row r="339" spans="1:30" ht="45" hidden="1" customHeight="1" x14ac:dyDescent="0.8">
      <c r="A339" s="25">
        <v>1</v>
      </c>
      <c r="B339" s="16">
        <v>14</v>
      </c>
      <c r="C339" s="16">
        <v>143</v>
      </c>
      <c r="D339" s="16">
        <v>1432</v>
      </c>
      <c r="E339" s="16">
        <v>14328</v>
      </c>
      <c r="F339" s="16" t="s">
        <v>323</v>
      </c>
      <c r="G339" s="21" t="s">
        <v>457</v>
      </c>
      <c r="H339" s="21" t="s">
        <v>458</v>
      </c>
      <c r="I339" s="19">
        <v>0</v>
      </c>
      <c r="J339" s="19">
        <v>0</v>
      </c>
      <c r="K339" s="19">
        <f>38*50%*2</f>
        <v>38</v>
      </c>
      <c r="L339" s="19">
        <f>38*50.01%</f>
        <v>19.003799999999998</v>
      </c>
      <c r="M339" s="19">
        <f t="shared" si="77"/>
        <v>57.003799999999998</v>
      </c>
      <c r="N339" s="19">
        <f>IF(OR(H339="",H339="sif",H339="PM"),0,VLOOKUP(H339,[5]CU!$C$4:$H$255,6,FALSE))</f>
        <v>100</v>
      </c>
      <c r="O339" s="19">
        <f t="shared" ref="O339:R341" si="78">$N339*I339</f>
        <v>0</v>
      </c>
      <c r="P339" s="19">
        <f t="shared" si="78"/>
        <v>0</v>
      </c>
      <c r="Q339" s="19">
        <f>$N339*K339</f>
        <v>3800</v>
      </c>
      <c r="R339" s="19">
        <f t="shared" si="78"/>
        <v>1900.3799999999999</v>
      </c>
      <c r="S339" s="31">
        <f>SUM(O339:R339)</f>
        <v>5700.38</v>
      </c>
      <c r="T339" s="26" t="s">
        <v>169</v>
      </c>
      <c r="U339" s="19" t="s">
        <v>397</v>
      </c>
      <c r="V339" s="19" t="str">
        <f>IF(OR($H339="",$H339="sif",$H339="PM"),"",VLOOKUP($H339,[5]CU!$C$5:$J$255,8,FALSE))</f>
        <v>4. Transferts et subventions</v>
      </c>
      <c r="W339" s="19" t="s">
        <v>309</v>
      </c>
      <c r="X339" s="19" t="s">
        <v>322</v>
      </c>
      <c r="Y339" s="19" t="s">
        <v>32</v>
      </c>
      <c r="Z339" s="19" t="str">
        <f>A339 &amp; "-" &amp; VLOOKUP(A339,[4]PROGRAMMES!$E$1:$F$7,2,FALSE)</f>
        <v>1-Accès et équité à l'enseignement général</v>
      </c>
      <c r="AA339" s="19" t="str">
        <f>B339 &amp; "-" &amp; VLOOKUP(B339,[4]SOUSPROGRAMMES!$E$1:$F$44,2,FALSE)</f>
        <v>14- Accès et équité au collège</v>
      </c>
      <c r="AB339" s="19" t="str">
        <f>C339 &amp; "-" &amp; VLOOKUP(C339,[4]RESULTATS!$E$1:$F$176,2,FALSE)</f>
        <v>143- Tous les Collèges offrent aux élèves des conditions favorables à leur maintien</v>
      </c>
      <c r="AC339" s="20" t="str">
        <f>D339 &amp; "-" &amp; VLOOKUP(D339,[4]STRATEGIES!$E$1:$F$504,2,FALSE)</f>
        <v>1432-Lutte contre les violences et les harcèlements subis par les filles sur le chemin de l’école et dans les écoles (pris en compte dans 1242)</v>
      </c>
      <c r="AD339" s="21" t="str">
        <f t="shared" si="74"/>
        <v>14328-Prise en charge psychosociale des filles victimes de violences</v>
      </c>
    </row>
    <row r="340" spans="1:30" s="22" customFormat="1" ht="45" hidden="1" customHeight="1" x14ac:dyDescent="0.8">
      <c r="A340" s="14">
        <v>1</v>
      </c>
      <c r="B340" s="15">
        <v>14</v>
      </c>
      <c r="C340" s="15">
        <v>143</v>
      </c>
      <c r="D340" s="15">
        <v>1432</v>
      </c>
      <c r="E340" s="15">
        <v>14328</v>
      </c>
      <c r="F340" s="16" t="s">
        <v>323</v>
      </c>
      <c r="G340" s="21" t="s">
        <v>457</v>
      </c>
      <c r="H340" s="17" t="s">
        <v>458</v>
      </c>
      <c r="I340" s="18">
        <v>0</v>
      </c>
      <c r="J340" s="18">
        <f>(38)*31.05%</f>
        <v>11.798999999999999</v>
      </c>
      <c r="K340" s="18">
        <f>38*31.05%</f>
        <v>11.798999999999999</v>
      </c>
      <c r="L340" s="18">
        <f>38*31.05%</f>
        <v>11.798999999999999</v>
      </c>
      <c r="M340" s="18">
        <f>SUM(I340:L340)</f>
        <v>35.396999999999998</v>
      </c>
      <c r="N340" s="18">
        <f>IF(OR(H340="",H340="sif",H340="PM"),0,VLOOKUP(H340,[5]CU!$C$4:$H$255,6,FALSE))</f>
        <v>100</v>
      </c>
      <c r="O340" s="18">
        <f t="shared" si="78"/>
        <v>0</v>
      </c>
      <c r="P340" s="18">
        <f t="shared" si="78"/>
        <v>1179.8999999999999</v>
      </c>
      <c r="Q340" s="18">
        <f t="shared" si="78"/>
        <v>1179.8999999999999</v>
      </c>
      <c r="R340" s="18">
        <f t="shared" si="78"/>
        <v>1179.8999999999999</v>
      </c>
      <c r="S340" s="24">
        <f>SUM(O340:R340)</f>
        <v>3539.7</v>
      </c>
      <c r="T340" s="23" t="s">
        <v>118</v>
      </c>
      <c r="U340" s="18" t="s">
        <v>397</v>
      </c>
      <c r="V340" s="18" t="str">
        <f>IF(OR($H340="",$H340="sif",$H340="PM"),"",VLOOKUP($H340,[5]CU!$C$5:$J$255,8,FALSE))</f>
        <v>4. Transferts et subventions</v>
      </c>
      <c r="W340" s="18" t="s">
        <v>309</v>
      </c>
      <c r="X340" s="18" t="s">
        <v>322</v>
      </c>
      <c r="Y340" s="19" t="s">
        <v>32</v>
      </c>
      <c r="Z340" s="18" t="str">
        <f>A340 &amp; "-" &amp; VLOOKUP(A340,[4]PROGRAMMES!$E$1:$F$7,2,FALSE)</f>
        <v>1-Accès et équité à l'enseignement général</v>
      </c>
      <c r="AA340" s="19" t="str">
        <f>B340 &amp; "-" &amp; VLOOKUP(B340,[4]SOUSPROGRAMMES!$E$1:$F$44,2,FALSE)</f>
        <v>14- Accès et équité au collège</v>
      </c>
      <c r="AB340" s="19" t="str">
        <f>C340 &amp; "-" &amp; VLOOKUP(C340,[4]RESULTATS!$E$1:$F$176,2,FALSE)</f>
        <v>143- Tous les Collèges offrent aux élèves des conditions favorables à leur maintien</v>
      </c>
      <c r="AC340" s="20" t="str">
        <f>D340 &amp; "-" &amp; VLOOKUP(D340,[4]STRATEGIES!$E$1:$F$504,2,FALSE)</f>
        <v>1432-Lutte contre les violences et les harcèlements subis par les filles sur le chemin de l’école et dans les écoles (pris en compte dans 1242)</v>
      </c>
      <c r="AD340" s="21" t="str">
        <f t="shared" si="74"/>
        <v>14328-Prise en charge psychosociale des filles victimes de violences</v>
      </c>
    </row>
    <row r="341" spans="1:30" s="22" customFormat="1" ht="45" hidden="1" customHeight="1" x14ac:dyDescent="0.8">
      <c r="A341" s="14">
        <v>1</v>
      </c>
      <c r="B341" s="15">
        <v>14</v>
      </c>
      <c r="C341" s="15">
        <v>143</v>
      </c>
      <c r="D341" s="15">
        <v>1432</v>
      </c>
      <c r="E341" s="15">
        <v>14328</v>
      </c>
      <c r="F341" s="16" t="s">
        <v>323</v>
      </c>
      <c r="G341" s="21" t="s">
        <v>457</v>
      </c>
      <c r="H341" s="17" t="s">
        <v>458</v>
      </c>
      <c r="I341" s="18">
        <v>0</v>
      </c>
      <c r="J341" s="18">
        <f>(38)*18.94%</f>
        <v>7.1972000000000005</v>
      </c>
      <c r="K341" s="18">
        <f>38*18.94%</f>
        <v>7.1972000000000005</v>
      </c>
      <c r="L341" s="18">
        <f>38*18.94%</f>
        <v>7.1972000000000005</v>
      </c>
      <c r="M341" s="18">
        <f t="shared" si="77"/>
        <v>21.5916</v>
      </c>
      <c r="N341" s="18">
        <f>IF(OR(H341="",H341="sif",H341="PM"),0,VLOOKUP(H341,[5]CU!$C$4:$H$255,6,FALSE))</f>
        <v>100</v>
      </c>
      <c r="O341" s="18">
        <f t="shared" si="78"/>
        <v>0</v>
      </c>
      <c r="P341" s="18">
        <f t="shared" si="78"/>
        <v>719.72</v>
      </c>
      <c r="Q341" s="18">
        <f t="shared" si="78"/>
        <v>719.72</v>
      </c>
      <c r="R341" s="18">
        <f t="shared" si="78"/>
        <v>719.72</v>
      </c>
      <c r="S341" s="24">
        <f>SUM(O341:R341)</f>
        <v>2159.16</v>
      </c>
      <c r="T341" s="23" t="s">
        <v>67</v>
      </c>
      <c r="U341" s="18" t="s">
        <v>397</v>
      </c>
      <c r="V341" s="18" t="str">
        <f>IF(OR($H341="",$H341="sif",$H341="PM"),"",VLOOKUP($H341,[5]CU!$C$5:$J$255,8,FALSE))</f>
        <v>4. Transferts et subventions</v>
      </c>
      <c r="W341" s="18" t="s">
        <v>309</v>
      </c>
      <c r="X341" s="18" t="s">
        <v>322</v>
      </c>
      <c r="Y341" s="19" t="s">
        <v>32</v>
      </c>
      <c r="Z341" s="18" t="str">
        <f>A341 &amp; "-" &amp; VLOOKUP(A341,[4]PROGRAMMES!$E$1:$F$7,2,FALSE)</f>
        <v>1-Accès et équité à l'enseignement général</v>
      </c>
      <c r="AA341" s="19" t="str">
        <f>B341 &amp; "-" &amp; VLOOKUP(B341,[4]SOUSPROGRAMMES!$E$1:$F$44,2,FALSE)</f>
        <v>14- Accès et équité au collège</v>
      </c>
      <c r="AB341" s="19" t="str">
        <f>C341 &amp; "-" &amp; VLOOKUP(C341,[4]RESULTATS!$E$1:$F$176,2,FALSE)</f>
        <v>143- Tous les Collèges offrent aux élèves des conditions favorables à leur maintien</v>
      </c>
      <c r="AC341" s="20" t="str">
        <f>D341 &amp; "-" &amp; VLOOKUP(D341,[4]STRATEGIES!$E$1:$F$504,2,FALSE)</f>
        <v>1432-Lutte contre les violences et les harcèlements subis par les filles sur le chemin de l’école et dans les écoles (pris en compte dans 1242)</v>
      </c>
      <c r="AD341" s="21" t="str">
        <f t="shared" si="74"/>
        <v>14328-Prise en charge psychosociale des filles victimes de violences</v>
      </c>
    </row>
    <row r="342" spans="1:30" ht="45" hidden="1" customHeight="1" x14ac:dyDescent="0.8">
      <c r="A342" s="25">
        <v>1</v>
      </c>
      <c r="B342" s="16">
        <v>14</v>
      </c>
      <c r="C342" s="16">
        <v>143</v>
      </c>
      <c r="D342" s="16">
        <v>1432</v>
      </c>
      <c r="E342" s="16">
        <v>14329</v>
      </c>
      <c r="F342" s="16" t="s">
        <v>459</v>
      </c>
      <c r="G342" s="21" t="s">
        <v>159</v>
      </c>
      <c r="H342" s="21" t="s">
        <v>55</v>
      </c>
      <c r="I342" s="19">
        <v>0</v>
      </c>
      <c r="J342" s="19">
        <v>1</v>
      </c>
      <c r="K342" s="19">
        <v>1</v>
      </c>
      <c r="L342" s="19">
        <v>1</v>
      </c>
      <c r="M342" s="19">
        <f t="shared" si="77"/>
        <v>3</v>
      </c>
      <c r="N342" s="19">
        <f>IF(OR(H342="",H342="sif",H342="PM"),0,VLOOKUP(H342,[5]CU!$C$4:$H$255,6,FALSE))</f>
        <v>0</v>
      </c>
      <c r="O342" s="19"/>
      <c r="P342" s="19"/>
      <c r="Q342" s="19">
        <f>$N342*K342</f>
        <v>0</v>
      </c>
      <c r="R342" s="19"/>
      <c r="S342" s="31"/>
      <c r="T342" s="26" t="s">
        <v>169</v>
      </c>
      <c r="U342" s="19" t="s">
        <v>397</v>
      </c>
      <c r="V342" s="19" t="str">
        <f>IF(OR($H342="",$H342="sif",$H342="PM"),"",VLOOKUP($H342,[5]CU!$C$5:$J$255,8,FALSE))</f>
        <v/>
      </c>
      <c r="W342" s="19" t="s">
        <v>309</v>
      </c>
      <c r="X342" s="19" t="s">
        <v>322</v>
      </c>
      <c r="Y342" s="19" t="s">
        <v>32</v>
      </c>
      <c r="Z342" s="19" t="str">
        <f>A342 &amp; "-" &amp; VLOOKUP(A342,[4]PROGRAMMES!$E$1:$F$7,2,FALSE)</f>
        <v>1-Accès et équité à l'enseignement général</v>
      </c>
      <c r="AA342" s="19" t="str">
        <f>B342 &amp; "-" &amp; VLOOKUP(B342,[4]SOUSPROGRAMMES!$E$1:$F$44,2,FALSE)</f>
        <v>14- Accès et équité au collège</v>
      </c>
      <c r="AB342" s="19" t="str">
        <f>C342 &amp; "-" &amp; VLOOKUP(C342,[4]RESULTATS!$E$1:$F$176,2,FALSE)</f>
        <v>143- Tous les Collèges offrent aux élèves des conditions favorables à leur maintien</v>
      </c>
      <c r="AC342" s="20" t="str">
        <f>D342 &amp; "-" &amp; VLOOKUP(D342,[4]STRATEGIES!$E$1:$F$504,2,FALSE)</f>
        <v>1432-Lutte contre les violences et les harcèlements subis par les filles sur le chemin de l’école et dans les écoles (pris en compte dans 1242)</v>
      </c>
      <c r="AD342" s="21" t="str">
        <f t="shared" si="74"/>
        <v>14329-Suivi/évaluation des activités sur les violences en milieu scolaire (activité 12429)</v>
      </c>
    </row>
    <row r="343" spans="1:30" s="22" customFormat="1" ht="30" hidden="1" customHeight="1" x14ac:dyDescent="0.8">
      <c r="A343" s="14">
        <v>1</v>
      </c>
      <c r="B343" s="15">
        <v>15</v>
      </c>
      <c r="C343" s="15">
        <v>15</v>
      </c>
      <c r="D343" s="15">
        <v>15</v>
      </c>
      <c r="E343" s="15">
        <v>15</v>
      </c>
      <c r="F343" s="16" t="s">
        <v>460</v>
      </c>
      <c r="G343" s="17"/>
      <c r="H343" s="17"/>
      <c r="I343" s="18">
        <v>0</v>
      </c>
      <c r="J343" s="18"/>
      <c r="K343" s="18"/>
      <c r="L343" s="18"/>
      <c r="M343" s="18"/>
      <c r="N343" s="18"/>
      <c r="O343" s="18"/>
      <c r="P343" s="18"/>
      <c r="Q343" s="18"/>
      <c r="R343" s="18"/>
      <c r="S343" s="24"/>
      <c r="T343" s="18"/>
      <c r="U343" s="18"/>
      <c r="V343" s="18"/>
      <c r="W343" s="18"/>
      <c r="X343" s="18"/>
      <c r="Y343" s="19" t="s">
        <v>32</v>
      </c>
      <c r="Z343" s="18" t="str">
        <f>A343 &amp; "-" &amp; VLOOKUP(A343,[4]PROGRAMMES!$E$1:$F$7,2,FALSE)</f>
        <v>1-Accès et équité à l'enseignement général</v>
      </c>
      <c r="AA343" s="19" t="str">
        <f>B343 &amp; "-" &amp; VLOOKUP(B343,[4]SOUSPROGRAMMES!$E$1:$F$44,2,FALSE)</f>
        <v>15- Promotion de l'éducation inclusive, y compris les FA</v>
      </c>
      <c r="AB343" s="19" t="str">
        <f>C343 &amp; "-" &amp; VLOOKUP(C343,[4]RESULTATS!$E$1:$F$176,2,FALSE)</f>
        <v>15- Promotion de l'éducation inclusive, y compris les FA</v>
      </c>
      <c r="AC343" s="20" t="str">
        <f>D343 &amp; "-" &amp; VLOOKUP(D343,[4]STRATEGIES!$E$1:$F$504,2,FALSE)</f>
        <v>15- Promotion de l'éducation inclusive, y compris les FA</v>
      </c>
      <c r="AD343" s="21" t="str">
        <f t="shared" si="74"/>
        <v>15- Promotion de l'éducation inclusive, y compris les FA</v>
      </c>
    </row>
    <row r="344" spans="1:30" s="22" customFormat="1" ht="60" hidden="1" customHeight="1" x14ac:dyDescent="0.8">
      <c r="A344" s="14">
        <v>1</v>
      </c>
      <c r="B344" s="15">
        <v>15</v>
      </c>
      <c r="C344" s="15">
        <v>151</v>
      </c>
      <c r="D344" s="15">
        <v>151</v>
      </c>
      <c r="E344" s="15">
        <v>151</v>
      </c>
      <c r="F344" s="16" t="s">
        <v>461</v>
      </c>
      <c r="G344" s="17"/>
      <c r="H344" s="17"/>
      <c r="I344" s="18">
        <v>0</v>
      </c>
      <c r="J344" s="18"/>
      <c r="K344" s="18"/>
      <c r="L344" s="18"/>
      <c r="M344" s="18"/>
      <c r="N344" s="18"/>
      <c r="O344" s="18"/>
      <c r="P344" s="18"/>
      <c r="Q344" s="18"/>
      <c r="R344" s="18"/>
      <c r="S344" s="24"/>
      <c r="T344" s="18"/>
      <c r="U344" s="18"/>
      <c r="V344" s="18"/>
      <c r="W344" s="18"/>
      <c r="X344" s="18"/>
      <c r="Y344" s="19" t="s">
        <v>32</v>
      </c>
      <c r="Z344" s="18" t="str">
        <f>A344 &amp; "-" &amp; VLOOKUP(A344,[4]PROGRAMMES!$E$1:$F$7,2,FALSE)</f>
        <v>1-Accès et équité à l'enseignement général</v>
      </c>
      <c r="AA344" s="19" t="str">
        <f>B344 &amp; "-" &amp; VLOOKUP(B344,[4]SOUSPROGRAMMES!$E$1:$F$44,2,FALSE)</f>
        <v>15- Promotion de l'éducation inclusive, y compris les FA</v>
      </c>
      <c r="AB344" s="19" t="str">
        <f>C344 &amp; "-" &amp; VLOOKUP(C344,[4]RESULTATS!$E$1:$F$176,2,FALSE)</f>
        <v>151- L'environnement d’enseignement et d'apprentissage est adapté aux besoins spécifiques  des enfants en situation de handicap</v>
      </c>
      <c r="AC344" s="20" t="str">
        <f>D344 &amp; "-" &amp; VLOOKUP(D344,[4]STRATEGIES!$E$1:$F$504,2,FALSE)</f>
        <v>151-Construction de rampes d'accès pour les écoles/établissements qui n'en disposent pas</v>
      </c>
      <c r="AD344" s="21" t="str">
        <f t="shared" si="74"/>
        <v>151- L'environnement d’enseignement et d'apprentissage est adapté aux besoins spécifiques  des enfants en situation de handicap</v>
      </c>
    </row>
    <row r="345" spans="1:30" ht="60" hidden="1" customHeight="1" x14ac:dyDescent="0.8">
      <c r="A345" s="25">
        <v>1</v>
      </c>
      <c r="B345" s="16">
        <v>15</v>
      </c>
      <c r="C345" s="16">
        <v>151</v>
      </c>
      <c r="D345" s="16">
        <v>151</v>
      </c>
      <c r="E345" s="16">
        <v>15111</v>
      </c>
      <c r="F345" s="16" t="s">
        <v>462</v>
      </c>
      <c r="G345" s="21" t="s">
        <v>159</v>
      </c>
      <c r="H345" s="21" t="s">
        <v>55</v>
      </c>
      <c r="I345" s="19">
        <v>0</v>
      </c>
      <c r="J345" s="19">
        <v>1</v>
      </c>
      <c r="K345" s="19">
        <v>1</v>
      </c>
      <c r="L345" s="19"/>
      <c r="M345" s="19">
        <f t="shared" si="77"/>
        <v>2</v>
      </c>
      <c r="N345" s="19">
        <f>IF(OR(H345="",H345="sif",H345="PM"),0,VLOOKUP(H345,[5]CU!$C$4:$H$255,6,FALSE))</f>
        <v>0</v>
      </c>
      <c r="O345" s="19"/>
      <c r="P345" s="19"/>
      <c r="Q345" s="19">
        <f t="shared" ref="Q345:Q346" si="79">$N345*K345</f>
        <v>0</v>
      </c>
      <c r="R345" s="19"/>
      <c r="S345" s="31"/>
      <c r="T345" s="26" t="s">
        <v>169</v>
      </c>
      <c r="U345" s="19" t="s">
        <v>170</v>
      </c>
      <c r="V345" s="19" t="str">
        <f>IF(OR($H345="",$H345="sif",$H345="PM"),"",VLOOKUP($H345,[5]CU!$C$5:$J$255,8,FALSE))</f>
        <v/>
      </c>
      <c r="W345" s="19" t="s">
        <v>192</v>
      </c>
      <c r="X345" s="19" t="s">
        <v>463</v>
      </c>
      <c r="Y345" s="19" t="s">
        <v>32</v>
      </c>
      <c r="Z345" s="19" t="str">
        <f>A345 &amp; "-" &amp; VLOOKUP(A345,[4]PROGRAMMES!$E$1:$F$7,2,FALSE)</f>
        <v>1-Accès et équité à l'enseignement général</v>
      </c>
      <c r="AA345" s="19" t="str">
        <f>B345 &amp; "-" &amp; VLOOKUP(B345,[4]SOUSPROGRAMMES!$E$1:$F$44,2,FALSE)</f>
        <v>15- Promotion de l'éducation inclusive, y compris les FA</v>
      </c>
      <c r="AB345" s="19" t="str">
        <f>C345 &amp; "-" &amp; VLOOKUP(C345,[4]RESULTATS!$E$1:$F$176,2,FALSE)</f>
        <v>151- L'environnement d’enseignement et d'apprentissage est adapté aux besoins spécifiques  des enfants en situation de handicap</v>
      </c>
      <c r="AC345" s="20" t="str">
        <f>D345 &amp; "-" &amp; VLOOKUP(D345,[4]STRATEGIES!$E$1:$F$504,2,FALSE)</f>
        <v>151-Construction de rampes d'accès pour les écoles/établissements qui n'en disposent pas</v>
      </c>
      <c r="AD345" s="21" t="str">
        <f t="shared" si="74"/>
        <v>15111-Identification des établissements devant bénéficier de construction de rampes d'accès (activité 12221)</v>
      </c>
    </row>
    <row r="346" spans="1:30" ht="60" hidden="1" customHeight="1" x14ac:dyDescent="0.8">
      <c r="A346" s="25">
        <v>1</v>
      </c>
      <c r="B346" s="16">
        <v>15</v>
      </c>
      <c r="C346" s="16">
        <v>151</v>
      </c>
      <c r="D346" s="16">
        <v>151</v>
      </c>
      <c r="E346" s="16">
        <v>15112</v>
      </c>
      <c r="F346" s="16" t="s">
        <v>464</v>
      </c>
      <c r="G346" s="21" t="s">
        <v>103</v>
      </c>
      <c r="H346" s="21" t="s">
        <v>465</v>
      </c>
      <c r="I346" s="19">
        <v>0</v>
      </c>
      <c r="J346" s="19"/>
      <c r="K346" s="19">
        <f>(((20000/3)+(9000/4))*0.1)*60%*2</f>
        <v>1070.0000000000002</v>
      </c>
      <c r="L346" s="19">
        <f>(((20000/3)+(9000/4))*0.1)*60%</f>
        <v>535.00000000000011</v>
      </c>
      <c r="M346" s="19">
        <f>SUM(I346:L346)</f>
        <v>1605.0000000000005</v>
      </c>
      <c r="N346" s="19">
        <f>IF(OR(H346="",H346="sif",H346="PM"),0,VLOOKUP(H346,[5]CU!$C$4:$H$255,6,FALSE))</f>
        <v>2.76</v>
      </c>
      <c r="O346" s="19">
        <f t="shared" ref="O346:R350" si="80">$N346*I346</f>
        <v>0</v>
      </c>
      <c r="P346" s="19">
        <f t="shared" si="80"/>
        <v>0</v>
      </c>
      <c r="Q346" s="19">
        <f t="shared" si="79"/>
        <v>2953.2000000000003</v>
      </c>
      <c r="R346" s="19">
        <f t="shared" si="80"/>
        <v>1476.6000000000001</v>
      </c>
      <c r="S346" s="31">
        <f>SUM(O346:R346)</f>
        <v>4429.8</v>
      </c>
      <c r="T346" s="26" t="s">
        <v>169</v>
      </c>
      <c r="U346" s="19" t="s">
        <v>170</v>
      </c>
      <c r="V346" s="19" t="str">
        <f>IF(OR($H346="",$H346="sif",$H346="PM"),"",VLOOKUP($H346,[5]CU!$C$5:$J$255,8,FALSE))</f>
        <v>5. Investissement</v>
      </c>
      <c r="W346" s="19" t="s">
        <v>98</v>
      </c>
      <c r="X346" s="19" t="s">
        <v>282</v>
      </c>
      <c r="Y346" s="19" t="s">
        <v>32</v>
      </c>
      <c r="Z346" s="19" t="str">
        <f>A346 &amp; "-" &amp; VLOOKUP(A346,[4]PROGRAMMES!$E$1:$F$7,2,FALSE)</f>
        <v>1-Accès et équité à l'enseignement général</v>
      </c>
      <c r="AA346" s="19" t="str">
        <f>B346 &amp; "-" &amp; VLOOKUP(B346,[4]SOUSPROGRAMMES!$E$1:$F$44,2,FALSE)</f>
        <v>15- Promotion de l'éducation inclusive, y compris les FA</v>
      </c>
      <c r="AB346" s="19" t="str">
        <f>C346 &amp; "-" &amp; VLOOKUP(C346,[4]RESULTATS!$E$1:$F$176,2,FALSE)</f>
        <v>151- L'environnement d’enseignement et d'apprentissage est adapté aux besoins spécifiques  des enfants en situation de handicap</v>
      </c>
      <c r="AC346" s="20" t="str">
        <f>D346 &amp; "-" &amp; VLOOKUP(D346,[4]STRATEGIES!$E$1:$F$504,2,FALSE)</f>
        <v>151-Construction de rampes d'accès pour les écoles/établissements qui n'en disposent pas</v>
      </c>
      <c r="AD346" s="21" t="str">
        <f t="shared" si="74"/>
        <v>15112-Réalisation des travaux de construction des rampes d'accès</v>
      </c>
    </row>
    <row r="347" spans="1:30" s="22" customFormat="1" ht="60" hidden="1" customHeight="1" x14ac:dyDescent="0.8">
      <c r="A347" s="14">
        <v>1</v>
      </c>
      <c r="B347" s="15">
        <v>15</v>
      </c>
      <c r="C347" s="15">
        <v>151</v>
      </c>
      <c r="D347" s="15">
        <v>151</v>
      </c>
      <c r="E347" s="15">
        <v>15112</v>
      </c>
      <c r="F347" s="16" t="s">
        <v>464</v>
      </c>
      <c r="G347" s="21" t="s">
        <v>103</v>
      </c>
      <c r="H347" s="17" t="s">
        <v>465</v>
      </c>
      <c r="I347" s="18">
        <v>0</v>
      </c>
      <c r="J347" s="18">
        <f>(((20000/3)+(9000/4))*0.1)*40%</f>
        <v>356.66666666666674</v>
      </c>
      <c r="K347" s="18">
        <f>(((20000/3)+(9000/4))*0.1)*40%</f>
        <v>356.66666666666674</v>
      </c>
      <c r="L347" s="18">
        <f>(((20000/3)+(9000/4))*0.1)*40%</f>
        <v>356.66666666666674</v>
      </c>
      <c r="M347" s="18">
        <f t="shared" si="77"/>
        <v>1070.0000000000002</v>
      </c>
      <c r="N347" s="18">
        <f>IF(OR(H347="",H347="sif",H347="PM"),0,VLOOKUP(H347,[5]CU!$C$4:$H$255,6,FALSE))</f>
        <v>2.76</v>
      </c>
      <c r="O347" s="18">
        <f t="shared" si="80"/>
        <v>0</v>
      </c>
      <c r="P347" s="18">
        <f t="shared" si="80"/>
        <v>984.40000000000009</v>
      </c>
      <c r="Q347" s="18">
        <f t="shared" si="80"/>
        <v>984.40000000000009</v>
      </c>
      <c r="R347" s="18">
        <f t="shared" si="80"/>
        <v>984.40000000000009</v>
      </c>
      <c r="S347" s="24">
        <f>SUM(O347:R347)</f>
        <v>2953.2000000000003</v>
      </c>
      <c r="T347" s="23" t="s">
        <v>118</v>
      </c>
      <c r="U347" s="18" t="s">
        <v>170</v>
      </c>
      <c r="V347" s="18" t="str">
        <f>IF(OR($H347="",$H347="sif",$H347="PM"),"",VLOOKUP($H347,[5]CU!$C$5:$J$255,8,FALSE))</f>
        <v>5. Investissement</v>
      </c>
      <c r="W347" s="18" t="s">
        <v>98</v>
      </c>
      <c r="X347" s="18" t="s">
        <v>282</v>
      </c>
      <c r="Y347" s="19" t="s">
        <v>32</v>
      </c>
      <c r="Z347" s="18" t="str">
        <f>A347 &amp; "-" &amp; VLOOKUP(A347,[4]PROGRAMMES!$E$1:$F$7,2,FALSE)</f>
        <v>1-Accès et équité à l'enseignement général</v>
      </c>
      <c r="AA347" s="19" t="str">
        <f>B347 &amp; "-" &amp; VLOOKUP(B347,[4]SOUSPROGRAMMES!$E$1:$F$44,2,FALSE)</f>
        <v>15- Promotion de l'éducation inclusive, y compris les FA</v>
      </c>
      <c r="AB347" s="19" t="str">
        <f>C347 &amp; "-" &amp; VLOOKUP(C347,[4]RESULTATS!$E$1:$F$176,2,FALSE)</f>
        <v>151- L'environnement d’enseignement et d'apprentissage est adapté aux besoins spécifiques  des enfants en situation de handicap</v>
      </c>
      <c r="AC347" s="20" t="str">
        <f>D347 &amp; "-" &amp; VLOOKUP(D347,[4]STRATEGIES!$E$1:$F$504,2,FALSE)</f>
        <v>151-Construction de rampes d'accès pour les écoles/établissements qui n'en disposent pas</v>
      </c>
      <c r="AD347" s="21" t="str">
        <f t="shared" si="74"/>
        <v>15112-Réalisation des travaux de construction des rampes d'accès</v>
      </c>
    </row>
    <row r="348" spans="1:30" ht="60" hidden="1" customHeight="1" x14ac:dyDescent="0.8">
      <c r="A348" s="25">
        <v>1</v>
      </c>
      <c r="B348" s="16">
        <v>15</v>
      </c>
      <c r="C348" s="16">
        <v>151</v>
      </c>
      <c r="D348" s="16">
        <v>151</v>
      </c>
      <c r="E348" s="16">
        <v>15113</v>
      </c>
      <c r="F348" s="16" t="s">
        <v>466</v>
      </c>
      <c r="G348" s="21" t="s">
        <v>159</v>
      </c>
      <c r="H348" s="21" t="s">
        <v>55</v>
      </c>
      <c r="I348" s="19">
        <v>0</v>
      </c>
      <c r="J348" s="19">
        <v>1</v>
      </c>
      <c r="K348" s="19">
        <v>1</v>
      </c>
      <c r="L348" s="19">
        <v>1</v>
      </c>
      <c r="M348" s="19">
        <f t="shared" si="77"/>
        <v>3</v>
      </c>
      <c r="N348" s="19">
        <f>IF(OR(H348="",H348="sif",H348="PM"),0,VLOOKUP(H348,[5]CU!$C$4:$H$255,6,FALSE))</f>
        <v>0</v>
      </c>
      <c r="O348" s="19"/>
      <c r="P348" s="19"/>
      <c r="Q348" s="19">
        <f t="shared" si="80"/>
        <v>0</v>
      </c>
      <c r="R348" s="19"/>
      <c r="S348" s="31"/>
      <c r="T348" s="26" t="s">
        <v>169</v>
      </c>
      <c r="U348" s="19" t="s">
        <v>170</v>
      </c>
      <c r="V348" s="19" t="str">
        <f>IF(OR($H348="",$H348="sif",$H348="PM"),"",VLOOKUP($H348,[5]CU!$C$5:$J$255,8,FALSE))</f>
        <v/>
      </c>
      <c r="W348" s="19" t="s">
        <v>98</v>
      </c>
      <c r="X348" s="19" t="s">
        <v>282</v>
      </c>
      <c r="Y348" s="19" t="s">
        <v>32</v>
      </c>
      <c r="Z348" s="19" t="str">
        <f>A348 &amp; "-" &amp; VLOOKUP(A348,[4]PROGRAMMES!$E$1:$F$7,2,FALSE)</f>
        <v>1-Accès et équité à l'enseignement général</v>
      </c>
      <c r="AA348" s="19" t="str">
        <f>B348 &amp; "-" &amp; VLOOKUP(B348,[4]SOUSPROGRAMMES!$E$1:$F$44,2,FALSE)</f>
        <v>15- Promotion de l'éducation inclusive, y compris les FA</v>
      </c>
      <c r="AB348" s="19" t="str">
        <f>C348 &amp; "-" &amp; VLOOKUP(C348,[4]RESULTATS!$E$1:$F$176,2,FALSE)</f>
        <v>151- L'environnement d’enseignement et d'apprentissage est adapté aux besoins spécifiques  des enfants en situation de handicap</v>
      </c>
      <c r="AC348" s="20" t="str">
        <f>D348 &amp; "-" &amp; VLOOKUP(D348,[4]STRATEGIES!$E$1:$F$504,2,FALSE)</f>
        <v>151-Construction de rampes d'accès pour les écoles/établissements qui n'en disposent pas</v>
      </c>
      <c r="AD348" s="21" t="str">
        <f t="shared" si="74"/>
        <v>15113-Supervision de la construction des rampes d'accès (pris en compte dans supervision des constructions et de la réhabilitation)</v>
      </c>
    </row>
    <row r="349" spans="1:30" ht="60" hidden="1" customHeight="1" x14ac:dyDescent="0.8">
      <c r="A349" s="25">
        <v>1</v>
      </c>
      <c r="B349" s="16">
        <v>15</v>
      </c>
      <c r="C349" s="16">
        <v>151</v>
      </c>
      <c r="D349" s="16">
        <v>151</v>
      </c>
      <c r="E349" s="16">
        <v>15121</v>
      </c>
      <c r="F349" s="16" t="s">
        <v>467</v>
      </c>
      <c r="G349" s="21" t="s">
        <v>88</v>
      </c>
      <c r="H349" s="21" t="s">
        <v>55</v>
      </c>
      <c r="I349" s="19">
        <v>0</v>
      </c>
      <c r="J349" s="19">
        <v>1</v>
      </c>
      <c r="K349" s="19">
        <v>1</v>
      </c>
      <c r="L349" s="19">
        <v>1</v>
      </c>
      <c r="M349" s="19">
        <f t="shared" si="77"/>
        <v>3</v>
      </c>
      <c r="N349" s="19">
        <f>IF(OR(H349="",H349="sif",H349="PM"),0,VLOOKUP(H349,[5]CU!$C$4:$H$255,6,FALSE))</f>
        <v>0</v>
      </c>
      <c r="O349" s="19"/>
      <c r="P349" s="19"/>
      <c r="Q349" s="19">
        <f t="shared" si="80"/>
        <v>0</v>
      </c>
      <c r="R349" s="19"/>
      <c r="S349" s="31"/>
      <c r="T349" s="26" t="s">
        <v>169</v>
      </c>
      <c r="U349" s="19" t="s">
        <v>170</v>
      </c>
      <c r="V349" s="19" t="str">
        <f>IF(OR($H349="",$H349="sif",$H349="PM"),"",VLOOKUP($H349,[5]CU!$C$5:$J$255,8,FALSE))</f>
        <v/>
      </c>
      <c r="W349" s="19" t="s">
        <v>96</v>
      </c>
      <c r="X349" s="19" t="s">
        <v>77</v>
      </c>
      <c r="Y349" s="19" t="s">
        <v>32</v>
      </c>
      <c r="Z349" s="19" t="str">
        <f>A349 &amp; "-" &amp; VLOOKUP(A349,[4]PROGRAMMES!$E$1:$F$7,2,FALSE)</f>
        <v>1-Accès et équité à l'enseignement général</v>
      </c>
      <c r="AA349" s="19" t="str">
        <f>B349 &amp; "-" &amp; VLOOKUP(B349,[4]SOUSPROGRAMMES!$E$1:$F$44,2,FALSE)</f>
        <v>15- Promotion de l'éducation inclusive, y compris les FA</v>
      </c>
      <c r="AB349" s="19" t="str">
        <f>C349 &amp; "-" &amp; VLOOKUP(C349,[4]RESULTATS!$E$1:$F$176,2,FALSE)</f>
        <v>151- L'environnement d’enseignement et d'apprentissage est adapté aux besoins spécifiques  des enfants en situation de handicap</v>
      </c>
      <c r="AC349" s="20" t="str">
        <f>D349 &amp; "-" &amp; VLOOKUP(D349,[4]STRATEGIES!$E$1:$F$504,2,FALSE)</f>
        <v>151-Construction de rampes d'accès pour les écoles/établissements qui n'en disposent pas</v>
      </c>
      <c r="AD349" s="21" t="str">
        <f t="shared" si="74"/>
        <v>15121-Identification des sites devant bénéficier de construction de latrines adaptées aux personnes vivant avec un handicap en fonction de la disponibilité de rampes d'accès</v>
      </c>
    </row>
    <row r="350" spans="1:30" ht="60" hidden="1" customHeight="1" x14ac:dyDescent="0.8">
      <c r="A350" s="25">
        <v>1</v>
      </c>
      <c r="B350" s="16">
        <v>15</v>
      </c>
      <c r="C350" s="16">
        <v>151</v>
      </c>
      <c r="D350" s="16">
        <v>151</v>
      </c>
      <c r="E350" s="16">
        <v>15122</v>
      </c>
      <c r="F350" s="16" t="s">
        <v>468</v>
      </c>
      <c r="G350" s="21" t="s">
        <v>88</v>
      </c>
      <c r="H350" s="21" t="s">
        <v>55</v>
      </c>
      <c r="I350" s="19">
        <v>0</v>
      </c>
      <c r="J350" s="19">
        <v>1</v>
      </c>
      <c r="K350" s="19">
        <v>1</v>
      </c>
      <c r="L350" s="19">
        <v>1</v>
      </c>
      <c r="M350" s="19">
        <f t="shared" si="77"/>
        <v>3</v>
      </c>
      <c r="N350" s="19">
        <f>IF(OR(H350="",H350="sif",H350="PM"),0,VLOOKUP(H350,[5]CU!$C$4:$H$255,6,FALSE))</f>
        <v>0</v>
      </c>
      <c r="O350" s="19"/>
      <c r="P350" s="19"/>
      <c r="Q350" s="19">
        <f t="shared" si="80"/>
        <v>0</v>
      </c>
      <c r="R350" s="19"/>
      <c r="S350" s="31"/>
      <c r="T350" s="26" t="s">
        <v>169</v>
      </c>
      <c r="U350" s="19" t="s">
        <v>170</v>
      </c>
      <c r="V350" s="19" t="str">
        <f>IF(OR($H350="",$H350="sif",$H350="PM"),"",VLOOKUP($H350,[5]CU!$C$5:$J$255,8,FALSE))</f>
        <v/>
      </c>
      <c r="W350" s="19" t="s">
        <v>98</v>
      </c>
      <c r="X350" s="19" t="s">
        <v>469</v>
      </c>
      <c r="Y350" s="19" t="s">
        <v>32</v>
      </c>
      <c r="Z350" s="19" t="str">
        <f>A350 &amp; "-" &amp; VLOOKUP(A350,[4]PROGRAMMES!$E$1:$F$7,2,FALSE)</f>
        <v>1-Accès et équité à l'enseignement général</v>
      </c>
      <c r="AA350" s="19" t="str">
        <f>B350 &amp; "-" &amp; VLOOKUP(B350,[4]SOUSPROGRAMMES!$E$1:$F$44,2,FALSE)</f>
        <v>15- Promotion de l'éducation inclusive, y compris les FA</v>
      </c>
      <c r="AB350" s="19" t="str">
        <f>C350 &amp; "-" &amp; VLOOKUP(C350,[4]RESULTATS!$E$1:$F$176,2,FALSE)</f>
        <v>151- L'environnement d’enseignement et d'apprentissage est adapté aux besoins spécifiques  des enfants en situation de handicap</v>
      </c>
      <c r="AC350" s="20" t="str">
        <f>D350 &amp; "-" &amp; VLOOKUP(D350,[4]STRATEGIES!$E$1:$F$504,2,FALSE)</f>
        <v>151-Construction de rampes d'accès pour les écoles/établissements qui n'en disposent pas</v>
      </c>
      <c r="AD350" s="21" t="str">
        <f t="shared" si="74"/>
        <v>15122-Validation des sites devant bénéficier de construction de latrines adaptées aux personnes vivant avec un handicap en fonction de la disponibilité de rampes d'accès</v>
      </c>
    </row>
    <row r="351" spans="1:30" s="22" customFormat="1" ht="60" hidden="1" customHeight="1" x14ac:dyDescent="0.8">
      <c r="A351" s="14">
        <v>1</v>
      </c>
      <c r="B351" s="15">
        <v>15</v>
      </c>
      <c r="C351" s="15">
        <v>151</v>
      </c>
      <c r="D351" s="15">
        <v>151</v>
      </c>
      <c r="E351" s="15">
        <v>15123</v>
      </c>
      <c r="F351" s="16" t="s">
        <v>470</v>
      </c>
      <c r="G351" s="21" t="s">
        <v>471</v>
      </c>
      <c r="H351" s="17" t="s">
        <v>472</v>
      </c>
      <c r="I351" s="18">
        <v>0</v>
      </c>
      <c r="J351" s="18">
        <f>57.9*50%</f>
        <v>28.95</v>
      </c>
      <c r="K351" s="18">
        <f>96.5*50%</f>
        <v>48.25</v>
      </c>
      <c r="L351" s="18">
        <f>38.6*50%</f>
        <v>19.3</v>
      </c>
      <c r="M351" s="18">
        <f>SUM(I351:L351)</f>
        <v>96.5</v>
      </c>
      <c r="N351" s="18">
        <f>IF(OR(H351="",H351="sif",H351="PM"),0,VLOOKUP(H351,[5]CU!$C$4:$H$255,6,FALSE))</f>
        <v>48.949999999999996</v>
      </c>
      <c r="O351" s="18">
        <f t="shared" ref="O351:R354" si="81">$N351*I351</f>
        <v>0</v>
      </c>
      <c r="P351" s="18">
        <f t="shared" si="81"/>
        <v>1417.1024999999997</v>
      </c>
      <c r="Q351" s="18">
        <f t="shared" si="81"/>
        <v>2361.8374999999996</v>
      </c>
      <c r="R351" s="18">
        <f t="shared" si="81"/>
        <v>944.7349999999999</v>
      </c>
      <c r="S351" s="24">
        <f>SUM(O351:R351)</f>
        <v>4723.6749999999993</v>
      </c>
      <c r="T351" s="23" t="s">
        <v>118</v>
      </c>
      <c r="U351" s="18" t="s">
        <v>170</v>
      </c>
      <c r="V351" s="18" t="str">
        <f>IF(OR($H351="",$H351="sif",$H351="PM"),"",VLOOKUP($H351,[5]CU!$C$5:$J$255,8,FALSE))</f>
        <v>5. Investissement</v>
      </c>
      <c r="W351" s="18" t="s">
        <v>98</v>
      </c>
      <c r="X351" s="18" t="s">
        <v>282</v>
      </c>
      <c r="Y351" s="19" t="s">
        <v>32</v>
      </c>
      <c r="Z351" s="18" t="str">
        <f>A351 &amp; "-" &amp; VLOOKUP(A351,[4]PROGRAMMES!$E$1:$F$7,2,FALSE)</f>
        <v>1-Accès et équité à l'enseignement général</v>
      </c>
      <c r="AA351" s="19" t="str">
        <f>B351 &amp; "-" &amp; VLOOKUP(B351,[4]SOUSPROGRAMMES!$E$1:$F$44,2,FALSE)</f>
        <v>15- Promotion de l'éducation inclusive, y compris les FA</v>
      </c>
      <c r="AB351" s="19" t="str">
        <f>C351 &amp; "-" &amp; VLOOKUP(C351,[4]RESULTATS!$E$1:$F$176,2,FALSE)</f>
        <v>151- L'environnement d’enseignement et d'apprentissage est adapté aux besoins spécifiques  des enfants en situation de handicap</v>
      </c>
      <c r="AC351" s="20" t="str">
        <f>D351 &amp; "-" &amp; VLOOKUP(D351,[4]STRATEGIES!$E$1:$F$504,2,FALSE)</f>
        <v>151-Construction de rampes d'accès pour les écoles/établissements qui n'en disposent pas</v>
      </c>
      <c r="AD351" s="21" t="str">
        <f t="shared" si="74"/>
        <v>15123-Réalisation des travaux de construction des latrines adaptées</v>
      </c>
    </row>
    <row r="352" spans="1:30" s="22" customFormat="1" ht="60" hidden="1" customHeight="1" x14ac:dyDescent="0.8">
      <c r="A352" s="14">
        <v>1</v>
      </c>
      <c r="B352" s="15">
        <v>15</v>
      </c>
      <c r="C352" s="15">
        <v>151</v>
      </c>
      <c r="D352" s="15">
        <v>151</v>
      </c>
      <c r="E352" s="15">
        <v>15123</v>
      </c>
      <c r="F352" s="16" t="s">
        <v>470</v>
      </c>
      <c r="G352" s="21" t="s">
        <v>471</v>
      </c>
      <c r="H352" s="17" t="s">
        <v>472</v>
      </c>
      <c r="I352" s="18">
        <v>0</v>
      </c>
      <c r="J352" s="18">
        <f>57.9*50%</f>
        <v>28.95</v>
      </c>
      <c r="K352" s="18">
        <f>96.5*50%</f>
        <v>48.25</v>
      </c>
      <c r="L352" s="18">
        <f>38.6*50%</f>
        <v>19.3</v>
      </c>
      <c r="M352" s="18">
        <f t="shared" si="77"/>
        <v>96.5</v>
      </c>
      <c r="N352" s="18">
        <f>IF(OR(H352="",H352="sif",H352="PM"),0,VLOOKUP(H352,[5]CU!$C$4:$H$255,6,FALSE))</f>
        <v>48.949999999999996</v>
      </c>
      <c r="O352" s="18">
        <f t="shared" si="81"/>
        <v>0</v>
      </c>
      <c r="P352" s="18">
        <f t="shared" si="81"/>
        <v>1417.1024999999997</v>
      </c>
      <c r="Q352" s="18">
        <f t="shared" si="81"/>
        <v>2361.8374999999996</v>
      </c>
      <c r="R352" s="18">
        <f t="shared" si="81"/>
        <v>944.7349999999999</v>
      </c>
      <c r="S352" s="24">
        <f>SUM(O352:R352)</f>
        <v>4723.6749999999993</v>
      </c>
      <c r="T352" s="23" t="s">
        <v>118</v>
      </c>
      <c r="U352" s="18" t="s">
        <v>170</v>
      </c>
      <c r="V352" s="18" t="str">
        <f>IF(OR($H352="",$H352="sif",$H352="PM"),"",VLOOKUP($H352,[5]CU!$C$5:$J$255,8,FALSE))</f>
        <v>5. Investissement</v>
      </c>
      <c r="W352" s="18" t="s">
        <v>98</v>
      </c>
      <c r="X352" s="18" t="s">
        <v>282</v>
      </c>
      <c r="Y352" s="19" t="s">
        <v>32</v>
      </c>
      <c r="Z352" s="18" t="str">
        <f>A352 &amp; "-" &amp; VLOOKUP(A352,[4]PROGRAMMES!$E$1:$F$7,2,FALSE)</f>
        <v>1-Accès et équité à l'enseignement général</v>
      </c>
      <c r="AA352" s="19" t="str">
        <f>B352 &amp; "-" &amp; VLOOKUP(B352,[4]SOUSPROGRAMMES!$E$1:$F$44,2,FALSE)</f>
        <v>15- Promotion de l'éducation inclusive, y compris les FA</v>
      </c>
      <c r="AB352" s="19" t="str">
        <f>C352 &amp; "-" &amp; VLOOKUP(C352,[4]RESULTATS!$E$1:$F$176,2,FALSE)</f>
        <v>151- L'environnement d’enseignement et d'apprentissage est adapté aux besoins spécifiques  des enfants en situation de handicap</v>
      </c>
      <c r="AC352" s="20" t="str">
        <f>D352 &amp; "-" &amp; VLOOKUP(D352,[4]STRATEGIES!$E$1:$F$504,2,FALSE)</f>
        <v>151-Construction de rampes d'accès pour les écoles/établissements qui n'en disposent pas</v>
      </c>
      <c r="AD352" s="21" t="str">
        <f t="shared" si="74"/>
        <v>15123-Réalisation des travaux de construction des latrines adaptées</v>
      </c>
    </row>
    <row r="353" spans="1:30" ht="60" hidden="1" customHeight="1" x14ac:dyDescent="0.8">
      <c r="A353" s="25">
        <v>1</v>
      </c>
      <c r="B353" s="16">
        <v>15</v>
      </c>
      <c r="C353" s="16">
        <v>151</v>
      </c>
      <c r="D353" s="16">
        <v>151</v>
      </c>
      <c r="E353" s="16">
        <v>15124</v>
      </c>
      <c r="F353" s="16" t="s">
        <v>473</v>
      </c>
      <c r="G353" s="21" t="s">
        <v>92</v>
      </c>
      <c r="H353" s="21" t="s">
        <v>55</v>
      </c>
      <c r="I353" s="19">
        <v>0</v>
      </c>
      <c r="J353" s="19"/>
      <c r="K353" s="19"/>
      <c r="L353" s="19"/>
      <c r="M353" s="19"/>
      <c r="N353" s="19">
        <f>IF(OR(H353="",H353="sif",H353="PM"),0,VLOOKUP(H353,[5]CU!$C$4:$H$255,6,FALSE))</f>
        <v>0</v>
      </c>
      <c r="O353" s="19"/>
      <c r="P353" s="19"/>
      <c r="Q353" s="19">
        <f t="shared" si="81"/>
        <v>0</v>
      </c>
      <c r="R353" s="19"/>
      <c r="S353" s="31"/>
      <c r="T353" s="26" t="s">
        <v>169</v>
      </c>
      <c r="U353" s="19" t="s">
        <v>170</v>
      </c>
      <c r="V353" s="19" t="str">
        <f>IF(OR($H353="",$H353="sif",$H353="PM"),"",VLOOKUP($H353,[5]CU!$C$5:$J$255,8,FALSE))</f>
        <v/>
      </c>
      <c r="W353" s="19" t="s">
        <v>98</v>
      </c>
      <c r="X353" s="19" t="s">
        <v>98</v>
      </c>
      <c r="Y353" s="19" t="s">
        <v>32</v>
      </c>
      <c r="Z353" s="19" t="str">
        <f>A353 &amp; "-" &amp; VLOOKUP(A353,[4]PROGRAMMES!$E$1:$F$7,2,FALSE)</f>
        <v>1-Accès et équité à l'enseignement général</v>
      </c>
      <c r="AA353" s="19" t="str">
        <f>B353 &amp; "-" &amp; VLOOKUP(B353,[4]SOUSPROGRAMMES!$E$1:$F$44,2,FALSE)</f>
        <v>15- Promotion de l'éducation inclusive, y compris les FA</v>
      </c>
      <c r="AB353" s="19" t="str">
        <f>C353 &amp; "-" &amp; VLOOKUP(C353,[4]RESULTATS!$E$1:$F$176,2,FALSE)</f>
        <v>151- L'environnement d’enseignement et d'apprentissage est adapté aux besoins spécifiques  des enfants en situation de handicap</v>
      </c>
      <c r="AC353" s="20" t="str">
        <f>D353 &amp; "-" &amp; VLOOKUP(D353,[4]STRATEGIES!$E$1:$F$504,2,FALSE)</f>
        <v>151-Construction de rampes d'accès pour les écoles/établissements qui n'en disposent pas</v>
      </c>
      <c r="AD353" s="21" t="str">
        <f t="shared" si="74"/>
        <v>15124-Construction de latrines (pris en compte dans activité 12226 et 14135)</v>
      </c>
    </row>
    <row r="354" spans="1:30" ht="60" hidden="1" customHeight="1" x14ac:dyDescent="0.8">
      <c r="A354" s="25">
        <v>1</v>
      </c>
      <c r="B354" s="16">
        <v>15</v>
      </c>
      <c r="C354" s="16">
        <v>151</v>
      </c>
      <c r="D354" s="16">
        <v>151</v>
      </c>
      <c r="E354" s="16">
        <v>15125</v>
      </c>
      <c r="F354" s="16" t="s">
        <v>474</v>
      </c>
      <c r="G354" s="21" t="s">
        <v>159</v>
      </c>
      <c r="H354" s="21" t="s">
        <v>55</v>
      </c>
      <c r="I354" s="19">
        <v>0</v>
      </c>
      <c r="J354" s="19">
        <v>1</v>
      </c>
      <c r="K354" s="19">
        <v>1</v>
      </c>
      <c r="L354" s="19">
        <v>1</v>
      </c>
      <c r="M354" s="19">
        <f t="shared" ref="M354:M362" si="82">SUM(I354:L354)</f>
        <v>3</v>
      </c>
      <c r="N354" s="19">
        <f>IF(OR(H354="",H354="sif",H354="PM"),0,VLOOKUP(H354,[5]CU!$C$4:$H$255,6,FALSE))</f>
        <v>0</v>
      </c>
      <c r="O354" s="19"/>
      <c r="P354" s="19"/>
      <c r="Q354" s="19">
        <f t="shared" si="81"/>
        <v>0</v>
      </c>
      <c r="R354" s="19"/>
      <c r="S354" s="31"/>
      <c r="T354" s="26" t="s">
        <v>169</v>
      </c>
      <c r="U354" s="19" t="s">
        <v>170</v>
      </c>
      <c r="V354" s="19" t="str">
        <f>IF(OR($H354="",$H354="sif",$H354="PM"),"",VLOOKUP($H354,[5]CU!$C$5:$J$255,8,FALSE))</f>
        <v/>
      </c>
      <c r="W354" s="19" t="s">
        <v>98</v>
      </c>
      <c r="X354" s="19" t="s">
        <v>77</v>
      </c>
      <c r="Y354" s="19" t="s">
        <v>32</v>
      </c>
      <c r="Z354" s="19" t="str">
        <f>A354 &amp; "-" &amp; VLOOKUP(A354,[4]PROGRAMMES!$E$1:$F$7,2,FALSE)</f>
        <v>1-Accès et équité à l'enseignement général</v>
      </c>
      <c r="AA354" s="19" t="str">
        <f>B354 &amp; "-" &amp; VLOOKUP(B354,[4]SOUSPROGRAMMES!$E$1:$F$44,2,FALSE)</f>
        <v>15- Promotion de l'éducation inclusive, y compris les FA</v>
      </c>
      <c r="AB354" s="19" t="str">
        <f>C354 &amp; "-" &amp; VLOOKUP(C354,[4]RESULTATS!$E$1:$F$176,2,FALSE)</f>
        <v>151- L'environnement d’enseignement et d'apprentissage est adapté aux besoins spécifiques  des enfants en situation de handicap</v>
      </c>
      <c r="AC354" s="20" t="str">
        <f>D354 &amp; "-" &amp; VLOOKUP(D354,[4]STRATEGIES!$E$1:$F$504,2,FALSE)</f>
        <v>151-Construction de rampes d'accès pour les écoles/établissements qui n'en disposent pas</v>
      </c>
      <c r="AD354" s="21" t="str">
        <f t="shared" si="74"/>
        <v>15125-Supervision de la construction des latrines adaptées (pris en compte dans supervision des constructions et de la réhabilitation)</v>
      </c>
    </row>
    <row r="355" spans="1:30" s="22" customFormat="1" ht="45" hidden="1" customHeight="1" x14ac:dyDescent="0.8">
      <c r="A355" s="14">
        <v>1</v>
      </c>
      <c r="B355" s="15">
        <v>15</v>
      </c>
      <c r="C355" s="15">
        <v>152</v>
      </c>
      <c r="D355" s="15">
        <v>152</v>
      </c>
      <c r="E355" s="15">
        <v>152</v>
      </c>
      <c r="F355" s="16" t="s">
        <v>475</v>
      </c>
      <c r="G355" s="17"/>
      <c r="H355" s="17"/>
      <c r="I355" s="18">
        <v>0</v>
      </c>
      <c r="J355" s="18"/>
      <c r="K355" s="18"/>
      <c r="L355" s="18"/>
      <c r="M355" s="18"/>
      <c r="N355" s="18"/>
      <c r="O355" s="18"/>
      <c r="P355" s="18"/>
      <c r="Q355" s="18"/>
      <c r="R355" s="18"/>
      <c r="S355" s="24"/>
      <c r="T355" s="18"/>
      <c r="U355" s="18"/>
      <c r="V355" s="18"/>
      <c r="W355" s="18"/>
      <c r="X355" s="18"/>
      <c r="Y355" s="19" t="s">
        <v>32</v>
      </c>
      <c r="Z355" s="18" t="str">
        <f>A355 &amp; "-" &amp; VLOOKUP(A355,[4]PROGRAMMES!$E$1:$F$7,2,FALSE)</f>
        <v>1-Accès et équité à l'enseignement général</v>
      </c>
      <c r="AA355" s="19" t="str">
        <f>B355 &amp; "-" &amp; VLOOKUP(B355,[4]SOUSPROGRAMMES!$E$1:$F$44,2,FALSE)</f>
        <v>15- Promotion de l'éducation inclusive, y compris les FA</v>
      </c>
      <c r="AB355" s="19" t="str">
        <f>C355 &amp; "-" &amp; VLOOKUP(C355,[4]RESULTATS!$E$1:$F$176,2,FALSE)</f>
        <v>152- Un protocole d’assistance matérielle, humaine et technique est élaboré et adopté</v>
      </c>
      <c r="AC355" s="20" t="str">
        <f>D355 &amp; "-" &amp; VLOOKUP(D355,[4]STRATEGIES!$E$1:$F$504,2,FALSE)</f>
        <v>152- Un protocole d’assistance matérielle, humaine et technique est élaboré et adopté</v>
      </c>
      <c r="AD355" s="21" t="str">
        <f t="shared" si="74"/>
        <v>152- Un protocole d’assistance matérielle, humaine et technique est élaboré et adopté</v>
      </c>
    </row>
    <row r="356" spans="1:30" s="22" customFormat="1" ht="45" hidden="1" customHeight="1" x14ac:dyDescent="0.8">
      <c r="A356" s="14">
        <v>1</v>
      </c>
      <c r="B356" s="15">
        <v>15</v>
      </c>
      <c r="C356" s="15">
        <v>152</v>
      </c>
      <c r="D356" s="15">
        <v>1521</v>
      </c>
      <c r="E356" s="15">
        <v>1521</v>
      </c>
      <c r="F356" s="16" t="s">
        <v>476</v>
      </c>
      <c r="G356" s="17"/>
      <c r="H356" s="17"/>
      <c r="I356" s="18">
        <v>0</v>
      </c>
      <c r="J356" s="18"/>
      <c r="K356" s="18"/>
      <c r="L356" s="18"/>
      <c r="M356" s="18"/>
      <c r="N356" s="18"/>
      <c r="O356" s="18"/>
      <c r="P356" s="18"/>
      <c r="Q356" s="18"/>
      <c r="R356" s="18"/>
      <c r="S356" s="24"/>
      <c r="T356" s="18"/>
      <c r="U356" s="18"/>
      <c r="V356" s="18"/>
      <c r="W356" s="18"/>
      <c r="X356" s="18"/>
      <c r="Y356" s="19" t="s">
        <v>32</v>
      </c>
      <c r="Z356" s="18" t="str">
        <f>A356 &amp; "-" &amp; VLOOKUP(A356,[4]PROGRAMMES!$E$1:$F$7,2,FALSE)</f>
        <v>1-Accès et équité à l'enseignement général</v>
      </c>
      <c r="AA356" s="19" t="str">
        <f>B356 &amp; "-" &amp; VLOOKUP(B356,[4]SOUSPROGRAMMES!$E$1:$F$44,2,FALSE)</f>
        <v>15- Promotion de l'éducation inclusive, y compris les FA</v>
      </c>
      <c r="AB356" s="19" t="str">
        <f>C356 &amp; "-" &amp; VLOOKUP(C356,[4]RESULTATS!$E$1:$F$176,2,FALSE)</f>
        <v>152- Un protocole d’assistance matérielle, humaine et technique est élaboré et adopté</v>
      </c>
      <c r="AC356" s="20" t="str">
        <f>D356 &amp; "-" &amp; VLOOKUP(D356,[4]STRATEGIES!$E$1:$F$504,2,FALSE)</f>
        <v>1521-Mise en place et actualisation de la cartographie des enfants en situation de handicap (ESH)</v>
      </c>
      <c r="AD356" s="21" t="str">
        <f t="shared" si="74"/>
        <v>1521-Mise en place et actualisation de la cartographie des enfants en situation de handicap (ESH)</v>
      </c>
    </row>
    <row r="357" spans="1:30" ht="45" hidden="1" customHeight="1" x14ac:dyDescent="0.8">
      <c r="A357" s="25">
        <v>1</v>
      </c>
      <c r="B357" s="16">
        <v>15</v>
      </c>
      <c r="C357" s="16">
        <v>152</v>
      </c>
      <c r="D357" s="16">
        <v>1521</v>
      </c>
      <c r="E357" s="16">
        <v>15211</v>
      </c>
      <c r="F357" s="16" t="s">
        <v>477</v>
      </c>
      <c r="G357" s="21" t="s">
        <v>37</v>
      </c>
      <c r="H357" s="21" t="s">
        <v>66</v>
      </c>
      <c r="I357" s="19">
        <v>0</v>
      </c>
      <c r="J357" s="19"/>
      <c r="K357" s="19">
        <f>20*3*1</f>
        <v>60</v>
      </c>
      <c r="L357" s="19"/>
      <c r="M357" s="19">
        <f t="shared" si="82"/>
        <v>60</v>
      </c>
      <c r="N357" s="19">
        <f>IF(OR(H357="",H357="sif",H357="PM"),0,VLOOKUP(H357,[5]CU!$C$4:$H$255,6,FALSE))</f>
        <v>0.255</v>
      </c>
      <c r="O357" s="19">
        <f t="shared" ref="O357:R362" si="83">$N357*I357</f>
        <v>0</v>
      </c>
      <c r="P357" s="19">
        <f t="shared" si="83"/>
        <v>0</v>
      </c>
      <c r="Q357" s="19">
        <f t="shared" si="83"/>
        <v>15.3</v>
      </c>
      <c r="R357" s="19">
        <f t="shared" si="83"/>
        <v>0</v>
      </c>
      <c r="S357" s="31">
        <f>SUM(O357:R357)</f>
        <v>15.3</v>
      </c>
      <c r="T357" s="26" t="s">
        <v>169</v>
      </c>
      <c r="U357" s="19" t="s">
        <v>170</v>
      </c>
      <c r="V357" s="19" t="str">
        <f>IF(OR($H357="",$H357="sif",$H357="PM"),"",VLOOKUP($H357,[5]CU!$C$5:$J$255,8,FALSE))</f>
        <v>3. Dépenses de fonctionnement</v>
      </c>
      <c r="W357" s="19" t="s">
        <v>192</v>
      </c>
      <c r="X357" s="19" t="s">
        <v>96</v>
      </c>
      <c r="Y357" s="19" t="s">
        <v>32</v>
      </c>
      <c r="Z357" s="19" t="str">
        <f>A357 &amp; "-" &amp; VLOOKUP(A357,[4]PROGRAMMES!$E$1:$F$7,2,FALSE)</f>
        <v>1-Accès et équité à l'enseignement général</v>
      </c>
      <c r="AA357" s="19" t="str">
        <f>B357 &amp; "-" &amp; VLOOKUP(B357,[4]SOUSPROGRAMMES!$E$1:$F$44,2,FALSE)</f>
        <v>15- Promotion de l'éducation inclusive, y compris les FA</v>
      </c>
      <c r="AB357" s="19" t="str">
        <f>C357 &amp; "-" &amp; VLOOKUP(C357,[4]RESULTATS!$E$1:$F$176,2,FALSE)</f>
        <v>152- Un protocole d’assistance matérielle, humaine et technique est élaboré et adopté</v>
      </c>
      <c r="AC357" s="20" t="str">
        <f>D357 &amp; "-" &amp; VLOOKUP(D357,[4]STRATEGIES!$E$1:$F$504,2,FALSE)</f>
        <v>1521-Mise en place et actualisation de la cartographie des enfants en situation de handicap (ESH)</v>
      </c>
      <c r="AD357" s="21" t="str">
        <f t="shared" si="74"/>
        <v>15211-Elaboration des outils de collecte des données sur les élèves en situation de handicap à intégrer dans le questionnaire de collecte des BSD</v>
      </c>
    </row>
    <row r="358" spans="1:30" ht="45" hidden="1" customHeight="1" x14ac:dyDescent="0.8">
      <c r="A358" s="25">
        <v>1</v>
      </c>
      <c r="B358" s="16">
        <v>15</v>
      </c>
      <c r="C358" s="16">
        <v>152</v>
      </c>
      <c r="D358" s="16">
        <v>1521</v>
      </c>
      <c r="E358" s="16">
        <v>15212</v>
      </c>
      <c r="F358" s="16" t="s">
        <v>478</v>
      </c>
      <c r="G358" s="21" t="s">
        <v>37</v>
      </c>
      <c r="H358" s="21" t="s">
        <v>66</v>
      </c>
      <c r="I358" s="19">
        <v>0</v>
      </c>
      <c r="J358" s="19">
        <f>50*1</f>
        <v>50</v>
      </c>
      <c r="K358" s="19"/>
      <c r="L358" s="19"/>
      <c r="M358" s="19">
        <f t="shared" si="82"/>
        <v>50</v>
      </c>
      <c r="N358" s="19">
        <f>IF(OR(H358="",H358="sif",H358="PM"),0,VLOOKUP(H358,[5]CU!$C$4:$H$255,6,FALSE))</f>
        <v>0.255</v>
      </c>
      <c r="O358" s="19">
        <f t="shared" si="83"/>
        <v>0</v>
      </c>
      <c r="P358" s="19">
        <f t="shared" si="83"/>
        <v>12.75</v>
      </c>
      <c r="Q358" s="19">
        <f t="shared" si="83"/>
        <v>0</v>
      </c>
      <c r="R358" s="19">
        <f t="shared" si="83"/>
        <v>0</v>
      </c>
      <c r="S358" s="31">
        <f>SUM(O358:R358)</f>
        <v>12.75</v>
      </c>
      <c r="T358" s="26" t="s">
        <v>169</v>
      </c>
      <c r="U358" s="19" t="s">
        <v>170</v>
      </c>
      <c r="V358" s="19" t="str">
        <f>IF(OR($H358="",$H358="sif",$H358="PM"),"",VLOOKUP($H358,[5]CU!$C$5:$J$255,8,FALSE))</f>
        <v>3. Dépenses de fonctionnement</v>
      </c>
      <c r="W358" s="19" t="s">
        <v>192</v>
      </c>
      <c r="X358" s="19" t="s">
        <v>192</v>
      </c>
      <c r="Y358" s="19" t="s">
        <v>32</v>
      </c>
      <c r="Z358" s="19" t="str">
        <f>A358 &amp; "-" &amp; VLOOKUP(A358,[4]PROGRAMMES!$E$1:$F$7,2,FALSE)</f>
        <v>1-Accès et équité à l'enseignement général</v>
      </c>
      <c r="AA358" s="19" t="str">
        <f>B358 &amp; "-" &amp; VLOOKUP(B358,[4]SOUSPROGRAMMES!$E$1:$F$44,2,FALSE)</f>
        <v>15- Promotion de l'éducation inclusive, y compris les FA</v>
      </c>
      <c r="AB358" s="19" t="str">
        <f>C358 &amp; "-" &amp; VLOOKUP(C358,[4]RESULTATS!$E$1:$F$176,2,FALSE)</f>
        <v>152- Un protocole d’assistance matérielle, humaine et technique est élaboré et adopté</v>
      </c>
      <c r="AC358" s="20" t="str">
        <f>D358 &amp; "-" &amp; VLOOKUP(D358,[4]STRATEGIES!$E$1:$F$504,2,FALSE)</f>
        <v>1521-Mise en place et actualisation de la cartographie des enfants en situation de handicap (ESH)</v>
      </c>
      <c r="AD358" s="21" t="str">
        <f t="shared" si="74"/>
        <v>15212-Validation des outils de collecte des données sur les élèves en situation de handicap à intégrer dans le questionnaire de collecte des BSD</v>
      </c>
    </row>
    <row r="359" spans="1:30" ht="45" hidden="1" customHeight="1" x14ac:dyDescent="0.8">
      <c r="A359" s="25">
        <v>1</v>
      </c>
      <c r="B359" s="16">
        <v>15</v>
      </c>
      <c r="C359" s="16">
        <v>152</v>
      </c>
      <c r="D359" s="16">
        <v>1521</v>
      </c>
      <c r="E359" s="16">
        <v>15213</v>
      </c>
      <c r="F359" s="16" t="s">
        <v>479</v>
      </c>
      <c r="G359" s="21" t="s">
        <v>159</v>
      </c>
      <c r="H359" s="21" t="s">
        <v>55</v>
      </c>
      <c r="I359" s="19">
        <v>0</v>
      </c>
      <c r="J359" s="19"/>
      <c r="K359" s="19">
        <v>1</v>
      </c>
      <c r="L359" s="19"/>
      <c r="M359" s="19">
        <f t="shared" si="82"/>
        <v>1</v>
      </c>
      <c r="N359" s="19">
        <f>IF(OR(H359="",H359="sif",H359="PM"),0,VLOOKUP(H359,[5]CU!$C$4:$H$255,6,FALSE))</f>
        <v>0</v>
      </c>
      <c r="O359" s="19"/>
      <c r="P359" s="19"/>
      <c r="Q359" s="19">
        <f t="shared" si="83"/>
        <v>0</v>
      </c>
      <c r="R359" s="19"/>
      <c r="S359" s="31"/>
      <c r="T359" s="26" t="s">
        <v>169</v>
      </c>
      <c r="U359" s="19" t="s">
        <v>170</v>
      </c>
      <c r="V359" s="19" t="str">
        <f>IF(OR($H359="",$H359="sif",$H359="PM"),"",VLOOKUP($H359,[5]CU!$C$5:$J$255,8,FALSE))</f>
        <v/>
      </c>
      <c r="W359" s="19" t="s">
        <v>192</v>
      </c>
      <c r="X359" s="19" t="s">
        <v>96</v>
      </c>
      <c r="Y359" s="19" t="s">
        <v>32</v>
      </c>
      <c r="Z359" s="19" t="str">
        <f>A359 &amp; "-" &amp; VLOOKUP(A359,[4]PROGRAMMES!$E$1:$F$7,2,FALSE)</f>
        <v>1-Accès et équité à l'enseignement général</v>
      </c>
      <c r="AA359" s="19" t="str">
        <f>B359 &amp; "-" &amp; VLOOKUP(B359,[4]SOUSPROGRAMMES!$E$1:$F$44,2,FALSE)</f>
        <v>15- Promotion de l'éducation inclusive, y compris les FA</v>
      </c>
      <c r="AB359" s="19" t="str">
        <f>C359 &amp; "-" &amp; VLOOKUP(C359,[4]RESULTATS!$E$1:$F$176,2,FALSE)</f>
        <v>152- Un protocole d’assistance matérielle, humaine et technique est élaboré et adopté</v>
      </c>
      <c r="AC359" s="20" t="str">
        <f>D359 &amp; "-" &amp; VLOOKUP(D359,[4]STRATEGIES!$E$1:$F$504,2,FALSE)</f>
        <v>1521-Mise en place et actualisation de la cartographie des enfants en situation de handicap (ESH)</v>
      </c>
      <c r="AD359" s="21" t="str">
        <f t="shared" si="74"/>
        <v>15213-Intégration des outils de collecte des données sur les élèves en situation de handicap dans la BDD du BSD</v>
      </c>
    </row>
    <row r="360" spans="1:30" ht="45" hidden="1" customHeight="1" x14ac:dyDescent="0.8">
      <c r="A360" s="25">
        <v>1</v>
      </c>
      <c r="B360" s="16">
        <v>15</v>
      </c>
      <c r="C360" s="16">
        <v>152</v>
      </c>
      <c r="D360" s="16">
        <v>1521</v>
      </c>
      <c r="E360" s="16">
        <v>15214</v>
      </c>
      <c r="F360" s="16" t="s">
        <v>480</v>
      </c>
      <c r="G360" s="21" t="s">
        <v>159</v>
      </c>
      <c r="H360" s="21" t="s">
        <v>55</v>
      </c>
      <c r="I360" s="19">
        <v>0</v>
      </c>
      <c r="J360" s="19"/>
      <c r="K360" s="19">
        <v>1</v>
      </c>
      <c r="L360" s="19"/>
      <c r="M360" s="19">
        <f t="shared" si="82"/>
        <v>1</v>
      </c>
      <c r="N360" s="19">
        <f>IF(OR(H360="",H360="sif",H360="PM"),0,VLOOKUP(H360,[5]CU!$C$4:$H$255,6,FALSE))</f>
        <v>0</v>
      </c>
      <c r="O360" s="19"/>
      <c r="P360" s="19"/>
      <c r="Q360" s="19">
        <f t="shared" si="83"/>
        <v>0</v>
      </c>
      <c r="R360" s="19"/>
      <c r="S360" s="31"/>
      <c r="T360" s="26" t="s">
        <v>169</v>
      </c>
      <c r="U360" s="19" t="s">
        <v>170</v>
      </c>
      <c r="V360" s="19" t="str">
        <f>IF(OR($H360="",$H360="sif",$H360="PM"),"",VLOOKUP($H360,[5]CU!$C$5:$J$255,8,FALSE))</f>
        <v/>
      </c>
      <c r="W360" s="19" t="s">
        <v>96</v>
      </c>
      <c r="X360" s="19" t="s">
        <v>192</v>
      </c>
      <c r="Y360" s="19" t="s">
        <v>32</v>
      </c>
      <c r="Z360" s="19" t="str">
        <f>A360 &amp; "-" &amp; VLOOKUP(A360,[4]PROGRAMMES!$E$1:$F$7,2,FALSE)</f>
        <v>1-Accès et équité à l'enseignement général</v>
      </c>
      <c r="AA360" s="19" t="str">
        <f>B360 &amp; "-" &amp; VLOOKUP(B360,[4]SOUSPROGRAMMES!$E$1:$F$44,2,FALSE)</f>
        <v>15- Promotion de l'éducation inclusive, y compris les FA</v>
      </c>
      <c r="AB360" s="19" t="str">
        <f>C360 &amp; "-" &amp; VLOOKUP(C360,[4]RESULTATS!$E$1:$F$176,2,FALSE)</f>
        <v>152- Un protocole d’assistance matérielle, humaine et technique est élaboré et adopté</v>
      </c>
      <c r="AC360" s="20" t="str">
        <f>D360 &amp; "-" &amp; VLOOKUP(D360,[4]STRATEGIES!$E$1:$F$504,2,FALSE)</f>
        <v>1521-Mise en place et actualisation de la cartographie des enfants en situation de handicap (ESH)</v>
      </c>
      <c r="AD360" s="21" t="str">
        <f t="shared" si="74"/>
        <v>15214-Formation des agents de collecte sur les outils (pris en compte dans formation des enquêteurs)</v>
      </c>
    </row>
    <row r="361" spans="1:30" ht="45" hidden="1" customHeight="1" x14ac:dyDescent="0.8">
      <c r="A361" s="25">
        <v>1</v>
      </c>
      <c r="B361" s="16">
        <v>15</v>
      </c>
      <c r="C361" s="16">
        <v>152</v>
      </c>
      <c r="D361" s="16">
        <v>1521</v>
      </c>
      <c r="E361" s="16">
        <v>15215</v>
      </c>
      <c r="F361" s="16" t="s">
        <v>481</v>
      </c>
      <c r="G361" s="21" t="s">
        <v>159</v>
      </c>
      <c r="H361" s="21" t="s">
        <v>55</v>
      </c>
      <c r="I361" s="19">
        <v>0</v>
      </c>
      <c r="J361" s="19"/>
      <c r="K361" s="19">
        <v>1</v>
      </c>
      <c r="L361" s="19">
        <v>1</v>
      </c>
      <c r="M361" s="19">
        <f t="shared" si="82"/>
        <v>2</v>
      </c>
      <c r="N361" s="19">
        <f>IF(OR(H361="",H361="sif",H361="PM"),0,VLOOKUP(H361,[5]CU!$C$4:$H$255,6,FALSE))</f>
        <v>0</v>
      </c>
      <c r="O361" s="19"/>
      <c r="P361" s="19"/>
      <c r="Q361" s="19">
        <f t="shared" si="83"/>
        <v>0</v>
      </c>
      <c r="R361" s="19"/>
      <c r="S361" s="31"/>
      <c r="T361" s="26" t="s">
        <v>169</v>
      </c>
      <c r="U361" s="19" t="s">
        <v>170</v>
      </c>
      <c r="V361" s="19" t="str">
        <f>IF(OR($H361="",$H361="sif",$H361="PM"),"",VLOOKUP($H361,[5]CU!$C$5:$J$255,8,FALSE))</f>
        <v/>
      </c>
      <c r="W361" s="19" t="s">
        <v>96</v>
      </c>
      <c r="X361" s="19" t="s">
        <v>96</v>
      </c>
      <c r="Y361" s="19" t="s">
        <v>32</v>
      </c>
      <c r="Z361" s="19" t="str">
        <f>A361 &amp; "-" &amp; VLOOKUP(A361,[4]PROGRAMMES!$E$1:$F$7,2,FALSE)</f>
        <v>1-Accès et équité à l'enseignement général</v>
      </c>
      <c r="AA361" s="19" t="str">
        <f>B361 &amp; "-" &amp; VLOOKUP(B361,[4]SOUSPROGRAMMES!$E$1:$F$44,2,FALSE)</f>
        <v>15- Promotion de l'éducation inclusive, y compris les FA</v>
      </c>
      <c r="AB361" s="19" t="str">
        <f>C361 &amp; "-" &amp; VLOOKUP(C361,[4]RESULTATS!$E$1:$F$176,2,FALSE)</f>
        <v>152- Un protocole d’assistance matérielle, humaine et technique est élaboré et adopté</v>
      </c>
      <c r="AC361" s="20" t="str">
        <f>D361 &amp; "-" &amp; VLOOKUP(D361,[4]STRATEGIES!$E$1:$F$504,2,FALSE)</f>
        <v>1521-Mise en place et actualisation de la cartographie des enfants en situation de handicap (ESH)</v>
      </c>
      <c r="AD361" s="21" t="str">
        <f t="shared" si="74"/>
        <v>15215-Collecte des données sur les ESH (dans le cadre de l'enquête annuelle)</v>
      </c>
    </row>
    <row r="362" spans="1:30" ht="45" hidden="1" customHeight="1" x14ac:dyDescent="0.8">
      <c r="A362" s="25">
        <v>1</v>
      </c>
      <c r="B362" s="16">
        <v>15</v>
      </c>
      <c r="C362" s="16">
        <v>152</v>
      </c>
      <c r="D362" s="16">
        <v>1521</v>
      </c>
      <c r="E362" s="16">
        <v>15216</v>
      </c>
      <c r="F362" s="16" t="s">
        <v>482</v>
      </c>
      <c r="G362" s="21" t="s">
        <v>159</v>
      </c>
      <c r="H362" s="21" t="s">
        <v>55</v>
      </c>
      <c r="I362" s="19">
        <v>0</v>
      </c>
      <c r="J362" s="19"/>
      <c r="K362" s="19">
        <v>1</v>
      </c>
      <c r="L362" s="19">
        <v>1</v>
      </c>
      <c r="M362" s="19">
        <f t="shared" si="82"/>
        <v>2</v>
      </c>
      <c r="N362" s="19">
        <f>IF(OR(H362="",H362="sif",H362="PM"),0,VLOOKUP(H362,[5]CU!$C$4:$H$255,6,FALSE))</f>
        <v>0</v>
      </c>
      <c r="O362" s="19"/>
      <c r="P362" s="19"/>
      <c r="Q362" s="19">
        <f t="shared" si="83"/>
        <v>0</v>
      </c>
      <c r="R362" s="19"/>
      <c r="S362" s="31"/>
      <c r="T362" s="26" t="s">
        <v>169</v>
      </c>
      <c r="U362" s="19" t="s">
        <v>170</v>
      </c>
      <c r="V362" s="19" t="str">
        <f>IF(OR($H362="",$H362="sif",$H362="PM"),"",VLOOKUP($H362,[5]CU!$C$5:$J$255,8,FALSE))</f>
        <v/>
      </c>
      <c r="W362" s="19" t="s">
        <v>96</v>
      </c>
      <c r="X362" s="19" t="s">
        <v>96</v>
      </c>
      <c r="Y362" s="19" t="s">
        <v>32</v>
      </c>
      <c r="Z362" s="19" t="str">
        <f>A362 &amp; "-" &amp; VLOOKUP(A362,[4]PROGRAMMES!$E$1:$F$7,2,FALSE)</f>
        <v>1-Accès et équité à l'enseignement général</v>
      </c>
      <c r="AA362" s="19" t="str">
        <f>B362 &amp; "-" &amp; VLOOKUP(B362,[4]SOUSPROGRAMMES!$E$1:$F$44,2,FALSE)</f>
        <v>15- Promotion de l'éducation inclusive, y compris les FA</v>
      </c>
      <c r="AB362" s="19" t="str">
        <f>C362 &amp; "-" &amp; VLOOKUP(C362,[4]RESULTATS!$E$1:$F$176,2,FALSE)</f>
        <v>152- Un protocole d’assistance matérielle, humaine et technique est élaboré et adopté</v>
      </c>
      <c r="AC362" s="20" t="str">
        <f>D362 &amp; "-" &amp; VLOOKUP(D362,[4]STRATEGIES!$E$1:$F$504,2,FALSE)</f>
        <v>1521-Mise en place et actualisation de la cartographie des enfants en situation de handicap (ESH)</v>
      </c>
      <c r="AD362" s="21" t="str">
        <f t="shared" si="74"/>
        <v>15216-Traitement des données sur les ESH (dans le cadre de l'enquête annuelle)</v>
      </c>
    </row>
    <row r="363" spans="1:30" s="22" customFormat="1" ht="45" hidden="1" customHeight="1" x14ac:dyDescent="0.8">
      <c r="A363" s="14">
        <v>1</v>
      </c>
      <c r="B363" s="15">
        <v>15</v>
      </c>
      <c r="C363" s="15">
        <v>152</v>
      </c>
      <c r="D363" s="15">
        <v>1522</v>
      </c>
      <c r="E363" s="15">
        <v>1522</v>
      </c>
      <c r="F363" s="16" t="s">
        <v>483</v>
      </c>
      <c r="G363" s="17"/>
      <c r="H363" s="17"/>
      <c r="I363" s="18">
        <v>0</v>
      </c>
      <c r="J363" s="18"/>
      <c r="K363" s="18"/>
      <c r="L363" s="18"/>
      <c r="M363" s="18"/>
      <c r="N363" s="18"/>
      <c r="O363" s="18"/>
      <c r="P363" s="18"/>
      <c r="Q363" s="18"/>
      <c r="R363" s="18"/>
      <c r="S363" s="24"/>
      <c r="T363" s="18"/>
      <c r="U363" s="18"/>
      <c r="V363" s="18"/>
      <c r="W363" s="18"/>
      <c r="X363" s="18"/>
      <c r="Y363" s="19" t="s">
        <v>32</v>
      </c>
      <c r="Z363" s="18" t="str">
        <f>A363 &amp; "-" &amp; VLOOKUP(A363,[4]PROGRAMMES!$E$1:$F$7,2,FALSE)</f>
        <v>1-Accès et équité à l'enseignement général</v>
      </c>
      <c r="AA363" s="19" t="str">
        <f>B363 &amp; "-" &amp; VLOOKUP(B363,[4]SOUSPROGRAMMES!$E$1:$F$44,2,FALSE)</f>
        <v>15- Promotion de l'éducation inclusive, y compris les FA</v>
      </c>
      <c r="AB363" s="19" t="str">
        <f>C363 &amp; "-" &amp; VLOOKUP(C363,[4]RESULTATS!$E$1:$F$176,2,FALSE)</f>
        <v>152- Un protocole d’assistance matérielle, humaine et technique est élaboré et adopté</v>
      </c>
      <c r="AC363" s="20" t="str">
        <f>D363 &amp; "-" &amp; VLOOKUP(D363,[4]STRATEGIES!$E$1:$F$504,2,FALSE)</f>
        <v>1522-Prise en charge des ESH en matériels adaptés et en assistance sociale</v>
      </c>
      <c r="AD363" s="21" t="str">
        <f t="shared" si="74"/>
        <v>1522-Prise en charge des ESH en matériels adaptés et en assistance sociale</v>
      </c>
    </row>
    <row r="364" spans="1:30" s="22" customFormat="1" ht="45" hidden="1" customHeight="1" x14ac:dyDescent="0.8">
      <c r="A364" s="14">
        <v>1</v>
      </c>
      <c r="B364" s="15">
        <v>15</v>
      </c>
      <c r="C364" s="15">
        <v>152</v>
      </c>
      <c r="D364" s="15">
        <v>1522</v>
      </c>
      <c r="E364" s="15">
        <v>15221</v>
      </c>
      <c r="F364" s="16" t="s">
        <v>484</v>
      </c>
      <c r="G364" s="21" t="s">
        <v>485</v>
      </c>
      <c r="H364" s="17" t="s">
        <v>55</v>
      </c>
      <c r="I364" s="18">
        <v>0</v>
      </c>
      <c r="J364" s="18"/>
      <c r="K364" s="18"/>
      <c r="L364" s="18"/>
      <c r="M364" s="18"/>
      <c r="N364" s="18">
        <f>IF(OR(H364="",H364="sif",H364="PM"),0,VLOOKUP(H364,[5]CU!$C$4:$H$255,6,FALSE))</f>
        <v>0</v>
      </c>
      <c r="O364" s="18"/>
      <c r="P364" s="18"/>
      <c r="Q364" s="18"/>
      <c r="R364" s="18"/>
      <c r="S364" s="24"/>
      <c r="T364" s="23" t="s">
        <v>67</v>
      </c>
      <c r="U364" s="18" t="s">
        <v>170</v>
      </c>
      <c r="V364" s="18" t="str">
        <f>IF(OR($H364="",$H364="sif",$H364="PM"),"",VLOOKUP($H364,[5]CU!$C$5:$J$255,8,FALSE))</f>
        <v/>
      </c>
      <c r="W364" s="18" t="s">
        <v>192</v>
      </c>
      <c r="X364" s="18" t="s">
        <v>192</v>
      </c>
      <c r="Y364" s="19" t="s">
        <v>32</v>
      </c>
      <c r="Z364" s="18" t="str">
        <f>A364 &amp; "-" &amp; VLOOKUP(A364,[4]PROGRAMMES!$E$1:$F$7,2,FALSE)</f>
        <v>1-Accès et équité à l'enseignement général</v>
      </c>
      <c r="AA364" s="19" t="str">
        <f>B364 &amp; "-" &amp; VLOOKUP(B364,[4]SOUSPROGRAMMES!$E$1:$F$44,2,FALSE)</f>
        <v>15- Promotion de l'éducation inclusive, y compris les FA</v>
      </c>
      <c r="AB364" s="19" t="str">
        <f>C364 &amp; "-" &amp; VLOOKUP(C364,[4]RESULTATS!$E$1:$F$176,2,FALSE)</f>
        <v>152- Un protocole d’assistance matérielle, humaine et technique est élaboré et adopté</v>
      </c>
      <c r="AC364" s="20" t="str">
        <f>D364 &amp; "-" &amp; VLOOKUP(D364,[4]STRATEGIES!$E$1:$F$504,2,FALSE)</f>
        <v>1522-Prise en charge des ESH en matériels adaptés et en assistance sociale</v>
      </c>
      <c r="AD364" s="21" t="str">
        <f t="shared" si="74"/>
        <v>15221-Identification des équipements et matériels spécialisés nécessaires par type de handicap</v>
      </c>
    </row>
    <row r="365" spans="1:30" s="22" customFormat="1" ht="45" hidden="1" customHeight="1" x14ac:dyDescent="0.8">
      <c r="A365" s="14">
        <v>1</v>
      </c>
      <c r="B365" s="15">
        <v>15</v>
      </c>
      <c r="C365" s="15">
        <v>152</v>
      </c>
      <c r="D365" s="15">
        <v>1522</v>
      </c>
      <c r="E365" s="15">
        <v>15222</v>
      </c>
      <c r="F365" s="16" t="s">
        <v>486</v>
      </c>
      <c r="G365" s="21" t="s">
        <v>487</v>
      </c>
      <c r="H365" s="17" t="s">
        <v>38</v>
      </c>
      <c r="I365" s="18">
        <v>0</v>
      </c>
      <c r="J365" s="18">
        <f>(100*1)*50%</f>
        <v>50</v>
      </c>
      <c r="K365" s="18"/>
      <c r="L365" s="18">
        <f>(100*1)*50%</f>
        <v>50</v>
      </c>
      <c r="M365" s="18">
        <f>SUM(I365:L365)</f>
        <v>100</v>
      </c>
      <c r="N365" s="18">
        <f>IF(OR(H365="",H365="sif",H365="PM"),0,VLOOKUP(H365,[5]CU!$C$4:$H$255,6,FALSE))</f>
        <v>0.3133333333333333</v>
      </c>
      <c r="O365" s="18">
        <f t="shared" ref="O365:R366" si="84">$N365*I365</f>
        <v>0</v>
      </c>
      <c r="P365" s="18">
        <f t="shared" si="84"/>
        <v>15.666666666666664</v>
      </c>
      <c r="Q365" s="18">
        <f t="shared" si="84"/>
        <v>0</v>
      </c>
      <c r="R365" s="18">
        <f t="shared" si="84"/>
        <v>15.666666666666664</v>
      </c>
      <c r="S365" s="24">
        <f>SUM(O365:R365)</f>
        <v>31.333333333333329</v>
      </c>
      <c r="T365" s="23" t="s">
        <v>67</v>
      </c>
      <c r="U365" s="18" t="s">
        <v>170</v>
      </c>
      <c r="V365" s="18" t="str">
        <f>IF(OR($H365="",$H365="sif",$H365="PM"),"",VLOOKUP($H365,[5]CU!$C$5:$J$255,8,FALSE))</f>
        <v>3. Formation</v>
      </c>
      <c r="W365" s="18" t="s">
        <v>192</v>
      </c>
      <c r="X365" s="18" t="s">
        <v>192</v>
      </c>
      <c r="Y365" s="19" t="s">
        <v>32</v>
      </c>
      <c r="Z365" s="18" t="str">
        <f>A365 &amp; "-" &amp; VLOOKUP(A365,[4]PROGRAMMES!$E$1:$F$7,2,FALSE)</f>
        <v>1-Accès et équité à l'enseignement général</v>
      </c>
      <c r="AA365" s="19" t="str">
        <f>B365 &amp; "-" &amp; VLOOKUP(B365,[4]SOUSPROGRAMMES!$E$1:$F$44,2,FALSE)</f>
        <v>15- Promotion de l'éducation inclusive, y compris les FA</v>
      </c>
      <c r="AB365" s="19" t="str">
        <f>C365 &amp; "-" &amp; VLOOKUP(C365,[4]RESULTATS!$E$1:$F$176,2,FALSE)</f>
        <v>152- Un protocole d’assistance matérielle, humaine et technique est élaboré et adopté</v>
      </c>
      <c r="AC365" s="20" t="str">
        <f>D365 &amp; "-" &amp; VLOOKUP(D365,[4]STRATEGIES!$E$1:$F$504,2,FALSE)</f>
        <v>1522-Prise en charge des ESH en matériels adaptés et en assistance sociale</v>
      </c>
      <c r="AD365" s="21" t="str">
        <f t="shared" si="74"/>
        <v>15222-Plaidoirie pour la mobilisation des équipements et matériels spécialisés (appareillages orthopédiques, prothèses auditives, lunettes, canne, béquilles et fauteuils roulants)</v>
      </c>
    </row>
    <row r="366" spans="1:30" s="22" customFormat="1" ht="45" hidden="1" customHeight="1" x14ac:dyDescent="0.8">
      <c r="A366" s="14">
        <v>1</v>
      </c>
      <c r="B366" s="15">
        <v>15</v>
      </c>
      <c r="C366" s="15">
        <v>152</v>
      </c>
      <c r="D366" s="15">
        <v>1522</v>
      </c>
      <c r="E366" s="15">
        <v>15222</v>
      </c>
      <c r="F366" s="16" t="s">
        <v>486</v>
      </c>
      <c r="G366" s="21" t="s">
        <v>487</v>
      </c>
      <c r="H366" s="17" t="s">
        <v>38</v>
      </c>
      <c r="I366" s="18">
        <v>0</v>
      </c>
      <c r="J366" s="18">
        <f>(100*1)*50%</f>
        <v>50</v>
      </c>
      <c r="K366" s="18"/>
      <c r="L366" s="18">
        <f>(100*1)*50%</f>
        <v>50</v>
      </c>
      <c r="M366" s="18">
        <f>SUM(I366:L366)</f>
        <v>100</v>
      </c>
      <c r="N366" s="18">
        <f>IF(OR(H366="",H366="sif",H366="PM"),0,VLOOKUP(H366,[5]CU!$C$4:$H$255,6,FALSE))</f>
        <v>0.3133333333333333</v>
      </c>
      <c r="O366" s="18">
        <f t="shared" si="84"/>
        <v>0</v>
      </c>
      <c r="P366" s="18">
        <f t="shared" si="84"/>
        <v>15.666666666666664</v>
      </c>
      <c r="Q366" s="18">
        <f t="shared" si="84"/>
        <v>0</v>
      </c>
      <c r="R366" s="18">
        <f t="shared" si="84"/>
        <v>15.666666666666664</v>
      </c>
      <c r="S366" s="24">
        <f>SUM(O366:R366)</f>
        <v>31.333333333333329</v>
      </c>
      <c r="T366" s="23" t="s">
        <v>118</v>
      </c>
      <c r="U366" s="18" t="s">
        <v>170</v>
      </c>
      <c r="V366" s="18" t="str">
        <f>IF(OR($H366="",$H366="sif",$H366="PM"),"",VLOOKUP($H366,[5]CU!$C$5:$J$255,8,FALSE))</f>
        <v>3. Formation</v>
      </c>
      <c r="W366" s="18" t="s">
        <v>192</v>
      </c>
      <c r="X366" s="18" t="s">
        <v>192</v>
      </c>
      <c r="Y366" s="19" t="s">
        <v>32</v>
      </c>
      <c r="Z366" s="18" t="str">
        <f>A366 &amp; "-" &amp; VLOOKUP(A366,[4]PROGRAMMES!$E$1:$F$7,2,FALSE)</f>
        <v>1-Accès et équité à l'enseignement général</v>
      </c>
      <c r="AA366" s="19" t="str">
        <f>B366 &amp; "-" &amp; VLOOKUP(B366,[4]SOUSPROGRAMMES!$E$1:$F$44,2,FALSE)</f>
        <v>15- Promotion de l'éducation inclusive, y compris les FA</v>
      </c>
      <c r="AB366" s="19" t="str">
        <f>C366 &amp; "-" &amp; VLOOKUP(C366,[4]RESULTATS!$E$1:$F$176,2,FALSE)</f>
        <v>152- Un protocole d’assistance matérielle, humaine et technique est élaboré et adopté</v>
      </c>
      <c r="AC366" s="20" t="str">
        <f>D366 &amp; "-" &amp; VLOOKUP(D366,[4]STRATEGIES!$E$1:$F$504,2,FALSE)</f>
        <v>1522-Prise en charge des ESH en matériels adaptés et en assistance sociale</v>
      </c>
      <c r="AD366" s="21" t="str">
        <f t="shared" si="74"/>
        <v>15222-Plaidoirie pour la mobilisation des équipements et matériels spécialisés (appareillages orthopédiques, prothèses auditives, lunettes, canne, béquilles et fauteuils roulants)</v>
      </c>
    </row>
    <row r="367" spans="1:30" s="22" customFormat="1" ht="45" hidden="1" customHeight="1" x14ac:dyDescent="0.8">
      <c r="A367" s="14">
        <v>1</v>
      </c>
      <c r="B367" s="15">
        <v>15</v>
      </c>
      <c r="C367" s="15">
        <v>152</v>
      </c>
      <c r="D367" s="15">
        <v>1522</v>
      </c>
      <c r="E367" s="15">
        <v>15223</v>
      </c>
      <c r="F367" s="16" t="s">
        <v>488</v>
      </c>
      <c r="G367" s="21" t="s">
        <v>92</v>
      </c>
      <c r="H367" s="17" t="s">
        <v>55</v>
      </c>
      <c r="I367" s="18">
        <v>0</v>
      </c>
      <c r="J367" s="18"/>
      <c r="K367" s="18"/>
      <c r="L367" s="18"/>
      <c r="M367" s="18"/>
      <c r="N367" s="18">
        <f>IF(OR(H367="",H367="sif",H367="PM"),0,VLOOKUP(H367,[5]CU!$C$4:$H$255,6,FALSE))</f>
        <v>0</v>
      </c>
      <c r="O367" s="18"/>
      <c r="P367" s="18"/>
      <c r="Q367" s="18"/>
      <c r="R367" s="18"/>
      <c r="S367" s="24"/>
      <c r="T367" s="23" t="s">
        <v>67</v>
      </c>
      <c r="U367" s="18" t="s">
        <v>170</v>
      </c>
      <c r="V367" s="18" t="str">
        <f>IF(OR($H367="",$H367="sif",$H367="PM"),"",VLOOKUP($H367,[5]CU!$C$5:$J$255,8,FALSE))</f>
        <v/>
      </c>
      <c r="W367" s="18" t="s">
        <v>192</v>
      </c>
      <c r="X367" s="18" t="s">
        <v>192</v>
      </c>
      <c r="Y367" s="19" t="s">
        <v>32</v>
      </c>
      <c r="Z367" s="18" t="str">
        <f>A367 &amp; "-" &amp; VLOOKUP(A367,[4]PROGRAMMES!$E$1:$F$7,2,FALSE)</f>
        <v>1-Accès et équité à l'enseignement général</v>
      </c>
      <c r="AA367" s="19" t="str">
        <f>B367 &amp; "-" &amp; VLOOKUP(B367,[4]SOUSPROGRAMMES!$E$1:$F$44,2,FALSE)</f>
        <v>15- Promotion de l'éducation inclusive, y compris les FA</v>
      </c>
      <c r="AB367" s="19" t="str">
        <f>C367 &amp; "-" &amp; VLOOKUP(C367,[4]RESULTATS!$E$1:$F$176,2,FALSE)</f>
        <v>152- Un protocole d’assistance matérielle, humaine et technique est élaboré et adopté</v>
      </c>
      <c r="AC367" s="20" t="str">
        <f>D367 &amp; "-" &amp; VLOOKUP(D367,[4]STRATEGIES!$E$1:$F$504,2,FALSE)</f>
        <v>1522-Prise en charge des ESH en matériels adaptés et en assistance sociale</v>
      </c>
      <c r="AD367" s="21" t="str">
        <f t="shared" si="74"/>
        <v>15223-Acquisition des équipements et matériels spécialisés en faveur des ESH (Divers dons en nature et acquisition de compléments)</v>
      </c>
    </row>
    <row r="368" spans="1:30" s="22" customFormat="1" ht="45" hidden="1" customHeight="1" x14ac:dyDescent="0.8">
      <c r="A368" s="14">
        <v>1</v>
      </c>
      <c r="B368" s="15">
        <v>15</v>
      </c>
      <c r="C368" s="15">
        <v>152</v>
      </c>
      <c r="D368" s="15">
        <v>1522</v>
      </c>
      <c r="E368" s="15">
        <v>15224</v>
      </c>
      <c r="F368" s="16" t="s">
        <v>489</v>
      </c>
      <c r="G368" s="21" t="s">
        <v>490</v>
      </c>
      <c r="H368" s="17" t="s">
        <v>491</v>
      </c>
      <c r="I368" s="18">
        <v>0</v>
      </c>
      <c r="J368" s="18">
        <f t="shared" ref="J368:L369" si="85">1*50%</f>
        <v>0.5</v>
      </c>
      <c r="K368" s="18">
        <f t="shared" si="85"/>
        <v>0.5</v>
      </c>
      <c r="L368" s="18">
        <f t="shared" si="85"/>
        <v>0.5</v>
      </c>
      <c r="M368" s="18">
        <f>SUM(I368:L368)</f>
        <v>1.5</v>
      </c>
      <c r="N368" s="18">
        <f>IF(OR(H368="",H368="sif",H368="PM"),0,VLOOKUP(H368,[5]CU!$C$4:$H$255,6,FALSE))</f>
        <v>548.04149641382298</v>
      </c>
      <c r="O368" s="18">
        <f>$N368*I368</f>
        <v>0</v>
      </c>
      <c r="P368" s="18">
        <f>$N368*J368</f>
        <v>274.02074820691149</v>
      </c>
      <c r="Q368" s="18">
        <f>$N368*K368</f>
        <v>274.02074820691149</v>
      </c>
      <c r="R368" s="18">
        <f>$N368*L368</f>
        <v>274.02074820691149</v>
      </c>
      <c r="S368" s="24">
        <f>SUM(O368:R368)</f>
        <v>822.06224462073442</v>
      </c>
      <c r="T368" s="23" t="s">
        <v>67</v>
      </c>
      <c r="U368" s="18" t="s">
        <v>170</v>
      </c>
      <c r="V368" s="18" t="str">
        <f>IF(OR($H368="",$H368="sif",$H368="PM"),"",VLOOKUP($H368,[5]CU!$C$5:$J$255,8,FALSE))</f>
        <v>4. Transferts et subventions</v>
      </c>
      <c r="W368" s="18" t="s">
        <v>192</v>
      </c>
      <c r="X368" s="18" t="s">
        <v>192</v>
      </c>
      <c r="Y368" s="19" t="s">
        <v>32</v>
      </c>
      <c r="Z368" s="18" t="str">
        <f>A368 &amp; "-" &amp; VLOOKUP(A368,[4]PROGRAMMES!$E$1:$F$7,2,FALSE)</f>
        <v>1-Accès et équité à l'enseignement général</v>
      </c>
      <c r="AA368" s="19" t="str">
        <f>B368 &amp; "-" &amp; VLOOKUP(B368,[4]SOUSPROGRAMMES!$E$1:$F$44,2,FALSE)</f>
        <v>15- Promotion de l'éducation inclusive, y compris les FA</v>
      </c>
      <c r="AB368" s="19" t="str">
        <f>C368 &amp; "-" &amp; VLOOKUP(C368,[4]RESULTATS!$E$1:$F$176,2,FALSE)</f>
        <v>152- Un protocole d’assistance matérielle, humaine et technique est élaboré et adopté</v>
      </c>
      <c r="AC368" s="20" t="str">
        <f>D368 &amp; "-" &amp; VLOOKUP(D368,[4]STRATEGIES!$E$1:$F$504,2,FALSE)</f>
        <v>1522-Prise en charge des ESH en matériels adaptés et en assistance sociale</v>
      </c>
      <c r="AD368" s="21" t="str">
        <f t="shared" si="74"/>
        <v xml:space="preserve">15224-Distribution des équipements et matériels spécialisés en faveur des ESH dans les écoles et établissements scolaires </v>
      </c>
    </row>
    <row r="369" spans="1:30" s="22" customFormat="1" ht="45" hidden="1" customHeight="1" x14ac:dyDescent="0.8">
      <c r="A369" s="14">
        <v>1</v>
      </c>
      <c r="B369" s="15">
        <v>15</v>
      </c>
      <c r="C369" s="15">
        <v>152</v>
      </c>
      <c r="D369" s="15">
        <v>1522</v>
      </c>
      <c r="E369" s="15">
        <v>15224</v>
      </c>
      <c r="F369" s="16" t="s">
        <v>489</v>
      </c>
      <c r="G369" s="21" t="s">
        <v>490</v>
      </c>
      <c r="H369" s="17" t="s">
        <v>491</v>
      </c>
      <c r="I369" s="18">
        <v>0</v>
      </c>
      <c r="J369" s="18">
        <f t="shared" si="85"/>
        <v>0.5</v>
      </c>
      <c r="K369" s="18">
        <f t="shared" si="85"/>
        <v>0.5</v>
      </c>
      <c r="L369" s="18">
        <f t="shared" si="85"/>
        <v>0.5</v>
      </c>
      <c r="M369" s="18">
        <f t="shared" ref="M369:M413" si="86">SUM(I369:L369)</f>
        <v>1.5</v>
      </c>
      <c r="N369" s="18">
        <f>IF(OR(H369="",H369="sif",H369="PM"),0,VLOOKUP(H369,[5]CU!$C$4:$H$255,6,FALSE))</f>
        <v>548.04149641382298</v>
      </c>
      <c r="O369" s="18">
        <f t="shared" ref="O369:R376" si="87">$N369*I369</f>
        <v>0</v>
      </c>
      <c r="P369" s="18">
        <f t="shared" si="87"/>
        <v>274.02074820691149</v>
      </c>
      <c r="Q369" s="18">
        <f t="shared" si="87"/>
        <v>274.02074820691149</v>
      </c>
      <c r="R369" s="18">
        <f t="shared" si="87"/>
        <v>274.02074820691149</v>
      </c>
      <c r="S369" s="24">
        <f>SUM(O369:R369)</f>
        <v>822.06224462073442</v>
      </c>
      <c r="T369" s="23" t="s">
        <v>118</v>
      </c>
      <c r="U369" s="18" t="s">
        <v>170</v>
      </c>
      <c r="V369" s="18" t="str">
        <f>IF(OR($H369="",$H369="sif",$H369="PM"),"",VLOOKUP($H369,[5]CU!$C$5:$J$255,8,FALSE))</f>
        <v>4. Transferts et subventions</v>
      </c>
      <c r="W369" s="18" t="s">
        <v>192</v>
      </c>
      <c r="X369" s="18" t="s">
        <v>192</v>
      </c>
      <c r="Y369" s="19" t="s">
        <v>32</v>
      </c>
      <c r="Z369" s="18" t="str">
        <f>A369 &amp; "-" &amp; VLOOKUP(A369,[4]PROGRAMMES!$E$1:$F$7,2,FALSE)</f>
        <v>1-Accès et équité à l'enseignement général</v>
      </c>
      <c r="AA369" s="19" t="str">
        <f>B369 &amp; "-" &amp; VLOOKUP(B369,[4]SOUSPROGRAMMES!$E$1:$F$44,2,FALSE)</f>
        <v>15- Promotion de l'éducation inclusive, y compris les FA</v>
      </c>
      <c r="AB369" s="19" t="str">
        <f>C369 &amp; "-" &amp; VLOOKUP(C369,[4]RESULTATS!$E$1:$F$176,2,FALSE)</f>
        <v>152- Un protocole d’assistance matérielle, humaine et technique est élaboré et adopté</v>
      </c>
      <c r="AC369" s="20" t="str">
        <f>D369 &amp; "-" &amp; VLOOKUP(D369,[4]STRATEGIES!$E$1:$F$504,2,FALSE)</f>
        <v>1522-Prise en charge des ESH en matériels adaptés et en assistance sociale</v>
      </c>
      <c r="AD369" s="21" t="str">
        <f t="shared" si="74"/>
        <v xml:space="preserve">15224-Distribution des équipements et matériels spécialisés en faveur des ESH dans les écoles et établissements scolaires </v>
      </c>
    </row>
    <row r="370" spans="1:30" s="22" customFormat="1" ht="45" hidden="1" customHeight="1" x14ac:dyDescent="0.8">
      <c r="A370" s="14">
        <v>1</v>
      </c>
      <c r="B370" s="15">
        <v>15</v>
      </c>
      <c r="C370" s="15">
        <v>152</v>
      </c>
      <c r="D370" s="15">
        <v>1522</v>
      </c>
      <c r="E370" s="15">
        <v>15225</v>
      </c>
      <c r="F370" s="16" t="s">
        <v>492</v>
      </c>
      <c r="G370" s="21" t="s">
        <v>75</v>
      </c>
      <c r="H370" s="17" t="s">
        <v>76</v>
      </c>
      <c r="I370" s="18">
        <v>0</v>
      </c>
      <c r="J370" s="18">
        <f>1*50%</f>
        <v>0.5</v>
      </c>
      <c r="K370" s="18"/>
      <c r="L370" s="18">
        <f>1*50%</f>
        <v>0.5</v>
      </c>
      <c r="M370" s="18">
        <f>SUM(I370:L370)</f>
        <v>1</v>
      </c>
      <c r="N370" s="18">
        <f>IF(OR(H370="",H370="sif",H370="PM"),0,VLOOKUP(H370,[5]CU!$C$4:$H$255,6,FALSE))</f>
        <v>45.936799999999998</v>
      </c>
      <c r="O370" s="18">
        <f>$N370*I370</f>
        <v>0</v>
      </c>
      <c r="P370" s="18">
        <f>$N370*J370</f>
        <v>22.968399999999999</v>
      </c>
      <c r="Q370" s="18">
        <f>$N370*K370</f>
        <v>0</v>
      </c>
      <c r="R370" s="18">
        <f>$N370*L370</f>
        <v>22.968399999999999</v>
      </c>
      <c r="S370" s="24">
        <f>SUM(O370:R370)</f>
        <v>45.936799999999998</v>
      </c>
      <c r="T370" s="23" t="s">
        <v>67</v>
      </c>
      <c r="U370" s="18" t="s">
        <v>170</v>
      </c>
      <c r="V370" s="18" t="str">
        <f>IF(OR($H370="",$H370="sif",$H370="PM"),"",VLOOKUP($H370,[5]CU!$C$5:$J$255,8,FALSE))</f>
        <v>3. Dépenses de fonctionnement</v>
      </c>
      <c r="W370" s="18" t="s">
        <v>192</v>
      </c>
      <c r="X370" s="18" t="s">
        <v>192</v>
      </c>
      <c r="Y370" s="19" t="s">
        <v>32</v>
      </c>
      <c r="Z370" s="18" t="str">
        <f>A370 &amp; "-" &amp; VLOOKUP(A370,[4]PROGRAMMES!$E$1:$F$7,2,FALSE)</f>
        <v>1-Accès et équité à l'enseignement général</v>
      </c>
      <c r="AA370" s="19" t="str">
        <f>B370 &amp; "-" &amp; VLOOKUP(B370,[4]SOUSPROGRAMMES!$E$1:$F$44,2,FALSE)</f>
        <v>15- Promotion de l'éducation inclusive, y compris les FA</v>
      </c>
      <c r="AB370" s="19" t="str">
        <f>C370 &amp; "-" &amp; VLOOKUP(C370,[4]RESULTATS!$E$1:$F$176,2,FALSE)</f>
        <v>152- Un protocole d’assistance matérielle, humaine et technique est élaboré et adopté</v>
      </c>
      <c r="AC370" s="20" t="str">
        <f>D370 &amp; "-" &amp; VLOOKUP(D370,[4]STRATEGIES!$E$1:$F$504,2,FALSE)</f>
        <v>1522-Prise en charge des ESH en matériels adaptés et en assistance sociale</v>
      </c>
      <c r="AD370" s="21" t="str">
        <f t="shared" si="74"/>
        <v>15225-Plaidoirie pour la mobilisation des personnes ressources (assistants, interprètes/traducteurs, guides, soutien scolaire)</v>
      </c>
    </row>
    <row r="371" spans="1:30" s="22" customFormat="1" ht="45" hidden="1" customHeight="1" x14ac:dyDescent="0.8">
      <c r="A371" s="14">
        <v>1</v>
      </c>
      <c r="B371" s="15">
        <v>15</v>
      </c>
      <c r="C371" s="15">
        <v>152</v>
      </c>
      <c r="D371" s="15">
        <v>1522</v>
      </c>
      <c r="E371" s="15">
        <v>15225</v>
      </c>
      <c r="F371" s="16" t="s">
        <v>492</v>
      </c>
      <c r="G371" s="21" t="s">
        <v>75</v>
      </c>
      <c r="H371" s="17" t="s">
        <v>76</v>
      </c>
      <c r="I371" s="18">
        <v>0</v>
      </c>
      <c r="J371" s="18">
        <f>1*50%</f>
        <v>0.5</v>
      </c>
      <c r="K371" s="18"/>
      <c r="L371" s="18">
        <f>1*50%</f>
        <v>0.5</v>
      </c>
      <c r="M371" s="18">
        <f t="shared" si="86"/>
        <v>1</v>
      </c>
      <c r="N371" s="18">
        <f>IF(OR(H371="",H371="sif",H371="PM"),0,VLOOKUP(H371,[5]CU!$C$4:$H$255,6,FALSE))</f>
        <v>45.936799999999998</v>
      </c>
      <c r="O371" s="18">
        <f t="shared" si="87"/>
        <v>0</v>
      </c>
      <c r="P371" s="18">
        <f t="shared" si="87"/>
        <v>22.968399999999999</v>
      </c>
      <c r="Q371" s="18">
        <f t="shared" si="87"/>
        <v>0</v>
      </c>
      <c r="R371" s="18">
        <f t="shared" si="87"/>
        <v>22.968399999999999</v>
      </c>
      <c r="S371" s="24">
        <f>SUM(O371:R371)</f>
        <v>45.936799999999998</v>
      </c>
      <c r="T371" s="23" t="s">
        <v>118</v>
      </c>
      <c r="U371" s="18" t="s">
        <v>170</v>
      </c>
      <c r="V371" s="18" t="str">
        <f>IF(OR($H371="",$H371="sif",$H371="PM"),"",VLOOKUP($H371,[5]CU!$C$5:$J$255,8,FALSE))</f>
        <v>3. Dépenses de fonctionnement</v>
      </c>
      <c r="W371" s="18" t="s">
        <v>192</v>
      </c>
      <c r="X371" s="18" t="s">
        <v>192</v>
      </c>
      <c r="Y371" s="19" t="s">
        <v>32</v>
      </c>
      <c r="Z371" s="18" t="str">
        <f>A371 &amp; "-" &amp; VLOOKUP(A371,[4]PROGRAMMES!$E$1:$F$7,2,FALSE)</f>
        <v>1-Accès et équité à l'enseignement général</v>
      </c>
      <c r="AA371" s="19" t="str">
        <f>B371 &amp; "-" &amp; VLOOKUP(B371,[4]SOUSPROGRAMMES!$E$1:$F$44,2,FALSE)</f>
        <v>15- Promotion de l'éducation inclusive, y compris les FA</v>
      </c>
      <c r="AB371" s="19" t="str">
        <f>C371 &amp; "-" &amp; VLOOKUP(C371,[4]RESULTATS!$E$1:$F$176,2,FALSE)</f>
        <v>152- Un protocole d’assistance matérielle, humaine et technique est élaboré et adopté</v>
      </c>
      <c r="AC371" s="20" t="str">
        <f>D371 &amp; "-" &amp; VLOOKUP(D371,[4]STRATEGIES!$E$1:$F$504,2,FALSE)</f>
        <v>1522-Prise en charge des ESH en matériels adaptés et en assistance sociale</v>
      </c>
      <c r="AD371" s="21" t="str">
        <f t="shared" si="74"/>
        <v>15225-Plaidoirie pour la mobilisation des personnes ressources (assistants, interprètes/traducteurs, guides, soutien scolaire)</v>
      </c>
    </row>
    <row r="372" spans="1:30" s="22" customFormat="1" ht="45" hidden="1" customHeight="1" x14ac:dyDescent="0.8">
      <c r="A372" s="14">
        <v>1</v>
      </c>
      <c r="B372" s="15">
        <v>15</v>
      </c>
      <c r="C372" s="15">
        <v>153</v>
      </c>
      <c r="D372" s="15">
        <v>153</v>
      </c>
      <c r="E372" s="15">
        <v>153</v>
      </c>
      <c r="F372" s="16" t="s">
        <v>493</v>
      </c>
      <c r="G372" s="17"/>
      <c r="H372" s="17"/>
      <c r="I372" s="18">
        <v>0</v>
      </c>
      <c r="J372" s="18"/>
      <c r="K372" s="18"/>
      <c r="L372" s="18"/>
      <c r="M372" s="18"/>
      <c r="N372" s="18"/>
      <c r="O372" s="18"/>
      <c r="P372" s="18"/>
      <c r="Q372" s="18"/>
      <c r="R372" s="18"/>
      <c r="S372" s="24"/>
      <c r="T372" s="18"/>
      <c r="U372" s="18"/>
      <c r="V372" s="18"/>
      <c r="W372" s="18"/>
      <c r="X372" s="18"/>
      <c r="Y372" s="19" t="s">
        <v>32</v>
      </c>
      <c r="Z372" s="18" t="str">
        <f>A372 &amp; "-" &amp; VLOOKUP(A372,[4]PROGRAMMES!$E$1:$F$7,2,FALSE)</f>
        <v>1-Accès et équité à l'enseignement général</v>
      </c>
      <c r="AA372" s="19" t="str">
        <f>B372 &amp; "-" &amp; VLOOKUP(B372,[4]SOUSPROGRAMMES!$E$1:$F$44,2,FALSE)</f>
        <v>15- Promotion de l'éducation inclusive, y compris les FA</v>
      </c>
      <c r="AB372" s="19" t="str">
        <f>C372 &amp; "-" &amp; VLOOKUP(C372,[4]RESULTATS!$E$1:$F$176,2,FALSE)</f>
        <v>153- L'éducation inclusive est intégrée dans la prise de décision par les différents acteurs</v>
      </c>
      <c r="AC372" s="20" t="str">
        <f>D372 &amp; "-" &amp; VLOOKUP(D372,[4]STRATEGIES!$E$1:$F$504,2,FALSE)</f>
        <v>153- L'éducation inclusive est intégrée dans la prise de décision par les différents acteurs</v>
      </c>
      <c r="AD372" s="21" t="str">
        <f t="shared" si="74"/>
        <v>153- L'éducation inclusive est intégrée dans la prise de décision par les différents acteurs</v>
      </c>
    </row>
    <row r="373" spans="1:30" s="22" customFormat="1" ht="45" hidden="1" customHeight="1" x14ac:dyDescent="0.8">
      <c r="A373" s="14">
        <v>1</v>
      </c>
      <c r="B373" s="15">
        <v>15</v>
      </c>
      <c r="C373" s="15">
        <v>153</v>
      </c>
      <c r="D373" s="15">
        <v>1531</v>
      </c>
      <c r="E373" s="15">
        <v>1531</v>
      </c>
      <c r="F373" s="16" t="s">
        <v>494</v>
      </c>
      <c r="G373" s="17"/>
      <c r="H373" s="17"/>
      <c r="I373" s="18">
        <v>0</v>
      </c>
      <c r="J373" s="18"/>
      <c r="K373" s="18"/>
      <c r="L373" s="18"/>
      <c r="M373" s="18"/>
      <c r="N373" s="18"/>
      <c r="O373" s="18"/>
      <c r="P373" s="18"/>
      <c r="Q373" s="18"/>
      <c r="R373" s="18"/>
      <c r="S373" s="24"/>
      <c r="T373" s="18"/>
      <c r="U373" s="18"/>
      <c r="V373" s="18"/>
      <c r="W373" s="18"/>
      <c r="X373" s="18"/>
      <c r="Y373" s="19" t="s">
        <v>32</v>
      </c>
      <c r="Z373" s="18" t="str">
        <f>A373 &amp; "-" &amp; VLOOKUP(A373,[4]PROGRAMMES!$E$1:$F$7,2,FALSE)</f>
        <v>1-Accès et équité à l'enseignement général</v>
      </c>
      <c r="AA373" s="19" t="str">
        <f>B373 &amp; "-" &amp; VLOOKUP(B373,[4]SOUSPROGRAMMES!$E$1:$F$44,2,FALSE)</f>
        <v>15- Promotion de l'éducation inclusive, y compris les FA</v>
      </c>
      <c r="AB373" s="19" t="str">
        <f>C373 &amp; "-" &amp; VLOOKUP(C373,[4]RESULTATS!$E$1:$F$176,2,FALSE)</f>
        <v>153- L'éducation inclusive est intégrée dans la prise de décision par les différents acteurs</v>
      </c>
      <c r="AC373" s="20" t="str">
        <f>D373 &amp; "-" &amp; VLOOKUP(D373,[4]STRATEGIES!$E$1:$F$504,2,FALSE)</f>
        <v>1531-Renforcement des capacités en éducation inclusive (pilotage, directeurs, enseignants)</v>
      </c>
      <c r="AD373" s="21" t="str">
        <f t="shared" si="74"/>
        <v>1531-Renforcement des capacités en éducation inclusive (pilotage, directeurs, enseignants)</v>
      </c>
    </row>
    <row r="374" spans="1:30" s="22" customFormat="1" ht="45" hidden="1" customHeight="1" x14ac:dyDescent="0.8">
      <c r="A374" s="14">
        <v>1</v>
      </c>
      <c r="B374" s="15">
        <v>15</v>
      </c>
      <c r="C374" s="15">
        <v>153</v>
      </c>
      <c r="D374" s="15">
        <v>1531</v>
      </c>
      <c r="E374" s="15">
        <v>15311</v>
      </c>
      <c r="F374" s="16" t="s">
        <v>495</v>
      </c>
      <c r="G374" s="21" t="s">
        <v>496</v>
      </c>
      <c r="H374" s="17" t="s">
        <v>497</v>
      </c>
      <c r="I374" s="18">
        <v>0</v>
      </c>
      <c r="J374" s="18"/>
      <c r="K374" s="18"/>
      <c r="L374" s="18"/>
      <c r="M374" s="18">
        <f t="shared" si="86"/>
        <v>0</v>
      </c>
      <c r="N374" s="18">
        <f>IF(OR(H374="",H374="sif",H374="PM"),0,VLOOKUP(H374,[5]CU!$C$4:$H$255,6,FALSE))</f>
        <v>285</v>
      </c>
      <c r="O374" s="18">
        <f t="shared" si="87"/>
        <v>0</v>
      </c>
      <c r="P374" s="18">
        <f t="shared" si="87"/>
        <v>0</v>
      </c>
      <c r="Q374" s="18">
        <f t="shared" si="87"/>
        <v>0</v>
      </c>
      <c r="R374" s="18">
        <f t="shared" si="87"/>
        <v>0</v>
      </c>
      <c r="S374" s="24">
        <f>SUM(O374:R374)</f>
        <v>0</v>
      </c>
      <c r="T374" s="23" t="s">
        <v>67</v>
      </c>
      <c r="U374" s="18" t="s">
        <v>170</v>
      </c>
      <c r="V374" s="18" t="str">
        <f>IF(OR($H374="",$H374="sif",$H374="PM"),"",VLOOKUP($H374,[5]CU!$C$5:$J$255,8,FALSE))</f>
        <v>3. Dépenses de fonctionnement</v>
      </c>
      <c r="W374" s="18" t="s">
        <v>192</v>
      </c>
      <c r="X374" s="18" t="s">
        <v>192</v>
      </c>
      <c r="Y374" s="19" t="s">
        <v>32</v>
      </c>
      <c r="Z374" s="18" t="str">
        <f>A374 &amp; "-" &amp; VLOOKUP(A374,[4]PROGRAMMES!$E$1:$F$7,2,FALSE)</f>
        <v>1-Accès et équité à l'enseignement général</v>
      </c>
      <c r="AA374" s="19" t="str">
        <f>B374 &amp; "-" &amp; VLOOKUP(B374,[4]SOUSPROGRAMMES!$E$1:$F$44,2,FALSE)</f>
        <v>15- Promotion de l'éducation inclusive, y compris les FA</v>
      </c>
      <c r="AB374" s="19" t="str">
        <f>C374 &amp; "-" &amp; VLOOKUP(C374,[4]RESULTATS!$E$1:$F$176,2,FALSE)</f>
        <v>153- L'éducation inclusive est intégrée dans la prise de décision par les différents acteurs</v>
      </c>
      <c r="AC374" s="20" t="str">
        <f>D374 &amp; "-" &amp; VLOOKUP(D374,[4]STRATEGIES!$E$1:$F$504,2,FALSE)</f>
        <v>1531-Renforcement des capacités en éducation inclusive (pilotage, directeurs, enseignants)</v>
      </c>
      <c r="AD374" s="21" t="str">
        <f t="shared" si="74"/>
        <v>15311-Elaboration d'une politique et de normes pour l'éducation inclusive et mise en place de mécanismes de soutien aux écoles</v>
      </c>
    </row>
    <row r="375" spans="1:30" ht="45" hidden="1" customHeight="1" x14ac:dyDescent="0.8">
      <c r="A375" s="25">
        <v>1</v>
      </c>
      <c r="B375" s="16">
        <v>15</v>
      </c>
      <c r="C375" s="16">
        <v>153</v>
      </c>
      <c r="D375" s="16">
        <v>1531</v>
      </c>
      <c r="E375" s="16">
        <v>15312</v>
      </c>
      <c r="F375" s="16" t="s">
        <v>498</v>
      </c>
      <c r="G375" s="21" t="s">
        <v>54</v>
      </c>
      <c r="H375" s="21" t="s">
        <v>55</v>
      </c>
      <c r="I375" s="19">
        <v>0</v>
      </c>
      <c r="J375" s="19"/>
      <c r="K375" s="19"/>
      <c r="L375" s="19"/>
      <c r="M375" s="19">
        <f t="shared" si="86"/>
        <v>0</v>
      </c>
      <c r="N375" s="19">
        <f>IF(OR(H375="",H375="sif",H375="PM"),0,VLOOKUP(H375,[5]CU!$C$4:$H$255,6,FALSE))</f>
        <v>0</v>
      </c>
      <c r="O375" s="19"/>
      <c r="P375" s="19"/>
      <c r="Q375" s="19">
        <f t="shared" si="87"/>
        <v>0</v>
      </c>
      <c r="R375" s="19"/>
      <c r="S375" s="31"/>
      <c r="T375" s="26" t="s">
        <v>169</v>
      </c>
      <c r="U375" s="19" t="s">
        <v>170</v>
      </c>
      <c r="V375" s="19" t="str">
        <f>IF(OR($H375="",$H375="sif",$H375="PM"),"",VLOOKUP($H375,[5]CU!$C$5:$J$255,8,FALSE))</f>
        <v/>
      </c>
      <c r="W375" s="19" t="s">
        <v>192</v>
      </c>
      <c r="X375" s="19" t="s">
        <v>192</v>
      </c>
      <c r="Y375" s="19" t="s">
        <v>32</v>
      </c>
      <c r="Z375" s="19" t="str">
        <f>A375 &amp; "-" &amp; VLOOKUP(A375,[4]PROGRAMMES!$E$1:$F$7,2,FALSE)</f>
        <v>1-Accès et équité à l'enseignement général</v>
      </c>
      <c r="AA375" s="19" t="str">
        <f>B375 &amp; "-" &amp; VLOOKUP(B375,[4]SOUSPROGRAMMES!$E$1:$F$44,2,FALSE)</f>
        <v>15- Promotion de l'éducation inclusive, y compris les FA</v>
      </c>
      <c r="AB375" s="19" t="str">
        <f>C375 &amp; "-" &amp; VLOOKUP(C375,[4]RESULTATS!$E$1:$F$176,2,FALSE)</f>
        <v>153- L'éducation inclusive est intégrée dans la prise de décision par les différents acteurs</v>
      </c>
      <c r="AC375" s="20" t="str">
        <f>D375 &amp; "-" &amp; VLOOKUP(D375,[4]STRATEGIES!$E$1:$F$504,2,FALSE)</f>
        <v>1531-Renforcement des capacités en éducation inclusive (pilotage, directeurs, enseignants)</v>
      </c>
      <c r="AD375" s="21" t="str">
        <f t="shared" si="74"/>
        <v>15312-Constitution d'une équipe de cadre nationaux pour la prise en charge des ESH</v>
      </c>
    </row>
    <row r="376" spans="1:30" ht="45" hidden="1" customHeight="1" x14ac:dyDescent="0.8">
      <c r="A376" s="25">
        <v>1</v>
      </c>
      <c r="B376" s="16">
        <v>15</v>
      </c>
      <c r="C376" s="16">
        <v>153</v>
      </c>
      <c r="D376" s="16">
        <v>1531</v>
      </c>
      <c r="E376" s="16">
        <v>15313</v>
      </c>
      <c r="F376" s="16" t="s">
        <v>499</v>
      </c>
      <c r="G376" s="21" t="s">
        <v>500</v>
      </c>
      <c r="H376" s="21" t="s">
        <v>501</v>
      </c>
      <c r="I376" s="19">
        <v>0</v>
      </c>
      <c r="J376" s="19">
        <f>5*50.01%</f>
        <v>2.5004999999999997</v>
      </c>
      <c r="K376" s="19"/>
      <c r="L376" s="19"/>
      <c r="M376" s="19">
        <f t="shared" si="86"/>
        <v>2.5004999999999997</v>
      </c>
      <c r="N376" s="19">
        <f>IF(OR(H376="",H376="sif",H376="PM"),0,VLOOKUP(H376,[5]CU!$C$4:$H$255,6,FALSE))</f>
        <v>50.336534</v>
      </c>
      <c r="O376" s="19">
        <f t="shared" ref="O376:R390" si="88">$N376*I376</f>
        <v>0</v>
      </c>
      <c r="P376" s="19">
        <f t="shared" si="88"/>
        <v>125.86650326699998</v>
      </c>
      <c r="Q376" s="19">
        <f t="shared" si="87"/>
        <v>0</v>
      </c>
      <c r="R376" s="19">
        <f t="shared" si="88"/>
        <v>0</v>
      </c>
      <c r="S376" s="31">
        <f>SUM(O376:R376)</f>
        <v>125.86650326699998</v>
      </c>
      <c r="T376" s="26" t="s">
        <v>169</v>
      </c>
      <c r="U376" s="19" t="s">
        <v>170</v>
      </c>
      <c r="V376" s="19" t="str">
        <f>IF(OR($H376="",$H376="sif",$H376="PM"),"",VLOOKUP($H376,[5]CU!$C$5:$J$255,8,FALSE))</f>
        <v>3. Formation</v>
      </c>
      <c r="W376" s="19" t="s">
        <v>192</v>
      </c>
      <c r="X376" s="19" t="s">
        <v>192</v>
      </c>
      <c r="Y376" s="19" t="s">
        <v>32</v>
      </c>
      <c r="Z376" s="19" t="str">
        <f>A376 &amp; "-" &amp; VLOOKUP(A376,[4]PROGRAMMES!$E$1:$F$7,2,FALSE)</f>
        <v>1-Accès et équité à l'enseignement général</v>
      </c>
      <c r="AA376" s="19" t="str">
        <f>B376 &amp; "-" &amp; VLOOKUP(B376,[4]SOUSPROGRAMMES!$E$1:$F$44,2,FALSE)</f>
        <v>15- Promotion de l'éducation inclusive, y compris les FA</v>
      </c>
      <c r="AB376" s="19" t="str">
        <f>C376 &amp; "-" &amp; VLOOKUP(C376,[4]RESULTATS!$E$1:$F$176,2,FALSE)</f>
        <v>153- L'éducation inclusive est intégrée dans la prise de décision par les différents acteurs</v>
      </c>
      <c r="AC376" s="20" t="str">
        <f>D376 &amp; "-" &amp; VLOOKUP(D376,[4]STRATEGIES!$E$1:$F$504,2,FALSE)</f>
        <v>1531-Renforcement des capacités en éducation inclusive (pilotage, directeurs, enseignants)</v>
      </c>
      <c r="AD376" s="21" t="str">
        <f t="shared" si="74"/>
        <v>15313-Renforcement des capacités de l'équipe nationale dans la prise en charge des ESH</v>
      </c>
    </row>
    <row r="377" spans="1:30" s="22" customFormat="1" ht="45" hidden="1" customHeight="1" x14ac:dyDescent="0.8">
      <c r="A377" s="14">
        <v>1</v>
      </c>
      <c r="B377" s="15">
        <v>15</v>
      </c>
      <c r="C377" s="15">
        <v>153</v>
      </c>
      <c r="D377" s="15">
        <v>1531</v>
      </c>
      <c r="E377" s="15">
        <v>15313</v>
      </c>
      <c r="F377" s="16" t="s">
        <v>499</v>
      </c>
      <c r="G377" s="21" t="s">
        <v>500</v>
      </c>
      <c r="H377" s="17" t="s">
        <v>501</v>
      </c>
      <c r="I377" s="18">
        <v>0</v>
      </c>
      <c r="J377" s="18">
        <f>5*44.33%</f>
        <v>2.2164999999999999</v>
      </c>
      <c r="K377" s="18"/>
      <c r="L377" s="18"/>
      <c r="M377" s="18">
        <f>SUM(I377:L377)</f>
        <v>2.2164999999999999</v>
      </c>
      <c r="N377" s="18">
        <f>IF(OR(H377="",H377="sif",H377="PM"),0,VLOOKUP(H377,[5]CU!$C$4:$H$255,6,FALSE))</f>
        <v>50.336534</v>
      </c>
      <c r="O377" s="18">
        <f t="shared" si="88"/>
        <v>0</v>
      </c>
      <c r="P377" s="18">
        <f t="shared" si="88"/>
        <v>111.570927611</v>
      </c>
      <c r="Q377" s="18">
        <f t="shared" si="88"/>
        <v>0</v>
      </c>
      <c r="R377" s="18">
        <f t="shared" si="88"/>
        <v>0</v>
      </c>
      <c r="S377" s="24">
        <f>SUM(O377:R377)</f>
        <v>111.570927611</v>
      </c>
      <c r="T377" s="23" t="s">
        <v>118</v>
      </c>
      <c r="U377" s="18" t="s">
        <v>170</v>
      </c>
      <c r="V377" s="18" t="str">
        <f>IF(OR($H377="",$H377="sif",$H377="PM"),"",VLOOKUP($H377,[5]CU!$C$5:$J$255,8,FALSE))</f>
        <v>3. Formation</v>
      </c>
      <c r="W377" s="18" t="s">
        <v>192</v>
      </c>
      <c r="X377" s="18" t="s">
        <v>192</v>
      </c>
      <c r="Y377" s="19" t="s">
        <v>32</v>
      </c>
      <c r="Z377" s="18" t="str">
        <f>A377 &amp; "-" &amp; VLOOKUP(A377,[4]PROGRAMMES!$E$1:$F$7,2,FALSE)</f>
        <v>1-Accès et équité à l'enseignement général</v>
      </c>
      <c r="AA377" s="19" t="str">
        <f>B377 &amp; "-" &amp; VLOOKUP(B377,[4]SOUSPROGRAMMES!$E$1:$F$44,2,FALSE)</f>
        <v>15- Promotion de l'éducation inclusive, y compris les FA</v>
      </c>
      <c r="AB377" s="19" t="str">
        <f>C377 &amp; "-" &amp; VLOOKUP(C377,[4]RESULTATS!$E$1:$F$176,2,FALSE)</f>
        <v>153- L'éducation inclusive est intégrée dans la prise de décision par les différents acteurs</v>
      </c>
      <c r="AC377" s="20" t="str">
        <f>D377 &amp; "-" &amp; VLOOKUP(D377,[4]STRATEGIES!$E$1:$F$504,2,FALSE)</f>
        <v>1531-Renforcement des capacités en éducation inclusive (pilotage, directeurs, enseignants)</v>
      </c>
      <c r="AD377" s="21" t="str">
        <f t="shared" si="74"/>
        <v>15313-Renforcement des capacités de l'équipe nationale dans la prise en charge des ESH</v>
      </c>
    </row>
    <row r="378" spans="1:30" s="22" customFormat="1" ht="45" hidden="1" customHeight="1" x14ac:dyDescent="0.8">
      <c r="A378" s="14">
        <v>1</v>
      </c>
      <c r="B378" s="15">
        <v>15</v>
      </c>
      <c r="C378" s="15">
        <v>153</v>
      </c>
      <c r="D378" s="15">
        <v>1531</v>
      </c>
      <c r="E378" s="15">
        <v>15313</v>
      </c>
      <c r="F378" s="16" t="s">
        <v>499</v>
      </c>
      <c r="G378" s="21" t="s">
        <v>500</v>
      </c>
      <c r="H378" s="17" t="s">
        <v>501</v>
      </c>
      <c r="I378" s="18">
        <v>0</v>
      </c>
      <c r="J378" s="18">
        <f>5*5.66%</f>
        <v>0.28300000000000003</v>
      </c>
      <c r="K378" s="18"/>
      <c r="L378" s="18"/>
      <c r="M378" s="18">
        <f t="shared" si="86"/>
        <v>0.28300000000000003</v>
      </c>
      <c r="N378" s="18">
        <f>IF(OR(H378="",H378="sif",H378="PM"),0,VLOOKUP(H378,[5]CU!$C$4:$H$255,6,FALSE))</f>
        <v>50.336534</v>
      </c>
      <c r="O378" s="18">
        <f t="shared" si="88"/>
        <v>0</v>
      </c>
      <c r="P378" s="18">
        <f t="shared" si="88"/>
        <v>14.245239122000001</v>
      </c>
      <c r="Q378" s="18">
        <f t="shared" si="88"/>
        <v>0</v>
      </c>
      <c r="R378" s="18">
        <f t="shared" si="88"/>
        <v>0</v>
      </c>
      <c r="S378" s="24">
        <f t="shared" ref="S378:S394" si="89">SUM(O378:R378)</f>
        <v>14.245239122000001</v>
      </c>
      <c r="T378" s="23" t="s">
        <v>67</v>
      </c>
      <c r="U378" s="18" t="s">
        <v>170</v>
      </c>
      <c r="V378" s="18" t="str">
        <f>IF(OR($H378="",$H378="sif",$H378="PM"),"",VLOOKUP($H378,[5]CU!$C$5:$J$255,8,FALSE))</f>
        <v>3. Formation</v>
      </c>
      <c r="W378" s="18" t="s">
        <v>192</v>
      </c>
      <c r="X378" s="18" t="s">
        <v>192</v>
      </c>
      <c r="Y378" s="19" t="s">
        <v>32</v>
      </c>
      <c r="Z378" s="18" t="str">
        <f>A378 &amp; "-" &amp; VLOOKUP(A378,[4]PROGRAMMES!$E$1:$F$7,2,FALSE)</f>
        <v>1-Accès et équité à l'enseignement général</v>
      </c>
      <c r="AA378" s="19" t="str">
        <f>B378 &amp; "-" &amp; VLOOKUP(B378,[4]SOUSPROGRAMMES!$E$1:$F$44,2,FALSE)</f>
        <v>15- Promotion de l'éducation inclusive, y compris les FA</v>
      </c>
      <c r="AB378" s="19" t="str">
        <f>C378 &amp; "-" &amp; VLOOKUP(C378,[4]RESULTATS!$E$1:$F$176,2,FALSE)</f>
        <v>153- L'éducation inclusive est intégrée dans la prise de décision par les différents acteurs</v>
      </c>
      <c r="AC378" s="20" t="str">
        <f>D378 &amp; "-" &amp; VLOOKUP(D378,[4]STRATEGIES!$E$1:$F$504,2,FALSE)</f>
        <v>1531-Renforcement des capacités en éducation inclusive (pilotage, directeurs, enseignants)</v>
      </c>
      <c r="AD378" s="21" t="str">
        <f t="shared" si="74"/>
        <v>15313-Renforcement des capacités de l'équipe nationale dans la prise en charge des ESH</v>
      </c>
    </row>
    <row r="379" spans="1:30" ht="45" hidden="1" customHeight="1" x14ac:dyDescent="0.8">
      <c r="A379" s="25">
        <v>1</v>
      </c>
      <c r="B379" s="16">
        <v>15</v>
      </c>
      <c r="C379" s="16">
        <v>153</v>
      </c>
      <c r="D379" s="16">
        <v>1531</v>
      </c>
      <c r="E379" s="16">
        <v>15314</v>
      </c>
      <c r="F379" s="16" t="s">
        <v>502</v>
      </c>
      <c r="G379" s="21" t="s">
        <v>503</v>
      </c>
      <c r="H379" s="21" t="s">
        <v>452</v>
      </c>
      <c r="I379" s="19">
        <v>0</v>
      </c>
      <c r="J379" s="19"/>
      <c r="K379" s="19">
        <v>50</v>
      </c>
      <c r="L379" s="19"/>
      <c r="M379" s="19">
        <f t="shared" si="86"/>
        <v>50</v>
      </c>
      <c r="N379" s="19">
        <f>IF(OR(H379="",H379="sif",H379="PM"),0,VLOOKUP(H379,[5]CU!$C$4:$H$255,6,FALSE))</f>
        <v>7.4999999999999997E-3</v>
      </c>
      <c r="O379" s="19">
        <f t="shared" si="88"/>
        <v>0</v>
      </c>
      <c r="P379" s="19">
        <f t="shared" si="88"/>
        <v>0</v>
      </c>
      <c r="Q379" s="19">
        <f t="shared" si="88"/>
        <v>0.375</v>
      </c>
      <c r="R379" s="19">
        <f t="shared" si="88"/>
        <v>0</v>
      </c>
      <c r="S379" s="31">
        <f t="shared" si="89"/>
        <v>0.375</v>
      </c>
      <c r="T379" s="26" t="s">
        <v>169</v>
      </c>
      <c r="U379" s="19" t="s">
        <v>170</v>
      </c>
      <c r="V379" s="19" t="str">
        <f>IF(OR($H379="",$H379="sif",$H379="PM"),"",VLOOKUP($H379,[5]CU!$C$5:$J$255,8,FALSE))</f>
        <v>3. Dépenses de fonctionnement</v>
      </c>
      <c r="W379" s="19" t="s">
        <v>192</v>
      </c>
      <c r="X379" s="19" t="s">
        <v>192</v>
      </c>
      <c r="Y379" s="19" t="s">
        <v>32</v>
      </c>
      <c r="Z379" s="19" t="str">
        <f>A379 &amp; "-" &amp; VLOOKUP(A379,[4]PROGRAMMES!$E$1:$F$7,2,FALSE)</f>
        <v>1-Accès et équité à l'enseignement général</v>
      </c>
      <c r="AA379" s="19" t="str">
        <f>B379 &amp; "-" &amp; VLOOKUP(B379,[4]SOUSPROGRAMMES!$E$1:$F$44,2,FALSE)</f>
        <v>15- Promotion de l'éducation inclusive, y compris les FA</v>
      </c>
      <c r="AB379" s="19" t="str">
        <f>C379 &amp; "-" &amp; VLOOKUP(C379,[4]RESULTATS!$E$1:$F$176,2,FALSE)</f>
        <v>153- L'éducation inclusive est intégrée dans la prise de décision par les différents acteurs</v>
      </c>
      <c r="AC379" s="20" t="str">
        <f>D379 &amp; "-" &amp; VLOOKUP(D379,[4]STRATEGIES!$E$1:$F$504,2,FALSE)</f>
        <v>1531-Renforcement des capacités en éducation inclusive (pilotage, directeurs, enseignants)</v>
      </c>
      <c r="AD379" s="21" t="str">
        <f t="shared" si="74"/>
        <v>15314-Diffusion des textes de loi sur l'inclusion</v>
      </c>
    </row>
    <row r="380" spans="1:30" ht="45" hidden="1" customHeight="1" x14ac:dyDescent="0.8">
      <c r="A380" s="25">
        <v>1</v>
      </c>
      <c r="B380" s="16">
        <v>15</v>
      </c>
      <c r="C380" s="16">
        <v>153</v>
      </c>
      <c r="D380" s="16">
        <v>1531</v>
      </c>
      <c r="E380" s="16">
        <v>15315</v>
      </c>
      <c r="F380" s="16" t="s">
        <v>504</v>
      </c>
      <c r="G380" s="21" t="s">
        <v>436</v>
      </c>
      <c r="H380" s="21" t="s">
        <v>352</v>
      </c>
      <c r="I380" s="19">
        <v>0</v>
      </c>
      <c r="J380" s="19">
        <f>(30*10*4)*5%</f>
        <v>60</v>
      </c>
      <c r="K380" s="19"/>
      <c r="L380" s="19"/>
      <c r="M380" s="19">
        <f t="shared" si="86"/>
        <v>60</v>
      </c>
      <c r="N380" s="19">
        <f>IF(OR(H380="",H380="sif",H380="PM"),0,VLOOKUP(H380,[5]CU!$C$4:$H$255,6,FALSE))</f>
        <v>0.54600000000000004</v>
      </c>
      <c r="O380" s="19">
        <f t="shared" si="88"/>
        <v>0</v>
      </c>
      <c r="P380" s="19">
        <f t="shared" si="88"/>
        <v>32.760000000000005</v>
      </c>
      <c r="Q380" s="19">
        <f t="shared" si="88"/>
        <v>0</v>
      </c>
      <c r="R380" s="19">
        <f t="shared" si="88"/>
        <v>0</v>
      </c>
      <c r="S380" s="31">
        <f t="shared" si="89"/>
        <v>32.760000000000005</v>
      </c>
      <c r="T380" s="26" t="s">
        <v>169</v>
      </c>
      <c r="U380" s="19" t="s">
        <v>170</v>
      </c>
      <c r="V380" s="19" t="str">
        <f>IF(OR($H380="",$H380="sif",$H380="PM"),"",VLOOKUP($H380,[5]CU!$C$5:$J$255,8,FALSE))</f>
        <v>3. Formation</v>
      </c>
      <c r="W380" s="19" t="s">
        <v>192</v>
      </c>
      <c r="X380" s="19" t="s">
        <v>192</v>
      </c>
      <c r="Y380" s="19" t="s">
        <v>32</v>
      </c>
      <c r="Z380" s="19" t="str">
        <f>A380 &amp; "-" &amp; VLOOKUP(A380,[4]PROGRAMMES!$E$1:$F$7,2,FALSE)</f>
        <v>1-Accès et équité à l'enseignement général</v>
      </c>
      <c r="AA380" s="19" t="str">
        <f>B380 &amp; "-" &amp; VLOOKUP(B380,[4]SOUSPROGRAMMES!$E$1:$F$44,2,FALSE)</f>
        <v>15- Promotion de l'éducation inclusive, y compris les FA</v>
      </c>
      <c r="AB380" s="19" t="str">
        <f>C380 &amp; "-" &amp; VLOOKUP(C380,[4]RESULTATS!$E$1:$F$176,2,FALSE)</f>
        <v>153- L'éducation inclusive est intégrée dans la prise de décision par les différents acteurs</v>
      </c>
      <c r="AC380" s="20" t="str">
        <f>D380 &amp; "-" &amp; VLOOKUP(D380,[4]STRATEGIES!$E$1:$F$504,2,FALSE)</f>
        <v>1531-Renforcement des capacités en éducation inclusive (pilotage, directeurs, enseignants)</v>
      </c>
      <c r="AD380" s="21" t="str">
        <f t="shared" si="74"/>
        <v>15315-Formation des encadreurs régionaux et préfectoraux par l'équipe nationale en stratégie de prise en charge des ESH</v>
      </c>
    </row>
    <row r="381" spans="1:30" s="22" customFormat="1" ht="45" hidden="1" customHeight="1" x14ac:dyDescent="0.8">
      <c r="A381" s="14">
        <v>1</v>
      </c>
      <c r="B381" s="15">
        <v>15</v>
      </c>
      <c r="C381" s="15">
        <v>153</v>
      </c>
      <c r="D381" s="15">
        <v>1531</v>
      </c>
      <c r="E381" s="15">
        <v>15315</v>
      </c>
      <c r="F381" s="16" t="s">
        <v>504</v>
      </c>
      <c r="G381" s="21" t="s">
        <v>436</v>
      </c>
      <c r="H381" s="17" t="s">
        <v>352</v>
      </c>
      <c r="I381" s="18">
        <v>0</v>
      </c>
      <c r="J381" s="18">
        <f>(30*10*4)*45.65%</f>
        <v>547.79999999999995</v>
      </c>
      <c r="K381" s="18"/>
      <c r="L381" s="18"/>
      <c r="M381" s="18">
        <f>SUM(I381:L381)</f>
        <v>547.79999999999995</v>
      </c>
      <c r="N381" s="18">
        <f>IF(OR(H381="",H381="sif",H381="PM"),0,VLOOKUP(H381,[5]CU!$C$4:$H$255,6,FALSE))</f>
        <v>0.54600000000000004</v>
      </c>
      <c r="O381" s="18">
        <f>$N381*I381</f>
        <v>0</v>
      </c>
      <c r="P381" s="18">
        <f>$N381*J381</f>
        <v>299.09879999999998</v>
      </c>
      <c r="Q381" s="18">
        <f>$N381*K381</f>
        <v>0</v>
      </c>
      <c r="R381" s="18">
        <f>$N381*L381</f>
        <v>0</v>
      </c>
      <c r="S381" s="24">
        <f>SUM(O381:R381)</f>
        <v>299.09879999999998</v>
      </c>
      <c r="T381" s="23" t="s">
        <v>118</v>
      </c>
      <c r="U381" s="18" t="s">
        <v>170</v>
      </c>
      <c r="V381" s="18" t="str">
        <f>IF(OR($H381="",$H381="sif",$H381="PM"),"",VLOOKUP($H381,[5]CU!$C$5:$J$255,8,FALSE))</f>
        <v>3. Formation</v>
      </c>
      <c r="W381" s="18" t="s">
        <v>192</v>
      </c>
      <c r="X381" s="18" t="s">
        <v>192</v>
      </c>
      <c r="Y381" s="19" t="s">
        <v>32</v>
      </c>
      <c r="Z381" s="18" t="str">
        <f>A381 &amp; "-" &amp; VLOOKUP(A381,[4]PROGRAMMES!$E$1:$F$7,2,FALSE)</f>
        <v>1-Accès et équité à l'enseignement général</v>
      </c>
      <c r="AA381" s="19" t="str">
        <f>B381 &amp; "-" &amp; VLOOKUP(B381,[4]SOUSPROGRAMMES!$E$1:$F$44,2,FALSE)</f>
        <v>15- Promotion de l'éducation inclusive, y compris les FA</v>
      </c>
      <c r="AB381" s="19" t="str">
        <f>C381 &amp; "-" &amp; VLOOKUP(C381,[4]RESULTATS!$E$1:$F$176,2,FALSE)</f>
        <v>153- L'éducation inclusive est intégrée dans la prise de décision par les différents acteurs</v>
      </c>
      <c r="AC381" s="20" t="str">
        <f>D381 &amp; "-" &amp; VLOOKUP(D381,[4]STRATEGIES!$E$1:$F$504,2,FALSE)</f>
        <v>1531-Renforcement des capacités en éducation inclusive (pilotage, directeurs, enseignants)</v>
      </c>
      <c r="AD381" s="21" t="str">
        <f t="shared" si="74"/>
        <v>15315-Formation des encadreurs régionaux et préfectoraux par l'équipe nationale en stratégie de prise en charge des ESH</v>
      </c>
    </row>
    <row r="382" spans="1:30" s="22" customFormat="1" ht="45" hidden="1" customHeight="1" x14ac:dyDescent="0.8">
      <c r="A382" s="14">
        <v>1</v>
      </c>
      <c r="B382" s="15">
        <v>15</v>
      </c>
      <c r="C382" s="15">
        <v>153</v>
      </c>
      <c r="D382" s="15">
        <v>1531</v>
      </c>
      <c r="E382" s="15">
        <v>15315</v>
      </c>
      <c r="F382" s="16" t="s">
        <v>504</v>
      </c>
      <c r="G382" s="21" t="s">
        <v>436</v>
      </c>
      <c r="H382" s="17" t="s">
        <v>352</v>
      </c>
      <c r="I382" s="18">
        <v>0</v>
      </c>
      <c r="J382" s="18">
        <f>(30*10*4)*4.34%</f>
        <v>52.08</v>
      </c>
      <c r="K382" s="18"/>
      <c r="L382" s="18"/>
      <c r="M382" s="18">
        <f t="shared" si="86"/>
        <v>52.08</v>
      </c>
      <c r="N382" s="18">
        <f>IF(OR(H382="",H382="sif",H382="PM"),0,VLOOKUP(H382,[5]CU!$C$4:$H$255,6,FALSE))</f>
        <v>0.54600000000000004</v>
      </c>
      <c r="O382" s="18">
        <f t="shared" si="88"/>
        <v>0</v>
      </c>
      <c r="P382" s="18">
        <f t="shared" si="88"/>
        <v>28.435680000000001</v>
      </c>
      <c r="Q382" s="18">
        <f t="shared" si="88"/>
        <v>0</v>
      </c>
      <c r="R382" s="18">
        <f t="shared" si="88"/>
        <v>0</v>
      </c>
      <c r="S382" s="24">
        <f t="shared" si="89"/>
        <v>28.435680000000001</v>
      </c>
      <c r="T382" s="23" t="s">
        <v>67</v>
      </c>
      <c r="U382" s="18" t="s">
        <v>170</v>
      </c>
      <c r="V382" s="18" t="str">
        <f>IF(OR($H382="",$H382="sif",$H382="PM"),"",VLOOKUP($H382,[5]CU!$C$5:$J$255,8,FALSE))</f>
        <v>3. Formation</v>
      </c>
      <c r="W382" s="18" t="s">
        <v>192</v>
      </c>
      <c r="X382" s="18" t="s">
        <v>192</v>
      </c>
      <c r="Y382" s="19" t="s">
        <v>32</v>
      </c>
      <c r="Z382" s="18" t="str">
        <f>A382 &amp; "-" &amp; VLOOKUP(A382,[4]PROGRAMMES!$E$1:$F$7,2,FALSE)</f>
        <v>1-Accès et équité à l'enseignement général</v>
      </c>
      <c r="AA382" s="19" t="str">
        <f>B382 &amp; "-" &amp; VLOOKUP(B382,[4]SOUSPROGRAMMES!$E$1:$F$44,2,FALSE)</f>
        <v>15- Promotion de l'éducation inclusive, y compris les FA</v>
      </c>
      <c r="AB382" s="19" t="str">
        <f>C382 &amp; "-" &amp; VLOOKUP(C382,[4]RESULTATS!$E$1:$F$176,2,FALSE)</f>
        <v>153- L'éducation inclusive est intégrée dans la prise de décision par les différents acteurs</v>
      </c>
      <c r="AC382" s="20" t="str">
        <f>D382 &amp; "-" &amp; VLOOKUP(D382,[4]STRATEGIES!$E$1:$F$504,2,FALSE)</f>
        <v>1531-Renforcement des capacités en éducation inclusive (pilotage, directeurs, enseignants)</v>
      </c>
      <c r="AD382" s="21" t="str">
        <f t="shared" si="74"/>
        <v>15315-Formation des encadreurs régionaux et préfectoraux par l'équipe nationale en stratégie de prise en charge des ESH</v>
      </c>
    </row>
    <row r="383" spans="1:30" ht="45" hidden="1" customHeight="1" x14ac:dyDescent="0.8">
      <c r="A383" s="25">
        <v>1</v>
      </c>
      <c r="B383" s="16">
        <v>15</v>
      </c>
      <c r="C383" s="16">
        <v>153</v>
      </c>
      <c r="D383" s="16">
        <v>1531</v>
      </c>
      <c r="E383" s="16">
        <v>15316</v>
      </c>
      <c r="F383" s="16" t="s">
        <v>505</v>
      </c>
      <c r="G383" s="21" t="s">
        <v>436</v>
      </c>
      <c r="H383" s="21" t="s">
        <v>506</v>
      </c>
      <c r="I383" s="19">
        <v>0</v>
      </c>
      <c r="J383" s="19"/>
      <c r="K383" s="19">
        <f>(500*5)*5%</f>
        <v>125</v>
      </c>
      <c r="L383" s="19">
        <f>(500*5)*20.01%</f>
        <v>500.25000000000006</v>
      </c>
      <c r="M383" s="19">
        <f t="shared" si="86"/>
        <v>625.25</v>
      </c>
      <c r="N383" s="19">
        <f>IF(OR(H383="",H383="sif",H383="PM"),0,VLOOKUP(H383,[5]CU!$C$4:$H$255,6,FALSE))</f>
        <v>0.45</v>
      </c>
      <c r="O383" s="19">
        <f t="shared" si="88"/>
        <v>0</v>
      </c>
      <c r="P383" s="19">
        <f t="shared" si="88"/>
        <v>0</v>
      </c>
      <c r="Q383" s="19">
        <f>$N383*K383</f>
        <v>56.25</v>
      </c>
      <c r="R383" s="19">
        <f t="shared" si="88"/>
        <v>225.11250000000004</v>
      </c>
      <c r="S383" s="31">
        <f t="shared" si="89"/>
        <v>281.36250000000007</v>
      </c>
      <c r="T383" s="26" t="s">
        <v>169</v>
      </c>
      <c r="U383" s="19" t="s">
        <v>170</v>
      </c>
      <c r="V383" s="19" t="str">
        <f>IF(OR($H383="",$H383="sif",$H383="PM"),"",VLOOKUP($H383,[5]CU!$C$5:$J$255,8,FALSE))</f>
        <v>3. Formation</v>
      </c>
      <c r="W383" s="19" t="s">
        <v>192</v>
      </c>
      <c r="X383" s="19" t="s">
        <v>77</v>
      </c>
      <c r="Y383" s="19" t="s">
        <v>32</v>
      </c>
      <c r="Z383" s="19" t="str">
        <f>A383 &amp; "-" &amp; VLOOKUP(A383,[4]PROGRAMMES!$E$1:$F$7,2,FALSE)</f>
        <v>1-Accès et équité à l'enseignement général</v>
      </c>
      <c r="AA383" s="19" t="str">
        <f>B383 &amp; "-" &amp; VLOOKUP(B383,[4]SOUSPROGRAMMES!$E$1:$F$44,2,FALSE)</f>
        <v>15- Promotion de l'éducation inclusive, y compris les FA</v>
      </c>
      <c r="AB383" s="19" t="str">
        <f>C383 &amp; "-" &amp; VLOOKUP(C383,[4]RESULTATS!$E$1:$F$176,2,FALSE)</f>
        <v>153- L'éducation inclusive est intégrée dans la prise de décision par les différents acteurs</v>
      </c>
      <c r="AC383" s="20" t="str">
        <f>D383 &amp; "-" &amp; VLOOKUP(D383,[4]STRATEGIES!$E$1:$F$504,2,FALSE)</f>
        <v>1531-Renforcement des capacités en éducation inclusive (pilotage, directeurs, enseignants)</v>
      </c>
      <c r="AD383" s="21" t="str">
        <f t="shared" si="74"/>
        <v>15316-Formation des directeurs d'école et enseignants en stratégie de prise en charge des ESH par les structures déconcentrées</v>
      </c>
    </row>
    <row r="384" spans="1:30" s="22" customFormat="1" ht="45" hidden="1" customHeight="1" x14ac:dyDescent="0.8">
      <c r="A384" s="14">
        <v>1</v>
      </c>
      <c r="B384" s="15">
        <v>15</v>
      </c>
      <c r="C384" s="15">
        <v>153</v>
      </c>
      <c r="D384" s="15">
        <v>1531</v>
      </c>
      <c r="E384" s="15">
        <v>15316</v>
      </c>
      <c r="F384" s="16" t="s">
        <v>505</v>
      </c>
      <c r="G384" s="21" t="s">
        <v>436</v>
      </c>
      <c r="H384" s="17" t="s">
        <v>506</v>
      </c>
      <c r="I384" s="18">
        <v>0</v>
      </c>
      <c r="J384" s="18">
        <f>(400*5)*63.33%</f>
        <v>1266.5999999999999</v>
      </c>
      <c r="K384" s="18">
        <f>(500*5)*63.33%</f>
        <v>1583.25</v>
      </c>
      <c r="L384" s="18">
        <f>(500*5)*63.33%</f>
        <v>1583.25</v>
      </c>
      <c r="M384" s="18">
        <f>SUM(I384:L384)</f>
        <v>4433.1000000000004</v>
      </c>
      <c r="N384" s="18">
        <f>IF(OR(H384="",H384="sif",H384="PM"),0,VLOOKUP(H384,[5]CU!$C$4:$H$255,6,FALSE))</f>
        <v>0.45</v>
      </c>
      <c r="O384" s="18">
        <f>$N384*I384</f>
        <v>0</v>
      </c>
      <c r="P384" s="18">
        <f>$N384*J384</f>
        <v>569.97</v>
      </c>
      <c r="Q384" s="18">
        <f>$N384*K384</f>
        <v>712.46249999999998</v>
      </c>
      <c r="R384" s="18">
        <f>$N384*L384</f>
        <v>712.46249999999998</v>
      </c>
      <c r="S384" s="24">
        <f>SUM(O384:R384)</f>
        <v>1994.895</v>
      </c>
      <c r="T384" s="23" t="s">
        <v>118</v>
      </c>
      <c r="U384" s="18" t="s">
        <v>170</v>
      </c>
      <c r="V384" s="18" t="str">
        <f>IF(OR($H384="",$H384="sif",$H384="PM"),"",VLOOKUP($H384,[5]CU!$C$5:$J$255,8,FALSE))</f>
        <v>3. Formation</v>
      </c>
      <c r="W384" s="18" t="s">
        <v>192</v>
      </c>
      <c r="X384" s="18" t="s">
        <v>77</v>
      </c>
      <c r="Y384" s="19" t="s">
        <v>32</v>
      </c>
      <c r="Z384" s="18" t="str">
        <f>A384 &amp; "-" &amp; VLOOKUP(A384,[4]PROGRAMMES!$E$1:$F$7,2,FALSE)</f>
        <v>1-Accès et équité à l'enseignement général</v>
      </c>
      <c r="AA384" s="19" t="str">
        <f>B384 &amp; "-" &amp; VLOOKUP(B384,[4]SOUSPROGRAMMES!$E$1:$F$44,2,FALSE)</f>
        <v>15- Promotion de l'éducation inclusive, y compris les FA</v>
      </c>
      <c r="AB384" s="19" t="str">
        <f>C384 &amp; "-" &amp; VLOOKUP(C384,[4]RESULTATS!$E$1:$F$176,2,FALSE)</f>
        <v>153- L'éducation inclusive est intégrée dans la prise de décision par les différents acteurs</v>
      </c>
      <c r="AC384" s="20" t="str">
        <f>D384 &amp; "-" &amp; VLOOKUP(D384,[4]STRATEGIES!$E$1:$F$504,2,FALSE)</f>
        <v>1531-Renforcement des capacités en éducation inclusive (pilotage, directeurs, enseignants)</v>
      </c>
      <c r="AD384" s="21" t="str">
        <f t="shared" si="74"/>
        <v>15316-Formation des directeurs d'école et enseignants en stratégie de prise en charge des ESH par les structures déconcentrées</v>
      </c>
    </row>
    <row r="385" spans="1:30" s="22" customFormat="1" ht="45" hidden="1" customHeight="1" x14ac:dyDescent="0.8">
      <c r="A385" s="14">
        <v>1</v>
      </c>
      <c r="B385" s="15">
        <v>15</v>
      </c>
      <c r="C385" s="15">
        <v>153</v>
      </c>
      <c r="D385" s="15">
        <v>1531</v>
      </c>
      <c r="E385" s="15">
        <v>15316</v>
      </c>
      <c r="F385" s="16" t="s">
        <v>505</v>
      </c>
      <c r="G385" s="21" t="s">
        <v>436</v>
      </c>
      <c r="H385" s="17" t="s">
        <v>506</v>
      </c>
      <c r="I385" s="18">
        <v>0</v>
      </c>
      <c r="J385" s="18">
        <f>(400*5)*16.66%</f>
        <v>333.2</v>
      </c>
      <c r="K385" s="18">
        <f>(500*5)*16.66%</f>
        <v>416.5</v>
      </c>
      <c r="L385" s="18">
        <f>(500*5)*16.66%</f>
        <v>416.5</v>
      </c>
      <c r="M385" s="18">
        <f t="shared" si="86"/>
        <v>1166.2</v>
      </c>
      <c r="N385" s="18">
        <f>IF(OR(H385="",H385="sif",H385="PM"),0,VLOOKUP(H385,[5]CU!$C$4:$H$255,6,FALSE))</f>
        <v>0.45</v>
      </c>
      <c r="O385" s="18">
        <f t="shared" si="88"/>
        <v>0</v>
      </c>
      <c r="P385" s="18">
        <f t="shared" si="88"/>
        <v>149.94</v>
      </c>
      <c r="Q385" s="18">
        <f t="shared" si="88"/>
        <v>187.42500000000001</v>
      </c>
      <c r="R385" s="18">
        <f t="shared" si="88"/>
        <v>187.42500000000001</v>
      </c>
      <c r="S385" s="24">
        <f t="shared" si="89"/>
        <v>524.79</v>
      </c>
      <c r="T385" s="23" t="s">
        <v>67</v>
      </c>
      <c r="U385" s="18" t="s">
        <v>170</v>
      </c>
      <c r="V385" s="18" t="str">
        <f>IF(OR($H385="",$H385="sif",$H385="PM"),"",VLOOKUP($H385,[5]CU!$C$5:$J$255,8,FALSE))</f>
        <v>3. Formation</v>
      </c>
      <c r="W385" s="18" t="s">
        <v>192</v>
      </c>
      <c r="X385" s="18" t="s">
        <v>77</v>
      </c>
      <c r="Y385" s="19" t="s">
        <v>32</v>
      </c>
      <c r="Z385" s="18" t="str">
        <f>A385 &amp; "-" &amp; VLOOKUP(A385,[4]PROGRAMMES!$E$1:$F$7,2,FALSE)</f>
        <v>1-Accès et équité à l'enseignement général</v>
      </c>
      <c r="AA385" s="19" t="str">
        <f>B385 &amp; "-" &amp; VLOOKUP(B385,[4]SOUSPROGRAMMES!$E$1:$F$44,2,FALSE)</f>
        <v>15- Promotion de l'éducation inclusive, y compris les FA</v>
      </c>
      <c r="AB385" s="19" t="str">
        <f>C385 &amp; "-" &amp; VLOOKUP(C385,[4]RESULTATS!$E$1:$F$176,2,FALSE)</f>
        <v>153- L'éducation inclusive est intégrée dans la prise de décision par les différents acteurs</v>
      </c>
      <c r="AC385" s="20" t="str">
        <f>D385 &amp; "-" &amp; VLOOKUP(D385,[4]STRATEGIES!$E$1:$F$504,2,FALSE)</f>
        <v>1531-Renforcement des capacités en éducation inclusive (pilotage, directeurs, enseignants)</v>
      </c>
      <c r="AD385" s="21" t="str">
        <f t="shared" si="74"/>
        <v>15316-Formation des directeurs d'école et enseignants en stratégie de prise en charge des ESH par les structures déconcentrées</v>
      </c>
    </row>
    <row r="386" spans="1:30" s="22" customFormat="1" ht="45" hidden="1" customHeight="1" x14ac:dyDescent="0.8">
      <c r="A386" s="14">
        <v>1</v>
      </c>
      <c r="B386" s="15">
        <v>15</v>
      </c>
      <c r="C386" s="15">
        <v>153</v>
      </c>
      <c r="D386" s="15">
        <v>1532</v>
      </c>
      <c r="E386" s="15">
        <v>1532</v>
      </c>
      <c r="F386" s="16" t="s">
        <v>507</v>
      </c>
      <c r="G386" s="17"/>
      <c r="H386" s="17"/>
      <c r="I386" s="18">
        <v>0</v>
      </c>
      <c r="J386" s="18"/>
      <c r="K386" s="18"/>
      <c r="L386" s="18"/>
      <c r="M386" s="18"/>
      <c r="N386" s="18"/>
      <c r="O386" s="18"/>
      <c r="P386" s="18"/>
      <c r="Q386" s="18"/>
      <c r="R386" s="18"/>
      <c r="S386" s="24"/>
      <c r="T386" s="18"/>
      <c r="U386" s="18"/>
      <c r="V386" s="18"/>
      <c r="W386" s="18"/>
      <c r="X386" s="18"/>
      <c r="Y386" s="19" t="s">
        <v>32</v>
      </c>
      <c r="Z386" s="18" t="str">
        <f>A386 &amp; "-" &amp; VLOOKUP(A386,[4]PROGRAMMES!$E$1:$F$7,2,FALSE)</f>
        <v>1-Accès et équité à l'enseignement général</v>
      </c>
      <c r="AA386" s="19" t="str">
        <f>B386 &amp; "-" &amp; VLOOKUP(B386,[4]SOUSPROGRAMMES!$E$1:$F$44,2,FALSE)</f>
        <v>15- Promotion de l'éducation inclusive, y compris les FA</v>
      </c>
      <c r="AB386" s="19" t="str">
        <f>C386 &amp; "-" &amp; VLOOKUP(C386,[4]RESULTATS!$E$1:$F$176,2,FALSE)</f>
        <v>153- L'éducation inclusive est intégrée dans la prise de décision par les différents acteurs</v>
      </c>
      <c r="AC386" s="20" t="str">
        <f>D386 &amp; "-" &amp; VLOOKUP(D386,[4]STRATEGIES!$E$1:$F$504,2,FALSE)</f>
        <v>1532-Sensibilisation des différents acteurs en éducation sur l'éducation inclusive</v>
      </c>
      <c r="AD386" s="21" t="str">
        <f t="shared" si="74"/>
        <v>1532-Sensibilisation des différents acteurs en éducation sur l'éducation inclusive</v>
      </c>
    </row>
    <row r="387" spans="1:30" ht="60" hidden="1" customHeight="1" x14ac:dyDescent="0.8">
      <c r="A387" s="25">
        <v>1</v>
      </c>
      <c r="B387" s="16">
        <v>15</v>
      </c>
      <c r="C387" s="16">
        <v>153</v>
      </c>
      <c r="D387" s="16">
        <v>1532</v>
      </c>
      <c r="E387" s="16">
        <v>15321</v>
      </c>
      <c r="F387" s="16" t="s">
        <v>508</v>
      </c>
      <c r="G387" s="21" t="s">
        <v>37</v>
      </c>
      <c r="H387" s="21" t="s">
        <v>66</v>
      </c>
      <c r="I387" s="19">
        <v>0</v>
      </c>
      <c r="J387" s="19"/>
      <c r="K387" s="19">
        <f>20*5*1</f>
        <v>100</v>
      </c>
      <c r="L387" s="19"/>
      <c r="M387" s="19">
        <f t="shared" si="86"/>
        <v>100</v>
      </c>
      <c r="N387" s="19">
        <f>IF(OR(H387="",H387="sif",H387="PM"),0,VLOOKUP(H387,[5]CU!$C$4:$H$255,6,FALSE))</f>
        <v>0.255</v>
      </c>
      <c r="O387" s="19">
        <f t="shared" si="88"/>
        <v>0</v>
      </c>
      <c r="P387" s="19">
        <f t="shared" si="88"/>
        <v>0</v>
      </c>
      <c r="Q387" s="19">
        <f t="shared" si="88"/>
        <v>25.5</v>
      </c>
      <c r="R387" s="19">
        <f t="shared" si="88"/>
        <v>0</v>
      </c>
      <c r="S387" s="31">
        <f t="shared" si="89"/>
        <v>25.5</v>
      </c>
      <c r="T387" s="26" t="s">
        <v>169</v>
      </c>
      <c r="U387" s="19" t="s">
        <v>170</v>
      </c>
      <c r="V387" s="19" t="str">
        <f>IF(OR($H387="",$H387="sif",$H387="PM"),"",VLOOKUP($H387,[5]CU!$C$5:$J$255,8,FALSE))</f>
        <v>3. Dépenses de fonctionnement</v>
      </c>
      <c r="W387" s="19" t="s">
        <v>192</v>
      </c>
      <c r="X387" s="19" t="s">
        <v>192</v>
      </c>
      <c r="Y387" s="19" t="s">
        <v>32</v>
      </c>
      <c r="Z387" s="19" t="str">
        <f>A387 &amp; "-" &amp; VLOOKUP(A387,[4]PROGRAMMES!$E$1:$F$7,2,FALSE)</f>
        <v>1-Accès et équité à l'enseignement général</v>
      </c>
      <c r="AA387" s="19" t="str">
        <f>B387 &amp; "-" &amp; VLOOKUP(B387,[4]SOUSPROGRAMMES!$E$1:$F$44,2,FALSE)</f>
        <v>15- Promotion de l'éducation inclusive, y compris les FA</v>
      </c>
      <c r="AB387" s="19" t="str">
        <f>C387 &amp; "-" &amp; VLOOKUP(C387,[4]RESULTATS!$E$1:$F$176,2,FALSE)</f>
        <v>153- L'éducation inclusive est intégrée dans la prise de décision par les différents acteurs</v>
      </c>
      <c r="AC387" s="20" t="str">
        <f>D387 &amp; "-" &amp; VLOOKUP(D387,[4]STRATEGIES!$E$1:$F$504,2,FALSE)</f>
        <v>1532-Sensibilisation des différents acteurs en éducation sur l'éducation inclusive</v>
      </c>
      <c r="AD387" s="21" t="str">
        <f t="shared" si="74"/>
        <v>15321-Production des supports de sensibilisation des différents acteurs (décideurs, structures déconcentrées, directeurs, enseignants, communautés, OPH) sur la prise en charge des enfants en situation de handicap</v>
      </c>
    </row>
    <row r="388" spans="1:30" ht="45" hidden="1" customHeight="1" x14ac:dyDescent="0.8">
      <c r="A388" s="25">
        <v>1</v>
      </c>
      <c r="B388" s="16">
        <v>15</v>
      </c>
      <c r="C388" s="16">
        <v>153</v>
      </c>
      <c r="D388" s="16">
        <v>1532</v>
      </c>
      <c r="E388" s="16">
        <v>15322</v>
      </c>
      <c r="F388" s="16" t="s">
        <v>509</v>
      </c>
      <c r="G388" s="21" t="s">
        <v>510</v>
      </c>
      <c r="H388" s="21" t="s">
        <v>73</v>
      </c>
      <c r="I388" s="19">
        <v>0</v>
      </c>
      <c r="J388" s="19">
        <f>(1*15*38)*5%</f>
        <v>28.5</v>
      </c>
      <c r="K388" s="19">
        <f>(1*15*38)*20%</f>
        <v>114</v>
      </c>
      <c r="L388" s="19"/>
      <c r="M388" s="19">
        <f t="shared" si="86"/>
        <v>142.5</v>
      </c>
      <c r="N388" s="19">
        <f>IF(OR(H388="",H388="sif",H388="PM"),0,VLOOKUP(H388,[5]CU!$C$4:$H$255,6,FALSE))</f>
        <v>0.4</v>
      </c>
      <c r="O388" s="19">
        <f t="shared" si="88"/>
        <v>0</v>
      </c>
      <c r="P388" s="19">
        <f t="shared" si="88"/>
        <v>11.4</v>
      </c>
      <c r="Q388" s="19">
        <f t="shared" si="88"/>
        <v>45.6</v>
      </c>
      <c r="R388" s="19">
        <f t="shared" si="88"/>
        <v>0</v>
      </c>
      <c r="S388" s="31">
        <f t="shared" si="89"/>
        <v>57</v>
      </c>
      <c r="T388" s="26" t="s">
        <v>169</v>
      </c>
      <c r="U388" s="19" t="s">
        <v>170</v>
      </c>
      <c r="V388" s="19" t="str">
        <f>IF(OR($H388="",$H388="sif",$H388="PM"),"",VLOOKUP($H388,[5]CU!$C$5:$J$255,8,FALSE))</f>
        <v>3. Dépenses de fonctionnement</v>
      </c>
      <c r="W388" s="19" t="s">
        <v>192</v>
      </c>
      <c r="X388" s="19" t="s">
        <v>192</v>
      </c>
      <c r="Y388" s="19" t="s">
        <v>32</v>
      </c>
      <c r="Z388" s="19" t="str">
        <f>A388 &amp; "-" &amp; VLOOKUP(A388,[4]PROGRAMMES!$E$1:$F$7,2,FALSE)</f>
        <v>1-Accès et équité à l'enseignement général</v>
      </c>
      <c r="AA388" s="19" t="str">
        <f>B388 &amp; "-" &amp; VLOOKUP(B388,[4]SOUSPROGRAMMES!$E$1:$F$44,2,FALSE)</f>
        <v>15- Promotion de l'éducation inclusive, y compris les FA</v>
      </c>
      <c r="AB388" s="19" t="str">
        <f>C388 &amp; "-" &amp; VLOOKUP(C388,[4]RESULTATS!$E$1:$F$176,2,FALSE)</f>
        <v>153- L'éducation inclusive est intégrée dans la prise de décision par les différents acteurs</v>
      </c>
      <c r="AC388" s="20" t="str">
        <f>D388 &amp; "-" &amp; VLOOKUP(D388,[4]STRATEGIES!$E$1:$F$504,2,FALSE)</f>
        <v>1532-Sensibilisation des différents acteurs en éducation sur l'éducation inclusive</v>
      </c>
      <c r="AD388" s="21" t="str">
        <f t="shared" ref="AD388:AD451" si="90">E388 &amp; "-" &amp; F388</f>
        <v>15322-Diffusion des outils de sensibilisation des différents acteurs sur la prise en charge des enfants en situation de handicap à travers les médias</v>
      </c>
    </row>
    <row r="389" spans="1:30" s="22" customFormat="1" ht="45" hidden="1" customHeight="1" x14ac:dyDescent="0.8">
      <c r="A389" s="14">
        <v>1</v>
      </c>
      <c r="B389" s="15">
        <v>15</v>
      </c>
      <c r="C389" s="15">
        <v>153</v>
      </c>
      <c r="D389" s="15">
        <v>1532</v>
      </c>
      <c r="E389" s="15">
        <v>15322</v>
      </c>
      <c r="F389" s="16" t="s">
        <v>509</v>
      </c>
      <c r="G389" s="21" t="s">
        <v>510</v>
      </c>
      <c r="H389" s="17" t="s">
        <v>73</v>
      </c>
      <c r="I389" s="18">
        <v>0</v>
      </c>
      <c r="J389" s="18">
        <f>(1*15*38)*46.81%</f>
        <v>266.81700000000001</v>
      </c>
      <c r="K389" s="18">
        <f>(1*15*38)*46.81%</f>
        <v>266.81700000000001</v>
      </c>
      <c r="L389" s="18"/>
      <c r="M389" s="18">
        <f>SUM(I389:L389)</f>
        <v>533.63400000000001</v>
      </c>
      <c r="N389" s="18">
        <f>IF(OR(H389="",H389="sif",H389="PM"),0,VLOOKUP(H389,[5]CU!$C$4:$H$255,6,FALSE))</f>
        <v>0.4</v>
      </c>
      <c r="O389" s="18">
        <f>$N389*I389</f>
        <v>0</v>
      </c>
      <c r="P389" s="18">
        <f>$N389*J389</f>
        <v>106.72680000000001</v>
      </c>
      <c r="Q389" s="18">
        <f>$N389*K389</f>
        <v>106.72680000000001</v>
      </c>
      <c r="R389" s="18">
        <f>$N389*L389</f>
        <v>0</v>
      </c>
      <c r="S389" s="24">
        <f>SUM(O389:R389)</f>
        <v>213.45360000000002</v>
      </c>
      <c r="T389" s="23" t="s">
        <v>118</v>
      </c>
      <c r="U389" s="18" t="s">
        <v>170</v>
      </c>
      <c r="V389" s="18" t="str">
        <f>IF(OR($H389="",$H389="sif",$H389="PM"),"",VLOOKUP($H389,[5]CU!$C$5:$J$255,8,FALSE))</f>
        <v>3. Dépenses de fonctionnement</v>
      </c>
      <c r="W389" s="18" t="s">
        <v>192</v>
      </c>
      <c r="X389" s="18" t="s">
        <v>192</v>
      </c>
      <c r="Y389" s="19" t="s">
        <v>32</v>
      </c>
      <c r="Z389" s="18" t="str">
        <f>A389 &amp; "-" &amp; VLOOKUP(A389,[4]PROGRAMMES!$E$1:$F$7,2,FALSE)</f>
        <v>1-Accès et équité à l'enseignement général</v>
      </c>
      <c r="AA389" s="19" t="str">
        <f>B389 &amp; "-" &amp; VLOOKUP(B389,[4]SOUSPROGRAMMES!$E$1:$F$44,2,FALSE)</f>
        <v>15- Promotion de l'éducation inclusive, y compris les FA</v>
      </c>
      <c r="AB389" s="19" t="str">
        <f>C389 &amp; "-" &amp; VLOOKUP(C389,[4]RESULTATS!$E$1:$F$176,2,FALSE)</f>
        <v>153- L'éducation inclusive est intégrée dans la prise de décision par les différents acteurs</v>
      </c>
      <c r="AC389" s="20" t="str">
        <f>D389 &amp; "-" &amp; VLOOKUP(D389,[4]STRATEGIES!$E$1:$F$504,2,FALSE)</f>
        <v>1532-Sensibilisation des différents acteurs en éducation sur l'éducation inclusive</v>
      </c>
      <c r="AD389" s="21" t="str">
        <f t="shared" si="90"/>
        <v>15322-Diffusion des outils de sensibilisation des différents acteurs sur la prise en charge des enfants en situation de handicap à travers les médias</v>
      </c>
    </row>
    <row r="390" spans="1:30" s="22" customFormat="1" ht="45" hidden="1" customHeight="1" x14ac:dyDescent="0.8">
      <c r="A390" s="14">
        <v>1</v>
      </c>
      <c r="B390" s="15">
        <v>15</v>
      </c>
      <c r="C390" s="15">
        <v>153</v>
      </c>
      <c r="D390" s="15">
        <v>1532</v>
      </c>
      <c r="E390" s="15">
        <v>15322</v>
      </c>
      <c r="F390" s="16" t="s">
        <v>509</v>
      </c>
      <c r="G390" s="21" t="s">
        <v>510</v>
      </c>
      <c r="H390" s="17" t="s">
        <v>73</v>
      </c>
      <c r="I390" s="18">
        <v>0</v>
      </c>
      <c r="J390" s="18">
        <f>(1*15*38)*33.18%</f>
        <v>189.126</v>
      </c>
      <c r="K390" s="18">
        <f>(1*15*38)*33.18%</f>
        <v>189.126</v>
      </c>
      <c r="L390" s="18"/>
      <c r="M390" s="18">
        <f t="shared" si="86"/>
        <v>378.25200000000001</v>
      </c>
      <c r="N390" s="18">
        <f>IF(OR(H390="",H390="sif",H390="PM"),0,VLOOKUP(H390,[5]CU!$C$4:$H$255,6,FALSE))</f>
        <v>0.4</v>
      </c>
      <c r="O390" s="18">
        <f t="shared" si="88"/>
        <v>0</v>
      </c>
      <c r="P390" s="18">
        <f t="shared" si="88"/>
        <v>75.650400000000005</v>
      </c>
      <c r="Q390" s="18">
        <f t="shared" si="88"/>
        <v>75.650400000000005</v>
      </c>
      <c r="R390" s="18">
        <f t="shared" si="88"/>
        <v>0</v>
      </c>
      <c r="S390" s="24">
        <f t="shared" si="89"/>
        <v>151.30080000000001</v>
      </c>
      <c r="T390" s="23" t="s">
        <v>67</v>
      </c>
      <c r="U390" s="18" t="s">
        <v>170</v>
      </c>
      <c r="V390" s="18" t="str">
        <f>IF(OR($H390="",$H390="sif",$H390="PM"),"",VLOOKUP($H390,[5]CU!$C$5:$J$255,8,FALSE))</f>
        <v>3. Dépenses de fonctionnement</v>
      </c>
      <c r="W390" s="18" t="s">
        <v>192</v>
      </c>
      <c r="X390" s="18" t="s">
        <v>192</v>
      </c>
      <c r="Y390" s="19" t="s">
        <v>32</v>
      </c>
      <c r="Z390" s="18" t="str">
        <f>A390 &amp; "-" &amp; VLOOKUP(A390,[4]PROGRAMMES!$E$1:$F$7,2,FALSE)</f>
        <v>1-Accès et équité à l'enseignement général</v>
      </c>
      <c r="AA390" s="19" t="str">
        <f>B390 &amp; "-" &amp; VLOOKUP(B390,[4]SOUSPROGRAMMES!$E$1:$F$44,2,FALSE)</f>
        <v>15- Promotion de l'éducation inclusive, y compris les FA</v>
      </c>
      <c r="AB390" s="19" t="str">
        <f>C390 &amp; "-" &amp; VLOOKUP(C390,[4]RESULTATS!$E$1:$F$176,2,FALSE)</f>
        <v>153- L'éducation inclusive est intégrée dans la prise de décision par les différents acteurs</v>
      </c>
      <c r="AC390" s="20" t="str">
        <f>D390 &amp; "-" &amp; VLOOKUP(D390,[4]STRATEGIES!$E$1:$F$504,2,FALSE)</f>
        <v>1532-Sensibilisation des différents acteurs en éducation sur l'éducation inclusive</v>
      </c>
      <c r="AD390" s="21" t="str">
        <f t="shared" si="90"/>
        <v>15322-Diffusion des outils de sensibilisation des différents acteurs sur la prise en charge des enfants en situation de handicap à travers les médias</v>
      </c>
    </row>
    <row r="391" spans="1:30" ht="45" hidden="1" customHeight="1" x14ac:dyDescent="0.8">
      <c r="A391" s="25">
        <v>1</v>
      </c>
      <c r="B391" s="16">
        <v>15</v>
      </c>
      <c r="C391" s="16">
        <v>153</v>
      </c>
      <c r="D391" s="16">
        <v>1532</v>
      </c>
      <c r="E391" s="16">
        <v>15323</v>
      </c>
      <c r="F391" s="16" t="s">
        <v>511</v>
      </c>
      <c r="G391" s="21" t="s">
        <v>75</v>
      </c>
      <c r="H391" s="21" t="s">
        <v>76</v>
      </c>
      <c r="I391" s="19">
        <v>0</v>
      </c>
      <c r="J391" s="19">
        <v>0</v>
      </c>
      <c r="K391" s="19">
        <f>2*1</f>
        <v>2</v>
      </c>
      <c r="L391" s="19">
        <f>2*1</f>
        <v>2</v>
      </c>
      <c r="M391" s="19">
        <f>SUM(I391:L391)</f>
        <v>4</v>
      </c>
      <c r="N391" s="19">
        <f>IF(OR(H391="",H391="sif",H391="PM"),0,VLOOKUP(H391,[5]CU!$C$4:$H$255,6,FALSE))</f>
        <v>45.936799999999998</v>
      </c>
      <c r="O391" s="19">
        <f>$N391*I391</f>
        <v>0</v>
      </c>
      <c r="P391" s="19">
        <f>$N391*J391</f>
        <v>0</v>
      </c>
      <c r="Q391" s="19">
        <f>$N391*K391</f>
        <v>91.873599999999996</v>
      </c>
      <c r="R391" s="19">
        <f>$N391*L391</f>
        <v>91.873599999999996</v>
      </c>
      <c r="S391" s="31">
        <f>SUM(O391:R391)</f>
        <v>183.74719999999999</v>
      </c>
      <c r="T391" s="26" t="s">
        <v>169</v>
      </c>
      <c r="U391" s="19" t="s">
        <v>170</v>
      </c>
      <c r="V391" s="19" t="str">
        <f>IF(OR($H391="",$H391="sif",$H391="PM"),"",VLOOKUP($H391,[5]CU!$C$5:$J$255,8,FALSE))</f>
        <v>3. Dépenses de fonctionnement</v>
      </c>
      <c r="W391" s="19" t="s">
        <v>512</v>
      </c>
      <c r="X391" s="19" t="s">
        <v>513</v>
      </c>
      <c r="Y391" s="19" t="s">
        <v>32</v>
      </c>
      <c r="Z391" s="19" t="str">
        <f>A391 &amp; "-" &amp; VLOOKUP(A391,[4]PROGRAMMES!$E$1:$F$7,2,FALSE)</f>
        <v>1-Accès et équité à l'enseignement général</v>
      </c>
      <c r="AA391" s="19" t="str">
        <f>B391 &amp; "-" &amp; VLOOKUP(B391,[4]SOUSPROGRAMMES!$E$1:$F$44,2,FALSE)</f>
        <v>15- Promotion de l'éducation inclusive, y compris les FA</v>
      </c>
      <c r="AB391" s="19" t="str">
        <f>C391 &amp; "-" &amp; VLOOKUP(C391,[4]RESULTATS!$E$1:$F$176,2,FALSE)</f>
        <v>153- L'éducation inclusive est intégrée dans la prise de décision par les différents acteurs</v>
      </c>
      <c r="AC391" s="20" t="str">
        <f>D391 &amp; "-" &amp; VLOOKUP(D391,[4]STRATEGIES!$E$1:$F$504,2,FALSE)</f>
        <v>1532-Sensibilisation des différents acteurs en éducation sur l'éducation inclusive</v>
      </c>
      <c r="AD391" s="21" t="str">
        <f t="shared" si="90"/>
        <v xml:space="preserve">15323-Sensibilisation des parents d'enfants en situation de handicap pour la scolarisation de leurs enfants </v>
      </c>
    </row>
    <row r="392" spans="1:30" s="22" customFormat="1" ht="45" hidden="1" customHeight="1" x14ac:dyDescent="0.8">
      <c r="A392" s="14">
        <v>1</v>
      </c>
      <c r="B392" s="15">
        <v>15</v>
      </c>
      <c r="C392" s="15">
        <v>153</v>
      </c>
      <c r="D392" s="15">
        <v>1532</v>
      </c>
      <c r="E392" s="15">
        <v>15323</v>
      </c>
      <c r="F392" s="16" t="s">
        <v>511</v>
      </c>
      <c r="G392" s="21" t="s">
        <v>75</v>
      </c>
      <c r="H392" s="17" t="s">
        <v>76</v>
      </c>
      <c r="I392" s="18">
        <v>0</v>
      </c>
      <c r="J392" s="18">
        <f>2*8.57%</f>
        <v>0.1714</v>
      </c>
      <c r="K392" s="18">
        <f>2*8.57%</f>
        <v>0.1714</v>
      </c>
      <c r="L392" s="18">
        <f>2*8.57%</f>
        <v>0.1714</v>
      </c>
      <c r="M392" s="18">
        <f t="shared" si="86"/>
        <v>0.51419999999999999</v>
      </c>
      <c r="N392" s="18">
        <f>IF(OR(H392="",H392="sif",H392="PM"),0,VLOOKUP(H392,[5]CU!$C$4:$H$255,6,FALSE))</f>
        <v>45.936799999999998</v>
      </c>
      <c r="O392" s="18">
        <f t="shared" ref="O392:R394" si="91">$N392*I392</f>
        <v>0</v>
      </c>
      <c r="P392" s="18">
        <f t="shared" si="91"/>
        <v>7.8735675199999999</v>
      </c>
      <c r="Q392" s="18">
        <f t="shared" si="91"/>
        <v>7.8735675199999999</v>
      </c>
      <c r="R392" s="18">
        <f t="shared" si="91"/>
        <v>7.8735675199999999</v>
      </c>
      <c r="S392" s="24">
        <f t="shared" si="89"/>
        <v>23.620702559999998</v>
      </c>
      <c r="T392" s="23" t="s">
        <v>118</v>
      </c>
      <c r="U392" s="18" t="s">
        <v>170</v>
      </c>
      <c r="V392" s="18" t="str">
        <f>IF(OR($H392="",$H392="sif",$H392="PM"),"",VLOOKUP($H392,[5]CU!$C$5:$J$255,8,FALSE))</f>
        <v>3. Dépenses de fonctionnement</v>
      </c>
      <c r="W392" s="18" t="s">
        <v>512</v>
      </c>
      <c r="X392" s="18" t="s">
        <v>513</v>
      </c>
      <c r="Y392" s="19" t="s">
        <v>32</v>
      </c>
      <c r="Z392" s="18" t="str">
        <f>A392 &amp; "-" &amp; VLOOKUP(A392,[4]PROGRAMMES!$E$1:$F$7,2,FALSE)</f>
        <v>1-Accès et équité à l'enseignement général</v>
      </c>
      <c r="AA392" s="19" t="str">
        <f>B392 &amp; "-" &amp; VLOOKUP(B392,[4]SOUSPROGRAMMES!$E$1:$F$44,2,FALSE)</f>
        <v>15- Promotion de l'éducation inclusive, y compris les FA</v>
      </c>
      <c r="AB392" s="19" t="str">
        <f>C392 &amp; "-" &amp; VLOOKUP(C392,[4]RESULTATS!$E$1:$F$176,2,FALSE)</f>
        <v>153- L'éducation inclusive est intégrée dans la prise de décision par les différents acteurs</v>
      </c>
      <c r="AC392" s="20" t="str">
        <f>D392 &amp; "-" &amp; VLOOKUP(D392,[4]STRATEGIES!$E$1:$F$504,2,FALSE)</f>
        <v>1532-Sensibilisation des différents acteurs en éducation sur l'éducation inclusive</v>
      </c>
      <c r="AD392" s="21" t="str">
        <f t="shared" si="90"/>
        <v xml:space="preserve">15323-Sensibilisation des parents d'enfants en situation de handicap pour la scolarisation de leurs enfants </v>
      </c>
    </row>
    <row r="393" spans="1:30" s="22" customFormat="1" ht="45" hidden="1" customHeight="1" x14ac:dyDescent="0.8">
      <c r="A393" s="14">
        <v>1</v>
      </c>
      <c r="B393" s="15">
        <v>15</v>
      </c>
      <c r="C393" s="15">
        <v>153</v>
      </c>
      <c r="D393" s="15">
        <v>1533</v>
      </c>
      <c r="E393" s="15">
        <v>1533</v>
      </c>
      <c r="F393" s="16" t="s">
        <v>514</v>
      </c>
      <c r="G393" s="17"/>
      <c r="H393" s="17"/>
      <c r="I393" s="18">
        <v>0</v>
      </c>
      <c r="J393" s="18"/>
      <c r="K393" s="18"/>
      <c r="L393" s="18"/>
      <c r="M393" s="18"/>
      <c r="N393" s="18"/>
      <c r="O393" s="18"/>
      <c r="P393" s="18"/>
      <c r="Q393" s="18"/>
      <c r="R393" s="18"/>
      <c r="S393" s="24"/>
      <c r="T393" s="18"/>
      <c r="U393" s="18"/>
      <c r="V393" s="18"/>
      <c r="W393" s="18"/>
      <c r="X393" s="18"/>
      <c r="Y393" s="19" t="s">
        <v>32</v>
      </c>
      <c r="Z393" s="18" t="str">
        <f>A393 &amp; "-" &amp; VLOOKUP(A393,[4]PROGRAMMES!$E$1:$F$7,2,FALSE)</f>
        <v>1-Accès et équité à l'enseignement général</v>
      </c>
      <c r="AA393" s="19" t="str">
        <f>B393 &amp; "-" &amp; VLOOKUP(B393,[4]SOUSPROGRAMMES!$E$1:$F$44,2,FALSE)</f>
        <v>15- Promotion de l'éducation inclusive, y compris les FA</v>
      </c>
      <c r="AB393" s="19" t="str">
        <f>C393 &amp; "-" &amp; VLOOKUP(C393,[4]RESULTATS!$E$1:$F$176,2,FALSE)</f>
        <v>153- L'éducation inclusive est intégrée dans la prise de décision par les différents acteurs</v>
      </c>
      <c r="AC393" s="20" t="str">
        <f>D393 &amp; "-" &amp; VLOOKUP(D393,[4]STRATEGIES!$E$1:$F$504,2,FALSE)</f>
        <v>1533-Renforcement de la gratuité de l'école primaire</v>
      </c>
      <c r="AD393" s="21" t="str">
        <f t="shared" si="90"/>
        <v>1533-Renforcement de la gratuité de l'école primaire</v>
      </c>
    </row>
    <row r="394" spans="1:30" ht="45" hidden="1" customHeight="1" x14ac:dyDescent="0.8">
      <c r="A394" s="25">
        <v>1</v>
      </c>
      <c r="B394" s="16">
        <v>15</v>
      </c>
      <c r="C394" s="16">
        <v>153</v>
      </c>
      <c r="D394" s="16">
        <v>1533</v>
      </c>
      <c r="E394" s="16">
        <v>15331</v>
      </c>
      <c r="F394" s="16" t="s">
        <v>515</v>
      </c>
      <c r="G394" s="21" t="s">
        <v>496</v>
      </c>
      <c r="H394" s="21" t="s">
        <v>308</v>
      </c>
      <c r="I394" s="19">
        <v>0</v>
      </c>
      <c r="J394" s="19">
        <v>1</v>
      </c>
      <c r="K394" s="19"/>
      <c r="L394" s="19"/>
      <c r="M394" s="19">
        <f t="shared" si="86"/>
        <v>1</v>
      </c>
      <c r="N394" s="19">
        <f>IF(OR(H394="",H394="sif",H394="PM"),0,VLOOKUP(H394,[5]CU!$C$4:$H$255,6,FALSE))</f>
        <v>855</v>
      </c>
      <c r="O394" s="19">
        <f t="shared" si="91"/>
        <v>0</v>
      </c>
      <c r="P394" s="19">
        <f t="shared" si="91"/>
        <v>855</v>
      </c>
      <c r="Q394" s="19">
        <f>$N394*K394</f>
        <v>0</v>
      </c>
      <c r="R394" s="19">
        <f t="shared" si="91"/>
        <v>0</v>
      </c>
      <c r="S394" s="31">
        <f t="shared" si="89"/>
        <v>855</v>
      </c>
      <c r="T394" s="26" t="s">
        <v>169</v>
      </c>
      <c r="U394" s="19" t="s">
        <v>170</v>
      </c>
      <c r="V394" s="19" t="str">
        <f>IF(OR($H394="",$H394="sif",$H394="PM"),"",VLOOKUP($H394,[5]CU!$C$5:$J$255,8,FALSE))</f>
        <v>3. Dépenses de fonctionnement</v>
      </c>
      <c r="W394" s="19" t="s">
        <v>192</v>
      </c>
      <c r="X394" s="19" t="s">
        <v>192</v>
      </c>
      <c r="Y394" s="19" t="s">
        <v>32</v>
      </c>
      <c r="Z394" s="19" t="str">
        <f>A394 &amp; "-" &amp; VLOOKUP(A394,[4]PROGRAMMES!$E$1:$F$7,2,FALSE)</f>
        <v>1-Accès et équité à l'enseignement général</v>
      </c>
      <c r="AA394" s="19" t="str">
        <f>B394 &amp; "-" &amp; VLOOKUP(B394,[4]SOUSPROGRAMMES!$E$1:$F$44,2,FALSE)</f>
        <v>15- Promotion de l'éducation inclusive, y compris les FA</v>
      </c>
      <c r="AB394" s="19" t="str">
        <f>C394 &amp; "-" &amp; VLOOKUP(C394,[4]RESULTATS!$E$1:$F$176,2,FALSE)</f>
        <v>153- L'éducation inclusive est intégrée dans la prise de décision par les différents acteurs</v>
      </c>
      <c r="AC394" s="20" t="str">
        <f>D394 &amp; "-" &amp; VLOOKUP(D394,[4]STRATEGIES!$E$1:$F$504,2,FALSE)</f>
        <v>1533-Renforcement de la gratuité de l'école primaire</v>
      </c>
      <c r="AD394" s="21" t="str">
        <f t="shared" si="90"/>
        <v>15331-Etude d'opportunité et appui à la mobilisation de Financements locaux pour la prise en charge des coûts indirects de la scolarisation des enfants issus des milieux défavorisés</v>
      </c>
    </row>
    <row r="395" spans="1:30" s="22" customFormat="1" ht="45" hidden="1" customHeight="1" x14ac:dyDescent="0.8">
      <c r="A395" s="14">
        <v>1</v>
      </c>
      <c r="B395" s="15">
        <v>15</v>
      </c>
      <c r="C395" s="15">
        <v>153</v>
      </c>
      <c r="D395" s="15">
        <v>1533</v>
      </c>
      <c r="E395" s="15">
        <v>15332</v>
      </c>
      <c r="F395" s="16" t="s">
        <v>516</v>
      </c>
      <c r="G395" s="21" t="s">
        <v>88</v>
      </c>
      <c r="H395" s="17" t="s">
        <v>55</v>
      </c>
      <c r="I395" s="18">
        <v>0</v>
      </c>
      <c r="J395" s="18">
        <v>1</v>
      </c>
      <c r="K395" s="18"/>
      <c r="L395" s="18"/>
      <c r="M395" s="18">
        <f t="shared" si="86"/>
        <v>1</v>
      </c>
      <c r="N395" s="18">
        <f>IF(OR(H395="",H395="sif",H395="PM"),0,VLOOKUP(H395,[5]CU!$C$4:$H$255,6,FALSE))</f>
        <v>0</v>
      </c>
      <c r="O395" s="18"/>
      <c r="P395" s="18"/>
      <c r="Q395" s="18"/>
      <c r="R395" s="18"/>
      <c r="S395" s="24"/>
      <c r="T395" s="23" t="s">
        <v>56</v>
      </c>
      <c r="U395" s="18" t="s">
        <v>170</v>
      </c>
      <c r="V395" s="18" t="str">
        <f>IF(OR($H395="",$H395="sif",$H395="PM"),"",VLOOKUP($H395,[5]CU!$C$5:$J$255,8,FALSE))</f>
        <v/>
      </c>
      <c r="W395" s="18" t="s">
        <v>192</v>
      </c>
      <c r="X395" s="18" t="s">
        <v>192</v>
      </c>
      <c r="Y395" s="19" t="s">
        <v>32</v>
      </c>
      <c r="Z395" s="18" t="str">
        <f>A395 &amp; "-" &amp; VLOOKUP(A395,[4]PROGRAMMES!$E$1:$F$7,2,FALSE)</f>
        <v>1-Accès et équité à l'enseignement général</v>
      </c>
      <c r="AA395" s="19" t="str">
        <f>B395 &amp; "-" &amp; VLOOKUP(B395,[4]SOUSPROGRAMMES!$E$1:$F$44,2,FALSE)</f>
        <v>15- Promotion de l'éducation inclusive, y compris les FA</v>
      </c>
      <c r="AB395" s="19" t="str">
        <f>C395 &amp; "-" &amp; VLOOKUP(C395,[4]RESULTATS!$E$1:$F$176,2,FALSE)</f>
        <v>153- L'éducation inclusive est intégrée dans la prise de décision par les différents acteurs</v>
      </c>
      <c r="AC395" s="20" t="str">
        <f>D395 &amp; "-" &amp; VLOOKUP(D395,[4]STRATEGIES!$E$1:$F$504,2,FALSE)</f>
        <v>1533-Renforcement de la gratuité de l'école primaire</v>
      </c>
      <c r="AD395" s="21" t="str">
        <f t="shared" si="90"/>
        <v>15332-DéFinition concertée des critères de choix des élèves devant bénéficier de fournitures scolaires</v>
      </c>
    </row>
    <row r="396" spans="1:30" s="22" customFormat="1" ht="45" hidden="1" customHeight="1" x14ac:dyDescent="0.8">
      <c r="A396" s="14">
        <v>1</v>
      </c>
      <c r="B396" s="15">
        <v>15</v>
      </c>
      <c r="C396" s="15">
        <v>153</v>
      </c>
      <c r="D396" s="15">
        <v>1533</v>
      </c>
      <c r="E396" s="15">
        <v>15333</v>
      </c>
      <c r="F396" s="16" t="s">
        <v>517</v>
      </c>
      <c r="G396" s="21" t="s">
        <v>88</v>
      </c>
      <c r="H396" s="17" t="s">
        <v>55</v>
      </c>
      <c r="I396" s="18">
        <v>0</v>
      </c>
      <c r="J396" s="18">
        <v>1</v>
      </c>
      <c r="K396" s="18">
        <v>1</v>
      </c>
      <c r="L396" s="18">
        <v>1</v>
      </c>
      <c r="M396" s="18">
        <f t="shared" si="86"/>
        <v>3</v>
      </c>
      <c r="N396" s="18">
        <f>IF(OR(H396="",H396="sif",H396="PM"),0,VLOOKUP(H396,[5]CU!$C$4:$H$255,6,FALSE))</f>
        <v>0</v>
      </c>
      <c r="O396" s="18"/>
      <c r="P396" s="18"/>
      <c r="Q396" s="18"/>
      <c r="R396" s="18"/>
      <c r="S396" s="24"/>
      <c r="T396" s="23" t="s">
        <v>56</v>
      </c>
      <c r="U396" s="18" t="s">
        <v>170</v>
      </c>
      <c r="V396" s="18" t="str">
        <f>IF(OR($H396="",$H396="sif",$H396="PM"),"",VLOOKUP($H396,[5]CU!$C$5:$J$255,8,FALSE))</f>
        <v/>
      </c>
      <c r="W396" s="18" t="s">
        <v>192</v>
      </c>
      <c r="X396" s="18" t="s">
        <v>179</v>
      </c>
      <c r="Y396" s="19" t="s">
        <v>32</v>
      </c>
      <c r="Z396" s="18" t="str">
        <f>A396 &amp; "-" &amp; VLOOKUP(A396,[4]PROGRAMMES!$E$1:$F$7,2,FALSE)</f>
        <v>1-Accès et équité à l'enseignement général</v>
      </c>
      <c r="AA396" s="19" t="str">
        <f>B396 &amp; "-" &amp; VLOOKUP(B396,[4]SOUSPROGRAMMES!$E$1:$F$44,2,FALSE)</f>
        <v>15- Promotion de l'éducation inclusive, y compris les FA</v>
      </c>
      <c r="AB396" s="19" t="str">
        <f>C396 &amp; "-" &amp; VLOOKUP(C396,[4]RESULTATS!$E$1:$F$176,2,FALSE)</f>
        <v>153- L'éducation inclusive est intégrée dans la prise de décision par les différents acteurs</v>
      </c>
      <c r="AC396" s="20" t="str">
        <f>D396 &amp; "-" &amp; VLOOKUP(D396,[4]STRATEGIES!$E$1:$F$504,2,FALSE)</f>
        <v>1533-Renforcement de la gratuité de l'école primaire</v>
      </c>
      <c r="AD396" s="21" t="str">
        <f t="shared" si="90"/>
        <v>15333-Identification des élèves devant bénéficier de fournitures scolaires sur la base des critères retenus</v>
      </c>
    </row>
    <row r="397" spans="1:30" s="22" customFormat="1" ht="45" hidden="1" customHeight="1" x14ac:dyDescent="0.8">
      <c r="A397" s="14">
        <v>1</v>
      </c>
      <c r="B397" s="15">
        <v>15</v>
      </c>
      <c r="C397" s="15">
        <v>153</v>
      </c>
      <c r="D397" s="15">
        <v>1533</v>
      </c>
      <c r="E397" s="15">
        <v>15334</v>
      </c>
      <c r="F397" s="16" t="s">
        <v>518</v>
      </c>
      <c r="G397" s="21" t="s">
        <v>519</v>
      </c>
      <c r="H397" s="17" t="s">
        <v>520</v>
      </c>
      <c r="I397" s="18">
        <v>0</v>
      </c>
      <c r="J397" s="18">
        <f>(1622380*0.1)*50.02%</f>
        <v>81151.4476</v>
      </c>
      <c r="K397" s="18">
        <f>(1680583*0.1)*50.02%</f>
        <v>84062.761660000004</v>
      </c>
      <c r="L397" s="18">
        <f>(17335722*0.1)*50.02%</f>
        <v>867132.8144400001</v>
      </c>
      <c r="M397" s="18">
        <f t="shared" si="86"/>
        <v>1032347.0237000001</v>
      </c>
      <c r="N397" s="18">
        <f>IF(OR(H397="",H397="sif",H397="PM"),0,VLOOKUP(H397,[5]CU!$C$4:$H$255,6,FALSE))</f>
        <v>0.1</v>
      </c>
      <c r="O397" s="18">
        <f t="shared" ref="O397:R403" si="92">$N397*I397</f>
        <v>0</v>
      </c>
      <c r="P397" s="18">
        <f t="shared" si="92"/>
        <v>8115.1447600000001</v>
      </c>
      <c r="Q397" s="18">
        <f t="shared" si="92"/>
        <v>8406.2761660000015</v>
      </c>
      <c r="R397" s="18">
        <f t="shared" si="92"/>
        <v>86713.281444000022</v>
      </c>
      <c r="S397" s="24">
        <f t="shared" ref="S397:S403" si="93">SUM(O397:R397)</f>
        <v>103234.70237000003</v>
      </c>
      <c r="T397" s="23" t="s">
        <v>56</v>
      </c>
      <c r="U397" s="18" t="s">
        <v>170</v>
      </c>
      <c r="V397" s="18" t="str">
        <f>IF(OR($H397="",$H397="sif",$H397="PM"),"",VLOOKUP($H397,[5]CU!$C$5:$J$255,8,FALSE))</f>
        <v>3. Manuels scolaires et matériels pédagogiques</v>
      </c>
      <c r="W397" s="18" t="s">
        <v>192</v>
      </c>
      <c r="X397" s="18" t="s">
        <v>521</v>
      </c>
      <c r="Y397" s="19" t="s">
        <v>32</v>
      </c>
      <c r="Z397" s="18" t="str">
        <f>A397 &amp; "-" &amp; VLOOKUP(A397,[4]PROGRAMMES!$E$1:$F$7,2,FALSE)</f>
        <v>1-Accès et équité à l'enseignement général</v>
      </c>
      <c r="AA397" s="19" t="str">
        <f>B397 &amp; "-" &amp; VLOOKUP(B397,[4]SOUSPROGRAMMES!$E$1:$F$44,2,FALSE)</f>
        <v>15- Promotion de l'éducation inclusive, y compris les FA</v>
      </c>
      <c r="AB397" s="19" t="str">
        <f>C397 &amp; "-" &amp; VLOOKUP(C397,[4]RESULTATS!$E$1:$F$176,2,FALSE)</f>
        <v>153- L'éducation inclusive est intégrée dans la prise de décision par les différents acteurs</v>
      </c>
      <c r="AC397" s="20" t="str">
        <f>D397 &amp; "-" &amp; VLOOKUP(D397,[4]STRATEGIES!$E$1:$F$504,2,FALSE)</f>
        <v>1533-Renforcement de la gratuité de l'école primaire</v>
      </c>
      <c r="AD397" s="21" t="str">
        <f t="shared" si="90"/>
        <v>15334-Acquisition et distribution des fournitures aux enfants défavorisés</v>
      </c>
    </row>
    <row r="398" spans="1:30" s="22" customFormat="1" ht="45" hidden="1" customHeight="1" x14ac:dyDescent="0.8">
      <c r="A398" s="14">
        <v>1</v>
      </c>
      <c r="B398" s="15">
        <v>15</v>
      </c>
      <c r="C398" s="15">
        <v>153</v>
      </c>
      <c r="D398" s="15">
        <v>1533</v>
      </c>
      <c r="E398" s="15">
        <v>15334</v>
      </c>
      <c r="F398" s="16" t="s">
        <v>518</v>
      </c>
      <c r="G398" s="21" t="s">
        <v>519</v>
      </c>
      <c r="H398" s="17" t="s">
        <v>520</v>
      </c>
      <c r="I398" s="18">
        <v>0</v>
      </c>
      <c r="J398" s="18">
        <f>(1622380*0.1)*33.06%</f>
        <v>53635.882799999999</v>
      </c>
      <c r="K398" s="18">
        <f>(1680583*0.1)*33.06%</f>
        <v>55560.073980000008</v>
      </c>
      <c r="L398" s="18">
        <f>(17335722*0.1)*33.06%</f>
        <v>573118.96932000003</v>
      </c>
      <c r="M398" s="18">
        <f>SUM(I398:L398)</f>
        <v>682314.92610000004</v>
      </c>
      <c r="N398" s="18">
        <f>IF(OR(H398="",H398="sif",H398="PM"),0,VLOOKUP(H398,[5]CU!$C$4:$H$255,6,FALSE))</f>
        <v>0.1</v>
      </c>
      <c r="O398" s="18">
        <f t="shared" si="92"/>
        <v>0</v>
      </c>
      <c r="P398" s="18">
        <f t="shared" si="92"/>
        <v>5363.5882799999999</v>
      </c>
      <c r="Q398" s="18">
        <f t="shared" si="92"/>
        <v>5556.0073980000016</v>
      </c>
      <c r="R398" s="18">
        <f t="shared" si="92"/>
        <v>57311.896932000003</v>
      </c>
      <c r="S398" s="24">
        <f t="shared" si="93"/>
        <v>68231.492610000001</v>
      </c>
      <c r="T398" s="23" t="s">
        <v>118</v>
      </c>
      <c r="U398" s="18" t="s">
        <v>170</v>
      </c>
      <c r="V398" s="18" t="str">
        <f>IF(OR($H398="",$H398="sif",$H398="PM"),"",VLOOKUP($H398,[5]CU!$C$5:$J$255,8,FALSE))</f>
        <v>3. Manuels scolaires et matériels pédagogiques</v>
      </c>
      <c r="W398" s="18" t="s">
        <v>192</v>
      </c>
      <c r="X398" s="18" t="s">
        <v>521</v>
      </c>
      <c r="Y398" s="19" t="s">
        <v>32</v>
      </c>
      <c r="Z398" s="18" t="str">
        <f>A398 &amp; "-" &amp; VLOOKUP(A398,[4]PROGRAMMES!$E$1:$F$7,2,FALSE)</f>
        <v>1-Accès et équité à l'enseignement général</v>
      </c>
      <c r="AA398" s="19" t="str">
        <f>B398 &amp; "-" &amp; VLOOKUP(B398,[4]SOUSPROGRAMMES!$E$1:$F$44,2,FALSE)</f>
        <v>15- Promotion de l'éducation inclusive, y compris les FA</v>
      </c>
      <c r="AB398" s="19" t="str">
        <f>C398 &amp; "-" &amp; VLOOKUP(C398,[4]RESULTATS!$E$1:$F$176,2,FALSE)</f>
        <v>153- L'éducation inclusive est intégrée dans la prise de décision par les différents acteurs</v>
      </c>
      <c r="AC398" s="20" t="str">
        <f>D398 &amp; "-" &amp; VLOOKUP(D398,[4]STRATEGIES!$E$1:$F$504,2,FALSE)</f>
        <v>1533-Renforcement de la gratuité de l'école primaire</v>
      </c>
      <c r="AD398" s="21" t="str">
        <f t="shared" si="90"/>
        <v>15334-Acquisition et distribution des fournitures aux enfants défavorisés</v>
      </c>
    </row>
    <row r="399" spans="1:30" s="22" customFormat="1" ht="45" hidden="1" customHeight="1" x14ac:dyDescent="0.8">
      <c r="A399" s="14">
        <v>1</v>
      </c>
      <c r="B399" s="15">
        <v>15</v>
      </c>
      <c r="C399" s="15">
        <v>153</v>
      </c>
      <c r="D399" s="15">
        <v>1533</v>
      </c>
      <c r="E399" s="15">
        <v>15334</v>
      </c>
      <c r="F399" s="16" t="s">
        <v>518</v>
      </c>
      <c r="G399" s="21" t="s">
        <v>519</v>
      </c>
      <c r="H399" s="17" t="s">
        <v>520</v>
      </c>
      <c r="I399" s="18">
        <v>0</v>
      </c>
      <c r="J399" s="18">
        <f>(1622380*0.1)*0.13%</f>
        <v>210.90939999999998</v>
      </c>
      <c r="K399" s="18">
        <f>(1680583*0.1)*0.13%</f>
        <v>218.47579000000002</v>
      </c>
      <c r="L399" s="18">
        <f>(17335722*0.1)*0.13%</f>
        <v>2253.6438600000001</v>
      </c>
      <c r="M399" s="18">
        <f t="shared" si="86"/>
        <v>2683.0290500000001</v>
      </c>
      <c r="N399" s="18">
        <f>IF(OR(H399="",H399="sif",H399="PM"),0,VLOOKUP(H399,[5]CU!$C$4:$H$255,6,FALSE))</f>
        <v>0.1</v>
      </c>
      <c r="O399" s="18">
        <f t="shared" si="92"/>
        <v>0</v>
      </c>
      <c r="P399" s="18">
        <f t="shared" si="92"/>
        <v>21.09094</v>
      </c>
      <c r="Q399" s="18">
        <f t="shared" si="92"/>
        <v>21.847579000000003</v>
      </c>
      <c r="R399" s="18">
        <f t="shared" si="92"/>
        <v>225.36438600000002</v>
      </c>
      <c r="S399" s="24">
        <f t="shared" si="93"/>
        <v>268.30290500000001</v>
      </c>
      <c r="T399" s="23" t="s">
        <v>129</v>
      </c>
      <c r="U399" s="18" t="s">
        <v>170</v>
      </c>
      <c r="V399" s="18" t="str">
        <f>IF(OR($H399="",$H399="sif",$H399="PM"),"",VLOOKUP($H399,[5]CU!$C$5:$J$255,8,FALSE))</f>
        <v>3. Manuels scolaires et matériels pédagogiques</v>
      </c>
      <c r="W399" s="18" t="s">
        <v>192</v>
      </c>
      <c r="X399" s="18" t="s">
        <v>521</v>
      </c>
      <c r="Y399" s="19" t="s">
        <v>32</v>
      </c>
      <c r="Z399" s="18" t="str">
        <f>A399 &amp; "-" &amp; VLOOKUP(A399,[4]PROGRAMMES!$E$1:$F$7,2,FALSE)</f>
        <v>1-Accès et équité à l'enseignement général</v>
      </c>
      <c r="AA399" s="19" t="str">
        <f>B399 &amp; "-" &amp; VLOOKUP(B399,[4]SOUSPROGRAMMES!$E$1:$F$44,2,FALSE)</f>
        <v>15- Promotion de l'éducation inclusive, y compris les FA</v>
      </c>
      <c r="AB399" s="19" t="str">
        <f>C399 &amp; "-" &amp; VLOOKUP(C399,[4]RESULTATS!$E$1:$F$176,2,FALSE)</f>
        <v>153- L'éducation inclusive est intégrée dans la prise de décision par les différents acteurs</v>
      </c>
      <c r="AC399" s="20" t="str">
        <f>D399 &amp; "-" &amp; VLOOKUP(D399,[4]STRATEGIES!$E$1:$F$504,2,FALSE)</f>
        <v>1533-Renforcement de la gratuité de l'école primaire</v>
      </c>
      <c r="AD399" s="21" t="str">
        <f t="shared" si="90"/>
        <v>15334-Acquisition et distribution des fournitures aux enfants défavorisés</v>
      </c>
    </row>
    <row r="400" spans="1:30" s="22" customFormat="1" ht="45" hidden="1" customHeight="1" x14ac:dyDescent="0.8">
      <c r="A400" s="14">
        <v>1</v>
      </c>
      <c r="B400" s="15">
        <v>15</v>
      </c>
      <c r="C400" s="15">
        <v>153</v>
      </c>
      <c r="D400" s="15">
        <v>1533</v>
      </c>
      <c r="E400" s="15">
        <v>15334</v>
      </c>
      <c r="F400" s="16" t="s">
        <v>518</v>
      </c>
      <c r="G400" s="21" t="s">
        <v>519</v>
      </c>
      <c r="H400" s="17" t="s">
        <v>520</v>
      </c>
      <c r="I400" s="18">
        <v>0</v>
      </c>
      <c r="J400" s="18">
        <f>(1622380*0.1)*9.33%</f>
        <v>15136.805399999999</v>
      </c>
      <c r="K400" s="18">
        <f>(1680583*0.1)*9.33%</f>
        <v>15679.839390000001</v>
      </c>
      <c r="L400" s="18">
        <f>(17335722*0.1)*9.33%</f>
        <v>161742.28625999999</v>
      </c>
      <c r="M400" s="18">
        <f>SUM(I400:L400)</f>
        <v>192558.93104999998</v>
      </c>
      <c r="N400" s="18">
        <f>IF(OR(H400="",H400="sif",H400="PM"),0,VLOOKUP(H400,[5]CU!$C$4:$H$255,6,FALSE))</f>
        <v>0.1</v>
      </c>
      <c r="O400" s="18">
        <f t="shared" si="92"/>
        <v>0</v>
      </c>
      <c r="P400" s="18">
        <f t="shared" si="92"/>
        <v>1513.6805400000001</v>
      </c>
      <c r="Q400" s="18">
        <f t="shared" si="92"/>
        <v>1567.9839390000002</v>
      </c>
      <c r="R400" s="18">
        <f t="shared" si="92"/>
        <v>16174.228626</v>
      </c>
      <c r="S400" s="24">
        <f t="shared" si="93"/>
        <v>19255.893104999999</v>
      </c>
      <c r="T400" s="23" t="s">
        <v>221</v>
      </c>
      <c r="U400" s="18" t="s">
        <v>170</v>
      </c>
      <c r="V400" s="18" t="str">
        <f>IF(OR($H400="",$H400="sif",$H400="PM"),"",VLOOKUP($H400,[5]CU!$C$5:$J$255,8,FALSE))</f>
        <v>3. Manuels scolaires et matériels pédagogiques</v>
      </c>
      <c r="W400" s="18" t="s">
        <v>192</v>
      </c>
      <c r="X400" s="18" t="s">
        <v>521</v>
      </c>
      <c r="Y400" s="19" t="s">
        <v>32</v>
      </c>
      <c r="Z400" s="18" t="str">
        <f>A400 &amp; "-" &amp; VLOOKUP(A400,[4]PROGRAMMES!$E$1:$F$7,2,FALSE)</f>
        <v>1-Accès et équité à l'enseignement général</v>
      </c>
      <c r="AA400" s="19" t="str">
        <f>B400 &amp; "-" &amp; VLOOKUP(B400,[4]SOUSPROGRAMMES!$E$1:$F$44,2,FALSE)</f>
        <v>15- Promotion de l'éducation inclusive, y compris les FA</v>
      </c>
      <c r="AB400" s="19" t="str">
        <f>C400 &amp; "-" &amp; VLOOKUP(C400,[4]RESULTATS!$E$1:$F$176,2,FALSE)</f>
        <v>153- L'éducation inclusive est intégrée dans la prise de décision par les différents acteurs</v>
      </c>
      <c r="AC400" s="20" t="str">
        <f>D400 &amp; "-" &amp; VLOOKUP(D400,[4]STRATEGIES!$E$1:$F$504,2,FALSE)</f>
        <v>1533-Renforcement de la gratuité de l'école primaire</v>
      </c>
      <c r="AD400" s="21" t="str">
        <f t="shared" si="90"/>
        <v>15334-Acquisition et distribution des fournitures aux enfants défavorisés</v>
      </c>
    </row>
    <row r="401" spans="1:30" s="22" customFormat="1" ht="45" hidden="1" customHeight="1" x14ac:dyDescent="0.8">
      <c r="A401" s="14">
        <v>1</v>
      </c>
      <c r="B401" s="15">
        <v>15</v>
      </c>
      <c r="C401" s="15">
        <v>153</v>
      </c>
      <c r="D401" s="15">
        <v>1533</v>
      </c>
      <c r="E401" s="15">
        <v>15334</v>
      </c>
      <c r="F401" s="16" t="s">
        <v>518</v>
      </c>
      <c r="G401" s="21" t="s">
        <v>519</v>
      </c>
      <c r="H401" s="17" t="s">
        <v>520</v>
      </c>
      <c r="I401" s="18">
        <v>0</v>
      </c>
      <c r="J401" s="18">
        <f>(1622380*0.1)*7.46%</f>
        <v>12102.9548</v>
      </c>
      <c r="K401" s="18">
        <f>(1680583*0.1)*7.46%</f>
        <v>12537.14918</v>
      </c>
      <c r="L401" s="18">
        <f>(17335722*0.1)*7.46%</f>
        <v>129324.48612000002</v>
      </c>
      <c r="M401" s="18">
        <f t="shared" si="86"/>
        <v>153964.59010000003</v>
      </c>
      <c r="N401" s="18">
        <f>IF(OR(H401="",H401="sif",H401="PM"),0,VLOOKUP(H401,[5]CU!$C$4:$H$255,6,FALSE))</f>
        <v>0.1</v>
      </c>
      <c r="O401" s="18">
        <f t="shared" si="92"/>
        <v>0</v>
      </c>
      <c r="P401" s="18">
        <f t="shared" si="92"/>
        <v>1210.29548</v>
      </c>
      <c r="Q401" s="18">
        <f t="shared" si="92"/>
        <v>1253.7149180000001</v>
      </c>
      <c r="R401" s="18">
        <f t="shared" si="92"/>
        <v>12932.448612000002</v>
      </c>
      <c r="S401" s="24">
        <f t="shared" si="93"/>
        <v>15396.459010000002</v>
      </c>
      <c r="T401" s="23" t="s">
        <v>67</v>
      </c>
      <c r="U401" s="18" t="s">
        <v>170</v>
      </c>
      <c r="V401" s="18" t="str">
        <f>IF(OR($H401="",$H401="sif",$H401="PM"),"",VLOOKUP($H401,[5]CU!$C$5:$J$255,8,FALSE))</f>
        <v>3. Manuels scolaires et matériels pédagogiques</v>
      </c>
      <c r="W401" s="18" t="s">
        <v>192</v>
      </c>
      <c r="X401" s="18" t="s">
        <v>521</v>
      </c>
      <c r="Y401" s="19" t="s">
        <v>32</v>
      </c>
      <c r="Z401" s="18" t="str">
        <f>A401 &amp; "-" &amp; VLOOKUP(A401,[4]PROGRAMMES!$E$1:$F$7,2,FALSE)</f>
        <v>1-Accès et équité à l'enseignement général</v>
      </c>
      <c r="AA401" s="19" t="str">
        <f>B401 &amp; "-" &amp; VLOOKUP(B401,[4]SOUSPROGRAMMES!$E$1:$F$44,2,FALSE)</f>
        <v>15- Promotion de l'éducation inclusive, y compris les FA</v>
      </c>
      <c r="AB401" s="19" t="str">
        <f>C401 &amp; "-" &amp; VLOOKUP(C401,[4]RESULTATS!$E$1:$F$176,2,FALSE)</f>
        <v>153- L'éducation inclusive est intégrée dans la prise de décision par les différents acteurs</v>
      </c>
      <c r="AC401" s="20" t="str">
        <f>D401 &amp; "-" &amp; VLOOKUP(D401,[4]STRATEGIES!$E$1:$F$504,2,FALSE)</f>
        <v>1533-Renforcement de la gratuité de l'école primaire</v>
      </c>
      <c r="AD401" s="21" t="str">
        <f t="shared" si="90"/>
        <v>15334-Acquisition et distribution des fournitures aux enfants défavorisés</v>
      </c>
    </row>
    <row r="402" spans="1:30" s="22" customFormat="1" ht="45" hidden="1" customHeight="1" x14ac:dyDescent="0.8">
      <c r="A402" s="14">
        <v>1</v>
      </c>
      <c r="B402" s="15">
        <v>15</v>
      </c>
      <c r="C402" s="15">
        <v>153</v>
      </c>
      <c r="D402" s="15">
        <v>1533</v>
      </c>
      <c r="E402" s="15">
        <v>15335</v>
      </c>
      <c r="F402" s="16" t="s">
        <v>522</v>
      </c>
      <c r="G402" s="21" t="s">
        <v>58</v>
      </c>
      <c r="H402" s="17" t="s">
        <v>59</v>
      </c>
      <c r="I402" s="18">
        <v>0</v>
      </c>
      <c r="J402" s="18">
        <f t="shared" ref="J402:L403" si="94">(3*33*7)*50%</f>
        <v>346.5</v>
      </c>
      <c r="K402" s="18">
        <f t="shared" si="94"/>
        <v>346.5</v>
      </c>
      <c r="L402" s="18">
        <f t="shared" si="94"/>
        <v>346.5</v>
      </c>
      <c r="M402" s="18">
        <f>SUM(I402:L402)</f>
        <v>1039.5</v>
      </c>
      <c r="N402" s="18">
        <f>IF(OR(H402="",H402="sif",H402="PM"),0,VLOOKUP(H402,[5]CU!$C$4:$H$255,6,FALSE))</f>
        <v>0.8177777777777776</v>
      </c>
      <c r="O402" s="18">
        <f t="shared" si="92"/>
        <v>0</v>
      </c>
      <c r="P402" s="18">
        <f t="shared" si="92"/>
        <v>283.35999999999996</v>
      </c>
      <c r="Q402" s="18">
        <f t="shared" si="92"/>
        <v>283.35999999999996</v>
      </c>
      <c r="R402" s="18">
        <f t="shared" si="92"/>
        <v>283.35999999999996</v>
      </c>
      <c r="S402" s="24">
        <f t="shared" si="93"/>
        <v>850.07999999999993</v>
      </c>
      <c r="T402" s="23" t="s">
        <v>56</v>
      </c>
      <c r="U402" s="18" t="s">
        <v>170</v>
      </c>
      <c r="V402" s="18" t="str">
        <f>IF(OR($H402="",$H402="sif",$H402="PM"),"",VLOOKUP($H402,[5]CU!$C$5:$J$255,8,FALSE))</f>
        <v>3. Dépenses de fonctionnement</v>
      </c>
      <c r="W402" s="18" t="s">
        <v>192</v>
      </c>
      <c r="X402" s="18" t="s">
        <v>523</v>
      </c>
      <c r="Y402" s="19" t="s">
        <v>32</v>
      </c>
      <c r="Z402" s="18" t="str">
        <f>A402 &amp; "-" &amp; VLOOKUP(A402,[4]PROGRAMMES!$E$1:$F$7,2,FALSE)</f>
        <v>1-Accès et équité à l'enseignement général</v>
      </c>
      <c r="AA402" s="19" t="str">
        <f>B402 &amp; "-" &amp; VLOOKUP(B402,[4]SOUSPROGRAMMES!$E$1:$F$44,2,FALSE)</f>
        <v>15- Promotion de l'éducation inclusive, y compris les FA</v>
      </c>
      <c r="AB402" s="19" t="str">
        <f>C402 &amp; "-" &amp; VLOOKUP(C402,[4]RESULTATS!$E$1:$F$176,2,FALSE)</f>
        <v>153- L'éducation inclusive est intégrée dans la prise de décision par les différents acteurs</v>
      </c>
      <c r="AC402" s="20" t="str">
        <f>D402 &amp; "-" &amp; VLOOKUP(D402,[4]STRATEGIES!$E$1:$F$504,2,FALSE)</f>
        <v>1533-Renforcement de la gratuité de l'école primaire</v>
      </c>
      <c r="AD402" s="21" t="str">
        <f t="shared" si="90"/>
        <v>15335-Suivi/évaluation de la distribution des fournitures scolaires (audit échantillon annuel)</v>
      </c>
    </row>
    <row r="403" spans="1:30" s="22" customFormat="1" ht="45" hidden="1" customHeight="1" x14ac:dyDescent="0.8">
      <c r="A403" s="14">
        <v>1</v>
      </c>
      <c r="B403" s="15">
        <v>15</v>
      </c>
      <c r="C403" s="15">
        <v>153</v>
      </c>
      <c r="D403" s="15">
        <v>1533</v>
      </c>
      <c r="E403" s="15">
        <v>15335</v>
      </c>
      <c r="F403" s="16" t="s">
        <v>522</v>
      </c>
      <c r="G403" s="21" t="s">
        <v>58</v>
      </c>
      <c r="H403" s="17" t="s">
        <v>59</v>
      </c>
      <c r="I403" s="18">
        <v>0</v>
      </c>
      <c r="J403" s="18">
        <f t="shared" si="94"/>
        <v>346.5</v>
      </c>
      <c r="K403" s="18">
        <f t="shared" si="94"/>
        <v>346.5</v>
      </c>
      <c r="L403" s="18">
        <f t="shared" si="94"/>
        <v>346.5</v>
      </c>
      <c r="M403" s="18">
        <f t="shared" si="86"/>
        <v>1039.5</v>
      </c>
      <c r="N403" s="18">
        <f>IF(OR(H403="",H403="sif",H403="PM"),0,VLOOKUP(H403,[5]CU!$C$4:$H$255,6,FALSE))</f>
        <v>0.8177777777777776</v>
      </c>
      <c r="O403" s="18">
        <f t="shared" si="92"/>
        <v>0</v>
      </c>
      <c r="P403" s="18">
        <f t="shared" si="92"/>
        <v>283.35999999999996</v>
      </c>
      <c r="Q403" s="18">
        <f t="shared" si="92"/>
        <v>283.35999999999996</v>
      </c>
      <c r="R403" s="18">
        <f t="shared" si="92"/>
        <v>283.35999999999996</v>
      </c>
      <c r="S403" s="24">
        <f t="shared" si="93"/>
        <v>850.07999999999993</v>
      </c>
      <c r="T403" s="23" t="s">
        <v>118</v>
      </c>
      <c r="U403" s="18" t="s">
        <v>170</v>
      </c>
      <c r="V403" s="18" t="str">
        <f>IF(OR($H403="",$H403="sif",$H403="PM"),"",VLOOKUP($H403,[5]CU!$C$5:$J$255,8,FALSE))</f>
        <v>3. Dépenses de fonctionnement</v>
      </c>
      <c r="W403" s="18" t="s">
        <v>192</v>
      </c>
      <c r="X403" s="18" t="s">
        <v>523</v>
      </c>
      <c r="Y403" s="19" t="s">
        <v>32</v>
      </c>
      <c r="Z403" s="18" t="str">
        <f>A403 &amp; "-" &amp; VLOOKUP(A403,[4]PROGRAMMES!$E$1:$F$7,2,FALSE)</f>
        <v>1-Accès et équité à l'enseignement général</v>
      </c>
      <c r="AA403" s="19" t="str">
        <f>B403 &amp; "-" &amp; VLOOKUP(B403,[4]SOUSPROGRAMMES!$E$1:$F$44,2,FALSE)</f>
        <v>15- Promotion de l'éducation inclusive, y compris les FA</v>
      </c>
      <c r="AB403" s="19" t="str">
        <f>C403 &amp; "-" &amp; VLOOKUP(C403,[4]RESULTATS!$E$1:$F$176,2,FALSE)</f>
        <v>153- L'éducation inclusive est intégrée dans la prise de décision par les différents acteurs</v>
      </c>
      <c r="AC403" s="20" t="str">
        <f>D403 &amp; "-" &amp; VLOOKUP(D403,[4]STRATEGIES!$E$1:$F$504,2,FALSE)</f>
        <v>1533-Renforcement de la gratuité de l'école primaire</v>
      </c>
      <c r="AD403" s="21" t="str">
        <f t="shared" si="90"/>
        <v>15335-Suivi/évaluation de la distribution des fournitures scolaires (audit échantillon annuel)</v>
      </c>
    </row>
    <row r="404" spans="1:30" s="22" customFormat="1" ht="15" hidden="1" customHeight="1" x14ac:dyDescent="0.8">
      <c r="A404" s="14">
        <v>1</v>
      </c>
      <c r="B404" s="15">
        <v>16</v>
      </c>
      <c r="C404" s="15">
        <v>16</v>
      </c>
      <c r="D404" s="15">
        <v>16</v>
      </c>
      <c r="E404" s="15">
        <v>16</v>
      </c>
      <c r="F404" s="16" t="s">
        <v>524</v>
      </c>
      <c r="G404" s="17"/>
      <c r="H404" s="17"/>
      <c r="I404" s="18">
        <v>0</v>
      </c>
      <c r="J404" s="18"/>
      <c r="K404" s="18"/>
      <c r="L404" s="18"/>
      <c r="M404" s="18"/>
      <c r="N404" s="18"/>
      <c r="O404" s="18"/>
      <c r="P404" s="18"/>
      <c r="Q404" s="18"/>
      <c r="R404" s="18"/>
      <c r="S404" s="24"/>
      <c r="T404" s="18"/>
      <c r="U404" s="18"/>
      <c r="V404" s="18"/>
      <c r="W404" s="18"/>
      <c r="X404" s="18"/>
      <c r="Y404" s="19" t="s">
        <v>32</v>
      </c>
      <c r="Z404" s="18" t="str">
        <f>A404 &amp; "-" &amp; VLOOKUP(A404,[4]PROGRAMMES!$E$1:$F$7,2,FALSE)</f>
        <v>1-Accès et équité à l'enseignement général</v>
      </c>
      <c r="AA404" s="19" t="str">
        <f>B404 &amp; "-" &amp; VLOOKUP(B404,[4]SOUSPROGRAMMES!$E$1:$F$44,2,FALSE)</f>
        <v>16- Accès et équité au lycée</v>
      </c>
      <c r="AB404" s="19" t="str">
        <f>C404 &amp; "-" &amp; VLOOKUP(C404,[4]RESULTATS!$E$1:$F$176,2,FALSE)</f>
        <v>16- Accès et équité au lycée</v>
      </c>
      <c r="AC404" s="20" t="str">
        <f>D404 &amp; "-" &amp; VLOOKUP(D404,[4]STRATEGIES!$E$1:$F$504,2,FALSE)</f>
        <v>16- Accès et équité au lycée</v>
      </c>
      <c r="AD404" s="21" t="str">
        <f t="shared" si="90"/>
        <v>16- Accès et équité au lycée</v>
      </c>
    </row>
    <row r="405" spans="1:30" s="22" customFormat="1" ht="45" hidden="1" customHeight="1" x14ac:dyDescent="0.8">
      <c r="A405" s="14">
        <v>1</v>
      </c>
      <c r="B405" s="15">
        <v>16</v>
      </c>
      <c r="C405" s="15">
        <v>161</v>
      </c>
      <c r="D405" s="15">
        <v>161</v>
      </c>
      <c r="E405" s="15">
        <v>161</v>
      </c>
      <c r="F405" s="16" t="s">
        <v>525</v>
      </c>
      <c r="G405" s="17"/>
      <c r="H405" s="17"/>
      <c r="I405" s="18">
        <v>0</v>
      </c>
      <c r="J405" s="18"/>
      <c r="K405" s="18"/>
      <c r="L405" s="18"/>
      <c r="M405" s="18"/>
      <c r="N405" s="18"/>
      <c r="O405" s="18"/>
      <c r="P405" s="18"/>
      <c r="Q405" s="18"/>
      <c r="R405" s="18"/>
      <c r="S405" s="24"/>
      <c r="T405" s="18"/>
      <c r="U405" s="18"/>
      <c r="V405" s="18"/>
      <c r="W405" s="18"/>
      <c r="X405" s="18"/>
      <c r="Y405" s="19" t="s">
        <v>32</v>
      </c>
      <c r="Z405" s="18" t="str">
        <f>A405 &amp; "-" &amp; VLOOKUP(A405,[4]PROGRAMMES!$E$1:$F$7,2,FALSE)</f>
        <v>1-Accès et équité à l'enseignement général</v>
      </c>
      <c r="AA405" s="19" t="str">
        <f>B405 &amp; "-" &amp; VLOOKUP(B405,[4]SOUSPROGRAMMES!$E$1:$F$44,2,FALSE)</f>
        <v>16- Accès et équité au lycée</v>
      </c>
      <c r="AB405" s="19" t="str">
        <f>C405 &amp; "-" &amp; VLOOKUP(C405,[4]RESULTATS!$E$1:$F$176,2,FALSE)</f>
        <v>161- L’accès au lycée est maitrisé en tenant compte de l’équité et de la diversification des filières</v>
      </c>
      <c r="AC405" s="20" t="str">
        <f>D405 &amp; "-" &amp; VLOOKUP(D405,[4]STRATEGIES!$E$1:$F$504,2,FALSE)</f>
        <v>161- L’accès au lycée est maitrisé en tenant compte de l’équité et de la diversification des filières</v>
      </c>
      <c r="AD405" s="21" t="str">
        <f t="shared" si="90"/>
        <v>161- L’accès au lycée est maitrisé en tenant compte de l’équité et de la diversification des filières</v>
      </c>
    </row>
    <row r="406" spans="1:30" s="22" customFormat="1" ht="45" hidden="1" customHeight="1" x14ac:dyDescent="0.8">
      <c r="A406" s="14">
        <v>1</v>
      </c>
      <c r="B406" s="15">
        <v>16</v>
      </c>
      <c r="C406" s="15">
        <v>161</v>
      </c>
      <c r="D406" s="15">
        <v>1611</v>
      </c>
      <c r="E406" s="15">
        <v>1611</v>
      </c>
      <c r="F406" s="16" t="s">
        <v>526</v>
      </c>
      <c r="G406" s="17"/>
      <c r="H406" s="17"/>
      <c r="I406" s="18">
        <v>0</v>
      </c>
      <c r="J406" s="18"/>
      <c r="K406" s="18"/>
      <c r="L406" s="18"/>
      <c r="M406" s="18"/>
      <c r="N406" s="18"/>
      <c r="O406" s="18"/>
      <c r="P406" s="18"/>
      <c r="Q406" s="18"/>
      <c r="R406" s="18"/>
      <c r="S406" s="24"/>
      <c r="T406" s="18"/>
      <c r="U406" s="18"/>
      <c r="V406" s="18"/>
      <c r="W406" s="18"/>
      <c r="X406" s="18"/>
      <c r="Y406" s="19" t="s">
        <v>32</v>
      </c>
      <c r="Z406" s="18" t="str">
        <f>A406 &amp; "-" &amp; VLOOKUP(A406,[4]PROGRAMMES!$E$1:$F$7,2,FALSE)</f>
        <v>1-Accès et équité à l'enseignement général</v>
      </c>
      <c r="AA406" s="19" t="str">
        <f>B406 &amp; "-" &amp; VLOOKUP(B406,[4]SOUSPROGRAMMES!$E$1:$F$44,2,FALSE)</f>
        <v>16- Accès et équité au lycée</v>
      </c>
      <c r="AB406" s="19" t="str">
        <f>C406 &amp; "-" &amp; VLOOKUP(C406,[4]RESULTATS!$E$1:$F$176,2,FALSE)</f>
        <v>161- L’accès au lycée est maitrisé en tenant compte de l’équité et de la diversification des filières</v>
      </c>
      <c r="AC406" s="20" t="str">
        <f>D406 &amp; "-" &amp; VLOOKUP(D406,[4]STRATEGIES!$E$1:$F$504,2,FALSE)</f>
        <v>1611-Diversification des filières au lycée</v>
      </c>
      <c r="AD406" s="21" t="str">
        <f t="shared" si="90"/>
        <v>1611-Diversification des filières au lycée</v>
      </c>
    </row>
    <row r="407" spans="1:30" s="22" customFormat="1" ht="45" hidden="1" customHeight="1" x14ac:dyDescent="0.8">
      <c r="A407" s="14">
        <v>1</v>
      </c>
      <c r="B407" s="15">
        <v>16</v>
      </c>
      <c r="C407" s="15">
        <v>161</v>
      </c>
      <c r="D407" s="15">
        <v>1611</v>
      </c>
      <c r="E407" s="15">
        <v>16111</v>
      </c>
      <c r="F407" s="16" t="s">
        <v>527</v>
      </c>
      <c r="G407" s="21" t="s">
        <v>471</v>
      </c>
      <c r="H407" s="17" t="s">
        <v>528</v>
      </c>
      <c r="I407" s="18">
        <v>0</v>
      </c>
      <c r="J407" s="18"/>
      <c r="K407" s="18">
        <f>0.5</f>
        <v>0.5</v>
      </c>
      <c r="L407" s="18">
        <v>0.5</v>
      </c>
      <c r="M407" s="18">
        <f t="shared" si="86"/>
        <v>1</v>
      </c>
      <c r="N407" s="18">
        <f>IF(OR(H407="",H407="sif",H407="PM"),0,VLOOKUP(H407,[5]CU!$C$4:$H$255,6,FALSE))</f>
        <v>16000</v>
      </c>
      <c r="O407" s="18">
        <f>$N407*I407</f>
        <v>0</v>
      </c>
      <c r="P407" s="18">
        <f>$N407*J407</f>
        <v>0</v>
      </c>
      <c r="Q407" s="18">
        <f>$N407*K407</f>
        <v>8000</v>
      </c>
      <c r="R407" s="18">
        <f>$N407*L407</f>
        <v>8000</v>
      </c>
      <c r="S407" s="24">
        <f>SUM(O407:R407)</f>
        <v>16000</v>
      </c>
      <c r="T407" s="23" t="s">
        <v>56</v>
      </c>
      <c r="U407" s="18" t="s">
        <v>529</v>
      </c>
      <c r="V407" s="18" t="str">
        <f>IF(OR($H407="",$H407="sif",$H407="PM"),"",VLOOKUP($H407,[5]CU!$C$5:$J$255,8,FALSE))</f>
        <v>5. Investissement</v>
      </c>
      <c r="W407" s="18" t="s">
        <v>398</v>
      </c>
      <c r="X407" s="18" t="s">
        <v>98</v>
      </c>
      <c r="Y407" s="19" t="s">
        <v>32</v>
      </c>
      <c r="Z407" s="18" t="str">
        <f>A407 &amp; "-" &amp; VLOOKUP(A407,[4]PROGRAMMES!$E$1:$F$7,2,FALSE)</f>
        <v>1-Accès et équité à l'enseignement général</v>
      </c>
      <c r="AA407" s="19" t="str">
        <f>B407 &amp; "-" &amp; VLOOKUP(B407,[4]SOUSPROGRAMMES!$E$1:$F$44,2,FALSE)</f>
        <v>16- Accès et équité au lycée</v>
      </c>
      <c r="AB407" s="19" t="str">
        <f>C407 &amp; "-" &amp; VLOOKUP(C407,[4]RESULTATS!$E$1:$F$176,2,FALSE)</f>
        <v>161- L’accès au lycée est maitrisé en tenant compte de l’équité et de la diversification des filières</v>
      </c>
      <c r="AC407" s="20" t="str">
        <f>D407 &amp; "-" &amp; VLOOKUP(D407,[4]STRATEGIES!$E$1:$F$504,2,FALSE)</f>
        <v>1611-Diversification des filières au lycée</v>
      </c>
      <c r="AD407" s="21" t="str">
        <f t="shared" si="90"/>
        <v>16111-Construction et équipement de lycées techniques</v>
      </c>
    </row>
    <row r="408" spans="1:30" s="22" customFormat="1" ht="45" hidden="1" customHeight="1" x14ac:dyDescent="0.8">
      <c r="A408" s="14">
        <v>1</v>
      </c>
      <c r="B408" s="15">
        <v>16</v>
      </c>
      <c r="C408" s="15">
        <v>161</v>
      </c>
      <c r="D408" s="15">
        <v>1612</v>
      </c>
      <c r="E408" s="15">
        <v>1612</v>
      </c>
      <c r="F408" s="16" t="s">
        <v>530</v>
      </c>
      <c r="G408" s="17"/>
      <c r="H408" s="17"/>
      <c r="I408" s="18">
        <v>0</v>
      </c>
      <c r="J408" s="18"/>
      <c r="K408" s="18"/>
      <c r="L408" s="18"/>
      <c r="M408" s="18"/>
      <c r="N408" s="18"/>
      <c r="O408" s="18"/>
      <c r="P408" s="18"/>
      <c r="Q408" s="18"/>
      <c r="R408" s="18"/>
      <c r="S408" s="24"/>
      <c r="T408" s="18"/>
      <c r="U408" s="18"/>
      <c r="V408" s="18"/>
      <c r="W408" s="18"/>
      <c r="X408" s="18"/>
      <c r="Y408" s="19" t="s">
        <v>32</v>
      </c>
      <c r="Z408" s="18" t="str">
        <f>A408 &amp; "-" &amp; VLOOKUP(A408,[4]PROGRAMMES!$E$1:$F$7,2,FALSE)</f>
        <v>1-Accès et équité à l'enseignement général</v>
      </c>
      <c r="AA408" s="19" t="str">
        <f>B408 &amp; "-" &amp; VLOOKUP(B408,[4]SOUSPROGRAMMES!$E$1:$F$44,2,FALSE)</f>
        <v>16- Accès et équité au lycée</v>
      </c>
      <c r="AB408" s="19" t="str">
        <f>C408 &amp; "-" &amp; VLOOKUP(C408,[4]RESULTATS!$E$1:$F$176,2,FALSE)</f>
        <v>161- L’accès au lycée est maitrisé en tenant compte de l’équité et de la diversification des filières</v>
      </c>
      <c r="AC408" s="20" t="str">
        <f>D408 &amp; "-" &amp; VLOOKUP(D408,[4]STRATEGIES!$E$1:$F$504,2,FALSE)</f>
        <v>1612-Optimisation de l’utilisation des salles de classe au lycée, y compris les FA</v>
      </c>
      <c r="AD408" s="21" t="str">
        <f t="shared" si="90"/>
        <v>1612-Optimisation de l’utilisation des salles de classe au lycée, y compris les FA</v>
      </c>
    </row>
    <row r="409" spans="1:30" s="22" customFormat="1" ht="45" hidden="1" customHeight="1" x14ac:dyDescent="0.8">
      <c r="A409" s="14">
        <v>1</v>
      </c>
      <c r="B409" s="15">
        <v>16</v>
      </c>
      <c r="C409" s="15">
        <v>161</v>
      </c>
      <c r="D409" s="15">
        <v>1612</v>
      </c>
      <c r="E409" s="15">
        <v>16121</v>
      </c>
      <c r="F409" s="16" t="s">
        <v>531</v>
      </c>
      <c r="G409" s="21" t="s">
        <v>88</v>
      </c>
      <c r="H409" s="17" t="s">
        <v>55</v>
      </c>
      <c r="I409" s="18">
        <v>0</v>
      </c>
      <c r="J409" s="18">
        <v>1</v>
      </c>
      <c r="K409" s="18"/>
      <c r="L409" s="18"/>
      <c r="M409" s="18">
        <f t="shared" si="86"/>
        <v>1</v>
      </c>
      <c r="N409" s="18">
        <f>IF(OR(H409="",H409="sif",H409="PM"),0,VLOOKUP(H409,[5]CU!$C$4:$H$255,6,FALSE))</f>
        <v>0</v>
      </c>
      <c r="O409" s="18"/>
      <c r="P409" s="18"/>
      <c r="Q409" s="18"/>
      <c r="R409" s="18"/>
      <c r="S409" s="24"/>
      <c r="T409" s="23" t="s">
        <v>56</v>
      </c>
      <c r="U409" s="18" t="s">
        <v>529</v>
      </c>
      <c r="V409" s="18" t="str">
        <f>IF(OR($H409="",$H409="sif",$H409="PM"),"",VLOOKUP($H409,[5]CU!$C$5:$J$255,8,FALSE))</f>
        <v/>
      </c>
      <c r="W409" s="18" t="s">
        <v>398</v>
      </c>
      <c r="X409" s="18" t="s">
        <v>398</v>
      </c>
      <c r="Y409" s="19" t="s">
        <v>32</v>
      </c>
      <c r="Z409" s="18" t="str">
        <f>A409 &amp; "-" &amp; VLOOKUP(A409,[4]PROGRAMMES!$E$1:$F$7,2,FALSE)</f>
        <v>1-Accès et équité à l'enseignement général</v>
      </c>
      <c r="AA409" s="19" t="str">
        <f>B409 &amp; "-" &amp; VLOOKUP(B409,[4]SOUSPROGRAMMES!$E$1:$F$44,2,FALSE)</f>
        <v>16- Accès et équité au lycée</v>
      </c>
      <c r="AB409" s="19" t="str">
        <f>C409 &amp; "-" &amp; VLOOKUP(C409,[4]RESULTATS!$E$1:$F$176,2,FALSE)</f>
        <v>161- L’accès au lycée est maitrisé en tenant compte de l’équité et de la diversification des filières</v>
      </c>
      <c r="AC409" s="20" t="str">
        <f>D409 &amp; "-" &amp; VLOOKUP(D409,[4]STRATEGIES!$E$1:$F$504,2,FALSE)</f>
        <v>1612-Optimisation de l’utilisation des salles de classe au lycée, y compris les FA</v>
      </c>
      <c r="AD409" s="21" t="str">
        <f t="shared" si="90"/>
        <v>16121-Identification d'une stratégie d'optimisation de l'utilisation des salles de classes et des enseignants dans les établissements</v>
      </c>
    </row>
    <row r="410" spans="1:30" s="22" customFormat="1" ht="45" hidden="1" customHeight="1" x14ac:dyDescent="0.8">
      <c r="A410" s="14">
        <v>1</v>
      </c>
      <c r="B410" s="15">
        <v>16</v>
      </c>
      <c r="C410" s="15">
        <v>161</v>
      </c>
      <c r="D410" s="15">
        <v>1612</v>
      </c>
      <c r="E410" s="15">
        <v>16122</v>
      </c>
      <c r="F410" s="16" t="s">
        <v>532</v>
      </c>
      <c r="G410" s="21" t="s">
        <v>54</v>
      </c>
      <c r="H410" s="17" t="s">
        <v>55</v>
      </c>
      <c r="I410" s="18">
        <v>0</v>
      </c>
      <c r="J410" s="18">
        <v>1</v>
      </c>
      <c r="K410" s="18"/>
      <c r="L410" s="18"/>
      <c r="M410" s="18">
        <f t="shared" si="86"/>
        <v>1</v>
      </c>
      <c r="N410" s="18">
        <f>IF(OR(H410="",H410="sif",H410="PM"),0,VLOOKUP(H410,[5]CU!$C$4:$H$255,6,FALSE))</f>
        <v>0</v>
      </c>
      <c r="O410" s="18"/>
      <c r="P410" s="18"/>
      <c r="Q410" s="18"/>
      <c r="R410" s="18"/>
      <c r="S410" s="24"/>
      <c r="T410" s="23" t="s">
        <v>56</v>
      </c>
      <c r="U410" s="18" t="s">
        <v>529</v>
      </c>
      <c r="V410" s="18" t="str">
        <f>IF(OR($H410="",$H410="sif",$H410="PM"),"",VLOOKUP($H410,[5]CU!$C$5:$J$255,8,FALSE))</f>
        <v/>
      </c>
      <c r="W410" s="18" t="s">
        <v>398</v>
      </c>
      <c r="X410" s="18" t="s">
        <v>398</v>
      </c>
      <c r="Y410" s="19" t="s">
        <v>32</v>
      </c>
      <c r="Z410" s="18" t="str">
        <f>A410 &amp; "-" &amp; VLOOKUP(A410,[4]PROGRAMMES!$E$1:$F$7,2,FALSE)</f>
        <v>1-Accès et équité à l'enseignement général</v>
      </c>
      <c r="AA410" s="19" t="str">
        <f>B410 &amp; "-" &amp; VLOOKUP(B410,[4]SOUSPROGRAMMES!$E$1:$F$44,2,FALSE)</f>
        <v>16- Accès et équité au lycée</v>
      </c>
      <c r="AB410" s="19" t="str">
        <f>C410 &amp; "-" &amp; VLOOKUP(C410,[4]RESULTATS!$E$1:$F$176,2,FALSE)</f>
        <v>161- L’accès au lycée est maitrisé en tenant compte de l’équité et de la diversification des filières</v>
      </c>
      <c r="AC410" s="20" t="str">
        <f>D410 &amp; "-" &amp; VLOOKUP(D410,[4]STRATEGIES!$E$1:$F$504,2,FALSE)</f>
        <v>1612-Optimisation de l’utilisation des salles de classe au lycée, y compris les FA</v>
      </c>
      <c r="AD410" s="21" t="str">
        <f t="shared" si="90"/>
        <v>16122-Mise en place de la stratégie d'optimisation de l'utilisation des salles de classes et des enseignants dans les établissements</v>
      </c>
    </row>
    <row r="411" spans="1:30" s="22" customFormat="1" ht="45" hidden="1" customHeight="1" x14ac:dyDescent="0.8">
      <c r="A411" s="14">
        <v>1</v>
      </c>
      <c r="B411" s="15">
        <v>16</v>
      </c>
      <c r="C411" s="15">
        <v>161</v>
      </c>
      <c r="D411" s="15">
        <v>1612</v>
      </c>
      <c r="E411" s="15">
        <v>16123</v>
      </c>
      <c r="F411" s="16" t="s">
        <v>533</v>
      </c>
      <c r="G411" s="21" t="s">
        <v>534</v>
      </c>
      <c r="H411" s="17" t="s">
        <v>55</v>
      </c>
      <c r="I411" s="18">
        <v>0</v>
      </c>
      <c r="J411" s="18">
        <v>1</v>
      </c>
      <c r="K411" s="18">
        <v>1</v>
      </c>
      <c r="L411" s="18">
        <v>1</v>
      </c>
      <c r="M411" s="18">
        <f t="shared" si="86"/>
        <v>3</v>
      </c>
      <c r="N411" s="18">
        <f>IF(OR(H411="",H411="sif",H411="PM"),0,VLOOKUP(H411,[5]CU!$C$4:$H$255,6,FALSE))</f>
        <v>0</v>
      </c>
      <c r="O411" s="18"/>
      <c r="P411" s="18"/>
      <c r="Q411" s="18"/>
      <c r="R411" s="18"/>
      <c r="S411" s="24"/>
      <c r="T411" s="23" t="s">
        <v>56</v>
      </c>
      <c r="U411" s="18" t="s">
        <v>529</v>
      </c>
      <c r="V411" s="18" t="str">
        <f>IF(OR($H411="",$H411="sif",$H411="PM"),"",VLOOKUP($H411,[5]CU!$C$5:$J$255,8,FALSE))</f>
        <v/>
      </c>
      <c r="W411" s="18" t="s">
        <v>398</v>
      </c>
      <c r="X411" s="18" t="s">
        <v>282</v>
      </c>
      <c r="Y411" s="19" t="s">
        <v>32</v>
      </c>
      <c r="Z411" s="18" t="str">
        <f>A411 &amp; "-" &amp; VLOOKUP(A411,[4]PROGRAMMES!$E$1:$F$7,2,FALSE)</f>
        <v>1-Accès et équité à l'enseignement général</v>
      </c>
      <c r="AA411" s="19" t="str">
        <f>B411 &amp; "-" &amp; VLOOKUP(B411,[4]SOUSPROGRAMMES!$E$1:$F$44,2,FALSE)</f>
        <v>16- Accès et équité au lycée</v>
      </c>
      <c r="AB411" s="19" t="str">
        <f>C411 &amp; "-" &amp; VLOOKUP(C411,[4]RESULTATS!$E$1:$F$176,2,FALSE)</f>
        <v>161- L’accès au lycée est maitrisé en tenant compte de l’équité et de la diversification des filières</v>
      </c>
      <c r="AC411" s="20" t="str">
        <f>D411 &amp; "-" &amp; VLOOKUP(D411,[4]STRATEGIES!$E$1:$F$504,2,FALSE)</f>
        <v>1612-Optimisation de l’utilisation des salles de classe au lycée, y compris les FA</v>
      </c>
      <c r="AD411" s="21" t="str">
        <f t="shared" si="90"/>
        <v>16123-Suivi/évaluation du fonctionnement des établissements en lien avec la nouvelle organisation</v>
      </c>
    </row>
    <row r="412" spans="1:30" s="22" customFormat="1" ht="45" hidden="1" customHeight="1" x14ac:dyDescent="0.8">
      <c r="A412" s="14">
        <v>1</v>
      </c>
      <c r="B412" s="15">
        <v>16</v>
      </c>
      <c r="C412" s="15">
        <v>161</v>
      </c>
      <c r="D412" s="15">
        <v>1613</v>
      </c>
      <c r="E412" s="15">
        <v>1613</v>
      </c>
      <c r="F412" s="16" t="s">
        <v>535</v>
      </c>
      <c r="G412" s="17"/>
      <c r="H412" s="17"/>
      <c r="I412" s="18">
        <v>0</v>
      </c>
      <c r="J412" s="18"/>
      <c r="K412" s="18"/>
      <c r="L412" s="18"/>
      <c r="M412" s="18"/>
      <c r="N412" s="18"/>
      <c r="O412" s="18"/>
      <c r="P412" s="18"/>
      <c r="Q412" s="18"/>
      <c r="R412" s="18"/>
      <c r="S412" s="24"/>
      <c r="T412" s="18"/>
      <c r="U412" s="18"/>
      <c r="V412" s="18"/>
      <c r="W412" s="18"/>
      <c r="X412" s="18"/>
      <c r="Y412" s="19" t="s">
        <v>32</v>
      </c>
      <c r="Z412" s="18" t="str">
        <f>A412 &amp; "-" &amp; VLOOKUP(A412,[4]PROGRAMMES!$E$1:$F$7,2,FALSE)</f>
        <v>1-Accès et équité à l'enseignement général</v>
      </c>
      <c r="AA412" s="19" t="str">
        <f>B412 &amp; "-" &amp; VLOOKUP(B412,[4]SOUSPROGRAMMES!$E$1:$F$44,2,FALSE)</f>
        <v>16- Accès et équité au lycée</v>
      </c>
      <c r="AB412" s="19" t="str">
        <f>C412 &amp; "-" &amp; VLOOKUP(C412,[4]RESULTATS!$E$1:$F$176,2,FALSE)</f>
        <v>161- L’accès au lycée est maitrisé en tenant compte de l’équité et de la diversification des filières</v>
      </c>
      <c r="AC412" s="20" t="str">
        <f>D412 &amp; "-" &amp; VLOOKUP(D412,[4]STRATEGIES!$E$1:$F$504,2,FALSE)</f>
        <v>1613-Construction de salles de classe avec rampe d’accès au lycée en tenant compte de la prévention des catastrophes naturelles, y compris les FA</v>
      </c>
      <c r="AD412" s="21" t="str">
        <f t="shared" si="90"/>
        <v>1613-Construction de salles de classe avec rampe d’accès au lycée en tenant compte de la prévention des catastrophes naturelles, y compris les FA</v>
      </c>
    </row>
    <row r="413" spans="1:30" s="22" customFormat="1" ht="45" hidden="1" customHeight="1" x14ac:dyDescent="0.8">
      <c r="A413" s="14">
        <v>1</v>
      </c>
      <c r="B413" s="15">
        <v>16</v>
      </c>
      <c r="C413" s="15">
        <v>161</v>
      </c>
      <c r="D413" s="15">
        <v>1613</v>
      </c>
      <c r="E413" s="15">
        <v>16131</v>
      </c>
      <c r="F413" s="16" t="s">
        <v>536</v>
      </c>
      <c r="G413" s="21" t="s">
        <v>159</v>
      </c>
      <c r="H413" s="17" t="s">
        <v>55</v>
      </c>
      <c r="I413" s="18">
        <v>0</v>
      </c>
      <c r="J413" s="18">
        <v>1</v>
      </c>
      <c r="K413" s="18">
        <v>1</v>
      </c>
      <c r="L413" s="18">
        <v>1</v>
      </c>
      <c r="M413" s="18">
        <f t="shared" si="86"/>
        <v>3</v>
      </c>
      <c r="N413" s="18">
        <f>IF(OR(H413="",H413="sif",H413="PM"),0,VLOOKUP(H413,[5]CU!$C$4:$H$255,6,FALSE))</f>
        <v>0</v>
      </c>
      <c r="O413" s="18"/>
      <c r="P413" s="18"/>
      <c r="Q413" s="18"/>
      <c r="R413" s="18"/>
      <c r="S413" s="24"/>
      <c r="T413" s="23" t="s">
        <v>56</v>
      </c>
      <c r="U413" s="18" t="s">
        <v>529</v>
      </c>
      <c r="V413" s="18" t="str">
        <f>IF(OR($H413="",$H413="sif",$H413="PM"),"",VLOOKUP($H413,[5]CU!$C$5:$J$255,8,FALSE))</f>
        <v/>
      </c>
      <c r="W413" s="18" t="s">
        <v>96</v>
      </c>
      <c r="X413" s="18" t="s">
        <v>282</v>
      </c>
      <c r="Y413" s="19" t="s">
        <v>32</v>
      </c>
      <c r="Z413" s="18" t="str">
        <f>A413 &amp; "-" &amp; VLOOKUP(A413,[4]PROGRAMMES!$E$1:$F$7,2,FALSE)</f>
        <v>1-Accès et équité à l'enseignement général</v>
      </c>
      <c r="AA413" s="19" t="str">
        <f>B413 &amp; "-" &amp; VLOOKUP(B413,[4]SOUSPROGRAMMES!$E$1:$F$44,2,FALSE)</f>
        <v>16- Accès et équité au lycée</v>
      </c>
      <c r="AB413" s="19" t="str">
        <f>C413 &amp; "-" &amp; VLOOKUP(C413,[4]RESULTATS!$E$1:$F$176,2,FALSE)</f>
        <v>161- L’accès au lycée est maitrisé en tenant compte de l’équité et de la diversification des filières</v>
      </c>
      <c r="AC413" s="20" t="str">
        <f>D413 &amp; "-" &amp; VLOOKUP(D413,[4]STRATEGIES!$E$1:$F$504,2,FALSE)</f>
        <v>1613-Construction de salles de classe avec rampe d’accès au lycée en tenant compte de la prévention des catastrophes naturelles, y compris les FA</v>
      </c>
      <c r="AD413" s="21" t="str">
        <f t="shared" si="90"/>
        <v>16131-Identification des établissements et des localités devant bénéficier de construction de salles de classe au Lycée (pris en compte dans activité 12222)</v>
      </c>
    </row>
    <row r="414" spans="1:30" s="22" customFormat="1" ht="45" hidden="1" customHeight="1" x14ac:dyDescent="0.8">
      <c r="A414" s="14">
        <v>1</v>
      </c>
      <c r="B414" s="15">
        <v>16</v>
      </c>
      <c r="C414" s="15">
        <v>161</v>
      </c>
      <c r="D414" s="15">
        <v>1613</v>
      </c>
      <c r="E414" s="15">
        <v>16132</v>
      </c>
      <c r="F414" s="16" t="s">
        <v>537</v>
      </c>
      <c r="G414" s="21" t="s">
        <v>159</v>
      </c>
      <c r="H414" s="17" t="s">
        <v>55</v>
      </c>
      <c r="I414" s="18">
        <v>0</v>
      </c>
      <c r="J414" s="18"/>
      <c r="K414" s="18"/>
      <c r="L414" s="18"/>
      <c r="M414" s="18"/>
      <c r="N414" s="18">
        <f>IF(OR(H414="",H414="sif",H414="PM"),0,VLOOKUP(H414,[5]CU!$C$4:$H$255,6,FALSE))</f>
        <v>0</v>
      </c>
      <c r="O414" s="18"/>
      <c r="P414" s="18"/>
      <c r="Q414" s="18"/>
      <c r="R414" s="18"/>
      <c r="S414" s="24"/>
      <c r="T414" s="23" t="s">
        <v>56</v>
      </c>
      <c r="U414" s="18" t="s">
        <v>529</v>
      </c>
      <c r="V414" s="18" t="str">
        <f>IF(OR($H414="",$H414="sif",$H414="PM"),"",VLOOKUP($H414,[5]CU!$C$5:$J$255,8,FALSE))</f>
        <v/>
      </c>
      <c r="W414" s="18" t="s">
        <v>98</v>
      </c>
      <c r="X414" s="18" t="s">
        <v>538</v>
      </c>
      <c r="Y414" s="19" t="s">
        <v>32</v>
      </c>
      <c r="Z414" s="18" t="str">
        <f>A414 &amp; "-" &amp; VLOOKUP(A414,[4]PROGRAMMES!$E$1:$F$7,2,FALSE)</f>
        <v>1-Accès et équité à l'enseignement général</v>
      </c>
      <c r="AA414" s="19" t="str">
        <f>B414 &amp; "-" &amp; VLOOKUP(B414,[4]SOUSPROGRAMMES!$E$1:$F$44,2,FALSE)</f>
        <v>16- Accès et équité au lycée</v>
      </c>
      <c r="AB414" s="19" t="str">
        <f>C414 &amp; "-" &amp; VLOOKUP(C414,[4]RESULTATS!$E$1:$F$176,2,FALSE)</f>
        <v>161- L’accès au lycée est maitrisé en tenant compte de l’équité et de la diversification des filières</v>
      </c>
      <c r="AC414" s="20" t="str">
        <f>D414 &amp; "-" &amp; VLOOKUP(D414,[4]STRATEGIES!$E$1:$F$504,2,FALSE)</f>
        <v>1613-Construction de salles de classe avec rampe d’accès au lycée en tenant compte de la prévention des catastrophes naturelles, y compris les FA</v>
      </c>
      <c r="AD414" s="21" t="str">
        <f t="shared" si="90"/>
        <v>16132-Validation des sites devant bénéficier de construction de salles de classe (Pris en compte dans activité 12222)</v>
      </c>
    </row>
    <row r="415" spans="1:30" s="22" customFormat="1" ht="45" hidden="1" customHeight="1" x14ac:dyDescent="0.8">
      <c r="A415" s="14">
        <v>1</v>
      </c>
      <c r="B415" s="15">
        <v>16</v>
      </c>
      <c r="C415" s="15">
        <v>161</v>
      </c>
      <c r="D415" s="15">
        <v>1613</v>
      </c>
      <c r="E415" s="15">
        <v>16133</v>
      </c>
      <c r="F415" s="16" t="s">
        <v>410</v>
      </c>
      <c r="G415" s="21" t="s">
        <v>103</v>
      </c>
      <c r="H415" s="17" t="s">
        <v>539</v>
      </c>
      <c r="I415" s="18">
        <v>0</v>
      </c>
      <c r="J415" s="18">
        <f>(525*0.3)*50%</f>
        <v>78.75</v>
      </c>
      <c r="K415" s="18">
        <f>(525*0.5)*50%</f>
        <v>131.25</v>
      </c>
      <c r="L415" s="18">
        <f>(525*0.2)*50%</f>
        <v>52.5</v>
      </c>
      <c r="M415" s="18">
        <f>SUM(I415:L415)</f>
        <v>262.5</v>
      </c>
      <c r="N415" s="18">
        <f>IF(OR(H415="",H415="sif",H415="PM"),0,VLOOKUP(H415,[5]CU!$C$4:$H$255,6,FALSE))</f>
        <v>500</v>
      </c>
      <c r="O415" s="18">
        <f>$N415*I415</f>
        <v>0</v>
      </c>
      <c r="P415" s="18">
        <f>$N415*J415</f>
        <v>39375</v>
      </c>
      <c r="Q415" s="18">
        <f>$N415*K415</f>
        <v>65625</v>
      </c>
      <c r="R415" s="18">
        <f>$N415*L415</f>
        <v>26250</v>
      </c>
      <c r="S415" s="24">
        <f t="shared" ref="S415:S420" si="95">SUM(O415:R415)</f>
        <v>131250</v>
      </c>
      <c r="T415" s="23" t="s">
        <v>56</v>
      </c>
      <c r="U415" s="18" t="s">
        <v>529</v>
      </c>
      <c r="V415" s="18" t="str">
        <f>IF(OR($H415="",$H415="sif",$H415="PM"),"",VLOOKUP($H415,[5]CU!$C$5:$J$255,8,FALSE))</f>
        <v>5. Investissement</v>
      </c>
      <c r="W415" s="18" t="s">
        <v>98</v>
      </c>
      <c r="X415" s="18" t="s">
        <v>98</v>
      </c>
      <c r="Y415" s="19" t="s">
        <v>32</v>
      </c>
      <c r="Z415" s="18" t="str">
        <f>A415 &amp; "-" &amp; VLOOKUP(A415,[4]PROGRAMMES!$E$1:$F$7,2,FALSE)</f>
        <v>1-Accès et équité à l'enseignement général</v>
      </c>
      <c r="AA415" s="19" t="str">
        <f>B415 &amp; "-" &amp; VLOOKUP(B415,[4]SOUSPROGRAMMES!$E$1:$F$44,2,FALSE)</f>
        <v>16- Accès et équité au lycée</v>
      </c>
      <c r="AB415" s="19" t="str">
        <f>C415 &amp; "-" &amp; VLOOKUP(C415,[4]RESULTATS!$E$1:$F$176,2,FALSE)</f>
        <v>161- L’accès au lycée est maitrisé en tenant compte de l’équité et de la diversification des filières</v>
      </c>
      <c r="AC415" s="20" t="str">
        <f>D415 &amp; "-" &amp; VLOOKUP(D415,[4]STRATEGIES!$E$1:$F$504,2,FALSE)</f>
        <v>1613-Construction de salles de classe avec rampe d’accès au lycée en tenant compte de la prévention des catastrophes naturelles, y compris les FA</v>
      </c>
      <c r="AD415" s="21" t="str">
        <f t="shared" si="90"/>
        <v>16133-Réalisation des travaux de construction des salles de classe</v>
      </c>
    </row>
    <row r="416" spans="1:30" s="22" customFormat="1" ht="45" hidden="1" customHeight="1" x14ac:dyDescent="0.8">
      <c r="A416" s="14">
        <v>1</v>
      </c>
      <c r="B416" s="15">
        <v>16</v>
      </c>
      <c r="C416" s="15">
        <v>161</v>
      </c>
      <c r="D416" s="15">
        <v>1613</v>
      </c>
      <c r="E416" s="15">
        <v>16133</v>
      </c>
      <c r="F416" s="16" t="s">
        <v>410</v>
      </c>
      <c r="G416" s="21" t="s">
        <v>103</v>
      </c>
      <c r="H416" s="17" t="s">
        <v>539</v>
      </c>
      <c r="I416" s="18">
        <v>0</v>
      </c>
      <c r="J416" s="18">
        <f>(525*0.3)*50%</f>
        <v>78.75</v>
      </c>
      <c r="K416" s="18">
        <f>(525*0.5)*50%</f>
        <v>131.25</v>
      </c>
      <c r="L416" s="18">
        <f>(525*0.2)*50%</f>
        <v>52.5</v>
      </c>
      <c r="M416" s="18">
        <f t="shared" ref="M416:M426" si="96">SUM(I416:L416)</f>
        <v>262.5</v>
      </c>
      <c r="N416" s="18">
        <f>IF(OR(H416="",H416="sif",H416="PM"),0,VLOOKUP(H416,[5]CU!$C$4:$H$255,6,FALSE))</f>
        <v>500</v>
      </c>
      <c r="O416" s="18">
        <f t="shared" ref="O416:R420" si="97">$N416*I416</f>
        <v>0</v>
      </c>
      <c r="P416" s="18">
        <f t="shared" si="97"/>
        <v>39375</v>
      </c>
      <c r="Q416" s="18">
        <f t="shared" si="97"/>
        <v>65625</v>
      </c>
      <c r="R416" s="18">
        <f t="shared" si="97"/>
        <v>26250</v>
      </c>
      <c r="S416" s="24">
        <f t="shared" si="95"/>
        <v>131250</v>
      </c>
      <c r="T416" s="23" t="s">
        <v>118</v>
      </c>
      <c r="U416" s="18" t="s">
        <v>529</v>
      </c>
      <c r="V416" s="18" t="str">
        <f>IF(OR($H416="",$H416="sif",$H416="PM"),"",VLOOKUP($H416,[5]CU!$C$5:$J$255,8,FALSE))</f>
        <v>5. Investissement</v>
      </c>
      <c r="W416" s="18" t="s">
        <v>98</v>
      </c>
      <c r="X416" s="18" t="s">
        <v>98</v>
      </c>
      <c r="Y416" s="19" t="s">
        <v>32</v>
      </c>
      <c r="Z416" s="18" t="str">
        <f>A416 &amp; "-" &amp; VLOOKUP(A416,[4]PROGRAMMES!$E$1:$F$7,2,FALSE)</f>
        <v>1-Accès et équité à l'enseignement général</v>
      </c>
      <c r="AA416" s="19" t="str">
        <f>B416 &amp; "-" &amp; VLOOKUP(B416,[4]SOUSPROGRAMMES!$E$1:$F$44,2,FALSE)</f>
        <v>16- Accès et équité au lycée</v>
      </c>
      <c r="AB416" s="19" t="str">
        <f>C416 &amp; "-" &amp; VLOOKUP(C416,[4]RESULTATS!$E$1:$F$176,2,FALSE)</f>
        <v>161- L’accès au lycée est maitrisé en tenant compte de l’équité et de la diversification des filières</v>
      </c>
      <c r="AC416" s="20" t="str">
        <f>D416 &amp; "-" &amp; VLOOKUP(D416,[4]STRATEGIES!$E$1:$F$504,2,FALSE)</f>
        <v>1613-Construction de salles de classe avec rampe d’accès au lycée en tenant compte de la prévention des catastrophes naturelles, y compris les FA</v>
      </c>
      <c r="AD416" s="21" t="str">
        <f t="shared" si="90"/>
        <v>16133-Réalisation des travaux de construction des salles de classe</v>
      </c>
    </row>
    <row r="417" spans="1:30" s="22" customFormat="1" ht="45" hidden="1" customHeight="1" x14ac:dyDescent="0.8">
      <c r="A417" s="14">
        <v>1</v>
      </c>
      <c r="B417" s="15">
        <v>16</v>
      </c>
      <c r="C417" s="15">
        <v>161</v>
      </c>
      <c r="D417" s="15">
        <v>1613</v>
      </c>
      <c r="E417" s="15">
        <v>16134</v>
      </c>
      <c r="F417" s="16" t="s">
        <v>415</v>
      </c>
      <c r="G417" s="21" t="s">
        <v>416</v>
      </c>
      <c r="H417" s="17" t="s">
        <v>540</v>
      </c>
      <c r="I417" s="18">
        <v>0</v>
      </c>
      <c r="J417" s="18">
        <f>(J415)*50%</f>
        <v>39.375</v>
      </c>
      <c r="K417" s="18">
        <f>(K415)*50%</f>
        <v>65.625</v>
      </c>
      <c r="L417" s="18">
        <f>(L415)*50%</f>
        <v>26.25</v>
      </c>
      <c r="M417" s="18">
        <f>SUM(I417:L417)</f>
        <v>131.25</v>
      </c>
      <c r="N417" s="18">
        <f>IF(OR(H417="",H417="sif",H417="PM"),0,VLOOKUP(H417,[5]CU!$C$4:$H$255,6,FALSE))</f>
        <v>45.833333333333336</v>
      </c>
      <c r="O417" s="18">
        <f>$N417*I417</f>
        <v>0</v>
      </c>
      <c r="P417" s="18">
        <f>$N417*J417</f>
        <v>1804.6875</v>
      </c>
      <c r="Q417" s="18">
        <f>$N417*K417</f>
        <v>3007.8125</v>
      </c>
      <c r="R417" s="18">
        <f>$N417*L417</f>
        <v>1203.125</v>
      </c>
      <c r="S417" s="24">
        <f t="shared" si="95"/>
        <v>6015.625</v>
      </c>
      <c r="T417" s="23" t="s">
        <v>56</v>
      </c>
      <c r="U417" s="18" t="s">
        <v>529</v>
      </c>
      <c r="V417" s="18" t="str">
        <f>IF(OR($H417="",$H417="sif",$H417="PM"),"",VLOOKUP($H417,[5]CU!$C$5:$J$255,8,FALSE))</f>
        <v>5. Investissement</v>
      </c>
      <c r="W417" s="18" t="s">
        <v>98</v>
      </c>
      <c r="X417" s="18" t="s">
        <v>98</v>
      </c>
      <c r="Y417" s="19" t="s">
        <v>32</v>
      </c>
      <c r="Z417" s="18" t="str">
        <f>A417 &amp; "-" &amp; VLOOKUP(A417,[4]PROGRAMMES!$E$1:$F$7,2,FALSE)</f>
        <v>1-Accès et équité à l'enseignement général</v>
      </c>
      <c r="AA417" s="19" t="str">
        <f>B417 &amp; "-" &amp; VLOOKUP(B417,[4]SOUSPROGRAMMES!$E$1:$F$44,2,FALSE)</f>
        <v>16- Accès et équité au lycée</v>
      </c>
      <c r="AB417" s="19" t="str">
        <f>C417 &amp; "-" &amp; VLOOKUP(C417,[4]RESULTATS!$E$1:$F$176,2,FALSE)</f>
        <v>161- L’accès au lycée est maitrisé en tenant compte de l’équité et de la diversification des filières</v>
      </c>
      <c r="AC417" s="20" t="str">
        <f>D417 &amp; "-" &amp; VLOOKUP(D417,[4]STRATEGIES!$E$1:$F$504,2,FALSE)</f>
        <v>1613-Construction de salles de classe avec rampe d’accès au lycée en tenant compte de la prévention des catastrophes naturelles, y compris les FA</v>
      </c>
      <c r="AD417" s="21" t="str">
        <f t="shared" si="90"/>
        <v>16134-Equipement des salles de classe en mobiliers scolaires</v>
      </c>
    </row>
    <row r="418" spans="1:30" s="22" customFormat="1" ht="45" hidden="1" customHeight="1" x14ac:dyDescent="0.8">
      <c r="A418" s="14">
        <v>1</v>
      </c>
      <c r="B418" s="15">
        <v>16</v>
      </c>
      <c r="C418" s="15">
        <v>161</v>
      </c>
      <c r="D418" s="15">
        <v>1613</v>
      </c>
      <c r="E418" s="15">
        <v>16134</v>
      </c>
      <c r="F418" s="16" t="s">
        <v>415</v>
      </c>
      <c r="G418" s="21" t="s">
        <v>416</v>
      </c>
      <c r="H418" s="17" t="s">
        <v>540</v>
      </c>
      <c r="I418" s="18">
        <v>0</v>
      </c>
      <c r="J418" s="18">
        <f>(J415)*50%</f>
        <v>39.375</v>
      </c>
      <c r="K418" s="18">
        <f>(K415)*50%</f>
        <v>65.625</v>
      </c>
      <c r="L418" s="18">
        <f>(L415)*50%</f>
        <v>26.25</v>
      </c>
      <c r="M418" s="18">
        <f t="shared" si="96"/>
        <v>131.25</v>
      </c>
      <c r="N418" s="18">
        <f>IF(OR(H418="",H418="sif",H418="PM"),0,VLOOKUP(H418,[5]CU!$C$4:$H$255,6,FALSE))</f>
        <v>45.833333333333336</v>
      </c>
      <c r="O418" s="18">
        <f t="shared" si="97"/>
        <v>0</v>
      </c>
      <c r="P418" s="18">
        <f t="shared" si="97"/>
        <v>1804.6875</v>
      </c>
      <c r="Q418" s="18">
        <f t="shared" si="97"/>
        <v>3007.8125</v>
      </c>
      <c r="R418" s="18">
        <f t="shared" si="97"/>
        <v>1203.125</v>
      </c>
      <c r="S418" s="24">
        <f t="shared" si="95"/>
        <v>6015.625</v>
      </c>
      <c r="T418" s="23" t="s">
        <v>118</v>
      </c>
      <c r="U418" s="18" t="s">
        <v>529</v>
      </c>
      <c r="V418" s="18" t="str">
        <f>IF(OR($H418="",$H418="sif",$H418="PM"),"",VLOOKUP($H418,[5]CU!$C$5:$J$255,8,FALSE))</f>
        <v>5. Investissement</v>
      </c>
      <c r="W418" s="18" t="s">
        <v>98</v>
      </c>
      <c r="X418" s="18" t="s">
        <v>98</v>
      </c>
      <c r="Y418" s="19" t="s">
        <v>32</v>
      </c>
      <c r="Z418" s="18" t="str">
        <f>A418 &amp; "-" &amp; VLOOKUP(A418,[4]PROGRAMMES!$E$1:$F$7,2,FALSE)</f>
        <v>1-Accès et équité à l'enseignement général</v>
      </c>
      <c r="AA418" s="19" t="str">
        <f>B418 &amp; "-" &amp; VLOOKUP(B418,[4]SOUSPROGRAMMES!$E$1:$F$44,2,FALSE)</f>
        <v>16- Accès et équité au lycée</v>
      </c>
      <c r="AB418" s="19" t="str">
        <f>C418 &amp; "-" &amp; VLOOKUP(C418,[4]RESULTATS!$E$1:$F$176,2,FALSE)</f>
        <v>161- L’accès au lycée est maitrisé en tenant compte de l’équité et de la diversification des filières</v>
      </c>
      <c r="AC418" s="20" t="str">
        <f>D418 &amp; "-" &amp; VLOOKUP(D418,[4]STRATEGIES!$E$1:$F$504,2,FALSE)</f>
        <v>1613-Construction de salles de classe avec rampe d’accès au lycée en tenant compte de la prévention des catastrophes naturelles, y compris les FA</v>
      </c>
      <c r="AD418" s="21" t="str">
        <f t="shared" si="90"/>
        <v>16134-Equipement des salles de classe en mobiliers scolaires</v>
      </c>
    </row>
    <row r="419" spans="1:30" s="22" customFormat="1" ht="45" hidden="1" customHeight="1" x14ac:dyDescent="0.8">
      <c r="A419" s="14">
        <v>1</v>
      </c>
      <c r="B419" s="15">
        <v>16</v>
      </c>
      <c r="C419" s="15">
        <v>161</v>
      </c>
      <c r="D419" s="15">
        <v>1613</v>
      </c>
      <c r="E419" s="15">
        <v>16135</v>
      </c>
      <c r="F419" s="16" t="s">
        <v>541</v>
      </c>
      <c r="G419" s="21" t="s">
        <v>366</v>
      </c>
      <c r="H419" s="17" t="s">
        <v>110</v>
      </c>
      <c r="I419" s="18">
        <v>0</v>
      </c>
      <c r="J419" s="18">
        <f>(J415)*50%</f>
        <v>39.375</v>
      </c>
      <c r="K419" s="18">
        <f>(K415)*50%</f>
        <v>65.625</v>
      </c>
      <c r="L419" s="18">
        <f>(L415)*50%</f>
        <v>26.25</v>
      </c>
      <c r="M419" s="18">
        <f>SUM(I419:L419)</f>
        <v>131.25</v>
      </c>
      <c r="N419" s="18">
        <f>IF(OR(H419="",H419="sif",H419="PM"),0,VLOOKUP(H419,[5]CU!$C$4:$H$255,6,FALSE))</f>
        <v>7.1760000000000002</v>
      </c>
      <c r="O419" s="18">
        <f>$N419*I419</f>
        <v>0</v>
      </c>
      <c r="P419" s="18">
        <f>$N419*J419</f>
        <v>282.55500000000001</v>
      </c>
      <c r="Q419" s="18">
        <f>$N419*K419</f>
        <v>470.92500000000001</v>
      </c>
      <c r="R419" s="18">
        <f>$N419*L419</f>
        <v>188.37</v>
      </c>
      <c r="S419" s="24">
        <f t="shared" si="95"/>
        <v>941.85</v>
      </c>
      <c r="T419" s="23" t="s">
        <v>56</v>
      </c>
      <c r="U419" s="18" t="s">
        <v>529</v>
      </c>
      <c r="V419" s="18" t="str">
        <f>IF(OR($H419="",$H419="sif",$H419="PM"),"",VLOOKUP($H419,[5]CU!$C$5:$J$255,8,FALSE))</f>
        <v>3. Dépenses de fonctionnement</v>
      </c>
      <c r="W419" s="18" t="s">
        <v>98</v>
      </c>
      <c r="X419" s="18" t="s">
        <v>98</v>
      </c>
      <c r="Y419" s="19" t="s">
        <v>32</v>
      </c>
      <c r="Z419" s="18" t="str">
        <f>A419 &amp; "-" &amp; VLOOKUP(A419,[4]PROGRAMMES!$E$1:$F$7,2,FALSE)</f>
        <v>1-Accès et équité à l'enseignement général</v>
      </c>
      <c r="AA419" s="19" t="str">
        <f>B419 &amp; "-" &amp; VLOOKUP(B419,[4]SOUSPROGRAMMES!$E$1:$F$44,2,FALSE)</f>
        <v>16- Accès et équité au lycée</v>
      </c>
      <c r="AB419" s="19" t="str">
        <f>C419 &amp; "-" &amp; VLOOKUP(C419,[4]RESULTATS!$E$1:$F$176,2,FALSE)</f>
        <v>161- L’accès au lycée est maitrisé en tenant compte de l’équité et de la diversification des filières</v>
      </c>
      <c r="AC419" s="20" t="str">
        <f>D419 &amp; "-" &amp; VLOOKUP(D419,[4]STRATEGIES!$E$1:$F$504,2,FALSE)</f>
        <v>1613-Construction de salles de classe avec rampe d’accès au lycée en tenant compte de la prévention des catastrophes naturelles, y compris les FA</v>
      </c>
      <c r="AD419" s="21" t="str">
        <f t="shared" si="90"/>
        <v xml:space="preserve">16135-Supervision de la construction des salles de classe </v>
      </c>
    </row>
    <row r="420" spans="1:30" s="22" customFormat="1" ht="45" hidden="1" customHeight="1" x14ac:dyDescent="0.8">
      <c r="A420" s="14">
        <v>1</v>
      </c>
      <c r="B420" s="15">
        <v>16</v>
      </c>
      <c r="C420" s="15">
        <v>161</v>
      </c>
      <c r="D420" s="15">
        <v>1613</v>
      </c>
      <c r="E420" s="15">
        <v>16135</v>
      </c>
      <c r="F420" s="16" t="s">
        <v>541</v>
      </c>
      <c r="G420" s="21" t="s">
        <v>366</v>
      </c>
      <c r="H420" s="17" t="s">
        <v>110</v>
      </c>
      <c r="I420" s="18">
        <v>0</v>
      </c>
      <c r="J420" s="18">
        <f>(J415)*50%</f>
        <v>39.375</v>
      </c>
      <c r="K420" s="18">
        <f>(K415)*50%</f>
        <v>65.625</v>
      </c>
      <c r="L420" s="18">
        <f>(L415)*50%</f>
        <v>26.25</v>
      </c>
      <c r="M420" s="18">
        <f t="shared" si="96"/>
        <v>131.25</v>
      </c>
      <c r="N420" s="18">
        <f>IF(OR(H420="",H420="sif",H420="PM"),0,VLOOKUP(H420,[5]CU!$C$4:$H$255,6,FALSE))</f>
        <v>7.1760000000000002</v>
      </c>
      <c r="O420" s="18">
        <f t="shared" si="97"/>
        <v>0</v>
      </c>
      <c r="P420" s="18">
        <f t="shared" si="97"/>
        <v>282.55500000000001</v>
      </c>
      <c r="Q420" s="18">
        <f t="shared" si="97"/>
        <v>470.92500000000001</v>
      </c>
      <c r="R420" s="18">
        <f t="shared" si="97"/>
        <v>188.37</v>
      </c>
      <c r="S420" s="24">
        <f t="shared" si="95"/>
        <v>941.85</v>
      </c>
      <c r="T420" s="23" t="s">
        <v>118</v>
      </c>
      <c r="U420" s="18" t="s">
        <v>529</v>
      </c>
      <c r="V420" s="18" t="str">
        <f>IF(OR($H420="",$H420="sif",$H420="PM"),"",VLOOKUP($H420,[5]CU!$C$5:$J$255,8,FALSE))</f>
        <v>3. Dépenses de fonctionnement</v>
      </c>
      <c r="W420" s="18" t="s">
        <v>98</v>
      </c>
      <c r="X420" s="18" t="s">
        <v>98</v>
      </c>
      <c r="Y420" s="19" t="s">
        <v>32</v>
      </c>
      <c r="Z420" s="18" t="str">
        <f>A420 &amp; "-" &amp; VLOOKUP(A420,[4]PROGRAMMES!$E$1:$F$7,2,FALSE)</f>
        <v>1-Accès et équité à l'enseignement général</v>
      </c>
      <c r="AA420" s="19" t="str">
        <f>B420 &amp; "-" &amp; VLOOKUP(B420,[4]SOUSPROGRAMMES!$E$1:$F$44,2,FALSE)</f>
        <v>16- Accès et équité au lycée</v>
      </c>
      <c r="AB420" s="19" t="str">
        <f>C420 &amp; "-" &amp; VLOOKUP(C420,[4]RESULTATS!$E$1:$F$176,2,FALSE)</f>
        <v>161- L’accès au lycée est maitrisé en tenant compte de l’équité et de la diversification des filières</v>
      </c>
      <c r="AC420" s="20" t="str">
        <f>D420 &amp; "-" &amp; VLOOKUP(D420,[4]STRATEGIES!$E$1:$F$504,2,FALSE)</f>
        <v>1613-Construction de salles de classe avec rampe d’accès au lycée en tenant compte de la prévention des catastrophes naturelles, y compris les FA</v>
      </c>
      <c r="AD420" s="21" t="str">
        <f t="shared" si="90"/>
        <v xml:space="preserve">16135-Supervision de la construction des salles de classe </v>
      </c>
    </row>
    <row r="421" spans="1:30" s="22" customFormat="1" ht="45" hidden="1" customHeight="1" x14ac:dyDescent="0.8">
      <c r="A421" s="14">
        <v>1</v>
      </c>
      <c r="B421" s="15">
        <v>16</v>
      </c>
      <c r="C421" s="15">
        <v>161</v>
      </c>
      <c r="D421" s="15">
        <v>1614</v>
      </c>
      <c r="E421" s="15">
        <v>1614</v>
      </c>
      <c r="F421" s="16" t="s">
        <v>542</v>
      </c>
      <c r="G421" s="17"/>
      <c r="H421" s="17"/>
      <c r="I421" s="18">
        <v>0</v>
      </c>
      <c r="J421" s="18"/>
      <c r="K421" s="18"/>
      <c r="L421" s="18"/>
      <c r="M421" s="18"/>
      <c r="N421" s="18"/>
      <c r="O421" s="18"/>
      <c r="P421" s="18"/>
      <c r="Q421" s="18"/>
      <c r="R421" s="18"/>
      <c r="S421" s="24"/>
      <c r="T421" s="18"/>
      <c r="U421" s="18"/>
      <c r="V421" s="18"/>
      <c r="W421" s="18"/>
      <c r="X421" s="18"/>
      <c r="Y421" s="19" t="s">
        <v>32</v>
      </c>
      <c r="Z421" s="18" t="str">
        <f>A421 &amp; "-" &amp; VLOOKUP(A421,[4]PROGRAMMES!$E$1:$F$7,2,FALSE)</f>
        <v>1-Accès et équité à l'enseignement général</v>
      </c>
      <c r="AA421" s="19" t="str">
        <f>B421 &amp; "-" &amp; VLOOKUP(B421,[4]SOUSPROGRAMMES!$E$1:$F$44,2,FALSE)</f>
        <v>16- Accès et équité au lycée</v>
      </c>
      <c r="AB421" s="19" t="str">
        <f>C421 &amp; "-" &amp; VLOOKUP(C421,[4]RESULTATS!$E$1:$F$176,2,FALSE)</f>
        <v>161- L’accès au lycée est maitrisé en tenant compte de l’équité et de la diversification des filières</v>
      </c>
      <c r="AC421" s="20" t="str">
        <f>D421 &amp; "-" &amp; VLOOKUP(D421,[4]STRATEGIES!$E$1:$F$504,2,FALSE)</f>
        <v>1614-Réhabilitation/rénovation de salles de classe au Lycée en tenant compte de la prévention des catastrophes naturelles, y compris les FA</v>
      </c>
      <c r="AD421" s="21" t="str">
        <f t="shared" si="90"/>
        <v>1614-Réhabilitation/rénovation de salles de classe au Lycée en tenant compte de la prévention des catastrophes naturelles, y compris les FA</v>
      </c>
    </row>
    <row r="422" spans="1:30" s="22" customFormat="1" ht="45" hidden="1" customHeight="1" x14ac:dyDescent="0.8">
      <c r="A422" s="14">
        <v>1</v>
      </c>
      <c r="B422" s="15">
        <v>16</v>
      </c>
      <c r="C422" s="15">
        <v>161</v>
      </c>
      <c r="D422" s="15">
        <v>1614</v>
      </c>
      <c r="E422" s="15">
        <v>16141</v>
      </c>
      <c r="F422" s="16" t="s">
        <v>543</v>
      </c>
      <c r="G422" s="21" t="s">
        <v>159</v>
      </c>
      <c r="H422" s="17" t="s">
        <v>55</v>
      </c>
      <c r="I422" s="18">
        <v>0</v>
      </c>
      <c r="J422" s="18">
        <v>1</v>
      </c>
      <c r="K422" s="18">
        <v>1</v>
      </c>
      <c r="L422" s="18">
        <v>1</v>
      </c>
      <c r="M422" s="18">
        <f t="shared" si="96"/>
        <v>3</v>
      </c>
      <c r="N422" s="18">
        <f>IF(OR(H422="",H422="sif",H422="PM"),0,VLOOKUP(H422,[5]CU!$C$4:$H$255,6,FALSE))</f>
        <v>0</v>
      </c>
      <c r="O422" s="18"/>
      <c r="P422" s="18"/>
      <c r="Q422" s="18"/>
      <c r="R422" s="18"/>
      <c r="S422" s="24"/>
      <c r="T422" s="23" t="s">
        <v>56</v>
      </c>
      <c r="U422" s="18" t="s">
        <v>529</v>
      </c>
      <c r="V422" s="18" t="str">
        <f>IF(OR($H422="",$H422="sif",$H422="PM"),"",VLOOKUP($H422,[5]CU!$C$5:$J$255,8,FALSE))</f>
        <v/>
      </c>
      <c r="W422" s="18" t="s">
        <v>96</v>
      </c>
      <c r="X422" s="18" t="s">
        <v>421</v>
      </c>
      <c r="Y422" s="19" t="s">
        <v>32</v>
      </c>
      <c r="Z422" s="18" t="str">
        <f>A422 &amp; "-" &amp; VLOOKUP(A422,[4]PROGRAMMES!$E$1:$F$7,2,FALSE)</f>
        <v>1-Accès et équité à l'enseignement général</v>
      </c>
      <c r="AA422" s="19" t="str">
        <f>B422 &amp; "-" &amp; VLOOKUP(B422,[4]SOUSPROGRAMMES!$E$1:$F$44,2,FALSE)</f>
        <v>16- Accès et équité au lycée</v>
      </c>
      <c r="AB422" s="19" t="str">
        <f>C422 &amp; "-" &amp; VLOOKUP(C422,[4]RESULTATS!$E$1:$F$176,2,FALSE)</f>
        <v>161- L’accès au lycée est maitrisé en tenant compte de l’équité et de la diversification des filières</v>
      </c>
      <c r="AC422" s="20" t="str">
        <f>D422 &amp; "-" &amp; VLOOKUP(D422,[4]STRATEGIES!$E$1:$F$504,2,FALSE)</f>
        <v>1614-Réhabilitation/rénovation de salles de classe au Lycée en tenant compte de la prévention des catastrophes naturelles, y compris les FA</v>
      </c>
      <c r="AD422" s="21" t="str">
        <f t="shared" si="90"/>
        <v>16141-Identification des établissements et des localités devant bénéficier de réhabilitation ou de rénovation de salles de classe (activité 12222)</v>
      </c>
    </row>
    <row r="423" spans="1:30" s="22" customFormat="1" ht="45" hidden="1" customHeight="1" x14ac:dyDescent="0.8">
      <c r="A423" s="14">
        <v>1</v>
      </c>
      <c r="B423" s="15">
        <v>16</v>
      </c>
      <c r="C423" s="15">
        <v>161</v>
      </c>
      <c r="D423" s="15">
        <v>1614</v>
      </c>
      <c r="E423" s="15">
        <v>16142</v>
      </c>
      <c r="F423" s="16" t="s">
        <v>544</v>
      </c>
      <c r="G423" s="21" t="s">
        <v>159</v>
      </c>
      <c r="H423" s="17" t="s">
        <v>55</v>
      </c>
      <c r="I423" s="18">
        <v>0</v>
      </c>
      <c r="J423" s="18">
        <v>1</v>
      </c>
      <c r="K423" s="18">
        <v>1</v>
      </c>
      <c r="L423" s="18">
        <v>1</v>
      </c>
      <c r="M423" s="18">
        <f t="shared" si="96"/>
        <v>3</v>
      </c>
      <c r="N423" s="18">
        <f>IF(OR(H423="",H423="sif",H423="PM"),0,VLOOKUP(H423,[5]CU!$C$4:$H$255,6,FALSE))</f>
        <v>0</v>
      </c>
      <c r="O423" s="18"/>
      <c r="P423" s="18"/>
      <c r="Q423" s="18"/>
      <c r="R423" s="18"/>
      <c r="S423" s="24"/>
      <c r="T423" s="23" t="s">
        <v>56</v>
      </c>
      <c r="U423" s="18" t="s">
        <v>529</v>
      </c>
      <c r="V423" s="18" t="str">
        <f>IF(OR($H423="",$H423="sif",$H423="PM"),"",VLOOKUP($H423,[5]CU!$C$5:$J$255,8,FALSE))</f>
        <v/>
      </c>
      <c r="W423" s="18" t="s">
        <v>98</v>
      </c>
      <c r="X423" s="18" t="s">
        <v>469</v>
      </c>
      <c r="Y423" s="19" t="s">
        <v>32</v>
      </c>
      <c r="Z423" s="18" t="str">
        <f>A423 &amp; "-" &amp; VLOOKUP(A423,[4]PROGRAMMES!$E$1:$F$7,2,FALSE)</f>
        <v>1-Accès et équité à l'enseignement général</v>
      </c>
      <c r="AA423" s="19" t="str">
        <f>B423 &amp; "-" &amp; VLOOKUP(B423,[4]SOUSPROGRAMMES!$E$1:$F$44,2,FALSE)</f>
        <v>16- Accès et équité au lycée</v>
      </c>
      <c r="AB423" s="19" t="str">
        <f>C423 &amp; "-" &amp; VLOOKUP(C423,[4]RESULTATS!$E$1:$F$176,2,FALSE)</f>
        <v>161- L’accès au lycée est maitrisé en tenant compte de l’équité et de la diversification des filières</v>
      </c>
      <c r="AC423" s="20" t="str">
        <f>D423 &amp; "-" &amp; VLOOKUP(D423,[4]STRATEGIES!$E$1:$F$504,2,FALSE)</f>
        <v>1614-Réhabilitation/rénovation de salles de classe au Lycée en tenant compte de la prévention des catastrophes naturelles, y compris les FA</v>
      </c>
      <c r="AD423" s="21" t="str">
        <f t="shared" si="90"/>
        <v>16142-Validation des sites devant bénéficier de réhabilitation/rénovation (activité 12222)</v>
      </c>
    </row>
    <row r="424" spans="1:30" s="22" customFormat="1" ht="45" hidden="1" customHeight="1" x14ac:dyDescent="0.8">
      <c r="A424" s="14">
        <v>1</v>
      </c>
      <c r="B424" s="15">
        <v>16</v>
      </c>
      <c r="C424" s="15">
        <v>161</v>
      </c>
      <c r="D424" s="15">
        <v>1614</v>
      </c>
      <c r="E424" s="15">
        <v>16143</v>
      </c>
      <c r="F424" s="16" t="s">
        <v>408</v>
      </c>
      <c r="G424" s="21" t="s">
        <v>374</v>
      </c>
      <c r="H424" s="17" t="s">
        <v>545</v>
      </c>
      <c r="I424" s="18">
        <v>0</v>
      </c>
      <c r="J424" s="18">
        <f>30*0.3</f>
        <v>9</v>
      </c>
      <c r="K424" s="18">
        <f>30*0.5</f>
        <v>15</v>
      </c>
      <c r="L424" s="18">
        <f>30*0.2</f>
        <v>6</v>
      </c>
      <c r="M424" s="18">
        <f t="shared" si="96"/>
        <v>30</v>
      </c>
      <c r="N424" s="18">
        <f>IF(OR(H424="",H424="sif",H424="PM"),0,VLOOKUP(H424,[5]CU!$C$4:$H$255,6,FALSE))</f>
        <v>83.35</v>
      </c>
      <c r="O424" s="18">
        <f t="shared" ref="O424:R426" si="98">$N424*I424</f>
        <v>0</v>
      </c>
      <c r="P424" s="18">
        <f t="shared" si="98"/>
        <v>750.15</v>
      </c>
      <c r="Q424" s="18">
        <f t="shared" si="98"/>
        <v>1250.25</v>
      </c>
      <c r="R424" s="18">
        <f t="shared" si="98"/>
        <v>500.09999999999997</v>
      </c>
      <c r="S424" s="24">
        <f>SUM(O424:R424)</f>
        <v>2500.5</v>
      </c>
      <c r="T424" s="23" t="s">
        <v>56</v>
      </c>
      <c r="U424" s="18" t="s">
        <v>529</v>
      </c>
      <c r="V424" s="18" t="str">
        <f>IF(OR($H424="",$H424="sif",$H424="PM"),"",VLOOKUP($H424,[5]CU!$C$5:$J$255,8,FALSE))</f>
        <v>5. Investissement</v>
      </c>
      <c r="W424" s="18" t="s">
        <v>98</v>
      </c>
      <c r="X424" s="18" t="s">
        <v>546</v>
      </c>
      <c r="Y424" s="19" t="s">
        <v>32</v>
      </c>
      <c r="Z424" s="18" t="str">
        <f>A424 &amp; "-" &amp; VLOOKUP(A424,[4]PROGRAMMES!$E$1:$F$7,2,FALSE)</f>
        <v>1-Accès et équité à l'enseignement général</v>
      </c>
      <c r="AA424" s="19" t="str">
        <f>B424 &amp; "-" &amp; VLOOKUP(B424,[4]SOUSPROGRAMMES!$E$1:$F$44,2,FALSE)</f>
        <v>16- Accès et équité au lycée</v>
      </c>
      <c r="AB424" s="19" t="str">
        <f>C424 &amp; "-" &amp; VLOOKUP(C424,[4]RESULTATS!$E$1:$F$176,2,FALSE)</f>
        <v>161- L’accès au lycée est maitrisé en tenant compte de l’équité et de la diversification des filières</v>
      </c>
      <c r="AC424" s="20" t="str">
        <f>D424 &amp; "-" &amp; VLOOKUP(D424,[4]STRATEGIES!$E$1:$F$504,2,FALSE)</f>
        <v>1614-Réhabilitation/rénovation de salles de classe au Lycée en tenant compte de la prévention des catastrophes naturelles, y compris les FA</v>
      </c>
      <c r="AD424" s="21" t="str">
        <f t="shared" si="90"/>
        <v>16143-Réalisation des travaux de réhabilitation ou de rénovation des salles de classe</v>
      </c>
    </row>
    <row r="425" spans="1:30" s="22" customFormat="1" ht="45" hidden="1" customHeight="1" x14ac:dyDescent="0.8">
      <c r="A425" s="14">
        <v>1</v>
      </c>
      <c r="B425" s="15">
        <v>16</v>
      </c>
      <c r="C425" s="15">
        <v>161</v>
      </c>
      <c r="D425" s="15">
        <v>1614</v>
      </c>
      <c r="E425" s="15">
        <v>16144</v>
      </c>
      <c r="F425" s="16" t="s">
        <v>415</v>
      </c>
      <c r="G425" s="21" t="s">
        <v>416</v>
      </c>
      <c r="H425" s="17" t="s">
        <v>540</v>
      </c>
      <c r="I425" s="18">
        <v>0</v>
      </c>
      <c r="J425" s="18">
        <f>J424</f>
        <v>9</v>
      </c>
      <c r="K425" s="18">
        <f>K424</f>
        <v>15</v>
      </c>
      <c r="L425" s="18">
        <f>L424</f>
        <v>6</v>
      </c>
      <c r="M425" s="18">
        <f t="shared" si="96"/>
        <v>30</v>
      </c>
      <c r="N425" s="18">
        <f>IF(OR(H425="",H425="sif",H425="PM"),0,VLOOKUP(H425,[5]CU!$C$4:$H$255,6,FALSE))</f>
        <v>45.833333333333336</v>
      </c>
      <c r="O425" s="18">
        <f t="shared" si="98"/>
        <v>0</v>
      </c>
      <c r="P425" s="18">
        <f t="shared" si="98"/>
        <v>412.5</v>
      </c>
      <c r="Q425" s="18">
        <f t="shared" si="98"/>
        <v>687.5</v>
      </c>
      <c r="R425" s="18">
        <f t="shared" si="98"/>
        <v>275</v>
      </c>
      <c r="S425" s="24">
        <f>SUM(O425:R425)</f>
        <v>1375</v>
      </c>
      <c r="T425" s="23" t="s">
        <v>56</v>
      </c>
      <c r="U425" s="18" t="s">
        <v>529</v>
      </c>
      <c r="V425" s="18" t="str">
        <f>IF(OR($H425="",$H425="sif",$H425="PM"),"",VLOOKUP($H425,[5]CU!$C$5:$J$255,8,FALSE))</f>
        <v>5. Investissement</v>
      </c>
      <c r="W425" s="18" t="s">
        <v>98</v>
      </c>
      <c r="X425" s="18" t="s">
        <v>546</v>
      </c>
      <c r="Y425" s="19" t="s">
        <v>32</v>
      </c>
      <c r="Z425" s="18" t="str">
        <f>A425 &amp; "-" &amp; VLOOKUP(A425,[4]PROGRAMMES!$E$1:$F$7,2,FALSE)</f>
        <v>1-Accès et équité à l'enseignement général</v>
      </c>
      <c r="AA425" s="19" t="str">
        <f>B425 &amp; "-" &amp; VLOOKUP(B425,[4]SOUSPROGRAMMES!$E$1:$F$44,2,FALSE)</f>
        <v>16- Accès et équité au lycée</v>
      </c>
      <c r="AB425" s="19" t="str">
        <f>C425 &amp; "-" &amp; VLOOKUP(C425,[4]RESULTATS!$E$1:$F$176,2,FALSE)</f>
        <v>161- L’accès au lycée est maitrisé en tenant compte de l’équité et de la diversification des filières</v>
      </c>
      <c r="AC425" s="20" t="str">
        <f>D425 &amp; "-" &amp; VLOOKUP(D425,[4]STRATEGIES!$E$1:$F$504,2,FALSE)</f>
        <v>1614-Réhabilitation/rénovation de salles de classe au Lycée en tenant compte de la prévention des catastrophes naturelles, y compris les FA</v>
      </c>
      <c r="AD425" s="21" t="str">
        <f t="shared" si="90"/>
        <v>16144-Equipement des salles de classe en mobiliers scolaires</v>
      </c>
    </row>
    <row r="426" spans="1:30" s="22" customFormat="1" ht="45" hidden="1" customHeight="1" x14ac:dyDescent="0.8">
      <c r="A426" s="14">
        <v>1</v>
      </c>
      <c r="B426" s="15">
        <v>16</v>
      </c>
      <c r="C426" s="15">
        <v>161</v>
      </c>
      <c r="D426" s="15">
        <v>1614</v>
      </c>
      <c r="E426" s="15">
        <v>16145</v>
      </c>
      <c r="F426" s="16" t="s">
        <v>547</v>
      </c>
      <c r="G426" s="21" t="s">
        <v>366</v>
      </c>
      <c r="H426" s="17" t="s">
        <v>138</v>
      </c>
      <c r="I426" s="18">
        <v>0</v>
      </c>
      <c r="J426" s="18">
        <f>J424</f>
        <v>9</v>
      </c>
      <c r="K426" s="18">
        <f>K424</f>
        <v>15</v>
      </c>
      <c r="L426" s="18">
        <f>L424</f>
        <v>6</v>
      </c>
      <c r="M426" s="18">
        <f t="shared" si="96"/>
        <v>30</v>
      </c>
      <c r="N426" s="18">
        <f>IF(OR(H426="",H426="sif",H426="PM"),0,VLOOKUP(H426,[5]CU!$C$4:$H$255,6,FALSE))</f>
        <v>1.7549999999999999</v>
      </c>
      <c r="O426" s="18">
        <f t="shared" si="98"/>
        <v>0</v>
      </c>
      <c r="P426" s="18">
        <f t="shared" si="98"/>
        <v>15.794999999999998</v>
      </c>
      <c r="Q426" s="18">
        <f t="shared" si="98"/>
        <v>26.324999999999999</v>
      </c>
      <c r="R426" s="18">
        <f t="shared" si="98"/>
        <v>10.53</v>
      </c>
      <c r="S426" s="24">
        <f>SUM(O426:R426)</f>
        <v>52.65</v>
      </c>
      <c r="T426" s="23" t="s">
        <v>56</v>
      </c>
      <c r="U426" s="18" t="s">
        <v>529</v>
      </c>
      <c r="V426" s="18" t="str">
        <f>IF(OR($H426="",$H426="sif",$H426="PM"),"",VLOOKUP($H426,[5]CU!$C$5:$J$255,8,FALSE))</f>
        <v>5. Investissement</v>
      </c>
      <c r="W426" s="18" t="s">
        <v>98</v>
      </c>
      <c r="X426" s="18" t="s">
        <v>548</v>
      </c>
      <c r="Y426" s="19" t="s">
        <v>32</v>
      </c>
      <c r="Z426" s="18" t="str">
        <f>A426 &amp; "-" &amp; VLOOKUP(A426,[4]PROGRAMMES!$E$1:$F$7,2,FALSE)</f>
        <v>1-Accès et équité à l'enseignement général</v>
      </c>
      <c r="AA426" s="19" t="str">
        <f>B426 &amp; "-" &amp; VLOOKUP(B426,[4]SOUSPROGRAMMES!$E$1:$F$44,2,FALSE)</f>
        <v>16- Accès et équité au lycée</v>
      </c>
      <c r="AB426" s="19" t="str">
        <f>C426 &amp; "-" &amp; VLOOKUP(C426,[4]RESULTATS!$E$1:$F$176,2,FALSE)</f>
        <v>161- L’accès au lycée est maitrisé en tenant compte de l’équité et de la diversification des filières</v>
      </c>
      <c r="AC426" s="20" t="str">
        <f>D426 &amp; "-" &amp; VLOOKUP(D426,[4]STRATEGIES!$E$1:$F$504,2,FALSE)</f>
        <v>1614-Réhabilitation/rénovation de salles de classe au Lycée en tenant compte de la prévention des catastrophes naturelles, y compris les FA</v>
      </c>
      <c r="AD426" s="21" t="str">
        <f t="shared" si="90"/>
        <v xml:space="preserve">16145-Supervision de la réhabilitation et de l'équipement des salles de classe </v>
      </c>
    </row>
    <row r="427" spans="1:30" s="22" customFormat="1" ht="45" hidden="1" customHeight="1" x14ac:dyDescent="0.8">
      <c r="A427" s="14">
        <v>1</v>
      </c>
      <c r="B427" s="15">
        <v>16</v>
      </c>
      <c r="C427" s="15">
        <v>162</v>
      </c>
      <c r="D427" s="15">
        <v>162</v>
      </c>
      <c r="E427" s="15">
        <v>162</v>
      </c>
      <c r="F427" s="16" t="s">
        <v>549</v>
      </c>
      <c r="G427" s="17"/>
      <c r="H427" s="17"/>
      <c r="I427" s="18">
        <v>0</v>
      </c>
      <c r="J427" s="18"/>
      <c r="K427" s="18"/>
      <c r="L427" s="18"/>
      <c r="M427" s="18"/>
      <c r="N427" s="18"/>
      <c r="O427" s="18"/>
      <c r="P427" s="18"/>
      <c r="Q427" s="18"/>
      <c r="R427" s="18"/>
      <c r="S427" s="24"/>
      <c r="T427" s="18"/>
      <c r="U427" s="18"/>
      <c r="V427" s="18"/>
      <c r="W427" s="18"/>
      <c r="X427" s="18"/>
      <c r="Y427" s="19" t="s">
        <v>32</v>
      </c>
      <c r="Z427" s="18" t="str">
        <f>A427 &amp; "-" &amp; VLOOKUP(A427,[4]PROGRAMMES!$E$1:$F$7,2,FALSE)</f>
        <v>1-Accès et équité à l'enseignement général</v>
      </c>
      <c r="AA427" s="19" t="str">
        <f>B427 &amp; "-" &amp; VLOOKUP(B427,[4]SOUSPROGRAMMES!$E$1:$F$44,2,FALSE)</f>
        <v>16- Accès et équité au lycée</v>
      </c>
      <c r="AB427" s="19" t="str">
        <f>C427 &amp; "-" &amp; VLOOKUP(C427,[4]RESULTATS!$E$1:$F$176,2,FALSE)</f>
        <v>162- Tous les lycées publics sont dotés en enseignants en nombre suffisant, y compris les FA</v>
      </c>
      <c r="AC427" s="20" t="str">
        <f>D427 &amp; "-" &amp; VLOOKUP(D427,[4]STRATEGIES!$E$1:$F$504,2,FALSE)</f>
        <v>162- Tous les lycées publics sont dotés en enseignants en nombre suffisant, y compris les FA</v>
      </c>
      <c r="AD427" s="21" t="str">
        <f t="shared" si="90"/>
        <v>162- Tous les lycées publics sont dotés en enseignants en nombre suffisant, y compris les FA</v>
      </c>
    </row>
    <row r="428" spans="1:30" s="22" customFormat="1" ht="45" hidden="1" customHeight="1" x14ac:dyDescent="0.8">
      <c r="A428" s="14">
        <v>1</v>
      </c>
      <c r="B428" s="15">
        <v>16</v>
      </c>
      <c r="C428" s="15">
        <v>162</v>
      </c>
      <c r="D428" s="15">
        <v>1621</v>
      </c>
      <c r="E428" s="15">
        <v>1621</v>
      </c>
      <c r="F428" s="16" t="s">
        <v>550</v>
      </c>
      <c r="G428" s="17"/>
      <c r="H428" s="17"/>
      <c r="I428" s="18">
        <v>0</v>
      </c>
      <c r="J428" s="18"/>
      <c r="K428" s="18"/>
      <c r="L428" s="18"/>
      <c r="M428" s="18"/>
      <c r="N428" s="18"/>
      <c r="O428" s="18"/>
      <c r="P428" s="18"/>
      <c r="Q428" s="18"/>
      <c r="R428" s="18"/>
      <c r="S428" s="24"/>
      <c r="T428" s="18"/>
      <c r="U428" s="18"/>
      <c r="V428" s="18"/>
      <c r="W428" s="18"/>
      <c r="X428" s="18"/>
      <c r="Y428" s="19" t="s">
        <v>32</v>
      </c>
      <c r="Z428" s="18" t="str">
        <f>A428 &amp; "-" &amp; VLOOKUP(A428,[4]PROGRAMMES!$E$1:$F$7,2,FALSE)</f>
        <v>1-Accès et équité à l'enseignement général</v>
      </c>
      <c r="AA428" s="19" t="str">
        <f>B428 &amp; "-" &amp; VLOOKUP(B428,[4]SOUSPROGRAMMES!$E$1:$F$44,2,FALSE)</f>
        <v>16- Accès et équité au lycée</v>
      </c>
      <c r="AB428" s="19" t="str">
        <f>C428 &amp; "-" &amp; VLOOKUP(C428,[4]RESULTATS!$E$1:$F$176,2,FALSE)</f>
        <v>162- Tous les lycées publics sont dotés en enseignants en nombre suffisant, y compris les FA</v>
      </c>
      <c r="AC428" s="20" t="str">
        <f>D428 &amp; "-" &amp; VLOOKUP(D428,[4]STRATEGIES!$E$1:$F$504,2,FALSE)</f>
        <v>1621-Recrutement d’enseignants de lycée en nombre suffisant, y compris les FA</v>
      </c>
      <c r="AD428" s="21" t="str">
        <f t="shared" si="90"/>
        <v>1621-Recrutement d’enseignants de lycée en nombre suffisant, y compris les FA</v>
      </c>
    </row>
    <row r="429" spans="1:30" s="22" customFormat="1" ht="45" hidden="1" customHeight="1" x14ac:dyDescent="0.8">
      <c r="A429" s="14">
        <v>1</v>
      </c>
      <c r="B429" s="15">
        <v>16</v>
      </c>
      <c r="C429" s="15">
        <v>162</v>
      </c>
      <c r="D429" s="15">
        <v>1621</v>
      </c>
      <c r="E429" s="15">
        <v>16211</v>
      </c>
      <c r="F429" s="16" t="s">
        <v>141</v>
      </c>
      <c r="G429" s="21" t="s">
        <v>88</v>
      </c>
      <c r="H429" s="17" t="s">
        <v>55</v>
      </c>
      <c r="I429" s="18">
        <v>0</v>
      </c>
      <c r="J429" s="18"/>
      <c r="K429" s="18"/>
      <c r="L429" s="18"/>
      <c r="M429" s="18"/>
      <c r="N429" s="18">
        <f>IF(OR(H429="",H429="sif",H429="PM"),0,VLOOKUP(H429,[5]CU!$C$4:$H$255,6,FALSE))</f>
        <v>0</v>
      </c>
      <c r="O429" s="18"/>
      <c r="P429" s="18"/>
      <c r="Q429" s="18"/>
      <c r="R429" s="18"/>
      <c r="S429" s="24"/>
      <c r="T429" s="23" t="s">
        <v>56</v>
      </c>
      <c r="U429" s="18" t="s">
        <v>529</v>
      </c>
      <c r="V429" s="18" t="str">
        <f>IF(OR($H429="",$H429="sif",$H429="PM"),"",VLOOKUP($H429,[5]CU!$C$5:$J$255,8,FALSE))</f>
        <v/>
      </c>
      <c r="W429" s="18" t="s">
        <v>142</v>
      </c>
      <c r="X429" s="18" t="s">
        <v>421</v>
      </c>
      <c r="Y429" s="19" t="s">
        <v>32</v>
      </c>
      <c r="Z429" s="18" t="str">
        <f>A429 &amp; "-" &amp; VLOOKUP(A429,[4]PROGRAMMES!$E$1:$F$7,2,FALSE)</f>
        <v>1-Accès et équité à l'enseignement général</v>
      </c>
      <c r="AA429" s="19" t="str">
        <f>B429 &amp; "-" &amp; VLOOKUP(B429,[4]SOUSPROGRAMMES!$E$1:$F$44,2,FALSE)</f>
        <v>16- Accès et équité au lycée</v>
      </c>
      <c r="AB429" s="19" t="str">
        <f>C429 &amp; "-" &amp; VLOOKUP(C429,[4]RESULTATS!$E$1:$F$176,2,FALSE)</f>
        <v>162- Tous les lycées publics sont dotés en enseignants en nombre suffisant, y compris les FA</v>
      </c>
      <c r="AC429" s="20" t="str">
        <f>D429 &amp; "-" &amp; VLOOKUP(D429,[4]STRATEGIES!$E$1:$F$504,2,FALSE)</f>
        <v>1621-Recrutement d’enseignants de lycée en nombre suffisant, y compris les FA</v>
      </c>
      <c r="AD429" s="21" t="str">
        <f t="shared" si="90"/>
        <v>16211-Identification des besoins en tenant compte des capacités d'accueil</v>
      </c>
    </row>
    <row r="430" spans="1:30" s="22" customFormat="1" ht="45" hidden="1" customHeight="1" x14ac:dyDescent="0.8">
      <c r="A430" s="14">
        <v>1</v>
      </c>
      <c r="B430" s="15">
        <v>16</v>
      </c>
      <c r="C430" s="15">
        <v>162</v>
      </c>
      <c r="D430" s="15">
        <v>1621</v>
      </c>
      <c r="E430" s="15">
        <v>16212</v>
      </c>
      <c r="F430" s="16" t="s">
        <v>551</v>
      </c>
      <c r="G430" s="21" t="s">
        <v>92</v>
      </c>
      <c r="H430" s="17" t="s">
        <v>55</v>
      </c>
      <c r="I430" s="18">
        <v>0</v>
      </c>
      <c r="J430" s="18">
        <v>1</v>
      </c>
      <c r="K430" s="18">
        <v>1</v>
      </c>
      <c r="L430" s="18">
        <v>1</v>
      </c>
      <c r="M430" s="18">
        <f t="shared" ref="M430:M442" si="99">SUM(I430:L430)</f>
        <v>3</v>
      </c>
      <c r="N430" s="18">
        <f>IF(OR(H430="",H430="sif",H430="PM"),0,VLOOKUP(H430,[5]CU!$C$4:$H$255,6,FALSE))</f>
        <v>0</v>
      </c>
      <c r="O430" s="18"/>
      <c r="P430" s="18"/>
      <c r="Q430" s="18"/>
      <c r="R430" s="18"/>
      <c r="S430" s="24"/>
      <c r="T430" s="23" t="s">
        <v>56</v>
      </c>
      <c r="U430" s="18" t="s">
        <v>529</v>
      </c>
      <c r="V430" s="18" t="str">
        <f>IF(OR($H430="",$H430="sif",$H430="PM"),"",VLOOKUP($H430,[5]CU!$C$5:$J$255,8,FALSE))</f>
        <v/>
      </c>
      <c r="W430" s="18" t="s">
        <v>142</v>
      </c>
      <c r="X430" s="18" t="s">
        <v>552</v>
      </c>
      <c r="Y430" s="19" t="s">
        <v>32</v>
      </c>
      <c r="Z430" s="18" t="str">
        <f>A430 &amp; "-" &amp; VLOOKUP(A430,[4]PROGRAMMES!$E$1:$F$7,2,FALSE)</f>
        <v>1-Accès et équité à l'enseignement général</v>
      </c>
      <c r="AA430" s="19" t="str">
        <f>B430 &amp; "-" &amp; VLOOKUP(B430,[4]SOUSPROGRAMMES!$E$1:$F$44,2,FALSE)</f>
        <v>16- Accès et équité au lycée</v>
      </c>
      <c r="AB430" s="19" t="str">
        <f>C430 &amp; "-" &amp; VLOOKUP(C430,[4]RESULTATS!$E$1:$F$176,2,FALSE)</f>
        <v>162- Tous les lycées publics sont dotés en enseignants en nombre suffisant, y compris les FA</v>
      </c>
      <c r="AC430" s="20" t="str">
        <f>D430 &amp; "-" &amp; VLOOKUP(D430,[4]STRATEGIES!$E$1:$F$504,2,FALSE)</f>
        <v>1621-Recrutement d’enseignants de lycée en nombre suffisant, y compris les FA</v>
      </c>
      <c r="AD430" s="21" t="str">
        <f t="shared" si="90"/>
        <v xml:space="preserve">16212-Organisation de concours de recrutement des enseignants </v>
      </c>
    </row>
    <row r="431" spans="1:30" s="22" customFormat="1" ht="75" hidden="1" customHeight="1" x14ac:dyDescent="0.8">
      <c r="A431" s="14">
        <v>1</v>
      </c>
      <c r="B431" s="15">
        <v>16</v>
      </c>
      <c r="C431" s="15">
        <v>162</v>
      </c>
      <c r="D431" s="15">
        <v>1621</v>
      </c>
      <c r="E431" s="15">
        <v>16213</v>
      </c>
      <c r="F431" s="16" t="s">
        <v>145</v>
      </c>
      <c r="G431" s="21" t="s">
        <v>553</v>
      </c>
      <c r="H431" s="17" t="s">
        <v>554</v>
      </c>
      <c r="I431" s="18">
        <v>0</v>
      </c>
      <c r="J431" s="18">
        <v>392</v>
      </c>
      <c r="K431" s="18">
        <v>427</v>
      </c>
      <c r="L431" s="18">
        <v>463</v>
      </c>
      <c r="M431" s="18">
        <f t="shared" si="99"/>
        <v>1282</v>
      </c>
      <c r="N431" s="18">
        <f>IF(OR(H431="",H431="sif",H431="PM"),0,VLOOKUP(H431,[5]CU!$C$4:$H$255,6,FALSE))</f>
        <v>35.366873292398708</v>
      </c>
      <c r="O431" s="18">
        <f t="shared" ref="O431:R432" si="100">$N431*I431</f>
        <v>0</v>
      </c>
      <c r="P431" s="18">
        <f t="shared" si="100"/>
        <v>13863.814330620293</v>
      </c>
      <c r="Q431" s="18">
        <f t="shared" si="100"/>
        <v>15101.654895854248</v>
      </c>
      <c r="R431" s="18">
        <f t="shared" si="100"/>
        <v>16374.862334380601</v>
      </c>
      <c r="S431" s="24">
        <f>SUM(O431:R431)</f>
        <v>45340.331560855142</v>
      </c>
      <c r="T431" s="23" t="s">
        <v>56</v>
      </c>
      <c r="U431" s="18" t="s">
        <v>529</v>
      </c>
      <c r="V431" s="18" t="str">
        <f>IF(OR($H431="",$H431="sif",$H431="PM"),"",VLOOKUP($H431,[5]CU!$C$5:$J$255,8,FALSE))</f>
        <v>2. Personnel</v>
      </c>
      <c r="W431" s="18" t="s">
        <v>142</v>
      </c>
      <c r="X431" s="18" t="s">
        <v>239</v>
      </c>
      <c r="Y431" s="19" t="s">
        <v>32</v>
      </c>
      <c r="Z431" s="18" t="str">
        <f>A431 &amp; "-" &amp; VLOOKUP(A431,[4]PROGRAMMES!$E$1:$F$7,2,FALSE)</f>
        <v>1-Accès et équité à l'enseignement général</v>
      </c>
      <c r="AA431" s="19" t="str">
        <f>B431 &amp; "-" &amp; VLOOKUP(B431,[4]SOUSPROGRAMMES!$E$1:$F$44,2,FALSE)</f>
        <v>16- Accès et équité au lycée</v>
      </c>
      <c r="AB431" s="19" t="str">
        <f>C431 &amp; "-" &amp; VLOOKUP(C431,[4]RESULTATS!$E$1:$F$176,2,FALSE)</f>
        <v>162- Tous les lycées publics sont dotés en enseignants en nombre suffisant, y compris les FA</v>
      </c>
      <c r="AC431" s="20" t="str">
        <f>D431 &amp; "-" &amp; VLOOKUP(D431,[4]STRATEGIES!$E$1:$F$504,2,FALSE)</f>
        <v>1621-Recrutement d’enseignants de lycée en nombre suffisant, y compris les FA</v>
      </c>
      <c r="AD431" s="21" t="str">
        <f t="shared" si="90"/>
        <v>16213-Prise en charge des candidats retenus après leur prise de service</v>
      </c>
    </row>
    <row r="432" spans="1:30" s="22" customFormat="1" ht="45" hidden="1" customHeight="1" x14ac:dyDescent="0.8">
      <c r="A432" s="14">
        <v>1</v>
      </c>
      <c r="B432" s="15">
        <v>16</v>
      </c>
      <c r="C432" s="15">
        <v>162</v>
      </c>
      <c r="D432" s="15">
        <v>1621</v>
      </c>
      <c r="E432" s="15">
        <v>16214</v>
      </c>
      <c r="F432" s="16" t="s">
        <v>555</v>
      </c>
      <c r="G432" s="21" t="s">
        <v>556</v>
      </c>
      <c r="H432" s="17" t="s">
        <v>557</v>
      </c>
      <c r="I432" s="18">
        <v>0</v>
      </c>
      <c r="J432" s="18">
        <v>0.90732456960101504</v>
      </c>
      <c r="K432" s="18">
        <v>1.0302361279168499</v>
      </c>
      <c r="L432" s="18">
        <v>1.16928919941153</v>
      </c>
      <c r="M432" s="18">
        <f t="shared" si="99"/>
        <v>3.1068498969293952</v>
      </c>
      <c r="N432" s="18">
        <f>IF(OR(H432="",H432="sif",H432="PM"),0,VLOOKUP(H432,[5]CU!$C$4:$H$255,6,FALSE))</f>
        <v>105961.45768181</v>
      </c>
      <c r="O432" s="18">
        <f t="shared" si="100"/>
        <v>0</v>
      </c>
      <c r="P432" s="18">
        <f t="shared" si="100"/>
        <v>96141.433985444426</v>
      </c>
      <c r="Q432" s="18">
        <f t="shared" si="100"/>
        <v>109165.32187053309</v>
      </c>
      <c r="R432" s="18">
        <f t="shared" si="100"/>
        <v>123899.58802124234</v>
      </c>
      <c r="S432" s="24">
        <f>SUM(O432:R432)</f>
        <v>329206.34387721989</v>
      </c>
      <c r="T432" s="23" t="s">
        <v>56</v>
      </c>
      <c r="U432" s="18" t="s">
        <v>529</v>
      </c>
      <c r="V432" s="18" t="str">
        <f>IF(OR($H432="",$H432="sif",$H432="PM"),"",VLOOKUP($H432,[5]CU!$C$5:$J$255,8,FALSE))</f>
        <v>2. Personnel</v>
      </c>
      <c r="W432" s="18" t="s">
        <v>142</v>
      </c>
      <c r="X432" s="18" t="s">
        <v>239</v>
      </c>
      <c r="Y432" s="19" t="s">
        <v>32</v>
      </c>
      <c r="Z432" s="18" t="str">
        <f>A432 &amp; "-" &amp; VLOOKUP(A432,[4]PROGRAMMES!$E$1:$F$7,2,FALSE)</f>
        <v>1-Accès et équité à l'enseignement général</v>
      </c>
      <c r="AA432" s="19" t="str">
        <f>B432 &amp; "-" &amp; VLOOKUP(B432,[4]SOUSPROGRAMMES!$E$1:$F$44,2,FALSE)</f>
        <v>16- Accès et équité au lycée</v>
      </c>
      <c r="AB432" s="19" t="str">
        <f>C432 &amp; "-" &amp; VLOOKUP(C432,[4]RESULTATS!$E$1:$F$176,2,FALSE)</f>
        <v>162- Tous les lycées publics sont dotés en enseignants en nombre suffisant, y compris les FA</v>
      </c>
      <c r="AC432" s="20" t="str">
        <f>D432 &amp; "-" &amp; VLOOKUP(D432,[4]STRATEGIES!$E$1:$F$504,2,FALSE)</f>
        <v>1621-Recrutement d’enseignants de lycée en nombre suffisant, y compris les FA</v>
      </c>
      <c r="AD432" s="21" t="str">
        <f t="shared" si="90"/>
        <v>16214-Prise en charge du personnel dans les établissements du secondaire second cycle</v>
      </c>
    </row>
    <row r="433" spans="1:30" s="22" customFormat="1" ht="45" hidden="1" customHeight="1" x14ac:dyDescent="0.8">
      <c r="A433" s="14">
        <v>1</v>
      </c>
      <c r="B433" s="15">
        <v>16</v>
      </c>
      <c r="C433" s="15">
        <v>162</v>
      </c>
      <c r="D433" s="15">
        <v>1621</v>
      </c>
      <c r="E433" s="15">
        <v>16215</v>
      </c>
      <c r="F433" s="16" t="s">
        <v>558</v>
      </c>
      <c r="G433" s="21" t="s">
        <v>92</v>
      </c>
      <c r="H433" s="17" t="s">
        <v>55</v>
      </c>
      <c r="I433" s="18">
        <v>0</v>
      </c>
      <c r="J433" s="18">
        <v>1</v>
      </c>
      <c r="K433" s="18">
        <v>1</v>
      </c>
      <c r="L433" s="18">
        <v>1</v>
      </c>
      <c r="M433" s="18">
        <f t="shared" si="99"/>
        <v>3</v>
      </c>
      <c r="N433" s="18">
        <f>IF(OR(H433="",H433="sif",H433="PM"),0,VLOOKUP(H433,[5]CU!$C$4:$H$255,6,FALSE))</f>
        <v>0</v>
      </c>
      <c r="O433" s="18"/>
      <c r="P433" s="18"/>
      <c r="Q433" s="18"/>
      <c r="R433" s="18"/>
      <c r="S433" s="24"/>
      <c r="T433" s="23" t="s">
        <v>56</v>
      </c>
      <c r="U433" s="18" t="s">
        <v>529</v>
      </c>
      <c r="V433" s="18" t="str">
        <f>IF(OR($H433="",$H433="sif",$H433="PM"),"",VLOOKUP($H433,[5]CU!$C$5:$J$255,8,FALSE))</f>
        <v/>
      </c>
      <c r="W433" s="18" t="s">
        <v>398</v>
      </c>
      <c r="X433" s="18" t="s">
        <v>273</v>
      </c>
      <c r="Y433" s="19" t="s">
        <v>32</v>
      </c>
      <c r="Z433" s="18" t="str">
        <f>A433 &amp; "-" &amp; VLOOKUP(A433,[4]PROGRAMMES!$E$1:$F$7,2,FALSE)</f>
        <v>1-Accès et équité à l'enseignement général</v>
      </c>
      <c r="AA433" s="19" t="str">
        <f>B433 &amp; "-" &amp; VLOOKUP(B433,[4]SOUSPROGRAMMES!$E$1:$F$44,2,FALSE)</f>
        <v>16- Accès et équité au lycée</v>
      </c>
      <c r="AB433" s="19" t="str">
        <f>C433 &amp; "-" &amp; VLOOKUP(C433,[4]RESULTATS!$E$1:$F$176,2,FALSE)</f>
        <v>162- Tous les lycées publics sont dotés en enseignants en nombre suffisant, y compris les FA</v>
      </c>
      <c r="AC433" s="20" t="str">
        <f>D433 &amp; "-" &amp; VLOOKUP(D433,[4]STRATEGIES!$E$1:$F$504,2,FALSE)</f>
        <v>1621-Recrutement d’enseignants de lycée en nombre suffisant, y compris les FA</v>
      </c>
      <c r="AD433" s="21" t="str">
        <f t="shared" si="90"/>
        <v>16215-Suivi de l'allocation des enseignants (pris en compte activité 12314)</v>
      </c>
    </row>
    <row r="434" spans="1:30" s="22" customFormat="1" ht="45" hidden="1" customHeight="1" x14ac:dyDescent="0.8">
      <c r="A434" s="14">
        <v>1</v>
      </c>
      <c r="B434" s="15">
        <v>16</v>
      </c>
      <c r="C434" s="15">
        <v>162</v>
      </c>
      <c r="D434" s="15">
        <v>1622</v>
      </c>
      <c r="E434" s="15">
        <v>1622</v>
      </c>
      <c r="F434" s="16" t="s">
        <v>559</v>
      </c>
      <c r="G434" s="17"/>
      <c r="H434" s="17"/>
      <c r="I434" s="18">
        <v>0</v>
      </c>
      <c r="J434" s="18"/>
      <c r="K434" s="18"/>
      <c r="L434" s="18"/>
      <c r="M434" s="18"/>
      <c r="N434" s="18"/>
      <c r="O434" s="18"/>
      <c r="P434" s="18"/>
      <c r="Q434" s="18"/>
      <c r="R434" s="18"/>
      <c r="S434" s="24"/>
      <c r="T434" s="18"/>
      <c r="U434" s="18"/>
      <c r="V434" s="18"/>
      <c r="W434" s="18"/>
      <c r="X434" s="18"/>
      <c r="Y434" s="19" t="s">
        <v>32</v>
      </c>
      <c r="Z434" s="18" t="str">
        <f>A434 &amp; "-" &amp; VLOOKUP(A434,[4]PROGRAMMES!$E$1:$F$7,2,FALSE)</f>
        <v>1-Accès et équité à l'enseignement général</v>
      </c>
      <c r="AA434" s="19" t="str">
        <f>B434 &amp; "-" &amp; VLOOKUP(B434,[4]SOUSPROGRAMMES!$E$1:$F$44,2,FALSE)</f>
        <v>16- Accès et équité au lycée</v>
      </c>
      <c r="AB434" s="19" t="str">
        <f>C434 &amp; "-" &amp; VLOOKUP(C434,[4]RESULTATS!$E$1:$F$176,2,FALSE)</f>
        <v>162- Tous les lycées publics sont dotés en enseignants en nombre suffisant, y compris les FA</v>
      </c>
      <c r="AC434" s="20" t="str">
        <f>D434 &amp; "-" &amp; VLOOKUP(D434,[4]STRATEGIES!$E$1:$F$504,2,FALSE)</f>
        <v>1622-Prise en charge progressive des enseignants contractuels au lycée, y compris les FA</v>
      </c>
      <c r="AD434" s="21" t="str">
        <f t="shared" si="90"/>
        <v>1622-Prise en charge progressive des enseignants contractuels au lycée, y compris les FA</v>
      </c>
    </row>
    <row r="435" spans="1:30" s="22" customFormat="1" ht="45" hidden="1" customHeight="1" x14ac:dyDescent="0.8">
      <c r="A435" s="14">
        <v>1</v>
      </c>
      <c r="B435" s="15">
        <v>16</v>
      </c>
      <c r="C435" s="15">
        <v>162</v>
      </c>
      <c r="D435" s="15">
        <v>1622</v>
      </c>
      <c r="E435" s="15">
        <v>16221</v>
      </c>
      <c r="F435" s="16" t="s">
        <v>560</v>
      </c>
      <c r="G435" s="21" t="s">
        <v>58</v>
      </c>
      <c r="H435" s="17" t="s">
        <v>59</v>
      </c>
      <c r="I435" s="18">
        <v>0</v>
      </c>
      <c r="J435" s="18">
        <f>4*10*8</f>
        <v>320</v>
      </c>
      <c r="K435" s="18"/>
      <c r="L435" s="18"/>
      <c r="M435" s="18">
        <f t="shared" si="99"/>
        <v>320</v>
      </c>
      <c r="N435" s="18">
        <f>IF(OR(H435="",H435="sif",H435="PM"),0,VLOOKUP(H435,[5]CU!$C$4:$H$255,6,FALSE))</f>
        <v>0.8177777777777776</v>
      </c>
      <c r="O435" s="18">
        <f>$N435*I435</f>
        <v>0</v>
      </c>
      <c r="P435" s="18">
        <f>$N435*J435</f>
        <v>261.68888888888881</v>
      </c>
      <c r="Q435" s="18">
        <f>$N435*K435</f>
        <v>0</v>
      </c>
      <c r="R435" s="18">
        <f>$N435*L435</f>
        <v>0</v>
      </c>
      <c r="S435" s="24">
        <f>SUM(O435:R435)</f>
        <v>261.68888888888881</v>
      </c>
      <c r="T435" s="23" t="s">
        <v>56</v>
      </c>
      <c r="U435" s="18" t="s">
        <v>529</v>
      </c>
      <c r="V435" s="18" t="str">
        <f>IF(OR($H435="",$H435="sif",$H435="PM"),"",VLOOKUP($H435,[5]CU!$C$5:$J$255,8,FALSE))</f>
        <v>3. Dépenses de fonctionnement</v>
      </c>
      <c r="W435" s="18" t="s">
        <v>142</v>
      </c>
      <c r="X435" s="18" t="s">
        <v>429</v>
      </c>
      <c r="Y435" s="19" t="s">
        <v>32</v>
      </c>
      <c r="Z435" s="18" t="str">
        <f>A435 &amp; "-" &amp; VLOOKUP(A435,[4]PROGRAMMES!$E$1:$F$7,2,FALSE)</f>
        <v>1-Accès et équité à l'enseignement général</v>
      </c>
      <c r="AA435" s="19" t="str">
        <f>B435 &amp; "-" &amp; VLOOKUP(B435,[4]SOUSPROGRAMMES!$E$1:$F$44,2,FALSE)</f>
        <v>16- Accès et équité au lycée</v>
      </c>
      <c r="AB435" s="19" t="str">
        <f>C435 &amp; "-" &amp; VLOOKUP(C435,[4]RESULTATS!$E$1:$F$176,2,FALSE)</f>
        <v>162- Tous les lycées publics sont dotés en enseignants en nombre suffisant, y compris les FA</v>
      </c>
      <c r="AC435" s="20" t="str">
        <f>D435 &amp; "-" &amp; VLOOKUP(D435,[4]STRATEGIES!$E$1:$F$504,2,FALSE)</f>
        <v>1622-Prise en charge progressive des enseignants contractuels au lycée, y compris les FA</v>
      </c>
      <c r="AD435" s="21" t="str">
        <f t="shared" si="90"/>
        <v>16221-Identification et évaluation des enseignants contractuels en service</v>
      </c>
    </row>
    <row r="436" spans="1:30" s="22" customFormat="1" ht="45" hidden="1" customHeight="1" x14ac:dyDescent="0.8">
      <c r="A436" s="14">
        <v>1</v>
      </c>
      <c r="B436" s="15">
        <v>16</v>
      </c>
      <c r="C436" s="15">
        <v>162</v>
      </c>
      <c r="D436" s="15">
        <v>1622</v>
      </c>
      <c r="E436" s="15">
        <v>16222</v>
      </c>
      <c r="F436" s="16" t="s">
        <v>430</v>
      </c>
      <c r="G436" s="21" t="s">
        <v>159</v>
      </c>
      <c r="H436" s="17" t="s">
        <v>55</v>
      </c>
      <c r="I436" s="18">
        <v>0</v>
      </c>
      <c r="J436" s="18">
        <v>1</v>
      </c>
      <c r="K436" s="18">
        <v>1</v>
      </c>
      <c r="L436" s="18">
        <v>1</v>
      </c>
      <c r="M436" s="18">
        <f t="shared" si="99"/>
        <v>3</v>
      </c>
      <c r="N436" s="18">
        <f>IF(OR(H436="",H436="sif",H436="PM"),0,VLOOKUP(H436,[5]CU!$C$4:$H$255,6,FALSE))</f>
        <v>0</v>
      </c>
      <c r="O436" s="18"/>
      <c r="P436" s="18"/>
      <c r="Q436" s="18"/>
      <c r="R436" s="18"/>
      <c r="S436" s="24"/>
      <c r="T436" s="23" t="s">
        <v>56</v>
      </c>
      <c r="U436" s="18" t="s">
        <v>529</v>
      </c>
      <c r="V436" s="18" t="str">
        <f>IF(OR($H436="",$H436="sif",$H436="PM"),"",VLOOKUP($H436,[5]CU!$C$5:$J$255,8,FALSE))</f>
        <v/>
      </c>
      <c r="W436" s="18" t="s">
        <v>142</v>
      </c>
      <c r="X436" s="18" t="s">
        <v>431</v>
      </c>
      <c r="Y436" s="19" t="s">
        <v>32</v>
      </c>
      <c r="Z436" s="18" t="str">
        <f>A436 &amp; "-" &amp; VLOOKUP(A436,[4]PROGRAMMES!$E$1:$F$7,2,FALSE)</f>
        <v>1-Accès et équité à l'enseignement général</v>
      </c>
      <c r="AA436" s="19" t="str">
        <f>B436 &amp; "-" &amp; VLOOKUP(B436,[4]SOUSPROGRAMMES!$E$1:$F$44,2,FALSE)</f>
        <v>16- Accès et équité au lycée</v>
      </c>
      <c r="AB436" s="19" t="str">
        <f>C436 &amp; "-" &amp; VLOOKUP(C436,[4]RESULTATS!$E$1:$F$176,2,FALSE)</f>
        <v>162- Tous les lycées publics sont dotés en enseignants en nombre suffisant, y compris les FA</v>
      </c>
      <c r="AC436" s="20" t="str">
        <f>D436 &amp; "-" &amp; VLOOKUP(D436,[4]STRATEGIES!$E$1:$F$504,2,FALSE)</f>
        <v>1622-Prise en charge progressive des enseignants contractuels au lycée, y compris les FA</v>
      </c>
      <c r="AD436" s="21" t="str">
        <f t="shared" si="90"/>
        <v>16222-Formation des enseignants communautaires en service ayant les qualifications nécessaires à l'ISSEG (Budget ISSEG)</v>
      </c>
    </row>
    <row r="437" spans="1:30" s="22" customFormat="1" ht="45" hidden="1" customHeight="1" x14ac:dyDescent="0.8">
      <c r="A437" s="14">
        <v>1</v>
      </c>
      <c r="B437" s="15">
        <v>16</v>
      </c>
      <c r="C437" s="15">
        <v>162</v>
      </c>
      <c r="D437" s="15">
        <v>1622</v>
      </c>
      <c r="E437" s="15">
        <v>16223</v>
      </c>
      <c r="F437" s="16" t="s">
        <v>561</v>
      </c>
      <c r="G437" s="21" t="s">
        <v>92</v>
      </c>
      <c r="H437" s="17" t="s">
        <v>55</v>
      </c>
      <c r="I437" s="18">
        <v>0</v>
      </c>
      <c r="J437" s="18"/>
      <c r="K437" s="18"/>
      <c r="L437" s="18">
        <v>1</v>
      </c>
      <c r="M437" s="18">
        <f t="shared" si="99"/>
        <v>1</v>
      </c>
      <c r="N437" s="18">
        <f>IF(OR(H437="",H437="sif",H437="PM"),0,VLOOKUP(H437,[5]CU!$C$4:$H$255,6,FALSE))</f>
        <v>0</v>
      </c>
      <c r="O437" s="18"/>
      <c r="P437" s="18"/>
      <c r="Q437" s="18"/>
      <c r="R437" s="18"/>
      <c r="S437" s="24"/>
      <c r="T437" s="23" t="s">
        <v>56</v>
      </c>
      <c r="U437" s="18" t="s">
        <v>529</v>
      </c>
      <c r="V437" s="18" t="str">
        <f>IF(OR($H437="",$H437="sif",$H437="PM"),"",VLOOKUP($H437,[5]CU!$C$5:$J$255,8,FALSE))</f>
        <v/>
      </c>
      <c r="W437" s="18" t="s">
        <v>142</v>
      </c>
      <c r="X437" s="18" t="s">
        <v>144</v>
      </c>
      <c r="Y437" s="19" t="s">
        <v>32</v>
      </c>
      <c r="Z437" s="18" t="str">
        <f>A437 &amp; "-" &amp; VLOOKUP(A437,[4]PROGRAMMES!$E$1:$F$7,2,FALSE)</f>
        <v>1-Accès et équité à l'enseignement général</v>
      </c>
      <c r="AA437" s="19" t="str">
        <f>B437 &amp; "-" &amp; VLOOKUP(B437,[4]SOUSPROGRAMMES!$E$1:$F$44,2,FALSE)</f>
        <v>16- Accès et équité au lycée</v>
      </c>
      <c r="AB437" s="19" t="str">
        <f>C437 &amp; "-" &amp; VLOOKUP(C437,[4]RESULTATS!$E$1:$F$176,2,FALSE)</f>
        <v>162- Tous les lycées publics sont dotés en enseignants en nombre suffisant, y compris les FA</v>
      </c>
      <c r="AC437" s="20" t="str">
        <f>D437 &amp; "-" &amp; VLOOKUP(D437,[4]STRATEGIES!$E$1:$F$504,2,FALSE)</f>
        <v>1622-Prise en charge progressive des enseignants contractuels au lycée, y compris les FA</v>
      </c>
      <c r="AD437" s="21" t="str">
        <f t="shared" si="90"/>
        <v>16223-Prise en charge des élèves-enseignants certifiés après leur reprise de service (pris en compte dans activité 16213)</v>
      </c>
    </row>
    <row r="438" spans="1:30" s="22" customFormat="1" ht="45" hidden="1" customHeight="1" x14ac:dyDescent="0.8">
      <c r="A438" s="14">
        <v>1</v>
      </c>
      <c r="B438" s="15">
        <v>16</v>
      </c>
      <c r="C438" s="15">
        <v>162</v>
      </c>
      <c r="D438" s="15">
        <v>1623</v>
      </c>
      <c r="E438" s="15">
        <v>1623</v>
      </c>
      <c r="F438" s="16" t="s">
        <v>562</v>
      </c>
      <c r="G438" s="17"/>
      <c r="H438" s="17"/>
      <c r="I438" s="18">
        <v>0</v>
      </c>
      <c r="J438" s="18"/>
      <c r="K438" s="18"/>
      <c r="L438" s="18"/>
      <c r="M438" s="18"/>
      <c r="N438" s="18"/>
      <c r="O438" s="18"/>
      <c r="P438" s="18"/>
      <c r="Q438" s="18"/>
      <c r="R438" s="18"/>
      <c r="S438" s="24"/>
      <c r="T438" s="18"/>
      <c r="U438" s="18"/>
      <c r="V438" s="18"/>
      <c r="W438" s="18"/>
      <c r="X438" s="18"/>
      <c r="Y438" s="19" t="s">
        <v>32</v>
      </c>
      <c r="Z438" s="18" t="str">
        <f>A438 &amp; "-" &amp; VLOOKUP(A438,[4]PROGRAMMES!$E$1:$F$7,2,FALSE)</f>
        <v>1-Accès et équité à l'enseignement général</v>
      </c>
      <c r="AA438" s="19" t="str">
        <f>B438 &amp; "-" &amp; VLOOKUP(B438,[4]SOUSPROGRAMMES!$E$1:$F$44,2,FALSE)</f>
        <v>16- Accès et équité au lycée</v>
      </c>
      <c r="AB438" s="19" t="str">
        <f>C438 &amp; "-" &amp; VLOOKUP(C438,[4]RESULTATS!$E$1:$F$176,2,FALSE)</f>
        <v>162- Tous les lycées publics sont dotés en enseignants en nombre suffisant, y compris les FA</v>
      </c>
      <c r="AC438" s="20" t="str">
        <f>D438 &amp; "-" &amp; VLOOKUP(D438,[4]STRATEGIES!$E$1:$F$504,2,FALSE)</f>
        <v>1623-Optimisation de l’utilisation des enseignants au lycée, y compris les FA</v>
      </c>
      <c r="AD438" s="21" t="str">
        <f t="shared" si="90"/>
        <v>1623-Optimisation de l’utilisation des enseignants au lycée, y compris les FA</v>
      </c>
    </row>
    <row r="439" spans="1:30" s="22" customFormat="1" ht="45" hidden="1" customHeight="1" x14ac:dyDescent="0.8">
      <c r="A439" s="14">
        <v>1</v>
      </c>
      <c r="B439" s="15">
        <v>16</v>
      </c>
      <c r="C439" s="15">
        <v>162</v>
      </c>
      <c r="D439" s="15">
        <v>1623</v>
      </c>
      <c r="E439" s="15">
        <v>16231</v>
      </c>
      <c r="F439" s="16" t="s">
        <v>563</v>
      </c>
      <c r="G439" s="21" t="s">
        <v>37</v>
      </c>
      <c r="H439" s="17" t="s">
        <v>66</v>
      </c>
      <c r="I439" s="18">
        <v>0</v>
      </c>
      <c r="J439" s="18">
        <f>20*3*1</f>
        <v>60</v>
      </c>
      <c r="K439" s="18"/>
      <c r="L439" s="18"/>
      <c r="M439" s="18">
        <f t="shared" si="99"/>
        <v>60</v>
      </c>
      <c r="N439" s="18">
        <f>IF(OR(H439="",H439="sif",H439="PM"),0,VLOOKUP(H439,[5]CU!$C$4:$H$255,6,FALSE))</f>
        <v>0.255</v>
      </c>
      <c r="O439" s="18">
        <f t="shared" ref="O439:R441" si="101">$N439*I439</f>
        <v>0</v>
      </c>
      <c r="P439" s="18">
        <f t="shared" si="101"/>
        <v>15.3</v>
      </c>
      <c r="Q439" s="18">
        <f t="shared" si="101"/>
        <v>0</v>
      </c>
      <c r="R439" s="18">
        <f t="shared" si="101"/>
        <v>0</v>
      </c>
      <c r="S439" s="24">
        <f>SUM(O439:R439)</f>
        <v>15.3</v>
      </c>
      <c r="T439" s="23" t="s">
        <v>56</v>
      </c>
      <c r="U439" s="18" t="s">
        <v>529</v>
      </c>
      <c r="V439" s="18" t="str">
        <f>IF(OR($H439="",$H439="sif",$H439="PM"),"",VLOOKUP($H439,[5]CU!$C$5:$J$255,8,FALSE))</f>
        <v>3. Dépenses de fonctionnement</v>
      </c>
      <c r="W439" s="18" t="s">
        <v>398</v>
      </c>
      <c r="X439" s="18" t="s">
        <v>273</v>
      </c>
      <c r="Y439" s="19" t="s">
        <v>32</v>
      </c>
      <c r="Z439" s="18" t="str">
        <f>A439 &amp; "-" &amp; VLOOKUP(A439,[4]PROGRAMMES!$E$1:$F$7,2,FALSE)</f>
        <v>1-Accès et équité à l'enseignement général</v>
      </c>
      <c r="AA439" s="19" t="str">
        <f>B439 &amp; "-" &amp; VLOOKUP(B439,[4]SOUSPROGRAMMES!$E$1:$F$44,2,FALSE)</f>
        <v>16- Accès et équité au lycée</v>
      </c>
      <c r="AB439" s="19" t="str">
        <f>C439 &amp; "-" &amp; VLOOKUP(C439,[4]RESULTATS!$E$1:$F$176,2,FALSE)</f>
        <v>162- Tous les lycées publics sont dotés en enseignants en nombre suffisant, y compris les FA</v>
      </c>
      <c r="AC439" s="20" t="str">
        <f>D439 &amp; "-" &amp; VLOOKUP(D439,[4]STRATEGIES!$E$1:$F$504,2,FALSE)</f>
        <v>1623-Optimisation de l’utilisation des enseignants au lycée, y compris les FA</v>
      </c>
      <c r="AD439" s="21" t="str">
        <f t="shared" si="90"/>
        <v>16231-DéFinition des normes et critères de fonctionnement des lycées (Ratio élèves/GP maximum, minimum, double-vacation.)</v>
      </c>
    </row>
    <row r="440" spans="1:30" s="22" customFormat="1" ht="45" hidden="1" customHeight="1" x14ac:dyDescent="0.8">
      <c r="A440" s="14">
        <v>1</v>
      </c>
      <c r="B440" s="15">
        <v>16</v>
      </c>
      <c r="C440" s="15">
        <v>162</v>
      </c>
      <c r="D440" s="15">
        <v>1623</v>
      </c>
      <c r="E440" s="15">
        <v>16232</v>
      </c>
      <c r="F440" s="16" t="s">
        <v>564</v>
      </c>
      <c r="G440" s="21" t="s">
        <v>37</v>
      </c>
      <c r="H440" s="17" t="s">
        <v>66</v>
      </c>
      <c r="I440" s="18">
        <v>0</v>
      </c>
      <c r="J440" s="18">
        <f>40*2*1</f>
        <v>80</v>
      </c>
      <c r="K440" s="18"/>
      <c r="L440" s="18"/>
      <c r="M440" s="18">
        <f t="shared" si="99"/>
        <v>80</v>
      </c>
      <c r="N440" s="18">
        <f>IF(OR(H440="",H440="sif",H440="PM"),0,VLOOKUP(H440,[5]CU!$C$4:$H$255,6,FALSE))</f>
        <v>0.255</v>
      </c>
      <c r="O440" s="18">
        <f t="shared" si="101"/>
        <v>0</v>
      </c>
      <c r="P440" s="18">
        <f t="shared" si="101"/>
        <v>20.399999999999999</v>
      </c>
      <c r="Q440" s="18">
        <f t="shared" si="101"/>
        <v>0</v>
      </c>
      <c r="R440" s="18">
        <f t="shared" si="101"/>
        <v>0</v>
      </c>
      <c r="S440" s="24">
        <f>SUM(O440:R440)</f>
        <v>20.399999999999999</v>
      </c>
      <c r="T440" s="23" t="s">
        <v>56</v>
      </c>
      <c r="U440" s="18" t="s">
        <v>529</v>
      </c>
      <c r="V440" s="18" t="str">
        <f>IF(OR($H440="",$H440="sif",$H440="PM"),"",VLOOKUP($H440,[5]CU!$C$5:$J$255,8,FALSE))</f>
        <v>3. Dépenses de fonctionnement</v>
      </c>
      <c r="W440" s="18" t="s">
        <v>398</v>
      </c>
      <c r="X440" s="18" t="s">
        <v>273</v>
      </c>
      <c r="Y440" s="19" t="s">
        <v>32</v>
      </c>
      <c r="Z440" s="18" t="str">
        <f>A440 &amp; "-" &amp; VLOOKUP(A440,[4]PROGRAMMES!$E$1:$F$7,2,FALSE)</f>
        <v>1-Accès et équité à l'enseignement général</v>
      </c>
      <c r="AA440" s="19" t="str">
        <f>B440 &amp; "-" &amp; VLOOKUP(B440,[4]SOUSPROGRAMMES!$E$1:$F$44,2,FALSE)</f>
        <v>16- Accès et équité au lycée</v>
      </c>
      <c r="AB440" s="19" t="str">
        <f>C440 &amp; "-" &amp; VLOOKUP(C440,[4]RESULTATS!$E$1:$F$176,2,FALSE)</f>
        <v>162- Tous les lycées publics sont dotés en enseignants en nombre suffisant, y compris les FA</v>
      </c>
      <c r="AC440" s="20" t="str">
        <f>D440 &amp; "-" &amp; VLOOKUP(D440,[4]STRATEGIES!$E$1:$F$504,2,FALSE)</f>
        <v>1623-Optimisation de l’utilisation des enseignants au lycée, y compris les FA</v>
      </c>
      <c r="AD440" s="21" t="str">
        <f t="shared" si="90"/>
        <v>16232-Validation des normes et critères de fonctionnement des Lycées (Ratio élèves/GP maximum, minimum, double-vacation.)</v>
      </c>
    </row>
    <row r="441" spans="1:30" s="22" customFormat="1" ht="45" hidden="1" customHeight="1" x14ac:dyDescent="0.8">
      <c r="A441" s="14">
        <v>1</v>
      </c>
      <c r="B441" s="15">
        <v>16</v>
      </c>
      <c r="C441" s="15">
        <v>162</v>
      </c>
      <c r="D441" s="15">
        <v>1623</v>
      </c>
      <c r="E441" s="15">
        <v>16233</v>
      </c>
      <c r="F441" s="16" t="s">
        <v>435</v>
      </c>
      <c r="G441" s="21" t="s">
        <v>37</v>
      </c>
      <c r="H441" s="17" t="s">
        <v>352</v>
      </c>
      <c r="I441" s="18">
        <v>0</v>
      </c>
      <c r="J441" s="18"/>
      <c r="K441" s="18">
        <f>30*3*4</f>
        <v>360</v>
      </c>
      <c r="L441" s="18"/>
      <c r="M441" s="18">
        <f t="shared" si="99"/>
        <v>360</v>
      </c>
      <c r="N441" s="18">
        <f>IF(OR(H441="",H441="sif",H441="PM"),0,VLOOKUP(H441,[5]CU!$C$4:$H$255,6,FALSE))</f>
        <v>0.54600000000000004</v>
      </c>
      <c r="O441" s="18">
        <f t="shared" si="101"/>
        <v>0</v>
      </c>
      <c r="P441" s="18">
        <f t="shared" si="101"/>
        <v>0</v>
      </c>
      <c r="Q441" s="18">
        <f t="shared" si="101"/>
        <v>196.56</v>
      </c>
      <c r="R441" s="18">
        <f t="shared" si="101"/>
        <v>0</v>
      </c>
      <c r="S441" s="24">
        <f>SUM(O441:R441)</f>
        <v>196.56</v>
      </c>
      <c r="T441" s="23" t="s">
        <v>56</v>
      </c>
      <c r="U441" s="18" t="s">
        <v>529</v>
      </c>
      <c r="V441" s="18" t="str">
        <f>IF(OR($H441="",$H441="sif",$H441="PM"),"",VLOOKUP($H441,[5]CU!$C$5:$J$255,8,FALSE))</f>
        <v>3. Formation</v>
      </c>
      <c r="W441" s="18" t="s">
        <v>398</v>
      </c>
      <c r="X441" s="18" t="s">
        <v>398</v>
      </c>
      <c r="Y441" s="19" t="s">
        <v>32</v>
      </c>
      <c r="Z441" s="18" t="str">
        <f>A441 &amp; "-" &amp; VLOOKUP(A441,[4]PROGRAMMES!$E$1:$F$7,2,FALSE)</f>
        <v>1-Accès et équité à l'enseignement général</v>
      </c>
      <c r="AA441" s="19" t="str">
        <f>B441 &amp; "-" &amp; VLOOKUP(B441,[4]SOUSPROGRAMMES!$E$1:$F$44,2,FALSE)</f>
        <v>16- Accès et équité au lycée</v>
      </c>
      <c r="AB441" s="19" t="str">
        <f>C441 &amp; "-" &amp; VLOOKUP(C441,[4]RESULTATS!$E$1:$F$176,2,FALSE)</f>
        <v>162- Tous les lycées publics sont dotés en enseignants en nombre suffisant, y compris les FA</v>
      </c>
      <c r="AC441" s="20" t="str">
        <f>D441 &amp; "-" &amp; VLOOKUP(D441,[4]STRATEGIES!$E$1:$F$504,2,FALSE)</f>
        <v>1623-Optimisation de l’utilisation des enseignants au lycée, y compris les FA</v>
      </c>
      <c r="AD441" s="21" t="str">
        <f t="shared" si="90"/>
        <v>16233-Formation des encadreurs au niveau IRE, DPE/DCE sur la stratégie d'optimisation de l'utilisation des ressources (salles, enseignants)</v>
      </c>
    </row>
    <row r="442" spans="1:30" s="22" customFormat="1" ht="45" hidden="1" customHeight="1" x14ac:dyDescent="0.8">
      <c r="A442" s="14">
        <v>1</v>
      </c>
      <c r="B442" s="15">
        <v>16</v>
      </c>
      <c r="C442" s="15">
        <v>162</v>
      </c>
      <c r="D442" s="15">
        <v>1623</v>
      </c>
      <c r="E442" s="15">
        <v>16234</v>
      </c>
      <c r="F442" s="16" t="s">
        <v>437</v>
      </c>
      <c r="G442" s="21" t="s">
        <v>92</v>
      </c>
      <c r="H442" s="17" t="s">
        <v>55</v>
      </c>
      <c r="I442" s="18">
        <v>0</v>
      </c>
      <c r="J442" s="18">
        <v>1</v>
      </c>
      <c r="K442" s="18">
        <v>1</v>
      </c>
      <c r="L442" s="18">
        <v>1</v>
      </c>
      <c r="M442" s="18">
        <f t="shared" si="99"/>
        <v>3</v>
      </c>
      <c r="N442" s="18">
        <f>IF(OR(H442="",H442="sif",H442="PM"),0,VLOOKUP(H442,[5]CU!$C$4:$H$255,6,FALSE))</f>
        <v>0</v>
      </c>
      <c r="O442" s="18"/>
      <c r="P442" s="18"/>
      <c r="Q442" s="18"/>
      <c r="R442" s="18"/>
      <c r="S442" s="24"/>
      <c r="T442" s="23" t="s">
        <v>56</v>
      </c>
      <c r="U442" s="18" t="s">
        <v>529</v>
      </c>
      <c r="V442" s="18" t="str">
        <f>IF(OR($H442="",$H442="sif",$H442="PM"),"",VLOOKUP($H442,[5]CU!$C$5:$J$255,8,FALSE))</f>
        <v/>
      </c>
      <c r="W442" s="18" t="s">
        <v>398</v>
      </c>
      <c r="X442" s="18" t="s">
        <v>282</v>
      </c>
      <c r="Y442" s="19" t="s">
        <v>32</v>
      </c>
      <c r="Z442" s="18" t="str">
        <f>A442 &amp; "-" &amp; VLOOKUP(A442,[4]PROGRAMMES!$E$1:$F$7,2,FALSE)</f>
        <v>1-Accès et équité à l'enseignement général</v>
      </c>
      <c r="AA442" s="19" t="str">
        <f>B442 &amp; "-" &amp; VLOOKUP(B442,[4]SOUSPROGRAMMES!$E$1:$F$44,2,FALSE)</f>
        <v>16- Accès et équité au lycée</v>
      </c>
      <c r="AB442" s="19" t="str">
        <f>C442 &amp; "-" &amp; VLOOKUP(C442,[4]RESULTATS!$E$1:$F$176,2,FALSE)</f>
        <v>162- Tous les lycées publics sont dotés en enseignants en nombre suffisant, y compris les FA</v>
      </c>
      <c r="AC442" s="20" t="str">
        <f>D442 &amp; "-" &amp; VLOOKUP(D442,[4]STRATEGIES!$E$1:$F$504,2,FALSE)</f>
        <v>1623-Optimisation de l’utilisation des enseignants au lycée, y compris les FA</v>
      </c>
      <c r="AD442" s="21" t="str">
        <f t="shared" si="90"/>
        <v>16234-Supervision de l'utilisation des enseignants et salles de classe (pris en compte dans budget structures déconcentrées)</v>
      </c>
    </row>
    <row r="443" spans="1:30" s="22" customFormat="1" ht="15" hidden="1" customHeight="1" x14ac:dyDescent="0.8">
      <c r="A443" s="14">
        <v>1</v>
      </c>
      <c r="B443" s="15">
        <v>17</v>
      </c>
      <c r="C443" s="15">
        <v>17</v>
      </c>
      <c r="D443" s="15">
        <v>17</v>
      </c>
      <c r="E443" s="15">
        <v>17</v>
      </c>
      <c r="F443" s="16" t="s">
        <v>565</v>
      </c>
      <c r="G443" s="17"/>
      <c r="H443" s="17"/>
      <c r="I443" s="18">
        <v>0</v>
      </c>
      <c r="J443" s="18"/>
      <c r="K443" s="18"/>
      <c r="L443" s="18"/>
      <c r="M443" s="18"/>
      <c r="N443" s="18"/>
      <c r="O443" s="18"/>
      <c r="P443" s="18"/>
      <c r="Q443" s="18"/>
      <c r="R443" s="18"/>
      <c r="S443" s="24"/>
      <c r="T443" s="18"/>
      <c r="U443" s="18"/>
      <c r="V443" s="18"/>
      <c r="W443" s="18"/>
      <c r="X443" s="18"/>
      <c r="Y443" s="19" t="s">
        <v>32</v>
      </c>
      <c r="Z443" s="18" t="str">
        <f>A443 &amp; "-" &amp; VLOOKUP(A443,[4]PROGRAMMES!$E$1:$F$7,2,FALSE)</f>
        <v>1-Accès et équité à l'enseignement général</v>
      </c>
      <c r="AA443" s="19" t="str">
        <f>B443 &amp; "-" &amp; VLOOKUP(B443,[4]SOUSPROGRAMMES!$E$1:$F$44,2,FALSE)</f>
        <v xml:space="preserve">17- Santé et hygiène scolaires </v>
      </c>
      <c r="AB443" s="19" t="str">
        <f>C443 &amp; "-" &amp; VLOOKUP(C443,[4]RESULTATS!$E$1:$F$176,2,FALSE)</f>
        <v xml:space="preserve">17- Santé et hygiène scolaires </v>
      </c>
      <c r="AC443" s="20" t="str">
        <f>D443 &amp; "-" &amp; VLOOKUP(D443,[4]STRATEGIES!$E$1:$F$504,2,FALSE)</f>
        <v xml:space="preserve">17- Santé et hygiène scolaires </v>
      </c>
      <c r="AD443" s="21" t="str">
        <f t="shared" si="90"/>
        <v xml:space="preserve">17- Santé et hygiène scolaires </v>
      </c>
    </row>
    <row r="444" spans="1:30" s="22" customFormat="1" ht="45" hidden="1" customHeight="1" x14ac:dyDescent="0.8">
      <c r="A444" s="14">
        <v>1</v>
      </c>
      <c r="B444" s="15">
        <v>17</v>
      </c>
      <c r="C444" s="15">
        <v>171</v>
      </c>
      <c r="D444" s="15">
        <v>171</v>
      </c>
      <c r="E444" s="15">
        <v>171</v>
      </c>
      <c r="F444" s="16" t="s">
        <v>566</v>
      </c>
      <c r="G444" s="17"/>
      <c r="H444" s="17"/>
      <c r="I444" s="18">
        <v>0</v>
      </c>
      <c r="J444" s="18"/>
      <c r="K444" s="18"/>
      <c r="L444" s="18"/>
      <c r="M444" s="18"/>
      <c r="N444" s="18"/>
      <c r="O444" s="18"/>
      <c r="P444" s="18"/>
      <c r="Q444" s="18"/>
      <c r="R444" s="18"/>
      <c r="S444" s="24"/>
      <c r="T444" s="18"/>
      <c r="U444" s="18"/>
      <c r="V444" s="18"/>
      <c r="W444" s="18"/>
      <c r="X444" s="18"/>
      <c r="Y444" s="19" t="s">
        <v>32</v>
      </c>
      <c r="Z444" s="18" t="str">
        <f>A444 &amp; "-" &amp; VLOOKUP(A444,[4]PROGRAMMES!$E$1:$F$7,2,FALSE)</f>
        <v>1-Accès et équité à l'enseignement général</v>
      </c>
      <c r="AA444" s="19" t="str">
        <f>B444 &amp; "-" &amp; VLOOKUP(B444,[4]SOUSPROGRAMMES!$E$1:$F$44,2,FALSE)</f>
        <v xml:space="preserve">17- Santé et hygiène scolaires </v>
      </c>
      <c r="AB444" s="19" t="str">
        <f>C444 &amp; "-" &amp; VLOOKUP(C444,[4]RESULTATS!$E$1:$F$176,2,FALSE)</f>
        <v>171- Les conditions d'hygiène sont améliorées au sein des écoles et établissements</v>
      </c>
      <c r="AC444" s="20" t="str">
        <f>D444 &amp; "-" &amp; VLOOKUP(D444,[4]STRATEGIES!$E$1:$F$504,2,FALSE)</f>
        <v>171- Les conditions d'hygiène sont améliorées au sein des écoles et établissements</v>
      </c>
      <c r="AD444" s="21" t="str">
        <f t="shared" si="90"/>
        <v>171- Les conditions d'hygiène sont améliorées au sein des écoles et établissements</v>
      </c>
    </row>
    <row r="445" spans="1:30" s="22" customFormat="1" ht="45" hidden="1" customHeight="1" x14ac:dyDescent="0.8">
      <c r="A445" s="14">
        <v>1</v>
      </c>
      <c r="B445" s="15">
        <v>17</v>
      </c>
      <c r="C445" s="15">
        <v>171</v>
      </c>
      <c r="D445" s="15">
        <v>1711</v>
      </c>
      <c r="E445" s="15">
        <v>1711</v>
      </c>
      <c r="F445" s="16" t="s">
        <v>567</v>
      </c>
      <c r="G445" s="17"/>
      <c r="H445" s="17"/>
      <c r="I445" s="18">
        <v>0</v>
      </c>
      <c r="J445" s="18"/>
      <c r="K445" s="18"/>
      <c r="L445" s="18"/>
      <c r="M445" s="18"/>
      <c r="N445" s="18"/>
      <c r="O445" s="18"/>
      <c r="P445" s="18"/>
      <c r="Q445" s="18"/>
      <c r="R445" s="18"/>
      <c r="S445" s="24"/>
      <c r="T445" s="18"/>
      <c r="U445" s="18"/>
      <c r="V445" s="18"/>
      <c r="W445" s="18"/>
      <c r="X445" s="18"/>
      <c r="Y445" s="19" t="s">
        <v>32</v>
      </c>
      <c r="Z445" s="18" t="str">
        <f>A445 &amp; "-" &amp; VLOOKUP(A445,[4]PROGRAMMES!$E$1:$F$7,2,FALSE)</f>
        <v>1-Accès et équité à l'enseignement général</v>
      </c>
      <c r="AA445" s="19" t="str">
        <f>B445 &amp; "-" &amp; VLOOKUP(B445,[4]SOUSPROGRAMMES!$E$1:$F$44,2,FALSE)</f>
        <v xml:space="preserve">17- Santé et hygiène scolaires </v>
      </c>
      <c r="AB445" s="19" t="str">
        <f>C445 &amp; "-" &amp; VLOOKUP(C445,[4]RESULTATS!$E$1:$F$176,2,FALSE)</f>
        <v>171- Les conditions d'hygiène sont améliorées au sein des écoles et établissements</v>
      </c>
      <c r="AC445" s="20" t="str">
        <f>D445 &amp; "-" &amp; VLOOKUP(D445,[4]STRATEGIES!$E$1:$F$504,2,FALSE)</f>
        <v>1711-Construction/rénovation des latrines séparées</v>
      </c>
      <c r="AD445" s="21" t="str">
        <f t="shared" si="90"/>
        <v>1711-Construction/rénovation des latrines séparées</v>
      </c>
    </row>
    <row r="446" spans="1:30" ht="45" hidden="1" customHeight="1" x14ac:dyDescent="0.8">
      <c r="A446" s="25">
        <v>1</v>
      </c>
      <c r="B446" s="16">
        <v>17</v>
      </c>
      <c r="C446" s="16">
        <v>171</v>
      </c>
      <c r="D446" s="16">
        <v>1711</v>
      </c>
      <c r="E446" s="16">
        <v>17111</v>
      </c>
      <c r="F446" s="16" t="s">
        <v>568</v>
      </c>
      <c r="G446" s="21" t="s">
        <v>159</v>
      </c>
      <c r="H446" s="21" t="s">
        <v>55</v>
      </c>
      <c r="I446" s="19">
        <v>0</v>
      </c>
      <c r="J446" s="19"/>
      <c r="K446" s="19"/>
      <c r="L446" s="19"/>
      <c r="M446" s="19"/>
      <c r="N446" s="19">
        <f>IF(OR(H446="",H446="sif",H446="PM"),0,VLOOKUP(H446,[5]CU!$C$4:$H$255,6,FALSE))</f>
        <v>0</v>
      </c>
      <c r="O446" s="19"/>
      <c r="P446" s="19"/>
      <c r="Q446" s="19">
        <f t="shared" ref="Q446:Q447" si="102">$N446*K446</f>
        <v>0</v>
      </c>
      <c r="R446" s="19"/>
      <c r="S446" s="31"/>
      <c r="T446" s="26" t="s">
        <v>169</v>
      </c>
      <c r="U446" s="19" t="s">
        <v>170</v>
      </c>
      <c r="V446" s="19" t="str">
        <f>IF(OR($H446="",$H446="sif",$H446="PM"),"",VLOOKUP($H446,[5]CU!$C$5:$J$255,8,FALSE))</f>
        <v/>
      </c>
      <c r="W446" s="19" t="s">
        <v>96</v>
      </c>
      <c r="X446" s="19" t="s">
        <v>179</v>
      </c>
      <c r="Y446" s="19" t="s">
        <v>32</v>
      </c>
      <c r="Z446" s="19" t="str">
        <f>A446 &amp; "-" &amp; VLOOKUP(A446,[4]PROGRAMMES!$E$1:$F$7,2,FALSE)</f>
        <v>1-Accès et équité à l'enseignement général</v>
      </c>
      <c r="AA446" s="19" t="str">
        <f>B446 &amp; "-" &amp; VLOOKUP(B446,[4]SOUSPROGRAMMES!$E$1:$F$44,2,FALSE)</f>
        <v xml:space="preserve">17- Santé et hygiène scolaires </v>
      </c>
      <c r="AB446" s="19" t="str">
        <f>C446 &amp; "-" &amp; VLOOKUP(C446,[4]RESULTATS!$E$1:$F$176,2,FALSE)</f>
        <v>171- Les conditions d'hygiène sont améliorées au sein des écoles et établissements</v>
      </c>
      <c r="AC446" s="20" t="str">
        <f>D446 &amp; "-" &amp; VLOOKUP(D446,[4]STRATEGIES!$E$1:$F$504,2,FALSE)</f>
        <v>1711-Construction/rénovation des latrines séparées</v>
      </c>
      <c r="AD446" s="21" t="str">
        <f t="shared" si="90"/>
        <v>17111-Identification des centres, écoles et établissements devant bénéficier de construction ou de rénovation de latrines</v>
      </c>
    </row>
    <row r="447" spans="1:30" ht="45" hidden="1" customHeight="1" x14ac:dyDescent="0.8">
      <c r="A447" s="25">
        <v>1</v>
      </c>
      <c r="B447" s="16">
        <v>17</v>
      </c>
      <c r="C447" s="16">
        <v>171</v>
      </c>
      <c r="D447" s="16">
        <v>1711</v>
      </c>
      <c r="E447" s="16">
        <v>17112</v>
      </c>
      <c r="F447" s="16" t="s">
        <v>569</v>
      </c>
      <c r="G447" s="21" t="s">
        <v>159</v>
      </c>
      <c r="H447" s="21" t="s">
        <v>55</v>
      </c>
      <c r="I447" s="19">
        <v>0</v>
      </c>
      <c r="J447" s="19"/>
      <c r="K447" s="19"/>
      <c r="L447" s="19"/>
      <c r="M447" s="19"/>
      <c r="N447" s="19">
        <f>IF(OR(H447="",H447="sif",H447="PM"),0,VLOOKUP(H447,[5]CU!$C$4:$H$255,6,FALSE))</f>
        <v>0</v>
      </c>
      <c r="O447" s="19"/>
      <c r="P447" s="19"/>
      <c r="Q447" s="19">
        <f t="shared" si="102"/>
        <v>0</v>
      </c>
      <c r="R447" s="19"/>
      <c r="S447" s="31"/>
      <c r="T447" s="26" t="s">
        <v>169</v>
      </c>
      <c r="U447" s="19" t="s">
        <v>170</v>
      </c>
      <c r="V447" s="19" t="str">
        <f>IF(OR($H447="",$H447="sif",$H447="PM"),"",VLOOKUP($H447,[5]CU!$C$5:$J$255,8,FALSE))</f>
        <v/>
      </c>
      <c r="W447" s="19" t="s">
        <v>98</v>
      </c>
      <c r="X447" s="19" t="s">
        <v>469</v>
      </c>
      <c r="Y447" s="19" t="s">
        <v>32</v>
      </c>
      <c r="Z447" s="19" t="str">
        <f>A447 &amp; "-" &amp; VLOOKUP(A447,[4]PROGRAMMES!$E$1:$F$7,2,FALSE)</f>
        <v>1-Accès et équité à l'enseignement général</v>
      </c>
      <c r="AA447" s="19" t="str">
        <f>B447 &amp; "-" &amp; VLOOKUP(B447,[4]SOUSPROGRAMMES!$E$1:$F$44,2,FALSE)</f>
        <v xml:space="preserve">17- Santé et hygiène scolaires </v>
      </c>
      <c r="AB447" s="19" t="str">
        <f>C447 &amp; "-" &amp; VLOOKUP(C447,[4]RESULTATS!$E$1:$F$176,2,FALSE)</f>
        <v>171- Les conditions d'hygiène sont améliorées au sein des écoles et établissements</v>
      </c>
      <c r="AC447" s="20" t="str">
        <f>D447 &amp; "-" &amp; VLOOKUP(D447,[4]STRATEGIES!$E$1:$F$504,2,FALSE)</f>
        <v>1711-Construction/rénovation des latrines séparées</v>
      </c>
      <c r="AD447" s="21" t="str">
        <f t="shared" si="90"/>
        <v>17112-Confirmation des sites de construction ou de rénovation de latrines (activité 12222)</v>
      </c>
    </row>
    <row r="448" spans="1:30" s="22" customFormat="1" ht="45" hidden="1" customHeight="1" x14ac:dyDescent="0.8">
      <c r="A448" s="14">
        <v>1</v>
      </c>
      <c r="B448" s="15">
        <v>17</v>
      </c>
      <c r="C448" s="15">
        <v>171</v>
      </c>
      <c r="D448" s="15">
        <v>1711</v>
      </c>
      <c r="E448" s="15">
        <v>17113</v>
      </c>
      <c r="F448" s="16" t="s">
        <v>570</v>
      </c>
      <c r="G448" s="21" t="s">
        <v>374</v>
      </c>
      <c r="H448" s="17" t="s">
        <v>571</v>
      </c>
      <c r="I448" s="18">
        <v>0</v>
      </c>
      <c r="J448" s="18">
        <f>(193*3*0.3)*80.01%</f>
        <v>138.97737000000001</v>
      </c>
      <c r="K448" s="18">
        <f>(193*3*0.5)*80.01%</f>
        <v>231.62895</v>
      </c>
      <c r="L448" s="18">
        <f>(193*3*0.2)*80.01%</f>
        <v>92.65158000000001</v>
      </c>
      <c r="M448" s="18">
        <f>SUM(I448:L448)</f>
        <v>463.25790000000001</v>
      </c>
      <c r="N448" s="18">
        <f>IF(OR(H448="",H448="sif",H448="PM"),0,VLOOKUP(H448,[5]CU!$C$4:$H$255,6,FALSE))</f>
        <v>15.444000000000001</v>
      </c>
      <c r="O448" s="18">
        <f>$N448*I448</f>
        <v>0</v>
      </c>
      <c r="P448" s="18">
        <f>$N448*J448</f>
        <v>2146.3665022800001</v>
      </c>
      <c r="Q448" s="18">
        <f>$N448*K448</f>
        <v>3577.2775038000004</v>
      </c>
      <c r="R448" s="18">
        <f>$N448*L448</f>
        <v>1430.9110015200001</v>
      </c>
      <c r="S448" s="24">
        <f>SUM(O448:R448)</f>
        <v>7154.5550076000009</v>
      </c>
      <c r="T448" s="23" t="s">
        <v>56</v>
      </c>
      <c r="U448" s="18" t="s">
        <v>170</v>
      </c>
      <c r="V448" s="18" t="str">
        <f>IF(OR($H448="",$H448="sif",$H448="PM"),"",VLOOKUP($H448,[5]CU!$C$5:$J$255,8,FALSE))</f>
        <v>5. Investissement</v>
      </c>
      <c r="W448" s="18" t="s">
        <v>98</v>
      </c>
      <c r="X448" s="18" t="s">
        <v>98</v>
      </c>
      <c r="Y448" s="19" t="s">
        <v>32</v>
      </c>
      <c r="Z448" s="18" t="str">
        <f>A448 &amp; "-" &amp; VLOOKUP(A448,[4]PROGRAMMES!$E$1:$F$7,2,FALSE)</f>
        <v>1-Accès et équité à l'enseignement général</v>
      </c>
      <c r="AA448" s="19" t="str">
        <f>B448 &amp; "-" &amp; VLOOKUP(B448,[4]SOUSPROGRAMMES!$E$1:$F$44,2,FALSE)</f>
        <v xml:space="preserve">17- Santé et hygiène scolaires </v>
      </c>
      <c r="AB448" s="19" t="str">
        <f>C448 &amp; "-" &amp; VLOOKUP(C448,[4]RESULTATS!$E$1:$F$176,2,FALSE)</f>
        <v>171- Les conditions d'hygiène sont améliorées au sein des écoles et établissements</v>
      </c>
      <c r="AC448" s="20" t="str">
        <f>D448 &amp; "-" &amp; VLOOKUP(D448,[4]STRATEGIES!$E$1:$F$504,2,FALSE)</f>
        <v>1711-Construction/rénovation des latrines séparées</v>
      </c>
      <c r="AD448" s="21" t="str">
        <f t="shared" si="90"/>
        <v>17113-Rénovation/réhabilitation de latrines, y compris dans les FA (réhabilitation de 30% des latrines ayant besoin d'être réhabilités existantes courant ProDEG)</v>
      </c>
    </row>
    <row r="449" spans="1:30" s="22" customFormat="1" ht="45" hidden="1" customHeight="1" x14ac:dyDescent="0.8">
      <c r="A449" s="14">
        <v>1</v>
      </c>
      <c r="B449" s="15">
        <v>17</v>
      </c>
      <c r="C449" s="15">
        <v>171</v>
      </c>
      <c r="D449" s="15">
        <v>1711</v>
      </c>
      <c r="E449" s="15">
        <v>17113</v>
      </c>
      <c r="F449" s="16" t="s">
        <v>570</v>
      </c>
      <c r="G449" s="21" t="s">
        <v>374</v>
      </c>
      <c r="H449" s="17" t="s">
        <v>571</v>
      </c>
      <c r="I449" s="18">
        <v>0</v>
      </c>
      <c r="J449" s="18">
        <f>(193*3*0.3)*19.99%</f>
        <v>34.722629999999995</v>
      </c>
      <c r="K449" s="18">
        <f>(193*3*0.5)*19.99%</f>
        <v>57.871049999999997</v>
      </c>
      <c r="L449" s="18">
        <f>(193*3*0.2)*19.99%</f>
        <v>23.148420000000002</v>
      </c>
      <c r="M449" s="18">
        <f t="shared" ref="M449:M455" si="103">SUM(I449:L449)</f>
        <v>115.74209999999999</v>
      </c>
      <c r="N449" s="18">
        <f>IF(OR(H449="",H449="sif",H449="PM"),0,VLOOKUP(H449,[5]CU!$C$4:$H$255,6,FALSE))</f>
        <v>15.444000000000001</v>
      </c>
      <c r="O449" s="18">
        <f t="shared" ref="O449:R455" si="104">$N449*I449</f>
        <v>0</v>
      </c>
      <c r="P449" s="18">
        <f t="shared" si="104"/>
        <v>536.25629771999991</v>
      </c>
      <c r="Q449" s="18">
        <f t="shared" si="104"/>
        <v>893.76049620000003</v>
      </c>
      <c r="R449" s="18">
        <f t="shared" si="104"/>
        <v>357.50419848000007</v>
      </c>
      <c r="S449" s="24">
        <f t="shared" ref="S449:S455" si="105">SUM(O449:R449)</f>
        <v>1787.5209924000001</v>
      </c>
      <c r="T449" s="23" t="s">
        <v>118</v>
      </c>
      <c r="U449" s="18" t="s">
        <v>170</v>
      </c>
      <c r="V449" s="18" t="str">
        <f>IF(OR($H449="",$H449="sif",$H449="PM"),"",VLOOKUP($H449,[5]CU!$C$5:$J$255,8,FALSE))</f>
        <v>5. Investissement</v>
      </c>
      <c r="W449" s="18" t="s">
        <v>98</v>
      </c>
      <c r="X449" s="18" t="s">
        <v>98</v>
      </c>
      <c r="Y449" s="19" t="s">
        <v>32</v>
      </c>
      <c r="Z449" s="18" t="str">
        <f>A449 &amp; "-" &amp; VLOOKUP(A449,[4]PROGRAMMES!$E$1:$F$7,2,FALSE)</f>
        <v>1-Accès et équité à l'enseignement général</v>
      </c>
      <c r="AA449" s="19" t="str">
        <f>B449 &amp; "-" &amp; VLOOKUP(B449,[4]SOUSPROGRAMMES!$E$1:$F$44,2,FALSE)</f>
        <v xml:space="preserve">17- Santé et hygiène scolaires </v>
      </c>
      <c r="AB449" s="19" t="str">
        <f>C449 &amp; "-" &amp; VLOOKUP(C449,[4]RESULTATS!$E$1:$F$176,2,FALSE)</f>
        <v>171- Les conditions d'hygiène sont améliorées au sein des écoles et établissements</v>
      </c>
      <c r="AC449" s="20" t="str">
        <f>D449 &amp; "-" &amp; VLOOKUP(D449,[4]STRATEGIES!$E$1:$F$504,2,FALSE)</f>
        <v>1711-Construction/rénovation des latrines séparées</v>
      </c>
      <c r="AD449" s="21" t="str">
        <f t="shared" si="90"/>
        <v>17113-Rénovation/réhabilitation de latrines, y compris dans les FA (réhabilitation de 30% des latrines ayant besoin d'être réhabilités existantes courant ProDEG)</v>
      </c>
    </row>
    <row r="450" spans="1:30" s="22" customFormat="1" ht="45" hidden="1" customHeight="1" x14ac:dyDescent="0.8">
      <c r="A450" s="14">
        <v>1</v>
      </c>
      <c r="B450" s="15">
        <v>17</v>
      </c>
      <c r="C450" s="15">
        <v>171</v>
      </c>
      <c r="D450" s="15">
        <v>1711</v>
      </c>
      <c r="E450" s="15">
        <v>17114</v>
      </c>
      <c r="F450" s="16" t="s">
        <v>572</v>
      </c>
      <c r="G450" s="21" t="s">
        <v>103</v>
      </c>
      <c r="H450" s="17" t="s">
        <v>573</v>
      </c>
      <c r="I450" s="18">
        <v>0</v>
      </c>
      <c r="J450" s="18"/>
      <c r="K450" s="18"/>
      <c r="L450" s="18"/>
      <c r="M450" s="18">
        <f t="shared" si="103"/>
        <v>0</v>
      </c>
      <c r="N450" s="18">
        <f>IF(OR(H450="",H450="sif",H450="PM"),0,VLOOKUP(H450,[5]CU!$C$4:$H$255,6,FALSE))</f>
        <v>65.8</v>
      </c>
      <c r="O450" s="18">
        <f t="shared" si="104"/>
        <v>0</v>
      </c>
      <c r="P450" s="18">
        <f t="shared" si="104"/>
        <v>0</v>
      </c>
      <c r="Q450" s="18">
        <f t="shared" si="104"/>
        <v>0</v>
      </c>
      <c r="R450" s="18">
        <f t="shared" si="104"/>
        <v>0</v>
      </c>
      <c r="S450" s="24">
        <f t="shared" si="105"/>
        <v>0</v>
      </c>
      <c r="T450" s="23" t="s">
        <v>178</v>
      </c>
      <c r="U450" s="18" t="s">
        <v>170</v>
      </c>
      <c r="V450" s="18" t="str">
        <f>IF(OR($H450="",$H450="sif",$H450="PM"),"",VLOOKUP($H450,[5]CU!$C$5:$J$255,8,FALSE))</f>
        <v>5. Investissement</v>
      </c>
      <c r="W450" s="18" t="s">
        <v>98</v>
      </c>
      <c r="X450" s="18" t="s">
        <v>98</v>
      </c>
      <c r="Y450" s="19" t="s">
        <v>32</v>
      </c>
      <c r="Z450" s="18" t="str">
        <f>A450 &amp; "-" &amp; VLOOKUP(A450,[4]PROGRAMMES!$E$1:$F$7,2,FALSE)</f>
        <v>1-Accès et équité à l'enseignement général</v>
      </c>
      <c r="AA450" s="19" t="str">
        <f>B450 &amp; "-" &amp; VLOOKUP(B450,[4]SOUSPROGRAMMES!$E$1:$F$44,2,FALSE)</f>
        <v xml:space="preserve">17- Santé et hygiène scolaires </v>
      </c>
      <c r="AB450" s="19" t="str">
        <f>C450 &amp; "-" &amp; VLOOKUP(C450,[4]RESULTATS!$E$1:$F$176,2,FALSE)</f>
        <v>171- Les conditions d'hygiène sont améliorées au sein des écoles et établissements</v>
      </c>
      <c r="AC450" s="20" t="str">
        <f>D450 &amp; "-" &amp; VLOOKUP(D450,[4]STRATEGIES!$E$1:$F$504,2,FALSE)</f>
        <v>1711-Construction/rénovation des latrines séparées</v>
      </c>
      <c r="AD450" s="21" t="str">
        <f t="shared" si="90"/>
        <v>17114-Construction de latrines séparées (filles/garçons) en faveur des écoles, centres et établissement scolaires, y compris les FA ne disposant pas de latrines (dotation de 30% sur la période)</v>
      </c>
    </row>
    <row r="451" spans="1:30" s="22" customFormat="1" ht="45" hidden="1" customHeight="1" x14ac:dyDescent="0.8">
      <c r="A451" s="14">
        <v>1</v>
      </c>
      <c r="B451" s="15">
        <v>17</v>
      </c>
      <c r="C451" s="15">
        <v>171</v>
      </c>
      <c r="D451" s="15">
        <v>1711</v>
      </c>
      <c r="E451" s="15">
        <v>17114</v>
      </c>
      <c r="F451" s="16" t="s">
        <v>572</v>
      </c>
      <c r="G451" s="21" t="s">
        <v>103</v>
      </c>
      <c r="H451" s="17" t="s">
        <v>573</v>
      </c>
      <c r="I451" s="32">
        <v>0</v>
      </c>
      <c r="J451" s="32">
        <f>233*0.6+32+75-J450-J452</f>
        <v>146.79999999999998</v>
      </c>
      <c r="K451" s="32">
        <f>233*0.6+32+75-K450-K452</f>
        <v>176.79999999999998</v>
      </c>
      <c r="L451" s="32">
        <f>233*0.6+32+75-L450-L452</f>
        <v>176.79999999999998</v>
      </c>
      <c r="M451" s="18">
        <f t="shared" si="103"/>
        <v>500.4</v>
      </c>
      <c r="N451" s="18">
        <f>IF(OR(H451="",H451="sif",H451="PM"),0,VLOOKUP(H451,[5]CU!$C$4:$H$255,6,FALSE))</f>
        <v>65.8</v>
      </c>
      <c r="O451" s="18">
        <f t="shared" si="104"/>
        <v>0</v>
      </c>
      <c r="P451" s="18">
        <f t="shared" si="104"/>
        <v>9659.4399999999987</v>
      </c>
      <c r="Q451" s="18">
        <f t="shared" si="104"/>
        <v>11633.439999999999</v>
      </c>
      <c r="R451" s="18">
        <f t="shared" si="104"/>
        <v>11633.439999999999</v>
      </c>
      <c r="S451" s="24">
        <f t="shared" si="105"/>
        <v>32926.319999999992</v>
      </c>
      <c r="T451" s="23" t="s">
        <v>56</v>
      </c>
      <c r="U451" s="18" t="s">
        <v>170</v>
      </c>
      <c r="V451" s="18" t="str">
        <f>IF(OR($H451="",$H451="sif",$H451="PM"),"",VLOOKUP($H451,[5]CU!$C$5:$J$255,8,FALSE))</f>
        <v>5. Investissement</v>
      </c>
      <c r="W451" s="18" t="s">
        <v>98</v>
      </c>
      <c r="X451" s="18" t="s">
        <v>98</v>
      </c>
      <c r="Y451" s="19" t="s">
        <v>32</v>
      </c>
      <c r="Z451" s="18" t="str">
        <f>A451 &amp; "-" &amp; VLOOKUP(A451,[4]PROGRAMMES!$E$1:$F$7,2,FALSE)</f>
        <v>1-Accès et équité à l'enseignement général</v>
      </c>
      <c r="AA451" s="19" t="str">
        <f>B451 &amp; "-" &amp; VLOOKUP(B451,[4]SOUSPROGRAMMES!$E$1:$F$44,2,FALSE)</f>
        <v xml:space="preserve">17- Santé et hygiène scolaires </v>
      </c>
      <c r="AB451" s="19" t="str">
        <f>C451 &amp; "-" &amp; VLOOKUP(C451,[4]RESULTATS!$E$1:$F$176,2,FALSE)</f>
        <v>171- Les conditions d'hygiène sont améliorées au sein des écoles et établissements</v>
      </c>
      <c r="AC451" s="20" t="str">
        <f>D451 &amp; "-" &amp; VLOOKUP(D451,[4]STRATEGIES!$E$1:$F$504,2,FALSE)</f>
        <v>1711-Construction/rénovation des latrines séparées</v>
      </c>
      <c r="AD451" s="21" t="str">
        <f t="shared" si="90"/>
        <v>17114-Construction de latrines séparées (filles/garçons) en faveur des écoles, centres et établissement scolaires, y compris les FA ne disposant pas de latrines (dotation de 30% sur la période)</v>
      </c>
    </row>
    <row r="452" spans="1:30" s="22" customFormat="1" ht="45" hidden="1" customHeight="1" x14ac:dyDescent="0.8">
      <c r="A452" s="14">
        <v>1</v>
      </c>
      <c r="B452" s="15">
        <v>17</v>
      </c>
      <c r="C452" s="15">
        <v>171</v>
      </c>
      <c r="D452" s="15">
        <v>1711</v>
      </c>
      <c r="E452" s="15">
        <v>17114</v>
      </c>
      <c r="F452" s="16" t="s">
        <v>572</v>
      </c>
      <c r="G452" s="21" t="s">
        <v>103</v>
      </c>
      <c r="H452" s="17" t="s">
        <v>573</v>
      </c>
      <c r="I452" s="18">
        <v>0</v>
      </c>
      <c r="J452" s="18">
        <v>100</v>
      </c>
      <c r="K452" s="18">
        <v>70</v>
      </c>
      <c r="L452" s="18">
        <v>70</v>
      </c>
      <c r="M452" s="18">
        <f t="shared" si="103"/>
        <v>240</v>
      </c>
      <c r="N452" s="18">
        <f>IF(OR(H452="",H452="sif",H452="PM"),0,VLOOKUP(H452,[5]CU!$C$4:$H$255,6,FALSE))</f>
        <v>65.8</v>
      </c>
      <c r="O452" s="18">
        <f t="shared" si="104"/>
        <v>0</v>
      </c>
      <c r="P452" s="18">
        <f t="shared" si="104"/>
        <v>6580</v>
      </c>
      <c r="Q452" s="18">
        <f t="shared" si="104"/>
        <v>4606</v>
      </c>
      <c r="R452" s="18">
        <f t="shared" si="104"/>
        <v>4606</v>
      </c>
      <c r="S452" s="24">
        <f t="shared" si="105"/>
        <v>15792</v>
      </c>
      <c r="T452" s="23" t="s">
        <v>118</v>
      </c>
      <c r="U452" s="18" t="s">
        <v>170</v>
      </c>
      <c r="V452" s="18" t="str">
        <f>IF(OR($H452="",$H452="sif",$H452="PM"),"",VLOOKUP($H452,[5]CU!$C$5:$J$255,8,FALSE))</f>
        <v>5. Investissement</v>
      </c>
      <c r="W452" s="18" t="s">
        <v>98</v>
      </c>
      <c r="X452" s="18" t="s">
        <v>98</v>
      </c>
      <c r="Y452" s="19" t="s">
        <v>32</v>
      </c>
      <c r="Z452" s="18" t="str">
        <f>A452 &amp; "-" &amp; VLOOKUP(A452,[4]PROGRAMMES!$E$1:$F$7,2,FALSE)</f>
        <v>1-Accès et équité à l'enseignement général</v>
      </c>
      <c r="AA452" s="19" t="str">
        <f>B452 &amp; "-" &amp; VLOOKUP(B452,[4]SOUSPROGRAMMES!$E$1:$F$44,2,FALSE)</f>
        <v xml:space="preserve">17- Santé et hygiène scolaires </v>
      </c>
      <c r="AB452" s="19" t="str">
        <f>C452 &amp; "-" &amp; VLOOKUP(C452,[4]RESULTATS!$E$1:$F$176,2,FALSE)</f>
        <v>171- Les conditions d'hygiène sont améliorées au sein des écoles et établissements</v>
      </c>
      <c r="AC452" s="20" t="str">
        <f>D452 &amp; "-" &amp; VLOOKUP(D452,[4]STRATEGIES!$E$1:$F$504,2,FALSE)</f>
        <v>1711-Construction/rénovation des latrines séparées</v>
      </c>
      <c r="AD452" s="21" t="str">
        <f t="shared" ref="AD452:AD515" si="106">E452 &amp; "-" &amp; F452</f>
        <v>17114-Construction de latrines séparées (filles/garçons) en faveur des écoles, centres et établissement scolaires, y compris les FA ne disposant pas de latrines (dotation de 30% sur la période)</v>
      </c>
    </row>
    <row r="453" spans="1:30" s="22" customFormat="1" ht="45" hidden="1" customHeight="1" x14ac:dyDescent="0.8">
      <c r="A453" s="14">
        <v>1</v>
      </c>
      <c r="B453" s="15">
        <v>17</v>
      </c>
      <c r="C453" s="15">
        <v>171</v>
      </c>
      <c r="D453" s="15">
        <v>1711</v>
      </c>
      <c r="E453" s="15">
        <v>17115</v>
      </c>
      <c r="F453" s="16" t="s">
        <v>574</v>
      </c>
      <c r="G453" s="21" t="s">
        <v>103</v>
      </c>
      <c r="H453" s="17" t="s">
        <v>573</v>
      </c>
      <c r="I453" s="18">
        <v>0</v>
      </c>
      <c r="J453" s="18"/>
      <c r="K453" s="18"/>
      <c r="L453" s="18"/>
      <c r="M453" s="18">
        <f t="shared" si="103"/>
        <v>0</v>
      </c>
      <c r="N453" s="18">
        <f>IF(OR(H453="",H453="sif",H453="PM"),0,VLOOKUP(H453,[5]CU!$C$4:$H$255,6,FALSE))</f>
        <v>65.8</v>
      </c>
      <c r="O453" s="18">
        <f t="shared" si="104"/>
        <v>0</v>
      </c>
      <c r="P453" s="18">
        <f t="shared" si="104"/>
        <v>0</v>
      </c>
      <c r="Q453" s="18">
        <f t="shared" si="104"/>
        <v>0</v>
      </c>
      <c r="R453" s="18">
        <f t="shared" si="104"/>
        <v>0</v>
      </c>
      <c r="S453" s="24">
        <f t="shared" si="105"/>
        <v>0</v>
      </c>
      <c r="T453" s="23" t="s">
        <v>178</v>
      </c>
      <c r="U453" s="18" t="s">
        <v>170</v>
      </c>
      <c r="V453" s="18" t="str">
        <f>IF(OR($H453="",$H453="sif",$H453="PM"),"",VLOOKUP($H453,[5]CU!$C$5:$J$255,8,FALSE))</f>
        <v>5. Investissement</v>
      </c>
      <c r="W453" s="18" t="s">
        <v>98</v>
      </c>
      <c r="X453" s="18" t="s">
        <v>98</v>
      </c>
      <c r="Y453" s="19" t="s">
        <v>32</v>
      </c>
      <c r="Z453" s="18" t="str">
        <f>A453 &amp; "-" &amp; VLOOKUP(A453,[4]PROGRAMMES!$E$1:$F$7,2,FALSE)</f>
        <v>1-Accès et équité à l'enseignement général</v>
      </c>
      <c r="AA453" s="19" t="str">
        <f>B453 &amp; "-" &amp; VLOOKUP(B453,[4]SOUSPROGRAMMES!$E$1:$F$44,2,FALSE)</f>
        <v xml:space="preserve">17- Santé et hygiène scolaires </v>
      </c>
      <c r="AB453" s="19" t="str">
        <f>C453 &amp; "-" &amp; VLOOKUP(C453,[4]RESULTATS!$E$1:$F$176,2,FALSE)</f>
        <v>171- Les conditions d'hygiène sont améliorées au sein des écoles et établissements</v>
      </c>
      <c r="AC453" s="20" t="str">
        <f>D453 &amp; "-" &amp; VLOOKUP(D453,[4]STRATEGIES!$E$1:$F$504,2,FALSE)</f>
        <v>1711-Construction/rénovation des latrines séparées</v>
      </c>
      <c r="AD453" s="21" t="str">
        <f t="shared" si="106"/>
        <v>17115-Construction de bloc de latrines séparées (filles/garçons) en faveur des écoles, établissement scolaires, construits (100% des nouvelles écoles disposent de latrines)</v>
      </c>
    </row>
    <row r="454" spans="1:30" ht="45" hidden="1" customHeight="1" x14ac:dyDescent="0.8">
      <c r="A454" s="25">
        <v>1</v>
      </c>
      <c r="B454" s="16">
        <v>17</v>
      </c>
      <c r="C454" s="16">
        <v>171</v>
      </c>
      <c r="D454" s="16">
        <v>1711</v>
      </c>
      <c r="E454" s="16">
        <v>17115</v>
      </c>
      <c r="F454" s="16" t="s">
        <v>574</v>
      </c>
      <c r="G454" s="21" t="s">
        <v>103</v>
      </c>
      <c r="H454" s="21" t="s">
        <v>573</v>
      </c>
      <c r="I454" s="19">
        <v>0</v>
      </c>
      <c r="J454" s="19">
        <v>40</v>
      </c>
      <c r="K454" s="19">
        <v>50</v>
      </c>
      <c r="L454" s="19">
        <v>35</v>
      </c>
      <c r="M454" s="19">
        <f t="shared" si="103"/>
        <v>125</v>
      </c>
      <c r="N454" s="19">
        <f>IF(OR(H454="",H454="sif",H454="PM"),0,VLOOKUP(H454,[5]CU!$C$4:$H$255,6,FALSE))</f>
        <v>65.8</v>
      </c>
      <c r="O454" s="19">
        <f t="shared" si="104"/>
        <v>0</v>
      </c>
      <c r="P454" s="19">
        <f t="shared" si="104"/>
        <v>2632</v>
      </c>
      <c r="Q454" s="19">
        <f>$N454*K454</f>
        <v>3290</v>
      </c>
      <c r="R454" s="19">
        <f t="shared" si="104"/>
        <v>2303</v>
      </c>
      <c r="S454" s="31">
        <f t="shared" si="105"/>
        <v>8225</v>
      </c>
      <c r="T454" s="26" t="s">
        <v>169</v>
      </c>
      <c r="U454" s="19" t="s">
        <v>170</v>
      </c>
      <c r="V454" s="19" t="str">
        <f>IF(OR($H454="",$H454="sif",$H454="PM"),"",VLOOKUP($H454,[5]CU!$C$5:$J$255,8,FALSE))</f>
        <v>5. Investissement</v>
      </c>
      <c r="W454" s="19" t="s">
        <v>98</v>
      </c>
      <c r="X454" s="19" t="s">
        <v>98</v>
      </c>
      <c r="Y454" s="19" t="s">
        <v>32</v>
      </c>
      <c r="Z454" s="19" t="str">
        <f>A454 &amp; "-" &amp; VLOOKUP(A454,[4]PROGRAMMES!$E$1:$F$7,2,FALSE)</f>
        <v>1-Accès et équité à l'enseignement général</v>
      </c>
      <c r="AA454" s="19" t="str">
        <f>B454 &amp; "-" &amp; VLOOKUP(B454,[4]SOUSPROGRAMMES!$E$1:$F$44,2,FALSE)</f>
        <v xml:space="preserve">17- Santé et hygiène scolaires </v>
      </c>
      <c r="AB454" s="19" t="str">
        <f>C454 &amp; "-" &amp; VLOOKUP(C454,[4]RESULTATS!$E$1:$F$176,2,FALSE)</f>
        <v>171- Les conditions d'hygiène sont améliorées au sein des écoles et établissements</v>
      </c>
      <c r="AC454" s="20" t="str">
        <f>D454 &amp; "-" &amp; VLOOKUP(D454,[4]STRATEGIES!$E$1:$F$504,2,FALSE)</f>
        <v>1711-Construction/rénovation des latrines séparées</v>
      </c>
      <c r="AD454" s="21" t="str">
        <f t="shared" si="106"/>
        <v>17115-Construction de bloc de latrines séparées (filles/garçons) en faveur des écoles, établissement scolaires, construits (100% des nouvelles écoles disposent de latrines)</v>
      </c>
    </row>
    <row r="455" spans="1:30" s="22" customFormat="1" ht="45" hidden="1" customHeight="1" x14ac:dyDescent="0.8">
      <c r="A455" s="14">
        <v>1</v>
      </c>
      <c r="B455" s="15">
        <v>17</v>
      </c>
      <c r="C455" s="15">
        <v>171</v>
      </c>
      <c r="D455" s="15">
        <v>1711</v>
      </c>
      <c r="E455" s="15">
        <v>17115</v>
      </c>
      <c r="F455" s="16" t="s">
        <v>574</v>
      </c>
      <c r="G455" s="21" t="s">
        <v>103</v>
      </c>
      <c r="H455" s="17" t="s">
        <v>573</v>
      </c>
      <c r="I455" s="18">
        <v>0</v>
      </c>
      <c r="J455" s="18">
        <f>(1691-93-36)*0.3-J454</f>
        <v>428.59999999999997</v>
      </c>
      <c r="K455" s="18">
        <f>(1691-93-36)*0.5-K454</f>
        <v>731</v>
      </c>
      <c r="L455" s="18">
        <f>(1691-93-36)*0.2-L454</f>
        <v>277.40000000000003</v>
      </c>
      <c r="M455" s="18">
        <f t="shared" si="103"/>
        <v>1437</v>
      </c>
      <c r="N455" s="18">
        <f>IF(OR(H455="",H455="sif",H455="PM"),0,VLOOKUP(H455,[5]CU!$C$4:$H$255,6,FALSE))</f>
        <v>65.8</v>
      </c>
      <c r="O455" s="18">
        <f t="shared" si="104"/>
        <v>0</v>
      </c>
      <c r="P455" s="18">
        <f t="shared" si="104"/>
        <v>28201.879999999997</v>
      </c>
      <c r="Q455" s="18">
        <f t="shared" si="104"/>
        <v>48099.799999999996</v>
      </c>
      <c r="R455" s="18">
        <f t="shared" si="104"/>
        <v>18252.920000000002</v>
      </c>
      <c r="S455" s="24">
        <f t="shared" si="105"/>
        <v>94554.599999999991</v>
      </c>
      <c r="T455" s="23" t="s">
        <v>56</v>
      </c>
      <c r="U455" s="18" t="s">
        <v>170</v>
      </c>
      <c r="V455" s="18" t="str">
        <f>IF(OR($H455="",$H455="sif",$H455="PM"),"",VLOOKUP($H455,[5]CU!$C$5:$J$255,8,FALSE))</f>
        <v>5. Investissement</v>
      </c>
      <c r="W455" s="18" t="s">
        <v>98</v>
      </c>
      <c r="X455" s="18" t="s">
        <v>98</v>
      </c>
      <c r="Y455" s="19" t="s">
        <v>32</v>
      </c>
      <c r="Z455" s="18" t="str">
        <f>A455 &amp; "-" &amp; VLOOKUP(A455,[4]PROGRAMMES!$E$1:$F$7,2,FALSE)</f>
        <v>1-Accès et équité à l'enseignement général</v>
      </c>
      <c r="AA455" s="19" t="str">
        <f>B455 &amp; "-" &amp; VLOOKUP(B455,[4]SOUSPROGRAMMES!$E$1:$F$44,2,FALSE)</f>
        <v xml:space="preserve">17- Santé et hygiène scolaires </v>
      </c>
      <c r="AB455" s="19" t="str">
        <f>C455 &amp; "-" &amp; VLOOKUP(C455,[4]RESULTATS!$E$1:$F$176,2,FALSE)</f>
        <v>171- Les conditions d'hygiène sont améliorées au sein des écoles et établissements</v>
      </c>
      <c r="AC455" s="20" t="str">
        <f>D455 &amp; "-" &amp; VLOOKUP(D455,[4]STRATEGIES!$E$1:$F$504,2,FALSE)</f>
        <v>1711-Construction/rénovation des latrines séparées</v>
      </c>
      <c r="AD455" s="21" t="str">
        <f t="shared" si="106"/>
        <v>17115-Construction de bloc de latrines séparées (filles/garçons) en faveur des écoles, établissement scolaires, construits (100% des nouvelles écoles disposent de latrines)</v>
      </c>
    </row>
    <row r="456" spans="1:30" ht="45" hidden="1" customHeight="1" x14ac:dyDescent="0.8">
      <c r="A456" s="25">
        <v>1</v>
      </c>
      <c r="B456" s="16">
        <v>17</v>
      </c>
      <c r="C456" s="16">
        <v>171</v>
      </c>
      <c r="D456" s="16">
        <v>1711</v>
      </c>
      <c r="E456" s="16">
        <v>17116</v>
      </c>
      <c r="F456" s="16" t="s">
        <v>473</v>
      </c>
      <c r="G456" s="21" t="s">
        <v>92</v>
      </c>
      <c r="H456" s="21" t="s">
        <v>55</v>
      </c>
      <c r="I456" s="19">
        <v>0</v>
      </c>
      <c r="J456" s="19"/>
      <c r="K456" s="19"/>
      <c r="L456" s="19"/>
      <c r="M456" s="19"/>
      <c r="N456" s="19">
        <f>IF(OR(H456="",H456="sif",H456="PM"),0,VLOOKUP(H456,[5]CU!$C$4:$H$255,6,FALSE))</f>
        <v>0</v>
      </c>
      <c r="O456" s="19"/>
      <c r="P456" s="19"/>
      <c r="Q456" s="19">
        <f>$N456*K456</f>
        <v>0</v>
      </c>
      <c r="R456" s="19"/>
      <c r="S456" s="31"/>
      <c r="T456" s="26" t="s">
        <v>169</v>
      </c>
      <c r="U456" s="19" t="s">
        <v>170</v>
      </c>
      <c r="V456" s="19" t="str">
        <f>IF(OR($H456="",$H456="sif",$H456="PM"),"",VLOOKUP($H456,[5]CU!$C$5:$J$255,8,FALSE))</f>
        <v/>
      </c>
      <c r="W456" s="19" t="s">
        <v>98</v>
      </c>
      <c r="X456" s="19" t="s">
        <v>98</v>
      </c>
      <c r="Y456" s="19" t="s">
        <v>32</v>
      </c>
      <c r="Z456" s="19" t="str">
        <f>A456 &amp; "-" &amp; VLOOKUP(A456,[4]PROGRAMMES!$E$1:$F$7,2,FALSE)</f>
        <v>1-Accès et équité à l'enseignement général</v>
      </c>
      <c r="AA456" s="19" t="str">
        <f>B456 &amp; "-" &amp; VLOOKUP(B456,[4]SOUSPROGRAMMES!$E$1:$F$44,2,FALSE)</f>
        <v xml:space="preserve">17- Santé et hygiène scolaires </v>
      </c>
      <c r="AB456" s="19" t="str">
        <f>C456 &amp; "-" &amp; VLOOKUP(C456,[4]RESULTATS!$E$1:$F$176,2,FALSE)</f>
        <v>171- Les conditions d'hygiène sont améliorées au sein des écoles et établissements</v>
      </c>
      <c r="AC456" s="20" t="str">
        <f>D456 &amp; "-" &amp; VLOOKUP(D456,[4]STRATEGIES!$E$1:$F$504,2,FALSE)</f>
        <v>1711-Construction/rénovation des latrines séparées</v>
      </c>
      <c r="AD456" s="21" t="str">
        <f t="shared" si="106"/>
        <v>17116-Construction de latrines (pris en compte dans activité 12226 et 14135)</v>
      </c>
    </row>
    <row r="457" spans="1:30" s="22" customFormat="1" ht="45" hidden="1" customHeight="1" x14ac:dyDescent="0.8">
      <c r="A457" s="14">
        <v>1</v>
      </c>
      <c r="B457" s="15">
        <v>17</v>
      </c>
      <c r="C457" s="15">
        <v>171</v>
      </c>
      <c r="D457" s="15">
        <v>1711</v>
      </c>
      <c r="E457" s="15">
        <v>17117</v>
      </c>
      <c r="F457" s="16" t="s">
        <v>575</v>
      </c>
      <c r="G457" s="21" t="s">
        <v>366</v>
      </c>
      <c r="H457" s="17" t="s">
        <v>576</v>
      </c>
      <c r="I457" s="18">
        <v>0</v>
      </c>
      <c r="J457" s="18">
        <f>J456</f>
        <v>0</v>
      </c>
      <c r="K457" s="18">
        <f>K456</f>
        <v>0</v>
      </c>
      <c r="L457" s="18">
        <f>L456</f>
        <v>0</v>
      </c>
      <c r="M457" s="18">
        <f>SUM(I457:L457)</f>
        <v>0</v>
      </c>
      <c r="N457" s="18">
        <f>IF(OR(H457="",H457="sif",H457="PM"),0,VLOOKUP(H457,[5]CU!$C$4:$H$255,6,FALSE))</f>
        <v>3.4216000000000002</v>
      </c>
      <c r="O457" s="18">
        <f>$N457*I457</f>
        <v>0</v>
      </c>
      <c r="P457" s="18">
        <f>$N457*J457</f>
        <v>0</v>
      </c>
      <c r="Q457" s="18">
        <f>$N457*K457</f>
        <v>0</v>
      </c>
      <c r="R457" s="18">
        <f>$N457*L457</f>
        <v>0</v>
      </c>
      <c r="S457" s="24">
        <f>SUM(O457:R457)</f>
        <v>0</v>
      </c>
      <c r="T457" s="23" t="s">
        <v>178</v>
      </c>
      <c r="U457" s="18" t="s">
        <v>170</v>
      </c>
      <c r="V457" s="18" t="str">
        <f>IF(OR($H457="",$H457="sif",$H457="PM"),"",VLOOKUP($H457,[5]CU!$C$5:$J$255,8,FALSE))</f>
        <v>3. Dépenses de fonctionnement</v>
      </c>
      <c r="W457" s="18" t="s">
        <v>98</v>
      </c>
      <c r="X457" s="18" t="s">
        <v>98</v>
      </c>
      <c r="Y457" s="19" t="s">
        <v>32</v>
      </c>
      <c r="Z457" s="18" t="str">
        <f>A457 &amp; "-" &amp; VLOOKUP(A457,[4]PROGRAMMES!$E$1:$F$7,2,FALSE)</f>
        <v>1-Accès et équité à l'enseignement général</v>
      </c>
      <c r="AA457" s="19" t="str">
        <f>B457 &amp; "-" &amp; VLOOKUP(B457,[4]SOUSPROGRAMMES!$E$1:$F$44,2,FALSE)</f>
        <v xml:space="preserve">17- Santé et hygiène scolaires </v>
      </c>
      <c r="AB457" s="19" t="str">
        <f>C457 &amp; "-" &amp; VLOOKUP(C457,[4]RESULTATS!$E$1:$F$176,2,FALSE)</f>
        <v>171- Les conditions d'hygiène sont améliorées au sein des écoles et établissements</v>
      </c>
      <c r="AC457" s="20" t="str">
        <f>D457 &amp; "-" &amp; VLOOKUP(D457,[4]STRATEGIES!$E$1:$F$504,2,FALSE)</f>
        <v>1711-Construction/rénovation des latrines séparées</v>
      </c>
      <c r="AD457" s="21" t="str">
        <f t="shared" si="106"/>
        <v>17117-Supervision de la construction/rénovation des latrines et de points d'eau</v>
      </c>
    </row>
    <row r="458" spans="1:30" ht="45" hidden="1" customHeight="1" x14ac:dyDescent="0.8">
      <c r="A458" s="25">
        <v>1</v>
      </c>
      <c r="B458" s="16">
        <v>17</v>
      </c>
      <c r="C458" s="16">
        <v>171</v>
      </c>
      <c r="D458" s="16">
        <v>1711</v>
      </c>
      <c r="E458" s="16">
        <v>17118</v>
      </c>
      <c r="F458" s="16" t="s">
        <v>577</v>
      </c>
      <c r="G458" s="21" t="s">
        <v>159</v>
      </c>
      <c r="H458" s="21" t="s">
        <v>55</v>
      </c>
      <c r="I458" s="19">
        <v>0</v>
      </c>
      <c r="J458" s="19">
        <v>1</v>
      </c>
      <c r="K458" s="19">
        <v>1</v>
      </c>
      <c r="L458" s="19">
        <v>1</v>
      </c>
      <c r="M458" s="19">
        <f>SUM(I458:L458)</f>
        <v>3</v>
      </c>
      <c r="N458" s="19">
        <f>IF(OR(H458="",H458="sif",H458="PM"),0,VLOOKUP(H458,[5]CU!$C$4:$H$255,6,FALSE))</f>
        <v>0</v>
      </c>
      <c r="O458" s="19"/>
      <c r="P458" s="19"/>
      <c r="Q458" s="19">
        <f>$N458*K458</f>
        <v>0</v>
      </c>
      <c r="R458" s="19"/>
      <c r="S458" s="31"/>
      <c r="T458" s="26" t="s">
        <v>169</v>
      </c>
      <c r="U458" s="19" t="s">
        <v>170</v>
      </c>
      <c r="V458" s="19" t="str">
        <f>IF(OR($H458="",$H458="sif",$H458="PM"),"",VLOOKUP($H458,[5]CU!$C$5:$J$255,8,FALSE))</f>
        <v/>
      </c>
      <c r="W458" s="19" t="s">
        <v>96</v>
      </c>
      <c r="X458" s="19" t="s">
        <v>578</v>
      </c>
      <c r="Y458" s="19" t="s">
        <v>32</v>
      </c>
      <c r="Z458" s="19" t="str">
        <f>A458 &amp; "-" &amp; VLOOKUP(A458,[4]PROGRAMMES!$E$1:$F$7,2,FALSE)</f>
        <v>1-Accès et équité à l'enseignement général</v>
      </c>
      <c r="AA458" s="19" t="str">
        <f>B458 &amp; "-" &amp; VLOOKUP(B458,[4]SOUSPROGRAMMES!$E$1:$F$44,2,FALSE)</f>
        <v xml:space="preserve">17- Santé et hygiène scolaires </v>
      </c>
      <c r="AB458" s="19" t="str">
        <f>C458 &amp; "-" &amp; VLOOKUP(C458,[4]RESULTATS!$E$1:$F$176,2,FALSE)</f>
        <v>171- Les conditions d'hygiène sont améliorées au sein des écoles et établissements</v>
      </c>
      <c r="AC458" s="20" t="str">
        <f>D458 &amp; "-" &amp; VLOOKUP(D458,[4]STRATEGIES!$E$1:$F$504,2,FALSE)</f>
        <v>1711-Construction/rénovation des latrines séparées</v>
      </c>
      <c r="AD458" s="21" t="str">
        <f t="shared" si="106"/>
        <v>17118-Suivi/évaluation de la construction/rénovation des latrines (voir 12226)</v>
      </c>
    </row>
    <row r="459" spans="1:30" s="22" customFormat="1" ht="45" hidden="1" customHeight="1" x14ac:dyDescent="0.8">
      <c r="A459" s="14">
        <v>1</v>
      </c>
      <c r="B459" s="15">
        <v>17</v>
      </c>
      <c r="C459" s="15">
        <v>171</v>
      </c>
      <c r="D459" s="15">
        <v>1712</v>
      </c>
      <c r="E459" s="15">
        <v>1712</v>
      </c>
      <c r="F459" s="16" t="s">
        <v>579</v>
      </c>
      <c r="G459" s="17"/>
      <c r="H459" s="17"/>
      <c r="I459" s="18">
        <v>0</v>
      </c>
      <c r="J459" s="18"/>
      <c r="K459" s="18"/>
      <c r="L459" s="18"/>
      <c r="M459" s="18"/>
      <c r="N459" s="18"/>
      <c r="O459" s="18"/>
      <c r="P459" s="18"/>
      <c r="Q459" s="18"/>
      <c r="R459" s="18"/>
      <c r="S459" s="24"/>
      <c r="T459" s="18"/>
      <c r="U459" s="18"/>
      <c r="V459" s="18"/>
      <c r="W459" s="18"/>
      <c r="X459" s="18"/>
      <c r="Y459" s="19" t="s">
        <v>32</v>
      </c>
      <c r="Z459" s="18" t="str">
        <f>A459 &amp; "-" &amp; VLOOKUP(A459,[4]PROGRAMMES!$E$1:$F$7,2,FALSE)</f>
        <v>1-Accès et équité à l'enseignement général</v>
      </c>
      <c r="AA459" s="19" t="str">
        <f>B459 &amp; "-" &amp; VLOOKUP(B459,[4]SOUSPROGRAMMES!$E$1:$F$44,2,FALSE)</f>
        <v xml:space="preserve">17- Santé et hygiène scolaires </v>
      </c>
      <c r="AB459" s="19" t="str">
        <f>C459 &amp; "-" &amp; VLOOKUP(C459,[4]RESULTATS!$E$1:$F$176,2,FALSE)</f>
        <v>171- Les conditions d'hygiène sont améliorées au sein des écoles et établissements</v>
      </c>
      <c r="AC459" s="20" t="str">
        <f>D459 &amp; "-" &amp; VLOOKUP(D459,[4]STRATEGIES!$E$1:$F$504,2,FALSE)</f>
        <v>1712-Aménagement/rénovation des point d'eau</v>
      </c>
      <c r="AD459" s="21" t="str">
        <f t="shared" si="106"/>
        <v>1712-Aménagement/rénovation des point d'eau</v>
      </c>
    </row>
    <row r="460" spans="1:30" ht="45" hidden="1" customHeight="1" x14ac:dyDescent="0.8">
      <c r="A460" s="25">
        <v>1</v>
      </c>
      <c r="B460" s="16">
        <v>17</v>
      </c>
      <c r="C460" s="16">
        <v>171</v>
      </c>
      <c r="D460" s="16">
        <v>1712</v>
      </c>
      <c r="E460" s="16">
        <v>17121</v>
      </c>
      <c r="F460" s="16" t="s">
        <v>580</v>
      </c>
      <c r="G460" s="21" t="s">
        <v>159</v>
      </c>
      <c r="H460" s="21"/>
      <c r="I460" s="19">
        <v>0</v>
      </c>
      <c r="J460" s="19"/>
      <c r="K460" s="19"/>
      <c r="L460" s="19"/>
      <c r="M460" s="19"/>
      <c r="N460" s="19">
        <f>IF(OR(H460="",H460="sif",H460="PM"),0,VLOOKUP(H460,[5]CU!$C$4:$H$255,6,FALSE))</f>
        <v>0</v>
      </c>
      <c r="O460" s="19"/>
      <c r="P460" s="19"/>
      <c r="Q460" s="19">
        <f t="shared" ref="Q460:Q461" si="107">$N460*K460</f>
        <v>0</v>
      </c>
      <c r="R460" s="19"/>
      <c r="S460" s="31"/>
      <c r="T460" s="26" t="s">
        <v>169</v>
      </c>
      <c r="U460" s="19" t="s">
        <v>170</v>
      </c>
      <c r="V460" s="19" t="str">
        <f>IF(OR($H460="",$H460="sif",$H460="PM"),"",VLOOKUP($H460,[5]CU!$C$5:$J$255,8,FALSE))</f>
        <v/>
      </c>
      <c r="W460" s="19" t="s">
        <v>96</v>
      </c>
      <c r="X460" s="19" t="s">
        <v>179</v>
      </c>
      <c r="Y460" s="19" t="s">
        <v>32</v>
      </c>
      <c r="Z460" s="19" t="str">
        <f>A460 &amp; "-" &amp; VLOOKUP(A460,[4]PROGRAMMES!$E$1:$F$7,2,FALSE)</f>
        <v>1-Accès et équité à l'enseignement général</v>
      </c>
      <c r="AA460" s="19" t="str">
        <f>B460 &amp; "-" &amp; VLOOKUP(B460,[4]SOUSPROGRAMMES!$E$1:$F$44,2,FALSE)</f>
        <v xml:space="preserve">17- Santé et hygiène scolaires </v>
      </c>
      <c r="AB460" s="19" t="str">
        <f>C460 &amp; "-" &amp; VLOOKUP(C460,[4]RESULTATS!$E$1:$F$176,2,FALSE)</f>
        <v>171- Les conditions d'hygiène sont améliorées au sein des écoles et établissements</v>
      </c>
      <c r="AC460" s="20" t="str">
        <f>D460 &amp; "-" &amp; VLOOKUP(D460,[4]STRATEGIES!$E$1:$F$504,2,FALSE)</f>
        <v>1712-Aménagement/rénovation des point d'eau</v>
      </c>
      <c r="AD460" s="21" t="str">
        <f t="shared" si="106"/>
        <v>17121-Identification des centres, écoles et établissements devant bénéficier d'aménagement ou de réhabilitation de points d'eau</v>
      </c>
    </row>
    <row r="461" spans="1:30" ht="45" hidden="1" customHeight="1" x14ac:dyDescent="0.8">
      <c r="A461" s="25">
        <v>1</v>
      </c>
      <c r="B461" s="16">
        <v>17</v>
      </c>
      <c r="C461" s="16">
        <v>171</v>
      </c>
      <c r="D461" s="16">
        <v>1712</v>
      </c>
      <c r="E461" s="16">
        <v>17122</v>
      </c>
      <c r="F461" s="16" t="s">
        <v>581</v>
      </c>
      <c r="G461" s="21" t="s">
        <v>159</v>
      </c>
      <c r="H461" s="21"/>
      <c r="I461" s="19">
        <v>0</v>
      </c>
      <c r="J461" s="19"/>
      <c r="K461" s="19"/>
      <c r="L461" s="19"/>
      <c r="M461" s="19"/>
      <c r="N461" s="19">
        <f>IF(OR(H461="",H461="sif",H461="PM"),0,VLOOKUP(H461,[5]CU!$C$4:$H$255,6,FALSE))</f>
        <v>0</v>
      </c>
      <c r="O461" s="19"/>
      <c r="P461" s="19"/>
      <c r="Q461" s="19">
        <f t="shared" si="107"/>
        <v>0</v>
      </c>
      <c r="R461" s="19"/>
      <c r="S461" s="31"/>
      <c r="T461" s="26" t="s">
        <v>169</v>
      </c>
      <c r="U461" s="19" t="s">
        <v>170</v>
      </c>
      <c r="V461" s="19" t="str">
        <f>IF(OR($H461="",$H461="sif",$H461="PM"),"",VLOOKUP($H461,[5]CU!$C$5:$J$255,8,FALSE))</f>
        <v/>
      </c>
      <c r="W461" s="19" t="s">
        <v>98</v>
      </c>
      <c r="X461" s="19" t="s">
        <v>469</v>
      </c>
      <c r="Y461" s="19" t="s">
        <v>32</v>
      </c>
      <c r="Z461" s="19" t="str">
        <f>A461 &amp; "-" &amp; VLOOKUP(A461,[4]PROGRAMMES!$E$1:$F$7,2,FALSE)</f>
        <v>1-Accès et équité à l'enseignement général</v>
      </c>
      <c r="AA461" s="19" t="str">
        <f>B461 &amp; "-" &amp; VLOOKUP(B461,[4]SOUSPROGRAMMES!$E$1:$F$44,2,FALSE)</f>
        <v xml:space="preserve">17- Santé et hygiène scolaires </v>
      </c>
      <c r="AB461" s="19" t="str">
        <f>C461 &amp; "-" &amp; VLOOKUP(C461,[4]RESULTATS!$E$1:$F$176,2,FALSE)</f>
        <v>171- Les conditions d'hygiène sont améliorées au sein des écoles et établissements</v>
      </c>
      <c r="AC461" s="20" t="str">
        <f>D461 &amp; "-" &amp; VLOOKUP(D461,[4]STRATEGIES!$E$1:$F$504,2,FALSE)</f>
        <v>1712-Aménagement/rénovation des point d'eau</v>
      </c>
      <c r="AD461" s="21" t="str">
        <f t="shared" si="106"/>
        <v>17122-Confirmation des sites d'aménagement des points d'eau</v>
      </c>
    </row>
    <row r="462" spans="1:30" s="22" customFormat="1" ht="45" hidden="1" customHeight="1" x14ac:dyDescent="0.8">
      <c r="A462" s="14">
        <v>1</v>
      </c>
      <c r="B462" s="15">
        <v>17</v>
      </c>
      <c r="C462" s="15">
        <v>171</v>
      </c>
      <c r="D462" s="15">
        <v>1712</v>
      </c>
      <c r="E462" s="15">
        <v>17123</v>
      </c>
      <c r="F462" s="16" t="s">
        <v>582</v>
      </c>
      <c r="G462" s="21" t="s">
        <v>583</v>
      </c>
      <c r="H462" s="17" t="s">
        <v>584</v>
      </c>
      <c r="I462" s="18">
        <v>0</v>
      </c>
      <c r="J462" s="18">
        <f>((81*3)*0.3)*80.01%</f>
        <v>58.327289999999998</v>
      </c>
      <c r="K462" s="18">
        <f>((81*3)*0.5)*80.01%</f>
        <v>97.212150000000008</v>
      </c>
      <c r="L462" s="18">
        <f>((81*3)*0.2)*80.01%</f>
        <v>38.884860000000003</v>
      </c>
      <c r="M462" s="18">
        <f>SUM(I462:L462)</f>
        <v>194.42430000000002</v>
      </c>
      <c r="N462" s="18">
        <f>IF(OR(H462="",H462="sif",H462="PM"),0,VLOOKUP(H462,[5]CU!$C$4:$H$255,6,FALSE))</f>
        <v>19.5</v>
      </c>
      <c r="O462" s="18">
        <f t="shared" ref="O462:R471" si="108">$N462*I462</f>
        <v>0</v>
      </c>
      <c r="P462" s="18">
        <f t="shared" si="108"/>
        <v>1137.382155</v>
      </c>
      <c r="Q462" s="18">
        <f t="shared" si="108"/>
        <v>1895.6369250000002</v>
      </c>
      <c r="R462" s="18">
        <f t="shared" si="108"/>
        <v>758.25477000000001</v>
      </c>
      <c r="S462" s="24">
        <f>SUM(O462:R462)</f>
        <v>3791.27385</v>
      </c>
      <c r="T462" s="23" t="s">
        <v>56</v>
      </c>
      <c r="U462" s="18" t="s">
        <v>170</v>
      </c>
      <c r="V462" s="18" t="str">
        <f>IF(OR($H462="",$H462="sif",$H462="PM"),"",VLOOKUP($H462,[5]CU!$C$5:$J$255,8,FALSE))</f>
        <v>5. Investissement</v>
      </c>
      <c r="W462" s="18" t="s">
        <v>98</v>
      </c>
      <c r="X462" s="18" t="s">
        <v>98</v>
      </c>
      <c r="Y462" s="19" t="s">
        <v>32</v>
      </c>
      <c r="Z462" s="18" t="str">
        <f>A462 &amp; "-" &amp; VLOOKUP(A462,[4]PROGRAMMES!$E$1:$F$7,2,FALSE)</f>
        <v>1-Accès et équité à l'enseignement général</v>
      </c>
      <c r="AA462" s="19" t="str">
        <f>B462 &amp; "-" &amp; VLOOKUP(B462,[4]SOUSPROGRAMMES!$E$1:$F$44,2,FALSE)</f>
        <v xml:space="preserve">17- Santé et hygiène scolaires </v>
      </c>
      <c r="AB462" s="19" t="str">
        <f>C462 &amp; "-" &amp; VLOOKUP(C462,[4]RESULTATS!$E$1:$F$176,2,FALSE)</f>
        <v>171- Les conditions d'hygiène sont améliorées au sein des écoles et établissements</v>
      </c>
      <c r="AC462" s="20" t="str">
        <f>D462 &amp; "-" &amp; VLOOKUP(D462,[4]STRATEGIES!$E$1:$F$504,2,FALSE)</f>
        <v>1712-Aménagement/rénovation des point d'eau</v>
      </c>
      <c r="AD462" s="21" t="str">
        <f t="shared" si="106"/>
        <v>17123-Rénovation/réhabilitation de points d'eau, y compris dans les FA</v>
      </c>
    </row>
    <row r="463" spans="1:30" s="22" customFormat="1" ht="45" hidden="1" customHeight="1" x14ac:dyDescent="0.8">
      <c r="A463" s="14">
        <v>1</v>
      </c>
      <c r="B463" s="15">
        <v>17</v>
      </c>
      <c r="C463" s="15">
        <v>171</v>
      </c>
      <c r="D463" s="15">
        <v>1712</v>
      </c>
      <c r="E463" s="15">
        <v>17123</v>
      </c>
      <c r="F463" s="16" t="s">
        <v>582</v>
      </c>
      <c r="G463" s="21" t="s">
        <v>583</v>
      </c>
      <c r="H463" s="17" t="s">
        <v>584</v>
      </c>
      <c r="I463" s="18">
        <v>0</v>
      </c>
      <c r="J463" s="18">
        <f>((81*3)*0.3)*19.99%</f>
        <v>14.572709999999997</v>
      </c>
      <c r="K463" s="18">
        <f>((81*3)*0.5)*19.99%</f>
        <v>24.287849999999999</v>
      </c>
      <c r="L463" s="18">
        <f>((81*3)*0.2)*19.99%</f>
        <v>9.7151399999999999</v>
      </c>
      <c r="M463" s="18">
        <f t="shared" ref="M463:M471" si="109">SUM(I463:L463)</f>
        <v>48.575699999999991</v>
      </c>
      <c r="N463" s="18">
        <f>IF(OR(H463="",H463="sif",H463="PM"),0,VLOOKUP(H463,[5]CU!$C$4:$H$255,6,FALSE))</f>
        <v>19.5</v>
      </c>
      <c r="O463" s="18">
        <f t="shared" si="108"/>
        <v>0</v>
      </c>
      <c r="P463" s="18">
        <f t="shared" si="108"/>
        <v>284.16784499999994</v>
      </c>
      <c r="Q463" s="18">
        <f t="shared" si="108"/>
        <v>473.61307499999998</v>
      </c>
      <c r="R463" s="18">
        <f t="shared" si="108"/>
        <v>189.44523000000001</v>
      </c>
      <c r="S463" s="24">
        <f t="shared" ref="S463:S469" si="110">SUM(O463:R463)</f>
        <v>947.22614999999996</v>
      </c>
      <c r="T463" s="23" t="s">
        <v>118</v>
      </c>
      <c r="U463" s="18" t="s">
        <v>170</v>
      </c>
      <c r="V463" s="18" t="str">
        <f>IF(OR($H463="",$H463="sif",$H463="PM"),"",VLOOKUP($H463,[5]CU!$C$5:$J$255,8,FALSE))</f>
        <v>5. Investissement</v>
      </c>
      <c r="W463" s="18" t="s">
        <v>98</v>
      </c>
      <c r="X463" s="18" t="s">
        <v>98</v>
      </c>
      <c r="Y463" s="19" t="s">
        <v>32</v>
      </c>
      <c r="Z463" s="18" t="str">
        <f>A463 &amp; "-" &amp; VLOOKUP(A463,[4]PROGRAMMES!$E$1:$F$7,2,FALSE)</f>
        <v>1-Accès et équité à l'enseignement général</v>
      </c>
      <c r="AA463" s="19" t="str">
        <f>B463 &amp; "-" &amp; VLOOKUP(B463,[4]SOUSPROGRAMMES!$E$1:$F$44,2,FALSE)</f>
        <v xml:space="preserve">17- Santé et hygiène scolaires </v>
      </c>
      <c r="AB463" s="19" t="str">
        <f>C463 &amp; "-" &amp; VLOOKUP(C463,[4]RESULTATS!$E$1:$F$176,2,FALSE)</f>
        <v>171- Les conditions d'hygiène sont améliorées au sein des écoles et établissements</v>
      </c>
      <c r="AC463" s="20" t="str">
        <f>D463 &amp; "-" &amp; VLOOKUP(D463,[4]STRATEGIES!$E$1:$F$504,2,FALSE)</f>
        <v>1712-Aménagement/rénovation des point d'eau</v>
      </c>
      <c r="AD463" s="21" t="str">
        <f t="shared" si="106"/>
        <v>17123-Rénovation/réhabilitation de points d'eau, y compris dans les FA</v>
      </c>
    </row>
    <row r="464" spans="1:30" s="22" customFormat="1" ht="45" hidden="1" customHeight="1" x14ac:dyDescent="0.8">
      <c r="A464" s="14">
        <v>1</v>
      </c>
      <c r="B464" s="15">
        <v>17</v>
      </c>
      <c r="C464" s="15">
        <v>171</v>
      </c>
      <c r="D464" s="15">
        <v>1712</v>
      </c>
      <c r="E464" s="15">
        <v>17124</v>
      </c>
      <c r="F464" s="16" t="s">
        <v>585</v>
      </c>
      <c r="G464" s="21" t="s">
        <v>583</v>
      </c>
      <c r="H464" s="17" t="s">
        <v>586</v>
      </c>
      <c r="I464" s="18">
        <v>0</v>
      </c>
      <c r="J464" s="18"/>
      <c r="K464" s="18"/>
      <c r="L464" s="18"/>
      <c r="M464" s="18">
        <f t="shared" si="109"/>
        <v>0</v>
      </c>
      <c r="N464" s="18">
        <f>IF(OR(H464="",H464="sif",H464="PM"),0,VLOOKUP(H464,[5]CU!$C$4:$H$255,6,FALSE))</f>
        <v>60</v>
      </c>
      <c r="O464" s="18">
        <f t="shared" si="108"/>
        <v>0</v>
      </c>
      <c r="P464" s="18">
        <f t="shared" si="108"/>
        <v>0</v>
      </c>
      <c r="Q464" s="18">
        <f t="shared" si="108"/>
        <v>0</v>
      </c>
      <c r="R464" s="18">
        <f t="shared" si="108"/>
        <v>0</v>
      </c>
      <c r="S464" s="24">
        <f t="shared" si="110"/>
        <v>0</v>
      </c>
      <c r="T464" s="23" t="s">
        <v>178</v>
      </c>
      <c r="U464" s="18" t="s">
        <v>170</v>
      </c>
      <c r="V464" s="18" t="str">
        <f>IF(OR($H464="",$H464="sif",$H464="PM"),"",VLOOKUP($H464,[5]CU!$C$5:$J$255,8,FALSE))</f>
        <v>5. Investissement</v>
      </c>
      <c r="W464" s="18" t="s">
        <v>98</v>
      </c>
      <c r="X464" s="18" t="s">
        <v>98</v>
      </c>
      <c r="Y464" s="19" t="s">
        <v>32</v>
      </c>
      <c r="Z464" s="18" t="str">
        <f>A464 &amp; "-" &amp; VLOOKUP(A464,[4]PROGRAMMES!$E$1:$F$7,2,FALSE)</f>
        <v>1-Accès et équité à l'enseignement général</v>
      </c>
      <c r="AA464" s="19" t="str">
        <f>B464 &amp; "-" &amp; VLOOKUP(B464,[4]SOUSPROGRAMMES!$E$1:$F$44,2,FALSE)</f>
        <v xml:space="preserve">17- Santé et hygiène scolaires </v>
      </c>
      <c r="AB464" s="19" t="str">
        <f>C464 &amp; "-" &amp; VLOOKUP(C464,[4]RESULTATS!$E$1:$F$176,2,FALSE)</f>
        <v>171- Les conditions d'hygiène sont améliorées au sein des écoles et établissements</v>
      </c>
      <c r="AC464" s="20" t="str">
        <f>D464 &amp; "-" &amp; VLOOKUP(D464,[4]STRATEGIES!$E$1:$F$504,2,FALSE)</f>
        <v>1712-Aménagement/rénovation des point d'eau</v>
      </c>
      <c r="AD464" s="21" t="str">
        <f t="shared" si="106"/>
        <v>17124-Aménagement de points d’eau en faveur des écoles, centres et établissement scolaires nouveaux</v>
      </c>
    </row>
    <row r="465" spans="1:30" ht="45" hidden="1" customHeight="1" x14ac:dyDescent="0.8">
      <c r="A465" s="25">
        <v>1</v>
      </c>
      <c r="B465" s="16">
        <v>17</v>
      </c>
      <c r="C465" s="16">
        <v>171</v>
      </c>
      <c r="D465" s="16">
        <v>1712</v>
      </c>
      <c r="E465" s="16">
        <v>17124</v>
      </c>
      <c r="F465" s="16" t="s">
        <v>585</v>
      </c>
      <c r="G465" s="21" t="s">
        <v>583</v>
      </c>
      <c r="H465" s="21" t="s">
        <v>586</v>
      </c>
      <c r="I465" s="19">
        <v>0</v>
      </c>
      <c r="J465" s="19"/>
      <c r="K465" s="19">
        <v>105</v>
      </c>
      <c r="L465" s="19">
        <v>55</v>
      </c>
      <c r="M465" s="19">
        <f>SUM(I465:L465)</f>
        <v>160</v>
      </c>
      <c r="N465" s="19">
        <f>IF(OR(H465="",H465="sif",H465="PM"),0,VLOOKUP(H465,[5]CU!$C$4:$H$255,6,FALSE))</f>
        <v>60</v>
      </c>
      <c r="O465" s="19">
        <f t="shared" si="108"/>
        <v>0</v>
      </c>
      <c r="P465" s="19">
        <f t="shared" si="108"/>
        <v>0</v>
      </c>
      <c r="Q465" s="19">
        <f>$N465*K465</f>
        <v>6300</v>
      </c>
      <c r="R465" s="19">
        <f t="shared" si="108"/>
        <v>3300</v>
      </c>
      <c r="S465" s="31">
        <f t="shared" si="110"/>
        <v>9600</v>
      </c>
      <c r="T465" s="26" t="s">
        <v>169</v>
      </c>
      <c r="U465" s="19" t="s">
        <v>170</v>
      </c>
      <c r="V465" s="19" t="str">
        <f>IF(OR($H465="",$H465="sif",$H465="PM"),"",VLOOKUP($H465,[5]CU!$C$5:$J$255,8,FALSE))</f>
        <v>5. Investissement</v>
      </c>
      <c r="W465" s="19" t="s">
        <v>98</v>
      </c>
      <c r="X465" s="19" t="s">
        <v>98</v>
      </c>
      <c r="Y465" s="19" t="s">
        <v>32</v>
      </c>
      <c r="Z465" s="19" t="str">
        <f>A465 &amp; "-" &amp; VLOOKUP(A465,[4]PROGRAMMES!$E$1:$F$7,2,FALSE)</f>
        <v>1-Accès et équité à l'enseignement général</v>
      </c>
      <c r="AA465" s="19" t="str">
        <f>B465 &amp; "-" &amp; VLOOKUP(B465,[4]SOUSPROGRAMMES!$E$1:$F$44,2,FALSE)</f>
        <v xml:space="preserve">17- Santé et hygiène scolaires </v>
      </c>
      <c r="AB465" s="19" t="str">
        <f>C465 &amp; "-" &amp; VLOOKUP(C465,[4]RESULTATS!$E$1:$F$176,2,FALSE)</f>
        <v>171- Les conditions d'hygiène sont améliorées au sein des écoles et établissements</v>
      </c>
      <c r="AC465" s="20" t="str">
        <f>D465 &amp; "-" &amp; VLOOKUP(D465,[4]STRATEGIES!$E$1:$F$504,2,FALSE)</f>
        <v>1712-Aménagement/rénovation des point d'eau</v>
      </c>
      <c r="AD465" s="21" t="str">
        <f t="shared" si="106"/>
        <v>17124-Aménagement de points d’eau en faveur des écoles, centres et établissement scolaires nouveaux</v>
      </c>
    </row>
    <row r="466" spans="1:30" s="22" customFormat="1" ht="45" hidden="1" customHeight="1" x14ac:dyDescent="0.8">
      <c r="A466" s="14">
        <v>1</v>
      </c>
      <c r="B466" s="15">
        <v>17</v>
      </c>
      <c r="C466" s="15">
        <v>171</v>
      </c>
      <c r="D466" s="15">
        <v>1712</v>
      </c>
      <c r="E466" s="15">
        <v>17124</v>
      </c>
      <c r="F466" s="16" t="s">
        <v>585</v>
      </c>
      <c r="G466" s="21" t="s">
        <v>583</v>
      </c>
      <c r="H466" s="17" t="s">
        <v>586</v>
      </c>
      <c r="I466" s="18">
        <v>0</v>
      </c>
      <c r="J466" s="18">
        <f>1332.58333333333*0.3-J465</f>
        <v>399.77499999999901</v>
      </c>
      <c r="K466" s="18">
        <f>1332.58333333333*0.5-K465</f>
        <v>561.29166666666504</v>
      </c>
      <c r="L466" s="18">
        <f>1332.58333333333*0.2-L465</f>
        <v>211.51666666666603</v>
      </c>
      <c r="M466" s="18">
        <f t="shared" si="109"/>
        <v>1172.5833333333301</v>
      </c>
      <c r="N466" s="18">
        <f>IF(OR(H466="",H466="sif",H466="PM"),0,VLOOKUP(H466,[5]CU!$C$4:$H$255,6,FALSE))</f>
        <v>60</v>
      </c>
      <c r="O466" s="18">
        <f t="shared" si="108"/>
        <v>0</v>
      </c>
      <c r="P466" s="18">
        <f t="shared" si="108"/>
        <v>23986.499999999942</v>
      </c>
      <c r="Q466" s="18">
        <f t="shared" si="108"/>
        <v>33677.499999999905</v>
      </c>
      <c r="R466" s="18">
        <f t="shared" si="108"/>
        <v>12690.999999999962</v>
      </c>
      <c r="S466" s="24">
        <f t="shared" si="110"/>
        <v>70354.999999999811</v>
      </c>
      <c r="T466" s="23" t="s">
        <v>118</v>
      </c>
      <c r="U466" s="18" t="s">
        <v>170</v>
      </c>
      <c r="V466" s="18" t="str">
        <f>IF(OR($H466="",$H466="sif",$H466="PM"),"",VLOOKUP($H466,[5]CU!$C$5:$J$255,8,FALSE))</f>
        <v>5. Investissement</v>
      </c>
      <c r="W466" s="18" t="s">
        <v>98</v>
      </c>
      <c r="X466" s="18" t="s">
        <v>98</v>
      </c>
      <c r="Y466" s="19" t="s">
        <v>32</v>
      </c>
      <c r="Z466" s="18" t="str">
        <f>A466 &amp; "-" &amp; VLOOKUP(A466,[4]PROGRAMMES!$E$1:$F$7,2,FALSE)</f>
        <v>1-Accès et équité à l'enseignement général</v>
      </c>
      <c r="AA466" s="19" t="str">
        <f>B466 &amp; "-" &amp; VLOOKUP(B466,[4]SOUSPROGRAMMES!$E$1:$F$44,2,FALSE)</f>
        <v xml:space="preserve">17- Santé et hygiène scolaires </v>
      </c>
      <c r="AB466" s="19" t="str">
        <f>C466 &amp; "-" &amp; VLOOKUP(C466,[4]RESULTATS!$E$1:$F$176,2,FALSE)</f>
        <v>171- Les conditions d'hygiène sont améliorées au sein des écoles et établissements</v>
      </c>
      <c r="AC466" s="20" t="str">
        <f>D466 &amp; "-" &amp; VLOOKUP(D466,[4]STRATEGIES!$E$1:$F$504,2,FALSE)</f>
        <v>1712-Aménagement/rénovation des point d'eau</v>
      </c>
      <c r="AD466" s="21" t="str">
        <f t="shared" si="106"/>
        <v>17124-Aménagement de points d’eau en faveur des écoles, centres et établissement scolaires nouveaux</v>
      </c>
    </row>
    <row r="467" spans="1:30" s="22" customFormat="1" ht="45" hidden="1" customHeight="1" x14ac:dyDescent="0.8">
      <c r="A467" s="14">
        <v>1</v>
      </c>
      <c r="B467" s="15">
        <v>17</v>
      </c>
      <c r="C467" s="15">
        <v>171</v>
      </c>
      <c r="D467" s="15">
        <v>1712</v>
      </c>
      <c r="E467" s="15">
        <v>17125</v>
      </c>
      <c r="F467" s="16" t="s">
        <v>587</v>
      </c>
      <c r="G467" s="21" t="s">
        <v>583</v>
      </c>
      <c r="H467" s="17" t="s">
        <v>586</v>
      </c>
      <c r="I467" s="18">
        <v>0</v>
      </c>
      <c r="J467" s="18"/>
      <c r="K467" s="18"/>
      <c r="L467" s="18"/>
      <c r="M467" s="18">
        <f t="shared" si="109"/>
        <v>0</v>
      </c>
      <c r="N467" s="18">
        <f>IF(OR(H467="",H467="sif",H467="PM"),0,VLOOKUP(H467,[5]CU!$C$4:$H$255,6,FALSE))</f>
        <v>60</v>
      </c>
      <c r="O467" s="18">
        <f t="shared" si="108"/>
        <v>0</v>
      </c>
      <c r="P467" s="18">
        <f t="shared" si="108"/>
        <v>0</v>
      </c>
      <c r="Q467" s="18">
        <f t="shared" si="108"/>
        <v>0</v>
      </c>
      <c r="R467" s="18">
        <f t="shared" si="108"/>
        <v>0</v>
      </c>
      <c r="S467" s="24">
        <f t="shared" si="110"/>
        <v>0</v>
      </c>
      <c r="T467" s="23" t="s">
        <v>178</v>
      </c>
      <c r="U467" s="18" t="s">
        <v>170</v>
      </c>
      <c r="V467" s="18" t="str">
        <f>IF(OR($H467="",$H467="sif",$H467="PM"),"",VLOOKUP($H467,[5]CU!$C$5:$J$255,8,FALSE))</f>
        <v>5. Investissement</v>
      </c>
      <c r="W467" s="18" t="s">
        <v>98</v>
      </c>
      <c r="X467" s="18" t="s">
        <v>98</v>
      </c>
      <c r="Y467" s="19" t="s">
        <v>32</v>
      </c>
      <c r="Z467" s="18" t="str">
        <f>A467 &amp; "-" &amp; VLOOKUP(A467,[4]PROGRAMMES!$E$1:$F$7,2,FALSE)</f>
        <v>1-Accès et équité à l'enseignement général</v>
      </c>
      <c r="AA467" s="19" t="str">
        <f>B467 &amp; "-" &amp; VLOOKUP(B467,[4]SOUSPROGRAMMES!$E$1:$F$44,2,FALSE)</f>
        <v xml:space="preserve">17- Santé et hygiène scolaires </v>
      </c>
      <c r="AB467" s="19" t="str">
        <f>C467 &amp; "-" &amp; VLOOKUP(C467,[4]RESULTATS!$E$1:$F$176,2,FALSE)</f>
        <v>171- Les conditions d'hygiène sont améliorées au sein des écoles et établissements</v>
      </c>
      <c r="AC467" s="20" t="str">
        <f>D467 &amp; "-" &amp; VLOOKUP(D467,[4]STRATEGIES!$E$1:$F$504,2,FALSE)</f>
        <v>1712-Aménagement/rénovation des point d'eau</v>
      </c>
      <c r="AD467" s="21" t="str">
        <f t="shared" si="106"/>
        <v>17125-Aménagement de points d’eau en faveur des écoles, centres et établissement scolaires existants, y compris les FA</v>
      </c>
    </row>
    <row r="468" spans="1:30" ht="45" hidden="1" customHeight="1" x14ac:dyDescent="0.8">
      <c r="A468" s="25">
        <v>1</v>
      </c>
      <c r="B468" s="16">
        <v>17</v>
      </c>
      <c r="C468" s="16">
        <v>171</v>
      </c>
      <c r="D468" s="16">
        <v>1712</v>
      </c>
      <c r="E468" s="16">
        <v>17125</v>
      </c>
      <c r="F468" s="16" t="s">
        <v>587</v>
      </c>
      <c r="G468" s="21" t="s">
        <v>583</v>
      </c>
      <c r="H468" s="21" t="s">
        <v>586</v>
      </c>
      <c r="I468" s="19">
        <v>0</v>
      </c>
      <c r="J468" s="19"/>
      <c r="K468" s="19">
        <v>260</v>
      </c>
      <c r="L468" s="19">
        <v>130</v>
      </c>
      <c r="M468" s="19">
        <f>SUM(I468:L468)</f>
        <v>390</v>
      </c>
      <c r="N468" s="19">
        <f>IF(OR(H468="",H468="sif",H468="PM"),0,VLOOKUP(H468,[5]CU!$C$4:$H$255,6,FALSE))</f>
        <v>60</v>
      </c>
      <c r="O468" s="19">
        <f t="shared" si="108"/>
        <v>0</v>
      </c>
      <c r="P468" s="19">
        <f t="shared" si="108"/>
        <v>0</v>
      </c>
      <c r="Q468" s="19">
        <f>$N468*K468</f>
        <v>15600</v>
      </c>
      <c r="R468" s="19">
        <f t="shared" si="108"/>
        <v>7800</v>
      </c>
      <c r="S468" s="31">
        <f t="shared" si="110"/>
        <v>23400</v>
      </c>
      <c r="T468" s="26" t="s">
        <v>169</v>
      </c>
      <c r="U468" s="19" t="s">
        <v>170</v>
      </c>
      <c r="V468" s="19" t="str">
        <f>IF(OR($H468="",$H468="sif",$H468="PM"),"",VLOOKUP($H468,[5]CU!$C$5:$J$255,8,FALSE))</f>
        <v>5. Investissement</v>
      </c>
      <c r="W468" s="19" t="s">
        <v>98</v>
      </c>
      <c r="X468" s="19" t="s">
        <v>98</v>
      </c>
      <c r="Y468" s="19" t="s">
        <v>32</v>
      </c>
      <c r="Z468" s="19" t="str">
        <f>A468 &amp; "-" &amp; VLOOKUP(A468,[4]PROGRAMMES!$E$1:$F$7,2,FALSE)</f>
        <v>1-Accès et équité à l'enseignement général</v>
      </c>
      <c r="AA468" s="19" t="str">
        <f>B468 &amp; "-" &amp; VLOOKUP(B468,[4]SOUSPROGRAMMES!$E$1:$F$44,2,FALSE)</f>
        <v xml:space="preserve">17- Santé et hygiène scolaires </v>
      </c>
      <c r="AB468" s="19" t="str">
        <f>C468 &amp; "-" &amp; VLOOKUP(C468,[4]RESULTATS!$E$1:$F$176,2,FALSE)</f>
        <v>171- Les conditions d'hygiène sont améliorées au sein des écoles et établissements</v>
      </c>
      <c r="AC468" s="20" t="str">
        <f>D468 &amp; "-" &amp; VLOOKUP(D468,[4]STRATEGIES!$E$1:$F$504,2,FALSE)</f>
        <v>1712-Aménagement/rénovation des point d'eau</v>
      </c>
      <c r="AD468" s="21" t="str">
        <f t="shared" si="106"/>
        <v>17125-Aménagement de points d’eau en faveur des écoles, centres et établissement scolaires existants, y compris les FA</v>
      </c>
    </row>
    <row r="469" spans="1:30" s="22" customFormat="1" ht="45" hidden="1" customHeight="1" x14ac:dyDescent="0.8">
      <c r="A469" s="14">
        <v>1</v>
      </c>
      <c r="B469" s="15">
        <v>17</v>
      </c>
      <c r="C469" s="15">
        <v>171</v>
      </c>
      <c r="D469" s="15">
        <v>1712</v>
      </c>
      <c r="E469" s="15">
        <v>17125</v>
      </c>
      <c r="F469" s="16" t="s">
        <v>587</v>
      </c>
      <c r="G469" s="21" t="s">
        <v>583</v>
      </c>
      <c r="H469" s="17" t="s">
        <v>586</v>
      </c>
      <c r="I469" s="18">
        <v>0</v>
      </c>
      <c r="J469" s="18">
        <f>5872/15-J468</f>
        <v>391.46666666666664</v>
      </c>
      <c r="K469" s="18">
        <f>5872/15-K468</f>
        <v>131.46666666666664</v>
      </c>
      <c r="L469" s="18">
        <f>5872/15-L468</f>
        <v>261.46666666666664</v>
      </c>
      <c r="M469" s="18">
        <f t="shared" si="109"/>
        <v>784.39999999999986</v>
      </c>
      <c r="N469" s="18">
        <f>IF(OR(H469="",H469="sif",H469="PM"),0,VLOOKUP(H469,[5]CU!$C$4:$H$255,6,FALSE))</f>
        <v>60</v>
      </c>
      <c r="O469" s="18">
        <f t="shared" si="108"/>
        <v>0</v>
      </c>
      <c r="P469" s="18">
        <f t="shared" si="108"/>
        <v>23488</v>
      </c>
      <c r="Q469" s="18">
        <f t="shared" si="108"/>
        <v>7887.9999999999982</v>
      </c>
      <c r="R469" s="18">
        <f t="shared" si="108"/>
        <v>15687.999999999998</v>
      </c>
      <c r="S469" s="24">
        <f t="shared" si="110"/>
        <v>47064</v>
      </c>
      <c r="T469" s="23" t="s">
        <v>118</v>
      </c>
      <c r="U469" s="18" t="s">
        <v>170</v>
      </c>
      <c r="V469" s="18" t="str">
        <f>IF(OR($H469="",$H469="sif",$H469="PM"),"",VLOOKUP($H469,[5]CU!$C$5:$J$255,8,FALSE))</f>
        <v>5. Investissement</v>
      </c>
      <c r="W469" s="18" t="s">
        <v>98</v>
      </c>
      <c r="X469" s="18" t="s">
        <v>98</v>
      </c>
      <c r="Y469" s="19" t="s">
        <v>32</v>
      </c>
      <c r="Z469" s="18" t="str">
        <f>A469 &amp; "-" &amp; VLOOKUP(A469,[4]PROGRAMMES!$E$1:$F$7,2,FALSE)</f>
        <v>1-Accès et équité à l'enseignement général</v>
      </c>
      <c r="AA469" s="19" t="str">
        <f>B469 &amp; "-" &amp; VLOOKUP(B469,[4]SOUSPROGRAMMES!$E$1:$F$44,2,FALSE)</f>
        <v xml:space="preserve">17- Santé et hygiène scolaires </v>
      </c>
      <c r="AB469" s="19" t="str">
        <f>C469 &amp; "-" &amp; VLOOKUP(C469,[4]RESULTATS!$E$1:$F$176,2,FALSE)</f>
        <v>171- Les conditions d'hygiène sont améliorées au sein des écoles et établissements</v>
      </c>
      <c r="AC469" s="20" t="str">
        <f>D469 &amp; "-" &amp; VLOOKUP(D469,[4]STRATEGIES!$E$1:$F$504,2,FALSE)</f>
        <v>1712-Aménagement/rénovation des point d'eau</v>
      </c>
      <c r="AD469" s="21" t="str">
        <f t="shared" si="106"/>
        <v>17125-Aménagement de points d’eau en faveur des écoles, centres et établissement scolaires existants, y compris les FA</v>
      </c>
    </row>
    <row r="470" spans="1:30" ht="45" hidden="1" customHeight="1" x14ac:dyDescent="0.8">
      <c r="A470" s="25">
        <v>1</v>
      </c>
      <c r="B470" s="16">
        <v>17</v>
      </c>
      <c r="C470" s="16">
        <v>171</v>
      </c>
      <c r="D470" s="16">
        <v>1712</v>
      </c>
      <c r="E470" s="16">
        <v>17126</v>
      </c>
      <c r="F470" s="16" t="s">
        <v>588</v>
      </c>
      <c r="G470" s="21" t="s">
        <v>92</v>
      </c>
      <c r="H470" s="21" t="s">
        <v>55</v>
      </c>
      <c r="I470" s="19">
        <v>0</v>
      </c>
      <c r="J470" s="19">
        <v>1</v>
      </c>
      <c r="K470" s="19">
        <v>1</v>
      </c>
      <c r="L470" s="19">
        <v>1</v>
      </c>
      <c r="M470" s="19">
        <f t="shared" si="109"/>
        <v>3</v>
      </c>
      <c r="N470" s="19">
        <f>IF(OR(H470="",H470="sif",H470="PM"),0,VLOOKUP(H470,[5]CU!$C$4:$H$255,6,FALSE))</f>
        <v>0</v>
      </c>
      <c r="O470" s="19"/>
      <c r="P470" s="19"/>
      <c r="Q470" s="19">
        <f t="shared" si="108"/>
        <v>0</v>
      </c>
      <c r="R470" s="19"/>
      <c r="S470" s="31"/>
      <c r="T470" s="26" t="s">
        <v>169</v>
      </c>
      <c r="U470" s="19" t="s">
        <v>170</v>
      </c>
      <c r="V470" s="19" t="str">
        <f>IF(OR($H470="",$H470="sif",$H470="PM"),"",VLOOKUP($H470,[5]CU!$C$5:$J$255,8,FALSE))</f>
        <v/>
      </c>
      <c r="W470" s="19" t="s">
        <v>98</v>
      </c>
      <c r="X470" s="19" t="s">
        <v>98</v>
      </c>
      <c r="Y470" s="19" t="s">
        <v>32</v>
      </c>
      <c r="Z470" s="19" t="str">
        <f>A470 &amp; "-" &amp; VLOOKUP(A470,[4]PROGRAMMES!$E$1:$F$7,2,FALSE)</f>
        <v>1-Accès et équité à l'enseignement général</v>
      </c>
      <c r="AA470" s="19" t="str">
        <f>B470 &amp; "-" &amp; VLOOKUP(B470,[4]SOUSPROGRAMMES!$E$1:$F$44,2,FALSE)</f>
        <v xml:space="preserve">17- Santé et hygiène scolaires </v>
      </c>
      <c r="AB470" s="19" t="str">
        <f>C470 &amp; "-" &amp; VLOOKUP(C470,[4]RESULTATS!$E$1:$F$176,2,FALSE)</f>
        <v>171- Les conditions d'hygiène sont améliorées au sein des écoles et établissements</v>
      </c>
      <c r="AC470" s="20" t="str">
        <f>D470 &amp; "-" &amp; VLOOKUP(D470,[4]STRATEGIES!$E$1:$F$504,2,FALSE)</f>
        <v>1712-Aménagement/rénovation des point d'eau</v>
      </c>
      <c r="AD470" s="21" t="str">
        <f t="shared" si="106"/>
        <v>17126-Supervision de l'aménagement/rénovation des points d'eau (pris en compte dans supervision construction latrines)</v>
      </c>
    </row>
    <row r="471" spans="1:30" ht="45" hidden="1" customHeight="1" x14ac:dyDescent="0.8">
      <c r="A471" s="25">
        <v>1</v>
      </c>
      <c r="B471" s="16">
        <v>17</v>
      </c>
      <c r="C471" s="16">
        <v>171</v>
      </c>
      <c r="D471" s="16">
        <v>1712</v>
      </c>
      <c r="E471" s="16">
        <v>17127</v>
      </c>
      <c r="F471" s="16" t="s">
        <v>589</v>
      </c>
      <c r="G471" s="21" t="s">
        <v>92</v>
      </c>
      <c r="H471" s="21" t="s">
        <v>55</v>
      </c>
      <c r="I471" s="19">
        <v>0</v>
      </c>
      <c r="J471" s="19">
        <v>1</v>
      </c>
      <c r="K471" s="19">
        <v>1</v>
      </c>
      <c r="L471" s="19">
        <v>1</v>
      </c>
      <c r="M471" s="19">
        <f t="shared" si="109"/>
        <v>3</v>
      </c>
      <c r="N471" s="19">
        <f>IF(OR(H471="",H471="sif",H471="PM"),0,VLOOKUP(H471,[5]CU!$C$4:$H$255,6,FALSE))</f>
        <v>0</v>
      </c>
      <c r="O471" s="19"/>
      <c r="P471" s="19"/>
      <c r="Q471" s="19">
        <f t="shared" si="108"/>
        <v>0</v>
      </c>
      <c r="R471" s="19"/>
      <c r="S471" s="31"/>
      <c r="T471" s="26" t="s">
        <v>169</v>
      </c>
      <c r="U471" s="19" t="s">
        <v>170</v>
      </c>
      <c r="V471" s="19" t="str">
        <f>IF(OR($H471="",$H471="sif",$H471="PM"),"",VLOOKUP($H471,[5]CU!$C$5:$J$255,8,FALSE))</f>
        <v/>
      </c>
      <c r="W471" s="19" t="s">
        <v>96</v>
      </c>
      <c r="X471" s="19" t="s">
        <v>578</v>
      </c>
      <c r="Y471" s="19" t="s">
        <v>32</v>
      </c>
      <c r="Z471" s="19" t="str">
        <f>A471 &amp; "-" &amp; VLOOKUP(A471,[4]PROGRAMMES!$E$1:$F$7,2,FALSE)</f>
        <v>1-Accès et équité à l'enseignement général</v>
      </c>
      <c r="AA471" s="19" t="str">
        <f>B471 &amp; "-" &amp; VLOOKUP(B471,[4]SOUSPROGRAMMES!$E$1:$F$44,2,FALSE)</f>
        <v xml:space="preserve">17- Santé et hygiène scolaires </v>
      </c>
      <c r="AB471" s="19" t="str">
        <f>C471 &amp; "-" &amp; VLOOKUP(C471,[4]RESULTATS!$E$1:$F$176,2,FALSE)</f>
        <v>171- Les conditions d'hygiène sont améliorées au sein des écoles et établissements</v>
      </c>
      <c r="AC471" s="20" t="str">
        <f>D471 &amp; "-" &amp; VLOOKUP(D471,[4]STRATEGIES!$E$1:$F$504,2,FALSE)</f>
        <v>1712-Aménagement/rénovation des point d'eau</v>
      </c>
      <c r="AD471" s="21" t="str">
        <f t="shared" si="106"/>
        <v>17127-Suivi/évaluation de l'aménagement/rénovation des points d'eau (suivi travaux construction</v>
      </c>
    </row>
    <row r="472" spans="1:30" s="22" customFormat="1" ht="45" hidden="1" customHeight="1" x14ac:dyDescent="0.8">
      <c r="A472" s="14">
        <v>1</v>
      </c>
      <c r="B472" s="15">
        <v>17</v>
      </c>
      <c r="C472" s="15">
        <v>171</v>
      </c>
      <c r="D472" s="15">
        <v>1713</v>
      </c>
      <c r="E472" s="15">
        <v>1713</v>
      </c>
      <c r="F472" s="16" t="s">
        <v>590</v>
      </c>
      <c r="G472" s="17"/>
      <c r="H472" s="17"/>
      <c r="I472" s="18">
        <v>0</v>
      </c>
      <c r="J472" s="18"/>
      <c r="K472" s="18"/>
      <c r="L472" s="18"/>
      <c r="M472" s="18"/>
      <c r="N472" s="18"/>
      <c r="O472" s="18"/>
      <c r="P472" s="18"/>
      <c r="Q472" s="18"/>
      <c r="R472" s="18"/>
      <c r="S472" s="24"/>
      <c r="T472" s="18"/>
      <c r="U472" s="18"/>
      <c r="V472" s="18"/>
      <c r="W472" s="18"/>
      <c r="X472" s="18"/>
      <c r="Y472" s="19" t="s">
        <v>32</v>
      </c>
      <c r="Z472" s="18" t="str">
        <f>A472 &amp; "-" &amp; VLOOKUP(A472,[4]PROGRAMMES!$E$1:$F$7,2,FALSE)</f>
        <v>1-Accès et équité à l'enseignement général</v>
      </c>
      <c r="AA472" s="19" t="str">
        <f>B472 &amp; "-" &amp; VLOOKUP(B472,[4]SOUSPROGRAMMES!$E$1:$F$44,2,FALSE)</f>
        <v xml:space="preserve">17- Santé et hygiène scolaires </v>
      </c>
      <c r="AB472" s="19" t="str">
        <f>C472 &amp; "-" &amp; VLOOKUP(C472,[4]RESULTATS!$E$1:$F$176,2,FALSE)</f>
        <v>171- Les conditions d'hygiène sont améliorées au sein des écoles et établissements</v>
      </c>
      <c r="AC472" s="20" t="str">
        <f>D472 &amp; "-" &amp; VLOOKUP(D472,[4]STRATEGIES!$E$1:$F$504,2,FALSE)</f>
        <v>1713-Mise en place de kits de lavage des mains dans les écoles et établissements</v>
      </c>
      <c r="AD472" s="21" t="str">
        <f t="shared" si="106"/>
        <v>1713-Mise en place de kits de lavage des mains dans les écoles et établissements</v>
      </c>
    </row>
    <row r="473" spans="1:30" s="22" customFormat="1" ht="45" hidden="1" customHeight="1" x14ac:dyDescent="0.8">
      <c r="A473" s="14">
        <v>1</v>
      </c>
      <c r="B473" s="15">
        <v>17</v>
      </c>
      <c r="C473" s="15">
        <v>171</v>
      </c>
      <c r="D473" s="15">
        <v>1713</v>
      </c>
      <c r="E473" s="15">
        <v>17131</v>
      </c>
      <c r="F473" s="16" t="s">
        <v>591</v>
      </c>
      <c r="G473" s="21" t="s">
        <v>88</v>
      </c>
      <c r="H473" s="17" t="s">
        <v>55</v>
      </c>
      <c r="I473" s="18">
        <v>0</v>
      </c>
      <c r="J473" s="18"/>
      <c r="K473" s="18"/>
      <c r="L473" s="18"/>
      <c r="M473" s="18"/>
      <c r="N473" s="18">
        <f>IF(OR(H473="",H473="sif",H473="PM"),0,VLOOKUP(H473,[5]CU!$C$4:$H$255,6,FALSE))</f>
        <v>0</v>
      </c>
      <c r="O473" s="18"/>
      <c r="P473" s="18"/>
      <c r="Q473" s="18"/>
      <c r="R473" s="18"/>
      <c r="S473" s="24"/>
      <c r="T473" s="23" t="s">
        <v>221</v>
      </c>
      <c r="U473" s="18" t="s">
        <v>170</v>
      </c>
      <c r="V473" s="18" t="str">
        <f>IF(OR($H473="",$H473="sif",$H473="PM"),"",VLOOKUP($H473,[5]CU!$C$5:$J$255,8,FALSE))</f>
        <v/>
      </c>
      <c r="W473" s="18" t="s">
        <v>96</v>
      </c>
      <c r="X473" s="18" t="s">
        <v>179</v>
      </c>
      <c r="Y473" s="19" t="s">
        <v>32</v>
      </c>
      <c r="Z473" s="18" t="str">
        <f>A473 &amp; "-" &amp; VLOOKUP(A473,[4]PROGRAMMES!$E$1:$F$7,2,FALSE)</f>
        <v>1-Accès et équité à l'enseignement général</v>
      </c>
      <c r="AA473" s="19" t="str">
        <f>B473 &amp; "-" &amp; VLOOKUP(B473,[4]SOUSPROGRAMMES!$E$1:$F$44,2,FALSE)</f>
        <v xml:space="preserve">17- Santé et hygiène scolaires </v>
      </c>
      <c r="AB473" s="19" t="str">
        <f>C473 &amp; "-" &amp; VLOOKUP(C473,[4]RESULTATS!$E$1:$F$176,2,FALSE)</f>
        <v>171- Les conditions d'hygiène sont améliorées au sein des écoles et établissements</v>
      </c>
      <c r="AC473" s="20" t="str">
        <f>D473 &amp; "-" &amp; VLOOKUP(D473,[4]STRATEGIES!$E$1:$F$504,2,FALSE)</f>
        <v>1713-Mise en place de kits de lavage des mains dans les écoles et établissements</v>
      </c>
      <c r="AD473" s="21" t="str">
        <f t="shared" si="106"/>
        <v>17131-Identification des écoles et établissements devant bénéficier de kits de lavage des mains et estimation des besoins en savon et eau de javel</v>
      </c>
    </row>
    <row r="474" spans="1:30" s="22" customFormat="1" ht="45" hidden="1" customHeight="1" x14ac:dyDescent="0.8">
      <c r="A474" s="14">
        <v>1</v>
      </c>
      <c r="B474" s="15">
        <v>17</v>
      </c>
      <c r="C474" s="15">
        <v>171</v>
      </c>
      <c r="D474" s="15">
        <v>1713</v>
      </c>
      <c r="E474" s="15">
        <v>17132</v>
      </c>
      <c r="F474" s="16" t="s">
        <v>592</v>
      </c>
      <c r="G474" s="21" t="s">
        <v>593</v>
      </c>
      <c r="H474" s="17" t="s">
        <v>594</v>
      </c>
      <c r="I474" s="18">
        <v>0</v>
      </c>
      <c r="J474" s="18">
        <f>((((7614*0.1)+(653*0.1)+(226)+(340*0.5))*2))*50%</f>
        <v>1222.7</v>
      </c>
      <c r="K474" s="18">
        <f>((1333/2)*2)*50%</f>
        <v>666.5</v>
      </c>
      <c r="L474" s="18">
        <f>((1333/2)*2)*50%</f>
        <v>666.5</v>
      </c>
      <c r="M474" s="18">
        <f>SUM(I474:L474)</f>
        <v>2555.6999999999998</v>
      </c>
      <c r="N474" s="18">
        <f>IF(OR(H474="",H474="sif",H474="PM"),0,VLOOKUP(H474,[5]CU!$C$4:$H$255,6,FALSE))</f>
        <v>1.5</v>
      </c>
      <c r="O474" s="18">
        <f t="shared" ref="O474:R475" si="111">$N474*I474</f>
        <v>0</v>
      </c>
      <c r="P474" s="18">
        <f t="shared" si="111"/>
        <v>1834.0500000000002</v>
      </c>
      <c r="Q474" s="18">
        <f t="shared" si="111"/>
        <v>999.75</v>
      </c>
      <c r="R474" s="18">
        <f t="shared" si="111"/>
        <v>999.75</v>
      </c>
      <c r="S474" s="24">
        <f>SUM(O474:R474)</f>
        <v>3833.55</v>
      </c>
      <c r="T474" s="23" t="s">
        <v>221</v>
      </c>
      <c r="U474" s="18" t="s">
        <v>170</v>
      </c>
      <c r="V474" s="18" t="str">
        <f>IF(OR($H474="",$H474="sif",$H474="PM"),"",VLOOKUP($H474,[5]CU!$C$5:$J$255,8,FALSE))</f>
        <v>4. Transferts et subventions</v>
      </c>
      <c r="W474" s="18" t="s">
        <v>595</v>
      </c>
      <c r="X474" s="18" t="s">
        <v>595</v>
      </c>
      <c r="Y474" s="19" t="s">
        <v>32</v>
      </c>
      <c r="Z474" s="18" t="str">
        <f>A474 &amp; "-" &amp; VLOOKUP(A474,[4]PROGRAMMES!$E$1:$F$7,2,FALSE)</f>
        <v>1-Accès et équité à l'enseignement général</v>
      </c>
      <c r="AA474" s="19" t="str">
        <f>B474 &amp; "-" &amp; VLOOKUP(B474,[4]SOUSPROGRAMMES!$E$1:$F$44,2,FALSE)</f>
        <v xml:space="preserve">17- Santé et hygiène scolaires </v>
      </c>
      <c r="AB474" s="19" t="str">
        <f>C474 &amp; "-" &amp; VLOOKUP(C474,[4]RESULTATS!$E$1:$F$176,2,FALSE)</f>
        <v>171- Les conditions d'hygiène sont améliorées au sein des écoles et établissements</v>
      </c>
      <c r="AC474" s="20" t="str">
        <f>D474 &amp; "-" &amp; VLOOKUP(D474,[4]STRATEGIES!$E$1:$F$504,2,FALSE)</f>
        <v>1713-Mise en place de kits de lavage des mains dans les écoles et établissements</v>
      </c>
      <c r="AD474" s="21" t="str">
        <f t="shared" si="106"/>
        <v>17132-Acquisition et distribution de kits de lavage des mains</v>
      </c>
    </row>
    <row r="475" spans="1:30" s="22" customFormat="1" ht="45" hidden="1" customHeight="1" x14ac:dyDescent="0.8">
      <c r="A475" s="14">
        <v>1</v>
      </c>
      <c r="B475" s="15">
        <v>17</v>
      </c>
      <c r="C475" s="15">
        <v>171</v>
      </c>
      <c r="D475" s="15">
        <v>1713</v>
      </c>
      <c r="E475" s="15">
        <v>17132</v>
      </c>
      <c r="F475" s="16" t="s">
        <v>592</v>
      </c>
      <c r="G475" s="21" t="s">
        <v>593</v>
      </c>
      <c r="H475" s="17" t="s">
        <v>594</v>
      </c>
      <c r="I475" s="18">
        <v>0</v>
      </c>
      <c r="J475" s="18">
        <f>((((7614*0.1)+(653*0.1)+(226)+(340*0.5))*2))*50%</f>
        <v>1222.7</v>
      </c>
      <c r="K475" s="18">
        <f>((1333/2)*2)*50%</f>
        <v>666.5</v>
      </c>
      <c r="L475" s="18">
        <f>((1333/2)*2)*50%</f>
        <v>666.5</v>
      </c>
      <c r="M475" s="18">
        <f>SUM(I475:L475)</f>
        <v>2555.6999999999998</v>
      </c>
      <c r="N475" s="18">
        <f>IF(OR(H475="",H475="sif",H475="PM"),0,VLOOKUP(H475,[5]CU!$C$4:$H$255,6,FALSE))</f>
        <v>1.5</v>
      </c>
      <c r="O475" s="18">
        <f t="shared" si="111"/>
        <v>0</v>
      </c>
      <c r="P475" s="18">
        <f t="shared" si="111"/>
        <v>1834.0500000000002</v>
      </c>
      <c r="Q475" s="18">
        <f t="shared" si="111"/>
        <v>999.75</v>
      </c>
      <c r="R475" s="18">
        <f t="shared" si="111"/>
        <v>999.75</v>
      </c>
      <c r="S475" s="24">
        <f>SUM(O475:R475)</f>
        <v>3833.55</v>
      </c>
      <c r="T475" s="23" t="s">
        <v>118</v>
      </c>
      <c r="U475" s="18" t="s">
        <v>170</v>
      </c>
      <c r="V475" s="18" t="str">
        <f>IF(OR($H475="",$H475="sif",$H475="PM"),"",VLOOKUP($H475,[5]CU!$C$5:$J$255,8,FALSE))</f>
        <v>4. Transferts et subventions</v>
      </c>
      <c r="W475" s="18" t="s">
        <v>595</v>
      </c>
      <c r="X475" s="18" t="s">
        <v>595</v>
      </c>
      <c r="Y475" s="19" t="s">
        <v>32</v>
      </c>
      <c r="Z475" s="18" t="str">
        <f>A475 &amp; "-" &amp; VLOOKUP(A475,[4]PROGRAMMES!$E$1:$F$7,2,FALSE)</f>
        <v>1-Accès et équité à l'enseignement général</v>
      </c>
      <c r="AA475" s="19" t="str">
        <f>B475 &amp; "-" &amp; VLOOKUP(B475,[4]SOUSPROGRAMMES!$E$1:$F$44,2,FALSE)</f>
        <v xml:space="preserve">17- Santé et hygiène scolaires </v>
      </c>
      <c r="AB475" s="19" t="str">
        <f>C475 &amp; "-" &amp; VLOOKUP(C475,[4]RESULTATS!$E$1:$F$176,2,FALSE)</f>
        <v>171- Les conditions d'hygiène sont améliorées au sein des écoles et établissements</v>
      </c>
      <c r="AC475" s="20" t="str">
        <f>D475 &amp; "-" &amp; VLOOKUP(D475,[4]STRATEGIES!$E$1:$F$504,2,FALSE)</f>
        <v>1713-Mise en place de kits de lavage des mains dans les écoles et établissements</v>
      </c>
      <c r="AD475" s="21" t="str">
        <f t="shared" si="106"/>
        <v>17132-Acquisition et distribution de kits de lavage des mains</v>
      </c>
    </row>
    <row r="476" spans="1:30" s="22" customFormat="1" ht="45" hidden="1" customHeight="1" x14ac:dyDescent="0.8">
      <c r="A476" s="14">
        <v>1</v>
      </c>
      <c r="B476" s="15">
        <v>17</v>
      </c>
      <c r="C476" s="15">
        <v>171</v>
      </c>
      <c r="D476" s="15">
        <v>1713</v>
      </c>
      <c r="E476" s="15">
        <v>17133</v>
      </c>
      <c r="F476" s="16" t="s">
        <v>596</v>
      </c>
      <c r="G476" s="21" t="s">
        <v>159</v>
      </c>
      <c r="H476" s="17"/>
      <c r="I476" s="18">
        <v>0</v>
      </c>
      <c r="J476" s="18"/>
      <c r="K476" s="18"/>
      <c r="L476" s="18"/>
      <c r="M476" s="18"/>
      <c r="N476" s="18">
        <f>IF(OR(H476="",H476="sif",H476="PM"),0,VLOOKUP(H476,[5]CU!$C$4:$H$255,6,FALSE))</f>
        <v>0</v>
      </c>
      <c r="O476" s="18"/>
      <c r="P476" s="18"/>
      <c r="Q476" s="18"/>
      <c r="R476" s="18"/>
      <c r="S476" s="24"/>
      <c r="T476" s="23" t="s">
        <v>221</v>
      </c>
      <c r="U476" s="18" t="s">
        <v>170</v>
      </c>
      <c r="V476" s="18" t="str">
        <f>IF(OR($H476="",$H476="sif",$H476="PM"),"",VLOOKUP($H476,[5]CU!$C$5:$J$255,8,FALSE))</f>
        <v/>
      </c>
      <c r="W476" s="18" t="s">
        <v>595</v>
      </c>
      <c r="X476" s="18" t="s">
        <v>595</v>
      </c>
      <c r="Y476" s="19" t="s">
        <v>32</v>
      </c>
      <c r="Z476" s="18" t="str">
        <f>A476 &amp; "-" &amp; VLOOKUP(A476,[4]PROGRAMMES!$E$1:$F$7,2,FALSE)</f>
        <v>1-Accès et équité à l'enseignement général</v>
      </c>
      <c r="AA476" s="19" t="str">
        <f>B476 &amp; "-" &amp; VLOOKUP(B476,[4]SOUSPROGRAMMES!$E$1:$F$44,2,FALSE)</f>
        <v xml:space="preserve">17- Santé et hygiène scolaires </v>
      </c>
      <c r="AB476" s="19" t="str">
        <f>C476 &amp; "-" &amp; VLOOKUP(C476,[4]RESULTATS!$E$1:$F$176,2,FALSE)</f>
        <v>171- Les conditions d'hygiène sont améliorées au sein des écoles et établissements</v>
      </c>
      <c r="AC476" s="20" t="str">
        <f>D476 &amp; "-" &amp; VLOOKUP(D476,[4]STRATEGIES!$E$1:$F$504,2,FALSE)</f>
        <v>1713-Mise en place de kits de lavage des mains dans les écoles et établissements</v>
      </c>
      <c r="AD476" s="21" t="str">
        <f t="shared" si="106"/>
        <v>17133-Acquisition et distribution de savon et eau de javel aux écoles (pris en compte dans subvention aux écoles)</v>
      </c>
    </row>
    <row r="477" spans="1:30" s="22" customFormat="1" ht="45" hidden="1" customHeight="1" x14ac:dyDescent="0.8">
      <c r="A477" s="14">
        <v>1</v>
      </c>
      <c r="B477" s="15">
        <v>17</v>
      </c>
      <c r="C477" s="15">
        <v>171</v>
      </c>
      <c r="D477" s="15">
        <v>1713</v>
      </c>
      <c r="E477" s="15">
        <v>17134</v>
      </c>
      <c r="F477" s="16" t="s">
        <v>597</v>
      </c>
      <c r="G477" s="21" t="s">
        <v>159</v>
      </c>
      <c r="H477" s="17" t="s">
        <v>55</v>
      </c>
      <c r="I477" s="18">
        <v>0</v>
      </c>
      <c r="J477" s="18"/>
      <c r="K477" s="18"/>
      <c r="L477" s="18"/>
      <c r="M477" s="18"/>
      <c r="N477" s="18">
        <f>IF(OR(H477="",H477="sif",H477="PM"),0,VLOOKUP(H477,[5]CU!$C$4:$H$255,6,FALSE))</f>
        <v>0</v>
      </c>
      <c r="O477" s="18"/>
      <c r="P477" s="18"/>
      <c r="Q477" s="18"/>
      <c r="R477" s="18"/>
      <c r="S477" s="24"/>
      <c r="T477" s="23" t="s">
        <v>221</v>
      </c>
      <c r="U477" s="18" t="s">
        <v>170</v>
      </c>
      <c r="V477" s="18" t="str">
        <f>IF(OR($H477="",$H477="sif",$H477="PM"),"",VLOOKUP($H477,[5]CU!$C$5:$J$255,8,FALSE))</f>
        <v/>
      </c>
      <c r="W477" s="18" t="s">
        <v>77</v>
      </c>
      <c r="X477" s="18" t="s">
        <v>598</v>
      </c>
      <c r="Y477" s="19" t="s">
        <v>32</v>
      </c>
      <c r="Z477" s="18" t="str">
        <f>A477 &amp; "-" &amp; VLOOKUP(A477,[4]PROGRAMMES!$E$1:$F$7,2,FALSE)</f>
        <v>1-Accès et équité à l'enseignement général</v>
      </c>
      <c r="AA477" s="19" t="str">
        <f>B477 &amp; "-" &amp; VLOOKUP(B477,[4]SOUSPROGRAMMES!$E$1:$F$44,2,FALSE)</f>
        <v xml:space="preserve">17- Santé et hygiène scolaires </v>
      </c>
      <c r="AB477" s="19" t="str">
        <f>C477 &amp; "-" &amp; VLOOKUP(C477,[4]RESULTATS!$E$1:$F$176,2,FALSE)</f>
        <v>171- Les conditions d'hygiène sont améliorées au sein des écoles et établissements</v>
      </c>
      <c r="AC477" s="20" t="str">
        <f>D477 &amp; "-" &amp; VLOOKUP(D477,[4]STRATEGIES!$E$1:$F$504,2,FALSE)</f>
        <v>1713-Mise en place de kits de lavage des mains dans les écoles et établissements</v>
      </c>
      <c r="AD477" s="21" t="str">
        <f t="shared" si="106"/>
        <v>17134-Sensibilisation des APEAE sur la fourniture régulière de savon et eau de javel aux écoles</v>
      </c>
    </row>
    <row r="478" spans="1:30" s="22" customFormat="1" ht="45" hidden="1" customHeight="1" x14ac:dyDescent="0.8">
      <c r="A478" s="14">
        <v>1</v>
      </c>
      <c r="B478" s="15">
        <v>17</v>
      </c>
      <c r="C478" s="15">
        <v>171</v>
      </c>
      <c r="D478" s="15">
        <v>1713</v>
      </c>
      <c r="E478" s="15">
        <v>17135</v>
      </c>
      <c r="F478" s="16" t="s">
        <v>599</v>
      </c>
      <c r="G478" s="21" t="s">
        <v>92</v>
      </c>
      <c r="H478" s="17" t="s">
        <v>55</v>
      </c>
      <c r="I478" s="18">
        <v>0</v>
      </c>
      <c r="J478" s="18"/>
      <c r="K478" s="18"/>
      <c r="L478" s="18"/>
      <c r="M478" s="18"/>
      <c r="N478" s="18">
        <f>IF(OR(H478="",H478="sif",H478="PM"),0,VLOOKUP(H478,[5]CU!$C$4:$H$255,6,FALSE))</f>
        <v>0</v>
      </c>
      <c r="O478" s="18"/>
      <c r="P478" s="18"/>
      <c r="Q478" s="18"/>
      <c r="R478" s="18"/>
      <c r="S478" s="24"/>
      <c r="T478" s="23" t="s">
        <v>221</v>
      </c>
      <c r="U478" s="18" t="s">
        <v>170</v>
      </c>
      <c r="V478" s="18" t="str">
        <f>IF(OR($H478="",$H478="sif",$H478="PM"),"",VLOOKUP($H478,[5]CU!$C$5:$J$255,8,FALSE))</f>
        <v/>
      </c>
      <c r="W478" s="18" t="s">
        <v>96</v>
      </c>
      <c r="X478" s="18" t="s">
        <v>77</v>
      </c>
      <c r="Y478" s="19" t="s">
        <v>32</v>
      </c>
      <c r="Z478" s="18" t="str">
        <f>A478 &amp; "-" &amp; VLOOKUP(A478,[4]PROGRAMMES!$E$1:$F$7,2,FALSE)</f>
        <v>1-Accès et équité à l'enseignement général</v>
      </c>
      <c r="AA478" s="19" t="str">
        <f>B478 &amp; "-" &amp; VLOOKUP(B478,[4]SOUSPROGRAMMES!$E$1:$F$44,2,FALSE)</f>
        <v xml:space="preserve">17- Santé et hygiène scolaires </v>
      </c>
      <c r="AB478" s="19" t="str">
        <f>C478 &amp; "-" &amp; VLOOKUP(C478,[4]RESULTATS!$E$1:$F$176,2,FALSE)</f>
        <v>171- Les conditions d'hygiène sont améliorées au sein des écoles et établissements</v>
      </c>
      <c r="AC478" s="20" t="str">
        <f>D478 &amp; "-" &amp; VLOOKUP(D478,[4]STRATEGIES!$E$1:$F$504,2,FALSE)</f>
        <v>1713-Mise en place de kits de lavage des mains dans les écoles et établissements</v>
      </c>
      <c r="AD478" s="21" t="str">
        <f t="shared" si="106"/>
        <v>17135-Suivi/évaluation de l'utilisation des kits de lavage des mains dans les établissements</v>
      </c>
    </row>
    <row r="479" spans="1:30" s="22" customFormat="1" ht="45" hidden="1" customHeight="1" x14ac:dyDescent="0.8">
      <c r="A479" s="14">
        <v>1</v>
      </c>
      <c r="B479" s="15">
        <v>17</v>
      </c>
      <c r="C479" s="15">
        <v>172</v>
      </c>
      <c r="D479" s="15">
        <v>172</v>
      </c>
      <c r="E479" s="15">
        <v>172</v>
      </c>
      <c r="F479" s="16" t="s">
        <v>600</v>
      </c>
      <c r="G479" s="17"/>
      <c r="H479" s="17"/>
      <c r="I479" s="18">
        <v>0</v>
      </c>
      <c r="J479" s="18"/>
      <c r="K479" s="18"/>
      <c r="L479" s="18"/>
      <c r="M479" s="18"/>
      <c r="N479" s="18"/>
      <c r="O479" s="18"/>
      <c r="P479" s="18"/>
      <c r="Q479" s="18"/>
      <c r="R479" s="18"/>
      <c r="S479" s="24"/>
      <c r="T479" s="18"/>
      <c r="U479" s="18"/>
      <c r="V479" s="18"/>
      <c r="W479" s="18"/>
      <c r="X479" s="18"/>
      <c r="Y479" s="19" t="s">
        <v>32</v>
      </c>
      <c r="Z479" s="18" t="str">
        <f>A479 &amp; "-" &amp; VLOOKUP(A479,[4]PROGRAMMES!$E$1:$F$7,2,FALSE)</f>
        <v>1-Accès et équité à l'enseignement général</v>
      </c>
      <c r="AA479" s="19" t="str">
        <f>B479 &amp; "-" &amp; VLOOKUP(B479,[4]SOUSPROGRAMMES!$E$1:$F$44,2,FALSE)</f>
        <v xml:space="preserve">17- Santé et hygiène scolaires </v>
      </c>
      <c r="AB479" s="19" t="str">
        <f>C479 &amp; "-" &amp; VLOOKUP(C479,[4]RESULTATS!$E$1:$F$176,2,FALSE)</f>
        <v>172- La santé scolaire est améliorée au sein des écoles et établissements scolaires, y compris les FA</v>
      </c>
      <c r="AC479" s="20" t="str">
        <f>D479 &amp; "-" &amp; VLOOKUP(D479,[4]STRATEGIES!$E$1:$F$504,2,FALSE)</f>
        <v>172- La santé scolaire est améliorée au sein des écoles et établissements scolaires, y compris les FA</v>
      </c>
      <c r="AD479" s="21" t="str">
        <f t="shared" si="106"/>
        <v>172- La santé scolaire est améliorée au sein des écoles et établissements scolaires, y compris les FA</v>
      </c>
    </row>
    <row r="480" spans="1:30" s="22" customFormat="1" ht="45" hidden="1" customHeight="1" x14ac:dyDescent="0.8">
      <c r="A480" s="14">
        <v>1</v>
      </c>
      <c r="B480" s="15">
        <v>17</v>
      </c>
      <c r="C480" s="15">
        <v>172</v>
      </c>
      <c r="D480" s="15">
        <v>1721</v>
      </c>
      <c r="E480" s="15">
        <v>1721</v>
      </c>
      <c r="F480" s="16" t="s">
        <v>601</v>
      </c>
      <c r="G480" s="17"/>
      <c r="H480" s="17"/>
      <c r="I480" s="18">
        <v>0</v>
      </c>
      <c r="J480" s="18"/>
      <c r="K480" s="18"/>
      <c r="L480" s="18"/>
      <c r="M480" s="18"/>
      <c r="N480" s="18"/>
      <c r="O480" s="18"/>
      <c r="P480" s="18"/>
      <c r="Q480" s="18"/>
      <c r="R480" s="18"/>
      <c r="S480" s="24"/>
      <c r="T480" s="18"/>
      <c r="U480" s="18"/>
      <c r="V480" s="18"/>
      <c r="W480" s="18"/>
      <c r="X480" s="18"/>
      <c r="Y480" s="19" t="s">
        <v>32</v>
      </c>
      <c r="Z480" s="18" t="str">
        <f>A480 &amp; "-" &amp; VLOOKUP(A480,[4]PROGRAMMES!$E$1:$F$7,2,FALSE)</f>
        <v>1-Accès et équité à l'enseignement général</v>
      </c>
      <c r="AA480" s="19" t="str">
        <f>B480 &amp; "-" &amp; VLOOKUP(B480,[4]SOUSPROGRAMMES!$E$1:$F$44,2,FALSE)</f>
        <v xml:space="preserve">17- Santé et hygiène scolaires </v>
      </c>
      <c r="AB480" s="19" t="str">
        <f>C480 &amp; "-" &amp; VLOOKUP(C480,[4]RESULTATS!$E$1:$F$176,2,FALSE)</f>
        <v>172- La santé scolaire est améliorée au sein des écoles et établissements scolaires, y compris les FA</v>
      </c>
      <c r="AC480" s="20" t="str">
        <f>D480 &amp; "-" &amp; VLOOKUP(D480,[4]STRATEGIES!$E$1:$F$504,2,FALSE)</f>
        <v>1721-Mise à disposition des écoles et établissements d'infirmerie et de boîte à pharmacie</v>
      </c>
      <c r="AD480" s="21" t="str">
        <f t="shared" si="106"/>
        <v>1721-Mise à disposition des écoles et établissements d'infirmerie et de boîte à pharmacie</v>
      </c>
    </row>
    <row r="481" spans="1:30" s="22" customFormat="1" ht="45" hidden="1" customHeight="1" x14ac:dyDescent="0.8">
      <c r="A481" s="14">
        <v>1</v>
      </c>
      <c r="B481" s="15">
        <v>17</v>
      </c>
      <c r="C481" s="15">
        <v>172</v>
      </c>
      <c r="D481" s="15">
        <v>1721</v>
      </c>
      <c r="E481" s="15">
        <v>17211</v>
      </c>
      <c r="F481" s="16" t="s">
        <v>602</v>
      </c>
      <c r="G481" s="21" t="s">
        <v>88</v>
      </c>
      <c r="H481" s="17" t="s">
        <v>55</v>
      </c>
      <c r="I481" s="18">
        <v>0</v>
      </c>
      <c r="J481" s="18"/>
      <c r="K481" s="18"/>
      <c r="L481" s="18"/>
      <c r="M481" s="18"/>
      <c r="N481" s="18">
        <f>IF(OR(H481="",H481="sif",H481="PM"),0,VLOOKUP(H481,[5]CU!$C$4:$H$255,6,FALSE))</f>
        <v>0</v>
      </c>
      <c r="O481" s="18"/>
      <c r="P481" s="18"/>
      <c r="Q481" s="18"/>
      <c r="R481" s="18"/>
      <c r="S481" s="24"/>
      <c r="T481" s="23" t="s">
        <v>56</v>
      </c>
      <c r="U481" s="18" t="s">
        <v>170</v>
      </c>
      <c r="V481" s="18" t="str">
        <f>IF(OR($H481="",$H481="sif",$H481="PM"),"",VLOOKUP($H481,[5]CU!$C$5:$J$255,8,FALSE))</f>
        <v/>
      </c>
      <c r="W481" s="18" t="s">
        <v>595</v>
      </c>
      <c r="X481" s="18" t="s">
        <v>96</v>
      </c>
      <c r="Y481" s="19" t="s">
        <v>32</v>
      </c>
      <c r="Z481" s="18" t="str">
        <f>A481 &amp; "-" &amp; VLOOKUP(A481,[4]PROGRAMMES!$E$1:$F$7,2,FALSE)</f>
        <v>1-Accès et équité à l'enseignement général</v>
      </c>
      <c r="AA481" s="19" t="str">
        <f>B481 &amp; "-" &amp; VLOOKUP(B481,[4]SOUSPROGRAMMES!$E$1:$F$44,2,FALSE)</f>
        <v xml:space="preserve">17- Santé et hygiène scolaires </v>
      </c>
      <c r="AB481" s="19" t="str">
        <f>C481 &amp; "-" &amp; VLOOKUP(C481,[4]RESULTATS!$E$1:$F$176,2,FALSE)</f>
        <v>172- La santé scolaire est améliorée au sein des écoles et établissements scolaires, y compris les FA</v>
      </c>
      <c r="AC481" s="20" t="str">
        <f>D481 &amp; "-" &amp; VLOOKUP(D481,[4]STRATEGIES!$E$1:$F$504,2,FALSE)</f>
        <v>1721-Mise à disposition des écoles et établissements d'infirmerie et de boîte à pharmacie</v>
      </c>
      <c r="AD481" s="21" t="str">
        <f t="shared" si="106"/>
        <v>17211-Classification des écoles et établissements selon la taille et identification des infirmeries scolaires existantes</v>
      </c>
    </row>
    <row r="482" spans="1:30" s="22" customFormat="1" ht="45" hidden="1" customHeight="1" x14ac:dyDescent="0.8">
      <c r="A482" s="14">
        <v>1</v>
      </c>
      <c r="B482" s="15">
        <v>17</v>
      </c>
      <c r="C482" s="15">
        <v>172</v>
      </c>
      <c r="D482" s="15">
        <v>1721</v>
      </c>
      <c r="E482" s="15">
        <v>17212</v>
      </c>
      <c r="F482" s="16" t="s">
        <v>603</v>
      </c>
      <c r="G482" s="21" t="s">
        <v>604</v>
      </c>
      <c r="H482" s="17" t="s">
        <v>605</v>
      </c>
      <c r="I482" s="18">
        <v>0</v>
      </c>
      <c r="J482" s="18">
        <f>33*0.3</f>
        <v>9.9</v>
      </c>
      <c r="K482" s="18">
        <f>33*0.5</f>
        <v>16.5</v>
      </c>
      <c r="L482" s="18">
        <f>33*0.2</f>
        <v>6.6000000000000005</v>
      </c>
      <c r="M482" s="18">
        <f t="shared" ref="M482:M498" si="112">SUM(I482:L482)</f>
        <v>33</v>
      </c>
      <c r="N482" s="18">
        <f>IF(OR(H482="",H482="sif",H482="PM"),0,VLOOKUP(H482,[5]CU!$C$4:$H$255,6,FALSE))</f>
        <v>33.75</v>
      </c>
      <c r="O482" s="18">
        <f t="shared" ref="O482:R484" si="113">$N482*I482</f>
        <v>0</v>
      </c>
      <c r="P482" s="18">
        <f t="shared" si="113"/>
        <v>334.125</v>
      </c>
      <c r="Q482" s="18">
        <f t="shared" si="113"/>
        <v>556.875</v>
      </c>
      <c r="R482" s="18">
        <f t="shared" si="113"/>
        <v>222.75000000000003</v>
      </c>
      <c r="S482" s="24">
        <f>SUM(O482:R482)</f>
        <v>1113.75</v>
      </c>
      <c r="T482" s="23" t="s">
        <v>56</v>
      </c>
      <c r="U482" s="18" t="s">
        <v>170</v>
      </c>
      <c r="V482" s="18" t="str">
        <f>IF(OR($H482="",$H482="sif",$H482="PM"),"",VLOOKUP($H482,[5]CU!$C$5:$J$255,8,FALSE))</f>
        <v>5. Investissement</v>
      </c>
      <c r="W482" s="18" t="s">
        <v>98</v>
      </c>
      <c r="X482" s="18" t="s">
        <v>606</v>
      </c>
      <c r="Y482" s="19" t="s">
        <v>32</v>
      </c>
      <c r="Z482" s="18" t="str">
        <f>A482 &amp; "-" &amp; VLOOKUP(A482,[4]PROGRAMMES!$E$1:$F$7,2,FALSE)</f>
        <v>1-Accès et équité à l'enseignement général</v>
      </c>
      <c r="AA482" s="19" t="str">
        <f>B482 &amp; "-" &amp; VLOOKUP(B482,[4]SOUSPROGRAMMES!$E$1:$F$44,2,FALSE)</f>
        <v xml:space="preserve">17- Santé et hygiène scolaires </v>
      </c>
      <c r="AB482" s="19" t="str">
        <f>C482 &amp; "-" &amp; VLOOKUP(C482,[4]RESULTATS!$E$1:$F$176,2,FALSE)</f>
        <v>172- La santé scolaire est améliorée au sein des écoles et établissements scolaires, y compris les FA</v>
      </c>
      <c r="AC482" s="20" t="str">
        <f>D482 &amp; "-" &amp; VLOOKUP(D482,[4]STRATEGIES!$E$1:$F$504,2,FALSE)</f>
        <v>1721-Mise à disposition des écoles et établissements d'infirmerie et de boîte à pharmacie</v>
      </c>
      <c r="AD482" s="21" t="str">
        <f t="shared" si="106"/>
        <v>17212-Rénovation des infirmeries scolaires</v>
      </c>
    </row>
    <row r="483" spans="1:30" s="22" customFormat="1" ht="45" hidden="1" customHeight="1" x14ac:dyDescent="0.8">
      <c r="A483" s="14">
        <v>1</v>
      </c>
      <c r="B483" s="15">
        <v>17</v>
      </c>
      <c r="C483" s="15">
        <v>172</v>
      </c>
      <c r="D483" s="15">
        <v>1721</v>
      </c>
      <c r="E483" s="15">
        <v>17213</v>
      </c>
      <c r="F483" s="16" t="s">
        <v>607</v>
      </c>
      <c r="G483" s="21" t="s">
        <v>106</v>
      </c>
      <c r="H483" s="17" t="s">
        <v>608</v>
      </c>
      <c r="I483" s="18">
        <v>0</v>
      </c>
      <c r="J483" s="18">
        <f>J482+10</f>
        <v>19.899999999999999</v>
      </c>
      <c r="K483" s="18">
        <f>K482+10</f>
        <v>26.5</v>
      </c>
      <c r="L483" s="18">
        <f>L482+10</f>
        <v>16.600000000000001</v>
      </c>
      <c r="M483" s="18">
        <f t="shared" si="112"/>
        <v>63</v>
      </c>
      <c r="N483" s="18">
        <f>IF(OR(H483="",H483="sif",H483="PM"),0,VLOOKUP(H483,[5]CU!$C$4:$H$255,6,FALSE))</f>
        <v>39.549999999999997</v>
      </c>
      <c r="O483" s="18">
        <f t="shared" si="113"/>
        <v>0</v>
      </c>
      <c r="P483" s="18">
        <f t="shared" si="113"/>
        <v>787.04499999999985</v>
      </c>
      <c r="Q483" s="18">
        <f t="shared" si="113"/>
        <v>1048.0749999999998</v>
      </c>
      <c r="R483" s="18">
        <f t="shared" si="113"/>
        <v>656.53</v>
      </c>
      <c r="S483" s="24">
        <f>SUM(O483:R483)</f>
        <v>2491.6499999999996</v>
      </c>
      <c r="T483" s="23" t="s">
        <v>56</v>
      </c>
      <c r="U483" s="18" t="s">
        <v>170</v>
      </c>
      <c r="V483" s="18" t="str">
        <f>IF(OR($H483="",$H483="sif",$H483="PM"),"",VLOOKUP($H483,[5]CU!$C$5:$J$255,8,FALSE))</f>
        <v>5. Investissement</v>
      </c>
      <c r="W483" s="18" t="s">
        <v>595</v>
      </c>
      <c r="X483" s="18" t="s">
        <v>609</v>
      </c>
      <c r="Y483" s="19" t="s">
        <v>32</v>
      </c>
      <c r="Z483" s="18" t="str">
        <f>A483 &amp; "-" &amp; VLOOKUP(A483,[4]PROGRAMMES!$E$1:$F$7,2,FALSE)</f>
        <v>1-Accès et équité à l'enseignement général</v>
      </c>
      <c r="AA483" s="19" t="str">
        <f>B483 &amp; "-" &amp; VLOOKUP(B483,[4]SOUSPROGRAMMES!$E$1:$F$44,2,FALSE)</f>
        <v xml:space="preserve">17- Santé et hygiène scolaires </v>
      </c>
      <c r="AB483" s="19" t="str">
        <f>C483 &amp; "-" &amp; VLOOKUP(C483,[4]RESULTATS!$E$1:$F$176,2,FALSE)</f>
        <v>172- La santé scolaire est améliorée au sein des écoles et établissements scolaires, y compris les FA</v>
      </c>
      <c r="AC483" s="20" t="str">
        <f>D483 &amp; "-" &amp; VLOOKUP(D483,[4]STRATEGIES!$E$1:$F$504,2,FALSE)</f>
        <v>1721-Mise à disposition des écoles et établissements d'infirmerie et de boîte à pharmacie</v>
      </c>
      <c r="AD483" s="21" t="str">
        <f t="shared" si="106"/>
        <v>17213-Equipement des infirmeries scolaires</v>
      </c>
    </row>
    <row r="484" spans="1:30" s="22" customFormat="1" ht="45" hidden="1" customHeight="1" x14ac:dyDescent="0.8">
      <c r="A484" s="14">
        <v>1</v>
      </c>
      <c r="B484" s="15">
        <v>17</v>
      </c>
      <c r="C484" s="15">
        <v>172</v>
      </c>
      <c r="D484" s="15">
        <v>1721</v>
      </c>
      <c r="E484" s="15">
        <v>17214</v>
      </c>
      <c r="F484" s="16" t="s">
        <v>610</v>
      </c>
      <c r="G484" s="21" t="s">
        <v>519</v>
      </c>
      <c r="H484" s="17" t="s">
        <v>611</v>
      </c>
      <c r="I484" s="18">
        <v>0</v>
      </c>
      <c r="J484" s="18">
        <f>J483+10</f>
        <v>29.9</v>
      </c>
      <c r="K484" s="18">
        <f>J484+K483+10</f>
        <v>66.400000000000006</v>
      </c>
      <c r="L484" s="18">
        <f>L483+K484+10</f>
        <v>93</v>
      </c>
      <c r="M484" s="18">
        <f t="shared" si="112"/>
        <v>189.3</v>
      </c>
      <c r="N484" s="18">
        <f>IF(OR(H484="",H484="sif",H484="PM"),0,VLOOKUP(H484,[5]CU!$C$4:$H$255,6,FALSE))</f>
        <v>41.19</v>
      </c>
      <c r="O484" s="18">
        <f t="shared" si="113"/>
        <v>0</v>
      </c>
      <c r="P484" s="18">
        <f t="shared" si="113"/>
        <v>1231.5809999999999</v>
      </c>
      <c r="Q484" s="18">
        <f t="shared" si="113"/>
        <v>2735.0160000000001</v>
      </c>
      <c r="R484" s="18">
        <f t="shared" si="113"/>
        <v>3830.6699999999996</v>
      </c>
      <c r="S484" s="24">
        <f>SUM(O484:R484)</f>
        <v>7797.2669999999998</v>
      </c>
      <c r="T484" s="23" t="s">
        <v>56</v>
      </c>
      <c r="U484" s="18" t="s">
        <v>170</v>
      </c>
      <c r="V484" s="18" t="str">
        <f>IF(OR($H484="",$H484="sif",$H484="PM"),"",VLOOKUP($H484,[5]CU!$C$5:$J$255,8,FALSE))</f>
        <v>4. Transferts et subventions</v>
      </c>
      <c r="W484" s="18" t="s">
        <v>595</v>
      </c>
      <c r="X484" s="18" t="s">
        <v>609</v>
      </c>
      <c r="Y484" s="19" t="s">
        <v>32</v>
      </c>
      <c r="Z484" s="18" t="str">
        <f>A484 &amp; "-" &amp; VLOOKUP(A484,[4]PROGRAMMES!$E$1:$F$7,2,FALSE)</f>
        <v>1-Accès et équité à l'enseignement général</v>
      </c>
      <c r="AA484" s="19" t="str">
        <f>B484 &amp; "-" &amp; VLOOKUP(B484,[4]SOUSPROGRAMMES!$E$1:$F$44,2,FALSE)</f>
        <v xml:space="preserve">17- Santé et hygiène scolaires </v>
      </c>
      <c r="AB484" s="19" t="str">
        <f>C484 &amp; "-" &amp; VLOOKUP(C484,[4]RESULTATS!$E$1:$F$176,2,FALSE)</f>
        <v>172- La santé scolaire est améliorée au sein des écoles et établissements scolaires, y compris les FA</v>
      </c>
      <c r="AC484" s="20" t="str">
        <f>D484 &amp; "-" &amp; VLOOKUP(D484,[4]STRATEGIES!$E$1:$F$504,2,FALSE)</f>
        <v>1721-Mise à disposition des écoles et établissements d'infirmerie et de boîte à pharmacie</v>
      </c>
      <c r="AD484" s="21" t="str">
        <f t="shared" si="106"/>
        <v>17214-Approvisionnement des infirmeries en médicaments et consommables</v>
      </c>
    </row>
    <row r="485" spans="1:30" s="22" customFormat="1" ht="45" hidden="1" customHeight="1" x14ac:dyDescent="0.8">
      <c r="A485" s="14">
        <v>1</v>
      </c>
      <c r="B485" s="15">
        <v>17</v>
      </c>
      <c r="C485" s="15">
        <v>172</v>
      </c>
      <c r="D485" s="15">
        <v>1721</v>
      </c>
      <c r="E485" s="15">
        <v>17215</v>
      </c>
      <c r="F485" s="16" t="s">
        <v>612</v>
      </c>
      <c r="G485" s="21" t="s">
        <v>613</v>
      </c>
      <c r="H485" s="17" t="s">
        <v>55</v>
      </c>
      <c r="I485" s="18">
        <v>0</v>
      </c>
      <c r="J485" s="18">
        <v>10</v>
      </c>
      <c r="K485" s="18">
        <v>17</v>
      </c>
      <c r="L485" s="18">
        <v>7</v>
      </c>
      <c r="M485" s="18">
        <f t="shared" si="112"/>
        <v>34</v>
      </c>
      <c r="N485" s="18">
        <f>IF(OR(H485="",H485="sif",H485="PM"),0,VLOOKUP(H485,[5]CU!$C$4:$H$255,6,FALSE))</f>
        <v>0</v>
      </c>
      <c r="O485" s="18"/>
      <c r="P485" s="18"/>
      <c r="Q485" s="18"/>
      <c r="R485" s="18"/>
      <c r="S485" s="24"/>
      <c r="T485" s="23" t="s">
        <v>56</v>
      </c>
      <c r="U485" s="18" t="s">
        <v>170</v>
      </c>
      <c r="V485" s="18" t="str">
        <f>IF(OR($H485="",$H485="sif",$H485="PM"),"",VLOOKUP($H485,[5]CU!$C$5:$J$255,8,FALSE))</f>
        <v/>
      </c>
      <c r="W485" s="18" t="s">
        <v>595</v>
      </c>
      <c r="X485" s="18" t="s">
        <v>609</v>
      </c>
      <c r="Y485" s="19" t="s">
        <v>32</v>
      </c>
      <c r="Z485" s="18" t="str">
        <f>A485 &amp; "-" &amp; VLOOKUP(A485,[4]PROGRAMMES!$E$1:$F$7,2,FALSE)</f>
        <v>1-Accès et équité à l'enseignement général</v>
      </c>
      <c r="AA485" s="19" t="str">
        <f>B485 &amp; "-" &amp; VLOOKUP(B485,[4]SOUSPROGRAMMES!$E$1:$F$44,2,FALSE)</f>
        <v xml:space="preserve">17- Santé et hygiène scolaires </v>
      </c>
      <c r="AB485" s="19" t="str">
        <f>C485 &amp; "-" &amp; VLOOKUP(C485,[4]RESULTATS!$E$1:$F$176,2,FALSE)</f>
        <v>172- La santé scolaire est améliorée au sein des écoles et établissements scolaires, y compris les FA</v>
      </c>
      <c r="AC485" s="20" t="str">
        <f>D485 &amp; "-" &amp; VLOOKUP(D485,[4]STRATEGIES!$E$1:$F$504,2,FALSE)</f>
        <v>1721-Mise à disposition des écoles et établissements d'infirmerie et de boîte à pharmacie</v>
      </c>
      <c r="AD485" s="21" t="str">
        <f t="shared" si="106"/>
        <v>17215-Affectation de personnels soignants aux infirmeries scolaires rénovées (par le Ministère de la santé)</v>
      </c>
    </row>
    <row r="486" spans="1:30" s="22" customFormat="1" ht="45" hidden="1" customHeight="1" x14ac:dyDescent="0.8">
      <c r="A486" s="14">
        <v>1</v>
      </c>
      <c r="B486" s="15">
        <v>17</v>
      </c>
      <c r="C486" s="15">
        <v>172</v>
      </c>
      <c r="D486" s="15">
        <v>1721</v>
      </c>
      <c r="E486" s="15">
        <v>17216</v>
      </c>
      <c r="F486" s="16" t="s">
        <v>614</v>
      </c>
      <c r="G486" s="21" t="s">
        <v>519</v>
      </c>
      <c r="H486" s="17" t="s">
        <v>615</v>
      </c>
      <c r="I486" s="18">
        <v>0</v>
      </c>
      <c r="J486" s="18">
        <f>(8294-J484)</f>
        <v>8264.1</v>
      </c>
      <c r="K486" s="18">
        <f>(8294-K484)</f>
        <v>8227.6</v>
      </c>
      <c r="L486" s="18">
        <f>(8294-L484)</f>
        <v>8201</v>
      </c>
      <c r="M486" s="18">
        <f t="shared" si="112"/>
        <v>24692.7</v>
      </c>
      <c r="N486" s="18">
        <f>IF(OR(H486="",H486="sif",H486="PM"),0,VLOOKUP(H486,[5]CU!$C$4:$H$255,6,FALSE))</f>
        <v>0.25</v>
      </c>
      <c r="O486" s="18">
        <f t="shared" ref="O486:R498" si="114">$N486*I486</f>
        <v>0</v>
      </c>
      <c r="P486" s="18">
        <f t="shared" si="114"/>
        <v>2066.0250000000001</v>
      </c>
      <c r="Q486" s="18">
        <f t="shared" si="114"/>
        <v>2056.9</v>
      </c>
      <c r="R486" s="18">
        <f t="shared" si="114"/>
        <v>2050.25</v>
      </c>
      <c r="S486" s="24">
        <f t="shared" ref="S486:S498" si="115">SUM(O486:R486)</f>
        <v>6173.1750000000002</v>
      </c>
      <c r="T486" s="23" t="s">
        <v>56</v>
      </c>
      <c r="U486" s="18" t="s">
        <v>170</v>
      </c>
      <c r="V486" s="18" t="str">
        <f>IF(OR($H486="",$H486="sif",$H486="PM"),"",VLOOKUP($H486,[5]CU!$C$5:$J$255,8,FALSE))</f>
        <v>4. Transferts et subventions</v>
      </c>
      <c r="W486" s="18" t="s">
        <v>595</v>
      </c>
      <c r="X486" s="18" t="s">
        <v>609</v>
      </c>
      <c r="Y486" s="19" t="s">
        <v>32</v>
      </c>
      <c r="Z486" s="18" t="str">
        <f>A486 &amp; "-" &amp; VLOOKUP(A486,[4]PROGRAMMES!$E$1:$F$7,2,FALSE)</f>
        <v>1-Accès et équité à l'enseignement général</v>
      </c>
      <c r="AA486" s="19" t="str">
        <f>B486 &amp; "-" &amp; VLOOKUP(B486,[4]SOUSPROGRAMMES!$E$1:$F$44,2,FALSE)</f>
        <v xml:space="preserve">17- Santé et hygiène scolaires </v>
      </c>
      <c r="AB486" s="19" t="str">
        <f>C486 &amp; "-" &amp; VLOOKUP(C486,[4]RESULTATS!$E$1:$F$176,2,FALSE)</f>
        <v>172- La santé scolaire est améliorée au sein des écoles et établissements scolaires, y compris les FA</v>
      </c>
      <c r="AC486" s="20" t="str">
        <f>D486 &amp; "-" &amp; VLOOKUP(D486,[4]STRATEGIES!$E$1:$F$504,2,FALSE)</f>
        <v>1721-Mise à disposition des écoles et établissements d'infirmerie et de boîte à pharmacie</v>
      </c>
      <c r="AD486" s="21" t="str">
        <f t="shared" si="106"/>
        <v>17216-Acquisition et distribution de boîtes à pharmacie aux écoles (pris en compte dans subventions écoles)</v>
      </c>
    </row>
    <row r="487" spans="1:30" s="22" customFormat="1" ht="45" hidden="1" customHeight="1" x14ac:dyDescent="0.8">
      <c r="A487" s="14">
        <v>1</v>
      </c>
      <c r="B487" s="15">
        <v>17</v>
      </c>
      <c r="C487" s="15">
        <v>172</v>
      </c>
      <c r="D487" s="15">
        <v>1721</v>
      </c>
      <c r="E487" s="15">
        <v>17217</v>
      </c>
      <c r="F487" s="16" t="s">
        <v>616</v>
      </c>
      <c r="G487" s="21" t="s">
        <v>51</v>
      </c>
      <c r="H487" s="17" t="s">
        <v>301</v>
      </c>
      <c r="I487" s="18">
        <v>0</v>
      </c>
      <c r="J487" s="18">
        <f>2000</f>
        <v>2000</v>
      </c>
      <c r="K487" s="18">
        <f>8228</f>
        <v>8228</v>
      </c>
      <c r="L487" s="18">
        <v>8201</v>
      </c>
      <c r="M487" s="18">
        <f t="shared" si="112"/>
        <v>18429</v>
      </c>
      <c r="N487" s="18">
        <f>IF(OR(H487="",H487="sif",H487="PM"),0,VLOOKUP(H487,[5]CU!$C$4:$H$255,6,FALSE))</f>
        <v>0.67666666666666664</v>
      </c>
      <c r="O487" s="18">
        <f t="shared" si="114"/>
        <v>0</v>
      </c>
      <c r="P487" s="18">
        <f t="shared" si="114"/>
        <v>1353.3333333333333</v>
      </c>
      <c r="Q487" s="18">
        <f t="shared" si="114"/>
        <v>5567.6133333333328</v>
      </c>
      <c r="R487" s="18">
        <f t="shared" si="114"/>
        <v>5549.3433333333332</v>
      </c>
      <c r="S487" s="24">
        <f t="shared" si="115"/>
        <v>12470.289999999999</v>
      </c>
      <c r="T487" s="23" t="s">
        <v>56</v>
      </c>
      <c r="U487" s="18" t="s">
        <v>170</v>
      </c>
      <c r="V487" s="18" t="str">
        <f>IF(OR($H487="",$H487="sif",$H487="PM"),"",VLOOKUP($H487,[5]CU!$C$5:$J$255,8,FALSE))</f>
        <v>3. Formation</v>
      </c>
      <c r="W487" s="18" t="s">
        <v>595</v>
      </c>
      <c r="X487" s="18" t="s">
        <v>595</v>
      </c>
      <c r="Y487" s="19" t="s">
        <v>32</v>
      </c>
      <c r="Z487" s="18" t="str">
        <f>A487 &amp; "-" &amp; VLOOKUP(A487,[4]PROGRAMMES!$E$1:$F$7,2,FALSE)</f>
        <v>1-Accès et équité à l'enseignement général</v>
      </c>
      <c r="AA487" s="19" t="str">
        <f>B487 &amp; "-" &amp; VLOOKUP(B487,[4]SOUSPROGRAMMES!$E$1:$F$44,2,FALSE)</f>
        <v xml:space="preserve">17- Santé et hygiène scolaires </v>
      </c>
      <c r="AB487" s="19" t="str">
        <f>C487 &amp; "-" &amp; VLOOKUP(C487,[4]RESULTATS!$E$1:$F$176,2,FALSE)</f>
        <v>172- La santé scolaire est améliorée au sein des écoles et établissements scolaires, y compris les FA</v>
      </c>
      <c r="AC487" s="20" t="str">
        <f>D487 &amp; "-" &amp; VLOOKUP(D487,[4]STRATEGIES!$E$1:$F$504,2,FALSE)</f>
        <v>1721-Mise à disposition des écoles et établissements d'infirmerie et de boîte à pharmacie</v>
      </c>
      <c r="AD487" s="21" t="str">
        <f t="shared" si="106"/>
        <v>17217-Formation des enseignants des écoles et établissements à faible effectif aux soins de secours</v>
      </c>
    </row>
    <row r="488" spans="1:30" ht="45" hidden="1" customHeight="1" x14ac:dyDescent="0.8">
      <c r="A488" s="25">
        <v>1</v>
      </c>
      <c r="B488" s="16">
        <v>17</v>
      </c>
      <c r="C488" s="16">
        <v>172</v>
      </c>
      <c r="D488" s="16">
        <v>1721</v>
      </c>
      <c r="E488" s="16">
        <v>17218</v>
      </c>
      <c r="F488" s="16" t="s">
        <v>617</v>
      </c>
      <c r="G488" s="21" t="s">
        <v>177</v>
      </c>
      <c r="H488" s="21" t="s">
        <v>59</v>
      </c>
      <c r="I488" s="19">
        <v>0</v>
      </c>
      <c r="J488" s="19"/>
      <c r="K488" s="19">
        <f>8*5*10*2</f>
        <v>800</v>
      </c>
      <c r="L488" s="19">
        <f>8*5*10</f>
        <v>400</v>
      </c>
      <c r="M488" s="19">
        <f t="shared" si="112"/>
        <v>1200</v>
      </c>
      <c r="N488" s="19">
        <f>IF(OR(H488="",H488="sif",H488="PM"),0,VLOOKUP(H488,[5]CU!$C$4:$H$255,6,FALSE))</f>
        <v>0.8177777777777776</v>
      </c>
      <c r="O488" s="19">
        <f t="shared" si="114"/>
        <v>0</v>
      </c>
      <c r="P488" s="19">
        <f t="shared" si="114"/>
        <v>0</v>
      </c>
      <c r="Q488" s="19">
        <f>$N488*K488</f>
        <v>654.22222222222206</v>
      </c>
      <c r="R488" s="19">
        <f t="shared" si="114"/>
        <v>327.11111111111103</v>
      </c>
      <c r="S488" s="31">
        <f t="shared" si="115"/>
        <v>981.33333333333303</v>
      </c>
      <c r="T488" s="26" t="s">
        <v>169</v>
      </c>
      <c r="U488" s="19" t="s">
        <v>170</v>
      </c>
      <c r="V488" s="19" t="str">
        <f>IF(OR($H488="",$H488="sif",$H488="PM"),"",VLOOKUP($H488,[5]CU!$C$5:$J$255,8,FALSE))</f>
        <v>3. Dépenses de fonctionnement</v>
      </c>
      <c r="W488" s="19" t="s">
        <v>595</v>
      </c>
      <c r="X488" s="19" t="s">
        <v>578</v>
      </c>
      <c r="Y488" s="19" t="s">
        <v>32</v>
      </c>
      <c r="Z488" s="19" t="str">
        <f>A488 &amp; "-" &amp; VLOOKUP(A488,[4]PROGRAMMES!$E$1:$F$7,2,FALSE)</f>
        <v>1-Accès et équité à l'enseignement général</v>
      </c>
      <c r="AA488" s="19" t="str">
        <f>B488 &amp; "-" &amp; VLOOKUP(B488,[4]SOUSPROGRAMMES!$E$1:$F$44,2,FALSE)</f>
        <v xml:space="preserve">17- Santé et hygiène scolaires </v>
      </c>
      <c r="AB488" s="19" t="str">
        <f>C488 &amp; "-" &amp; VLOOKUP(C488,[4]RESULTATS!$E$1:$F$176,2,FALSE)</f>
        <v>172- La santé scolaire est améliorée au sein des écoles et établissements scolaires, y compris les FA</v>
      </c>
      <c r="AC488" s="20" t="str">
        <f>D488 &amp; "-" &amp; VLOOKUP(D488,[4]STRATEGIES!$E$1:$F$504,2,FALSE)</f>
        <v>1721-Mise à disposition des écoles et établissements d'infirmerie et de boîte à pharmacie</v>
      </c>
      <c r="AD488" s="21" t="str">
        <f t="shared" si="106"/>
        <v>17218-Suivi/évaluation du fonctionnement des infirmeries et boîtes à pharmacie scolaires</v>
      </c>
    </row>
    <row r="489" spans="1:30" s="22" customFormat="1" ht="45" hidden="1" customHeight="1" x14ac:dyDescent="0.8">
      <c r="A489" s="14">
        <v>1</v>
      </c>
      <c r="B489" s="15">
        <v>17</v>
      </c>
      <c r="C489" s="15">
        <v>172</v>
      </c>
      <c r="D489" s="15">
        <v>1722</v>
      </c>
      <c r="E489" s="15">
        <v>1722</v>
      </c>
      <c r="F489" s="16" t="s">
        <v>618</v>
      </c>
      <c r="G489" s="17"/>
      <c r="H489" s="17"/>
      <c r="I489" s="18">
        <v>0</v>
      </c>
      <c r="J489" s="18"/>
      <c r="K489" s="18"/>
      <c r="L489" s="18"/>
      <c r="M489" s="18"/>
      <c r="N489" s="18"/>
      <c r="O489" s="18"/>
      <c r="P489" s="18"/>
      <c r="Q489" s="18"/>
      <c r="R489" s="18"/>
      <c r="S489" s="24"/>
      <c r="T489" s="18"/>
      <c r="U489" s="18"/>
      <c r="V489" s="18"/>
      <c r="W489" s="18"/>
      <c r="X489" s="18"/>
      <c r="Y489" s="19" t="s">
        <v>32</v>
      </c>
      <c r="Z489" s="18" t="str">
        <f>A489 &amp; "-" &amp; VLOOKUP(A489,[4]PROGRAMMES!$E$1:$F$7,2,FALSE)</f>
        <v>1-Accès et équité à l'enseignement général</v>
      </c>
      <c r="AA489" s="19" t="str">
        <f>B489 &amp; "-" &amp; VLOOKUP(B489,[4]SOUSPROGRAMMES!$E$1:$F$44,2,FALSE)</f>
        <v xml:space="preserve">17- Santé et hygiène scolaires </v>
      </c>
      <c r="AB489" s="19" t="str">
        <f>C489 &amp; "-" &amp; VLOOKUP(C489,[4]RESULTATS!$E$1:$F$176,2,FALSE)</f>
        <v>172- La santé scolaire est améliorée au sein des écoles et établissements scolaires, y compris les FA</v>
      </c>
      <c r="AC489" s="20" t="str">
        <f>D489 &amp; "-" &amp; VLOOKUP(D489,[4]STRATEGIES!$E$1:$F$504,2,FALSE)</f>
        <v>1722-Prévention et lutte contre les maladies en milieu scolaire</v>
      </c>
      <c r="AD489" s="21" t="str">
        <f t="shared" si="106"/>
        <v>1722-Prévention et lutte contre les maladies en milieu scolaire</v>
      </c>
    </row>
    <row r="490" spans="1:30" s="22" customFormat="1" ht="45" hidden="1" customHeight="1" x14ac:dyDescent="0.8">
      <c r="A490" s="14">
        <v>1</v>
      </c>
      <c r="B490" s="15">
        <v>17</v>
      </c>
      <c r="C490" s="15">
        <v>172</v>
      </c>
      <c r="D490" s="15">
        <v>1722</v>
      </c>
      <c r="E490" s="15">
        <v>17221</v>
      </c>
      <c r="F490" s="16" t="s">
        <v>619</v>
      </c>
      <c r="G490" s="21" t="s">
        <v>620</v>
      </c>
      <c r="H490" s="17" t="s">
        <v>73</v>
      </c>
      <c r="I490" s="18">
        <v>0</v>
      </c>
      <c r="J490" s="18">
        <f>(1*38*2*15)*40%</f>
        <v>456</v>
      </c>
      <c r="K490" s="18">
        <f>(1*38*2*15)*40%</f>
        <v>456</v>
      </c>
      <c r="L490" s="18">
        <f>(1*38*2*15)*40%</f>
        <v>456</v>
      </c>
      <c r="M490" s="18">
        <f>SUM(I490:L490)</f>
        <v>1368</v>
      </c>
      <c r="N490" s="18">
        <f>IF(OR(H490="",H490="sif",H490="PM"),0,VLOOKUP(H490,[5]CU!$C$4:$H$255,6,FALSE))</f>
        <v>0.4</v>
      </c>
      <c r="O490" s="18">
        <f>$N490*I490</f>
        <v>0</v>
      </c>
      <c r="P490" s="18">
        <f>$N490*J490</f>
        <v>182.4</v>
      </c>
      <c r="Q490" s="18">
        <f>$N490*K490</f>
        <v>182.4</v>
      </c>
      <c r="R490" s="18">
        <f>$N490*L490</f>
        <v>182.4</v>
      </c>
      <c r="S490" s="24">
        <f>SUM(O490:R490)</f>
        <v>547.20000000000005</v>
      </c>
      <c r="T490" s="23" t="s">
        <v>56</v>
      </c>
      <c r="U490" s="18" t="s">
        <v>170</v>
      </c>
      <c r="V490" s="18" t="str">
        <f>IF(OR($H490="",$H490="sif",$H490="PM"),"",VLOOKUP($H490,[5]CU!$C$5:$J$255,8,FALSE))</f>
        <v>3. Dépenses de fonctionnement</v>
      </c>
      <c r="W490" s="18" t="s">
        <v>595</v>
      </c>
      <c r="X490" s="18" t="s">
        <v>595</v>
      </c>
      <c r="Y490" s="19" t="s">
        <v>32</v>
      </c>
      <c r="Z490" s="18" t="str">
        <f>A490 &amp; "-" &amp; VLOOKUP(A490,[4]PROGRAMMES!$E$1:$F$7,2,FALSE)</f>
        <v>1-Accès et équité à l'enseignement général</v>
      </c>
      <c r="AA490" s="19" t="str">
        <f>B490 &amp; "-" &amp; VLOOKUP(B490,[4]SOUSPROGRAMMES!$E$1:$F$44,2,FALSE)</f>
        <v xml:space="preserve">17- Santé et hygiène scolaires </v>
      </c>
      <c r="AB490" s="19" t="str">
        <f>C490 &amp; "-" &amp; VLOOKUP(C490,[4]RESULTATS!$E$1:$F$176,2,FALSE)</f>
        <v>172- La santé scolaire est améliorée au sein des écoles et établissements scolaires, y compris les FA</v>
      </c>
      <c r="AC490" s="20" t="str">
        <f>D490 &amp; "-" &amp; VLOOKUP(D490,[4]STRATEGIES!$E$1:$F$504,2,FALSE)</f>
        <v>1722-Prévention et lutte contre les maladies en milieu scolaire</v>
      </c>
      <c r="AD490" s="21" t="str">
        <f t="shared" si="106"/>
        <v>17221-Sensibilisation et information des enseignants, élèves et parents d'élèves sur l'organisation des visites médicales, des campagnes de déparasitage</v>
      </c>
    </row>
    <row r="491" spans="1:30" s="22" customFormat="1" ht="45" hidden="1" customHeight="1" x14ac:dyDescent="0.8">
      <c r="A491" s="14">
        <v>1</v>
      </c>
      <c r="B491" s="15">
        <v>17</v>
      </c>
      <c r="C491" s="15">
        <v>172</v>
      </c>
      <c r="D491" s="15">
        <v>1722</v>
      </c>
      <c r="E491" s="15">
        <v>17221</v>
      </c>
      <c r="F491" s="16" t="s">
        <v>619</v>
      </c>
      <c r="G491" s="21" t="s">
        <v>620</v>
      </c>
      <c r="H491" s="17" t="s">
        <v>73</v>
      </c>
      <c r="I491" s="18">
        <v>0</v>
      </c>
      <c r="J491" s="18">
        <f>(1*38*2*15)*60%</f>
        <v>684</v>
      </c>
      <c r="K491" s="18">
        <f>(1*38*2*15)*60%</f>
        <v>684</v>
      </c>
      <c r="L491" s="18">
        <f>(1*38*2*15)*60%</f>
        <v>684</v>
      </c>
      <c r="M491" s="18">
        <f t="shared" si="112"/>
        <v>2052</v>
      </c>
      <c r="N491" s="18">
        <f>IF(OR(H491="",H491="sif",H491="PM"),0,VLOOKUP(H491,[5]CU!$C$4:$H$255,6,FALSE))</f>
        <v>0.4</v>
      </c>
      <c r="O491" s="18">
        <f t="shared" si="114"/>
        <v>0</v>
      </c>
      <c r="P491" s="18">
        <f t="shared" si="114"/>
        <v>273.60000000000002</v>
      </c>
      <c r="Q491" s="18">
        <f t="shared" si="114"/>
        <v>273.60000000000002</v>
      </c>
      <c r="R491" s="18">
        <f t="shared" si="114"/>
        <v>273.60000000000002</v>
      </c>
      <c r="S491" s="24">
        <f t="shared" si="115"/>
        <v>820.80000000000007</v>
      </c>
      <c r="T491" s="23" t="s">
        <v>118</v>
      </c>
      <c r="U491" s="18" t="s">
        <v>170</v>
      </c>
      <c r="V491" s="18" t="str">
        <f>IF(OR($H491="",$H491="sif",$H491="PM"),"",VLOOKUP($H491,[5]CU!$C$5:$J$255,8,FALSE))</f>
        <v>3. Dépenses de fonctionnement</v>
      </c>
      <c r="W491" s="18" t="s">
        <v>595</v>
      </c>
      <c r="X491" s="18" t="s">
        <v>595</v>
      </c>
      <c r="Y491" s="19" t="s">
        <v>32</v>
      </c>
      <c r="Z491" s="18" t="str">
        <f>A491 &amp; "-" &amp; VLOOKUP(A491,[4]PROGRAMMES!$E$1:$F$7,2,FALSE)</f>
        <v>1-Accès et équité à l'enseignement général</v>
      </c>
      <c r="AA491" s="19" t="str">
        <f>B491 &amp; "-" &amp; VLOOKUP(B491,[4]SOUSPROGRAMMES!$E$1:$F$44,2,FALSE)</f>
        <v xml:space="preserve">17- Santé et hygiène scolaires </v>
      </c>
      <c r="AB491" s="19" t="str">
        <f>C491 &amp; "-" &amp; VLOOKUP(C491,[4]RESULTATS!$E$1:$F$176,2,FALSE)</f>
        <v>172- La santé scolaire est améliorée au sein des écoles et établissements scolaires, y compris les FA</v>
      </c>
      <c r="AC491" s="20" t="str">
        <f>D491 &amp; "-" &amp; VLOOKUP(D491,[4]STRATEGIES!$E$1:$F$504,2,FALSE)</f>
        <v>1722-Prévention et lutte contre les maladies en milieu scolaire</v>
      </c>
      <c r="AD491" s="21" t="str">
        <f t="shared" si="106"/>
        <v>17221-Sensibilisation et information des enseignants, élèves et parents d'élèves sur l'organisation des visites médicales, des campagnes de déparasitage</v>
      </c>
    </row>
    <row r="492" spans="1:30" s="22" customFormat="1" ht="60" hidden="1" customHeight="1" x14ac:dyDescent="0.8">
      <c r="A492" s="14">
        <v>1</v>
      </c>
      <c r="B492" s="15">
        <v>17</v>
      </c>
      <c r="C492" s="15">
        <v>172</v>
      </c>
      <c r="D492" s="15">
        <v>1722</v>
      </c>
      <c r="E492" s="15">
        <v>17222</v>
      </c>
      <c r="F492" s="16" t="s">
        <v>621</v>
      </c>
      <c r="G492" s="21" t="s">
        <v>622</v>
      </c>
      <c r="H492" s="17" t="s">
        <v>623</v>
      </c>
      <c r="I492" s="18">
        <v>0</v>
      </c>
      <c r="J492" s="18">
        <v>46428.571428571398</v>
      </c>
      <c r="K492" s="18">
        <f>J492*1.05</f>
        <v>48749.999999999971</v>
      </c>
      <c r="L492" s="18">
        <f>K492*1.05</f>
        <v>51187.499999999971</v>
      </c>
      <c r="M492" s="18">
        <f t="shared" si="112"/>
        <v>146366.07142857133</v>
      </c>
      <c r="N492" s="18">
        <f>IF(OR(H492="",H492="sif",H492="PM"),0,VLOOKUP(H492,[5]CU!$C$4:$H$255,6,FALSE))</f>
        <v>0.05</v>
      </c>
      <c r="O492" s="18">
        <f t="shared" si="114"/>
        <v>0</v>
      </c>
      <c r="P492" s="18">
        <f t="shared" si="114"/>
        <v>2321.4285714285702</v>
      </c>
      <c r="Q492" s="18">
        <f t="shared" si="114"/>
        <v>2437.4999999999986</v>
      </c>
      <c r="R492" s="18">
        <f t="shared" si="114"/>
        <v>2559.3749999999986</v>
      </c>
      <c r="S492" s="24">
        <f t="shared" si="115"/>
        <v>7318.303571428567</v>
      </c>
      <c r="T492" s="23" t="s">
        <v>56</v>
      </c>
      <c r="U492" s="18" t="s">
        <v>170</v>
      </c>
      <c r="V492" s="18" t="str">
        <f>IF(OR($H492="",$H492="sif",$H492="PM"),"",VLOOKUP($H492,[5]CU!$C$5:$J$255,8,FALSE))</f>
        <v>3. Dépenses de fonctionnement</v>
      </c>
      <c r="W492" s="18" t="s">
        <v>595</v>
      </c>
      <c r="X492" s="18" t="s">
        <v>624</v>
      </c>
      <c r="Y492" s="19" t="s">
        <v>32</v>
      </c>
      <c r="Z492" s="18" t="str">
        <f>A492 &amp; "-" &amp; VLOOKUP(A492,[4]PROGRAMMES!$E$1:$F$7,2,FALSE)</f>
        <v>1-Accès et équité à l'enseignement général</v>
      </c>
      <c r="AA492" s="19" t="str">
        <f>B492 &amp; "-" &amp; VLOOKUP(B492,[4]SOUSPROGRAMMES!$E$1:$F$44,2,FALSE)</f>
        <v xml:space="preserve">17- Santé et hygiène scolaires </v>
      </c>
      <c r="AB492" s="19" t="str">
        <f>C492 &amp; "-" &amp; VLOOKUP(C492,[4]RESULTATS!$E$1:$F$176,2,FALSE)</f>
        <v>172- La santé scolaire est améliorée au sein des écoles et établissements scolaires, y compris les FA</v>
      </c>
      <c r="AC492" s="20" t="str">
        <f>D492 &amp; "-" &amp; VLOOKUP(D492,[4]STRATEGIES!$E$1:$F$504,2,FALSE)</f>
        <v>1722-Prévention et lutte contre les maladies en milieu scolaire</v>
      </c>
      <c r="AD492" s="21" t="str">
        <f t="shared" si="106"/>
        <v>17222-Organisation de visites médicales annuelles en faveur des élèves (dans les écoles pour le primaire et dans les structures sanitaires pour le secondaire, un agent effectue en moyenne 28 enfants par jour)</v>
      </c>
    </row>
    <row r="493" spans="1:30" s="22" customFormat="1" ht="45" hidden="1" customHeight="1" x14ac:dyDescent="0.8">
      <c r="A493" s="14">
        <v>1</v>
      </c>
      <c r="B493" s="15">
        <v>17</v>
      </c>
      <c r="C493" s="15">
        <v>172</v>
      </c>
      <c r="D493" s="15">
        <v>1722</v>
      </c>
      <c r="E493" s="15">
        <v>17223</v>
      </c>
      <c r="F493" s="16" t="s">
        <v>625</v>
      </c>
      <c r="G493" s="21" t="s">
        <v>626</v>
      </c>
      <c r="H493" s="17" t="s">
        <v>627</v>
      </c>
      <c r="I493" s="18">
        <v>0</v>
      </c>
      <c r="J493" s="18">
        <f>(1622314+11612+47231)*50.01%</f>
        <v>840746.61569999997</v>
      </c>
      <c r="K493" s="18">
        <f>(1680583+24875+51525)*50.01%</f>
        <v>878667.19829999993</v>
      </c>
      <c r="L493" s="18">
        <f>(1733572+38138+55818)*50.01%</f>
        <v>913946.75280000002</v>
      </c>
      <c r="M493" s="18">
        <f t="shared" si="112"/>
        <v>2633360.5667999997</v>
      </c>
      <c r="N493" s="18">
        <f>IF(OR(H493="",H493="sif",H493="PM"),0,VLOOKUP(H493,[5]CU!$C$4:$H$255,6,FALSE))</f>
        <v>0.05</v>
      </c>
      <c r="O493" s="18">
        <f t="shared" si="114"/>
        <v>0</v>
      </c>
      <c r="P493" s="18">
        <f t="shared" si="114"/>
        <v>42037.330784999998</v>
      </c>
      <c r="Q493" s="18">
        <f t="shared" si="114"/>
        <v>43933.359915000001</v>
      </c>
      <c r="R493" s="18">
        <f t="shared" si="114"/>
        <v>45697.337640000005</v>
      </c>
      <c r="S493" s="24">
        <f t="shared" si="115"/>
        <v>131668.02834000002</v>
      </c>
      <c r="T493" s="23" t="s">
        <v>56</v>
      </c>
      <c r="U493" s="18" t="s">
        <v>170</v>
      </c>
      <c r="V493" s="18" t="str">
        <f>IF(OR($H493="",$H493="sif",$H493="PM"),"",VLOOKUP($H493,[5]CU!$C$5:$J$255,8,FALSE))</f>
        <v>4. Transferts et subventions</v>
      </c>
      <c r="W493" s="18" t="s">
        <v>595</v>
      </c>
      <c r="X493" s="18" t="s">
        <v>609</v>
      </c>
      <c r="Y493" s="19" t="s">
        <v>32</v>
      </c>
      <c r="Z493" s="18" t="str">
        <f>A493 &amp; "-" &amp; VLOOKUP(A493,[4]PROGRAMMES!$E$1:$F$7,2,FALSE)</f>
        <v>1-Accès et équité à l'enseignement général</v>
      </c>
      <c r="AA493" s="19" t="str">
        <f>B493 &amp; "-" &amp; VLOOKUP(B493,[4]SOUSPROGRAMMES!$E$1:$F$44,2,FALSE)</f>
        <v xml:space="preserve">17- Santé et hygiène scolaires </v>
      </c>
      <c r="AB493" s="19" t="str">
        <f>C493 &amp; "-" &amp; VLOOKUP(C493,[4]RESULTATS!$E$1:$F$176,2,FALSE)</f>
        <v>172- La santé scolaire est améliorée au sein des écoles et établissements scolaires, y compris les FA</v>
      </c>
      <c r="AC493" s="20" t="str">
        <f>D493 &amp; "-" &amp; VLOOKUP(D493,[4]STRATEGIES!$E$1:$F$504,2,FALSE)</f>
        <v>1722-Prévention et lutte contre les maladies en milieu scolaire</v>
      </c>
      <c r="AD493" s="21" t="str">
        <f t="shared" si="106"/>
        <v>17223-Acquisition de déparasitant en faveur des élèves</v>
      </c>
    </row>
    <row r="494" spans="1:30" s="22" customFormat="1" ht="45" hidden="1" customHeight="1" x14ac:dyDescent="0.8">
      <c r="A494" s="14">
        <v>1</v>
      </c>
      <c r="B494" s="15">
        <v>17</v>
      </c>
      <c r="C494" s="15">
        <v>172</v>
      </c>
      <c r="D494" s="15">
        <v>1722</v>
      </c>
      <c r="E494" s="15">
        <v>17223</v>
      </c>
      <c r="F494" s="16" t="s">
        <v>625</v>
      </c>
      <c r="G494" s="21" t="s">
        <v>626</v>
      </c>
      <c r="H494" s="17" t="s">
        <v>627</v>
      </c>
      <c r="I494" s="18">
        <v>0</v>
      </c>
      <c r="J494" s="18">
        <f>(1622314+11612+47231)*17.99%</f>
        <v>302440.14429999999</v>
      </c>
      <c r="K494" s="18">
        <f>(1680583+24875+51525)*17.99%</f>
        <v>316081.24169999996</v>
      </c>
      <c r="L494" s="18">
        <f>(1733572+38138+55818)*17.99%</f>
        <v>328772.28719999996</v>
      </c>
      <c r="M494" s="18">
        <f>SUM(I494:L494)</f>
        <v>947293.67319999984</v>
      </c>
      <c r="N494" s="18">
        <f>IF(OR(H494="",H494="sif",H494="PM"),0,VLOOKUP(H494,[5]CU!$C$4:$H$255,6,FALSE))</f>
        <v>0.05</v>
      </c>
      <c r="O494" s="18">
        <f>$N494*I494</f>
        <v>0</v>
      </c>
      <c r="P494" s="18">
        <f>$N494*J494</f>
        <v>15122.007215</v>
      </c>
      <c r="Q494" s="18">
        <f>$N494*K494</f>
        <v>15804.062084999998</v>
      </c>
      <c r="R494" s="18">
        <f>$N494*L494</f>
        <v>16438.61436</v>
      </c>
      <c r="S494" s="24">
        <f>SUM(O494:R494)</f>
        <v>47364.683659999995</v>
      </c>
      <c r="T494" s="23" t="s">
        <v>118</v>
      </c>
      <c r="U494" s="18" t="s">
        <v>170</v>
      </c>
      <c r="V494" s="18" t="str">
        <f>IF(OR($H494="",$H494="sif",$H494="PM"),"",VLOOKUP($H494,[5]CU!$C$5:$J$255,8,FALSE))</f>
        <v>4. Transferts et subventions</v>
      </c>
      <c r="W494" s="18" t="s">
        <v>595</v>
      </c>
      <c r="X494" s="18" t="s">
        <v>609</v>
      </c>
      <c r="Y494" s="19" t="s">
        <v>32</v>
      </c>
      <c r="Z494" s="18" t="str">
        <f>A494 &amp; "-" &amp; VLOOKUP(A494,[4]PROGRAMMES!$E$1:$F$7,2,FALSE)</f>
        <v>1-Accès et équité à l'enseignement général</v>
      </c>
      <c r="AA494" s="19" t="str">
        <f>B494 &amp; "-" &amp; VLOOKUP(B494,[4]SOUSPROGRAMMES!$E$1:$F$44,2,FALSE)</f>
        <v xml:space="preserve">17- Santé et hygiène scolaires </v>
      </c>
      <c r="AB494" s="19" t="str">
        <f>C494 &amp; "-" &amp; VLOOKUP(C494,[4]RESULTATS!$E$1:$F$176,2,FALSE)</f>
        <v>172- La santé scolaire est améliorée au sein des écoles et établissements scolaires, y compris les FA</v>
      </c>
      <c r="AC494" s="20" t="str">
        <f>D494 &amp; "-" &amp; VLOOKUP(D494,[4]STRATEGIES!$E$1:$F$504,2,FALSE)</f>
        <v>1722-Prévention et lutte contre les maladies en milieu scolaire</v>
      </c>
      <c r="AD494" s="21" t="str">
        <f t="shared" si="106"/>
        <v>17223-Acquisition de déparasitant en faveur des élèves</v>
      </c>
    </row>
    <row r="495" spans="1:30" s="22" customFormat="1" ht="45" hidden="1" customHeight="1" x14ac:dyDescent="0.8">
      <c r="A495" s="14">
        <v>1</v>
      </c>
      <c r="B495" s="15">
        <v>17</v>
      </c>
      <c r="C495" s="15">
        <v>172</v>
      </c>
      <c r="D495" s="15">
        <v>1722</v>
      </c>
      <c r="E495" s="15">
        <v>17223</v>
      </c>
      <c r="F495" s="16" t="s">
        <v>625</v>
      </c>
      <c r="G495" s="21" t="s">
        <v>626</v>
      </c>
      <c r="H495" s="17" t="s">
        <v>627</v>
      </c>
      <c r="I495" s="18">
        <v>0</v>
      </c>
      <c r="J495" s="18">
        <f>(1622314+11612+47231)*32%</f>
        <v>537970.24</v>
      </c>
      <c r="K495" s="18">
        <f>(1680583+24875+51525)*32%</f>
        <v>562234.56000000006</v>
      </c>
      <c r="L495" s="18">
        <f>(1733572+38138+55818)*32%</f>
        <v>584808.95999999996</v>
      </c>
      <c r="M495" s="18">
        <f t="shared" si="112"/>
        <v>1685013.76</v>
      </c>
      <c r="N495" s="18">
        <f>IF(OR(H495="",H495="sif",H495="PM"),0,VLOOKUP(H495,[5]CU!$C$4:$H$255,6,FALSE))</f>
        <v>0.05</v>
      </c>
      <c r="O495" s="18">
        <f t="shared" si="114"/>
        <v>0</v>
      </c>
      <c r="P495" s="18">
        <f t="shared" si="114"/>
        <v>26898.512000000002</v>
      </c>
      <c r="Q495" s="18">
        <f t="shared" si="114"/>
        <v>28111.728000000003</v>
      </c>
      <c r="R495" s="18">
        <f t="shared" si="114"/>
        <v>29240.448</v>
      </c>
      <c r="S495" s="24">
        <f t="shared" si="115"/>
        <v>84250.688000000009</v>
      </c>
      <c r="T495" s="23" t="s">
        <v>67</v>
      </c>
      <c r="U495" s="18" t="s">
        <v>170</v>
      </c>
      <c r="V495" s="18" t="str">
        <f>IF(OR($H495="",$H495="sif",$H495="PM"),"",VLOOKUP($H495,[5]CU!$C$5:$J$255,8,FALSE))</f>
        <v>4. Transferts et subventions</v>
      </c>
      <c r="W495" s="18" t="s">
        <v>595</v>
      </c>
      <c r="X495" s="18" t="s">
        <v>609</v>
      </c>
      <c r="Y495" s="19" t="s">
        <v>32</v>
      </c>
      <c r="Z495" s="18" t="str">
        <f>A495 &amp; "-" &amp; VLOOKUP(A495,[4]PROGRAMMES!$E$1:$F$7,2,FALSE)</f>
        <v>1-Accès et équité à l'enseignement général</v>
      </c>
      <c r="AA495" s="19" t="str">
        <f>B495 &amp; "-" &amp; VLOOKUP(B495,[4]SOUSPROGRAMMES!$E$1:$F$44,2,FALSE)</f>
        <v xml:space="preserve">17- Santé et hygiène scolaires </v>
      </c>
      <c r="AB495" s="19" t="str">
        <f>C495 &amp; "-" &amp; VLOOKUP(C495,[4]RESULTATS!$E$1:$F$176,2,FALSE)</f>
        <v>172- La santé scolaire est améliorée au sein des écoles et établissements scolaires, y compris les FA</v>
      </c>
      <c r="AC495" s="20" t="str">
        <f>D495 &amp; "-" &amp; VLOOKUP(D495,[4]STRATEGIES!$E$1:$F$504,2,FALSE)</f>
        <v>1722-Prévention et lutte contre les maladies en milieu scolaire</v>
      </c>
      <c r="AD495" s="21" t="str">
        <f t="shared" si="106"/>
        <v>17223-Acquisition de déparasitant en faveur des élèves</v>
      </c>
    </row>
    <row r="496" spans="1:30" s="22" customFormat="1" ht="45" hidden="1" customHeight="1" x14ac:dyDescent="0.8">
      <c r="A496" s="14">
        <v>1</v>
      </c>
      <c r="B496" s="15">
        <v>17</v>
      </c>
      <c r="C496" s="15">
        <v>172</v>
      </c>
      <c r="D496" s="15">
        <v>1722</v>
      </c>
      <c r="E496" s="15">
        <v>17224</v>
      </c>
      <c r="F496" s="16" t="s">
        <v>628</v>
      </c>
      <c r="G496" s="21" t="s">
        <v>626</v>
      </c>
      <c r="H496" s="17" t="s">
        <v>629</v>
      </c>
      <c r="I496" s="18">
        <v>0</v>
      </c>
      <c r="J496" s="18">
        <f>(J29+J34+J35+J100+J228)*96.03%</f>
        <v>338.97053519999997</v>
      </c>
      <c r="K496" s="18">
        <f>(K29+K34+K35+K100+K228)*96.03%</f>
        <v>217.02780000000001</v>
      </c>
      <c r="L496" s="18">
        <f>(L29+L34+L35+L100+L228)*96.03%</f>
        <v>215.10720000000001</v>
      </c>
      <c r="M496" s="18">
        <f t="shared" si="112"/>
        <v>771.10553519999996</v>
      </c>
      <c r="N496" s="18">
        <f>IF(OR(H496="",H496="sif",H496="PM"),0,VLOOKUP(H496,[5]CU!$C$4:$H$255,6,FALSE))</f>
        <v>0.05</v>
      </c>
      <c r="O496" s="18">
        <f t="shared" si="114"/>
        <v>0</v>
      </c>
      <c r="P496" s="18">
        <f t="shared" si="114"/>
        <v>16.94852676</v>
      </c>
      <c r="Q496" s="18">
        <f>$N496*K496</f>
        <v>10.851390000000002</v>
      </c>
      <c r="R496" s="18">
        <f t="shared" si="114"/>
        <v>10.755360000000001</v>
      </c>
      <c r="S496" s="24">
        <f t="shared" si="115"/>
        <v>38.555276760000005</v>
      </c>
      <c r="T496" s="23" t="s">
        <v>56</v>
      </c>
      <c r="U496" s="18" t="s">
        <v>170</v>
      </c>
      <c r="V496" s="18" t="str">
        <f>IF(OR($H496="",$H496="sif",$H496="PM"),"",VLOOKUP($H496,[5]CU!$C$5:$J$255,8,FALSE))</f>
        <v>4. Transferts et subventions</v>
      </c>
      <c r="W496" s="18" t="s">
        <v>595</v>
      </c>
      <c r="X496" s="18" t="s">
        <v>609</v>
      </c>
      <c r="Y496" s="19" t="s">
        <v>32</v>
      </c>
      <c r="Z496" s="18" t="str">
        <f>A496 &amp; "-" &amp; VLOOKUP(A496,[4]PROGRAMMES!$E$1:$F$7,2,FALSE)</f>
        <v>1-Accès et équité à l'enseignement général</v>
      </c>
      <c r="AA496" s="19" t="str">
        <f>B496 &amp; "-" &amp; VLOOKUP(B496,[4]SOUSPROGRAMMES!$E$1:$F$44,2,FALSE)</f>
        <v xml:space="preserve">17- Santé et hygiène scolaires </v>
      </c>
      <c r="AB496" s="19" t="str">
        <f>C496 &amp; "-" &amp; VLOOKUP(C496,[4]RESULTATS!$E$1:$F$176,2,FALSE)</f>
        <v>172- La santé scolaire est améliorée au sein des écoles et établissements scolaires, y compris les FA</v>
      </c>
      <c r="AC496" s="20" t="str">
        <f>D496 &amp; "-" &amp; VLOOKUP(D496,[4]STRATEGIES!$E$1:$F$504,2,FALSE)</f>
        <v>1722-Prévention et lutte contre les maladies en milieu scolaire</v>
      </c>
      <c r="AD496" s="21" t="str">
        <f t="shared" si="106"/>
        <v>17224- Acquisition de micronutriments en faveur des élèves du préscolaire et du primaire (des cantines)</v>
      </c>
    </row>
    <row r="497" spans="1:30" s="22" customFormat="1" ht="45" hidden="1" customHeight="1" x14ac:dyDescent="0.8">
      <c r="A497" s="14">
        <v>1</v>
      </c>
      <c r="B497" s="15">
        <v>17</v>
      </c>
      <c r="C497" s="15">
        <v>172</v>
      </c>
      <c r="D497" s="15">
        <v>1722</v>
      </c>
      <c r="E497" s="15">
        <v>17224</v>
      </c>
      <c r="F497" s="16" t="s">
        <v>628</v>
      </c>
      <c r="G497" s="21" t="s">
        <v>626</v>
      </c>
      <c r="H497" s="17" t="s">
        <v>629</v>
      </c>
      <c r="I497" s="18">
        <v>0</v>
      </c>
      <c r="J497" s="18">
        <f>(J29+J34+J35+J100+J228)*0.02%</f>
        <v>7.0596800000000001E-2</v>
      </c>
      <c r="K497" s="18">
        <f>(K29+K34+K35+K100+K228)*0.02%</f>
        <v>4.5200000000000004E-2</v>
      </c>
      <c r="L497" s="18">
        <f>(L29+L34+L35+L100+L228)*0.02%</f>
        <v>4.48E-2</v>
      </c>
      <c r="M497" s="18">
        <f>SUM(I497:L497)</f>
        <v>0.16059680000000001</v>
      </c>
      <c r="N497" s="18">
        <f>IF(OR(H497="",H497="sif",H497="PM"),0,VLOOKUP(H497,[5]CU!$C$4:$H$255,6,FALSE))</f>
        <v>0.05</v>
      </c>
      <c r="O497" s="18">
        <f>$N497*I497</f>
        <v>0</v>
      </c>
      <c r="P497" s="18">
        <f>$N497*J497</f>
        <v>3.5298400000000002E-3</v>
      </c>
      <c r="Q497" s="18">
        <f>$N497*K497</f>
        <v>2.2600000000000003E-3</v>
      </c>
      <c r="R497" s="18">
        <f>$N497*L497</f>
        <v>2.2400000000000002E-3</v>
      </c>
      <c r="S497" s="24">
        <f>SUM(O497:R497)</f>
        <v>8.0298400000000016E-3</v>
      </c>
      <c r="T497" s="23" t="s">
        <v>118</v>
      </c>
      <c r="U497" s="18" t="s">
        <v>170</v>
      </c>
      <c r="V497" s="18" t="str">
        <f>IF(OR($H497="",$H497="sif",$H497="PM"),"",VLOOKUP($H497,[5]CU!$C$5:$J$255,8,FALSE))</f>
        <v>4. Transferts et subventions</v>
      </c>
      <c r="W497" s="18" t="s">
        <v>595</v>
      </c>
      <c r="X497" s="18" t="s">
        <v>609</v>
      </c>
      <c r="Y497" s="19" t="s">
        <v>32</v>
      </c>
      <c r="Z497" s="18" t="str">
        <f>A497 &amp; "-" &amp; VLOOKUP(A497,[4]PROGRAMMES!$E$1:$F$7,2,FALSE)</f>
        <v>1-Accès et équité à l'enseignement général</v>
      </c>
      <c r="AA497" s="19" t="str">
        <f>B497 &amp; "-" &amp; VLOOKUP(B497,[4]SOUSPROGRAMMES!$E$1:$F$44,2,FALSE)</f>
        <v xml:space="preserve">17- Santé et hygiène scolaires </v>
      </c>
      <c r="AB497" s="19" t="str">
        <f>C497 &amp; "-" &amp; VLOOKUP(C497,[4]RESULTATS!$E$1:$F$176,2,FALSE)</f>
        <v>172- La santé scolaire est améliorée au sein des écoles et établissements scolaires, y compris les FA</v>
      </c>
      <c r="AC497" s="20" t="str">
        <f>D497 &amp; "-" &amp; VLOOKUP(D497,[4]STRATEGIES!$E$1:$F$504,2,FALSE)</f>
        <v>1722-Prévention et lutte contre les maladies en milieu scolaire</v>
      </c>
      <c r="AD497" s="21" t="str">
        <f t="shared" si="106"/>
        <v>17224- Acquisition de micronutriments en faveur des élèves du préscolaire et du primaire (des cantines)</v>
      </c>
    </row>
    <row r="498" spans="1:30" s="22" customFormat="1" ht="45" hidden="1" customHeight="1" x14ac:dyDescent="0.8">
      <c r="A498" s="14">
        <v>1</v>
      </c>
      <c r="B498" s="15">
        <v>17</v>
      </c>
      <c r="C498" s="15">
        <v>172</v>
      </c>
      <c r="D498" s="15">
        <v>1722</v>
      </c>
      <c r="E498" s="15">
        <v>17224</v>
      </c>
      <c r="F498" s="16" t="s">
        <v>628</v>
      </c>
      <c r="G498" s="21" t="s">
        <v>626</v>
      </c>
      <c r="H498" s="17" t="s">
        <v>629</v>
      </c>
      <c r="I498" s="18">
        <v>0</v>
      </c>
      <c r="J498" s="18">
        <f>(J30+J35+J36+J101+J229)*3.95%</f>
        <v>1688.4033030337444</v>
      </c>
      <c r="K498" s="18">
        <f>(K30+K35+K36+K101+K229)*3.95%</f>
        <v>1939.3439498958537</v>
      </c>
      <c r="L498" s="18">
        <f>(L30+L35+L36+L101+L229)*3.95%</f>
        <v>2198.1442102704682</v>
      </c>
      <c r="M498" s="18">
        <f t="shared" si="112"/>
        <v>5825.8914632000669</v>
      </c>
      <c r="N498" s="18">
        <f>IF(OR(H498="",H498="sif",H498="PM"),0,VLOOKUP(H498,[5]CU!$C$4:$H$255,6,FALSE))</f>
        <v>0.05</v>
      </c>
      <c r="O498" s="18">
        <f t="shared" si="114"/>
        <v>0</v>
      </c>
      <c r="P498" s="18">
        <f t="shared" si="114"/>
        <v>84.420165151687229</v>
      </c>
      <c r="Q498" s="18">
        <f>$N498*K498</f>
        <v>96.967197494792686</v>
      </c>
      <c r="R498" s="18">
        <f t="shared" si="114"/>
        <v>109.90721051352341</v>
      </c>
      <c r="S498" s="24">
        <f t="shared" si="115"/>
        <v>291.29457316000332</v>
      </c>
      <c r="T498" s="23" t="s">
        <v>187</v>
      </c>
      <c r="U498" s="18" t="s">
        <v>170</v>
      </c>
      <c r="V498" s="18" t="str">
        <f>IF(OR($H498="",$H498="sif",$H498="PM"),"",VLOOKUP($H498,[5]CU!$C$5:$J$255,8,FALSE))</f>
        <v>4. Transferts et subventions</v>
      </c>
      <c r="W498" s="18" t="s">
        <v>595</v>
      </c>
      <c r="X498" s="18" t="s">
        <v>609</v>
      </c>
      <c r="Y498" s="19" t="s">
        <v>32</v>
      </c>
      <c r="Z498" s="18" t="str">
        <f>A498 &amp; "-" &amp; VLOOKUP(A498,[4]PROGRAMMES!$E$1:$F$7,2,FALSE)</f>
        <v>1-Accès et équité à l'enseignement général</v>
      </c>
      <c r="AA498" s="19" t="str">
        <f>B498 &amp; "-" &amp; VLOOKUP(B498,[4]SOUSPROGRAMMES!$E$1:$F$44,2,FALSE)</f>
        <v xml:space="preserve">17- Santé et hygiène scolaires </v>
      </c>
      <c r="AB498" s="19" t="str">
        <f>C498 &amp; "-" &amp; VLOOKUP(C498,[4]RESULTATS!$E$1:$F$176,2,FALSE)</f>
        <v>172- La santé scolaire est améliorée au sein des écoles et établissements scolaires, y compris les FA</v>
      </c>
      <c r="AC498" s="20" t="str">
        <f>D498 &amp; "-" &amp; VLOOKUP(D498,[4]STRATEGIES!$E$1:$F$504,2,FALSE)</f>
        <v>1722-Prévention et lutte contre les maladies en milieu scolaire</v>
      </c>
      <c r="AD498" s="21" t="str">
        <f t="shared" si="106"/>
        <v>17224- Acquisition de micronutriments en faveur des élèves du préscolaire et du primaire (des cantines)</v>
      </c>
    </row>
    <row r="499" spans="1:30" s="22" customFormat="1" ht="45" hidden="1" customHeight="1" x14ac:dyDescent="0.8">
      <c r="A499" s="14">
        <v>1</v>
      </c>
      <c r="B499" s="15">
        <v>17</v>
      </c>
      <c r="C499" s="15">
        <v>172</v>
      </c>
      <c r="D499" s="15">
        <v>1722</v>
      </c>
      <c r="E499" s="15">
        <v>17225</v>
      </c>
      <c r="F499" s="16" t="s">
        <v>630</v>
      </c>
      <c r="G499" s="21" t="s">
        <v>92</v>
      </c>
      <c r="H499" s="17" t="s">
        <v>55</v>
      </c>
      <c r="I499" s="18">
        <v>0</v>
      </c>
      <c r="J499" s="18"/>
      <c r="K499" s="18"/>
      <c r="L499" s="18"/>
      <c r="M499" s="18"/>
      <c r="N499" s="18">
        <f>IF(OR(H499="",H499="sif",H499="PM"),0,VLOOKUP(H499,[5]CU!$C$4:$H$255,6,FALSE))</f>
        <v>0</v>
      </c>
      <c r="O499" s="18"/>
      <c r="P499" s="18"/>
      <c r="Q499" s="18"/>
      <c r="R499" s="18"/>
      <c r="S499" s="24"/>
      <c r="T499" s="23" t="s">
        <v>56</v>
      </c>
      <c r="U499" s="18" t="s">
        <v>170</v>
      </c>
      <c r="V499" s="18" t="str">
        <f>IF(OR($H499="",$H499="sif",$H499="PM"),"",VLOOKUP($H499,[5]CU!$C$5:$J$255,8,FALSE))</f>
        <v/>
      </c>
      <c r="W499" s="18" t="s">
        <v>595</v>
      </c>
      <c r="X499" s="18" t="s">
        <v>624</v>
      </c>
      <c r="Y499" s="19" t="s">
        <v>32</v>
      </c>
      <c r="Z499" s="18" t="str">
        <f>A499 &amp; "-" &amp; VLOOKUP(A499,[4]PROGRAMMES!$E$1:$F$7,2,FALSE)</f>
        <v>1-Accès et équité à l'enseignement général</v>
      </c>
      <c r="AA499" s="19" t="str">
        <f>B499 &amp; "-" &amp; VLOOKUP(B499,[4]SOUSPROGRAMMES!$E$1:$F$44,2,FALSE)</f>
        <v xml:space="preserve">17- Santé et hygiène scolaires </v>
      </c>
      <c r="AB499" s="19" t="str">
        <f>C499 &amp; "-" &amp; VLOOKUP(C499,[4]RESULTATS!$E$1:$F$176,2,FALSE)</f>
        <v>172- La santé scolaire est améliorée au sein des écoles et établissements scolaires, y compris les FA</v>
      </c>
      <c r="AC499" s="20" t="str">
        <f>D499 &amp; "-" &amp; VLOOKUP(D499,[4]STRATEGIES!$E$1:$F$504,2,FALSE)</f>
        <v>1722-Prévention et lutte contre les maladies en milieu scolaire</v>
      </c>
      <c r="AD499" s="21" t="str">
        <f t="shared" si="106"/>
        <v>17225-Organisation de campagnes de déparasitages en faveur des élèves (pris en compte dans visite médicale)</v>
      </c>
    </row>
    <row r="500" spans="1:30" s="22" customFormat="1" ht="45" hidden="1" customHeight="1" x14ac:dyDescent="0.8">
      <c r="A500" s="14">
        <v>1</v>
      </c>
      <c r="B500" s="15">
        <v>17</v>
      </c>
      <c r="C500" s="15">
        <v>172</v>
      </c>
      <c r="D500" s="15">
        <v>1722</v>
      </c>
      <c r="E500" s="15">
        <v>17226</v>
      </c>
      <c r="F500" s="16" t="s">
        <v>631</v>
      </c>
      <c r="G500" s="21" t="s">
        <v>159</v>
      </c>
      <c r="H500" s="17" t="s">
        <v>55</v>
      </c>
      <c r="I500" s="18">
        <v>0</v>
      </c>
      <c r="J500" s="18"/>
      <c r="K500" s="18"/>
      <c r="L500" s="18"/>
      <c r="M500" s="18"/>
      <c r="N500" s="18">
        <f>IF(OR(H500="",H500="sif",H500="PM"),0,VLOOKUP(H500,[5]CU!$C$4:$H$255,6,FALSE))</f>
        <v>0</v>
      </c>
      <c r="O500" s="18"/>
      <c r="P500" s="18"/>
      <c r="Q500" s="18"/>
      <c r="R500" s="18"/>
      <c r="S500" s="24"/>
      <c r="T500" s="23" t="s">
        <v>56</v>
      </c>
      <c r="U500" s="18" t="s">
        <v>170</v>
      </c>
      <c r="V500" s="18" t="str">
        <f>IF(OR($H500="",$H500="sif",$H500="PM"),"",VLOOKUP($H500,[5]CU!$C$5:$J$255,8,FALSE))</f>
        <v/>
      </c>
      <c r="W500" s="18" t="s">
        <v>595</v>
      </c>
      <c r="X500" s="18" t="s">
        <v>624</v>
      </c>
      <c r="Y500" s="19" t="s">
        <v>32</v>
      </c>
      <c r="Z500" s="18" t="str">
        <f>A500 &amp; "-" &amp; VLOOKUP(A500,[4]PROGRAMMES!$E$1:$F$7,2,FALSE)</f>
        <v>1-Accès et équité à l'enseignement général</v>
      </c>
      <c r="AA500" s="19" t="str">
        <f>B500 &amp; "-" &amp; VLOOKUP(B500,[4]SOUSPROGRAMMES!$E$1:$F$44,2,FALSE)</f>
        <v xml:space="preserve">17- Santé et hygiène scolaires </v>
      </c>
      <c r="AB500" s="19" t="str">
        <f>C500 &amp; "-" &amp; VLOOKUP(C500,[4]RESULTATS!$E$1:$F$176,2,FALSE)</f>
        <v>172- La santé scolaire est améliorée au sein des écoles et établissements scolaires, y compris les FA</v>
      </c>
      <c r="AC500" s="20" t="str">
        <f>D500 &amp; "-" &amp; VLOOKUP(D500,[4]STRATEGIES!$E$1:$F$504,2,FALSE)</f>
        <v>1722-Prévention et lutte contre les maladies en milieu scolaire</v>
      </c>
      <c r="AD500" s="21" t="str">
        <f t="shared" si="106"/>
        <v>17226- Organisation de campagnes d'administration de micronutriments en faveur des élèves du préscolaire et du primaire (pris en compte dans visite médicale)</v>
      </c>
    </row>
    <row r="501" spans="1:30" s="22" customFormat="1" ht="45" hidden="1" customHeight="1" x14ac:dyDescent="0.8">
      <c r="A501" s="14">
        <v>1</v>
      </c>
      <c r="B501" s="15">
        <v>17</v>
      </c>
      <c r="C501" s="15">
        <v>172</v>
      </c>
      <c r="D501" s="15">
        <v>1722</v>
      </c>
      <c r="E501" s="15">
        <v>17227</v>
      </c>
      <c r="F501" s="16" t="s">
        <v>632</v>
      </c>
      <c r="G501" s="21" t="s">
        <v>37</v>
      </c>
      <c r="H501" s="17" t="s">
        <v>38</v>
      </c>
      <c r="I501" s="18">
        <v>0</v>
      </c>
      <c r="J501" s="18">
        <f t="shared" ref="J501:L502" si="116">(8*30*5)*50%</f>
        <v>600</v>
      </c>
      <c r="K501" s="18">
        <f t="shared" si="116"/>
        <v>600</v>
      </c>
      <c r="L501" s="18">
        <f t="shared" si="116"/>
        <v>600</v>
      </c>
      <c r="M501" s="18">
        <f>SUM(I501:L501)</f>
        <v>1800</v>
      </c>
      <c r="N501" s="18">
        <f>IF(OR(H501="",H501="sif",H501="PM"),0,VLOOKUP(H501,[5]CU!$C$4:$H$255,6,FALSE))</f>
        <v>0.3133333333333333</v>
      </c>
      <c r="O501" s="18">
        <f>$N501*I501</f>
        <v>0</v>
      </c>
      <c r="P501" s="18">
        <f>$N501*J501</f>
        <v>187.99999999999997</v>
      </c>
      <c r="Q501" s="18">
        <f>$N501*K501</f>
        <v>187.99999999999997</v>
      </c>
      <c r="R501" s="18">
        <f>$N501*L501</f>
        <v>187.99999999999997</v>
      </c>
      <c r="S501" s="24">
        <f>SUM(O501:R501)</f>
        <v>563.99999999999989</v>
      </c>
      <c r="T501" s="23" t="s">
        <v>56</v>
      </c>
      <c r="U501" s="18" t="s">
        <v>170</v>
      </c>
      <c r="V501" s="18" t="str">
        <f>IF(OR($H501="",$H501="sif",$H501="PM"),"",VLOOKUP($H501,[5]CU!$C$5:$J$255,8,FALSE))</f>
        <v>3. Formation</v>
      </c>
      <c r="W501" s="18" t="s">
        <v>595</v>
      </c>
      <c r="X501" s="18" t="s">
        <v>595</v>
      </c>
      <c r="Y501" s="19" t="s">
        <v>32</v>
      </c>
      <c r="Z501" s="18" t="str">
        <f>A501 &amp; "-" &amp; VLOOKUP(A501,[4]PROGRAMMES!$E$1:$F$7,2,FALSE)</f>
        <v>1-Accès et équité à l'enseignement général</v>
      </c>
      <c r="AA501" s="19" t="str">
        <f>B501 &amp; "-" &amp; VLOOKUP(B501,[4]SOUSPROGRAMMES!$E$1:$F$44,2,FALSE)</f>
        <v xml:space="preserve">17- Santé et hygiène scolaires </v>
      </c>
      <c r="AB501" s="19" t="str">
        <f>C501 &amp; "-" &amp; VLOOKUP(C501,[4]RESULTATS!$E$1:$F$176,2,FALSE)</f>
        <v>172- La santé scolaire est améliorée au sein des écoles et établissements scolaires, y compris les FA</v>
      </c>
      <c r="AC501" s="20" t="str">
        <f>D501 &amp; "-" &amp; VLOOKUP(D501,[4]STRATEGIES!$E$1:$F$504,2,FALSE)</f>
        <v>1722-Prévention et lutte contre les maladies en milieu scolaire</v>
      </c>
      <c r="AD501" s="21" t="str">
        <f t="shared" si="106"/>
        <v>17227-Formation des encadreurs régionaux et préfectoraux/communaux sur les IST/VIH-Sida en milieu scolaire et sur la prévention des grossesses</v>
      </c>
    </row>
    <row r="502" spans="1:30" s="22" customFormat="1" ht="45" hidden="1" customHeight="1" x14ac:dyDescent="0.8">
      <c r="A502" s="14">
        <v>1</v>
      </c>
      <c r="B502" s="15">
        <v>17</v>
      </c>
      <c r="C502" s="15">
        <v>172</v>
      </c>
      <c r="D502" s="15">
        <v>1722</v>
      </c>
      <c r="E502" s="15">
        <v>17227</v>
      </c>
      <c r="F502" s="16" t="s">
        <v>632</v>
      </c>
      <c r="G502" s="21" t="s">
        <v>37</v>
      </c>
      <c r="H502" s="17" t="s">
        <v>38</v>
      </c>
      <c r="I502" s="18">
        <v>0</v>
      </c>
      <c r="J502" s="18">
        <f t="shared" si="116"/>
        <v>600</v>
      </c>
      <c r="K502" s="18">
        <f t="shared" si="116"/>
        <v>600</v>
      </c>
      <c r="L502" s="18">
        <f t="shared" si="116"/>
        <v>600</v>
      </c>
      <c r="M502" s="18">
        <f t="shared" ref="M502:M539" si="117">SUM(I502:L502)</f>
        <v>1800</v>
      </c>
      <c r="N502" s="18">
        <f>IF(OR(H502="",H502="sif",H502="PM"),0,VLOOKUP(H502,[5]CU!$C$4:$H$255,6,FALSE))</f>
        <v>0.3133333333333333</v>
      </c>
      <c r="O502" s="18">
        <f t="shared" ref="O502:R505" si="118">$N502*I502</f>
        <v>0</v>
      </c>
      <c r="P502" s="18">
        <f t="shared" si="118"/>
        <v>187.99999999999997</v>
      </c>
      <c r="Q502" s="18">
        <f t="shared" si="118"/>
        <v>187.99999999999997</v>
      </c>
      <c r="R502" s="18">
        <f t="shared" si="118"/>
        <v>187.99999999999997</v>
      </c>
      <c r="S502" s="24">
        <f>SUM(O502:R502)</f>
        <v>563.99999999999989</v>
      </c>
      <c r="T502" s="23" t="s">
        <v>118</v>
      </c>
      <c r="U502" s="18" t="s">
        <v>170</v>
      </c>
      <c r="V502" s="18" t="str">
        <f>IF(OR($H502="",$H502="sif",$H502="PM"),"",VLOOKUP($H502,[5]CU!$C$5:$J$255,8,FALSE))</f>
        <v>3. Formation</v>
      </c>
      <c r="W502" s="18" t="s">
        <v>595</v>
      </c>
      <c r="X502" s="18" t="s">
        <v>595</v>
      </c>
      <c r="Y502" s="19" t="s">
        <v>32</v>
      </c>
      <c r="Z502" s="18" t="str">
        <f>A502 &amp; "-" &amp; VLOOKUP(A502,[4]PROGRAMMES!$E$1:$F$7,2,FALSE)</f>
        <v>1-Accès et équité à l'enseignement général</v>
      </c>
      <c r="AA502" s="19" t="str">
        <f>B502 &amp; "-" &amp; VLOOKUP(B502,[4]SOUSPROGRAMMES!$E$1:$F$44,2,FALSE)</f>
        <v xml:space="preserve">17- Santé et hygiène scolaires </v>
      </c>
      <c r="AB502" s="19" t="str">
        <f>C502 &amp; "-" &amp; VLOOKUP(C502,[4]RESULTATS!$E$1:$F$176,2,FALSE)</f>
        <v>172- La santé scolaire est améliorée au sein des écoles et établissements scolaires, y compris les FA</v>
      </c>
      <c r="AC502" s="20" t="str">
        <f>D502 &amp; "-" &amp; VLOOKUP(D502,[4]STRATEGIES!$E$1:$F$504,2,FALSE)</f>
        <v>1722-Prévention et lutte contre les maladies en milieu scolaire</v>
      </c>
      <c r="AD502" s="21" t="str">
        <f t="shared" si="106"/>
        <v>17227-Formation des encadreurs régionaux et préfectoraux/communaux sur les IST/VIH-Sida en milieu scolaire et sur la prévention des grossesses</v>
      </c>
    </row>
    <row r="503" spans="1:30" ht="45" hidden="1" customHeight="1" x14ac:dyDescent="0.8">
      <c r="A503" s="25">
        <v>1</v>
      </c>
      <c r="B503" s="16">
        <v>17</v>
      </c>
      <c r="C503" s="16">
        <v>172</v>
      </c>
      <c r="D503" s="16">
        <v>1722</v>
      </c>
      <c r="E503" s="16">
        <v>17228</v>
      </c>
      <c r="F503" s="16" t="s">
        <v>633</v>
      </c>
      <c r="G503" s="21" t="s">
        <v>75</v>
      </c>
      <c r="H503" s="21" t="s">
        <v>76</v>
      </c>
      <c r="I503" s="19">
        <v>0</v>
      </c>
      <c r="J503" s="19">
        <v>1</v>
      </c>
      <c r="K503" s="19">
        <v>1</v>
      </c>
      <c r="L503" s="19">
        <v>1</v>
      </c>
      <c r="M503" s="19">
        <f t="shared" si="117"/>
        <v>3</v>
      </c>
      <c r="N503" s="19">
        <f>IF(OR(H503="",H503="sif",H503="PM"),0,VLOOKUP(H503,[5]CU!$C$4:$H$255,6,FALSE))</f>
        <v>45.936799999999998</v>
      </c>
      <c r="O503" s="19">
        <f t="shared" si="118"/>
        <v>0</v>
      </c>
      <c r="P503" s="19">
        <f t="shared" si="118"/>
        <v>45.936799999999998</v>
      </c>
      <c r="Q503" s="19">
        <f t="shared" si="118"/>
        <v>45.936799999999998</v>
      </c>
      <c r="R503" s="19">
        <f t="shared" si="118"/>
        <v>45.936799999999998</v>
      </c>
      <c r="S503" s="31">
        <f>SUM(O503:R503)</f>
        <v>137.81039999999999</v>
      </c>
      <c r="T503" s="26" t="s">
        <v>169</v>
      </c>
      <c r="U503" s="19" t="s">
        <v>170</v>
      </c>
      <c r="V503" s="19" t="str">
        <f>IF(OR($H503="",$H503="sif",$H503="PM"),"",VLOOKUP($H503,[5]CU!$C$5:$J$255,8,FALSE))</f>
        <v>3. Dépenses de fonctionnement</v>
      </c>
      <c r="W503" s="19" t="s">
        <v>595</v>
      </c>
      <c r="X503" s="19" t="s">
        <v>77</v>
      </c>
      <c r="Y503" s="19" t="s">
        <v>32</v>
      </c>
      <c r="Z503" s="19" t="str">
        <f>A503 &amp; "-" &amp; VLOOKUP(A503,[4]PROGRAMMES!$E$1:$F$7,2,FALSE)</f>
        <v>1-Accès et équité à l'enseignement général</v>
      </c>
      <c r="AA503" s="19" t="str">
        <f>B503 &amp; "-" &amp; VLOOKUP(B503,[4]SOUSPROGRAMMES!$E$1:$F$44,2,FALSE)</f>
        <v xml:space="preserve">17- Santé et hygiène scolaires </v>
      </c>
      <c r="AB503" s="19" t="str">
        <f>C503 &amp; "-" &amp; VLOOKUP(C503,[4]RESULTATS!$E$1:$F$176,2,FALSE)</f>
        <v>172- La santé scolaire est améliorée au sein des écoles et établissements scolaires, y compris les FA</v>
      </c>
      <c r="AC503" s="20" t="str">
        <f>D503 &amp; "-" &amp; VLOOKUP(D503,[4]STRATEGIES!$E$1:$F$504,2,FALSE)</f>
        <v>1722-Prévention et lutte contre les maladies en milieu scolaire</v>
      </c>
      <c r="AD503" s="21" t="str">
        <f t="shared" si="106"/>
        <v xml:space="preserve">17228-Sensibilisation des élèves sur les IST/VIH-Sida en milieu scolaire </v>
      </c>
    </row>
    <row r="504" spans="1:30" ht="45" hidden="1" customHeight="1" x14ac:dyDescent="0.8">
      <c r="A504" s="25">
        <v>1</v>
      </c>
      <c r="B504" s="16">
        <v>17</v>
      </c>
      <c r="C504" s="16">
        <v>172</v>
      </c>
      <c r="D504" s="16">
        <v>1722</v>
      </c>
      <c r="E504" s="16">
        <v>17229</v>
      </c>
      <c r="F504" s="16" t="s">
        <v>634</v>
      </c>
      <c r="G504" s="21" t="s">
        <v>58</v>
      </c>
      <c r="H504" s="21" t="s">
        <v>59</v>
      </c>
      <c r="I504" s="19">
        <v>0</v>
      </c>
      <c r="J504" s="19"/>
      <c r="K504" s="19">
        <f>(4*5*38)*50%*2</f>
        <v>760</v>
      </c>
      <c r="L504" s="19">
        <f t="shared" ref="J504:L505" si="119">(4*5*38)*50%</f>
        <v>380</v>
      </c>
      <c r="M504" s="19">
        <f>SUM(I504:L504)</f>
        <v>1140</v>
      </c>
      <c r="N504" s="19">
        <f>IF(OR(H504="",H504="sif",H504="PM"),0,VLOOKUP(H504,[5]CU!$C$4:$H$255,6,FALSE))</f>
        <v>0.8177777777777776</v>
      </c>
      <c r="O504" s="19">
        <f>$N504*I504</f>
        <v>0</v>
      </c>
      <c r="P504" s="19">
        <f>$N504*J504</f>
        <v>0</v>
      </c>
      <c r="Q504" s="19">
        <f t="shared" si="118"/>
        <v>621.51111111111095</v>
      </c>
      <c r="R504" s="19">
        <f>$N504*L504</f>
        <v>310.75555555555547</v>
      </c>
      <c r="S504" s="31">
        <f>SUM(O504:R504)</f>
        <v>932.26666666666642</v>
      </c>
      <c r="T504" s="26" t="s">
        <v>169</v>
      </c>
      <c r="U504" s="19" t="s">
        <v>170</v>
      </c>
      <c r="V504" s="19" t="str">
        <f>IF(OR($H504="",$H504="sif",$H504="PM"),"",VLOOKUP($H504,[5]CU!$C$5:$J$255,8,FALSE))</f>
        <v>3. Dépenses de fonctionnement</v>
      </c>
      <c r="W504" s="19" t="s">
        <v>595</v>
      </c>
      <c r="X504" s="19" t="s">
        <v>77</v>
      </c>
      <c r="Y504" s="19" t="s">
        <v>32</v>
      </c>
      <c r="Z504" s="19" t="str">
        <f>A504 &amp; "-" &amp; VLOOKUP(A504,[4]PROGRAMMES!$E$1:$F$7,2,FALSE)</f>
        <v>1-Accès et équité à l'enseignement général</v>
      </c>
      <c r="AA504" s="19" t="str">
        <f>B504 &amp; "-" &amp; VLOOKUP(B504,[4]SOUSPROGRAMMES!$E$1:$F$44,2,FALSE)</f>
        <v xml:space="preserve">17- Santé et hygiène scolaires </v>
      </c>
      <c r="AB504" s="19" t="str">
        <f>C504 &amp; "-" &amp; VLOOKUP(C504,[4]RESULTATS!$E$1:$F$176,2,FALSE)</f>
        <v>172- La santé scolaire est améliorée au sein des écoles et établissements scolaires, y compris les FA</v>
      </c>
      <c r="AC504" s="20" t="str">
        <f>D504 &amp; "-" &amp; VLOOKUP(D504,[4]STRATEGIES!$E$1:$F$504,2,FALSE)</f>
        <v>1722-Prévention et lutte contre les maladies en milieu scolaire</v>
      </c>
      <c r="AD504" s="21" t="str">
        <f t="shared" si="106"/>
        <v>17229-Sensibilisation des filles sur la prévention des grossesses précoces et non désirées</v>
      </c>
    </row>
    <row r="505" spans="1:30" s="22" customFormat="1" ht="45" hidden="1" customHeight="1" x14ac:dyDescent="0.8">
      <c r="A505" s="14">
        <v>1</v>
      </c>
      <c r="B505" s="15">
        <v>17</v>
      </c>
      <c r="C505" s="15">
        <v>172</v>
      </c>
      <c r="D505" s="15">
        <v>1722</v>
      </c>
      <c r="E505" s="15">
        <v>17229</v>
      </c>
      <c r="F505" s="16" t="s">
        <v>634</v>
      </c>
      <c r="G505" s="21" t="s">
        <v>58</v>
      </c>
      <c r="H505" s="17" t="s">
        <v>59</v>
      </c>
      <c r="I505" s="18">
        <v>0</v>
      </c>
      <c r="J505" s="18">
        <f t="shared" si="119"/>
        <v>380</v>
      </c>
      <c r="K505" s="18">
        <f t="shared" si="119"/>
        <v>380</v>
      </c>
      <c r="L505" s="18">
        <f t="shared" si="119"/>
        <v>380</v>
      </c>
      <c r="M505" s="18">
        <f t="shared" si="117"/>
        <v>1140</v>
      </c>
      <c r="N505" s="18">
        <f>IF(OR(H505="",H505="sif",H505="PM"),0,VLOOKUP(H505,[5]CU!$C$4:$H$255,6,FALSE))</f>
        <v>0.8177777777777776</v>
      </c>
      <c r="O505" s="18">
        <f t="shared" si="118"/>
        <v>0</v>
      </c>
      <c r="P505" s="18">
        <f t="shared" si="118"/>
        <v>310.75555555555547</v>
      </c>
      <c r="Q505" s="18">
        <f t="shared" si="118"/>
        <v>310.75555555555547</v>
      </c>
      <c r="R505" s="18">
        <f t="shared" si="118"/>
        <v>310.75555555555547</v>
      </c>
      <c r="S505" s="24">
        <f>SUM(O505:R505)</f>
        <v>932.26666666666642</v>
      </c>
      <c r="T505" s="23" t="s">
        <v>118</v>
      </c>
      <c r="U505" s="18" t="s">
        <v>170</v>
      </c>
      <c r="V505" s="18" t="str">
        <f>IF(OR($H505="",$H505="sif",$H505="PM"),"",VLOOKUP($H505,[5]CU!$C$5:$J$255,8,FALSE))</f>
        <v>3. Dépenses de fonctionnement</v>
      </c>
      <c r="W505" s="18" t="s">
        <v>595</v>
      </c>
      <c r="X505" s="18" t="s">
        <v>77</v>
      </c>
      <c r="Y505" s="19" t="s">
        <v>32</v>
      </c>
      <c r="Z505" s="18" t="str">
        <f>A505 &amp; "-" &amp; VLOOKUP(A505,[4]PROGRAMMES!$E$1:$F$7,2,FALSE)</f>
        <v>1-Accès et équité à l'enseignement général</v>
      </c>
      <c r="AA505" s="19" t="str">
        <f>B505 &amp; "-" &amp; VLOOKUP(B505,[4]SOUSPROGRAMMES!$E$1:$F$44,2,FALSE)</f>
        <v xml:space="preserve">17- Santé et hygiène scolaires </v>
      </c>
      <c r="AB505" s="19" t="str">
        <f>C505 &amp; "-" &amp; VLOOKUP(C505,[4]RESULTATS!$E$1:$F$176,2,FALSE)</f>
        <v>172- La santé scolaire est améliorée au sein des écoles et établissements scolaires, y compris les FA</v>
      </c>
      <c r="AC505" s="20" t="str">
        <f>D505 &amp; "-" &amp; VLOOKUP(D505,[4]STRATEGIES!$E$1:$F$504,2,FALSE)</f>
        <v>1722-Prévention et lutte contre les maladies en milieu scolaire</v>
      </c>
      <c r="AD505" s="21" t="str">
        <f t="shared" si="106"/>
        <v>17229-Sensibilisation des filles sur la prévention des grossesses précoces et non désirées</v>
      </c>
    </row>
    <row r="506" spans="1:30" s="22" customFormat="1" ht="45" hidden="1" customHeight="1" x14ac:dyDescent="0.8">
      <c r="A506" s="14">
        <v>1</v>
      </c>
      <c r="B506" s="15">
        <v>17</v>
      </c>
      <c r="C506" s="15">
        <v>172</v>
      </c>
      <c r="D506" s="15">
        <v>1723</v>
      </c>
      <c r="E506" s="15">
        <v>1723</v>
      </c>
      <c r="F506" s="16" t="s">
        <v>635</v>
      </c>
      <c r="G506" s="17"/>
      <c r="H506" s="17"/>
      <c r="I506" s="18">
        <v>0</v>
      </c>
      <c r="J506" s="18"/>
      <c r="K506" s="18"/>
      <c r="L506" s="18"/>
      <c r="M506" s="18"/>
      <c r="N506" s="18"/>
      <c r="O506" s="18"/>
      <c r="P506" s="18"/>
      <c r="Q506" s="18"/>
      <c r="R506" s="18"/>
      <c r="S506" s="24"/>
      <c r="T506" s="18"/>
      <c r="U506" s="18"/>
      <c r="V506" s="18"/>
      <c r="W506" s="18"/>
      <c r="X506" s="18"/>
      <c r="Y506" s="19" t="s">
        <v>32</v>
      </c>
      <c r="Z506" s="18" t="str">
        <f>A506 &amp; "-" &amp; VLOOKUP(A506,[4]PROGRAMMES!$E$1:$F$7,2,FALSE)</f>
        <v>1-Accès et équité à l'enseignement général</v>
      </c>
      <c r="AA506" s="19" t="str">
        <f>B506 &amp; "-" &amp; VLOOKUP(B506,[4]SOUSPROGRAMMES!$E$1:$F$44,2,FALSE)</f>
        <v xml:space="preserve">17- Santé et hygiène scolaires </v>
      </c>
      <c r="AB506" s="19" t="str">
        <f>C506 &amp; "-" &amp; VLOOKUP(C506,[4]RESULTATS!$E$1:$F$176,2,FALSE)</f>
        <v>172- La santé scolaire est améliorée au sein des écoles et établissements scolaires, y compris les FA</v>
      </c>
      <c r="AC506" s="20" t="str">
        <f>D506 &amp; "-" &amp; VLOOKUP(D506,[4]STRATEGIES!$E$1:$F$504,2,FALSE)</f>
        <v>1723-Octroi de kits d’hygiène aux filles issues des milieux défavorisés</v>
      </c>
      <c r="AD506" s="21" t="str">
        <f t="shared" si="106"/>
        <v>1723-Octroi de kits d’hygiène aux filles issues des milieux défavorisés</v>
      </c>
    </row>
    <row r="507" spans="1:30" s="22" customFormat="1" ht="45" hidden="1" customHeight="1" x14ac:dyDescent="0.8">
      <c r="A507" s="14">
        <v>1</v>
      </c>
      <c r="B507" s="15">
        <v>17</v>
      </c>
      <c r="C507" s="15">
        <v>172</v>
      </c>
      <c r="D507" s="15">
        <v>1723</v>
      </c>
      <c r="E507" s="15">
        <v>17231</v>
      </c>
      <c r="F507" s="16" t="s">
        <v>636</v>
      </c>
      <c r="G507" s="21" t="s">
        <v>88</v>
      </c>
      <c r="H507" s="17" t="s">
        <v>55</v>
      </c>
      <c r="I507" s="18">
        <v>0</v>
      </c>
      <c r="J507" s="18">
        <v>1</v>
      </c>
      <c r="K507" s="18">
        <v>1</v>
      </c>
      <c r="L507" s="18">
        <v>1</v>
      </c>
      <c r="M507" s="18">
        <f t="shared" si="117"/>
        <v>3</v>
      </c>
      <c r="N507" s="18">
        <f>IF(OR(H507="",H507="sif",H507="PM"),0,VLOOKUP(H507,[5]CU!$C$4:$H$255,6,FALSE))</f>
        <v>0</v>
      </c>
      <c r="O507" s="18"/>
      <c r="P507" s="18"/>
      <c r="Q507" s="18"/>
      <c r="R507" s="18"/>
      <c r="S507" s="24"/>
      <c r="T507" s="23" t="s">
        <v>56</v>
      </c>
      <c r="U507" s="18" t="s">
        <v>170</v>
      </c>
      <c r="V507" s="18" t="str">
        <f>IF(OR($H507="",$H507="sif",$H507="PM"),"",VLOOKUP($H507,[5]CU!$C$5:$J$255,8,FALSE))</f>
        <v/>
      </c>
      <c r="W507" s="18" t="s">
        <v>595</v>
      </c>
      <c r="X507" s="18" t="s">
        <v>595</v>
      </c>
      <c r="Y507" s="19" t="s">
        <v>32</v>
      </c>
      <c r="Z507" s="18" t="str">
        <f>A507 &amp; "-" &amp; VLOOKUP(A507,[4]PROGRAMMES!$E$1:$F$7,2,FALSE)</f>
        <v>1-Accès et équité à l'enseignement général</v>
      </c>
      <c r="AA507" s="19" t="str">
        <f>B507 &amp; "-" &amp; VLOOKUP(B507,[4]SOUSPROGRAMMES!$E$1:$F$44,2,FALSE)</f>
        <v xml:space="preserve">17- Santé et hygiène scolaires </v>
      </c>
      <c r="AB507" s="19" t="str">
        <f>C507 &amp; "-" &amp; VLOOKUP(C507,[4]RESULTATS!$E$1:$F$176,2,FALSE)</f>
        <v>172- La santé scolaire est améliorée au sein des écoles et établissements scolaires, y compris les FA</v>
      </c>
      <c r="AC507" s="20" t="str">
        <f>D507 &amp; "-" &amp; VLOOKUP(D507,[4]STRATEGIES!$E$1:$F$504,2,FALSE)</f>
        <v>1723-Octroi de kits d’hygiène aux filles issues des milieux défavorisés</v>
      </c>
      <c r="AD507" s="21" t="str">
        <f t="shared" si="106"/>
        <v>17231-Ciblage des filles matures en zone rurale</v>
      </c>
    </row>
    <row r="508" spans="1:30" s="22" customFormat="1" ht="45" hidden="1" customHeight="1" x14ac:dyDescent="0.8">
      <c r="A508" s="14">
        <v>1</v>
      </c>
      <c r="B508" s="15">
        <v>17</v>
      </c>
      <c r="C508" s="15">
        <v>172</v>
      </c>
      <c r="D508" s="15">
        <v>1723</v>
      </c>
      <c r="E508" s="15">
        <v>17232</v>
      </c>
      <c r="F508" s="16" t="s">
        <v>637</v>
      </c>
      <c r="G508" s="21" t="s">
        <v>638</v>
      </c>
      <c r="H508" s="17" t="s">
        <v>639</v>
      </c>
      <c r="I508" s="18">
        <v>0</v>
      </c>
      <c r="J508" s="18">
        <f>100000*50%</f>
        <v>50000</v>
      </c>
      <c r="K508" s="18">
        <f>120000*50%</f>
        <v>60000</v>
      </c>
      <c r="L508" s="18">
        <f>(120000)*50%</f>
        <v>60000</v>
      </c>
      <c r="M508" s="18">
        <f>SUM(I508:L508)</f>
        <v>170000</v>
      </c>
      <c r="N508" s="18">
        <f>IF(OR(H508="",H508="sif",H508="PM"),0,VLOOKUP(H508,[5]CU!$C$4:$H$255,6,FALSE))</f>
        <v>0.1</v>
      </c>
      <c r="O508" s="18">
        <f t="shared" ref="O508:R509" si="120">$N508*I508</f>
        <v>0</v>
      </c>
      <c r="P508" s="18">
        <f t="shared" si="120"/>
        <v>5000</v>
      </c>
      <c r="Q508" s="18">
        <f t="shared" si="120"/>
        <v>6000</v>
      </c>
      <c r="R508" s="18">
        <f t="shared" si="120"/>
        <v>6000</v>
      </c>
      <c r="S508" s="24">
        <f>SUM(O508:R508)</f>
        <v>17000</v>
      </c>
      <c r="T508" s="23" t="s">
        <v>67</v>
      </c>
      <c r="U508" s="18" t="s">
        <v>170</v>
      </c>
      <c r="V508" s="18" t="str">
        <f>IF(OR($H508="",$H508="sif",$H508="PM"),"",VLOOKUP($H508,[5]CU!$C$5:$J$255,8,FALSE))</f>
        <v>4. Transferts et subventions</v>
      </c>
      <c r="W508" s="18" t="s">
        <v>595</v>
      </c>
      <c r="X508" s="18" t="s">
        <v>595</v>
      </c>
      <c r="Y508" s="19" t="s">
        <v>32</v>
      </c>
      <c r="Z508" s="18" t="str">
        <f>A508 &amp; "-" &amp; VLOOKUP(A508,[4]PROGRAMMES!$E$1:$F$7,2,FALSE)</f>
        <v>1-Accès et équité à l'enseignement général</v>
      </c>
      <c r="AA508" s="19" t="str">
        <f>B508 &amp; "-" &amp; VLOOKUP(B508,[4]SOUSPROGRAMMES!$E$1:$F$44,2,FALSE)</f>
        <v xml:space="preserve">17- Santé et hygiène scolaires </v>
      </c>
      <c r="AB508" s="19" t="str">
        <f>C508 &amp; "-" &amp; VLOOKUP(C508,[4]RESULTATS!$E$1:$F$176,2,FALSE)</f>
        <v>172- La santé scolaire est améliorée au sein des écoles et établissements scolaires, y compris les FA</v>
      </c>
      <c r="AC508" s="20" t="str">
        <f>D508 &amp; "-" &amp; VLOOKUP(D508,[4]STRATEGIES!$E$1:$F$504,2,FALSE)</f>
        <v>1723-Octroi de kits d’hygiène aux filles issues des milieux défavorisés</v>
      </c>
      <c r="AD508" s="21" t="str">
        <f t="shared" si="106"/>
        <v>17232-Acquisition et distribution régulière de kits d'hygiène aux filles</v>
      </c>
    </row>
    <row r="509" spans="1:30" s="22" customFormat="1" ht="45" hidden="1" customHeight="1" x14ac:dyDescent="0.8">
      <c r="A509" s="14">
        <v>1</v>
      </c>
      <c r="B509" s="15">
        <v>17</v>
      </c>
      <c r="C509" s="15">
        <v>172</v>
      </c>
      <c r="D509" s="15">
        <v>1723</v>
      </c>
      <c r="E509" s="15">
        <v>17232</v>
      </c>
      <c r="F509" s="16" t="s">
        <v>637</v>
      </c>
      <c r="G509" s="21" t="s">
        <v>638</v>
      </c>
      <c r="H509" s="17" t="s">
        <v>639</v>
      </c>
      <c r="I509" s="18">
        <v>0</v>
      </c>
      <c r="J509" s="18">
        <f>100000*50%</f>
        <v>50000</v>
      </c>
      <c r="K509" s="18">
        <f>120000*50%</f>
        <v>60000</v>
      </c>
      <c r="L509" s="18">
        <f>(120000)*50%</f>
        <v>60000</v>
      </c>
      <c r="M509" s="18">
        <f t="shared" si="117"/>
        <v>170000</v>
      </c>
      <c r="N509" s="18">
        <f>IF(OR(H509="",H509="sif",H509="PM"),0,VLOOKUP(H509,[5]CU!$C$4:$H$255,6,FALSE))</f>
        <v>0.1</v>
      </c>
      <c r="O509" s="18">
        <f t="shared" si="120"/>
        <v>0</v>
      </c>
      <c r="P509" s="18">
        <f t="shared" si="120"/>
        <v>5000</v>
      </c>
      <c r="Q509" s="18">
        <f t="shared" si="120"/>
        <v>6000</v>
      </c>
      <c r="R509" s="18">
        <f t="shared" si="120"/>
        <v>6000</v>
      </c>
      <c r="S509" s="24">
        <f>SUM(O509:R509)</f>
        <v>17000</v>
      </c>
      <c r="T509" s="23" t="s">
        <v>67</v>
      </c>
      <c r="U509" s="18" t="s">
        <v>170</v>
      </c>
      <c r="V509" s="18" t="str">
        <f>IF(OR($H509="",$H509="sif",$H509="PM"),"",VLOOKUP($H509,[5]CU!$C$5:$J$255,8,FALSE))</f>
        <v>4. Transferts et subventions</v>
      </c>
      <c r="W509" s="18" t="s">
        <v>595</v>
      </c>
      <c r="X509" s="18" t="s">
        <v>595</v>
      </c>
      <c r="Y509" s="19" t="s">
        <v>32</v>
      </c>
      <c r="Z509" s="18" t="str">
        <f>A509 &amp; "-" &amp; VLOOKUP(A509,[4]PROGRAMMES!$E$1:$F$7,2,FALSE)</f>
        <v>1-Accès et équité à l'enseignement général</v>
      </c>
      <c r="AA509" s="19" t="str">
        <f>B509 &amp; "-" &amp; VLOOKUP(B509,[4]SOUSPROGRAMMES!$E$1:$F$44,2,FALSE)</f>
        <v xml:space="preserve">17- Santé et hygiène scolaires </v>
      </c>
      <c r="AB509" s="19" t="str">
        <f>C509 &amp; "-" &amp; VLOOKUP(C509,[4]RESULTATS!$E$1:$F$176,2,FALSE)</f>
        <v>172- La santé scolaire est améliorée au sein des écoles et établissements scolaires, y compris les FA</v>
      </c>
      <c r="AC509" s="20" t="str">
        <f>D509 &amp; "-" &amp; VLOOKUP(D509,[4]STRATEGIES!$E$1:$F$504,2,FALSE)</f>
        <v>1723-Octroi de kits d’hygiène aux filles issues des milieux défavorisés</v>
      </c>
      <c r="AD509" s="21" t="str">
        <f t="shared" si="106"/>
        <v>17232-Acquisition et distribution régulière de kits d'hygiène aux filles</v>
      </c>
    </row>
    <row r="510" spans="1:30" s="22" customFormat="1" ht="45" hidden="1" customHeight="1" x14ac:dyDescent="0.8">
      <c r="A510" s="14">
        <v>1</v>
      </c>
      <c r="B510" s="15">
        <v>17</v>
      </c>
      <c r="C510" s="15">
        <v>172</v>
      </c>
      <c r="D510" s="15">
        <v>1723</v>
      </c>
      <c r="E510" s="15">
        <v>17233</v>
      </c>
      <c r="F510" s="16" t="s">
        <v>640</v>
      </c>
      <c r="G510" s="21" t="s">
        <v>92</v>
      </c>
      <c r="H510" s="17" t="s">
        <v>55</v>
      </c>
      <c r="I510" s="18">
        <v>0</v>
      </c>
      <c r="J510" s="18">
        <v>1</v>
      </c>
      <c r="K510" s="18">
        <v>1</v>
      </c>
      <c r="L510" s="18">
        <v>1</v>
      </c>
      <c r="M510" s="18">
        <f t="shared" si="117"/>
        <v>3</v>
      </c>
      <c r="N510" s="18">
        <f>IF(OR(H510="",H510="sif",H510="PM"),0,VLOOKUP(H510,[5]CU!$C$4:$H$255,6,FALSE))</f>
        <v>0</v>
      </c>
      <c r="O510" s="18"/>
      <c r="P510" s="18"/>
      <c r="Q510" s="18"/>
      <c r="R510" s="18"/>
      <c r="S510" s="24"/>
      <c r="T510" s="23" t="s">
        <v>67</v>
      </c>
      <c r="U510" s="18" t="s">
        <v>170</v>
      </c>
      <c r="V510" s="18" t="str">
        <f>IF(OR($H510="",$H510="sif",$H510="PM"),"",VLOOKUP($H510,[5]CU!$C$5:$J$255,8,FALSE))</f>
        <v/>
      </c>
      <c r="W510" s="18" t="s">
        <v>595</v>
      </c>
      <c r="X510" s="18" t="s">
        <v>578</v>
      </c>
      <c r="Y510" s="19" t="s">
        <v>32</v>
      </c>
      <c r="Z510" s="18" t="str">
        <f>A510 &amp; "-" &amp; VLOOKUP(A510,[4]PROGRAMMES!$E$1:$F$7,2,FALSE)</f>
        <v>1-Accès et équité à l'enseignement général</v>
      </c>
      <c r="AA510" s="19" t="str">
        <f>B510 &amp; "-" &amp; VLOOKUP(B510,[4]SOUSPROGRAMMES!$E$1:$F$44,2,FALSE)</f>
        <v xml:space="preserve">17- Santé et hygiène scolaires </v>
      </c>
      <c r="AB510" s="19" t="str">
        <f>C510 &amp; "-" &amp; VLOOKUP(C510,[4]RESULTATS!$E$1:$F$176,2,FALSE)</f>
        <v>172- La santé scolaire est améliorée au sein des écoles et établissements scolaires, y compris les FA</v>
      </c>
      <c r="AC510" s="20" t="str">
        <f>D510 &amp; "-" &amp; VLOOKUP(D510,[4]STRATEGIES!$E$1:$F$504,2,FALSE)</f>
        <v>1723-Octroi de kits d’hygiène aux filles issues des milieux défavorisés</v>
      </c>
      <c r="AD510" s="21" t="str">
        <f t="shared" si="106"/>
        <v>17233-Suivi/évaluation de la distribution des kits d'hygiène</v>
      </c>
    </row>
    <row r="511" spans="1:30" s="22" customFormat="1" ht="30" hidden="1" customHeight="1" x14ac:dyDescent="0.8">
      <c r="A511" s="14">
        <v>2</v>
      </c>
      <c r="B511" s="15">
        <v>2</v>
      </c>
      <c r="C511" s="15">
        <v>2</v>
      </c>
      <c r="D511" s="15">
        <v>2</v>
      </c>
      <c r="E511" s="15">
        <v>2</v>
      </c>
      <c r="F511" s="16" t="s">
        <v>641</v>
      </c>
      <c r="G511" s="17"/>
      <c r="H511" s="17"/>
      <c r="I511" s="18">
        <v>0</v>
      </c>
      <c r="J511" s="18"/>
      <c r="K511" s="18"/>
      <c r="L511" s="18"/>
      <c r="M511" s="18"/>
      <c r="N511" s="18"/>
      <c r="O511" s="18"/>
      <c r="P511" s="18"/>
      <c r="Q511" s="18"/>
      <c r="R511" s="18"/>
      <c r="S511" s="24"/>
      <c r="T511" s="18"/>
      <c r="U511" s="18"/>
      <c r="V511" s="18"/>
      <c r="W511" s="18"/>
      <c r="X511" s="18"/>
      <c r="Y511" s="19" t="s">
        <v>32</v>
      </c>
      <c r="Z511" s="18" t="str">
        <f>A511 &amp; "-" &amp; VLOOKUP(A511,[4]PROGRAMMES!$E$1:$F$7,2,FALSE)</f>
        <v>2-Qualité des enseignements et des apprentissages</v>
      </c>
      <c r="AA511" s="19" t="str">
        <f>B511 &amp; "-" &amp; VLOOKUP(B511,[4]SOUSPROGRAMMES!$E$1:$F$44,2,FALSE)</f>
        <v>2-Qualité des enseignements et des apprentissages</v>
      </c>
      <c r="AB511" s="19" t="str">
        <f>C511 &amp; "-" &amp; VLOOKUP(C511,[4]RESULTATS!$E$1:$F$176,2,FALSE)</f>
        <v>2-Qualité des enseignements et des apprentissages</v>
      </c>
      <c r="AC511" s="20" t="str">
        <f>D511 &amp; "-" &amp; VLOOKUP(D511,[4]STRATEGIES!$E$1:$F$504,2,FALSE)</f>
        <v>2-Qualité des enseignements et des apprentissages</v>
      </c>
      <c r="AD511" s="21" t="str">
        <f t="shared" si="106"/>
        <v>2-Qualité des enseignements et des apprentissages</v>
      </c>
    </row>
    <row r="512" spans="1:30" s="22" customFormat="1" ht="90" hidden="1" customHeight="1" x14ac:dyDescent="0.8">
      <c r="A512" s="14">
        <v>2</v>
      </c>
      <c r="B512" s="15">
        <v>21</v>
      </c>
      <c r="C512" s="15">
        <v>21</v>
      </c>
      <c r="D512" s="15">
        <v>21</v>
      </c>
      <c r="E512" s="15">
        <v>21</v>
      </c>
      <c r="F512" s="16" t="s">
        <v>642</v>
      </c>
      <c r="G512" s="17"/>
      <c r="H512" s="17"/>
      <c r="I512" s="18">
        <v>0</v>
      </c>
      <c r="J512" s="18"/>
      <c r="K512" s="18"/>
      <c r="L512" s="18"/>
      <c r="M512" s="18"/>
      <c r="N512" s="18"/>
      <c r="O512" s="18"/>
      <c r="P512" s="18"/>
      <c r="Q512" s="18"/>
      <c r="R512" s="18"/>
      <c r="S512" s="24"/>
      <c r="T512" s="18"/>
      <c r="U512" s="18"/>
      <c r="V512" s="18"/>
      <c r="W512" s="18"/>
      <c r="X512" s="18"/>
      <c r="Y512" s="19" t="s">
        <v>32</v>
      </c>
      <c r="Z512" s="18" t="str">
        <f>A512 &amp; "-" &amp; VLOOKUP(A512,[4]PROGRAMMES!$E$1:$F$7,2,FALSE)</f>
        <v>2-Qualité des enseignements et des apprentissages</v>
      </c>
      <c r="AA512" s="19" t="str">
        <f>B512 &amp; "-" &amp; VLOOKUP(B512,[4]SOUSPROGRAMMES!$E$1:$F$44,2,FALSE)</f>
        <v>21- Révision/ adaptation des curricula/programmes (place des sciences ; franco-arabe, intégration de l’éducation à la citoyenneté, l'éducation complète à la sexualité, éducation environnementale…)</v>
      </c>
      <c r="AB512" s="19" t="str">
        <f>C512 &amp; "-" &amp; VLOOKUP(C512,[4]RESULTATS!$E$1:$F$176,2,FALSE)</f>
        <v>21- Révision/ adaptation des curricula/programmes (place des sciences ; franco-arabe, intégration de l’éducation à la citoyenneté, l'éducation complète à la sexualité, éducation environnementale…)</v>
      </c>
      <c r="AC512" s="20" t="str">
        <f>D512 &amp; "-" &amp; VLOOKUP(D512,[4]STRATEGIES!$E$1:$F$504,2,FALSE)</f>
        <v>21- Révision/ adaptation des curricula/programmes (place des sciences ; franco-arabe, intégration de l’éducation à la citoyenneté, l'éducation complète à la sexualité, éducation environnementale…)</v>
      </c>
      <c r="AD512" s="21" t="str">
        <f t="shared" si="106"/>
        <v>21- Révision/ adaptation des curricula/programmes (place des sciences ; franco-arabe, intégration de l’éducation à la citoyenneté, l'éducation complète à la sexualité, éducation environnementale…)</v>
      </c>
    </row>
    <row r="513" spans="1:30" s="22" customFormat="1" ht="90" hidden="1" customHeight="1" x14ac:dyDescent="0.8">
      <c r="A513" s="14">
        <v>2</v>
      </c>
      <c r="B513" s="15">
        <v>21</v>
      </c>
      <c r="C513" s="15">
        <v>211</v>
      </c>
      <c r="D513" s="15">
        <v>211</v>
      </c>
      <c r="E513" s="15">
        <v>211</v>
      </c>
      <c r="F513" s="16" t="s">
        <v>643</v>
      </c>
      <c r="G513" s="17"/>
      <c r="H513" s="17"/>
      <c r="I513" s="18">
        <v>0</v>
      </c>
      <c r="J513" s="18"/>
      <c r="K513" s="18"/>
      <c r="L513" s="18"/>
      <c r="M513" s="18"/>
      <c r="N513" s="18"/>
      <c r="O513" s="18"/>
      <c r="P513" s="18"/>
      <c r="Q513" s="18"/>
      <c r="R513" s="18"/>
      <c r="S513" s="24"/>
      <c r="T513" s="18"/>
      <c r="U513" s="18"/>
      <c r="V513" s="18"/>
      <c r="W513" s="18"/>
      <c r="X513" s="18"/>
      <c r="Y513" s="19" t="s">
        <v>32</v>
      </c>
      <c r="Z513" s="18" t="str">
        <f>A513 &amp; "-" &amp; VLOOKUP(A513,[4]PROGRAMMES!$E$1:$F$7,2,FALSE)</f>
        <v>2-Qualité des enseignements et des apprentissages</v>
      </c>
      <c r="AA513" s="19" t="str">
        <f>B513 &amp; "-" &amp; VLOOKUP(B513,[4]SOUSPROGRAMMES!$E$1:$F$44,2,FALSE)</f>
        <v>21- Révision/ adaptation des curricula/programmes (place des sciences ; franco-arabe, intégration de l’éducation à la citoyenneté, l'éducation complète à la sexualité, éducation environnementale…)</v>
      </c>
      <c r="AB513" s="19" t="str">
        <f>C513 &amp; "-" &amp; VLOOKUP(C513,[4]RESULTATS!$E$1:$F$176,2,FALSE)</f>
        <v>211- les contenus des programmes (du préscolaire, du primaire, 1er et second cycle du secondaire) sont progressivement révisés, adaptés et diversifiés</v>
      </c>
      <c r="AC513" s="20" t="str">
        <f>D513 &amp; "-" &amp; VLOOKUP(D513,[4]STRATEGIES!$E$1:$F$504,2,FALSE)</f>
        <v>211- les contenus des programmes (du préscolaire, du primaire, 1er et second cycle du secondaire) sont progressivement révisés, adaptés et diversifiés</v>
      </c>
      <c r="AD513" s="21" t="str">
        <f t="shared" si="106"/>
        <v>211- les contenus des programmes (du préscolaire, du primaire, 1er et second cycle du secondaire) sont progressivement révisés, adaptés et diversifiés</v>
      </c>
    </row>
    <row r="514" spans="1:30" s="22" customFormat="1" ht="90" hidden="1" customHeight="1" x14ac:dyDescent="0.8">
      <c r="A514" s="14">
        <v>2</v>
      </c>
      <c r="B514" s="15">
        <v>21</v>
      </c>
      <c r="C514" s="15">
        <v>211</v>
      </c>
      <c r="D514" s="15">
        <v>2111</v>
      </c>
      <c r="E514" s="15">
        <v>2111</v>
      </c>
      <c r="F514" s="16" t="s">
        <v>644</v>
      </c>
      <c r="G514" s="17"/>
      <c r="H514" s="17"/>
      <c r="I514" s="18">
        <v>0</v>
      </c>
      <c r="J514" s="18"/>
      <c r="K514" s="18"/>
      <c r="L514" s="18"/>
      <c r="M514" s="18"/>
      <c r="N514" s="18"/>
      <c r="O514" s="18"/>
      <c r="P514" s="18"/>
      <c r="Q514" s="18"/>
      <c r="R514" s="18"/>
      <c r="S514" s="24"/>
      <c r="T514" s="18"/>
      <c r="U514" s="18"/>
      <c r="V514" s="18"/>
      <c r="W514" s="18"/>
      <c r="X514" s="18"/>
      <c r="Y514" s="19" t="s">
        <v>32</v>
      </c>
      <c r="Z514" s="18" t="str">
        <f>A514 &amp; "-" &amp; VLOOKUP(A514,[4]PROGRAMMES!$E$1:$F$7,2,FALSE)</f>
        <v>2-Qualité des enseignements et des apprentissages</v>
      </c>
      <c r="AA514" s="19" t="str">
        <f>B514 &amp; "-" &amp; VLOOKUP(B514,[4]SOUSPROGRAMMES!$E$1:$F$44,2,FALSE)</f>
        <v>21- Révision/ adaptation des curricula/programmes (place des sciences ; franco-arabe, intégration de l’éducation à la citoyenneté, l'éducation complète à la sexualité, éducation environnementale…)</v>
      </c>
      <c r="AB514" s="19" t="str">
        <f>C514 &amp; "-" &amp; VLOOKUP(C514,[4]RESULTATS!$E$1:$F$176,2,FALSE)</f>
        <v>211- les contenus des programmes (du préscolaire, du primaire, 1er et second cycle du secondaire) sont progressivement révisés, adaptés et diversifiés</v>
      </c>
      <c r="AC514" s="20" t="str">
        <f>D514 &amp; "-" &amp; VLOOKUP(D514,[4]STRATEGIES!$E$1:$F$504,2,FALSE)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4" s="21" t="str">
        <f t="shared" si="106"/>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row>
    <row r="515" spans="1:30" s="22" customFormat="1" ht="90" hidden="1" customHeight="1" x14ac:dyDescent="0.8">
      <c r="A515" s="14">
        <v>2</v>
      </c>
      <c r="B515" s="15">
        <v>21</v>
      </c>
      <c r="C515" s="15">
        <v>211</v>
      </c>
      <c r="D515" s="15">
        <v>2111</v>
      </c>
      <c r="E515" s="15">
        <v>21111</v>
      </c>
      <c r="F515" s="16" t="s">
        <v>645</v>
      </c>
      <c r="G515" s="21" t="s">
        <v>167</v>
      </c>
      <c r="H515" s="17" t="s">
        <v>646</v>
      </c>
      <c r="I515" s="18">
        <v>0</v>
      </c>
      <c r="J515" s="18"/>
      <c r="K515" s="18"/>
      <c r="L515" s="18"/>
      <c r="M515" s="18">
        <f t="shared" si="117"/>
        <v>0</v>
      </c>
      <c r="N515" s="18">
        <f>IF(OR(H515="",H515="sif",H515="PM"),0,VLOOKUP(H515,[5]CU!$C$4:$H$255,6,FALSE))</f>
        <v>10.404797</v>
      </c>
      <c r="O515" s="18">
        <f t="shared" ref="O515:R516" si="121">$N515*I515</f>
        <v>0</v>
      </c>
      <c r="P515" s="18">
        <f t="shared" si="121"/>
        <v>0</v>
      </c>
      <c r="Q515" s="18">
        <f t="shared" si="121"/>
        <v>0</v>
      </c>
      <c r="R515" s="18">
        <f t="shared" si="121"/>
        <v>0</v>
      </c>
      <c r="S515" s="24">
        <f>SUM(O515:R515)</f>
        <v>0</v>
      </c>
      <c r="T515" s="23" t="s">
        <v>178</v>
      </c>
      <c r="U515" s="18" t="s">
        <v>647</v>
      </c>
      <c r="V515" s="18" t="str">
        <f>IF(OR($H515="",$H515="sif",$H515="PM"),"",VLOOKUP($H515,[5]CU!$C$5:$J$255,8,FALSE))</f>
        <v>3. Dépenses de fonctionnement</v>
      </c>
      <c r="W515" s="18" t="s">
        <v>255</v>
      </c>
      <c r="X515" s="18" t="s">
        <v>347</v>
      </c>
      <c r="Y515" s="19" t="s">
        <v>32</v>
      </c>
      <c r="Z515" s="18" t="str">
        <f>A515 &amp; "-" &amp; VLOOKUP(A515,[4]PROGRAMMES!$E$1:$F$7,2,FALSE)</f>
        <v>2-Qualité des enseignements et des apprentissages</v>
      </c>
      <c r="AA515" s="19" t="str">
        <f>B515 &amp; "-" &amp; VLOOKUP(B515,[4]SOUSPROGRAMMES!$E$1:$F$44,2,FALSE)</f>
        <v>21- Révision/ adaptation des curricula/programmes (place des sciences ; franco-arabe, intégration de l’éducation à la citoyenneté, l'éducation complète à la sexualité, éducation environnementale…)</v>
      </c>
      <c r="AB515" s="19" t="str">
        <f>C515 &amp; "-" &amp; VLOOKUP(C515,[4]RESULTATS!$E$1:$F$176,2,FALSE)</f>
        <v>211- les contenus des programmes (du préscolaire, du primaire, 1er et second cycle du secondaire) sont progressivement révisés, adaptés et diversifiés</v>
      </c>
      <c r="AC515" s="20" t="str">
        <f>D515 &amp; "-" &amp; VLOOKUP(D515,[4]STRATEGIES!$E$1:$F$504,2,FALSE)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5" s="21" t="str">
        <f t="shared" si="106"/>
        <v>21111-Etudes pour l'élargissement de l'éducation de base (curriculas, examens,  architecture des collèges de petite taille, évolution du profils des enseignants) et diversification des filières au secondaire</v>
      </c>
    </row>
    <row r="516" spans="1:30" s="22" customFormat="1" ht="90" hidden="1" customHeight="1" x14ac:dyDescent="0.8">
      <c r="A516" s="14">
        <v>2</v>
      </c>
      <c r="B516" s="15">
        <v>21</v>
      </c>
      <c r="C516" s="15">
        <v>211</v>
      </c>
      <c r="D516" s="15">
        <v>2111</v>
      </c>
      <c r="E516" s="15">
        <v>21112</v>
      </c>
      <c r="F516" s="16" t="s">
        <v>648</v>
      </c>
      <c r="G516" s="21" t="s">
        <v>649</v>
      </c>
      <c r="H516" s="17" t="s">
        <v>295</v>
      </c>
      <c r="I516" s="18">
        <v>0</v>
      </c>
      <c r="J516" s="18"/>
      <c r="K516" s="18"/>
      <c r="L516" s="18"/>
      <c r="M516" s="18">
        <f t="shared" si="117"/>
        <v>0</v>
      </c>
      <c r="N516" s="18">
        <f>IF(OR(H516="",H516="sif",H516="PM"),0,VLOOKUP(H516,[5]CU!$C$4:$H$255,6,FALSE))</f>
        <v>40.32</v>
      </c>
      <c r="O516" s="18">
        <f t="shared" si="121"/>
        <v>0</v>
      </c>
      <c r="P516" s="18">
        <f t="shared" si="121"/>
        <v>0</v>
      </c>
      <c r="Q516" s="18">
        <f t="shared" si="121"/>
        <v>0</v>
      </c>
      <c r="R516" s="18">
        <f t="shared" si="121"/>
        <v>0</v>
      </c>
      <c r="S516" s="24">
        <f>SUM(O516:R516)</f>
        <v>0</v>
      </c>
      <c r="T516" s="23" t="s">
        <v>178</v>
      </c>
      <c r="U516" s="18" t="s">
        <v>647</v>
      </c>
      <c r="V516" s="18" t="str">
        <f>IF(OR($H516="",$H516="sif",$H516="PM"),"",VLOOKUP($H516,[5]CU!$C$5:$J$255,8,FALSE))</f>
        <v>3. Formation</v>
      </c>
      <c r="W516" s="18" t="s">
        <v>255</v>
      </c>
      <c r="X516" s="18" t="s">
        <v>347</v>
      </c>
      <c r="Y516" s="19" t="s">
        <v>32</v>
      </c>
      <c r="Z516" s="18" t="str">
        <f>A516 &amp; "-" &amp; VLOOKUP(A516,[4]PROGRAMMES!$E$1:$F$7,2,FALSE)</f>
        <v>2-Qualité des enseignements et des apprentissages</v>
      </c>
      <c r="AA516" s="19" t="str">
        <f>B516 &amp; "-" &amp; VLOOKUP(B516,[4]SOUSPROGRAMMES!$E$1:$F$44,2,FALSE)</f>
        <v>21- Révision/ adaptation des curricula/programmes (place des sciences ; franco-arabe, intégration de l’éducation à la citoyenneté, l'éducation complète à la sexualité, éducation environnementale…)</v>
      </c>
      <c r="AB516" s="19" t="str">
        <f>C516 &amp; "-" &amp; VLOOKUP(C516,[4]RESULTATS!$E$1:$F$176,2,FALSE)</f>
        <v>211- les contenus des programmes (du préscolaire, du primaire, 1er et second cycle du secondaire) sont progressivement révisés, adaptés et diversifiés</v>
      </c>
      <c r="AC516" s="20" t="str">
        <f>D516 &amp; "-" &amp; VLOOKUP(D516,[4]STRATEGIES!$E$1:$F$504,2,FALSE)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6" s="21" t="str">
        <f t="shared" ref="AD516:AD579" si="122">E516 &amp; "-" &amp; F516</f>
        <v>21112-Organisation d'un voyage d'étude sur l'élargissement de l'éducation de base (pays d'Afrique)</v>
      </c>
    </row>
    <row r="517" spans="1:30" s="22" customFormat="1" ht="90" hidden="1" customHeight="1" x14ac:dyDescent="0.8">
      <c r="A517" s="14">
        <v>2</v>
      </c>
      <c r="B517" s="15">
        <v>21</v>
      </c>
      <c r="C517" s="15">
        <v>211</v>
      </c>
      <c r="D517" s="15">
        <v>2111</v>
      </c>
      <c r="E517" s="15">
        <v>21113</v>
      </c>
      <c r="F517" s="16" t="s">
        <v>650</v>
      </c>
      <c r="G517" s="21" t="s">
        <v>651</v>
      </c>
      <c r="H517" s="17" t="s">
        <v>55</v>
      </c>
      <c r="I517" s="18">
        <v>0</v>
      </c>
      <c r="J517" s="18">
        <v>1</v>
      </c>
      <c r="K517" s="18"/>
      <c r="L517" s="18"/>
      <c r="M517" s="18">
        <f t="shared" si="117"/>
        <v>1</v>
      </c>
      <c r="N517" s="18">
        <f>IF(OR(H517="",H517="sif",H517="PM"),0,VLOOKUP(H517,[5]CU!$C$4:$H$255,6,FALSE))</f>
        <v>0</v>
      </c>
      <c r="O517" s="18"/>
      <c r="P517" s="18"/>
      <c r="Q517" s="18"/>
      <c r="R517" s="18"/>
      <c r="S517" s="24"/>
      <c r="T517" s="23" t="s">
        <v>56</v>
      </c>
      <c r="U517" s="18" t="s">
        <v>647</v>
      </c>
      <c r="V517" s="18" t="str">
        <f>IF(OR($H517="",$H517="sif",$H517="PM"),"",VLOOKUP($H517,[5]CU!$C$5:$J$255,8,FALSE))</f>
        <v/>
      </c>
      <c r="W517" s="18" t="s">
        <v>255</v>
      </c>
      <c r="X517" s="18" t="s">
        <v>347</v>
      </c>
      <c r="Y517" s="19" t="s">
        <v>32</v>
      </c>
      <c r="Z517" s="18" t="str">
        <f>A517 &amp; "-" &amp; VLOOKUP(A517,[4]PROGRAMMES!$E$1:$F$7,2,FALSE)</f>
        <v>2-Qualité des enseignements et des apprentissages</v>
      </c>
      <c r="AA517" s="19" t="str">
        <f>B517 &amp; "-" &amp; VLOOKUP(B517,[4]SOUSPROGRAMMES!$E$1:$F$44,2,FALSE)</f>
        <v>21- Révision/ adaptation des curricula/programmes (place des sciences ; franco-arabe, intégration de l’éducation à la citoyenneté, l'éducation complète à la sexualité, éducation environnementale…)</v>
      </c>
      <c r="AB517" s="19" t="str">
        <f>C517 &amp; "-" &amp; VLOOKUP(C517,[4]RESULTATS!$E$1:$F$176,2,FALSE)</f>
        <v>211- les contenus des programmes (du préscolaire, du primaire, 1er et second cycle du secondaire) sont progressivement révisés, adaptés et diversifiés</v>
      </c>
      <c r="AC517" s="20" t="str">
        <f>D517 &amp; "-" &amp; VLOOKUP(D517,[4]STRATEGIES!$E$1:$F$504,2,FALSE)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7" s="21" t="str">
        <f t="shared" si="122"/>
        <v>21113-Mise en place de l'équipe chargée du pilotage de la révision des programmes (préscolaire, primaire, collège et lycée et de la formation initiale des enseignants)</v>
      </c>
    </row>
    <row r="518" spans="1:30" s="22" customFormat="1" ht="90" hidden="1" customHeight="1" x14ac:dyDescent="0.8">
      <c r="A518" s="14">
        <v>2</v>
      </c>
      <c r="B518" s="15">
        <v>21</v>
      </c>
      <c r="C518" s="15">
        <v>211</v>
      </c>
      <c r="D518" s="15">
        <v>2111</v>
      </c>
      <c r="E518" s="15">
        <v>21114</v>
      </c>
      <c r="F518" s="16" t="s">
        <v>652</v>
      </c>
      <c r="G518" s="21" t="s">
        <v>88</v>
      </c>
      <c r="H518" s="17" t="s">
        <v>55</v>
      </c>
      <c r="I518" s="18">
        <v>0</v>
      </c>
      <c r="J518" s="18">
        <v>1</v>
      </c>
      <c r="K518" s="18"/>
      <c r="L518" s="18"/>
      <c r="M518" s="18">
        <f t="shared" si="117"/>
        <v>1</v>
      </c>
      <c r="N518" s="18">
        <f>IF(OR(H518="",H518="sif",H518="PM"),0,VLOOKUP(H518,[5]CU!$C$4:$H$255,6,FALSE))</f>
        <v>0</v>
      </c>
      <c r="O518" s="18"/>
      <c r="P518" s="18"/>
      <c r="Q518" s="18"/>
      <c r="R518" s="18"/>
      <c r="S518" s="24"/>
      <c r="T518" s="23" t="s">
        <v>56</v>
      </c>
      <c r="U518" s="18" t="s">
        <v>647</v>
      </c>
      <c r="V518" s="18" t="str">
        <f>IF(OR($H518="",$H518="sif",$H518="PM"),"",VLOOKUP($H518,[5]CU!$C$5:$J$255,8,FALSE))</f>
        <v/>
      </c>
      <c r="W518" s="18" t="s">
        <v>653</v>
      </c>
      <c r="X518" s="18" t="s">
        <v>347</v>
      </c>
      <c r="Y518" s="19" t="s">
        <v>32</v>
      </c>
      <c r="Z518" s="18" t="str">
        <f>A518 &amp; "-" &amp; VLOOKUP(A518,[4]PROGRAMMES!$E$1:$F$7,2,FALSE)</f>
        <v>2-Qualité des enseignements et des apprentissages</v>
      </c>
      <c r="AA518" s="19" t="str">
        <f>B518 &amp; "-" &amp; VLOOKUP(B518,[4]SOUSPROGRAMMES!$E$1:$F$44,2,FALSE)</f>
        <v>21- Révision/ adaptation des curricula/programmes (place des sciences ; franco-arabe, intégration de l’éducation à la citoyenneté, l'éducation complète à la sexualité, éducation environnementale…)</v>
      </c>
      <c r="AB518" s="19" t="str">
        <f>C518 &amp; "-" &amp; VLOOKUP(C518,[4]RESULTATS!$E$1:$F$176,2,FALSE)</f>
        <v>211- les contenus des programmes (du préscolaire, du primaire, 1er et second cycle du secondaire) sont progressivement révisés, adaptés et diversifiés</v>
      </c>
      <c r="AC518" s="20" t="str">
        <f>D518 &amp; "-" &amp; VLOOKUP(D518,[4]STRATEGIES!$E$1:$F$504,2,FALSE)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8" s="21" t="str">
        <f t="shared" si="122"/>
        <v>21114-Elaboration des TdR et recrutement d'une assistance technique pour la déFinition des profils de sortie de différents niveaux et l'élaboration d'un cahier de charges et d'un plan d'actions pour la révision des curricula</v>
      </c>
    </row>
    <row r="519" spans="1:30" s="22" customFormat="1" ht="90" hidden="1" customHeight="1" x14ac:dyDescent="0.8">
      <c r="A519" s="14">
        <v>2</v>
      </c>
      <c r="B519" s="15">
        <v>21</v>
      </c>
      <c r="C519" s="15">
        <v>211</v>
      </c>
      <c r="D519" s="15">
        <v>2111</v>
      </c>
      <c r="E519" s="15">
        <v>21115</v>
      </c>
      <c r="F519" s="16" t="s">
        <v>654</v>
      </c>
      <c r="G519" s="21" t="s">
        <v>167</v>
      </c>
      <c r="H519" s="17" t="s">
        <v>646</v>
      </c>
      <c r="I519" s="18">
        <v>0</v>
      </c>
      <c r="J519" s="18">
        <f>2*15*2</f>
        <v>60</v>
      </c>
      <c r="K519" s="18">
        <f>2*15</f>
        <v>30</v>
      </c>
      <c r="L519" s="18"/>
      <c r="M519" s="18">
        <f t="shared" si="117"/>
        <v>90</v>
      </c>
      <c r="N519" s="18">
        <f>IF(OR(H519="",H519="sif",H519="PM"),0,VLOOKUP(H519,[5]CU!$C$4:$H$255,6,FALSE))</f>
        <v>10.404797</v>
      </c>
      <c r="O519" s="18">
        <f t="shared" ref="O519:R521" si="123">$N519*I519</f>
        <v>0</v>
      </c>
      <c r="P519" s="18">
        <f t="shared" si="123"/>
        <v>624.28782000000001</v>
      </c>
      <c r="Q519" s="18">
        <f t="shared" si="123"/>
        <v>312.14391000000001</v>
      </c>
      <c r="R519" s="18">
        <f t="shared" si="123"/>
        <v>0</v>
      </c>
      <c r="S519" s="24">
        <f>SUM(O519:R519)</f>
        <v>936.43173000000002</v>
      </c>
      <c r="T519" s="23" t="s">
        <v>39</v>
      </c>
      <c r="U519" s="19" t="s">
        <v>647</v>
      </c>
      <c r="V519" s="19" t="str">
        <f>IF(OR($H519="",$H519="sif",$H519="PM"),"",VLOOKUP($H519,[5]CU!$C$5:$J$255,8,FALSE))</f>
        <v>3. Dépenses de fonctionnement</v>
      </c>
      <c r="W519" s="19" t="s">
        <v>655</v>
      </c>
      <c r="X519" s="19" t="s">
        <v>347</v>
      </c>
      <c r="Y519" s="19" t="s">
        <v>32</v>
      </c>
      <c r="Z519" s="18" t="str">
        <f>A519 &amp; "-" &amp; VLOOKUP(A519,[4]PROGRAMMES!$E$1:$F$7,2,FALSE)</f>
        <v>2-Qualité des enseignements et des apprentissages</v>
      </c>
      <c r="AA519" s="19" t="str">
        <f>B519 &amp; "-" &amp; VLOOKUP(B519,[4]SOUSPROGRAMMES!$E$1:$F$44,2,FALSE)</f>
        <v>21- Révision/ adaptation des curricula/programmes (place des sciences ; franco-arabe, intégration de l’éducation à la citoyenneté, l'éducation complète à la sexualité, éducation environnementale…)</v>
      </c>
      <c r="AB519" s="19" t="str">
        <f>C519 &amp; "-" &amp; VLOOKUP(C519,[4]RESULTATS!$E$1:$F$176,2,FALSE)</f>
        <v>211- les contenus des programmes (du préscolaire, du primaire, 1er et second cycle du secondaire) sont progressivement révisés, adaptés et diversifiés</v>
      </c>
      <c r="AC519" s="20" t="str">
        <f>D519 &amp; "-" &amp; VLOOKUP(D519,[4]STRATEGIES!$E$1:$F$504,2,FALSE)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19" s="21" t="str">
        <f t="shared" si="122"/>
        <v>21115-Elaboration des profils de sortie, du cahier des charges et du plan d'actions (Directions : préscolaire, Enseignement fondamental, Enseignement secondaire)</v>
      </c>
    </row>
    <row r="520" spans="1:30" s="22" customFormat="1" ht="90" hidden="1" customHeight="1" x14ac:dyDescent="0.8">
      <c r="A520" s="14">
        <v>2</v>
      </c>
      <c r="B520" s="15">
        <v>21</v>
      </c>
      <c r="C520" s="15">
        <v>211</v>
      </c>
      <c r="D520" s="15">
        <v>2111</v>
      </c>
      <c r="E520" s="15">
        <v>21116</v>
      </c>
      <c r="F520" s="16" t="s">
        <v>656</v>
      </c>
      <c r="G520" s="21" t="s">
        <v>37</v>
      </c>
      <c r="H520" s="17" t="s">
        <v>38</v>
      </c>
      <c r="I520" s="18">
        <v>0</v>
      </c>
      <c r="J520" s="18"/>
      <c r="K520" s="18">
        <f>25*5*2</f>
        <v>250</v>
      </c>
      <c r="L520" s="18"/>
      <c r="M520" s="18">
        <f t="shared" si="117"/>
        <v>250</v>
      </c>
      <c r="N520" s="18">
        <f>IF(OR(H520="",H520="sif",H520="PM"),0,VLOOKUP(H520,[5]CU!$C$4:$H$255,6,FALSE))</f>
        <v>0.3133333333333333</v>
      </c>
      <c r="O520" s="18">
        <f t="shared" si="123"/>
        <v>0</v>
      </c>
      <c r="P520" s="18">
        <f t="shared" si="123"/>
        <v>0</v>
      </c>
      <c r="Q520" s="18">
        <f t="shared" si="123"/>
        <v>78.333333333333329</v>
      </c>
      <c r="R520" s="18">
        <f t="shared" si="123"/>
        <v>0</v>
      </c>
      <c r="S520" s="24">
        <f>SUM(O520:R520)</f>
        <v>78.333333333333329</v>
      </c>
      <c r="T520" s="23" t="s">
        <v>39</v>
      </c>
      <c r="U520" s="19" t="s">
        <v>647</v>
      </c>
      <c r="V520" s="19" t="str">
        <f>IF(OR($H520="",$H520="sif",$H520="PM"),"",VLOOKUP($H520,[5]CU!$C$5:$J$255,8,FALSE))</f>
        <v>3. Formation</v>
      </c>
      <c r="W520" s="19" t="s">
        <v>655</v>
      </c>
      <c r="X520" s="19" t="s">
        <v>347</v>
      </c>
      <c r="Y520" s="19" t="s">
        <v>32</v>
      </c>
      <c r="Z520" s="18" t="str">
        <f>A520 &amp; "-" &amp; VLOOKUP(A520,[4]PROGRAMMES!$E$1:$F$7,2,FALSE)</f>
        <v>2-Qualité des enseignements et des apprentissages</v>
      </c>
      <c r="AA520" s="19" t="str">
        <f>B520 &amp; "-" &amp; VLOOKUP(B520,[4]SOUSPROGRAMMES!$E$1:$F$44,2,FALSE)</f>
        <v>21- Révision/ adaptation des curricula/programmes (place des sciences ; franco-arabe, intégration de l’éducation à la citoyenneté, l'éducation complète à la sexualité, éducation environnementale…)</v>
      </c>
      <c r="AB520" s="19" t="str">
        <f>C520 &amp; "-" &amp; VLOOKUP(C520,[4]RESULTATS!$E$1:$F$176,2,FALSE)</f>
        <v>211- les contenus des programmes (du préscolaire, du primaire, 1er et second cycle du secondaire) sont progressivement révisés, adaptés et diversifiés</v>
      </c>
      <c r="AC520" s="20" t="str">
        <f>D520 &amp; "-" &amp; VLOOKUP(D520,[4]STRATEGIES!$E$1:$F$504,2,FALSE)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20" s="21" t="str">
        <f t="shared" si="122"/>
        <v>21116-Concertation et partage</v>
      </c>
    </row>
    <row r="521" spans="1:30" s="22" customFormat="1" ht="90" hidden="1" customHeight="1" x14ac:dyDescent="0.8">
      <c r="A521" s="14">
        <v>2</v>
      </c>
      <c r="B521" s="15">
        <v>21</v>
      </c>
      <c r="C521" s="15">
        <v>211</v>
      </c>
      <c r="D521" s="15">
        <v>2111</v>
      </c>
      <c r="E521" s="15">
        <v>21117</v>
      </c>
      <c r="F521" s="16" t="s">
        <v>657</v>
      </c>
      <c r="G521" s="21" t="s">
        <v>37</v>
      </c>
      <c r="H521" s="17" t="s">
        <v>38</v>
      </c>
      <c r="I521" s="18">
        <v>0</v>
      </c>
      <c r="J521" s="18"/>
      <c r="K521" s="18">
        <f>25*3</f>
        <v>75</v>
      </c>
      <c r="L521" s="18"/>
      <c r="M521" s="18">
        <f t="shared" si="117"/>
        <v>75</v>
      </c>
      <c r="N521" s="18">
        <f>IF(OR(H521="",H521="sif",H521="PM"),0,VLOOKUP(H521,[5]CU!$C$4:$H$255,6,FALSE))</f>
        <v>0.3133333333333333</v>
      </c>
      <c r="O521" s="18">
        <f t="shared" si="123"/>
        <v>0</v>
      </c>
      <c r="P521" s="18">
        <f t="shared" si="123"/>
        <v>0</v>
      </c>
      <c r="Q521" s="18">
        <f t="shared" si="123"/>
        <v>23.499999999999996</v>
      </c>
      <c r="R521" s="18">
        <f t="shared" si="123"/>
        <v>0</v>
      </c>
      <c r="S521" s="24">
        <f>SUM(O521:R521)</f>
        <v>23.499999999999996</v>
      </c>
      <c r="T521" s="23" t="s">
        <v>39</v>
      </c>
      <c r="U521" s="19" t="s">
        <v>647</v>
      </c>
      <c r="V521" s="19" t="str">
        <f>IF(OR($H521="",$H521="sif",$H521="PM"),"",VLOOKUP($H521,[5]CU!$C$5:$J$255,8,FALSE))</f>
        <v>3. Formation</v>
      </c>
      <c r="W521" s="19" t="s">
        <v>655</v>
      </c>
      <c r="X521" s="19" t="s">
        <v>347</v>
      </c>
      <c r="Y521" s="19" t="s">
        <v>32</v>
      </c>
      <c r="Z521" s="18" t="str">
        <f>A521 &amp; "-" &amp; VLOOKUP(A521,[4]PROGRAMMES!$E$1:$F$7,2,FALSE)</f>
        <v>2-Qualité des enseignements et des apprentissages</v>
      </c>
      <c r="AA521" s="19" t="str">
        <f>B521 &amp; "-" &amp; VLOOKUP(B521,[4]SOUSPROGRAMMES!$E$1:$F$44,2,FALSE)</f>
        <v>21- Révision/ adaptation des curricula/programmes (place des sciences ; franco-arabe, intégration de l’éducation à la citoyenneté, l'éducation complète à la sexualité, éducation environnementale…)</v>
      </c>
      <c r="AB521" s="19" t="str">
        <f>C521 &amp; "-" &amp; VLOOKUP(C521,[4]RESULTATS!$E$1:$F$176,2,FALSE)</f>
        <v>211- les contenus des programmes (du préscolaire, du primaire, 1er et second cycle du secondaire) sont progressivement révisés, adaptés et diversifiés</v>
      </c>
      <c r="AC521" s="20" t="str">
        <f>D521 &amp; "-" &amp; VLOOKUP(D521,[4]STRATEGIES!$E$1:$F$504,2,FALSE)</f>
        <v>2111-Préparation de la mise en œuvre de nouveaux curricula en mettant un accent sur les compétences (ie exploration des opportunités pour adapter le curricula aux besoins des zones, éducation environnementale, éducation complète à la sexualité, éducation inclusive, éducation civique)</v>
      </c>
      <c r="AD521" s="21" t="str">
        <f t="shared" si="122"/>
        <v>21117-Validation des profils</v>
      </c>
    </row>
    <row r="522" spans="1:30" s="22" customFormat="1" ht="90" hidden="1" customHeight="1" x14ac:dyDescent="0.8">
      <c r="A522" s="14">
        <v>2</v>
      </c>
      <c r="B522" s="15">
        <v>21</v>
      </c>
      <c r="C522" s="15">
        <v>211</v>
      </c>
      <c r="D522" s="15">
        <v>2112</v>
      </c>
      <c r="E522" s="15">
        <v>2112</v>
      </c>
      <c r="F522" s="16" t="s">
        <v>658</v>
      </c>
      <c r="G522" s="17"/>
      <c r="H522" s="17"/>
      <c r="I522" s="18">
        <v>0</v>
      </c>
      <c r="J522" s="18"/>
      <c r="K522" s="18"/>
      <c r="L522" s="18"/>
      <c r="M522" s="18"/>
      <c r="N522" s="18"/>
      <c r="O522" s="18"/>
      <c r="P522" s="18"/>
      <c r="Q522" s="18"/>
      <c r="R522" s="18"/>
      <c r="S522" s="24"/>
      <c r="T522" s="18"/>
      <c r="U522" s="18"/>
      <c r="V522" s="18"/>
      <c r="W522" s="18"/>
      <c r="X522" s="18"/>
      <c r="Y522" s="19" t="s">
        <v>32</v>
      </c>
      <c r="Z522" s="18" t="str">
        <f>A522 &amp; "-" &amp; VLOOKUP(A522,[4]PROGRAMMES!$E$1:$F$7,2,FALSE)</f>
        <v>2-Qualité des enseignements et des apprentissages</v>
      </c>
      <c r="AA522" s="19" t="str">
        <f>B522 &amp; "-" &amp; VLOOKUP(B522,[4]SOUSPROGRAMMES!$E$1:$F$44,2,FALSE)</f>
        <v>21- Révision/ adaptation des curricula/programmes (place des sciences ; franco-arabe, intégration de l’éducation à la citoyenneté, l'éducation complète à la sexualité, éducation environnementale…)</v>
      </c>
      <c r="AB522" s="19" t="str">
        <f>C522 &amp; "-" &amp; VLOOKUP(C522,[4]RESULTATS!$E$1:$F$176,2,FALSE)</f>
        <v>211- les contenus des programmes (du préscolaire, du primaire, 1er et second cycle du secondaire) sont progressivement révisés, adaptés et diversifiés</v>
      </c>
      <c r="AC522" s="20" t="str">
        <f>D522 &amp; "-" &amp; VLOOKUP(D522,[4]STRATEGIES!$E$1:$F$504,2,FALSE)</f>
        <v>2112-Conception/élaboration et expérimentation de nouveaux curricula/programmes</v>
      </c>
      <c r="AD522" s="21" t="str">
        <f t="shared" si="122"/>
        <v>2112-Conception/élaboration et expérimentation de nouveaux curricula/programmes</v>
      </c>
    </row>
    <row r="523" spans="1:30" s="22" customFormat="1" ht="90" hidden="1" customHeight="1" x14ac:dyDescent="0.8">
      <c r="A523" s="14">
        <v>2</v>
      </c>
      <c r="B523" s="15">
        <v>21</v>
      </c>
      <c r="C523" s="15">
        <v>211</v>
      </c>
      <c r="D523" s="15">
        <v>2112</v>
      </c>
      <c r="E523" s="15">
        <v>21121</v>
      </c>
      <c r="F523" s="16" t="s">
        <v>659</v>
      </c>
      <c r="G523" s="21" t="s">
        <v>660</v>
      </c>
      <c r="H523" s="17" t="s">
        <v>55</v>
      </c>
      <c r="I523" s="18">
        <v>0</v>
      </c>
      <c r="J523" s="18"/>
      <c r="K523" s="18">
        <v>1</v>
      </c>
      <c r="L523" s="18"/>
      <c r="M523" s="18">
        <f t="shared" si="117"/>
        <v>1</v>
      </c>
      <c r="N523" s="18">
        <f>IF(OR(H523="",H523="sif",H523="PM"),0,VLOOKUP(H523,[5]CU!$C$4:$H$255,6,FALSE))</f>
        <v>0</v>
      </c>
      <c r="O523" s="18"/>
      <c r="P523" s="18"/>
      <c r="Q523" s="18"/>
      <c r="R523" s="18"/>
      <c r="S523" s="24"/>
      <c r="T523" s="23" t="s">
        <v>56</v>
      </c>
      <c r="U523" s="18" t="s">
        <v>647</v>
      </c>
      <c r="V523" s="18" t="str">
        <f>IF(OR($H523="",$H523="sif",$H523="PM"),"",VLOOKUP($H523,[5]CU!$C$5:$J$255,8,FALSE))</f>
        <v/>
      </c>
      <c r="W523" s="18" t="s">
        <v>255</v>
      </c>
      <c r="X523" s="18" t="s">
        <v>655</v>
      </c>
      <c r="Y523" s="19" t="s">
        <v>32</v>
      </c>
      <c r="Z523" s="18" t="str">
        <f>A523 &amp; "-" &amp; VLOOKUP(A523,[4]PROGRAMMES!$E$1:$F$7,2,FALSE)</f>
        <v>2-Qualité des enseignements et des apprentissages</v>
      </c>
      <c r="AA523" s="19" t="str">
        <f>B523 &amp; "-" &amp; VLOOKUP(B523,[4]SOUSPROGRAMMES!$E$1:$F$44,2,FALSE)</f>
        <v>21- Révision/ adaptation des curricula/programmes (place des sciences ; franco-arabe, intégration de l’éducation à la citoyenneté, l'éducation complète à la sexualité, éducation environnementale…)</v>
      </c>
      <c r="AB523" s="19" t="str">
        <f>C523 &amp; "-" &amp; VLOOKUP(C523,[4]RESULTATS!$E$1:$F$176,2,FALSE)</f>
        <v>211- les contenus des programmes (du préscolaire, du primaire, 1er et second cycle du secondaire) sont progressivement révisés, adaptés et diversifiés</v>
      </c>
      <c r="AC523" s="20" t="str">
        <f>D523 &amp; "-" &amp; VLOOKUP(D523,[4]STRATEGIES!$E$1:$F$504,2,FALSE)</f>
        <v>2112-Conception/élaboration et expérimentation de nouveaux curricula/programmes</v>
      </c>
      <c r="AD523" s="21" t="str">
        <f t="shared" si="122"/>
        <v>21121-Mise en place des équipes techniques de rédaction des curricula</v>
      </c>
    </row>
    <row r="524" spans="1:30" s="22" customFormat="1" ht="90" hidden="1" customHeight="1" x14ac:dyDescent="0.8">
      <c r="A524" s="14">
        <v>2</v>
      </c>
      <c r="B524" s="15">
        <v>21</v>
      </c>
      <c r="C524" s="15">
        <v>211</v>
      </c>
      <c r="D524" s="15">
        <v>2112</v>
      </c>
      <c r="E524" s="15">
        <v>21122</v>
      </c>
      <c r="F524" s="16" t="s">
        <v>661</v>
      </c>
      <c r="G524" s="21" t="s">
        <v>167</v>
      </c>
      <c r="H524" s="17" t="s">
        <v>662</v>
      </c>
      <c r="I524" s="18">
        <v>0</v>
      </c>
      <c r="J524" s="18"/>
      <c r="K524" s="18">
        <f>4*1.5</f>
        <v>6</v>
      </c>
      <c r="L524" s="18">
        <f>4*1.5</f>
        <v>6</v>
      </c>
      <c r="M524" s="18">
        <f t="shared" si="117"/>
        <v>12</v>
      </c>
      <c r="N524" s="18">
        <f>IF(OR(H524="",H524="sif",H524="PM"),0,VLOOKUP(H524,[5]CU!$C$4:$H$255,6,FALSE))</f>
        <v>219.54797350000001</v>
      </c>
      <c r="O524" s="18">
        <f t="shared" ref="O524:R532" si="124">$N524*I524</f>
        <v>0</v>
      </c>
      <c r="P524" s="18">
        <f t="shared" si="124"/>
        <v>0</v>
      </c>
      <c r="Q524" s="18">
        <f t="shared" si="124"/>
        <v>1317.2878410000001</v>
      </c>
      <c r="R524" s="18">
        <f t="shared" si="124"/>
        <v>1317.2878410000001</v>
      </c>
      <c r="S524" s="24">
        <f t="shared" ref="S524:S532" si="125">SUM(O524:R524)</f>
        <v>2634.5756820000001</v>
      </c>
      <c r="T524" s="23" t="s">
        <v>39</v>
      </c>
      <c r="U524" s="18" t="s">
        <v>647</v>
      </c>
      <c r="V524" s="18" t="str">
        <f>IF(OR($H524="",$H524="sif",$H524="PM"),"",VLOOKUP($H524,[5]CU!$C$5:$J$255,8,FALSE))</f>
        <v>3. Dépenses de fonctionnement</v>
      </c>
      <c r="W524" s="18" t="s">
        <v>663</v>
      </c>
      <c r="X524" s="18" t="s">
        <v>655</v>
      </c>
      <c r="Y524" s="19" t="s">
        <v>32</v>
      </c>
      <c r="Z524" s="18" t="str">
        <f>A524 &amp; "-" &amp; VLOOKUP(A524,[4]PROGRAMMES!$E$1:$F$7,2,FALSE)</f>
        <v>2-Qualité des enseignements et des apprentissages</v>
      </c>
      <c r="AA524" s="19" t="str">
        <f>B524 &amp; "-" &amp; VLOOKUP(B524,[4]SOUSPROGRAMMES!$E$1:$F$44,2,FALSE)</f>
        <v>21- Révision/ adaptation des curricula/programmes (place des sciences ; franco-arabe, intégration de l’éducation à la citoyenneté, l'éducation complète à la sexualité, éducation environnementale…)</v>
      </c>
      <c r="AB524" s="19" t="str">
        <f>C524 &amp; "-" &amp; VLOOKUP(C524,[4]RESULTATS!$E$1:$F$176,2,FALSE)</f>
        <v>211- les contenus des programmes (du préscolaire, du primaire, 1er et second cycle du secondaire) sont progressivement révisés, adaptés et diversifiés</v>
      </c>
      <c r="AC524" s="20" t="str">
        <f>D524 &amp; "-" &amp; VLOOKUP(D524,[4]STRATEGIES!$E$1:$F$504,2,FALSE)</f>
        <v>2112-Conception/élaboration et expérimentation de nouveaux curricula/programmes</v>
      </c>
      <c r="AD524" s="21" t="str">
        <f t="shared" si="122"/>
        <v>21122-Mobilisation d'une assistance technique pour l'accompagnement de la révision des curricula</v>
      </c>
    </row>
    <row r="525" spans="1:30" s="22" customFormat="1" ht="90" hidden="1" customHeight="1" x14ac:dyDescent="0.8">
      <c r="A525" s="14">
        <v>2</v>
      </c>
      <c r="B525" s="15">
        <v>21</v>
      </c>
      <c r="C525" s="15">
        <v>211</v>
      </c>
      <c r="D525" s="15">
        <v>2112</v>
      </c>
      <c r="E525" s="15">
        <v>21123</v>
      </c>
      <c r="F525" s="16" t="s">
        <v>664</v>
      </c>
      <c r="G525" s="21" t="s">
        <v>37</v>
      </c>
      <c r="H525" s="17" t="s">
        <v>66</v>
      </c>
      <c r="I525" s="18">
        <v>0</v>
      </c>
      <c r="J525" s="18"/>
      <c r="K525" s="18">
        <f>10*5*5</f>
        <v>250</v>
      </c>
      <c r="L525" s="18"/>
      <c r="M525" s="18">
        <f t="shared" si="117"/>
        <v>250</v>
      </c>
      <c r="N525" s="18">
        <f>IF(OR(H525="",H525="sif",H525="PM"),0,VLOOKUP(H525,[5]CU!$C$4:$H$255,6,FALSE))</f>
        <v>0.255</v>
      </c>
      <c r="O525" s="18">
        <f t="shared" si="124"/>
        <v>0</v>
      </c>
      <c r="P525" s="18">
        <f t="shared" si="124"/>
        <v>0</v>
      </c>
      <c r="Q525" s="18">
        <f t="shared" si="124"/>
        <v>63.75</v>
      </c>
      <c r="R525" s="18">
        <f t="shared" si="124"/>
        <v>0</v>
      </c>
      <c r="S525" s="24">
        <f t="shared" si="125"/>
        <v>63.75</v>
      </c>
      <c r="T525" s="23" t="s">
        <v>39</v>
      </c>
      <c r="U525" s="19" t="s">
        <v>647</v>
      </c>
      <c r="V525" s="19" t="str">
        <f>IF(OR($H525="",$H525="sif",$H525="PM"),"",VLOOKUP($H525,[5]CU!$C$5:$J$255,8,FALSE))</f>
        <v>3. Dépenses de fonctionnement</v>
      </c>
      <c r="W525" s="19" t="s">
        <v>665</v>
      </c>
      <c r="X525" s="19" t="s">
        <v>347</v>
      </c>
      <c r="Y525" s="19" t="s">
        <v>32</v>
      </c>
      <c r="Z525" s="18" t="str">
        <f>A525 &amp; "-" &amp; VLOOKUP(A525,[4]PROGRAMMES!$E$1:$F$7,2,FALSE)</f>
        <v>2-Qualité des enseignements et des apprentissages</v>
      </c>
      <c r="AA525" s="19" t="str">
        <f>B525 &amp; "-" &amp; VLOOKUP(B525,[4]SOUSPROGRAMMES!$E$1:$F$44,2,FALSE)</f>
        <v>21- Révision/ adaptation des curricula/programmes (place des sciences ; franco-arabe, intégration de l’éducation à la citoyenneté, l'éducation complète à la sexualité, éducation environnementale…)</v>
      </c>
      <c r="AB525" s="19" t="str">
        <f>C525 &amp; "-" &amp; VLOOKUP(C525,[4]RESULTATS!$E$1:$F$176,2,FALSE)</f>
        <v>211- les contenus des programmes (du préscolaire, du primaire, 1er et second cycle du secondaire) sont progressivement révisés, adaptés et diversifiés</v>
      </c>
      <c r="AC525" s="20" t="str">
        <f>D525 &amp; "-" &amp; VLOOKUP(D525,[4]STRATEGIES!$E$1:$F$504,2,FALSE)</f>
        <v>2112-Conception/élaboration et expérimentation de nouveaux curricula/programmes</v>
      </c>
      <c r="AD525" s="21" t="str">
        <f t="shared" si="122"/>
        <v>21123-Révision du curriculum du préscolaire</v>
      </c>
    </row>
    <row r="526" spans="1:30" s="22" customFormat="1" ht="90" hidden="1" customHeight="1" x14ac:dyDescent="0.8">
      <c r="A526" s="14">
        <v>2</v>
      </c>
      <c r="B526" s="15">
        <v>21</v>
      </c>
      <c r="C526" s="15">
        <v>211</v>
      </c>
      <c r="D526" s="15">
        <v>2112</v>
      </c>
      <c r="E526" s="15">
        <v>21124</v>
      </c>
      <c r="F526" s="16" t="s">
        <v>666</v>
      </c>
      <c r="G526" s="21" t="s">
        <v>37</v>
      </c>
      <c r="H526" s="17" t="s">
        <v>66</v>
      </c>
      <c r="I526" s="18">
        <v>0</v>
      </c>
      <c r="J526" s="18"/>
      <c r="K526" s="18">
        <f>(10*6*6)*10</f>
        <v>3600</v>
      </c>
      <c r="L526" s="18"/>
      <c r="M526" s="18">
        <f t="shared" si="117"/>
        <v>3600</v>
      </c>
      <c r="N526" s="18">
        <f>IF(OR(H526="",H526="sif",H526="PM"),0,VLOOKUP(H526,[5]CU!$C$4:$H$255,6,FALSE))</f>
        <v>0.255</v>
      </c>
      <c r="O526" s="18">
        <f t="shared" si="124"/>
        <v>0</v>
      </c>
      <c r="P526" s="18">
        <f t="shared" si="124"/>
        <v>0</v>
      </c>
      <c r="Q526" s="18">
        <f t="shared" si="124"/>
        <v>918</v>
      </c>
      <c r="R526" s="18">
        <f t="shared" si="124"/>
        <v>0</v>
      </c>
      <c r="S526" s="24">
        <f t="shared" si="125"/>
        <v>918</v>
      </c>
      <c r="T526" s="23" t="s">
        <v>39</v>
      </c>
      <c r="U526" s="18" t="s">
        <v>647</v>
      </c>
      <c r="V526" s="18" t="str">
        <f>IF(OR($H526="",$H526="sif",$H526="PM"),"",VLOOKUP($H526,[5]CU!$C$5:$J$255,8,FALSE))</f>
        <v>3. Dépenses de fonctionnement</v>
      </c>
      <c r="W526" s="18" t="s">
        <v>192</v>
      </c>
      <c r="X526" s="18" t="s">
        <v>347</v>
      </c>
      <c r="Y526" s="19" t="s">
        <v>32</v>
      </c>
      <c r="Z526" s="18" t="str">
        <f>A526 &amp; "-" &amp; VLOOKUP(A526,[4]PROGRAMMES!$E$1:$F$7,2,FALSE)</f>
        <v>2-Qualité des enseignements et des apprentissages</v>
      </c>
      <c r="AA526" s="19" t="str">
        <f>B526 &amp; "-" &amp; VLOOKUP(B526,[4]SOUSPROGRAMMES!$E$1:$F$44,2,FALSE)</f>
        <v>21- Révision/ adaptation des curricula/programmes (place des sciences ; franco-arabe, intégration de l’éducation à la citoyenneté, l'éducation complète à la sexualité, éducation environnementale…)</v>
      </c>
      <c r="AB526" s="19" t="str">
        <f>C526 &amp; "-" &amp; VLOOKUP(C526,[4]RESULTATS!$E$1:$F$176,2,FALSE)</f>
        <v>211- les contenus des programmes (du préscolaire, du primaire, 1er et second cycle du secondaire) sont progressivement révisés, adaptés et diversifiés</v>
      </c>
      <c r="AC526" s="20" t="str">
        <f>D526 &amp; "-" &amp; VLOOKUP(D526,[4]STRATEGIES!$E$1:$F$504,2,FALSE)</f>
        <v>2112-Conception/élaboration et expérimentation de nouveaux curricula/programmes</v>
      </c>
      <c r="AD526" s="21" t="str">
        <f t="shared" si="122"/>
        <v>21124-Révision du curriculum du collège</v>
      </c>
    </row>
    <row r="527" spans="1:30" s="22" customFormat="1" ht="90" hidden="1" customHeight="1" x14ac:dyDescent="0.8">
      <c r="A527" s="14">
        <v>2</v>
      </c>
      <c r="B527" s="15">
        <v>21</v>
      </c>
      <c r="C527" s="15">
        <v>211</v>
      </c>
      <c r="D527" s="15">
        <v>2112</v>
      </c>
      <c r="E527" s="15">
        <v>21125</v>
      </c>
      <c r="F527" s="16" t="s">
        <v>667</v>
      </c>
      <c r="G527" s="21" t="s">
        <v>37</v>
      </c>
      <c r="H527" s="17" t="s">
        <v>66</v>
      </c>
      <c r="I527" s="18">
        <v>0</v>
      </c>
      <c r="J527" s="18"/>
      <c r="K527" s="18">
        <f>K526/3</f>
        <v>1200</v>
      </c>
      <c r="L527" s="18">
        <f>K526/2-K527</f>
        <v>600</v>
      </c>
      <c r="M527" s="18">
        <f t="shared" si="117"/>
        <v>1800</v>
      </c>
      <c r="N527" s="18">
        <f>IF(OR(H527="",H527="sif",H527="PM"),0,VLOOKUP(H527,[5]CU!$C$4:$H$255,6,FALSE))</f>
        <v>0.255</v>
      </c>
      <c r="O527" s="18">
        <f t="shared" si="124"/>
        <v>0</v>
      </c>
      <c r="P527" s="18">
        <f t="shared" si="124"/>
        <v>0</v>
      </c>
      <c r="Q527" s="18">
        <f t="shared" si="124"/>
        <v>306</v>
      </c>
      <c r="R527" s="18">
        <f t="shared" si="124"/>
        <v>153</v>
      </c>
      <c r="S527" s="24">
        <f t="shared" si="125"/>
        <v>459</v>
      </c>
      <c r="T527" s="23" t="s">
        <v>39</v>
      </c>
      <c r="U527" s="18" t="s">
        <v>647</v>
      </c>
      <c r="V527" s="18" t="str">
        <f>IF(OR($H527="",$H527="sif",$H527="PM"),"",VLOOKUP($H527,[5]CU!$C$5:$J$255,8,FALSE))</f>
        <v>3. Dépenses de fonctionnement</v>
      </c>
      <c r="W527" s="18" t="s">
        <v>398</v>
      </c>
      <c r="X527" s="18" t="s">
        <v>347</v>
      </c>
      <c r="Y527" s="19" t="s">
        <v>32</v>
      </c>
      <c r="Z527" s="18" t="str">
        <f>A527 &amp; "-" &amp; VLOOKUP(A527,[4]PROGRAMMES!$E$1:$F$7,2,FALSE)</f>
        <v>2-Qualité des enseignements et des apprentissages</v>
      </c>
      <c r="AA527" s="19" t="str">
        <f>B527 &amp; "-" &amp; VLOOKUP(B527,[4]SOUSPROGRAMMES!$E$1:$F$44,2,FALSE)</f>
        <v>21- Révision/ adaptation des curricula/programmes (place des sciences ; franco-arabe, intégration de l’éducation à la citoyenneté, l'éducation complète à la sexualité, éducation environnementale…)</v>
      </c>
      <c r="AB527" s="19" t="str">
        <f>C527 &amp; "-" &amp; VLOOKUP(C527,[4]RESULTATS!$E$1:$F$176,2,FALSE)</f>
        <v>211- les contenus des programmes (du préscolaire, du primaire, 1er et second cycle du secondaire) sont progressivement révisés, adaptés et diversifiés</v>
      </c>
      <c r="AC527" s="20" t="str">
        <f>D527 &amp; "-" &amp; VLOOKUP(D527,[4]STRATEGIES!$E$1:$F$504,2,FALSE)</f>
        <v>2112-Conception/élaboration et expérimentation de nouveaux curricula/programmes</v>
      </c>
      <c r="AD527" s="21" t="str">
        <f t="shared" si="122"/>
        <v>21125-Révision du curriculum du lycée en rapport avec les nouvelles filières (11éme année)</v>
      </c>
    </row>
    <row r="528" spans="1:30" s="22" customFormat="1" ht="90" hidden="1" customHeight="1" x14ac:dyDescent="0.8">
      <c r="A528" s="14">
        <v>2</v>
      </c>
      <c r="B528" s="15">
        <v>21</v>
      </c>
      <c r="C528" s="15">
        <v>211</v>
      </c>
      <c r="D528" s="15">
        <v>2112</v>
      </c>
      <c r="E528" s="15">
        <v>21126</v>
      </c>
      <c r="F528" s="16" t="s">
        <v>668</v>
      </c>
      <c r="G528" s="21" t="s">
        <v>669</v>
      </c>
      <c r="H528" s="17" t="s">
        <v>66</v>
      </c>
      <c r="I528" s="18">
        <v>0</v>
      </c>
      <c r="J528" s="18"/>
      <c r="K528" s="18">
        <f>10*5*3</f>
        <v>150</v>
      </c>
      <c r="L528" s="18"/>
      <c r="M528" s="18">
        <f t="shared" si="117"/>
        <v>150</v>
      </c>
      <c r="N528" s="18">
        <f>IF(OR(H528="",H528="sif",H528="PM"),0,VLOOKUP(H528,[5]CU!$C$4:$H$255,6,FALSE))</f>
        <v>0.255</v>
      </c>
      <c r="O528" s="18">
        <f t="shared" si="124"/>
        <v>0</v>
      </c>
      <c r="P528" s="18">
        <f t="shared" si="124"/>
        <v>0</v>
      </c>
      <c r="Q528" s="18">
        <f t="shared" si="124"/>
        <v>38.25</v>
      </c>
      <c r="R528" s="18">
        <f t="shared" si="124"/>
        <v>0</v>
      </c>
      <c r="S528" s="24">
        <f t="shared" si="125"/>
        <v>38.25</v>
      </c>
      <c r="T528" s="23" t="s">
        <v>39</v>
      </c>
      <c r="U528" s="19" t="s">
        <v>647</v>
      </c>
      <c r="V528" s="19" t="str">
        <f>IF(OR($H528="",$H528="sif",$H528="PM"),"",VLOOKUP($H528,[5]CU!$C$5:$J$255,8,FALSE))</f>
        <v>3. Dépenses de fonctionnement</v>
      </c>
      <c r="W528" s="19" t="s">
        <v>665</v>
      </c>
      <c r="X528" s="19" t="s">
        <v>248</v>
      </c>
      <c r="Y528" s="19" t="s">
        <v>32</v>
      </c>
      <c r="Z528" s="18" t="str">
        <f>A528 &amp; "-" &amp; VLOOKUP(A528,[4]PROGRAMMES!$E$1:$F$7,2,FALSE)</f>
        <v>2-Qualité des enseignements et des apprentissages</v>
      </c>
      <c r="AA528" s="19" t="str">
        <f>B528 &amp; "-" &amp; VLOOKUP(B528,[4]SOUSPROGRAMMES!$E$1:$F$44,2,FALSE)</f>
        <v>21- Révision/ adaptation des curricula/programmes (place des sciences ; franco-arabe, intégration de l’éducation à la citoyenneté, l'éducation complète à la sexualité, éducation environnementale…)</v>
      </c>
      <c r="AB528" s="19" t="str">
        <f>C528 &amp; "-" &amp; VLOOKUP(C528,[4]RESULTATS!$E$1:$F$176,2,FALSE)</f>
        <v>211- les contenus des programmes (du préscolaire, du primaire, 1er et second cycle du secondaire) sont progressivement révisés, adaptés et diversifiés</v>
      </c>
      <c r="AC528" s="20" t="str">
        <f>D528 &amp; "-" &amp; VLOOKUP(D528,[4]STRATEGIES!$E$1:$F$504,2,FALSE)</f>
        <v>2112-Conception/élaboration et expérimentation de nouveaux curricula/programmes</v>
      </c>
      <c r="AD528" s="21" t="str">
        <f t="shared" si="122"/>
        <v>21126-Révision du curriculum de la formation initiale des enseignants du préscolaire avec l'INRAP</v>
      </c>
    </row>
    <row r="529" spans="1:30" s="22" customFormat="1" ht="90" hidden="1" customHeight="1" x14ac:dyDescent="0.8">
      <c r="A529" s="14">
        <v>2</v>
      </c>
      <c r="B529" s="15">
        <v>21</v>
      </c>
      <c r="C529" s="15">
        <v>211</v>
      </c>
      <c r="D529" s="15">
        <v>2112</v>
      </c>
      <c r="E529" s="15">
        <v>21127</v>
      </c>
      <c r="F529" s="16" t="s">
        <v>670</v>
      </c>
      <c r="G529" s="21" t="s">
        <v>669</v>
      </c>
      <c r="H529" s="17" t="s">
        <v>66</v>
      </c>
      <c r="I529" s="18">
        <v>0</v>
      </c>
      <c r="J529" s="18"/>
      <c r="K529" s="18"/>
      <c r="L529" s="18">
        <f>10*5*5</f>
        <v>250</v>
      </c>
      <c r="M529" s="18">
        <f t="shared" si="117"/>
        <v>250</v>
      </c>
      <c r="N529" s="18">
        <f>IF(OR(H529="",H529="sif",H529="PM"),0,VLOOKUP(H529,[5]CU!$C$4:$H$255,6,FALSE))</f>
        <v>0.255</v>
      </c>
      <c r="O529" s="18">
        <f t="shared" si="124"/>
        <v>0</v>
      </c>
      <c r="P529" s="18">
        <f t="shared" si="124"/>
        <v>0</v>
      </c>
      <c r="Q529" s="18">
        <f t="shared" si="124"/>
        <v>0</v>
      </c>
      <c r="R529" s="18">
        <f t="shared" si="124"/>
        <v>63.75</v>
      </c>
      <c r="S529" s="24">
        <f t="shared" si="125"/>
        <v>63.75</v>
      </c>
      <c r="T529" s="23" t="s">
        <v>39</v>
      </c>
      <c r="U529" s="19" t="s">
        <v>647</v>
      </c>
      <c r="V529" s="19" t="str">
        <f>IF(OR($H529="",$H529="sif",$H529="PM"),"",VLOOKUP($H529,[5]CU!$C$5:$J$255,8,FALSE))</f>
        <v>3. Dépenses de fonctionnement</v>
      </c>
      <c r="W529" s="19" t="s">
        <v>192</v>
      </c>
      <c r="X529" s="19" t="s">
        <v>431</v>
      </c>
      <c r="Y529" s="19" t="s">
        <v>32</v>
      </c>
      <c r="Z529" s="18" t="str">
        <f>A529 &amp; "-" &amp; VLOOKUP(A529,[4]PROGRAMMES!$E$1:$F$7,2,FALSE)</f>
        <v>2-Qualité des enseignements et des apprentissages</v>
      </c>
      <c r="AA529" s="19" t="str">
        <f>B529 &amp; "-" &amp; VLOOKUP(B529,[4]SOUSPROGRAMMES!$E$1:$F$44,2,FALSE)</f>
        <v>21- Révision/ adaptation des curricula/programmes (place des sciences ; franco-arabe, intégration de l’éducation à la citoyenneté, l'éducation complète à la sexualité, éducation environnementale…)</v>
      </c>
      <c r="AB529" s="19" t="str">
        <f>C529 &amp; "-" &amp; VLOOKUP(C529,[4]RESULTATS!$E$1:$F$176,2,FALSE)</f>
        <v>211- les contenus des programmes (du préscolaire, du primaire, 1er et second cycle du secondaire) sont progressivement révisés, adaptés et diversifiés</v>
      </c>
      <c r="AC529" s="20" t="str">
        <f>D529 &amp; "-" &amp; VLOOKUP(D529,[4]STRATEGIES!$E$1:$F$504,2,FALSE)</f>
        <v>2112-Conception/élaboration et expérimentation de nouveaux curricula/programmes</v>
      </c>
      <c r="AD529" s="21" t="str">
        <f t="shared" si="122"/>
        <v>21127-Révision du curriculum de la formation initiale des formateurs des ENIs en tenant compte des nouveaux programmes du préscolaire et du primaire avec l'ENI et l'INRAP</v>
      </c>
    </row>
    <row r="530" spans="1:30" s="22" customFormat="1" ht="90" hidden="1" customHeight="1" x14ac:dyDescent="0.8">
      <c r="A530" s="14">
        <v>2</v>
      </c>
      <c r="B530" s="15">
        <v>21</v>
      </c>
      <c r="C530" s="15">
        <v>211</v>
      </c>
      <c r="D530" s="15">
        <v>2112</v>
      </c>
      <c r="E530" s="15">
        <v>21128</v>
      </c>
      <c r="F530" s="16" t="s">
        <v>671</v>
      </c>
      <c r="G530" s="21" t="s">
        <v>669</v>
      </c>
      <c r="H530" s="17" t="s">
        <v>66</v>
      </c>
      <c r="I530" s="18">
        <v>0</v>
      </c>
      <c r="J530" s="18"/>
      <c r="K530" s="18">
        <f>10*5*3</f>
        <v>150</v>
      </c>
      <c r="L530" s="18">
        <f>10*5*3</f>
        <v>150</v>
      </c>
      <c r="M530" s="18">
        <f t="shared" si="117"/>
        <v>300</v>
      </c>
      <c r="N530" s="18">
        <f>IF(OR(H530="",H530="sif",H530="PM"),0,VLOOKUP(H530,[5]CU!$C$4:$H$255,6,FALSE))</f>
        <v>0.255</v>
      </c>
      <c r="O530" s="18">
        <f t="shared" si="124"/>
        <v>0</v>
      </c>
      <c r="P530" s="18">
        <f t="shared" si="124"/>
        <v>0</v>
      </c>
      <c r="Q530" s="18">
        <f t="shared" si="124"/>
        <v>38.25</v>
      </c>
      <c r="R530" s="18">
        <f t="shared" si="124"/>
        <v>38.25</v>
      </c>
      <c r="S530" s="24">
        <f t="shared" si="125"/>
        <v>76.5</v>
      </c>
      <c r="T530" s="23" t="s">
        <v>39</v>
      </c>
      <c r="U530" s="18" t="s">
        <v>647</v>
      </c>
      <c r="V530" s="18" t="str">
        <f>IF(OR($H530="",$H530="sif",$H530="PM"),"",VLOOKUP($H530,[5]CU!$C$5:$J$255,8,FALSE))</f>
        <v>3. Dépenses de fonctionnement</v>
      </c>
      <c r="W530" s="18" t="s">
        <v>398</v>
      </c>
      <c r="X530" s="18" t="s">
        <v>431</v>
      </c>
      <c r="Y530" s="19" t="s">
        <v>32</v>
      </c>
      <c r="Z530" s="18" t="str">
        <f>A530 &amp; "-" &amp; VLOOKUP(A530,[4]PROGRAMMES!$E$1:$F$7,2,FALSE)</f>
        <v>2-Qualité des enseignements et des apprentissages</v>
      </c>
      <c r="AA530" s="19" t="str">
        <f>B530 &amp; "-" &amp; VLOOKUP(B530,[4]SOUSPROGRAMMES!$E$1:$F$44,2,FALSE)</f>
        <v>21- Révision/ adaptation des curricula/programmes (place des sciences ; franco-arabe, intégration de l’éducation à la citoyenneté, l'éducation complète à la sexualité, éducation environnementale…)</v>
      </c>
      <c r="AB530" s="19" t="str">
        <f>C530 &amp; "-" &amp; VLOOKUP(C530,[4]RESULTATS!$E$1:$F$176,2,FALSE)</f>
        <v>211- les contenus des programmes (du préscolaire, du primaire, 1er et second cycle du secondaire) sont progressivement révisés, adaptés et diversifiés</v>
      </c>
      <c r="AC530" s="20" t="str">
        <f>D530 &amp; "-" &amp; VLOOKUP(D530,[4]STRATEGIES!$E$1:$F$504,2,FALSE)</f>
        <v>2112-Conception/élaboration et expérimentation de nouveaux curricula/programmes</v>
      </c>
      <c r="AD530" s="21" t="str">
        <f t="shared" si="122"/>
        <v>21128-Révision du curriculum de la formation initiale des enseignants en tenant compte des nouvelles filières au secondaire avec la DNESGT</v>
      </c>
    </row>
    <row r="531" spans="1:30" s="22" customFormat="1" ht="90" hidden="1" customHeight="1" x14ac:dyDescent="0.8">
      <c r="A531" s="14">
        <v>2</v>
      </c>
      <c r="B531" s="15">
        <v>21</v>
      </c>
      <c r="C531" s="15">
        <v>211</v>
      </c>
      <c r="D531" s="15">
        <v>2112</v>
      </c>
      <c r="E531" s="15">
        <v>21129</v>
      </c>
      <c r="F531" s="16" t="s">
        <v>672</v>
      </c>
      <c r="G531" s="21" t="s">
        <v>51</v>
      </c>
      <c r="H531" s="17" t="s">
        <v>52</v>
      </c>
      <c r="I531" s="18">
        <v>0</v>
      </c>
      <c r="J531" s="18"/>
      <c r="K531" s="18">
        <f>30*10</f>
        <v>300</v>
      </c>
      <c r="L531" s="18"/>
      <c r="M531" s="18">
        <f t="shared" si="117"/>
        <v>300</v>
      </c>
      <c r="N531" s="18">
        <f>IF(OR(H531="",H531="sif",H531="PM"),0,VLOOKUP(H531,[5]CU!$C$4:$H$255,6,FALSE))</f>
        <v>1.5</v>
      </c>
      <c r="O531" s="18">
        <f t="shared" si="124"/>
        <v>0</v>
      </c>
      <c r="P531" s="18">
        <f t="shared" si="124"/>
        <v>0</v>
      </c>
      <c r="Q531" s="18">
        <f t="shared" si="124"/>
        <v>450</v>
      </c>
      <c r="R531" s="18">
        <f t="shared" si="124"/>
        <v>0</v>
      </c>
      <c r="S531" s="24">
        <f t="shared" si="125"/>
        <v>450</v>
      </c>
      <c r="T531" s="23" t="s">
        <v>39</v>
      </c>
      <c r="U531" s="19" t="s">
        <v>647</v>
      </c>
      <c r="V531" s="19" t="str">
        <f>IF(OR($H531="",$H531="sif",$H531="PM"),"",VLOOKUP($H531,[5]CU!$C$5:$J$255,8,FALSE))</f>
        <v>3. Formation</v>
      </c>
      <c r="W531" s="19" t="s">
        <v>665</v>
      </c>
      <c r="X531" s="19" t="s">
        <v>248</v>
      </c>
      <c r="Y531" s="19" t="s">
        <v>32</v>
      </c>
      <c r="Z531" s="18" t="str">
        <f>A531 &amp; "-" &amp; VLOOKUP(A531,[4]PROGRAMMES!$E$1:$F$7,2,FALSE)</f>
        <v>2-Qualité des enseignements et des apprentissages</v>
      </c>
      <c r="AA531" s="19" t="str">
        <f>B531 &amp; "-" &amp; VLOOKUP(B531,[4]SOUSPROGRAMMES!$E$1:$F$44,2,FALSE)</f>
        <v>21- Révision/ adaptation des curricula/programmes (place des sciences ; franco-arabe, intégration de l’éducation à la citoyenneté, l'éducation complète à la sexualité, éducation environnementale…)</v>
      </c>
      <c r="AB531" s="19" t="str">
        <f>C531 &amp; "-" &amp; VLOOKUP(C531,[4]RESULTATS!$E$1:$F$176,2,FALSE)</f>
        <v>211- les contenus des programmes (du préscolaire, du primaire, 1er et second cycle du secondaire) sont progressivement révisés, adaptés et diversifiés</v>
      </c>
      <c r="AC531" s="20" t="str">
        <f>D531 &amp; "-" &amp; VLOOKUP(D531,[4]STRATEGIES!$E$1:$F$504,2,FALSE)</f>
        <v>2112-Conception/élaboration et expérimentation de nouveaux curricula/programmes</v>
      </c>
      <c r="AD531" s="21" t="str">
        <f t="shared" si="122"/>
        <v>21129-Formation des enseignants chargés de l'expérimentation au préscolaire avec la DNPSCE</v>
      </c>
    </row>
    <row r="532" spans="1:30" s="22" customFormat="1" ht="90" hidden="1" customHeight="1" x14ac:dyDescent="0.8">
      <c r="A532" s="14">
        <v>2</v>
      </c>
      <c r="B532" s="15">
        <v>21</v>
      </c>
      <c r="C532" s="15">
        <v>211</v>
      </c>
      <c r="D532" s="15">
        <v>2112</v>
      </c>
      <c r="E532" s="15">
        <v>211210</v>
      </c>
      <c r="F532" s="16" t="s">
        <v>673</v>
      </c>
      <c r="G532" s="21" t="s">
        <v>51</v>
      </c>
      <c r="H532" s="17" t="s">
        <v>301</v>
      </c>
      <c r="I532" s="18">
        <v>0</v>
      </c>
      <c r="J532" s="18"/>
      <c r="K532" s="18"/>
      <c r="L532" s="18">
        <f>10*8*10</f>
        <v>800</v>
      </c>
      <c r="M532" s="18">
        <f t="shared" si="117"/>
        <v>800</v>
      </c>
      <c r="N532" s="18">
        <f>IF(OR(H532="",H532="sif",H532="PM"),0,VLOOKUP(H532,[5]CU!$C$4:$H$255,6,FALSE))</f>
        <v>0.67666666666666664</v>
      </c>
      <c r="O532" s="18">
        <f t="shared" si="124"/>
        <v>0</v>
      </c>
      <c r="P532" s="18">
        <f t="shared" si="124"/>
        <v>0</v>
      </c>
      <c r="Q532" s="18">
        <f t="shared" si="124"/>
        <v>0</v>
      </c>
      <c r="R532" s="18">
        <f t="shared" si="124"/>
        <v>541.33333333333326</v>
      </c>
      <c r="S532" s="24">
        <f t="shared" si="125"/>
        <v>541.33333333333326</v>
      </c>
      <c r="T532" s="23" t="s">
        <v>39</v>
      </c>
      <c r="U532" s="18" t="s">
        <v>647</v>
      </c>
      <c r="V532" s="18" t="str">
        <f>IF(OR($H532="",$H532="sif",$H532="PM"),"",VLOOKUP($H532,[5]CU!$C$5:$J$255,8,FALSE))</f>
        <v>3. Formation</v>
      </c>
      <c r="W532" s="18" t="s">
        <v>192</v>
      </c>
      <c r="X532" s="18" t="s">
        <v>431</v>
      </c>
      <c r="Y532" s="19" t="s">
        <v>32</v>
      </c>
      <c r="Z532" s="18" t="str">
        <f>A532 &amp; "-" &amp; VLOOKUP(A532,[4]PROGRAMMES!$E$1:$F$7,2,FALSE)</f>
        <v>2-Qualité des enseignements et des apprentissages</v>
      </c>
      <c r="AA532" s="19" t="str">
        <f>B532 &amp; "-" &amp; VLOOKUP(B532,[4]SOUSPROGRAMMES!$E$1:$F$44,2,FALSE)</f>
        <v>21- Révision/ adaptation des curricula/programmes (place des sciences ; franco-arabe, intégration de l’éducation à la citoyenneté, l'éducation complète à la sexualité, éducation environnementale…)</v>
      </c>
      <c r="AB532" s="19" t="str">
        <f>C532 &amp; "-" &amp; VLOOKUP(C532,[4]RESULTATS!$E$1:$F$176,2,FALSE)</f>
        <v>211- les contenus des programmes (du préscolaire, du primaire, 1er et second cycle du secondaire) sont progressivement révisés, adaptés et diversifiés</v>
      </c>
      <c r="AC532" s="20" t="str">
        <f>D532 &amp; "-" &amp; VLOOKUP(D532,[4]STRATEGIES!$E$1:$F$504,2,FALSE)</f>
        <v>2112-Conception/élaboration et expérimentation de nouveaux curricula/programmes</v>
      </c>
      <c r="AD532" s="21" t="str">
        <f t="shared" si="122"/>
        <v>211210- formation des enseignants chargés de l'expérimentation au collège avec la DNEF et DNESGT</v>
      </c>
    </row>
    <row r="533" spans="1:30" s="22" customFormat="1" ht="90" hidden="1" customHeight="1" x14ac:dyDescent="0.8">
      <c r="A533" s="14">
        <v>2</v>
      </c>
      <c r="B533" s="15">
        <v>21</v>
      </c>
      <c r="C533" s="15">
        <v>211</v>
      </c>
      <c r="D533" s="15">
        <v>2112</v>
      </c>
      <c r="E533" s="15">
        <v>211211</v>
      </c>
      <c r="F533" s="16" t="s">
        <v>674</v>
      </c>
      <c r="G533" s="21" t="s">
        <v>651</v>
      </c>
      <c r="H533" s="17" t="s">
        <v>55</v>
      </c>
      <c r="I533" s="18">
        <v>0</v>
      </c>
      <c r="J533" s="18"/>
      <c r="K533" s="18">
        <v>1</v>
      </c>
      <c r="L533" s="18">
        <v>1</v>
      </c>
      <c r="M533" s="18">
        <f t="shared" si="117"/>
        <v>2</v>
      </c>
      <c r="N533" s="18">
        <f>IF(OR(H533="",H533="sif",H533="PM"),0,VLOOKUP(H533,[5]CU!$C$4:$H$255,6,FALSE))</f>
        <v>0</v>
      </c>
      <c r="O533" s="18"/>
      <c r="P533" s="18"/>
      <c r="Q533" s="18"/>
      <c r="R533" s="18"/>
      <c r="S533" s="24"/>
      <c r="T533" s="23" t="s">
        <v>56</v>
      </c>
      <c r="U533" s="18" t="s">
        <v>647</v>
      </c>
      <c r="V533" s="18" t="str">
        <f>IF(OR($H533="",$H533="sif",$H533="PM"),"",VLOOKUP($H533,[5]CU!$C$5:$J$255,8,FALSE))</f>
        <v/>
      </c>
      <c r="W533" s="18" t="s">
        <v>255</v>
      </c>
      <c r="X533" s="18" t="s">
        <v>655</v>
      </c>
      <c r="Y533" s="19" t="s">
        <v>32</v>
      </c>
      <c r="Z533" s="18" t="str">
        <f>A533 &amp; "-" &amp; VLOOKUP(A533,[4]PROGRAMMES!$E$1:$F$7,2,FALSE)</f>
        <v>2-Qualité des enseignements et des apprentissages</v>
      </c>
      <c r="AA533" s="19" t="str">
        <f>B533 &amp; "-" &amp; VLOOKUP(B533,[4]SOUSPROGRAMMES!$E$1:$F$44,2,FALSE)</f>
        <v>21- Révision/ adaptation des curricula/programmes (place des sciences ; franco-arabe, intégration de l’éducation à la citoyenneté, l'éducation complète à la sexualité, éducation environnementale…)</v>
      </c>
      <c r="AB533" s="19" t="str">
        <f>C533 &amp; "-" &amp; VLOOKUP(C533,[4]RESULTATS!$E$1:$F$176,2,FALSE)</f>
        <v>211- les contenus des programmes (du préscolaire, du primaire, 1er et second cycle du secondaire) sont progressivement révisés, adaptés et diversifiés</v>
      </c>
      <c r="AC533" s="20" t="str">
        <f>D533 &amp; "-" &amp; VLOOKUP(D533,[4]STRATEGIES!$E$1:$F$504,2,FALSE)</f>
        <v>2112-Conception/élaboration et expérimentation de nouveaux curricula/programmes</v>
      </c>
      <c r="AD533" s="21" t="str">
        <f t="shared" si="122"/>
        <v>211211-Choix des écoles pour l'expérimentation au préscolaire, collège et lycée (DNPSCE, DNEF, DNESGT, IRE, DPE/DCE)</v>
      </c>
    </row>
    <row r="534" spans="1:30" s="22" customFormat="1" ht="90" hidden="1" customHeight="1" x14ac:dyDescent="0.8">
      <c r="A534" s="14">
        <v>2</v>
      </c>
      <c r="B534" s="15">
        <v>21</v>
      </c>
      <c r="C534" s="15">
        <v>211</v>
      </c>
      <c r="D534" s="15">
        <v>2112</v>
      </c>
      <c r="E534" s="15">
        <v>211212</v>
      </c>
      <c r="F534" s="16" t="s">
        <v>675</v>
      </c>
      <c r="G534" s="21" t="s">
        <v>51</v>
      </c>
      <c r="H534" s="17" t="s">
        <v>301</v>
      </c>
      <c r="I534" s="18">
        <v>0</v>
      </c>
      <c r="J534" s="18"/>
      <c r="K534" s="18"/>
      <c r="L534" s="18">
        <f>10*8*10</f>
        <v>800</v>
      </c>
      <c r="M534" s="18">
        <f t="shared" si="117"/>
        <v>800</v>
      </c>
      <c r="N534" s="18">
        <f>IF(OR(H534="",H534="sif",H534="PM"),0,VLOOKUP(H534,[5]CU!$C$4:$H$255,6,FALSE))</f>
        <v>0.67666666666666664</v>
      </c>
      <c r="O534" s="18">
        <f t="shared" ref="O534:R539" si="126">$N534*I534</f>
        <v>0</v>
      </c>
      <c r="P534" s="18">
        <f t="shared" si="126"/>
        <v>0</v>
      </c>
      <c r="Q534" s="18">
        <f t="shared" si="126"/>
        <v>0</v>
      </c>
      <c r="R534" s="18">
        <f t="shared" si="126"/>
        <v>541.33333333333326</v>
      </c>
      <c r="S534" s="24">
        <f t="shared" ref="S534:S539" si="127">SUM(O534:R534)</f>
        <v>541.33333333333326</v>
      </c>
      <c r="T534" s="23" t="s">
        <v>56</v>
      </c>
      <c r="U534" s="18" t="s">
        <v>647</v>
      </c>
      <c r="V534" s="18" t="str">
        <f>IF(OR($H534="",$H534="sif",$H534="PM"),"",VLOOKUP($H534,[5]CU!$C$5:$J$255,8,FALSE))</f>
        <v>3. Formation</v>
      </c>
      <c r="W534" s="18" t="s">
        <v>398</v>
      </c>
      <c r="X534" s="18" t="s">
        <v>431</v>
      </c>
      <c r="Y534" s="19" t="s">
        <v>32</v>
      </c>
      <c r="Z534" s="18" t="str">
        <f>A534 &amp; "-" &amp; VLOOKUP(A534,[4]PROGRAMMES!$E$1:$F$7,2,FALSE)</f>
        <v>2-Qualité des enseignements et des apprentissages</v>
      </c>
      <c r="AA534" s="19" t="str">
        <f>B534 &amp; "-" &amp; VLOOKUP(B534,[4]SOUSPROGRAMMES!$E$1:$F$44,2,FALSE)</f>
        <v>21- Révision/ adaptation des curricula/programmes (place des sciences ; franco-arabe, intégration de l’éducation à la citoyenneté, l'éducation complète à la sexualité, éducation environnementale…)</v>
      </c>
      <c r="AB534" s="19" t="str">
        <f>C534 &amp; "-" &amp; VLOOKUP(C534,[4]RESULTATS!$E$1:$F$176,2,FALSE)</f>
        <v>211- les contenus des programmes (du préscolaire, du primaire, 1er et second cycle du secondaire) sont progressivement révisés, adaptés et diversifiés</v>
      </c>
      <c r="AC534" s="20" t="str">
        <f>D534 &amp; "-" &amp; VLOOKUP(D534,[4]STRATEGIES!$E$1:$F$504,2,FALSE)</f>
        <v>2112-Conception/élaboration et expérimentation de nouveaux curricula/programmes</v>
      </c>
      <c r="AD534" s="21" t="str">
        <f t="shared" si="122"/>
        <v>211212-formation des enseignants chargés de l'expérimentation au lycée avec la DNESGT</v>
      </c>
    </row>
    <row r="535" spans="1:30" s="22" customFormat="1" ht="90" hidden="1" customHeight="1" x14ac:dyDescent="0.8">
      <c r="A535" s="14">
        <v>2</v>
      </c>
      <c r="B535" s="15">
        <v>21</v>
      </c>
      <c r="C535" s="15">
        <v>211</v>
      </c>
      <c r="D535" s="15">
        <v>2112</v>
      </c>
      <c r="E535" s="15">
        <v>211213</v>
      </c>
      <c r="F535" s="16" t="s">
        <v>676</v>
      </c>
      <c r="G535" s="21" t="s">
        <v>51</v>
      </c>
      <c r="H535" s="17" t="s">
        <v>301</v>
      </c>
      <c r="I535" s="18">
        <v>0</v>
      </c>
      <c r="J535" s="18"/>
      <c r="K535" s="18"/>
      <c r="L535" s="18">
        <f>10*3*10</f>
        <v>300</v>
      </c>
      <c r="M535" s="18">
        <f t="shared" si="117"/>
        <v>300</v>
      </c>
      <c r="N535" s="18">
        <f>IF(OR(H535="",H535="sif",H535="PM"),0,VLOOKUP(H535,[5]CU!$C$4:$H$255,6,FALSE))</f>
        <v>0.67666666666666664</v>
      </c>
      <c r="O535" s="18">
        <f t="shared" si="126"/>
        <v>0</v>
      </c>
      <c r="P535" s="18">
        <f t="shared" si="126"/>
        <v>0</v>
      </c>
      <c r="Q535" s="18">
        <f t="shared" si="126"/>
        <v>0</v>
      </c>
      <c r="R535" s="18">
        <f t="shared" si="126"/>
        <v>203</v>
      </c>
      <c r="S535" s="24">
        <f t="shared" si="127"/>
        <v>203</v>
      </c>
      <c r="T535" s="23" t="s">
        <v>39</v>
      </c>
      <c r="U535" s="18" t="s">
        <v>647</v>
      </c>
      <c r="V535" s="18" t="str">
        <f>IF(OR($H535="",$H535="sif",$H535="PM"),"",VLOOKUP($H535,[5]CU!$C$5:$J$255,8,FALSE))</f>
        <v>3. Formation</v>
      </c>
      <c r="W535" s="18" t="s">
        <v>655</v>
      </c>
      <c r="X535" s="18" t="s">
        <v>248</v>
      </c>
      <c r="Y535" s="18" t="s">
        <v>677</v>
      </c>
      <c r="Z535" s="18" t="str">
        <f>A535 &amp; "-" &amp; VLOOKUP(A535,[4]PROGRAMMES!$E$1:$F$7,2,FALSE)</f>
        <v>2-Qualité des enseignements et des apprentissages</v>
      </c>
      <c r="AA535" s="19" t="str">
        <f>B535 &amp; "-" &amp; VLOOKUP(B535,[4]SOUSPROGRAMMES!$E$1:$F$44,2,FALSE)</f>
        <v>21- Révision/ adaptation des curricula/programmes (place des sciences ; franco-arabe, intégration de l’éducation à la citoyenneté, l'éducation complète à la sexualité, éducation environnementale…)</v>
      </c>
      <c r="AB535" s="19" t="str">
        <f>C535 &amp; "-" &amp; VLOOKUP(C535,[4]RESULTATS!$E$1:$F$176,2,FALSE)</f>
        <v>211- les contenus des programmes (du préscolaire, du primaire, 1er et second cycle du secondaire) sont progressivement révisés, adaptés et diversifiés</v>
      </c>
      <c r="AC535" s="20" t="str">
        <f>D535 &amp; "-" &amp; VLOOKUP(D535,[4]STRATEGIES!$E$1:$F$504,2,FALSE)</f>
        <v>2112-Conception/élaboration et expérimentation de nouveaux curricula/programmes</v>
      </c>
      <c r="AD535" s="21" t="str">
        <f t="shared" si="122"/>
        <v>211213-formation des enseignants chargés de l'expérimentation pour les ENI avec DNEF</v>
      </c>
    </row>
    <row r="536" spans="1:30" s="22" customFormat="1" ht="90" hidden="1" customHeight="1" x14ac:dyDescent="0.8">
      <c r="A536" s="14">
        <v>2</v>
      </c>
      <c r="B536" s="15">
        <v>21</v>
      </c>
      <c r="C536" s="15">
        <v>211</v>
      </c>
      <c r="D536" s="15">
        <v>2112</v>
      </c>
      <c r="E536" s="15">
        <v>211214</v>
      </c>
      <c r="F536" s="16" t="s">
        <v>678</v>
      </c>
      <c r="G536" s="21" t="s">
        <v>51</v>
      </c>
      <c r="H536" s="17" t="s">
        <v>301</v>
      </c>
      <c r="I536" s="18">
        <v>0</v>
      </c>
      <c r="J536" s="18"/>
      <c r="K536" s="18"/>
      <c r="L536" s="18">
        <f>10*3*10</f>
        <v>300</v>
      </c>
      <c r="M536" s="18">
        <f t="shared" si="117"/>
        <v>300</v>
      </c>
      <c r="N536" s="18">
        <f>IF(OR(H536="",H536="sif",H536="PM"),0,VLOOKUP(H536,[5]CU!$C$4:$H$255,6,FALSE))</f>
        <v>0.67666666666666664</v>
      </c>
      <c r="O536" s="18">
        <f t="shared" si="126"/>
        <v>0</v>
      </c>
      <c r="P536" s="18">
        <f t="shared" si="126"/>
        <v>0</v>
      </c>
      <c r="Q536" s="18">
        <f t="shared" si="126"/>
        <v>0</v>
      </c>
      <c r="R536" s="18">
        <f t="shared" si="126"/>
        <v>203</v>
      </c>
      <c r="S536" s="24">
        <f t="shared" si="127"/>
        <v>203</v>
      </c>
      <c r="T536" s="23" t="s">
        <v>39</v>
      </c>
      <c r="U536" s="18" t="s">
        <v>647</v>
      </c>
      <c r="V536" s="18" t="str">
        <f>IF(OR($H536="",$H536="sif",$H536="PM"),"",VLOOKUP($H536,[5]CU!$C$5:$J$255,8,FALSE))</f>
        <v>3. Formation</v>
      </c>
      <c r="W536" s="18" t="s">
        <v>655</v>
      </c>
      <c r="X536" s="18" t="s">
        <v>431</v>
      </c>
      <c r="Y536" s="18" t="s">
        <v>679</v>
      </c>
      <c r="Z536" s="18" t="str">
        <f>A536 &amp; "-" &amp; VLOOKUP(A536,[4]PROGRAMMES!$E$1:$F$7,2,FALSE)</f>
        <v>2-Qualité des enseignements et des apprentissages</v>
      </c>
      <c r="AA536" s="19" t="str">
        <f>B536 &amp; "-" &amp; VLOOKUP(B536,[4]SOUSPROGRAMMES!$E$1:$F$44,2,FALSE)</f>
        <v>21- Révision/ adaptation des curricula/programmes (place des sciences ; franco-arabe, intégration de l’éducation à la citoyenneté, l'éducation complète à la sexualité, éducation environnementale…)</v>
      </c>
      <c r="AB536" s="19" t="str">
        <f>C536 &amp; "-" &amp; VLOOKUP(C536,[4]RESULTATS!$E$1:$F$176,2,FALSE)</f>
        <v>211- les contenus des programmes (du préscolaire, du primaire, 1er et second cycle du secondaire) sont progressivement révisés, adaptés et diversifiés</v>
      </c>
      <c r="AC536" s="20" t="str">
        <f>D536 &amp; "-" &amp; VLOOKUP(D536,[4]STRATEGIES!$E$1:$F$504,2,FALSE)</f>
        <v>2112-Conception/élaboration et expérimentation de nouveaux curricula/programmes</v>
      </c>
      <c r="AD536" s="21" t="str">
        <f t="shared" si="122"/>
        <v>211214-Formation des enseignants chargés de l'expérimentation à l'ISSEG avec la DNESGT</v>
      </c>
    </row>
    <row r="537" spans="1:30" s="22" customFormat="1" ht="90" hidden="1" customHeight="1" x14ac:dyDescent="0.8">
      <c r="A537" s="14">
        <v>2</v>
      </c>
      <c r="B537" s="15">
        <v>21</v>
      </c>
      <c r="C537" s="15">
        <v>211</v>
      </c>
      <c r="D537" s="15">
        <v>2112</v>
      </c>
      <c r="E537" s="15">
        <v>211215</v>
      </c>
      <c r="F537" s="16" t="s">
        <v>680</v>
      </c>
      <c r="G537" s="21" t="s">
        <v>58</v>
      </c>
      <c r="H537" s="17" t="s">
        <v>59</v>
      </c>
      <c r="I537" s="18">
        <v>0</v>
      </c>
      <c r="J537" s="18"/>
      <c r="K537" s="18"/>
      <c r="L537" s="18">
        <f>15*20</f>
        <v>300</v>
      </c>
      <c r="M537" s="18">
        <f t="shared" si="117"/>
        <v>300</v>
      </c>
      <c r="N537" s="18">
        <f>IF(OR(H537="",H537="sif",H537="PM"),0,VLOOKUP(H537,[5]CU!$C$4:$H$255,6,FALSE))</f>
        <v>0.8177777777777776</v>
      </c>
      <c r="O537" s="18">
        <f t="shared" si="126"/>
        <v>0</v>
      </c>
      <c r="P537" s="18">
        <f t="shared" si="126"/>
        <v>0</v>
      </c>
      <c r="Q537" s="18">
        <f t="shared" si="126"/>
        <v>0</v>
      </c>
      <c r="R537" s="18">
        <f t="shared" si="126"/>
        <v>245.33333333333329</v>
      </c>
      <c r="S537" s="24">
        <f t="shared" si="127"/>
        <v>245.33333333333329</v>
      </c>
      <c r="T537" s="23" t="s">
        <v>39</v>
      </c>
      <c r="U537" s="18" t="s">
        <v>647</v>
      </c>
      <c r="V537" s="18" t="str">
        <f>IF(OR($H537="",$H537="sif",$H537="PM"),"",VLOOKUP($H537,[5]CU!$C$5:$J$255,8,FALSE))</f>
        <v>3. Dépenses de fonctionnement</v>
      </c>
      <c r="W537" s="18" t="s">
        <v>655</v>
      </c>
      <c r="X537" s="18" t="s">
        <v>347</v>
      </c>
      <c r="Y537" s="19" t="s">
        <v>32</v>
      </c>
      <c r="Z537" s="18" t="str">
        <f>A537 &amp; "-" &amp; VLOOKUP(A537,[4]PROGRAMMES!$E$1:$F$7,2,FALSE)</f>
        <v>2-Qualité des enseignements et des apprentissages</v>
      </c>
      <c r="AA537" s="19" t="str">
        <f>B537 &amp; "-" &amp; VLOOKUP(B537,[4]SOUSPROGRAMMES!$E$1:$F$44,2,FALSE)</f>
        <v>21- Révision/ adaptation des curricula/programmes (place des sciences ; franco-arabe, intégration de l’éducation à la citoyenneté, l'éducation complète à la sexualité, éducation environnementale…)</v>
      </c>
      <c r="AB537" s="19" t="str">
        <f>C537 &amp; "-" &amp; VLOOKUP(C537,[4]RESULTATS!$E$1:$F$176,2,FALSE)</f>
        <v>211- les contenus des programmes (du préscolaire, du primaire, 1er et second cycle du secondaire) sont progressivement révisés, adaptés et diversifiés</v>
      </c>
      <c r="AC537" s="20" t="str">
        <f>D537 &amp; "-" &amp; VLOOKUP(D537,[4]STRATEGIES!$E$1:$F$504,2,FALSE)</f>
        <v>2112-Conception/élaboration et expérimentation de nouveaux curricula/programmes</v>
      </c>
      <c r="AD537" s="21" t="str">
        <f t="shared" si="122"/>
        <v>211215-Suivi de l'expérimentation avec DNEPSCE, DNEF et DNESGT</v>
      </c>
    </row>
    <row r="538" spans="1:30" s="22" customFormat="1" ht="90" hidden="1" customHeight="1" x14ac:dyDescent="0.8">
      <c r="A538" s="14">
        <v>2</v>
      </c>
      <c r="B538" s="15">
        <v>21</v>
      </c>
      <c r="C538" s="15">
        <v>211</v>
      </c>
      <c r="D538" s="15">
        <v>2112</v>
      </c>
      <c r="E538" s="15">
        <v>211216</v>
      </c>
      <c r="F538" s="16" t="s">
        <v>681</v>
      </c>
      <c r="G538" s="21" t="s">
        <v>37</v>
      </c>
      <c r="H538" s="17" t="s">
        <v>66</v>
      </c>
      <c r="I538" s="18">
        <v>0</v>
      </c>
      <c r="J538" s="18"/>
      <c r="K538" s="18"/>
      <c r="L538" s="18">
        <f>10*7</f>
        <v>70</v>
      </c>
      <c r="M538" s="18">
        <f t="shared" si="117"/>
        <v>70</v>
      </c>
      <c r="N538" s="18">
        <f>IF(OR(H538="",H538="sif",H538="PM"),0,VLOOKUP(H538,[5]CU!$C$4:$H$255,6,FALSE))</f>
        <v>0.255</v>
      </c>
      <c r="O538" s="18">
        <f t="shared" si="126"/>
        <v>0</v>
      </c>
      <c r="P538" s="18">
        <f t="shared" si="126"/>
        <v>0</v>
      </c>
      <c r="Q538" s="18">
        <f t="shared" si="126"/>
        <v>0</v>
      </c>
      <c r="R538" s="18">
        <f t="shared" si="126"/>
        <v>17.850000000000001</v>
      </c>
      <c r="S538" s="24">
        <f t="shared" si="127"/>
        <v>17.850000000000001</v>
      </c>
      <c r="T538" s="23" t="s">
        <v>39</v>
      </c>
      <c r="U538" s="19" t="s">
        <v>647</v>
      </c>
      <c r="V538" s="19" t="str">
        <f>IF(OR($H538="",$H538="sif",$H538="PM"),"",VLOOKUP($H538,[5]CU!$C$5:$J$255,8,FALSE))</f>
        <v>3. Dépenses de fonctionnement</v>
      </c>
      <c r="W538" s="19" t="s">
        <v>665</v>
      </c>
      <c r="X538" s="19" t="s">
        <v>347</v>
      </c>
      <c r="Y538" s="19" t="s">
        <v>32</v>
      </c>
      <c r="Z538" s="18" t="str">
        <f>A538 &amp; "-" &amp; VLOOKUP(A538,[4]PROGRAMMES!$E$1:$F$7,2,FALSE)</f>
        <v>2-Qualité des enseignements et des apprentissages</v>
      </c>
      <c r="AA538" s="19" t="str">
        <f>B538 &amp; "-" &amp; VLOOKUP(B538,[4]SOUSPROGRAMMES!$E$1:$F$44,2,FALSE)</f>
        <v>21- Révision/ adaptation des curricula/programmes (place des sciences ; franco-arabe, intégration de l’éducation à la citoyenneté, l'éducation complète à la sexualité, éducation environnementale…)</v>
      </c>
      <c r="AB538" s="19" t="str">
        <f>C538 &amp; "-" &amp; VLOOKUP(C538,[4]RESULTATS!$E$1:$F$176,2,FALSE)</f>
        <v>211- les contenus des programmes (du préscolaire, du primaire, 1er et second cycle du secondaire) sont progressivement révisés, adaptés et diversifiés</v>
      </c>
      <c r="AC538" s="20" t="str">
        <f>D538 &amp; "-" &amp; VLOOKUP(D538,[4]STRATEGIES!$E$1:$F$504,2,FALSE)</f>
        <v>2112-Conception/élaboration et expérimentation de nouveaux curricula/programmes</v>
      </c>
      <c r="AD538" s="21" t="str">
        <f t="shared" si="122"/>
        <v>211216-Réajustement des curricula expérimenté du préscolaire avec la DNEPSCE</v>
      </c>
    </row>
    <row r="539" spans="1:30" s="22" customFormat="1" ht="90" hidden="1" customHeight="1" x14ac:dyDescent="0.8">
      <c r="A539" s="14">
        <v>2</v>
      </c>
      <c r="B539" s="15">
        <v>21</v>
      </c>
      <c r="C539" s="15">
        <v>211</v>
      </c>
      <c r="D539" s="15">
        <v>2112</v>
      </c>
      <c r="E539" s="15">
        <v>211217</v>
      </c>
      <c r="F539" s="16" t="s">
        <v>682</v>
      </c>
      <c r="G539" s="21" t="s">
        <v>58</v>
      </c>
      <c r="H539" s="17" t="s">
        <v>59</v>
      </c>
      <c r="I539" s="18">
        <v>0</v>
      </c>
      <c r="J539" s="18"/>
      <c r="K539" s="18"/>
      <c r="L539" s="18">
        <f>15*20</f>
        <v>300</v>
      </c>
      <c r="M539" s="18">
        <f t="shared" si="117"/>
        <v>300</v>
      </c>
      <c r="N539" s="18">
        <f>IF(OR(H539="",H539="sif",H539="PM"),0,VLOOKUP(H539,[5]CU!$C$4:$H$255,6,FALSE))</f>
        <v>0.8177777777777776</v>
      </c>
      <c r="O539" s="18">
        <f t="shared" si="126"/>
        <v>0</v>
      </c>
      <c r="P539" s="18">
        <f t="shared" si="126"/>
        <v>0</v>
      </c>
      <c r="Q539" s="18">
        <f t="shared" si="126"/>
        <v>0</v>
      </c>
      <c r="R539" s="18">
        <f t="shared" si="126"/>
        <v>245.33333333333329</v>
      </c>
      <c r="S539" s="24">
        <f t="shared" si="127"/>
        <v>245.33333333333329</v>
      </c>
      <c r="T539" s="23" t="s">
        <v>56</v>
      </c>
      <c r="U539" s="18" t="s">
        <v>647</v>
      </c>
      <c r="V539" s="18" t="str">
        <f>IF(OR($H539="",$H539="sif",$H539="PM"),"",VLOOKUP($H539,[5]CU!$C$5:$J$255,8,FALSE))</f>
        <v>3. Dépenses de fonctionnement</v>
      </c>
      <c r="W539" s="18" t="s">
        <v>398</v>
      </c>
      <c r="X539" s="18" t="s">
        <v>347</v>
      </c>
      <c r="Y539" s="19" t="s">
        <v>32</v>
      </c>
      <c r="Z539" s="18" t="str">
        <f>A539 &amp; "-" &amp; VLOOKUP(A539,[4]PROGRAMMES!$E$1:$F$7,2,FALSE)</f>
        <v>2-Qualité des enseignements et des apprentissages</v>
      </c>
      <c r="AA539" s="19" t="str">
        <f>B539 &amp; "-" &amp; VLOOKUP(B539,[4]SOUSPROGRAMMES!$E$1:$F$44,2,FALSE)</f>
        <v>21- Révision/ adaptation des curricula/programmes (place des sciences ; franco-arabe, intégration de l’éducation à la citoyenneté, l'éducation complète à la sexualité, éducation environnementale…)</v>
      </c>
      <c r="AB539" s="19" t="str">
        <f>C539 &amp; "-" &amp; VLOOKUP(C539,[4]RESULTATS!$E$1:$F$176,2,FALSE)</f>
        <v>211- les contenus des programmes (du préscolaire, du primaire, 1er et second cycle du secondaire) sont progressivement révisés, adaptés et diversifiés</v>
      </c>
      <c r="AC539" s="20" t="str">
        <f>D539 &amp; "-" &amp; VLOOKUP(D539,[4]STRATEGIES!$E$1:$F$504,2,FALSE)</f>
        <v>2112-Conception/élaboration et expérimentation de nouveaux curricula/programmes</v>
      </c>
      <c r="AD539" s="21" t="str">
        <f t="shared" si="122"/>
        <v>211217-Suivi de l'expérimentation en 11ième Année avec la DNESGT</v>
      </c>
    </row>
    <row r="540" spans="1:30" s="22" customFormat="1" ht="90" hidden="1" customHeight="1" x14ac:dyDescent="0.8">
      <c r="A540" s="14">
        <v>2</v>
      </c>
      <c r="B540" s="15">
        <v>21</v>
      </c>
      <c r="C540" s="15">
        <v>211</v>
      </c>
      <c r="D540" s="15">
        <v>2113</v>
      </c>
      <c r="E540" s="15">
        <v>2113</v>
      </c>
      <c r="F540" s="16" t="s">
        <v>683</v>
      </c>
      <c r="G540" s="17"/>
      <c r="H540" s="17"/>
      <c r="I540" s="18">
        <v>0</v>
      </c>
      <c r="J540" s="18"/>
      <c r="K540" s="18"/>
      <c r="L540" s="18"/>
      <c r="M540" s="18"/>
      <c r="N540" s="18"/>
      <c r="O540" s="18"/>
      <c r="P540" s="18"/>
      <c r="Q540" s="18"/>
      <c r="R540" s="18"/>
      <c r="S540" s="24"/>
      <c r="T540" s="18"/>
      <c r="U540" s="18"/>
      <c r="V540" s="18"/>
      <c r="W540" s="18"/>
      <c r="X540" s="18"/>
      <c r="Y540" s="19" t="s">
        <v>32</v>
      </c>
      <c r="Z540" s="18" t="str">
        <f>A540 &amp; "-" &amp; VLOOKUP(A540,[4]PROGRAMMES!$E$1:$F$7,2,FALSE)</f>
        <v>2-Qualité des enseignements et des apprentissages</v>
      </c>
      <c r="AA540" s="19" t="str">
        <f>B540 &amp; "-" &amp; VLOOKUP(B540,[4]SOUSPROGRAMMES!$E$1:$F$44,2,FALSE)</f>
        <v>21- Révision/ adaptation des curricula/programmes (place des sciences ; franco-arabe, intégration de l’éducation à la citoyenneté, l'éducation complète à la sexualité, éducation environnementale…)</v>
      </c>
      <c r="AB540" s="19" t="str">
        <f>C540 &amp; "-" &amp; VLOOKUP(C540,[4]RESULTATS!$E$1:$F$176,2,FALSE)</f>
        <v>211- les contenus des programmes (du préscolaire, du primaire, 1er et second cycle du secondaire) sont progressivement révisés, adaptés et diversifiés</v>
      </c>
      <c r="AC540" s="20" t="str">
        <f>D540 &amp; "-" &amp; VLOOKUP(D540,[4]STRATEGIES!$E$1:$F$504,2,FALSE)</f>
        <v>2113-Formation des enseignants aux nouveaux curricula à tous les niveaux</v>
      </c>
      <c r="AD540" s="21" t="str">
        <f t="shared" si="122"/>
        <v>2113-Formation des enseignants aux nouveaux curricula à tous les niveaux</v>
      </c>
    </row>
    <row r="541" spans="1:30" s="22" customFormat="1" ht="90" hidden="1" customHeight="1" x14ac:dyDescent="0.8">
      <c r="A541" s="14">
        <v>2</v>
      </c>
      <c r="B541" s="15">
        <v>21</v>
      </c>
      <c r="C541" s="15">
        <v>211</v>
      </c>
      <c r="D541" s="15">
        <v>2113</v>
      </c>
      <c r="E541" s="15"/>
      <c r="F541" s="16" t="s">
        <v>684</v>
      </c>
      <c r="G541" s="21"/>
      <c r="H541" s="17"/>
      <c r="I541" s="18">
        <v>0</v>
      </c>
      <c r="J541" s="18"/>
      <c r="K541" s="18"/>
      <c r="L541" s="18"/>
      <c r="M541" s="18"/>
      <c r="N541" s="18"/>
      <c r="O541" s="18"/>
      <c r="P541" s="18"/>
      <c r="Q541" s="18"/>
      <c r="R541" s="18"/>
      <c r="S541" s="24"/>
      <c r="T541" s="23" t="s">
        <v>39</v>
      </c>
      <c r="U541" s="18" t="s">
        <v>647</v>
      </c>
      <c r="V541" s="18" t="str">
        <f>IF(OR($H541="",$H541="sif",$H541="PM"),"",VLOOKUP($H541,[5]CU!$C$5:$J$255,8,FALSE))</f>
        <v/>
      </c>
      <c r="W541" s="18"/>
      <c r="X541" s="18"/>
      <c r="Y541" s="19" t="s">
        <v>32</v>
      </c>
      <c r="Z541" s="18" t="str">
        <f>A541 &amp; "-" &amp; VLOOKUP(A541,[4]PROGRAMMES!$E$1:$F$7,2,FALSE)</f>
        <v>2-Qualité des enseignements et des apprentissages</v>
      </c>
      <c r="AA541" s="19" t="str">
        <f>B541 &amp; "-" &amp; VLOOKUP(B541,[4]SOUSPROGRAMMES!$E$1:$F$44,2,FALSE)</f>
        <v>21- Révision/ adaptation des curricula/programmes (place des sciences ; franco-arabe, intégration de l’éducation à la citoyenneté, l'éducation complète à la sexualité, éducation environnementale…)</v>
      </c>
      <c r="AB541" s="19" t="str">
        <f>C541 &amp; "-" &amp; VLOOKUP(C541,[4]RESULTATS!$E$1:$F$176,2,FALSE)</f>
        <v>211- les contenus des programmes (du préscolaire, du primaire, 1er et second cycle du secondaire) sont progressivement révisés, adaptés et diversifiés</v>
      </c>
      <c r="AC541" s="20" t="str">
        <f>D541 &amp; "-" &amp; VLOOKUP(D541,[4]STRATEGIES!$E$1:$F$504,2,FALSE)</f>
        <v>2113-Formation des enseignants aux nouveaux curricula à tous les niveaux</v>
      </c>
      <c r="AD541" s="21" t="str">
        <f t="shared" si="122"/>
        <v>-PM à intégrer dans la seconde phase de mise en œuvre du PRODEG</v>
      </c>
    </row>
    <row r="542" spans="1:30" s="22" customFormat="1" ht="90" hidden="1" customHeight="1" x14ac:dyDescent="0.8">
      <c r="A542" s="14">
        <v>2</v>
      </c>
      <c r="B542" s="15">
        <v>21</v>
      </c>
      <c r="C542" s="15">
        <v>211</v>
      </c>
      <c r="D542" s="15">
        <v>2114</v>
      </c>
      <c r="E542" s="15">
        <v>2114</v>
      </c>
      <c r="F542" s="16" t="s">
        <v>685</v>
      </c>
      <c r="G542" s="17"/>
      <c r="H542" s="17"/>
      <c r="I542" s="18">
        <v>0</v>
      </c>
      <c r="J542" s="18"/>
      <c r="K542" s="18"/>
      <c r="L542" s="18"/>
      <c r="M542" s="18"/>
      <c r="N542" s="18"/>
      <c r="O542" s="18"/>
      <c r="P542" s="18"/>
      <c r="Q542" s="18"/>
      <c r="R542" s="18"/>
      <c r="S542" s="24"/>
      <c r="T542" s="18"/>
      <c r="U542" s="18"/>
      <c r="V542" s="18"/>
      <c r="W542" s="18"/>
      <c r="X542" s="18"/>
      <c r="Y542" s="19" t="s">
        <v>32</v>
      </c>
      <c r="Z542" s="18" t="str">
        <f>A542 &amp; "-" &amp; VLOOKUP(A542,[4]PROGRAMMES!$E$1:$F$7,2,FALSE)</f>
        <v>2-Qualité des enseignements et des apprentissages</v>
      </c>
      <c r="AA542" s="19" t="str">
        <f>B542 &amp; "-" &amp; VLOOKUP(B542,[4]SOUSPROGRAMMES!$E$1:$F$44,2,FALSE)</f>
        <v>21- Révision/ adaptation des curricula/programmes (place des sciences ; franco-arabe, intégration de l’éducation à la citoyenneté, l'éducation complète à la sexualité, éducation environnementale…)</v>
      </c>
      <c r="AB542" s="19" t="str">
        <f>C542 &amp; "-" &amp; VLOOKUP(C542,[4]RESULTATS!$E$1:$F$176,2,FALSE)</f>
        <v>211- les contenus des programmes (du préscolaire, du primaire, 1er et second cycle du secondaire) sont progressivement révisés, adaptés et diversifiés</v>
      </c>
      <c r="AC542" s="20" t="str">
        <f>D542 &amp; "-" &amp; VLOOKUP(D542,[4]STRATEGIES!$E$1:$F$504,2,FALSE)</f>
        <v>2114-Adaptation des manuels/matériels pédagogiques et ludiques aux nouveaux curricula à tous les niveaux et pour tous les enfants</v>
      </c>
      <c r="AD542" s="21" t="str">
        <f t="shared" si="122"/>
        <v>2114-Adaptation des manuels/matériels pédagogiques et ludiques aux nouveaux curricula à tous les niveaux et pour tous les enfants</v>
      </c>
    </row>
    <row r="543" spans="1:30" s="22" customFormat="1" ht="90" hidden="1" customHeight="1" x14ac:dyDescent="0.8">
      <c r="A543" s="14">
        <v>2</v>
      </c>
      <c r="B543" s="15">
        <v>21</v>
      </c>
      <c r="C543" s="15">
        <v>211</v>
      </c>
      <c r="D543" s="15">
        <v>2114</v>
      </c>
      <c r="E543" s="15">
        <v>21141</v>
      </c>
      <c r="F543" s="16" t="s">
        <v>686</v>
      </c>
      <c r="G543" s="21" t="s">
        <v>37</v>
      </c>
      <c r="H543" s="17" t="s">
        <v>66</v>
      </c>
      <c r="I543" s="18">
        <v>0</v>
      </c>
      <c r="J543" s="18"/>
      <c r="K543" s="18">
        <f>25*7</f>
        <v>175</v>
      </c>
      <c r="L543" s="18"/>
      <c r="M543" s="18">
        <f t="shared" ref="M543:M556" si="128">SUM(I543:L543)</f>
        <v>175</v>
      </c>
      <c r="N543" s="18">
        <f>IF(OR(H543="",H543="sif",H543="PM"),0,VLOOKUP(H543,[5]CU!$C$4:$H$255,6,FALSE))</f>
        <v>0.255</v>
      </c>
      <c r="O543" s="18">
        <f t="shared" ref="O543:R550" si="129">$N543*I543</f>
        <v>0</v>
      </c>
      <c r="P543" s="18">
        <f t="shared" si="129"/>
        <v>0</v>
      </c>
      <c r="Q543" s="18">
        <f t="shared" si="129"/>
        <v>44.625</v>
      </c>
      <c r="R543" s="18">
        <f t="shared" si="129"/>
        <v>0</v>
      </c>
      <c r="S543" s="24">
        <f>SUM(O543:R543)</f>
        <v>44.625</v>
      </c>
      <c r="T543" s="23" t="s">
        <v>39</v>
      </c>
      <c r="U543" s="19" t="s">
        <v>647</v>
      </c>
      <c r="V543" s="19" t="str">
        <f>IF(OR($H543="",$H543="sif",$H543="PM"),"",VLOOKUP($H543,[5]CU!$C$5:$J$255,8,FALSE))</f>
        <v>3. Dépenses de fonctionnement</v>
      </c>
      <c r="W543" s="19" t="s">
        <v>665</v>
      </c>
      <c r="X543" s="19" t="s">
        <v>347</v>
      </c>
      <c r="Y543" s="19" t="s">
        <v>32</v>
      </c>
      <c r="Z543" s="18" t="str">
        <f>A543 &amp; "-" &amp; VLOOKUP(A543,[4]PROGRAMMES!$E$1:$F$7,2,FALSE)</f>
        <v>2-Qualité des enseignements et des apprentissages</v>
      </c>
      <c r="AA543" s="19" t="str">
        <f>B543 &amp; "-" &amp; VLOOKUP(B543,[4]SOUSPROGRAMMES!$E$1:$F$44,2,FALSE)</f>
        <v>21- Révision/ adaptation des curricula/programmes (place des sciences ; franco-arabe, intégration de l’éducation à la citoyenneté, l'éducation complète à la sexualité, éducation environnementale…)</v>
      </c>
      <c r="AB543" s="19" t="str">
        <f>C543 &amp; "-" &amp; VLOOKUP(C543,[4]RESULTATS!$E$1:$F$176,2,FALSE)</f>
        <v>211- les contenus des programmes (du préscolaire, du primaire, 1er et second cycle du secondaire) sont progressivement révisés, adaptés et diversifiés</v>
      </c>
      <c r="AC543" s="20" t="str">
        <f>D543 &amp; "-" &amp; VLOOKUP(D543,[4]STRATEGIES!$E$1:$F$504,2,FALSE)</f>
        <v>2114-Adaptation des manuels/matériels pédagogiques et ludiques aux nouveaux curricula à tous les niveaux et pour tous les enfants</v>
      </c>
      <c r="AD543" s="21" t="str">
        <f t="shared" si="122"/>
        <v>21141-Adaptation des matériels pédagogiques du préscolaire</v>
      </c>
    </row>
    <row r="544" spans="1:30" s="22" customFormat="1" ht="90" hidden="1" customHeight="1" x14ac:dyDescent="0.8">
      <c r="A544" s="14">
        <v>2</v>
      </c>
      <c r="B544" s="15">
        <v>21</v>
      </c>
      <c r="C544" s="15">
        <v>211</v>
      </c>
      <c r="D544" s="15">
        <v>2114</v>
      </c>
      <c r="E544" s="15">
        <v>21142</v>
      </c>
      <c r="F544" s="16" t="s">
        <v>687</v>
      </c>
      <c r="G544" s="21" t="s">
        <v>37</v>
      </c>
      <c r="H544" s="17" t="s">
        <v>301</v>
      </c>
      <c r="I544" s="18">
        <v>0</v>
      </c>
      <c r="J544" s="18"/>
      <c r="K544" s="18"/>
      <c r="L544" s="18">
        <f>80*10</f>
        <v>800</v>
      </c>
      <c r="M544" s="18">
        <f t="shared" si="128"/>
        <v>800</v>
      </c>
      <c r="N544" s="18">
        <f>IF(OR(H544="",H544="sif",H544="PM"),0,VLOOKUP(H544,[5]CU!$C$4:$H$255,6,FALSE))</f>
        <v>0.67666666666666664</v>
      </c>
      <c r="O544" s="18">
        <f t="shared" si="129"/>
        <v>0</v>
      </c>
      <c r="P544" s="18">
        <f t="shared" si="129"/>
        <v>0</v>
      </c>
      <c r="Q544" s="18">
        <f t="shared" si="129"/>
        <v>0</v>
      </c>
      <c r="R544" s="18">
        <f t="shared" si="129"/>
        <v>541.33333333333326</v>
      </c>
      <c r="S544" s="24">
        <f>SUM(O544:R544)</f>
        <v>541.33333333333326</v>
      </c>
      <c r="T544" s="23" t="s">
        <v>39</v>
      </c>
      <c r="U544" s="19" t="s">
        <v>647</v>
      </c>
      <c r="V544" s="19" t="str">
        <f>IF(OR($H544="",$H544="sif",$H544="PM"),"",VLOOKUP($H544,[5]CU!$C$5:$J$255,8,FALSE))</f>
        <v>3. Formation</v>
      </c>
      <c r="W544" s="19" t="s">
        <v>347</v>
      </c>
      <c r="X544" s="19" t="s">
        <v>688</v>
      </c>
      <c r="Y544" s="19" t="s">
        <v>32</v>
      </c>
      <c r="Z544" s="18" t="str">
        <f>A544 &amp; "-" &amp; VLOOKUP(A544,[4]PROGRAMMES!$E$1:$F$7,2,FALSE)</f>
        <v>2-Qualité des enseignements et des apprentissages</v>
      </c>
      <c r="AA544" s="19" t="str">
        <f>B544 &amp; "-" &amp; VLOOKUP(B544,[4]SOUSPROGRAMMES!$E$1:$F$44,2,FALSE)</f>
        <v>21- Révision/ adaptation des curricula/programmes (place des sciences ; franco-arabe, intégration de l’éducation à la citoyenneté, l'éducation complète à la sexualité, éducation environnementale…)</v>
      </c>
      <c r="AB544" s="19" t="str">
        <f>C544 &amp; "-" &amp; VLOOKUP(C544,[4]RESULTATS!$E$1:$F$176,2,FALSE)</f>
        <v>211- les contenus des programmes (du préscolaire, du primaire, 1er et second cycle du secondaire) sont progressivement révisés, adaptés et diversifiés</v>
      </c>
      <c r="AC544" s="20" t="str">
        <f>D544 &amp; "-" &amp; VLOOKUP(D544,[4]STRATEGIES!$E$1:$F$504,2,FALSE)</f>
        <v>2114-Adaptation des manuels/matériels pédagogiques et ludiques aux nouveaux curricula à tous les niveaux et pour tous les enfants</v>
      </c>
      <c r="AD544" s="21" t="str">
        <f t="shared" si="122"/>
        <v>21142-Appui aux enseignants à l'utilisation du matériel pédagogique du préscolaire</v>
      </c>
    </row>
    <row r="545" spans="1:30" s="22" customFormat="1" ht="90" hidden="1" customHeight="1" x14ac:dyDescent="0.8">
      <c r="A545" s="14">
        <v>2</v>
      </c>
      <c r="B545" s="15">
        <v>21</v>
      </c>
      <c r="C545" s="15">
        <v>211</v>
      </c>
      <c r="D545" s="15">
        <v>2115</v>
      </c>
      <c r="E545" s="15">
        <v>2115</v>
      </c>
      <c r="F545" s="16" t="s">
        <v>689</v>
      </c>
      <c r="G545" s="17"/>
      <c r="H545" s="17"/>
      <c r="I545" s="18">
        <v>0</v>
      </c>
      <c r="J545" s="18"/>
      <c r="K545" s="18"/>
      <c r="L545" s="18"/>
      <c r="M545" s="18"/>
      <c r="N545" s="18"/>
      <c r="O545" s="18"/>
      <c r="P545" s="18"/>
      <c r="Q545" s="18"/>
      <c r="R545" s="18"/>
      <c r="S545" s="24"/>
      <c r="T545" s="18"/>
      <c r="U545" s="18"/>
      <c r="V545" s="18"/>
      <c r="W545" s="18"/>
      <c r="X545" s="18"/>
      <c r="Y545" s="19" t="s">
        <v>32</v>
      </c>
      <c r="Z545" s="18" t="str">
        <f>A545 &amp; "-" &amp; VLOOKUP(A545,[4]PROGRAMMES!$E$1:$F$7,2,FALSE)</f>
        <v>2-Qualité des enseignements et des apprentissages</v>
      </c>
      <c r="AA545" s="19" t="str">
        <f>B545 &amp; "-" &amp; VLOOKUP(B545,[4]SOUSPROGRAMMES!$E$1:$F$44,2,FALSE)</f>
        <v>21- Révision/ adaptation des curricula/programmes (place des sciences ; franco-arabe, intégration de l’éducation à la citoyenneté, l'éducation complète à la sexualité, éducation environnementale…)</v>
      </c>
      <c r="AB545" s="19" t="str">
        <f>C545 &amp; "-" &amp; VLOOKUP(C545,[4]RESULTATS!$E$1:$F$176,2,FALSE)</f>
        <v>211- les contenus des programmes (du préscolaire, du primaire, 1er et second cycle du secondaire) sont progressivement révisés, adaptés et diversifiés</v>
      </c>
      <c r="AC545" s="20" t="str">
        <f>D545 &amp; "-" &amp; VLOOKUP(D545,[4]STRATEGIES!$E$1:$F$504,2,FALSE)</f>
        <v>2115-Introduction des approches innovantes dans le cursus scolaire</v>
      </c>
      <c r="AD545" s="21" t="str">
        <f t="shared" si="122"/>
        <v>2115-Introduction des approches innovantes dans le cursus scolaire</v>
      </c>
    </row>
    <row r="546" spans="1:30" s="22" customFormat="1" ht="90" hidden="1" customHeight="1" x14ac:dyDescent="0.8">
      <c r="A546" s="14">
        <v>2</v>
      </c>
      <c r="B546" s="15">
        <v>21</v>
      </c>
      <c r="C546" s="15">
        <v>211</v>
      </c>
      <c r="D546" s="15">
        <v>2115</v>
      </c>
      <c r="E546" s="15">
        <v>21151</v>
      </c>
      <c r="F546" s="16" t="s">
        <v>690</v>
      </c>
      <c r="G546" s="21" t="s">
        <v>37</v>
      </c>
      <c r="H546" s="17" t="s">
        <v>66</v>
      </c>
      <c r="I546" s="18">
        <v>0</v>
      </c>
      <c r="J546" s="18"/>
      <c r="K546" s="18"/>
      <c r="L546" s="18"/>
      <c r="M546" s="18">
        <f t="shared" si="128"/>
        <v>0</v>
      </c>
      <c r="N546" s="18">
        <f>IF(OR(H546="",H546="sif",H546="PM"),0,VLOOKUP(H546,[5]CU!$C$4:$H$255,6,FALSE))</f>
        <v>0.255</v>
      </c>
      <c r="O546" s="18">
        <f t="shared" si="129"/>
        <v>0</v>
      </c>
      <c r="P546" s="18">
        <f t="shared" si="129"/>
        <v>0</v>
      </c>
      <c r="Q546" s="18">
        <f t="shared" si="129"/>
        <v>0</v>
      </c>
      <c r="R546" s="18">
        <f t="shared" si="129"/>
        <v>0</v>
      </c>
      <c r="S546" s="24">
        <f>SUM(O546:R546)</f>
        <v>0</v>
      </c>
      <c r="T546" s="23" t="s">
        <v>178</v>
      </c>
      <c r="U546" s="18" t="s">
        <v>647</v>
      </c>
      <c r="V546" s="18" t="str">
        <f>IF(OR($H546="",$H546="sif",$H546="PM"),"",VLOOKUP($H546,[5]CU!$C$5:$J$255,8,FALSE))</f>
        <v>3. Dépenses de fonctionnement</v>
      </c>
      <c r="W546" s="18" t="s">
        <v>347</v>
      </c>
      <c r="X546" s="18" t="s">
        <v>347</v>
      </c>
      <c r="Y546" s="19" t="s">
        <v>32</v>
      </c>
      <c r="Z546" s="18" t="str">
        <f>A546 &amp; "-" &amp; VLOOKUP(A546,[4]PROGRAMMES!$E$1:$F$7,2,FALSE)</f>
        <v>2-Qualité des enseignements et des apprentissages</v>
      </c>
      <c r="AA546" s="19" t="str">
        <f>B546 &amp; "-" &amp; VLOOKUP(B546,[4]SOUSPROGRAMMES!$E$1:$F$44,2,FALSE)</f>
        <v>21- Révision/ adaptation des curricula/programmes (place des sciences ; franco-arabe, intégration de l’éducation à la citoyenneté, l'éducation complète à la sexualité, éducation environnementale…)</v>
      </c>
      <c r="AB546" s="19" t="str">
        <f>C546 &amp; "-" &amp; VLOOKUP(C546,[4]RESULTATS!$E$1:$F$176,2,FALSE)</f>
        <v>211- les contenus des programmes (du préscolaire, du primaire, 1er et second cycle du secondaire) sont progressivement révisés, adaptés et diversifiés</v>
      </c>
      <c r="AC546" s="20" t="str">
        <f>D546 &amp; "-" &amp; VLOOKUP(D546,[4]STRATEGIES!$E$1:$F$504,2,FALSE)</f>
        <v>2115-Introduction des approches innovantes dans le cursus scolaire</v>
      </c>
      <c r="AD546" s="21" t="str">
        <f t="shared" si="122"/>
        <v xml:space="preserve">21151-Révision des supports pédagogiques EGRA (guides et affiches) </v>
      </c>
    </row>
    <row r="547" spans="1:30" s="22" customFormat="1" ht="90" hidden="1" customHeight="1" x14ac:dyDescent="0.8">
      <c r="A547" s="14">
        <v>2</v>
      </c>
      <c r="B547" s="15">
        <v>21</v>
      </c>
      <c r="C547" s="15">
        <v>211</v>
      </c>
      <c r="D547" s="15">
        <v>2115</v>
      </c>
      <c r="E547" s="15">
        <v>21152</v>
      </c>
      <c r="F547" s="16" t="s">
        <v>691</v>
      </c>
      <c r="G547" s="21" t="s">
        <v>692</v>
      </c>
      <c r="H547" s="17" t="s">
        <v>693</v>
      </c>
      <c r="I547" s="18">
        <v>0</v>
      </c>
      <c r="J547" s="18"/>
      <c r="K547" s="18"/>
      <c r="L547" s="18"/>
      <c r="M547" s="18">
        <f t="shared" si="128"/>
        <v>0</v>
      </c>
      <c r="N547" s="18">
        <f>IF(OR(H547="",H547="sif",H547="PM"),0,VLOOKUP(H547,[5]CU!$C$4:$H$255,6,FALSE))</f>
        <v>891</v>
      </c>
      <c r="O547" s="18">
        <f t="shared" si="129"/>
        <v>0</v>
      </c>
      <c r="P547" s="18">
        <f t="shared" si="129"/>
        <v>0</v>
      </c>
      <c r="Q547" s="18">
        <f t="shared" si="129"/>
        <v>0</v>
      </c>
      <c r="R547" s="18">
        <f t="shared" si="129"/>
        <v>0</v>
      </c>
      <c r="S547" s="24">
        <f>SUM(O547:R547)</f>
        <v>0</v>
      </c>
      <c r="T547" s="23" t="s">
        <v>178</v>
      </c>
      <c r="U547" s="18" t="s">
        <v>647</v>
      </c>
      <c r="V547" s="18" t="str">
        <f>IF(OR($H547="",$H547="sif",$H547="PM"),"",VLOOKUP($H547,[5]CU!$C$5:$J$255,8,FALSE))</f>
        <v>3. Manuels scolaires et matériels pédagogiques</v>
      </c>
      <c r="W547" s="18" t="s">
        <v>347</v>
      </c>
      <c r="X547" s="18" t="s">
        <v>347</v>
      </c>
      <c r="Y547" s="19" t="s">
        <v>32</v>
      </c>
      <c r="Z547" s="18" t="str">
        <f>A547 &amp; "-" &amp; VLOOKUP(A547,[4]PROGRAMMES!$E$1:$F$7,2,FALSE)</f>
        <v>2-Qualité des enseignements et des apprentissages</v>
      </c>
      <c r="AA547" s="19" t="str">
        <f>B547 &amp; "-" &amp; VLOOKUP(B547,[4]SOUSPROGRAMMES!$E$1:$F$44,2,FALSE)</f>
        <v>21- Révision/ adaptation des curricula/programmes (place des sciences ; franco-arabe, intégration de l’éducation à la citoyenneté, l'éducation complète à la sexualité, éducation environnementale…)</v>
      </c>
      <c r="AB547" s="19" t="str">
        <f>C547 &amp; "-" &amp; VLOOKUP(C547,[4]RESULTATS!$E$1:$F$176,2,FALSE)</f>
        <v>211- les contenus des programmes (du préscolaire, du primaire, 1er et second cycle du secondaire) sont progressivement révisés, adaptés et diversifiés</v>
      </c>
      <c r="AC547" s="20" t="str">
        <f>D547 &amp; "-" &amp; VLOOKUP(D547,[4]STRATEGIES!$E$1:$F$504,2,FALSE)</f>
        <v>2115-Introduction des approches innovantes dans le cursus scolaire</v>
      </c>
      <c r="AD547" s="21" t="str">
        <f t="shared" si="122"/>
        <v>21152-réprographie et distribution du matériel pédagogique EGRA au enseignants et aux élèves</v>
      </c>
    </row>
    <row r="548" spans="1:30" s="22" customFormat="1" ht="90" hidden="1" customHeight="1" x14ac:dyDescent="0.8">
      <c r="A548" s="14">
        <v>2</v>
      </c>
      <c r="B548" s="15">
        <v>21</v>
      </c>
      <c r="C548" s="15">
        <v>211</v>
      </c>
      <c r="D548" s="15">
        <v>2115</v>
      </c>
      <c r="E548" s="15">
        <v>21153</v>
      </c>
      <c r="F548" s="16" t="s">
        <v>694</v>
      </c>
      <c r="G548" s="21" t="s">
        <v>436</v>
      </c>
      <c r="H548" s="17" t="s">
        <v>52</v>
      </c>
      <c r="I548" s="18">
        <v>0</v>
      </c>
      <c r="J548" s="18">
        <f>(600)*14.03%</f>
        <v>84.179999999999993</v>
      </c>
      <c r="K548" s="18">
        <f>900*14.03%</f>
        <v>126.26999999999998</v>
      </c>
      <c r="L548" s="18">
        <f>1200*14.03%</f>
        <v>168.35999999999999</v>
      </c>
      <c r="M548" s="18">
        <f t="shared" si="128"/>
        <v>378.80999999999995</v>
      </c>
      <c r="N548" s="18">
        <f>IF(OR(H548="",H548="sif",H548="PM"),0,VLOOKUP(H548,[5]CU!$C$4:$H$255,6,FALSE))</f>
        <v>1.5</v>
      </c>
      <c r="O548" s="18">
        <f t="shared" si="129"/>
        <v>0</v>
      </c>
      <c r="P548" s="18">
        <f t="shared" si="129"/>
        <v>126.26999999999998</v>
      </c>
      <c r="Q548" s="18">
        <f t="shared" si="129"/>
        <v>189.40499999999997</v>
      </c>
      <c r="R548" s="18">
        <f t="shared" si="129"/>
        <v>252.53999999999996</v>
      </c>
      <c r="S548" s="24">
        <f>SUM(O548:R548)</f>
        <v>568.21499999999992</v>
      </c>
      <c r="T548" s="23" t="s">
        <v>39</v>
      </c>
      <c r="U548" s="19" t="s">
        <v>647</v>
      </c>
      <c r="V548" s="19" t="str">
        <f>IF(OR($H548="",$H548="sif",$H548="PM"),"",VLOOKUP($H548,[5]CU!$C$5:$J$255,8,FALSE))</f>
        <v>3. Formation</v>
      </c>
      <c r="W548" s="19" t="s">
        <v>347</v>
      </c>
      <c r="X548" s="19" t="s">
        <v>347</v>
      </c>
      <c r="Y548" s="19" t="s">
        <v>32</v>
      </c>
      <c r="Z548" s="18" t="str">
        <f>A548 &amp; "-" &amp; VLOOKUP(A548,[4]PROGRAMMES!$E$1:$F$7,2,FALSE)</f>
        <v>2-Qualité des enseignements et des apprentissages</v>
      </c>
      <c r="AA548" s="19" t="str">
        <f>B548 &amp; "-" &amp; VLOOKUP(B548,[4]SOUSPROGRAMMES!$E$1:$F$44,2,FALSE)</f>
        <v>21- Révision/ adaptation des curricula/programmes (place des sciences ; franco-arabe, intégration de l’éducation à la citoyenneté, l'éducation complète à la sexualité, éducation environnementale…)</v>
      </c>
      <c r="AB548" s="19" t="str">
        <f>C548 &amp; "-" &amp; VLOOKUP(C548,[4]RESULTATS!$E$1:$F$176,2,FALSE)</f>
        <v>211- les contenus des programmes (du préscolaire, du primaire, 1er et second cycle du secondaire) sont progressivement révisés, adaptés et diversifiés</v>
      </c>
      <c r="AC548" s="20" t="str">
        <f>D548 &amp; "-" &amp; VLOOKUP(D548,[4]STRATEGIES!$E$1:$F$504,2,FALSE)</f>
        <v>2115-Introduction des approches innovantes dans le cursus scolaire</v>
      </c>
      <c r="AD548" s="21" t="str">
        <f t="shared" si="122"/>
        <v>21153-Formation des enseignants, encadreurs, représentants APEAE sur les techniques d'enseignement et d'apprentissage de la lecture au primaire</v>
      </c>
    </row>
    <row r="549" spans="1:30" s="22" customFormat="1" ht="90" hidden="1" customHeight="1" x14ac:dyDescent="0.8">
      <c r="A549" s="14">
        <v>2</v>
      </c>
      <c r="B549" s="15">
        <v>21</v>
      </c>
      <c r="C549" s="15">
        <v>211</v>
      </c>
      <c r="D549" s="15">
        <v>2115</v>
      </c>
      <c r="E549" s="15">
        <v>21153</v>
      </c>
      <c r="F549" s="16" t="s">
        <v>694</v>
      </c>
      <c r="G549" s="21" t="s">
        <v>436</v>
      </c>
      <c r="H549" s="17" t="s">
        <v>52</v>
      </c>
      <c r="I549" s="18">
        <v>0</v>
      </c>
      <c r="J549" s="18">
        <f>(600)*12.73%</f>
        <v>76.38</v>
      </c>
      <c r="K549" s="18">
        <f>900*12.73%</f>
        <v>114.57</v>
      </c>
      <c r="L549" s="18">
        <f>1200*12.73%</f>
        <v>152.76</v>
      </c>
      <c r="M549" s="18">
        <f>SUM(I549:L549)</f>
        <v>343.71</v>
      </c>
      <c r="N549" s="18">
        <f>IF(OR(H549="",H549="sif",H549="PM"),0,VLOOKUP(H549,[5]CU!$C$4:$H$255,6,FALSE))</f>
        <v>1.5</v>
      </c>
      <c r="O549" s="18">
        <f>$N549*I549</f>
        <v>0</v>
      </c>
      <c r="P549" s="18">
        <f>$N549*J549</f>
        <v>114.57</v>
      </c>
      <c r="Q549" s="18">
        <f>$N549*K549</f>
        <v>171.85499999999999</v>
      </c>
      <c r="R549" s="18">
        <f>$N549*L549</f>
        <v>229.14</v>
      </c>
      <c r="S549" s="24">
        <f>SUM(O549:R549)</f>
        <v>515.56499999999994</v>
      </c>
      <c r="T549" s="23" t="s">
        <v>221</v>
      </c>
      <c r="U549" s="19" t="s">
        <v>647</v>
      </c>
      <c r="V549" s="19" t="str">
        <f>IF(OR($H549="",$H549="sif",$H549="PM"),"",VLOOKUP($H549,[5]CU!$C$5:$J$255,8,FALSE))</f>
        <v>3. Formation</v>
      </c>
      <c r="W549" s="19" t="s">
        <v>347</v>
      </c>
      <c r="X549" s="19" t="s">
        <v>347</v>
      </c>
      <c r="Y549" s="19" t="s">
        <v>32</v>
      </c>
      <c r="Z549" s="18" t="str">
        <f>A549 &amp; "-" &amp; VLOOKUP(A549,[4]PROGRAMMES!$E$1:$F$7,2,FALSE)</f>
        <v>2-Qualité des enseignements et des apprentissages</v>
      </c>
      <c r="AA549" s="19" t="str">
        <f>B549 &amp; "-" &amp; VLOOKUP(B549,[4]SOUSPROGRAMMES!$E$1:$F$44,2,FALSE)</f>
        <v>21- Révision/ adaptation des curricula/programmes (place des sciences ; franco-arabe, intégration de l’éducation à la citoyenneté, l'éducation complète à la sexualité, éducation environnementale…)</v>
      </c>
      <c r="AB549" s="19" t="str">
        <f>C549 &amp; "-" &amp; VLOOKUP(C549,[4]RESULTATS!$E$1:$F$176,2,FALSE)</f>
        <v>211- les contenus des programmes (du préscolaire, du primaire, 1er et second cycle du secondaire) sont progressivement révisés, adaptés et diversifiés</v>
      </c>
      <c r="AC549" s="20" t="str">
        <f>D549 &amp; "-" &amp; VLOOKUP(D549,[4]STRATEGIES!$E$1:$F$504,2,FALSE)</f>
        <v>2115-Introduction des approches innovantes dans le cursus scolaire</v>
      </c>
      <c r="AD549" s="21" t="str">
        <f t="shared" si="122"/>
        <v>21153-Formation des enseignants, encadreurs, représentants APEAE sur les techniques d'enseignement et d'apprentissage de la lecture au primaire</v>
      </c>
    </row>
    <row r="550" spans="1:30" s="22" customFormat="1" ht="90" hidden="1" customHeight="1" x14ac:dyDescent="0.8">
      <c r="A550" s="14">
        <v>2</v>
      </c>
      <c r="B550" s="15">
        <v>21</v>
      </c>
      <c r="C550" s="15">
        <v>211</v>
      </c>
      <c r="D550" s="15">
        <v>2115</v>
      </c>
      <c r="E550" s="15">
        <v>21153</v>
      </c>
      <c r="F550" s="16" t="s">
        <v>694</v>
      </c>
      <c r="G550" s="21" t="s">
        <v>436</v>
      </c>
      <c r="H550" s="17" t="s">
        <v>52</v>
      </c>
      <c r="I550" s="18">
        <v>0</v>
      </c>
      <c r="J550" s="18">
        <f>(600)*73.24%</f>
        <v>439.43999999999994</v>
      </c>
      <c r="K550" s="18">
        <f>900*73.24%</f>
        <v>659.16</v>
      </c>
      <c r="L550" s="18">
        <f>1200*73.24%</f>
        <v>878.87999999999988</v>
      </c>
      <c r="M550" s="18">
        <f t="shared" si="128"/>
        <v>1977.4799999999998</v>
      </c>
      <c r="N550" s="18">
        <f>IF(OR(H550="",H550="sif",H550="PM"),0,VLOOKUP(H550,[5]CU!$C$4:$H$255,6,FALSE))</f>
        <v>1.5</v>
      </c>
      <c r="O550" s="18">
        <f t="shared" si="129"/>
        <v>0</v>
      </c>
      <c r="P550" s="18">
        <f t="shared" si="129"/>
        <v>659.15999999999985</v>
      </c>
      <c r="Q550" s="18">
        <f t="shared" si="129"/>
        <v>988.74</v>
      </c>
      <c r="R550" s="18">
        <f t="shared" si="129"/>
        <v>1318.3199999999997</v>
      </c>
      <c r="S550" s="24">
        <f>SUM(O550:R550)</f>
        <v>2966.2199999999993</v>
      </c>
      <c r="T550" s="23" t="s">
        <v>39</v>
      </c>
      <c r="U550" s="19" t="s">
        <v>647</v>
      </c>
      <c r="V550" s="19" t="str">
        <f>IF(OR($H550="",$H550="sif",$H550="PM"),"",VLOOKUP($H550,[5]CU!$C$5:$J$255,8,FALSE))</f>
        <v>3. Formation</v>
      </c>
      <c r="W550" s="19" t="s">
        <v>347</v>
      </c>
      <c r="X550" s="19" t="s">
        <v>347</v>
      </c>
      <c r="Y550" s="19" t="s">
        <v>32</v>
      </c>
      <c r="Z550" s="18" t="str">
        <f>A550 &amp; "-" &amp; VLOOKUP(A550,[4]PROGRAMMES!$E$1:$F$7,2,FALSE)</f>
        <v>2-Qualité des enseignements et des apprentissages</v>
      </c>
      <c r="AA550" s="19" t="str">
        <f>B550 &amp; "-" &amp; VLOOKUP(B550,[4]SOUSPROGRAMMES!$E$1:$F$44,2,FALSE)</f>
        <v>21- Révision/ adaptation des curricula/programmes (place des sciences ; franco-arabe, intégration de l’éducation à la citoyenneté, l'éducation complète à la sexualité, éducation environnementale…)</v>
      </c>
      <c r="AB550" s="19" t="str">
        <f>C550 &amp; "-" &amp; VLOOKUP(C550,[4]RESULTATS!$E$1:$F$176,2,FALSE)</f>
        <v>211- les contenus des programmes (du préscolaire, du primaire, 1er et second cycle du secondaire) sont progressivement révisés, adaptés et diversifiés</v>
      </c>
      <c r="AC550" s="20" t="str">
        <f>D550 &amp; "-" &amp; VLOOKUP(D550,[4]STRATEGIES!$E$1:$F$504,2,FALSE)</f>
        <v>2115-Introduction des approches innovantes dans le cursus scolaire</v>
      </c>
      <c r="AD550" s="21" t="str">
        <f t="shared" si="122"/>
        <v>21153-Formation des enseignants, encadreurs, représentants APEAE sur les techniques d'enseignement et d'apprentissage de la lecture au primaire</v>
      </c>
    </row>
    <row r="551" spans="1:30" s="22" customFormat="1" ht="15" hidden="1" customHeight="1" x14ac:dyDescent="0.8">
      <c r="A551" s="14">
        <v>2</v>
      </c>
      <c r="B551" s="15">
        <v>22</v>
      </c>
      <c r="C551" s="15">
        <v>22</v>
      </c>
      <c r="D551" s="15">
        <v>22</v>
      </c>
      <c r="E551" s="15">
        <v>22</v>
      </c>
      <c r="F551" s="16" t="s">
        <v>695</v>
      </c>
      <c r="G551" s="17"/>
      <c r="H551" s="17"/>
      <c r="I551" s="18">
        <v>0</v>
      </c>
      <c r="J551" s="18"/>
      <c r="K551" s="18"/>
      <c r="L551" s="18"/>
      <c r="M551" s="18"/>
      <c r="N551" s="18"/>
      <c r="O551" s="18"/>
      <c r="P551" s="18"/>
      <c r="Q551" s="18"/>
      <c r="R551" s="18"/>
      <c r="S551" s="24"/>
      <c r="T551" s="18"/>
      <c r="U551" s="18"/>
      <c r="V551" s="18"/>
      <c r="W551" s="18"/>
      <c r="X551" s="18"/>
      <c r="Y551" s="19" t="s">
        <v>32</v>
      </c>
      <c r="Z551" s="18" t="str">
        <f>A551 &amp; "-" &amp; VLOOKUP(A551,[4]PROGRAMMES!$E$1:$F$7,2,FALSE)</f>
        <v>2-Qualité des enseignements et des apprentissages</v>
      </c>
      <c r="AA551" s="19" t="str">
        <f>B551 &amp; "-" &amp; VLOOKUP(B551,[4]SOUSPROGRAMMES!$E$1:$F$44,2,FALSE)</f>
        <v>22- Diversification des filière au lycée</v>
      </c>
      <c r="AB551" s="19" t="str">
        <f>C551 &amp; "-" &amp; VLOOKUP(C551,[4]RESULTATS!$E$1:$F$176,2,FALSE)</f>
        <v>22- Diversification des filière au lycée</v>
      </c>
      <c r="AC551" s="20" t="str">
        <f>D551 &amp; "-" &amp; VLOOKUP(D551,[4]STRATEGIES!$E$1:$F$504,2,FALSE)</f>
        <v>22- Diversification des filière au lycée</v>
      </c>
      <c r="AD551" s="21" t="str">
        <f t="shared" si="122"/>
        <v>22- Diversification des filière au lycée</v>
      </c>
    </row>
    <row r="552" spans="1:30" s="22" customFormat="1" ht="30" hidden="1" customHeight="1" x14ac:dyDescent="0.8">
      <c r="A552" s="14">
        <v>2</v>
      </c>
      <c r="B552" s="15">
        <v>22</v>
      </c>
      <c r="C552" s="15">
        <v>221</v>
      </c>
      <c r="D552" s="15">
        <v>221</v>
      </c>
      <c r="E552" s="15">
        <v>221</v>
      </c>
      <c r="F552" s="16" t="s">
        <v>696</v>
      </c>
      <c r="G552" s="17"/>
      <c r="H552" s="17"/>
      <c r="I552" s="18">
        <v>0</v>
      </c>
      <c r="J552" s="18"/>
      <c r="K552" s="18"/>
      <c r="L552" s="18"/>
      <c r="M552" s="18"/>
      <c r="N552" s="18"/>
      <c r="O552" s="18"/>
      <c r="P552" s="18"/>
      <c r="Q552" s="18"/>
      <c r="R552" s="18"/>
      <c r="S552" s="24"/>
      <c r="T552" s="18"/>
      <c r="U552" s="18"/>
      <c r="V552" s="18"/>
      <c r="W552" s="18"/>
      <c r="X552" s="18"/>
      <c r="Y552" s="19" t="s">
        <v>32</v>
      </c>
      <c r="Z552" s="18" t="str">
        <f>A552 &amp; "-" &amp; VLOOKUP(A552,[4]PROGRAMMES!$E$1:$F$7,2,FALSE)</f>
        <v>2-Qualité des enseignements et des apprentissages</v>
      </c>
      <c r="AA552" s="19" t="str">
        <f>B552 &amp; "-" &amp; VLOOKUP(B552,[4]SOUSPROGRAMMES!$E$1:$F$44,2,FALSE)</f>
        <v>22- Diversification des filière au lycée</v>
      </c>
      <c r="AB552" s="19" t="str">
        <f>C552 &amp; "-" &amp; VLOOKUP(C552,[4]RESULTATS!$E$1:$F$176,2,FALSE)</f>
        <v>221- Les nouvelles filières de formation au lycée sont introduites</v>
      </c>
      <c r="AC552" s="20" t="str">
        <f>D552 &amp; "-" &amp; VLOOKUP(D552,[4]STRATEGIES!$E$1:$F$504,2,FALSE)</f>
        <v>221- Les nouvelles filières de formation au lycée sont introduites</v>
      </c>
      <c r="AD552" s="21" t="str">
        <f t="shared" si="122"/>
        <v>221- Les nouvelles filières de formation au lycée sont introduites</v>
      </c>
    </row>
    <row r="553" spans="1:30" s="22" customFormat="1" ht="30" hidden="1" customHeight="1" x14ac:dyDescent="0.8">
      <c r="A553" s="14">
        <v>2</v>
      </c>
      <c r="B553" s="15">
        <v>22</v>
      </c>
      <c r="C553" s="15">
        <v>221</v>
      </c>
      <c r="D553" s="15">
        <v>2211</v>
      </c>
      <c r="E553" s="15">
        <v>2211</v>
      </c>
      <c r="F553" s="16" t="s">
        <v>697</v>
      </c>
      <c r="G553" s="17"/>
      <c r="H553" s="17"/>
      <c r="I553" s="18">
        <v>0</v>
      </c>
      <c r="J553" s="18"/>
      <c r="K553" s="18"/>
      <c r="L553" s="18"/>
      <c r="M553" s="18"/>
      <c r="N553" s="18"/>
      <c r="O553" s="18"/>
      <c r="P553" s="18"/>
      <c r="Q553" s="18"/>
      <c r="R553" s="18"/>
      <c r="S553" s="24"/>
      <c r="T553" s="18"/>
      <c r="U553" s="18"/>
      <c r="V553" s="18"/>
      <c r="W553" s="18"/>
      <c r="X553" s="18"/>
      <c r="Y553" s="19" t="s">
        <v>32</v>
      </c>
      <c r="Z553" s="18" t="str">
        <f>A553 &amp; "-" &amp; VLOOKUP(A553,[4]PROGRAMMES!$E$1:$F$7,2,FALSE)</f>
        <v>2-Qualité des enseignements et des apprentissages</v>
      </c>
      <c r="AA553" s="19" t="str">
        <f>B553 &amp; "-" &amp; VLOOKUP(B553,[4]SOUSPROGRAMMES!$E$1:$F$44,2,FALSE)</f>
        <v>22- Diversification des filière au lycée</v>
      </c>
      <c r="AB553" s="19" t="str">
        <f>C553 &amp; "-" &amp; VLOOKUP(C553,[4]RESULTATS!$E$1:$F$176,2,FALSE)</f>
        <v>221- Les nouvelles filières de formation au lycée sont introduites</v>
      </c>
      <c r="AC553" s="20" t="str">
        <f>D553 &amp; "-" &amp; VLOOKUP(D553,[4]STRATEGIES!$E$1:$F$504,2,FALSE)</f>
        <v>2211-Choix et expériementation des filières d’enseignement au lycée</v>
      </c>
      <c r="AD553" s="21" t="str">
        <f t="shared" si="122"/>
        <v>2211-Choix et expériementation des filières d’enseignement au lycée</v>
      </c>
    </row>
    <row r="554" spans="1:30" s="22" customFormat="1" ht="30" hidden="1" customHeight="1" x14ac:dyDescent="0.8">
      <c r="A554" s="14">
        <v>2</v>
      </c>
      <c r="B554" s="15">
        <v>22</v>
      </c>
      <c r="C554" s="15">
        <v>221</v>
      </c>
      <c r="D554" s="15">
        <v>2211</v>
      </c>
      <c r="E554" s="15">
        <v>22111</v>
      </c>
      <c r="F554" s="16" t="s">
        <v>698</v>
      </c>
      <c r="G554" s="21" t="s">
        <v>660</v>
      </c>
      <c r="H554" s="17" t="s">
        <v>55</v>
      </c>
      <c r="I554" s="18">
        <v>0</v>
      </c>
      <c r="J554" s="18">
        <v>1</v>
      </c>
      <c r="K554" s="18"/>
      <c r="L554" s="18"/>
      <c r="M554" s="18">
        <f t="shared" si="128"/>
        <v>1</v>
      </c>
      <c r="N554" s="18">
        <f>IF(OR(H554="",H554="sif",H554="PM"),0,VLOOKUP(H554,[5]CU!$C$4:$H$255,6,FALSE))</f>
        <v>0</v>
      </c>
      <c r="O554" s="18"/>
      <c r="P554" s="18"/>
      <c r="Q554" s="18"/>
      <c r="R554" s="18"/>
      <c r="S554" s="24"/>
      <c r="T554" s="23" t="s">
        <v>56</v>
      </c>
      <c r="U554" s="18" t="s">
        <v>529</v>
      </c>
      <c r="V554" s="18" t="str">
        <f>IF(OR($H554="",$H554="sif",$H554="PM"),"",VLOOKUP($H554,[5]CU!$C$5:$J$255,8,FALSE))</f>
        <v/>
      </c>
      <c r="W554" s="18" t="s">
        <v>255</v>
      </c>
      <c r="X554" s="18" t="s">
        <v>398</v>
      </c>
      <c r="Y554" s="19" t="s">
        <v>32</v>
      </c>
      <c r="Z554" s="18" t="str">
        <f>A554 &amp; "-" &amp; VLOOKUP(A554,[4]PROGRAMMES!$E$1:$F$7,2,FALSE)</f>
        <v>2-Qualité des enseignements et des apprentissages</v>
      </c>
      <c r="AA554" s="19" t="str">
        <f>B554 &amp; "-" &amp; VLOOKUP(B554,[4]SOUSPROGRAMMES!$E$1:$F$44,2,FALSE)</f>
        <v>22- Diversification des filière au lycée</v>
      </c>
      <c r="AB554" s="19" t="str">
        <f>C554 &amp; "-" &amp; VLOOKUP(C554,[4]RESULTATS!$E$1:$F$176,2,FALSE)</f>
        <v>221- Les nouvelles filières de formation au lycée sont introduites</v>
      </c>
      <c r="AC554" s="20" t="str">
        <f>D554 &amp; "-" &amp; VLOOKUP(D554,[4]STRATEGIES!$E$1:$F$504,2,FALSE)</f>
        <v>2211-Choix et expériementation des filières d’enseignement au lycée</v>
      </c>
      <c r="AD554" s="21" t="str">
        <f t="shared" si="122"/>
        <v>22111-Identification et mise place d'une équipe technique chargée de l'implantation des filières</v>
      </c>
    </row>
    <row r="555" spans="1:30" s="22" customFormat="1" ht="30" hidden="1" customHeight="1" x14ac:dyDescent="0.8">
      <c r="A555" s="14">
        <v>2</v>
      </c>
      <c r="B555" s="15">
        <v>22</v>
      </c>
      <c r="C555" s="15">
        <v>221</v>
      </c>
      <c r="D555" s="15">
        <v>2211</v>
      </c>
      <c r="E555" s="15">
        <v>22112</v>
      </c>
      <c r="F555" s="16" t="s">
        <v>699</v>
      </c>
      <c r="G555" s="21" t="s">
        <v>92</v>
      </c>
      <c r="H555" s="17" t="s">
        <v>55</v>
      </c>
      <c r="I555" s="18">
        <v>0</v>
      </c>
      <c r="J555" s="18">
        <v>1</v>
      </c>
      <c r="K555" s="18"/>
      <c r="L555" s="18"/>
      <c r="M555" s="18">
        <f t="shared" si="128"/>
        <v>1</v>
      </c>
      <c r="N555" s="18">
        <f>IF(OR(H555="",H555="sif",H555="PM"),0,VLOOKUP(H555,[5]CU!$C$4:$H$255,6,FALSE))</f>
        <v>0</v>
      </c>
      <c r="O555" s="18"/>
      <c r="P555" s="18"/>
      <c r="Q555" s="18"/>
      <c r="R555" s="18"/>
      <c r="S555" s="24"/>
      <c r="T555" s="23" t="s">
        <v>56</v>
      </c>
      <c r="U555" s="18" t="s">
        <v>529</v>
      </c>
      <c r="V555" s="18" t="str">
        <f>IF(OR($H555="",$H555="sif",$H555="PM"),"",VLOOKUP($H555,[5]CU!$C$5:$J$255,8,FALSE))</f>
        <v/>
      </c>
      <c r="W555" s="18" t="s">
        <v>398</v>
      </c>
      <c r="X555" s="18" t="s">
        <v>347</v>
      </c>
      <c r="Y555" s="19" t="s">
        <v>32</v>
      </c>
      <c r="Z555" s="18" t="str">
        <f>A555 &amp; "-" &amp; VLOOKUP(A555,[4]PROGRAMMES!$E$1:$F$7,2,FALSE)</f>
        <v>2-Qualité des enseignements et des apprentissages</v>
      </c>
      <c r="AA555" s="19" t="str">
        <f>B555 &amp; "-" &amp; VLOOKUP(B555,[4]SOUSPROGRAMMES!$E$1:$F$44,2,FALSE)</f>
        <v>22- Diversification des filière au lycée</v>
      </c>
      <c r="AB555" s="19" t="str">
        <f>C555 &amp; "-" &amp; VLOOKUP(C555,[4]RESULTATS!$E$1:$F$176,2,FALSE)</f>
        <v>221- Les nouvelles filières de formation au lycée sont introduites</v>
      </c>
      <c r="AC555" s="20" t="str">
        <f>D555 &amp; "-" &amp; VLOOKUP(D555,[4]STRATEGIES!$E$1:$F$504,2,FALSE)</f>
        <v>2211-Choix et expériementation des filières d’enseignement au lycée</v>
      </c>
      <c r="AD555" s="21" t="str">
        <f t="shared" si="122"/>
        <v xml:space="preserve">22112-Elaboration des profils de sortie et du cahier de charges avec DNESGT et l'IGE (pris en charge dans activité 21113) </v>
      </c>
    </row>
    <row r="556" spans="1:30" s="22" customFormat="1" ht="45" hidden="1" customHeight="1" x14ac:dyDescent="0.8">
      <c r="A556" s="14">
        <v>2</v>
      </c>
      <c r="B556" s="15">
        <v>22</v>
      </c>
      <c r="C556" s="15">
        <v>221</v>
      </c>
      <c r="D556" s="15">
        <v>2211</v>
      </c>
      <c r="E556" s="15">
        <v>22113</v>
      </c>
      <c r="F556" s="16" t="s">
        <v>700</v>
      </c>
      <c r="G556" s="21" t="s">
        <v>88</v>
      </c>
      <c r="H556" s="17" t="s">
        <v>55</v>
      </c>
      <c r="I556" s="18">
        <v>0</v>
      </c>
      <c r="J556" s="18"/>
      <c r="K556" s="18">
        <v>1</v>
      </c>
      <c r="L556" s="18">
        <v>1</v>
      </c>
      <c r="M556" s="18">
        <f t="shared" si="128"/>
        <v>2</v>
      </c>
      <c r="N556" s="18">
        <f>IF(OR(H556="",H556="sif",H556="PM"),0,VLOOKUP(H556,[5]CU!$C$4:$H$255,6,FALSE))</f>
        <v>0</v>
      </c>
      <c r="O556" s="18"/>
      <c r="P556" s="18"/>
      <c r="Q556" s="18"/>
      <c r="R556" s="18"/>
      <c r="S556" s="24"/>
      <c r="T556" s="23" t="s">
        <v>56</v>
      </c>
      <c r="U556" s="18" t="s">
        <v>529</v>
      </c>
      <c r="V556" s="18" t="str">
        <f>IF(OR($H556="",$H556="sif",$H556="PM"),"",VLOOKUP($H556,[5]CU!$C$5:$J$255,8,FALSE))</f>
        <v/>
      </c>
      <c r="W556" s="18" t="s">
        <v>398</v>
      </c>
      <c r="X556" s="18" t="s">
        <v>347</v>
      </c>
      <c r="Y556" s="19" t="s">
        <v>32</v>
      </c>
      <c r="Z556" s="18" t="str">
        <f>A556 &amp; "-" &amp; VLOOKUP(A556,[4]PROGRAMMES!$E$1:$F$7,2,FALSE)</f>
        <v>2-Qualité des enseignements et des apprentissages</v>
      </c>
      <c r="AA556" s="19" t="str">
        <f>B556 &amp; "-" &amp; VLOOKUP(B556,[4]SOUSPROGRAMMES!$E$1:$F$44,2,FALSE)</f>
        <v>22- Diversification des filière au lycée</v>
      </c>
      <c r="AB556" s="19" t="str">
        <f>C556 &amp; "-" &amp; VLOOKUP(C556,[4]RESULTATS!$E$1:$F$176,2,FALSE)</f>
        <v>221- Les nouvelles filières de formation au lycée sont introduites</v>
      </c>
      <c r="AC556" s="20" t="str">
        <f>D556 &amp; "-" &amp; VLOOKUP(D556,[4]STRATEGIES!$E$1:$F$504,2,FALSE)</f>
        <v>2211-Choix et expériementation des filières d’enseignement au lycée</v>
      </c>
      <c r="AD556" s="21" t="str">
        <f t="shared" si="122"/>
        <v xml:space="preserve">22113-Spécification des matériels/équipements nécessaires pour les lycées expérimentaux avec la DNESGT (pris en compte dans activité 21125) </v>
      </c>
    </row>
    <row r="557" spans="1:30" s="22" customFormat="1" ht="30" hidden="1" customHeight="1" x14ac:dyDescent="0.8">
      <c r="A557" s="14">
        <v>2</v>
      </c>
      <c r="B557" s="15">
        <v>22</v>
      </c>
      <c r="C557" s="15">
        <v>221</v>
      </c>
      <c r="D557" s="15">
        <v>2212</v>
      </c>
      <c r="E557" s="15">
        <v>2212</v>
      </c>
      <c r="F557" s="16" t="s">
        <v>701</v>
      </c>
      <c r="G557" s="17"/>
      <c r="H557" s="17"/>
      <c r="I557" s="18">
        <v>0</v>
      </c>
      <c r="J557" s="18"/>
      <c r="K557" s="18"/>
      <c r="L557" s="18"/>
      <c r="M557" s="18"/>
      <c r="N557" s="18"/>
      <c r="O557" s="18"/>
      <c r="P557" s="18"/>
      <c r="Q557" s="18"/>
      <c r="R557" s="18"/>
      <c r="S557" s="24"/>
      <c r="T557" s="18"/>
      <c r="U557" s="18"/>
      <c r="V557" s="18"/>
      <c r="W557" s="18"/>
      <c r="X557" s="18"/>
      <c r="Y557" s="19" t="s">
        <v>32</v>
      </c>
      <c r="Z557" s="18" t="str">
        <f>A557 &amp; "-" &amp; VLOOKUP(A557,[4]PROGRAMMES!$E$1:$F$7,2,FALSE)</f>
        <v>2-Qualité des enseignements et des apprentissages</v>
      </c>
      <c r="AA557" s="19" t="str">
        <f>B557 &amp; "-" &amp; VLOOKUP(B557,[4]SOUSPROGRAMMES!$E$1:$F$44,2,FALSE)</f>
        <v>22- Diversification des filière au lycée</v>
      </c>
      <c r="AB557" s="19" t="str">
        <f>C557 &amp; "-" &amp; VLOOKUP(C557,[4]RESULTATS!$E$1:$F$176,2,FALSE)</f>
        <v>221- Les nouvelles filières de formation au lycée sont introduites</v>
      </c>
      <c r="AC557" s="20" t="str">
        <f>D557 &amp; "-" &amp; VLOOKUP(D557,[4]STRATEGIES!$E$1:$F$504,2,FALSE)</f>
        <v>2212-expérimentaion des filières choisies</v>
      </c>
      <c r="AD557" s="21" t="str">
        <f t="shared" si="122"/>
        <v>2212-expérimentaion des filières choisies</v>
      </c>
    </row>
    <row r="558" spans="1:30" s="22" customFormat="1" ht="30" hidden="1" customHeight="1" x14ac:dyDescent="0.8">
      <c r="A558" s="14">
        <v>2</v>
      </c>
      <c r="B558" s="15">
        <v>22</v>
      </c>
      <c r="C558" s="15">
        <v>221</v>
      </c>
      <c r="D558" s="15">
        <v>2212</v>
      </c>
      <c r="E558" s="15"/>
      <c r="F558" s="16" t="s">
        <v>684</v>
      </c>
      <c r="G558" s="21"/>
      <c r="H558" s="17"/>
      <c r="I558" s="18">
        <v>0</v>
      </c>
      <c r="J558" s="18"/>
      <c r="K558" s="18"/>
      <c r="L558" s="18"/>
      <c r="M558" s="18"/>
      <c r="N558" s="18" t="str">
        <f>IF(OR(H558="",H558="sif",H558="PM"),"",VLOOKUP(H558,[5]CU!$C$4:$H$255,6,FALSE))</f>
        <v/>
      </c>
      <c r="O558" s="18"/>
      <c r="P558" s="18"/>
      <c r="Q558" s="18"/>
      <c r="R558" s="18"/>
      <c r="S558" s="24"/>
      <c r="T558" s="23" t="s">
        <v>56</v>
      </c>
      <c r="U558" s="18" t="s">
        <v>529</v>
      </c>
      <c r="V558" s="18" t="str">
        <f>IF(OR($H558="",$H558="sif",$H558="PM"),"",VLOOKUP($H558,[5]CU!$C$5:$J$255,8,FALSE))</f>
        <v/>
      </c>
      <c r="W558" s="18"/>
      <c r="X558" s="18"/>
      <c r="Y558" s="19" t="s">
        <v>32</v>
      </c>
      <c r="Z558" s="18" t="str">
        <f>A558 &amp; "-" &amp; VLOOKUP(A558,[4]PROGRAMMES!$E$1:$F$7,2,FALSE)</f>
        <v>2-Qualité des enseignements et des apprentissages</v>
      </c>
      <c r="AA558" s="19" t="str">
        <f>B558 &amp; "-" &amp; VLOOKUP(B558,[4]SOUSPROGRAMMES!$E$1:$F$44,2,FALSE)</f>
        <v>22- Diversification des filière au lycée</v>
      </c>
      <c r="AB558" s="19" t="str">
        <f>C558 &amp; "-" &amp; VLOOKUP(C558,[4]RESULTATS!$E$1:$F$176,2,FALSE)</f>
        <v>221- Les nouvelles filières de formation au lycée sont introduites</v>
      </c>
      <c r="AC558" s="20" t="str">
        <f>D558 &amp; "-" &amp; VLOOKUP(D558,[4]STRATEGIES!$E$1:$F$504,2,FALSE)</f>
        <v>2212-expérimentaion des filières choisies</v>
      </c>
      <c r="AD558" s="21" t="str">
        <f t="shared" si="122"/>
        <v>-PM à intégrer dans la seconde phase de mise en œuvre du PRODEG</v>
      </c>
    </row>
    <row r="559" spans="1:30" s="22" customFormat="1" ht="30" hidden="1" customHeight="1" x14ac:dyDescent="0.8">
      <c r="A559" s="14">
        <v>2</v>
      </c>
      <c r="B559" s="15">
        <v>22</v>
      </c>
      <c r="C559" s="15">
        <v>221</v>
      </c>
      <c r="D559" s="15">
        <v>2213</v>
      </c>
      <c r="E559" s="15">
        <v>2213</v>
      </c>
      <c r="F559" s="16" t="s">
        <v>702</v>
      </c>
      <c r="G559" s="17"/>
      <c r="H559" s="17"/>
      <c r="I559" s="18">
        <v>0</v>
      </c>
      <c r="J559" s="18"/>
      <c r="K559" s="18"/>
      <c r="L559" s="18"/>
      <c r="M559" s="18"/>
      <c r="N559" s="18"/>
      <c r="O559" s="18"/>
      <c r="P559" s="18"/>
      <c r="Q559" s="18"/>
      <c r="R559" s="18"/>
      <c r="S559" s="24"/>
      <c r="T559" s="18"/>
      <c r="U559" s="18"/>
      <c r="V559" s="18"/>
      <c r="W559" s="18"/>
      <c r="X559" s="18"/>
      <c r="Y559" s="19" t="s">
        <v>32</v>
      </c>
      <c r="Z559" s="18" t="str">
        <f>A559 &amp; "-" &amp; VLOOKUP(A559,[4]PROGRAMMES!$E$1:$F$7,2,FALSE)</f>
        <v>2-Qualité des enseignements et des apprentissages</v>
      </c>
      <c r="AA559" s="19" t="str">
        <f>B559 &amp; "-" &amp; VLOOKUP(B559,[4]SOUSPROGRAMMES!$E$1:$F$44,2,FALSE)</f>
        <v>22- Diversification des filière au lycée</v>
      </c>
      <c r="AB559" s="19" t="str">
        <f>C559 &amp; "-" &amp; VLOOKUP(C559,[4]RESULTATS!$E$1:$F$176,2,FALSE)</f>
        <v>221- Les nouvelles filières de formation au lycée sont introduites</v>
      </c>
      <c r="AC559" s="20" t="str">
        <f>D559 &amp; "-" &amp; VLOOKUP(D559,[4]STRATEGIES!$E$1:$F$504,2,FALSE)</f>
        <v>2213-Elaboration et validation d'un plan d'action opérationnel pour l'implantation progressive des filiéres</v>
      </c>
      <c r="AD559" s="21" t="str">
        <f t="shared" si="122"/>
        <v>2213-Elaboration et validation d'un plan d'action opérationnel pour l'implantation progressive des filiéres</v>
      </c>
    </row>
    <row r="560" spans="1:30" s="22" customFormat="1" ht="30" hidden="1" customHeight="1" x14ac:dyDescent="0.8">
      <c r="A560" s="14">
        <v>2</v>
      </c>
      <c r="B560" s="15">
        <v>22</v>
      </c>
      <c r="C560" s="15">
        <v>221</v>
      </c>
      <c r="D560" s="15">
        <v>2213</v>
      </c>
      <c r="E560" s="15"/>
      <c r="F560" s="16" t="s">
        <v>684</v>
      </c>
      <c r="G560" s="21"/>
      <c r="H560" s="17"/>
      <c r="I560" s="18">
        <v>0</v>
      </c>
      <c r="J560" s="18"/>
      <c r="K560" s="18"/>
      <c r="L560" s="18"/>
      <c r="M560" s="18"/>
      <c r="N560" s="18" t="str">
        <f>IF(OR(H560="",H560="sif",H560="PM"),"",VLOOKUP(H560,[5]CU!$C$4:$H$255,6,FALSE))</f>
        <v/>
      </c>
      <c r="O560" s="18"/>
      <c r="P560" s="18"/>
      <c r="Q560" s="18"/>
      <c r="R560" s="18"/>
      <c r="S560" s="24"/>
      <c r="T560" s="23" t="s">
        <v>56</v>
      </c>
      <c r="U560" s="18" t="s">
        <v>529</v>
      </c>
      <c r="V560" s="18" t="str">
        <f>IF(OR($H560="",$H560="sif",$H560="PM"),"",VLOOKUP($H560,[5]CU!$C$5:$J$255,8,FALSE))</f>
        <v/>
      </c>
      <c r="W560" s="18"/>
      <c r="X560" s="18"/>
      <c r="Y560" s="19" t="s">
        <v>32</v>
      </c>
      <c r="Z560" s="18" t="str">
        <f>A560 &amp; "-" &amp; VLOOKUP(A560,[4]PROGRAMMES!$E$1:$F$7,2,FALSE)</f>
        <v>2-Qualité des enseignements et des apprentissages</v>
      </c>
      <c r="AA560" s="19" t="str">
        <f>B560 &amp; "-" &amp; VLOOKUP(B560,[4]SOUSPROGRAMMES!$E$1:$F$44,2,FALSE)</f>
        <v>22- Diversification des filière au lycée</v>
      </c>
      <c r="AB560" s="19" t="str">
        <f>C560 &amp; "-" &amp; VLOOKUP(C560,[4]RESULTATS!$E$1:$F$176,2,FALSE)</f>
        <v>221- Les nouvelles filières de formation au lycée sont introduites</v>
      </c>
      <c r="AC560" s="20" t="str">
        <f>D560 &amp; "-" &amp; VLOOKUP(D560,[4]STRATEGIES!$E$1:$F$504,2,FALSE)</f>
        <v>2213-Elaboration et validation d'un plan d'action opérationnel pour l'implantation progressive des filiéres</v>
      </c>
      <c r="AD560" s="21" t="str">
        <f t="shared" si="122"/>
        <v>-PM à intégrer dans la seconde phase de mise en œuvre du PRODEG</v>
      </c>
    </row>
    <row r="561" spans="1:30" s="22" customFormat="1" ht="45" hidden="1" customHeight="1" x14ac:dyDescent="0.8">
      <c r="A561" s="14">
        <v>2</v>
      </c>
      <c r="B561" s="15">
        <v>23</v>
      </c>
      <c r="C561" s="15">
        <v>23</v>
      </c>
      <c r="D561" s="15">
        <v>23</v>
      </c>
      <c r="E561" s="15">
        <v>23</v>
      </c>
      <c r="F561" s="16" t="s">
        <v>703</v>
      </c>
      <c r="G561" s="17"/>
      <c r="H561" s="17"/>
      <c r="I561" s="18">
        <v>0</v>
      </c>
      <c r="J561" s="18"/>
      <c r="K561" s="18"/>
      <c r="L561" s="18"/>
      <c r="M561" s="18"/>
      <c r="N561" s="18"/>
      <c r="O561" s="18"/>
      <c r="P561" s="18"/>
      <c r="Q561" s="18"/>
      <c r="R561" s="18"/>
      <c r="S561" s="24"/>
      <c r="T561" s="18"/>
      <c r="U561" s="18"/>
      <c r="V561" s="18"/>
      <c r="W561" s="18"/>
      <c r="X561" s="18"/>
      <c r="Y561" s="19" t="s">
        <v>32</v>
      </c>
      <c r="Z561" s="18" t="str">
        <f>A561 &amp; "-" &amp; VLOOKUP(A561,[4]PROGRAMMES!$E$1:$F$7,2,FALSE)</f>
        <v>2-Qualité des enseignements et des apprentissages</v>
      </c>
      <c r="AA561" s="19" t="str">
        <f>B561 &amp; "-" &amp; VLOOKUP(B561,[4]SOUSPROGRAMMES!$E$1:$F$44,2,FALSE)</f>
        <v xml:space="preserve">23- Formation initiale et continue des enseignants/éducateurs y compris dans les méthodes pédagogiques innovatntes  </v>
      </c>
      <c r="AB561" s="19" t="str">
        <f>C561 &amp; "-" &amp; VLOOKUP(C561,[4]RESULTATS!$E$1:$F$176,2,FALSE)</f>
        <v xml:space="preserve">23- Formation initiale et continue des enseignants/éducateurs y compris dans les méthodes pédagogiques innovatntes  </v>
      </c>
      <c r="AC561" s="20" t="str">
        <f>D561 &amp; "-" &amp; VLOOKUP(D561,[4]STRATEGIES!$E$1:$F$504,2,FALSE)</f>
        <v xml:space="preserve">23- Formation initiale et continue des enseignants/éducateurs y compris dans les méthodes pédagogiques innovatntes  </v>
      </c>
      <c r="AD561" s="21" t="str">
        <f t="shared" si="122"/>
        <v xml:space="preserve">23- Formation initiale et continue des enseignants/éducateurs y compris dans les méthodes pédagogiques innovatntes  </v>
      </c>
    </row>
    <row r="562" spans="1:30" s="22" customFormat="1" ht="90" hidden="1" customHeight="1" x14ac:dyDescent="0.8">
      <c r="A562" s="14">
        <v>2</v>
      </c>
      <c r="B562" s="15">
        <v>23</v>
      </c>
      <c r="C562" s="15">
        <v>231</v>
      </c>
      <c r="D562" s="15">
        <v>231</v>
      </c>
      <c r="E562" s="15">
        <v>231</v>
      </c>
      <c r="F562" s="16" t="s">
        <v>704</v>
      </c>
      <c r="G562" s="17"/>
      <c r="H562" s="17"/>
      <c r="I562" s="18">
        <v>0</v>
      </c>
      <c r="J562" s="18"/>
      <c r="K562" s="18"/>
      <c r="L562" s="18"/>
      <c r="M562" s="18"/>
      <c r="N562" s="18"/>
      <c r="O562" s="18"/>
      <c r="P562" s="18"/>
      <c r="Q562" s="18"/>
      <c r="R562" s="18"/>
      <c r="S562" s="24"/>
      <c r="T562" s="18"/>
      <c r="U562" s="18"/>
      <c r="V562" s="18"/>
      <c r="W562" s="18"/>
      <c r="X562" s="18"/>
      <c r="Y562" s="19" t="s">
        <v>32</v>
      </c>
      <c r="Z562" s="18" t="str">
        <f>A562 &amp; "-" &amp; VLOOKUP(A562,[4]PROGRAMMES!$E$1:$F$7,2,FALSE)</f>
        <v>2-Qualité des enseignements et des apprentissages</v>
      </c>
      <c r="AA562" s="19" t="str">
        <f>B562 &amp; "-" &amp; VLOOKUP(B562,[4]SOUSPROGRAMMES!$E$1:$F$44,2,FALSE)</f>
        <v xml:space="preserve">23- Formation initiale et continue des enseignants/éducateurs y compris dans les méthodes pédagogiques innovatntes  </v>
      </c>
      <c r="AB562" s="19" t="str">
        <f>C562 &amp; "-" &amp; VLOOKUP(C562,[4]RESULTATS!$E$1:$F$176,2,FALSE)</f>
        <v>231- Une formation initiale de qualité (polyvalence, méthodes pédagogiques innovantes, éducation inclusive et gestion des classes multigrades) des formateurs et cohérente avec les curricula, est mise en place</v>
      </c>
      <c r="AC562" s="20" t="str">
        <f>D562 &amp; "-" &amp; VLOOKUP(D562,[4]STRATEGIES!$E$1:$F$504,2,FALSE)</f>
        <v>231- Une formation initiale de qualité (polyvalence, méthodes pédagogiques innovantes, éducation inclusive et gestion des classes multigrades) des formateurs et cohérente avec les curricula, est mise en place</v>
      </c>
      <c r="AD562" s="21" t="str">
        <f t="shared" si="122"/>
        <v>231- Une formation initiale de qualité (polyvalence, méthodes pédagogiques innovantes, éducation inclusive et gestion des classes multigrades) des formateurs et cohérente avec les curricula, est mise en place</v>
      </c>
    </row>
    <row r="563" spans="1:30" s="22" customFormat="1" ht="90" hidden="1" customHeight="1" x14ac:dyDescent="0.8">
      <c r="A563" s="14">
        <v>2</v>
      </c>
      <c r="B563" s="15">
        <v>23</v>
      </c>
      <c r="C563" s="15">
        <v>231</v>
      </c>
      <c r="D563" s="15">
        <v>2311</v>
      </c>
      <c r="E563" s="15">
        <v>2311</v>
      </c>
      <c r="F563" s="16" t="s">
        <v>705</v>
      </c>
      <c r="G563" s="17"/>
      <c r="H563" s="17"/>
      <c r="I563" s="18">
        <v>0</v>
      </c>
      <c r="J563" s="18"/>
      <c r="K563" s="18"/>
      <c r="L563" s="18"/>
      <c r="M563" s="18"/>
      <c r="N563" s="18"/>
      <c r="O563" s="18"/>
      <c r="P563" s="18"/>
      <c r="Q563" s="18"/>
      <c r="R563" s="18"/>
      <c r="S563" s="24"/>
      <c r="T563" s="18"/>
      <c r="U563" s="18"/>
      <c r="V563" s="18"/>
      <c r="W563" s="18"/>
      <c r="X563" s="18"/>
      <c r="Y563" s="19" t="s">
        <v>32</v>
      </c>
      <c r="Z563" s="18" t="str">
        <f>A563 &amp; "-" &amp; VLOOKUP(A563,[4]PROGRAMMES!$E$1:$F$7,2,FALSE)</f>
        <v>2-Qualité des enseignements et des apprentissages</v>
      </c>
      <c r="AA563" s="19" t="str">
        <f>B563 &amp; "-" &amp; VLOOKUP(B563,[4]SOUSPROGRAMMES!$E$1:$F$44,2,FALSE)</f>
        <v xml:space="preserve">23- Formation initiale et continue des enseignants/éducateurs y compris dans les méthodes pédagogiques innovatntes  </v>
      </c>
      <c r="AB563" s="19" t="str">
        <f>C563 &amp; "-" &amp; VLOOKUP(C563,[4]RESULTATS!$E$1:$F$176,2,FALSE)</f>
        <v>231- Une formation initiale de qualité (polyvalence, méthodes pédagogiques innovantes, éducation inclusive et gestion des classes multigrades) des formateurs et cohérente avec les curricula, est mise en place</v>
      </c>
      <c r="AC563" s="20" t="str">
        <f>D563 &amp; "-" &amp; VLOOKUP(D563,[4]STRATEGIES!$E$1:$F$504,2,FALSE)</f>
        <v>2311-La mise en place des standards de qualité sur la formation initiale (ENI)</v>
      </c>
      <c r="AD563" s="21" t="str">
        <f t="shared" si="122"/>
        <v>2311-La mise en place des standards de qualité sur la formation initiale (ENI)</v>
      </c>
    </row>
    <row r="564" spans="1:30" s="22" customFormat="1" ht="90" hidden="1" customHeight="1" x14ac:dyDescent="0.8">
      <c r="A564" s="14">
        <v>2</v>
      </c>
      <c r="B564" s="15">
        <v>23</v>
      </c>
      <c r="C564" s="15">
        <v>231</v>
      </c>
      <c r="D564" s="15">
        <v>2311</v>
      </c>
      <c r="E564" s="15">
        <v>23111</v>
      </c>
      <c r="F564" s="16" t="s">
        <v>706</v>
      </c>
      <c r="G564" s="21" t="s">
        <v>651</v>
      </c>
      <c r="H564" s="17" t="s">
        <v>55</v>
      </c>
      <c r="I564" s="18">
        <v>0</v>
      </c>
      <c r="J564" s="18">
        <v>1</v>
      </c>
      <c r="K564" s="18"/>
      <c r="L564" s="18"/>
      <c r="M564" s="18">
        <f t="shared" ref="M564:M639" si="130">SUM(I564:L564)</f>
        <v>1</v>
      </c>
      <c r="N564" s="18">
        <f>IF(OR(H564="",H564="sif",H564="PM"),0,VLOOKUP(H564,[5]CU!$C$4:$H$255,6,FALSE))</f>
        <v>0</v>
      </c>
      <c r="O564" s="18"/>
      <c r="P564" s="18"/>
      <c r="Q564" s="18"/>
      <c r="R564" s="18"/>
      <c r="S564" s="24"/>
      <c r="T564" s="23" t="s">
        <v>56</v>
      </c>
      <c r="U564" s="18" t="s">
        <v>707</v>
      </c>
      <c r="V564" s="18" t="str">
        <f>IF(OR($H564="",$H564="sif",$H564="PM"),"",VLOOKUP($H564,[5]CU!$C$5:$J$255,8,FALSE))</f>
        <v/>
      </c>
      <c r="W564" s="18" t="s">
        <v>255</v>
      </c>
      <c r="X564" s="18" t="s">
        <v>708</v>
      </c>
      <c r="Y564" s="19" t="s">
        <v>32</v>
      </c>
      <c r="Z564" s="18" t="str">
        <f>A564 &amp; "-" &amp; VLOOKUP(A564,[4]PROGRAMMES!$E$1:$F$7,2,FALSE)</f>
        <v>2-Qualité des enseignements et des apprentissages</v>
      </c>
      <c r="AA564" s="19" t="str">
        <f>B564 &amp; "-" &amp; VLOOKUP(B564,[4]SOUSPROGRAMMES!$E$1:$F$44,2,FALSE)</f>
        <v xml:space="preserve">23- Formation initiale et continue des enseignants/éducateurs y compris dans les méthodes pédagogiques innovatntes  </v>
      </c>
      <c r="AB564" s="19" t="str">
        <f>C564 &amp; "-" &amp; VLOOKUP(C564,[4]RESULTATS!$E$1:$F$176,2,FALSE)</f>
        <v>231- Une formation initiale de qualité (polyvalence, méthodes pédagogiques innovantes, éducation inclusive et gestion des classes multigrades) des formateurs et cohérente avec les curricula, est mise en place</v>
      </c>
      <c r="AC564" s="20" t="str">
        <f>D564 &amp; "-" &amp; VLOOKUP(D564,[4]STRATEGIES!$E$1:$F$504,2,FALSE)</f>
        <v>2311-La mise en place des standards de qualité sur la formation initiale (ENI)</v>
      </c>
      <c r="AD564" s="21" t="str">
        <f t="shared" si="122"/>
        <v xml:space="preserve">23111-Mise en place d'une équipe technique nationale chargée de déFinir les standards de qualité sur la formation initiale </v>
      </c>
    </row>
    <row r="565" spans="1:30" s="22" customFormat="1" ht="90" hidden="1" customHeight="1" x14ac:dyDescent="0.8">
      <c r="A565" s="14">
        <v>2</v>
      </c>
      <c r="B565" s="15">
        <v>23</v>
      </c>
      <c r="C565" s="15">
        <v>231</v>
      </c>
      <c r="D565" s="15">
        <v>2311</v>
      </c>
      <c r="E565" s="15">
        <v>23112</v>
      </c>
      <c r="F565" s="16" t="s">
        <v>709</v>
      </c>
      <c r="G565" s="21" t="s">
        <v>100</v>
      </c>
      <c r="H565" s="17" t="s">
        <v>646</v>
      </c>
      <c r="I565" s="18">
        <v>0</v>
      </c>
      <c r="J565" s="18"/>
      <c r="K565" s="18">
        <f>2*12*2</f>
        <v>48</v>
      </c>
      <c r="L565" s="18"/>
      <c r="M565" s="18">
        <f t="shared" si="130"/>
        <v>48</v>
      </c>
      <c r="N565" s="18">
        <f>IF(OR(H565="",H565="sif",H565="PM"),0,VLOOKUP(H565,[5]CU!$C$4:$H$255,6,FALSE))</f>
        <v>10.404797</v>
      </c>
      <c r="O565" s="18">
        <f t="shared" ref="O565:R578" si="131">$N565*I565</f>
        <v>0</v>
      </c>
      <c r="P565" s="18">
        <f t="shared" si="131"/>
        <v>0</v>
      </c>
      <c r="Q565" s="18">
        <f t="shared" si="131"/>
        <v>499.43025599999999</v>
      </c>
      <c r="R565" s="18">
        <f t="shared" si="131"/>
        <v>0</v>
      </c>
      <c r="S565" s="24">
        <f t="shared" ref="S565:S578" si="132">SUM(O565:R565)</f>
        <v>499.43025599999999</v>
      </c>
      <c r="T565" s="23" t="s">
        <v>39</v>
      </c>
      <c r="U565" s="19" t="s">
        <v>707</v>
      </c>
      <c r="V565" s="19" t="str">
        <f>IF(OR($H565="",$H565="sif",$H565="PM"),"",VLOOKUP($H565,[5]CU!$C$5:$J$255,8,FALSE))</f>
        <v>3. Dépenses de fonctionnement</v>
      </c>
      <c r="W565" s="19" t="s">
        <v>663</v>
      </c>
      <c r="X565" s="19" t="s">
        <v>708</v>
      </c>
      <c r="Y565" s="19" t="s">
        <v>32</v>
      </c>
      <c r="Z565" s="18" t="str">
        <f>A565 &amp; "-" &amp; VLOOKUP(A565,[4]PROGRAMMES!$E$1:$F$7,2,FALSE)</f>
        <v>2-Qualité des enseignements et des apprentissages</v>
      </c>
      <c r="AA565" s="19" t="str">
        <f>B565 &amp; "-" &amp; VLOOKUP(B565,[4]SOUSPROGRAMMES!$E$1:$F$44,2,FALSE)</f>
        <v xml:space="preserve">23- Formation initiale et continue des enseignants/éducateurs y compris dans les méthodes pédagogiques innovatntes  </v>
      </c>
      <c r="AB565" s="19" t="str">
        <f>C565 &amp; "-" &amp; VLOOKUP(C565,[4]RESULTATS!$E$1:$F$176,2,FALSE)</f>
        <v>231- Une formation initiale de qualité (polyvalence, méthodes pédagogiques innovantes, éducation inclusive et gestion des classes multigrades) des formateurs et cohérente avec les curricula, est mise en place</v>
      </c>
      <c r="AC565" s="20" t="str">
        <f>D565 &amp; "-" &amp; VLOOKUP(D565,[4]STRATEGIES!$E$1:$F$504,2,FALSE)</f>
        <v>2311-La mise en place des standards de qualité sur la formation initiale (ENI)</v>
      </c>
      <c r="AD565" s="21" t="str">
        <f t="shared" si="122"/>
        <v xml:space="preserve">23112-Recrutement d'une expertise internationale d'appui à l'équipe </v>
      </c>
    </row>
    <row r="566" spans="1:30" s="22" customFormat="1" ht="90" hidden="1" customHeight="1" x14ac:dyDescent="0.8">
      <c r="A566" s="14">
        <v>2</v>
      </c>
      <c r="B566" s="15">
        <v>23</v>
      </c>
      <c r="C566" s="15">
        <v>231</v>
      </c>
      <c r="D566" s="15">
        <v>2311</v>
      </c>
      <c r="E566" s="15">
        <v>23113</v>
      </c>
      <c r="F566" s="16" t="s">
        <v>710</v>
      </c>
      <c r="G566" s="21" t="s">
        <v>37</v>
      </c>
      <c r="H566" s="17" t="s">
        <v>66</v>
      </c>
      <c r="I566" s="18">
        <v>0</v>
      </c>
      <c r="J566" s="18"/>
      <c r="K566" s="18">
        <f>15*5</f>
        <v>75</v>
      </c>
      <c r="L566" s="18"/>
      <c r="M566" s="18">
        <f t="shared" si="130"/>
        <v>75</v>
      </c>
      <c r="N566" s="18">
        <f>IF(OR(H566="",H566="sif",H566="PM"),0,VLOOKUP(H566,[5]CU!$C$4:$H$255,6,FALSE))</f>
        <v>0.255</v>
      </c>
      <c r="O566" s="18">
        <f t="shared" si="131"/>
        <v>0</v>
      </c>
      <c r="P566" s="18">
        <f t="shared" si="131"/>
        <v>0</v>
      </c>
      <c r="Q566" s="18">
        <f t="shared" si="131"/>
        <v>19.125</v>
      </c>
      <c r="R566" s="18">
        <f t="shared" si="131"/>
        <v>0</v>
      </c>
      <c r="S566" s="24">
        <f t="shared" si="132"/>
        <v>19.125</v>
      </c>
      <c r="T566" s="23" t="s">
        <v>39</v>
      </c>
      <c r="U566" s="19" t="s">
        <v>707</v>
      </c>
      <c r="V566" s="19" t="str">
        <f>IF(OR($H566="",$H566="sif",$H566="PM"),"",VLOOKUP($H566,[5]CU!$C$5:$J$255,8,FALSE))</f>
        <v>3. Dépenses de fonctionnement</v>
      </c>
      <c r="W566" s="19" t="s">
        <v>708</v>
      </c>
      <c r="X566" s="19" t="s">
        <v>711</v>
      </c>
      <c r="Y566" s="19" t="s">
        <v>32</v>
      </c>
      <c r="Z566" s="18" t="str">
        <f>A566 &amp; "-" &amp; VLOOKUP(A566,[4]PROGRAMMES!$E$1:$F$7,2,FALSE)</f>
        <v>2-Qualité des enseignements et des apprentissages</v>
      </c>
      <c r="AA566" s="19" t="str">
        <f>B566 &amp; "-" &amp; VLOOKUP(B566,[4]SOUSPROGRAMMES!$E$1:$F$44,2,FALSE)</f>
        <v xml:space="preserve">23- Formation initiale et continue des enseignants/éducateurs y compris dans les méthodes pédagogiques innovatntes  </v>
      </c>
      <c r="AB566" s="19" t="str">
        <f>C566 &amp; "-" &amp; VLOOKUP(C566,[4]RESULTATS!$E$1:$F$176,2,FALSE)</f>
        <v>231- Une formation initiale de qualité (polyvalence, méthodes pédagogiques innovantes, éducation inclusive et gestion des classes multigrades) des formateurs et cohérente avec les curricula, est mise en place</v>
      </c>
      <c r="AC566" s="20" t="str">
        <f>D566 &amp; "-" &amp; VLOOKUP(D566,[4]STRATEGIES!$E$1:$F$504,2,FALSE)</f>
        <v>2311-La mise en place des standards de qualité sur la formation initiale (ENI)</v>
      </c>
      <c r="AD566" s="21" t="str">
        <f t="shared" si="122"/>
        <v>23113-DéFinition des standards de qualité sur la formation initiale avec les ENI et l'ISSEG</v>
      </c>
    </row>
    <row r="567" spans="1:30" s="22" customFormat="1" ht="90" hidden="1" customHeight="1" x14ac:dyDescent="0.8">
      <c r="A567" s="14">
        <v>2</v>
      </c>
      <c r="B567" s="15">
        <v>23</v>
      </c>
      <c r="C567" s="15">
        <v>231</v>
      </c>
      <c r="D567" s="15">
        <v>2311</v>
      </c>
      <c r="E567" s="15">
        <v>23114</v>
      </c>
      <c r="F567" s="16" t="s">
        <v>712</v>
      </c>
      <c r="G567" s="21" t="s">
        <v>37</v>
      </c>
      <c r="H567" s="17" t="s">
        <v>38</v>
      </c>
      <c r="I567" s="18">
        <v>0</v>
      </c>
      <c r="J567" s="18"/>
      <c r="K567" s="18">
        <f>25*2</f>
        <v>50</v>
      </c>
      <c r="L567" s="18"/>
      <c r="M567" s="18">
        <f t="shared" si="130"/>
        <v>50</v>
      </c>
      <c r="N567" s="18">
        <f>IF(OR(H567="",H567="sif",H567="PM"),0,VLOOKUP(H567,[5]CU!$C$4:$H$255,6,FALSE))</f>
        <v>0.3133333333333333</v>
      </c>
      <c r="O567" s="18">
        <f t="shared" si="131"/>
        <v>0</v>
      </c>
      <c r="P567" s="18">
        <f t="shared" si="131"/>
        <v>0</v>
      </c>
      <c r="Q567" s="18">
        <f t="shared" si="131"/>
        <v>15.666666666666664</v>
      </c>
      <c r="R567" s="18">
        <f t="shared" si="131"/>
        <v>0</v>
      </c>
      <c r="S567" s="24">
        <f t="shared" si="132"/>
        <v>15.666666666666664</v>
      </c>
      <c r="T567" s="23" t="s">
        <v>39</v>
      </c>
      <c r="U567" s="19" t="s">
        <v>707</v>
      </c>
      <c r="V567" s="19" t="str">
        <f>IF(OR($H567="",$H567="sif",$H567="PM"),"",VLOOKUP($H567,[5]CU!$C$5:$J$255,8,FALSE))</f>
        <v>3. Formation</v>
      </c>
      <c r="W567" s="19" t="s">
        <v>708</v>
      </c>
      <c r="X567" s="19" t="s">
        <v>273</v>
      </c>
      <c r="Y567" s="19" t="s">
        <v>32</v>
      </c>
      <c r="Z567" s="18" t="str">
        <f>A567 &amp; "-" &amp; VLOOKUP(A567,[4]PROGRAMMES!$E$1:$F$7,2,FALSE)</f>
        <v>2-Qualité des enseignements et des apprentissages</v>
      </c>
      <c r="AA567" s="19" t="str">
        <f>B567 &amp; "-" &amp; VLOOKUP(B567,[4]SOUSPROGRAMMES!$E$1:$F$44,2,FALSE)</f>
        <v xml:space="preserve">23- Formation initiale et continue des enseignants/éducateurs y compris dans les méthodes pédagogiques innovatntes  </v>
      </c>
      <c r="AB567" s="19" t="str">
        <f>C567 &amp; "-" &amp; VLOOKUP(C567,[4]RESULTATS!$E$1:$F$176,2,FALSE)</f>
        <v>231- Une formation initiale de qualité (polyvalence, méthodes pédagogiques innovantes, éducation inclusive et gestion des classes multigrades) des formateurs et cohérente avec les curricula, est mise en place</v>
      </c>
      <c r="AC567" s="20" t="str">
        <f>D567 &amp; "-" &amp; VLOOKUP(D567,[4]STRATEGIES!$E$1:$F$504,2,FALSE)</f>
        <v>2311-La mise en place des standards de qualité sur la formation initiale (ENI)</v>
      </c>
      <c r="AD567" s="21" t="str">
        <f t="shared" si="122"/>
        <v>23114-Partage et validation des standards de qualité sur la formation initiale avec les ENI et l'ISSEG</v>
      </c>
    </row>
    <row r="568" spans="1:30" s="22" customFormat="1" ht="90" hidden="1" customHeight="1" x14ac:dyDescent="0.8">
      <c r="A568" s="14">
        <v>2</v>
      </c>
      <c r="B568" s="15">
        <v>23</v>
      </c>
      <c r="C568" s="15">
        <v>231</v>
      </c>
      <c r="D568" s="15">
        <v>2311</v>
      </c>
      <c r="E568" s="15">
        <v>23116</v>
      </c>
      <c r="F568" s="16" t="s">
        <v>713</v>
      </c>
      <c r="G568" s="21" t="s">
        <v>58</v>
      </c>
      <c r="H568" s="17" t="s">
        <v>38</v>
      </c>
      <c r="I568" s="18">
        <v>0</v>
      </c>
      <c r="J568" s="18"/>
      <c r="K568" s="18"/>
      <c r="L568" s="18">
        <f>2*3*9</f>
        <v>54</v>
      </c>
      <c r="M568" s="18">
        <f t="shared" si="130"/>
        <v>54</v>
      </c>
      <c r="N568" s="18">
        <f>IF(OR(H568="",H568="sif",H568="PM"),0,VLOOKUP(H568,[5]CU!$C$4:$H$255,6,FALSE))</f>
        <v>0.3133333333333333</v>
      </c>
      <c r="O568" s="18">
        <f t="shared" si="131"/>
        <v>0</v>
      </c>
      <c r="P568" s="18">
        <f t="shared" si="131"/>
        <v>0</v>
      </c>
      <c r="Q568" s="18">
        <f t="shared" si="131"/>
        <v>0</v>
      </c>
      <c r="R568" s="18">
        <f t="shared" si="131"/>
        <v>16.919999999999998</v>
      </c>
      <c r="S568" s="24">
        <f t="shared" si="132"/>
        <v>16.919999999999998</v>
      </c>
      <c r="T568" s="23" t="s">
        <v>39</v>
      </c>
      <c r="U568" s="19" t="s">
        <v>707</v>
      </c>
      <c r="V568" s="19" t="str">
        <f>IF(OR($H568="",$H568="sif",$H568="PM"),"",VLOOKUP($H568,[5]CU!$C$5:$J$255,8,FALSE))</f>
        <v>3. Formation</v>
      </c>
      <c r="W568" s="19" t="s">
        <v>708</v>
      </c>
      <c r="X568" s="19" t="s">
        <v>273</v>
      </c>
      <c r="Y568" s="19" t="s">
        <v>32</v>
      </c>
      <c r="Z568" s="18" t="str">
        <f>A568 &amp; "-" &amp; VLOOKUP(A568,[4]PROGRAMMES!$E$1:$F$7,2,FALSE)</f>
        <v>2-Qualité des enseignements et des apprentissages</v>
      </c>
      <c r="AA568" s="19" t="str">
        <f>B568 &amp; "-" &amp; VLOOKUP(B568,[4]SOUSPROGRAMMES!$E$1:$F$44,2,FALSE)</f>
        <v xml:space="preserve">23- Formation initiale et continue des enseignants/éducateurs y compris dans les méthodes pédagogiques innovatntes  </v>
      </c>
      <c r="AB568" s="19" t="str">
        <f>C568 &amp; "-" &amp; VLOOKUP(C568,[4]RESULTATS!$E$1:$F$176,2,FALSE)</f>
        <v>231- Une formation initiale de qualité (polyvalence, méthodes pédagogiques innovantes, éducation inclusive et gestion des classes multigrades) des formateurs et cohérente avec les curricula, est mise en place</v>
      </c>
      <c r="AC568" s="20" t="str">
        <f>D568 &amp; "-" &amp; VLOOKUP(D568,[4]STRATEGIES!$E$1:$F$504,2,FALSE)</f>
        <v>2311-La mise en place des standards de qualité sur la formation initiale (ENI)</v>
      </c>
      <c r="AD568" s="21" t="str">
        <f t="shared" si="122"/>
        <v>23116-Suivi de l'application des standards de qualité sur la formation initiale</v>
      </c>
    </row>
    <row r="569" spans="1:30" s="22" customFormat="1" ht="90" hidden="1" customHeight="1" x14ac:dyDescent="0.8">
      <c r="A569" s="14">
        <v>2</v>
      </c>
      <c r="B569" s="15">
        <v>23</v>
      </c>
      <c r="C569" s="15">
        <v>231</v>
      </c>
      <c r="D569" s="15">
        <v>2311</v>
      </c>
      <c r="E569" s="15">
        <v>23117</v>
      </c>
      <c r="F569" s="16" t="s">
        <v>714</v>
      </c>
      <c r="G569" s="21" t="s">
        <v>715</v>
      </c>
      <c r="H569" s="17" t="s">
        <v>716</v>
      </c>
      <c r="I569" s="18">
        <v>0</v>
      </c>
      <c r="J569" s="18">
        <v>0.94137365202581103</v>
      </c>
      <c r="K569" s="18">
        <v>1.0918583057434701</v>
      </c>
      <c r="L569" s="18">
        <v>1.2054357578161301</v>
      </c>
      <c r="M569" s="18">
        <f t="shared" si="130"/>
        <v>3.2386677155854109</v>
      </c>
      <c r="N569" s="18">
        <f>IF(OR(H569="",H569="sif",H569="PM"),0,VLOOKUP(H569,[5]CU!$C$4:$H$255,6,FALSE))</f>
        <v>9719.1358885830705</v>
      </c>
      <c r="O569" s="18">
        <f t="shared" si="131"/>
        <v>0</v>
      </c>
      <c r="P569" s="18">
        <f t="shared" si="131"/>
        <v>9149.3384459705703</v>
      </c>
      <c r="Q569" s="18">
        <f t="shared" si="131"/>
        <v>10611.919244598866</v>
      </c>
      <c r="R569" s="18">
        <f t="shared" si="131"/>
        <v>11715.79393517208</v>
      </c>
      <c r="S569" s="24">
        <f t="shared" si="132"/>
        <v>31477.051625741515</v>
      </c>
      <c r="T569" s="23" t="s">
        <v>56</v>
      </c>
      <c r="U569" s="18" t="s">
        <v>707</v>
      </c>
      <c r="V569" s="18" t="str">
        <f>IF(OR($H569="",$H569="sif",$H569="PM"),"",VLOOKUP($H569,[5]CU!$C$5:$J$255,8,FALSE))</f>
        <v>2. Personnel</v>
      </c>
      <c r="W569" s="18" t="s">
        <v>708</v>
      </c>
      <c r="X569" s="18" t="s">
        <v>273</v>
      </c>
      <c r="Y569" s="19" t="s">
        <v>32</v>
      </c>
      <c r="Z569" s="18" t="str">
        <f>A569 &amp; "-" &amp; VLOOKUP(A569,[4]PROGRAMMES!$E$1:$F$7,2,FALSE)</f>
        <v>2-Qualité des enseignements et des apprentissages</v>
      </c>
      <c r="AA569" s="19" t="str">
        <f>B569 &amp; "-" &amp; VLOOKUP(B569,[4]SOUSPROGRAMMES!$E$1:$F$44,2,FALSE)</f>
        <v xml:space="preserve">23- Formation initiale et continue des enseignants/éducateurs y compris dans les méthodes pédagogiques innovatntes  </v>
      </c>
      <c r="AB569" s="19" t="str">
        <f>C569 &amp; "-" &amp; VLOOKUP(C569,[4]RESULTATS!$E$1:$F$176,2,FALSE)</f>
        <v>231- Une formation initiale de qualité (polyvalence, méthodes pédagogiques innovantes, éducation inclusive et gestion des classes multigrades) des formateurs et cohérente avec les curricula, est mise en place</v>
      </c>
      <c r="AC569" s="20" t="str">
        <f>D569 &amp; "-" &amp; VLOOKUP(D569,[4]STRATEGIES!$E$1:$F$504,2,FALSE)</f>
        <v>2311-La mise en place des standards de qualité sur la formation initiale (ENI)</v>
      </c>
      <c r="AD569" s="21" t="str">
        <f t="shared" si="122"/>
        <v>23117-Disponibilité de personnel qualifié dans les ENI</v>
      </c>
    </row>
    <row r="570" spans="1:30" ht="90" hidden="1" customHeight="1" x14ac:dyDescent="0.8">
      <c r="A570" s="25">
        <v>2</v>
      </c>
      <c r="B570" s="16">
        <v>23</v>
      </c>
      <c r="C570" s="16">
        <v>231</v>
      </c>
      <c r="D570" s="16">
        <v>2311</v>
      </c>
      <c r="E570" s="16">
        <v>23118</v>
      </c>
      <c r="F570" s="16" t="s">
        <v>717</v>
      </c>
      <c r="G570" s="21" t="s">
        <v>718</v>
      </c>
      <c r="H570" s="21" t="s">
        <v>719</v>
      </c>
      <c r="I570" s="19">
        <v>0</v>
      </c>
      <c r="J570" s="19">
        <v>2</v>
      </c>
      <c r="K570" s="19">
        <v>3</v>
      </c>
      <c r="L570" s="19">
        <v>4</v>
      </c>
      <c r="M570" s="19">
        <f t="shared" si="130"/>
        <v>9</v>
      </c>
      <c r="N570" s="19">
        <f>IF(OR(H570="",H570="sif",H570="PM"),0,VLOOKUP(H570,[5]CU!$C$4:$H$255,6,FALSE))</f>
        <v>2253.8783451118597</v>
      </c>
      <c r="O570" s="19">
        <f t="shared" si="131"/>
        <v>0</v>
      </c>
      <c r="P570" s="19">
        <f t="shared" si="131"/>
        <v>4507.7566902237195</v>
      </c>
      <c r="Q570" s="19">
        <f t="shared" si="131"/>
        <v>6761.6350353355792</v>
      </c>
      <c r="R570" s="19">
        <f t="shared" si="131"/>
        <v>9015.513380447439</v>
      </c>
      <c r="S570" s="31">
        <f t="shared" si="132"/>
        <v>20284.905106006736</v>
      </c>
      <c r="T570" s="26" t="s">
        <v>169</v>
      </c>
      <c r="U570" s="19" t="s">
        <v>707</v>
      </c>
      <c r="V570" s="19" t="str">
        <f>IF(OR($H570="",$H570="sif",$H570="PM"),"",VLOOKUP($H570,[5]CU!$C$5:$J$255,8,FALSE))</f>
        <v>3. Dépenses de fonctionnement</v>
      </c>
      <c r="W570" s="19" t="s">
        <v>708</v>
      </c>
      <c r="X570" s="19" t="s">
        <v>273</v>
      </c>
      <c r="Y570" s="19" t="s">
        <v>32</v>
      </c>
      <c r="Z570" s="19" t="str">
        <f>A570 &amp; "-" &amp; VLOOKUP(A570,[4]PROGRAMMES!$E$1:$F$7,2,FALSE)</f>
        <v>2-Qualité des enseignements et des apprentissages</v>
      </c>
      <c r="AA570" s="19" t="str">
        <f>B570 &amp; "-" &amp; VLOOKUP(B570,[4]SOUSPROGRAMMES!$E$1:$F$44,2,FALSE)</f>
        <v xml:space="preserve">23- Formation initiale et continue des enseignants/éducateurs y compris dans les méthodes pédagogiques innovatntes  </v>
      </c>
      <c r="AB570" s="19" t="str">
        <f>C570 &amp; "-" &amp; VLOOKUP(C570,[4]RESULTATS!$E$1:$F$176,2,FALSE)</f>
        <v>231- Une formation initiale de qualité (polyvalence, méthodes pédagogiques innovantes, éducation inclusive et gestion des classes multigrades) des formateurs et cohérente avec les curricula, est mise en place</v>
      </c>
      <c r="AC570" s="20" t="str">
        <f>D570 &amp; "-" &amp; VLOOKUP(D570,[4]STRATEGIES!$E$1:$F$504,2,FALSE)</f>
        <v>2311-La mise en place des standards de qualité sur la formation initiale (ENI)</v>
      </c>
      <c r="AD570" s="21" t="str">
        <f t="shared" si="122"/>
        <v>23118-dotation des ENI en ressources suffisantes pour le fonctionnement</v>
      </c>
    </row>
    <row r="571" spans="1:30" s="22" customFormat="1" ht="90" hidden="1" customHeight="1" x14ac:dyDescent="0.8">
      <c r="A571" s="14">
        <v>2</v>
      </c>
      <c r="B571" s="15">
        <v>23</v>
      </c>
      <c r="C571" s="15">
        <v>231</v>
      </c>
      <c r="D571" s="15">
        <v>2312</v>
      </c>
      <c r="E571" s="15">
        <v>2312</v>
      </c>
      <c r="F571" s="16" t="s">
        <v>720</v>
      </c>
      <c r="G571" s="17"/>
      <c r="H571" s="17"/>
      <c r="I571" s="18">
        <v>0</v>
      </c>
      <c r="J571" s="18"/>
      <c r="K571" s="18"/>
      <c r="L571" s="18"/>
      <c r="M571" s="18"/>
      <c r="N571" s="18"/>
      <c r="O571" s="18"/>
      <c r="P571" s="18"/>
      <c r="Q571" s="18"/>
      <c r="R571" s="18"/>
      <c r="S571" s="24"/>
      <c r="T571" s="18"/>
      <c r="U571" s="18"/>
      <c r="V571" s="18"/>
      <c r="W571" s="18"/>
      <c r="X571" s="18"/>
      <c r="Y571" s="19" t="s">
        <v>32</v>
      </c>
      <c r="Z571" s="18" t="str">
        <f>A571 &amp; "-" &amp; VLOOKUP(A571,[4]PROGRAMMES!$E$1:$F$7,2,FALSE)</f>
        <v>2-Qualité des enseignements et des apprentissages</v>
      </c>
      <c r="AA571" s="19" t="str">
        <f>B571 &amp; "-" &amp; VLOOKUP(B571,[4]SOUSPROGRAMMES!$E$1:$F$44,2,FALSE)</f>
        <v xml:space="preserve">23- Formation initiale et continue des enseignants/éducateurs y compris dans les méthodes pédagogiques innovatntes  </v>
      </c>
      <c r="AB571" s="19" t="str">
        <f>C571 &amp; "-" &amp; VLOOKUP(C571,[4]RESULTATS!$E$1:$F$176,2,FALSE)</f>
        <v>231- Une formation initiale de qualité (polyvalence, méthodes pédagogiques innovantes, éducation inclusive et gestion des classes multigrades) des formateurs et cohérente avec les curricula, est mise en place</v>
      </c>
      <c r="AC571" s="20" t="str">
        <f>D571 &amp; "-" &amp; VLOOKUP(D571,[4]STRATEGIES!$E$1:$F$504,2,FALSE)</f>
        <v>2312-Extension de la formation des éducateurs du préscolaire dans les ENI</v>
      </c>
      <c r="AD571" s="21" t="str">
        <f t="shared" si="122"/>
        <v>2312-Extension de la formation des éducateurs du préscolaire dans les ENI</v>
      </c>
    </row>
    <row r="572" spans="1:30" s="22" customFormat="1" ht="90" hidden="1" customHeight="1" x14ac:dyDescent="0.8">
      <c r="A572" s="14">
        <v>2</v>
      </c>
      <c r="B572" s="15">
        <v>23</v>
      </c>
      <c r="C572" s="15">
        <v>231</v>
      </c>
      <c r="D572" s="15">
        <v>2312</v>
      </c>
      <c r="E572" s="15">
        <v>23121</v>
      </c>
      <c r="F572" s="16" t="s">
        <v>721</v>
      </c>
      <c r="G572" s="21" t="s">
        <v>722</v>
      </c>
      <c r="H572" s="17" t="s">
        <v>723</v>
      </c>
      <c r="I572" s="18">
        <v>0</v>
      </c>
      <c r="J572" s="18">
        <f>1*75%</f>
        <v>0.75</v>
      </c>
      <c r="K572" s="18">
        <f>1*75%</f>
        <v>0.75</v>
      </c>
      <c r="L572" s="18">
        <f>1*75%</f>
        <v>0.75</v>
      </c>
      <c r="M572" s="18">
        <f>SUM(I572:L572)</f>
        <v>2.25</v>
      </c>
      <c r="N572" s="18">
        <f>IF(OR(H572="",H572="sif",H572="PM"),0,VLOOKUP(H572,[5]CU!$C$4:$H$255,6,FALSE))</f>
        <v>570</v>
      </c>
      <c r="O572" s="18">
        <f>$N572*I572</f>
        <v>0</v>
      </c>
      <c r="P572" s="18">
        <f>$N572*J572</f>
        <v>427.5</v>
      </c>
      <c r="Q572" s="18">
        <f>$N572*K572</f>
        <v>427.5</v>
      </c>
      <c r="R572" s="18">
        <f>$N572*L572</f>
        <v>427.5</v>
      </c>
      <c r="S572" s="24">
        <f>SUM(O572:R572)</f>
        <v>1282.5</v>
      </c>
      <c r="T572" s="23" t="s">
        <v>67</v>
      </c>
      <c r="U572" s="19" t="s">
        <v>707</v>
      </c>
      <c r="V572" s="19" t="str">
        <f>IF(OR($H572="",$H572="sif",$H572="PM"),"",VLOOKUP($H572,[5]CU!$C$5:$J$255,8,FALSE))</f>
        <v>3. Dépenses de fonctionnement</v>
      </c>
      <c r="W572" s="19" t="s">
        <v>41</v>
      </c>
      <c r="X572" s="19" t="s">
        <v>248</v>
      </c>
      <c r="Y572" s="19" t="s">
        <v>32</v>
      </c>
      <c r="Z572" s="18" t="str">
        <f>A572 &amp; "-" &amp; VLOOKUP(A572,[4]PROGRAMMES!$E$1:$F$7,2,FALSE)</f>
        <v>2-Qualité des enseignements et des apprentissages</v>
      </c>
      <c r="AA572" s="19" t="str">
        <f>B572 &amp; "-" &amp; VLOOKUP(B572,[4]SOUSPROGRAMMES!$E$1:$F$44,2,FALSE)</f>
        <v xml:space="preserve">23- Formation initiale et continue des enseignants/éducateurs y compris dans les méthodes pédagogiques innovatntes  </v>
      </c>
      <c r="AB572" s="19" t="str">
        <f>C572 &amp; "-" &amp; VLOOKUP(C572,[4]RESULTATS!$E$1:$F$176,2,FALSE)</f>
        <v>231- Une formation initiale de qualité (polyvalence, méthodes pédagogiques innovantes, éducation inclusive et gestion des classes multigrades) des formateurs et cohérente avec les curricula, est mise en place</v>
      </c>
      <c r="AC572" s="20" t="str">
        <f>D572 &amp; "-" &amp; VLOOKUP(D572,[4]STRATEGIES!$E$1:$F$504,2,FALSE)</f>
        <v>2312-Extension de la formation des éducateurs du préscolaire dans les ENI</v>
      </c>
      <c r="AD572" s="21" t="str">
        <f t="shared" si="122"/>
        <v>23121-Appui à la généralisation de la formation initiale des éducateurs du préscolaire dans les ENI</v>
      </c>
    </row>
    <row r="573" spans="1:30" s="22" customFormat="1" ht="90" hidden="1" customHeight="1" x14ac:dyDescent="0.8">
      <c r="A573" s="14">
        <v>2</v>
      </c>
      <c r="B573" s="15">
        <v>23</v>
      </c>
      <c r="C573" s="15">
        <v>231</v>
      </c>
      <c r="D573" s="15">
        <v>2312</v>
      </c>
      <c r="E573" s="15">
        <v>23121</v>
      </c>
      <c r="F573" s="16" t="s">
        <v>721</v>
      </c>
      <c r="G573" s="21" t="s">
        <v>722</v>
      </c>
      <c r="H573" s="17" t="s">
        <v>723</v>
      </c>
      <c r="I573" s="18">
        <v>0</v>
      </c>
      <c r="J573" s="18">
        <f>1*25%</f>
        <v>0.25</v>
      </c>
      <c r="K573" s="18">
        <f>1*25%</f>
        <v>0.25</v>
      </c>
      <c r="L573" s="18">
        <f>1*25%</f>
        <v>0.25</v>
      </c>
      <c r="M573" s="18">
        <f t="shared" si="130"/>
        <v>0.75</v>
      </c>
      <c r="N573" s="18">
        <f>IF(OR(H573="",H573="sif",H573="PM"),0,VLOOKUP(H573,[5]CU!$C$4:$H$255,6,FALSE))</f>
        <v>570</v>
      </c>
      <c r="O573" s="18">
        <f t="shared" si="131"/>
        <v>0</v>
      </c>
      <c r="P573" s="18">
        <f t="shared" si="131"/>
        <v>142.5</v>
      </c>
      <c r="Q573" s="18">
        <f t="shared" si="131"/>
        <v>142.5</v>
      </c>
      <c r="R573" s="18">
        <f t="shared" si="131"/>
        <v>142.5</v>
      </c>
      <c r="S573" s="24">
        <f t="shared" si="132"/>
        <v>427.5</v>
      </c>
      <c r="T573" s="23" t="s">
        <v>39</v>
      </c>
      <c r="U573" s="19" t="s">
        <v>707</v>
      </c>
      <c r="V573" s="19" t="str">
        <f>IF(OR($H573="",$H573="sif",$H573="PM"),"",VLOOKUP($H573,[5]CU!$C$5:$J$255,8,FALSE))</f>
        <v>3. Dépenses de fonctionnement</v>
      </c>
      <c r="W573" s="19" t="s">
        <v>41</v>
      </c>
      <c r="X573" s="19" t="s">
        <v>248</v>
      </c>
      <c r="Y573" s="19" t="s">
        <v>32</v>
      </c>
      <c r="Z573" s="18" t="str">
        <f>A573 &amp; "-" &amp; VLOOKUP(A573,[4]PROGRAMMES!$E$1:$F$7,2,FALSE)</f>
        <v>2-Qualité des enseignements et des apprentissages</v>
      </c>
      <c r="AA573" s="19" t="str">
        <f>B573 &amp; "-" &amp; VLOOKUP(B573,[4]SOUSPROGRAMMES!$E$1:$F$44,2,FALSE)</f>
        <v xml:space="preserve">23- Formation initiale et continue des enseignants/éducateurs y compris dans les méthodes pédagogiques innovatntes  </v>
      </c>
      <c r="AB573" s="19" t="str">
        <f>C573 &amp; "-" &amp; VLOOKUP(C573,[4]RESULTATS!$E$1:$F$176,2,FALSE)</f>
        <v>231- Une formation initiale de qualité (polyvalence, méthodes pédagogiques innovantes, éducation inclusive et gestion des classes multigrades) des formateurs et cohérente avec les curricula, est mise en place</v>
      </c>
      <c r="AC573" s="20" t="str">
        <f>D573 &amp; "-" &amp; VLOOKUP(D573,[4]STRATEGIES!$E$1:$F$504,2,FALSE)</f>
        <v>2312-Extension de la formation des éducateurs du préscolaire dans les ENI</v>
      </c>
      <c r="AD573" s="21" t="str">
        <f t="shared" si="122"/>
        <v>23121-Appui à la généralisation de la formation initiale des éducateurs du préscolaire dans les ENI</v>
      </c>
    </row>
    <row r="574" spans="1:30" s="22" customFormat="1" ht="90" hidden="1" customHeight="1" x14ac:dyDescent="0.8">
      <c r="A574" s="14">
        <v>2</v>
      </c>
      <c r="B574" s="15">
        <v>23</v>
      </c>
      <c r="C574" s="15">
        <v>231</v>
      </c>
      <c r="D574" s="15">
        <v>2313</v>
      </c>
      <c r="E574" s="15">
        <v>2313</v>
      </c>
      <c r="F574" s="16" t="s">
        <v>724</v>
      </c>
      <c r="G574" s="17"/>
      <c r="H574" s="17"/>
      <c r="I574" s="18">
        <v>0</v>
      </c>
      <c r="J574" s="18"/>
      <c r="K574" s="18"/>
      <c r="L574" s="18"/>
      <c r="M574" s="18"/>
      <c r="N574" s="18"/>
      <c r="O574" s="18"/>
      <c r="P574" s="18"/>
      <c r="Q574" s="18"/>
      <c r="R574" s="18"/>
      <c r="S574" s="24"/>
      <c r="T574" s="18"/>
      <c r="U574" s="18"/>
      <c r="V574" s="18"/>
      <c r="W574" s="18"/>
      <c r="X574" s="18"/>
      <c r="Y574" s="19" t="s">
        <v>32</v>
      </c>
      <c r="Z574" s="18" t="str">
        <f>A574 &amp; "-" &amp; VLOOKUP(A574,[4]PROGRAMMES!$E$1:$F$7,2,FALSE)</f>
        <v>2-Qualité des enseignements et des apprentissages</v>
      </c>
      <c r="AA574" s="19" t="str">
        <f>B574 &amp; "-" &amp; VLOOKUP(B574,[4]SOUSPROGRAMMES!$E$1:$F$44,2,FALSE)</f>
        <v xml:space="preserve">23- Formation initiale et continue des enseignants/éducateurs y compris dans les méthodes pédagogiques innovatntes  </v>
      </c>
      <c r="AB574" s="19" t="str">
        <f>C574 &amp; "-" &amp; VLOOKUP(C574,[4]RESULTATS!$E$1:$F$176,2,FALSE)</f>
        <v>231- Une formation initiale de qualité (polyvalence, méthodes pédagogiques innovantes, éducation inclusive et gestion des classes multigrades) des formateurs et cohérente avec les curricula, est mise en place</v>
      </c>
      <c r="AC574" s="20" t="str">
        <f>D574 &amp; "-" &amp; VLOOKUP(D574,[4]STRATEGIES!$E$1:$F$504,2,FALSE)</f>
        <v>2313-Renforcer la formation des enseignants dans la gestion des classes uniques</v>
      </c>
      <c r="AD574" s="21" t="str">
        <f t="shared" si="122"/>
        <v>2313-Renforcer la formation des enseignants dans la gestion des classes uniques</v>
      </c>
    </row>
    <row r="575" spans="1:30" s="22" customFormat="1" ht="90" hidden="1" customHeight="1" x14ac:dyDescent="0.8">
      <c r="A575" s="14">
        <v>2</v>
      </c>
      <c r="B575" s="15">
        <v>23</v>
      </c>
      <c r="C575" s="15">
        <v>231</v>
      </c>
      <c r="D575" s="15">
        <v>2313</v>
      </c>
      <c r="E575" s="15">
        <v>23131</v>
      </c>
      <c r="F575" s="16" t="s">
        <v>725</v>
      </c>
      <c r="G575" s="21" t="s">
        <v>298</v>
      </c>
      <c r="H575" s="17" t="s">
        <v>66</v>
      </c>
      <c r="I575" s="18">
        <v>0</v>
      </c>
      <c r="J575" s="18"/>
      <c r="K575" s="18"/>
      <c r="L575" s="18"/>
      <c r="M575" s="18">
        <f t="shared" si="130"/>
        <v>0</v>
      </c>
      <c r="N575" s="18">
        <f>IF(OR(H575="",H575="sif",H575="PM"),0,VLOOKUP(H575,[5]CU!$C$4:$H$255,6,FALSE))</f>
        <v>0.255</v>
      </c>
      <c r="O575" s="18">
        <f t="shared" si="131"/>
        <v>0</v>
      </c>
      <c r="P575" s="18">
        <f t="shared" si="131"/>
        <v>0</v>
      </c>
      <c r="Q575" s="18">
        <f t="shared" si="131"/>
        <v>0</v>
      </c>
      <c r="R575" s="18">
        <f t="shared" si="131"/>
        <v>0</v>
      </c>
      <c r="S575" s="24">
        <f t="shared" si="132"/>
        <v>0</v>
      </c>
      <c r="T575" s="23" t="s">
        <v>178</v>
      </c>
      <c r="U575" s="18" t="s">
        <v>707</v>
      </c>
      <c r="V575" s="18" t="str">
        <f>IF(OR($H575="",$H575="sif",$H575="PM"),"",VLOOKUP($H575,[5]CU!$C$5:$J$255,8,FALSE))</f>
        <v>3. Dépenses de fonctionnement</v>
      </c>
      <c r="W575" s="18" t="s">
        <v>192</v>
      </c>
      <c r="X575" s="18" t="s">
        <v>192</v>
      </c>
      <c r="Y575" s="19" t="s">
        <v>32</v>
      </c>
      <c r="Z575" s="18" t="str">
        <f>A575 &amp; "-" &amp; VLOOKUP(A575,[4]PROGRAMMES!$E$1:$F$7,2,FALSE)</f>
        <v>2-Qualité des enseignements et des apprentissages</v>
      </c>
      <c r="AA575" s="19" t="str">
        <f>B575 &amp; "-" &amp; VLOOKUP(B575,[4]SOUSPROGRAMMES!$E$1:$F$44,2,FALSE)</f>
        <v xml:space="preserve">23- Formation initiale et continue des enseignants/éducateurs y compris dans les méthodes pédagogiques innovatntes  </v>
      </c>
      <c r="AB575" s="19" t="str">
        <f>C575 &amp; "-" &amp; VLOOKUP(C575,[4]RESULTATS!$E$1:$F$176,2,FALSE)</f>
        <v>231- Une formation initiale de qualité (polyvalence, méthodes pédagogiques innovantes, éducation inclusive et gestion des classes multigrades) des formateurs et cohérente avec les curricula, est mise en place</v>
      </c>
      <c r="AC575" s="20" t="str">
        <f>D575 &amp; "-" &amp; VLOOKUP(D575,[4]STRATEGIES!$E$1:$F$504,2,FALSE)</f>
        <v>2313-Renforcer la formation des enseignants dans la gestion des classes uniques</v>
      </c>
      <c r="AD575" s="21" t="str">
        <f t="shared" si="122"/>
        <v>23131-Elaboration d'un référentiel de compétences pour la gestion des classes uniques</v>
      </c>
    </row>
    <row r="576" spans="1:30" s="22" customFormat="1" ht="90" hidden="1" customHeight="1" x14ac:dyDescent="0.8">
      <c r="A576" s="14">
        <v>2</v>
      </c>
      <c r="B576" s="15">
        <v>23</v>
      </c>
      <c r="C576" s="15">
        <v>231</v>
      </c>
      <c r="D576" s="15">
        <v>2313</v>
      </c>
      <c r="E576" s="15">
        <v>23132</v>
      </c>
      <c r="F576" s="16" t="s">
        <v>726</v>
      </c>
      <c r="G576" s="21" t="s">
        <v>298</v>
      </c>
      <c r="H576" s="17" t="s">
        <v>66</v>
      </c>
      <c r="I576" s="18">
        <v>0</v>
      </c>
      <c r="J576" s="18"/>
      <c r="K576" s="18"/>
      <c r="L576" s="18"/>
      <c r="M576" s="18">
        <f t="shared" si="130"/>
        <v>0</v>
      </c>
      <c r="N576" s="18">
        <f>IF(OR(H576="",H576="sif",H576="PM"),0,VLOOKUP(H576,[5]CU!$C$4:$H$255,6,FALSE))</f>
        <v>0.255</v>
      </c>
      <c r="O576" s="18">
        <f t="shared" si="131"/>
        <v>0</v>
      </c>
      <c r="P576" s="18">
        <f t="shared" si="131"/>
        <v>0</v>
      </c>
      <c r="Q576" s="18">
        <f t="shared" si="131"/>
        <v>0</v>
      </c>
      <c r="R576" s="18">
        <f t="shared" si="131"/>
        <v>0</v>
      </c>
      <c r="S576" s="24">
        <f t="shared" si="132"/>
        <v>0</v>
      </c>
      <c r="T576" s="23" t="s">
        <v>178</v>
      </c>
      <c r="U576" s="18" t="s">
        <v>707</v>
      </c>
      <c r="V576" s="18" t="str">
        <f>IF(OR($H576="",$H576="sif",$H576="PM"),"",VLOOKUP($H576,[5]CU!$C$5:$J$255,8,FALSE))</f>
        <v>3. Dépenses de fonctionnement</v>
      </c>
      <c r="W576" s="18" t="s">
        <v>192</v>
      </c>
      <c r="X576" s="18" t="s">
        <v>192</v>
      </c>
      <c r="Y576" s="19" t="s">
        <v>32</v>
      </c>
      <c r="Z576" s="18" t="str">
        <f>A576 &amp; "-" &amp; VLOOKUP(A576,[4]PROGRAMMES!$E$1:$F$7,2,FALSE)</f>
        <v>2-Qualité des enseignements et des apprentissages</v>
      </c>
      <c r="AA576" s="19" t="str">
        <f>B576 &amp; "-" &amp; VLOOKUP(B576,[4]SOUSPROGRAMMES!$E$1:$F$44,2,FALSE)</f>
        <v xml:space="preserve">23- Formation initiale et continue des enseignants/éducateurs y compris dans les méthodes pédagogiques innovatntes  </v>
      </c>
      <c r="AB576" s="19" t="str">
        <f>C576 &amp; "-" &amp; VLOOKUP(C576,[4]RESULTATS!$E$1:$F$176,2,FALSE)</f>
        <v>231- Une formation initiale de qualité (polyvalence, méthodes pédagogiques innovantes, éducation inclusive et gestion des classes multigrades) des formateurs et cohérente avec les curricula, est mise en place</v>
      </c>
      <c r="AC576" s="20" t="str">
        <f>D576 &amp; "-" &amp; VLOOKUP(D576,[4]STRATEGIES!$E$1:$F$504,2,FALSE)</f>
        <v>2313-Renforcer la formation des enseignants dans la gestion des classes uniques</v>
      </c>
      <c r="AD576" s="21" t="str">
        <f t="shared" si="122"/>
        <v>23132-Elaboration d'un guide de gestion des classes uniques</v>
      </c>
    </row>
    <row r="577" spans="1:30" s="22" customFormat="1" ht="90" hidden="1" customHeight="1" x14ac:dyDescent="0.8">
      <c r="A577" s="14">
        <v>2</v>
      </c>
      <c r="B577" s="15">
        <v>23</v>
      </c>
      <c r="C577" s="15">
        <v>231</v>
      </c>
      <c r="D577" s="15">
        <v>2313</v>
      </c>
      <c r="E577" s="15">
        <v>23133</v>
      </c>
      <c r="F577" s="16" t="s">
        <v>727</v>
      </c>
      <c r="G577" s="21" t="s">
        <v>298</v>
      </c>
      <c r="H577" s="17" t="s">
        <v>66</v>
      </c>
      <c r="I577" s="18">
        <v>0</v>
      </c>
      <c r="J577" s="18"/>
      <c r="K577" s="18"/>
      <c r="L577" s="18"/>
      <c r="M577" s="18">
        <f t="shared" si="130"/>
        <v>0</v>
      </c>
      <c r="N577" s="18">
        <f>IF(OR(H577="",H577="sif",H577="PM"),0,VLOOKUP(H577,[5]CU!$C$4:$H$255,6,FALSE))</f>
        <v>0.255</v>
      </c>
      <c r="O577" s="18">
        <f t="shared" si="131"/>
        <v>0</v>
      </c>
      <c r="P577" s="18">
        <f t="shared" si="131"/>
        <v>0</v>
      </c>
      <c r="Q577" s="18">
        <f t="shared" si="131"/>
        <v>0</v>
      </c>
      <c r="R577" s="18">
        <f t="shared" si="131"/>
        <v>0</v>
      </c>
      <c r="S577" s="24">
        <f t="shared" si="132"/>
        <v>0</v>
      </c>
      <c r="T577" s="23" t="s">
        <v>178</v>
      </c>
      <c r="U577" s="18" t="s">
        <v>707</v>
      </c>
      <c r="V577" s="18" t="str">
        <f>IF(OR($H577="",$H577="sif",$H577="PM"),"",VLOOKUP($H577,[5]CU!$C$5:$J$255,8,FALSE))</f>
        <v>3. Dépenses de fonctionnement</v>
      </c>
      <c r="W577" s="18" t="s">
        <v>192</v>
      </c>
      <c r="X577" s="18" t="s">
        <v>248</v>
      </c>
      <c r="Y577" s="19" t="s">
        <v>32</v>
      </c>
      <c r="Z577" s="18" t="str">
        <f>A577 &amp; "-" &amp; VLOOKUP(A577,[4]PROGRAMMES!$E$1:$F$7,2,FALSE)</f>
        <v>2-Qualité des enseignements et des apprentissages</v>
      </c>
      <c r="AA577" s="19" t="str">
        <f>B577 &amp; "-" &amp; VLOOKUP(B577,[4]SOUSPROGRAMMES!$E$1:$F$44,2,FALSE)</f>
        <v xml:space="preserve">23- Formation initiale et continue des enseignants/éducateurs y compris dans les méthodes pédagogiques innovatntes  </v>
      </c>
      <c r="AB577" s="19" t="str">
        <f>C577 &amp; "-" &amp; VLOOKUP(C577,[4]RESULTATS!$E$1:$F$176,2,FALSE)</f>
        <v>231- Une formation initiale de qualité (polyvalence, méthodes pédagogiques innovantes, éducation inclusive et gestion des classes multigrades) des formateurs et cohérente avec les curricula, est mise en place</v>
      </c>
      <c r="AC577" s="20" t="str">
        <f>D577 &amp; "-" &amp; VLOOKUP(D577,[4]STRATEGIES!$E$1:$F$504,2,FALSE)</f>
        <v>2313-Renforcer la formation des enseignants dans la gestion des classes uniques</v>
      </c>
      <c r="AD577" s="21" t="str">
        <f t="shared" si="122"/>
        <v>23133-Prise en compte du reférentiel dans les programmes des ENI</v>
      </c>
    </row>
    <row r="578" spans="1:30" s="22" customFormat="1" ht="90" hidden="1" customHeight="1" x14ac:dyDescent="0.8">
      <c r="A578" s="14">
        <v>2</v>
      </c>
      <c r="B578" s="15">
        <v>23</v>
      </c>
      <c r="C578" s="15">
        <v>231</v>
      </c>
      <c r="D578" s="15">
        <v>2313</v>
      </c>
      <c r="E578" s="15">
        <v>23134</v>
      </c>
      <c r="F578" s="16" t="s">
        <v>728</v>
      </c>
      <c r="G578" s="21" t="s">
        <v>496</v>
      </c>
      <c r="H578" s="17" t="s">
        <v>729</v>
      </c>
      <c r="I578" s="18">
        <v>0</v>
      </c>
      <c r="J578" s="18"/>
      <c r="K578" s="18"/>
      <c r="L578" s="18"/>
      <c r="M578" s="18">
        <f t="shared" si="130"/>
        <v>0</v>
      </c>
      <c r="N578" s="18">
        <f>IF(OR(H578="",H578="sif",H578="PM"),0,VLOOKUP(H578,[5]CU!$C$4:$H$255,6,FALSE))</f>
        <v>52.8</v>
      </c>
      <c r="O578" s="18">
        <f t="shared" si="131"/>
        <v>0</v>
      </c>
      <c r="P578" s="18">
        <f t="shared" si="131"/>
        <v>0</v>
      </c>
      <c r="Q578" s="18">
        <f t="shared" si="131"/>
        <v>0</v>
      </c>
      <c r="R578" s="18">
        <f t="shared" si="131"/>
        <v>0</v>
      </c>
      <c r="S578" s="24">
        <f t="shared" si="132"/>
        <v>0</v>
      </c>
      <c r="T578" s="23" t="s">
        <v>178</v>
      </c>
      <c r="U578" s="18" t="s">
        <v>707</v>
      </c>
      <c r="V578" s="18" t="str">
        <f>IF(OR($H578="",$H578="sif",$H578="PM"),"",VLOOKUP($H578,[5]CU!$C$5:$J$255,8,FALSE))</f>
        <v>3. Manuels scolaires et matériels pédagogiques</v>
      </c>
      <c r="W578" s="18" t="s">
        <v>192</v>
      </c>
      <c r="X578" s="18" t="s">
        <v>192</v>
      </c>
      <c r="Y578" s="19" t="s">
        <v>32</v>
      </c>
      <c r="Z578" s="18" t="str">
        <f>A578 &amp; "-" &amp; VLOOKUP(A578,[4]PROGRAMMES!$E$1:$F$7,2,FALSE)</f>
        <v>2-Qualité des enseignements et des apprentissages</v>
      </c>
      <c r="AA578" s="19" t="str">
        <f>B578 &amp; "-" &amp; VLOOKUP(B578,[4]SOUSPROGRAMMES!$E$1:$F$44,2,FALSE)</f>
        <v xml:space="preserve">23- Formation initiale et continue des enseignants/éducateurs y compris dans les méthodes pédagogiques innovatntes  </v>
      </c>
      <c r="AB578" s="19" t="str">
        <f>C578 &amp; "-" &amp; VLOOKUP(C578,[4]RESULTATS!$E$1:$F$176,2,FALSE)</f>
        <v>231- Une formation initiale de qualité (polyvalence, méthodes pédagogiques innovantes, éducation inclusive et gestion des classes multigrades) des formateurs et cohérente avec les curricula, est mise en place</v>
      </c>
      <c r="AC578" s="20" t="str">
        <f>D578 &amp; "-" &amp; VLOOKUP(D578,[4]STRATEGIES!$E$1:$F$504,2,FALSE)</f>
        <v>2313-Renforcer la formation des enseignants dans la gestion des classes uniques</v>
      </c>
      <c r="AD578" s="21" t="str">
        <f t="shared" si="122"/>
        <v>23134-Acquisition de matériel et équipement pédagogique pour le fonctionnement des écoles primaire à classe unique</v>
      </c>
    </row>
    <row r="579" spans="1:30" s="22" customFormat="1" ht="45" hidden="1" customHeight="1" x14ac:dyDescent="0.8">
      <c r="A579" s="14">
        <v>2</v>
      </c>
      <c r="B579" s="15">
        <v>23</v>
      </c>
      <c r="C579" s="15">
        <v>232</v>
      </c>
      <c r="D579" s="15">
        <v>232</v>
      </c>
      <c r="E579" s="15">
        <v>232</v>
      </c>
      <c r="F579" s="16" t="s">
        <v>730</v>
      </c>
      <c r="G579" s="17"/>
      <c r="H579" s="17"/>
      <c r="I579" s="18">
        <v>0</v>
      </c>
      <c r="J579" s="18"/>
      <c r="K579" s="18"/>
      <c r="L579" s="18"/>
      <c r="M579" s="18"/>
      <c r="N579" s="18"/>
      <c r="O579" s="18"/>
      <c r="P579" s="18"/>
      <c r="Q579" s="18"/>
      <c r="R579" s="18"/>
      <c r="S579" s="24"/>
      <c r="T579" s="18"/>
      <c r="U579" s="18"/>
      <c r="V579" s="18"/>
      <c r="W579" s="18"/>
      <c r="X579" s="18"/>
      <c r="Y579" s="19" t="s">
        <v>32</v>
      </c>
      <c r="Z579" s="18" t="str">
        <f>A579 &amp; "-" &amp; VLOOKUP(A579,[4]PROGRAMMES!$E$1:$F$7,2,FALSE)</f>
        <v>2-Qualité des enseignements et des apprentissages</v>
      </c>
      <c r="AA579" s="19" t="str">
        <f>B579 &amp; "-" &amp; VLOOKUP(B579,[4]SOUSPROGRAMMES!$E$1:$F$44,2,FALSE)</f>
        <v xml:space="preserve">23- Formation initiale et continue des enseignants/éducateurs y compris dans les méthodes pédagogiques innovatntes  </v>
      </c>
      <c r="AB579" s="19" t="str">
        <f>C579 &amp; "-" &amp; VLOOKUP(C579,[4]RESULTATS!$E$1:$F$176,2,FALSE)</f>
        <v xml:space="preserve">232- Les cercles de qualité sont créés et sont opérationnels </v>
      </c>
      <c r="AC579" s="20" t="str">
        <f>D579 &amp; "-" &amp; VLOOKUP(D579,[4]STRATEGIES!$E$1:$F$504,2,FALSE)</f>
        <v xml:space="preserve">232- Les cercles de qualité sont créés et sont opérationnels </v>
      </c>
      <c r="AD579" s="21" t="str">
        <f t="shared" si="122"/>
        <v xml:space="preserve">232- Les cercles de qualité sont créés et sont opérationnels </v>
      </c>
    </row>
    <row r="580" spans="1:30" s="22" customFormat="1" ht="45" hidden="1" customHeight="1" x14ac:dyDescent="0.8">
      <c r="A580" s="14">
        <v>2</v>
      </c>
      <c r="B580" s="15">
        <v>23</v>
      </c>
      <c r="C580" s="15">
        <v>232</v>
      </c>
      <c r="D580" s="15">
        <v>2321</v>
      </c>
      <c r="E580" s="15">
        <v>2321</v>
      </c>
      <c r="F580" s="16" t="s">
        <v>731</v>
      </c>
      <c r="G580" s="17"/>
      <c r="H580" s="17"/>
      <c r="I580" s="18">
        <v>0</v>
      </c>
      <c r="J580" s="18"/>
      <c r="K580" s="18"/>
      <c r="L580" s="18"/>
      <c r="M580" s="18"/>
      <c r="N580" s="18"/>
      <c r="O580" s="18"/>
      <c r="P580" s="18"/>
      <c r="Q580" s="18"/>
      <c r="R580" s="18"/>
      <c r="S580" s="24"/>
      <c r="T580" s="18"/>
      <c r="U580" s="18"/>
      <c r="V580" s="18"/>
      <c r="W580" s="18"/>
      <c r="X580" s="18"/>
      <c r="Y580" s="19" t="s">
        <v>32</v>
      </c>
      <c r="Z580" s="18" t="str">
        <f>A580 &amp; "-" &amp; VLOOKUP(A580,[4]PROGRAMMES!$E$1:$F$7,2,FALSE)</f>
        <v>2-Qualité des enseignements et des apprentissages</v>
      </c>
      <c r="AA580" s="19" t="str">
        <f>B580 &amp; "-" &amp; VLOOKUP(B580,[4]SOUSPROGRAMMES!$E$1:$F$44,2,FALSE)</f>
        <v xml:space="preserve">23- Formation initiale et continue des enseignants/éducateurs y compris dans les méthodes pédagogiques innovatntes  </v>
      </c>
      <c r="AB580" s="19" t="str">
        <f>C580 &amp; "-" &amp; VLOOKUP(C580,[4]RESULTATS!$E$1:$F$176,2,FALSE)</f>
        <v xml:space="preserve">232- Les cercles de qualité sont créés et sont opérationnels </v>
      </c>
      <c r="AC580" s="20" t="str">
        <f>D580 &amp; "-" &amp; VLOOKUP(D580,[4]STRATEGIES!$E$1:$F$504,2,FALSE)</f>
        <v>2321-Institutionnalisation des cercles de qualité aux différents niveaux (DSEE,DPE/DCE/IRE)</v>
      </c>
      <c r="AD580" s="21" t="str">
        <f t="shared" ref="AD580:AD643" si="133">E580 &amp; "-" &amp; F580</f>
        <v>2321-Institutionnalisation des cercles de qualité aux différents niveaux (DSEE,DPE/DCE/IRE)</v>
      </c>
    </row>
    <row r="581" spans="1:30" s="22" customFormat="1" ht="45" hidden="1" customHeight="1" x14ac:dyDescent="0.8">
      <c r="A581" s="14">
        <v>2</v>
      </c>
      <c r="B581" s="15">
        <v>23</v>
      </c>
      <c r="C581" s="15">
        <v>232</v>
      </c>
      <c r="D581" s="15">
        <v>2321</v>
      </c>
      <c r="E581" s="15">
        <v>23211</v>
      </c>
      <c r="F581" s="16" t="s">
        <v>732</v>
      </c>
      <c r="G581" s="21" t="s">
        <v>651</v>
      </c>
      <c r="H581" s="17" t="s">
        <v>55</v>
      </c>
      <c r="I581" s="18">
        <v>0</v>
      </c>
      <c r="J581" s="18">
        <v>1</v>
      </c>
      <c r="K581" s="18"/>
      <c r="L581" s="18"/>
      <c r="M581" s="18">
        <f t="shared" si="130"/>
        <v>1</v>
      </c>
      <c r="N581" s="18">
        <f>IF(OR(H581="",H581="sif",H581="PM"),0,VLOOKUP(H581,[5]CU!$C$4:$H$255,6,FALSE))</f>
        <v>0</v>
      </c>
      <c r="O581" s="18"/>
      <c r="P581" s="18"/>
      <c r="Q581" s="18"/>
      <c r="R581" s="18"/>
      <c r="S581" s="24"/>
      <c r="T581" s="23" t="s">
        <v>56</v>
      </c>
      <c r="U581" s="18" t="s">
        <v>707</v>
      </c>
      <c r="V581" s="18" t="str">
        <f>IF(OR($H581="",$H581="sif",$H581="PM"),"",VLOOKUP($H581,[5]CU!$C$5:$J$255,8,FALSE))</f>
        <v/>
      </c>
      <c r="W581" s="18" t="s">
        <v>255</v>
      </c>
      <c r="X581" s="18" t="s">
        <v>273</v>
      </c>
      <c r="Y581" s="19" t="s">
        <v>32</v>
      </c>
      <c r="Z581" s="18" t="str">
        <f>A581 &amp; "-" &amp; VLOOKUP(A581,[4]PROGRAMMES!$E$1:$F$7,2,FALSE)</f>
        <v>2-Qualité des enseignements et des apprentissages</v>
      </c>
      <c r="AA581" s="19" t="str">
        <f>B581 &amp; "-" &amp; VLOOKUP(B581,[4]SOUSPROGRAMMES!$E$1:$F$44,2,FALSE)</f>
        <v xml:space="preserve">23- Formation initiale et continue des enseignants/éducateurs y compris dans les méthodes pédagogiques innovatntes  </v>
      </c>
      <c r="AB581" s="19" t="str">
        <f>C581 &amp; "-" &amp; VLOOKUP(C581,[4]RESULTATS!$E$1:$F$176,2,FALSE)</f>
        <v xml:space="preserve">232- Les cercles de qualité sont créés et sont opérationnels </v>
      </c>
      <c r="AC581" s="20" t="str">
        <f>D581 &amp; "-" &amp; VLOOKUP(D581,[4]STRATEGIES!$E$1:$F$504,2,FALSE)</f>
        <v>2321-Institutionnalisation des cercles de qualité aux différents niveaux (DSEE,DPE/DCE/IRE)</v>
      </c>
      <c r="AD581" s="21" t="str">
        <f t="shared" si="133"/>
        <v>23211-Textes instituant les cercles de qualité avec le préscolaire, l'enseignement fondamental et le secondaire</v>
      </c>
    </row>
    <row r="582" spans="1:30" s="22" customFormat="1" ht="45" hidden="1" customHeight="1" x14ac:dyDescent="0.8">
      <c r="A582" s="14">
        <v>2</v>
      </c>
      <c r="B582" s="15">
        <v>23</v>
      </c>
      <c r="C582" s="15">
        <v>232</v>
      </c>
      <c r="D582" s="15">
        <v>2321</v>
      </c>
      <c r="E582" s="15">
        <v>23212</v>
      </c>
      <c r="F582" s="16" t="s">
        <v>733</v>
      </c>
      <c r="G582" s="21" t="s">
        <v>51</v>
      </c>
      <c r="H582" s="17" t="s">
        <v>301</v>
      </c>
      <c r="I582" s="18">
        <v>0</v>
      </c>
      <c r="J582" s="18"/>
      <c r="K582" s="18">
        <f>25*10</f>
        <v>250</v>
      </c>
      <c r="L582" s="18"/>
      <c r="M582" s="18">
        <f t="shared" si="130"/>
        <v>250</v>
      </c>
      <c r="N582" s="18">
        <f>IF(OR(H582="",H582="sif",H582="PM"),0,VLOOKUP(H582,[5]CU!$C$4:$H$255,6,FALSE))</f>
        <v>0.67666666666666664</v>
      </c>
      <c r="O582" s="18">
        <f t="shared" ref="O582:R584" si="134">$N582*I582</f>
        <v>0</v>
      </c>
      <c r="P582" s="18">
        <f t="shared" si="134"/>
        <v>0</v>
      </c>
      <c r="Q582" s="18">
        <f t="shared" si="134"/>
        <v>169.16666666666666</v>
      </c>
      <c r="R582" s="18">
        <f t="shared" si="134"/>
        <v>0</v>
      </c>
      <c r="S582" s="24">
        <f>SUM(O582:R582)</f>
        <v>169.16666666666666</v>
      </c>
      <c r="T582" s="23" t="s">
        <v>39</v>
      </c>
      <c r="U582" s="19" t="s">
        <v>707</v>
      </c>
      <c r="V582" s="19" t="str">
        <f>IF(OR($H582="",$H582="sif",$H582="PM"),"",VLOOKUP($H582,[5]CU!$C$5:$J$255,8,FALSE))</f>
        <v>3. Formation</v>
      </c>
      <c r="W582" s="19" t="s">
        <v>708</v>
      </c>
      <c r="X582" s="19" t="s">
        <v>734</v>
      </c>
      <c r="Y582" s="19" t="s">
        <v>32</v>
      </c>
      <c r="Z582" s="18" t="str">
        <f>A582 &amp; "-" &amp; VLOOKUP(A582,[4]PROGRAMMES!$E$1:$F$7,2,FALSE)</f>
        <v>2-Qualité des enseignements et des apprentissages</v>
      </c>
      <c r="AA582" s="19" t="str">
        <f>B582 &amp; "-" &amp; VLOOKUP(B582,[4]SOUSPROGRAMMES!$E$1:$F$44,2,FALSE)</f>
        <v xml:space="preserve">23- Formation initiale et continue des enseignants/éducateurs y compris dans les méthodes pédagogiques innovatntes  </v>
      </c>
      <c r="AB582" s="19" t="str">
        <f>C582 &amp; "-" &amp; VLOOKUP(C582,[4]RESULTATS!$E$1:$F$176,2,FALSE)</f>
        <v xml:space="preserve">232- Les cercles de qualité sont créés et sont opérationnels </v>
      </c>
      <c r="AC582" s="20" t="str">
        <f>D582 &amp; "-" &amp; VLOOKUP(D582,[4]STRATEGIES!$E$1:$F$504,2,FALSE)</f>
        <v>2321-Institutionnalisation des cercles de qualité aux différents niveaux (DSEE,DPE/DCE/IRE)</v>
      </c>
      <c r="AD582" s="21" t="str">
        <f t="shared" si="133"/>
        <v>23212-Formation d'un noyau pour la formation des cercles de qualité à la démarche qualité</v>
      </c>
    </row>
    <row r="583" spans="1:30" s="22" customFormat="1" ht="45" hidden="1" customHeight="1" x14ac:dyDescent="0.8">
      <c r="A583" s="14">
        <v>2</v>
      </c>
      <c r="B583" s="15">
        <v>23</v>
      </c>
      <c r="C583" s="15">
        <v>232</v>
      </c>
      <c r="D583" s="15">
        <v>2321</v>
      </c>
      <c r="E583" s="15">
        <v>23213</v>
      </c>
      <c r="F583" s="16" t="s">
        <v>735</v>
      </c>
      <c r="G583" s="21" t="s">
        <v>736</v>
      </c>
      <c r="H583" s="17" t="s">
        <v>38</v>
      </c>
      <c r="I583" s="18">
        <v>0</v>
      </c>
      <c r="J583" s="18"/>
      <c r="K583" s="18"/>
      <c r="L583" s="18">
        <f>(4+2+10)*3*8</f>
        <v>384</v>
      </c>
      <c r="M583" s="18">
        <f t="shared" si="130"/>
        <v>384</v>
      </c>
      <c r="N583" s="18">
        <f>IF(OR(H583="",H583="sif",H583="PM"),0,VLOOKUP(H583,[5]CU!$C$4:$H$255,6,FALSE))</f>
        <v>0.3133333333333333</v>
      </c>
      <c r="O583" s="18">
        <f t="shared" si="134"/>
        <v>0</v>
      </c>
      <c r="P583" s="18">
        <f t="shared" si="134"/>
        <v>0</v>
      </c>
      <c r="Q583" s="18">
        <f t="shared" si="134"/>
        <v>0</v>
      </c>
      <c r="R583" s="18">
        <f t="shared" si="134"/>
        <v>120.32</v>
      </c>
      <c r="S583" s="24">
        <f>SUM(O583:R583)</f>
        <v>120.32</v>
      </c>
      <c r="T583" s="23" t="s">
        <v>39</v>
      </c>
      <c r="U583" s="19" t="s">
        <v>707</v>
      </c>
      <c r="V583" s="19" t="str">
        <f>IF(OR($H583="",$H583="sif",$H583="PM"),"",VLOOKUP($H583,[5]CU!$C$5:$J$255,8,FALSE))</f>
        <v>3. Formation</v>
      </c>
      <c r="W583" s="19" t="s">
        <v>708</v>
      </c>
      <c r="X583" s="19" t="s">
        <v>737</v>
      </c>
      <c r="Y583" s="19" t="s">
        <v>32</v>
      </c>
      <c r="Z583" s="18" t="str">
        <f>A583 &amp; "-" &amp; VLOOKUP(A583,[4]PROGRAMMES!$E$1:$F$7,2,FALSE)</f>
        <v>2-Qualité des enseignements et des apprentissages</v>
      </c>
      <c r="AA583" s="19" t="str">
        <f>B583 &amp; "-" &amp; VLOOKUP(B583,[4]SOUSPROGRAMMES!$E$1:$F$44,2,FALSE)</f>
        <v xml:space="preserve">23- Formation initiale et continue des enseignants/éducateurs y compris dans les méthodes pédagogiques innovatntes  </v>
      </c>
      <c r="AB583" s="19" t="str">
        <f>C583 &amp; "-" &amp; VLOOKUP(C583,[4]RESULTATS!$E$1:$F$176,2,FALSE)</f>
        <v xml:space="preserve">232- Les cercles de qualité sont créés et sont opérationnels </v>
      </c>
      <c r="AC583" s="20" t="str">
        <f>D583 &amp; "-" &amp; VLOOKUP(D583,[4]STRATEGIES!$E$1:$F$504,2,FALSE)</f>
        <v>2321-Institutionnalisation des cercles de qualité aux différents niveaux (DSEE,DPE/DCE/IRE)</v>
      </c>
      <c r="AD583" s="21" t="str">
        <f t="shared" si="133"/>
        <v>23213-Rencontre périodique des cercles de qualité</v>
      </c>
    </row>
    <row r="584" spans="1:30" s="22" customFormat="1" ht="45" hidden="1" customHeight="1" x14ac:dyDescent="0.8">
      <c r="A584" s="14">
        <v>2</v>
      </c>
      <c r="B584" s="15">
        <v>23</v>
      </c>
      <c r="C584" s="15">
        <v>232</v>
      </c>
      <c r="D584" s="15">
        <v>2321</v>
      </c>
      <c r="E584" s="15">
        <v>23214</v>
      </c>
      <c r="F584" s="16" t="s">
        <v>738</v>
      </c>
      <c r="G584" s="21" t="s">
        <v>739</v>
      </c>
      <c r="H584" s="17" t="s">
        <v>38</v>
      </c>
      <c r="I584" s="18">
        <v>0</v>
      </c>
      <c r="J584" s="18"/>
      <c r="K584" s="18"/>
      <c r="L584" s="18">
        <f>20*1*8</f>
        <v>160</v>
      </c>
      <c r="M584" s="18">
        <f t="shared" si="130"/>
        <v>160</v>
      </c>
      <c r="N584" s="18">
        <f>IF(OR(H584="",H584="sif",H584="PM"),0,VLOOKUP(H584,[5]CU!$C$4:$H$255,6,FALSE))</f>
        <v>0.3133333333333333</v>
      </c>
      <c r="O584" s="18">
        <f t="shared" si="134"/>
        <v>0</v>
      </c>
      <c r="P584" s="18">
        <f t="shared" si="134"/>
        <v>0</v>
      </c>
      <c r="Q584" s="18">
        <f t="shared" si="134"/>
        <v>0</v>
      </c>
      <c r="R584" s="18">
        <f t="shared" si="134"/>
        <v>50.133333333333326</v>
      </c>
      <c r="S584" s="24">
        <f>SUM(O584:R584)</f>
        <v>50.133333333333326</v>
      </c>
      <c r="T584" s="23" t="s">
        <v>39</v>
      </c>
      <c r="U584" s="19" t="s">
        <v>707</v>
      </c>
      <c r="V584" s="19" t="str">
        <f>IF(OR($H584="",$H584="sif",$H584="PM"),"",VLOOKUP($H584,[5]CU!$C$5:$J$255,8,FALSE))</f>
        <v>3. Formation</v>
      </c>
      <c r="W584" s="19" t="s">
        <v>708</v>
      </c>
      <c r="X584" s="19" t="s">
        <v>273</v>
      </c>
      <c r="Y584" s="19" t="s">
        <v>32</v>
      </c>
      <c r="Z584" s="18" t="str">
        <f>A584 &amp; "-" &amp; VLOOKUP(A584,[4]PROGRAMMES!$E$1:$F$7,2,FALSE)</f>
        <v>2-Qualité des enseignements et des apprentissages</v>
      </c>
      <c r="AA584" s="19" t="str">
        <f>B584 &amp; "-" &amp; VLOOKUP(B584,[4]SOUSPROGRAMMES!$E$1:$F$44,2,FALSE)</f>
        <v xml:space="preserve">23- Formation initiale et continue des enseignants/éducateurs y compris dans les méthodes pédagogiques innovatntes  </v>
      </c>
      <c r="AB584" s="19" t="str">
        <f>C584 &amp; "-" &amp; VLOOKUP(C584,[4]RESULTATS!$E$1:$F$176,2,FALSE)</f>
        <v xml:space="preserve">232- Les cercles de qualité sont créés et sont opérationnels </v>
      </c>
      <c r="AC584" s="20" t="str">
        <f>D584 &amp; "-" &amp; VLOOKUP(D584,[4]STRATEGIES!$E$1:$F$504,2,FALSE)</f>
        <v>2321-Institutionnalisation des cercles de qualité aux différents niveaux (DSEE,DPE/DCE/IRE)</v>
      </c>
      <c r="AD584" s="21" t="str">
        <f t="shared" si="133"/>
        <v>23214-Capitalisation des pratiques innovantes avec le préscolaire, l'enseignement fondamental et le secondaire</v>
      </c>
    </row>
    <row r="585" spans="1:30" s="22" customFormat="1" ht="75" hidden="1" customHeight="1" x14ac:dyDescent="0.8">
      <c r="A585" s="14">
        <v>2</v>
      </c>
      <c r="B585" s="15">
        <v>23</v>
      </c>
      <c r="C585" s="15">
        <v>233</v>
      </c>
      <c r="D585" s="15">
        <v>233</v>
      </c>
      <c r="E585" s="15">
        <v>233</v>
      </c>
      <c r="F585" s="16" t="s">
        <v>740</v>
      </c>
      <c r="G585" s="17"/>
      <c r="H585" s="17"/>
      <c r="I585" s="18">
        <v>0</v>
      </c>
      <c r="J585" s="18"/>
      <c r="K585" s="18"/>
      <c r="L585" s="18"/>
      <c r="M585" s="18"/>
      <c r="N585" s="18"/>
      <c r="O585" s="18"/>
      <c r="P585" s="18"/>
      <c r="Q585" s="18"/>
      <c r="R585" s="18"/>
      <c r="S585" s="24"/>
      <c r="T585" s="18"/>
      <c r="U585" s="18"/>
      <c r="V585" s="18"/>
      <c r="W585" s="18"/>
      <c r="X585" s="18"/>
      <c r="Y585" s="19" t="s">
        <v>32</v>
      </c>
      <c r="Z585" s="18" t="str">
        <f>A585 &amp; "-" &amp; VLOOKUP(A585,[4]PROGRAMMES!$E$1:$F$7,2,FALSE)</f>
        <v>2-Qualité des enseignements et des apprentissages</v>
      </c>
      <c r="AA585" s="19" t="str">
        <f>B585 &amp; "-" &amp; VLOOKUP(B585,[4]SOUSPROGRAMMES!$E$1:$F$44,2,FALSE)</f>
        <v xml:space="preserve">23- Formation initiale et continue des enseignants/éducateurs y compris dans les méthodes pédagogiques innovatntes  </v>
      </c>
      <c r="AB585" s="19" t="str">
        <f>C585 &amp; "-" &amp; VLOOKUP(C585,[4]RESULTATS!$E$1:$F$176,2,FALSE)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5" s="20" t="str">
        <f>D585 &amp; "-" &amp; VLOOKUP(D585,[4]STRATEGIES!$E$1:$F$504,2,FALSE)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D585" s="21" t="str">
        <f t="shared" si="133"/>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row>
    <row r="586" spans="1:30" s="22" customFormat="1" ht="45" hidden="1" customHeight="1" x14ac:dyDescent="0.8">
      <c r="A586" s="14">
        <v>2</v>
      </c>
      <c r="B586" s="15">
        <v>23</v>
      </c>
      <c r="C586" s="15">
        <v>233</v>
      </c>
      <c r="D586" s="15">
        <v>2331</v>
      </c>
      <c r="E586" s="15">
        <v>2331</v>
      </c>
      <c r="F586" s="16" t="s">
        <v>741</v>
      </c>
      <c r="G586" s="17"/>
      <c r="H586" s="17"/>
      <c r="I586" s="18">
        <v>0</v>
      </c>
      <c r="J586" s="18"/>
      <c r="K586" s="18"/>
      <c r="L586" s="18"/>
      <c r="M586" s="18"/>
      <c r="N586" s="18"/>
      <c r="O586" s="18"/>
      <c r="P586" s="18"/>
      <c r="Q586" s="18"/>
      <c r="R586" s="18"/>
      <c r="S586" s="24"/>
      <c r="T586" s="18"/>
      <c r="U586" s="18"/>
      <c r="V586" s="18"/>
      <c r="W586" s="18"/>
      <c r="X586" s="18"/>
      <c r="Y586" s="19" t="s">
        <v>32</v>
      </c>
      <c r="Z586" s="18" t="str">
        <f>A586 &amp; "-" &amp; VLOOKUP(A586,[4]PROGRAMMES!$E$1:$F$7,2,FALSE)</f>
        <v>2-Qualité des enseignements et des apprentissages</v>
      </c>
      <c r="AA586" s="19" t="str">
        <f>B586 &amp; "-" &amp; VLOOKUP(B586,[4]SOUSPROGRAMMES!$E$1:$F$44,2,FALSE)</f>
        <v xml:space="preserve">23- Formation initiale et continue des enseignants/éducateurs y compris dans les méthodes pédagogiques innovatntes  </v>
      </c>
      <c r="AB586" s="19" t="str">
        <f>C586 &amp; "-" &amp; VLOOKUP(C586,[4]RESULTATS!$E$1:$F$176,2,FALSE)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6" s="20" t="str">
        <f>D586 &amp; "-" &amp; VLOOKUP(D586,[4]STRATEGIES!$E$1:$F$504,2,FALSE)</f>
        <v>2331-Mise en place des standards de qualité pour la formation continue</v>
      </c>
      <c r="AD586" s="21" t="str">
        <f t="shared" si="133"/>
        <v>2331-Mise en place des standards de qualité pour la formation continue</v>
      </c>
    </row>
    <row r="587" spans="1:30" s="22" customFormat="1" ht="45" hidden="1" customHeight="1" x14ac:dyDescent="0.8">
      <c r="A587" s="14">
        <v>2</v>
      </c>
      <c r="B587" s="15">
        <v>23</v>
      </c>
      <c r="C587" s="15">
        <v>233</v>
      </c>
      <c r="D587" s="15">
        <v>2331</v>
      </c>
      <c r="E587" s="15">
        <v>23311</v>
      </c>
      <c r="F587" s="16" t="s">
        <v>742</v>
      </c>
      <c r="G587" s="21" t="s">
        <v>660</v>
      </c>
      <c r="H587" s="17" t="s">
        <v>55</v>
      </c>
      <c r="I587" s="18">
        <v>0</v>
      </c>
      <c r="J587" s="18">
        <v>1</v>
      </c>
      <c r="K587" s="18"/>
      <c r="L587" s="18"/>
      <c r="M587" s="18">
        <f t="shared" si="130"/>
        <v>1</v>
      </c>
      <c r="N587" s="18">
        <f>IF(OR(H587="",H587="sif",H587="PM"),0,VLOOKUP(H587,[5]CU!$C$4:$H$255,6,FALSE))</f>
        <v>0</v>
      </c>
      <c r="O587" s="18"/>
      <c r="P587" s="18"/>
      <c r="Q587" s="18"/>
      <c r="R587" s="18"/>
      <c r="S587" s="24"/>
      <c r="T587" s="23" t="s">
        <v>56</v>
      </c>
      <c r="U587" s="18" t="s">
        <v>707</v>
      </c>
      <c r="V587" s="18" t="str">
        <f>IF(OR($H587="",$H587="sif",$H587="PM"),"",VLOOKUP($H587,[5]CU!$C$5:$J$255,8,FALSE))</f>
        <v/>
      </c>
      <c r="W587" s="18" t="s">
        <v>255</v>
      </c>
      <c r="X587" s="18" t="s">
        <v>708</v>
      </c>
      <c r="Y587" s="19" t="s">
        <v>32</v>
      </c>
      <c r="Z587" s="18" t="str">
        <f>A587 &amp; "-" &amp; VLOOKUP(A587,[4]PROGRAMMES!$E$1:$F$7,2,FALSE)</f>
        <v>2-Qualité des enseignements et des apprentissages</v>
      </c>
      <c r="AA587" s="19" t="str">
        <f>B587 &amp; "-" &amp; VLOOKUP(B587,[4]SOUSPROGRAMMES!$E$1:$F$44,2,FALSE)</f>
        <v xml:space="preserve">23- Formation initiale et continue des enseignants/éducateurs y compris dans les méthodes pédagogiques innovatntes  </v>
      </c>
      <c r="AB587" s="19" t="str">
        <f>C587 &amp; "-" &amp; VLOOKUP(C587,[4]RESULTATS!$E$1:$F$176,2,FALSE)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7" s="20" t="str">
        <f>D587 &amp; "-" &amp; VLOOKUP(D587,[4]STRATEGIES!$E$1:$F$504,2,FALSE)</f>
        <v>2331-Mise en place des standards de qualité pour la formation continue</v>
      </c>
      <c r="AD587" s="21" t="str">
        <f t="shared" si="133"/>
        <v>23311-Mise en place d'une équipe technique nationale chargée de déFinir les standards de qualité sur la formation continue (DNPSCE, DNEF, DNESGT, IGE)</v>
      </c>
    </row>
    <row r="588" spans="1:30" s="22" customFormat="1" ht="45" hidden="1" customHeight="1" x14ac:dyDescent="0.8">
      <c r="A588" s="14">
        <v>2</v>
      </c>
      <c r="B588" s="15">
        <v>23</v>
      </c>
      <c r="C588" s="15">
        <v>233</v>
      </c>
      <c r="D588" s="15">
        <v>2331</v>
      </c>
      <c r="E588" s="15">
        <v>23312</v>
      </c>
      <c r="F588" s="16" t="s">
        <v>743</v>
      </c>
      <c r="G588" s="21" t="s">
        <v>167</v>
      </c>
      <c r="H588" s="17" t="s">
        <v>646</v>
      </c>
      <c r="I588" s="18">
        <v>0</v>
      </c>
      <c r="J588" s="18">
        <f>2*15*2</f>
        <v>60</v>
      </c>
      <c r="K588" s="18">
        <v>10</v>
      </c>
      <c r="L588" s="18"/>
      <c r="M588" s="18">
        <f t="shared" si="130"/>
        <v>70</v>
      </c>
      <c r="N588" s="18">
        <f>IF(OR(H588="",H588="sif",H588="PM"),0,VLOOKUP(H588,[5]CU!$C$4:$H$255,6,FALSE))</f>
        <v>10.404797</v>
      </c>
      <c r="O588" s="18">
        <f t="shared" ref="O588:R590" si="135">$N588*I588</f>
        <v>0</v>
      </c>
      <c r="P588" s="18">
        <f t="shared" si="135"/>
        <v>624.28782000000001</v>
      </c>
      <c r="Q588" s="18">
        <f t="shared" si="135"/>
        <v>104.04797000000001</v>
      </c>
      <c r="R588" s="18">
        <f t="shared" si="135"/>
        <v>0</v>
      </c>
      <c r="S588" s="24">
        <f>SUM(O588:R588)</f>
        <v>728.33578999999997</v>
      </c>
      <c r="T588" s="23" t="s">
        <v>39</v>
      </c>
      <c r="U588" s="19" t="s">
        <v>707</v>
      </c>
      <c r="V588" s="19" t="str">
        <f>IF(OR($H588="",$H588="sif",$H588="PM"),"",VLOOKUP($H588,[5]CU!$C$5:$J$255,8,FALSE))</f>
        <v>3. Dépenses de fonctionnement</v>
      </c>
      <c r="W588" s="19" t="s">
        <v>708</v>
      </c>
      <c r="X588" s="19" t="s">
        <v>663</v>
      </c>
      <c r="Y588" s="19" t="s">
        <v>32</v>
      </c>
      <c r="Z588" s="18" t="str">
        <f>A588 &amp; "-" &amp; VLOOKUP(A588,[4]PROGRAMMES!$E$1:$F$7,2,FALSE)</f>
        <v>2-Qualité des enseignements et des apprentissages</v>
      </c>
      <c r="AA588" s="19" t="str">
        <f>B588 &amp; "-" &amp; VLOOKUP(B588,[4]SOUSPROGRAMMES!$E$1:$F$44,2,FALSE)</f>
        <v xml:space="preserve">23- Formation initiale et continue des enseignants/éducateurs y compris dans les méthodes pédagogiques innovatntes  </v>
      </c>
      <c r="AB588" s="19" t="str">
        <f>C588 &amp; "-" &amp; VLOOKUP(C588,[4]RESULTATS!$E$1:$F$176,2,FALSE)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8" s="20" t="str">
        <f>D588 &amp; "-" &amp; VLOOKUP(D588,[4]STRATEGIES!$E$1:$F$504,2,FALSE)</f>
        <v>2331-Mise en place des standards de qualité pour la formation continue</v>
      </c>
      <c r="AD588" s="21" t="str">
        <f t="shared" si="133"/>
        <v xml:space="preserve">23312-Recrutement d'une expertise internationale d'appui à l’équipe (DNPSCE, DNEF, DNESGT, IGE) </v>
      </c>
    </row>
    <row r="589" spans="1:30" s="22" customFormat="1" ht="45" hidden="1" customHeight="1" x14ac:dyDescent="0.8">
      <c r="A589" s="14">
        <v>2</v>
      </c>
      <c r="B589" s="15">
        <v>23</v>
      </c>
      <c r="C589" s="15">
        <v>233</v>
      </c>
      <c r="D589" s="15">
        <v>2331</v>
      </c>
      <c r="E589" s="15">
        <v>23313</v>
      </c>
      <c r="F589" s="16" t="s">
        <v>744</v>
      </c>
      <c r="G589" s="21" t="s">
        <v>298</v>
      </c>
      <c r="H589" s="17" t="s">
        <v>66</v>
      </c>
      <c r="I589" s="18">
        <v>0</v>
      </c>
      <c r="J589" s="18">
        <f>10*5</f>
        <v>50</v>
      </c>
      <c r="K589" s="18"/>
      <c r="L589" s="18"/>
      <c r="M589" s="18">
        <f t="shared" si="130"/>
        <v>50</v>
      </c>
      <c r="N589" s="18">
        <f>IF(OR(H589="",H589="sif",H589="PM"),0,VLOOKUP(H589,[5]CU!$C$4:$H$255,6,FALSE))</f>
        <v>0.255</v>
      </c>
      <c r="O589" s="18">
        <f t="shared" si="135"/>
        <v>0</v>
      </c>
      <c r="P589" s="18">
        <f t="shared" si="135"/>
        <v>12.75</v>
      </c>
      <c r="Q589" s="18">
        <f t="shared" si="135"/>
        <v>0</v>
      </c>
      <c r="R589" s="18">
        <f t="shared" si="135"/>
        <v>0</v>
      </c>
      <c r="S589" s="24">
        <f>SUM(O589:R589)</f>
        <v>12.75</v>
      </c>
      <c r="T589" s="23" t="s">
        <v>39</v>
      </c>
      <c r="U589" s="19" t="s">
        <v>707</v>
      </c>
      <c r="V589" s="19" t="str">
        <f>IF(OR($H589="",$H589="sif",$H589="PM"),"",VLOOKUP($H589,[5]CU!$C$5:$J$255,8,FALSE))</f>
        <v>3. Dépenses de fonctionnement</v>
      </c>
      <c r="W589" s="19" t="s">
        <v>708</v>
      </c>
      <c r="X589" s="19" t="s">
        <v>745</v>
      </c>
      <c r="Y589" s="19" t="s">
        <v>32</v>
      </c>
      <c r="Z589" s="18" t="str">
        <f>A589 &amp; "-" &amp; VLOOKUP(A589,[4]PROGRAMMES!$E$1:$F$7,2,FALSE)</f>
        <v>2-Qualité des enseignements et des apprentissages</v>
      </c>
      <c r="AA589" s="19" t="str">
        <f>B589 &amp; "-" &amp; VLOOKUP(B589,[4]SOUSPROGRAMMES!$E$1:$F$44,2,FALSE)</f>
        <v xml:space="preserve">23- Formation initiale et continue des enseignants/éducateurs y compris dans les méthodes pédagogiques innovatntes  </v>
      </c>
      <c r="AB589" s="19" t="str">
        <f>C589 &amp; "-" &amp; VLOOKUP(C589,[4]RESULTATS!$E$1:$F$176,2,FALSE)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89" s="20" t="str">
        <f>D589 &amp; "-" &amp; VLOOKUP(D589,[4]STRATEGIES!$E$1:$F$504,2,FALSE)</f>
        <v>2331-Mise en place des standards de qualité pour la formation continue</v>
      </c>
      <c r="AD589" s="21" t="str">
        <f t="shared" si="133"/>
        <v>23313-DéFinition des standards de qualité sur la formation continue (DNPSCE, DNEF, DNESGT, IGE)</v>
      </c>
    </row>
    <row r="590" spans="1:30" s="22" customFormat="1" ht="45" hidden="1" customHeight="1" x14ac:dyDescent="0.8">
      <c r="A590" s="14">
        <v>2</v>
      </c>
      <c r="B590" s="15">
        <v>23</v>
      </c>
      <c r="C590" s="15">
        <v>233</v>
      </c>
      <c r="D590" s="15">
        <v>2331</v>
      </c>
      <c r="E590" s="15">
        <v>23314</v>
      </c>
      <c r="F590" s="16" t="s">
        <v>746</v>
      </c>
      <c r="G590" s="21" t="s">
        <v>298</v>
      </c>
      <c r="H590" s="17" t="s">
        <v>38</v>
      </c>
      <c r="I590" s="18">
        <v>0</v>
      </c>
      <c r="J590" s="18">
        <f>25*2</f>
        <v>50</v>
      </c>
      <c r="K590" s="18"/>
      <c r="L590" s="18"/>
      <c r="M590" s="18">
        <f t="shared" si="130"/>
        <v>50</v>
      </c>
      <c r="N590" s="18">
        <f>IF(OR(H590="",H590="sif",H590="PM"),0,VLOOKUP(H590,[5]CU!$C$4:$H$255,6,FALSE))</f>
        <v>0.3133333333333333</v>
      </c>
      <c r="O590" s="18">
        <f t="shared" si="135"/>
        <v>0</v>
      </c>
      <c r="P590" s="18">
        <f t="shared" si="135"/>
        <v>15.666666666666664</v>
      </c>
      <c r="Q590" s="18">
        <f t="shared" si="135"/>
        <v>0</v>
      </c>
      <c r="R590" s="18">
        <f t="shared" si="135"/>
        <v>0</v>
      </c>
      <c r="S590" s="24">
        <f>SUM(O590:R590)</f>
        <v>15.666666666666664</v>
      </c>
      <c r="T590" s="23" t="s">
        <v>39</v>
      </c>
      <c r="U590" s="19" t="s">
        <v>707</v>
      </c>
      <c r="V590" s="19" t="str">
        <f>IF(OR($H590="",$H590="sif",$H590="PM"),"",VLOOKUP($H590,[5]CU!$C$5:$J$255,8,FALSE))</f>
        <v>3. Formation</v>
      </c>
      <c r="W590" s="19" t="s">
        <v>708</v>
      </c>
      <c r="X590" s="19" t="s">
        <v>273</v>
      </c>
      <c r="Y590" s="19" t="s">
        <v>32</v>
      </c>
      <c r="Z590" s="18" t="str">
        <f>A590 &amp; "-" &amp; VLOOKUP(A590,[4]PROGRAMMES!$E$1:$F$7,2,FALSE)</f>
        <v>2-Qualité des enseignements et des apprentissages</v>
      </c>
      <c r="AA590" s="19" t="str">
        <f>B590 &amp; "-" &amp; VLOOKUP(B590,[4]SOUSPROGRAMMES!$E$1:$F$44,2,FALSE)</f>
        <v xml:space="preserve">23- Formation initiale et continue des enseignants/éducateurs y compris dans les méthodes pédagogiques innovatntes  </v>
      </c>
      <c r="AB590" s="19" t="str">
        <f>C590 &amp; "-" &amp; VLOOKUP(C590,[4]RESULTATS!$E$1:$F$176,2,FALSE)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0" s="20" t="str">
        <f>D590 &amp; "-" &amp; VLOOKUP(D590,[4]STRATEGIES!$E$1:$F$504,2,FALSE)</f>
        <v>2331-Mise en place des standards de qualité pour la formation continue</v>
      </c>
      <c r="AD590" s="21" t="str">
        <f t="shared" si="133"/>
        <v>23314-Partage et validation des standards de qualité sur la formation continue (DNPSCE, DNEF, DNESGT, IGE)</v>
      </c>
    </row>
    <row r="591" spans="1:30" s="22" customFormat="1" ht="45" hidden="1" customHeight="1" x14ac:dyDescent="0.8">
      <c r="A591" s="14">
        <v>2</v>
      </c>
      <c r="B591" s="15">
        <v>23</v>
      </c>
      <c r="C591" s="15">
        <v>233</v>
      </c>
      <c r="D591" s="15">
        <v>2332</v>
      </c>
      <c r="E591" s="15">
        <v>2332</v>
      </c>
      <c r="F591" s="16" t="s">
        <v>747</v>
      </c>
      <c r="G591" s="17"/>
      <c r="H591" s="17"/>
      <c r="I591" s="18">
        <v>0</v>
      </c>
      <c r="J591" s="18"/>
      <c r="K591" s="18"/>
      <c r="L591" s="18"/>
      <c r="M591" s="18"/>
      <c r="N591" s="18"/>
      <c r="O591" s="18"/>
      <c r="P591" s="18"/>
      <c r="Q591" s="18"/>
      <c r="R591" s="18"/>
      <c r="S591" s="24"/>
      <c r="T591" s="18"/>
      <c r="U591" s="18"/>
      <c r="V591" s="18"/>
      <c r="W591" s="18"/>
      <c r="X591" s="18"/>
      <c r="Y591" s="19" t="s">
        <v>32</v>
      </c>
      <c r="Z591" s="18" t="str">
        <f>A591 &amp; "-" &amp; VLOOKUP(A591,[4]PROGRAMMES!$E$1:$F$7,2,FALSE)</f>
        <v>2-Qualité des enseignements et des apprentissages</v>
      </c>
      <c r="AA591" s="19" t="str">
        <f>B591 &amp; "-" &amp; VLOOKUP(B591,[4]SOUSPROGRAMMES!$E$1:$F$44,2,FALSE)</f>
        <v xml:space="preserve">23- Formation initiale et continue des enseignants/éducateurs y compris dans les méthodes pédagogiques innovatntes  </v>
      </c>
      <c r="AB591" s="19" t="str">
        <f>C591 &amp; "-" &amp; VLOOKUP(C591,[4]RESULTATS!$E$1:$F$176,2,FALSE)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1" s="20" t="str">
        <f>D591 &amp; "-" &amp; VLOOKUP(D591,[4]STRATEGIES!$E$1:$F$504,2,FALSE)</f>
        <v>2332-Mise en place d'une Ingénierie de la formation continue</v>
      </c>
      <c r="AD591" s="21" t="str">
        <f t="shared" si="133"/>
        <v>2332-Mise en place d'une Ingénierie de la formation continue</v>
      </c>
    </row>
    <row r="592" spans="1:30" s="22" customFormat="1" ht="45" hidden="1" customHeight="1" x14ac:dyDescent="0.8">
      <c r="A592" s="14">
        <v>2</v>
      </c>
      <c r="B592" s="15">
        <v>23</v>
      </c>
      <c r="C592" s="15">
        <v>233</v>
      </c>
      <c r="D592" s="15">
        <v>2332</v>
      </c>
      <c r="E592" s="15">
        <v>23321</v>
      </c>
      <c r="F592" s="16" t="s">
        <v>748</v>
      </c>
      <c r="G592" s="21" t="s">
        <v>92</v>
      </c>
      <c r="H592" s="17" t="s">
        <v>55</v>
      </c>
      <c r="I592" s="18">
        <v>0</v>
      </c>
      <c r="J592" s="18">
        <v>1</v>
      </c>
      <c r="K592" s="18"/>
      <c r="L592" s="18"/>
      <c r="M592" s="18">
        <f t="shared" si="130"/>
        <v>1</v>
      </c>
      <c r="N592" s="18">
        <f>IF(OR(H592="",H592="sif",H592="PM"),0,VLOOKUP(H592,[5]CU!$C$4:$H$255,6,FALSE))</f>
        <v>0</v>
      </c>
      <c r="O592" s="18"/>
      <c r="P592" s="18"/>
      <c r="Q592" s="18"/>
      <c r="R592" s="18"/>
      <c r="S592" s="24"/>
      <c r="T592" s="23" t="s">
        <v>39</v>
      </c>
      <c r="U592" s="18" t="s">
        <v>707</v>
      </c>
      <c r="V592" s="18" t="str">
        <f>IF(OR($H592="",$H592="sif",$H592="PM"),"",VLOOKUP($H592,[5]CU!$C$5:$J$255,8,FALSE))</f>
        <v/>
      </c>
      <c r="W592" s="18" t="s">
        <v>708</v>
      </c>
      <c r="X592" s="18" t="s">
        <v>663</v>
      </c>
      <c r="Y592" s="19" t="s">
        <v>32</v>
      </c>
      <c r="Z592" s="18" t="str">
        <f>A592 &amp; "-" &amp; VLOOKUP(A592,[4]PROGRAMMES!$E$1:$F$7,2,FALSE)</f>
        <v>2-Qualité des enseignements et des apprentissages</v>
      </c>
      <c r="AA592" s="19" t="str">
        <f>B592 &amp; "-" &amp; VLOOKUP(B592,[4]SOUSPROGRAMMES!$E$1:$F$44,2,FALSE)</f>
        <v xml:space="preserve">23- Formation initiale et continue des enseignants/éducateurs y compris dans les méthodes pédagogiques innovatntes  </v>
      </c>
      <c r="AB592" s="19" t="str">
        <f>C592 &amp; "-" &amp; VLOOKUP(C592,[4]RESULTATS!$E$1:$F$176,2,FALSE)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2" s="20" t="str">
        <f>D592 &amp; "-" &amp; VLOOKUP(D592,[4]STRATEGIES!$E$1:$F$504,2,FALSE)</f>
        <v>2332-Mise en place d'une Ingénierie de la formation continue</v>
      </c>
      <c r="AD592" s="21" t="str">
        <f t="shared" si="133"/>
        <v>23321-Recrutement d'une expertise internationale (Compris dans l'activité 23212)</v>
      </c>
    </row>
    <row r="593" spans="1:30" s="22" customFormat="1" ht="45" hidden="1" customHeight="1" x14ac:dyDescent="0.8">
      <c r="A593" s="14">
        <v>2</v>
      </c>
      <c r="B593" s="15">
        <v>23</v>
      </c>
      <c r="C593" s="15">
        <v>233</v>
      </c>
      <c r="D593" s="15">
        <v>2332</v>
      </c>
      <c r="E593" s="15">
        <v>23322</v>
      </c>
      <c r="F593" s="16" t="s">
        <v>749</v>
      </c>
      <c r="G593" s="21" t="s">
        <v>92</v>
      </c>
      <c r="H593" s="17" t="s">
        <v>55</v>
      </c>
      <c r="I593" s="18">
        <v>0</v>
      </c>
      <c r="J593" s="18">
        <v>1</v>
      </c>
      <c r="K593" s="18"/>
      <c r="L593" s="18"/>
      <c r="M593" s="18">
        <f t="shared" si="130"/>
        <v>1</v>
      </c>
      <c r="N593" s="18">
        <f>IF(OR(H593="",H593="sif",H593="PM"),0,VLOOKUP(H593,[5]CU!$C$4:$H$255,6,FALSE))</f>
        <v>0</v>
      </c>
      <c r="O593" s="18"/>
      <c r="P593" s="18"/>
      <c r="Q593" s="18"/>
      <c r="R593" s="18"/>
      <c r="S593" s="24"/>
      <c r="T593" s="23" t="s">
        <v>56</v>
      </c>
      <c r="U593" s="18" t="s">
        <v>707</v>
      </c>
      <c r="V593" s="18" t="str">
        <f>IF(OR($H593="",$H593="sif",$H593="PM"),"",VLOOKUP($H593,[5]CU!$C$5:$J$255,8,FALSE))</f>
        <v/>
      </c>
      <c r="W593" s="18" t="s">
        <v>708</v>
      </c>
      <c r="X593" s="18" t="s">
        <v>750</v>
      </c>
      <c r="Y593" s="19" t="s">
        <v>32</v>
      </c>
      <c r="Z593" s="18" t="str">
        <f>A593 &amp; "-" &amp; VLOOKUP(A593,[4]PROGRAMMES!$E$1:$F$7,2,FALSE)</f>
        <v>2-Qualité des enseignements et des apprentissages</v>
      </c>
      <c r="AA593" s="19" t="str">
        <f>B593 &amp; "-" &amp; VLOOKUP(B593,[4]SOUSPROGRAMMES!$E$1:$F$44,2,FALSE)</f>
        <v xml:space="preserve">23- Formation initiale et continue des enseignants/éducateurs y compris dans les méthodes pédagogiques innovatntes  </v>
      </c>
      <c r="AB593" s="19" t="str">
        <f>C593 &amp; "-" &amp; VLOOKUP(C593,[4]RESULTATS!$E$1:$F$176,2,FALSE)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3" s="20" t="str">
        <f>D593 &amp; "-" &amp; VLOOKUP(D593,[4]STRATEGIES!$E$1:$F$504,2,FALSE)</f>
        <v>2332-Mise en place d'une Ingénierie de la formation continue</v>
      </c>
      <c r="AD593" s="21" t="str">
        <f t="shared" si="133"/>
        <v>23322-Identification d'un dispositif d'ingénierie de la formation en adéquation avec la stratégie de formation continue des enseignants (Voir activité 23141)</v>
      </c>
    </row>
    <row r="594" spans="1:30" s="22" customFormat="1" ht="45" hidden="1" customHeight="1" x14ac:dyDescent="0.8">
      <c r="A594" s="14">
        <v>2</v>
      </c>
      <c r="B594" s="15">
        <v>23</v>
      </c>
      <c r="C594" s="15">
        <v>233</v>
      </c>
      <c r="D594" s="15">
        <v>2332</v>
      </c>
      <c r="E594" s="15">
        <v>23323</v>
      </c>
      <c r="F594" s="16" t="s">
        <v>751</v>
      </c>
      <c r="G594" s="21" t="s">
        <v>37</v>
      </c>
      <c r="H594" s="17" t="s">
        <v>66</v>
      </c>
      <c r="I594" s="18">
        <v>0</v>
      </c>
      <c r="J594" s="18">
        <f>20*5</f>
        <v>100</v>
      </c>
      <c r="K594" s="18"/>
      <c r="L594" s="18"/>
      <c r="M594" s="18">
        <f t="shared" si="130"/>
        <v>100</v>
      </c>
      <c r="N594" s="18">
        <f>IF(OR(H594="",H594="sif",H594="PM"),0,VLOOKUP(H594,[5]CU!$C$4:$H$255,6,FALSE))</f>
        <v>0.255</v>
      </c>
      <c r="O594" s="18">
        <f t="shared" ref="O594:R595" si="136">$N594*I594</f>
        <v>0</v>
      </c>
      <c r="P594" s="18">
        <f t="shared" si="136"/>
        <v>25.5</v>
      </c>
      <c r="Q594" s="18">
        <f t="shared" si="136"/>
        <v>0</v>
      </c>
      <c r="R594" s="18">
        <f t="shared" si="136"/>
        <v>0</v>
      </c>
      <c r="S594" s="24">
        <f>SUM(O594:R594)</f>
        <v>25.5</v>
      </c>
      <c r="T594" s="23" t="s">
        <v>39</v>
      </c>
      <c r="U594" s="18" t="s">
        <v>707</v>
      </c>
      <c r="V594" s="18" t="str">
        <f>IF(OR($H594="",$H594="sif",$H594="PM"),"",VLOOKUP($H594,[5]CU!$C$5:$J$255,8,FALSE))</f>
        <v>3. Dépenses de fonctionnement</v>
      </c>
      <c r="W594" s="18" t="s">
        <v>708</v>
      </c>
      <c r="X594" s="18" t="s">
        <v>750</v>
      </c>
      <c r="Y594" s="19" t="s">
        <v>32</v>
      </c>
      <c r="Z594" s="18" t="str">
        <f>A594 &amp; "-" &amp; VLOOKUP(A594,[4]PROGRAMMES!$E$1:$F$7,2,FALSE)</f>
        <v>2-Qualité des enseignements et des apprentissages</v>
      </c>
      <c r="AA594" s="19" t="str">
        <f>B594 &amp; "-" &amp; VLOOKUP(B594,[4]SOUSPROGRAMMES!$E$1:$F$44,2,FALSE)</f>
        <v xml:space="preserve">23- Formation initiale et continue des enseignants/éducateurs y compris dans les méthodes pédagogiques innovatntes  </v>
      </c>
      <c r="AB594" s="19" t="str">
        <f>C594 &amp; "-" &amp; VLOOKUP(C594,[4]RESULTATS!$E$1:$F$176,2,FALSE)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4" s="20" t="str">
        <f>D594 &amp; "-" &amp; VLOOKUP(D594,[4]STRATEGIES!$E$1:$F$504,2,FALSE)</f>
        <v>2332-Mise en place d'une Ingénierie de la formation continue</v>
      </c>
      <c r="AD594" s="21" t="str">
        <f t="shared" si="133"/>
        <v>23323-Développement des outils pour l'opérationnalisation du dispositif</v>
      </c>
    </row>
    <row r="595" spans="1:30" s="22" customFormat="1" ht="45" hidden="1" customHeight="1" x14ac:dyDescent="0.8">
      <c r="A595" s="14">
        <v>2</v>
      </c>
      <c r="B595" s="15">
        <v>23</v>
      </c>
      <c r="C595" s="15">
        <v>233</v>
      </c>
      <c r="D595" s="15">
        <v>2332</v>
      </c>
      <c r="E595" s="15">
        <v>23324</v>
      </c>
      <c r="F595" s="16" t="s">
        <v>752</v>
      </c>
      <c r="G595" s="21" t="s">
        <v>37</v>
      </c>
      <c r="H595" s="17" t="s">
        <v>38</v>
      </c>
      <c r="I595" s="18">
        <v>0</v>
      </c>
      <c r="J595" s="18">
        <f>8+12*2</f>
        <v>32</v>
      </c>
      <c r="K595" s="18"/>
      <c r="L595" s="18"/>
      <c r="M595" s="18">
        <f t="shared" si="130"/>
        <v>32</v>
      </c>
      <c r="N595" s="18">
        <f>IF(OR(H595="",H595="sif",H595="PM"),0,VLOOKUP(H595,[5]CU!$C$4:$H$255,6,FALSE))</f>
        <v>0.3133333333333333</v>
      </c>
      <c r="O595" s="18">
        <f t="shared" si="136"/>
        <v>0</v>
      </c>
      <c r="P595" s="18">
        <f t="shared" si="136"/>
        <v>10.026666666666666</v>
      </c>
      <c r="Q595" s="18">
        <f t="shared" si="136"/>
        <v>0</v>
      </c>
      <c r="R595" s="18">
        <f t="shared" si="136"/>
        <v>0</v>
      </c>
      <c r="S595" s="24">
        <f>SUM(O595:R595)</f>
        <v>10.026666666666666</v>
      </c>
      <c r="T595" s="23" t="s">
        <v>39</v>
      </c>
      <c r="U595" s="18" t="s">
        <v>707</v>
      </c>
      <c r="V595" s="18" t="str">
        <f>IF(OR($H595="",$H595="sif",$H595="PM"),"",VLOOKUP($H595,[5]CU!$C$5:$J$255,8,FALSE))</f>
        <v>3. Formation</v>
      </c>
      <c r="W595" s="18" t="s">
        <v>708</v>
      </c>
      <c r="X595" s="18" t="s">
        <v>745</v>
      </c>
      <c r="Y595" s="19" t="s">
        <v>32</v>
      </c>
      <c r="Z595" s="18" t="str">
        <f>A595 &amp; "-" &amp; VLOOKUP(A595,[4]PROGRAMMES!$E$1:$F$7,2,FALSE)</f>
        <v>2-Qualité des enseignements et des apprentissages</v>
      </c>
      <c r="AA595" s="19" t="str">
        <f>B595 &amp; "-" &amp; VLOOKUP(B595,[4]SOUSPROGRAMMES!$E$1:$F$44,2,FALSE)</f>
        <v xml:space="preserve">23- Formation initiale et continue des enseignants/éducateurs y compris dans les méthodes pédagogiques innovatntes  </v>
      </c>
      <c r="AB595" s="19" t="str">
        <f>C595 &amp; "-" &amp; VLOOKUP(C595,[4]RESULTATS!$E$1:$F$176,2,FALSE)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5" s="20" t="str">
        <f>D595 &amp; "-" &amp; VLOOKUP(D595,[4]STRATEGIES!$E$1:$F$504,2,FALSE)</f>
        <v>2332-Mise en place d'une Ingénierie de la formation continue</v>
      </c>
      <c r="AD595" s="21" t="str">
        <f t="shared" si="133"/>
        <v>23324-validation et diffusion des outils</v>
      </c>
    </row>
    <row r="596" spans="1:30" s="22" customFormat="1" ht="45" hidden="1" customHeight="1" x14ac:dyDescent="0.8">
      <c r="A596" s="14">
        <v>2</v>
      </c>
      <c r="B596" s="15">
        <v>23</v>
      </c>
      <c r="C596" s="15">
        <v>233</v>
      </c>
      <c r="D596" s="15">
        <v>2332</v>
      </c>
      <c r="E596" s="15">
        <v>23325</v>
      </c>
      <c r="F596" s="16" t="s">
        <v>753</v>
      </c>
      <c r="G596" s="21" t="s">
        <v>754</v>
      </c>
      <c r="H596" s="17" t="s">
        <v>55</v>
      </c>
      <c r="I596" s="18">
        <v>0</v>
      </c>
      <c r="J596" s="18"/>
      <c r="K596" s="18">
        <v>1</v>
      </c>
      <c r="L596" s="18"/>
      <c r="M596" s="18">
        <f t="shared" si="130"/>
        <v>1</v>
      </c>
      <c r="N596" s="18">
        <f>IF(OR(H596="",H596="sif",H596="PM"),0,VLOOKUP(H596,[5]CU!$C$4:$H$255,6,FALSE))</f>
        <v>0</v>
      </c>
      <c r="O596" s="18"/>
      <c r="P596" s="18"/>
      <c r="Q596" s="18"/>
      <c r="R596" s="18"/>
      <c r="S596" s="24"/>
      <c r="T596" s="23" t="s">
        <v>56</v>
      </c>
      <c r="U596" s="18" t="s">
        <v>707</v>
      </c>
      <c r="V596" s="18" t="str">
        <f>IF(OR($H596="",$H596="sif",$H596="PM"),"",VLOOKUP($H596,[5]CU!$C$5:$J$255,8,FALSE))</f>
        <v/>
      </c>
      <c r="W596" s="18" t="s">
        <v>708</v>
      </c>
      <c r="X596" s="18" t="s">
        <v>745</v>
      </c>
      <c r="Y596" s="19" t="s">
        <v>32</v>
      </c>
      <c r="Z596" s="18" t="str">
        <f>A596 &amp; "-" &amp; VLOOKUP(A596,[4]PROGRAMMES!$E$1:$F$7,2,FALSE)</f>
        <v>2-Qualité des enseignements et des apprentissages</v>
      </c>
      <c r="AA596" s="19" t="str">
        <f>B596 &amp; "-" &amp; VLOOKUP(B596,[4]SOUSPROGRAMMES!$E$1:$F$44,2,FALSE)</f>
        <v xml:space="preserve">23- Formation initiale et continue des enseignants/éducateurs y compris dans les méthodes pédagogiques innovatntes  </v>
      </c>
      <c r="AB596" s="19" t="str">
        <f>C596 &amp; "-" &amp; VLOOKUP(C596,[4]RESULTATS!$E$1:$F$176,2,FALSE)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6" s="20" t="str">
        <f>D596 &amp; "-" &amp; VLOOKUP(D596,[4]STRATEGIES!$E$1:$F$504,2,FALSE)</f>
        <v>2332-Mise en place d'une Ingénierie de la formation continue</v>
      </c>
      <c r="AD596" s="21" t="str">
        <f t="shared" si="133"/>
        <v>23325-Identification des besoins de formation aux différents niveaux</v>
      </c>
    </row>
    <row r="597" spans="1:30" s="22" customFormat="1" ht="45" hidden="1" customHeight="1" x14ac:dyDescent="0.8">
      <c r="A597" s="14">
        <v>2</v>
      </c>
      <c r="B597" s="15">
        <v>23</v>
      </c>
      <c r="C597" s="15">
        <v>233</v>
      </c>
      <c r="D597" s="15">
        <v>2332</v>
      </c>
      <c r="E597" s="15">
        <v>23326</v>
      </c>
      <c r="F597" s="16" t="s">
        <v>755</v>
      </c>
      <c r="G597" s="21" t="s">
        <v>37</v>
      </c>
      <c r="H597" s="17" t="s">
        <v>66</v>
      </c>
      <c r="I597" s="18">
        <v>0</v>
      </c>
      <c r="J597" s="18"/>
      <c r="K597" s="18">
        <f>10*10</f>
        <v>100</v>
      </c>
      <c r="L597" s="18"/>
      <c r="M597" s="18">
        <f t="shared" si="130"/>
        <v>100</v>
      </c>
      <c r="N597" s="18">
        <f>IF(OR(H597="",H597="sif",H597="PM"),0,VLOOKUP(H597,[5]CU!$C$4:$H$255,6,FALSE))</f>
        <v>0.255</v>
      </c>
      <c r="O597" s="18">
        <f t="shared" ref="O597:R620" si="137">$N597*I597</f>
        <v>0</v>
      </c>
      <c r="P597" s="18">
        <f t="shared" si="137"/>
        <v>0</v>
      </c>
      <c r="Q597" s="18">
        <f t="shared" si="137"/>
        <v>25.5</v>
      </c>
      <c r="R597" s="18">
        <f t="shared" si="137"/>
        <v>0</v>
      </c>
      <c r="S597" s="24">
        <f t="shared" ref="S597:S620" si="138">SUM(O597:R597)</f>
        <v>25.5</v>
      </c>
      <c r="T597" s="23" t="s">
        <v>39</v>
      </c>
      <c r="U597" s="18" t="s">
        <v>707</v>
      </c>
      <c r="V597" s="18" t="str">
        <f>IF(OR($H597="",$H597="sif",$H597="PM"),"",VLOOKUP($H597,[5]CU!$C$5:$J$255,8,FALSE))</f>
        <v>3. Dépenses de fonctionnement</v>
      </c>
      <c r="W597" s="18" t="s">
        <v>708</v>
      </c>
      <c r="X597" s="18" t="s">
        <v>745</v>
      </c>
      <c r="Y597" s="19" t="s">
        <v>32</v>
      </c>
      <c r="Z597" s="18" t="str">
        <f>A597 &amp; "-" &amp; VLOOKUP(A597,[4]PROGRAMMES!$E$1:$F$7,2,FALSE)</f>
        <v>2-Qualité des enseignements et des apprentissages</v>
      </c>
      <c r="AA597" s="19" t="str">
        <f>B597 &amp; "-" &amp; VLOOKUP(B597,[4]SOUSPROGRAMMES!$E$1:$F$44,2,FALSE)</f>
        <v xml:space="preserve">23- Formation initiale et continue des enseignants/éducateurs y compris dans les méthodes pédagogiques innovatntes  </v>
      </c>
      <c r="AB597" s="19" t="str">
        <f>C597 &amp; "-" &amp; VLOOKUP(C597,[4]RESULTATS!$E$1:$F$176,2,FALSE)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7" s="20" t="str">
        <f>D597 &amp; "-" &amp; VLOOKUP(D597,[4]STRATEGIES!$E$1:$F$504,2,FALSE)</f>
        <v>2332-Mise en place d'une Ingénierie de la formation continue</v>
      </c>
      <c r="AD597" s="21" t="str">
        <f t="shared" si="133"/>
        <v>23326-Elaboration d'un plan de formation continue sur 3 ans (à actualiser annuellement)</v>
      </c>
    </row>
    <row r="598" spans="1:30" s="22" customFormat="1" ht="45" hidden="1" customHeight="1" x14ac:dyDescent="0.8">
      <c r="A598" s="14">
        <v>2</v>
      </c>
      <c r="B598" s="15">
        <v>23</v>
      </c>
      <c r="C598" s="15">
        <v>233</v>
      </c>
      <c r="D598" s="15">
        <v>2332</v>
      </c>
      <c r="E598" s="15">
        <v>23327</v>
      </c>
      <c r="F598" s="16" t="s">
        <v>756</v>
      </c>
      <c r="G598" s="21" t="s">
        <v>757</v>
      </c>
      <c r="H598" s="17" t="s">
        <v>52</v>
      </c>
      <c r="I598" s="18">
        <v>0</v>
      </c>
      <c r="J598" s="18">
        <f>1254*32.96%</f>
        <v>413.3184</v>
      </c>
      <c r="K598" s="18">
        <f>642*32.96%</f>
        <v>211.60320000000002</v>
      </c>
      <c r="L598" s="18">
        <f>659*32.96%</f>
        <v>217.2064</v>
      </c>
      <c r="M598" s="18">
        <f>SUM(I598:L598)</f>
        <v>842.12800000000004</v>
      </c>
      <c r="N598" s="18">
        <f>IF(OR(H598="",H598="sif",H598="PM"),0,VLOOKUP(H598,[5]CU!$C$4:$H$255,6,FALSE))</f>
        <v>1.5</v>
      </c>
      <c r="O598" s="18">
        <f>$N598*I598</f>
        <v>0</v>
      </c>
      <c r="P598" s="18">
        <f>$N598*J598</f>
        <v>619.97759999999994</v>
      </c>
      <c r="Q598" s="18">
        <f>$N598*K598</f>
        <v>317.40480000000002</v>
      </c>
      <c r="R598" s="18">
        <f>$N598*L598</f>
        <v>325.80959999999999</v>
      </c>
      <c r="S598" s="24">
        <f>SUM(O598:R598)</f>
        <v>1263.192</v>
      </c>
      <c r="T598" s="23" t="s">
        <v>39</v>
      </c>
      <c r="U598" s="19" t="s">
        <v>707</v>
      </c>
      <c r="V598" s="19" t="str">
        <f>IF(OR($H598="",$H598="sif",$H598="PM"),"",VLOOKUP($H598,[5]CU!$C$5:$J$255,8,FALSE))</f>
        <v>3. Formation</v>
      </c>
      <c r="W598" s="19" t="s">
        <v>708</v>
      </c>
      <c r="X598" s="19" t="s">
        <v>745</v>
      </c>
      <c r="Y598" s="19" t="s">
        <v>32</v>
      </c>
      <c r="Z598" s="18" t="str">
        <f>A598 &amp; "-" &amp; VLOOKUP(A598,[4]PROGRAMMES!$E$1:$F$7,2,FALSE)</f>
        <v>2-Qualité des enseignements et des apprentissages</v>
      </c>
      <c r="AA598" s="19" t="str">
        <f>B598 &amp; "-" &amp; VLOOKUP(B598,[4]SOUSPROGRAMMES!$E$1:$F$44,2,FALSE)</f>
        <v xml:space="preserve">23- Formation initiale et continue des enseignants/éducateurs y compris dans les méthodes pédagogiques innovatntes  </v>
      </c>
      <c r="AB598" s="19" t="str">
        <f>C598 &amp; "-" &amp; VLOOKUP(C598,[4]RESULTATS!$E$1:$F$176,2,FALSE)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8" s="20" t="str">
        <f>D598 &amp; "-" &amp; VLOOKUP(D598,[4]STRATEGIES!$E$1:$F$504,2,FALSE)</f>
        <v>2332-Mise en place d'une Ingénierie de la formation continue</v>
      </c>
      <c r="AD598" s="21" t="str">
        <f t="shared" si="133"/>
        <v>23327-Organisation des sessions de formation continue à l'intention des éducateurs du préscolaire Y compris du communautaire</v>
      </c>
    </row>
    <row r="599" spans="1:30" s="22" customFormat="1" ht="45" hidden="1" customHeight="1" x14ac:dyDescent="0.8">
      <c r="A599" s="14">
        <v>2</v>
      </c>
      <c r="B599" s="15">
        <v>23</v>
      </c>
      <c r="C599" s="15">
        <v>233</v>
      </c>
      <c r="D599" s="15">
        <v>2332</v>
      </c>
      <c r="E599" s="15">
        <v>23327</v>
      </c>
      <c r="F599" s="16" t="s">
        <v>756</v>
      </c>
      <c r="G599" s="21" t="s">
        <v>757</v>
      </c>
      <c r="H599" s="17" t="s">
        <v>52</v>
      </c>
      <c r="I599" s="18">
        <v>0</v>
      </c>
      <c r="J599" s="18">
        <f>1254*31.96%</f>
        <v>400.77839999999998</v>
      </c>
      <c r="K599" s="18">
        <f>642*31.96%</f>
        <v>205.1832</v>
      </c>
      <c r="L599" s="18">
        <f>659*31.96%</f>
        <v>210.6164</v>
      </c>
      <c r="M599" s="18">
        <f t="shared" si="130"/>
        <v>816.57799999999997</v>
      </c>
      <c r="N599" s="18">
        <f>IF(OR(H599="",H599="sif",H599="PM"),0,VLOOKUP(H599,[5]CU!$C$4:$H$255,6,FALSE))</f>
        <v>1.5</v>
      </c>
      <c r="O599" s="18">
        <f t="shared" si="137"/>
        <v>0</v>
      </c>
      <c r="P599" s="18">
        <f t="shared" si="137"/>
        <v>601.16759999999999</v>
      </c>
      <c r="Q599" s="18">
        <f t="shared" si="137"/>
        <v>307.77480000000003</v>
      </c>
      <c r="R599" s="18">
        <f t="shared" si="137"/>
        <v>315.9246</v>
      </c>
      <c r="S599" s="24">
        <f t="shared" si="138"/>
        <v>1224.867</v>
      </c>
      <c r="T599" s="23" t="s">
        <v>118</v>
      </c>
      <c r="U599" s="19" t="s">
        <v>707</v>
      </c>
      <c r="V599" s="19" t="str">
        <f>IF(OR($H599="",$H599="sif",$H599="PM"),"",VLOOKUP($H599,[5]CU!$C$5:$J$255,8,FALSE))</f>
        <v>3. Formation</v>
      </c>
      <c r="W599" s="19" t="s">
        <v>708</v>
      </c>
      <c r="X599" s="19" t="s">
        <v>745</v>
      </c>
      <c r="Y599" s="19" t="s">
        <v>32</v>
      </c>
      <c r="Z599" s="18" t="str">
        <f>A599 &amp; "-" &amp; VLOOKUP(A599,[4]PROGRAMMES!$E$1:$F$7,2,FALSE)</f>
        <v>2-Qualité des enseignements et des apprentissages</v>
      </c>
      <c r="AA599" s="19" t="str">
        <f>B599 &amp; "-" &amp; VLOOKUP(B599,[4]SOUSPROGRAMMES!$E$1:$F$44,2,FALSE)</f>
        <v xml:space="preserve">23- Formation initiale et continue des enseignants/éducateurs y compris dans les méthodes pédagogiques innovatntes  </v>
      </c>
      <c r="AB599" s="19" t="str">
        <f>C599 &amp; "-" &amp; VLOOKUP(C599,[4]RESULTATS!$E$1:$F$176,2,FALSE)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599" s="20" t="str">
        <f>D599 &amp; "-" &amp; VLOOKUP(D599,[4]STRATEGIES!$E$1:$F$504,2,FALSE)</f>
        <v>2332-Mise en place d'une Ingénierie de la formation continue</v>
      </c>
      <c r="AD599" s="21" t="str">
        <f t="shared" si="133"/>
        <v>23327-Organisation des sessions de formation continue à l'intention des éducateurs du préscolaire Y compris du communautaire</v>
      </c>
    </row>
    <row r="600" spans="1:30" s="22" customFormat="1" ht="45" hidden="1" customHeight="1" x14ac:dyDescent="0.8">
      <c r="A600" s="14">
        <v>2</v>
      </c>
      <c r="B600" s="15">
        <v>23</v>
      </c>
      <c r="C600" s="15">
        <v>233</v>
      </c>
      <c r="D600" s="15">
        <v>2332</v>
      </c>
      <c r="E600" s="15">
        <v>23327</v>
      </c>
      <c r="F600" s="16" t="s">
        <v>756</v>
      </c>
      <c r="G600" s="21" t="s">
        <v>757</v>
      </c>
      <c r="H600" s="17" t="s">
        <v>52</v>
      </c>
      <c r="I600" s="18">
        <v>0</v>
      </c>
      <c r="J600" s="18">
        <f>1254*4.12%</f>
        <v>51.6648</v>
      </c>
      <c r="K600" s="18">
        <f>642*4.12%</f>
        <v>26.450400000000002</v>
      </c>
      <c r="L600" s="18">
        <f>659*4.12%</f>
        <v>27.1508</v>
      </c>
      <c r="M600" s="18">
        <f>SUM(I600:L600)</f>
        <v>105.26600000000001</v>
      </c>
      <c r="N600" s="18">
        <f>IF(OR(H600="",H600="sif",H600="PM"),0,VLOOKUP(H600,[5]CU!$C$4:$H$255,6,FALSE))</f>
        <v>1.5</v>
      </c>
      <c r="O600" s="18">
        <f>$N600*I600</f>
        <v>0</v>
      </c>
      <c r="P600" s="18">
        <f>$N600*J600</f>
        <v>77.497199999999992</v>
      </c>
      <c r="Q600" s="18">
        <f>$N600*K600</f>
        <v>39.675600000000003</v>
      </c>
      <c r="R600" s="18">
        <f>$N600*L600</f>
        <v>40.726199999999999</v>
      </c>
      <c r="S600" s="24">
        <f>SUM(O600:R600)</f>
        <v>157.899</v>
      </c>
      <c r="T600" s="23" t="s">
        <v>129</v>
      </c>
      <c r="U600" s="19" t="s">
        <v>707</v>
      </c>
      <c r="V600" s="19" t="str">
        <f>IF(OR($H600="",$H600="sif",$H600="PM"),"",VLOOKUP($H600,[5]CU!$C$5:$J$255,8,FALSE))</f>
        <v>3. Formation</v>
      </c>
      <c r="W600" s="19" t="s">
        <v>708</v>
      </c>
      <c r="X600" s="19" t="s">
        <v>745</v>
      </c>
      <c r="Y600" s="19" t="s">
        <v>32</v>
      </c>
      <c r="Z600" s="18" t="str">
        <f>A600 &amp; "-" &amp; VLOOKUP(A600,[4]PROGRAMMES!$E$1:$F$7,2,FALSE)</f>
        <v>2-Qualité des enseignements et des apprentissages</v>
      </c>
      <c r="AA600" s="19" t="str">
        <f>B600 &amp; "-" &amp; VLOOKUP(B600,[4]SOUSPROGRAMMES!$E$1:$F$44,2,FALSE)</f>
        <v xml:space="preserve">23- Formation initiale et continue des enseignants/éducateurs y compris dans les méthodes pédagogiques innovatntes  </v>
      </c>
      <c r="AB600" s="19" t="str">
        <f>C600 &amp; "-" &amp; VLOOKUP(C600,[4]RESULTATS!$E$1:$F$176,2,FALSE)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0" s="20" t="str">
        <f>D600 &amp; "-" &amp; VLOOKUP(D600,[4]STRATEGIES!$E$1:$F$504,2,FALSE)</f>
        <v>2332-Mise en place d'une Ingénierie de la formation continue</v>
      </c>
      <c r="AD600" s="21" t="str">
        <f t="shared" si="133"/>
        <v>23327-Organisation des sessions de formation continue à l'intention des éducateurs du préscolaire Y compris du communautaire</v>
      </c>
    </row>
    <row r="601" spans="1:30" s="22" customFormat="1" ht="45" hidden="1" customHeight="1" x14ac:dyDescent="0.8">
      <c r="A601" s="14">
        <v>2</v>
      </c>
      <c r="B601" s="15">
        <v>23</v>
      </c>
      <c r="C601" s="15">
        <v>233</v>
      </c>
      <c r="D601" s="15">
        <v>2332</v>
      </c>
      <c r="E601" s="15">
        <v>23327</v>
      </c>
      <c r="F601" s="16" t="s">
        <v>756</v>
      </c>
      <c r="G601" s="21" t="s">
        <v>757</v>
      </c>
      <c r="H601" s="17" t="s">
        <v>52</v>
      </c>
      <c r="I601" s="18">
        <v>0</v>
      </c>
      <c r="J601" s="18">
        <f>1254*30.96%</f>
        <v>388.23839999999996</v>
      </c>
      <c r="K601" s="18">
        <f>642*30.96%</f>
        <v>198.76319999999998</v>
      </c>
      <c r="L601" s="18">
        <f>659*30.96%</f>
        <v>204.0264</v>
      </c>
      <c r="M601" s="18">
        <f t="shared" si="130"/>
        <v>791.02799999999991</v>
      </c>
      <c r="N601" s="18">
        <f>IF(OR(H601="",H601="sif",H601="PM"),0,VLOOKUP(H601,[5]CU!$C$4:$H$255,6,FALSE))</f>
        <v>1.5</v>
      </c>
      <c r="O601" s="18">
        <f t="shared" si="137"/>
        <v>0</v>
      </c>
      <c r="P601" s="18">
        <f t="shared" si="137"/>
        <v>582.35759999999993</v>
      </c>
      <c r="Q601" s="18">
        <f t="shared" si="137"/>
        <v>298.14479999999998</v>
      </c>
      <c r="R601" s="18">
        <f t="shared" si="137"/>
        <v>306.03960000000001</v>
      </c>
      <c r="S601" s="24">
        <f t="shared" si="138"/>
        <v>1186.5419999999999</v>
      </c>
      <c r="T601" s="23" t="s">
        <v>39</v>
      </c>
      <c r="U601" s="19" t="s">
        <v>707</v>
      </c>
      <c r="V601" s="19" t="str">
        <f>IF(OR($H601="",$H601="sif",$H601="PM"),"",VLOOKUP($H601,[5]CU!$C$5:$J$255,8,FALSE))</f>
        <v>3. Formation</v>
      </c>
      <c r="W601" s="19" t="s">
        <v>708</v>
      </c>
      <c r="X601" s="19" t="s">
        <v>745</v>
      </c>
      <c r="Y601" s="19" t="s">
        <v>32</v>
      </c>
      <c r="Z601" s="18" t="str">
        <f>A601 &amp; "-" &amp; VLOOKUP(A601,[4]PROGRAMMES!$E$1:$F$7,2,FALSE)</f>
        <v>2-Qualité des enseignements et des apprentissages</v>
      </c>
      <c r="AA601" s="19" t="str">
        <f>B601 &amp; "-" &amp; VLOOKUP(B601,[4]SOUSPROGRAMMES!$E$1:$F$44,2,FALSE)</f>
        <v xml:space="preserve">23- Formation initiale et continue des enseignants/éducateurs y compris dans les méthodes pédagogiques innovatntes  </v>
      </c>
      <c r="AB601" s="19" t="str">
        <f>C601 &amp; "-" &amp; VLOOKUP(C601,[4]RESULTATS!$E$1:$F$176,2,FALSE)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1" s="20" t="str">
        <f>D601 &amp; "-" &amp; VLOOKUP(D601,[4]STRATEGIES!$E$1:$F$504,2,FALSE)</f>
        <v>2332-Mise en place d'une Ingénierie de la formation continue</v>
      </c>
      <c r="AD601" s="21" t="str">
        <f t="shared" si="133"/>
        <v>23327-Organisation des sessions de formation continue à l'intention des éducateurs du préscolaire Y compris du communautaire</v>
      </c>
    </row>
    <row r="602" spans="1:30" ht="45" hidden="1" customHeight="1" x14ac:dyDescent="0.8">
      <c r="A602" s="25">
        <v>2</v>
      </c>
      <c r="B602" s="16">
        <v>23</v>
      </c>
      <c r="C602" s="16">
        <v>233</v>
      </c>
      <c r="D602" s="16">
        <v>2332</v>
      </c>
      <c r="E602" s="16">
        <v>23328</v>
      </c>
      <c r="F602" s="16" t="s">
        <v>758</v>
      </c>
      <c r="G602" s="21" t="s">
        <v>757</v>
      </c>
      <c r="H602" s="21" t="s">
        <v>52</v>
      </c>
      <c r="I602" s="19">
        <v>0</v>
      </c>
      <c r="J602" s="19">
        <f>11415*10%</f>
        <v>1141.5</v>
      </c>
      <c r="K602" s="19">
        <f>11980*5%</f>
        <v>599</v>
      </c>
      <c r="L602" s="19">
        <f>12520*50%</f>
        <v>6260</v>
      </c>
      <c r="M602" s="19">
        <f>SUM(I602:L602)</f>
        <v>8000.5</v>
      </c>
      <c r="N602" s="19">
        <f>IF(OR(H602="",H602="sif",H602="PM"),0,VLOOKUP(H602,[5]CU!$C$4:$H$255,6,FALSE))</f>
        <v>1.5</v>
      </c>
      <c r="O602" s="19">
        <f>$N602*I602</f>
        <v>0</v>
      </c>
      <c r="P602" s="19">
        <f>$N602*J602</f>
        <v>1712.25</v>
      </c>
      <c r="Q602" s="19">
        <f>$N602*K602</f>
        <v>898.5</v>
      </c>
      <c r="R602" s="19">
        <f>$N602*L602</f>
        <v>9390</v>
      </c>
      <c r="S602" s="31">
        <f>SUM(O602:R602)</f>
        <v>12000.75</v>
      </c>
      <c r="T602" s="26" t="s">
        <v>169</v>
      </c>
      <c r="U602" s="19" t="s">
        <v>707</v>
      </c>
      <c r="V602" s="19" t="str">
        <f>IF(OR($H602="",$H602="sif",$H602="PM"),"",VLOOKUP($H602,[5]CU!$C$5:$J$255,8,FALSE))</f>
        <v>3. Formation</v>
      </c>
      <c r="W602" s="19" t="s">
        <v>708</v>
      </c>
      <c r="X602" s="19" t="s">
        <v>745</v>
      </c>
      <c r="Y602" s="19" t="s">
        <v>32</v>
      </c>
      <c r="Z602" s="19" t="str">
        <f>A602 &amp; "-" &amp; VLOOKUP(A602,[4]PROGRAMMES!$E$1:$F$7,2,FALSE)</f>
        <v>2-Qualité des enseignements et des apprentissages</v>
      </c>
      <c r="AA602" s="19" t="str">
        <f>B602 &amp; "-" &amp; VLOOKUP(B602,[4]SOUSPROGRAMMES!$E$1:$F$44,2,FALSE)</f>
        <v xml:space="preserve">23- Formation initiale et continue des enseignants/éducateurs y compris dans les méthodes pédagogiques innovatntes  </v>
      </c>
      <c r="AB602" s="19" t="str">
        <f>C602 &amp; "-" &amp; VLOOKUP(C602,[4]RESULTATS!$E$1:$F$176,2,FALSE)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2" s="20" t="str">
        <f>D602 &amp; "-" &amp; VLOOKUP(D602,[4]STRATEGIES!$E$1:$F$504,2,FALSE)</f>
        <v>2332-Mise en place d'une Ingénierie de la formation continue</v>
      </c>
      <c r="AD602" s="21" t="str">
        <f t="shared" si="133"/>
        <v>23328-Organisation des sessions de formation continue à l'intention des enseignants du primaire</v>
      </c>
    </row>
    <row r="603" spans="1:30" s="22" customFormat="1" ht="45" hidden="1" customHeight="1" x14ac:dyDescent="0.8">
      <c r="A603" s="14">
        <v>2</v>
      </c>
      <c r="B603" s="15">
        <v>23</v>
      </c>
      <c r="C603" s="15">
        <v>233</v>
      </c>
      <c r="D603" s="15">
        <v>2332</v>
      </c>
      <c r="E603" s="15">
        <v>23328</v>
      </c>
      <c r="F603" s="16" t="s">
        <v>758</v>
      </c>
      <c r="G603" s="21" t="s">
        <v>757</v>
      </c>
      <c r="H603" s="17" t="s">
        <v>52</v>
      </c>
      <c r="I603" s="18">
        <v>0</v>
      </c>
      <c r="J603" s="18">
        <f>11415*53.07%</f>
        <v>6057.9404999999997</v>
      </c>
      <c r="K603" s="18">
        <f>11980*53.07%</f>
        <v>6357.7859999999991</v>
      </c>
      <c r="L603" s="18">
        <f>12520*53.07%</f>
        <v>6644.3639999999996</v>
      </c>
      <c r="M603" s="18">
        <f t="shared" si="130"/>
        <v>19060.090499999998</v>
      </c>
      <c r="N603" s="18">
        <f>IF(OR(H603="",H603="sif",H603="PM"),0,VLOOKUP(H603,[5]CU!$C$4:$H$255,6,FALSE))</f>
        <v>1.5</v>
      </c>
      <c r="O603" s="18">
        <f t="shared" si="137"/>
        <v>0</v>
      </c>
      <c r="P603" s="18">
        <f t="shared" si="137"/>
        <v>9086.9107499999991</v>
      </c>
      <c r="Q603" s="18">
        <f t="shared" si="137"/>
        <v>9536.6789999999983</v>
      </c>
      <c r="R603" s="18">
        <f t="shared" si="137"/>
        <v>9966.5459999999985</v>
      </c>
      <c r="S603" s="24">
        <f t="shared" si="138"/>
        <v>28590.135749999998</v>
      </c>
      <c r="T603" s="23" t="s">
        <v>118</v>
      </c>
      <c r="U603" s="19" t="s">
        <v>707</v>
      </c>
      <c r="V603" s="19" t="str">
        <f>IF(OR($H603="",$H603="sif",$H603="PM"),"",VLOOKUP($H603,[5]CU!$C$5:$J$255,8,FALSE))</f>
        <v>3. Formation</v>
      </c>
      <c r="W603" s="19" t="s">
        <v>708</v>
      </c>
      <c r="X603" s="19" t="s">
        <v>745</v>
      </c>
      <c r="Y603" s="19" t="s">
        <v>32</v>
      </c>
      <c r="Z603" s="18" t="str">
        <f>A603 &amp; "-" &amp; VLOOKUP(A603,[4]PROGRAMMES!$E$1:$F$7,2,FALSE)</f>
        <v>2-Qualité des enseignements et des apprentissages</v>
      </c>
      <c r="AA603" s="19" t="str">
        <f>B603 &amp; "-" &amp; VLOOKUP(B603,[4]SOUSPROGRAMMES!$E$1:$F$44,2,FALSE)</f>
        <v xml:space="preserve">23- Formation initiale et continue des enseignants/éducateurs y compris dans les méthodes pédagogiques innovatntes  </v>
      </c>
      <c r="AB603" s="19" t="str">
        <f>C603 &amp; "-" &amp; VLOOKUP(C603,[4]RESULTATS!$E$1:$F$176,2,FALSE)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3" s="20" t="str">
        <f>D603 &amp; "-" &amp; VLOOKUP(D603,[4]STRATEGIES!$E$1:$F$504,2,FALSE)</f>
        <v>2332-Mise en place d'une Ingénierie de la formation continue</v>
      </c>
      <c r="AD603" s="21" t="str">
        <f t="shared" si="133"/>
        <v>23328-Organisation des sessions de formation continue à l'intention des enseignants du primaire</v>
      </c>
    </row>
    <row r="604" spans="1:30" s="22" customFormat="1" ht="45" hidden="1" customHeight="1" x14ac:dyDescent="0.8">
      <c r="A604" s="14">
        <v>2</v>
      </c>
      <c r="B604" s="15">
        <v>23</v>
      </c>
      <c r="C604" s="15">
        <v>233</v>
      </c>
      <c r="D604" s="15">
        <v>2332</v>
      </c>
      <c r="E604" s="15">
        <v>23328</v>
      </c>
      <c r="F604" s="16" t="s">
        <v>758</v>
      </c>
      <c r="G604" s="21" t="s">
        <v>757</v>
      </c>
      <c r="H604" s="17" t="s">
        <v>52</v>
      </c>
      <c r="I604" s="18">
        <v>0</v>
      </c>
      <c r="J604" s="18">
        <f>11415*26.53%</f>
        <v>3028.3995000000004</v>
      </c>
      <c r="K604" s="18">
        <f>11980*26.53%</f>
        <v>3178.2940000000003</v>
      </c>
      <c r="L604" s="18">
        <f>12520*26.53%</f>
        <v>3321.5560000000005</v>
      </c>
      <c r="M604" s="18">
        <f>SUM(I604:L604)</f>
        <v>9528.2495000000017</v>
      </c>
      <c r="N604" s="18">
        <f>IF(OR(H604="",H604="sif",H604="PM"),0,VLOOKUP(H604,[5]CU!$C$4:$H$255,6,FALSE))</f>
        <v>1.5</v>
      </c>
      <c r="O604" s="18">
        <f>$N604*I604</f>
        <v>0</v>
      </c>
      <c r="P604" s="18">
        <f>$N604*J604</f>
        <v>4542.5992500000011</v>
      </c>
      <c r="Q604" s="18">
        <f>$N604*K604</f>
        <v>4767.4410000000007</v>
      </c>
      <c r="R604" s="18">
        <f>$N604*L604</f>
        <v>4982.3340000000007</v>
      </c>
      <c r="S604" s="24">
        <f>SUM(O604:R604)</f>
        <v>14292.374250000003</v>
      </c>
      <c r="T604" s="23" t="s">
        <v>39</v>
      </c>
      <c r="U604" s="19" t="s">
        <v>707</v>
      </c>
      <c r="V604" s="19" t="str">
        <f>IF(OR($H604="",$H604="sif",$H604="PM"),"",VLOOKUP($H604,[5]CU!$C$5:$J$255,8,FALSE))</f>
        <v>3. Formation</v>
      </c>
      <c r="W604" s="19" t="s">
        <v>708</v>
      </c>
      <c r="X604" s="19" t="s">
        <v>745</v>
      </c>
      <c r="Y604" s="19" t="s">
        <v>32</v>
      </c>
      <c r="Z604" s="18" t="str">
        <f>A604 &amp; "-" &amp; VLOOKUP(A604,[4]PROGRAMMES!$E$1:$F$7,2,FALSE)</f>
        <v>2-Qualité des enseignements et des apprentissages</v>
      </c>
      <c r="AA604" s="19" t="str">
        <f>B604 &amp; "-" &amp; VLOOKUP(B604,[4]SOUSPROGRAMMES!$E$1:$F$44,2,FALSE)</f>
        <v xml:space="preserve">23- Formation initiale et continue des enseignants/éducateurs y compris dans les méthodes pédagogiques innovatntes  </v>
      </c>
      <c r="AB604" s="19" t="str">
        <f>C604 &amp; "-" &amp; VLOOKUP(C604,[4]RESULTATS!$E$1:$F$176,2,FALSE)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4" s="20" t="str">
        <f>D604 &amp; "-" &amp; VLOOKUP(D604,[4]STRATEGIES!$E$1:$F$504,2,FALSE)</f>
        <v>2332-Mise en place d'une Ingénierie de la formation continue</v>
      </c>
      <c r="AD604" s="21" t="str">
        <f t="shared" si="133"/>
        <v>23328-Organisation des sessions de formation continue à l'intention des enseignants du primaire</v>
      </c>
    </row>
    <row r="605" spans="1:30" s="22" customFormat="1" ht="45" hidden="1" customHeight="1" x14ac:dyDescent="0.8">
      <c r="A605" s="14">
        <v>2</v>
      </c>
      <c r="B605" s="15">
        <v>23</v>
      </c>
      <c r="C605" s="15">
        <v>233</v>
      </c>
      <c r="D605" s="15">
        <v>2332</v>
      </c>
      <c r="E605" s="15">
        <v>23328</v>
      </c>
      <c r="F605" s="16" t="s">
        <v>758</v>
      </c>
      <c r="G605" s="21" t="s">
        <v>757</v>
      </c>
      <c r="H605" s="17" t="s">
        <v>52</v>
      </c>
      <c r="I605" s="18">
        <v>0</v>
      </c>
      <c r="J605" s="18">
        <f>11415*4.02%</f>
        <v>458.88299999999992</v>
      </c>
      <c r="K605" s="18">
        <f>11980*4.02%</f>
        <v>481.59599999999989</v>
      </c>
      <c r="L605" s="18">
        <f>12520*4.02%</f>
        <v>503.30399999999992</v>
      </c>
      <c r="M605" s="18">
        <f t="shared" si="130"/>
        <v>1443.7829999999997</v>
      </c>
      <c r="N605" s="18">
        <f>IF(OR(H605="",H605="sif",H605="PM"),0,VLOOKUP(H605,[5]CU!$C$4:$H$255,6,FALSE))</f>
        <v>1.5</v>
      </c>
      <c r="O605" s="18">
        <f t="shared" si="137"/>
        <v>0</v>
      </c>
      <c r="P605" s="18">
        <f t="shared" si="137"/>
        <v>688.32449999999994</v>
      </c>
      <c r="Q605" s="18">
        <f t="shared" si="137"/>
        <v>722.39399999999978</v>
      </c>
      <c r="R605" s="18">
        <f t="shared" si="137"/>
        <v>754.9559999999999</v>
      </c>
      <c r="S605" s="24">
        <f t="shared" si="138"/>
        <v>2165.6744999999996</v>
      </c>
      <c r="T605" s="23" t="s">
        <v>67</v>
      </c>
      <c r="U605" s="19" t="s">
        <v>707</v>
      </c>
      <c r="V605" s="19" t="str">
        <f>IF(OR($H605="",$H605="sif",$H605="PM"),"",VLOOKUP($H605,[5]CU!$C$5:$J$255,8,FALSE))</f>
        <v>3. Formation</v>
      </c>
      <c r="W605" s="19" t="s">
        <v>708</v>
      </c>
      <c r="X605" s="19" t="s">
        <v>745</v>
      </c>
      <c r="Y605" s="19" t="s">
        <v>32</v>
      </c>
      <c r="Z605" s="18" t="str">
        <f>A605 &amp; "-" &amp; VLOOKUP(A605,[4]PROGRAMMES!$E$1:$F$7,2,FALSE)</f>
        <v>2-Qualité des enseignements et des apprentissages</v>
      </c>
      <c r="AA605" s="19" t="str">
        <f>B605 &amp; "-" &amp; VLOOKUP(B605,[4]SOUSPROGRAMMES!$E$1:$F$44,2,FALSE)</f>
        <v xml:space="preserve">23- Formation initiale et continue des enseignants/éducateurs y compris dans les méthodes pédagogiques innovatntes  </v>
      </c>
      <c r="AB605" s="19" t="str">
        <f>C605 &amp; "-" &amp; VLOOKUP(C605,[4]RESULTATS!$E$1:$F$176,2,FALSE)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5" s="20" t="str">
        <f>D605 &amp; "-" &amp; VLOOKUP(D605,[4]STRATEGIES!$E$1:$F$504,2,FALSE)</f>
        <v>2332-Mise en place d'une Ingénierie de la formation continue</v>
      </c>
      <c r="AD605" s="21" t="str">
        <f t="shared" si="133"/>
        <v>23328-Organisation des sessions de formation continue à l'intention des enseignants du primaire</v>
      </c>
    </row>
    <row r="606" spans="1:30" ht="45" hidden="1" customHeight="1" x14ac:dyDescent="0.8">
      <c r="A606" s="25">
        <v>2</v>
      </c>
      <c r="B606" s="16">
        <v>23</v>
      </c>
      <c r="C606" s="16">
        <v>233</v>
      </c>
      <c r="D606" s="16">
        <v>2332</v>
      </c>
      <c r="E606" s="16">
        <v>23329</v>
      </c>
      <c r="F606" s="16" t="s">
        <v>759</v>
      </c>
      <c r="G606" s="21" t="s">
        <v>757</v>
      </c>
      <c r="H606" s="21" t="s">
        <v>52</v>
      </c>
      <c r="I606" s="19">
        <v>0</v>
      </c>
      <c r="J606" s="19">
        <f>5000*10%</f>
        <v>500</v>
      </c>
      <c r="K606" s="19">
        <f>5000*10%</f>
        <v>500</v>
      </c>
      <c r="L606" s="19">
        <f>5000*70%</f>
        <v>3500</v>
      </c>
      <c r="M606" s="19">
        <f>SUM(I606:L606)</f>
        <v>4500</v>
      </c>
      <c r="N606" s="19">
        <f>IF(OR(H606="",H606="sif",H606="PM"),0,VLOOKUP(H606,[5]CU!$C$4:$H$255,6,FALSE))</f>
        <v>1.5</v>
      </c>
      <c r="O606" s="19">
        <f>$N606*I606</f>
        <v>0</v>
      </c>
      <c r="P606" s="19">
        <f>$N606*J606</f>
        <v>750</v>
      </c>
      <c r="Q606" s="19">
        <f>$N606*K606</f>
        <v>750</v>
      </c>
      <c r="R606" s="19">
        <f>$N606*L606</f>
        <v>5250</v>
      </c>
      <c r="S606" s="31">
        <f>SUM(O606:R606)</f>
        <v>6750</v>
      </c>
      <c r="T606" s="26" t="s">
        <v>169</v>
      </c>
      <c r="U606" s="19" t="s">
        <v>707</v>
      </c>
      <c r="V606" s="19" t="str">
        <f>IF(OR($H606="",$H606="sif",$H606="PM"),"",VLOOKUP($H606,[5]CU!$C$5:$J$255,8,FALSE))</f>
        <v>3. Formation</v>
      </c>
      <c r="W606" s="19" t="s">
        <v>708</v>
      </c>
      <c r="X606" s="19" t="s">
        <v>745</v>
      </c>
      <c r="Y606" s="19" t="s">
        <v>32</v>
      </c>
      <c r="Z606" s="19" t="str">
        <f>A606 &amp; "-" &amp; VLOOKUP(A606,[4]PROGRAMMES!$E$1:$F$7,2,FALSE)</f>
        <v>2-Qualité des enseignements et des apprentissages</v>
      </c>
      <c r="AA606" s="19" t="str">
        <f>B606 &amp; "-" &amp; VLOOKUP(B606,[4]SOUSPROGRAMMES!$E$1:$F$44,2,FALSE)</f>
        <v xml:space="preserve">23- Formation initiale et continue des enseignants/éducateurs y compris dans les méthodes pédagogiques innovatntes  </v>
      </c>
      <c r="AB606" s="19" t="str">
        <f>C606 &amp; "-" &amp; VLOOKUP(C606,[4]RESULTATS!$E$1:$F$176,2,FALSE)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6" s="20" t="str">
        <f>D606 &amp; "-" &amp; VLOOKUP(D606,[4]STRATEGIES!$E$1:$F$504,2,FALSE)</f>
        <v>2332-Mise en place d'une Ingénierie de la formation continue</v>
      </c>
      <c r="AD606" s="21" t="str">
        <f t="shared" si="133"/>
        <v>23329-Organisation des sessions de formation continue à l'intention des enseignants du collège</v>
      </c>
    </row>
    <row r="607" spans="1:30" s="22" customFormat="1" ht="45" hidden="1" customHeight="1" x14ac:dyDescent="0.8">
      <c r="A607" s="14">
        <v>2</v>
      </c>
      <c r="B607" s="15">
        <v>23</v>
      </c>
      <c r="C607" s="15">
        <v>233</v>
      </c>
      <c r="D607" s="15">
        <v>2332</v>
      </c>
      <c r="E607" s="15">
        <v>23329</v>
      </c>
      <c r="F607" s="16" t="s">
        <v>759</v>
      </c>
      <c r="G607" s="21" t="s">
        <v>757</v>
      </c>
      <c r="H607" s="17" t="s">
        <v>52</v>
      </c>
      <c r="I607" s="18">
        <v>0</v>
      </c>
      <c r="J607" s="18">
        <f>3603.33947575342*79.99%</f>
        <v>2882.3112466551606</v>
      </c>
      <c r="K607" s="18">
        <f>4036.53440900732*79.99%</f>
        <v>3228.8238737649549</v>
      </c>
      <c r="L607" s="18">
        <f>4382.37261996234*79.99%</f>
        <v>3505.4598587078754</v>
      </c>
      <c r="M607" s="18">
        <f t="shared" si="130"/>
        <v>9616.5949791279909</v>
      </c>
      <c r="N607" s="18">
        <f>IF(OR(H607="",H607="sif",H607="PM"),0,VLOOKUP(H607,[5]CU!$C$4:$H$255,6,FALSE))</f>
        <v>1.5</v>
      </c>
      <c r="O607" s="18">
        <f t="shared" si="137"/>
        <v>0</v>
      </c>
      <c r="P607" s="18">
        <f t="shared" si="137"/>
        <v>4323.4668699827407</v>
      </c>
      <c r="Q607" s="18">
        <f t="shared" si="137"/>
        <v>4843.2358106474321</v>
      </c>
      <c r="R607" s="18">
        <f t="shared" si="137"/>
        <v>5258.1897880618126</v>
      </c>
      <c r="S607" s="24">
        <f t="shared" si="138"/>
        <v>14424.892468691985</v>
      </c>
      <c r="T607" s="23" t="s">
        <v>118</v>
      </c>
      <c r="U607" s="18" t="s">
        <v>707</v>
      </c>
      <c r="V607" s="18" t="str">
        <f>IF(OR($H607="",$H607="sif",$H607="PM"),"",VLOOKUP($H607,[5]CU!$C$5:$J$255,8,FALSE))</f>
        <v>3. Formation</v>
      </c>
      <c r="W607" s="18" t="s">
        <v>708</v>
      </c>
      <c r="X607" s="18" t="s">
        <v>745</v>
      </c>
      <c r="Y607" s="19" t="s">
        <v>32</v>
      </c>
      <c r="Z607" s="18" t="str">
        <f>A607 &amp; "-" &amp; VLOOKUP(A607,[4]PROGRAMMES!$E$1:$F$7,2,FALSE)</f>
        <v>2-Qualité des enseignements et des apprentissages</v>
      </c>
      <c r="AA607" s="19" t="str">
        <f>B607 &amp; "-" &amp; VLOOKUP(B607,[4]SOUSPROGRAMMES!$E$1:$F$44,2,FALSE)</f>
        <v xml:space="preserve">23- Formation initiale et continue des enseignants/éducateurs y compris dans les méthodes pédagogiques innovatntes  </v>
      </c>
      <c r="AB607" s="19" t="str">
        <f>C607 &amp; "-" &amp; VLOOKUP(C607,[4]RESULTATS!$E$1:$F$176,2,FALSE)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7" s="20" t="str">
        <f>D607 &amp; "-" &amp; VLOOKUP(D607,[4]STRATEGIES!$E$1:$F$504,2,FALSE)</f>
        <v>2332-Mise en place d'une Ingénierie de la formation continue</v>
      </c>
      <c r="AD607" s="21" t="str">
        <f t="shared" si="133"/>
        <v>23329-Organisation des sessions de formation continue à l'intention des enseignants du collège</v>
      </c>
    </row>
    <row r="608" spans="1:30" ht="45" hidden="1" customHeight="1" x14ac:dyDescent="0.8">
      <c r="A608" s="25">
        <v>2</v>
      </c>
      <c r="B608" s="16">
        <v>23</v>
      </c>
      <c r="C608" s="16">
        <v>233</v>
      </c>
      <c r="D608" s="16">
        <v>2332</v>
      </c>
      <c r="E608" s="16">
        <v>233210</v>
      </c>
      <c r="F608" s="16" t="s">
        <v>760</v>
      </c>
      <c r="G608" s="21" t="s">
        <v>757</v>
      </c>
      <c r="H608" s="21" t="s">
        <v>52</v>
      </c>
      <c r="I608" s="19">
        <v>0</v>
      </c>
      <c r="J608" s="19">
        <f>1160*5%</f>
        <v>58</v>
      </c>
      <c r="K608" s="19">
        <f>1160*5%</f>
        <v>58</v>
      </c>
      <c r="L608" s="19">
        <f>1431*90%</f>
        <v>1287.9000000000001</v>
      </c>
      <c r="M608" s="19">
        <f>SUM(I608:L608)</f>
        <v>1403.9</v>
      </c>
      <c r="N608" s="19">
        <f>IF(OR(H608="",H608="sif",H608="PM"),0,VLOOKUP(H608,[5]CU!$C$4:$H$255,6,FALSE))</f>
        <v>1.5</v>
      </c>
      <c r="O608" s="19">
        <f>$N608*I608</f>
        <v>0</v>
      </c>
      <c r="P608" s="19">
        <f>$N608*J608</f>
        <v>87</v>
      </c>
      <c r="Q608" s="19">
        <f>$N608*K608</f>
        <v>87</v>
      </c>
      <c r="R608" s="19">
        <f>$N608*L608</f>
        <v>1931.8500000000001</v>
      </c>
      <c r="S608" s="31">
        <f>SUM(O608:R608)</f>
        <v>2105.8500000000004</v>
      </c>
      <c r="T608" s="26" t="s">
        <v>169</v>
      </c>
      <c r="U608" s="19" t="s">
        <v>707</v>
      </c>
      <c r="V608" s="19" t="str">
        <f>IF(OR($H608="",$H608="sif",$H608="PM"),"",VLOOKUP($H608,[5]CU!$C$5:$J$255,8,FALSE))</f>
        <v>3. Formation</v>
      </c>
      <c r="W608" s="19" t="s">
        <v>708</v>
      </c>
      <c r="X608" s="19" t="s">
        <v>745</v>
      </c>
      <c r="Y608" s="19" t="s">
        <v>32</v>
      </c>
      <c r="Z608" s="19" t="str">
        <f>A608 &amp; "-" &amp; VLOOKUP(A608,[4]PROGRAMMES!$E$1:$F$7,2,FALSE)</f>
        <v>2-Qualité des enseignements et des apprentissages</v>
      </c>
      <c r="AA608" s="19" t="str">
        <f>B608 &amp; "-" &amp; VLOOKUP(B608,[4]SOUSPROGRAMMES!$E$1:$F$44,2,FALSE)</f>
        <v xml:space="preserve">23- Formation initiale et continue des enseignants/éducateurs y compris dans les méthodes pédagogiques innovatntes  </v>
      </c>
      <c r="AB608" s="19" t="str">
        <f>C608 &amp; "-" &amp; VLOOKUP(C608,[4]RESULTATS!$E$1:$F$176,2,FALSE)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8" s="20" t="str">
        <f>D608 &amp; "-" &amp; VLOOKUP(D608,[4]STRATEGIES!$E$1:$F$504,2,FALSE)</f>
        <v>2332-Mise en place d'une Ingénierie de la formation continue</v>
      </c>
      <c r="AD608" s="21" t="str">
        <f t="shared" si="133"/>
        <v>233210-Organisation des sessions de formation continue à l'intention des enseignants du lycée</v>
      </c>
    </row>
    <row r="609" spans="1:30" s="22" customFormat="1" ht="45" hidden="1" customHeight="1" x14ac:dyDescent="0.8">
      <c r="A609" s="14">
        <v>2</v>
      </c>
      <c r="B609" s="15">
        <v>23</v>
      </c>
      <c r="C609" s="15">
        <v>233</v>
      </c>
      <c r="D609" s="15">
        <v>2332</v>
      </c>
      <c r="E609" s="15">
        <v>233210</v>
      </c>
      <c r="F609" s="16" t="s">
        <v>760</v>
      </c>
      <c r="G609" s="21" t="s">
        <v>757</v>
      </c>
      <c r="H609" s="17" t="s">
        <v>52</v>
      </c>
      <c r="I609" s="18">
        <v>0</v>
      </c>
      <c r="J609" s="18">
        <f>1160*80%</f>
        <v>928</v>
      </c>
      <c r="K609" s="18">
        <f>1316*80%</f>
        <v>1052.8</v>
      </c>
      <c r="L609" s="18">
        <f>1431*80%</f>
        <v>1144.8</v>
      </c>
      <c r="M609" s="18">
        <f t="shared" si="130"/>
        <v>3125.6</v>
      </c>
      <c r="N609" s="18">
        <f>IF(OR(H609="",H609="sif",H609="PM"),0,VLOOKUP(H609,[5]CU!$C$4:$H$255,6,FALSE))</f>
        <v>1.5</v>
      </c>
      <c r="O609" s="18">
        <f t="shared" si="137"/>
        <v>0</v>
      </c>
      <c r="P609" s="18">
        <f t="shared" si="137"/>
        <v>1392</v>
      </c>
      <c r="Q609" s="18">
        <f t="shared" si="137"/>
        <v>1579.1999999999998</v>
      </c>
      <c r="R609" s="18">
        <f t="shared" si="137"/>
        <v>1717.1999999999998</v>
      </c>
      <c r="S609" s="24">
        <f t="shared" si="138"/>
        <v>4688.3999999999996</v>
      </c>
      <c r="T609" s="23" t="s">
        <v>118</v>
      </c>
      <c r="U609" s="18" t="s">
        <v>707</v>
      </c>
      <c r="V609" s="18" t="str">
        <f>IF(OR($H609="",$H609="sif",$H609="PM"),"",VLOOKUP($H609,[5]CU!$C$5:$J$255,8,FALSE))</f>
        <v>3. Formation</v>
      </c>
      <c r="W609" s="18" t="s">
        <v>708</v>
      </c>
      <c r="X609" s="18" t="s">
        <v>745</v>
      </c>
      <c r="Y609" s="19" t="s">
        <v>32</v>
      </c>
      <c r="Z609" s="18" t="str">
        <f>A609 &amp; "-" &amp; VLOOKUP(A609,[4]PROGRAMMES!$E$1:$F$7,2,FALSE)</f>
        <v>2-Qualité des enseignements et des apprentissages</v>
      </c>
      <c r="AA609" s="19" t="str">
        <f>B609 &amp; "-" &amp; VLOOKUP(B609,[4]SOUSPROGRAMMES!$E$1:$F$44,2,FALSE)</f>
        <v xml:space="preserve">23- Formation initiale et continue des enseignants/éducateurs y compris dans les méthodes pédagogiques innovatntes  </v>
      </c>
      <c r="AB609" s="19" t="str">
        <f>C609 &amp; "-" &amp; VLOOKUP(C609,[4]RESULTATS!$E$1:$F$176,2,FALSE)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09" s="20" t="str">
        <f>D609 &amp; "-" &amp; VLOOKUP(D609,[4]STRATEGIES!$E$1:$F$504,2,FALSE)</f>
        <v>2332-Mise en place d'une Ingénierie de la formation continue</v>
      </c>
      <c r="AD609" s="21" t="str">
        <f t="shared" si="133"/>
        <v>233210-Organisation des sessions de formation continue à l'intention des enseignants du lycée</v>
      </c>
    </row>
    <row r="610" spans="1:30" ht="45" hidden="1" customHeight="1" x14ac:dyDescent="0.8">
      <c r="A610" s="25">
        <v>2</v>
      </c>
      <c r="B610" s="16">
        <v>23</v>
      </c>
      <c r="C610" s="16">
        <v>233</v>
      </c>
      <c r="D610" s="16">
        <v>2332</v>
      </c>
      <c r="E610" s="16">
        <v>233211</v>
      </c>
      <c r="F610" s="16" t="s">
        <v>761</v>
      </c>
      <c r="G610" s="21" t="s">
        <v>757</v>
      </c>
      <c r="H610" s="21" t="s">
        <v>52</v>
      </c>
      <c r="I610" s="19">
        <v>0</v>
      </c>
      <c r="J610" s="19">
        <f>50*1</f>
        <v>50</v>
      </c>
      <c r="K610" s="19">
        <v>100</v>
      </c>
      <c r="L610" s="19">
        <v>600</v>
      </c>
      <c r="M610" s="19">
        <f t="shared" si="130"/>
        <v>750</v>
      </c>
      <c r="N610" s="19">
        <f>IF(OR(H610="",H610="sif",H610="PM"),0,VLOOKUP(H610,[5]CU!$C$4:$H$255,6,FALSE))</f>
        <v>1.5</v>
      </c>
      <c r="O610" s="19">
        <f t="shared" si="137"/>
        <v>0</v>
      </c>
      <c r="P610" s="19">
        <f t="shared" si="137"/>
        <v>75</v>
      </c>
      <c r="Q610" s="19">
        <f t="shared" si="137"/>
        <v>150</v>
      </c>
      <c r="R610" s="19">
        <f t="shared" si="137"/>
        <v>900</v>
      </c>
      <c r="S610" s="31">
        <f t="shared" si="138"/>
        <v>1125</v>
      </c>
      <c r="T610" s="26" t="s">
        <v>169</v>
      </c>
      <c r="U610" s="19" t="s">
        <v>707</v>
      </c>
      <c r="V610" s="19" t="str">
        <f>IF(OR($H610="",$H610="sif",$H610="PM"),"",VLOOKUP($H610,[5]CU!$C$5:$J$255,8,FALSE))</f>
        <v>3. Formation</v>
      </c>
      <c r="W610" s="19" t="s">
        <v>331</v>
      </c>
      <c r="X610" s="19" t="s">
        <v>331</v>
      </c>
      <c r="Y610" s="19" t="s">
        <v>32</v>
      </c>
      <c r="Z610" s="19" t="str">
        <f>A610 &amp; "-" &amp; VLOOKUP(A610,[4]PROGRAMMES!$E$1:$F$7,2,FALSE)</f>
        <v>2-Qualité des enseignements et des apprentissages</v>
      </c>
      <c r="AA610" s="19" t="str">
        <f>B610 &amp; "-" &amp; VLOOKUP(B610,[4]SOUSPROGRAMMES!$E$1:$F$44,2,FALSE)</f>
        <v xml:space="preserve">23- Formation initiale et continue des enseignants/éducateurs y compris dans les méthodes pédagogiques innovatntes  </v>
      </c>
      <c r="AB610" s="19" t="str">
        <f>C610 &amp; "-" &amp; VLOOKUP(C610,[4]RESULTATS!$E$1:$F$176,2,FALSE)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0" s="20" t="str">
        <f>D610 &amp; "-" &amp; VLOOKUP(D610,[4]STRATEGIES!$E$1:$F$504,2,FALSE)</f>
        <v>2332-Mise en place d'une Ingénierie de la formation continue</v>
      </c>
      <c r="AD610" s="21" t="str">
        <f t="shared" si="133"/>
        <v>233211-Organisation de sessions de formation à l'intention des formateurs des centres NAFA</v>
      </c>
    </row>
    <row r="611" spans="1:30" s="22" customFormat="1" ht="45" hidden="1" customHeight="1" x14ac:dyDescent="0.8">
      <c r="A611" s="14">
        <v>2</v>
      </c>
      <c r="B611" s="15">
        <v>23</v>
      </c>
      <c r="C611" s="15">
        <v>233</v>
      </c>
      <c r="D611" s="15">
        <v>2332</v>
      </c>
      <c r="E611" s="15">
        <v>233212</v>
      </c>
      <c r="F611" s="16" t="s">
        <v>762</v>
      </c>
      <c r="G611" s="21" t="s">
        <v>763</v>
      </c>
      <c r="H611" s="17" t="s">
        <v>59</v>
      </c>
      <c r="I611" s="18">
        <v>0</v>
      </c>
      <c r="J611" s="18">
        <f>(8*10*8)*20.01%</f>
        <v>128.06400000000002</v>
      </c>
      <c r="K611" s="18">
        <f>(8*10*8)*20.01%</f>
        <v>128.06400000000002</v>
      </c>
      <c r="L611" s="18">
        <f>(8*10*8)*20.01%</f>
        <v>128.06400000000002</v>
      </c>
      <c r="M611" s="18">
        <f>SUM(I611:L611)</f>
        <v>384.19200000000006</v>
      </c>
      <c r="N611" s="18">
        <f>IF(OR(H611="",H611="sif",H611="PM"),0,VLOOKUP(H611,[5]CU!$C$4:$H$255,6,FALSE))</f>
        <v>0.8177777777777776</v>
      </c>
      <c r="O611" s="18">
        <f>$N611*I611</f>
        <v>0</v>
      </c>
      <c r="P611" s="18">
        <f>$N611*J611</f>
        <v>104.72789333333333</v>
      </c>
      <c r="Q611" s="18">
        <f>$N611*K611</f>
        <v>104.72789333333333</v>
      </c>
      <c r="R611" s="18">
        <f>$N611*L611</f>
        <v>104.72789333333333</v>
      </c>
      <c r="S611" s="24">
        <f>SUM(O611:R611)</f>
        <v>314.18367999999998</v>
      </c>
      <c r="T611" s="23" t="s">
        <v>39</v>
      </c>
      <c r="U611" s="19" t="s">
        <v>707</v>
      </c>
      <c r="V611" s="19" t="str">
        <f>IF(OR($H611="",$H611="sif",$H611="PM"),"",VLOOKUP($H611,[5]CU!$C$5:$J$255,8,FALSE))</f>
        <v>3. Dépenses de fonctionnement</v>
      </c>
      <c r="W611" s="19" t="s">
        <v>708</v>
      </c>
      <c r="X611" s="19" t="s">
        <v>764</v>
      </c>
      <c r="Y611" s="19" t="s">
        <v>32</v>
      </c>
      <c r="Z611" s="18" t="str">
        <f>A611 &amp; "-" &amp; VLOOKUP(A611,[4]PROGRAMMES!$E$1:$F$7,2,FALSE)</f>
        <v>2-Qualité des enseignements et des apprentissages</v>
      </c>
      <c r="AA611" s="19" t="str">
        <f>B611 &amp; "-" &amp; VLOOKUP(B611,[4]SOUSPROGRAMMES!$E$1:$F$44,2,FALSE)</f>
        <v xml:space="preserve">23- Formation initiale et continue des enseignants/éducateurs y compris dans les méthodes pédagogiques innovatntes  </v>
      </c>
      <c r="AB611" s="19" t="str">
        <f>C611 &amp; "-" &amp; VLOOKUP(C611,[4]RESULTATS!$E$1:$F$176,2,FALSE)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1" s="20" t="str">
        <f>D611 &amp; "-" &amp; VLOOKUP(D611,[4]STRATEGIES!$E$1:$F$504,2,FALSE)</f>
        <v>2332-Mise en place d'une Ingénierie de la formation continue</v>
      </c>
      <c r="AD611" s="21" t="str">
        <f t="shared" si="133"/>
        <v>233212-Supervision pédagogique des enseignants formés</v>
      </c>
    </row>
    <row r="612" spans="1:30" s="22" customFormat="1" ht="45" hidden="1" customHeight="1" x14ac:dyDescent="0.8">
      <c r="A612" s="14">
        <v>2</v>
      </c>
      <c r="B612" s="15">
        <v>23</v>
      </c>
      <c r="C612" s="15">
        <v>233</v>
      </c>
      <c r="D612" s="15">
        <v>2332</v>
      </c>
      <c r="E612" s="15">
        <v>233212</v>
      </c>
      <c r="F612" s="16" t="s">
        <v>762</v>
      </c>
      <c r="G612" s="21" t="s">
        <v>763</v>
      </c>
      <c r="H612" s="17" t="s">
        <v>59</v>
      </c>
      <c r="I612" s="18">
        <v>0</v>
      </c>
      <c r="J612" s="18">
        <f>(8*10*8)*50.91%</f>
        <v>325.82400000000001</v>
      </c>
      <c r="K612" s="18">
        <f>(8*10*8)*50.91%</f>
        <v>325.82400000000001</v>
      </c>
      <c r="L612" s="18">
        <f>(8*10*8)*50.91%</f>
        <v>325.82400000000001</v>
      </c>
      <c r="M612" s="18">
        <f t="shared" si="130"/>
        <v>977.47199999999998</v>
      </c>
      <c r="N612" s="18">
        <f>IF(OR(H612="",H612="sif",H612="PM"),0,VLOOKUP(H612,[5]CU!$C$4:$H$255,6,FALSE))</f>
        <v>0.8177777777777776</v>
      </c>
      <c r="O612" s="18">
        <f t="shared" si="137"/>
        <v>0</v>
      </c>
      <c r="P612" s="18">
        <f t="shared" si="137"/>
        <v>266.45162666666664</v>
      </c>
      <c r="Q612" s="18">
        <f t="shared" si="137"/>
        <v>266.45162666666664</v>
      </c>
      <c r="R612" s="18">
        <f t="shared" si="137"/>
        <v>266.45162666666664</v>
      </c>
      <c r="S612" s="24">
        <f t="shared" si="138"/>
        <v>799.35487999999987</v>
      </c>
      <c r="T612" s="23" t="s">
        <v>118</v>
      </c>
      <c r="U612" s="19" t="s">
        <v>707</v>
      </c>
      <c r="V612" s="19" t="str">
        <f>IF(OR($H612="",$H612="sif",$H612="PM"),"",VLOOKUP($H612,[5]CU!$C$5:$J$255,8,FALSE))</f>
        <v>3. Dépenses de fonctionnement</v>
      </c>
      <c r="W612" s="19" t="s">
        <v>708</v>
      </c>
      <c r="X612" s="19" t="s">
        <v>764</v>
      </c>
      <c r="Y612" s="19" t="s">
        <v>32</v>
      </c>
      <c r="Z612" s="18" t="str">
        <f>A612 &amp; "-" &amp; VLOOKUP(A612,[4]PROGRAMMES!$E$1:$F$7,2,FALSE)</f>
        <v>2-Qualité des enseignements et des apprentissages</v>
      </c>
      <c r="AA612" s="19" t="str">
        <f>B612 &amp; "-" &amp; VLOOKUP(B612,[4]SOUSPROGRAMMES!$E$1:$F$44,2,FALSE)</f>
        <v xml:space="preserve">23- Formation initiale et continue des enseignants/éducateurs y compris dans les méthodes pédagogiques innovatntes  </v>
      </c>
      <c r="AB612" s="19" t="str">
        <f>C612 &amp; "-" &amp; VLOOKUP(C612,[4]RESULTATS!$E$1:$F$176,2,FALSE)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2" s="20" t="str">
        <f>D612 &amp; "-" &amp; VLOOKUP(D612,[4]STRATEGIES!$E$1:$F$504,2,FALSE)</f>
        <v>2332-Mise en place d'une Ingénierie de la formation continue</v>
      </c>
      <c r="AD612" s="21" t="str">
        <f t="shared" si="133"/>
        <v>233212-Supervision pédagogique des enseignants formés</v>
      </c>
    </row>
    <row r="613" spans="1:30" s="22" customFormat="1" ht="45" hidden="1" customHeight="1" x14ac:dyDescent="0.8">
      <c r="A613" s="14">
        <v>2</v>
      </c>
      <c r="B613" s="15">
        <v>23</v>
      </c>
      <c r="C613" s="15">
        <v>233</v>
      </c>
      <c r="D613" s="15">
        <v>2332</v>
      </c>
      <c r="E613" s="15">
        <v>233212</v>
      </c>
      <c r="F613" s="16" t="s">
        <v>762</v>
      </c>
      <c r="G613" s="21" t="s">
        <v>763</v>
      </c>
      <c r="H613" s="17" t="s">
        <v>59</v>
      </c>
      <c r="I613" s="18">
        <v>0</v>
      </c>
      <c r="J613" s="18">
        <f>(8*10*8)*4.46%</f>
        <v>28.544</v>
      </c>
      <c r="K613" s="18">
        <f>(8*10*8)*4.46%</f>
        <v>28.544</v>
      </c>
      <c r="L613" s="18">
        <f>(8*10*8)*4.46%</f>
        <v>28.544</v>
      </c>
      <c r="M613" s="18">
        <f>SUM(I613:L613)</f>
        <v>85.632000000000005</v>
      </c>
      <c r="N613" s="18">
        <f>IF(OR(H613="",H613="sif",H613="PM"),0,VLOOKUP(H613,[5]CU!$C$4:$H$255,6,FALSE))</f>
        <v>0.8177777777777776</v>
      </c>
      <c r="O613" s="18">
        <f>$N613*I613</f>
        <v>0</v>
      </c>
      <c r="P613" s="18">
        <f>$N613*J613</f>
        <v>23.342648888888885</v>
      </c>
      <c r="Q613" s="18">
        <f>$N613*K613</f>
        <v>23.342648888888885</v>
      </c>
      <c r="R613" s="18">
        <f>$N613*L613</f>
        <v>23.342648888888885</v>
      </c>
      <c r="S613" s="24">
        <f>SUM(O613:R613)</f>
        <v>70.027946666666651</v>
      </c>
      <c r="T613" s="23" t="s">
        <v>39</v>
      </c>
      <c r="U613" s="19" t="s">
        <v>707</v>
      </c>
      <c r="V613" s="19" t="str">
        <f>IF(OR($H613="",$H613="sif",$H613="PM"),"",VLOOKUP($H613,[5]CU!$C$5:$J$255,8,FALSE))</f>
        <v>3. Dépenses de fonctionnement</v>
      </c>
      <c r="W613" s="19" t="s">
        <v>708</v>
      </c>
      <c r="X613" s="19" t="s">
        <v>764</v>
      </c>
      <c r="Y613" s="19" t="s">
        <v>32</v>
      </c>
      <c r="Z613" s="18" t="str">
        <f>A613 &amp; "-" &amp; VLOOKUP(A613,[4]PROGRAMMES!$E$1:$F$7,2,FALSE)</f>
        <v>2-Qualité des enseignements et des apprentissages</v>
      </c>
      <c r="AA613" s="19" t="str">
        <f>B613 &amp; "-" &amp; VLOOKUP(B613,[4]SOUSPROGRAMMES!$E$1:$F$44,2,FALSE)</f>
        <v xml:space="preserve">23- Formation initiale et continue des enseignants/éducateurs y compris dans les méthodes pédagogiques innovatntes  </v>
      </c>
      <c r="AB613" s="19" t="str">
        <f>C613 &amp; "-" &amp; VLOOKUP(C613,[4]RESULTATS!$E$1:$F$176,2,FALSE)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3" s="20" t="str">
        <f>D613 &amp; "-" &amp; VLOOKUP(D613,[4]STRATEGIES!$E$1:$F$504,2,FALSE)</f>
        <v>2332-Mise en place d'une Ingénierie de la formation continue</v>
      </c>
      <c r="AD613" s="21" t="str">
        <f t="shared" si="133"/>
        <v>233212-Supervision pédagogique des enseignants formés</v>
      </c>
    </row>
    <row r="614" spans="1:30" s="22" customFormat="1" ht="45" hidden="1" customHeight="1" x14ac:dyDescent="0.8">
      <c r="A614" s="14">
        <v>2</v>
      </c>
      <c r="B614" s="15">
        <v>23</v>
      </c>
      <c r="C614" s="15">
        <v>233</v>
      </c>
      <c r="D614" s="15">
        <v>2332</v>
      </c>
      <c r="E614" s="15">
        <v>233212</v>
      </c>
      <c r="F614" s="16" t="s">
        <v>762</v>
      </c>
      <c r="G614" s="21" t="s">
        <v>763</v>
      </c>
      <c r="H614" s="17" t="s">
        <v>59</v>
      </c>
      <c r="I614" s="18">
        <v>0</v>
      </c>
      <c r="J614" s="18"/>
      <c r="K614" s="18"/>
      <c r="L614" s="18"/>
      <c r="M614" s="18">
        <f t="shared" si="130"/>
        <v>0</v>
      </c>
      <c r="N614" s="18">
        <f>IF(OR(H614="",H614="sif",H614="PM"),0,VLOOKUP(H614,[5]CU!$C$4:$H$255,6,FALSE))</f>
        <v>0.8177777777777776</v>
      </c>
      <c r="O614" s="18">
        <f t="shared" si="137"/>
        <v>0</v>
      </c>
      <c r="P614" s="18">
        <f t="shared" si="137"/>
        <v>0</v>
      </c>
      <c r="Q614" s="18">
        <f t="shared" si="137"/>
        <v>0</v>
      </c>
      <c r="R614" s="18">
        <f t="shared" si="137"/>
        <v>0</v>
      </c>
      <c r="S614" s="24">
        <f t="shared" si="138"/>
        <v>0</v>
      </c>
      <c r="T614" s="23" t="s">
        <v>178</v>
      </c>
      <c r="U614" s="19" t="s">
        <v>707</v>
      </c>
      <c r="V614" s="19" t="str">
        <f>IF(OR($H614="",$H614="sif",$H614="PM"),"",VLOOKUP($H614,[5]CU!$C$5:$J$255,8,FALSE))</f>
        <v>3. Dépenses de fonctionnement</v>
      </c>
      <c r="W614" s="19" t="s">
        <v>708</v>
      </c>
      <c r="X614" s="19" t="s">
        <v>764</v>
      </c>
      <c r="Y614" s="19" t="s">
        <v>32</v>
      </c>
      <c r="Z614" s="18" t="str">
        <f>A614 &amp; "-" &amp; VLOOKUP(A614,[4]PROGRAMMES!$E$1:$F$7,2,FALSE)</f>
        <v>2-Qualité des enseignements et des apprentissages</v>
      </c>
      <c r="AA614" s="19" t="str">
        <f>B614 &amp; "-" &amp; VLOOKUP(B614,[4]SOUSPROGRAMMES!$E$1:$F$44,2,FALSE)</f>
        <v xml:space="preserve">23- Formation initiale et continue des enseignants/éducateurs y compris dans les méthodes pédagogiques innovatntes  </v>
      </c>
      <c r="AB614" s="19" t="str">
        <f>C614 &amp; "-" &amp; VLOOKUP(C614,[4]RESULTATS!$E$1:$F$176,2,FALSE)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4" s="20" t="str">
        <f>D614 &amp; "-" &amp; VLOOKUP(D614,[4]STRATEGIES!$E$1:$F$504,2,FALSE)</f>
        <v>2332-Mise en place d'une Ingénierie de la formation continue</v>
      </c>
      <c r="AD614" s="21" t="str">
        <f t="shared" si="133"/>
        <v>233212-Supervision pédagogique des enseignants formés</v>
      </c>
    </row>
    <row r="615" spans="1:30" s="22" customFormat="1" ht="45" hidden="1" customHeight="1" x14ac:dyDescent="0.8">
      <c r="A615" s="14">
        <v>2</v>
      </c>
      <c r="B615" s="15">
        <v>23</v>
      </c>
      <c r="C615" s="15">
        <v>233</v>
      </c>
      <c r="D615" s="15">
        <v>2332</v>
      </c>
      <c r="E615" s="15">
        <v>233213</v>
      </c>
      <c r="F615" s="16" t="s">
        <v>765</v>
      </c>
      <c r="G615" s="21" t="s">
        <v>58</v>
      </c>
      <c r="H615" s="17" t="s">
        <v>59</v>
      </c>
      <c r="I615" s="18">
        <v>0</v>
      </c>
      <c r="J615" s="18"/>
      <c r="K615" s="18">
        <f>4*6*8</f>
        <v>192</v>
      </c>
      <c r="L615" s="18">
        <f>4*10*8</f>
        <v>320</v>
      </c>
      <c r="M615" s="18">
        <f t="shared" si="130"/>
        <v>512</v>
      </c>
      <c r="N615" s="18">
        <f>IF(OR(H615="",H615="sif",H615="PM"),0,VLOOKUP(H615,[5]CU!$C$4:$H$255,6,FALSE))</f>
        <v>0.8177777777777776</v>
      </c>
      <c r="O615" s="18">
        <f t="shared" si="137"/>
        <v>0</v>
      </c>
      <c r="P615" s="18">
        <f t="shared" si="137"/>
        <v>0</v>
      </c>
      <c r="Q615" s="18">
        <f t="shared" si="137"/>
        <v>157.01333333333329</v>
      </c>
      <c r="R615" s="18">
        <f t="shared" si="137"/>
        <v>261.68888888888881</v>
      </c>
      <c r="S615" s="24">
        <f t="shared" si="138"/>
        <v>418.70222222222208</v>
      </c>
      <c r="T615" s="23" t="s">
        <v>39</v>
      </c>
      <c r="U615" s="19" t="s">
        <v>707</v>
      </c>
      <c r="V615" s="19" t="str">
        <f>IF(OR($H615="",$H615="sif",$H615="PM"),"",VLOOKUP($H615,[5]CU!$C$5:$J$255,8,FALSE))</f>
        <v>3. Dépenses de fonctionnement</v>
      </c>
      <c r="W615" s="19" t="s">
        <v>708</v>
      </c>
      <c r="X615" s="19" t="s">
        <v>764</v>
      </c>
      <c r="Y615" s="19" t="s">
        <v>32</v>
      </c>
      <c r="Z615" s="18" t="str">
        <f>A615 &amp; "-" &amp; VLOOKUP(A615,[4]PROGRAMMES!$E$1:$F$7,2,FALSE)</f>
        <v>2-Qualité des enseignements et des apprentissages</v>
      </c>
      <c r="AA615" s="19" t="str">
        <f>B615 &amp; "-" &amp; VLOOKUP(B615,[4]SOUSPROGRAMMES!$E$1:$F$44,2,FALSE)</f>
        <v xml:space="preserve">23- Formation initiale et continue des enseignants/éducateurs y compris dans les méthodes pédagogiques innovatntes  </v>
      </c>
      <c r="AB615" s="19" t="str">
        <f>C615 &amp; "-" &amp; VLOOKUP(C615,[4]RESULTATS!$E$1:$F$176,2,FALSE)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5" s="20" t="str">
        <f>D615 &amp; "-" &amp; VLOOKUP(D615,[4]STRATEGIES!$E$1:$F$504,2,FALSE)</f>
        <v>2332-Mise en place d'une Ingénierie de la formation continue</v>
      </c>
      <c r="AD615" s="21" t="str">
        <f t="shared" si="133"/>
        <v xml:space="preserve">233213-Collecte des informations sur le suivi des actions de formation continue </v>
      </c>
    </row>
    <row r="616" spans="1:30" s="22" customFormat="1" ht="45" hidden="1" customHeight="1" x14ac:dyDescent="0.8">
      <c r="A616" s="14">
        <v>2</v>
      </c>
      <c r="B616" s="15">
        <v>23</v>
      </c>
      <c r="C616" s="15">
        <v>233</v>
      </c>
      <c r="D616" s="15">
        <v>2332</v>
      </c>
      <c r="E616" s="15">
        <v>233214</v>
      </c>
      <c r="F616" s="16" t="s">
        <v>766</v>
      </c>
      <c r="G616" s="21" t="s">
        <v>37</v>
      </c>
      <c r="H616" s="17" t="s">
        <v>66</v>
      </c>
      <c r="I616" s="18">
        <v>0</v>
      </c>
      <c r="J616" s="18"/>
      <c r="K616" s="18"/>
      <c r="L616" s="18">
        <f>21*5</f>
        <v>105</v>
      </c>
      <c r="M616" s="18">
        <f t="shared" si="130"/>
        <v>105</v>
      </c>
      <c r="N616" s="18">
        <f>IF(OR(H616="",H616="sif",H616="PM"),0,VLOOKUP(H616,[5]CU!$C$4:$H$255,6,FALSE))</f>
        <v>0.255</v>
      </c>
      <c r="O616" s="18">
        <f t="shared" si="137"/>
        <v>0</v>
      </c>
      <c r="P616" s="18">
        <f t="shared" si="137"/>
        <v>0</v>
      </c>
      <c r="Q616" s="18">
        <f t="shared" si="137"/>
        <v>0</v>
      </c>
      <c r="R616" s="18">
        <f t="shared" si="137"/>
        <v>26.775000000000002</v>
      </c>
      <c r="S616" s="24">
        <f t="shared" si="138"/>
        <v>26.775000000000002</v>
      </c>
      <c r="T616" s="23" t="s">
        <v>39</v>
      </c>
      <c r="U616" s="19" t="s">
        <v>707</v>
      </c>
      <c r="V616" s="19" t="str">
        <f>IF(OR($H616="",$H616="sif",$H616="PM"),"",VLOOKUP($H616,[5]CU!$C$5:$J$255,8,FALSE))</f>
        <v>3. Dépenses de fonctionnement</v>
      </c>
      <c r="W616" s="19" t="s">
        <v>708</v>
      </c>
      <c r="X616" s="19" t="s">
        <v>764</v>
      </c>
      <c r="Y616" s="19" t="s">
        <v>32</v>
      </c>
      <c r="Z616" s="18" t="str">
        <f>A616 &amp; "-" &amp; VLOOKUP(A616,[4]PROGRAMMES!$E$1:$F$7,2,FALSE)</f>
        <v>2-Qualité des enseignements et des apprentissages</v>
      </c>
      <c r="AA616" s="19" t="str">
        <f>B616 &amp; "-" &amp; VLOOKUP(B616,[4]SOUSPROGRAMMES!$E$1:$F$44,2,FALSE)</f>
        <v xml:space="preserve">23- Formation initiale et continue des enseignants/éducateurs y compris dans les méthodes pédagogiques innovatntes  </v>
      </c>
      <c r="AB616" s="19" t="str">
        <f>C616 &amp; "-" &amp; VLOOKUP(C616,[4]RESULTATS!$E$1:$F$176,2,FALSE)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6" s="20" t="str">
        <f>D616 &amp; "-" &amp; VLOOKUP(D616,[4]STRATEGIES!$E$1:$F$504,2,FALSE)</f>
        <v>2332-Mise en place d'une Ingénierie de la formation continue</v>
      </c>
      <c r="AD616" s="21" t="str">
        <f t="shared" si="133"/>
        <v>233214-Traitement et analyse des informations sur le dispositif de formation continue</v>
      </c>
    </row>
    <row r="617" spans="1:30" s="22" customFormat="1" ht="45" hidden="1" customHeight="1" x14ac:dyDescent="0.8">
      <c r="A617" s="14">
        <v>2</v>
      </c>
      <c r="B617" s="15">
        <v>23</v>
      </c>
      <c r="C617" s="15">
        <v>233</v>
      </c>
      <c r="D617" s="15">
        <v>2332</v>
      </c>
      <c r="E617" s="15">
        <v>233215</v>
      </c>
      <c r="F617" s="16" t="s">
        <v>767</v>
      </c>
      <c r="G617" s="21" t="s">
        <v>37</v>
      </c>
      <c r="H617" s="17" t="s">
        <v>66</v>
      </c>
      <c r="I617" s="18">
        <v>0</v>
      </c>
      <c r="J617" s="18"/>
      <c r="K617" s="18"/>
      <c r="L617" s="18">
        <f>8*5</f>
        <v>40</v>
      </c>
      <c r="M617" s="18">
        <f t="shared" si="130"/>
        <v>40</v>
      </c>
      <c r="N617" s="18">
        <f>IF(OR(H617="",H617="sif",H617="PM"),0,VLOOKUP(H617,[5]CU!$C$4:$H$255,6,FALSE))</f>
        <v>0.255</v>
      </c>
      <c r="O617" s="18">
        <f t="shared" si="137"/>
        <v>0</v>
      </c>
      <c r="P617" s="18">
        <f t="shared" si="137"/>
        <v>0</v>
      </c>
      <c r="Q617" s="18">
        <f t="shared" si="137"/>
        <v>0</v>
      </c>
      <c r="R617" s="18">
        <f t="shared" si="137"/>
        <v>10.199999999999999</v>
      </c>
      <c r="S617" s="24">
        <f t="shared" si="138"/>
        <v>10.199999999999999</v>
      </c>
      <c r="T617" s="23" t="s">
        <v>39</v>
      </c>
      <c r="U617" s="19" t="s">
        <v>707</v>
      </c>
      <c r="V617" s="19" t="str">
        <f>IF(OR($H617="",$H617="sif",$H617="PM"),"",VLOOKUP($H617,[5]CU!$C$5:$J$255,8,FALSE))</f>
        <v>3. Dépenses de fonctionnement</v>
      </c>
      <c r="W617" s="19" t="s">
        <v>708</v>
      </c>
      <c r="X617" s="19" t="s">
        <v>764</v>
      </c>
      <c r="Y617" s="19" t="s">
        <v>32</v>
      </c>
      <c r="Z617" s="18" t="str">
        <f>A617 &amp; "-" &amp; VLOOKUP(A617,[4]PROGRAMMES!$E$1:$F$7,2,FALSE)</f>
        <v>2-Qualité des enseignements et des apprentissages</v>
      </c>
      <c r="AA617" s="19" t="str">
        <f>B617 &amp; "-" &amp; VLOOKUP(B617,[4]SOUSPROGRAMMES!$E$1:$F$44,2,FALSE)</f>
        <v xml:space="preserve">23- Formation initiale et continue des enseignants/éducateurs y compris dans les méthodes pédagogiques innovatntes  </v>
      </c>
      <c r="AB617" s="19" t="str">
        <f>C617 &amp; "-" &amp; VLOOKUP(C617,[4]RESULTATS!$E$1:$F$176,2,FALSE)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7" s="20" t="str">
        <f>D617 &amp; "-" &amp; VLOOKUP(D617,[4]STRATEGIES!$E$1:$F$504,2,FALSE)</f>
        <v>2332-Mise en place d'une Ingénierie de la formation continue</v>
      </c>
      <c r="AD617" s="21" t="str">
        <f t="shared" si="133"/>
        <v>233215-Rédaction et validation du rapport d'évaluation</v>
      </c>
    </row>
    <row r="618" spans="1:30" s="22" customFormat="1" ht="45" hidden="1" customHeight="1" x14ac:dyDescent="0.8">
      <c r="A618" s="14">
        <v>2</v>
      </c>
      <c r="B618" s="15">
        <v>23</v>
      </c>
      <c r="C618" s="15">
        <v>233</v>
      </c>
      <c r="D618" s="15">
        <v>2333</v>
      </c>
      <c r="E618" s="15">
        <v>2333</v>
      </c>
      <c r="F618" s="16" t="s">
        <v>768</v>
      </c>
      <c r="G618" s="17"/>
      <c r="H618" s="17"/>
      <c r="I618" s="18">
        <v>0</v>
      </c>
      <c r="J618" s="18"/>
      <c r="K618" s="18"/>
      <c r="L618" s="18"/>
      <c r="M618" s="18"/>
      <c r="N618" s="18"/>
      <c r="O618" s="18"/>
      <c r="P618" s="18"/>
      <c r="Q618" s="18"/>
      <c r="R618" s="18"/>
      <c r="S618" s="24"/>
      <c r="T618" s="18"/>
      <c r="U618" s="18"/>
      <c r="V618" s="18"/>
      <c r="W618" s="18"/>
      <c r="X618" s="18"/>
      <c r="Y618" s="19" t="s">
        <v>32</v>
      </c>
      <c r="Z618" s="18" t="str">
        <f>A618 &amp; "-" &amp; VLOOKUP(A618,[4]PROGRAMMES!$E$1:$F$7,2,FALSE)</f>
        <v>2-Qualité des enseignements et des apprentissages</v>
      </c>
      <c r="AA618" s="19" t="str">
        <f>B618 &amp; "-" &amp; VLOOKUP(B618,[4]SOUSPROGRAMMES!$E$1:$F$44,2,FALSE)</f>
        <v xml:space="preserve">23- Formation initiale et continue des enseignants/éducateurs y compris dans les méthodes pédagogiques innovatntes  </v>
      </c>
      <c r="AB618" s="19" t="str">
        <f>C618 &amp; "-" &amp; VLOOKUP(C618,[4]RESULTATS!$E$1:$F$176,2,FALSE)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8" s="20" t="str">
        <f>D618 &amp; "-" &amp; VLOOKUP(D618,[4]STRATEGIES!$E$1:$F$504,2,FALSE)</f>
        <v>2333-Redynamisation des centres de formation continue</v>
      </c>
      <c r="AD618" s="21" t="str">
        <f t="shared" si="133"/>
        <v>2333-Redynamisation des centres de formation continue</v>
      </c>
    </row>
    <row r="619" spans="1:30" s="22" customFormat="1" ht="45" hidden="1" customHeight="1" x14ac:dyDescent="0.8">
      <c r="A619" s="14">
        <v>2</v>
      </c>
      <c r="B619" s="15">
        <v>23</v>
      </c>
      <c r="C619" s="15">
        <v>233</v>
      </c>
      <c r="D619" s="15">
        <v>2333</v>
      </c>
      <c r="E619" s="15">
        <v>23331</v>
      </c>
      <c r="F619" s="16" t="s">
        <v>769</v>
      </c>
      <c r="G619" s="21" t="s">
        <v>167</v>
      </c>
      <c r="H619" s="17" t="s">
        <v>646</v>
      </c>
      <c r="I619" s="18">
        <v>0</v>
      </c>
      <c r="J619" s="18"/>
      <c r="K619" s="18">
        <f>2*15*2</f>
        <v>60</v>
      </c>
      <c r="L619" s="18">
        <f>2*15*1</f>
        <v>30</v>
      </c>
      <c r="M619" s="18">
        <f t="shared" si="130"/>
        <v>90</v>
      </c>
      <c r="N619" s="18">
        <f>IF(OR(H619="",H619="sif",H619="PM"),0,VLOOKUP(H619,[5]CU!$C$4:$H$255,6,FALSE))</f>
        <v>10.404797</v>
      </c>
      <c r="O619" s="18">
        <f t="shared" si="137"/>
        <v>0</v>
      </c>
      <c r="P619" s="18">
        <f t="shared" si="137"/>
        <v>0</v>
      </c>
      <c r="Q619" s="18">
        <f t="shared" si="137"/>
        <v>624.28782000000001</v>
      </c>
      <c r="R619" s="18">
        <f t="shared" si="137"/>
        <v>312.14391000000001</v>
      </c>
      <c r="S619" s="24">
        <f t="shared" si="138"/>
        <v>936.43173000000002</v>
      </c>
      <c r="T619" s="23" t="s">
        <v>39</v>
      </c>
      <c r="U619" s="19" t="s">
        <v>707</v>
      </c>
      <c r="V619" s="19" t="str">
        <f>IF(OR($H619="",$H619="sif",$H619="PM"),"",VLOOKUP($H619,[5]CU!$C$5:$J$255,8,FALSE))</f>
        <v>3. Dépenses de fonctionnement</v>
      </c>
      <c r="W619" s="19" t="s">
        <v>708</v>
      </c>
      <c r="X619" s="19" t="s">
        <v>745</v>
      </c>
      <c r="Y619" s="19" t="s">
        <v>32</v>
      </c>
      <c r="Z619" s="18" t="str">
        <f>A619 &amp; "-" &amp; VLOOKUP(A619,[4]PROGRAMMES!$E$1:$F$7,2,FALSE)</f>
        <v>2-Qualité des enseignements et des apprentissages</v>
      </c>
      <c r="AA619" s="19" t="str">
        <f>B619 &amp; "-" &amp; VLOOKUP(B619,[4]SOUSPROGRAMMES!$E$1:$F$44,2,FALSE)</f>
        <v xml:space="preserve">23- Formation initiale et continue des enseignants/éducateurs y compris dans les méthodes pédagogiques innovatntes  </v>
      </c>
      <c r="AB619" s="19" t="str">
        <f>C619 &amp; "-" &amp; VLOOKUP(C619,[4]RESULTATS!$E$1:$F$176,2,FALSE)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19" s="20" t="str">
        <f>D619 &amp; "-" &amp; VLOOKUP(D619,[4]STRATEGIES!$E$1:$F$504,2,FALSE)</f>
        <v>2333-Redynamisation des centres de formation continue</v>
      </c>
      <c r="AD619" s="21" t="str">
        <f t="shared" si="133"/>
        <v>23331-Etude de faisabilité pour la redynamisation des centres régionaux de formation continue</v>
      </c>
    </row>
    <row r="620" spans="1:30" s="22" customFormat="1" ht="45" hidden="1" customHeight="1" x14ac:dyDescent="0.8">
      <c r="A620" s="14">
        <v>2</v>
      </c>
      <c r="B620" s="15">
        <v>23</v>
      </c>
      <c r="C620" s="15">
        <v>233</v>
      </c>
      <c r="D620" s="15">
        <v>2333</v>
      </c>
      <c r="E620" s="15">
        <v>23332</v>
      </c>
      <c r="F620" s="16" t="s">
        <v>770</v>
      </c>
      <c r="G620" s="21" t="s">
        <v>167</v>
      </c>
      <c r="H620" s="17" t="s">
        <v>646</v>
      </c>
      <c r="I620" s="18">
        <v>0</v>
      </c>
      <c r="J620" s="18"/>
      <c r="K620" s="18">
        <f>30*2</f>
        <v>60</v>
      </c>
      <c r="L620" s="18"/>
      <c r="M620" s="18">
        <f t="shared" si="130"/>
        <v>60</v>
      </c>
      <c r="N620" s="18">
        <f>IF(OR(H620="",H620="sif",H620="PM"),0,VLOOKUP(H620,[5]CU!$C$4:$H$255,6,FALSE))</f>
        <v>10.404797</v>
      </c>
      <c r="O620" s="18">
        <f t="shared" si="137"/>
        <v>0</v>
      </c>
      <c r="P620" s="18">
        <f t="shared" si="137"/>
        <v>0</v>
      </c>
      <c r="Q620" s="18">
        <f t="shared" si="137"/>
        <v>624.28782000000001</v>
      </c>
      <c r="R620" s="18">
        <f t="shared" si="137"/>
        <v>0</v>
      </c>
      <c r="S620" s="24">
        <f t="shared" si="138"/>
        <v>624.28782000000001</v>
      </c>
      <c r="T620" s="23" t="s">
        <v>39</v>
      </c>
      <c r="U620" s="19" t="s">
        <v>707</v>
      </c>
      <c r="V620" s="19" t="str">
        <f>IF(OR($H620="",$H620="sif",$H620="PM"),"",VLOOKUP($H620,[5]CU!$C$5:$J$255,8,FALSE))</f>
        <v>3. Dépenses de fonctionnement</v>
      </c>
      <c r="W620" s="19" t="s">
        <v>708</v>
      </c>
      <c r="X620" s="19" t="s">
        <v>745</v>
      </c>
      <c r="Y620" s="19" t="s">
        <v>32</v>
      </c>
      <c r="Z620" s="18" t="str">
        <f>A620 &amp; "-" &amp; VLOOKUP(A620,[4]PROGRAMMES!$E$1:$F$7,2,FALSE)</f>
        <v>2-Qualité des enseignements et des apprentissages</v>
      </c>
      <c r="AA620" s="19" t="str">
        <f>B620 &amp; "-" &amp; VLOOKUP(B620,[4]SOUSPROGRAMMES!$E$1:$F$44,2,FALSE)</f>
        <v xml:space="preserve">23- Formation initiale et continue des enseignants/éducateurs y compris dans les méthodes pédagogiques innovatntes  </v>
      </c>
      <c r="AB620" s="19" t="str">
        <f>C620 &amp; "-" &amp; VLOOKUP(C620,[4]RESULTATS!$E$1:$F$176,2,FALSE)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0" s="20" t="str">
        <f>D620 &amp; "-" &amp; VLOOKUP(D620,[4]STRATEGIES!$E$1:$F$504,2,FALSE)</f>
        <v>2333-Redynamisation des centres de formation continue</v>
      </c>
      <c r="AD620" s="21" t="str">
        <f t="shared" si="133"/>
        <v>23332-Restitution et validation des résultats de l'étude</v>
      </c>
    </row>
    <row r="621" spans="1:30" s="22" customFormat="1" ht="45" hidden="1" customHeight="1" x14ac:dyDescent="0.8">
      <c r="A621" s="14">
        <v>2</v>
      </c>
      <c r="B621" s="15">
        <v>23</v>
      </c>
      <c r="C621" s="15">
        <v>233</v>
      </c>
      <c r="D621" s="15">
        <v>2333</v>
      </c>
      <c r="E621" s="15">
        <v>23333</v>
      </c>
      <c r="F621" s="16" t="s">
        <v>771</v>
      </c>
      <c r="G621" s="21" t="s">
        <v>92</v>
      </c>
      <c r="H621" s="17" t="s">
        <v>55</v>
      </c>
      <c r="I621" s="18">
        <v>0</v>
      </c>
      <c r="J621" s="18"/>
      <c r="K621" s="18"/>
      <c r="L621" s="18">
        <v>1</v>
      </c>
      <c r="M621" s="18">
        <f t="shared" si="130"/>
        <v>1</v>
      </c>
      <c r="N621" s="18">
        <f>IF(OR(H621="",H621="sif",H621="PM"),0,VLOOKUP(H621,[5]CU!$C$4:$H$255,6,FALSE))</f>
        <v>0</v>
      </c>
      <c r="O621" s="18"/>
      <c r="P621" s="18"/>
      <c r="Q621" s="18"/>
      <c r="R621" s="18"/>
      <c r="S621" s="24"/>
      <c r="T621" s="23" t="s">
        <v>56</v>
      </c>
      <c r="U621" s="18" t="s">
        <v>707</v>
      </c>
      <c r="V621" s="18" t="str">
        <f>IF(OR($H621="",$H621="sif",$H621="PM"),"",VLOOKUP($H621,[5]CU!$C$5:$J$255,8,FALSE))</f>
        <v/>
      </c>
      <c r="W621" s="18" t="s">
        <v>708</v>
      </c>
      <c r="X621" s="18" t="s">
        <v>745</v>
      </c>
      <c r="Y621" s="19" t="s">
        <v>32</v>
      </c>
      <c r="Z621" s="18" t="str">
        <f>A621 &amp; "-" &amp; VLOOKUP(A621,[4]PROGRAMMES!$E$1:$F$7,2,FALSE)</f>
        <v>2-Qualité des enseignements et des apprentissages</v>
      </c>
      <c r="AA621" s="19" t="str">
        <f>B621 &amp; "-" &amp; VLOOKUP(B621,[4]SOUSPROGRAMMES!$E$1:$F$44,2,FALSE)</f>
        <v xml:space="preserve">23- Formation initiale et continue des enseignants/éducateurs y compris dans les méthodes pédagogiques innovatntes  </v>
      </c>
      <c r="AB621" s="19" t="str">
        <f>C621 &amp; "-" &amp; VLOOKUP(C621,[4]RESULTATS!$E$1:$F$176,2,FALSE)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1" s="20" t="str">
        <f>D621 &amp; "-" &amp; VLOOKUP(D621,[4]STRATEGIES!$E$1:$F$504,2,FALSE)</f>
        <v>2333-Redynamisation des centres de formation continue</v>
      </c>
      <c r="AD621" s="21" t="str">
        <f t="shared" si="133"/>
        <v>23333-Elaboration d'un plan d'actions pour la redynamisation des centres régionaux</v>
      </c>
    </row>
    <row r="622" spans="1:30" s="22" customFormat="1" ht="45" hidden="1" customHeight="1" x14ac:dyDescent="0.8">
      <c r="A622" s="14">
        <v>2</v>
      </c>
      <c r="B622" s="15">
        <v>23</v>
      </c>
      <c r="C622" s="15">
        <v>233</v>
      </c>
      <c r="D622" s="15">
        <v>2333</v>
      </c>
      <c r="E622" s="15">
        <v>23334</v>
      </c>
      <c r="F622" s="16" t="s">
        <v>772</v>
      </c>
      <c r="G622" s="21" t="s">
        <v>298</v>
      </c>
      <c r="H622" s="17" t="s">
        <v>38</v>
      </c>
      <c r="I622" s="18">
        <v>0</v>
      </c>
      <c r="J622" s="18"/>
      <c r="K622" s="18"/>
      <c r="L622" s="18">
        <f>25*2</f>
        <v>50</v>
      </c>
      <c r="M622" s="18">
        <f t="shared" si="130"/>
        <v>50</v>
      </c>
      <c r="N622" s="18">
        <f>IF(OR(H622="",H622="sif",H622="PM"),0,VLOOKUP(H622,[5]CU!$C$4:$H$255,6,FALSE))</f>
        <v>0.3133333333333333</v>
      </c>
      <c r="O622" s="18">
        <f>$N622*I622</f>
        <v>0</v>
      </c>
      <c r="P622" s="18">
        <f>$N622*J622</f>
        <v>0</v>
      </c>
      <c r="Q622" s="18">
        <f>$N622*K622</f>
        <v>0</v>
      </c>
      <c r="R622" s="18">
        <f>$N622*L622</f>
        <v>15.666666666666664</v>
      </c>
      <c r="S622" s="24">
        <f>SUM(O622:R622)</f>
        <v>15.666666666666664</v>
      </c>
      <c r="T622" s="23" t="s">
        <v>39</v>
      </c>
      <c r="U622" s="19" t="s">
        <v>707</v>
      </c>
      <c r="V622" s="19" t="str">
        <f>IF(OR($H622="",$H622="sif",$H622="PM"),"",VLOOKUP($H622,[5]CU!$C$5:$J$255,8,FALSE))</f>
        <v>3. Formation</v>
      </c>
      <c r="W622" s="19" t="s">
        <v>708</v>
      </c>
      <c r="X622" s="19" t="s">
        <v>745</v>
      </c>
      <c r="Y622" s="19" t="s">
        <v>32</v>
      </c>
      <c r="Z622" s="18" t="str">
        <f>A622 &amp; "-" &amp; VLOOKUP(A622,[4]PROGRAMMES!$E$1:$F$7,2,FALSE)</f>
        <v>2-Qualité des enseignements et des apprentissages</v>
      </c>
      <c r="AA622" s="19" t="str">
        <f>B622 &amp; "-" &amp; VLOOKUP(B622,[4]SOUSPROGRAMMES!$E$1:$F$44,2,FALSE)</f>
        <v xml:space="preserve">23- Formation initiale et continue des enseignants/éducateurs y compris dans les méthodes pédagogiques innovatntes  </v>
      </c>
      <c r="AB622" s="19" t="str">
        <f>C622 &amp; "-" &amp; VLOOKUP(C622,[4]RESULTATS!$E$1:$F$176,2,FALSE)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2" s="20" t="str">
        <f>D622 &amp; "-" &amp; VLOOKUP(D622,[4]STRATEGIES!$E$1:$F$504,2,FALSE)</f>
        <v>2333-Redynamisation des centres de formation continue</v>
      </c>
      <c r="AD622" s="21" t="str">
        <f t="shared" si="133"/>
        <v>23334-Validation du plan d'actions pour la redynamisation des centres régionaux</v>
      </c>
    </row>
    <row r="623" spans="1:30" s="22" customFormat="1" ht="45" hidden="1" customHeight="1" x14ac:dyDescent="0.8">
      <c r="A623" s="14">
        <v>2</v>
      </c>
      <c r="B623" s="15">
        <v>23</v>
      </c>
      <c r="C623" s="15">
        <v>233</v>
      </c>
      <c r="D623" s="15">
        <v>2334</v>
      </c>
      <c r="E623" s="15">
        <v>2334</v>
      </c>
      <c r="F623" s="16" t="s">
        <v>773</v>
      </c>
      <c r="G623" s="17"/>
      <c r="H623" s="17"/>
      <c r="I623" s="18">
        <v>0</v>
      </c>
      <c r="J623" s="18"/>
      <c r="K623" s="18"/>
      <c r="L623" s="18"/>
      <c r="M623" s="18"/>
      <c r="N623" s="18"/>
      <c r="O623" s="18"/>
      <c r="P623" s="18"/>
      <c r="Q623" s="18"/>
      <c r="R623" s="18"/>
      <c r="S623" s="24"/>
      <c r="T623" s="18"/>
      <c r="U623" s="18"/>
      <c r="V623" s="18"/>
      <c r="W623" s="18"/>
      <c r="X623" s="18"/>
      <c r="Y623" s="19" t="s">
        <v>32</v>
      </c>
      <c r="Z623" s="18" t="str">
        <f>A623 &amp; "-" &amp; VLOOKUP(A623,[4]PROGRAMMES!$E$1:$F$7,2,FALSE)</f>
        <v>2-Qualité des enseignements et des apprentissages</v>
      </c>
      <c r="AA623" s="19" t="str">
        <f>B623 &amp; "-" &amp; VLOOKUP(B623,[4]SOUSPROGRAMMES!$E$1:$F$44,2,FALSE)</f>
        <v xml:space="preserve">23- Formation initiale et continue des enseignants/éducateurs y compris dans les méthodes pédagogiques innovatntes  </v>
      </c>
      <c r="AB623" s="19" t="str">
        <f>C623 &amp; "-" &amp; VLOOKUP(C623,[4]RESULTATS!$E$1:$F$176,2,FALSE)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3" s="20" t="str">
        <f>D623 &amp; "-" &amp; VLOOKUP(D623,[4]STRATEGIES!$E$1:$F$504,2,FALSE)</f>
        <v>2334-Relance des journées d’animation pédagogiques</v>
      </c>
      <c r="AD623" s="21" t="str">
        <f t="shared" si="133"/>
        <v>2334-Relance des journées d’animation pédagogiques</v>
      </c>
    </row>
    <row r="624" spans="1:30" s="22" customFormat="1" ht="45" hidden="1" customHeight="1" x14ac:dyDescent="0.8">
      <c r="A624" s="14">
        <v>2</v>
      </c>
      <c r="B624" s="15">
        <v>23</v>
      </c>
      <c r="C624" s="15">
        <v>233</v>
      </c>
      <c r="D624" s="15">
        <v>2334</v>
      </c>
      <c r="E624" s="15">
        <v>23341</v>
      </c>
      <c r="F624" s="16" t="s">
        <v>774</v>
      </c>
      <c r="G624" s="21" t="s">
        <v>651</v>
      </c>
      <c r="H624" s="17" t="s">
        <v>55</v>
      </c>
      <c r="I624" s="18">
        <v>0</v>
      </c>
      <c r="J624" s="18">
        <v>1</v>
      </c>
      <c r="K624" s="18"/>
      <c r="L624" s="18"/>
      <c r="M624" s="18">
        <f t="shared" si="130"/>
        <v>1</v>
      </c>
      <c r="N624" s="18">
        <f>IF(OR(H624="",H624="sif",H624="PM"),0,VLOOKUP(H624,[5]CU!$C$4:$H$255,6,FALSE))</f>
        <v>0</v>
      </c>
      <c r="O624" s="18"/>
      <c r="P624" s="18"/>
      <c r="Q624" s="18"/>
      <c r="R624" s="18"/>
      <c r="S624" s="24"/>
      <c r="T624" s="23" t="s">
        <v>56</v>
      </c>
      <c r="U624" s="18" t="s">
        <v>707</v>
      </c>
      <c r="V624" s="18" t="str">
        <f>IF(OR($H624="",$H624="sif",$H624="PM"),"",VLOOKUP($H624,[5]CU!$C$5:$J$255,8,FALSE))</f>
        <v/>
      </c>
      <c r="W624" s="18" t="s">
        <v>255</v>
      </c>
      <c r="X624" s="18" t="s">
        <v>745</v>
      </c>
      <c r="Y624" s="19" t="s">
        <v>32</v>
      </c>
      <c r="Z624" s="18" t="str">
        <f>A624 &amp; "-" &amp; VLOOKUP(A624,[4]PROGRAMMES!$E$1:$F$7,2,FALSE)</f>
        <v>2-Qualité des enseignements et des apprentissages</v>
      </c>
      <c r="AA624" s="19" t="str">
        <f>B624 &amp; "-" &amp; VLOOKUP(B624,[4]SOUSPROGRAMMES!$E$1:$F$44,2,FALSE)</f>
        <v xml:space="preserve">23- Formation initiale et continue des enseignants/éducateurs y compris dans les méthodes pédagogiques innovatntes  </v>
      </c>
      <c r="AB624" s="19" t="str">
        <f>C624 &amp; "-" &amp; VLOOKUP(C624,[4]RESULTATS!$E$1:$F$176,2,FALSE)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4" s="20" t="str">
        <f>D624 &amp; "-" &amp; VLOOKUP(D624,[4]STRATEGIES!$E$1:$F$504,2,FALSE)</f>
        <v>2334-Relance des journées d’animation pédagogiques</v>
      </c>
      <c r="AD624" s="21" t="str">
        <f t="shared" si="133"/>
        <v>23341-Institutionnalisation des journées d'animation pédagogique</v>
      </c>
    </row>
    <row r="625" spans="1:30" s="22" customFormat="1" ht="45" hidden="1" customHeight="1" x14ac:dyDescent="0.8">
      <c r="A625" s="14">
        <v>2</v>
      </c>
      <c r="B625" s="15">
        <v>23</v>
      </c>
      <c r="C625" s="15">
        <v>233</v>
      </c>
      <c r="D625" s="15">
        <v>2334</v>
      </c>
      <c r="E625" s="15">
        <v>23342</v>
      </c>
      <c r="F625" s="16" t="s">
        <v>775</v>
      </c>
      <c r="G625" s="21" t="s">
        <v>37</v>
      </c>
      <c r="H625" s="17" t="s">
        <v>66</v>
      </c>
      <c r="I625" s="18">
        <v>0</v>
      </c>
      <c r="J625" s="18">
        <f>10*5</f>
        <v>50</v>
      </c>
      <c r="K625" s="18"/>
      <c r="L625" s="18"/>
      <c r="M625" s="18">
        <f t="shared" si="130"/>
        <v>50</v>
      </c>
      <c r="N625" s="18">
        <f>IF(OR(H625="",H625="sif",H625="PM"),0,VLOOKUP(H625,[5]CU!$C$4:$H$255,6,FALSE))</f>
        <v>0.255</v>
      </c>
      <c r="O625" s="18">
        <f>$N625*I625</f>
        <v>0</v>
      </c>
      <c r="P625" s="18">
        <f>$N625*J625</f>
        <v>12.75</v>
      </c>
      <c r="Q625" s="18">
        <f>$N625*K625</f>
        <v>0</v>
      </c>
      <c r="R625" s="18">
        <f>$N625*L625</f>
        <v>0</v>
      </c>
      <c r="S625" s="24">
        <f>SUM(O625:R625)</f>
        <v>12.75</v>
      </c>
      <c r="T625" s="23" t="s">
        <v>39</v>
      </c>
      <c r="U625" s="18" t="s">
        <v>707</v>
      </c>
      <c r="V625" s="18" t="str">
        <f>IF(OR($H625="",$H625="sif",$H625="PM"),"",VLOOKUP($H625,[5]CU!$C$5:$J$255,8,FALSE))</f>
        <v>3. Dépenses de fonctionnement</v>
      </c>
      <c r="W625" s="18" t="s">
        <v>708</v>
      </c>
      <c r="X625" s="18" t="s">
        <v>776</v>
      </c>
      <c r="Y625" s="19" t="s">
        <v>32</v>
      </c>
      <c r="Z625" s="18" t="str">
        <f>A625 &amp; "-" &amp; VLOOKUP(A625,[4]PROGRAMMES!$E$1:$F$7,2,FALSE)</f>
        <v>2-Qualité des enseignements et des apprentissages</v>
      </c>
      <c r="AA625" s="19" t="str">
        <f>B625 &amp; "-" &amp; VLOOKUP(B625,[4]SOUSPROGRAMMES!$E$1:$F$44,2,FALSE)</f>
        <v xml:space="preserve">23- Formation initiale et continue des enseignants/éducateurs y compris dans les méthodes pédagogiques innovatntes  </v>
      </c>
      <c r="AB625" s="19" t="str">
        <f>C625 &amp; "-" &amp; VLOOKUP(C625,[4]RESULTATS!$E$1:$F$176,2,FALSE)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5" s="20" t="str">
        <f>D625 &amp; "-" &amp; VLOOKUP(D625,[4]STRATEGIES!$E$1:$F$504,2,FALSE)</f>
        <v>2334-Relance des journées d’animation pédagogiques</v>
      </c>
      <c r="AD625" s="21" t="str">
        <f t="shared" si="133"/>
        <v>23342-Identification du contenu des journées d'animation pédagogique</v>
      </c>
    </row>
    <row r="626" spans="1:30" s="22" customFormat="1" ht="45" hidden="1" customHeight="1" x14ac:dyDescent="0.8">
      <c r="A626" s="14">
        <v>2</v>
      </c>
      <c r="B626" s="15">
        <v>23</v>
      </c>
      <c r="C626" s="15">
        <v>233</v>
      </c>
      <c r="D626" s="15">
        <v>2334</v>
      </c>
      <c r="E626" s="15">
        <v>23343</v>
      </c>
      <c r="F626" s="16" t="s">
        <v>777</v>
      </c>
      <c r="G626" s="21" t="s">
        <v>778</v>
      </c>
      <c r="H626" s="17" t="s">
        <v>55</v>
      </c>
      <c r="I626" s="18">
        <v>0</v>
      </c>
      <c r="J626" s="18"/>
      <c r="K626" s="18">
        <f>33+5</f>
        <v>38</v>
      </c>
      <c r="L626" s="18">
        <f>33+5</f>
        <v>38</v>
      </c>
      <c r="M626" s="18">
        <f t="shared" si="130"/>
        <v>76</v>
      </c>
      <c r="N626" s="18">
        <f>IF(OR(H626="",H626="sif",H626="PM"),0,VLOOKUP(H626,[5]CU!$C$4:$H$255,6,FALSE))</f>
        <v>0</v>
      </c>
      <c r="O626" s="18"/>
      <c r="P626" s="18"/>
      <c r="Q626" s="18"/>
      <c r="R626" s="18"/>
      <c r="S626" s="24"/>
      <c r="T626" s="23" t="s">
        <v>56</v>
      </c>
      <c r="U626" s="18" t="s">
        <v>707</v>
      </c>
      <c r="V626" s="18" t="str">
        <f>IF(OR($H626="",$H626="sif",$H626="PM"),"",VLOOKUP($H626,[5]CU!$C$5:$J$255,8,FALSE))</f>
        <v/>
      </c>
      <c r="W626" s="18" t="s">
        <v>708</v>
      </c>
      <c r="X626" s="18" t="s">
        <v>776</v>
      </c>
      <c r="Y626" s="19" t="s">
        <v>32</v>
      </c>
      <c r="Z626" s="18" t="str">
        <f>A626 &amp; "-" &amp; VLOOKUP(A626,[4]PROGRAMMES!$E$1:$F$7,2,FALSE)</f>
        <v>2-Qualité des enseignements et des apprentissages</v>
      </c>
      <c r="AA626" s="19" t="str">
        <f>B626 &amp; "-" &amp; VLOOKUP(B626,[4]SOUSPROGRAMMES!$E$1:$F$44,2,FALSE)</f>
        <v xml:space="preserve">23- Formation initiale et continue des enseignants/éducateurs y compris dans les méthodes pédagogiques innovatntes  </v>
      </c>
      <c r="AB626" s="19" t="str">
        <f>C626 &amp; "-" &amp; VLOOKUP(C626,[4]RESULTATS!$E$1:$F$176,2,FALSE)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6" s="20" t="str">
        <f>D626 &amp; "-" &amp; VLOOKUP(D626,[4]STRATEGIES!$E$1:$F$504,2,FALSE)</f>
        <v>2334-Relance des journées d’animation pédagogiques</v>
      </c>
      <c r="AD626" s="21" t="str">
        <f t="shared" si="133"/>
        <v>23343-Organisation des journées d'animation pédagogique dans chaque DPE/DCE (voir subvention)</v>
      </c>
    </row>
    <row r="627" spans="1:30" s="22" customFormat="1" ht="45" hidden="1" customHeight="1" x14ac:dyDescent="0.8">
      <c r="A627" s="14">
        <v>2</v>
      </c>
      <c r="B627" s="15">
        <v>23</v>
      </c>
      <c r="C627" s="15">
        <v>233</v>
      </c>
      <c r="D627" s="15">
        <v>2334</v>
      </c>
      <c r="E627" s="15">
        <v>23344</v>
      </c>
      <c r="F627" s="16" t="s">
        <v>779</v>
      </c>
      <c r="G627" s="21" t="s">
        <v>58</v>
      </c>
      <c r="H627" s="17" t="s">
        <v>59</v>
      </c>
      <c r="I627" s="18">
        <v>0</v>
      </c>
      <c r="J627" s="18"/>
      <c r="K627" s="18">
        <f>4*6*8</f>
        <v>192</v>
      </c>
      <c r="L627" s="18">
        <f>4*6*8</f>
        <v>192</v>
      </c>
      <c r="M627" s="18">
        <f t="shared" si="130"/>
        <v>384</v>
      </c>
      <c r="N627" s="18">
        <f>IF(OR(H627="",H627="sif",H627="PM"),0,VLOOKUP(H627,[5]CU!$C$4:$H$255,6,FALSE))</f>
        <v>0.8177777777777776</v>
      </c>
      <c r="O627" s="18">
        <f t="shared" ref="O627:R635" si="139">$N627*I627</f>
        <v>0</v>
      </c>
      <c r="P627" s="18">
        <f t="shared" si="139"/>
        <v>0</v>
      </c>
      <c r="Q627" s="18">
        <f t="shared" si="139"/>
        <v>157.01333333333329</v>
      </c>
      <c r="R627" s="18">
        <f t="shared" si="139"/>
        <v>157.01333333333329</v>
      </c>
      <c r="S627" s="24">
        <f t="shared" ref="S627:S635" si="140">SUM(O627:R627)</f>
        <v>314.02666666666659</v>
      </c>
      <c r="T627" s="23" t="s">
        <v>39</v>
      </c>
      <c r="U627" s="18" t="s">
        <v>707</v>
      </c>
      <c r="V627" s="18" t="str">
        <f>IF(OR($H627="",$H627="sif",$H627="PM"),"",VLOOKUP($H627,[5]CU!$C$5:$J$255,8,FALSE))</f>
        <v>3. Dépenses de fonctionnement</v>
      </c>
      <c r="W627" s="18" t="s">
        <v>708</v>
      </c>
      <c r="X627" s="18" t="s">
        <v>398</v>
      </c>
      <c r="Y627" s="19" t="s">
        <v>32</v>
      </c>
      <c r="Z627" s="18" t="str">
        <f>A627 &amp; "-" &amp; VLOOKUP(A627,[4]PROGRAMMES!$E$1:$F$7,2,FALSE)</f>
        <v>2-Qualité des enseignements et des apprentissages</v>
      </c>
      <c r="AA627" s="19" t="str">
        <f>B627 &amp; "-" &amp; VLOOKUP(B627,[4]SOUSPROGRAMMES!$E$1:$F$44,2,FALSE)</f>
        <v xml:space="preserve">23- Formation initiale et continue des enseignants/éducateurs y compris dans les méthodes pédagogiques innovatntes  </v>
      </c>
      <c r="AB627" s="19" t="str">
        <f>C627 &amp; "-" &amp; VLOOKUP(C627,[4]RESULTATS!$E$1:$F$176,2,FALSE)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7" s="20" t="str">
        <f>D627 &amp; "-" &amp; VLOOKUP(D627,[4]STRATEGIES!$E$1:$F$504,2,FALSE)</f>
        <v>2334-Relance des journées d’animation pédagogiques</v>
      </c>
      <c r="AD627" s="21" t="str">
        <f t="shared" si="133"/>
        <v>23344-Suivi des journées d'animation pédagogique</v>
      </c>
    </row>
    <row r="628" spans="1:30" s="22" customFormat="1" ht="45" hidden="1" customHeight="1" x14ac:dyDescent="0.8">
      <c r="A628" s="14">
        <v>2</v>
      </c>
      <c r="B628" s="15">
        <v>23</v>
      </c>
      <c r="C628" s="15">
        <v>233</v>
      </c>
      <c r="D628" s="15">
        <v>2335</v>
      </c>
      <c r="E628" s="15">
        <v>2335</v>
      </c>
      <c r="F628" s="16" t="s">
        <v>780</v>
      </c>
      <c r="G628" s="17"/>
      <c r="H628" s="17"/>
      <c r="I628" s="18">
        <v>0</v>
      </c>
      <c r="J628" s="18"/>
      <c r="K628" s="18"/>
      <c r="L628" s="18"/>
      <c r="M628" s="18"/>
      <c r="N628" s="18"/>
      <c r="O628" s="18"/>
      <c r="P628" s="18"/>
      <c r="Q628" s="18"/>
      <c r="R628" s="18"/>
      <c r="S628" s="24"/>
      <c r="T628" s="18"/>
      <c r="U628" s="18"/>
      <c r="V628" s="18"/>
      <c r="W628" s="18"/>
      <c r="X628" s="18"/>
      <c r="Y628" s="19" t="s">
        <v>32</v>
      </c>
      <c r="Z628" s="18" t="str">
        <f>A628 &amp; "-" &amp; VLOOKUP(A628,[4]PROGRAMMES!$E$1:$F$7,2,FALSE)</f>
        <v>2-Qualité des enseignements et des apprentissages</v>
      </c>
      <c r="AA628" s="19" t="str">
        <f>B628 &amp; "-" &amp; VLOOKUP(B628,[4]SOUSPROGRAMMES!$E$1:$F$44,2,FALSE)</f>
        <v xml:space="preserve">23- Formation initiale et continue des enseignants/éducateurs y compris dans les méthodes pédagogiques innovatntes  </v>
      </c>
      <c r="AB628" s="19" t="str">
        <f>C628 &amp; "-" &amp; VLOOKUP(C628,[4]RESULTATS!$E$1:$F$176,2,FALSE)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8" s="20" t="str">
        <f>D628 &amp; "-" &amp; VLOOKUP(D628,[4]STRATEGIES!$E$1:$F$504,2,FALSE)</f>
        <v>2335-Suivi pédagogique par le directeur d’école et les Chef d’Unité Pédagogique</v>
      </c>
      <c r="AD628" s="21" t="str">
        <f t="shared" si="133"/>
        <v>2335-Suivi pédagogique par le directeur d’école et les Chef d’Unité Pédagogique</v>
      </c>
    </row>
    <row r="629" spans="1:30" s="22" customFormat="1" ht="45" hidden="1" customHeight="1" x14ac:dyDescent="0.8">
      <c r="A629" s="14">
        <v>2</v>
      </c>
      <c r="B629" s="15">
        <v>23</v>
      </c>
      <c r="C629" s="15">
        <v>233</v>
      </c>
      <c r="D629" s="15">
        <v>2335</v>
      </c>
      <c r="E629" s="15">
        <v>23351</v>
      </c>
      <c r="F629" s="16" t="s">
        <v>781</v>
      </c>
      <c r="G629" s="21" t="s">
        <v>37</v>
      </c>
      <c r="H629" s="17" t="s">
        <v>66</v>
      </c>
      <c r="I629" s="18">
        <v>0</v>
      </c>
      <c r="J629" s="18">
        <f>(10+10)*5</f>
        <v>100</v>
      </c>
      <c r="K629" s="18"/>
      <c r="L629" s="18"/>
      <c r="M629" s="18">
        <f t="shared" si="130"/>
        <v>100</v>
      </c>
      <c r="N629" s="18">
        <f>IF(OR(H629="",H629="sif",H629="PM"),0,VLOOKUP(H629,[5]CU!$C$4:$H$255,6,FALSE))</f>
        <v>0.255</v>
      </c>
      <c r="O629" s="18">
        <f t="shared" si="139"/>
        <v>0</v>
      </c>
      <c r="P629" s="18">
        <f t="shared" si="139"/>
        <v>25.5</v>
      </c>
      <c r="Q629" s="18">
        <f t="shared" si="139"/>
        <v>0</v>
      </c>
      <c r="R629" s="18">
        <f t="shared" si="139"/>
        <v>0</v>
      </c>
      <c r="S629" s="24">
        <f t="shared" si="140"/>
        <v>25.5</v>
      </c>
      <c r="T629" s="23" t="s">
        <v>39</v>
      </c>
      <c r="U629" s="19" t="s">
        <v>707</v>
      </c>
      <c r="V629" s="19" t="str">
        <f>IF(OR($H629="",$H629="sif",$H629="PM"),"",VLOOKUP($H629,[5]CU!$C$5:$J$255,8,FALSE))</f>
        <v>3. Dépenses de fonctionnement</v>
      </c>
      <c r="W629" s="19" t="s">
        <v>708</v>
      </c>
      <c r="X629" s="19" t="s">
        <v>782</v>
      </c>
      <c r="Y629" s="19" t="s">
        <v>32</v>
      </c>
      <c r="Z629" s="18" t="str">
        <f>A629 &amp; "-" &amp; VLOOKUP(A629,[4]PROGRAMMES!$E$1:$F$7,2,FALSE)</f>
        <v>2-Qualité des enseignements et des apprentissages</v>
      </c>
      <c r="AA629" s="19" t="str">
        <f>B629 &amp; "-" &amp; VLOOKUP(B629,[4]SOUSPROGRAMMES!$E$1:$F$44,2,FALSE)</f>
        <v xml:space="preserve">23- Formation initiale et continue des enseignants/éducateurs y compris dans les méthodes pédagogiques innovatntes  </v>
      </c>
      <c r="AB629" s="19" t="str">
        <f>C629 &amp; "-" &amp; VLOOKUP(C629,[4]RESULTATS!$E$1:$F$176,2,FALSE)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29" s="20" t="str">
        <f>D629 &amp; "-" &amp; VLOOKUP(D629,[4]STRATEGIES!$E$1:$F$504,2,FALSE)</f>
        <v>2335-Suivi pédagogique par le directeur d’école et les Chef d’Unité Pédagogique</v>
      </c>
      <c r="AD629" s="21" t="str">
        <f t="shared" si="133"/>
        <v>23351-Elaboration et validation des outils standardisés de suivi pédagogique</v>
      </c>
    </row>
    <row r="630" spans="1:30" s="22" customFormat="1" ht="45" hidden="1" customHeight="1" x14ac:dyDescent="0.8">
      <c r="A630" s="14">
        <v>2</v>
      </c>
      <c r="B630" s="15">
        <v>23</v>
      </c>
      <c r="C630" s="15">
        <v>233</v>
      </c>
      <c r="D630" s="15">
        <v>2335</v>
      </c>
      <c r="E630" s="15">
        <v>23352</v>
      </c>
      <c r="F630" s="16" t="s">
        <v>783</v>
      </c>
      <c r="G630" s="21" t="s">
        <v>37</v>
      </c>
      <c r="H630" s="17" t="s">
        <v>66</v>
      </c>
      <c r="I630" s="18">
        <v>0</v>
      </c>
      <c r="J630" s="18">
        <f>10*5</f>
        <v>50</v>
      </c>
      <c r="K630" s="18"/>
      <c r="L630" s="18"/>
      <c r="M630" s="18">
        <f t="shared" si="130"/>
        <v>50</v>
      </c>
      <c r="N630" s="18">
        <f>IF(OR(H630="",H630="sif",H630="PM"),0,VLOOKUP(H630,[5]CU!$C$4:$H$255,6,FALSE))</f>
        <v>0.255</v>
      </c>
      <c r="O630" s="18">
        <f t="shared" si="139"/>
        <v>0</v>
      </c>
      <c r="P630" s="18">
        <f t="shared" si="139"/>
        <v>12.75</v>
      </c>
      <c r="Q630" s="18">
        <f t="shared" si="139"/>
        <v>0</v>
      </c>
      <c r="R630" s="18">
        <f t="shared" si="139"/>
        <v>0</v>
      </c>
      <c r="S630" s="24">
        <f t="shared" si="140"/>
        <v>12.75</v>
      </c>
      <c r="T630" s="23" t="s">
        <v>39</v>
      </c>
      <c r="U630" s="19" t="s">
        <v>707</v>
      </c>
      <c r="V630" s="19" t="str">
        <f>IF(OR($H630="",$H630="sif",$H630="PM"),"",VLOOKUP($H630,[5]CU!$C$5:$J$255,8,FALSE))</f>
        <v>3. Dépenses de fonctionnement</v>
      </c>
      <c r="W630" s="19" t="s">
        <v>708</v>
      </c>
      <c r="X630" s="19" t="s">
        <v>782</v>
      </c>
      <c r="Y630" s="19" t="s">
        <v>32</v>
      </c>
      <c r="Z630" s="18" t="str">
        <f>A630 &amp; "-" &amp; VLOOKUP(A630,[4]PROGRAMMES!$E$1:$F$7,2,FALSE)</f>
        <v>2-Qualité des enseignements et des apprentissages</v>
      </c>
      <c r="AA630" s="19" t="str">
        <f>B630 &amp; "-" &amp; VLOOKUP(B630,[4]SOUSPROGRAMMES!$E$1:$F$44,2,FALSE)</f>
        <v xml:space="preserve">23- Formation initiale et continue des enseignants/éducateurs y compris dans les méthodes pédagogiques innovatntes  </v>
      </c>
      <c r="AB630" s="19" t="str">
        <f>C630 &amp; "-" &amp; VLOOKUP(C630,[4]RESULTATS!$E$1:$F$176,2,FALSE)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0" s="20" t="str">
        <f>D630 &amp; "-" &amp; VLOOKUP(D630,[4]STRATEGIES!$E$1:$F$504,2,FALSE)</f>
        <v>2335-Suivi pédagogique par le directeur d’école et les Chef d’Unité Pédagogique</v>
      </c>
      <c r="AD630" s="21" t="str">
        <f t="shared" si="133"/>
        <v>23352-Elaboration d'un manuel de suivi pédagogique</v>
      </c>
    </row>
    <row r="631" spans="1:30" s="22" customFormat="1" ht="45" hidden="1" customHeight="1" x14ac:dyDescent="0.8">
      <c r="A631" s="14">
        <v>2</v>
      </c>
      <c r="B631" s="15">
        <v>23</v>
      </c>
      <c r="C631" s="15">
        <v>233</v>
      </c>
      <c r="D631" s="15">
        <v>2335</v>
      </c>
      <c r="E631" s="15">
        <v>23353</v>
      </c>
      <c r="F631" s="16" t="s">
        <v>784</v>
      </c>
      <c r="G631" s="21" t="s">
        <v>298</v>
      </c>
      <c r="H631" s="17" t="s">
        <v>38</v>
      </c>
      <c r="I631" s="18">
        <v>0</v>
      </c>
      <c r="J631" s="18">
        <f>25*2</f>
        <v>50</v>
      </c>
      <c r="K631" s="18"/>
      <c r="L631" s="18"/>
      <c r="M631" s="18">
        <f t="shared" si="130"/>
        <v>50</v>
      </c>
      <c r="N631" s="18">
        <f>IF(OR(H631="",H631="sif",H631="PM"),0,VLOOKUP(H631,[5]CU!$C$4:$H$255,6,FALSE))</f>
        <v>0.3133333333333333</v>
      </c>
      <c r="O631" s="18">
        <f t="shared" si="139"/>
        <v>0</v>
      </c>
      <c r="P631" s="18">
        <f t="shared" si="139"/>
        <v>15.666666666666664</v>
      </c>
      <c r="Q631" s="18">
        <f t="shared" si="139"/>
        <v>0</v>
      </c>
      <c r="R631" s="18">
        <f t="shared" si="139"/>
        <v>0</v>
      </c>
      <c r="S631" s="24">
        <f t="shared" si="140"/>
        <v>15.666666666666664</v>
      </c>
      <c r="T631" s="23" t="s">
        <v>39</v>
      </c>
      <c r="U631" s="19" t="s">
        <v>707</v>
      </c>
      <c r="V631" s="19" t="str">
        <f>IF(OR($H631="",$H631="sif",$H631="PM"),"",VLOOKUP($H631,[5]CU!$C$5:$J$255,8,FALSE))</f>
        <v>3. Formation</v>
      </c>
      <c r="W631" s="19" t="s">
        <v>708</v>
      </c>
      <c r="X631" s="19" t="s">
        <v>782</v>
      </c>
      <c r="Y631" s="19" t="s">
        <v>32</v>
      </c>
      <c r="Z631" s="18" t="str">
        <f>A631 &amp; "-" &amp; VLOOKUP(A631,[4]PROGRAMMES!$E$1:$F$7,2,FALSE)</f>
        <v>2-Qualité des enseignements et des apprentissages</v>
      </c>
      <c r="AA631" s="19" t="str">
        <f>B631 &amp; "-" &amp; VLOOKUP(B631,[4]SOUSPROGRAMMES!$E$1:$F$44,2,FALSE)</f>
        <v xml:space="preserve">23- Formation initiale et continue des enseignants/éducateurs y compris dans les méthodes pédagogiques innovatntes  </v>
      </c>
      <c r="AB631" s="19" t="str">
        <f>C631 &amp; "-" &amp; VLOOKUP(C631,[4]RESULTATS!$E$1:$F$176,2,FALSE)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1" s="20" t="str">
        <f>D631 &amp; "-" &amp; VLOOKUP(D631,[4]STRATEGIES!$E$1:$F$504,2,FALSE)</f>
        <v>2335-Suivi pédagogique par le directeur d’école et les Chef d’Unité Pédagogique</v>
      </c>
      <c r="AD631" s="21" t="str">
        <f t="shared" si="133"/>
        <v>23353-Validation des outils et du manuel</v>
      </c>
    </row>
    <row r="632" spans="1:30" s="22" customFormat="1" ht="45" hidden="1" customHeight="1" x14ac:dyDescent="0.8">
      <c r="A632" s="14">
        <v>2</v>
      </c>
      <c r="B632" s="15">
        <v>23</v>
      </c>
      <c r="C632" s="15">
        <v>233</v>
      </c>
      <c r="D632" s="15">
        <v>2335</v>
      </c>
      <c r="E632" s="15">
        <v>23354</v>
      </c>
      <c r="F632" s="16" t="s">
        <v>785</v>
      </c>
      <c r="G632" s="21" t="s">
        <v>44</v>
      </c>
      <c r="H632" s="17" t="s">
        <v>786</v>
      </c>
      <c r="I632" s="18">
        <v>0</v>
      </c>
      <c r="J632" s="18"/>
      <c r="K632" s="18">
        <f>((1800*5)+11000+46)*1.1</f>
        <v>22050.600000000002</v>
      </c>
      <c r="L632" s="18"/>
      <c r="M632" s="18">
        <f t="shared" si="130"/>
        <v>22050.600000000002</v>
      </c>
      <c r="N632" s="18">
        <f>IF(OR(H632="",H632="sif",H632="PM"),0,VLOOKUP(H632,[5]CU!$C$4:$H$255,6,FALSE))</f>
        <v>7.4999999999999997E-3</v>
      </c>
      <c r="O632" s="18">
        <f t="shared" si="139"/>
        <v>0</v>
      </c>
      <c r="P632" s="18">
        <f t="shared" si="139"/>
        <v>0</v>
      </c>
      <c r="Q632" s="18">
        <f t="shared" si="139"/>
        <v>165.37950000000001</v>
      </c>
      <c r="R632" s="18">
        <f t="shared" si="139"/>
        <v>0</v>
      </c>
      <c r="S632" s="24">
        <f t="shared" si="140"/>
        <v>165.37950000000001</v>
      </c>
      <c r="T632" s="23" t="s">
        <v>39</v>
      </c>
      <c r="U632" s="19" t="s">
        <v>707</v>
      </c>
      <c r="V632" s="19" t="str">
        <f>IF(OR($H632="",$H632="sif",$H632="PM"),"",VLOOKUP($H632,[5]CU!$C$5:$J$255,8,FALSE))</f>
        <v>3. Dépenses de fonctionnement</v>
      </c>
      <c r="W632" s="19" t="s">
        <v>708</v>
      </c>
      <c r="X632" s="19" t="s">
        <v>782</v>
      </c>
      <c r="Y632" s="19" t="s">
        <v>32</v>
      </c>
      <c r="Z632" s="18" t="str">
        <f>A632 &amp; "-" &amp; VLOOKUP(A632,[4]PROGRAMMES!$E$1:$F$7,2,FALSE)</f>
        <v>2-Qualité des enseignements et des apprentissages</v>
      </c>
      <c r="AA632" s="19" t="str">
        <f>B632 &amp; "-" &amp; VLOOKUP(B632,[4]SOUSPROGRAMMES!$E$1:$F$44,2,FALSE)</f>
        <v xml:space="preserve">23- Formation initiale et continue des enseignants/éducateurs y compris dans les méthodes pédagogiques innovatntes  </v>
      </c>
      <c r="AB632" s="19" t="str">
        <f>C632 &amp; "-" &amp; VLOOKUP(C632,[4]RESULTATS!$E$1:$F$176,2,FALSE)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2" s="20" t="str">
        <f>D632 &amp; "-" &amp; VLOOKUP(D632,[4]STRATEGIES!$E$1:$F$504,2,FALSE)</f>
        <v>2335-Suivi pédagogique par le directeur d’école et les Chef d’Unité Pédagogique</v>
      </c>
      <c r="AD632" s="21" t="str">
        <f t="shared" si="133"/>
        <v xml:space="preserve">23354-Diffusion des outils et du manuel aux directeurs d'école et aux chefs de groupe pédagogique </v>
      </c>
    </row>
    <row r="633" spans="1:30" s="22" customFormat="1" ht="45" hidden="1" customHeight="1" x14ac:dyDescent="0.8">
      <c r="A633" s="14">
        <v>2</v>
      </c>
      <c r="B633" s="15">
        <v>23</v>
      </c>
      <c r="C633" s="15">
        <v>233</v>
      </c>
      <c r="D633" s="15">
        <v>2336</v>
      </c>
      <c r="E633" s="15">
        <v>2336</v>
      </c>
      <c r="F633" s="16" t="s">
        <v>787</v>
      </c>
      <c r="G633" s="17"/>
      <c r="H633" s="17"/>
      <c r="I633" s="18">
        <v>0</v>
      </c>
      <c r="J633" s="18"/>
      <c r="K633" s="18"/>
      <c r="L633" s="18"/>
      <c r="M633" s="18"/>
      <c r="N633" s="18"/>
      <c r="O633" s="18"/>
      <c r="P633" s="18"/>
      <c r="Q633" s="18"/>
      <c r="R633" s="18"/>
      <c r="S633" s="24"/>
      <c r="T633" s="18"/>
      <c r="U633" s="18"/>
      <c r="V633" s="18"/>
      <c r="W633" s="18"/>
      <c r="X633" s="18"/>
      <c r="Y633" s="19" t="s">
        <v>32</v>
      </c>
      <c r="Z633" s="18" t="str">
        <f>A633 &amp; "-" &amp; VLOOKUP(A633,[4]PROGRAMMES!$E$1:$F$7,2,FALSE)</f>
        <v>2-Qualité des enseignements et des apprentissages</v>
      </c>
      <c r="AA633" s="19" t="str">
        <f>B633 &amp; "-" &amp; VLOOKUP(B633,[4]SOUSPROGRAMMES!$E$1:$F$44,2,FALSE)</f>
        <v xml:space="preserve">23- Formation initiale et continue des enseignants/éducateurs y compris dans les méthodes pédagogiques innovatntes  </v>
      </c>
      <c r="AB633" s="19" t="str">
        <f>C633 &amp; "-" &amp; VLOOKUP(C633,[4]RESULTATS!$E$1:$F$176,2,FALSE)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3" s="20" t="str">
        <f>D633 &amp; "-" &amp; VLOOKUP(D633,[4]STRATEGIES!$E$1:$F$504,2,FALSE)</f>
        <v>2336-Evaluation régulière des compétences des enseignants et éducateurs sortant des établissements de formation initiale</v>
      </c>
      <c r="AD633" s="21" t="str">
        <f t="shared" si="133"/>
        <v>2336-Evaluation régulière des compétences des enseignants et éducateurs sortant des établissements de formation initiale</v>
      </c>
    </row>
    <row r="634" spans="1:30" s="22" customFormat="1" ht="45" hidden="1" customHeight="1" x14ac:dyDescent="0.8">
      <c r="A634" s="14">
        <v>2</v>
      </c>
      <c r="B634" s="15">
        <v>23</v>
      </c>
      <c r="C634" s="15">
        <v>233</v>
      </c>
      <c r="D634" s="15">
        <v>2336</v>
      </c>
      <c r="E634" s="15">
        <v>23361</v>
      </c>
      <c r="F634" s="16" t="s">
        <v>788</v>
      </c>
      <c r="G634" s="21" t="s">
        <v>37</v>
      </c>
      <c r="H634" s="17" t="s">
        <v>66</v>
      </c>
      <c r="I634" s="18">
        <v>0</v>
      </c>
      <c r="J634" s="18"/>
      <c r="K634" s="18">
        <f>15*10</f>
        <v>150</v>
      </c>
      <c r="L634" s="18"/>
      <c r="M634" s="18">
        <f t="shared" si="130"/>
        <v>150</v>
      </c>
      <c r="N634" s="18">
        <f>IF(OR(H634="",H634="sif",H634="PM"),0,VLOOKUP(H634,[5]CU!$C$4:$H$255,6,FALSE))</f>
        <v>0.255</v>
      </c>
      <c r="O634" s="18">
        <f t="shared" si="139"/>
        <v>0</v>
      </c>
      <c r="P634" s="18">
        <f t="shared" si="139"/>
        <v>0</v>
      </c>
      <c r="Q634" s="18">
        <f t="shared" si="139"/>
        <v>38.25</v>
      </c>
      <c r="R634" s="18">
        <f t="shared" si="139"/>
        <v>0</v>
      </c>
      <c r="S634" s="24">
        <f t="shared" si="140"/>
        <v>38.25</v>
      </c>
      <c r="T634" s="23" t="s">
        <v>39</v>
      </c>
      <c r="U634" s="19" t="s">
        <v>707</v>
      </c>
      <c r="V634" s="19" t="str">
        <f>IF(OR($H634="",$H634="sif",$H634="PM"),"",VLOOKUP($H634,[5]CU!$C$5:$J$255,8,FALSE))</f>
        <v>3. Dépenses de fonctionnement</v>
      </c>
      <c r="W634" s="19" t="s">
        <v>708</v>
      </c>
      <c r="X634" s="19" t="s">
        <v>142</v>
      </c>
      <c r="Y634" s="19" t="s">
        <v>32</v>
      </c>
      <c r="Z634" s="18" t="str">
        <f>A634 &amp; "-" &amp; VLOOKUP(A634,[4]PROGRAMMES!$E$1:$F$7,2,FALSE)</f>
        <v>2-Qualité des enseignements et des apprentissages</v>
      </c>
      <c r="AA634" s="19" t="str">
        <f>B634 &amp; "-" &amp; VLOOKUP(B634,[4]SOUSPROGRAMMES!$E$1:$F$44,2,FALSE)</f>
        <v xml:space="preserve">23- Formation initiale et continue des enseignants/éducateurs y compris dans les méthodes pédagogiques innovatntes  </v>
      </c>
      <c r="AB634" s="19" t="str">
        <f>C634 &amp; "-" &amp; VLOOKUP(C634,[4]RESULTATS!$E$1:$F$176,2,FALSE)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4" s="20" t="str">
        <f>D634 &amp; "-" &amp; VLOOKUP(D634,[4]STRATEGIES!$E$1:$F$504,2,FALSE)</f>
        <v>2336-Evaluation régulière des compétences des enseignants et éducateurs sortant des établissements de formation initiale</v>
      </c>
      <c r="AD634" s="21" t="str">
        <f t="shared" si="133"/>
        <v>23361-Mise en place d'un dispositif de suivi-évaluation des cohortes sortant des institutions de formations initiales avec DNPSCE, DNEF, DNESGT, DFC DRH</v>
      </c>
    </row>
    <row r="635" spans="1:30" s="22" customFormat="1" ht="45" hidden="1" customHeight="1" x14ac:dyDescent="0.8">
      <c r="A635" s="14">
        <v>2</v>
      </c>
      <c r="B635" s="15">
        <v>23</v>
      </c>
      <c r="C635" s="15">
        <v>233</v>
      </c>
      <c r="D635" s="15">
        <v>2336</v>
      </c>
      <c r="E635" s="15">
        <v>23362</v>
      </c>
      <c r="F635" s="16" t="s">
        <v>789</v>
      </c>
      <c r="G635" s="21" t="s">
        <v>100</v>
      </c>
      <c r="H635" s="17" t="s">
        <v>101</v>
      </c>
      <c r="I635" s="18">
        <v>0</v>
      </c>
      <c r="J635" s="18"/>
      <c r="K635" s="18">
        <f>1*30*2</f>
        <v>60</v>
      </c>
      <c r="L635" s="18">
        <v>10</v>
      </c>
      <c r="M635" s="18">
        <f t="shared" si="130"/>
        <v>70</v>
      </c>
      <c r="N635" s="18">
        <f>IF(OR(H635="",H635="sif",H635="PM"),0,VLOOKUP(H635,[5]CU!$C$4:$H$255,6,FALSE))</f>
        <v>2.651545</v>
      </c>
      <c r="O635" s="18">
        <f t="shared" si="139"/>
        <v>0</v>
      </c>
      <c r="P635" s="18">
        <f t="shared" si="139"/>
        <v>0</v>
      </c>
      <c r="Q635" s="18">
        <f t="shared" si="139"/>
        <v>159.09270000000001</v>
      </c>
      <c r="R635" s="18">
        <f t="shared" si="139"/>
        <v>26.515450000000001</v>
      </c>
      <c r="S635" s="24">
        <f t="shared" si="140"/>
        <v>185.60815000000002</v>
      </c>
      <c r="T635" s="23" t="s">
        <v>39</v>
      </c>
      <c r="U635" s="19" t="s">
        <v>707</v>
      </c>
      <c r="V635" s="19" t="str">
        <f>IF(OR($H635="",$H635="sif",$H635="PM"),"",VLOOKUP($H635,[5]CU!$C$5:$J$255,8,FALSE))</f>
        <v>3. Dépenses de fonctionnement</v>
      </c>
      <c r="W635" s="19" t="s">
        <v>708</v>
      </c>
      <c r="X635" s="19" t="s">
        <v>142</v>
      </c>
      <c r="Y635" s="19" t="s">
        <v>32</v>
      </c>
      <c r="Z635" s="18" t="str">
        <f>A635 &amp; "-" &amp; VLOOKUP(A635,[4]PROGRAMMES!$E$1:$F$7,2,FALSE)</f>
        <v>2-Qualité des enseignements et des apprentissages</v>
      </c>
      <c r="AA635" s="19" t="str">
        <f>B635 &amp; "-" &amp; VLOOKUP(B635,[4]SOUSPROGRAMMES!$E$1:$F$44,2,FALSE)</f>
        <v xml:space="preserve">23- Formation initiale et continue des enseignants/éducateurs y compris dans les méthodes pédagogiques innovatntes  </v>
      </c>
      <c r="AB635" s="19" t="str">
        <f>C635 &amp; "-" &amp; VLOOKUP(C635,[4]RESULTATS!$E$1:$F$176,2,FALSE)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5" s="20" t="str">
        <f>D635 &amp; "-" &amp; VLOOKUP(D635,[4]STRATEGIES!$E$1:$F$504,2,FALSE)</f>
        <v>2336-Evaluation régulière des compétences des enseignants et éducateurs sortant des établissements de formation initiale</v>
      </c>
      <c r="AD635" s="21" t="str">
        <f t="shared" si="133"/>
        <v>23362-Conception d'une base de données de suivi des cohortes des sortants des ENI (avec DNPSCE, DNEF, DRH)</v>
      </c>
    </row>
    <row r="636" spans="1:30" s="22" customFormat="1" ht="45" hidden="1" customHeight="1" x14ac:dyDescent="0.8">
      <c r="A636" s="14">
        <v>2</v>
      </c>
      <c r="B636" s="15">
        <v>23</v>
      </c>
      <c r="C636" s="15">
        <v>233</v>
      </c>
      <c r="D636" s="15">
        <v>2336</v>
      </c>
      <c r="E636" s="15">
        <v>23363</v>
      </c>
      <c r="F636" s="16" t="s">
        <v>790</v>
      </c>
      <c r="G636" s="21" t="s">
        <v>92</v>
      </c>
      <c r="H636" s="17" t="s">
        <v>55</v>
      </c>
      <c r="I636" s="18">
        <v>0</v>
      </c>
      <c r="J636" s="18"/>
      <c r="K636" s="18"/>
      <c r="L636" s="18">
        <v>1</v>
      </c>
      <c r="M636" s="18">
        <f t="shared" si="130"/>
        <v>1</v>
      </c>
      <c r="N636" s="18">
        <f>IF(OR(H636="",H636="sif",H636="PM"),0,VLOOKUP(H636,[5]CU!$C$4:$H$255,6,FALSE))</f>
        <v>0</v>
      </c>
      <c r="O636" s="18"/>
      <c r="P636" s="18"/>
      <c r="Q636" s="18"/>
      <c r="R636" s="18"/>
      <c r="S636" s="24"/>
      <c r="T636" s="23" t="s">
        <v>56</v>
      </c>
      <c r="U636" s="18" t="s">
        <v>707</v>
      </c>
      <c r="V636" s="18" t="str">
        <f>IF(OR($H636="",$H636="sif",$H636="PM"),"",VLOOKUP($H636,[5]CU!$C$5:$J$255,8,FALSE))</f>
        <v/>
      </c>
      <c r="W636" s="18" t="s">
        <v>708</v>
      </c>
      <c r="X636" s="18" t="s">
        <v>142</v>
      </c>
      <c r="Y636" s="19" t="s">
        <v>32</v>
      </c>
      <c r="Z636" s="18" t="str">
        <f>A636 &amp; "-" &amp; VLOOKUP(A636,[4]PROGRAMMES!$E$1:$F$7,2,FALSE)</f>
        <v>2-Qualité des enseignements et des apprentissages</v>
      </c>
      <c r="AA636" s="19" t="str">
        <f>B636 &amp; "-" &amp; VLOOKUP(B636,[4]SOUSPROGRAMMES!$E$1:$F$44,2,FALSE)</f>
        <v xml:space="preserve">23- Formation initiale et continue des enseignants/éducateurs y compris dans les méthodes pédagogiques innovatntes  </v>
      </c>
      <c r="AB636" s="19" t="str">
        <f>C636 &amp; "-" &amp; VLOOKUP(C636,[4]RESULTATS!$E$1:$F$176,2,FALSE)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6" s="20" t="str">
        <f>D636 &amp; "-" &amp; VLOOKUP(D636,[4]STRATEGIES!$E$1:$F$504,2,FALSE)</f>
        <v>2336-Evaluation régulière des compétences des enseignants et éducateurs sortant des établissements de formation initiale</v>
      </c>
      <c r="AD636" s="21" t="str">
        <f t="shared" si="133"/>
        <v>23363-Rédaction du manuel d'utilisation de la base de données (pris en compte dans activité 23132) (avec DNPSCE, DNEF, DNESGT, DRH)</v>
      </c>
    </row>
    <row r="637" spans="1:30" s="22" customFormat="1" ht="45" hidden="1" customHeight="1" x14ac:dyDescent="0.8">
      <c r="A637" s="14">
        <v>2</v>
      </c>
      <c r="B637" s="15">
        <v>23</v>
      </c>
      <c r="C637" s="15">
        <v>233</v>
      </c>
      <c r="D637" s="15">
        <v>2336</v>
      </c>
      <c r="E637" s="15">
        <v>23364</v>
      </c>
      <c r="F637" s="16" t="s">
        <v>791</v>
      </c>
      <c r="G637" s="21" t="s">
        <v>92</v>
      </c>
      <c r="H637" s="17" t="s">
        <v>55</v>
      </c>
      <c r="I637" s="18">
        <v>0</v>
      </c>
      <c r="J637" s="18"/>
      <c r="K637" s="18"/>
      <c r="L637" s="18">
        <v>1</v>
      </c>
      <c r="M637" s="18">
        <f t="shared" si="130"/>
        <v>1</v>
      </c>
      <c r="N637" s="18">
        <f>IF(OR(H637="",H637="sif",H637="PM"),0,VLOOKUP(H637,[5]CU!$C$4:$H$255,6,FALSE))</f>
        <v>0</v>
      </c>
      <c r="O637" s="18"/>
      <c r="P637" s="18"/>
      <c r="Q637" s="18"/>
      <c r="R637" s="18"/>
      <c r="S637" s="24"/>
      <c r="T637" s="23" t="s">
        <v>56</v>
      </c>
      <c r="U637" s="18" t="s">
        <v>707</v>
      </c>
      <c r="V637" s="18" t="str">
        <f>IF(OR($H637="",$H637="sif",$H637="PM"),"",VLOOKUP($H637,[5]CU!$C$5:$J$255,8,FALSE))</f>
        <v/>
      </c>
      <c r="W637" s="18" t="s">
        <v>708</v>
      </c>
      <c r="X637" s="18" t="s">
        <v>142</v>
      </c>
      <c r="Y637" s="19" t="s">
        <v>32</v>
      </c>
      <c r="Z637" s="18" t="str">
        <f>A637 &amp; "-" &amp; VLOOKUP(A637,[4]PROGRAMMES!$E$1:$F$7,2,FALSE)</f>
        <v>2-Qualité des enseignements et des apprentissages</v>
      </c>
      <c r="AA637" s="19" t="str">
        <f>B637 &amp; "-" &amp; VLOOKUP(B637,[4]SOUSPROGRAMMES!$E$1:$F$44,2,FALSE)</f>
        <v xml:space="preserve">23- Formation initiale et continue des enseignants/éducateurs y compris dans les méthodes pédagogiques innovatntes  </v>
      </c>
      <c r="AB637" s="19" t="str">
        <f>C637 &amp; "-" &amp; VLOOKUP(C637,[4]RESULTATS!$E$1:$F$176,2,FALSE)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7" s="20" t="str">
        <f>D637 &amp; "-" &amp; VLOOKUP(D637,[4]STRATEGIES!$E$1:$F$504,2,FALSE)</f>
        <v>2336-Evaluation régulière des compétences des enseignants et éducateurs sortant des établissements de formation initiale</v>
      </c>
      <c r="AD637" s="21" t="str">
        <f t="shared" si="133"/>
        <v>23364-Conception des outils de collecte de données des cohortes (pris en compte dans activité 23132) (avec DNPSCE, DNEF, DNESGT, DRH)</v>
      </c>
    </row>
    <row r="638" spans="1:30" s="22" customFormat="1" ht="45" hidden="1" customHeight="1" x14ac:dyDescent="0.8">
      <c r="A638" s="14">
        <v>2</v>
      </c>
      <c r="B638" s="15">
        <v>23</v>
      </c>
      <c r="C638" s="15">
        <v>233</v>
      </c>
      <c r="D638" s="15">
        <v>2336</v>
      </c>
      <c r="E638" s="15">
        <v>23365</v>
      </c>
      <c r="F638" s="16" t="s">
        <v>792</v>
      </c>
      <c r="G638" s="21" t="s">
        <v>298</v>
      </c>
      <c r="H638" s="17" t="s">
        <v>38</v>
      </c>
      <c r="I638" s="18">
        <v>0</v>
      </c>
      <c r="J638" s="18"/>
      <c r="K638" s="18"/>
      <c r="L638" s="18">
        <f>25*2</f>
        <v>50</v>
      </c>
      <c r="M638" s="18">
        <f t="shared" si="130"/>
        <v>50</v>
      </c>
      <c r="N638" s="18">
        <f>IF(OR(H638="",H638="sif",H638="PM"),0,VLOOKUP(H638,[5]CU!$C$4:$H$255,6,FALSE))</f>
        <v>0.3133333333333333</v>
      </c>
      <c r="O638" s="18">
        <f t="shared" ref="O638:R642" si="141">$N638*I638</f>
        <v>0</v>
      </c>
      <c r="P638" s="18">
        <f t="shared" si="141"/>
        <v>0</v>
      </c>
      <c r="Q638" s="18">
        <f t="shared" si="141"/>
        <v>0</v>
      </c>
      <c r="R638" s="18">
        <f t="shared" si="141"/>
        <v>15.666666666666664</v>
      </c>
      <c r="S638" s="24">
        <f>SUM(O638:R638)</f>
        <v>15.666666666666664</v>
      </c>
      <c r="T638" s="23" t="s">
        <v>39</v>
      </c>
      <c r="U638" s="19" t="s">
        <v>707</v>
      </c>
      <c r="V638" s="19" t="str">
        <f>IF(OR($H638="",$H638="sif",$H638="PM"),"",VLOOKUP($H638,[5]CU!$C$5:$J$255,8,FALSE))</f>
        <v>3. Formation</v>
      </c>
      <c r="W638" s="19" t="s">
        <v>708</v>
      </c>
      <c r="X638" s="19" t="s">
        <v>273</v>
      </c>
      <c r="Y638" s="19" t="s">
        <v>32</v>
      </c>
      <c r="Z638" s="18" t="str">
        <f>A638 &amp; "-" &amp; VLOOKUP(A638,[4]PROGRAMMES!$E$1:$F$7,2,FALSE)</f>
        <v>2-Qualité des enseignements et des apprentissages</v>
      </c>
      <c r="AA638" s="19" t="str">
        <f>B638 &amp; "-" &amp; VLOOKUP(B638,[4]SOUSPROGRAMMES!$E$1:$F$44,2,FALSE)</f>
        <v xml:space="preserve">23- Formation initiale et continue des enseignants/éducateurs y compris dans les méthodes pédagogiques innovatntes  </v>
      </c>
      <c r="AB638" s="19" t="str">
        <f>C638 &amp; "-" &amp; VLOOKUP(C638,[4]RESULTATS!$E$1:$F$176,2,FALSE)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8" s="20" t="str">
        <f>D638 &amp; "-" &amp; VLOOKUP(D638,[4]STRATEGIES!$E$1:$F$504,2,FALSE)</f>
        <v>2336-Evaluation régulière des compétences des enseignants et éducateurs sortant des établissements de formation initiale</v>
      </c>
      <c r="AD638" s="21" t="str">
        <f t="shared" si="133"/>
        <v>23365-Validation des outils de collecte et du manuel d'utilisation de la base de données</v>
      </c>
    </row>
    <row r="639" spans="1:30" s="22" customFormat="1" ht="45" hidden="1" customHeight="1" x14ac:dyDescent="0.8">
      <c r="A639" s="14">
        <v>2</v>
      </c>
      <c r="B639" s="15">
        <v>23</v>
      </c>
      <c r="C639" s="15">
        <v>233</v>
      </c>
      <c r="D639" s="15">
        <v>2336</v>
      </c>
      <c r="E639" s="15">
        <v>23366</v>
      </c>
      <c r="F639" s="16" t="s">
        <v>793</v>
      </c>
      <c r="G639" s="21" t="s">
        <v>37</v>
      </c>
      <c r="H639" s="17" t="s">
        <v>352</v>
      </c>
      <c r="I639" s="18">
        <v>0</v>
      </c>
      <c r="J639" s="18"/>
      <c r="K639" s="18"/>
      <c r="L639" s="18">
        <f>(1*8+5+3)*5</f>
        <v>80</v>
      </c>
      <c r="M639" s="18">
        <f t="shared" si="130"/>
        <v>80</v>
      </c>
      <c r="N639" s="18">
        <f>IF(OR(H639="",H639="sif",H639="PM"),0,VLOOKUP(H639,[5]CU!$C$4:$H$255,6,FALSE))</f>
        <v>0.54600000000000004</v>
      </c>
      <c r="O639" s="18">
        <f t="shared" si="141"/>
        <v>0</v>
      </c>
      <c r="P639" s="18">
        <f t="shared" si="141"/>
        <v>0</v>
      </c>
      <c r="Q639" s="18">
        <f t="shared" si="141"/>
        <v>0</v>
      </c>
      <c r="R639" s="18">
        <f t="shared" si="141"/>
        <v>43.680000000000007</v>
      </c>
      <c r="S639" s="24">
        <f>SUM(O639:R639)</f>
        <v>43.680000000000007</v>
      </c>
      <c r="T639" s="23" t="s">
        <v>39</v>
      </c>
      <c r="U639" s="19" t="s">
        <v>707</v>
      </c>
      <c r="V639" s="19" t="str">
        <f>IF(OR($H639="",$H639="sif",$H639="PM"),"",VLOOKUP($H639,[5]CU!$C$5:$J$255,8,FALSE))</f>
        <v>3. Formation</v>
      </c>
      <c r="W639" s="19" t="s">
        <v>708</v>
      </c>
      <c r="X639" s="19" t="s">
        <v>142</v>
      </c>
      <c r="Y639" s="19" t="s">
        <v>32</v>
      </c>
      <c r="Z639" s="18" t="str">
        <f>A639 &amp; "-" &amp; VLOOKUP(A639,[4]PROGRAMMES!$E$1:$F$7,2,FALSE)</f>
        <v>2-Qualité des enseignements et des apprentissages</v>
      </c>
      <c r="AA639" s="19" t="str">
        <f>B639 &amp; "-" &amp; VLOOKUP(B639,[4]SOUSPROGRAMMES!$E$1:$F$44,2,FALSE)</f>
        <v xml:space="preserve">23- Formation initiale et continue des enseignants/éducateurs y compris dans les méthodes pédagogiques innovatntes  </v>
      </c>
      <c r="AB639" s="19" t="str">
        <f>C639 &amp; "-" &amp; VLOOKUP(C639,[4]RESULTATS!$E$1:$F$176,2,FALSE)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39" s="20" t="str">
        <f>D639 &amp; "-" &amp; VLOOKUP(D639,[4]STRATEGIES!$E$1:$F$504,2,FALSE)</f>
        <v>2336-Evaluation régulière des compétences des enseignants et éducateurs sortant des établissements de formation initiale</v>
      </c>
      <c r="AD639" s="21" t="str">
        <f t="shared" si="133"/>
        <v>23366-Formation des encadreurs et mise à disposition des outils pour la collecte de données</v>
      </c>
    </row>
    <row r="640" spans="1:30" s="22" customFormat="1" ht="45" hidden="1" customHeight="1" x14ac:dyDescent="0.8">
      <c r="A640" s="14">
        <v>2</v>
      </c>
      <c r="B640" s="15">
        <v>23</v>
      </c>
      <c r="C640" s="15">
        <v>233</v>
      </c>
      <c r="D640" s="15">
        <v>2336</v>
      </c>
      <c r="E640" s="15">
        <v>23367</v>
      </c>
      <c r="F640" s="16" t="s">
        <v>794</v>
      </c>
      <c r="G640" s="21" t="s">
        <v>37</v>
      </c>
      <c r="H640" s="17" t="s">
        <v>66</v>
      </c>
      <c r="I640" s="18">
        <v>0</v>
      </c>
      <c r="J640" s="18"/>
      <c r="K640" s="18"/>
      <c r="L640" s="18">
        <f>10*10</f>
        <v>100</v>
      </c>
      <c r="M640" s="18">
        <f>SUM(I640:L640)</f>
        <v>100</v>
      </c>
      <c r="N640" s="18">
        <f>IF(OR(H640="",H640="sif",H640="PM"),0,VLOOKUP(H640,[5]CU!$C$4:$H$255,6,FALSE))</f>
        <v>0.255</v>
      </c>
      <c r="O640" s="18">
        <f t="shared" si="141"/>
        <v>0</v>
      </c>
      <c r="P640" s="18">
        <f t="shared" si="141"/>
        <v>0</v>
      </c>
      <c r="Q640" s="18">
        <f t="shared" si="141"/>
        <v>0</v>
      </c>
      <c r="R640" s="18">
        <f t="shared" si="141"/>
        <v>25.5</v>
      </c>
      <c r="S640" s="24">
        <f>SUM(O640:R640)</f>
        <v>25.5</v>
      </c>
      <c r="T640" s="23" t="s">
        <v>39</v>
      </c>
      <c r="U640" s="19" t="s">
        <v>707</v>
      </c>
      <c r="V640" s="19" t="str">
        <f>IF(OR($H640="",$H640="sif",$H640="PM"),"",VLOOKUP($H640,[5]CU!$C$5:$J$255,8,FALSE))</f>
        <v>3. Dépenses de fonctionnement</v>
      </c>
      <c r="W640" s="19" t="s">
        <v>708</v>
      </c>
      <c r="X640" s="19" t="s">
        <v>795</v>
      </c>
      <c r="Y640" s="19" t="s">
        <v>32</v>
      </c>
      <c r="Z640" s="18" t="str">
        <f>A640 &amp; "-" &amp; VLOOKUP(A640,[4]PROGRAMMES!$E$1:$F$7,2,FALSE)</f>
        <v>2-Qualité des enseignements et des apprentissages</v>
      </c>
      <c r="AA640" s="19" t="str">
        <f>B640 &amp; "-" &amp; VLOOKUP(B640,[4]SOUSPROGRAMMES!$E$1:$F$44,2,FALSE)</f>
        <v xml:space="preserve">23- Formation initiale et continue des enseignants/éducateurs y compris dans les méthodes pédagogiques innovatntes  </v>
      </c>
      <c r="AB640" s="19" t="str">
        <f>C640 &amp; "-" &amp; VLOOKUP(C640,[4]RESULTATS!$E$1:$F$176,2,FALSE)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0" s="20" t="str">
        <f>D640 &amp; "-" &amp; VLOOKUP(D640,[4]STRATEGIES!$E$1:$F$504,2,FALSE)</f>
        <v>2336-Evaluation régulière des compétences des enseignants et éducateurs sortant des établissements de formation initiale</v>
      </c>
      <c r="AD640" s="21" t="str">
        <f t="shared" si="133"/>
        <v>23367-Traitement et analyse des données collectées (codification saisie et toilettage des fichiers)</v>
      </c>
    </row>
    <row r="641" spans="1:30" s="22" customFormat="1" ht="45" hidden="1" customHeight="1" x14ac:dyDescent="0.8">
      <c r="A641" s="14">
        <v>2</v>
      </c>
      <c r="B641" s="15">
        <v>23</v>
      </c>
      <c r="C641" s="15">
        <v>233</v>
      </c>
      <c r="D641" s="15">
        <v>2336</v>
      </c>
      <c r="E641" s="15">
        <v>23368</v>
      </c>
      <c r="F641" s="16" t="s">
        <v>796</v>
      </c>
      <c r="G641" s="21" t="s">
        <v>37</v>
      </c>
      <c r="H641" s="17" t="s">
        <v>66</v>
      </c>
      <c r="I641" s="18">
        <v>0</v>
      </c>
      <c r="J641" s="18"/>
      <c r="K641" s="18"/>
      <c r="L641" s="18">
        <f>8*5</f>
        <v>40</v>
      </c>
      <c r="M641" s="18">
        <f>SUM(I641:L641)</f>
        <v>40</v>
      </c>
      <c r="N641" s="18">
        <f>IF(OR(H641="",H641="sif",H641="PM"),0,VLOOKUP(H641,[5]CU!$C$4:$H$255,6,FALSE))</f>
        <v>0.255</v>
      </c>
      <c r="O641" s="18">
        <f t="shared" si="141"/>
        <v>0</v>
      </c>
      <c r="P641" s="18">
        <f t="shared" si="141"/>
        <v>0</v>
      </c>
      <c r="Q641" s="18">
        <f t="shared" si="141"/>
        <v>0</v>
      </c>
      <c r="R641" s="18">
        <f t="shared" si="141"/>
        <v>10.199999999999999</v>
      </c>
      <c r="S641" s="24">
        <f>SUM(O641:R641)</f>
        <v>10.199999999999999</v>
      </c>
      <c r="T641" s="23" t="s">
        <v>39</v>
      </c>
      <c r="U641" s="19" t="s">
        <v>707</v>
      </c>
      <c r="V641" s="19" t="str">
        <f>IF(OR($H641="",$H641="sif",$H641="PM"),"",VLOOKUP($H641,[5]CU!$C$5:$J$255,8,FALSE))</f>
        <v>3. Dépenses de fonctionnement</v>
      </c>
      <c r="W641" s="19" t="s">
        <v>708</v>
      </c>
      <c r="X641" s="19" t="s">
        <v>795</v>
      </c>
      <c r="Y641" s="19" t="s">
        <v>32</v>
      </c>
      <c r="Z641" s="18" t="str">
        <f>A641 &amp; "-" &amp; VLOOKUP(A641,[4]PROGRAMMES!$E$1:$F$7,2,FALSE)</f>
        <v>2-Qualité des enseignements et des apprentissages</v>
      </c>
      <c r="AA641" s="19" t="str">
        <f>B641 &amp; "-" &amp; VLOOKUP(B641,[4]SOUSPROGRAMMES!$E$1:$F$44,2,FALSE)</f>
        <v xml:space="preserve">23- Formation initiale et continue des enseignants/éducateurs y compris dans les méthodes pédagogiques innovatntes  </v>
      </c>
      <c r="AB641" s="19" t="str">
        <f>C641 &amp; "-" &amp; VLOOKUP(C641,[4]RESULTATS!$E$1:$F$176,2,FALSE)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1" s="20" t="str">
        <f>D641 &amp; "-" &amp; VLOOKUP(D641,[4]STRATEGIES!$E$1:$F$504,2,FALSE)</f>
        <v>2336-Evaluation régulière des compétences des enseignants et éducateurs sortant des établissements de formation initiale</v>
      </c>
      <c r="AD641" s="21" t="str">
        <f t="shared" si="133"/>
        <v>23368-Rédaction du rapport d'analyse</v>
      </c>
    </row>
    <row r="642" spans="1:30" s="22" customFormat="1" ht="45" hidden="1" customHeight="1" x14ac:dyDescent="0.8">
      <c r="A642" s="14">
        <v>2</v>
      </c>
      <c r="B642" s="15">
        <v>23</v>
      </c>
      <c r="C642" s="15">
        <v>233</v>
      </c>
      <c r="D642" s="15">
        <v>2336</v>
      </c>
      <c r="E642" s="15">
        <v>23369</v>
      </c>
      <c r="F642" s="16" t="s">
        <v>797</v>
      </c>
      <c r="G642" s="21" t="s">
        <v>37</v>
      </c>
      <c r="H642" s="17" t="s">
        <v>38</v>
      </c>
      <c r="I642" s="18">
        <v>0</v>
      </c>
      <c r="J642" s="18"/>
      <c r="K642" s="18"/>
      <c r="L642" s="18">
        <f>25*2</f>
        <v>50</v>
      </c>
      <c r="M642" s="18">
        <f>SUM(I642:L642)</f>
        <v>50</v>
      </c>
      <c r="N642" s="18">
        <f>IF(OR(H642="",H642="sif",H642="PM"),0,VLOOKUP(H642,[5]CU!$C$4:$H$255,6,FALSE))</f>
        <v>0.3133333333333333</v>
      </c>
      <c r="O642" s="18">
        <f t="shared" si="141"/>
        <v>0</v>
      </c>
      <c r="P642" s="18">
        <f t="shared" si="141"/>
        <v>0</v>
      </c>
      <c r="Q642" s="18">
        <f t="shared" si="141"/>
        <v>0</v>
      </c>
      <c r="R642" s="18">
        <f t="shared" si="141"/>
        <v>15.666666666666664</v>
      </c>
      <c r="S642" s="24">
        <f>SUM(O642:R642)</f>
        <v>15.666666666666664</v>
      </c>
      <c r="T642" s="23" t="s">
        <v>39</v>
      </c>
      <c r="U642" s="19" t="s">
        <v>707</v>
      </c>
      <c r="V642" s="19" t="str">
        <f>IF(OR($H642="",$H642="sif",$H642="PM"),"",VLOOKUP($H642,[5]CU!$C$5:$J$255,8,FALSE))</f>
        <v>3. Formation</v>
      </c>
      <c r="W642" s="19" t="s">
        <v>708</v>
      </c>
      <c r="X642" s="19" t="s">
        <v>795</v>
      </c>
      <c r="Y642" s="19" t="s">
        <v>32</v>
      </c>
      <c r="Z642" s="18" t="str">
        <f>A642 &amp; "-" &amp; VLOOKUP(A642,[4]PROGRAMMES!$E$1:$F$7,2,FALSE)</f>
        <v>2-Qualité des enseignements et des apprentissages</v>
      </c>
      <c r="AA642" s="19" t="str">
        <f>B642 &amp; "-" &amp; VLOOKUP(B642,[4]SOUSPROGRAMMES!$E$1:$F$44,2,FALSE)</f>
        <v xml:space="preserve">23- Formation initiale et continue des enseignants/éducateurs y compris dans les méthodes pédagogiques innovatntes  </v>
      </c>
      <c r="AB642" s="19" t="str">
        <f>C642 &amp; "-" &amp; VLOOKUP(C642,[4]RESULTATS!$E$1:$F$176,2,FALSE)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2" s="20" t="str">
        <f>D642 &amp; "-" &amp; VLOOKUP(D642,[4]STRATEGIES!$E$1:$F$504,2,FALSE)</f>
        <v>2336-Evaluation régulière des compétences des enseignants et éducateurs sortant des établissements de formation initiale</v>
      </c>
      <c r="AD642" s="21" t="str">
        <f t="shared" si="133"/>
        <v>23369-Partage du résultat (rapport) avec les institutions de formation initiale</v>
      </c>
    </row>
    <row r="643" spans="1:30" s="22" customFormat="1" ht="45" hidden="1" customHeight="1" x14ac:dyDescent="0.8">
      <c r="A643" s="14">
        <v>2</v>
      </c>
      <c r="B643" s="15">
        <v>23</v>
      </c>
      <c r="C643" s="15">
        <v>233</v>
      </c>
      <c r="D643" s="15">
        <v>2337</v>
      </c>
      <c r="E643" s="15">
        <v>2337</v>
      </c>
      <c r="F643" s="16" t="s">
        <v>798</v>
      </c>
      <c r="G643" s="17"/>
      <c r="H643" s="17"/>
      <c r="I643" s="18">
        <v>0</v>
      </c>
      <c r="J643" s="18"/>
      <c r="K643" s="18"/>
      <c r="L643" s="18"/>
      <c r="M643" s="18"/>
      <c r="N643" s="18"/>
      <c r="O643" s="18"/>
      <c r="P643" s="18"/>
      <c r="Q643" s="18"/>
      <c r="R643" s="18"/>
      <c r="S643" s="24"/>
      <c r="T643" s="18"/>
      <c r="U643" s="18"/>
      <c r="V643" s="18"/>
      <c r="W643" s="18"/>
      <c r="X643" s="18"/>
      <c r="Y643" s="19" t="s">
        <v>32</v>
      </c>
      <c r="Z643" s="18" t="str">
        <f>A643 &amp; "-" &amp; VLOOKUP(A643,[4]PROGRAMMES!$E$1:$F$7,2,FALSE)</f>
        <v>2-Qualité des enseignements et des apprentissages</v>
      </c>
      <c r="AA643" s="19" t="str">
        <f>B643 &amp; "-" &amp; VLOOKUP(B643,[4]SOUSPROGRAMMES!$E$1:$F$44,2,FALSE)</f>
        <v xml:space="preserve">23- Formation initiale et continue des enseignants/éducateurs y compris dans les méthodes pédagogiques innovatntes  </v>
      </c>
      <c r="AB643" s="19" t="str">
        <f>C643 &amp; "-" &amp; VLOOKUP(C643,[4]RESULTATS!$E$1:$F$176,2,FALSE)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3" s="20" t="str">
        <f>D643 &amp; "-" &amp; VLOOKUP(D643,[4]STRATEGIES!$E$1:$F$504,2,FALSE)</f>
        <v>2337-Intégration des méthodes pédagogiques innovantes dans la formation initiale</v>
      </c>
      <c r="AD643" s="21" t="str">
        <f t="shared" si="133"/>
        <v>2337-Intégration des méthodes pédagogiques innovantes dans la formation initiale</v>
      </c>
    </row>
    <row r="644" spans="1:30" s="22" customFormat="1" ht="60" hidden="1" customHeight="1" x14ac:dyDescent="0.8">
      <c r="A644" s="14">
        <v>2</v>
      </c>
      <c r="B644" s="15">
        <v>23</v>
      </c>
      <c r="C644" s="15">
        <v>233</v>
      </c>
      <c r="D644" s="15">
        <v>2337</v>
      </c>
      <c r="E644" s="15">
        <v>23371</v>
      </c>
      <c r="F644" s="16" t="s">
        <v>799</v>
      </c>
      <c r="G644" s="21" t="s">
        <v>800</v>
      </c>
      <c r="H644" s="17"/>
      <c r="I644" s="18">
        <v>0</v>
      </c>
      <c r="J644" s="18"/>
      <c r="K644" s="18"/>
      <c r="L644" s="18"/>
      <c r="M644" s="18"/>
      <c r="N644" s="18">
        <f>IF(OR(H644="",H644="sif",H644="PM"),0,VLOOKUP(H644,[5]CU!$C$4:$H$255,6,FALSE))</f>
        <v>0</v>
      </c>
      <c r="O644" s="18"/>
      <c r="P644" s="18"/>
      <c r="Q644" s="18"/>
      <c r="R644" s="18"/>
      <c r="S644" s="24"/>
      <c r="T644" s="23" t="s">
        <v>39</v>
      </c>
      <c r="U644" s="18" t="s">
        <v>707</v>
      </c>
      <c r="V644" s="18" t="str">
        <f>IF(OR($H644="",$H644="sif",$H644="PM"),"",VLOOKUP($H644,[5]CU!$C$5:$J$255,8,FALSE))</f>
        <v/>
      </c>
      <c r="W644" s="18" t="s">
        <v>347</v>
      </c>
      <c r="X644" s="18" t="s">
        <v>801</v>
      </c>
      <c r="Y644" s="19" t="s">
        <v>32</v>
      </c>
      <c r="Z644" s="18" t="str">
        <f>A644 &amp; "-" &amp; VLOOKUP(A644,[4]PROGRAMMES!$E$1:$F$7,2,FALSE)</f>
        <v>2-Qualité des enseignements et des apprentissages</v>
      </c>
      <c r="AA644" s="19" t="str">
        <f>B644 &amp; "-" &amp; VLOOKUP(B644,[4]SOUSPROGRAMMES!$E$1:$F$44,2,FALSE)</f>
        <v xml:space="preserve">23- Formation initiale et continue des enseignants/éducateurs y compris dans les méthodes pédagogiques innovatntes  </v>
      </c>
      <c r="AB644" s="19" t="str">
        <f>C644 &amp; "-" &amp; VLOOKUP(C644,[4]RESULTATS!$E$1:$F$176,2,FALSE)</f>
        <v>233- Une formation continue de qualité, adaptée aux différents profils des enseignants/éducateurs (ceux qui viennent des établissements de formation, ceux qui ont passé le concours à la fonction publique et les autres) et cohérente avec la formation initiale est mise en place</v>
      </c>
      <c r="AC644" s="20" t="str">
        <f>D644 &amp; "-" &amp; VLOOKUP(D644,[4]STRATEGIES!$E$1:$F$504,2,FALSE)</f>
        <v>2337-Intégration des méthodes pédagogiques innovantes dans la formation initiale</v>
      </c>
      <c r="AD644" s="21" t="str">
        <f t="shared" ref="AD644:AD707" si="142">E644 &amp; "-" &amp; F644</f>
        <v>23371-Intégration des innovations porteuses (e.g. approche EGRA, EGMA, Pédagogie Active, APC, approche FIERE pour tous etc.) dans les programmes de formation initiale dans les ENI (Pris en compte dans les activités 23214)</v>
      </c>
    </row>
    <row r="645" spans="1:30" s="22" customFormat="1" ht="30" hidden="1" customHeight="1" x14ac:dyDescent="0.8">
      <c r="A645" s="14">
        <v>2</v>
      </c>
      <c r="B645" s="15">
        <v>24</v>
      </c>
      <c r="C645" s="15">
        <v>24</v>
      </c>
      <c r="D645" s="15">
        <v>24</v>
      </c>
      <c r="E645" s="15">
        <v>24</v>
      </c>
      <c r="F645" s="16" t="s">
        <v>802</v>
      </c>
      <c r="G645" s="17"/>
      <c r="H645" s="17"/>
      <c r="I645" s="18">
        <v>0</v>
      </c>
      <c r="J645" s="18"/>
      <c r="K645" s="18"/>
      <c r="L645" s="18"/>
      <c r="M645" s="18"/>
      <c r="N645" s="18"/>
      <c r="O645" s="18"/>
      <c r="P645" s="18"/>
      <c r="Q645" s="18"/>
      <c r="R645" s="18"/>
      <c r="S645" s="24"/>
      <c r="T645" s="18"/>
      <c r="U645" s="18"/>
      <c r="V645" s="18"/>
      <c r="W645" s="18"/>
      <c r="X645" s="18"/>
      <c r="Y645" s="19" t="s">
        <v>32</v>
      </c>
      <c r="Z645" s="18" t="str">
        <f>A645 &amp; "-" &amp; VLOOKUP(A645,[4]PROGRAMMES!$E$1:$F$7,2,FALSE)</f>
        <v>2-Qualité des enseignements et des apprentissages</v>
      </c>
      <c r="AA645" s="19" t="str">
        <f>B645 &amp; "-" &amp; VLOOKUP(B645,[4]SOUSPROGRAMMES!$E$1:$F$44,2,FALSE)</f>
        <v>24- Encadrement des enseignants : appui et contrôle</v>
      </c>
      <c r="AB645" s="19" t="str">
        <f>C645 &amp; "-" &amp; VLOOKUP(C645,[4]RESULTATS!$E$1:$F$176,2,FALSE)</f>
        <v>24- Encadrement des enseignants : appui et contrôle</v>
      </c>
      <c r="AC645" s="20" t="str">
        <f>D645 &amp; "-" &amp; VLOOKUP(D645,[4]STRATEGIES!$E$1:$F$504,2,FALSE)</f>
        <v>24- Encadrement des enseignants : appui et contrôle</v>
      </c>
      <c r="AD645" s="21" t="str">
        <f t="shared" si="142"/>
        <v>24- Encadrement des enseignants : appui et contrôle</v>
      </c>
    </row>
    <row r="646" spans="1:30" s="22" customFormat="1" ht="45" hidden="1" customHeight="1" x14ac:dyDescent="0.8">
      <c r="A646" s="14">
        <v>2</v>
      </c>
      <c r="B646" s="15">
        <v>24</v>
      </c>
      <c r="C646" s="15">
        <v>241</v>
      </c>
      <c r="D646" s="15">
        <v>241</v>
      </c>
      <c r="E646" s="15">
        <v>241</v>
      </c>
      <c r="F646" s="16" t="s">
        <v>803</v>
      </c>
      <c r="G646" s="17"/>
      <c r="H646" s="17"/>
      <c r="I646" s="18">
        <v>0</v>
      </c>
      <c r="J646" s="18"/>
      <c r="K646" s="18"/>
      <c r="L646" s="18"/>
      <c r="M646" s="18"/>
      <c r="N646" s="18"/>
      <c r="O646" s="18"/>
      <c r="P646" s="18"/>
      <c r="Q646" s="18"/>
      <c r="R646" s="18"/>
      <c r="S646" s="24"/>
      <c r="T646" s="18"/>
      <c r="U646" s="18"/>
      <c r="V646" s="18"/>
      <c r="W646" s="18"/>
      <c r="X646" s="18"/>
      <c r="Y646" s="19" t="s">
        <v>32</v>
      </c>
      <c r="Z646" s="18" t="str">
        <f>A646 &amp; "-" &amp; VLOOKUP(A646,[4]PROGRAMMES!$E$1:$F$7,2,FALSE)</f>
        <v>2-Qualité des enseignements et des apprentissages</v>
      </c>
      <c r="AA646" s="19" t="str">
        <f>B646 &amp; "-" &amp; VLOOKUP(B646,[4]SOUSPROGRAMMES!$E$1:$F$44,2,FALSE)</f>
        <v>24- Encadrement des enseignants : appui et contrôle</v>
      </c>
      <c r="AB646" s="19" t="str">
        <f>C646 &amp; "-" &amp; VLOOKUP(C646,[4]RESULTATS!$E$1:$F$176,2,FALSE)</f>
        <v>241- Un dispositif efficace d’encadrement est défini (organisation, rôles des différents acteurs)</v>
      </c>
      <c r="AC646" s="20" t="str">
        <f>D646 &amp; "-" &amp; VLOOKUP(D646,[4]STRATEGIES!$E$1:$F$504,2,FALSE)</f>
        <v>241- Un dispositif efficace d’encadrement est défini (organisation, rôles des différents acteurs)</v>
      </c>
      <c r="AD646" s="21" t="str">
        <f t="shared" si="142"/>
        <v>241- Un dispositif efficace d’encadrement est déFini (organisation, rôles des différents acteurs)</v>
      </c>
    </row>
    <row r="647" spans="1:30" s="22" customFormat="1" ht="45" hidden="1" customHeight="1" x14ac:dyDescent="0.8">
      <c r="A647" s="14">
        <v>2</v>
      </c>
      <c r="B647" s="15">
        <v>24</v>
      </c>
      <c r="C647" s="15">
        <v>241</v>
      </c>
      <c r="D647" s="15">
        <v>2411</v>
      </c>
      <c r="E647" s="15">
        <v>2411</v>
      </c>
      <c r="F647" s="16" t="s">
        <v>804</v>
      </c>
      <c r="G647" s="17"/>
      <c r="H647" s="17"/>
      <c r="I647" s="18">
        <v>0</v>
      </c>
      <c r="J647" s="18"/>
      <c r="K647" s="18"/>
      <c r="L647" s="18"/>
      <c r="M647" s="18"/>
      <c r="N647" s="18"/>
      <c r="O647" s="18"/>
      <c r="P647" s="18"/>
      <c r="Q647" s="18"/>
      <c r="R647" s="18"/>
      <c r="S647" s="24"/>
      <c r="T647" s="18"/>
      <c r="U647" s="18"/>
      <c r="V647" s="18"/>
      <c r="W647" s="18"/>
      <c r="X647" s="18"/>
      <c r="Y647" s="19" t="s">
        <v>32</v>
      </c>
      <c r="Z647" s="18" t="str">
        <f>A647 &amp; "-" &amp; VLOOKUP(A647,[4]PROGRAMMES!$E$1:$F$7,2,FALSE)</f>
        <v>2-Qualité des enseignements et des apprentissages</v>
      </c>
      <c r="AA647" s="19" t="str">
        <f>B647 &amp; "-" &amp; VLOOKUP(B647,[4]SOUSPROGRAMMES!$E$1:$F$44,2,FALSE)</f>
        <v>24- Encadrement des enseignants : appui et contrôle</v>
      </c>
      <c r="AB647" s="19" t="str">
        <f>C647 &amp; "-" &amp; VLOOKUP(C647,[4]RESULTATS!$E$1:$F$176,2,FALSE)</f>
        <v>241- Un dispositif efficace d’encadrement est défini (organisation, rôles des différents acteurs)</v>
      </c>
      <c r="AC647" s="20" t="str">
        <f>D647 &amp; "-" &amp; VLOOKUP(D647,[4]STRATEGIES!$E$1:$F$504,2,FALSE)</f>
        <v>2411-Etat des lieux de l’encadrement (Forces et faiblesses)</v>
      </c>
      <c r="AD647" s="21" t="str">
        <f t="shared" si="142"/>
        <v>2411-Etat des lieux de l’encadrement (Forces et faiblesses)</v>
      </c>
    </row>
    <row r="648" spans="1:30" s="22" customFormat="1" ht="45" hidden="1" customHeight="1" x14ac:dyDescent="0.8">
      <c r="A648" s="14">
        <v>2</v>
      </c>
      <c r="B648" s="15">
        <v>24</v>
      </c>
      <c r="C648" s="15">
        <v>241</v>
      </c>
      <c r="D648" s="15">
        <v>2411</v>
      </c>
      <c r="E648" s="15">
        <v>24111</v>
      </c>
      <c r="F648" s="16" t="s">
        <v>805</v>
      </c>
      <c r="G648" s="21" t="s">
        <v>37</v>
      </c>
      <c r="H648" s="17" t="s">
        <v>66</v>
      </c>
      <c r="I648" s="18">
        <v>0</v>
      </c>
      <c r="J648" s="18">
        <f>15*5</f>
        <v>75</v>
      </c>
      <c r="K648" s="18"/>
      <c r="L648" s="18"/>
      <c r="M648" s="18">
        <f t="shared" ref="M648:M719" si="143">SUM(I648:L648)</f>
        <v>75</v>
      </c>
      <c r="N648" s="18">
        <f>IF(OR(H648="",H648="sif",H648="PM"),0,VLOOKUP(H648,[5]CU!$C$4:$H$255,6,FALSE))</f>
        <v>0.255</v>
      </c>
      <c r="O648" s="18">
        <f t="shared" ref="O648:R703" si="144">IFERROR($N648*I648,0)</f>
        <v>0</v>
      </c>
      <c r="P648" s="18">
        <f t="shared" si="144"/>
        <v>19.125</v>
      </c>
      <c r="Q648" s="18">
        <f t="shared" si="144"/>
        <v>0</v>
      </c>
      <c r="R648" s="18">
        <f t="shared" si="144"/>
        <v>0</v>
      </c>
      <c r="S648" s="24">
        <f t="shared" ref="S648:S661" si="145">SUM(O648:R648)</f>
        <v>19.125</v>
      </c>
      <c r="T648" s="23" t="s">
        <v>39</v>
      </c>
      <c r="U648" s="19" t="s">
        <v>647</v>
      </c>
      <c r="V648" s="19" t="str">
        <f>IF(OR($H648="",$H648="sif",$H648="PM"),"",VLOOKUP($H648,[5]CU!$C$5:$J$255,8,FALSE))</f>
        <v>3. Dépenses de fonctionnement</v>
      </c>
      <c r="W648" s="19" t="s">
        <v>708</v>
      </c>
      <c r="X648" s="19" t="s">
        <v>806</v>
      </c>
      <c r="Y648" s="19" t="s">
        <v>32</v>
      </c>
      <c r="Z648" s="18" t="str">
        <f>A648 &amp; "-" &amp; VLOOKUP(A648,[4]PROGRAMMES!$E$1:$F$7,2,FALSE)</f>
        <v>2-Qualité des enseignements et des apprentissages</v>
      </c>
      <c r="AA648" s="19" t="str">
        <f>B648 &amp; "-" &amp; VLOOKUP(B648,[4]SOUSPROGRAMMES!$E$1:$F$44,2,FALSE)</f>
        <v>24- Encadrement des enseignants : appui et contrôle</v>
      </c>
      <c r="AB648" s="19" t="str">
        <f>C648 &amp; "-" &amp; VLOOKUP(C648,[4]RESULTATS!$E$1:$F$176,2,FALSE)</f>
        <v>241- Un dispositif efficace d’encadrement est défini (organisation, rôles des différents acteurs)</v>
      </c>
      <c r="AC648" s="20" t="str">
        <f>D648 &amp; "-" &amp; VLOOKUP(D648,[4]STRATEGIES!$E$1:$F$504,2,FALSE)</f>
        <v>2411-Etat des lieux de l’encadrement (Forces et faiblesses)</v>
      </c>
      <c r="AD648" s="21" t="str">
        <f t="shared" si="142"/>
        <v>24111-Préparation des outils du diagnostic</v>
      </c>
    </row>
    <row r="649" spans="1:30" s="22" customFormat="1" ht="45" hidden="1" customHeight="1" x14ac:dyDescent="0.8">
      <c r="A649" s="14">
        <v>2</v>
      </c>
      <c r="B649" s="15">
        <v>24</v>
      </c>
      <c r="C649" s="15">
        <v>241</v>
      </c>
      <c r="D649" s="15">
        <v>2411</v>
      </c>
      <c r="E649" s="15">
        <v>24112</v>
      </c>
      <c r="F649" s="16" t="s">
        <v>807</v>
      </c>
      <c r="G649" s="21" t="s">
        <v>58</v>
      </c>
      <c r="H649" s="17" t="s">
        <v>59</v>
      </c>
      <c r="I649" s="18">
        <v>0</v>
      </c>
      <c r="J649" s="18">
        <f>8*5</f>
        <v>40</v>
      </c>
      <c r="K649" s="18"/>
      <c r="L649" s="18"/>
      <c r="M649" s="18">
        <f t="shared" si="143"/>
        <v>40</v>
      </c>
      <c r="N649" s="18">
        <f>IF(OR(H649="",H649="sif",H649="PM"),0,VLOOKUP(H649,[5]CU!$C$4:$H$255,6,FALSE))</f>
        <v>0.8177777777777776</v>
      </c>
      <c r="O649" s="18">
        <f t="shared" si="144"/>
        <v>0</v>
      </c>
      <c r="P649" s="18">
        <f t="shared" si="144"/>
        <v>32.711111111111101</v>
      </c>
      <c r="Q649" s="18">
        <f t="shared" si="144"/>
        <v>0</v>
      </c>
      <c r="R649" s="18">
        <f t="shared" si="144"/>
        <v>0</v>
      </c>
      <c r="S649" s="24">
        <f t="shared" si="145"/>
        <v>32.711111111111101</v>
      </c>
      <c r="T649" s="23" t="s">
        <v>39</v>
      </c>
      <c r="U649" s="19" t="s">
        <v>647</v>
      </c>
      <c r="V649" s="19" t="str">
        <f>IF(OR($H649="",$H649="sif",$H649="PM"),"",VLOOKUP($H649,[5]CU!$C$5:$J$255,8,FALSE))</f>
        <v>3. Dépenses de fonctionnement</v>
      </c>
      <c r="W649" s="19" t="s">
        <v>708</v>
      </c>
      <c r="X649" s="19" t="s">
        <v>806</v>
      </c>
      <c r="Y649" s="19" t="s">
        <v>32</v>
      </c>
      <c r="Z649" s="18" t="str">
        <f>A649 &amp; "-" &amp; VLOOKUP(A649,[4]PROGRAMMES!$E$1:$F$7,2,FALSE)</f>
        <v>2-Qualité des enseignements et des apprentissages</v>
      </c>
      <c r="AA649" s="19" t="str">
        <f>B649 &amp; "-" &amp; VLOOKUP(B649,[4]SOUSPROGRAMMES!$E$1:$F$44,2,FALSE)</f>
        <v>24- Encadrement des enseignants : appui et contrôle</v>
      </c>
      <c r="AB649" s="19" t="str">
        <f>C649 &amp; "-" &amp; VLOOKUP(C649,[4]RESULTATS!$E$1:$F$176,2,FALSE)</f>
        <v>241- Un dispositif efficace d’encadrement est défini (organisation, rôles des différents acteurs)</v>
      </c>
      <c r="AC649" s="20" t="str">
        <f>D649 &amp; "-" &amp; VLOOKUP(D649,[4]STRATEGIES!$E$1:$F$504,2,FALSE)</f>
        <v>2411-Etat des lieux de l’encadrement (Forces et faiblesses)</v>
      </c>
      <c r="AD649" s="21" t="str">
        <f t="shared" si="142"/>
        <v>24112-Recueil des informations qualitatives et quantitatives sur la pertinence de l'encadrement actuel</v>
      </c>
    </row>
    <row r="650" spans="1:30" s="22" customFormat="1" ht="45" hidden="1" customHeight="1" x14ac:dyDescent="0.8">
      <c r="A650" s="14">
        <v>2</v>
      </c>
      <c r="B650" s="15">
        <v>24</v>
      </c>
      <c r="C650" s="15">
        <v>241</v>
      </c>
      <c r="D650" s="15">
        <v>2411</v>
      </c>
      <c r="E650" s="15">
        <v>24113</v>
      </c>
      <c r="F650" s="16" t="s">
        <v>808</v>
      </c>
      <c r="G650" s="21" t="s">
        <v>37</v>
      </c>
      <c r="H650" s="17" t="s">
        <v>66</v>
      </c>
      <c r="I650" s="18">
        <v>0</v>
      </c>
      <c r="J650" s="18">
        <f>15*3</f>
        <v>45</v>
      </c>
      <c r="K650" s="18"/>
      <c r="L650" s="18"/>
      <c r="M650" s="18">
        <f t="shared" si="143"/>
        <v>45</v>
      </c>
      <c r="N650" s="18">
        <f>IF(OR(H650="",H650="sif",H650="PM"),0,VLOOKUP(H650,[5]CU!$C$4:$H$255,6,FALSE))</f>
        <v>0.255</v>
      </c>
      <c r="O650" s="18">
        <f t="shared" si="144"/>
        <v>0</v>
      </c>
      <c r="P650" s="18">
        <f t="shared" si="144"/>
        <v>11.475</v>
      </c>
      <c r="Q650" s="18">
        <f t="shared" si="144"/>
        <v>0</v>
      </c>
      <c r="R650" s="18">
        <f t="shared" si="144"/>
        <v>0</v>
      </c>
      <c r="S650" s="24">
        <f t="shared" si="145"/>
        <v>11.475</v>
      </c>
      <c r="T650" s="23" t="s">
        <v>39</v>
      </c>
      <c r="U650" s="19" t="s">
        <v>647</v>
      </c>
      <c r="V650" s="19" t="str">
        <f>IF(OR($H650="",$H650="sif",$H650="PM"),"",VLOOKUP($H650,[5]CU!$C$5:$J$255,8,FALSE))</f>
        <v>3. Dépenses de fonctionnement</v>
      </c>
      <c r="W650" s="19" t="s">
        <v>708</v>
      </c>
      <c r="X650" s="19" t="s">
        <v>806</v>
      </c>
      <c r="Y650" s="19" t="s">
        <v>32</v>
      </c>
      <c r="Z650" s="18" t="str">
        <f>A650 &amp; "-" &amp; VLOOKUP(A650,[4]PROGRAMMES!$E$1:$F$7,2,FALSE)</f>
        <v>2-Qualité des enseignements et des apprentissages</v>
      </c>
      <c r="AA650" s="19" t="str">
        <f>B650 &amp; "-" &amp; VLOOKUP(B650,[4]SOUSPROGRAMMES!$E$1:$F$44,2,FALSE)</f>
        <v>24- Encadrement des enseignants : appui et contrôle</v>
      </c>
      <c r="AB650" s="19" t="str">
        <f>C650 &amp; "-" &amp; VLOOKUP(C650,[4]RESULTATS!$E$1:$F$176,2,FALSE)</f>
        <v>241- Un dispositif efficace d’encadrement est défini (organisation, rôles des différents acteurs)</v>
      </c>
      <c r="AC650" s="20" t="str">
        <f>D650 &amp; "-" &amp; VLOOKUP(D650,[4]STRATEGIES!$E$1:$F$504,2,FALSE)</f>
        <v>2411-Etat des lieux de l’encadrement (Forces et faiblesses)</v>
      </c>
      <c r="AD650" s="21" t="str">
        <f t="shared" si="142"/>
        <v>24113-Traitement et analyse des informations collectées</v>
      </c>
    </row>
    <row r="651" spans="1:30" s="22" customFormat="1" ht="45" hidden="1" customHeight="1" x14ac:dyDescent="0.8">
      <c r="A651" s="14">
        <v>2</v>
      </c>
      <c r="B651" s="15">
        <v>24</v>
      </c>
      <c r="C651" s="15">
        <v>241</v>
      </c>
      <c r="D651" s="15">
        <v>2411</v>
      </c>
      <c r="E651" s="15">
        <v>24114</v>
      </c>
      <c r="F651" s="16" t="s">
        <v>809</v>
      </c>
      <c r="G651" s="21" t="s">
        <v>37</v>
      </c>
      <c r="H651" s="17" t="s">
        <v>38</v>
      </c>
      <c r="I651" s="18">
        <v>0</v>
      </c>
      <c r="J651" s="18">
        <f>25*3</f>
        <v>75</v>
      </c>
      <c r="K651" s="18"/>
      <c r="L651" s="18"/>
      <c r="M651" s="18">
        <f t="shared" si="143"/>
        <v>75</v>
      </c>
      <c r="N651" s="18">
        <f>IF(OR(H651="",H651="sif",H651="PM"),0,VLOOKUP(H651,[5]CU!$C$4:$H$255,6,FALSE))</f>
        <v>0.3133333333333333</v>
      </c>
      <c r="O651" s="18">
        <f t="shared" si="144"/>
        <v>0</v>
      </c>
      <c r="P651" s="18">
        <f t="shared" si="144"/>
        <v>23.499999999999996</v>
      </c>
      <c r="Q651" s="18">
        <f t="shared" si="144"/>
        <v>0</v>
      </c>
      <c r="R651" s="18">
        <f t="shared" si="144"/>
        <v>0</v>
      </c>
      <c r="S651" s="24">
        <f t="shared" si="145"/>
        <v>23.499999999999996</v>
      </c>
      <c r="T651" s="23" t="s">
        <v>39</v>
      </c>
      <c r="U651" s="19" t="s">
        <v>647</v>
      </c>
      <c r="V651" s="19" t="str">
        <f>IF(OR($H651="",$H651="sif",$H651="PM"),"",VLOOKUP($H651,[5]CU!$C$5:$J$255,8,FALSE))</f>
        <v>3. Formation</v>
      </c>
      <c r="W651" s="19" t="s">
        <v>708</v>
      </c>
      <c r="X651" s="19" t="s">
        <v>806</v>
      </c>
      <c r="Y651" s="19" t="s">
        <v>32</v>
      </c>
      <c r="Z651" s="18" t="str">
        <f>A651 &amp; "-" &amp; VLOOKUP(A651,[4]PROGRAMMES!$E$1:$F$7,2,FALSE)</f>
        <v>2-Qualité des enseignements et des apprentissages</v>
      </c>
      <c r="AA651" s="19" t="str">
        <f>B651 &amp; "-" &amp; VLOOKUP(B651,[4]SOUSPROGRAMMES!$E$1:$F$44,2,FALSE)</f>
        <v>24- Encadrement des enseignants : appui et contrôle</v>
      </c>
      <c r="AB651" s="19" t="str">
        <f>C651 &amp; "-" &amp; VLOOKUP(C651,[4]RESULTATS!$E$1:$F$176,2,FALSE)</f>
        <v>241- Un dispositif efficace d’encadrement est défini (organisation, rôles des différents acteurs)</v>
      </c>
      <c r="AC651" s="20" t="str">
        <f>D651 &amp; "-" &amp; VLOOKUP(D651,[4]STRATEGIES!$E$1:$F$504,2,FALSE)</f>
        <v>2411-Etat des lieux de l’encadrement (Forces et faiblesses)</v>
      </c>
      <c r="AD651" s="21" t="str">
        <f t="shared" si="142"/>
        <v>24114-Partage et validation des résultats issus du diagnostic</v>
      </c>
    </row>
    <row r="652" spans="1:30" s="22" customFormat="1" ht="45" hidden="1" customHeight="1" x14ac:dyDescent="0.8">
      <c r="A652" s="14">
        <v>2</v>
      </c>
      <c r="B652" s="15">
        <v>24</v>
      </c>
      <c r="C652" s="15">
        <v>241</v>
      </c>
      <c r="D652" s="15">
        <v>2412</v>
      </c>
      <c r="E652" s="15">
        <v>2412</v>
      </c>
      <c r="F652" s="16" t="s">
        <v>810</v>
      </c>
      <c r="G652" s="17"/>
      <c r="H652" s="17"/>
      <c r="I652" s="18">
        <v>0</v>
      </c>
      <c r="J652" s="18"/>
      <c r="K652" s="18"/>
      <c r="L652" s="18"/>
      <c r="M652" s="18"/>
      <c r="N652" s="18"/>
      <c r="O652" s="18"/>
      <c r="P652" s="18"/>
      <c r="Q652" s="18"/>
      <c r="R652" s="18"/>
      <c r="S652" s="24"/>
      <c r="T652" s="18"/>
      <c r="U652" s="18"/>
      <c r="V652" s="18"/>
      <c r="W652" s="18"/>
      <c r="X652" s="18"/>
      <c r="Y652" s="19" t="s">
        <v>32</v>
      </c>
      <c r="Z652" s="18" t="str">
        <f>A652 &amp; "-" &amp; VLOOKUP(A652,[4]PROGRAMMES!$E$1:$F$7,2,FALSE)</f>
        <v>2-Qualité des enseignements et des apprentissages</v>
      </c>
      <c r="AA652" s="19" t="str">
        <f>B652 &amp; "-" &amp; VLOOKUP(B652,[4]SOUSPROGRAMMES!$E$1:$F$44,2,FALSE)</f>
        <v>24- Encadrement des enseignants : appui et contrôle</v>
      </c>
      <c r="AB652" s="19" t="str">
        <f>C652 &amp; "-" &amp; VLOOKUP(C652,[4]RESULTATS!$E$1:$F$176,2,FALSE)</f>
        <v>241- Un dispositif efficace d’encadrement est défini (organisation, rôles des différents acteurs)</v>
      </c>
      <c r="AC652" s="20" t="str">
        <f>D652 &amp; "-" &amp; VLOOKUP(D652,[4]STRATEGIES!$E$1:$F$504,2,FALSE)</f>
        <v>2412-Conception, élaboration et validation de nouveaux textes relatifs aux rôles et responsabilités des acteurs dans l'encadrement</v>
      </c>
      <c r="AD652" s="21" t="str">
        <f t="shared" si="142"/>
        <v>2412-Conception, élaboration et validation de nouveaux textes relatifs aux rôles et responsabilités des acteurs dans l'encadrement</v>
      </c>
    </row>
    <row r="653" spans="1:30" s="22" customFormat="1" ht="45" hidden="1" customHeight="1" x14ac:dyDescent="0.8">
      <c r="A653" s="14">
        <v>2</v>
      </c>
      <c r="B653" s="15">
        <v>24</v>
      </c>
      <c r="C653" s="15">
        <v>241</v>
      </c>
      <c r="D653" s="15">
        <v>2412</v>
      </c>
      <c r="E653" s="15">
        <v>24121</v>
      </c>
      <c r="F653" s="16" t="s">
        <v>811</v>
      </c>
      <c r="G653" s="21" t="s">
        <v>37</v>
      </c>
      <c r="H653" s="17" t="s">
        <v>38</v>
      </c>
      <c r="I653" s="18">
        <v>0</v>
      </c>
      <c r="J653" s="18"/>
      <c r="K653" s="18">
        <f>10*2</f>
        <v>20</v>
      </c>
      <c r="L653" s="18"/>
      <c r="M653" s="18">
        <f t="shared" si="143"/>
        <v>20</v>
      </c>
      <c r="N653" s="18">
        <f>IF(OR(H653="",H653="sif",H653="PM"),0,VLOOKUP(H653,[5]CU!$C$4:$H$255,6,FALSE))</f>
        <v>0.3133333333333333</v>
      </c>
      <c r="O653" s="18">
        <f t="shared" si="144"/>
        <v>0</v>
      </c>
      <c r="P653" s="18">
        <f t="shared" si="144"/>
        <v>0</v>
      </c>
      <c r="Q653" s="18">
        <f t="shared" si="144"/>
        <v>6.2666666666666657</v>
      </c>
      <c r="R653" s="18">
        <f t="shared" si="144"/>
        <v>0</v>
      </c>
      <c r="S653" s="24">
        <f t="shared" si="145"/>
        <v>6.2666666666666657</v>
      </c>
      <c r="T653" s="23" t="s">
        <v>39</v>
      </c>
      <c r="U653" s="19" t="s">
        <v>647</v>
      </c>
      <c r="V653" s="19" t="str">
        <f>IF(OR($H653="",$H653="sif",$H653="PM"),"",VLOOKUP($H653,[5]CU!$C$5:$J$255,8,FALSE))</f>
        <v>3. Formation</v>
      </c>
      <c r="W653" s="19" t="s">
        <v>708</v>
      </c>
      <c r="X653" s="19" t="s">
        <v>273</v>
      </c>
      <c r="Y653" s="19" t="s">
        <v>32</v>
      </c>
      <c r="Z653" s="18" t="str">
        <f>A653 &amp; "-" &amp; VLOOKUP(A653,[4]PROGRAMMES!$E$1:$F$7,2,FALSE)</f>
        <v>2-Qualité des enseignements et des apprentissages</v>
      </c>
      <c r="AA653" s="19" t="str">
        <f>B653 &amp; "-" &amp; VLOOKUP(B653,[4]SOUSPROGRAMMES!$E$1:$F$44,2,FALSE)</f>
        <v>24- Encadrement des enseignants : appui et contrôle</v>
      </c>
      <c r="AB653" s="19" t="str">
        <f>C653 &amp; "-" &amp; VLOOKUP(C653,[4]RESULTATS!$E$1:$F$176,2,FALSE)</f>
        <v>241- Un dispositif efficace d’encadrement est défini (organisation, rôles des différents acteurs)</v>
      </c>
      <c r="AC653" s="20" t="str">
        <f>D653 &amp; "-" &amp; VLOOKUP(D653,[4]STRATEGIES!$E$1:$F$504,2,FALSE)</f>
        <v>2412-Conception, élaboration et validation de nouveaux textes relatifs aux rôles et responsabilités des acteurs dans l'encadrement</v>
      </c>
      <c r="AD653" s="21" t="str">
        <f t="shared" si="142"/>
        <v>24121-Elaboration et mise en œuvre d'une feuille de route pour l'encadrement des enseignants</v>
      </c>
    </row>
    <row r="654" spans="1:30" s="22" customFormat="1" ht="45" hidden="1" customHeight="1" x14ac:dyDescent="0.8">
      <c r="A654" s="14">
        <v>2</v>
      </c>
      <c r="B654" s="15">
        <v>24</v>
      </c>
      <c r="C654" s="15">
        <v>241</v>
      </c>
      <c r="D654" s="15">
        <v>2412</v>
      </c>
      <c r="E654" s="15">
        <v>24122</v>
      </c>
      <c r="F654" s="16" t="s">
        <v>812</v>
      </c>
      <c r="G654" s="21" t="s">
        <v>37</v>
      </c>
      <c r="H654" s="17" t="s">
        <v>38</v>
      </c>
      <c r="I654" s="18">
        <v>0</v>
      </c>
      <c r="J654" s="18"/>
      <c r="K654" s="18">
        <f>(10*7)+(30*1)</f>
        <v>100</v>
      </c>
      <c r="L654" s="18"/>
      <c r="M654" s="18">
        <f t="shared" si="143"/>
        <v>100</v>
      </c>
      <c r="N654" s="18">
        <f>IF(OR(H654="",H654="sif",H654="PM"),0,VLOOKUP(H654,[5]CU!$C$4:$H$255,6,FALSE))</f>
        <v>0.3133333333333333</v>
      </c>
      <c r="O654" s="18">
        <f t="shared" si="144"/>
        <v>0</v>
      </c>
      <c r="P654" s="18">
        <f t="shared" si="144"/>
        <v>0</v>
      </c>
      <c r="Q654" s="18">
        <f t="shared" si="144"/>
        <v>31.333333333333329</v>
      </c>
      <c r="R654" s="18">
        <f t="shared" si="144"/>
        <v>0</v>
      </c>
      <c r="S654" s="24">
        <f t="shared" si="145"/>
        <v>31.333333333333329</v>
      </c>
      <c r="T654" s="23" t="s">
        <v>39</v>
      </c>
      <c r="U654" s="19" t="s">
        <v>647</v>
      </c>
      <c r="V654" s="19" t="str">
        <f>IF(OR($H654="",$H654="sif",$H654="PM"),"",VLOOKUP($H654,[5]CU!$C$5:$J$255,8,FALSE))</f>
        <v>3. Formation</v>
      </c>
      <c r="W654" s="19" t="s">
        <v>708</v>
      </c>
      <c r="X654" s="19" t="s">
        <v>273</v>
      </c>
      <c r="Y654" s="19" t="s">
        <v>32</v>
      </c>
      <c r="Z654" s="18" t="str">
        <f>A654 &amp; "-" &amp; VLOOKUP(A654,[4]PROGRAMMES!$E$1:$F$7,2,FALSE)</f>
        <v>2-Qualité des enseignements et des apprentissages</v>
      </c>
      <c r="AA654" s="19" t="str">
        <f>B654 &amp; "-" &amp; VLOOKUP(B654,[4]SOUSPROGRAMMES!$E$1:$F$44,2,FALSE)</f>
        <v>24- Encadrement des enseignants : appui et contrôle</v>
      </c>
      <c r="AB654" s="19" t="str">
        <f>C654 &amp; "-" &amp; VLOOKUP(C654,[4]RESULTATS!$E$1:$F$176,2,FALSE)</f>
        <v>241- Un dispositif efficace d’encadrement est défini (organisation, rôles des différents acteurs)</v>
      </c>
      <c r="AC654" s="20" t="str">
        <f>D654 &amp; "-" &amp; VLOOKUP(D654,[4]STRATEGIES!$E$1:$F$504,2,FALSE)</f>
        <v>2412-Conception, élaboration et validation de nouveaux textes relatifs aux rôles et responsabilités des acteurs dans l'encadrement</v>
      </c>
      <c r="AD654" s="21" t="str">
        <f t="shared" si="142"/>
        <v>24122-Conception, élaboration et validation de nouveaux textes et manuel de procédures relatifs aux rôles et responsabilités des acteurs dans l'encadrement</v>
      </c>
    </row>
    <row r="655" spans="1:30" s="22" customFormat="1" ht="45" hidden="1" customHeight="1" x14ac:dyDescent="0.8">
      <c r="A655" s="14">
        <v>2</v>
      </c>
      <c r="B655" s="15">
        <v>24</v>
      </c>
      <c r="C655" s="15">
        <v>241</v>
      </c>
      <c r="D655" s="15">
        <v>2413</v>
      </c>
      <c r="E655" s="15">
        <v>2413</v>
      </c>
      <c r="F655" s="16" t="s">
        <v>813</v>
      </c>
      <c r="G655" s="17"/>
      <c r="H655" s="17"/>
      <c r="I655" s="18">
        <v>0</v>
      </c>
      <c r="J655" s="18"/>
      <c r="K655" s="18"/>
      <c r="L655" s="18"/>
      <c r="M655" s="18"/>
      <c r="N655" s="18"/>
      <c r="O655" s="18"/>
      <c r="P655" s="18"/>
      <c r="Q655" s="18"/>
      <c r="R655" s="18"/>
      <c r="S655" s="24"/>
      <c r="T655" s="18"/>
      <c r="U655" s="18"/>
      <c r="V655" s="18"/>
      <c r="W655" s="18"/>
      <c r="X655" s="18"/>
      <c r="Y655" s="19" t="s">
        <v>32</v>
      </c>
      <c r="Z655" s="18" t="str">
        <f>A655 &amp; "-" &amp; VLOOKUP(A655,[4]PROGRAMMES!$E$1:$F$7,2,FALSE)</f>
        <v>2-Qualité des enseignements et des apprentissages</v>
      </c>
      <c r="AA655" s="19" t="str">
        <f>B655 &amp; "-" &amp; VLOOKUP(B655,[4]SOUSPROGRAMMES!$E$1:$F$44,2,FALSE)</f>
        <v>24- Encadrement des enseignants : appui et contrôle</v>
      </c>
      <c r="AB655" s="19" t="str">
        <f>C655 &amp; "-" &amp; VLOOKUP(C655,[4]RESULTATS!$E$1:$F$176,2,FALSE)</f>
        <v>241- Un dispositif efficace d’encadrement est défini (organisation, rôles des différents acteurs)</v>
      </c>
      <c r="AC655" s="20" t="str">
        <f>D655 &amp; "-" &amp; VLOOKUP(D655,[4]STRATEGIES!$E$1:$F$504,2,FALSE)</f>
        <v>2413-Dissémination du manuel de procédures d’encadrement et expérimentation</v>
      </c>
      <c r="AD655" s="21" t="str">
        <f t="shared" si="142"/>
        <v>2413-Dissémination du manuel de procédures d’encadrement et expérimentation</v>
      </c>
    </row>
    <row r="656" spans="1:30" s="22" customFormat="1" ht="45" hidden="1" customHeight="1" x14ac:dyDescent="0.8">
      <c r="A656" s="14">
        <v>2</v>
      </c>
      <c r="B656" s="15">
        <v>24</v>
      </c>
      <c r="C656" s="15">
        <v>241</v>
      </c>
      <c r="D656" s="15">
        <v>2413</v>
      </c>
      <c r="E656" s="15">
        <v>24131</v>
      </c>
      <c r="F656" s="16" t="s">
        <v>814</v>
      </c>
      <c r="G656" s="21" t="s">
        <v>815</v>
      </c>
      <c r="H656" s="17" t="s">
        <v>816</v>
      </c>
      <c r="I656" s="18">
        <v>0</v>
      </c>
      <c r="J656" s="18"/>
      <c r="K656" s="18">
        <f>427+(46*4)*1.2</f>
        <v>647.79999999999995</v>
      </c>
      <c r="L656" s="18"/>
      <c r="M656" s="18">
        <f t="shared" si="143"/>
        <v>647.79999999999995</v>
      </c>
      <c r="N656" s="18">
        <f>IF(OR(H656="",H656="sif",H656="PM"),0,VLOOKUP(H656,[5]CU!$C$4:$H$255,6,FALSE))</f>
        <v>7.4999999999999997E-3</v>
      </c>
      <c r="O656" s="18">
        <f t="shared" si="144"/>
        <v>0</v>
      </c>
      <c r="P656" s="18">
        <f t="shared" si="144"/>
        <v>0</v>
      </c>
      <c r="Q656" s="18">
        <f t="shared" si="144"/>
        <v>4.8584999999999994</v>
      </c>
      <c r="R656" s="18">
        <f t="shared" si="144"/>
        <v>0</v>
      </c>
      <c r="S656" s="24">
        <f t="shared" si="145"/>
        <v>4.8584999999999994</v>
      </c>
      <c r="T656" s="23" t="s">
        <v>39</v>
      </c>
      <c r="U656" s="19" t="s">
        <v>647</v>
      </c>
      <c r="V656" s="19" t="str">
        <f>IF(OR($H656="",$H656="sif",$H656="PM"),"",VLOOKUP($H656,[5]CU!$C$5:$J$255,8,FALSE))</f>
        <v>3. Dépenses de fonctionnement</v>
      </c>
      <c r="W656" s="19" t="s">
        <v>708</v>
      </c>
      <c r="X656" s="19" t="s">
        <v>817</v>
      </c>
      <c r="Y656" s="19" t="s">
        <v>32</v>
      </c>
      <c r="Z656" s="18" t="str">
        <f>A656 &amp; "-" &amp; VLOOKUP(A656,[4]PROGRAMMES!$E$1:$F$7,2,FALSE)</f>
        <v>2-Qualité des enseignements et des apprentissages</v>
      </c>
      <c r="AA656" s="19" t="str">
        <f>B656 &amp; "-" &amp; VLOOKUP(B656,[4]SOUSPROGRAMMES!$E$1:$F$44,2,FALSE)</f>
        <v>24- Encadrement des enseignants : appui et contrôle</v>
      </c>
      <c r="AB656" s="19" t="str">
        <f>C656 &amp; "-" &amp; VLOOKUP(C656,[4]RESULTATS!$E$1:$F$176,2,FALSE)</f>
        <v>241- Un dispositif efficace d’encadrement est défini (organisation, rôles des différents acteurs)</v>
      </c>
      <c r="AC656" s="20" t="str">
        <f>D656 &amp; "-" &amp; VLOOKUP(D656,[4]STRATEGIES!$E$1:$F$504,2,FALSE)</f>
        <v>2413-Dissémination du manuel de procédures d’encadrement et expérimentation</v>
      </c>
      <c r="AD656" s="21" t="str">
        <f t="shared" si="142"/>
        <v>24131-Dissémination du manuel de procédures d’encadrement</v>
      </c>
    </row>
    <row r="657" spans="1:30" s="22" customFormat="1" ht="45" hidden="1" customHeight="1" x14ac:dyDescent="0.8">
      <c r="A657" s="14">
        <v>2</v>
      </c>
      <c r="B657" s="15">
        <v>24</v>
      </c>
      <c r="C657" s="15">
        <v>241</v>
      </c>
      <c r="D657" s="15">
        <v>2413</v>
      </c>
      <c r="E657" s="15">
        <v>24132</v>
      </c>
      <c r="F657" s="16" t="s">
        <v>818</v>
      </c>
      <c r="G657" s="21" t="s">
        <v>58</v>
      </c>
      <c r="H657" s="17" t="s">
        <v>59</v>
      </c>
      <c r="I657" s="18">
        <v>0</v>
      </c>
      <c r="J657" s="18"/>
      <c r="K657" s="18"/>
      <c r="L657" s="18">
        <f>8*6*6</f>
        <v>288</v>
      </c>
      <c r="M657" s="18">
        <f t="shared" si="143"/>
        <v>288</v>
      </c>
      <c r="N657" s="18">
        <f>IF(OR(H657="",H657="sif",H657="PM"),0,VLOOKUP(H657,[5]CU!$C$4:$H$255,6,FALSE))</f>
        <v>0.8177777777777776</v>
      </c>
      <c r="O657" s="18">
        <f t="shared" si="144"/>
        <v>0</v>
      </c>
      <c r="P657" s="18">
        <f t="shared" si="144"/>
        <v>0</v>
      </c>
      <c r="Q657" s="18">
        <f t="shared" si="144"/>
        <v>0</v>
      </c>
      <c r="R657" s="18">
        <f t="shared" si="144"/>
        <v>235.51999999999995</v>
      </c>
      <c r="S657" s="24">
        <f t="shared" si="145"/>
        <v>235.51999999999995</v>
      </c>
      <c r="T657" s="23" t="s">
        <v>39</v>
      </c>
      <c r="U657" s="19" t="s">
        <v>647</v>
      </c>
      <c r="V657" s="19" t="str">
        <f>IF(OR($H657="",$H657="sif",$H657="PM"),"",VLOOKUP($H657,[5]CU!$C$5:$J$255,8,FALSE))</f>
        <v>3. Dépenses de fonctionnement</v>
      </c>
      <c r="W657" s="19" t="s">
        <v>708</v>
      </c>
      <c r="X657" s="19" t="s">
        <v>273</v>
      </c>
      <c r="Y657" s="19" t="s">
        <v>32</v>
      </c>
      <c r="Z657" s="18" t="str">
        <f>A657 &amp; "-" &amp; VLOOKUP(A657,[4]PROGRAMMES!$E$1:$F$7,2,FALSE)</f>
        <v>2-Qualité des enseignements et des apprentissages</v>
      </c>
      <c r="AA657" s="19" t="str">
        <f>B657 &amp; "-" &amp; VLOOKUP(B657,[4]SOUSPROGRAMMES!$E$1:$F$44,2,FALSE)</f>
        <v>24- Encadrement des enseignants : appui et contrôle</v>
      </c>
      <c r="AB657" s="19" t="str">
        <f>C657 &amp; "-" &amp; VLOOKUP(C657,[4]RESULTATS!$E$1:$F$176,2,FALSE)</f>
        <v>241- Un dispositif efficace d’encadrement est défini (organisation, rôles des différents acteurs)</v>
      </c>
      <c r="AC657" s="20" t="str">
        <f>D657 &amp; "-" &amp; VLOOKUP(D657,[4]STRATEGIES!$E$1:$F$504,2,FALSE)</f>
        <v>2413-Dissémination du manuel de procédures d’encadrement et expérimentation</v>
      </c>
      <c r="AD657" s="21" t="str">
        <f t="shared" si="142"/>
        <v>24132-Suivi du respect du manuel de procédures de l'encadrement</v>
      </c>
    </row>
    <row r="658" spans="1:30" s="22" customFormat="1" ht="45" hidden="1" customHeight="1" x14ac:dyDescent="0.8">
      <c r="A658" s="14">
        <v>2</v>
      </c>
      <c r="B658" s="15">
        <v>24</v>
      </c>
      <c r="C658" s="15">
        <v>242</v>
      </c>
      <c r="D658" s="15">
        <v>242</v>
      </c>
      <c r="E658" s="15">
        <v>242</v>
      </c>
      <c r="F658" s="16" t="s">
        <v>819</v>
      </c>
      <c r="G658" s="17"/>
      <c r="H658" s="17"/>
      <c r="I658" s="18">
        <v>0</v>
      </c>
      <c r="J658" s="18"/>
      <c r="K658" s="18"/>
      <c r="L658" s="18"/>
      <c r="M658" s="18"/>
      <c r="N658" s="18"/>
      <c r="O658" s="18"/>
      <c r="P658" s="18"/>
      <c r="Q658" s="18"/>
      <c r="R658" s="18"/>
      <c r="S658" s="24"/>
      <c r="T658" s="18"/>
      <c r="U658" s="18"/>
      <c r="V658" s="18"/>
      <c r="W658" s="18"/>
      <c r="X658" s="18"/>
      <c r="Y658" s="19" t="s">
        <v>32</v>
      </c>
      <c r="Z658" s="18" t="str">
        <f>A658 &amp; "-" &amp; VLOOKUP(A658,[4]PROGRAMMES!$E$1:$F$7,2,FALSE)</f>
        <v>2-Qualité des enseignements et des apprentissages</v>
      </c>
      <c r="AA658" s="19" t="str">
        <f>B658 &amp; "-" &amp; VLOOKUP(B658,[4]SOUSPROGRAMMES!$E$1:$F$44,2,FALSE)</f>
        <v>24- Encadrement des enseignants : appui et contrôle</v>
      </c>
      <c r="AB658" s="19" t="str">
        <f>C658 &amp; "-" &amp; VLOOKUP(C658,[4]RESULTATS!$E$1:$F$176,2,FALSE)</f>
        <v>242- L’encadrement dispose des ressources humaines en nombre nécessaire et en profil pertinent</v>
      </c>
      <c r="AC658" s="20" t="str">
        <f>D658 &amp; "-" &amp; VLOOKUP(D658,[4]STRATEGIES!$E$1:$F$504,2,FALSE)</f>
        <v>242- L’encadrement dispose des ressources humaines en nombre nécessaire et en profil pertinent</v>
      </c>
      <c r="AD658" s="21" t="str">
        <f t="shared" si="142"/>
        <v>242- L’encadrement dispose des ressources humaines en nombre nécessaire et en profil pertinent</v>
      </c>
    </row>
    <row r="659" spans="1:30" s="22" customFormat="1" ht="45" hidden="1" customHeight="1" x14ac:dyDescent="0.8">
      <c r="A659" s="14">
        <v>2</v>
      </c>
      <c r="B659" s="15">
        <v>24</v>
      </c>
      <c r="C659" s="15">
        <v>242</v>
      </c>
      <c r="D659" s="15">
        <v>2421</v>
      </c>
      <c r="E659" s="15">
        <v>2421</v>
      </c>
      <c r="F659" s="16" t="s">
        <v>820</v>
      </c>
      <c r="G659" s="17"/>
      <c r="H659" s="17"/>
      <c r="I659" s="18">
        <v>0</v>
      </c>
      <c r="J659" s="18"/>
      <c r="K659" s="18"/>
      <c r="L659" s="18"/>
      <c r="M659" s="18"/>
      <c r="N659" s="18"/>
      <c r="O659" s="18"/>
      <c r="P659" s="18"/>
      <c r="Q659" s="18"/>
      <c r="R659" s="18"/>
      <c r="S659" s="24"/>
      <c r="T659" s="18"/>
      <c r="U659" s="18"/>
      <c r="V659" s="18"/>
      <c r="W659" s="18"/>
      <c r="X659" s="18"/>
      <c r="Y659" s="19" t="s">
        <v>32</v>
      </c>
      <c r="Z659" s="18" t="str">
        <f>A659 &amp; "-" &amp; VLOOKUP(A659,[4]PROGRAMMES!$E$1:$F$7,2,FALSE)</f>
        <v>2-Qualité des enseignements et des apprentissages</v>
      </c>
      <c r="AA659" s="19" t="str">
        <f>B659 &amp; "-" &amp; VLOOKUP(B659,[4]SOUSPROGRAMMES!$E$1:$F$44,2,FALSE)</f>
        <v>24- Encadrement des enseignants : appui et contrôle</v>
      </c>
      <c r="AB659" s="19" t="str">
        <f>C659 &amp; "-" &amp; VLOOKUP(C659,[4]RESULTATS!$E$1:$F$176,2,FALSE)</f>
        <v>242- L’encadrement dispose des ressources humaines en nombre nécessaire et en profil pertinent</v>
      </c>
      <c r="AC659" s="20" t="str">
        <f>D659 &amp; "-" &amp; VLOOKUP(D659,[4]STRATEGIES!$E$1:$F$504,2,FALSE)</f>
        <v>2421-Définition d’un cadre organique (Poste, profil, nombre…)</v>
      </c>
      <c r="AD659" s="21" t="str">
        <f t="shared" si="142"/>
        <v>2421-DéFinition d’un cadre organique (Poste, profil, nombre…)</v>
      </c>
    </row>
    <row r="660" spans="1:30" s="22" customFormat="1" ht="45" hidden="1" customHeight="1" x14ac:dyDescent="0.8">
      <c r="A660" s="14">
        <v>2</v>
      </c>
      <c r="B660" s="15">
        <v>24</v>
      </c>
      <c r="C660" s="15">
        <v>242</v>
      </c>
      <c r="D660" s="15">
        <v>2421</v>
      </c>
      <c r="E660" s="15">
        <v>24211</v>
      </c>
      <c r="F660" s="16" t="s">
        <v>821</v>
      </c>
      <c r="G660" s="21" t="s">
        <v>100</v>
      </c>
      <c r="H660" s="17" t="s">
        <v>646</v>
      </c>
      <c r="I660" s="18">
        <v>0</v>
      </c>
      <c r="J660" s="18">
        <f>2*45</f>
        <v>90</v>
      </c>
      <c r="K660" s="18"/>
      <c r="L660" s="18"/>
      <c r="M660" s="18">
        <f t="shared" si="143"/>
        <v>90</v>
      </c>
      <c r="N660" s="18">
        <f>IF(OR(H660="",H660="sif",H660="PM"),0,VLOOKUP(H660,[5]CU!$C$4:$H$255,6,FALSE))</f>
        <v>10.404797</v>
      </c>
      <c r="O660" s="18">
        <f t="shared" si="144"/>
        <v>0</v>
      </c>
      <c r="P660" s="18">
        <f t="shared" si="144"/>
        <v>936.43173000000002</v>
      </c>
      <c r="Q660" s="18">
        <f t="shared" si="144"/>
        <v>0</v>
      </c>
      <c r="R660" s="18">
        <f t="shared" si="144"/>
        <v>0</v>
      </c>
      <c r="S660" s="24">
        <f t="shared" si="145"/>
        <v>936.43173000000002</v>
      </c>
      <c r="T660" s="23" t="s">
        <v>39</v>
      </c>
      <c r="U660" s="19" t="s">
        <v>647</v>
      </c>
      <c r="V660" s="19" t="str">
        <f>IF(OR($H660="",$H660="sif",$H660="PM"),"",VLOOKUP($H660,[5]CU!$C$5:$J$255,8,FALSE))</f>
        <v>3. Dépenses de fonctionnement</v>
      </c>
      <c r="W660" s="19" t="s">
        <v>708</v>
      </c>
      <c r="X660" s="19" t="s">
        <v>822</v>
      </c>
      <c r="Y660" s="19" t="s">
        <v>32</v>
      </c>
      <c r="Z660" s="18" t="str">
        <f>A660 &amp; "-" &amp; VLOOKUP(A660,[4]PROGRAMMES!$E$1:$F$7,2,FALSE)</f>
        <v>2-Qualité des enseignements et des apprentissages</v>
      </c>
      <c r="AA660" s="19" t="str">
        <f>B660 &amp; "-" &amp; VLOOKUP(B660,[4]SOUSPROGRAMMES!$E$1:$F$44,2,FALSE)</f>
        <v>24- Encadrement des enseignants : appui et contrôle</v>
      </c>
      <c r="AB660" s="19" t="str">
        <f>C660 &amp; "-" &amp; VLOOKUP(C660,[4]RESULTATS!$E$1:$F$176,2,FALSE)</f>
        <v>242- L’encadrement dispose des ressources humaines en nombre nécessaire et en profil pertinent</v>
      </c>
      <c r="AC660" s="20" t="str">
        <f>D660 &amp; "-" &amp; VLOOKUP(D660,[4]STRATEGIES!$E$1:$F$504,2,FALSE)</f>
        <v>2421-Définition d’un cadre organique (Poste, profil, nombre…)</v>
      </c>
      <c r="AD660" s="21" t="str">
        <f t="shared" si="142"/>
        <v xml:space="preserve">24211-Audit organisationnel des services chargés de l'encadrement </v>
      </c>
    </row>
    <row r="661" spans="1:30" s="22" customFormat="1" ht="45" hidden="1" customHeight="1" x14ac:dyDescent="0.8">
      <c r="A661" s="14">
        <v>2</v>
      </c>
      <c r="B661" s="15">
        <v>24</v>
      </c>
      <c r="C661" s="15">
        <v>242</v>
      </c>
      <c r="D661" s="15">
        <v>2421</v>
      </c>
      <c r="E661" s="15">
        <v>24212</v>
      </c>
      <c r="F661" s="16" t="s">
        <v>823</v>
      </c>
      <c r="G661" s="21" t="s">
        <v>298</v>
      </c>
      <c r="H661" s="17" t="s">
        <v>38</v>
      </c>
      <c r="I661" s="18">
        <v>0</v>
      </c>
      <c r="J661" s="18">
        <f>30*1</f>
        <v>30</v>
      </c>
      <c r="K661" s="18"/>
      <c r="L661" s="18"/>
      <c r="M661" s="18">
        <f t="shared" si="143"/>
        <v>30</v>
      </c>
      <c r="N661" s="18">
        <f>IF(OR(H661="",H661="sif",H661="PM"),0,VLOOKUP(H661,[5]CU!$C$4:$H$255,6,FALSE))</f>
        <v>0.3133333333333333</v>
      </c>
      <c r="O661" s="18">
        <f t="shared" si="144"/>
        <v>0</v>
      </c>
      <c r="P661" s="18">
        <f t="shared" si="144"/>
        <v>9.3999999999999986</v>
      </c>
      <c r="Q661" s="18">
        <f t="shared" si="144"/>
        <v>0</v>
      </c>
      <c r="R661" s="18">
        <f t="shared" si="144"/>
        <v>0</v>
      </c>
      <c r="S661" s="24">
        <f t="shared" si="145"/>
        <v>9.3999999999999986</v>
      </c>
      <c r="T661" s="23" t="s">
        <v>39</v>
      </c>
      <c r="U661" s="19" t="s">
        <v>647</v>
      </c>
      <c r="V661" s="19" t="str">
        <f>IF(OR($H661="",$H661="sif",$H661="PM"),"",VLOOKUP($H661,[5]CU!$C$5:$J$255,8,FALSE))</f>
        <v>3. Formation</v>
      </c>
      <c r="W661" s="19" t="s">
        <v>273</v>
      </c>
      <c r="X661" s="19" t="s">
        <v>708</v>
      </c>
      <c r="Y661" s="19" t="s">
        <v>32</v>
      </c>
      <c r="Z661" s="18" t="str">
        <f>A661 &amp; "-" &amp; VLOOKUP(A661,[4]PROGRAMMES!$E$1:$F$7,2,FALSE)</f>
        <v>2-Qualité des enseignements et des apprentissages</v>
      </c>
      <c r="AA661" s="19" t="str">
        <f>B661 &amp; "-" &amp; VLOOKUP(B661,[4]SOUSPROGRAMMES!$E$1:$F$44,2,FALSE)</f>
        <v>24- Encadrement des enseignants : appui et contrôle</v>
      </c>
      <c r="AB661" s="19" t="str">
        <f>C661 &amp; "-" &amp; VLOOKUP(C661,[4]RESULTATS!$E$1:$F$176,2,FALSE)</f>
        <v>242- L’encadrement dispose des ressources humaines en nombre nécessaire et en profil pertinent</v>
      </c>
      <c r="AC661" s="20" t="str">
        <f>D661 &amp; "-" &amp; VLOOKUP(D661,[4]STRATEGIES!$E$1:$F$504,2,FALSE)</f>
        <v>2421-Définition d’un cadre organique (Poste, profil, nombre…)</v>
      </c>
      <c r="AD661" s="21" t="str">
        <f t="shared" si="142"/>
        <v>24212-Validation des résultats de l'audit organisationnel</v>
      </c>
    </row>
    <row r="662" spans="1:30" s="22" customFormat="1" ht="45" hidden="1" customHeight="1" x14ac:dyDescent="0.8">
      <c r="A662" s="14">
        <v>2</v>
      </c>
      <c r="B662" s="15">
        <v>24</v>
      </c>
      <c r="C662" s="15">
        <v>242</v>
      </c>
      <c r="D662" s="15">
        <v>2421</v>
      </c>
      <c r="E662" s="15">
        <v>24213</v>
      </c>
      <c r="F662" s="16" t="s">
        <v>824</v>
      </c>
      <c r="G662" s="21" t="s">
        <v>92</v>
      </c>
      <c r="H662" s="17" t="s">
        <v>55</v>
      </c>
      <c r="I662" s="18">
        <v>0</v>
      </c>
      <c r="J662" s="18">
        <v>1</v>
      </c>
      <c r="K662" s="18"/>
      <c r="L662" s="18"/>
      <c r="M662" s="18">
        <f t="shared" si="143"/>
        <v>1</v>
      </c>
      <c r="N662" s="18">
        <f>IF(OR(H662="",H662="sif",H662="PM"),0,VLOOKUP(H662,[5]CU!$C$4:$H$255,6,FALSE))</f>
        <v>0</v>
      </c>
      <c r="O662" s="18">
        <f t="shared" si="144"/>
        <v>0</v>
      </c>
      <c r="P662" s="18">
        <f t="shared" si="144"/>
        <v>0</v>
      </c>
      <c r="Q662" s="18">
        <f t="shared" si="144"/>
        <v>0</v>
      </c>
      <c r="R662" s="18">
        <f t="shared" si="144"/>
        <v>0</v>
      </c>
      <c r="S662" s="24"/>
      <c r="T662" s="23" t="s">
        <v>56</v>
      </c>
      <c r="U662" s="18" t="s">
        <v>647</v>
      </c>
      <c r="V662" s="18" t="str">
        <f>IF(OR($H662="",$H662="sif",$H662="PM"),"",VLOOKUP($H662,[5]CU!$C$5:$J$255,8,FALSE))</f>
        <v/>
      </c>
      <c r="W662" s="18" t="s">
        <v>708</v>
      </c>
      <c r="X662" s="18" t="s">
        <v>142</v>
      </c>
      <c r="Y662" s="19" t="s">
        <v>32</v>
      </c>
      <c r="Z662" s="18" t="str">
        <f>A662 &amp; "-" &amp; VLOOKUP(A662,[4]PROGRAMMES!$E$1:$F$7,2,FALSE)</f>
        <v>2-Qualité des enseignements et des apprentissages</v>
      </c>
      <c r="AA662" s="19" t="str">
        <f>B662 &amp; "-" &amp; VLOOKUP(B662,[4]SOUSPROGRAMMES!$E$1:$F$44,2,FALSE)</f>
        <v>24- Encadrement des enseignants : appui et contrôle</v>
      </c>
      <c r="AB662" s="19" t="str">
        <f>C662 &amp; "-" &amp; VLOOKUP(C662,[4]RESULTATS!$E$1:$F$176,2,FALSE)</f>
        <v>242- L’encadrement dispose des ressources humaines en nombre nécessaire et en profil pertinent</v>
      </c>
      <c r="AC662" s="20" t="str">
        <f>D662 &amp; "-" &amp; VLOOKUP(D662,[4]STRATEGIES!$E$1:$F$504,2,FALSE)</f>
        <v>2421-Définition d’un cadre organique (Poste, profil, nombre…)</v>
      </c>
      <c r="AD662" s="21" t="str">
        <f t="shared" si="142"/>
        <v>24213-DéFinition des redéploiements nécessaires, des recrutements du personnel et des mécanismes d'affectation aux postes (pris en compte dans activité 24211)</v>
      </c>
    </row>
    <row r="663" spans="1:30" s="22" customFormat="1" ht="45" hidden="1" customHeight="1" x14ac:dyDescent="0.8">
      <c r="A663" s="14">
        <v>2</v>
      </c>
      <c r="B663" s="15">
        <v>24</v>
      </c>
      <c r="C663" s="15">
        <v>242</v>
      </c>
      <c r="D663" s="15">
        <v>2421</v>
      </c>
      <c r="E663" s="15">
        <v>24214</v>
      </c>
      <c r="F663" s="16" t="s">
        <v>825</v>
      </c>
      <c r="G663" s="21" t="s">
        <v>826</v>
      </c>
      <c r="H663" s="17" t="s">
        <v>55</v>
      </c>
      <c r="I663" s="18">
        <v>0</v>
      </c>
      <c r="J663" s="18"/>
      <c r="K663" s="18">
        <v>1</v>
      </c>
      <c r="L663" s="18"/>
      <c r="M663" s="18">
        <f t="shared" si="143"/>
        <v>1</v>
      </c>
      <c r="N663" s="18">
        <f>IF(OR(H663="",H663="sif",H663="PM"),0,VLOOKUP(H663,[5]CU!$C$4:$H$255,6,FALSE))</f>
        <v>0</v>
      </c>
      <c r="O663" s="18">
        <f t="shared" si="144"/>
        <v>0</v>
      </c>
      <c r="P663" s="18">
        <f t="shared" si="144"/>
        <v>0</v>
      </c>
      <c r="Q663" s="18">
        <f t="shared" si="144"/>
        <v>0</v>
      </c>
      <c r="R663" s="18">
        <f t="shared" si="144"/>
        <v>0</v>
      </c>
      <c r="S663" s="24"/>
      <c r="T663" s="23" t="s">
        <v>56</v>
      </c>
      <c r="U663" s="18" t="s">
        <v>647</v>
      </c>
      <c r="V663" s="18" t="str">
        <f>IF(OR($H663="",$H663="sif",$H663="PM"),"",VLOOKUP($H663,[5]CU!$C$5:$J$255,8,FALSE))</f>
        <v/>
      </c>
      <c r="W663" s="18" t="s">
        <v>708</v>
      </c>
      <c r="X663" s="18" t="s">
        <v>142</v>
      </c>
      <c r="Y663" s="19" t="s">
        <v>32</v>
      </c>
      <c r="Z663" s="18" t="str">
        <f>A663 &amp; "-" &amp; VLOOKUP(A663,[4]PROGRAMMES!$E$1:$F$7,2,FALSE)</f>
        <v>2-Qualité des enseignements et des apprentissages</v>
      </c>
      <c r="AA663" s="19" t="str">
        <f>B663 &amp; "-" &amp; VLOOKUP(B663,[4]SOUSPROGRAMMES!$E$1:$F$44,2,FALSE)</f>
        <v>24- Encadrement des enseignants : appui et contrôle</v>
      </c>
      <c r="AB663" s="19" t="str">
        <f>C663 &amp; "-" &amp; VLOOKUP(C663,[4]RESULTATS!$E$1:$F$176,2,FALSE)</f>
        <v>242- L’encadrement dispose des ressources humaines en nombre nécessaire et en profil pertinent</v>
      </c>
      <c r="AC663" s="20" t="str">
        <f>D663 &amp; "-" &amp; VLOOKUP(D663,[4]STRATEGIES!$E$1:$F$504,2,FALSE)</f>
        <v>2421-Définition d’un cadre organique (Poste, profil, nombre…)</v>
      </c>
      <c r="AD663" s="21" t="str">
        <f t="shared" si="142"/>
        <v xml:space="preserve">24214-Adoption des textes organisant les services d'encadrement et l'affectation aux postes  </v>
      </c>
    </row>
    <row r="664" spans="1:30" s="22" customFormat="1" ht="45" hidden="1" customHeight="1" x14ac:dyDescent="0.8">
      <c r="A664" s="14">
        <v>2</v>
      </c>
      <c r="B664" s="15">
        <v>24</v>
      </c>
      <c r="C664" s="15">
        <v>242</v>
      </c>
      <c r="D664" s="15">
        <v>2421</v>
      </c>
      <c r="E664" s="15">
        <v>24215</v>
      </c>
      <c r="F664" s="16" t="s">
        <v>827</v>
      </c>
      <c r="G664" s="21" t="s">
        <v>436</v>
      </c>
      <c r="H664" s="17" t="s">
        <v>501</v>
      </c>
      <c r="I664" s="18">
        <v>0</v>
      </c>
      <c r="J664" s="18"/>
      <c r="K664" s="18"/>
      <c r="L664" s="18"/>
      <c r="M664" s="18">
        <f t="shared" si="143"/>
        <v>0</v>
      </c>
      <c r="N664" s="18">
        <f>IF(OR(H664="",H664="sif",H664="PM"),0,VLOOKUP(H664,[5]CU!$C$4:$H$255,6,FALSE))</f>
        <v>50.336534</v>
      </c>
      <c r="O664" s="18">
        <f t="shared" si="144"/>
        <v>0</v>
      </c>
      <c r="P664" s="18">
        <f t="shared" si="144"/>
        <v>0</v>
      </c>
      <c r="Q664" s="18">
        <f t="shared" si="144"/>
        <v>0</v>
      </c>
      <c r="R664" s="18">
        <f t="shared" si="144"/>
        <v>0</v>
      </c>
      <c r="S664" s="24">
        <f>SUM(O664:R664)</f>
        <v>0</v>
      </c>
      <c r="T664" s="23" t="s">
        <v>178</v>
      </c>
      <c r="U664" s="18" t="s">
        <v>647</v>
      </c>
      <c r="V664" s="18" t="str">
        <f>IF(OR($H664="",$H664="sif",$H664="PM"),"",VLOOKUP($H664,[5]CU!$C$5:$J$255,8,FALSE))</f>
        <v>3. Formation</v>
      </c>
      <c r="W664" s="18" t="s">
        <v>708</v>
      </c>
      <c r="X664" s="18" t="s">
        <v>142</v>
      </c>
      <c r="Y664" s="19" t="s">
        <v>32</v>
      </c>
      <c r="Z664" s="18" t="str">
        <f>A664 &amp; "-" &amp; VLOOKUP(A664,[4]PROGRAMMES!$E$1:$F$7,2,FALSE)</f>
        <v>2-Qualité des enseignements et des apprentissages</v>
      </c>
      <c r="AA664" s="19" t="str">
        <f>B664 &amp; "-" &amp; VLOOKUP(B664,[4]SOUSPROGRAMMES!$E$1:$F$44,2,FALSE)</f>
        <v>24- Encadrement des enseignants : appui et contrôle</v>
      </c>
      <c r="AB664" s="19" t="str">
        <f>C664 &amp; "-" &amp; VLOOKUP(C664,[4]RESULTATS!$E$1:$F$176,2,FALSE)</f>
        <v>242- L’encadrement dispose des ressources humaines en nombre nécessaire et en profil pertinent</v>
      </c>
      <c r="AC664" s="20" t="str">
        <f>D664 &amp; "-" &amp; VLOOKUP(D664,[4]STRATEGIES!$E$1:$F$504,2,FALSE)</f>
        <v>2421-Définition d’un cadre organique (Poste, profil, nombre…)</v>
      </c>
      <c r="AD664" s="21" t="str">
        <f t="shared" si="142"/>
        <v>24215-Renforcement des capacités des inspecteurs</v>
      </c>
    </row>
    <row r="665" spans="1:30" s="22" customFormat="1" ht="45" hidden="1" customHeight="1" x14ac:dyDescent="0.8">
      <c r="A665" s="14">
        <v>2</v>
      </c>
      <c r="B665" s="15">
        <v>24</v>
      </c>
      <c r="C665" s="15">
        <v>242</v>
      </c>
      <c r="D665" s="15">
        <v>2421</v>
      </c>
      <c r="E665" s="15">
        <v>24216</v>
      </c>
      <c r="F665" s="16" t="s">
        <v>828</v>
      </c>
      <c r="G665" s="21" t="s">
        <v>436</v>
      </c>
      <c r="H665" s="17" t="s">
        <v>352</v>
      </c>
      <c r="I665" s="18">
        <v>0</v>
      </c>
      <c r="J665" s="18"/>
      <c r="K665" s="18"/>
      <c r="L665" s="18"/>
      <c r="M665" s="18">
        <f>SUM(I665:L665)</f>
        <v>0</v>
      </c>
      <c r="N665" s="18">
        <f>IF(OR(H665="",H665="sif",H665="PM"),0,VLOOKUP(H665,[5]CU!$C$4:$H$255,6,FALSE))</f>
        <v>0.54600000000000004</v>
      </c>
      <c r="O665" s="18">
        <f>IFERROR($N665*I665,0)</f>
        <v>0</v>
      </c>
      <c r="P665" s="18">
        <f>IFERROR($N665*J665,0)</f>
        <v>0</v>
      </c>
      <c r="Q665" s="18">
        <f>IFERROR($N665*K665,0)</f>
        <v>0</v>
      </c>
      <c r="R665" s="18">
        <f>IFERROR($N665*L665,0)</f>
        <v>0</v>
      </c>
      <c r="S665" s="24">
        <f>SUM(O665:R665)</f>
        <v>0</v>
      </c>
      <c r="T665" s="23" t="s">
        <v>178</v>
      </c>
      <c r="U665" s="18" t="s">
        <v>647</v>
      </c>
      <c r="V665" s="18" t="str">
        <f>IF(OR($H665="",$H665="sif",$H665="PM"),"",VLOOKUP($H665,[5]CU!$C$5:$J$255,8,FALSE))</f>
        <v>3. Formation</v>
      </c>
      <c r="W665" s="18" t="s">
        <v>708</v>
      </c>
      <c r="X665" s="18" t="s">
        <v>142</v>
      </c>
      <c r="Y665" s="19" t="s">
        <v>32</v>
      </c>
      <c r="Z665" s="18" t="str">
        <f>A665 &amp; "-" &amp; VLOOKUP(A665,[4]PROGRAMMES!$E$1:$F$7,2,FALSE)</f>
        <v>2-Qualité des enseignements et des apprentissages</v>
      </c>
      <c r="AA665" s="19" t="str">
        <f>B665 &amp; "-" &amp; VLOOKUP(B665,[4]SOUSPROGRAMMES!$E$1:$F$44,2,FALSE)</f>
        <v>24- Encadrement des enseignants : appui et contrôle</v>
      </c>
      <c r="AB665" s="19" t="str">
        <f>C665 &amp; "-" &amp; VLOOKUP(C665,[4]RESULTATS!$E$1:$F$176,2,FALSE)</f>
        <v>242- L’encadrement dispose des ressources humaines en nombre nécessaire et en profil pertinent</v>
      </c>
      <c r="AC665" s="20" t="str">
        <f>D665 &amp; "-" &amp; VLOOKUP(D665,[4]STRATEGIES!$E$1:$F$504,2,FALSE)</f>
        <v>2421-Définition d’un cadre organique (Poste, profil, nombre…)</v>
      </c>
      <c r="AD665" s="21" t="str">
        <f t="shared" si="142"/>
        <v>24216-Renforcement des capacités des inspecteurs (démultiplication de la formation)</v>
      </c>
    </row>
    <row r="666" spans="1:30" s="22" customFormat="1" ht="45" hidden="1" customHeight="1" x14ac:dyDescent="0.8">
      <c r="A666" s="14">
        <v>2</v>
      </c>
      <c r="B666" s="15">
        <v>24</v>
      </c>
      <c r="C666" s="15">
        <v>242</v>
      </c>
      <c r="D666" s="15">
        <v>2421</v>
      </c>
      <c r="E666" s="15">
        <v>24216</v>
      </c>
      <c r="F666" s="16" t="s">
        <v>828</v>
      </c>
      <c r="G666" s="21" t="s">
        <v>436</v>
      </c>
      <c r="H666" s="17" t="s">
        <v>352</v>
      </c>
      <c r="I666" s="18">
        <v>0</v>
      </c>
      <c r="J666" s="18"/>
      <c r="K666" s="18"/>
      <c r="L666" s="18"/>
      <c r="M666" s="18">
        <f t="shared" si="143"/>
        <v>0</v>
      </c>
      <c r="N666" s="18">
        <f>IF(OR(H666="",H666="sif",H666="PM"),0,VLOOKUP(H666,[5]CU!$C$4:$H$255,6,FALSE))</f>
        <v>0.54600000000000004</v>
      </c>
      <c r="O666" s="18">
        <f t="shared" si="144"/>
        <v>0</v>
      </c>
      <c r="P666" s="18">
        <f t="shared" si="144"/>
        <v>0</v>
      </c>
      <c r="Q666" s="18">
        <f t="shared" si="144"/>
        <v>0</v>
      </c>
      <c r="R666" s="18">
        <f t="shared" si="144"/>
        <v>0</v>
      </c>
      <c r="S666" s="24">
        <f>SUM(O666:R666)</f>
        <v>0</v>
      </c>
      <c r="T666" s="23" t="s">
        <v>118</v>
      </c>
      <c r="U666" s="18" t="s">
        <v>647</v>
      </c>
      <c r="V666" s="18" t="str">
        <f>IF(OR($H666="",$H666="sif",$H666="PM"),"",VLOOKUP($H666,[5]CU!$C$5:$J$255,8,FALSE))</f>
        <v>3. Formation</v>
      </c>
      <c r="W666" s="18" t="s">
        <v>708</v>
      </c>
      <c r="X666" s="18" t="s">
        <v>142</v>
      </c>
      <c r="Y666" s="19" t="s">
        <v>32</v>
      </c>
      <c r="Z666" s="18" t="str">
        <f>A666 &amp; "-" &amp; VLOOKUP(A666,[4]PROGRAMMES!$E$1:$F$7,2,FALSE)</f>
        <v>2-Qualité des enseignements et des apprentissages</v>
      </c>
      <c r="AA666" s="19" t="str">
        <f>B666 &amp; "-" &amp; VLOOKUP(B666,[4]SOUSPROGRAMMES!$E$1:$F$44,2,FALSE)</f>
        <v>24- Encadrement des enseignants : appui et contrôle</v>
      </c>
      <c r="AB666" s="19" t="str">
        <f>C666 &amp; "-" &amp; VLOOKUP(C666,[4]RESULTATS!$E$1:$F$176,2,FALSE)</f>
        <v>242- L’encadrement dispose des ressources humaines en nombre nécessaire et en profil pertinent</v>
      </c>
      <c r="AC666" s="20" t="str">
        <f>D666 &amp; "-" &amp; VLOOKUP(D666,[4]STRATEGIES!$E$1:$F$504,2,FALSE)</f>
        <v>2421-Définition d’un cadre organique (Poste, profil, nombre…)</v>
      </c>
      <c r="AD666" s="21" t="str">
        <f t="shared" si="142"/>
        <v>24216-Renforcement des capacités des inspecteurs (démultiplication de la formation)</v>
      </c>
    </row>
    <row r="667" spans="1:30" s="22" customFormat="1" ht="45" hidden="1" customHeight="1" x14ac:dyDescent="0.8">
      <c r="A667" s="14">
        <v>2</v>
      </c>
      <c r="B667" s="15">
        <v>24</v>
      </c>
      <c r="C667" s="15">
        <v>242</v>
      </c>
      <c r="D667" s="15">
        <v>2422</v>
      </c>
      <c r="E667" s="15">
        <v>2422</v>
      </c>
      <c r="F667" s="16" t="s">
        <v>829</v>
      </c>
      <c r="G667" s="17"/>
      <c r="H667" s="17"/>
      <c r="I667" s="18">
        <v>0</v>
      </c>
      <c r="J667" s="18"/>
      <c r="K667" s="18"/>
      <c r="L667" s="18"/>
      <c r="M667" s="18"/>
      <c r="N667" s="18"/>
      <c r="O667" s="18"/>
      <c r="P667" s="18"/>
      <c r="Q667" s="18"/>
      <c r="R667" s="18"/>
      <c r="S667" s="24"/>
      <c r="T667" s="18"/>
      <c r="U667" s="18"/>
      <c r="V667" s="18"/>
      <c r="W667" s="18"/>
      <c r="X667" s="18"/>
      <c r="Y667" s="19" t="s">
        <v>32</v>
      </c>
      <c r="Z667" s="18" t="str">
        <f>A667 &amp; "-" &amp; VLOOKUP(A667,[4]PROGRAMMES!$E$1:$F$7,2,FALSE)</f>
        <v>2-Qualité des enseignements et des apprentissages</v>
      </c>
      <c r="AA667" s="19" t="str">
        <f>B667 &amp; "-" &amp; VLOOKUP(B667,[4]SOUSPROGRAMMES!$E$1:$F$44,2,FALSE)</f>
        <v>24- Encadrement des enseignants : appui et contrôle</v>
      </c>
      <c r="AB667" s="19" t="str">
        <f>C667 &amp; "-" &amp; VLOOKUP(C667,[4]RESULTATS!$E$1:$F$176,2,FALSE)</f>
        <v>242- L’encadrement dispose des ressources humaines en nombre nécessaire et en profil pertinent</v>
      </c>
      <c r="AC667" s="20" t="str">
        <f>D667 &amp; "-" &amp; VLOOKUP(D667,[4]STRATEGIES!$E$1:$F$504,2,FALSE)</f>
        <v>2422-Mise en place du cadre organique défini</v>
      </c>
      <c r="AD667" s="21" t="str">
        <f t="shared" si="142"/>
        <v>2422-Mise en place du cadre organique déFini</v>
      </c>
    </row>
    <row r="668" spans="1:30" ht="45" hidden="1" customHeight="1" x14ac:dyDescent="0.8">
      <c r="A668" s="25">
        <v>2</v>
      </c>
      <c r="B668" s="16">
        <v>24</v>
      </c>
      <c r="C668" s="16">
        <v>242</v>
      </c>
      <c r="D668" s="16">
        <v>2422</v>
      </c>
      <c r="E668" s="16">
        <v>24221</v>
      </c>
      <c r="F668" s="16" t="s">
        <v>830</v>
      </c>
      <c r="G668" s="21" t="s">
        <v>37</v>
      </c>
      <c r="H668" s="21" t="s">
        <v>66</v>
      </c>
      <c r="I668" s="19">
        <v>0</v>
      </c>
      <c r="J668" s="19"/>
      <c r="K668" s="19">
        <f>20*4</f>
        <v>80</v>
      </c>
      <c r="L668" s="19"/>
      <c r="M668" s="19">
        <f t="shared" si="143"/>
        <v>80</v>
      </c>
      <c r="N668" s="19">
        <f>IF(OR(H668="",H668="sif",H668="PM"),0,VLOOKUP(H668,[5]CU!$C$4:$H$255,6,FALSE))</f>
        <v>0.255</v>
      </c>
      <c r="O668" s="19">
        <f t="shared" si="144"/>
        <v>0</v>
      </c>
      <c r="P668" s="19">
        <f t="shared" si="144"/>
        <v>0</v>
      </c>
      <c r="Q668" s="19">
        <f t="shared" si="144"/>
        <v>20.399999999999999</v>
      </c>
      <c r="R668" s="19">
        <f t="shared" si="144"/>
        <v>0</v>
      </c>
      <c r="S668" s="31">
        <f>SUM(O668:R668)</f>
        <v>20.399999999999999</v>
      </c>
      <c r="T668" s="26" t="s">
        <v>169</v>
      </c>
      <c r="U668" s="19" t="s">
        <v>647</v>
      </c>
      <c r="V668" s="19" t="str">
        <f>IF(OR($H668="",$H668="sif",$H668="PM"),"",VLOOKUP($H668,[5]CU!$C$5:$J$255,8,FALSE))</f>
        <v>3. Dépenses de fonctionnement</v>
      </c>
      <c r="W668" s="19" t="s">
        <v>708</v>
      </c>
      <c r="X668" s="19" t="s">
        <v>273</v>
      </c>
      <c r="Y668" s="19" t="s">
        <v>32</v>
      </c>
      <c r="Z668" s="19" t="str">
        <f>A668 &amp; "-" &amp; VLOOKUP(A668,[4]PROGRAMMES!$E$1:$F$7,2,FALSE)</f>
        <v>2-Qualité des enseignements et des apprentissages</v>
      </c>
      <c r="AA668" s="19" t="str">
        <f>B668 &amp; "-" &amp; VLOOKUP(B668,[4]SOUSPROGRAMMES!$E$1:$F$44,2,FALSE)</f>
        <v>24- Encadrement des enseignants : appui et contrôle</v>
      </c>
      <c r="AB668" s="19" t="str">
        <f>C668 &amp; "-" &amp; VLOOKUP(C668,[4]RESULTATS!$E$1:$F$176,2,FALSE)</f>
        <v>242- L’encadrement dispose des ressources humaines en nombre nécessaire et en profil pertinent</v>
      </c>
      <c r="AC668" s="20" t="str">
        <f>D668 &amp; "-" &amp; VLOOKUP(D668,[4]STRATEGIES!$E$1:$F$504,2,FALSE)</f>
        <v>2422-Mise en place du cadre organique défini</v>
      </c>
      <c r="AD668" s="21" t="str">
        <f t="shared" si="142"/>
        <v>24221-Conception, élaboration et validation de nouveaux textes et un dispositif relatif aux rôles et responsabilités des acteurs dans l'encadrement</v>
      </c>
    </row>
    <row r="669" spans="1:30" ht="45" hidden="1" customHeight="1" x14ac:dyDescent="0.8">
      <c r="A669" s="25">
        <v>2</v>
      </c>
      <c r="B669" s="16">
        <v>24</v>
      </c>
      <c r="C669" s="16">
        <v>242</v>
      </c>
      <c r="D669" s="16">
        <v>2422</v>
      </c>
      <c r="E669" s="16">
        <v>24222</v>
      </c>
      <c r="F669" s="16" t="s">
        <v>831</v>
      </c>
      <c r="G669" s="21" t="s">
        <v>37</v>
      </c>
      <c r="H669" s="21" t="s">
        <v>38</v>
      </c>
      <c r="I669" s="19">
        <v>0</v>
      </c>
      <c r="J669" s="19"/>
      <c r="K669" s="19">
        <f>10*5*8</f>
        <v>400</v>
      </c>
      <c r="L669" s="19"/>
      <c r="M669" s="19">
        <f t="shared" si="143"/>
        <v>400</v>
      </c>
      <c r="N669" s="19">
        <f>IF(OR(H669="",H669="sif",H669="PM"),0,VLOOKUP(H669,[5]CU!$C$4:$H$255,6,FALSE))</f>
        <v>0.3133333333333333</v>
      </c>
      <c r="O669" s="19">
        <f t="shared" si="144"/>
        <v>0</v>
      </c>
      <c r="P669" s="19">
        <f t="shared" si="144"/>
        <v>0</v>
      </c>
      <c r="Q669" s="19">
        <f t="shared" si="144"/>
        <v>125.33333333333331</v>
      </c>
      <c r="R669" s="19">
        <f t="shared" si="144"/>
        <v>0</v>
      </c>
      <c r="S669" s="31">
        <f>SUM(O669:R669)</f>
        <v>125.33333333333331</v>
      </c>
      <c r="T669" s="26" t="s">
        <v>169</v>
      </c>
      <c r="U669" s="19" t="s">
        <v>647</v>
      </c>
      <c r="V669" s="19" t="str">
        <f>IF(OR($H669="",$H669="sif",$H669="PM"),"",VLOOKUP($H669,[5]CU!$C$5:$J$255,8,FALSE))</f>
        <v>3. Formation</v>
      </c>
      <c r="W669" s="19" t="s">
        <v>708</v>
      </c>
      <c r="X669" s="19" t="s">
        <v>273</v>
      </c>
      <c r="Y669" s="19" t="s">
        <v>32</v>
      </c>
      <c r="Z669" s="19" t="str">
        <f>A669 &amp; "-" &amp; VLOOKUP(A669,[4]PROGRAMMES!$E$1:$F$7,2,FALSE)</f>
        <v>2-Qualité des enseignements et des apprentissages</v>
      </c>
      <c r="AA669" s="19" t="str">
        <f>B669 &amp; "-" &amp; VLOOKUP(B669,[4]SOUSPROGRAMMES!$E$1:$F$44,2,FALSE)</f>
        <v>24- Encadrement des enseignants : appui et contrôle</v>
      </c>
      <c r="AB669" s="19" t="str">
        <f>C669 &amp; "-" &amp; VLOOKUP(C669,[4]RESULTATS!$E$1:$F$176,2,FALSE)</f>
        <v>242- L’encadrement dispose des ressources humaines en nombre nécessaire et en profil pertinent</v>
      </c>
      <c r="AC669" s="20" t="str">
        <f>D669 &amp; "-" &amp; VLOOKUP(D669,[4]STRATEGIES!$E$1:$F$504,2,FALSE)</f>
        <v>2422-Mise en place du cadre organique défini</v>
      </c>
      <c r="AD669" s="21" t="str">
        <f t="shared" si="142"/>
        <v>24222-Elaboration et dissémination d’un manuel de procédures d’encadrement</v>
      </c>
    </row>
    <row r="670" spans="1:30" s="22" customFormat="1" ht="45" hidden="1" customHeight="1" x14ac:dyDescent="0.8">
      <c r="A670" s="14">
        <v>2</v>
      </c>
      <c r="B670" s="15">
        <v>24</v>
      </c>
      <c r="C670" s="15">
        <v>242</v>
      </c>
      <c r="D670" s="15">
        <v>2422</v>
      </c>
      <c r="E670" s="15">
        <v>24223</v>
      </c>
      <c r="F670" s="16" t="s">
        <v>832</v>
      </c>
      <c r="G670" s="21" t="s">
        <v>754</v>
      </c>
      <c r="H670" s="17" t="s">
        <v>55</v>
      </c>
      <c r="I670" s="18">
        <v>0</v>
      </c>
      <c r="J670" s="18"/>
      <c r="K670" s="18">
        <v>1</v>
      </c>
      <c r="L670" s="18"/>
      <c r="M670" s="18">
        <f t="shared" si="143"/>
        <v>1</v>
      </c>
      <c r="N670" s="18">
        <f>IF(OR(H670="",H670="sif",H670="PM"),0,VLOOKUP(H670,[5]CU!$C$4:$H$255,6,FALSE))</f>
        <v>0</v>
      </c>
      <c r="O670" s="18">
        <f t="shared" si="144"/>
        <v>0</v>
      </c>
      <c r="P670" s="18">
        <f t="shared" si="144"/>
        <v>0</v>
      </c>
      <c r="Q670" s="18">
        <f t="shared" si="144"/>
        <v>0</v>
      </c>
      <c r="R670" s="18">
        <f t="shared" si="144"/>
        <v>0</v>
      </c>
      <c r="S670" s="24"/>
      <c r="T670" s="23" t="s">
        <v>56</v>
      </c>
      <c r="U670" s="18" t="s">
        <v>647</v>
      </c>
      <c r="V670" s="18" t="str">
        <f>IF(OR($H670="",$H670="sif",$H670="PM"),"",VLOOKUP($H670,[5]CU!$C$5:$J$255,8,FALSE))</f>
        <v/>
      </c>
      <c r="W670" s="18" t="s">
        <v>708</v>
      </c>
      <c r="X670" s="18" t="s">
        <v>142</v>
      </c>
      <c r="Y670" s="19" t="s">
        <v>32</v>
      </c>
      <c r="Z670" s="18" t="str">
        <f>A670 &amp; "-" &amp; VLOOKUP(A670,[4]PROGRAMMES!$E$1:$F$7,2,FALSE)</f>
        <v>2-Qualité des enseignements et des apprentissages</v>
      </c>
      <c r="AA670" s="19" t="str">
        <f>B670 &amp; "-" &amp; VLOOKUP(B670,[4]SOUSPROGRAMMES!$E$1:$F$44,2,FALSE)</f>
        <v>24- Encadrement des enseignants : appui et contrôle</v>
      </c>
      <c r="AB670" s="19" t="str">
        <f>C670 &amp; "-" &amp; VLOOKUP(C670,[4]RESULTATS!$E$1:$F$176,2,FALSE)</f>
        <v>242- L’encadrement dispose des ressources humaines en nombre nécessaire et en profil pertinent</v>
      </c>
      <c r="AC670" s="20" t="str">
        <f>D670 &amp; "-" &amp; VLOOKUP(D670,[4]STRATEGIES!$E$1:$F$504,2,FALSE)</f>
        <v>2422-Mise en place du cadre organique défini</v>
      </c>
      <c r="AD670" s="21" t="str">
        <f t="shared" si="142"/>
        <v>24223-Redéploiement des profils nécessaires pour la mise en place des cadres organiques</v>
      </c>
    </row>
    <row r="671" spans="1:30" s="22" customFormat="1" ht="45" hidden="1" customHeight="1" x14ac:dyDescent="0.8">
      <c r="A671" s="14">
        <v>2</v>
      </c>
      <c r="B671" s="15">
        <v>24</v>
      </c>
      <c r="C671" s="15">
        <v>242</v>
      </c>
      <c r="D671" s="15">
        <v>2423</v>
      </c>
      <c r="E671" s="15">
        <v>2423</v>
      </c>
      <c r="F671" s="16" t="s">
        <v>833</v>
      </c>
      <c r="G671" s="17"/>
      <c r="H671" s="17"/>
      <c r="I671" s="18">
        <v>0</v>
      </c>
      <c r="J671" s="18"/>
      <c r="K671" s="18"/>
      <c r="L671" s="18"/>
      <c r="M671" s="18"/>
      <c r="N671" s="18"/>
      <c r="O671" s="18"/>
      <c r="P671" s="18"/>
      <c r="Q671" s="18"/>
      <c r="R671" s="18"/>
      <c r="S671" s="24"/>
      <c r="T671" s="18"/>
      <c r="U671" s="18"/>
      <c r="V671" s="18"/>
      <c r="W671" s="18"/>
      <c r="X671" s="18"/>
      <c r="Y671" s="19" t="s">
        <v>32</v>
      </c>
      <c r="Z671" s="18" t="str">
        <f>A671 &amp; "-" &amp; VLOOKUP(A671,[4]PROGRAMMES!$E$1:$F$7,2,FALSE)</f>
        <v>2-Qualité des enseignements et des apprentissages</v>
      </c>
      <c r="AA671" s="19" t="str">
        <f>B671 &amp; "-" &amp; VLOOKUP(B671,[4]SOUSPROGRAMMES!$E$1:$F$44,2,FALSE)</f>
        <v>24- Encadrement des enseignants : appui et contrôle</v>
      </c>
      <c r="AB671" s="19" t="str">
        <f>C671 &amp; "-" &amp; VLOOKUP(C671,[4]RESULTATS!$E$1:$F$176,2,FALSE)</f>
        <v>242- L’encadrement dispose des ressources humaines en nombre nécessaire et en profil pertinent</v>
      </c>
      <c r="AC671" s="20" t="str">
        <f>D671 &amp; "-" &amp; VLOOKUP(D671,[4]STRATEGIES!$E$1:$F$504,2,FALSE)</f>
        <v>2423-Suivi régulier du respect du cadre organique</v>
      </c>
      <c r="AD671" s="21" t="str">
        <f t="shared" si="142"/>
        <v>2423-Suivi régulier du respect du cadre organique</v>
      </c>
    </row>
    <row r="672" spans="1:30" ht="45" hidden="1" customHeight="1" x14ac:dyDescent="0.8">
      <c r="A672" s="25">
        <v>2</v>
      </c>
      <c r="B672" s="16">
        <v>24</v>
      </c>
      <c r="C672" s="16">
        <v>242</v>
      </c>
      <c r="D672" s="16">
        <v>2423</v>
      </c>
      <c r="E672" s="16">
        <v>24231</v>
      </c>
      <c r="F672" s="16" t="s">
        <v>834</v>
      </c>
      <c r="G672" s="21" t="s">
        <v>177</v>
      </c>
      <c r="H672" s="21" t="s">
        <v>59</v>
      </c>
      <c r="I672" s="19">
        <v>0</v>
      </c>
      <c r="J672" s="19"/>
      <c r="K672" s="19"/>
      <c r="L672" s="19">
        <f>4*7*8*2</f>
        <v>448</v>
      </c>
      <c r="M672" s="19">
        <f t="shared" si="143"/>
        <v>448</v>
      </c>
      <c r="N672" s="19">
        <f>IF(OR(H672="",H672="sif",H672="PM"),0,VLOOKUP(H672,[5]CU!$C$4:$H$255,6,FALSE))</f>
        <v>0.8177777777777776</v>
      </c>
      <c r="O672" s="19">
        <f t="shared" si="144"/>
        <v>0</v>
      </c>
      <c r="P672" s="19">
        <f t="shared" si="144"/>
        <v>0</v>
      </c>
      <c r="Q672" s="19">
        <f t="shared" si="144"/>
        <v>0</v>
      </c>
      <c r="R672" s="19">
        <f t="shared" si="144"/>
        <v>366.36444444444436</v>
      </c>
      <c r="S672" s="31">
        <f>SUM(O672:R672)</f>
        <v>366.36444444444436</v>
      </c>
      <c r="T672" s="26" t="s">
        <v>169</v>
      </c>
      <c r="U672" s="19" t="s">
        <v>647</v>
      </c>
      <c r="V672" s="19" t="str">
        <f>IF(OR($H672="",$H672="sif",$H672="PM"),"",VLOOKUP($H672,[5]CU!$C$5:$J$255,8,FALSE))</f>
        <v>3. Dépenses de fonctionnement</v>
      </c>
      <c r="W672" s="19" t="s">
        <v>708</v>
      </c>
      <c r="X672" s="19" t="s">
        <v>142</v>
      </c>
      <c r="Y672" s="19" t="s">
        <v>32</v>
      </c>
      <c r="Z672" s="19" t="str">
        <f>A672 &amp; "-" &amp; VLOOKUP(A672,[4]PROGRAMMES!$E$1:$F$7,2,FALSE)</f>
        <v>2-Qualité des enseignements et des apprentissages</v>
      </c>
      <c r="AA672" s="19" t="str">
        <f>B672 &amp; "-" &amp; VLOOKUP(B672,[4]SOUSPROGRAMMES!$E$1:$F$44,2,FALSE)</f>
        <v>24- Encadrement des enseignants : appui et contrôle</v>
      </c>
      <c r="AB672" s="19" t="str">
        <f>C672 &amp; "-" &amp; VLOOKUP(C672,[4]RESULTATS!$E$1:$F$176,2,FALSE)</f>
        <v>242- L’encadrement dispose des ressources humaines en nombre nécessaire et en profil pertinent</v>
      </c>
      <c r="AC672" s="20" t="str">
        <f>D672 &amp; "-" &amp; VLOOKUP(D672,[4]STRATEGIES!$E$1:$F$504,2,FALSE)</f>
        <v>2423-Suivi régulier du respect du cadre organique</v>
      </c>
      <c r="AD672" s="21" t="str">
        <f t="shared" si="142"/>
        <v>24231-Suivi du respect de la mise en œuvre des cadres organiques</v>
      </c>
    </row>
    <row r="673" spans="1:30" ht="45" hidden="1" customHeight="1" x14ac:dyDescent="0.8">
      <c r="A673" s="25">
        <v>2</v>
      </c>
      <c r="B673" s="16">
        <v>24</v>
      </c>
      <c r="C673" s="16">
        <v>242</v>
      </c>
      <c r="D673" s="16">
        <v>2423</v>
      </c>
      <c r="E673" s="16">
        <v>24232</v>
      </c>
      <c r="F673" s="16" t="s">
        <v>835</v>
      </c>
      <c r="G673" s="21" t="s">
        <v>836</v>
      </c>
      <c r="H673" s="21" t="s">
        <v>55</v>
      </c>
      <c r="I673" s="19">
        <v>0</v>
      </c>
      <c r="J673" s="19"/>
      <c r="K673" s="19"/>
      <c r="L673" s="19">
        <v>1</v>
      </c>
      <c r="M673" s="19">
        <f t="shared" si="143"/>
        <v>1</v>
      </c>
      <c r="N673" s="19">
        <f>IF(OR(H673="",H673="sif",H673="PM"),0,VLOOKUP(H673,[5]CU!$C$4:$H$255,6,FALSE))</f>
        <v>0</v>
      </c>
      <c r="O673" s="19">
        <f t="shared" si="144"/>
        <v>0</v>
      </c>
      <c r="P673" s="19">
        <f t="shared" si="144"/>
        <v>0</v>
      </c>
      <c r="Q673" s="19">
        <f t="shared" si="144"/>
        <v>0</v>
      </c>
      <c r="R673" s="19">
        <f t="shared" si="144"/>
        <v>0</v>
      </c>
      <c r="S673" s="31"/>
      <c r="T673" s="26" t="s">
        <v>169</v>
      </c>
      <c r="U673" s="19" t="s">
        <v>647</v>
      </c>
      <c r="V673" s="19" t="str">
        <f>IF(OR($H673="",$H673="sif",$H673="PM"),"",VLOOKUP($H673,[5]CU!$C$5:$J$255,8,FALSE))</f>
        <v/>
      </c>
      <c r="W673" s="19" t="s">
        <v>708</v>
      </c>
      <c r="X673" s="19" t="s">
        <v>273</v>
      </c>
      <c r="Y673" s="19" t="s">
        <v>32</v>
      </c>
      <c r="Z673" s="19" t="str">
        <f>A673 &amp; "-" &amp; VLOOKUP(A673,[4]PROGRAMMES!$E$1:$F$7,2,FALSE)</f>
        <v>2-Qualité des enseignements et des apprentissages</v>
      </c>
      <c r="AA673" s="19" t="str">
        <f>B673 &amp; "-" &amp; VLOOKUP(B673,[4]SOUSPROGRAMMES!$E$1:$F$44,2,FALSE)</f>
        <v>24- Encadrement des enseignants : appui et contrôle</v>
      </c>
      <c r="AB673" s="19" t="str">
        <f>C673 &amp; "-" &amp; VLOOKUP(C673,[4]RESULTATS!$E$1:$F$176,2,FALSE)</f>
        <v>242- L’encadrement dispose des ressources humaines en nombre nécessaire et en profil pertinent</v>
      </c>
      <c r="AC673" s="20" t="str">
        <f>D673 &amp; "-" &amp; VLOOKUP(D673,[4]STRATEGIES!$E$1:$F$504,2,FALSE)</f>
        <v>2423-Suivi régulier du respect du cadre organique</v>
      </c>
      <c r="AD673" s="21" t="str">
        <f t="shared" si="142"/>
        <v>24232-identification et mise en œuvre des correctifs nécessaires</v>
      </c>
    </row>
    <row r="674" spans="1:30" s="22" customFormat="1" ht="60" hidden="1" customHeight="1" x14ac:dyDescent="0.8">
      <c r="A674" s="14">
        <v>2</v>
      </c>
      <c r="B674" s="15">
        <v>24</v>
      </c>
      <c r="C674" s="15">
        <v>243</v>
      </c>
      <c r="D674" s="15">
        <v>243</v>
      </c>
      <c r="E674" s="15">
        <v>243</v>
      </c>
      <c r="F674" s="16" t="s">
        <v>837</v>
      </c>
      <c r="G674" s="17"/>
      <c r="H674" s="17"/>
      <c r="I674" s="18">
        <v>0</v>
      </c>
      <c r="J674" s="18"/>
      <c r="K674" s="18"/>
      <c r="L674" s="18"/>
      <c r="M674" s="18"/>
      <c r="N674" s="18"/>
      <c r="O674" s="18"/>
      <c r="P674" s="18"/>
      <c r="Q674" s="18"/>
      <c r="R674" s="18"/>
      <c r="S674" s="24"/>
      <c r="T674" s="18"/>
      <c r="U674" s="18"/>
      <c r="V674" s="18"/>
      <c r="W674" s="18"/>
      <c r="X674" s="18"/>
      <c r="Y674" s="19" t="s">
        <v>32</v>
      </c>
      <c r="Z674" s="18" t="str">
        <f>A674 &amp; "-" &amp; VLOOKUP(A674,[4]PROGRAMMES!$E$1:$F$7,2,FALSE)</f>
        <v>2-Qualité des enseignements et des apprentissages</v>
      </c>
      <c r="AA674" s="19" t="str">
        <f>B674 &amp; "-" &amp; VLOOKUP(B674,[4]SOUSPROGRAMMES!$E$1:$F$44,2,FALSE)</f>
        <v>24- Encadrement des enseignants : appui et contrôle</v>
      </c>
      <c r="AB674" s="19" t="str">
        <f>C674 &amp; "-" &amp; VLOOKUP(C674,[4]RESULTATS!$E$1:$F$176,2,FALSE)</f>
        <v xml:space="preserve">243- Les acteurs de l’encadrement disposent des ressources matérielles nécessaires pour mener à bien leurs fonctions  </v>
      </c>
      <c r="AC674" s="20" t="str">
        <f>D674 &amp; "-" &amp; VLOOKUP(D674,[4]STRATEGIES!$E$1:$F$504,2,FALSE)</f>
        <v xml:space="preserve">243- Les acteurs de l’encadrement disposent des ressources matérielles nécessaires pour mener à bien leurs fonctions  </v>
      </c>
      <c r="AD674" s="21" t="str">
        <f t="shared" si="142"/>
        <v xml:space="preserve">243- Les acteurs de l’encadrement disposent des ressources matérielles nécessaires pour mener à bien leurs fonctions  </v>
      </c>
    </row>
    <row r="675" spans="1:30" s="22" customFormat="1" ht="60" hidden="1" customHeight="1" x14ac:dyDescent="0.8">
      <c r="A675" s="14">
        <v>2</v>
      </c>
      <c r="B675" s="15">
        <v>24</v>
      </c>
      <c r="C675" s="15">
        <v>243</v>
      </c>
      <c r="D675" s="15">
        <v>2431</v>
      </c>
      <c r="E675" s="15">
        <v>2431</v>
      </c>
      <c r="F675" s="16" t="s">
        <v>838</v>
      </c>
      <c r="G675" s="17"/>
      <c r="H675" s="17"/>
      <c r="I675" s="18">
        <v>0</v>
      </c>
      <c r="J675" s="18"/>
      <c r="K675" s="18"/>
      <c r="L675" s="18"/>
      <c r="M675" s="18"/>
      <c r="N675" s="18"/>
      <c r="O675" s="18"/>
      <c r="P675" s="18"/>
      <c r="Q675" s="18"/>
      <c r="R675" s="18"/>
      <c r="S675" s="24"/>
      <c r="T675" s="18"/>
      <c r="U675" s="18"/>
      <c r="V675" s="18"/>
      <c r="W675" s="18"/>
      <c r="X675" s="18"/>
      <c r="Y675" s="19" t="s">
        <v>32</v>
      </c>
      <c r="Z675" s="18" t="str">
        <f>A675 &amp; "-" &amp; VLOOKUP(A675,[4]PROGRAMMES!$E$1:$F$7,2,FALSE)</f>
        <v>2-Qualité des enseignements et des apprentissages</v>
      </c>
      <c r="AA675" s="19" t="str">
        <f>B675 &amp; "-" &amp; VLOOKUP(B675,[4]SOUSPROGRAMMES!$E$1:$F$44,2,FALSE)</f>
        <v>24- Encadrement des enseignants : appui et contrôle</v>
      </c>
      <c r="AB675" s="19" t="str">
        <f>C675 &amp; "-" &amp; VLOOKUP(C675,[4]RESULTATS!$E$1:$F$176,2,FALSE)</f>
        <v xml:space="preserve">243- Les acteurs de l’encadrement disposent des ressources matérielles nécessaires pour mener à bien leurs fonctions  </v>
      </c>
      <c r="AC675" s="20" t="str">
        <f>D675 &amp; "-" &amp; VLOOKUP(D675,[4]STRATEGIES!$E$1:$F$504,2,FALSE)</f>
        <v>2431-Identification et mise à disposition des ressources matérielles nécessaires pour chaque corps d’encadreurs</v>
      </c>
      <c r="AD675" s="21" t="str">
        <f t="shared" si="142"/>
        <v>2431-Identification et mise à disposition des ressources matérielles nécessaires pour chaque corps d’encadreurs</v>
      </c>
    </row>
    <row r="676" spans="1:30" ht="60" hidden="1" customHeight="1" x14ac:dyDescent="0.8">
      <c r="A676" s="25">
        <v>2</v>
      </c>
      <c r="B676" s="16">
        <v>24</v>
      </c>
      <c r="C676" s="16">
        <v>243</v>
      </c>
      <c r="D676" s="16">
        <v>2431</v>
      </c>
      <c r="E676" s="16">
        <v>24311</v>
      </c>
      <c r="F676" s="16" t="s">
        <v>839</v>
      </c>
      <c r="G676" s="21" t="s">
        <v>836</v>
      </c>
      <c r="H676" s="21" t="s">
        <v>55</v>
      </c>
      <c r="I676" s="19">
        <v>0</v>
      </c>
      <c r="J676" s="19"/>
      <c r="K676" s="19"/>
      <c r="L676" s="19">
        <v>1</v>
      </c>
      <c r="M676" s="19">
        <f t="shared" si="143"/>
        <v>1</v>
      </c>
      <c r="N676" s="19">
        <f>IF(OR(H676="",H676="sif",H676="PM"),0,VLOOKUP(H676,[5]CU!$C$4:$H$255,6,FALSE))</f>
        <v>0</v>
      </c>
      <c r="O676" s="19">
        <f t="shared" si="144"/>
        <v>0</v>
      </c>
      <c r="P676" s="19">
        <f t="shared" si="144"/>
        <v>0</v>
      </c>
      <c r="Q676" s="19">
        <f t="shared" si="144"/>
        <v>0</v>
      </c>
      <c r="R676" s="19">
        <f t="shared" si="144"/>
        <v>0</v>
      </c>
      <c r="S676" s="31"/>
      <c r="T676" s="26" t="s">
        <v>169</v>
      </c>
      <c r="U676" s="19" t="s">
        <v>647</v>
      </c>
      <c r="V676" s="19" t="str">
        <f>IF(OR($H676="",$H676="sif",$H676="PM"),"",VLOOKUP($H676,[5]CU!$C$5:$J$255,8,FALSE))</f>
        <v/>
      </c>
      <c r="W676" s="19" t="s">
        <v>708</v>
      </c>
      <c r="X676" s="19" t="s">
        <v>840</v>
      </c>
      <c r="Y676" s="19" t="s">
        <v>32</v>
      </c>
      <c r="Z676" s="19" t="str">
        <f>A676 &amp; "-" &amp; VLOOKUP(A676,[4]PROGRAMMES!$E$1:$F$7,2,FALSE)</f>
        <v>2-Qualité des enseignements et des apprentissages</v>
      </c>
      <c r="AA676" s="19" t="str">
        <f>B676 &amp; "-" &amp; VLOOKUP(B676,[4]SOUSPROGRAMMES!$E$1:$F$44,2,FALSE)</f>
        <v>24- Encadrement des enseignants : appui et contrôle</v>
      </c>
      <c r="AB676" s="19" t="str">
        <f>C676 &amp; "-" &amp; VLOOKUP(C676,[4]RESULTATS!$E$1:$F$176,2,FALSE)</f>
        <v xml:space="preserve">243- Les acteurs de l’encadrement disposent des ressources matérielles nécessaires pour mener à bien leurs fonctions  </v>
      </c>
      <c r="AC676" s="20" t="str">
        <f>D676 &amp; "-" &amp; VLOOKUP(D676,[4]STRATEGIES!$E$1:$F$504,2,FALSE)</f>
        <v>2431-Identification et mise à disposition des ressources matérielles nécessaires pour chaque corps d’encadreurs</v>
      </c>
      <c r="AD676" s="21" t="str">
        <f t="shared" si="142"/>
        <v>24311-Détermination des besoins en ressources matériels liées au poste d'encadrement (pris en compte dans l'audit)</v>
      </c>
    </row>
    <row r="677" spans="1:30" ht="60" hidden="1" customHeight="1" x14ac:dyDescent="0.8">
      <c r="A677" s="25">
        <v>2</v>
      </c>
      <c r="B677" s="16">
        <v>24</v>
      </c>
      <c r="C677" s="16">
        <v>243</v>
      </c>
      <c r="D677" s="16">
        <v>2431</v>
      </c>
      <c r="E677" s="16">
        <v>24312</v>
      </c>
      <c r="F677" s="16" t="s">
        <v>841</v>
      </c>
      <c r="G677" s="21" t="s">
        <v>836</v>
      </c>
      <c r="H677" s="21" t="s">
        <v>55</v>
      </c>
      <c r="I677" s="19">
        <v>0</v>
      </c>
      <c r="J677" s="19"/>
      <c r="K677" s="19">
        <v>1</v>
      </c>
      <c r="L677" s="19"/>
      <c r="M677" s="19">
        <f t="shared" si="143"/>
        <v>1</v>
      </c>
      <c r="N677" s="19">
        <f>IF(OR(H677="",H677="sif",H677="PM"),0,VLOOKUP(H677,[5]CU!$C$4:$H$255,6,FALSE))</f>
        <v>0</v>
      </c>
      <c r="O677" s="19">
        <f t="shared" si="144"/>
        <v>0</v>
      </c>
      <c r="P677" s="19">
        <f t="shared" si="144"/>
        <v>0</v>
      </c>
      <c r="Q677" s="19">
        <f t="shared" si="144"/>
        <v>0</v>
      </c>
      <c r="R677" s="19">
        <f t="shared" si="144"/>
        <v>0</v>
      </c>
      <c r="S677" s="31"/>
      <c r="T677" s="26" t="s">
        <v>169</v>
      </c>
      <c r="U677" s="19" t="s">
        <v>647</v>
      </c>
      <c r="V677" s="19" t="str">
        <f>IF(OR($H677="",$H677="sif",$H677="PM"),"",VLOOKUP($H677,[5]CU!$C$5:$J$255,8,FALSE))</f>
        <v/>
      </c>
      <c r="W677" s="19" t="s">
        <v>708</v>
      </c>
      <c r="X677" s="19" t="s">
        <v>273</v>
      </c>
      <c r="Y677" s="19" t="s">
        <v>32</v>
      </c>
      <c r="Z677" s="19" t="str">
        <f>A677 &amp; "-" &amp; VLOOKUP(A677,[4]PROGRAMMES!$E$1:$F$7,2,FALSE)</f>
        <v>2-Qualité des enseignements et des apprentissages</v>
      </c>
      <c r="AA677" s="19" t="str">
        <f>B677 &amp; "-" &amp; VLOOKUP(B677,[4]SOUSPROGRAMMES!$E$1:$F$44,2,FALSE)</f>
        <v>24- Encadrement des enseignants : appui et contrôle</v>
      </c>
      <c r="AB677" s="19" t="str">
        <f>C677 &amp; "-" &amp; VLOOKUP(C677,[4]RESULTATS!$E$1:$F$176,2,FALSE)</f>
        <v xml:space="preserve">243- Les acteurs de l’encadrement disposent des ressources matérielles nécessaires pour mener à bien leurs fonctions  </v>
      </c>
      <c r="AC677" s="20" t="str">
        <f>D677 &amp; "-" &amp; VLOOKUP(D677,[4]STRATEGIES!$E$1:$F$504,2,FALSE)</f>
        <v>2431-Identification et mise à disposition des ressources matérielles nécessaires pour chaque corps d’encadreurs</v>
      </c>
      <c r="AD677" s="21" t="str">
        <f t="shared" si="142"/>
        <v>24312-Analyse des besoins en ressources matérielles existantes</v>
      </c>
    </row>
    <row r="678" spans="1:30" s="22" customFormat="1" ht="60" hidden="1" customHeight="1" x14ac:dyDescent="0.8">
      <c r="A678" s="14">
        <v>2</v>
      </c>
      <c r="B678" s="15">
        <v>24</v>
      </c>
      <c r="C678" s="15">
        <v>243</v>
      </c>
      <c r="D678" s="15">
        <v>2431</v>
      </c>
      <c r="E678" s="15">
        <v>24313</v>
      </c>
      <c r="F678" s="16" t="s">
        <v>842</v>
      </c>
      <c r="G678" s="21" t="s">
        <v>843</v>
      </c>
      <c r="H678" s="17" t="s">
        <v>844</v>
      </c>
      <c r="I678" s="18">
        <v>0</v>
      </c>
      <c r="J678" s="18"/>
      <c r="K678" s="18"/>
      <c r="L678" s="18">
        <f>1*50%</f>
        <v>0.5</v>
      </c>
      <c r="M678" s="18">
        <f>SUM(I678:L678)</f>
        <v>0.5</v>
      </c>
      <c r="N678" s="18">
        <f>IF(OR(H678="",H678="sif",H678="PM"),0,VLOOKUP(H678,[5]CU!$C$4:$H$255,6,FALSE))</f>
        <v>950</v>
      </c>
      <c r="O678" s="18">
        <f>IFERROR($N678*I678,0)</f>
        <v>0</v>
      </c>
      <c r="P678" s="18">
        <f>IFERROR($N678*J678,0)</f>
        <v>0</v>
      </c>
      <c r="Q678" s="18">
        <f>IFERROR($N678*K678,0)</f>
        <v>0</v>
      </c>
      <c r="R678" s="18">
        <f>IFERROR($N678*L678,0)</f>
        <v>475</v>
      </c>
      <c r="S678" s="24">
        <f>SUM(O678:R678)</f>
        <v>475</v>
      </c>
      <c r="T678" s="23" t="s">
        <v>67</v>
      </c>
      <c r="U678" s="18" t="s">
        <v>647</v>
      </c>
      <c r="V678" s="18" t="str">
        <f>IF(OR($H678="",$H678="sif",$H678="PM"),"",VLOOKUP($H678,[5]CU!$C$5:$J$255,8,FALSE))</f>
        <v>5. Investissement</v>
      </c>
      <c r="W678" s="18" t="s">
        <v>663</v>
      </c>
      <c r="X678" s="18" t="s">
        <v>273</v>
      </c>
      <c r="Y678" s="19" t="s">
        <v>32</v>
      </c>
      <c r="Z678" s="18" t="str">
        <f>A678 &amp; "-" &amp; VLOOKUP(A678,[4]PROGRAMMES!$E$1:$F$7,2,FALSE)</f>
        <v>2-Qualité des enseignements et des apprentissages</v>
      </c>
      <c r="AA678" s="19" t="str">
        <f>B678 &amp; "-" &amp; VLOOKUP(B678,[4]SOUSPROGRAMMES!$E$1:$F$44,2,FALSE)</f>
        <v>24- Encadrement des enseignants : appui et contrôle</v>
      </c>
      <c r="AB678" s="19" t="str">
        <f>C678 &amp; "-" &amp; VLOOKUP(C678,[4]RESULTATS!$E$1:$F$176,2,FALSE)</f>
        <v xml:space="preserve">243- Les acteurs de l’encadrement disposent des ressources matérielles nécessaires pour mener à bien leurs fonctions  </v>
      </c>
      <c r="AC678" s="20" t="str">
        <f>D678 &amp; "-" &amp; VLOOKUP(D678,[4]STRATEGIES!$E$1:$F$504,2,FALSE)</f>
        <v>2431-Identification et mise à disposition des ressources matérielles nécessaires pour chaque corps d’encadreurs</v>
      </c>
      <c r="AD678" s="21" t="str">
        <f t="shared" si="142"/>
        <v>24313-Mise à disposition des ressources matérielles ( en partie dans gouvernance)</v>
      </c>
    </row>
    <row r="679" spans="1:30" s="22" customFormat="1" ht="60" hidden="1" customHeight="1" x14ac:dyDescent="0.8">
      <c r="A679" s="14">
        <v>2</v>
      </c>
      <c r="B679" s="15">
        <v>24</v>
      </c>
      <c r="C679" s="15">
        <v>243</v>
      </c>
      <c r="D679" s="15">
        <v>2431</v>
      </c>
      <c r="E679" s="15">
        <v>24313</v>
      </c>
      <c r="F679" s="16" t="s">
        <v>842</v>
      </c>
      <c r="G679" s="21" t="s">
        <v>843</v>
      </c>
      <c r="H679" s="17" t="s">
        <v>844</v>
      </c>
      <c r="I679" s="18">
        <v>0</v>
      </c>
      <c r="J679" s="18"/>
      <c r="K679" s="18"/>
      <c r="L679" s="18">
        <f>1*50%</f>
        <v>0.5</v>
      </c>
      <c r="M679" s="18">
        <f t="shared" si="143"/>
        <v>0.5</v>
      </c>
      <c r="N679" s="18">
        <f>IF(OR(H679="",H679="sif",H679="PM"),0,VLOOKUP(H679,[5]CU!$C$4:$H$255,6,FALSE))</f>
        <v>950</v>
      </c>
      <c r="O679" s="18">
        <f t="shared" si="144"/>
        <v>0</v>
      </c>
      <c r="P679" s="18">
        <f t="shared" si="144"/>
        <v>0</v>
      </c>
      <c r="Q679" s="18">
        <f t="shared" si="144"/>
        <v>0</v>
      </c>
      <c r="R679" s="18">
        <f t="shared" si="144"/>
        <v>475</v>
      </c>
      <c r="S679" s="24">
        <f t="shared" ref="S679:S699" si="146">SUM(O679:R679)</f>
        <v>475</v>
      </c>
      <c r="T679" s="23" t="s">
        <v>118</v>
      </c>
      <c r="U679" s="18" t="s">
        <v>647</v>
      </c>
      <c r="V679" s="18" t="str">
        <f>IF(OR($H679="",$H679="sif",$H679="PM"),"",VLOOKUP($H679,[5]CU!$C$5:$J$255,8,FALSE))</f>
        <v>5. Investissement</v>
      </c>
      <c r="W679" s="18" t="s">
        <v>663</v>
      </c>
      <c r="X679" s="18" t="s">
        <v>273</v>
      </c>
      <c r="Y679" s="19" t="s">
        <v>32</v>
      </c>
      <c r="Z679" s="18" t="str">
        <f>A679 &amp; "-" &amp; VLOOKUP(A679,[4]PROGRAMMES!$E$1:$F$7,2,FALSE)</f>
        <v>2-Qualité des enseignements et des apprentissages</v>
      </c>
      <c r="AA679" s="19" t="str">
        <f>B679 &amp; "-" &amp; VLOOKUP(B679,[4]SOUSPROGRAMMES!$E$1:$F$44,2,FALSE)</f>
        <v>24- Encadrement des enseignants : appui et contrôle</v>
      </c>
      <c r="AB679" s="19" t="str">
        <f>C679 &amp; "-" &amp; VLOOKUP(C679,[4]RESULTATS!$E$1:$F$176,2,FALSE)</f>
        <v xml:space="preserve">243- Les acteurs de l’encadrement disposent des ressources matérielles nécessaires pour mener à bien leurs fonctions  </v>
      </c>
      <c r="AC679" s="20" t="str">
        <f>D679 &amp; "-" &amp; VLOOKUP(D679,[4]STRATEGIES!$E$1:$F$504,2,FALSE)</f>
        <v>2431-Identification et mise à disposition des ressources matérielles nécessaires pour chaque corps d’encadreurs</v>
      </c>
      <c r="AD679" s="21" t="str">
        <f t="shared" si="142"/>
        <v>24313-Mise à disposition des ressources matérielles ( en partie dans gouvernance)</v>
      </c>
    </row>
    <row r="680" spans="1:30" s="22" customFormat="1" ht="60" hidden="1" customHeight="1" x14ac:dyDescent="0.8">
      <c r="A680" s="14">
        <v>2</v>
      </c>
      <c r="B680" s="15">
        <v>24</v>
      </c>
      <c r="C680" s="15">
        <v>243</v>
      </c>
      <c r="D680" s="15">
        <v>2432</v>
      </c>
      <c r="E680" s="15">
        <v>2432</v>
      </c>
      <c r="F680" s="16" t="s">
        <v>845</v>
      </c>
      <c r="G680" s="17"/>
      <c r="H680" s="17"/>
      <c r="I680" s="18">
        <v>0</v>
      </c>
      <c r="J680" s="18"/>
      <c r="K680" s="18"/>
      <c r="L680" s="18"/>
      <c r="M680" s="18"/>
      <c r="N680" s="18"/>
      <c r="O680" s="18"/>
      <c r="P680" s="18"/>
      <c r="Q680" s="18"/>
      <c r="R680" s="18"/>
      <c r="S680" s="24"/>
      <c r="T680" s="18"/>
      <c r="U680" s="18"/>
      <c r="V680" s="18"/>
      <c r="W680" s="18"/>
      <c r="X680" s="18"/>
      <c r="Y680" s="19" t="s">
        <v>32</v>
      </c>
      <c r="Z680" s="18" t="str">
        <f>A680 &amp; "-" &amp; VLOOKUP(A680,[4]PROGRAMMES!$E$1:$F$7,2,FALSE)</f>
        <v>2-Qualité des enseignements et des apprentissages</v>
      </c>
      <c r="AA680" s="19" t="str">
        <f>B680 &amp; "-" &amp; VLOOKUP(B680,[4]SOUSPROGRAMMES!$E$1:$F$44,2,FALSE)</f>
        <v>24- Encadrement des enseignants : appui et contrôle</v>
      </c>
      <c r="AB680" s="19" t="str">
        <f>C680 &amp; "-" &amp; VLOOKUP(C680,[4]RESULTATS!$E$1:$F$176,2,FALSE)</f>
        <v xml:space="preserve">243- Les acteurs de l’encadrement disposent des ressources matérielles nécessaires pour mener à bien leurs fonctions  </v>
      </c>
      <c r="AC680" s="20" t="str">
        <f>D680 &amp; "-" &amp; VLOOKUP(D680,[4]STRATEGIES!$E$1:$F$504,2,FALSE)</f>
        <v>2432-Renforcement de la gestion des écoles</v>
      </c>
      <c r="AD680" s="21" t="str">
        <f t="shared" si="142"/>
        <v>2432-Renforcement de la gestion des écoles</v>
      </c>
    </row>
    <row r="681" spans="1:30" s="22" customFormat="1" ht="60" hidden="1" customHeight="1" x14ac:dyDescent="0.8">
      <c r="A681" s="14">
        <v>2</v>
      </c>
      <c r="B681" s="15">
        <v>24</v>
      </c>
      <c r="C681" s="15">
        <v>243</v>
      </c>
      <c r="D681" s="15">
        <v>2432</v>
      </c>
      <c r="E681" s="15">
        <v>24321</v>
      </c>
      <c r="F681" s="16" t="s">
        <v>846</v>
      </c>
      <c r="G681" s="21" t="s">
        <v>100</v>
      </c>
      <c r="H681" s="17" t="s">
        <v>646</v>
      </c>
      <c r="I681" s="18">
        <v>0</v>
      </c>
      <c r="J681" s="18"/>
      <c r="K681" s="18"/>
      <c r="L681" s="18"/>
      <c r="M681" s="18">
        <f t="shared" si="143"/>
        <v>0</v>
      </c>
      <c r="N681" s="18">
        <f>IF(OR(H681="",H681="sif",H681="PM"),0,VLOOKUP(H681,[5]CU!$C$4:$H$255,6,FALSE))</f>
        <v>10.404797</v>
      </c>
      <c r="O681" s="18">
        <f t="shared" si="144"/>
        <v>0</v>
      </c>
      <c r="P681" s="18">
        <f t="shared" si="144"/>
        <v>0</v>
      </c>
      <c r="Q681" s="18">
        <f t="shared" si="144"/>
        <v>0</v>
      </c>
      <c r="R681" s="18">
        <f t="shared" si="144"/>
        <v>0</v>
      </c>
      <c r="S681" s="24">
        <f t="shared" si="146"/>
        <v>0</v>
      </c>
      <c r="T681" s="23" t="s">
        <v>178</v>
      </c>
      <c r="U681" s="18" t="s">
        <v>647</v>
      </c>
      <c r="V681" s="18" t="str">
        <f>IF(OR($H681="",$H681="sif",$H681="PM"),"",VLOOKUP($H681,[5]CU!$C$5:$J$255,8,FALSE))</f>
        <v>3. Dépenses de fonctionnement</v>
      </c>
      <c r="W681" s="18" t="s">
        <v>273</v>
      </c>
      <c r="X681" s="18" t="s">
        <v>273</v>
      </c>
      <c r="Y681" s="19" t="s">
        <v>32</v>
      </c>
      <c r="Z681" s="18" t="str">
        <f>A681 &amp; "-" &amp; VLOOKUP(A681,[4]PROGRAMMES!$E$1:$F$7,2,FALSE)</f>
        <v>2-Qualité des enseignements et des apprentissages</v>
      </c>
      <c r="AA681" s="19" t="str">
        <f>B681 &amp; "-" &amp; VLOOKUP(B681,[4]SOUSPROGRAMMES!$E$1:$F$44,2,FALSE)</f>
        <v>24- Encadrement des enseignants : appui et contrôle</v>
      </c>
      <c r="AB681" s="19" t="str">
        <f>C681 &amp; "-" &amp; VLOOKUP(C681,[4]RESULTATS!$E$1:$F$176,2,FALSE)</f>
        <v xml:space="preserve">243- Les acteurs de l’encadrement disposent des ressources matérielles nécessaires pour mener à bien leurs fonctions  </v>
      </c>
      <c r="AC681" s="20" t="str">
        <f>D681 &amp; "-" &amp; VLOOKUP(D681,[4]STRATEGIES!$E$1:$F$504,2,FALSE)</f>
        <v>2432-Renforcement de la gestion des écoles</v>
      </c>
      <c r="AD681" s="21" t="str">
        <f t="shared" si="142"/>
        <v>24321-Appui technique à la genéralisation de l'approche gestion à la base</v>
      </c>
    </row>
    <row r="682" spans="1:30" s="22" customFormat="1" ht="60" hidden="1" customHeight="1" x14ac:dyDescent="0.8">
      <c r="A682" s="14">
        <v>2</v>
      </c>
      <c r="B682" s="15">
        <v>24</v>
      </c>
      <c r="C682" s="15">
        <v>243</v>
      </c>
      <c r="D682" s="15">
        <v>2432</v>
      </c>
      <c r="E682" s="15">
        <v>24322</v>
      </c>
      <c r="F682" s="16" t="s">
        <v>847</v>
      </c>
      <c r="G682" s="21" t="s">
        <v>436</v>
      </c>
      <c r="H682" s="17" t="s">
        <v>352</v>
      </c>
      <c r="I682" s="18">
        <v>0</v>
      </c>
      <c r="J682" s="18"/>
      <c r="K682" s="18"/>
      <c r="L682" s="18"/>
      <c r="M682" s="18">
        <f t="shared" si="143"/>
        <v>0</v>
      </c>
      <c r="N682" s="18">
        <f>IF(OR(H682="",H682="sif",H682="PM"),0,VLOOKUP(H682,[5]CU!$C$4:$H$255,6,FALSE))</f>
        <v>0.54600000000000004</v>
      </c>
      <c r="O682" s="18">
        <f t="shared" si="144"/>
        <v>0</v>
      </c>
      <c r="P682" s="18">
        <f t="shared" si="144"/>
        <v>0</v>
      </c>
      <c r="Q682" s="18">
        <f t="shared" si="144"/>
        <v>0</v>
      </c>
      <c r="R682" s="18">
        <f t="shared" si="144"/>
        <v>0</v>
      </c>
      <c r="S682" s="24">
        <f t="shared" si="146"/>
        <v>0</v>
      </c>
      <c r="T682" s="23" t="s">
        <v>178</v>
      </c>
      <c r="U682" s="18" t="s">
        <v>647</v>
      </c>
      <c r="V682" s="18" t="str">
        <f>IF(OR($H682="",$H682="sif",$H682="PM"),"",VLOOKUP($H682,[5]CU!$C$5:$J$255,8,FALSE))</f>
        <v>3. Formation</v>
      </c>
      <c r="W682" s="18" t="s">
        <v>273</v>
      </c>
      <c r="X682" s="18" t="s">
        <v>77</v>
      </c>
      <c r="Y682" s="19" t="s">
        <v>32</v>
      </c>
      <c r="Z682" s="18" t="str">
        <f>A682 &amp; "-" &amp; VLOOKUP(A682,[4]PROGRAMMES!$E$1:$F$7,2,FALSE)</f>
        <v>2-Qualité des enseignements et des apprentissages</v>
      </c>
      <c r="AA682" s="19" t="str">
        <f>B682 &amp; "-" &amp; VLOOKUP(B682,[4]SOUSPROGRAMMES!$E$1:$F$44,2,FALSE)</f>
        <v>24- Encadrement des enseignants : appui et contrôle</v>
      </c>
      <c r="AB682" s="19" t="str">
        <f>C682 &amp; "-" &amp; VLOOKUP(C682,[4]RESULTATS!$E$1:$F$176,2,FALSE)</f>
        <v xml:space="preserve">243- Les acteurs de l’encadrement disposent des ressources matérielles nécessaires pour mener à bien leurs fonctions  </v>
      </c>
      <c r="AC682" s="20" t="str">
        <f>D682 &amp; "-" &amp; VLOOKUP(D682,[4]STRATEGIES!$E$1:$F$504,2,FALSE)</f>
        <v>2432-Renforcement de la gestion des écoles</v>
      </c>
      <c r="AD682" s="21" t="str">
        <f t="shared" si="142"/>
        <v>24322-Renforcement des capacités des acteurs et des partenaires sur le terrain à la genéralisation de l'approche gestion à la base</v>
      </c>
    </row>
    <row r="683" spans="1:30" s="22" customFormat="1" ht="60" hidden="1" customHeight="1" x14ac:dyDescent="0.8">
      <c r="A683" s="14">
        <v>2</v>
      </c>
      <c r="B683" s="15">
        <v>24</v>
      </c>
      <c r="C683" s="15">
        <v>243</v>
      </c>
      <c r="D683" s="15">
        <v>2432</v>
      </c>
      <c r="E683" s="15">
        <v>24323</v>
      </c>
      <c r="F683" s="16" t="s">
        <v>848</v>
      </c>
      <c r="G683" s="21" t="s">
        <v>763</v>
      </c>
      <c r="H683" s="17" t="s">
        <v>59</v>
      </c>
      <c r="I683" s="18">
        <v>0</v>
      </c>
      <c r="J683" s="18"/>
      <c r="K683" s="18"/>
      <c r="L683" s="18"/>
      <c r="M683" s="18">
        <f>SUM(I683:L683)</f>
        <v>0</v>
      </c>
      <c r="N683" s="18">
        <f>IF(OR(H683="",H683="sif",H683="PM"),0,VLOOKUP(H683,[5]CU!$C$4:$H$255,6,FALSE))</f>
        <v>0.8177777777777776</v>
      </c>
      <c r="O683" s="18">
        <f>IFERROR($N683*I683,0)</f>
        <v>0</v>
      </c>
      <c r="P683" s="18">
        <f>IFERROR($N683*J683,0)</f>
        <v>0</v>
      </c>
      <c r="Q683" s="18">
        <f>IFERROR($N683*K683,0)</f>
        <v>0</v>
      </c>
      <c r="R683" s="18">
        <f>IFERROR($N683*L683,0)</f>
        <v>0</v>
      </c>
      <c r="S683" s="24">
        <f>SUM(O683:R683)</f>
        <v>0</v>
      </c>
      <c r="T683" s="23" t="s">
        <v>178</v>
      </c>
      <c r="U683" s="18" t="s">
        <v>647</v>
      </c>
      <c r="V683" s="18" t="str">
        <f>IF(OR($H683="",$H683="sif",$H683="PM"),"",VLOOKUP($H683,[5]CU!$C$5:$J$255,8,FALSE))</f>
        <v>3. Dépenses de fonctionnement</v>
      </c>
      <c r="W683" s="18" t="s">
        <v>273</v>
      </c>
      <c r="X683" s="18" t="s">
        <v>77</v>
      </c>
      <c r="Y683" s="19" t="s">
        <v>32</v>
      </c>
      <c r="Z683" s="18" t="str">
        <f>A683 &amp; "-" &amp; VLOOKUP(A683,[4]PROGRAMMES!$E$1:$F$7,2,FALSE)</f>
        <v>2-Qualité des enseignements et des apprentissages</v>
      </c>
      <c r="AA683" s="19" t="str">
        <f>B683 &amp; "-" &amp; VLOOKUP(B683,[4]SOUSPROGRAMMES!$E$1:$F$44,2,FALSE)</f>
        <v>24- Encadrement des enseignants : appui et contrôle</v>
      </c>
      <c r="AB683" s="19" t="str">
        <f>C683 &amp; "-" &amp; VLOOKUP(C683,[4]RESULTATS!$E$1:$F$176,2,FALSE)</f>
        <v xml:space="preserve">243- Les acteurs de l’encadrement disposent des ressources matérielles nécessaires pour mener à bien leurs fonctions  </v>
      </c>
      <c r="AC683" s="20" t="str">
        <f>D683 &amp; "-" &amp; VLOOKUP(D683,[4]STRATEGIES!$E$1:$F$504,2,FALSE)</f>
        <v>2432-Renforcement de la gestion des écoles</v>
      </c>
      <c r="AD683" s="21" t="str">
        <f t="shared" si="142"/>
        <v xml:space="preserve">24323-Suivi de l'opérationnalisation du dispositif de l'approche gestion à la base </v>
      </c>
    </row>
    <row r="684" spans="1:30" ht="60" hidden="1" customHeight="1" x14ac:dyDescent="0.8">
      <c r="A684" s="25">
        <v>2</v>
      </c>
      <c r="B684" s="16">
        <v>24</v>
      </c>
      <c r="C684" s="16">
        <v>243</v>
      </c>
      <c r="D684" s="16">
        <v>2432</v>
      </c>
      <c r="E684" s="16">
        <v>24323</v>
      </c>
      <c r="F684" s="16" t="s">
        <v>848</v>
      </c>
      <c r="G684" s="21" t="s">
        <v>763</v>
      </c>
      <c r="H684" s="21" t="s">
        <v>59</v>
      </c>
      <c r="I684" s="19">
        <v>0</v>
      </c>
      <c r="J684" s="19">
        <v>40</v>
      </c>
      <c r="K684" s="19">
        <v>100</v>
      </c>
      <c r="L684" s="19">
        <v>200</v>
      </c>
      <c r="M684" s="19">
        <f t="shared" si="143"/>
        <v>340</v>
      </c>
      <c r="N684" s="19">
        <f>IF(OR(H684="",H684="sif",H684="PM"),0,VLOOKUP(H684,[5]CU!$C$4:$H$255,6,FALSE))</f>
        <v>0.8177777777777776</v>
      </c>
      <c r="O684" s="19">
        <f t="shared" si="144"/>
        <v>0</v>
      </c>
      <c r="P684" s="19">
        <f t="shared" si="144"/>
        <v>32.711111111111101</v>
      </c>
      <c r="Q684" s="19">
        <f t="shared" si="144"/>
        <v>81.777777777777757</v>
      </c>
      <c r="R684" s="19">
        <f t="shared" si="144"/>
        <v>163.55555555555551</v>
      </c>
      <c r="S684" s="31">
        <f t="shared" si="146"/>
        <v>278.04444444444437</v>
      </c>
      <c r="T684" s="26" t="s">
        <v>169</v>
      </c>
      <c r="U684" s="19" t="s">
        <v>647</v>
      </c>
      <c r="V684" s="19" t="str">
        <f>IF(OR($H684="",$H684="sif",$H684="PM"),"",VLOOKUP($H684,[5]CU!$C$5:$J$255,8,FALSE))</f>
        <v>3. Dépenses de fonctionnement</v>
      </c>
      <c r="W684" s="19" t="s">
        <v>273</v>
      </c>
      <c r="X684" s="19" t="s">
        <v>77</v>
      </c>
      <c r="Y684" s="19" t="s">
        <v>32</v>
      </c>
      <c r="Z684" s="19" t="str">
        <f>A684 &amp; "-" &amp; VLOOKUP(A684,[4]PROGRAMMES!$E$1:$F$7,2,FALSE)</f>
        <v>2-Qualité des enseignements et des apprentissages</v>
      </c>
      <c r="AA684" s="19" t="str">
        <f>B684 &amp; "-" &amp; VLOOKUP(B684,[4]SOUSPROGRAMMES!$E$1:$F$44,2,FALSE)</f>
        <v>24- Encadrement des enseignants : appui et contrôle</v>
      </c>
      <c r="AB684" s="19" t="str">
        <f>C684 &amp; "-" &amp; VLOOKUP(C684,[4]RESULTATS!$E$1:$F$176,2,FALSE)</f>
        <v xml:space="preserve">243- Les acteurs de l’encadrement disposent des ressources matérielles nécessaires pour mener à bien leurs fonctions  </v>
      </c>
      <c r="AC684" s="20" t="str">
        <f>D684 &amp; "-" &amp; VLOOKUP(D684,[4]STRATEGIES!$E$1:$F$504,2,FALSE)</f>
        <v>2432-Renforcement de la gestion des écoles</v>
      </c>
      <c r="AD684" s="21" t="str">
        <f t="shared" si="142"/>
        <v xml:space="preserve">24323-Suivi de l'opérationnalisation du dispositif de l'approche gestion à la base </v>
      </c>
    </row>
    <row r="685" spans="1:30" s="22" customFormat="1" ht="61" hidden="1" x14ac:dyDescent="0.8">
      <c r="A685" s="14">
        <v>2</v>
      </c>
      <c r="B685" s="15">
        <v>24</v>
      </c>
      <c r="C685" s="15">
        <v>243</v>
      </c>
      <c r="D685" s="15">
        <v>2432</v>
      </c>
      <c r="E685" s="15">
        <v>24324</v>
      </c>
      <c r="F685" s="16" t="s">
        <v>849</v>
      </c>
      <c r="G685" s="21" t="s">
        <v>436</v>
      </c>
      <c r="H685" s="17" t="s">
        <v>352</v>
      </c>
      <c r="I685" s="18">
        <v>0</v>
      </c>
      <c r="J685" s="18"/>
      <c r="K685" s="18"/>
      <c r="L685" s="18"/>
      <c r="M685" s="18">
        <f>SUM(I685:L685)</f>
        <v>0</v>
      </c>
      <c r="N685" s="18">
        <f>IF(OR(H685="",H685="sif",H685="PM"),0,VLOOKUP(H685,[5]CU!$C$4:$H$255,6,FALSE))</f>
        <v>0.54600000000000004</v>
      </c>
      <c r="O685" s="18">
        <f>IFERROR($N685*I685,0)</f>
        <v>0</v>
      </c>
      <c r="P685" s="18">
        <f>IFERROR($N685*J685,0)</f>
        <v>0</v>
      </c>
      <c r="Q685" s="18">
        <f>IFERROR($N685*K685,0)</f>
        <v>0</v>
      </c>
      <c r="R685" s="18">
        <f>IFERROR($N685*L685,0)</f>
        <v>0</v>
      </c>
      <c r="S685" s="24">
        <f>SUM(O685:R685)</f>
        <v>0</v>
      </c>
      <c r="T685" s="23" t="s">
        <v>178</v>
      </c>
      <c r="U685" s="18" t="s">
        <v>647</v>
      </c>
      <c r="V685" s="18" t="str">
        <f>IF(OR($H685="",$H685="sif",$H685="PM"),"",VLOOKUP($H685,[5]CU!$C$5:$J$255,8,FALSE))</f>
        <v>3. Formation</v>
      </c>
      <c r="W685" s="18" t="s">
        <v>192</v>
      </c>
      <c r="X685" s="18" t="s">
        <v>192</v>
      </c>
      <c r="Y685" s="19" t="s">
        <v>32</v>
      </c>
      <c r="Z685" s="18" t="str">
        <f>A685 &amp; "-" &amp; VLOOKUP(A685,[4]PROGRAMMES!$E$1:$F$7,2,FALSE)</f>
        <v>2-Qualité des enseignements et des apprentissages</v>
      </c>
      <c r="AA685" s="19" t="str">
        <f>B685 &amp; "-" &amp; VLOOKUP(B685,[4]SOUSPROGRAMMES!$E$1:$F$44,2,FALSE)</f>
        <v>24- Encadrement des enseignants : appui et contrôle</v>
      </c>
      <c r="AB685" s="19" t="str">
        <f>C685 &amp; "-" &amp; VLOOKUP(C685,[4]RESULTATS!$E$1:$F$176,2,FALSE)</f>
        <v xml:space="preserve">243- Les acteurs de l’encadrement disposent des ressources matérielles nécessaires pour mener à bien leurs fonctions  </v>
      </c>
      <c r="AC685" s="20" t="str">
        <f>D685 &amp; "-" &amp; VLOOKUP(D685,[4]STRATEGIES!$E$1:$F$504,2,FALSE)</f>
        <v>2432-Renforcement de la gestion des écoles</v>
      </c>
      <c r="AD685" s="21" t="str">
        <f t="shared" si="142"/>
        <v xml:space="preserve">24324-Renforcement des capacités des structures déconcentrées sur les procédures de mise en œuvre des PAE </v>
      </c>
    </row>
    <row r="686" spans="1:30" ht="60" hidden="1" customHeight="1" x14ac:dyDescent="0.8">
      <c r="A686" s="25">
        <v>2</v>
      </c>
      <c r="B686" s="16">
        <v>24</v>
      </c>
      <c r="C686" s="16">
        <v>243</v>
      </c>
      <c r="D686" s="16">
        <v>2432</v>
      </c>
      <c r="E686" s="16">
        <v>24324</v>
      </c>
      <c r="F686" s="16" t="s">
        <v>849</v>
      </c>
      <c r="G686" s="21" t="s">
        <v>436</v>
      </c>
      <c r="H686" s="21" t="s">
        <v>352</v>
      </c>
      <c r="I686" s="19">
        <v>0</v>
      </c>
      <c r="J686" s="19"/>
      <c r="K686" s="19"/>
      <c r="L686" s="19">
        <v>500</v>
      </c>
      <c r="M686" s="19">
        <f t="shared" si="143"/>
        <v>500</v>
      </c>
      <c r="N686" s="19">
        <f>IF(OR(H686="",H686="sif",H686="PM"),0,VLOOKUP(H686,[5]CU!$C$4:$H$255,6,FALSE))</f>
        <v>0.54600000000000004</v>
      </c>
      <c r="O686" s="19">
        <f t="shared" si="144"/>
        <v>0</v>
      </c>
      <c r="P686" s="19">
        <f t="shared" si="144"/>
        <v>0</v>
      </c>
      <c r="Q686" s="19">
        <f t="shared" si="144"/>
        <v>0</v>
      </c>
      <c r="R686" s="19">
        <f t="shared" si="144"/>
        <v>273</v>
      </c>
      <c r="S686" s="31">
        <f t="shared" si="146"/>
        <v>273</v>
      </c>
      <c r="T686" s="26" t="s">
        <v>169</v>
      </c>
      <c r="U686" s="19" t="s">
        <v>647</v>
      </c>
      <c r="V686" s="19" t="str">
        <f>IF(OR($H686="",$H686="sif",$H686="PM"),"",VLOOKUP($H686,[5]CU!$C$5:$J$255,8,FALSE))</f>
        <v>3. Formation</v>
      </c>
      <c r="W686" s="19" t="s">
        <v>192</v>
      </c>
      <c r="X686" s="19" t="s">
        <v>192</v>
      </c>
      <c r="Y686" s="19" t="s">
        <v>32</v>
      </c>
      <c r="Z686" s="19" t="str">
        <f>A686 &amp; "-" &amp; VLOOKUP(A686,[4]PROGRAMMES!$E$1:$F$7,2,FALSE)</f>
        <v>2-Qualité des enseignements et des apprentissages</v>
      </c>
      <c r="AA686" s="19" t="str">
        <f>B686 &amp; "-" &amp; VLOOKUP(B686,[4]SOUSPROGRAMMES!$E$1:$F$44,2,FALSE)</f>
        <v>24- Encadrement des enseignants : appui et contrôle</v>
      </c>
      <c r="AB686" s="19" t="str">
        <f>C686 &amp; "-" &amp; VLOOKUP(C686,[4]RESULTATS!$E$1:$F$176,2,FALSE)</f>
        <v xml:space="preserve">243- Les acteurs de l’encadrement disposent des ressources matérielles nécessaires pour mener à bien leurs fonctions  </v>
      </c>
      <c r="AC686" s="20" t="str">
        <f>D686 &amp; "-" &amp; VLOOKUP(D686,[4]STRATEGIES!$E$1:$F$504,2,FALSE)</f>
        <v>2432-Renforcement de la gestion des écoles</v>
      </c>
      <c r="AD686" s="21" t="str">
        <f t="shared" si="142"/>
        <v xml:space="preserve">24324-Renforcement des capacités des structures déconcentrées sur les procédures de mise en œuvre des PAE </v>
      </c>
    </row>
    <row r="687" spans="1:30" s="22" customFormat="1" ht="60" hidden="1" customHeight="1" x14ac:dyDescent="0.8">
      <c r="A687" s="14">
        <v>2</v>
      </c>
      <c r="B687" s="15">
        <v>24</v>
      </c>
      <c r="C687" s="15">
        <v>243</v>
      </c>
      <c r="D687" s="15">
        <v>2432</v>
      </c>
      <c r="E687" s="15">
        <v>24325</v>
      </c>
      <c r="F687" s="16" t="s">
        <v>850</v>
      </c>
      <c r="G687" s="21" t="s">
        <v>496</v>
      </c>
      <c r="H687" s="17" t="s">
        <v>851</v>
      </c>
      <c r="I687" s="18">
        <v>0</v>
      </c>
      <c r="J687" s="18">
        <f>1*25%</f>
        <v>0.25</v>
      </c>
      <c r="K687" s="18">
        <f>1*25%</f>
        <v>0.25</v>
      </c>
      <c r="L687" s="18">
        <f>1*25%</f>
        <v>0.25</v>
      </c>
      <c r="M687" s="18">
        <f>SUM(I687:L687)</f>
        <v>0.75</v>
      </c>
      <c r="N687" s="18">
        <f>IF(OR(H687="",H687="sif",H687="PM"),0,VLOOKUP(H687,[5]CU!$C$4:$H$255,6,FALSE))</f>
        <v>950</v>
      </c>
      <c r="O687" s="18">
        <f>IFERROR($N687*I687,0)</f>
        <v>0</v>
      </c>
      <c r="P687" s="18">
        <f>IFERROR($N687*J687,0)</f>
        <v>237.5</v>
      </c>
      <c r="Q687" s="18">
        <f>IFERROR($N687*K687,0)</f>
        <v>237.5</v>
      </c>
      <c r="R687" s="18">
        <f>IFERROR($N687*L687,0)</f>
        <v>237.5</v>
      </c>
      <c r="S687" s="24">
        <f>SUM(O687:R687)</f>
        <v>712.5</v>
      </c>
      <c r="T687" s="23" t="s">
        <v>67</v>
      </c>
      <c r="U687" s="18" t="s">
        <v>647</v>
      </c>
      <c r="V687" s="18" t="str">
        <f>IF(OR($H687="",$H687="sif",$H687="PM"),"",VLOOKUP($H687,[5]CU!$C$5:$J$255,8,FALSE))</f>
        <v>4. Transferts et subventions</v>
      </c>
      <c r="W687" s="18" t="s">
        <v>192</v>
      </c>
      <c r="X687" s="18" t="s">
        <v>77</v>
      </c>
      <c r="Y687" s="19" t="s">
        <v>32</v>
      </c>
      <c r="Z687" s="18" t="str">
        <f>A687 &amp; "-" &amp; VLOOKUP(A687,[4]PROGRAMMES!$E$1:$F$7,2,FALSE)</f>
        <v>2-Qualité des enseignements et des apprentissages</v>
      </c>
      <c r="AA687" s="19" t="str">
        <f>B687 &amp; "-" &amp; VLOOKUP(B687,[4]SOUSPROGRAMMES!$E$1:$F$44,2,FALSE)</f>
        <v>24- Encadrement des enseignants : appui et contrôle</v>
      </c>
      <c r="AB687" s="19" t="str">
        <f>C687 &amp; "-" &amp; VLOOKUP(C687,[4]RESULTATS!$E$1:$F$176,2,FALSE)</f>
        <v xml:space="preserve">243- Les acteurs de l’encadrement disposent des ressources matérielles nécessaires pour mener à bien leurs fonctions  </v>
      </c>
      <c r="AC687" s="20" t="str">
        <f>D687 &amp; "-" &amp; VLOOKUP(D687,[4]STRATEGIES!$E$1:$F$504,2,FALSE)</f>
        <v>2432-Renforcement de la gestion des écoles</v>
      </c>
      <c r="AD687" s="21" t="str">
        <f t="shared" si="142"/>
        <v>24325-Renforcement des associations des parents d'élèves et leur implication dans la gestion des écoles</v>
      </c>
    </row>
    <row r="688" spans="1:30" s="22" customFormat="1" ht="60" hidden="1" customHeight="1" x14ac:dyDescent="0.8">
      <c r="A688" s="14">
        <v>2</v>
      </c>
      <c r="B688" s="15">
        <v>24</v>
      </c>
      <c r="C688" s="15">
        <v>243</v>
      </c>
      <c r="D688" s="15">
        <v>2432</v>
      </c>
      <c r="E688" s="15">
        <v>24325</v>
      </c>
      <c r="F688" s="16" t="s">
        <v>850</v>
      </c>
      <c r="G688" s="21" t="s">
        <v>496</v>
      </c>
      <c r="H688" s="17" t="s">
        <v>851</v>
      </c>
      <c r="I688" s="18">
        <v>0</v>
      </c>
      <c r="J688" s="18">
        <f>1*75%</f>
        <v>0.75</v>
      </c>
      <c r="K688" s="18">
        <f>1*75%</f>
        <v>0.75</v>
      </c>
      <c r="L688" s="18">
        <f>1*75%</f>
        <v>0.75</v>
      </c>
      <c r="M688" s="18">
        <f t="shared" si="143"/>
        <v>2.25</v>
      </c>
      <c r="N688" s="18">
        <f>IF(OR(H688="",H688="sif",H688="PM"),0,VLOOKUP(H688,[5]CU!$C$4:$H$255,6,FALSE))</f>
        <v>950</v>
      </c>
      <c r="O688" s="18">
        <f t="shared" si="144"/>
        <v>0</v>
      </c>
      <c r="P688" s="18">
        <f t="shared" si="144"/>
        <v>712.5</v>
      </c>
      <c r="Q688" s="18">
        <f t="shared" si="144"/>
        <v>712.5</v>
      </c>
      <c r="R688" s="18">
        <f t="shared" si="144"/>
        <v>712.5</v>
      </c>
      <c r="S688" s="24">
        <f t="shared" si="146"/>
        <v>2137.5</v>
      </c>
      <c r="T688" s="23" t="s">
        <v>118</v>
      </c>
      <c r="U688" s="18" t="s">
        <v>647</v>
      </c>
      <c r="V688" s="18" t="str">
        <f>IF(OR($H688="",$H688="sif",$H688="PM"),"",VLOOKUP($H688,[5]CU!$C$5:$J$255,8,FALSE))</f>
        <v>4. Transferts et subventions</v>
      </c>
      <c r="W688" s="18" t="s">
        <v>192</v>
      </c>
      <c r="X688" s="18" t="s">
        <v>77</v>
      </c>
      <c r="Y688" s="19" t="s">
        <v>32</v>
      </c>
      <c r="Z688" s="18" t="str">
        <f>A688 &amp; "-" &amp; VLOOKUP(A688,[4]PROGRAMMES!$E$1:$F$7,2,FALSE)</f>
        <v>2-Qualité des enseignements et des apprentissages</v>
      </c>
      <c r="AA688" s="19" t="str">
        <f>B688 &amp; "-" &amp; VLOOKUP(B688,[4]SOUSPROGRAMMES!$E$1:$F$44,2,FALSE)</f>
        <v>24- Encadrement des enseignants : appui et contrôle</v>
      </c>
      <c r="AB688" s="19" t="str">
        <f>C688 &amp; "-" &amp; VLOOKUP(C688,[4]RESULTATS!$E$1:$F$176,2,FALSE)</f>
        <v xml:space="preserve">243- Les acteurs de l’encadrement disposent des ressources matérielles nécessaires pour mener à bien leurs fonctions  </v>
      </c>
      <c r="AC688" s="20" t="str">
        <f>D688 &amp; "-" &amp; VLOOKUP(D688,[4]STRATEGIES!$E$1:$F$504,2,FALSE)</f>
        <v>2432-Renforcement de la gestion des écoles</v>
      </c>
      <c r="AD688" s="21" t="str">
        <f t="shared" si="142"/>
        <v>24325-Renforcement des associations des parents d'élèves et leur implication dans la gestion des écoles</v>
      </c>
    </row>
    <row r="689" spans="1:30" s="22" customFormat="1" ht="60" hidden="1" customHeight="1" x14ac:dyDescent="0.8">
      <c r="A689" s="14">
        <v>2</v>
      </c>
      <c r="B689" s="15">
        <v>24</v>
      </c>
      <c r="C689" s="15">
        <v>243</v>
      </c>
      <c r="D689" s="15">
        <v>2432</v>
      </c>
      <c r="E689" s="15">
        <v>24326</v>
      </c>
      <c r="F689" s="16" t="s">
        <v>852</v>
      </c>
      <c r="G689" s="21" t="s">
        <v>853</v>
      </c>
      <c r="H689" s="17" t="s">
        <v>854</v>
      </c>
      <c r="I689" s="33">
        <v>0</v>
      </c>
      <c r="J689" s="33"/>
      <c r="K689" s="33"/>
      <c r="L689" s="33"/>
      <c r="M689" s="33">
        <f>SUM(I689:L689)</f>
        <v>0</v>
      </c>
      <c r="N689" s="33">
        <f>IF(OR(H689="",H689="sif",H689="PM"),0,VLOOKUP(H689,[5]CU!$C$4:$H$255,6,FALSE))</f>
        <v>2.2348566207357279</v>
      </c>
      <c r="O689" s="33">
        <f t="shared" si="144"/>
        <v>0</v>
      </c>
      <c r="P689" s="33">
        <f t="shared" si="144"/>
        <v>0</v>
      </c>
      <c r="Q689" s="33">
        <f t="shared" si="144"/>
        <v>0</v>
      </c>
      <c r="R689" s="33">
        <f t="shared" si="144"/>
        <v>0</v>
      </c>
      <c r="S689" s="34">
        <f>SUM(O689:R689)</f>
        <v>0</v>
      </c>
      <c r="T689" s="35" t="s">
        <v>178</v>
      </c>
      <c r="U689" s="19" t="s">
        <v>647</v>
      </c>
      <c r="V689" s="19" t="str">
        <f>IF(OR($H689="",$H689="sif",$H689="PM"),"",VLOOKUP($H689,[5]CU!$C$5:$J$255,8,FALSE))</f>
        <v>3. Dépenses de fonctionnement</v>
      </c>
      <c r="W689" s="19" t="s">
        <v>192</v>
      </c>
      <c r="X689" s="19" t="s">
        <v>77</v>
      </c>
      <c r="Y689" s="19" t="s">
        <v>32</v>
      </c>
      <c r="Z689" s="18" t="str">
        <f>A689 &amp; "-" &amp; VLOOKUP(A689,[4]PROGRAMMES!$E$1:$F$7,2,FALSE)</f>
        <v>2-Qualité des enseignements et des apprentissages</v>
      </c>
      <c r="AA689" s="19" t="str">
        <f>B689 &amp; "-" &amp; VLOOKUP(B689,[4]SOUSPROGRAMMES!$E$1:$F$44,2,FALSE)</f>
        <v>24- Encadrement des enseignants : appui et contrôle</v>
      </c>
      <c r="AB689" s="19" t="str">
        <f>C689 &amp; "-" &amp; VLOOKUP(C689,[4]RESULTATS!$E$1:$F$176,2,FALSE)</f>
        <v xml:space="preserve">243- Les acteurs de l’encadrement disposent des ressources matérielles nécessaires pour mener à bien leurs fonctions  </v>
      </c>
      <c r="AC689" s="20" t="str">
        <f>D689 &amp; "-" &amp; VLOOKUP(D689,[4]STRATEGIES!$E$1:$F$504,2,FALSE)</f>
        <v>2432-Renforcement de la gestion des écoles</v>
      </c>
      <c r="AD689" s="21" t="str">
        <f t="shared" si="142"/>
        <v>24326-Renforcement du développement et de la mise en œuvre des projets de développement des écoles primaires</v>
      </c>
    </row>
    <row r="690" spans="1:30" s="22" customFormat="1" ht="60" hidden="1" customHeight="1" x14ac:dyDescent="0.8">
      <c r="A690" s="14">
        <v>2</v>
      </c>
      <c r="B690" s="15">
        <v>24</v>
      </c>
      <c r="C690" s="15">
        <v>243</v>
      </c>
      <c r="D690" s="15">
        <v>2432</v>
      </c>
      <c r="E690" s="15">
        <v>24327</v>
      </c>
      <c r="F690" s="16" t="s">
        <v>855</v>
      </c>
      <c r="G690" s="21" t="s">
        <v>763</v>
      </c>
      <c r="H690" s="17" t="s">
        <v>59</v>
      </c>
      <c r="I690" s="33">
        <v>0</v>
      </c>
      <c r="J690" s="33"/>
      <c r="K690" s="33"/>
      <c r="L690" s="33"/>
      <c r="M690" s="33">
        <f>SUM(I690:L690)</f>
        <v>0</v>
      </c>
      <c r="N690" s="33">
        <f>IF(OR(H690="",H690="sif",H690="PM"),0,VLOOKUP(H690,[5]CU!$C$4:$H$255,6,FALSE))</f>
        <v>0.8177777777777776</v>
      </c>
      <c r="O690" s="33">
        <f t="shared" si="144"/>
        <v>0</v>
      </c>
      <c r="P690" s="33">
        <f t="shared" si="144"/>
        <v>0</v>
      </c>
      <c r="Q690" s="33">
        <f t="shared" si="144"/>
        <v>0</v>
      </c>
      <c r="R690" s="33">
        <f t="shared" si="144"/>
        <v>0</v>
      </c>
      <c r="S690" s="34">
        <f>SUM(O690:R690)</f>
        <v>0</v>
      </c>
      <c r="T690" s="35" t="s">
        <v>178</v>
      </c>
      <c r="U690" s="18" t="s">
        <v>647</v>
      </c>
      <c r="V690" s="18" t="str">
        <f>IF(OR($H690="",$H690="sif",$H690="PM"),"",VLOOKUP($H690,[5]CU!$C$5:$J$255,8,FALSE))</f>
        <v>3. Dépenses de fonctionnement</v>
      </c>
      <c r="W690" s="18" t="s">
        <v>192</v>
      </c>
      <c r="X690" s="18" t="s">
        <v>192</v>
      </c>
      <c r="Y690" s="19" t="s">
        <v>32</v>
      </c>
      <c r="Z690" s="18" t="str">
        <f>A690 &amp; "-" &amp; VLOOKUP(A690,[4]PROGRAMMES!$E$1:$F$7,2,FALSE)</f>
        <v>2-Qualité des enseignements et des apprentissages</v>
      </c>
      <c r="AA690" s="19" t="str">
        <f>B690 &amp; "-" &amp; VLOOKUP(B690,[4]SOUSPROGRAMMES!$E$1:$F$44,2,FALSE)</f>
        <v>24- Encadrement des enseignants : appui et contrôle</v>
      </c>
      <c r="AB690" s="19" t="str">
        <f>C690 &amp; "-" &amp; VLOOKUP(C690,[4]RESULTATS!$E$1:$F$176,2,FALSE)</f>
        <v xml:space="preserve">243- Les acteurs de l’encadrement disposent des ressources matérielles nécessaires pour mener à bien leurs fonctions  </v>
      </c>
      <c r="AC690" s="20" t="str">
        <f>D690 &amp; "-" &amp; VLOOKUP(D690,[4]STRATEGIES!$E$1:$F$504,2,FALSE)</f>
        <v>2432-Renforcement de la gestion des écoles</v>
      </c>
      <c r="AD690" s="21" t="str">
        <f t="shared" si="142"/>
        <v xml:space="preserve">24327-Suivi de la mise en eouvre des PAE </v>
      </c>
    </row>
    <row r="691" spans="1:30" s="22" customFormat="1" ht="60" hidden="1" customHeight="1" x14ac:dyDescent="0.8">
      <c r="A691" s="14">
        <v>2</v>
      </c>
      <c r="B691" s="15">
        <v>24</v>
      </c>
      <c r="C691" s="15">
        <v>243</v>
      </c>
      <c r="D691" s="15">
        <v>2432</v>
      </c>
      <c r="E691" s="15">
        <v>24326</v>
      </c>
      <c r="F691" s="16" t="s">
        <v>852</v>
      </c>
      <c r="G691" s="21" t="s">
        <v>853</v>
      </c>
      <c r="H691" s="17" t="s">
        <v>854</v>
      </c>
      <c r="I691" s="33">
        <v>0</v>
      </c>
      <c r="J691" s="33">
        <f>8375.4*50.01%</f>
        <v>4188.5375399999994</v>
      </c>
      <c r="K691" s="33">
        <f>8794.17*50.01%</f>
        <v>4397.9644170000001</v>
      </c>
      <c r="L691" s="33">
        <f>9233.8785*50.01%</f>
        <v>4617.8626378500003</v>
      </c>
      <c r="M691" s="33">
        <f>SUM(I691:L691)</f>
        <v>13204.364594850002</v>
      </c>
      <c r="N691" s="33">
        <f>IF(OR(H691="",H691="sif",H691="PM"),0,VLOOKUP(H691,[5]CU!$C$4:$H$255,6,FALSE))</f>
        <v>2.2348566207357279</v>
      </c>
      <c r="O691" s="33">
        <f>IFERROR($N691*I691,0)</f>
        <v>0</v>
      </c>
      <c r="P691" s="33">
        <f>IFERROR($N691*J691,0)</f>
        <v>9360.7808524691372</v>
      </c>
      <c r="Q691" s="33">
        <f>IFERROR($N691*K691,0)</f>
        <v>9828.8198950925962</v>
      </c>
      <c r="R691" s="33">
        <f>IFERROR($N691*L691,0)</f>
        <v>10320.260889847226</v>
      </c>
      <c r="S691" s="34">
        <f>SUM(O691:R691)</f>
        <v>29509.861637408962</v>
      </c>
      <c r="T691" s="35" t="s">
        <v>39</v>
      </c>
      <c r="U691" s="19" t="s">
        <v>647</v>
      </c>
      <c r="V691" s="19" t="str">
        <f>IF(OR($H691="",$H691="sif",$H691="PM"),"",VLOOKUP($H691,[5]CU!$C$5:$J$255,8,FALSE))</f>
        <v>3. Dépenses de fonctionnement</v>
      </c>
      <c r="W691" s="19" t="s">
        <v>192</v>
      </c>
      <c r="X691" s="19" t="s">
        <v>77</v>
      </c>
      <c r="Y691" s="19" t="s">
        <v>32</v>
      </c>
      <c r="Z691" s="18" t="str">
        <f>A691 &amp; "-" &amp; VLOOKUP(A691,[4]PROGRAMMES!$E$1:$F$7,2,FALSE)</f>
        <v>2-Qualité des enseignements et des apprentissages</v>
      </c>
      <c r="AA691" s="19" t="str">
        <f>B691 &amp; "-" &amp; VLOOKUP(B691,[4]SOUSPROGRAMMES!$E$1:$F$44,2,FALSE)</f>
        <v>24- Encadrement des enseignants : appui et contrôle</v>
      </c>
      <c r="AB691" s="19" t="str">
        <f>C691 &amp; "-" &amp; VLOOKUP(C691,[4]RESULTATS!$E$1:$F$176,2,FALSE)</f>
        <v xml:space="preserve">243- Les acteurs de l’encadrement disposent des ressources matérielles nécessaires pour mener à bien leurs fonctions  </v>
      </c>
      <c r="AC691" s="20" t="str">
        <f>D691 &amp; "-" &amp; VLOOKUP(D691,[4]STRATEGIES!$E$1:$F$504,2,FALSE)</f>
        <v>2432-Renforcement de la gestion des écoles</v>
      </c>
      <c r="AD691" s="21" t="str">
        <f t="shared" si="142"/>
        <v>24326-Renforcement du développement et de la mise en œuvre des projets de développement des écoles primaires</v>
      </c>
    </row>
    <row r="692" spans="1:30" s="22" customFormat="1" ht="60" hidden="1" customHeight="1" x14ac:dyDescent="0.8">
      <c r="A692" s="14">
        <v>2</v>
      </c>
      <c r="B692" s="15">
        <v>24</v>
      </c>
      <c r="C692" s="15">
        <v>243</v>
      </c>
      <c r="D692" s="15">
        <v>2432</v>
      </c>
      <c r="E692" s="15">
        <v>24326</v>
      </c>
      <c r="F692" s="16" t="s">
        <v>852</v>
      </c>
      <c r="G692" s="21" t="s">
        <v>853</v>
      </c>
      <c r="H692" s="17" t="s">
        <v>854</v>
      </c>
      <c r="I692" s="33">
        <v>0</v>
      </c>
      <c r="J692" s="33">
        <f>8375.4*20.45%</f>
        <v>1712.7692999999999</v>
      </c>
      <c r="K692" s="33">
        <f>8794.17*20.45%</f>
        <v>1798.4077649999999</v>
      </c>
      <c r="L692" s="33">
        <f>9233.8785*20.45%</f>
        <v>1888.32815325</v>
      </c>
      <c r="M692" s="33">
        <f>SUM(I692:L692)</f>
        <v>5399.5052182500003</v>
      </c>
      <c r="N692" s="33">
        <f>IF(OR(H692="",H692="sif",H692="PM"),0,VLOOKUP(H692,[5]CU!$C$4:$H$255,6,FALSE))</f>
        <v>2.2348566207357279</v>
      </c>
      <c r="O692" s="33">
        <f t="shared" si="144"/>
        <v>0</v>
      </c>
      <c r="P692" s="33">
        <f t="shared" si="144"/>
        <v>3827.793809897898</v>
      </c>
      <c r="Q692" s="33">
        <f t="shared" si="144"/>
        <v>4019.1835003927927</v>
      </c>
      <c r="R692" s="33">
        <f t="shared" si="144"/>
        <v>4220.1426754124332</v>
      </c>
      <c r="S692" s="34">
        <f>SUM(O692:R692)</f>
        <v>12067.119985703124</v>
      </c>
      <c r="T692" s="35" t="s">
        <v>118</v>
      </c>
      <c r="U692" s="19" t="s">
        <v>647</v>
      </c>
      <c r="V692" s="19" t="str">
        <f>IF(OR($H692="",$H692="sif",$H692="PM"),"",VLOOKUP($H692,[5]CU!$C$5:$J$255,8,FALSE))</f>
        <v>3. Dépenses de fonctionnement</v>
      </c>
      <c r="W692" s="19" t="s">
        <v>192</v>
      </c>
      <c r="X692" s="19" t="s">
        <v>77</v>
      </c>
      <c r="Y692" s="19" t="s">
        <v>32</v>
      </c>
      <c r="Z692" s="18" t="str">
        <f>A692 &amp; "-" &amp; VLOOKUP(A692,[4]PROGRAMMES!$E$1:$F$7,2,FALSE)</f>
        <v>2-Qualité des enseignements et des apprentissages</v>
      </c>
      <c r="AA692" s="19" t="str">
        <f>B692 &amp; "-" &amp; VLOOKUP(B692,[4]SOUSPROGRAMMES!$E$1:$F$44,2,FALSE)</f>
        <v>24- Encadrement des enseignants : appui et contrôle</v>
      </c>
      <c r="AB692" s="19" t="str">
        <f>C692 &amp; "-" &amp; VLOOKUP(C692,[4]RESULTATS!$E$1:$F$176,2,FALSE)</f>
        <v xml:space="preserve">243- Les acteurs de l’encadrement disposent des ressources matérielles nécessaires pour mener à bien leurs fonctions  </v>
      </c>
      <c r="AC692" s="20" t="str">
        <f>D692 &amp; "-" &amp; VLOOKUP(D692,[4]STRATEGIES!$E$1:$F$504,2,FALSE)</f>
        <v>2432-Renforcement de la gestion des écoles</v>
      </c>
      <c r="AD692" s="21" t="str">
        <f t="shared" si="142"/>
        <v>24326-Renforcement du développement et de la mise en œuvre des projets de développement des écoles primaires</v>
      </c>
    </row>
    <row r="693" spans="1:30" s="22" customFormat="1" ht="60" hidden="1" customHeight="1" x14ac:dyDescent="0.8">
      <c r="A693" s="14">
        <v>2</v>
      </c>
      <c r="B693" s="15">
        <v>24</v>
      </c>
      <c r="C693" s="15">
        <v>243</v>
      </c>
      <c r="D693" s="15">
        <v>2432</v>
      </c>
      <c r="E693" s="15">
        <v>24326</v>
      </c>
      <c r="F693" s="16" t="s">
        <v>852</v>
      </c>
      <c r="G693" s="21" t="s">
        <v>853</v>
      </c>
      <c r="H693" s="17" t="s">
        <v>854</v>
      </c>
      <c r="I693" s="33">
        <v>0</v>
      </c>
      <c r="J693" s="33">
        <f>8375.4*25%</f>
        <v>2093.85</v>
      </c>
      <c r="K693" s="33">
        <f>8794.17*25%</f>
        <v>2198.5425</v>
      </c>
      <c r="L693" s="33">
        <f>9233.8785*25%</f>
        <v>2308.4696250000002</v>
      </c>
      <c r="M693" s="33">
        <f>SUM(I693:L693)</f>
        <v>6600.8621249999997</v>
      </c>
      <c r="N693" s="33">
        <f>IF(OR(H693="",H693="sif",H693="PM"),0,VLOOKUP(H693,[5]CU!$C$4:$H$255,6,FALSE))</f>
        <v>2.2348566207357279</v>
      </c>
      <c r="O693" s="33">
        <f>IFERROR($N693*I693,0)</f>
        <v>0</v>
      </c>
      <c r="P693" s="33">
        <f>IFERROR($N693*J693,0)</f>
        <v>4679.4545353275034</v>
      </c>
      <c r="Q693" s="33">
        <f>IFERROR($N693*K693,0)</f>
        <v>4913.4272620938791</v>
      </c>
      <c r="R693" s="33">
        <f>IFERROR($N693*L693,0)</f>
        <v>5159.0986251985732</v>
      </c>
      <c r="S693" s="34">
        <f>SUM(O693:R693)</f>
        <v>14751.980422619956</v>
      </c>
      <c r="T693" s="35" t="s">
        <v>39</v>
      </c>
      <c r="U693" s="19" t="s">
        <v>647</v>
      </c>
      <c r="V693" s="19" t="str">
        <f>IF(OR($H693="",$H693="sif",$H693="PM"),"",VLOOKUP($H693,[5]CU!$C$5:$J$255,8,FALSE))</f>
        <v>3. Dépenses de fonctionnement</v>
      </c>
      <c r="W693" s="19" t="s">
        <v>192</v>
      </c>
      <c r="X693" s="19" t="s">
        <v>77</v>
      </c>
      <c r="Y693" s="19" t="s">
        <v>32</v>
      </c>
      <c r="Z693" s="18" t="str">
        <f>A693 &amp; "-" &amp; VLOOKUP(A693,[4]PROGRAMMES!$E$1:$F$7,2,FALSE)</f>
        <v>2-Qualité des enseignements et des apprentissages</v>
      </c>
      <c r="AA693" s="19" t="str">
        <f>B693 &amp; "-" &amp; VLOOKUP(B693,[4]SOUSPROGRAMMES!$E$1:$F$44,2,FALSE)</f>
        <v>24- Encadrement des enseignants : appui et contrôle</v>
      </c>
      <c r="AB693" s="19" t="str">
        <f>C693 &amp; "-" &amp; VLOOKUP(C693,[4]RESULTATS!$E$1:$F$176,2,FALSE)</f>
        <v xml:space="preserve">243- Les acteurs de l’encadrement disposent des ressources matérielles nécessaires pour mener à bien leurs fonctions  </v>
      </c>
      <c r="AC693" s="20" t="str">
        <f>D693 &amp; "-" &amp; VLOOKUP(D693,[4]STRATEGIES!$E$1:$F$504,2,FALSE)</f>
        <v>2432-Renforcement de la gestion des écoles</v>
      </c>
      <c r="AD693" s="21" t="str">
        <f t="shared" si="142"/>
        <v>24326-Renforcement du développement et de la mise en œuvre des projets de développement des écoles primaires</v>
      </c>
    </row>
    <row r="694" spans="1:30" s="22" customFormat="1" ht="60" hidden="1" customHeight="1" x14ac:dyDescent="0.8">
      <c r="A694" s="14">
        <v>2</v>
      </c>
      <c r="B694" s="15">
        <v>24</v>
      </c>
      <c r="C694" s="15">
        <v>243</v>
      </c>
      <c r="D694" s="15">
        <v>2432</v>
      </c>
      <c r="E694" s="15">
        <v>24326</v>
      </c>
      <c r="F694" s="16" t="s">
        <v>852</v>
      </c>
      <c r="G694" s="21" t="s">
        <v>853</v>
      </c>
      <c r="H694" s="17" t="s">
        <v>854</v>
      </c>
      <c r="I694" s="33">
        <v>0</v>
      </c>
      <c r="J694" s="33">
        <v>0</v>
      </c>
      <c r="K694" s="33">
        <v>0</v>
      </c>
      <c r="L694" s="33">
        <v>0</v>
      </c>
      <c r="M694" s="33">
        <f t="shared" si="143"/>
        <v>0</v>
      </c>
      <c r="N694" s="33">
        <f>IF(OR(H694="",H694="sif",H694="PM"),0,VLOOKUP(H694,[5]CU!$C$4:$H$255,6,FALSE))</f>
        <v>2.2348566207357279</v>
      </c>
      <c r="O694" s="33">
        <f t="shared" si="144"/>
        <v>0</v>
      </c>
      <c r="P694" s="33">
        <f t="shared" si="144"/>
        <v>0</v>
      </c>
      <c r="Q694" s="33">
        <f t="shared" si="144"/>
        <v>0</v>
      </c>
      <c r="R694" s="33">
        <f t="shared" si="144"/>
        <v>0</v>
      </c>
      <c r="S694" s="34">
        <f t="shared" si="146"/>
        <v>0</v>
      </c>
      <c r="T694" s="35" t="s">
        <v>178</v>
      </c>
      <c r="U694" s="19" t="s">
        <v>647</v>
      </c>
      <c r="V694" s="19" t="str">
        <f>IF(OR($H694="",$H694="sif",$H694="PM"),"",VLOOKUP($H694,[5]CU!$C$5:$J$255,8,FALSE))</f>
        <v>3. Dépenses de fonctionnement</v>
      </c>
      <c r="W694" s="19" t="s">
        <v>192</v>
      </c>
      <c r="X694" s="19" t="s">
        <v>77</v>
      </c>
      <c r="Y694" s="19" t="s">
        <v>32</v>
      </c>
      <c r="Z694" s="18" t="str">
        <f>A694 &amp; "-" &amp; VLOOKUP(A694,[4]PROGRAMMES!$E$1:$F$7,2,FALSE)</f>
        <v>2-Qualité des enseignements et des apprentissages</v>
      </c>
      <c r="AA694" s="19" t="str">
        <f>B694 &amp; "-" &amp; VLOOKUP(B694,[4]SOUSPROGRAMMES!$E$1:$F$44,2,FALSE)</f>
        <v>24- Encadrement des enseignants : appui et contrôle</v>
      </c>
      <c r="AB694" s="19" t="str">
        <f>C694 &amp; "-" &amp; VLOOKUP(C694,[4]RESULTATS!$E$1:$F$176,2,FALSE)</f>
        <v xml:space="preserve">243- Les acteurs de l’encadrement disposent des ressources matérielles nécessaires pour mener à bien leurs fonctions  </v>
      </c>
      <c r="AC694" s="20" t="str">
        <f>D694 &amp; "-" &amp; VLOOKUP(D694,[4]STRATEGIES!$E$1:$F$504,2,FALSE)</f>
        <v>2432-Renforcement de la gestion des écoles</v>
      </c>
      <c r="AD694" s="21" t="str">
        <f t="shared" si="142"/>
        <v>24326-Renforcement du développement et de la mise en œuvre des projets de développement des écoles primaires</v>
      </c>
    </row>
    <row r="695" spans="1:30" s="22" customFormat="1" ht="60" hidden="1" customHeight="1" x14ac:dyDescent="0.8">
      <c r="A695" s="14">
        <v>2</v>
      </c>
      <c r="B695" s="15">
        <v>24</v>
      </c>
      <c r="C695" s="15">
        <v>243</v>
      </c>
      <c r="D695" s="15">
        <v>2432</v>
      </c>
      <c r="E695" s="15">
        <v>24327</v>
      </c>
      <c r="F695" s="16" t="s">
        <v>855</v>
      </c>
      <c r="G695" s="21" t="s">
        <v>763</v>
      </c>
      <c r="H695" s="17" t="s">
        <v>59</v>
      </c>
      <c r="I695" s="33">
        <v>0</v>
      </c>
      <c r="J695" s="33">
        <f>200*30.01%</f>
        <v>60.02000000000001</v>
      </c>
      <c r="K695" s="33">
        <f>220*30.01%</f>
        <v>66.022000000000006</v>
      </c>
      <c r="L695" s="33">
        <f>230*30.01%</f>
        <v>69.02300000000001</v>
      </c>
      <c r="M695" s="33">
        <f t="shared" si="143"/>
        <v>195.06500000000003</v>
      </c>
      <c r="N695" s="33">
        <f>IF(OR(H695="",H695="sif",H695="PM"),0,VLOOKUP(H695,[5]CU!$C$4:$H$255,6,FALSE))</f>
        <v>0.8177777777777776</v>
      </c>
      <c r="O695" s="33">
        <f t="shared" si="144"/>
        <v>0</v>
      </c>
      <c r="P695" s="33">
        <f t="shared" si="144"/>
        <v>49.083022222222219</v>
      </c>
      <c r="Q695" s="33">
        <f t="shared" si="144"/>
        <v>53.991324444444437</v>
      </c>
      <c r="R695" s="33">
        <f t="shared" si="144"/>
        <v>56.445475555555554</v>
      </c>
      <c r="S695" s="34">
        <f t="shared" si="146"/>
        <v>159.51982222222222</v>
      </c>
      <c r="T695" s="35" t="s">
        <v>39</v>
      </c>
      <c r="U695" s="18" t="s">
        <v>647</v>
      </c>
      <c r="V695" s="18" t="str">
        <f>IF(OR($H695="",$H695="sif",$H695="PM"),"",VLOOKUP($H695,[5]CU!$C$5:$J$255,8,FALSE))</f>
        <v>3. Dépenses de fonctionnement</v>
      </c>
      <c r="W695" s="18" t="s">
        <v>192</v>
      </c>
      <c r="X695" s="18" t="s">
        <v>192</v>
      </c>
      <c r="Y695" s="19" t="s">
        <v>32</v>
      </c>
      <c r="Z695" s="18" t="str">
        <f>A695 &amp; "-" &amp; VLOOKUP(A695,[4]PROGRAMMES!$E$1:$F$7,2,FALSE)</f>
        <v>2-Qualité des enseignements et des apprentissages</v>
      </c>
      <c r="AA695" s="19" t="str">
        <f>B695 &amp; "-" &amp; VLOOKUP(B695,[4]SOUSPROGRAMMES!$E$1:$F$44,2,FALSE)</f>
        <v>24- Encadrement des enseignants : appui et contrôle</v>
      </c>
      <c r="AB695" s="19" t="str">
        <f>C695 &amp; "-" &amp; VLOOKUP(C695,[4]RESULTATS!$E$1:$F$176,2,FALSE)</f>
        <v xml:space="preserve">243- Les acteurs de l’encadrement disposent des ressources matérielles nécessaires pour mener à bien leurs fonctions  </v>
      </c>
      <c r="AC695" s="20" t="str">
        <f>D695 &amp; "-" &amp; VLOOKUP(D695,[4]STRATEGIES!$E$1:$F$504,2,FALSE)</f>
        <v>2432-Renforcement de la gestion des écoles</v>
      </c>
      <c r="AD695" s="21" t="str">
        <f t="shared" si="142"/>
        <v xml:space="preserve">24327-Suivi de la mise en eouvre des PAE </v>
      </c>
    </row>
    <row r="696" spans="1:30" s="22" customFormat="1" ht="60" hidden="1" customHeight="1" x14ac:dyDescent="0.8">
      <c r="A696" s="14">
        <v>2</v>
      </c>
      <c r="B696" s="15">
        <v>24</v>
      </c>
      <c r="C696" s="15">
        <v>243</v>
      </c>
      <c r="D696" s="15">
        <v>2432</v>
      </c>
      <c r="E696" s="15">
        <v>24327</v>
      </c>
      <c r="F696" s="16" t="s">
        <v>855</v>
      </c>
      <c r="G696" s="21" t="s">
        <v>763</v>
      </c>
      <c r="H696" s="17" t="s">
        <v>59</v>
      </c>
      <c r="I696" s="33">
        <v>0</v>
      </c>
      <c r="J696" s="33">
        <f>200*44.6%</f>
        <v>89.2</v>
      </c>
      <c r="K696" s="33">
        <f>220*44.6%</f>
        <v>98.12</v>
      </c>
      <c r="L696" s="33">
        <f>230*44.6%</f>
        <v>102.58</v>
      </c>
      <c r="M696" s="33">
        <f>SUM(I696:L696)</f>
        <v>289.89999999999998</v>
      </c>
      <c r="N696" s="33">
        <f>IF(OR(H696="",H696="sif",H696="PM"),0,VLOOKUP(H696,[5]CU!$C$4:$H$255,6,FALSE))</f>
        <v>0.8177777777777776</v>
      </c>
      <c r="O696" s="33">
        <f>IFERROR($N696*I696,0)</f>
        <v>0</v>
      </c>
      <c r="P696" s="33">
        <f>IFERROR($N696*J696,0)</f>
        <v>72.945777777777764</v>
      </c>
      <c r="Q696" s="33">
        <f>IFERROR($N696*K696,0)</f>
        <v>80.240355555555539</v>
      </c>
      <c r="R696" s="33">
        <f>IFERROR($N696*L696,0)</f>
        <v>83.887644444444419</v>
      </c>
      <c r="S696" s="34">
        <f>SUM(O696:R696)</f>
        <v>237.07377777777774</v>
      </c>
      <c r="T696" s="35" t="s">
        <v>118</v>
      </c>
      <c r="U696" s="18" t="s">
        <v>647</v>
      </c>
      <c r="V696" s="18" t="str">
        <f>IF(OR($H696="",$H696="sif",$H696="PM"),"",VLOOKUP($H696,[5]CU!$C$5:$J$255,8,FALSE))</f>
        <v>3. Dépenses de fonctionnement</v>
      </c>
      <c r="W696" s="18" t="s">
        <v>192</v>
      </c>
      <c r="X696" s="18" t="s">
        <v>192</v>
      </c>
      <c r="Y696" s="19" t="s">
        <v>32</v>
      </c>
      <c r="Z696" s="18" t="str">
        <f>A696 &amp; "-" &amp; VLOOKUP(A696,[4]PROGRAMMES!$E$1:$F$7,2,FALSE)</f>
        <v>2-Qualité des enseignements et des apprentissages</v>
      </c>
      <c r="AA696" s="19" t="str">
        <f>B696 &amp; "-" &amp; VLOOKUP(B696,[4]SOUSPROGRAMMES!$E$1:$F$44,2,FALSE)</f>
        <v>24- Encadrement des enseignants : appui et contrôle</v>
      </c>
      <c r="AB696" s="19" t="str">
        <f>C696 &amp; "-" &amp; VLOOKUP(C696,[4]RESULTATS!$E$1:$F$176,2,FALSE)</f>
        <v xml:space="preserve">243- Les acteurs de l’encadrement disposent des ressources matérielles nécessaires pour mener à bien leurs fonctions  </v>
      </c>
      <c r="AC696" s="20" t="str">
        <f>D696 &amp; "-" &amp; VLOOKUP(D696,[4]STRATEGIES!$E$1:$F$504,2,FALSE)</f>
        <v>2432-Renforcement de la gestion des écoles</v>
      </c>
      <c r="AD696" s="21" t="str">
        <f t="shared" si="142"/>
        <v xml:space="preserve">24327-Suivi de la mise en eouvre des PAE </v>
      </c>
    </row>
    <row r="697" spans="1:30" s="22" customFormat="1" ht="60" hidden="1" customHeight="1" x14ac:dyDescent="0.8">
      <c r="A697" s="14">
        <v>2</v>
      </c>
      <c r="B697" s="15">
        <v>24</v>
      </c>
      <c r="C697" s="15">
        <v>243</v>
      </c>
      <c r="D697" s="15">
        <v>2432</v>
      </c>
      <c r="E697" s="15">
        <v>24327</v>
      </c>
      <c r="F697" s="16" t="s">
        <v>855</v>
      </c>
      <c r="G697" s="21" t="s">
        <v>763</v>
      </c>
      <c r="H697" s="17" t="s">
        <v>59</v>
      </c>
      <c r="I697" s="33">
        <v>0</v>
      </c>
      <c r="J697" s="33">
        <v>0</v>
      </c>
      <c r="K697" s="33">
        <v>0</v>
      </c>
      <c r="L697" s="33">
        <v>0</v>
      </c>
      <c r="M697" s="33">
        <f t="shared" si="143"/>
        <v>0</v>
      </c>
      <c r="N697" s="33">
        <f>IF(OR(H697="",H697="sif",H697="PM"),0,VLOOKUP(H697,[5]CU!$C$4:$H$255,6,FALSE))</f>
        <v>0.8177777777777776</v>
      </c>
      <c r="O697" s="33">
        <f t="shared" si="144"/>
        <v>0</v>
      </c>
      <c r="P697" s="33">
        <f t="shared" si="144"/>
        <v>0</v>
      </c>
      <c r="Q697" s="33">
        <f t="shared" si="144"/>
        <v>0</v>
      </c>
      <c r="R697" s="33">
        <f t="shared" si="144"/>
        <v>0</v>
      </c>
      <c r="S697" s="34">
        <f t="shared" si="146"/>
        <v>0</v>
      </c>
      <c r="T697" s="35" t="s">
        <v>178</v>
      </c>
      <c r="U697" s="18" t="s">
        <v>647</v>
      </c>
      <c r="V697" s="18" t="str">
        <f>IF(OR($H697="",$H697="sif",$H697="PM"),"",VLOOKUP($H697,[5]CU!$C$5:$J$255,8,FALSE))</f>
        <v>3. Dépenses de fonctionnement</v>
      </c>
      <c r="W697" s="18" t="s">
        <v>192</v>
      </c>
      <c r="X697" s="18" t="s">
        <v>192</v>
      </c>
      <c r="Y697" s="19" t="s">
        <v>32</v>
      </c>
      <c r="Z697" s="18" t="str">
        <f>A697 &amp; "-" &amp; VLOOKUP(A697,[4]PROGRAMMES!$E$1:$F$7,2,FALSE)</f>
        <v>2-Qualité des enseignements et des apprentissages</v>
      </c>
      <c r="AA697" s="19" t="str">
        <f>B697 &amp; "-" &amp; VLOOKUP(B697,[4]SOUSPROGRAMMES!$E$1:$F$44,2,FALSE)</f>
        <v>24- Encadrement des enseignants : appui et contrôle</v>
      </c>
      <c r="AB697" s="19" t="str">
        <f>C697 &amp; "-" &amp; VLOOKUP(C697,[4]RESULTATS!$E$1:$F$176,2,FALSE)</f>
        <v xml:space="preserve">243- Les acteurs de l’encadrement disposent des ressources matérielles nécessaires pour mener à bien leurs fonctions  </v>
      </c>
      <c r="AC697" s="20" t="str">
        <f>D697 &amp; "-" &amp; VLOOKUP(D697,[4]STRATEGIES!$E$1:$F$504,2,FALSE)</f>
        <v>2432-Renforcement de la gestion des écoles</v>
      </c>
      <c r="AD697" s="21" t="str">
        <f t="shared" si="142"/>
        <v xml:space="preserve">24327-Suivi de la mise en eouvre des PAE </v>
      </c>
    </row>
    <row r="698" spans="1:30" s="22" customFormat="1" ht="60" hidden="1" customHeight="1" x14ac:dyDescent="0.8">
      <c r="A698" s="14">
        <v>2</v>
      </c>
      <c r="B698" s="15">
        <v>24</v>
      </c>
      <c r="C698" s="15">
        <v>243</v>
      </c>
      <c r="D698" s="15">
        <v>2432</v>
      </c>
      <c r="E698" s="15">
        <v>24328</v>
      </c>
      <c r="F698" s="16" t="s">
        <v>856</v>
      </c>
      <c r="G698" s="21" t="s">
        <v>853</v>
      </c>
      <c r="H698" s="17" t="s">
        <v>857</v>
      </c>
      <c r="I698" s="33">
        <v>0</v>
      </c>
      <c r="J698" s="33">
        <v>0.90634441087613304</v>
      </c>
      <c r="K698" s="33">
        <v>0.99697885196374603</v>
      </c>
      <c r="L698" s="33">
        <v>1.09667673716012</v>
      </c>
      <c r="M698" s="33">
        <f t="shared" si="143"/>
        <v>2.9999999999999991</v>
      </c>
      <c r="N698" s="33">
        <f>IF(OR(H698="",H698="sif",H698="PM"),0,VLOOKUP(H698,[5]CU!$C$4:$H$255,6,FALSE))</f>
        <v>4092.96781691769</v>
      </c>
      <c r="O698" s="33">
        <f t="shared" si="144"/>
        <v>0</v>
      </c>
      <c r="P698" s="33">
        <f t="shared" si="144"/>
        <v>3709.6385047592362</v>
      </c>
      <c r="Q698" s="33">
        <f t="shared" si="144"/>
        <v>4080.6023552351585</v>
      </c>
      <c r="R698" s="33">
        <f t="shared" si="144"/>
        <v>4488.6625907586722</v>
      </c>
      <c r="S698" s="34">
        <f t="shared" si="146"/>
        <v>12278.903450753067</v>
      </c>
      <c r="T698" s="35" t="s">
        <v>39</v>
      </c>
      <c r="U698" s="18" t="s">
        <v>647</v>
      </c>
      <c r="V698" s="18" t="str">
        <f>IF(OR($H698="",$H698="sif",$H698="PM"),"",VLOOKUP($H698,[5]CU!$C$5:$J$255,8,FALSE))</f>
        <v>3. Dépenses de fonctionnement</v>
      </c>
      <c r="W698" s="18" t="s">
        <v>398</v>
      </c>
      <c r="X698" s="18" t="s">
        <v>398</v>
      </c>
      <c r="Y698" s="19" t="s">
        <v>32</v>
      </c>
      <c r="Z698" s="18" t="str">
        <f>A698 &amp; "-" &amp; VLOOKUP(A698,[4]PROGRAMMES!$E$1:$F$7,2,FALSE)</f>
        <v>2-Qualité des enseignements et des apprentissages</v>
      </c>
      <c r="AA698" s="19" t="str">
        <f>B698 &amp; "-" &amp; VLOOKUP(B698,[4]SOUSPROGRAMMES!$E$1:$F$44,2,FALSE)</f>
        <v>24- Encadrement des enseignants : appui et contrôle</v>
      </c>
      <c r="AB698" s="19" t="str">
        <f>C698 &amp; "-" &amp; VLOOKUP(C698,[4]RESULTATS!$E$1:$F$176,2,FALSE)</f>
        <v xml:space="preserve">243- Les acteurs de l’encadrement disposent des ressources matérielles nécessaires pour mener à bien leurs fonctions  </v>
      </c>
      <c r="AC698" s="20" t="str">
        <f>D698 &amp; "-" &amp; VLOOKUP(D698,[4]STRATEGIES!$E$1:$F$504,2,FALSE)</f>
        <v>2432-Renforcement de la gestion des écoles</v>
      </c>
      <c r="AD698" s="21" t="str">
        <f t="shared" si="142"/>
        <v>24328-Mise en place progressive de subvention de fonctionnement pour les collèges</v>
      </c>
    </row>
    <row r="699" spans="1:30" s="22" customFormat="1" ht="60" hidden="1" customHeight="1" x14ac:dyDescent="0.8">
      <c r="A699" s="14">
        <v>2</v>
      </c>
      <c r="B699" s="15">
        <v>24</v>
      </c>
      <c r="C699" s="15">
        <v>243</v>
      </c>
      <c r="D699" s="15">
        <v>2432</v>
      </c>
      <c r="E699" s="15">
        <v>24329</v>
      </c>
      <c r="F699" s="16" t="s">
        <v>858</v>
      </c>
      <c r="G699" s="21" t="s">
        <v>853</v>
      </c>
      <c r="H699" s="17" t="s">
        <v>859</v>
      </c>
      <c r="I699" s="33">
        <v>0</v>
      </c>
      <c r="J699" s="33">
        <v>0.82417582417582502</v>
      </c>
      <c r="K699" s="33">
        <v>0.98901098901099005</v>
      </c>
      <c r="L699" s="33">
        <v>1.1868131868131899</v>
      </c>
      <c r="M699" s="33">
        <f t="shared" si="143"/>
        <v>3.0000000000000053</v>
      </c>
      <c r="N699" s="33">
        <f>IF(OR(H699="",H699="sif",H699="PM"),0,VLOOKUP(H699,[5]CU!$C$4:$H$255,6,FALSE))</f>
        <v>1900.63291916205</v>
      </c>
      <c r="O699" s="33">
        <f t="shared" si="144"/>
        <v>0</v>
      </c>
      <c r="P699" s="33">
        <f t="shared" si="144"/>
        <v>1566.4557026060868</v>
      </c>
      <c r="Q699" s="33">
        <f t="shared" si="144"/>
        <v>1879.7468431273041</v>
      </c>
      <c r="R699" s="33">
        <f t="shared" si="144"/>
        <v>2255.6962117527687</v>
      </c>
      <c r="S699" s="34">
        <f t="shared" si="146"/>
        <v>5701.8987574861603</v>
      </c>
      <c r="T699" s="35" t="s">
        <v>56</v>
      </c>
      <c r="U699" s="18" t="s">
        <v>647</v>
      </c>
      <c r="V699" s="18" t="str">
        <f>IF(OR($H699="",$H699="sif",$H699="PM"),"",VLOOKUP($H699,[5]CU!$C$5:$J$255,8,FALSE))</f>
        <v>3. Dépenses de fonctionnement</v>
      </c>
      <c r="W699" s="18" t="s">
        <v>398</v>
      </c>
      <c r="X699" s="18" t="s">
        <v>398</v>
      </c>
      <c r="Y699" s="19" t="s">
        <v>32</v>
      </c>
      <c r="Z699" s="18" t="str">
        <f>A699 &amp; "-" &amp; VLOOKUP(A699,[4]PROGRAMMES!$E$1:$F$7,2,FALSE)</f>
        <v>2-Qualité des enseignements et des apprentissages</v>
      </c>
      <c r="AA699" s="19" t="str">
        <f>B699 &amp; "-" &amp; VLOOKUP(B699,[4]SOUSPROGRAMMES!$E$1:$F$44,2,FALSE)</f>
        <v>24- Encadrement des enseignants : appui et contrôle</v>
      </c>
      <c r="AB699" s="19" t="str">
        <f>C699 &amp; "-" &amp; VLOOKUP(C699,[4]RESULTATS!$E$1:$F$176,2,FALSE)</f>
        <v xml:space="preserve">243- Les acteurs de l’encadrement disposent des ressources matérielles nécessaires pour mener à bien leurs fonctions  </v>
      </c>
      <c r="AC699" s="20" t="str">
        <f>D699 &amp; "-" &amp; VLOOKUP(D699,[4]STRATEGIES!$E$1:$F$504,2,FALSE)</f>
        <v>2432-Renforcement de la gestion des écoles</v>
      </c>
      <c r="AD699" s="21" t="str">
        <f t="shared" si="142"/>
        <v>24329-Mise en place progressive de subvention de fonctionnement pour les Lycées</v>
      </c>
    </row>
    <row r="700" spans="1:30" s="22" customFormat="1" ht="30" hidden="1" customHeight="1" x14ac:dyDescent="0.8">
      <c r="A700" s="14">
        <v>2</v>
      </c>
      <c r="B700" s="15">
        <v>25</v>
      </c>
      <c r="C700" s="15">
        <v>25</v>
      </c>
      <c r="D700" s="15">
        <v>25</v>
      </c>
      <c r="E700" s="15">
        <v>25</v>
      </c>
      <c r="F700" s="16" t="s">
        <v>860</v>
      </c>
      <c r="G700" s="17"/>
      <c r="H700" s="17"/>
      <c r="I700" s="33">
        <v>0</v>
      </c>
      <c r="J700" s="33"/>
      <c r="K700" s="33"/>
      <c r="L700" s="33"/>
      <c r="M700" s="33"/>
      <c r="N700" s="33"/>
      <c r="O700" s="33"/>
      <c r="P700" s="33"/>
      <c r="Q700" s="33"/>
      <c r="R700" s="33"/>
      <c r="S700" s="34"/>
      <c r="T700" s="33"/>
      <c r="U700" s="18"/>
      <c r="V700" s="18"/>
      <c r="W700" s="18"/>
      <c r="X700" s="18"/>
      <c r="Y700" s="19" t="s">
        <v>32</v>
      </c>
      <c r="Z700" s="18" t="str">
        <f>A700 &amp; "-" &amp; VLOOKUP(A700,[4]PROGRAMMES!$E$1:$F$7,2,FALSE)</f>
        <v>2-Qualité des enseignements et des apprentissages</v>
      </c>
      <c r="AA700" s="19" t="str">
        <f>B700 &amp; "-" &amp; VLOOKUP(B700,[4]SOUSPROGRAMMES!$E$1:$F$44,2,FALSE)</f>
        <v xml:space="preserve">25- Conditions d’apprentissage améliorées </v>
      </c>
      <c r="AB700" s="19" t="str">
        <f>C700 &amp; "-" &amp; VLOOKUP(C700,[4]RESULTATS!$E$1:$F$176,2,FALSE)</f>
        <v xml:space="preserve">25- Conditions d’apprentissage améliorées </v>
      </c>
      <c r="AC700" s="20" t="str">
        <f>D700 &amp; "-" &amp; VLOOKUP(D700,[4]STRATEGIES!$E$1:$F$504,2,FALSE)</f>
        <v xml:space="preserve">25- Conditions d’apprentissage améliorées </v>
      </c>
      <c r="AD700" s="21" t="str">
        <f t="shared" si="142"/>
        <v xml:space="preserve">25- Conditions d’apprentissage améliorées </v>
      </c>
    </row>
    <row r="701" spans="1:30" s="22" customFormat="1" ht="30" hidden="1" customHeight="1" x14ac:dyDescent="0.8">
      <c r="A701" s="14">
        <v>2</v>
      </c>
      <c r="B701" s="15">
        <v>25</v>
      </c>
      <c r="C701" s="15">
        <v>251</v>
      </c>
      <c r="D701" s="15">
        <v>251</v>
      </c>
      <c r="E701" s="15">
        <v>251</v>
      </c>
      <c r="F701" s="16" t="s">
        <v>861</v>
      </c>
      <c r="G701" s="17"/>
      <c r="H701" s="17"/>
      <c r="I701" s="33">
        <v>0</v>
      </c>
      <c r="J701" s="33"/>
      <c r="K701" s="33"/>
      <c r="L701" s="33"/>
      <c r="M701" s="33"/>
      <c r="N701" s="33"/>
      <c r="O701" s="33"/>
      <c r="P701" s="33"/>
      <c r="Q701" s="33"/>
      <c r="R701" s="33"/>
      <c r="S701" s="34"/>
      <c r="T701" s="33"/>
      <c r="U701" s="18"/>
      <c r="V701" s="18"/>
      <c r="W701" s="18"/>
      <c r="X701" s="18"/>
      <c r="Y701" s="19" t="s">
        <v>32</v>
      </c>
      <c r="Z701" s="18" t="str">
        <f>A701 &amp; "-" &amp; VLOOKUP(A701,[4]PROGRAMMES!$E$1:$F$7,2,FALSE)</f>
        <v>2-Qualité des enseignements et des apprentissages</v>
      </c>
      <c r="AA701" s="19" t="str">
        <f>B701 &amp; "-" &amp; VLOOKUP(B701,[4]SOUSPROGRAMMES!$E$1:$F$44,2,FALSE)</f>
        <v xml:space="preserve">25- Conditions d’apprentissage améliorées </v>
      </c>
      <c r="AB701" s="19" t="str">
        <f>C701 &amp; "-" &amp; VLOOKUP(C701,[4]RESULTATS!$E$1:$F$176,2,FALSE)</f>
        <v>251- Les manuels et guides adaptés aux nouveaux curricula sont développés</v>
      </c>
      <c r="AC701" s="20" t="str">
        <f>D701 &amp; "-" &amp; VLOOKUP(D701,[4]STRATEGIES!$E$1:$F$504,2,FALSE)</f>
        <v>251- Les manuels et guides adaptés aux nouveaux curricula sont développés</v>
      </c>
      <c r="AD701" s="21" t="str">
        <f t="shared" si="142"/>
        <v>251- Les manuels et guides adaptés aux nouveaux curricula sont développés</v>
      </c>
    </row>
    <row r="702" spans="1:30" s="22" customFormat="1" ht="30" hidden="1" customHeight="1" x14ac:dyDescent="0.8">
      <c r="A702" s="14">
        <v>2</v>
      </c>
      <c r="B702" s="15">
        <v>25</v>
      </c>
      <c r="C702" s="15">
        <v>251</v>
      </c>
      <c r="D702" s="15">
        <v>2511</v>
      </c>
      <c r="E702" s="15">
        <v>2511</v>
      </c>
      <c r="F702" s="16" t="s">
        <v>862</v>
      </c>
      <c r="G702" s="17"/>
      <c r="H702" s="17"/>
      <c r="I702" s="33">
        <v>0</v>
      </c>
      <c r="J702" s="33"/>
      <c r="K702" s="33"/>
      <c r="L702" s="33"/>
      <c r="M702" s="33"/>
      <c r="N702" s="33"/>
      <c r="O702" s="33"/>
      <c r="P702" s="33"/>
      <c r="Q702" s="33"/>
      <c r="R702" s="33"/>
      <c r="S702" s="34"/>
      <c r="T702" s="33"/>
      <c r="U702" s="18"/>
      <c r="V702" s="18"/>
      <c r="W702" s="18"/>
      <c r="X702" s="18"/>
      <c r="Y702" s="19" t="s">
        <v>32</v>
      </c>
      <c r="Z702" s="18" t="str">
        <f>A702 &amp; "-" &amp; VLOOKUP(A702,[4]PROGRAMMES!$E$1:$F$7,2,FALSE)</f>
        <v>2-Qualité des enseignements et des apprentissages</v>
      </c>
      <c r="AA702" s="19" t="str">
        <f>B702 &amp; "-" &amp; VLOOKUP(B702,[4]SOUSPROGRAMMES!$E$1:$F$44,2,FALSE)</f>
        <v xml:space="preserve">25- Conditions d’apprentissage améliorées </v>
      </c>
      <c r="AB702" s="19" t="str">
        <f>C702 &amp; "-" &amp; VLOOKUP(C702,[4]RESULTATS!$E$1:$F$176,2,FALSE)</f>
        <v>251- Les manuels et guides adaptés aux nouveaux curricula sont développés</v>
      </c>
      <c r="AC702" s="20" t="str">
        <f>D702 &amp; "-" &amp; VLOOKUP(D702,[4]STRATEGIES!$E$1:$F$504,2,FALSE)</f>
        <v>2511-Formation des groupes disciplinaires et rédaction des manuels et guides</v>
      </c>
      <c r="AD702" s="21" t="str">
        <f t="shared" si="142"/>
        <v>2511-Formation des groupes disciplinaires et rédaction des manuels et guides</v>
      </c>
    </row>
    <row r="703" spans="1:30" s="22" customFormat="1" ht="30" hidden="1" customHeight="1" x14ac:dyDescent="0.8">
      <c r="A703" s="14">
        <v>2</v>
      </c>
      <c r="B703" s="15">
        <v>25</v>
      </c>
      <c r="C703" s="15">
        <v>251</v>
      </c>
      <c r="D703" s="15">
        <v>2511</v>
      </c>
      <c r="E703" s="15">
        <v>25112</v>
      </c>
      <c r="F703" s="16" t="s">
        <v>863</v>
      </c>
      <c r="G703" s="21" t="s">
        <v>660</v>
      </c>
      <c r="H703" s="17" t="s">
        <v>55</v>
      </c>
      <c r="I703" s="33">
        <v>0</v>
      </c>
      <c r="J703" s="33">
        <v>1</v>
      </c>
      <c r="K703" s="33"/>
      <c r="L703" s="33"/>
      <c r="M703" s="33">
        <f t="shared" si="143"/>
        <v>1</v>
      </c>
      <c r="N703" s="33">
        <f>IF(OR(H703="",H703="sif",H703="PM"),0,VLOOKUP(H703,[5]CU!$C$4:$H$255,6,FALSE))</f>
        <v>0</v>
      </c>
      <c r="O703" s="33">
        <f t="shared" si="144"/>
        <v>0</v>
      </c>
      <c r="P703" s="33">
        <f t="shared" si="144"/>
        <v>0</v>
      </c>
      <c r="Q703" s="33">
        <f t="shared" si="144"/>
        <v>0</v>
      </c>
      <c r="R703" s="33">
        <f t="shared" si="144"/>
        <v>0</v>
      </c>
      <c r="S703" s="34"/>
      <c r="T703" s="35" t="s">
        <v>56</v>
      </c>
      <c r="U703" s="18" t="s">
        <v>647</v>
      </c>
      <c r="V703" s="18" t="str">
        <f>IF(OR($H703="",$H703="sif",$H703="PM"),"",VLOOKUP($H703,[5]CU!$C$5:$J$255,8,FALSE))</f>
        <v/>
      </c>
      <c r="W703" s="18" t="s">
        <v>255</v>
      </c>
      <c r="X703" s="18" t="s">
        <v>708</v>
      </c>
      <c r="Y703" s="19" t="s">
        <v>32</v>
      </c>
      <c r="Z703" s="18" t="str">
        <f>A703 &amp; "-" &amp; VLOOKUP(A703,[4]PROGRAMMES!$E$1:$F$7,2,FALSE)</f>
        <v>2-Qualité des enseignements et des apprentissages</v>
      </c>
      <c r="AA703" s="19" t="str">
        <f>B703 &amp; "-" &amp; VLOOKUP(B703,[4]SOUSPROGRAMMES!$E$1:$F$44,2,FALSE)</f>
        <v xml:space="preserve">25- Conditions d’apprentissage améliorées </v>
      </c>
      <c r="AB703" s="19" t="str">
        <f>C703 &amp; "-" &amp; VLOOKUP(C703,[4]RESULTATS!$E$1:$F$176,2,FALSE)</f>
        <v>251- Les manuels et guides adaptés aux nouveaux curricula sont développés</v>
      </c>
      <c r="AC703" s="20" t="str">
        <f>D703 &amp; "-" &amp; VLOOKUP(D703,[4]STRATEGIES!$E$1:$F$504,2,FALSE)</f>
        <v>2511-Formation des groupes disciplinaires et rédaction des manuels et guides</v>
      </c>
      <c r="AD703" s="21" t="str">
        <f t="shared" si="142"/>
        <v>25112-Révision des textes relatifs à l'élaboration de matériels scolaires (pris en compte dans l'activité 21121)</v>
      </c>
    </row>
    <row r="704" spans="1:30" s="22" customFormat="1" ht="30" hidden="1" customHeight="1" x14ac:dyDescent="0.8">
      <c r="A704" s="14">
        <v>2</v>
      </c>
      <c r="B704" s="15">
        <v>25</v>
      </c>
      <c r="C704" s="15">
        <v>251</v>
      </c>
      <c r="D704" s="15">
        <v>2511</v>
      </c>
      <c r="E704" s="15">
        <v>25113</v>
      </c>
      <c r="F704" s="16" t="s">
        <v>864</v>
      </c>
      <c r="G704" s="21" t="s">
        <v>865</v>
      </c>
      <c r="H704" s="17" t="s">
        <v>55</v>
      </c>
      <c r="I704" s="33">
        <v>0</v>
      </c>
      <c r="J704" s="33">
        <v>1</v>
      </c>
      <c r="K704" s="33"/>
      <c r="L704" s="33"/>
      <c r="M704" s="33">
        <f t="shared" si="143"/>
        <v>1</v>
      </c>
      <c r="N704" s="33">
        <f>IF(OR(H704="",H704="sif",H704="PM"),0,VLOOKUP(H704,[5]CU!$C$4:$H$255,6,FALSE))</f>
        <v>0</v>
      </c>
      <c r="O704" s="33">
        <f t="shared" ref="O704:R755" si="147">IFERROR($N704*I704,0)</f>
        <v>0</v>
      </c>
      <c r="P704" s="33">
        <f t="shared" si="147"/>
        <v>0</v>
      </c>
      <c r="Q704" s="33">
        <f t="shared" si="147"/>
        <v>0</v>
      </c>
      <c r="R704" s="33">
        <f t="shared" si="147"/>
        <v>0</v>
      </c>
      <c r="S704" s="34"/>
      <c r="T704" s="35" t="s">
        <v>56</v>
      </c>
      <c r="U704" s="18" t="s">
        <v>647</v>
      </c>
      <c r="V704" s="18" t="str">
        <f>IF(OR($H704="",$H704="sif",$H704="PM"),"",VLOOKUP($H704,[5]CU!$C$5:$J$255,8,FALSE))</f>
        <v/>
      </c>
      <c r="W704" s="18" t="s">
        <v>708</v>
      </c>
      <c r="X704" s="18" t="s">
        <v>347</v>
      </c>
      <c r="Y704" s="19" t="s">
        <v>32</v>
      </c>
      <c r="Z704" s="18" t="str">
        <f>A704 &amp; "-" &amp; VLOOKUP(A704,[4]PROGRAMMES!$E$1:$F$7,2,FALSE)</f>
        <v>2-Qualité des enseignements et des apprentissages</v>
      </c>
      <c r="AA704" s="19" t="str">
        <f>B704 &amp; "-" &amp; VLOOKUP(B704,[4]SOUSPROGRAMMES!$E$1:$F$44,2,FALSE)</f>
        <v xml:space="preserve">25- Conditions d’apprentissage améliorées </v>
      </c>
      <c r="AB704" s="19" t="str">
        <f>C704 &amp; "-" &amp; VLOOKUP(C704,[4]RESULTATS!$E$1:$F$176,2,FALSE)</f>
        <v>251- Les manuels et guides adaptés aux nouveaux curricula sont développés</v>
      </c>
      <c r="AC704" s="20" t="str">
        <f>D704 &amp; "-" &amp; VLOOKUP(D704,[4]STRATEGIES!$E$1:$F$504,2,FALSE)</f>
        <v>2511-Formation des groupes disciplinaires et rédaction des manuels et guides</v>
      </c>
      <c r="AD704" s="21" t="str">
        <f t="shared" si="142"/>
        <v>25113-Mise en place des équipes multidisciplinaire de rédaction (inspecteurs, enseignants, formateurs.)</v>
      </c>
    </row>
    <row r="705" spans="1:30" s="22" customFormat="1" ht="30" hidden="1" customHeight="1" x14ac:dyDescent="0.8">
      <c r="A705" s="14">
        <v>2</v>
      </c>
      <c r="B705" s="15">
        <v>25</v>
      </c>
      <c r="C705" s="15">
        <v>251</v>
      </c>
      <c r="D705" s="15">
        <v>2511</v>
      </c>
      <c r="E705" s="15">
        <v>25114</v>
      </c>
      <c r="F705" s="16" t="s">
        <v>866</v>
      </c>
      <c r="G705" s="21" t="s">
        <v>298</v>
      </c>
      <c r="H705" s="17" t="s">
        <v>301</v>
      </c>
      <c r="I705" s="33">
        <v>0</v>
      </c>
      <c r="J705" s="33"/>
      <c r="K705" s="33">
        <f>10*5</f>
        <v>50</v>
      </c>
      <c r="L705" s="33">
        <f>10*10*5</f>
        <v>500</v>
      </c>
      <c r="M705" s="33">
        <f t="shared" si="143"/>
        <v>550</v>
      </c>
      <c r="N705" s="33">
        <f>IF(OR(H705="",H705="sif",H705="PM"),0,VLOOKUP(H705,[5]CU!$C$4:$H$255,6,FALSE))</f>
        <v>0.67666666666666664</v>
      </c>
      <c r="O705" s="33">
        <f t="shared" si="147"/>
        <v>0</v>
      </c>
      <c r="P705" s="33">
        <f t="shared" si="147"/>
        <v>0</v>
      </c>
      <c r="Q705" s="33">
        <f t="shared" si="147"/>
        <v>33.833333333333329</v>
      </c>
      <c r="R705" s="33">
        <f t="shared" si="147"/>
        <v>338.33333333333331</v>
      </c>
      <c r="S705" s="34">
        <f>SUM(O705:R705)</f>
        <v>372.16666666666663</v>
      </c>
      <c r="T705" s="35" t="s">
        <v>39</v>
      </c>
      <c r="U705" s="18" t="s">
        <v>647</v>
      </c>
      <c r="V705" s="18" t="str">
        <f>IF(OR($H705="",$H705="sif",$H705="PM"),"",VLOOKUP($H705,[5]CU!$C$5:$J$255,8,FALSE))</f>
        <v>3. Formation</v>
      </c>
      <c r="W705" s="18" t="s">
        <v>708</v>
      </c>
      <c r="X705" s="18" t="s">
        <v>347</v>
      </c>
      <c r="Y705" s="19" t="s">
        <v>32</v>
      </c>
      <c r="Z705" s="18" t="str">
        <f>A705 &amp; "-" &amp; VLOOKUP(A705,[4]PROGRAMMES!$E$1:$F$7,2,FALSE)</f>
        <v>2-Qualité des enseignements et des apprentissages</v>
      </c>
      <c r="AA705" s="19" t="str">
        <f>B705 &amp; "-" &amp; VLOOKUP(B705,[4]SOUSPROGRAMMES!$E$1:$F$44,2,FALSE)</f>
        <v xml:space="preserve">25- Conditions d’apprentissage améliorées </v>
      </c>
      <c r="AB705" s="19" t="str">
        <f>C705 &amp; "-" &amp; VLOOKUP(C705,[4]RESULTATS!$E$1:$F$176,2,FALSE)</f>
        <v>251- Les manuels et guides adaptés aux nouveaux curricula sont développés</v>
      </c>
      <c r="AC705" s="20" t="str">
        <f>D705 &amp; "-" &amp; VLOOKUP(D705,[4]STRATEGIES!$E$1:$F$504,2,FALSE)</f>
        <v>2511-Formation des groupes disciplinaires et rédaction des manuels et guides</v>
      </c>
      <c r="AD705" s="21" t="str">
        <f t="shared" si="142"/>
        <v>25114-Renforcement des capacités des équipes à l'élaboration des manuels scolaires et guides</v>
      </c>
    </row>
    <row r="706" spans="1:30" s="22" customFormat="1" ht="30" hidden="1" customHeight="1" x14ac:dyDescent="0.8">
      <c r="A706" s="14">
        <v>2</v>
      </c>
      <c r="B706" s="15">
        <v>25</v>
      </c>
      <c r="C706" s="15">
        <v>251</v>
      </c>
      <c r="D706" s="15">
        <v>2511</v>
      </c>
      <c r="E706" s="15">
        <v>25115</v>
      </c>
      <c r="F706" s="16" t="s">
        <v>867</v>
      </c>
      <c r="G706" s="21" t="s">
        <v>298</v>
      </c>
      <c r="H706" s="17" t="s">
        <v>66</v>
      </c>
      <c r="I706" s="33">
        <v>0</v>
      </c>
      <c r="J706" s="33"/>
      <c r="K706" s="33">
        <f>10*5*2</f>
        <v>100</v>
      </c>
      <c r="L706" s="33">
        <f>(10*10*5)*4</f>
        <v>2000</v>
      </c>
      <c r="M706" s="33">
        <f t="shared" si="143"/>
        <v>2100</v>
      </c>
      <c r="N706" s="33">
        <f>IF(OR(H706="",H706="sif",H706="PM"),0,VLOOKUP(H706,[5]CU!$C$4:$H$255,6,FALSE))</f>
        <v>0.255</v>
      </c>
      <c r="O706" s="33">
        <f t="shared" si="147"/>
        <v>0</v>
      </c>
      <c r="P706" s="33">
        <f t="shared" si="147"/>
        <v>0</v>
      </c>
      <c r="Q706" s="33">
        <f t="shared" si="147"/>
        <v>25.5</v>
      </c>
      <c r="R706" s="33">
        <f t="shared" si="147"/>
        <v>510</v>
      </c>
      <c r="S706" s="34">
        <f>SUM(O706:R706)</f>
        <v>535.5</v>
      </c>
      <c r="T706" s="35" t="s">
        <v>39</v>
      </c>
      <c r="U706" s="18" t="s">
        <v>647</v>
      </c>
      <c r="V706" s="18" t="str">
        <f>IF(OR($H706="",$H706="sif",$H706="PM"),"",VLOOKUP($H706,[5]CU!$C$5:$J$255,8,FALSE))</f>
        <v>3. Dépenses de fonctionnement</v>
      </c>
      <c r="W706" s="18" t="s">
        <v>708</v>
      </c>
      <c r="X706" s="18" t="s">
        <v>868</v>
      </c>
      <c r="Y706" s="19" t="s">
        <v>32</v>
      </c>
      <c r="Z706" s="18" t="str">
        <f>A706 &amp; "-" &amp; VLOOKUP(A706,[4]PROGRAMMES!$E$1:$F$7,2,FALSE)</f>
        <v>2-Qualité des enseignements et des apprentissages</v>
      </c>
      <c r="AA706" s="19" t="str">
        <f>B706 &amp; "-" &amp; VLOOKUP(B706,[4]SOUSPROGRAMMES!$E$1:$F$44,2,FALSE)</f>
        <v xml:space="preserve">25- Conditions d’apprentissage améliorées </v>
      </c>
      <c r="AB706" s="19" t="str">
        <f>C706 &amp; "-" &amp; VLOOKUP(C706,[4]RESULTATS!$E$1:$F$176,2,FALSE)</f>
        <v>251- Les manuels et guides adaptés aux nouveaux curricula sont développés</v>
      </c>
      <c r="AC706" s="20" t="str">
        <f>D706 &amp; "-" &amp; VLOOKUP(D706,[4]STRATEGIES!$E$1:$F$504,2,FALSE)</f>
        <v>2511-Formation des groupes disciplinaires et rédaction des manuels et guides</v>
      </c>
      <c r="AD706" s="21" t="str">
        <f t="shared" si="142"/>
        <v>25115-Rédaction des manuels scolaires et guides</v>
      </c>
    </row>
    <row r="707" spans="1:30" s="22" customFormat="1" ht="30" hidden="1" customHeight="1" x14ac:dyDescent="0.8">
      <c r="A707" s="14">
        <v>2</v>
      </c>
      <c r="B707" s="15">
        <v>25</v>
      </c>
      <c r="C707" s="15">
        <v>251</v>
      </c>
      <c r="D707" s="15">
        <v>2512</v>
      </c>
      <c r="E707" s="15">
        <v>2512</v>
      </c>
      <c r="F707" s="16" t="s">
        <v>869</v>
      </c>
      <c r="G707" s="17"/>
      <c r="H707" s="17"/>
      <c r="I707" s="33">
        <v>0</v>
      </c>
      <c r="J707" s="33"/>
      <c r="K707" s="33"/>
      <c r="L707" s="33"/>
      <c r="M707" s="33"/>
      <c r="N707" s="33"/>
      <c r="O707" s="33"/>
      <c r="P707" s="33"/>
      <c r="Q707" s="33"/>
      <c r="R707" s="33"/>
      <c r="S707" s="34"/>
      <c r="T707" s="33"/>
      <c r="U707" s="18"/>
      <c r="V707" s="18"/>
      <c r="W707" s="18"/>
      <c r="X707" s="18"/>
      <c r="Y707" s="19" t="s">
        <v>32</v>
      </c>
      <c r="Z707" s="18" t="str">
        <f>A707 &amp; "-" &amp; VLOOKUP(A707,[4]PROGRAMMES!$E$1:$F$7,2,FALSE)</f>
        <v>2-Qualité des enseignements et des apprentissages</v>
      </c>
      <c r="AA707" s="19" t="str">
        <f>B707 &amp; "-" &amp; VLOOKUP(B707,[4]SOUSPROGRAMMES!$E$1:$F$44,2,FALSE)</f>
        <v xml:space="preserve">25- Conditions d’apprentissage améliorées </v>
      </c>
      <c r="AB707" s="19" t="str">
        <f>C707 &amp; "-" &amp; VLOOKUP(C707,[4]RESULTATS!$E$1:$F$176,2,FALSE)</f>
        <v>251- Les manuels et guides adaptés aux nouveaux curricula sont développés</v>
      </c>
      <c r="AC707" s="20" t="str">
        <f>D707 &amp; "-" &amp; VLOOKUP(D707,[4]STRATEGIES!$E$1:$F$504,2,FALSE)</f>
        <v>2512-Validation des contenus et impression des manuels</v>
      </c>
      <c r="AD707" s="21" t="str">
        <f t="shared" si="142"/>
        <v>2512-Validation des contenus et impression des manuels</v>
      </c>
    </row>
    <row r="708" spans="1:30" s="22" customFormat="1" ht="30" hidden="1" customHeight="1" x14ac:dyDescent="0.8">
      <c r="A708" s="14">
        <v>2</v>
      </c>
      <c r="B708" s="15">
        <v>25</v>
      </c>
      <c r="C708" s="15">
        <v>251</v>
      </c>
      <c r="D708" s="15">
        <v>2512</v>
      </c>
      <c r="E708" s="15">
        <v>25121</v>
      </c>
      <c r="F708" s="16" t="s">
        <v>870</v>
      </c>
      <c r="G708" s="21" t="s">
        <v>660</v>
      </c>
      <c r="H708" s="17" t="s">
        <v>55</v>
      </c>
      <c r="I708" s="33">
        <v>0</v>
      </c>
      <c r="J708" s="33"/>
      <c r="K708" s="33">
        <v>1</v>
      </c>
      <c r="L708" s="33">
        <v>1</v>
      </c>
      <c r="M708" s="33">
        <f t="shared" si="143"/>
        <v>2</v>
      </c>
      <c r="N708" s="33">
        <f>IF(OR(H708="",H708="sif",H708="PM"),0,VLOOKUP(H708,[5]CU!$C$4:$H$255,6,FALSE))</f>
        <v>0</v>
      </c>
      <c r="O708" s="33">
        <f t="shared" si="147"/>
        <v>0</v>
      </c>
      <c r="P708" s="33">
        <f t="shared" si="147"/>
        <v>0</v>
      </c>
      <c r="Q708" s="33">
        <f t="shared" si="147"/>
        <v>0</v>
      </c>
      <c r="R708" s="33">
        <f t="shared" si="147"/>
        <v>0</v>
      </c>
      <c r="S708" s="34"/>
      <c r="T708" s="35" t="s">
        <v>56</v>
      </c>
      <c r="U708" s="18" t="s">
        <v>647</v>
      </c>
      <c r="V708" s="18" t="str">
        <f>IF(OR($H708="",$H708="sif",$H708="PM"),"",VLOOKUP($H708,[5]CU!$C$5:$J$255,8,FALSE))</f>
        <v/>
      </c>
      <c r="W708" s="18" t="s">
        <v>255</v>
      </c>
      <c r="X708" s="18" t="s">
        <v>273</v>
      </c>
      <c r="Y708" s="19" t="s">
        <v>32</v>
      </c>
      <c r="Z708" s="18" t="str">
        <f>A708 &amp; "-" &amp; VLOOKUP(A708,[4]PROGRAMMES!$E$1:$F$7,2,FALSE)</f>
        <v>2-Qualité des enseignements et des apprentissages</v>
      </c>
      <c r="AA708" s="19" t="str">
        <f>B708 &amp; "-" &amp; VLOOKUP(B708,[4]SOUSPROGRAMMES!$E$1:$F$44,2,FALSE)</f>
        <v xml:space="preserve">25- Conditions d’apprentissage améliorées </v>
      </c>
      <c r="AB708" s="19" t="str">
        <f>C708 &amp; "-" &amp; VLOOKUP(C708,[4]RESULTATS!$E$1:$F$176,2,FALSE)</f>
        <v>251- Les manuels et guides adaptés aux nouveaux curricula sont développés</v>
      </c>
      <c r="AC708" s="20" t="str">
        <f>D708 &amp; "-" &amp; VLOOKUP(D708,[4]STRATEGIES!$E$1:$F$504,2,FALSE)</f>
        <v>2512-Validation des contenus et impression des manuels</v>
      </c>
      <c r="AD708" s="21" t="str">
        <f t="shared" ref="AD708:AD771" si="148">E708 &amp; "-" &amp; F708</f>
        <v>25121-Mise en place d'un comité scientifique chargé de la lecture et de l'évaluation du contenu</v>
      </c>
    </row>
    <row r="709" spans="1:30" s="22" customFormat="1" ht="30" hidden="1" customHeight="1" x14ac:dyDescent="0.8">
      <c r="A709" s="14">
        <v>2</v>
      </c>
      <c r="B709" s="15">
        <v>25</v>
      </c>
      <c r="C709" s="15">
        <v>251</v>
      </c>
      <c r="D709" s="15">
        <v>2512</v>
      </c>
      <c r="E709" s="15">
        <v>25122</v>
      </c>
      <c r="F709" s="16" t="s">
        <v>871</v>
      </c>
      <c r="G709" s="21" t="s">
        <v>298</v>
      </c>
      <c r="H709" s="17" t="s">
        <v>38</v>
      </c>
      <c r="I709" s="33">
        <v>0</v>
      </c>
      <c r="J709" s="33"/>
      <c r="K709" s="33">
        <f>30*3</f>
        <v>90</v>
      </c>
      <c r="L709" s="33">
        <f>20*10*3</f>
        <v>600</v>
      </c>
      <c r="M709" s="33">
        <f t="shared" si="143"/>
        <v>690</v>
      </c>
      <c r="N709" s="33">
        <f>IF(OR(H709="",H709="sif",H709="PM"),0,VLOOKUP(H709,[5]CU!$C$4:$H$255,6,FALSE))</f>
        <v>0.3133333333333333</v>
      </c>
      <c r="O709" s="33">
        <f t="shared" si="147"/>
        <v>0</v>
      </c>
      <c r="P709" s="33">
        <f t="shared" si="147"/>
        <v>0</v>
      </c>
      <c r="Q709" s="33">
        <f t="shared" si="147"/>
        <v>28.199999999999996</v>
      </c>
      <c r="R709" s="33">
        <f t="shared" si="147"/>
        <v>187.99999999999997</v>
      </c>
      <c r="S709" s="34">
        <f t="shared" ref="S709:S718" si="149">SUM(O709:R709)</f>
        <v>216.19999999999996</v>
      </c>
      <c r="T709" s="35" t="s">
        <v>39</v>
      </c>
      <c r="U709" s="18" t="s">
        <v>647</v>
      </c>
      <c r="V709" s="18" t="str">
        <f>IF(OR($H709="",$H709="sif",$H709="PM"),"",VLOOKUP($H709,[5]CU!$C$5:$J$255,8,FALSE))</f>
        <v>3. Formation</v>
      </c>
      <c r="W709" s="18" t="s">
        <v>708</v>
      </c>
      <c r="X709" s="18" t="s">
        <v>872</v>
      </c>
      <c r="Y709" s="19" t="s">
        <v>32</v>
      </c>
      <c r="Z709" s="18" t="str">
        <f>A709 &amp; "-" &amp; VLOOKUP(A709,[4]PROGRAMMES!$E$1:$F$7,2,FALSE)</f>
        <v>2-Qualité des enseignements et des apprentissages</v>
      </c>
      <c r="AA709" s="19" t="str">
        <f>B709 &amp; "-" &amp; VLOOKUP(B709,[4]SOUSPROGRAMMES!$E$1:$F$44,2,FALSE)</f>
        <v xml:space="preserve">25- Conditions d’apprentissage améliorées </v>
      </c>
      <c r="AB709" s="19" t="str">
        <f>C709 &amp; "-" &amp; VLOOKUP(C709,[4]RESULTATS!$E$1:$F$176,2,FALSE)</f>
        <v>251- Les manuels et guides adaptés aux nouveaux curricula sont développés</v>
      </c>
      <c r="AC709" s="20" t="str">
        <f>D709 &amp; "-" &amp; VLOOKUP(D709,[4]STRATEGIES!$E$1:$F$504,2,FALSE)</f>
        <v>2512-Validation des contenus et impression des manuels</v>
      </c>
      <c r="AD709" s="21" t="str">
        <f t="shared" si="148"/>
        <v>25122-Partage et validation du contenu des manuels scolaires et guides élaborés</v>
      </c>
    </row>
    <row r="710" spans="1:30" s="22" customFormat="1" ht="30" hidden="1" customHeight="1" x14ac:dyDescent="0.8">
      <c r="A710" s="14">
        <v>2</v>
      </c>
      <c r="B710" s="15">
        <v>25</v>
      </c>
      <c r="C710" s="15">
        <v>251</v>
      </c>
      <c r="D710" s="15">
        <v>2512</v>
      </c>
      <c r="E710" s="15">
        <v>25123</v>
      </c>
      <c r="F710" s="16" t="s">
        <v>873</v>
      </c>
      <c r="G710" s="21" t="s">
        <v>874</v>
      </c>
      <c r="H710" s="17" t="s">
        <v>816</v>
      </c>
      <c r="I710" s="33">
        <v>0</v>
      </c>
      <c r="J710" s="33"/>
      <c r="K710" s="33">
        <f>(60*43)*3+(60*3)</f>
        <v>7920</v>
      </c>
      <c r="L710" s="33"/>
      <c r="M710" s="33">
        <f t="shared" si="143"/>
        <v>7920</v>
      </c>
      <c r="N710" s="33">
        <f>IF(OR(H710="",H710="sif",H710="PM"),0,VLOOKUP(H710,[5]CU!$C$4:$H$255,6,FALSE))</f>
        <v>7.4999999999999997E-3</v>
      </c>
      <c r="O710" s="33">
        <f t="shared" si="147"/>
        <v>0</v>
      </c>
      <c r="P710" s="33">
        <f t="shared" si="147"/>
        <v>0</v>
      </c>
      <c r="Q710" s="33">
        <f t="shared" si="147"/>
        <v>59.4</v>
      </c>
      <c r="R710" s="33">
        <f t="shared" si="147"/>
        <v>0</v>
      </c>
      <c r="S710" s="34">
        <f t="shared" si="149"/>
        <v>59.4</v>
      </c>
      <c r="T710" s="35" t="s">
        <v>39</v>
      </c>
      <c r="U710" s="18" t="s">
        <v>647</v>
      </c>
      <c r="V710" s="18" t="str">
        <f>IF(OR($H710="",$H710="sif",$H710="PM"),"",VLOOKUP($H710,[5]CU!$C$5:$J$255,8,FALSE))</f>
        <v>3. Dépenses de fonctionnement</v>
      </c>
      <c r="W710" s="18" t="s">
        <v>663</v>
      </c>
      <c r="X710" s="18" t="s">
        <v>665</v>
      </c>
      <c r="Y710" s="19" t="s">
        <v>32</v>
      </c>
      <c r="Z710" s="18" t="str">
        <f>A710 &amp; "-" &amp; VLOOKUP(A710,[4]PROGRAMMES!$E$1:$F$7,2,FALSE)</f>
        <v>2-Qualité des enseignements et des apprentissages</v>
      </c>
      <c r="AA710" s="19" t="str">
        <f>B710 &amp; "-" &amp; VLOOKUP(B710,[4]SOUSPROGRAMMES!$E$1:$F$44,2,FALSE)</f>
        <v xml:space="preserve">25- Conditions d’apprentissage améliorées </v>
      </c>
      <c r="AB710" s="19" t="str">
        <f>C710 &amp; "-" &amp; VLOOKUP(C710,[4]RESULTATS!$E$1:$F$176,2,FALSE)</f>
        <v>251- Les manuels et guides adaptés aux nouveaux curricula sont développés</v>
      </c>
      <c r="AC710" s="20" t="str">
        <f>D710 &amp; "-" &amp; VLOOKUP(D710,[4]STRATEGIES!$E$1:$F$504,2,FALSE)</f>
        <v>2512-Validation des contenus et impression des manuels</v>
      </c>
      <c r="AD710" s="21" t="str">
        <f t="shared" si="148"/>
        <v>25123-Impression des manuels scolaires et guides pour l'expérimentation des manuels et guides du préscolaire</v>
      </c>
    </row>
    <row r="711" spans="1:30" ht="45" hidden="1" customHeight="1" x14ac:dyDescent="0.8">
      <c r="A711" s="25">
        <v>2</v>
      </c>
      <c r="B711" s="16">
        <v>25</v>
      </c>
      <c r="C711" s="16">
        <v>251</v>
      </c>
      <c r="D711" s="16">
        <v>2512</v>
      </c>
      <c r="E711" s="16">
        <v>25124</v>
      </c>
      <c r="F711" s="16" t="s">
        <v>875</v>
      </c>
      <c r="G711" s="21" t="s">
        <v>874</v>
      </c>
      <c r="H711" s="21" t="s">
        <v>816</v>
      </c>
      <c r="I711" s="36">
        <v>0</v>
      </c>
      <c r="J711" s="36"/>
      <c r="K711" s="36"/>
      <c r="L711" s="36">
        <f>(136050*0.15*10)+((136050*0.15)/77)*100</f>
        <v>230578.24675324676</v>
      </c>
      <c r="M711" s="36">
        <f t="shared" si="143"/>
        <v>230578.24675324676</v>
      </c>
      <c r="N711" s="36">
        <f>IF(OR(H711="",H711="sif",H711="PM"),0,VLOOKUP(H711,[5]CU!$C$4:$H$255,6,FALSE))</f>
        <v>7.4999999999999997E-3</v>
      </c>
      <c r="O711" s="36">
        <f t="shared" si="147"/>
        <v>0</v>
      </c>
      <c r="P711" s="36">
        <f t="shared" si="147"/>
        <v>0</v>
      </c>
      <c r="Q711" s="36">
        <f t="shared" si="147"/>
        <v>0</v>
      </c>
      <c r="R711" s="36">
        <f t="shared" si="147"/>
        <v>1729.3368506493507</v>
      </c>
      <c r="S711" s="37">
        <f t="shared" si="149"/>
        <v>1729.3368506493507</v>
      </c>
      <c r="T711" s="38" t="s">
        <v>169</v>
      </c>
      <c r="U711" s="19" t="s">
        <v>647</v>
      </c>
      <c r="V711" s="19" t="str">
        <f>IF(OR($H711="",$H711="sif",$H711="PM"),"",VLOOKUP($H711,[5]CU!$C$5:$J$255,8,FALSE))</f>
        <v>3. Dépenses de fonctionnement</v>
      </c>
      <c r="W711" s="19" t="s">
        <v>663</v>
      </c>
      <c r="X711" s="19" t="s">
        <v>398</v>
      </c>
      <c r="Y711" s="19" t="s">
        <v>32</v>
      </c>
      <c r="Z711" s="19" t="str">
        <f>A711 &amp; "-" &amp; VLOOKUP(A711,[4]PROGRAMMES!$E$1:$F$7,2,FALSE)</f>
        <v>2-Qualité des enseignements et des apprentissages</v>
      </c>
      <c r="AA711" s="19" t="str">
        <f>B711 &amp; "-" &amp; VLOOKUP(B711,[4]SOUSPROGRAMMES!$E$1:$F$44,2,FALSE)</f>
        <v xml:space="preserve">25- Conditions d’apprentissage améliorées </v>
      </c>
      <c r="AB711" s="19" t="str">
        <f>C711 &amp; "-" &amp; VLOOKUP(C711,[4]RESULTATS!$E$1:$F$176,2,FALSE)</f>
        <v>251- Les manuels et guides adaptés aux nouveaux curricula sont développés</v>
      </c>
      <c r="AC711" s="20" t="str">
        <f>D711 &amp; "-" &amp; VLOOKUP(D711,[4]STRATEGIES!$E$1:$F$504,2,FALSE)</f>
        <v>2512-Validation des contenus et impression des manuels</v>
      </c>
      <c r="AD711" s="21" t="str">
        <f t="shared" si="148"/>
        <v>25124-Impression des manuels scolaires et guides pour l'expérimentation des manuels et guides en 7éme année</v>
      </c>
    </row>
    <row r="712" spans="1:30" s="22" customFormat="1" ht="45" hidden="1" customHeight="1" x14ac:dyDescent="0.8">
      <c r="A712" s="14">
        <v>2</v>
      </c>
      <c r="B712" s="15">
        <v>25</v>
      </c>
      <c r="C712" s="15">
        <v>251</v>
      </c>
      <c r="D712" s="15">
        <v>2512</v>
      </c>
      <c r="E712" s="15">
        <v>25125</v>
      </c>
      <c r="F712" s="16" t="s">
        <v>876</v>
      </c>
      <c r="G712" s="21" t="s">
        <v>877</v>
      </c>
      <c r="H712" s="17" t="s">
        <v>878</v>
      </c>
      <c r="I712" s="33">
        <v>0</v>
      </c>
      <c r="J712" s="33"/>
      <c r="K712" s="33"/>
      <c r="L712" s="33">
        <f>(30000*3)+(30000/43*3)</f>
        <v>92093.023255813954</v>
      </c>
      <c r="M712" s="33">
        <f t="shared" si="143"/>
        <v>92093.023255813954</v>
      </c>
      <c r="N712" s="33">
        <f>IF(OR(H712="",H712="sif",H712="PM"),0,VLOOKUP(H712,[5]CU!$C$4:$H$255,6,FALSE))</f>
        <v>0.12690560000000001</v>
      </c>
      <c r="O712" s="33">
        <f t="shared" si="147"/>
        <v>0</v>
      </c>
      <c r="P712" s="33">
        <f t="shared" si="147"/>
        <v>0</v>
      </c>
      <c r="Q712" s="33">
        <f t="shared" si="147"/>
        <v>0</v>
      </c>
      <c r="R712" s="33">
        <f t="shared" si="147"/>
        <v>11687.120372093024</v>
      </c>
      <c r="S712" s="34">
        <f t="shared" si="149"/>
        <v>11687.120372093024</v>
      </c>
      <c r="T712" s="35" t="s">
        <v>39</v>
      </c>
      <c r="U712" s="19" t="s">
        <v>647</v>
      </c>
      <c r="V712" s="19" t="str">
        <f>IF(OR($H712="",$H712="sif",$H712="PM"),"",VLOOKUP($H712,[5]CU!$C$5:$J$255,8,FALSE))</f>
        <v>3. Manuels scolaires et matériels pédagogiques</v>
      </c>
      <c r="W712" s="19" t="s">
        <v>663</v>
      </c>
      <c r="X712" s="19" t="s">
        <v>665</v>
      </c>
      <c r="Y712" s="19" t="s">
        <v>32</v>
      </c>
      <c r="Z712" s="18" t="str">
        <f>A712 &amp; "-" &amp; VLOOKUP(A712,[4]PROGRAMMES!$E$1:$F$7,2,FALSE)</f>
        <v>2-Qualité des enseignements et des apprentissages</v>
      </c>
      <c r="AA712" s="19" t="str">
        <f>B712 &amp; "-" &amp; VLOOKUP(B712,[4]SOUSPROGRAMMES!$E$1:$F$44,2,FALSE)</f>
        <v xml:space="preserve">25- Conditions d’apprentissage améliorées </v>
      </c>
      <c r="AB712" s="19" t="str">
        <f>C712 &amp; "-" &amp; VLOOKUP(C712,[4]RESULTATS!$E$1:$F$176,2,FALSE)</f>
        <v>251- Les manuels et guides adaptés aux nouveaux curricula sont développés</v>
      </c>
      <c r="AC712" s="20" t="str">
        <f>D712 &amp; "-" &amp; VLOOKUP(D712,[4]STRATEGIES!$E$1:$F$504,2,FALSE)</f>
        <v>2512-Validation des contenus et impression des manuels</v>
      </c>
      <c r="AD712" s="21" t="str">
        <f t="shared" si="148"/>
        <v>25125-Reproduction et distribution des manuels scolaires et des guides dans les établissements du préscolaire</v>
      </c>
    </row>
    <row r="713" spans="1:30" s="22" customFormat="1" ht="45" hidden="1" customHeight="1" x14ac:dyDescent="0.8">
      <c r="A713" s="14">
        <v>2</v>
      </c>
      <c r="B713" s="15">
        <v>25</v>
      </c>
      <c r="C713" s="15">
        <v>252</v>
      </c>
      <c r="D713" s="15">
        <v>252</v>
      </c>
      <c r="E713" s="15">
        <v>252</v>
      </c>
      <c r="F713" s="16" t="s">
        <v>879</v>
      </c>
      <c r="G713" s="17"/>
      <c r="H713" s="17"/>
      <c r="I713" s="33">
        <v>0</v>
      </c>
      <c r="J713" s="33"/>
      <c r="K713" s="33"/>
      <c r="L713" s="33"/>
      <c r="M713" s="33"/>
      <c r="N713" s="33"/>
      <c r="O713" s="33"/>
      <c r="P713" s="33"/>
      <c r="Q713" s="33"/>
      <c r="R713" s="33"/>
      <c r="S713" s="34"/>
      <c r="T713" s="33"/>
      <c r="U713" s="18"/>
      <c r="V713" s="18"/>
      <c r="W713" s="18"/>
      <c r="X713" s="18"/>
      <c r="Y713" s="19" t="s">
        <v>32</v>
      </c>
      <c r="Z713" s="18" t="str">
        <f>A713 &amp; "-" &amp; VLOOKUP(A713,[4]PROGRAMMES!$E$1:$F$7,2,FALSE)</f>
        <v>2-Qualité des enseignements et des apprentissages</v>
      </c>
      <c r="AA713" s="19" t="str">
        <f>B713 &amp; "-" &amp; VLOOKUP(B713,[4]SOUSPROGRAMMES!$E$1:$F$44,2,FALSE)</f>
        <v xml:space="preserve">25- Conditions d’apprentissage améliorées </v>
      </c>
      <c r="AB713" s="19" t="str">
        <f>C713 &amp; "-" &amp; VLOOKUP(C713,[4]RESULTATS!$E$1:$F$176,2,FALSE)</f>
        <v>252- Les  enseignants sont formés à l'utilisation des manuels et guides de l'enseignant</v>
      </c>
      <c r="AC713" s="20" t="str">
        <f>D713 &amp; "-" &amp; VLOOKUP(D713,[4]STRATEGIES!$E$1:$F$504,2,FALSE)</f>
        <v>252- Les  enseignants sont formés à l'utilisation des manuels et guides de l'enseignant</v>
      </c>
      <c r="AD713" s="21" t="str">
        <f t="shared" si="148"/>
        <v>252- Les  enseignants sont formés à l'utilisation des manuels et guides de l'enseignant</v>
      </c>
    </row>
    <row r="714" spans="1:30" s="22" customFormat="1" ht="45" hidden="1" customHeight="1" x14ac:dyDescent="0.8">
      <c r="A714" s="14">
        <v>2</v>
      </c>
      <c r="B714" s="15">
        <v>25</v>
      </c>
      <c r="C714" s="15">
        <v>252</v>
      </c>
      <c r="D714" s="15">
        <v>2521</v>
      </c>
      <c r="E714" s="15">
        <v>2521</v>
      </c>
      <c r="F714" s="16" t="s">
        <v>880</v>
      </c>
      <c r="G714" s="17"/>
      <c r="H714" s="17"/>
      <c r="I714" s="33">
        <v>0</v>
      </c>
      <c r="J714" s="33"/>
      <c r="K714" s="33"/>
      <c r="L714" s="33"/>
      <c r="M714" s="33"/>
      <c r="N714" s="33"/>
      <c r="O714" s="33"/>
      <c r="P714" s="33"/>
      <c r="Q714" s="33"/>
      <c r="R714" s="33"/>
      <c r="S714" s="34"/>
      <c r="T714" s="33"/>
      <c r="U714" s="18"/>
      <c r="V714" s="18"/>
      <c r="W714" s="18"/>
      <c r="X714" s="18"/>
      <c r="Y714" s="19" t="s">
        <v>32</v>
      </c>
      <c r="Z714" s="18" t="str">
        <f>A714 &amp; "-" &amp; VLOOKUP(A714,[4]PROGRAMMES!$E$1:$F$7,2,FALSE)</f>
        <v>2-Qualité des enseignements et des apprentissages</v>
      </c>
      <c r="AA714" s="19" t="str">
        <f>B714 &amp; "-" &amp; VLOOKUP(B714,[4]SOUSPROGRAMMES!$E$1:$F$44,2,FALSE)</f>
        <v xml:space="preserve">25- Conditions d’apprentissage améliorées </v>
      </c>
      <c r="AB714" s="19" t="str">
        <f>C714 &amp; "-" &amp; VLOOKUP(C714,[4]RESULTATS!$E$1:$F$176,2,FALSE)</f>
        <v>252- Les  enseignants sont formés à l'utilisation des manuels et guides de l'enseignant</v>
      </c>
      <c r="AC714" s="20" t="str">
        <f>D714 &amp; "-" &amp; VLOOKUP(D714,[4]STRATEGIES!$E$1:$F$504,2,FALSE)</f>
        <v>2521-Sensibilisation et Formation des enseignants et éducateurs à l'utilisation des guides et manuels d'enseignants</v>
      </c>
      <c r="AD714" s="21" t="str">
        <f t="shared" si="148"/>
        <v>2521-Sensibilisation et Formation des enseignants et éducateurs à l'utilisation des guides et manuels d'enseignants</v>
      </c>
    </row>
    <row r="715" spans="1:30" s="22" customFormat="1" ht="45" hidden="1" customHeight="1" x14ac:dyDescent="0.8">
      <c r="A715" s="14">
        <v>2</v>
      </c>
      <c r="B715" s="15">
        <v>25</v>
      </c>
      <c r="C715" s="15">
        <v>252</v>
      </c>
      <c r="D715" s="15">
        <v>2521</v>
      </c>
      <c r="E715" s="15">
        <v>25211</v>
      </c>
      <c r="F715" s="16" t="s">
        <v>881</v>
      </c>
      <c r="G715" s="21" t="s">
        <v>37</v>
      </c>
      <c r="H715" s="17" t="s">
        <v>52</v>
      </c>
      <c r="I715" s="33">
        <v>0</v>
      </c>
      <c r="J715" s="33"/>
      <c r="K715" s="33"/>
      <c r="L715" s="33">
        <f>500</f>
        <v>500</v>
      </c>
      <c r="M715" s="33">
        <f t="shared" si="143"/>
        <v>500</v>
      </c>
      <c r="N715" s="33">
        <f>IF(OR(H715="",H715="sif",H715="PM"),0,VLOOKUP(H715,[5]CU!$C$4:$H$255,6,FALSE))</f>
        <v>1.5</v>
      </c>
      <c r="O715" s="33">
        <f t="shared" si="147"/>
        <v>0</v>
      </c>
      <c r="P715" s="33">
        <f t="shared" si="147"/>
        <v>0</v>
      </c>
      <c r="Q715" s="33">
        <f t="shared" si="147"/>
        <v>0</v>
      </c>
      <c r="R715" s="33">
        <f t="shared" si="147"/>
        <v>750</v>
      </c>
      <c r="S715" s="34">
        <f t="shared" si="149"/>
        <v>750</v>
      </c>
      <c r="T715" s="35" t="s">
        <v>39</v>
      </c>
      <c r="U715" s="18" t="s">
        <v>647</v>
      </c>
      <c r="V715" s="18" t="str">
        <f>IF(OR($H715="",$H715="sif",$H715="PM"),"",VLOOKUP($H715,[5]CU!$C$5:$J$255,8,FALSE))</f>
        <v>3. Formation</v>
      </c>
      <c r="W715" s="18" t="s">
        <v>665</v>
      </c>
      <c r="X715" s="18" t="s">
        <v>347</v>
      </c>
      <c r="Y715" s="19" t="s">
        <v>32</v>
      </c>
      <c r="Z715" s="18" t="str">
        <f>A715 &amp; "-" &amp; VLOOKUP(A715,[4]PROGRAMMES!$E$1:$F$7,2,FALSE)</f>
        <v>2-Qualité des enseignements et des apprentissages</v>
      </c>
      <c r="AA715" s="19" t="str">
        <f>B715 &amp; "-" &amp; VLOOKUP(B715,[4]SOUSPROGRAMMES!$E$1:$F$44,2,FALSE)</f>
        <v xml:space="preserve">25- Conditions d’apprentissage améliorées </v>
      </c>
      <c r="AB715" s="19" t="str">
        <f>C715 &amp; "-" &amp; VLOOKUP(C715,[4]RESULTATS!$E$1:$F$176,2,FALSE)</f>
        <v>252- Les  enseignants sont formés à l'utilisation des manuels et guides de l'enseignant</v>
      </c>
      <c r="AC715" s="20" t="str">
        <f>D715 &amp; "-" &amp; VLOOKUP(D715,[4]STRATEGIES!$E$1:$F$504,2,FALSE)</f>
        <v>2521-Sensibilisation et Formation des enseignants et éducateurs à l'utilisation des guides et manuels d'enseignants</v>
      </c>
      <c r="AD715" s="21" t="str">
        <f t="shared" si="148"/>
        <v>25211-Formation des enseignants et éducateurs à l'utilisation des manuels et guides d'enseignants au préscolaire</v>
      </c>
    </row>
    <row r="716" spans="1:30" s="22" customFormat="1" ht="45" hidden="1" customHeight="1" x14ac:dyDescent="0.8">
      <c r="A716" s="14">
        <v>2</v>
      </c>
      <c r="B716" s="15">
        <v>25</v>
      </c>
      <c r="C716" s="15">
        <v>252</v>
      </c>
      <c r="D716" s="15">
        <v>2521</v>
      </c>
      <c r="E716" s="15">
        <v>25212</v>
      </c>
      <c r="F716" s="16" t="s">
        <v>882</v>
      </c>
      <c r="G716" s="21" t="s">
        <v>37</v>
      </c>
      <c r="H716" s="17" t="s">
        <v>52</v>
      </c>
      <c r="I716" s="33">
        <v>0</v>
      </c>
      <c r="J716" s="33"/>
      <c r="K716" s="33"/>
      <c r="L716" s="33"/>
      <c r="M716" s="33">
        <f>SUM(I716:L716)</f>
        <v>0</v>
      </c>
      <c r="N716" s="33">
        <f>IF(OR(H716="",H716="sif",H716="PM"),0,VLOOKUP(H716,[5]CU!$C$4:$H$255,6,FALSE))</f>
        <v>1.5</v>
      </c>
      <c r="O716" s="33">
        <f>IFERROR($N716*I716,0)</f>
        <v>0</v>
      </c>
      <c r="P716" s="33">
        <f>IFERROR($N716*J716,0)</f>
        <v>0</v>
      </c>
      <c r="Q716" s="33">
        <f>IFERROR($N716*K716,0)</f>
        <v>0</v>
      </c>
      <c r="R716" s="33">
        <f>IFERROR($N716*L716,0)</f>
        <v>0</v>
      </c>
      <c r="S716" s="34">
        <f>SUM(O716:R716)</f>
        <v>0</v>
      </c>
      <c r="T716" s="35" t="s">
        <v>178</v>
      </c>
      <c r="U716" s="19" t="s">
        <v>647</v>
      </c>
      <c r="V716" s="19" t="str">
        <f>IF(OR($H716="",$H716="sif",$H716="PM"),"",VLOOKUP($H716,[5]CU!$C$5:$J$255,8,FALSE))</f>
        <v>3. Formation</v>
      </c>
      <c r="W716" s="19" t="s">
        <v>665</v>
      </c>
      <c r="X716" s="19" t="s">
        <v>347</v>
      </c>
      <c r="Y716" s="19" t="s">
        <v>32</v>
      </c>
      <c r="Z716" s="18" t="str">
        <f>A716 &amp; "-" &amp; VLOOKUP(A716,[4]PROGRAMMES!$E$1:$F$7,2,FALSE)</f>
        <v>2-Qualité des enseignements et des apprentissages</v>
      </c>
      <c r="AA716" s="19" t="str">
        <f>B716 &amp; "-" &amp; VLOOKUP(B716,[4]SOUSPROGRAMMES!$E$1:$F$44,2,FALSE)</f>
        <v xml:space="preserve">25- Conditions d’apprentissage améliorées </v>
      </c>
      <c r="AB716" s="19" t="str">
        <f>C716 &amp; "-" &amp; VLOOKUP(C716,[4]RESULTATS!$E$1:$F$176,2,FALSE)</f>
        <v>252- Les  enseignants sont formés à l'utilisation des manuels et guides de l'enseignant</v>
      </c>
      <c r="AC716" s="20" t="str">
        <f>D716 &amp; "-" &amp; VLOOKUP(D716,[4]STRATEGIES!$E$1:$F$504,2,FALSE)</f>
        <v>2521-Sensibilisation et Formation des enseignants et éducateurs à l'utilisation des guides et manuels d'enseignants</v>
      </c>
      <c r="AD716" s="21" t="str">
        <f t="shared" si="148"/>
        <v xml:space="preserve">25212-Formation des enseignants et éducateurs à l'utilisation des manuels et guides </v>
      </c>
    </row>
    <row r="717" spans="1:30" s="22" customFormat="1" ht="45" hidden="1" customHeight="1" x14ac:dyDescent="0.8">
      <c r="A717" s="14">
        <v>2</v>
      </c>
      <c r="B717" s="15">
        <v>25</v>
      </c>
      <c r="C717" s="15">
        <v>252</v>
      </c>
      <c r="D717" s="15">
        <v>2521</v>
      </c>
      <c r="E717" s="15">
        <v>25212</v>
      </c>
      <c r="F717" s="16" t="s">
        <v>882</v>
      </c>
      <c r="G717" s="21" t="s">
        <v>37</v>
      </c>
      <c r="H717" s="17" t="s">
        <v>52</v>
      </c>
      <c r="I717" s="33">
        <v>0</v>
      </c>
      <c r="J717" s="33">
        <v>230</v>
      </c>
      <c r="K717" s="33">
        <v>500</v>
      </c>
      <c r="L717" s="33">
        <v>400</v>
      </c>
      <c r="M717" s="33">
        <f t="shared" si="143"/>
        <v>1130</v>
      </c>
      <c r="N717" s="33">
        <f>IF(OR(H717="",H717="sif",H717="PM"),0,VLOOKUP(H717,[5]CU!$C$4:$H$255,6,FALSE))</f>
        <v>1.5</v>
      </c>
      <c r="O717" s="33">
        <f t="shared" si="147"/>
        <v>0</v>
      </c>
      <c r="P717" s="33">
        <f t="shared" si="147"/>
        <v>345</v>
      </c>
      <c r="Q717" s="33">
        <f t="shared" si="147"/>
        <v>750</v>
      </c>
      <c r="R717" s="33">
        <f t="shared" si="147"/>
        <v>600</v>
      </c>
      <c r="S717" s="34">
        <f t="shared" si="149"/>
        <v>1695</v>
      </c>
      <c r="T717" s="35" t="s">
        <v>39</v>
      </c>
      <c r="U717" s="19" t="s">
        <v>647</v>
      </c>
      <c r="V717" s="19" t="str">
        <f>IF(OR($H717="",$H717="sif",$H717="PM"),"",VLOOKUP($H717,[5]CU!$C$5:$J$255,8,FALSE))</f>
        <v>3. Formation</v>
      </c>
      <c r="W717" s="19" t="s">
        <v>665</v>
      </c>
      <c r="X717" s="19" t="s">
        <v>347</v>
      </c>
      <c r="Y717" s="19" t="s">
        <v>32</v>
      </c>
      <c r="Z717" s="18" t="str">
        <f>A717 &amp; "-" &amp; VLOOKUP(A717,[4]PROGRAMMES!$E$1:$F$7,2,FALSE)</f>
        <v>2-Qualité des enseignements et des apprentissages</v>
      </c>
      <c r="AA717" s="19" t="str">
        <f>B717 &amp; "-" &amp; VLOOKUP(B717,[4]SOUSPROGRAMMES!$E$1:$F$44,2,FALSE)</f>
        <v xml:space="preserve">25- Conditions d’apprentissage améliorées </v>
      </c>
      <c r="AB717" s="19" t="str">
        <f>C717 &amp; "-" &amp; VLOOKUP(C717,[4]RESULTATS!$E$1:$F$176,2,FALSE)</f>
        <v>252- Les  enseignants sont formés à l'utilisation des manuels et guides de l'enseignant</v>
      </c>
      <c r="AC717" s="20" t="str">
        <f>D717 &amp; "-" &amp; VLOOKUP(D717,[4]STRATEGIES!$E$1:$F$504,2,FALSE)</f>
        <v>2521-Sensibilisation et Formation des enseignants et éducateurs à l'utilisation des guides et manuels d'enseignants</v>
      </c>
      <c r="AD717" s="21" t="str">
        <f t="shared" si="148"/>
        <v xml:space="preserve">25212-Formation des enseignants et éducateurs à l'utilisation des manuels et guides </v>
      </c>
    </row>
    <row r="718" spans="1:30" s="22" customFormat="1" ht="45" hidden="1" customHeight="1" x14ac:dyDescent="0.8">
      <c r="A718" s="14">
        <v>2</v>
      </c>
      <c r="B718" s="15">
        <v>25</v>
      </c>
      <c r="C718" s="15">
        <v>252</v>
      </c>
      <c r="D718" s="15">
        <v>2521</v>
      </c>
      <c r="E718" s="15">
        <v>25213</v>
      </c>
      <c r="F718" s="16" t="s">
        <v>883</v>
      </c>
      <c r="G718" s="21" t="s">
        <v>37</v>
      </c>
      <c r="H718" s="17" t="s">
        <v>66</v>
      </c>
      <c r="I718" s="33">
        <v>0</v>
      </c>
      <c r="J718" s="33"/>
      <c r="K718" s="33"/>
      <c r="L718" s="33">
        <f>10*5</f>
        <v>50</v>
      </c>
      <c r="M718" s="33">
        <f t="shared" si="143"/>
        <v>50</v>
      </c>
      <c r="N718" s="33">
        <f>IF(OR(H718="",H718="sif",H718="PM"),0,VLOOKUP(H718,[5]CU!$C$4:$H$255,6,FALSE))</f>
        <v>0.255</v>
      </c>
      <c r="O718" s="33">
        <f t="shared" si="147"/>
        <v>0</v>
      </c>
      <c r="P718" s="33">
        <f t="shared" si="147"/>
        <v>0</v>
      </c>
      <c r="Q718" s="33">
        <f t="shared" si="147"/>
        <v>0</v>
      </c>
      <c r="R718" s="33">
        <f t="shared" si="147"/>
        <v>12.75</v>
      </c>
      <c r="S718" s="34">
        <f t="shared" si="149"/>
        <v>12.75</v>
      </c>
      <c r="T718" s="35" t="s">
        <v>39</v>
      </c>
      <c r="U718" s="19" t="s">
        <v>647</v>
      </c>
      <c r="V718" s="19" t="str">
        <f>IF(OR($H718="",$H718="sif",$H718="PM"),"",VLOOKUP($H718,[5]CU!$C$5:$J$255,8,FALSE))</f>
        <v>3. Dépenses de fonctionnement</v>
      </c>
      <c r="W718" s="19" t="s">
        <v>708</v>
      </c>
      <c r="X718" s="19" t="s">
        <v>347</v>
      </c>
      <c r="Y718" s="19" t="s">
        <v>32</v>
      </c>
      <c r="Z718" s="18" t="str">
        <f>A718 &amp; "-" &amp; VLOOKUP(A718,[4]PROGRAMMES!$E$1:$F$7,2,FALSE)</f>
        <v>2-Qualité des enseignements et des apprentissages</v>
      </c>
      <c r="AA718" s="19" t="str">
        <f>B718 &amp; "-" &amp; VLOOKUP(B718,[4]SOUSPROGRAMMES!$E$1:$F$44,2,FALSE)</f>
        <v xml:space="preserve">25- Conditions d’apprentissage améliorées </v>
      </c>
      <c r="AB718" s="19" t="str">
        <f>C718 &amp; "-" &amp; VLOOKUP(C718,[4]RESULTATS!$E$1:$F$176,2,FALSE)</f>
        <v>252- Les  enseignants sont formés à l'utilisation des manuels et guides de l'enseignant</v>
      </c>
      <c r="AC718" s="20" t="str">
        <f>D718 &amp; "-" &amp; VLOOKUP(D718,[4]STRATEGIES!$E$1:$F$504,2,FALSE)</f>
        <v>2521-Sensibilisation et Formation des enseignants et éducateurs à l'utilisation des guides et manuels d'enseignants</v>
      </c>
      <c r="AD718" s="21" t="str">
        <f t="shared" si="148"/>
        <v>25213-Production des outils de suivi de l'utilisation des manuels et guides</v>
      </c>
    </row>
    <row r="719" spans="1:30" s="22" customFormat="1" ht="45" hidden="1" customHeight="1" x14ac:dyDescent="0.8">
      <c r="A719" s="14">
        <v>2</v>
      </c>
      <c r="B719" s="15">
        <v>25</v>
      </c>
      <c r="C719" s="15">
        <v>252</v>
      </c>
      <c r="D719" s="15">
        <v>2521</v>
      </c>
      <c r="E719" s="15">
        <v>25214</v>
      </c>
      <c r="F719" s="16" t="s">
        <v>884</v>
      </c>
      <c r="G719" s="21" t="s">
        <v>651</v>
      </c>
      <c r="H719" s="17" t="s">
        <v>55</v>
      </c>
      <c r="I719" s="33">
        <v>0</v>
      </c>
      <c r="J719" s="33"/>
      <c r="K719" s="33"/>
      <c r="L719" s="33">
        <v>1</v>
      </c>
      <c r="M719" s="33">
        <f t="shared" si="143"/>
        <v>1</v>
      </c>
      <c r="N719" s="33">
        <f>IF(OR(H719="",H719="sif",H719="PM"),0,VLOOKUP(H719,[5]CU!$C$4:$H$255,6,FALSE))</f>
        <v>0</v>
      </c>
      <c r="O719" s="33">
        <f t="shared" si="147"/>
        <v>0</v>
      </c>
      <c r="P719" s="33">
        <f t="shared" si="147"/>
        <v>0</v>
      </c>
      <c r="Q719" s="33">
        <f t="shared" si="147"/>
        <v>0</v>
      </c>
      <c r="R719" s="33">
        <f t="shared" si="147"/>
        <v>0</v>
      </c>
      <c r="S719" s="34"/>
      <c r="T719" s="35" t="s">
        <v>39</v>
      </c>
      <c r="U719" s="18" t="s">
        <v>647</v>
      </c>
      <c r="V719" s="18" t="str">
        <f>IF(OR($H719="",$H719="sif",$H719="PM"),"",VLOOKUP($H719,[5]CU!$C$5:$J$255,8,FALSE))</f>
        <v/>
      </c>
      <c r="W719" s="18" t="s">
        <v>708</v>
      </c>
      <c r="X719" s="18" t="s">
        <v>347</v>
      </c>
      <c r="Y719" s="19" t="s">
        <v>32</v>
      </c>
      <c r="Z719" s="18" t="str">
        <f>A719 &amp; "-" &amp; VLOOKUP(A719,[4]PROGRAMMES!$E$1:$F$7,2,FALSE)</f>
        <v>2-Qualité des enseignements et des apprentissages</v>
      </c>
      <c r="AA719" s="19" t="str">
        <f>B719 &amp; "-" &amp; VLOOKUP(B719,[4]SOUSPROGRAMMES!$E$1:$F$44,2,FALSE)</f>
        <v xml:space="preserve">25- Conditions d’apprentissage améliorées </v>
      </c>
      <c r="AB719" s="19" t="str">
        <f>C719 &amp; "-" &amp; VLOOKUP(C719,[4]RESULTATS!$E$1:$F$176,2,FALSE)</f>
        <v>252- Les  enseignants sont formés à l'utilisation des manuels et guides de l'enseignant</v>
      </c>
      <c r="AC719" s="20" t="str">
        <f>D719 &amp; "-" &amp; VLOOKUP(D719,[4]STRATEGIES!$E$1:$F$504,2,FALSE)</f>
        <v>2521-Sensibilisation et Formation des enseignants et éducateurs à l'utilisation des guides et manuels d'enseignants</v>
      </c>
      <c r="AD719" s="21" t="str">
        <f t="shared" si="148"/>
        <v>25214-Collecte de données sur l'utilisation des manuels et guides</v>
      </c>
    </row>
    <row r="720" spans="1:30" s="22" customFormat="1" ht="45" hidden="1" customHeight="1" x14ac:dyDescent="0.8">
      <c r="A720" s="14">
        <v>2</v>
      </c>
      <c r="B720" s="15">
        <v>25</v>
      </c>
      <c r="C720" s="15">
        <v>252</v>
      </c>
      <c r="D720" s="15">
        <v>2521</v>
      </c>
      <c r="E720" s="15">
        <v>25215</v>
      </c>
      <c r="F720" s="16" t="s">
        <v>885</v>
      </c>
      <c r="G720" s="21" t="s">
        <v>886</v>
      </c>
      <c r="H720" s="17" t="s">
        <v>55</v>
      </c>
      <c r="I720" s="33">
        <v>0</v>
      </c>
      <c r="J720" s="33"/>
      <c r="K720" s="33"/>
      <c r="L720" s="33">
        <v>1</v>
      </c>
      <c r="M720" s="33">
        <f t="shared" ref="M720:M795" si="150">SUM(I720:L720)</f>
        <v>1</v>
      </c>
      <c r="N720" s="33">
        <f>IF(OR(H720="",H720="sif",H720="PM"),0,VLOOKUP(H720,[5]CU!$C$4:$H$255,6,FALSE))</f>
        <v>0</v>
      </c>
      <c r="O720" s="33">
        <f t="shared" si="147"/>
        <v>0</v>
      </c>
      <c r="P720" s="33">
        <f t="shared" si="147"/>
        <v>0</v>
      </c>
      <c r="Q720" s="33">
        <f t="shared" si="147"/>
        <v>0</v>
      </c>
      <c r="R720" s="33">
        <f t="shared" si="147"/>
        <v>0</v>
      </c>
      <c r="S720" s="34"/>
      <c r="T720" s="35" t="s">
        <v>39</v>
      </c>
      <c r="U720" s="18" t="s">
        <v>647</v>
      </c>
      <c r="V720" s="18" t="str">
        <f>IF(OR($H720="",$H720="sif",$H720="PM"),"",VLOOKUP($H720,[5]CU!$C$5:$J$255,8,FALSE))</f>
        <v/>
      </c>
      <c r="W720" s="18" t="s">
        <v>708</v>
      </c>
      <c r="X720" s="18" t="s">
        <v>887</v>
      </c>
      <c r="Y720" s="19" t="s">
        <v>32</v>
      </c>
      <c r="Z720" s="18" t="str">
        <f>A720 &amp; "-" &amp; VLOOKUP(A720,[4]PROGRAMMES!$E$1:$F$7,2,FALSE)</f>
        <v>2-Qualité des enseignements et des apprentissages</v>
      </c>
      <c r="AA720" s="19" t="str">
        <f>B720 &amp; "-" &amp; VLOOKUP(B720,[4]SOUSPROGRAMMES!$E$1:$F$44,2,FALSE)</f>
        <v xml:space="preserve">25- Conditions d’apprentissage améliorées </v>
      </c>
      <c r="AB720" s="19" t="str">
        <f>C720 &amp; "-" &amp; VLOOKUP(C720,[4]RESULTATS!$E$1:$F$176,2,FALSE)</f>
        <v>252- Les  enseignants sont formés à l'utilisation des manuels et guides de l'enseignant</v>
      </c>
      <c r="AC720" s="20" t="str">
        <f>D720 &amp; "-" &amp; VLOOKUP(D720,[4]STRATEGIES!$E$1:$F$504,2,FALSE)</f>
        <v>2521-Sensibilisation et Formation des enseignants et éducateurs à l'utilisation des guides et manuels d'enseignants</v>
      </c>
      <c r="AD720" s="21" t="str">
        <f t="shared" si="148"/>
        <v>25215-Suivi des enseignants à l'utilisation des manuels et guides par les services déconcentrés</v>
      </c>
    </row>
    <row r="721" spans="1:30" s="22" customFormat="1" ht="75" hidden="1" customHeight="1" x14ac:dyDescent="0.8">
      <c r="A721" s="14">
        <v>2</v>
      </c>
      <c r="B721" s="15">
        <v>25</v>
      </c>
      <c r="C721" s="15">
        <v>252</v>
      </c>
      <c r="D721" s="15">
        <v>2521</v>
      </c>
      <c r="E721" s="15">
        <v>25216</v>
      </c>
      <c r="F721" s="16" t="s">
        <v>888</v>
      </c>
      <c r="G721" s="21" t="s">
        <v>37</v>
      </c>
      <c r="H721" s="17" t="s">
        <v>66</v>
      </c>
      <c r="I721" s="33">
        <v>0</v>
      </c>
      <c r="J721" s="33"/>
      <c r="K721" s="33"/>
      <c r="L721" s="33">
        <f>10*5</f>
        <v>50</v>
      </c>
      <c r="M721" s="33">
        <f t="shared" si="150"/>
        <v>50</v>
      </c>
      <c r="N721" s="33">
        <f>IF(OR(H721="",H721="sif",H721="PM"),0,VLOOKUP(H721,[5]CU!$C$4:$H$255,6,FALSE))</f>
        <v>0.255</v>
      </c>
      <c r="O721" s="33">
        <f t="shared" si="147"/>
        <v>0</v>
      </c>
      <c r="P721" s="33">
        <f t="shared" si="147"/>
        <v>0</v>
      </c>
      <c r="Q721" s="33">
        <f t="shared" si="147"/>
        <v>0</v>
      </c>
      <c r="R721" s="33">
        <f t="shared" si="147"/>
        <v>12.75</v>
      </c>
      <c r="S721" s="34">
        <f>SUM(O721:R721)</f>
        <v>12.75</v>
      </c>
      <c r="T721" s="35" t="s">
        <v>39</v>
      </c>
      <c r="U721" s="19" t="s">
        <v>647</v>
      </c>
      <c r="V721" s="19" t="str">
        <f>IF(OR($H721="",$H721="sif",$H721="PM"),"",VLOOKUP($H721,[5]CU!$C$5:$J$255,8,FALSE))</f>
        <v>3. Dépenses de fonctionnement</v>
      </c>
      <c r="W721" s="19" t="s">
        <v>273</v>
      </c>
      <c r="X721" s="19" t="s">
        <v>889</v>
      </c>
      <c r="Y721" s="19" t="s">
        <v>32</v>
      </c>
      <c r="Z721" s="18" t="str">
        <f>A721 &amp; "-" &amp; VLOOKUP(A721,[4]PROGRAMMES!$E$1:$F$7,2,FALSE)</f>
        <v>2-Qualité des enseignements et des apprentissages</v>
      </c>
      <c r="AA721" s="19" t="str">
        <f>B721 &amp; "-" &amp; VLOOKUP(B721,[4]SOUSPROGRAMMES!$E$1:$F$44,2,FALSE)</f>
        <v xml:space="preserve">25- Conditions d’apprentissage améliorées </v>
      </c>
      <c r="AB721" s="19" t="str">
        <f>C721 &amp; "-" &amp; VLOOKUP(C721,[4]RESULTATS!$E$1:$F$176,2,FALSE)</f>
        <v>252- Les  enseignants sont formés à l'utilisation des manuels et guides de l'enseignant</v>
      </c>
      <c r="AC721" s="20" t="str">
        <f>D721 &amp; "-" &amp; VLOOKUP(D721,[4]STRATEGIES!$E$1:$F$504,2,FALSE)</f>
        <v>2521-Sensibilisation et Formation des enseignants et éducateurs à l'utilisation des guides et manuels d'enseignants</v>
      </c>
      <c r="AD721" s="21" t="str">
        <f t="shared" si="148"/>
        <v>25216-Rédaction du rapport</v>
      </c>
    </row>
    <row r="722" spans="1:30" s="22" customFormat="1" ht="60" hidden="1" customHeight="1" x14ac:dyDescent="0.8">
      <c r="A722" s="14">
        <v>2</v>
      </c>
      <c r="B722" s="15">
        <v>25</v>
      </c>
      <c r="C722" s="15">
        <v>253</v>
      </c>
      <c r="D722" s="15">
        <v>253</v>
      </c>
      <c r="E722" s="15">
        <v>253</v>
      </c>
      <c r="F722" s="16" t="s">
        <v>890</v>
      </c>
      <c r="G722" s="17"/>
      <c r="H722" s="17"/>
      <c r="I722" s="33">
        <v>0</v>
      </c>
      <c r="J722" s="33"/>
      <c r="K722" s="33"/>
      <c r="L722" s="33"/>
      <c r="M722" s="33"/>
      <c r="N722" s="33"/>
      <c r="O722" s="33"/>
      <c r="P722" s="33"/>
      <c r="Q722" s="33"/>
      <c r="R722" s="33"/>
      <c r="S722" s="34"/>
      <c r="T722" s="33"/>
      <c r="U722" s="18"/>
      <c r="V722" s="18"/>
      <c r="W722" s="18"/>
      <c r="X722" s="18"/>
      <c r="Y722" s="19" t="s">
        <v>32</v>
      </c>
      <c r="Z722" s="18" t="str">
        <f>A722 &amp; "-" &amp; VLOOKUP(A722,[4]PROGRAMMES!$E$1:$F$7,2,FALSE)</f>
        <v>2-Qualité des enseignements et des apprentissages</v>
      </c>
      <c r="AA722" s="19" t="str">
        <f>B722 &amp; "-" &amp; VLOOKUP(B722,[4]SOUSPROGRAMMES!$E$1:$F$44,2,FALSE)</f>
        <v xml:space="preserve">25- Conditions d’apprentissage améliorées </v>
      </c>
      <c r="AB722" s="19" t="str">
        <f>C722 &amp; "-" &amp; VLOOKUP(C722,[4]RESULTATS!$E$1:$F$176,2,FALSE)</f>
        <v>253- Les élèves du primaire et du secondaire disposent des manuels des matières fondamentales en quantité suffisante.</v>
      </c>
      <c r="AC722" s="20" t="str">
        <f>D722 &amp; "-" &amp; VLOOKUP(D722,[4]STRATEGIES!$E$1:$F$504,2,FALSE)</f>
        <v>253- Les élèves du primaire et du secondaire disposent des manuels des matières fondamentales en quantité suffisante.</v>
      </c>
      <c r="AD722" s="21" t="str">
        <f t="shared" si="148"/>
        <v>253- Les élèves du primaire et du secondaire disposent des manuels des matières fondamentales en quantité suffisante.</v>
      </c>
    </row>
    <row r="723" spans="1:30" s="22" customFormat="1" ht="60" hidden="1" customHeight="1" x14ac:dyDescent="0.8">
      <c r="A723" s="14">
        <v>2</v>
      </c>
      <c r="B723" s="15">
        <v>25</v>
      </c>
      <c r="C723" s="15">
        <v>253</v>
      </c>
      <c r="D723" s="15">
        <v>2531</v>
      </c>
      <c r="E723" s="15">
        <v>2531</v>
      </c>
      <c r="F723" s="16" t="s">
        <v>891</v>
      </c>
      <c r="G723" s="17"/>
      <c r="H723" s="17"/>
      <c r="I723" s="33">
        <v>0</v>
      </c>
      <c r="J723" s="33"/>
      <c r="K723" s="33"/>
      <c r="L723" s="33"/>
      <c r="M723" s="33"/>
      <c r="N723" s="33"/>
      <c r="O723" s="33"/>
      <c r="P723" s="33"/>
      <c r="Q723" s="33"/>
      <c r="R723" s="33"/>
      <c r="S723" s="34"/>
      <c r="T723" s="33"/>
      <c r="U723" s="18"/>
      <c r="V723" s="18"/>
      <c r="W723" s="18"/>
      <c r="X723" s="18"/>
      <c r="Y723" s="19" t="s">
        <v>32</v>
      </c>
      <c r="Z723" s="18" t="str">
        <f>A723 &amp; "-" &amp; VLOOKUP(A723,[4]PROGRAMMES!$E$1:$F$7,2,FALSE)</f>
        <v>2-Qualité des enseignements et des apprentissages</v>
      </c>
      <c r="AA723" s="19" t="str">
        <f>B723 &amp; "-" &amp; VLOOKUP(B723,[4]SOUSPROGRAMMES!$E$1:$F$44,2,FALSE)</f>
        <v xml:space="preserve">25- Conditions d’apprentissage améliorées </v>
      </c>
      <c r="AB723" s="19" t="str">
        <f>C723 &amp; "-" &amp; VLOOKUP(C723,[4]RESULTATS!$E$1:$F$176,2,FALSE)</f>
        <v>253- Les élèves du primaire et du secondaire disposent des manuels des matières fondamentales en quantité suffisante.</v>
      </c>
      <c r="AC723" s="20" t="str">
        <f>D723 &amp; "-" &amp; VLOOKUP(D723,[4]STRATEGIES!$E$1:$F$504,2,FALSE)</f>
        <v>2531-Distribution des manuels et guides</v>
      </c>
      <c r="AD723" s="21" t="str">
        <f t="shared" si="148"/>
        <v>2531-Distribution des manuels et guides</v>
      </c>
    </row>
    <row r="724" spans="1:30" s="22" customFormat="1" ht="60" hidden="1" customHeight="1" x14ac:dyDescent="0.8">
      <c r="A724" s="14">
        <v>2</v>
      </c>
      <c r="B724" s="15">
        <v>25</v>
      </c>
      <c r="C724" s="15">
        <v>253</v>
      </c>
      <c r="D724" s="15">
        <v>2531</v>
      </c>
      <c r="E724" s="15">
        <v>25311</v>
      </c>
      <c r="F724" s="16" t="s">
        <v>892</v>
      </c>
      <c r="G724" s="21" t="s">
        <v>893</v>
      </c>
      <c r="H724" s="17" t="s">
        <v>894</v>
      </c>
      <c r="I724" s="33">
        <v>0</v>
      </c>
      <c r="J724" s="33"/>
      <c r="K724" s="33"/>
      <c r="L724" s="33"/>
      <c r="M724" s="33">
        <f>SUM(I724:L724)</f>
        <v>0</v>
      </c>
      <c r="N724" s="33">
        <f>IF(OR(H724="",H724="sif",H724="PM"),0,VLOOKUP(H724,[5]CU!$C$4:$H$255,6,FALSE))</f>
        <v>2.2272E-2</v>
      </c>
      <c r="O724" s="33">
        <f t="shared" ref="O724:R727" si="151">IFERROR($N724*I724,0)</f>
        <v>0</v>
      </c>
      <c r="P724" s="33">
        <f t="shared" si="151"/>
        <v>0</v>
      </c>
      <c r="Q724" s="33">
        <f t="shared" si="151"/>
        <v>0</v>
      </c>
      <c r="R724" s="33">
        <f t="shared" si="151"/>
        <v>0</v>
      </c>
      <c r="S724" s="34">
        <f t="shared" ref="S724:S739" si="152">SUM(O724:R724)</f>
        <v>0</v>
      </c>
      <c r="T724" s="35" t="s">
        <v>178</v>
      </c>
      <c r="U724" s="19" t="s">
        <v>647</v>
      </c>
      <c r="V724" s="19" t="str">
        <f>IF(OR($H724="",$H724="sif",$H724="PM"),"",VLOOKUP($H724,[5]CU!$C$5:$J$255,8,FALSE))</f>
        <v>3. Manuels scolaires et matériels pédagogiques</v>
      </c>
      <c r="W724" s="19" t="s">
        <v>192</v>
      </c>
      <c r="X724" s="19" t="s">
        <v>347</v>
      </c>
      <c r="Y724" s="19" t="s">
        <v>32</v>
      </c>
      <c r="Z724" s="18" t="str">
        <f>A724 &amp; "-" &amp; VLOOKUP(A724,[4]PROGRAMMES!$E$1:$F$7,2,FALSE)</f>
        <v>2-Qualité des enseignements et des apprentissages</v>
      </c>
      <c r="AA724" s="19" t="str">
        <f>B724 &amp; "-" &amp; VLOOKUP(B724,[4]SOUSPROGRAMMES!$E$1:$F$44,2,FALSE)</f>
        <v xml:space="preserve">25- Conditions d’apprentissage améliorées </v>
      </c>
      <c r="AB724" s="19" t="str">
        <f>C724 &amp; "-" &amp; VLOOKUP(C724,[4]RESULTATS!$E$1:$F$176,2,FALSE)</f>
        <v>253- Les élèves du primaire et du secondaire disposent des manuels des matières fondamentales en quantité suffisante.</v>
      </c>
      <c r="AC724" s="20" t="str">
        <f>D724 &amp; "-" &amp; VLOOKUP(D724,[4]STRATEGIES!$E$1:$F$504,2,FALSE)</f>
        <v>2531-Distribution des manuels et guides</v>
      </c>
      <c r="AD724" s="21" t="str">
        <f t="shared" si="148"/>
        <v>25311-acquisition de manuels pour le primaire</v>
      </c>
    </row>
    <row r="725" spans="1:30" s="22" customFormat="1" ht="60" hidden="1" customHeight="1" x14ac:dyDescent="0.8">
      <c r="A725" s="14">
        <v>2</v>
      </c>
      <c r="B725" s="15">
        <v>25</v>
      </c>
      <c r="C725" s="15">
        <v>253</v>
      </c>
      <c r="D725" s="15">
        <v>2531</v>
      </c>
      <c r="E725" s="15">
        <v>25312</v>
      </c>
      <c r="F725" s="16" t="s">
        <v>895</v>
      </c>
      <c r="G725" s="21" t="s">
        <v>893</v>
      </c>
      <c r="H725" s="17" t="s">
        <v>896</v>
      </c>
      <c r="I725" s="33">
        <v>0</v>
      </c>
      <c r="J725" s="33"/>
      <c r="K725" s="33"/>
      <c r="L725" s="33"/>
      <c r="M725" s="33">
        <f>SUM(I725:L725)</f>
        <v>0</v>
      </c>
      <c r="N725" s="33">
        <f>IF(OR(H725="",H725="sif",H725="PM"),0,VLOOKUP(H725,[5]CU!$C$4:$H$255,6,FALSE))</f>
        <v>2.1999999999999999E-2</v>
      </c>
      <c r="O725" s="33">
        <f t="shared" si="151"/>
        <v>0</v>
      </c>
      <c r="P725" s="33">
        <f t="shared" si="151"/>
        <v>0</v>
      </c>
      <c r="Q725" s="33">
        <f t="shared" si="151"/>
        <v>0</v>
      </c>
      <c r="R725" s="33">
        <f t="shared" si="151"/>
        <v>0</v>
      </c>
      <c r="S725" s="34">
        <f t="shared" si="152"/>
        <v>0</v>
      </c>
      <c r="T725" s="35" t="s">
        <v>178</v>
      </c>
      <c r="U725" s="19" t="s">
        <v>647</v>
      </c>
      <c r="V725" s="19" t="str">
        <f>IF(OR($H725="",$H725="sif",$H725="PM"),"",VLOOKUP($H725,[5]CU!$C$5:$J$255,8,FALSE))</f>
        <v>3. Manuels scolaires et matériels pédagogiques</v>
      </c>
      <c r="W725" s="19" t="s">
        <v>192</v>
      </c>
      <c r="X725" s="19" t="s">
        <v>347</v>
      </c>
      <c r="Y725" s="19" t="s">
        <v>32</v>
      </c>
      <c r="Z725" s="18" t="str">
        <f>A725 &amp; "-" &amp; VLOOKUP(A725,[4]PROGRAMMES!$E$1:$F$7,2,FALSE)</f>
        <v>2-Qualité des enseignements et des apprentissages</v>
      </c>
      <c r="AA725" s="19" t="str">
        <f>B725 &amp; "-" &amp; VLOOKUP(B725,[4]SOUSPROGRAMMES!$E$1:$F$44,2,FALSE)</f>
        <v xml:space="preserve">25- Conditions d’apprentissage améliorées </v>
      </c>
      <c r="AB725" s="19" t="str">
        <f>C725 &amp; "-" &amp; VLOOKUP(C725,[4]RESULTATS!$E$1:$F$176,2,FALSE)</f>
        <v>253- Les élèves du primaire et du secondaire disposent des manuels des matières fondamentales en quantité suffisante.</v>
      </c>
      <c r="AC725" s="20" t="str">
        <f>D725 &amp; "-" &amp; VLOOKUP(D725,[4]STRATEGIES!$E$1:$F$504,2,FALSE)</f>
        <v>2531-Distribution des manuels et guides</v>
      </c>
      <c r="AD725" s="21" t="str">
        <f t="shared" si="148"/>
        <v>25312-acquisition de guides pour le primaire</v>
      </c>
    </row>
    <row r="726" spans="1:30" s="22" customFormat="1" ht="60" hidden="1" customHeight="1" x14ac:dyDescent="0.8">
      <c r="A726" s="14">
        <v>2</v>
      </c>
      <c r="B726" s="15">
        <v>25</v>
      </c>
      <c r="C726" s="15">
        <v>253</v>
      </c>
      <c r="D726" s="15">
        <v>2531</v>
      </c>
      <c r="E726" s="15">
        <v>25311</v>
      </c>
      <c r="F726" s="16" t="s">
        <v>892</v>
      </c>
      <c r="G726" s="21" t="s">
        <v>893</v>
      </c>
      <c r="H726" s="17" t="s">
        <v>894</v>
      </c>
      <c r="I726" s="33">
        <v>0</v>
      </c>
      <c r="J726" s="33">
        <f>3840719*15%</f>
        <v>576107.85</v>
      </c>
      <c r="K726" s="33">
        <f>3932758*15%</f>
        <v>589913.69999999995</v>
      </c>
      <c r="L726" s="33">
        <f>3996834*15%</f>
        <v>599525.1</v>
      </c>
      <c r="M726" s="33">
        <f>SUM(I726:L726)</f>
        <v>1765546.65</v>
      </c>
      <c r="N726" s="33">
        <f>IF(OR(H726="",H726="sif",H726="PM"),0,VLOOKUP(H726,[5]CU!$C$4:$H$255,6,FALSE))</f>
        <v>2.2272E-2</v>
      </c>
      <c r="O726" s="33">
        <f t="shared" si="151"/>
        <v>0</v>
      </c>
      <c r="P726" s="33">
        <f t="shared" si="151"/>
        <v>12831.074035199999</v>
      </c>
      <c r="Q726" s="33">
        <f t="shared" si="151"/>
        <v>13138.557926399999</v>
      </c>
      <c r="R726" s="33">
        <f t="shared" si="151"/>
        <v>13352.623027199999</v>
      </c>
      <c r="S726" s="34">
        <f t="shared" si="152"/>
        <v>39322.254988799992</v>
      </c>
      <c r="T726" s="35" t="s">
        <v>39</v>
      </c>
      <c r="U726" s="19" t="s">
        <v>647</v>
      </c>
      <c r="V726" s="19" t="str">
        <f>IF(OR($H726="",$H726="sif",$H726="PM"),"",VLOOKUP($H726,[5]CU!$C$5:$J$255,8,FALSE))</f>
        <v>3. Manuels scolaires et matériels pédagogiques</v>
      </c>
      <c r="W726" s="19" t="s">
        <v>192</v>
      </c>
      <c r="X726" s="19" t="s">
        <v>347</v>
      </c>
      <c r="Y726" s="19" t="s">
        <v>32</v>
      </c>
      <c r="Z726" s="18" t="str">
        <f>A726 &amp; "-" &amp; VLOOKUP(A726,[4]PROGRAMMES!$E$1:$F$7,2,FALSE)</f>
        <v>2-Qualité des enseignements et des apprentissages</v>
      </c>
      <c r="AA726" s="19" t="str">
        <f>B726 &amp; "-" &amp; VLOOKUP(B726,[4]SOUSPROGRAMMES!$E$1:$F$44,2,FALSE)</f>
        <v xml:space="preserve">25- Conditions d’apprentissage améliorées </v>
      </c>
      <c r="AB726" s="19" t="str">
        <f>C726 &amp; "-" &amp; VLOOKUP(C726,[4]RESULTATS!$E$1:$F$176,2,FALSE)</f>
        <v>253- Les élèves du primaire et du secondaire disposent des manuels des matières fondamentales en quantité suffisante.</v>
      </c>
      <c r="AC726" s="20" t="str">
        <f>D726 &amp; "-" &amp; VLOOKUP(D726,[4]STRATEGIES!$E$1:$F$504,2,FALSE)</f>
        <v>2531-Distribution des manuels et guides</v>
      </c>
      <c r="AD726" s="21" t="str">
        <f t="shared" si="148"/>
        <v>25311-acquisition de manuels pour le primaire</v>
      </c>
    </row>
    <row r="727" spans="1:30" ht="60" hidden="1" customHeight="1" x14ac:dyDescent="0.8">
      <c r="A727" s="25">
        <v>2</v>
      </c>
      <c r="B727" s="16">
        <v>25</v>
      </c>
      <c r="C727" s="16">
        <v>253</v>
      </c>
      <c r="D727" s="16">
        <v>2531</v>
      </c>
      <c r="E727" s="16">
        <v>25311</v>
      </c>
      <c r="F727" s="16" t="s">
        <v>892</v>
      </c>
      <c r="G727" s="21" t="s">
        <v>893</v>
      </c>
      <c r="H727" s="21" t="s">
        <v>894</v>
      </c>
      <c r="I727" s="36">
        <v>0</v>
      </c>
      <c r="J727" s="36">
        <f>4000000*15%</f>
        <v>600000</v>
      </c>
      <c r="K727" s="36">
        <f>4000000*30%</f>
        <v>1200000</v>
      </c>
      <c r="L727" s="36">
        <f>3996834*50%</f>
        <v>1998417</v>
      </c>
      <c r="M727" s="36">
        <f>SUM(I727:L727)</f>
        <v>3798417</v>
      </c>
      <c r="N727" s="36">
        <f>IF(OR(H727="",H727="sif",H727="PM"),0,VLOOKUP(H727,[5]CU!$C$4:$H$255,6,FALSE))</f>
        <v>2.2272E-2</v>
      </c>
      <c r="O727" s="36">
        <f t="shared" si="151"/>
        <v>0</v>
      </c>
      <c r="P727" s="36">
        <f t="shared" si="151"/>
        <v>13363.2</v>
      </c>
      <c r="Q727" s="36">
        <f t="shared" si="151"/>
        <v>26726.400000000001</v>
      </c>
      <c r="R727" s="36">
        <f t="shared" si="151"/>
        <v>44508.743424</v>
      </c>
      <c r="S727" s="37">
        <f t="shared" si="152"/>
        <v>84598.343424000006</v>
      </c>
      <c r="T727" s="38" t="s">
        <v>169</v>
      </c>
      <c r="U727" s="19" t="s">
        <v>647</v>
      </c>
      <c r="V727" s="19" t="str">
        <f>IF(OR($H727="",$H727="sif",$H727="PM"),"",VLOOKUP($H727,[5]CU!$C$5:$J$255,8,FALSE))</f>
        <v>3. Manuels scolaires et matériels pédagogiques</v>
      </c>
      <c r="W727" s="19" t="s">
        <v>192</v>
      </c>
      <c r="X727" s="19" t="s">
        <v>347</v>
      </c>
      <c r="Y727" s="19" t="s">
        <v>32</v>
      </c>
      <c r="Z727" s="19" t="str">
        <f>A727 &amp; "-" &amp; VLOOKUP(A727,[4]PROGRAMMES!$E$1:$F$7,2,FALSE)</f>
        <v>2-Qualité des enseignements et des apprentissages</v>
      </c>
      <c r="AA727" s="19" t="str">
        <f>B727 &amp; "-" &amp; VLOOKUP(B727,[4]SOUSPROGRAMMES!$E$1:$F$44,2,FALSE)</f>
        <v xml:space="preserve">25- Conditions d’apprentissage améliorées </v>
      </c>
      <c r="AB727" s="19" t="str">
        <f>C727 &amp; "-" &amp; VLOOKUP(C727,[4]RESULTATS!$E$1:$F$176,2,FALSE)</f>
        <v>253- Les élèves du primaire et du secondaire disposent des manuels des matières fondamentales en quantité suffisante.</v>
      </c>
      <c r="AC727" s="20" t="str">
        <f>D727 &amp; "-" &amp; VLOOKUP(D727,[4]STRATEGIES!$E$1:$F$504,2,FALSE)</f>
        <v>2531-Distribution des manuels et guides</v>
      </c>
      <c r="AD727" s="21" t="str">
        <f t="shared" si="148"/>
        <v>25311-acquisition de manuels pour le primaire</v>
      </c>
    </row>
    <row r="728" spans="1:30" s="22" customFormat="1" ht="60" hidden="1" customHeight="1" x14ac:dyDescent="0.8">
      <c r="A728" s="14">
        <v>2</v>
      </c>
      <c r="B728" s="15">
        <v>25</v>
      </c>
      <c r="C728" s="15">
        <v>253</v>
      </c>
      <c r="D728" s="15">
        <v>2531</v>
      </c>
      <c r="E728" s="15">
        <v>25311</v>
      </c>
      <c r="F728" s="16" t="s">
        <v>892</v>
      </c>
      <c r="G728" s="21" t="s">
        <v>893</v>
      </c>
      <c r="H728" s="17" t="s">
        <v>894</v>
      </c>
      <c r="I728" s="33">
        <v>0</v>
      </c>
      <c r="J728" s="33">
        <f>3840719*50%</f>
        <v>1920359.5</v>
      </c>
      <c r="K728" s="33">
        <f>3932758*50%</f>
        <v>1966379</v>
      </c>
      <c r="L728" s="33">
        <f>3996834*50%</f>
        <v>1998417</v>
      </c>
      <c r="M728" s="33">
        <f t="shared" si="150"/>
        <v>5885155.5</v>
      </c>
      <c r="N728" s="33">
        <f>IF(OR(H728="",H728="sif",H728="PM"),0,VLOOKUP(H728,[5]CU!$C$4:$H$255,6,FALSE))</f>
        <v>2.2272E-2</v>
      </c>
      <c r="O728" s="33">
        <f t="shared" si="147"/>
        <v>0</v>
      </c>
      <c r="P728" s="33">
        <f t="shared" si="147"/>
        <v>42770.246784000003</v>
      </c>
      <c r="Q728" s="33">
        <f t="shared" si="147"/>
        <v>43795.193088</v>
      </c>
      <c r="R728" s="33">
        <f t="shared" si="147"/>
        <v>44508.743424</v>
      </c>
      <c r="S728" s="34">
        <f t="shared" si="152"/>
        <v>131074.183296</v>
      </c>
      <c r="T728" s="35" t="s">
        <v>56</v>
      </c>
      <c r="U728" s="19" t="s">
        <v>647</v>
      </c>
      <c r="V728" s="19" t="str">
        <f>IF(OR($H728="",$H728="sif",$H728="PM"),"",VLOOKUP($H728,[5]CU!$C$5:$J$255,8,FALSE))</f>
        <v>3. Manuels scolaires et matériels pédagogiques</v>
      </c>
      <c r="W728" s="19" t="s">
        <v>192</v>
      </c>
      <c r="X728" s="19" t="s">
        <v>347</v>
      </c>
      <c r="Y728" s="19" t="s">
        <v>32</v>
      </c>
      <c r="Z728" s="18" t="str">
        <f>A728 &amp; "-" &amp; VLOOKUP(A728,[4]PROGRAMMES!$E$1:$F$7,2,FALSE)</f>
        <v>2-Qualité des enseignements et des apprentissages</v>
      </c>
      <c r="AA728" s="19" t="str">
        <f>B728 &amp; "-" &amp; VLOOKUP(B728,[4]SOUSPROGRAMMES!$E$1:$F$44,2,FALSE)</f>
        <v xml:space="preserve">25- Conditions d’apprentissage améliorées </v>
      </c>
      <c r="AB728" s="19" t="str">
        <f>C728 &amp; "-" &amp; VLOOKUP(C728,[4]RESULTATS!$E$1:$F$176,2,FALSE)</f>
        <v>253- Les élèves du primaire et du secondaire disposent des manuels des matières fondamentales en quantité suffisante.</v>
      </c>
      <c r="AC728" s="20" t="str">
        <f>D728 &amp; "-" &amp; VLOOKUP(D728,[4]STRATEGIES!$E$1:$F$504,2,FALSE)</f>
        <v>2531-Distribution des manuels et guides</v>
      </c>
      <c r="AD728" s="21" t="str">
        <f t="shared" si="148"/>
        <v>25311-acquisition de manuels pour le primaire</v>
      </c>
    </row>
    <row r="729" spans="1:30" s="22" customFormat="1" ht="60" hidden="1" customHeight="1" x14ac:dyDescent="0.8">
      <c r="A729" s="14">
        <v>2</v>
      </c>
      <c r="B729" s="15">
        <v>25</v>
      </c>
      <c r="C729" s="15">
        <v>253</v>
      </c>
      <c r="D729" s="15">
        <v>2531</v>
      </c>
      <c r="E729" s="15">
        <v>25312</v>
      </c>
      <c r="F729" s="16" t="s">
        <v>895</v>
      </c>
      <c r="G729" s="21" t="s">
        <v>893</v>
      </c>
      <c r="H729" s="17" t="s">
        <v>896</v>
      </c>
      <c r="I729" s="33">
        <v>0</v>
      </c>
      <c r="J729" s="33">
        <f>107253*30.02%</f>
        <v>32197.350600000002</v>
      </c>
      <c r="K729" s="33">
        <f>110134*30.02%</f>
        <v>33062.226800000004</v>
      </c>
      <c r="L729" s="33">
        <f>11957*30.02%</f>
        <v>3589.4914000000003</v>
      </c>
      <c r="M729" s="33">
        <f>SUM(I729:L729)</f>
        <v>68849.068800000008</v>
      </c>
      <c r="N729" s="33">
        <f>IF(OR(H729="",H729="sif",H729="PM"),0,VLOOKUP(H729,[5]CU!$C$4:$H$255,6,FALSE))</f>
        <v>2.1999999999999999E-2</v>
      </c>
      <c r="O729" s="33">
        <f>IFERROR($N729*I729,0)</f>
        <v>0</v>
      </c>
      <c r="P729" s="33">
        <f>IFERROR($N729*J729,0)</f>
        <v>708.34171319999996</v>
      </c>
      <c r="Q729" s="33">
        <f>IFERROR($N729*K729,0)</f>
        <v>727.36898960000008</v>
      </c>
      <c r="R729" s="33">
        <f>IFERROR($N729*L729,0)</f>
        <v>78.9688108</v>
      </c>
      <c r="S729" s="34">
        <f t="shared" si="152"/>
        <v>1514.6795136000001</v>
      </c>
      <c r="T729" s="35" t="s">
        <v>39</v>
      </c>
      <c r="U729" s="19" t="s">
        <v>647</v>
      </c>
      <c r="V729" s="19" t="str">
        <f>IF(OR($H729="",$H729="sif",$H729="PM"),"",VLOOKUP($H729,[5]CU!$C$5:$J$255,8,FALSE))</f>
        <v>3. Manuels scolaires et matériels pédagogiques</v>
      </c>
      <c r="W729" s="19" t="s">
        <v>192</v>
      </c>
      <c r="X729" s="19" t="s">
        <v>347</v>
      </c>
      <c r="Y729" s="19" t="s">
        <v>32</v>
      </c>
      <c r="Z729" s="18" t="str">
        <f>A729 &amp; "-" &amp; VLOOKUP(A729,[4]PROGRAMMES!$E$1:$F$7,2,FALSE)</f>
        <v>2-Qualité des enseignements et des apprentissages</v>
      </c>
      <c r="AA729" s="19" t="str">
        <f>B729 &amp; "-" &amp; VLOOKUP(B729,[4]SOUSPROGRAMMES!$E$1:$F$44,2,FALSE)</f>
        <v xml:space="preserve">25- Conditions d’apprentissage améliorées </v>
      </c>
      <c r="AB729" s="19" t="str">
        <f>C729 &amp; "-" &amp; VLOOKUP(C729,[4]RESULTATS!$E$1:$F$176,2,FALSE)</f>
        <v>253- Les élèves du primaire et du secondaire disposent des manuels des matières fondamentales en quantité suffisante.</v>
      </c>
      <c r="AC729" s="20" t="str">
        <f>D729 &amp; "-" &amp; VLOOKUP(D729,[4]STRATEGIES!$E$1:$F$504,2,FALSE)</f>
        <v>2531-Distribution des manuels et guides</v>
      </c>
      <c r="AD729" s="21" t="str">
        <f t="shared" si="148"/>
        <v>25312-acquisition de guides pour le primaire</v>
      </c>
    </row>
    <row r="730" spans="1:30" s="22" customFormat="1" ht="60" hidden="1" customHeight="1" x14ac:dyDescent="0.8">
      <c r="A730" s="14">
        <v>2</v>
      </c>
      <c r="B730" s="15">
        <v>25</v>
      </c>
      <c r="C730" s="15">
        <v>253</v>
      </c>
      <c r="D730" s="15">
        <v>2531</v>
      </c>
      <c r="E730" s="15">
        <v>25312</v>
      </c>
      <c r="F730" s="16" t="s">
        <v>895</v>
      </c>
      <c r="G730" s="21" t="s">
        <v>893</v>
      </c>
      <c r="H730" s="17" t="s">
        <v>896</v>
      </c>
      <c r="I730" s="33">
        <v>0</v>
      </c>
      <c r="J730" s="33">
        <f>107253*18.22%</f>
        <v>19541.496599999999</v>
      </c>
      <c r="K730" s="33">
        <f>110134*18.22%</f>
        <v>20066.414799999999</v>
      </c>
      <c r="L730" s="33">
        <f>11957*18.22%</f>
        <v>2178.5654</v>
      </c>
      <c r="M730" s="33">
        <f t="shared" si="150"/>
        <v>41786.476799999997</v>
      </c>
      <c r="N730" s="33">
        <f>IF(OR(H730="",H730="sif",H730="PM"),0,VLOOKUP(H730,[5]CU!$C$4:$H$255,6,FALSE))</f>
        <v>2.1999999999999999E-2</v>
      </c>
      <c r="O730" s="33">
        <f t="shared" si="147"/>
        <v>0</v>
      </c>
      <c r="P730" s="33">
        <f t="shared" si="147"/>
        <v>429.91292519999996</v>
      </c>
      <c r="Q730" s="33">
        <f t="shared" si="147"/>
        <v>441.46112559999995</v>
      </c>
      <c r="R730" s="33">
        <f t="shared" si="147"/>
        <v>47.928438799999995</v>
      </c>
      <c r="S730" s="34">
        <f t="shared" si="152"/>
        <v>919.30248959999983</v>
      </c>
      <c r="T730" s="35" t="s">
        <v>118</v>
      </c>
      <c r="U730" s="19" t="s">
        <v>647</v>
      </c>
      <c r="V730" s="19" t="str">
        <f>IF(OR($H730="",$H730="sif",$H730="PM"),"",VLOOKUP($H730,[5]CU!$C$5:$J$255,8,FALSE))</f>
        <v>3. Manuels scolaires et matériels pédagogiques</v>
      </c>
      <c r="W730" s="19" t="s">
        <v>192</v>
      </c>
      <c r="X730" s="19" t="s">
        <v>347</v>
      </c>
      <c r="Y730" s="19" t="s">
        <v>32</v>
      </c>
      <c r="Z730" s="18" t="str">
        <f>A730 &amp; "-" &amp; VLOOKUP(A730,[4]PROGRAMMES!$E$1:$F$7,2,FALSE)</f>
        <v>2-Qualité des enseignements et des apprentissages</v>
      </c>
      <c r="AA730" s="19" t="str">
        <f>B730 &amp; "-" &amp; VLOOKUP(B730,[4]SOUSPROGRAMMES!$E$1:$F$44,2,FALSE)</f>
        <v xml:space="preserve">25- Conditions d’apprentissage améliorées </v>
      </c>
      <c r="AB730" s="19" t="str">
        <f>C730 &amp; "-" &amp; VLOOKUP(C730,[4]RESULTATS!$E$1:$F$176,2,FALSE)</f>
        <v>253- Les élèves du primaire et du secondaire disposent des manuels des matières fondamentales en quantité suffisante.</v>
      </c>
      <c r="AC730" s="20" t="str">
        <f>D730 &amp; "-" &amp; VLOOKUP(D730,[4]STRATEGIES!$E$1:$F$504,2,FALSE)</f>
        <v>2531-Distribution des manuels et guides</v>
      </c>
      <c r="AD730" s="21" t="str">
        <f t="shared" si="148"/>
        <v>25312-acquisition de guides pour le primaire</v>
      </c>
    </row>
    <row r="731" spans="1:30" s="22" customFormat="1" ht="60" hidden="1" customHeight="1" x14ac:dyDescent="0.8">
      <c r="A731" s="14">
        <v>2</v>
      </c>
      <c r="B731" s="15">
        <v>25</v>
      </c>
      <c r="C731" s="15">
        <v>253</v>
      </c>
      <c r="D731" s="15">
        <v>2531</v>
      </c>
      <c r="E731" s="15">
        <v>25312</v>
      </c>
      <c r="F731" s="16" t="s">
        <v>895</v>
      </c>
      <c r="G731" s="21" t="s">
        <v>893</v>
      </c>
      <c r="H731" s="17" t="s">
        <v>896</v>
      </c>
      <c r="I731" s="33">
        <v>0</v>
      </c>
      <c r="J731" s="33">
        <f>107253*19.81%</f>
        <v>21246.819299999999</v>
      </c>
      <c r="K731" s="33">
        <f>110134*19.81%</f>
        <v>21817.545399999999</v>
      </c>
      <c r="L731" s="33">
        <f>11957*19.81%</f>
        <v>2368.6817000000001</v>
      </c>
      <c r="M731" s="33">
        <f>SUM(I731:L731)</f>
        <v>45433.046399999999</v>
      </c>
      <c r="N731" s="33">
        <f>IF(OR(H731="",H731="sif",H731="PM"),0,VLOOKUP(H731,[5]CU!$C$4:$H$255,6,FALSE))</f>
        <v>2.1999999999999999E-2</v>
      </c>
      <c r="O731" s="33">
        <f>IFERROR($N731*I731,0)</f>
        <v>0</v>
      </c>
      <c r="P731" s="33">
        <f>IFERROR($N731*J731,0)</f>
        <v>467.43002459999997</v>
      </c>
      <c r="Q731" s="33">
        <f>IFERROR($N731*K731,0)</f>
        <v>479.98599879999995</v>
      </c>
      <c r="R731" s="33">
        <f>IFERROR($N731*L731,0)</f>
        <v>52.110997400000002</v>
      </c>
      <c r="S731" s="34">
        <f t="shared" si="152"/>
        <v>999.52702079999983</v>
      </c>
      <c r="T731" s="35" t="s">
        <v>39</v>
      </c>
      <c r="U731" s="19" t="s">
        <v>647</v>
      </c>
      <c r="V731" s="19" t="str">
        <f>IF(OR($H731="",$H731="sif",$H731="PM"),"",VLOOKUP($H731,[5]CU!$C$5:$J$255,8,FALSE))</f>
        <v>3. Manuels scolaires et matériels pédagogiques</v>
      </c>
      <c r="W731" s="19" t="s">
        <v>192</v>
      </c>
      <c r="X731" s="19" t="s">
        <v>347</v>
      </c>
      <c r="Y731" s="19" t="s">
        <v>32</v>
      </c>
      <c r="Z731" s="18" t="str">
        <f>A731 &amp; "-" &amp; VLOOKUP(A731,[4]PROGRAMMES!$E$1:$F$7,2,FALSE)</f>
        <v>2-Qualité des enseignements et des apprentissages</v>
      </c>
      <c r="AA731" s="19" t="str">
        <f>B731 &amp; "-" &amp; VLOOKUP(B731,[4]SOUSPROGRAMMES!$E$1:$F$44,2,FALSE)</f>
        <v xml:space="preserve">25- Conditions d’apprentissage améliorées </v>
      </c>
      <c r="AB731" s="19" t="str">
        <f>C731 &amp; "-" &amp; VLOOKUP(C731,[4]RESULTATS!$E$1:$F$176,2,FALSE)</f>
        <v>253- Les élèves du primaire et du secondaire disposent des manuels des matières fondamentales en quantité suffisante.</v>
      </c>
      <c r="AC731" s="20" t="str">
        <f>D731 &amp; "-" &amp; VLOOKUP(D731,[4]STRATEGIES!$E$1:$F$504,2,FALSE)</f>
        <v>2531-Distribution des manuels et guides</v>
      </c>
      <c r="AD731" s="21" t="str">
        <f t="shared" si="148"/>
        <v>25312-acquisition de guides pour le primaire</v>
      </c>
    </row>
    <row r="732" spans="1:30" s="22" customFormat="1" ht="60" hidden="1" customHeight="1" x14ac:dyDescent="0.8">
      <c r="A732" s="14">
        <v>2</v>
      </c>
      <c r="B732" s="15">
        <v>25</v>
      </c>
      <c r="C732" s="15">
        <v>253</v>
      </c>
      <c r="D732" s="15">
        <v>2531</v>
      </c>
      <c r="E732" s="15">
        <v>25312</v>
      </c>
      <c r="F732" s="16" t="s">
        <v>895</v>
      </c>
      <c r="G732" s="21" t="s">
        <v>893</v>
      </c>
      <c r="H732" s="17" t="s">
        <v>896</v>
      </c>
      <c r="I732" s="33">
        <v>0</v>
      </c>
      <c r="J732" s="33">
        <v>0</v>
      </c>
      <c r="K732" s="33">
        <v>0</v>
      </c>
      <c r="L732" s="33">
        <v>0</v>
      </c>
      <c r="M732" s="33">
        <f t="shared" si="150"/>
        <v>0</v>
      </c>
      <c r="N732" s="33">
        <f>IF(OR(H732="",H732="sif",H732="PM"),0,VLOOKUP(H732,[5]CU!$C$4:$H$255,6,FALSE))</f>
        <v>2.1999999999999999E-2</v>
      </c>
      <c r="O732" s="33">
        <f t="shared" si="147"/>
        <v>0</v>
      </c>
      <c r="P732" s="33">
        <f t="shared" si="147"/>
        <v>0</v>
      </c>
      <c r="Q732" s="33">
        <f t="shared" si="147"/>
        <v>0</v>
      </c>
      <c r="R732" s="33">
        <f t="shared" si="147"/>
        <v>0</v>
      </c>
      <c r="S732" s="34">
        <f t="shared" si="152"/>
        <v>0</v>
      </c>
      <c r="T732" s="35" t="s">
        <v>178</v>
      </c>
      <c r="U732" s="19" t="s">
        <v>647</v>
      </c>
      <c r="V732" s="19" t="str">
        <f>IF(OR($H732="",$H732="sif",$H732="PM"),"",VLOOKUP($H732,[5]CU!$C$5:$J$255,8,FALSE))</f>
        <v>3. Manuels scolaires et matériels pédagogiques</v>
      </c>
      <c r="W732" s="19" t="s">
        <v>192</v>
      </c>
      <c r="X732" s="19" t="s">
        <v>347</v>
      </c>
      <c r="Y732" s="19" t="s">
        <v>32</v>
      </c>
      <c r="Z732" s="18" t="str">
        <f>A732 &amp; "-" &amp; VLOOKUP(A732,[4]PROGRAMMES!$E$1:$F$7,2,FALSE)</f>
        <v>2-Qualité des enseignements et des apprentissages</v>
      </c>
      <c r="AA732" s="19" t="str">
        <f>B732 &amp; "-" &amp; VLOOKUP(B732,[4]SOUSPROGRAMMES!$E$1:$F$44,2,FALSE)</f>
        <v xml:space="preserve">25- Conditions d’apprentissage améliorées </v>
      </c>
      <c r="AB732" s="19" t="str">
        <f>C732 &amp; "-" &amp; VLOOKUP(C732,[4]RESULTATS!$E$1:$F$176,2,FALSE)</f>
        <v>253- Les élèves du primaire et du secondaire disposent des manuels des matières fondamentales en quantité suffisante.</v>
      </c>
      <c r="AC732" s="20" t="str">
        <f>D732 &amp; "-" &amp; VLOOKUP(D732,[4]STRATEGIES!$E$1:$F$504,2,FALSE)</f>
        <v>2531-Distribution des manuels et guides</v>
      </c>
      <c r="AD732" s="21" t="str">
        <f t="shared" si="148"/>
        <v>25312-acquisition de guides pour le primaire</v>
      </c>
    </row>
    <row r="733" spans="1:30" s="22" customFormat="1" ht="60" hidden="1" customHeight="1" x14ac:dyDescent="0.8">
      <c r="A733" s="14">
        <v>2</v>
      </c>
      <c r="B733" s="15">
        <v>25</v>
      </c>
      <c r="C733" s="15">
        <v>253</v>
      </c>
      <c r="D733" s="15">
        <v>2531</v>
      </c>
      <c r="E733" s="15">
        <v>25313</v>
      </c>
      <c r="F733" s="16" t="s">
        <v>897</v>
      </c>
      <c r="G733" s="21" t="s">
        <v>893</v>
      </c>
      <c r="H733" s="17" t="s">
        <v>898</v>
      </c>
      <c r="I733" s="33">
        <v>0</v>
      </c>
      <c r="J733" s="33">
        <f>3757261*80.01%</f>
        <v>3006184.5260999999</v>
      </c>
      <c r="K733" s="33">
        <f>914530*80.01%</f>
        <v>731715.45299999998</v>
      </c>
      <c r="L733" s="33"/>
      <c r="M733" s="33">
        <f>SUM(I733:L733)</f>
        <v>3737899.9791000001</v>
      </c>
      <c r="N733" s="33">
        <f>IF(OR(H733="",H733="sif",H733="PM"),0,VLOOKUP(H733,[5]CU!$C$4:$H$255,6,FALSE))</f>
        <v>4.0752999999999998E-2</v>
      </c>
      <c r="O733" s="33">
        <f>IFERROR($N733*I733,0)</f>
        <v>0</v>
      </c>
      <c r="P733" s="33">
        <f>IFERROR($N733*J733,0)</f>
        <v>122511.03799215329</v>
      </c>
      <c r="Q733" s="33">
        <f>IFERROR($N733*K733,0)</f>
        <v>29819.599856108998</v>
      </c>
      <c r="R733" s="33">
        <f>IFERROR($N733*L733,0)</f>
        <v>0</v>
      </c>
      <c r="S733" s="34">
        <f t="shared" si="152"/>
        <v>152330.6378482623</v>
      </c>
      <c r="T733" s="35" t="s">
        <v>118</v>
      </c>
      <c r="U733" s="18" t="s">
        <v>647</v>
      </c>
      <c r="V733" s="18" t="str">
        <f>IF(OR($H733="",$H733="sif",$H733="PM"),"",VLOOKUP($H733,[5]CU!$C$5:$J$255,8,FALSE))</f>
        <v>3. Manuels scolaires et matériels pédagogiques</v>
      </c>
      <c r="W733" s="18" t="s">
        <v>192</v>
      </c>
      <c r="X733" s="18" t="s">
        <v>347</v>
      </c>
      <c r="Y733" s="19" t="s">
        <v>32</v>
      </c>
      <c r="Z733" s="18" t="str">
        <f>A733 &amp; "-" &amp; VLOOKUP(A733,[4]PROGRAMMES!$E$1:$F$7,2,FALSE)</f>
        <v>2-Qualité des enseignements et des apprentissages</v>
      </c>
      <c r="AA733" s="19" t="str">
        <f>B733 &amp; "-" &amp; VLOOKUP(B733,[4]SOUSPROGRAMMES!$E$1:$F$44,2,FALSE)</f>
        <v xml:space="preserve">25- Conditions d’apprentissage améliorées </v>
      </c>
      <c r="AB733" s="19" t="str">
        <f>C733 &amp; "-" &amp; VLOOKUP(C733,[4]RESULTATS!$E$1:$F$176,2,FALSE)</f>
        <v>253- Les élèves du primaire et du secondaire disposent des manuels des matières fondamentales en quantité suffisante.</v>
      </c>
      <c r="AC733" s="20" t="str">
        <f>D733 &amp; "-" &amp; VLOOKUP(D733,[4]STRATEGIES!$E$1:$F$504,2,FALSE)</f>
        <v>2531-Distribution des manuels et guides</v>
      </c>
      <c r="AD733" s="21" t="str">
        <f t="shared" si="148"/>
        <v>25313-Acquisition de manuels pour le collège (hors 7ème année)</v>
      </c>
    </row>
    <row r="734" spans="1:30" s="22" customFormat="1" ht="60" hidden="1" customHeight="1" x14ac:dyDescent="0.8">
      <c r="A734" s="14">
        <v>2</v>
      </c>
      <c r="B734" s="15">
        <v>25</v>
      </c>
      <c r="C734" s="15">
        <v>253</v>
      </c>
      <c r="D734" s="15">
        <v>2531</v>
      </c>
      <c r="E734" s="15">
        <v>25313</v>
      </c>
      <c r="F734" s="16" t="s">
        <v>897</v>
      </c>
      <c r="G734" s="21" t="s">
        <v>893</v>
      </c>
      <c r="H734" s="17" t="s">
        <v>898</v>
      </c>
      <c r="I734" s="33">
        <v>0</v>
      </c>
      <c r="J734" s="33">
        <f>3757261*19.99%</f>
        <v>751076.47389999998</v>
      </c>
      <c r="K734" s="33">
        <f>914530*19.99%</f>
        <v>182814.54699999999</v>
      </c>
      <c r="L734" s="33"/>
      <c r="M734" s="33">
        <f t="shared" si="150"/>
        <v>933891.0209</v>
      </c>
      <c r="N734" s="33">
        <f>IF(OR(H734="",H734="sif",H734="PM"),0,VLOOKUP(H734,[5]CU!$C$4:$H$255,6,FALSE))</f>
        <v>4.0752999999999998E-2</v>
      </c>
      <c r="O734" s="33">
        <f t="shared" si="147"/>
        <v>0</v>
      </c>
      <c r="P734" s="33">
        <f t="shared" si="147"/>
        <v>30608.619540846699</v>
      </c>
      <c r="Q734" s="33">
        <f t="shared" si="147"/>
        <v>7450.241233890999</v>
      </c>
      <c r="R734" s="33">
        <f t="shared" si="147"/>
        <v>0</v>
      </c>
      <c r="S734" s="34">
        <f t="shared" si="152"/>
        <v>38058.860774737695</v>
      </c>
      <c r="T734" s="35" t="s">
        <v>118</v>
      </c>
      <c r="U734" s="18" t="s">
        <v>647</v>
      </c>
      <c r="V734" s="18" t="str">
        <f>IF(OR($H734="",$H734="sif",$H734="PM"),"",VLOOKUP($H734,[5]CU!$C$5:$J$255,8,FALSE))</f>
        <v>3. Manuels scolaires et matériels pédagogiques</v>
      </c>
      <c r="W734" s="18" t="s">
        <v>192</v>
      </c>
      <c r="X734" s="18" t="s">
        <v>347</v>
      </c>
      <c r="Y734" s="19" t="s">
        <v>32</v>
      </c>
      <c r="Z734" s="18" t="str">
        <f>A734 &amp; "-" &amp; VLOOKUP(A734,[4]PROGRAMMES!$E$1:$F$7,2,FALSE)</f>
        <v>2-Qualité des enseignements et des apprentissages</v>
      </c>
      <c r="AA734" s="19" t="str">
        <f>B734 &amp; "-" &amp; VLOOKUP(B734,[4]SOUSPROGRAMMES!$E$1:$F$44,2,FALSE)</f>
        <v xml:space="preserve">25- Conditions d’apprentissage améliorées </v>
      </c>
      <c r="AB734" s="19" t="str">
        <f>C734 &amp; "-" &amp; VLOOKUP(C734,[4]RESULTATS!$E$1:$F$176,2,FALSE)</f>
        <v>253- Les élèves du primaire et du secondaire disposent des manuels des matières fondamentales en quantité suffisante.</v>
      </c>
      <c r="AC734" s="20" t="str">
        <f>D734 &amp; "-" &amp; VLOOKUP(D734,[4]STRATEGIES!$E$1:$F$504,2,FALSE)</f>
        <v>2531-Distribution des manuels et guides</v>
      </c>
      <c r="AD734" s="21" t="str">
        <f t="shared" si="148"/>
        <v>25313-Acquisition de manuels pour le collège (hors 7ème année)</v>
      </c>
    </row>
    <row r="735" spans="1:30" s="22" customFormat="1" ht="60" hidden="1" customHeight="1" x14ac:dyDescent="0.8">
      <c r="A735" s="14">
        <v>2</v>
      </c>
      <c r="B735" s="15">
        <v>25</v>
      </c>
      <c r="C735" s="15">
        <v>253</v>
      </c>
      <c r="D735" s="15">
        <v>2531</v>
      </c>
      <c r="E735" s="15">
        <v>25314</v>
      </c>
      <c r="F735" s="16" t="s">
        <v>899</v>
      </c>
      <c r="G735" s="21" t="s">
        <v>893</v>
      </c>
      <c r="H735" s="17" t="s">
        <v>900</v>
      </c>
      <c r="I735" s="33">
        <v>0</v>
      </c>
      <c r="J735" s="33"/>
      <c r="K735" s="33"/>
      <c r="L735" s="33"/>
      <c r="M735" s="33">
        <f>SUM(I735:L735)</f>
        <v>0</v>
      </c>
      <c r="N735" s="33">
        <f>IF(OR(H735="",H735="sif",H735="PM"),0,VLOOKUP(H735,[5]CU!$C$4:$H$255,6,FALSE))</f>
        <v>4.5999999999999999E-2</v>
      </c>
      <c r="O735" s="33">
        <f>IFERROR($N735*I735,0)</f>
        <v>0</v>
      </c>
      <c r="P735" s="33">
        <f>IFERROR($N735*J735,0)</f>
        <v>0</v>
      </c>
      <c r="Q735" s="33">
        <f>IFERROR($N735*K735,0)</f>
        <v>0</v>
      </c>
      <c r="R735" s="33">
        <f>IFERROR($N735*L735,0)</f>
        <v>0</v>
      </c>
      <c r="S735" s="34">
        <f t="shared" si="152"/>
        <v>0</v>
      </c>
      <c r="T735" s="35" t="s">
        <v>178</v>
      </c>
      <c r="U735" s="18" t="s">
        <v>647</v>
      </c>
      <c r="V735" s="18" t="str">
        <f>IF(OR($H735="",$H735="sif",$H735="PM"),"",VLOOKUP($H735,[5]CU!$C$5:$J$255,8,FALSE))</f>
        <v>3. Manuels scolaires et matériels pédagogiques</v>
      </c>
      <c r="W735" s="18" t="s">
        <v>192</v>
      </c>
      <c r="X735" s="18" t="s">
        <v>347</v>
      </c>
      <c r="Y735" s="19" t="s">
        <v>32</v>
      </c>
      <c r="Z735" s="18" t="str">
        <f>A735 &amp; "-" &amp; VLOOKUP(A735,[4]PROGRAMMES!$E$1:$F$7,2,FALSE)</f>
        <v>2-Qualité des enseignements et des apprentissages</v>
      </c>
      <c r="AA735" s="19" t="str">
        <f>B735 &amp; "-" &amp; VLOOKUP(B735,[4]SOUSPROGRAMMES!$E$1:$F$44,2,FALSE)</f>
        <v xml:space="preserve">25- Conditions d’apprentissage améliorées </v>
      </c>
      <c r="AB735" s="19" t="str">
        <f>C735 &amp; "-" &amp; VLOOKUP(C735,[4]RESULTATS!$E$1:$F$176,2,FALSE)</f>
        <v>253- Les élèves du primaire et du secondaire disposent des manuels des matières fondamentales en quantité suffisante.</v>
      </c>
      <c r="AC735" s="20" t="str">
        <f>D735 &amp; "-" &amp; VLOOKUP(D735,[4]STRATEGIES!$E$1:$F$504,2,FALSE)</f>
        <v>2531-Distribution des manuels et guides</v>
      </c>
      <c r="AD735" s="21" t="str">
        <f t="shared" si="148"/>
        <v>25314-Acquisition de guides pour le collège (hors 7ème année)</v>
      </c>
    </row>
    <row r="736" spans="1:30" s="22" customFormat="1" ht="60" hidden="1" customHeight="1" x14ac:dyDescent="0.8">
      <c r="A736" s="14">
        <v>2</v>
      </c>
      <c r="B736" s="15">
        <v>25</v>
      </c>
      <c r="C736" s="15">
        <v>253</v>
      </c>
      <c r="D736" s="15">
        <v>2531</v>
      </c>
      <c r="E736" s="15">
        <v>25314</v>
      </c>
      <c r="F736" s="16" t="s">
        <v>899</v>
      </c>
      <c r="G736" s="21" t="s">
        <v>893</v>
      </c>
      <c r="H736" s="17" t="s">
        <v>900</v>
      </c>
      <c r="I736" s="33">
        <v>0</v>
      </c>
      <c r="J736" s="33">
        <v>77310</v>
      </c>
      <c r="K736" s="33">
        <v>11000</v>
      </c>
      <c r="L736" s="33"/>
      <c r="M736" s="33">
        <f t="shared" si="150"/>
        <v>88310</v>
      </c>
      <c r="N736" s="33">
        <f>IF(OR(H736="",H736="sif",H736="PM"),0,VLOOKUP(H736,[5]CU!$C$4:$H$255,6,FALSE))</f>
        <v>4.5999999999999999E-2</v>
      </c>
      <c r="O736" s="33">
        <f t="shared" si="147"/>
        <v>0</v>
      </c>
      <c r="P736" s="33">
        <f t="shared" si="147"/>
        <v>3556.2599999999998</v>
      </c>
      <c r="Q736" s="33">
        <f t="shared" si="147"/>
        <v>506</v>
      </c>
      <c r="R736" s="33">
        <f t="shared" si="147"/>
        <v>0</v>
      </c>
      <c r="S736" s="34">
        <f t="shared" si="152"/>
        <v>4062.2599999999998</v>
      </c>
      <c r="T736" s="35" t="s">
        <v>39</v>
      </c>
      <c r="U736" s="18" t="s">
        <v>647</v>
      </c>
      <c r="V736" s="18" t="str">
        <f>IF(OR($H736="",$H736="sif",$H736="PM"),"",VLOOKUP($H736,[5]CU!$C$5:$J$255,8,FALSE))</f>
        <v>3. Manuels scolaires et matériels pédagogiques</v>
      </c>
      <c r="W736" s="18" t="s">
        <v>192</v>
      </c>
      <c r="X736" s="18" t="s">
        <v>347</v>
      </c>
      <c r="Y736" s="19" t="s">
        <v>32</v>
      </c>
      <c r="Z736" s="18" t="str">
        <f>A736 &amp; "-" &amp; VLOOKUP(A736,[4]PROGRAMMES!$E$1:$F$7,2,FALSE)</f>
        <v>2-Qualité des enseignements et des apprentissages</v>
      </c>
      <c r="AA736" s="19" t="str">
        <f>B736 &amp; "-" &amp; VLOOKUP(B736,[4]SOUSPROGRAMMES!$E$1:$F$44,2,FALSE)</f>
        <v xml:space="preserve">25- Conditions d’apprentissage améliorées </v>
      </c>
      <c r="AB736" s="19" t="str">
        <f>C736 &amp; "-" &amp; VLOOKUP(C736,[4]RESULTATS!$E$1:$F$176,2,FALSE)</f>
        <v>253- Les élèves du primaire et du secondaire disposent des manuels des matières fondamentales en quantité suffisante.</v>
      </c>
      <c r="AC736" s="20" t="str">
        <f>D736 &amp; "-" &amp; VLOOKUP(D736,[4]STRATEGIES!$E$1:$F$504,2,FALSE)</f>
        <v>2531-Distribution des manuels et guides</v>
      </c>
      <c r="AD736" s="21" t="str">
        <f t="shared" si="148"/>
        <v>25314-Acquisition de guides pour le collège (hors 7ème année)</v>
      </c>
    </row>
    <row r="737" spans="1:30" s="22" customFormat="1" ht="60" hidden="1" customHeight="1" x14ac:dyDescent="0.8">
      <c r="A737" s="14">
        <v>2</v>
      </c>
      <c r="B737" s="15">
        <v>25</v>
      </c>
      <c r="C737" s="15">
        <v>253</v>
      </c>
      <c r="D737" s="15">
        <v>2531</v>
      </c>
      <c r="E737" s="15">
        <v>25315</v>
      </c>
      <c r="F737" s="16" t="s">
        <v>901</v>
      </c>
      <c r="G737" s="21" t="s">
        <v>893</v>
      </c>
      <c r="H737" s="17" t="s">
        <v>902</v>
      </c>
      <c r="I737" s="33">
        <v>0</v>
      </c>
      <c r="J737" s="33">
        <v>419947</v>
      </c>
      <c r="K737" s="33">
        <v>101330</v>
      </c>
      <c r="L737" s="33"/>
      <c r="M737" s="33">
        <f t="shared" si="150"/>
        <v>521277</v>
      </c>
      <c r="N737" s="33">
        <f>IF(OR(H737="",H737="sif",H737="PM"),0,VLOOKUP(H737,[5]CU!$C$4:$H$255,6,FALSE))</f>
        <v>5.6649999999999999E-2</v>
      </c>
      <c r="O737" s="33">
        <f t="shared" si="147"/>
        <v>0</v>
      </c>
      <c r="P737" s="33">
        <f t="shared" si="147"/>
        <v>23789.99755</v>
      </c>
      <c r="Q737" s="33">
        <f t="shared" si="147"/>
        <v>5740.3445000000002</v>
      </c>
      <c r="R737" s="33">
        <f t="shared" si="147"/>
        <v>0</v>
      </c>
      <c r="S737" s="34">
        <f t="shared" si="152"/>
        <v>29530.342049999999</v>
      </c>
      <c r="T737" s="35" t="s">
        <v>56</v>
      </c>
      <c r="U737" s="18" t="s">
        <v>647</v>
      </c>
      <c r="V737" s="18" t="str">
        <f>IF(OR($H737="",$H737="sif",$H737="PM"),"",VLOOKUP($H737,[5]CU!$C$5:$J$255,8,FALSE))</f>
        <v>3. Manuels scolaires et matériels pédagogiques</v>
      </c>
      <c r="W737" s="18" t="s">
        <v>398</v>
      </c>
      <c r="X737" s="18" t="s">
        <v>347</v>
      </c>
      <c r="Y737" s="19" t="s">
        <v>32</v>
      </c>
      <c r="Z737" s="18" t="str">
        <f>A737 &amp; "-" &amp; VLOOKUP(A737,[4]PROGRAMMES!$E$1:$F$7,2,FALSE)</f>
        <v>2-Qualité des enseignements et des apprentissages</v>
      </c>
      <c r="AA737" s="19" t="str">
        <f>B737 &amp; "-" &amp; VLOOKUP(B737,[4]SOUSPROGRAMMES!$E$1:$F$44,2,FALSE)</f>
        <v xml:space="preserve">25- Conditions d’apprentissage améliorées </v>
      </c>
      <c r="AB737" s="19" t="str">
        <f>C737 &amp; "-" &amp; VLOOKUP(C737,[4]RESULTATS!$E$1:$F$176,2,FALSE)</f>
        <v>253- Les élèves du primaire et du secondaire disposent des manuels des matières fondamentales en quantité suffisante.</v>
      </c>
      <c r="AC737" s="20" t="str">
        <f>D737 &amp; "-" &amp; VLOOKUP(D737,[4]STRATEGIES!$E$1:$F$504,2,FALSE)</f>
        <v>2531-Distribution des manuels et guides</v>
      </c>
      <c r="AD737" s="21" t="str">
        <f t="shared" si="148"/>
        <v>25315-Acquisition de manuels (Français et Mathématiques) pour le Lycée (hors 11ème année)</v>
      </c>
    </row>
    <row r="738" spans="1:30" s="22" customFormat="1" ht="60" hidden="1" customHeight="1" x14ac:dyDescent="0.8">
      <c r="A738" s="14">
        <v>2</v>
      </c>
      <c r="B738" s="15">
        <v>25</v>
      </c>
      <c r="C738" s="15">
        <v>253</v>
      </c>
      <c r="D738" s="15">
        <v>2531</v>
      </c>
      <c r="E738" s="15">
        <v>25316</v>
      </c>
      <c r="F738" s="16" t="s">
        <v>903</v>
      </c>
      <c r="G738" s="21" t="s">
        <v>893</v>
      </c>
      <c r="H738" s="17" t="s">
        <v>900</v>
      </c>
      <c r="I738" s="33">
        <v>0</v>
      </c>
      <c r="J738" s="33">
        <f>41163*93.49%</f>
        <v>38483.288699999997</v>
      </c>
      <c r="K738" s="33">
        <f>43663*93.49%</f>
        <v>40820.538699999997</v>
      </c>
      <c r="L738" s="33"/>
      <c r="M738" s="33">
        <f>SUM(I738:L738)</f>
        <v>79303.827399999995</v>
      </c>
      <c r="N738" s="33">
        <f>IF(OR(H738="",H738="sif",H738="PM"),0,VLOOKUP(H738,[5]CU!$C$4:$H$255,6,FALSE))</f>
        <v>4.5999999999999999E-2</v>
      </c>
      <c r="O738" s="33">
        <f>IFERROR($N738*I738,0)</f>
        <v>0</v>
      </c>
      <c r="P738" s="33">
        <f>IFERROR($N738*J738,0)</f>
        <v>1770.2312801999999</v>
      </c>
      <c r="Q738" s="33">
        <f>IFERROR($N738*K738,0)</f>
        <v>1877.7447801999999</v>
      </c>
      <c r="R738" s="33">
        <f>IFERROR($N738*L738,0)</f>
        <v>0</v>
      </c>
      <c r="S738" s="34">
        <f t="shared" si="152"/>
        <v>3647.9760603999998</v>
      </c>
      <c r="T738" s="35" t="s">
        <v>56</v>
      </c>
      <c r="U738" s="18" t="s">
        <v>647</v>
      </c>
      <c r="V738" s="18" t="str">
        <f>IF(OR($H738="",$H738="sif",$H738="PM"),"",VLOOKUP($H738,[5]CU!$C$5:$J$255,8,FALSE))</f>
        <v>3. Manuels scolaires et matériels pédagogiques</v>
      </c>
      <c r="W738" s="18" t="s">
        <v>192</v>
      </c>
      <c r="X738" s="18" t="s">
        <v>347</v>
      </c>
      <c r="Y738" s="19" t="s">
        <v>32</v>
      </c>
      <c r="Z738" s="18" t="str">
        <f>A738 &amp; "-" &amp; VLOOKUP(A738,[4]PROGRAMMES!$E$1:$F$7,2,FALSE)</f>
        <v>2-Qualité des enseignements et des apprentissages</v>
      </c>
      <c r="AA738" s="19" t="str">
        <f>B738 &amp; "-" &amp; VLOOKUP(B738,[4]SOUSPROGRAMMES!$E$1:$F$44,2,FALSE)</f>
        <v xml:space="preserve">25- Conditions d’apprentissage améliorées </v>
      </c>
      <c r="AB738" s="19" t="str">
        <f>C738 &amp; "-" &amp; VLOOKUP(C738,[4]RESULTATS!$E$1:$F$176,2,FALSE)</f>
        <v>253- Les élèves du primaire et du secondaire disposent des manuels des matières fondamentales en quantité suffisante.</v>
      </c>
      <c r="AC738" s="20" t="str">
        <f>D738 &amp; "-" &amp; VLOOKUP(D738,[4]STRATEGIES!$E$1:$F$504,2,FALSE)</f>
        <v>2531-Distribution des manuels et guides</v>
      </c>
      <c r="AD738" s="21" t="str">
        <f t="shared" si="148"/>
        <v>25316-Acquisition de guides pour le Lyce (hors 11ème année)</v>
      </c>
    </row>
    <row r="739" spans="1:30" s="22" customFormat="1" ht="60" hidden="1" customHeight="1" x14ac:dyDescent="0.8">
      <c r="A739" s="14">
        <v>2</v>
      </c>
      <c r="B739" s="15">
        <v>25</v>
      </c>
      <c r="C739" s="15">
        <v>253</v>
      </c>
      <c r="D739" s="15">
        <v>2531</v>
      </c>
      <c r="E739" s="15">
        <v>25316</v>
      </c>
      <c r="F739" s="16" t="s">
        <v>903</v>
      </c>
      <c r="G739" s="21" t="s">
        <v>893</v>
      </c>
      <c r="H739" s="17" t="s">
        <v>900</v>
      </c>
      <c r="I739" s="33">
        <v>0</v>
      </c>
      <c r="J739" s="33">
        <v>0</v>
      </c>
      <c r="K739" s="33">
        <v>0</v>
      </c>
      <c r="L739" s="33">
        <v>0</v>
      </c>
      <c r="M739" s="33">
        <f t="shared" si="150"/>
        <v>0</v>
      </c>
      <c r="N739" s="33">
        <f>IF(OR(H739="",H739="sif",H739="PM"),0,VLOOKUP(H739,[5]CU!$C$4:$H$255,6,FALSE))</f>
        <v>4.5999999999999999E-2</v>
      </c>
      <c r="O739" s="33">
        <f t="shared" si="147"/>
        <v>0</v>
      </c>
      <c r="P739" s="33">
        <f t="shared" si="147"/>
        <v>0</v>
      </c>
      <c r="Q739" s="33">
        <f t="shared" si="147"/>
        <v>0</v>
      </c>
      <c r="R739" s="33">
        <f t="shared" si="147"/>
        <v>0</v>
      </c>
      <c r="S739" s="34">
        <f t="shared" si="152"/>
        <v>0</v>
      </c>
      <c r="T739" s="35" t="s">
        <v>178</v>
      </c>
      <c r="U739" s="18" t="s">
        <v>647</v>
      </c>
      <c r="V739" s="18" t="str">
        <f>IF(OR($H739="",$H739="sif",$H739="PM"),"",VLOOKUP($H739,[5]CU!$C$5:$J$255,8,FALSE))</f>
        <v>3. Manuels scolaires et matériels pédagogiques</v>
      </c>
      <c r="W739" s="18" t="s">
        <v>192</v>
      </c>
      <c r="X739" s="18" t="s">
        <v>347</v>
      </c>
      <c r="Y739" s="19" t="s">
        <v>32</v>
      </c>
      <c r="Z739" s="18" t="str">
        <f>A739 &amp; "-" &amp; VLOOKUP(A739,[4]PROGRAMMES!$E$1:$F$7,2,FALSE)</f>
        <v>2-Qualité des enseignements et des apprentissages</v>
      </c>
      <c r="AA739" s="19" t="str">
        <f>B739 &amp; "-" &amp; VLOOKUP(B739,[4]SOUSPROGRAMMES!$E$1:$F$44,2,FALSE)</f>
        <v xml:space="preserve">25- Conditions d’apprentissage améliorées </v>
      </c>
      <c r="AB739" s="19" t="str">
        <f>C739 &amp; "-" &amp; VLOOKUP(C739,[4]RESULTATS!$E$1:$F$176,2,FALSE)</f>
        <v>253- Les élèves du primaire et du secondaire disposent des manuels des matières fondamentales en quantité suffisante.</v>
      </c>
      <c r="AC739" s="20" t="str">
        <f>D739 &amp; "-" &amp; VLOOKUP(D739,[4]STRATEGIES!$E$1:$F$504,2,FALSE)</f>
        <v>2531-Distribution des manuels et guides</v>
      </c>
      <c r="AD739" s="21" t="str">
        <f t="shared" si="148"/>
        <v>25316-Acquisition de guides pour le Lyce (hors 11ème année)</v>
      </c>
    </row>
    <row r="740" spans="1:30" s="22" customFormat="1" ht="60" hidden="1" customHeight="1" x14ac:dyDescent="0.8">
      <c r="A740" s="14">
        <v>2</v>
      </c>
      <c r="B740" s="15">
        <v>25</v>
      </c>
      <c r="C740" s="15">
        <v>253</v>
      </c>
      <c r="D740" s="15">
        <v>2532</v>
      </c>
      <c r="E740" s="15">
        <v>2532</v>
      </c>
      <c r="F740" s="16" t="s">
        <v>904</v>
      </c>
      <c r="G740" s="17"/>
      <c r="H740" s="17"/>
      <c r="I740" s="33">
        <v>0</v>
      </c>
      <c r="J740" s="33"/>
      <c r="K740" s="33"/>
      <c r="L740" s="33"/>
      <c r="M740" s="33"/>
      <c r="N740" s="33"/>
      <c r="O740" s="33"/>
      <c r="P740" s="33"/>
      <c r="Q740" s="33"/>
      <c r="R740" s="33"/>
      <c r="S740" s="34"/>
      <c r="T740" s="33"/>
      <c r="U740" s="18"/>
      <c r="V740" s="18"/>
      <c r="W740" s="18"/>
      <c r="X740" s="18"/>
      <c r="Y740" s="19" t="s">
        <v>32</v>
      </c>
      <c r="Z740" s="18" t="str">
        <f>A740 &amp; "-" &amp; VLOOKUP(A740,[4]PROGRAMMES!$E$1:$F$7,2,FALSE)</f>
        <v>2-Qualité des enseignements et des apprentissages</v>
      </c>
      <c r="AA740" s="19" t="str">
        <f>B740 &amp; "-" &amp; VLOOKUP(B740,[4]SOUSPROGRAMMES!$E$1:$F$44,2,FALSE)</f>
        <v xml:space="preserve">25- Conditions d’apprentissage améliorées </v>
      </c>
      <c r="AB740" s="19" t="str">
        <f>C740 &amp; "-" &amp; VLOOKUP(C740,[4]RESULTATS!$E$1:$F$176,2,FALSE)</f>
        <v>253- Les élèves du primaire et du secondaire disposent des manuels des matières fondamentales en quantité suffisante.</v>
      </c>
      <c r="AC740" s="20" t="str">
        <f>D740 &amp; "-" &amp; VLOOKUP(D740,[4]STRATEGIES!$E$1:$F$504,2,FALSE)</f>
        <v>2532-redynamiser les comités de gestion des manuels</v>
      </c>
      <c r="AD740" s="21" t="str">
        <f t="shared" si="148"/>
        <v>2532-redynamiser les comités de gestion des manuels</v>
      </c>
    </row>
    <row r="741" spans="1:30" s="22" customFormat="1" ht="60" hidden="1" customHeight="1" x14ac:dyDescent="0.8">
      <c r="A741" s="14">
        <v>2</v>
      </c>
      <c r="B741" s="15">
        <v>25</v>
      </c>
      <c r="C741" s="15">
        <v>253</v>
      </c>
      <c r="D741" s="15">
        <v>2532</v>
      </c>
      <c r="E741" s="15">
        <v>25321</v>
      </c>
      <c r="F741" s="16" t="s">
        <v>905</v>
      </c>
      <c r="G741" s="21" t="s">
        <v>454</v>
      </c>
      <c r="H741" s="17" t="s">
        <v>76</v>
      </c>
      <c r="I741" s="33">
        <v>0</v>
      </c>
      <c r="J741" s="33"/>
      <c r="K741" s="33"/>
      <c r="L741" s="33"/>
      <c r="M741" s="33">
        <f t="shared" si="150"/>
        <v>0</v>
      </c>
      <c r="N741" s="33">
        <f>IF(OR(H741="",H741="sif",H741="PM"),0,VLOOKUP(H741,[5]CU!$C$4:$H$255,6,FALSE))</f>
        <v>45.936799999999998</v>
      </c>
      <c r="O741" s="33">
        <f t="shared" si="147"/>
        <v>0</v>
      </c>
      <c r="P741" s="33">
        <f t="shared" si="147"/>
        <v>0</v>
      </c>
      <c r="Q741" s="33">
        <f t="shared" si="147"/>
        <v>0</v>
      </c>
      <c r="R741" s="33">
        <f t="shared" si="147"/>
        <v>0</v>
      </c>
      <c r="S741" s="34">
        <f>SUM(O741:R741)</f>
        <v>0</v>
      </c>
      <c r="T741" s="35" t="s">
        <v>178</v>
      </c>
      <c r="U741" s="18" t="s">
        <v>647</v>
      </c>
      <c r="V741" s="18" t="str">
        <f>IF(OR($H741="",$H741="sif",$H741="PM"),"",VLOOKUP($H741,[5]CU!$C$5:$J$255,8,FALSE))</f>
        <v>3. Dépenses de fonctionnement</v>
      </c>
      <c r="W741" s="18" t="s">
        <v>708</v>
      </c>
      <c r="X741" s="18" t="s">
        <v>273</v>
      </c>
      <c r="Y741" s="19" t="s">
        <v>32</v>
      </c>
      <c r="Z741" s="18" t="str">
        <f>A741 &amp; "-" &amp; VLOOKUP(A741,[4]PROGRAMMES!$E$1:$F$7,2,FALSE)</f>
        <v>2-Qualité des enseignements et des apprentissages</v>
      </c>
      <c r="AA741" s="19" t="str">
        <f>B741 &amp; "-" &amp; VLOOKUP(B741,[4]SOUSPROGRAMMES!$E$1:$F$44,2,FALSE)</f>
        <v xml:space="preserve">25- Conditions d’apprentissage améliorées </v>
      </c>
      <c r="AB741" s="19" t="str">
        <f>C741 &amp; "-" &amp; VLOOKUP(C741,[4]RESULTATS!$E$1:$F$176,2,FALSE)</f>
        <v>253- Les élèves du primaire et du secondaire disposent des manuels des matières fondamentales en quantité suffisante.</v>
      </c>
      <c r="AC741" s="20" t="str">
        <f>D741 &amp; "-" &amp; VLOOKUP(D741,[4]STRATEGIES!$E$1:$F$504,2,FALSE)</f>
        <v>2532-redynamiser les comités de gestion des manuels</v>
      </c>
      <c r="AD741" s="21" t="str">
        <f t="shared" si="148"/>
        <v xml:space="preserve">25321-Sensibilisation sur la distribution des manuels scolaires </v>
      </c>
    </row>
    <row r="742" spans="1:30" s="22" customFormat="1" ht="60" hidden="1" customHeight="1" x14ac:dyDescent="0.8">
      <c r="A742" s="14">
        <v>2</v>
      </c>
      <c r="B742" s="15">
        <v>25</v>
      </c>
      <c r="C742" s="15">
        <v>253</v>
      </c>
      <c r="D742" s="15">
        <v>2532</v>
      </c>
      <c r="E742" s="15">
        <v>25322</v>
      </c>
      <c r="F742" s="16" t="s">
        <v>906</v>
      </c>
      <c r="G742" s="21" t="s">
        <v>907</v>
      </c>
      <c r="H742" s="17" t="s">
        <v>55</v>
      </c>
      <c r="I742" s="33">
        <v>0</v>
      </c>
      <c r="J742" s="33">
        <v>1</v>
      </c>
      <c r="K742" s="33"/>
      <c r="L742" s="33"/>
      <c r="M742" s="33">
        <f t="shared" si="150"/>
        <v>1</v>
      </c>
      <c r="N742" s="33">
        <f>IF(OR(H742="",H742="sif",H742="PM"),0,VLOOKUP(H742,[5]CU!$C$4:$H$255,6,FALSE))</f>
        <v>0</v>
      </c>
      <c r="O742" s="33">
        <f t="shared" si="147"/>
        <v>0</v>
      </c>
      <c r="P742" s="33">
        <f t="shared" si="147"/>
        <v>0</v>
      </c>
      <c r="Q742" s="33">
        <f t="shared" si="147"/>
        <v>0</v>
      </c>
      <c r="R742" s="33">
        <f t="shared" si="147"/>
        <v>0</v>
      </c>
      <c r="S742" s="34"/>
      <c r="T742" s="35" t="s">
        <v>56</v>
      </c>
      <c r="U742" s="18" t="s">
        <v>647</v>
      </c>
      <c r="V742" s="18" t="str">
        <f>IF(OR($H742="",$H742="sif",$H742="PM"),"",VLOOKUP($H742,[5]CU!$C$5:$J$255,8,FALSE))</f>
        <v/>
      </c>
      <c r="W742" s="18" t="s">
        <v>255</v>
      </c>
      <c r="X742" s="18" t="s">
        <v>708</v>
      </c>
      <c r="Y742" s="19" t="s">
        <v>32</v>
      </c>
      <c r="Z742" s="18" t="str">
        <f>A742 &amp; "-" &amp; VLOOKUP(A742,[4]PROGRAMMES!$E$1:$F$7,2,FALSE)</f>
        <v>2-Qualité des enseignements et des apprentissages</v>
      </c>
      <c r="AA742" s="19" t="str">
        <f>B742 &amp; "-" &amp; VLOOKUP(B742,[4]SOUSPROGRAMMES!$E$1:$F$44,2,FALSE)</f>
        <v xml:space="preserve">25- Conditions d’apprentissage améliorées </v>
      </c>
      <c r="AB742" s="19" t="str">
        <f>C742 &amp; "-" &amp; VLOOKUP(C742,[4]RESULTATS!$E$1:$F$176,2,FALSE)</f>
        <v>253- Les élèves du primaire et du secondaire disposent des manuels des matières fondamentales en quantité suffisante.</v>
      </c>
      <c r="AC742" s="20" t="str">
        <f>D742 &amp; "-" &amp; VLOOKUP(D742,[4]STRATEGIES!$E$1:$F$504,2,FALSE)</f>
        <v>2532-redynamiser les comités de gestion des manuels</v>
      </c>
      <c r="AD742" s="21" t="str">
        <f t="shared" si="148"/>
        <v>25322-Révision des textes organisant, la gestion et la conservation des manuels (en tenant compte des résultats de l'audit activité 25331)</v>
      </c>
    </row>
    <row r="743" spans="1:30" ht="60" hidden="1" customHeight="1" x14ac:dyDescent="0.8">
      <c r="A743" s="25">
        <v>2</v>
      </c>
      <c r="B743" s="16">
        <v>25</v>
      </c>
      <c r="C743" s="16">
        <v>253</v>
      </c>
      <c r="D743" s="16">
        <v>2532</v>
      </c>
      <c r="E743" s="16">
        <v>25323</v>
      </c>
      <c r="F743" s="16" t="s">
        <v>908</v>
      </c>
      <c r="G743" s="21" t="s">
        <v>451</v>
      </c>
      <c r="H743" s="21" t="s">
        <v>816</v>
      </c>
      <c r="I743" s="36">
        <v>0</v>
      </c>
      <c r="J743" s="36">
        <f>(11000+1500+400+38)*1.1</f>
        <v>14231.800000000001</v>
      </c>
      <c r="K743" s="36"/>
      <c r="L743" s="36"/>
      <c r="M743" s="36">
        <f t="shared" si="150"/>
        <v>14231.800000000001</v>
      </c>
      <c r="N743" s="36">
        <f>IF(OR(H743="",H743="sif",H743="PM"),0,VLOOKUP(H743,[5]CU!$C$4:$H$255,6,FALSE))</f>
        <v>7.4999999999999997E-3</v>
      </c>
      <c r="O743" s="36">
        <f t="shared" si="147"/>
        <v>0</v>
      </c>
      <c r="P743" s="36">
        <f t="shared" si="147"/>
        <v>106.7385</v>
      </c>
      <c r="Q743" s="36">
        <f t="shared" si="147"/>
        <v>0</v>
      </c>
      <c r="R743" s="36">
        <f t="shared" si="147"/>
        <v>0</v>
      </c>
      <c r="S743" s="37">
        <f>SUM(O743:R743)</f>
        <v>106.7385</v>
      </c>
      <c r="T743" s="38" t="s">
        <v>169</v>
      </c>
      <c r="U743" s="19" t="s">
        <v>647</v>
      </c>
      <c r="V743" s="19" t="str">
        <f>IF(OR($H743="",$H743="sif",$H743="PM"),"",VLOOKUP($H743,[5]CU!$C$5:$J$255,8,FALSE))</f>
        <v>3. Dépenses de fonctionnement</v>
      </c>
      <c r="W743" s="19" t="s">
        <v>708</v>
      </c>
      <c r="X743" s="19" t="s">
        <v>273</v>
      </c>
      <c r="Y743" s="19" t="s">
        <v>32</v>
      </c>
      <c r="Z743" s="19" t="str">
        <f>A743 &amp; "-" &amp; VLOOKUP(A743,[4]PROGRAMMES!$E$1:$F$7,2,FALSE)</f>
        <v>2-Qualité des enseignements et des apprentissages</v>
      </c>
      <c r="AA743" s="19" t="str">
        <f>B743 &amp; "-" &amp; VLOOKUP(B743,[4]SOUSPROGRAMMES!$E$1:$F$44,2,FALSE)</f>
        <v xml:space="preserve">25- Conditions d’apprentissage améliorées </v>
      </c>
      <c r="AB743" s="19" t="str">
        <f>C743 &amp; "-" &amp; VLOOKUP(C743,[4]RESULTATS!$E$1:$F$176,2,FALSE)</f>
        <v>253- Les élèves du primaire et du secondaire disposent des manuels des matières fondamentales en quantité suffisante.</v>
      </c>
      <c r="AC743" s="20" t="str">
        <f>D743 &amp; "-" &amp; VLOOKUP(D743,[4]STRATEGIES!$E$1:$F$504,2,FALSE)</f>
        <v>2532-redynamiser les comités de gestion des manuels</v>
      </c>
      <c r="AD743" s="21" t="str">
        <f t="shared" si="148"/>
        <v>25323-Partage et diffusion des textes</v>
      </c>
    </row>
    <row r="744" spans="1:30" s="22" customFormat="1" ht="60" hidden="1" customHeight="1" x14ac:dyDescent="0.8">
      <c r="A744" s="14">
        <v>2</v>
      </c>
      <c r="B744" s="15">
        <v>25</v>
      </c>
      <c r="C744" s="15">
        <v>253</v>
      </c>
      <c r="D744" s="15">
        <v>2533</v>
      </c>
      <c r="E744" s="15">
        <v>2533</v>
      </c>
      <c r="F744" s="16" t="s">
        <v>909</v>
      </c>
      <c r="G744" s="17"/>
      <c r="H744" s="17"/>
      <c r="I744" s="33">
        <v>0</v>
      </c>
      <c r="J744" s="33"/>
      <c r="K744" s="33"/>
      <c r="L744" s="33"/>
      <c r="M744" s="33"/>
      <c r="N744" s="33"/>
      <c r="O744" s="33"/>
      <c r="P744" s="33"/>
      <c r="Q744" s="33"/>
      <c r="R744" s="33"/>
      <c r="S744" s="34"/>
      <c r="T744" s="33"/>
      <c r="U744" s="18"/>
      <c r="V744" s="18"/>
      <c r="W744" s="18"/>
      <c r="X744" s="18"/>
      <c r="Y744" s="19" t="s">
        <v>32</v>
      </c>
      <c r="Z744" s="18" t="str">
        <f>A744 &amp; "-" &amp; VLOOKUP(A744,[4]PROGRAMMES!$E$1:$F$7,2,FALSE)</f>
        <v>2-Qualité des enseignements et des apprentissages</v>
      </c>
      <c r="AA744" s="19" t="str">
        <f>B744 &amp; "-" &amp; VLOOKUP(B744,[4]SOUSPROGRAMMES!$E$1:$F$44,2,FALSE)</f>
        <v xml:space="preserve">25- Conditions d’apprentissage améliorées </v>
      </c>
      <c r="AB744" s="19" t="str">
        <f>C744 &amp; "-" &amp; VLOOKUP(C744,[4]RESULTATS!$E$1:$F$176,2,FALSE)</f>
        <v>253- Les élèves du primaire et du secondaire disposent des manuels des matières fondamentales en quantité suffisante.</v>
      </c>
      <c r="AC744" s="20" t="str">
        <f>D744 &amp; "-" &amp; VLOOKUP(D744,[4]STRATEGIES!$E$1:$F$504,2,FALSE)</f>
        <v>2533-Organisation des audits sur la gestion des manuels</v>
      </c>
      <c r="AD744" s="21" t="str">
        <f t="shared" si="148"/>
        <v>2533-Organisation des audits sur la gestion des manuels</v>
      </c>
    </row>
    <row r="745" spans="1:30" ht="60" hidden="1" customHeight="1" x14ac:dyDescent="0.8">
      <c r="A745" s="25">
        <v>2</v>
      </c>
      <c r="B745" s="16">
        <v>25</v>
      </c>
      <c r="C745" s="16">
        <v>253</v>
      </c>
      <c r="D745" s="16">
        <v>2533</v>
      </c>
      <c r="E745" s="16">
        <v>25331</v>
      </c>
      <c r="F745" s="16" t="s">
        <v>910</v>
      </c>
      <c r="G745" s="21" t="s">
        <v>167</v>
      </c>
      <c r="H745" s="21" t="s">
        <v>646</v>
      </c>
      <c r="I745" s="36">
        <v>0</v>
      </c>
      <c r="J745" s="36"/>
      <c r="K745" s="36"/>
      <c r="L745" s="36"/>
      <c r="M745" s="36">
        <f t="shared" si="150"/>
        <v>0</v>
      </c>
      <c r="N745" s="36">
        <f>IF(OR(H745="",H745="sif",H745="PM"),0,VLOOKUP(H745,[5]CU!$C$4:$H$255,6,FALSE))</f>
        <v>10.404797</v>
      </c>
      <c r="O745" s="36">
        <f t="shared" si="147"/>
        <v>0</v>
      </c>
      <c r="P745" s="36">
        <f t="shared" si="147"/>
        <v>0</v>
      </c>
      <c r="Q745" s="36">
        <f t="shared" si="147"/>
        <v>0</v>
      </c>
      <c r="R745" s="36">
        <f t="shared" si="147"/>
        <v>0</v>
      </c>
      <c r="S745" s="37">
        <f>SUM(O745:R745)</f>
        <v>0</v>
      </c>
      <c r="T745" s="38" t="s">
        <v>169</v>
      </c>
      <c r="U745" s="19" t="s">
        <v>647</v>
      </c>
      <c r="V745" s="19" t="str">
        <f>IF(OR($H745="",$H745="sif",$H745="PM"),"",VLOOKUP($H745,[5]CU!$C$5:$J$255,8,FALSE))</f>
        <v>3. Dépenses de fonctionnement</v>
      </c>
      <c r="W745" s="19" t="s">
        <v>273</v>
      </c>
      <c r="X745" s="19" t="s">
        <v>911</v>
      </c>
      <c r="Y745" s="19" t="s">
        <v>32</v>
      </c>
      <c r="Z745" s="19" t="str">
        <f>A745 &amp; "-" &amp; VLOOKUP(A745,[4]PROGRAMMES!$E$1:$F$7,2,FALSE)</f>
        <v>2-Qualité des enseignements et des apprentissages</v>
      </c>
      <c r="AA745" s="19" t="str">
        <f>B745 &amp; "-" &amp; VLOOKUP(B745,[4]SOUSPROGRAMMES!$E$1:$F$44,2,FALSE)</f>
        <v xml:space="preserve">25- Conditions d’apprentissage améliorées </v>
      </c>
      <c r="AB745" s="19" t="str">
        <f>C745 &amp; "-" &amp; VLOOKUP(C745,[4]RESULTATS!$E$1:$F$176,2,FALSE)</f>
        <v>253- Les élèves du primaire et du secondaire disposent des manuels des matières fondamentales en quantité suffisante.</v>
      </c>
      <c r="AC745" s="20" t="str">
        <f>D745 &amp; "-" &amp; VLOOKUP(D745,[4]STRATEGIES!$E$1:$F$504,2,FALSE)</f>
        <v>2533-Organisation des audits sur la gestion des manuels</v>
      </c>
      <c r="AD745" s="21" t="str">
        <f t="shared" si="148"/>
        <v>25331-Organisation d'un audit sur la gestion des manuels scolaires</v>
      </c>
    </row>
    <row r="746" spans="1:30" ht="60" hidden="1" customHeight="1" x14ac:dyDescent="0.8">
      <c r="A746" s="25">
        <v>2</v>
      </c>
      <c r="B746" s="16">
        <v>25</v>
      </c>
      <c r="C746" s="16">
        <v>253</v>
      </c>
      <c r="D746" s="16">
        <v>2533</v>
      </c>
      <c r="E746" s="16">
        <v>25332</v>
      </c>
      <c r="F746" s="16" t="s">
        <v>912</v>
      </c>
      <c r="G746" s="21" t="s">
        <v>37</v>
      </c>
      <c r="H746" s="21" t="s">
        <v>66</v>
      </c>
      <c r="I746" s="36">
        <v>0</v>
      </c>
      <c r="J746" s="36">
        <f>10*5</f>
        <v>50</v>
      </c>
      <c r="K746" s="36"/>
      <c r="L746" s="36"/>
      <c r="M746" s="36">
        <f t="shared" si="150"/>
        <v>50</v>
      </c>
      <c r="N746" s="36">
        <f>IF(OR(H746="",H746="sif",H746="PM"),0,VLOOKUP(H746,[5]CU!$C$4:$H$255,6,FALSE))</f>
        <v>0.255</v>
      </c>
      <c r="O746" s="36">
        <f t="shared" si="147"/>
        <v>0</v>
      </c>
      <c r="P746" s="36">
        <f t="shared" si="147"/>
        <v>12.75</v>
      </c>
      <c r="Q746" s="36">
        <f t="shared" si="147"/>
        <v>0</v>
      </c>
      <c r="R746" s="36">
        <f t="shared" si="147"/>
        <v>0</v>
      </c>
      <c r="S746" s="37">
        <f>SUM(O746:R746)</f>
        <v>12.75</v>
      </c>
      <c r="T746" s="38" t="s">
        <v>169</v>
      </c>
      <c r="U746" s="19" t="s">
        <v>647</v>
      </c>
      <c r="V746" s="19" t="str">
        <f>IF(OR($H746="",$H746="sif",$H746="PM"),"",VLOOKUP($H746,[5]CU!$C$5:$J$255,8,FALSE))</f>
        <v>3. Dépenses de fonctionnement</v>
      </c>
      <c r="W746" s="19" t="s">
        <v>708</v>
      </c>
      <c r="X746" s="19" t="s">
        <v>273</v>
      </c>
      <c r="Y746" s="19" t="s">
        <v>32</v>
      </c>
      <c r="Z746" s="19" t="str">
        <f>A746 &amp; "-" &amp; VLOOKUP(A746,[4]PROGRAMMES!$E$1:$F$7,2,FALSE)</f>
        <v>2-Qualité des enseignements et des apprentissages</v>
      </c>
      <c r="AA746" s="19" t="str">
        <f>B746 &amp; "-" &amp; VLOOKUP(B746,[4]SOUSPROGRAMMES!$E$1:$F$44,2,FALSE)</f>
        <v xml:space="preserve">25- Conditions d’apprentissage améliorées </v>
      </c>
      <c r="AB746" s="19" t="str">
        <f>C746 &amp; "-" &amp; VLOOKUP(C746,[4]RESULTATS!$E$1:$F$176,2,FALSE)</f>
        <v>253- Les élèves du primaire et du secondaire disposent des manuels des matières fondamentales en quantité suffisante.</v>
      </c>
      <c r="AC746" s="20" t="str">
        <f>D746 &amp; "-" &amp; VLOOKUP(D746,[4]STRATEGIES!$E$1:$F$504,2,FALSE)</f>
        <v>2533-Organisation des audits sur la gestion des manuels</v>
      </c>
      <c r="AD746" s="21" t="str">
        <f t="shared" si="148"/>
        <v>25332-Mise en place de mécanismes de suivi de la gestion des manuels et développement des outils appropriés sur la base des recommandations de l'audit</v>
      </c>
    </row>
    <row r="747" spans="1:30" ht="60" hidden="1" customHeight="1" x14ac:dyDescent="0.8">
      <c r="A747" s="25">
        <v>2</v>
      </c>
      <c r="B747" s="16">
        <v>25</v>
      </c>
      <c r="C747" s="16">
        <v>253</v>
      </c>
      <c r="D747" s="16">
        <v>2533</v>
      </c>
      <c r="E747" s="16">
        <v>25333</v>
      </c>
      <c r="F747" s="16" t="s">
        <v>913</v>
      </c>
      <c r="G747" s="21" t="s">
        <v>58</v>
      </c>
      <c r="H747" s="21" t="s">
        <v>59</v>
      </c>
      <c r="I747" s="36">
        <v>0</v>
      </c>
      <c r="J747" s="36"/>
      <c r="K747" s="36">
        <f>10*4*8</f>
        <v>320</v>
      </c>
      <c r="L747" s="36">
        <f>10*4*8*2</f>
        <v>640</v>
      </c>
      <c r="M747" s="36">
        <f t="shared" si="150"/>
        <v>960</v>
      </c>
      <c r="N747" s="36">
        <f>IF(OR(H747="",H747="sif",H747="PM"),0,VLOOKUP(H747,[5]CU!$C$4:$H$255,6,FALSE))</f>
        <v>0.8177777777777776</v>
      </c>
      <c r="O747" s="36">
        <f t="shared" si="147"/>
        <v>0</v>
      </c>
      <c r="P747" s="36">
        <f t="shared" si="147"/>
        <v>0</v>
      </c>
      <c r="Q747" s="36">
        <f t="shared" si="147"/>
        <v>261.68888888888881</v>
      </c>
      <c r="R747" s="36">
        <f t="shared" si="147"/>
        <v>523.37777777777762</v>
      </c>
      <c r="S747" s="37">
        <f>SUM(O747:R747)</f>
        <v>785.06666666666638</v>
      </c>
      <c r="T747" s="38" t="s">
        <v>169</v>
      </c>
      <c r="U747" s="19" t="s">
        <v>647</v>
      </c>
      <c r="V747" s="19" t="str">
        <f>IF(OR($H747="",$H747="sif",$H747="PM"),"",VLOOKUP($H747,[5]CU!$C$5:$J$255,8,FALSE))</f>
        <v>3. Dépenses de fonctionnement</v>
      </c>
      <c r="W747" s="19" t="s">
        <v>273</v>
      </c>
      <c r="X747" s="19" t="s">
        <v>273</v>
      </c>
      <c r="Y747" s="19" t="s">
        <v>32</v>
      </c>
      <c r="Z747" s="19" t="str">
        <f>A747 &amp; "-" &amp; VLOOKUP(A747,[4]PROGRAMMES!$E$1:$F$7,2,FALSE)</f>
        <v>2-Qualité des enseignements et des apprentissages</v>
      </c>
      <c r="AA747" s="19" t="str">
        <f>B747 &amp; "-" &amp; VLOOKUP(B747,[4]SOUSPROGRAMMES!$E$1:$F$44,2,FALSE)</f>
        <v xml:space="preserve">25- Conditions d’apprentissage améliorées </v>
      </c>
      <c r="AB747" s="19" t="str">
        <f>C747 &amp; "-" &amp; VLOOKUP(C747,[4]RESULTATS!$E$1:$F$176,2,FALSE)</f>
        <v>253- Les élèves du primaire et du secondaire disposent des manuels des matières fondamentales en quantité suffisante.</v>
      </c>
      <c r="AC747" s="20" t="str">
        <f>D747 &amp; "-" &amp; VLOOKUP(D747,[4]STRATEGIES!$E$1:$F$504,2,FALSE)</f>
        <v>2533-Organisation des audits sur la gestion des manuels</v>
      </c>
      <c r="AD747" s="21" t="str">
        <f t="shared" si="148"/>
        <v>25333-Organisation de missions régulières de suivi de la mise en œuvre des textes organisant la gestion et la conservation</v>
      </c>
    </row>
    <row r="748" spans="1:30" ht="60" hidden="1" customHeight="1" x14ac:dyDescent="0.8">
      <c r="A748" s="25">
        <v>2</v>
      </c>
      <c r="B748" s="16">
        <v>25</v>
      </c>
      <c r="C748" s="16">
        <v>253</v>
      </c>
      <c r="D748" s="16">
        <v>2533</v>
      </c>
      <c r="E748" s="16">
        <v>25334</v>
      </c>
      <c r="F748" s="16" t="s">
        <v>914</v>
      </c>
      <c r="G748" s="21" t="s">
        <v>298</v>
      </c>
      <c r="H748" s="21" t="s">
        <v>38</v>
      </c>
      <c r="I748" s="36">
        <v>0</v>
      </c>
      <c r="J748" s="36"/>
      <c r="K748" s="36">
        <f>20*1</f>
        <v>20</v>
      </c>
      <c r="L748" s="36">
        <f>90*1*2</f>
        <v>180</v>
      </c>
      <c r="M748" s="36">
        <f t="shared" si="150"/>
        <v>200</v>
      </c>
      <c r="N748" s="36">
        <f>IF(OR(H748="",H748="sif",H748="PM"),0,VLOOKUP(H748,[5]CU!$C$4:$H$255,6,FALSE))</f>
        <v>0.3133333333333333</v>
      </c>
      <c r="O748" s="36">
        <f t="shared" si="147"/>
        <v>0</v>
      </c>
      <c r="P748" s="36">
        <f t="shared" si="147"/>
        <v>0</v>
      </c>
      <c r="Q748" s="36">
        <f t="shared" si="147"/>
        <v>6.2666666666666657</v>
      </c>
      <c r="R748" s="36">
        <f t="shared" si="147"/>
        <v>56.399999999999991</v>
      </c>
      <c r="S748" s="37">
        <f>SUM(O748:R748)</f>
        <v>62.666666666666657</v>
      </c>
      <c r="T748" s="38" t="s">
        <v>169</v>
      </c>
      <c r="U748" s="19" t="s">
        <v>647</v>
      </c>
      <c r="V748" s="19" t="str">
        <f>IF(OR($H748="",$H748="sif",$H748="PM"),"",VLOOKUP($H748,[5]CU!$C$5:$J$255,8,FALSE))</f>
        <v>3. Formation</v>
      </c>
      <c r="W748" s="19" t="s">
        <v>273</v>
      </c>
      <c r="X748" s="19" t="s">
        <v>273</v>
      </c>
      <c r="Y748" s="19" t="s">
        <v>32</v>
      </c>
      <c r="Z748" s="19" t="str">
        <f>A748 &amp; "-" &amp; VLOOKUP(A748,[4]PROGRAMMES!$E$1:$F$7,2,FALSE)</f>
        <v>2-Qualité des enseignements et des apprentissages</v>
      </c>
      <c r="AA748" s="19" t="str">
        <f>B748 &amp; "-" &amp; VLOOKUP(B748,[4]SOUSPROGRAMMES!$E$1:$F$44,2,FALSE)</f>
        <v xml:space="preserve">25- Conditions d’apprentissage améliorées </v>
      </c>
      <c r="AB748" s="19" t="str">
        <f>C748 &amp; "-" &amp; VLOOKUP(C748,[4]RESULTATS!$E$1:$F$176,2,FALSE)</f>
        <v>253- Les élèves du primaire et du secondaire disposent des manuels des matières fondamentales en quantité suffisante.</v>
      </c>
      <c r="AC748" s="20" t="str">
        <f>D748 &amp; "-" &amp; VLOOKUP(D748,[4]STRATEGIES!$E$1:$F$504,2,FALSE)</f>
        <v>2533-Organisation des audits sur la gestion des manuels</v>
      </c>
      <c r="AD748" s="21" t="str">
        <f t="shared" si="148"/>
        <v>25334-Partage et diffusion des résultats du suivi</v>
      </c>
    </row>
    <row r="749" spans="1:30" s="22" customFormat="1" ht="60" hidden="1" customHeight="1" x14ac:dyDescent="0.8">
      <c r="A749" s="14">
        <v>2</v>
      </c>
      <c r="B749" s="15">
        <v>25</v>
      </c>
      <c r="C749" s="15">
        <v>253</v>
      </c>
      <c r="D749" s="15">
        <v>2533</v>
      </c>
      <c r="E749" s="15">
        <v>25335</v>
      </c>
      <c r="F749" s="16" t="s">
        <v>915</v>
      </c>
      <c r="G749" s="21" t="s">
        <v>916</v>
      </c>
      <c r="H749" s="17" t="s">
        <v>55</v>
      </c>
      <c r="I749" s="33">
        <v>0</v>
      </c>
      <c r="J749" s="33"/>
      <c r="K749" s="33">
        <v>1</v>
      </c>
      <c r="L749" s="33">
        <v>1</v>
      </c>
      <c r="M749" s="33">
        <f t="shared" si="150"/>
        <v>2</v>
      </c>
      <c r="N749" s="33">
        <f>IF(OR(H749="",H749="sif",H749="PM"),0,VLOOKUP(H749,[5]CU!$C$4:$H$255,6,FALSE))</f>
        <v>0</v>
      </c>
      <c r="O749" s="33">
        <f t="shared" si="147"/>
        <v>0</v>
      </c>
      <c r="P749" s="33">
        <f t="shared" si="147"/>
        <v>0</v>
      </c>
      <c r="Q749" s="33">
        <f t="shared" si="147"/>
        <v>0</v>
      </c>
      <c r="R749" s="33">
        <f t="shared" si="147"/>
        <v>0</v>
      </c>
      <c r="S749" s="34"/>
      <c r="T749" s="35" t="s">
        <v>56</v>
      </c>
      <c r="U749" s="18" t="s">
        <v>647</v>
      </c>
      <c r="V749" s="18" t="str">
        <f>IF(OR($H749="",$H749="sif",$H749="PM"),"",VLOOKUP($H749,[5]CU!$C$5:$J$255,8,FALSE))</f>
        <v/>
      </c>
      <c r="W749" s="18" t="s">
        <v>273</v>
      </c>
      <c r="X749" s="18" t="s">
        <v>273</v>
      </c>
      <c r="Y749" s="19" t="s">
        <v>32</v>
      </c>
      <c r="Z749" s="18" t="str">
        <f>A749 &amp; "-" &amp; VLOOKUP(A749,[4]PROGRAMMES!$E$1:$F$7,2,FALSE)</f>
        <v>2-Qualité des enseignements et des apprentissages</v>
      </c>
      <c r="AA749" s="19" t="str">
        <f>B749 &amp; "-" &amp; VLOOKUP(B749,[4]SOUSPROGRAMMES!$E$1:$F$44,2,FALSE)</f>
        <v xml:space="preserve">25- Conditions d’apprentissage améliorées </v>
      </c>
      <c r="AB749" s="19" t="str">
        <f>C749 &amp; "-" &amp; VLOOKUP(C749,[4]RESULTATS!$E$1:$F$176,2,FALSE)</f>
        <v>253- Les élèves du primaire et du secondaire disposent des manuels des matières fondamentales en quantité suffisante.</v>
      </c>
      <c r="AC749" s="20" t="str">
        <f>D749 &amp; "-" &amp; VLOOKUP(D749,[4]STRATEGIES!$E$1:$F$504,2,FALSE)</f>
        <v>2533-Organisation des audits sur la gestion des manuels</v>
      </c>
      <c r="AD749" s="21" t="str">
        <f t="shared" si="148"/>
        <v>25335-Mise en place des remédiations préconisées par la mission de suivi</v>
      </c>
    </row>
    <row r="750" spans="1:30" s="22" customFormat="1" ht="30" hidden="1" customHeight="1" x14ac:dyDescent="0.8">
      <c r="A750" s="14">
        <v>2</v>
      </c>
      <c r="B750" s="15">
        <v>25</v>
      </c>
      <c r="C750" s="15">
        <v>254</v>
      </c>
      <c r="D750" s="15">
        <v>254</v>
      </c>
      <c r="E750" s="15">
        <v>254</v>
      </c>
      <c r="F750" s="16" t="s">
        <v>917</v>
      </c>
      <c r="G750" s="17"/>
      <c r="H750" s="17"/>
      <c r="I750" s="33">
        <v>0</v>
      </c>
      <c r="J750" s="33"/>
      <c r="K750" s="33"/>
      <c r="L750" s="33"/>
      <c r="M750" s="33"/>
      <c r="N750" s="33"/>
      <c r="O750" s="33"/>
      <c r="P750" s="33"/>
      <c r="Q750" s="33"/>
      <c r="R750" s="33"/>
      <c r="S750" s="34"/>
      <c r="T750" s="33"/>
      <c r="U750" s="18"/>
      <c r="V750" s="18"/>
      <c r="W750" s="18"/>
      <c r="X750" s="18"/>
      <c r="Y750" s="19" t="s">
        <v>32</v>
      </c>
      <c r="Z750" s="18" t="str">
        <f>A750 &amp; "-" &amp; VLOOKUP(A750,[4]PROGRAMMES!$E$1:$F$7,2,FALSE)</f>
        <v>2-Qualité des enseignements et des apprentissages</v>
      </c>
      <c r="AA750" s="19" t="str">
        <f>B750 &amp; "-" &amp; VLOOKUP(B750,[4]SOUSPROGRAMMES!$E$1:$F$44,2,FALSE)</f>
        <v xml:space="preserve">25- Conditions d’apprentissage améliorées </v>
      </c>
      <c r="AB750" s="19" t="str">
        <f>C750 &amp; "-" &amp; VLOOKUP(C750,[4]RESULTATS!$E$1:$F$176,2,FALSE)</f>
        <v>254- Les enseignants utilisent en classe les matériels didactiques et ludiques</v>
      </c>
      <c r="AC750" s="20" t="str">
        <f>D750 &amp; "-" &amp; VLOOKUP(D750,[4]STRATEGIES!$E$1:$F$504,2,FALSE)</f>
        <v>254- Les enseignants utilisent en classe les matériels didactiques et ludiques</v>
      </c>
      <c r="AD750" s="21" t="str">
        <f t="shared" si="148"/>
        <v>254- Les enseignants utilisent en classe les matériels didactiques et ludiques</v>
      </c>
    </row>
    <row r="751" spans="1:30" s="22" customFormat="1" ht="30" hidden="1" customHeight="1" x14ac:dyDescent="0.8">
      <c r="A751" s="14">
        <v>2</v>
      </c>
      <c r="B751" s="15">
        <v>25</v>
      </c>
      <c r="C751" s="15">
        <v>254</v>
      </c>
      <c r="D751" s="15">
        <v>2541</v>
      </c>
      <c r="E751" s="15">
        <v>2541</v>
      </c>
      <c r="F751" s="16" t="s">
        <v>918</v>
      </c>
      <c r="G751" s="17"/>
      <c r="H751" s="17"/>
      <c r="I751" s="33">
        <v>0</v>
      </c>
      <c r="J751" s="33"/>
      <c r="K751" s="33"/>
      <c r="L751" s="33"/>
      <c r="M751" s="33"/>
      <c r="N751" s="33"/>
      <c r="O751" s="33"/>
      <c r="P751" s="33"/>
      <c r="Q751" s="33"/>
      <c r="R751" s="33"/>
      <c r="S751" s="34"/>
      <c r="T751" s="33"/>
      <c r="U751" s="18"/>
      <c r="V751" s="18"/>
      <c r="W751" s="18"/>
      <c r="X751" s="18"/>
      <c r="Y751" s="19" t="s">
        <v>32</v>
      </c>
      <c r="Z751" s="18" t="str">
        <f>A751 &amp; "-" &amp; VLOOKUP(A751,[4]PROGRAMMES!$E$1:$F$7,2,FALSE)</f>
        <v>2-Qualité des enseignements et des apprentissages</v>
      </c>
      <c r="AA751" s="19" t="str">
        <f>B751 &amp; "-" &amp; VLOOKUP(B751,[4]SOUSPROGRAMMES!$E$1:$F$44,2,FALSE)</f>
        <v xml:space="preserve">25- Conditions d’apprentissage améliorées </v>
      </c>
      <c r="AB751" s="19" t="str">
        <f>C751 &amp; "-" &amp; VLOOKUP(C751,[4]RESULTATS!$E$1:$F$176,2,FALSE)</f>
        <v>254- Les enseignants utilisent en classe les matériels didactiques et ludiques</v>
      </c>
      <c r="AC751" s="20" t="str">
        <f>D751 &amp; "-" &amp; VLOOKUP(D751,[4]STRATEGIES!$E$1:$F$504,2,FALSE)</f>
        <v>2541-Formation des personnes pour le développement des matériels didactiques et ludiques</v>
      </c>
      <c r="AD751" s="21" t="str">
        <f t="shared" si="148"/>
        <v>2541-Formation des personnes pour le développement des matériels didactiques et ludiques</v>
      </c>
    </row>
    <row r="752" spans="1:30" s="22" customFormat="1" ht="30" hidden="1" customHeight="1" x14ac:dyDescent="0.8">
      <c r="A752" s="14">
        <v>2</v>
      </c>
      <c r="B752" s="15">
        <v>25</v>
      </c>
      <c r="C752" s="15">
        <v>254</v>
      </c>
      <c r="D752" s="15">
        <v>2541</v>
      </c>
      <c r="E752" s="15">
        <v>25411</v>
      </c>
      <c r="F752" s="16" t="s">
        <v>919</v>
      </c>
      <c r="G752" s="21" t="s">
        <v>651</v>
      </c>
      <c r="H752" s="17" t="s">
        <v>55</v>
      </c>
      <c r="I752" s="33">
        <v>0</v>
      </c>
      <c r="J752" s="33">
        <v>1</v>
      </c>
      <c r="K752" s="33">
        <v>1</v>
      </c>
      <c r="L752" s="33">
        <v>1</v>
      </c>
      <c r="M752" s="33">
        <f t="shared" si="150"/>
        <v>3</v>
      </c>
      <c r="N752" s="33">
        <f>IF(OR(H752="",H752="sif",H752="PM"),0,VLOOKUP(H752,[5]CU!$C$4:$H$255,6,FALSE))</f>
        <v>0</v>
      </c>
      <c r="O752" s="33">
        <f t="shared" si="147"/>
        <v>0</v>
      </c>
      <c r="P752" s="33">
        <f t="shared" si="147"/>
        <v>0</v>
      </c>
      <c r="Q752" s="33">
        <f t="shared" si="147"/>
        <v>0</v>
      </c>
      <c r="R752" s="33">
        <f t="shared" si="147"/>
        <v>0</v>
      </c>
      <c r="S752" s="34"/>
      <c r="T752" s="35" t="s">
        <v>56</v>
      </c>
      <c r="U752" s="18" t="s">
        <v>647</v>
      </c>
      <c r="V752" s="18" t="str">
        <f>IF(OR($H752="",$H752="sif",$H752="PM"),"",VLOOKUP($H752,[5]CU!$C$5:$J$255,8,FALSE))</f>
        <v/>
      </c>
      <c r="W752" s="18" t="s">
        <v>255</v>
      </c>
      <c r="X752" s="18" t="s">
        <v>347</v>
      </c>
      <c r="Y752" s="19" t="s">
        <v>32</v>
      </c>
      <c r="Z752" s="18" t="str">
        <f>A752 &amp; "-" &amp; VLOOKUP(A752,[4]PROGRAMMES!$E$1:$F$7,2,FALSE)</f>
        <v>2-Qualité des enseignements et des apprentissages</v>
      </c>
      <c r="AA752" s="19" t="str">
        <f>B752 &amp; "-" &amp; VLOOKUP(B752,[4]SOUSPROGRAMMES!$E$1:$F$44,2,FALSE)</f>
        <v xml:space="preserve">25- Conditions d’apprentissage améliorées </v>
      </c>
      <c r="AB752" s="19" t="str">
        <f>C752 &amp; "-" &amp; VLOOKUP(C752,[4]RESULTATS!$E$1:$F$176,2,FALSE)</f>
        <v>254- Les enseignants utilisent en classe les matériels didactiques et ludiques</v>
      </c>
      <c r="AC752" s="20" t="str">
        <f>D752 &amp; "-" &amp; VLOOKUP(D752,[4]STRATEGIES!$E$1:$F$504,2,FALSE)</f>
        <v>2541-Formation des personnes pour le développement des matériels didactiques et ludiques</v>
      </c>
      <c r="AD752" s="21" t="str">
        <f t="shared" si="148"/>
        <v>25411-Identification des enseignants devant élaborer les matériels didactiques et ludiques</v>
      </c>
    </row>
    <row r="753" spans="1:30" s="22" customFormat="1" ht="30" hidden="1" customHeight="1" x14ac:dyDescent="0.8">
      <c r="A753" s="14">
        <v>2</v>
      </c>
      <c r="B753" s="15">
        <v>25</v>
      </c>
      <c r="C753" s="15">
        <v>254</v>
      </c>
      <c r="D753" s="15">
        <v>2541</v>
      </c>
      <c r="E753" s="15">
        <v>25412</v>
      </c>
      <c r="F753" s="16" t="s">
        <v>920</v>
      </c>
      <c r="G753" s="21" t="s">
        <v>100</v>
      </c>
      <c r="H753" s="17" t="s">
        <v>101</v>
      </c>
      <c r="I753" s="33">
        <v>0</v>
      </c>
      <c r="J753" s="33">
        <f>2*10</f>
        <v>20</v>
      </c>
      <c r="K753" s="33"/>
      <c r="L753" s="33"/>
      <c r="M753" s="33">
        <f t="shared" si="150"/>
        <v>20</v>
      </c>
      <c r="N753" s="33">
        <f>IF(OR(H753="",H753="sif",H753="PM"),0,VLOOKUP(H753,[5]CU!$C$4:$H$255,6,FALSE))</f>
        <v>2.651545</v>
      </c>
      <c r="O753" s="33">
        <f t="shared" si="147"/>
        <v>0</v>
      </c>
      <c r="P753" s="33">
        <f t="shared" si="147"/>
        <v>53.030900000000003</v>
      </c>
      <c r="Q753" s="33">
        <f t="shared" si="147"/>
        <v>0</v>
      </c>
      <c r="R753" s="33">
        <f t="shared" si="147"/>
        <v>0</v>
      </c>
      <c r="S753" s="34">
        <f t="shared" ref="S753:S763" si="153">SUM(O753:R753)</f>
        <v>53.030900000000003</v>
      </c>
      <c r="T753" s="35" t="s">
        <v>67</v>
      </c>
      <c r="U753" s="18" t="s">
        <v>647</v>
      </c>
      <c r="V753" s="18" t="str">
        <f>IF(OR($H753="",$H753="sif",$H753="PM"),"",VLOOKUP($H753,[5]CU!$C$5:$J$255,8,FALSE))</f>
        <v>3. Dépenses de fonctionnement</v>
      </c>
      <c r="W753" s="18" t="s">
        <v>347</v>
      </c>
      <c r="X753" s="18" t="s">
        <v>921</v>
      </c>
      <c r="Y753" s="19" t="s">
        <v>32</v>
      </c>
      <c r="Z753" s="18" t="str">
        <f>A753 &amp; "-" &amp; VLOOKUP(A753,[4]PROGRAMMES!$E$1:$F$7,2,FALSE)</f>
        <v>2-Qualité des enseignements et des apprentissages</v>
      </c>
      <c r="AA753" s="19" t="str">
        <f>B753 &amp; "-" &amp; VLOOKUP(B753,[4]SOUSPROGRAMMES!$E$1:$F$44,2,FALSE)</f>
        <v xml:space="preserve">25- Conditions d’apprentissage améliorées </v>
      </c>
      <c r="AB753" s="19" t="str">
        <f>C753 &amp; "-" &amp; VLOOKUP(C753,[4]RESULTATS!$E$1:$F$176,2,FALSE)</f>
        <v>254- Les enseignants utilisent en classe les matériels didactiques et ludiques</v>
      </c>
      <c r="AC753" s="20" t="str">
        <f>D753 &amp; "-" &amp; VLOOKUP(D753,[4]STRATEGIES!$E$1:$F$504,2,FALSE)</f>
        <v>2541-Formation des personnes pour le développement des matériels didactiques et ludiques</v>
      </c>
      <c r="AD753" s="21" t="str">
        <f t="shared" si="148"/>
        <v>25412-Appui au développement des modules de formation à la conception du matériel didactiques et ludiques</v>
      </c>
    </row>
    <row r="754" spans="1:30" s="22" customFormat="1" ht="45" hidden="1" customHeight="1" x14ac:dyDescent="0.8">
      <c r="A754" s="14">
        <v>2</v>
      </c>
      <c r="B754" s="15">
        <v>25</v>
      </c>
      <c r="C754" s="15">
        <v>254</v>
      </c>
      <c r="D754" s="15">
        <v>2541</v>
      </c>
      <c r="E754" s="15">
        <v>25413</v>
      </c>
      <c r="F754" s="16" t="s">
        <v>922</v>
      </c>
      <c r="G754" s="21" t="s">
        <v>37</v>
      </c>
      <c r="H754" s="17" t="s">
        <v>301</v>
      </c>
      <c r="I754" s="33">
        <v>0</v>
      </c>
      <c r="J754" s="33">
        <f>10*10</f>
        <v>100</v>
      </c>
      <c r="K754" s="33"/>
      <c r="L754" s="33"/>
      <c r="M754" s="33">
        <f t="shared" si="150"/>
        <v>100</v>
      </c>
      <c r="N754" s="33">
        <f>IF(OR(H754="",H754="sif",H754="PM"),0,VLOOKUP(H754,[5]CU!$C$4:$H$255,6,FALSE))</f>
        <v>0.67666666666666664</v>
      </c>
      <c r="O754" s="33">
        <f t="shared" si="147"/>
        <v>0</v>
      </c>
      <c r="P754" s="33">
        <f t="shared" si="147"/>
        <v>67.666666666666657</v>
      </c>
      <c r="Q754" s="33">
        <f t="shared" si="147"/>
        <v>0</v>
      </c>
      <c r="R754" s="33">
        <f t="shared" si="147"/>
        <v>0</v>
      </c>
      <c r="S754" s="34">
        <f t="shared" si="153"/>
        <v>67.666666666666657</v>
      </c>
      <c r="T754" s="35" t="s">
        <v>67</v>
      </c>
      <c r="U754" s="18" t="s">
        <v>647</v>
      </c>
      <c r="V754" s="18" t="str">
        <f>IF(OR($H754="",$H754="sif",$H754="PM"),"",VLOOKUP($H754,[5]CU!$C$5:$J$255,8,FALSE))</f>
        <v>3. Formation</v>
      </c>
      <c r="W754" s="18" t="s">
        <v>347</v>
      </c>
      <c r="X754" s="18" t="s">
        <v>921</v>
      </c>
      <c r="Y754" s="19" t="s">
        <v>32</v>
      </c>
      <c r="Z754" s="18" t="str">
        <f>A754 &amp; "-" &amp; VLOOKUP(A754,[4]PROGRAMMES!$E$1:$F$7,2,FALSE)</f>
        <v>2-Qualité des enseignements et des apprentissages</v>
      </c>
      <c r="AA754" s="19" t="str">
        <f>B754 &amp; "-" &amp; VLOOKUP(B754,[4]SOUSPROGRAMMES!$E$1:$F$44,2,FALSE)</f>
        <v xml:space="preserve">25- Conditions d’apprentissage améliorées </v>
      </c>
      <c r="AB754" s="19" t="str">
        <f>C754 &amp; "-" &amp; VLOOKUP(C754,[4]RESULTATS!$E$1:$F$176,2,FALSE)</f>
        <v>254- Les enseignants utilisent en classe les matériels didactiques et ludiques</v>
      </c>
      <c r="AC754" s="20" t="str">
        <f>D754 &amp; "-" &amp; VLOOKUP(D754,[4]STRATEGIES!$E$1:$F$504,2,FALSE)</f>
        <v>2541-Formation des personnes pour le développement des matériels didactiques et ludiques</v>
      </c>
      <c r="AD754" s="21" t="str">
        <f t="shared" si="148"/>
        <v>25413-Elaboration de modules sur la conception et la fabrication matériels didactiques avec l'appui de l'assistance technique (activité 25412)</v>
      </c>
    </row>
    <row r="755" spans="1:30" s="22" customFormat="1" ht="30" hidden="1" customHeight="1" x14ac:dyDescent="0.8">
      <c r="A755" s="14">
        <v>2</v>
      </c>
      <c r="B755" s="15">
        <v>25</v>
      </c>
      <c r="C755" s="15">
        <v>254</v>
      </c>
      <c r="D755" s="15">
        <v>2541</v>
      </c>
      <c r="E755" s="15">
        <v>25414</v>
      </c>
      <c r="F755" s="16" t="s">
        <v>923</v>
      </c>
      <c r="G755" s="21" t="s">
        <v>37</v>
      </c>
      <c r="H755" s="17" t="s">
        <v>301</v>
      </c>
      <c r="I755" s="33">
        <v>0</v>
      </c>
      <c r="J755" s="33">
        <f>10*10</f>
        <v>100</v>
      </c>
      <c r="K755" s="33"/>
      <c r="L755" s="33"/>
      <c r="M755" s="33">
        <f t="shared" si="150"/>
        <v>100</v>
      </c>
      <c r="N755" s="33">
        <f>IF(OR(H755="",H755="sif",H755="PM"),0,VLOOKUP(H755,[5]CU!$C$4:$H$255,6,FALSE))</f>
        <v>0.67666666666666664</v>
      </c>
      <c r="O755" s="33">
        <f t="shared" si="147"/>
        <v>0</v>
      </c>
      <c r="P755" s="33">
        <f t="shared" si="147"/>
        <v>67.666666666666657</v>
      </c>
      <c r="Q755" s="33">
        <f t="shared" si="147"/>
        <v>0</v>
      </c>
      <c r="R755" s="33">
        <f t="shared" si="147"/>
        <v>0</v>
      </c>
      <c r="S755" s="34">
        <f t="shared" si="153"/>
        <v>67.666666666666657</v>
      </c>
      <c r="T755" s="35" t="s">
        <v>67</v>
      </c>
      <c r="U755" s="18" t="s">
        <v>647</v>
      </c>
      <c r="V755" s="18" t="str">
        <f>IF(OR($H755="",$H755="sif",$H755="PM"),"",VLOOKUP($H755,[5]CU!$C$5:$J$255,8,FALSE))</f>
        <v>3. Formation</v>
      </c>
      <c r="W755" s="18" t="s">
        <v>347</v>
      </c>
      <c r="X755" s="18" t="s">
        <v>921</v>
      </c>
      <c r="Y755" s="19" t="s">
        <v>32</v>
      </c>
      <c r="Z755" s="18" t="str">
        <f>A755 &amp; "-" &amp; VLOOKUP(A755,[4]PROGRAMMES!$E$1:$F$7,2,FALSE)</f>
        <v>2-Qualité des enseignements et des apprentissages</v>
      </c>
      <c r="AA755" s="19" t="str">
        <f>B755 &amp; "-" &amp; VLOOKUP(B755,[4]SOUSPROGRAMMES!$E$1:$F$44,2,FALSE)</f>
        <v xml:space="preserve">25- Conditions d’apprentissage améliorées </v>
      </c>
      <c r="AB755" s="19" t="str">
        <f>C755 &amp; "-" &amp; VLOOKUP(C755,[4]RESULTATS!$E$1:$F$176,2,FALSE)</f>
        <v>254- Les enseignants utilisent en classe les matériels didactiques et ludiques</v>
      </c>
      <c r="AC755" s="20" t="str">
        <f>D755 &amp; "-" &amp; VLOOKUP(D755,[4]STRATEGIES!$E$1:$F$504,2,FALSE)</f>
        <v>2541-Formation des personnes pour le développement des matériels didactiques et ludiques</v>
      </c>
      <c r="AD755" s="21" t="str">
        <f t="shared" si="148"/>
        <v>25414-Elaboration de modules sur la fabrication matériels ludiques avec l'appui de l'assistance technique (activité 25412)</v>
      </c>
    </row>
    <row r="756" spans="1:30" s="22" customFormat="1" ht="30" hidden="1" customHeight="1" x14ac:dyDescent="0.8">
      <c r="A756" s="14">
        <v>2</v>
      </c>
      <c r="B756" s="15">
        <v>25</v>
      </c>
      <c r="C756" s="15">
        <v>254</v>
      </c>
      <c r="D756" s="15">
        <v>2541</v>
      </c>
      <c r="E756" s="15">
        <v>25415</v>
      </c>
      <c r="F756" s="16" t="s">
        <v>924</v>
      </c>
      <c r="G756" s="21" t="s">
        <v>37</v>
      </c>
      <c r="H756" s="17" t="s">
        <v>38</v>
      </c>
      <c r="I756" s="33">
        <v>0</v>
      </c>
      <c r="J756" s="33"/>
      <c r="K756" s="33">
        <f>((427*20%)*5)*50%</f>
        <v>213.5</v>
      </c>
      <c r="L756" s="33">
        <f>((427*20%)*5)*50%</f>
        <v>213.5</v>
      </c>
      <c r="M756" s="33">
        <f>SUM(I756:L756)</f>
        <v>427</v>
      </c>
      <c r="N756" s="33">
        <f>IF(OR(H756="",H756="sif",H756="PM"),0,VLOOKUP(H756,[5]CU!$C$4:$H$255,6,FALSE))</f>
        <v>0.3133333333333333</v>
      </c>
      <c r="O756" s="33">
        <f>IFERROR($N756*I756,0)</f>
        <v>0</v>
      </c>
      <c r="P756" s="33">
        <f>IFERROR($N756*J756,0)</f>
        <v>0</v>
      </c>
      <c r="Q756" s="33">
        <f>IFERROR($N756*K756,0)</f>
        <v>66.896666666666661</v>
      </c>
      <c r="R756" s="33">
        <f>IFERROR($N756*L756,0)</f>
        <v>66.896666666666661</v>
      </c>
      <c r="S756" s="34">
        <f>SUM(O756:R756)</f>
        <v>133.79333333333332</v>
      </c>
      <c r="T756" s="35" t="s">
        <v>39</v>
      </c>
      <c r="U756" s="19" t="s">
        <v>647</v>
      </c>
      <c r="V756" s="19" t="str">
        <f>IF(OR($H756="",$H756="sif",$H756="PM"),"",VLOOKUP($H756,[5]CU!$C$5:$J$255,8,FALSE))</f>
        <v>3. Formation</v>
      </c>
      <c r="W756" s="19" t="s">
        <v>708</v>
      </c>
      <c r="X756" s="19" t="s">
        <v>347</v>
      </c>
      <c r="Y756" s="19" t="s">
        <v>32</v>
      </c>
      <c r="Z756" s="18" t="str">
        <f>A756 &amp; "-" &amp; VLOOKUP(A756,[4]PROGRAMMES!$E$1:$F$7,2,FALSE)</f>
        <v>2-Qualité des enseignements et des apprentissages</v>
      </c>
      <c r="AA756" s="19" t="str">
        <f>B756 &amp; "-" &amp; VLOOKUP(B756,[4]SOUSPROGRAMMES!$E$1:$F$44,2,FALSE)</f>
        <v xml:space="preserve">25- Conditions d’apprentissage améliorées </v>
      </c>
      <c r="AB756" s="19" t="str">
        <f>C756 &amp; "-" &amp; VLOOKUP(C756,[4]RESULTATS!$E$1:$F$176,2,FALSE)</f>
        <v>254- Les enseignants utilisent en classe les matériels didactiques et ludiques</v>
      </c>
      <c r="AC756" s="20" t="str">
        <f>D756 &amp; "-" &amp; VLOOKUP(D756,[4]STRATEGIES!$E$1:$F$504,2,FALSE)</f>
        <v>2541-Formation des personnes pour le développement des matériels didactiques et ludiques</v>
      </c>
      <c r="AD756" s="21" t="str">
        <f t="shared" si="148"/>
        <v>25415-Formation des formateurs des éducateurs au développement de matériels ludiques (niveau DSEE)</v>
      </c>
    </row>
    <row r="757" spans="1:30" s="22" customFormat="1" ht="30" hidden="1" customHeight="1" x14ac:dyDescent="0.8">
      <c r="A757" s="14">
        <v>2</v>
      </c>
      <c r="B757" s="15">
        <v>25</v>
      </c>
      <c r="C757" s="15">
        <v>254</v>
      </c>
      <c r="D757" s="15">
        <v>2541</v>
      </c>
      <c r="E757" s="15">
        <v>25415</v>
      </c>
      <c r="F757" s="16" t="s">
        <v>924</v>
      </c>
      <c r="G757" s="21" t="s">
        <v>37</v>
      </c>
      <c r="H757" s="17" t="s">
        <v>38</v>
      </c>
      <c r="I757" s="33">
        <v>0</v>
      </c>
      <c r="J757" s="33"/>
      <c r="K757" s="33">
        <f>((427*20%)*5)*50%</f>
        <v>213.5</v>
      </c>
      <c r="L757" s="33">
        <f>((427*20%)*5)*50%</f>
        <v>213.5</v>
      </c>
      <c r="M757" s="33">
        <f t="shared" si="150"/>
        <v>427</v>
      </c>
      <c r="N757" s="33">
        <f>IF(OR(H757="",H757="sif",H757="PM"),0,VLOOKUP(H757,[5]CU!$C$4:$H$255,6,FALSE))</f>
        <v>0.3133333333333333</v>
      </c>
      <c r="O757" s="33">
        <f t="shared" ref="O757:R800" si="154">IFERROR($N757*I757,0)</f>
        <v>0</v>
      </c>
      <c r="P757" s="33">
        <f t="shared" si="154"/>
        <v>0</v>
      </c>
      <c r="Q757" s="33">
        <f t="shared" si="154"/>
        <v>66.896666666666661</v>
      </c>
      <c r="R757" s="33">
        <f t="shared" si="154"/>
        <v>66.896666666666661</v>
      </c>
      <c r="S757" s="34">
        <f t="shared" si="153"/>
        <v>133.79333333333332</v>
      </c>
      <c r="T757" s="35" t="s">
        <v>39</v>
      </c>
      <c r="U757" s="19" t="s">
        <v>647</v>
      </c>
      <c r="V757" s="19" t="str">
        <f>IF(OR($H757="",$H757="sif",$H757="PM"),"",VLOOKUP($H757,[5]CU!$C$5:$J$255,8,FALSE))</f>
        <v>3. Formation</v>
      </c>
      <c r="W757" s="19" t="s">
        <v>708</v>
      </c>
      <c r="X757" s="19" t="s">
        <v>347</v>
      </c>
      <c r="Y757" s="19" t="s">
        <v>32</v>
      </c>
      <c r="Z757" s="18" t="str">
        <f>A757 &amp; "-" &amp; VLOOKUP(A757,[4]PROGRAMMES!$E$1:$F$7,2,FALSE)</f>
        <v>2-Qualité des enseignements et des apprentissages</v>
      </c>
      <c r="AA757" s="19" t="str">
        <f>B757 &amp; "-" &amp; VLOOKUP(B757,[4]SOUSPROGRAMMES!$E$1:$F$44,2,FALSE)</f>
        <v xml:space="preserve">25- Conditions d’apprentissage améliorées </v>
      </c>
      <c r="AB757" s="19" t="str">
        <f>C757 &amp; "-" &amp; VLOOKUP(C757,[4]RESULTATS!$E$1:$F$176,2,FALSE)</f>
        <v>254- Les enseignants utilisent en classe les matériels didactiques et ludiques</v>
      </c>
      <c r="AC757" s="20" t="str">
        <f>D757 &amp; "-" &amp; VLOOKUP(D757,[4]STRATEGIES!$E$1:$F$504,2,FALSE)</f>
        <v>2541-Formation des personnes pour le développement des matériels didactiques et ludiques</v>
      </c>
      <c r="AD757" s="21" t="str">
        <f t="shared" si="148"/>
        <v>25415-Formation des formateurs des éducateurs au développement de matériels ludiques (niveau DSEE)</v>
      </c>
    </row>
    <row r="758" spans="1:30" s="22" customFormat="1" ht="30" hidden="1" customHeight="1" x14ac:dyDescent="0.8">
      <c r="A758" s="14">
        <v>2</v>
      </c>
      <c r="B758" s="15">
        <v>25</v>
      </c>
      <c r="C758" s="15">
        <v>254</v>
      </c>
      <c r="D758" s="15">
        <v>2541</v>
      </c>
      <c r="E758" s="15">
        <v>25416</v>
      </c>
      <c r="F758" s="16" t="s">
        <v>925</v>
      </c>
      <c r="G758" s="21" t="s">
        <v>37</v>
      </c>
      <c r="H758" s="17" t="s">
        <v>66</v>
      </c>
      <c r="I758" s="33">
        <v>0</v>
      </c>
      <c r="J758" s="33"/>
      <c r="K758" s="33">
        <f>10*3</f>
        <v>30</v>
      </c>
      <c r="L758" s="33"/>
      <c r="M758" s="33">
        <f t="shared" si="150"/>
        <v>30</v>
      </c>
      <c r="N758" s="33">
        <f>IF(OR(H758="",H758="sif",H758="PM"),0,VLOOKUP(H758,[5]CU!$C$4:$H$255,6,FALSE))</f>
        <v>0.255</v>
      </c>
      <c r="O758" s="33">
        <f t="shared" si="154"/>
        <v>0</v>
      </c>
      <c r="P758" s="33">
        <f t="shared" si="154"/>
        <v>0</v>
      </c>
      <c r="Q758" s="33">
        <f t="shared" si="154"/>
        <v>7.65</v>
      </c>
      <c r="R758" s="33">
        <f t="shared" si="154"/>
        <v>0</v>
      </c>
      <c r="S758" s="34">
        <f t="shared" si="153"/>
        <v>7.65</v>
      </c>
      <c r="T758" s="35" t="s">
        <v>67</v>
      </c>
      <c r="U758" s="18" t="s">
        <v>647</v>
      </c>
      <c r="V758" s="18" t="str">
        <f>IF(OR($H758="",$H758="sif",$H758="PM"),"",VLOOKUP($H758,[5]CU!$C$5:$J$255,8,FALSE))</f>
        <v>3. Dépenses de fonctionnement</v>
      </c>
      <c r="W758" s="18" t="s">
        <v>708</v>
      </c>
      <c r="X758" s="18" t="s">
        <v>347</v>
      </c>
      <c r="Y758" s="19" t="s">
        <v>32</v>
      </c>
      <c r="Z758" s="18" t="str">
        <f>A758 &amp; "-" &amp; VLOOKUP(A758,[4]PROGRAMMES!$E$1:$F$7,2,FALSE)</f>
        <v>2-Qualité des enseignements et des apprentissages</v>
      </c>
      <c r="AA758" s="19" t="str">
        <f>B758 &amp; "-" &amp; VLOOKUP(B758,[4]SOUSPROGRAMMES!$E$1:$F$44,2,FALSE)</f>
        <v xml:space="preserve">25- Conditions d’apprentissage améliorées </v>
      </c>
      <c r="AB758" s="19" t="str">
        <f>C758 &amp; "-" &amp; VLOOKUP(C758,[4]RESULTATS!$E$1:$F$176,2,FALSE)</f>
        <v>254- Les enseignants utilisent en classe les matériels didactiques et ludiques</v>
      </c>
      <c r="AC758" s="20" t="str">
        <f>D758 &amp; "-" &amp; VLOOKUP(D758,[4]STRATEGIES!$E$1:$F$504,2,FALSE)</f>
        <v>2541-Formation des personnes pour le développement des matériels didactiques et ludiques</v>
      </c>
      <c r="AD758" s="21" t="str">
        <f t="shared" si="148"/>
        <v>25416-Conception des outils de suivi des enseignants à l'utilisation des matériels didactiques et ludiques</v>
      </c>
    </row>
    <row r="759" spans="1:30" s="22" customFormat="1" ht="30" hidden="1" customHeight="1" x14ac:dyDescent="0.8">
      <c r="A759" s="14">
        <v>2</v>
      </c>
      <c r="B759" s="15">
        <v>25</v>
      </c>
      <c r="C759" s="15">
        <v>254</v>
      </c>
      <c r="D759" s="15">
        <v>2541</v>
      </c>
      <c r="E759" s="15">
        <v>25417</v>
      </c>
      <c r="F759" s="16" t="s">
        <v>926</v>
      </c>
      <c r="G759" s="21" t="s">
        <v>436</v>
      </c>
      <c r="H759" s="17" t="s">
        <v>301</v>
      </c>
      <c r="I759" s="33">
        <v>0</v>
      </c>
      <c r="J759" s="33"/>
      <c r="K759" s="33">
        <f>(10*10*8)*50%</f>
        <v>400</v>
      </c>
      <c r="L759" s="33"/>
      <c r="M759" s="33">
        <f>SUM(I759:L759)</f>
        <v>400</v>
      </c>
      <c r="N759" s="33">
        <f>IF(OR(H759="",H759="sif",H759="PM"),0,VLOOKUP(H759,[5]CU!$C$4:$H$255,6,FALSE))</f>
        <v>0.67666666666666664</v>
      </c>
      <c r="O759" s="33">
        <f>IFERROR($N759*I759,0)</f>
        <v>0</v>
      </c>
      <c r="P759" s="33">
        <f>IFERROR($N759*J759,0)</f>
        <v>0</v>
      </c>
      <c r="Q759" s="33">
        <f>IFERROR($N759*K759,0)</f>
        <v>270.66666666666663</v>
      </c>
      <c r="R759" s="33">
        <f>IFERROR($N759*L759,0)</f>
        <v>0</v>
      </c>
      <c r="S759" s="34">
        <f>SUM(O759:R759)</f>
        <v>270.66666666666663</v>
      </c>
      <c r="T759" s="35" t="s">
        <v>67</v>
      </c>
      <c r="U759" s="19" t="s">
        <v>647</v>
      </c>
      <c r="V759" s="19" t="str">
        <f>IF(OR($H759="",$H759="sif",$H759="PM"),"",VLOOKUP($H759,[5]CU!$C$5:$J$255,8,FALSE))</f>
        <v>3. Formation</v>
      </c>
      <c r="W759" s="19" t="s">
        <v>708</v>
      </c>
      <c r="X759" s="19" t="s">
        <v>347</v>
      </c>
      <c r="Y759" s="19" t="s">
        <v>32</v>
      </c>
      <c r="Z759" s="18" t="str">
        <f>A759 &amp; "-" &amp; VLOOKUP(A759,[4]PROGRAMMES!$E$1:$F$7,2,FALSE)</f>
        <v>2-Qualité des enseignements et des apprentissages</v>
      </c>
      <c r="AA759" s="19" t="str">
        <f>B759 &amp; "-" &amp; VLOOKUP(B759,[4]SOUSPROGRAMMES!$E$1:$F$44,2,FALSE)</f>
        <v xml:space="preserve">25- Conditions d’apprentissage améliorées </v>
      </c>
      <c r="AB759" s="19" t="str">
        <f>C759 &amp; "-" &amp; VLOOKUP(C759,[4]RESULTATS!$E$1:$F$176,2,FALSE)</f>
        <v>254- Les enseignants utilisent en classe les matériels didactiques et ludiques</v>
      </c>
      <c r="AC759" s="20" t="str">
        <f>D759 &amp; "-" &amp; VLOOKUP(D759,[4]STRATEGIES!$E$1:$F$504,2,FALSE)</f>
        <v>2541-Formation des personnes pour le développement des matériels didactiques et ludiques</v>
      </c>
      <c r="AD759" s="21" t="str">
        <f t="shared" si="148"/>
        <v>25417-Formation du noyau des formateurs à la production du matériel didactique</v>
      </c>
    </row>
    <row r="760" spans="1:30" s="22" customFormat="1" ht="30" hidden="1" customHeight="1" x14ac:dyDescent="0.8">
      <c r="A760" s="14">
        <v>2</v>
      </c>
      <c r="B760" s="15">
        <v>25</v>
      </c>
      <c r="C760" s="15">
        <v>254</v>
      </c>
      <c r="D760" s="15">
        <v>2541</v>
      </c>
      <c r="E760" s="15">
        <v>25417</v>
      </c>
      <c r="F760" s="16" t="s">
        <v>926</v>
      </c>
      <c r="G760" s="21" t="s">
        <v>436</v>
      </c>
      <c r="H760" s="17" t="s">
        <v>301</v>
      </c>
      <c r="I760" s="33">
        <v>0</v>
      </c>
      <c r="J760" s="33"/>
      <c r="K760" s="33">
        <f>(10*10*8)*50%</f>
        <v>400</v>
      </c>
      <c r="L760" s="33"/>
      <c r="M760" s="33">
        <f t="shared" si="150"/>
        <v>400</v>
      </c>
      <c r="N760" s="33">
        <f>IF(OR(H760="",H760="sif",H760="PM"),0,VLOOKUP(H760,[5]CU!$C$4:$H$255,6,FALSE))</f>
        <v>0.67666666666666664</v>
      </c>
      <c r="O760" s="33">
        <f t="shared" si="154"/>
        <v>0</v>
      </c>
      <c r="P760" s="33">
        <f t="shared" si="154"/>
        <v>0</v>
      </c>
      <c r="Q760" s="33">
        <f t="shared" si="154"/>
        <v>270.66666666666663</v>
      </c>
      <c r="R760" s="33">
        <f t="shared" si="154"/>
        <v>0</v>
      </c>
      <c r="S760" s="34">
        <f t="shared" si="153"/>
        <v>270.66666666666663</v>
      </c>
      <c r="T760" s="35" t="s">
        <v>39</v>
      </c>
      <c r="U760" s="19" t="s">
        <v>647</v>
      </c>
      <c r="V760" s="19" t="str">
        <f>IF(OR($H760="",$H760="sif",$H760="PM"),"",VLOOKUP($H760,[5]CU!$C$5:$J$255,8,FALSE))</f>
        <v>3. Formation</v>
      </c>
      <c r="W760" s="19" t="s">
        <v>708</v>
      </c>
      <c r="X760" s="19" t="s">
        <v>347</v>
      </c>
      <c r="Y760" s="19" t="s">
        <v>32</v>
      </c>
      <c r="Z760" s="18" t="str">
        <f>A760 &amp; "-" &amp; VLOOKUP(A760,[4]PROGRAMMES!$E$1:$F$7,2,FALSE)</f>
        <v>2-Qualité des enseignements et des apprentissages</v>
      </c>
      <c r="AA760" s="19" t="str">
        <f>B760 &amp; "-" &amp; VLOOKUP(B760,[4]SOUSPROGRAMMES!$E$1:$F$44,2,FALSE)</f>
        <v xml:space="preserve">25- Conditions d’apprentissage améliorées </v>
      </c>
      <c r="AB760" s="19" t="str">
        <f>C760 &amp; "-" &amp; VLOOKUP(C760,[4]RESULTATS!$E$1:$F$176,2,FALSE)</f>
        <v>254- Les enseignants utilisent en classe les matériels didactiques et ludiques</v>
      </c>
      <c r="AC760" s="20" t="str">
        <f>D760 &amp; "-" &amp; VLOOKUP(D760,[4]STRATEGIES!$E$1:$F$504,2,FALSE)</f>
        <v>2541-Formation des personnes pour le développement des matériels didactiques et ludiques</v>
      </c>
      <c r="AD760" s="21" t="str">
        <f t="shared" si="148"/>
        <v>25417-Formation du noyau des formateurs à la production du matériel didactique</v>
      </c>
    </row>
    <row r="761" spans="1:30" s="22" customFormat="1" ht="30" hidden="1" customHeight="1" x14ac:dyDescent="0.8">
      <c r="A761" s="14">
        <v>2</v>
      </c>
      <c r="B761" s="15">
        <v>25</v>
      </c>
      <c r="C761" s="15">
        <v>254</v>
      </c>
      <c r="D761" s="15">
        <v>2542</v>
      </c>
      <c r="E761" s="15">
        <v>2542</v>
      </c>
      <c r="F761" s="16" t="s">
        <v>927</v>
      </c>
      <c r="G761" s="17"/>
      <c r="H761" s="17"/>
      <c r="I761" s="33">
        <v>0</v>
      </c>
      <c r="J761" s="33"/>
      <c r="K761" s="33"/>
      <c r="L761" s="33"/>
      <c r="M761" s="33"/>
      <c r="N761" s="33"/>
      <c r="O761" s="33"/>
      <c r="P761" s="33"/>
      <c r="Q761" s="33"/>
      <c r="R761" s="33"/>
      <c r="S761" s="34"/>
      <c r="T761" s="33"/>
      <c r="U761" s="18"/>
      <c r="V761" s="18"/>
      <c r="W761" s="18"/>
      <c r="X761" s="18"/>
      <c r="Y761" s="19" t="s">
        <v>32</v>
      </c>
      <c r="Z761" s="18" t="str">
        <f>A761 &amp; "-" &amp; VLOOKUP(A761,[4]PROGRAMMES!$E$1:$F$7,2,FALSE)</f>
        <v>2-Qualité des enseignements et des apprentissages</v>
      </c>
      <c r="AA761" s="19" t="str">
        <f>B761 &amp; "-" &amp; VLOOKUP(B761,[4]SOUSPROGRAMMES!$E$1:$F$44,2,FALSE)</f>
        <v xml:space="preserve">25- Conditions d’apprentissage améliorées </v>
      </c>
      <c r="AB761" s="19" t="str">
        <f>C761 &amp; "-" &amp; VLOOKUP(C761,[4]RESULTATS!$E$1:$F$176,2,FALSE)</f>
        <v>254- Les enseignants utilisent en classe les matériels didactiques et ludiques</v>
      </c>
      <c r="AC761" s="20" t="str">
        <f>D761 &amp; "-" &amp; VLOOKUP(D761,[4]STRATEGIES!$E$1:$F$504,2,FALSE)</f>
        <v>2542-Développement des matériels ludiques et didactiques et équipement des CEC</v>
      </c>
      <c r="AD761" s="21" t="str">
        <f t="shared" si="148"/>
        <v>2542-Développement des matériels ludiques et didactiques et équipement des CEC</v>
      </c>
    </row>
    <row r="762" spans="1:30" s="22" customFormat="1" ht="45" hidden="1" customHeight="1" x14ac:dyDescent="0.8">
      <c r="A762" s="14">
        <v>2</v>
      </c>
      <c r="B762" s="15">
        <v>25</v>
      </c>
      <c r="C762" s="15">
        <v>254</v>
      </c>
      <c r="D762" s="15">
        <v>2542</v>
      </c>
      <c r="E762" s="15">
        <v>25421</v>
      </c>
      <c r="F762" s="16" t="s">
        <v>928</v>
      </c>
      <c r="G762" s="21" t="s">
        <v>929</v>
      </c>
      <c r="H762" s="17" t="s">
        <v>930</v>
      </c>
      <c r="I762" s="33">
        <v>0</v>
      </c>
      <c r="J762" s="33"/>
      <c r="K762" s="33">
        <f>100*50%</f>
        <v>50</v>
      </c>
      <c r="L762" s="33">
        <f>150*50%</f>
        <v>75</v>
      </c>
      <c r="M762" s="33">
        <f>SUM(I762:L762)</f>
        <v>125</v>
      </c>
      <c r="N762" s="33">
        <f>IF(OR(H762="",H762="sif",H762="PM"),0,VLOOKUP(H762,[5]CU!$C$4:$H$255,6,FALSE))</f>
        <v>1</v>
      </c>
      <c r="O762" s="33">
        <f>IFERROR($N762*I762,0)</f>
        <v>0</v>
      </c>
      <c r="P762" s="33">
        <f>IFERROR($N762*J762,0)</f>
        <v>0</v>
      </c>
      <c r="Q762" s="33">
        <f>IFERROR($N762*K762,0)</f>
        <v>50</v>
      </c>
      <c r="R762" s="33">
        <f>IFERROR($N762*L762,0)</f>
        <v>75</v>
      </c>
      <c r="S762" s="34">
        <f>SUM(O762:R762)</f>
        <v>125</v>
      </c>
      <c r="T762" s="35" t="s">
        <v>67</v>
      </c>
      <c r="U762" s="19" t="s">
        <v>647</v>
      </c>
      <c r="V762" s="19" t="str">
        <f>IF(OR($H762="",$H762="sif",$H762="PM"),"",VLOOKUP($H762,[5]CU!$C$5:$J$255,8,FALSE))</f>
        <v>3. Manuels scolaires et matériels pédagogiques</v>
      </c>
      <c r="W762" s="19" t="s">
        <v>665</v>
      </c>
      <c r="X762" s="19" t="s">
        <v>347</v>
      </c>
      <c r="Y762" s="19" t="s">
        <v>32</v>
      </c>
      <c r="Z762" s="18" t="str">
        <f>A762 &amp; "-" &amp; VLOOKUP(A762,[4]PROGRAMMES!$E$1:$F$7,2,FALSE)</f>
        <v>2-Qualité des enseignements et des apprentissages</v>
      </c>
      <c r="AA762" s="19" t="str">
        <f>B762 &amp; "-" &amp; VLOOKUP(B762,[4]SOUSPROGRAMMES!$E$1:$F$44,2,FALSE)</f>
        <v xml:space="preserve">25- Conditions d’apprentissage améliorées </v>
      </c>
      <c r="AB762" s="19" t="str">
        <f>C762 &amp; "-" &amp; VLOOKUP(C762,[4]RESULTATS!$E$1:$F$176,2,FALSE)</f>
        <v>254- Les enseignants utilisent en classe les matériels didactiques et ludiques</v>
      </c>
      <c r="AC762" s="20" t="str">
        <f>D762 &amp; "-" &amp; VLOOKUP(D762,[4]STRATEGIES!$E$1:$F$504,2,FALSE)</f>
        <v>2542-Développement des matériels ludiques et didactiques et équipement des CEC</v>
      </c>
      <c r="AD762" s="21" t="str">
        <f t="shared" si="148"/>
        <v>25421-production du matériel ludiques par les éducateurs (acquisition de petits matériels)</v>
      </c>
    </row>
    <row r="763" spans="1:30" s="22" customFormat="1" ht="45" hidden="1" customHeight="1" x14ac:dyDescent="0.8">
      <c r="A763" s="14">
        <v>2</v>
      </c>
      <c r="B763" s="15">
        <v>25</v>
      </c>
      <c r="C763" s="15">
        <v>254</v>
      </c>
      <c r="D763" s="15">
        <v>2542</v>
      </c>
      <c r="E763" s="15">
        <v>25421</v>
      </c>
      <c r="F763" s="16" t="s">
        <v>928</v>
      </c>
      <c r="G763" s="21" t="s">
        <v>929</v>
      </c>
      <c r="H763" s="17" t="s">
        <v>930</v>
      </c>
      <c r="I763" s="33">
        <v>0</v>
      </c>
      <c r="J763" s="33"/>
      <c r="K763" s="33">
        <f>100*50%</f>
        <v>50</v>
      </c>
      <c r="L763" s="33">
        <f>150*50%</f>
        <v>75</v>
      </c>
      <c r="M763" s="33">
        <f t="shared" si="150"/>
        <v>125</v>
      </c>
      <c r="N763" s="33">
        <f>IF(OR(H763="",H763="sif",H763="PM"),0,VLOOKUP(H763,[5]CU!$C$4:$H$255,6,FALSE))</f>
        <v>1</v>
      </c>
      <c r="O763" s="33">
        <f t="shared" si="154"/>
        <v>0</v>
      </c>
      <c r="P763" s="33">
        <f t="shared" si="154"/>
        <v>0</v>
      </c>
      <c r="Q763" s="33">
        <f t="shared" si="154"/>
        <v>50</v>
      </c>
      <c r="R763" s="33">
        <f t="shared" si="154"/>
        <v>75</v>
      </c>
      <c r="S763" s="34">
        <f t="shared" si="153"/>
        <v>125</v>
      </c>
      <c r="T763" s="35" t="s">
        <v>39</v>
      </c>
      <c r="U763" s="19" t="s">
        <v>647</v>
      </c>
      <c r="V763" s="19" t="str">
        <f>IF(OR($H763="",$H763="sif",$H763="PM"),"",VLOOKUP($H763,[5]CU!$C$5:$J$255,8,FALSE))</f>
        <v>3. Manuels scolaires et matériels pédagogiques</v>
      </c>
      <c r="W763" s="19" t="s">
        <v>665</v>
      </c>
      <c r="X763" s="19" t="s">
        <v>347</v>
      </c>
      <c r="Y763" s="19" t="s">
        <v>32</v>
      </c>
      <c r="Z763" s="18" t="str">
        <f>A763 &amp; "-" &amp; VLOOKUP(A763,[4]PROGRAMMES!$E$1:$F$7,2,FALSE)</f>
        <v>2-Qualité des enseignements et des apprentissages</v>
      </c>
      <c r="AA763" s="19" t="str">
        <f>B763 &amp; "-" &amp; VLOOKUP(B763,[4]SOUSPROGRAMMES!$E$1:$F$44,2,FALSE)</f>
        <v xml:space="preserve">25- Conditions d’apprentissage améliorées </v>
      </c>
      <c r="AB763" s="19" t="str">
        <f>C763 &amp; "-" &amp; VLOOKUP(C763,[4]RESULTATS!$E$1:$F$176,2,FALSE)</f>
        <v>254- Les enseignants utilisent en classe les matériels didactiques et ludiques</v>
      </c>
      <c r="AC763" s="20" t="str">
        <f>D763 &amp; "-" &amp; VLOOKUP(D763,[4]STRATEGIES!$E$1:$F$504,2,FALSE)</f>
        <v>2542-Développement des matériels ludiques et didactiques et équipement des CEC</v>
      </c>
      <c r="AD763" s="21" t="str">
        <f t="shared" si="148"/>
        <v>25421-production du matériel ludiques par les éducateurs (acquisition de petits matériels)</v>
      </c>
    </row>
    <row r="764" spans="1:30" s="22" customFormat="1" ht="30" hidden="1" customHeight="1" x14ac:dyDescent="0.8">
      <c r="A764" s="14">
        <v>2</v>
      </c>
      <c r="B764" s="15">
        <v>25</v>
      </c>
      <c r="C764" s="15">
        <v>254</v>
      </c>
      <c r="D764" s="15">
        <v>2542</v>
      </c>
      <c r="E764" s="15">
        <v>25422</v>
      </c>
      <c r="F764" s="16" t="s">
        <v>931</v>
      </c>
      <c r="G764" s="21" t="s">
        <v>932</v>
      </c>
      <c r="H764" s="17" t="s">
        <v>55</v>
      </c>
      <c r="I764" s="33">
        <v>0</v>
      </c>
      <c r="J764" s="33"/>
      <c r="K764" s="33">
        <v>1</v>
      </c>
      <c r="L764" s="33">
        <v>1</v>
      </c>
      <c r="M764" s="33">
        <f t="shared" si="150"/>
        <v>2</v>
      </c>
      <c r="N764" s="33">
        <f>IF(OR(H764="",H764="sif",H764="PM"),0,VLOOKUP(H764,[5]CU!$C$4:$H$255,6,FALSE))</f>
        <v>0</v>
      </c>
      <c r="O764" s="33">
        <f t="shared" si="154"/>
        <v>0</v>
      </c>
      <c r="P764" s="33">
        <f t="shared" si="154"/>
        <v>0</v>
      </c>
      <c r="Q764" s="33">
        <f t="shared" si="154"/>
        <v>0</v>
      </c>
      <c r="R764" s="33">
        <f t="shared" si="154"/>
        <v>0</v>
      </c>
      <c r="S764" s="34"/>
      <c r="T764" s="35" t="s">
        <v>56</v>
      </c>
      <c r="U764" s="18" t="s">
        <v>647</v>
      </c>
      <c r="V764" s="18" t="str">
        <f>IF(OR($H764="",$H764="sif",$H764="PM"),"",VLOOKUP($H764,[5]CU!$C$5:$J$255,8,FALSE))</f>
        <v/>
      </c>
      <c r="W764" s="18" t="s">
        <v>708</v>
      </c>
      <c r="X764" s="18" t="s">
        <v>347</v>
      </c>
      <c r="Y764" s="19" t="s">
        <v>32</v>
      </c>
      <c r="Z764" s="18" t="str">
        <f>A764 &amp; "-" &amp; VLOOKUP(A764,[4]PROGRAMMES!$E$1:$F$7,2,FALSE)</f>
        <v>2-Qualité des enseignements et des apprentissages</v>
      </c>
      <c r="AA764" s="19" t="str">
        <f>B764 &amp; "-" &amp; VLOOKUP(B764,[4]SOUSPROGRAMMES!$E$1:$F$44,2,FALSE)</f>
        <v xml:space="preserve">25- Conditions d’apprentissage améliorées </v>
      </c>
      <c r="AB764" s="19" t="str">
        <f>C764 &amp; "-" &amp; VLOOKUP(C764,[4]RESULTATS!$E$1:$F$176,2,FALSE)</f>
        <v>254- Les enseignants utilisent en classe les matériels didactiques et ludiques</v>
      </c>
      <c r="AC764" s="20" t="str">
        <f>D764 &amp; "-" &amp; VLOOKUP(D764,[4]STRATEGIES!$E$1:$F$504,2,FALSE)</f>
        <v>2542-Développement des matériels ludiques et didactiques et équipement des CEC</v>
      </c>
      <c r="AD764" s="21" t="str">
        <f t="shared" si="148"/>
        <v>25422-Appui à la production du matériel didactique par les IRE/DPE (subvention de fonctionnement)</v>
      </c>
    </row>
    <row r="765" spans="1:30" s="22" customFormat="1" ht="30" hidden="1" customHeight="1" x14ac:dyDescent="0.8">
      <c r="A765" s="14">
        <v>2</v>
      </c>
      <c r="B765" s="15">
        <v>25</v>
      </c>
      <c r="C765" s="15">
        <v>254</v>
      </c>
      <c r="D765" s="15">
        <v>2542</v>
      </c>
      <c r="E765" s="15">
        <v>25423</v>
      </c>
      <c r="F765" s="16" t="s">
        <v>933</v>
      </c>
      <c r="G765" s="21" t="s">
        <v>934</v>
      </c>
      <c r="H765" s="17" t="s">
        <v>55</v>
      </c>
      <c r="I765" s="33">
        <v>0</v>
      </c>
      <c r="J765" s="33"/>
      <c r="K765" s="33">
        <v>1</v>
      </c>
      <c r="L765" s="33">
        <v>1</v>
      </c>
      <c r="M765" s="33">
        <f t="shared" si="150"/>
        <v>2</v>
      </c>
      <c r="N765" s="33">
        <f>IF(OR(H765="",H765="sif",H765="PM"),0,VLOOKUP(H765,[5]CU!$C$4:$H$255,6,FALSE))</f>
        <v>0</v>
      </c>
      <c r="O765" s="33">
        <f t="shared" si="154"/>
        <v>0</v>
      </c>
      <c r="P765" s="33">
        <f t="shared" si="154"/>
        <v>0</v>
      </c>
      <c r="Q765" s="33">
        <f t="shared" si="154"/>
        <v>0</v>
      </c>
      <c r="R765" s="33">
        <f t="shared" si="154"/>
        <v>0</v>
      </c>
      <c r="S765" s="34"/>
      <c r="T765" s="35" t="s">
        <v>56</v>
      </c>
      <c r="U765" s="18" t="s">
        <v>647</v>
      </c>
      <c r="V765" s="18" t="str">
        <f>IF(OR($H765="",$H765="sif",$H765="PM"),"",VLOOKUP($H765,[5]CU!$C$5:$J$255,8,FALSE))</f>
        <v/>
      </c>
      <c r="W765" s="18" t="s">
        <v>708</v>
      </c>
      <c r="X765" s="18" t="s">
        <v>347</v>
      </c>
      <c r="Y765" s="19" t="s">
        <v>32</v>
      </c>
      <c r="Z765" s="18" t="str">
        <f>A765 &amp; "-" &amp; VLOOKUP(A765,[4]PROGRAMMES!$E$1:$F$7,2,FALSE)</f>
        <v>2-Qualité des enseignements et des apprentissages</v>
      </c>
      <c r="AA765" s="19" t="str">
        <f>B765 &amp; "-" &amp; VLOOKUP(B765,[4]SOUSPROGRAMMES!$E$1:$F$44,2,FALSE)</f>
        <v xml:space="preserve">25- Conditions d’apprentissage améliorées </v>
      </c>
      <c r="AB765" s="19" t="str">
        <f>C765 &amp; "-" &amp; VLOOKUP(C765,[4]RESULTATS!$E$1:$F$176,2,FALSE)</f>
        <v>254- Les enseignants utilisent en classe les matériels didactiques et ludiques</v>
      </c>
      <c r="AC765" s="20" t="str">
        <f>D765 &amp; "-" &amp; VLOOKUP(D765,[4]STRATEGIES!$E$1:$F$504,2,FALSE)</f>
        <v>2542-Développement des matériels ludiques et didactiques et équipement des CEC</v>
      </c>
      <c r="AD765" s="21" t="str">
        <f t="shared" si="148"/>
        <v>25423-Suivi des enseignants à l'utilisation des matériels didactiques et ludiques</v>
      </c>
    </row>
    <row r="766" spans="1:30" s="22" customFormat="1" ht="30" hidden="1" customHeight="1" x14ac:dyDescent="0.8">
      <c r="A766" s="14">
        <v>2</v>
      </c>
      <c r="B766" s="15">
        <v>25</v>
      </c>
      <c r="C766" s="15">
        <v>254</v>
      </c>
      <c r="D766" s="15">
        <v>2542</v>
      </c>
      <c r="E766" s="15">
        <v>25424</v>
      </c>
      <c r="F766" s="16" t="s">
        <v>935</v>
      </c>
      <c r="G766" s="21" t="s">
        <v>722</v>
      </c>
      <c r="H766" s="17" t="s">
        <v>936</v>
      </c>
      <c r="I766" s="33">
        <v>0</v>
      </c>
      <c r="J766" s="33">
        <f>0.5*25.01%</f>
        <v>0.12504999999999999</v>
      </c>
      <c r="K766" s="33">
        <f>0.5*25.01%</f>
        <v>0.12504999999999999</v>
      </c>
      <c r="L766" s="33">
        <f>0.5*25.01%</f>
        <v>0.12504999999999999</v>
      </c>
      <c r="M766" s="33">
        <f t="shared" si="150"/>
        <v>0.37514999999999998</v>
      </c>
      <c r="N766" s="33">
        <f>IF(OR(H766="",H766="sif",H766="PM"),0,VLOOKUP(H766,[5]CU!$C$4:$H$255,6,FALSE))</f>
        <v>2850</v>
      </c>
      <c r="O766" s="33">
        <f t="shared" si="154"/>
        <v>0</v>
      </c>
      <c r="P766" s="33">
        <f t="shared" si="154"/>
        <v>356.39249999999998</v>
      </c>
      <c r="Q766" s="33">
        <f t="shared" si="154"/>
        <v>356.39249999999998</v>
      </c>
      <c r="R766" s="33">
        <f t="shared" si="154"/>
        <v>356.39249999999998</v>
      </c>
      <c r="S766" s="34">
        <f>SUM(O766:R766)</f>
        <v>1069.1775</v>
      </c>
      <c r="T766" s="35" t="s">
        <v>67</v>
      </c>
      <c r="U766" s="18" t="s">
        <v>647</v>
      </c>
      <c r="V766" s="18" t="str">
        <f>IF(OR($H766="",$H766="sif",$H766="PM"),"",VLOOKUP($H766,[5]CU!$C$5:$J$255,8,FALSE))</f>
        <v>3. Manuels scolaires et matériels pédagogiques</v>
      </c>
      <c r="W766" s="18" t="s">
        <v>665</v>
      </c>
      <c r="X766" s="18" t="s">
        <v>665</v>
      </c>
      <c r="Y766" s="19" t="s">
        <v>32</v>
      </c>
      <c r="Z766" s="18" t="str">
        <f>A766 &amp; "-" &amp; VLOOKUP(A766,[4]PROGRAMMES!$E$1:$F$7,2,FALSE)</f>
        <v>2-Qualité des enseignements et des apprentissages</v>
      </c>
      <c r="AA766" s="19" t="str">
        <f>B766 &amp; "-" &amp; VLOOKUP(B766,[4]SOUSPROGRAMMES!$E$1:$F$44,2,FALSE)</f>
        <v xml:space="preserve">25- Conditions d’apprentissage améliorées </v>
      </c>
      <c r="AB766" s="19" t="str">
        <f>C766 &amp; "-" &amp; VLOOKUP(C766,[4]RESULTATS!$E$1:$F$176,2,FALSE)</f>
        <v>254- Les enseignants utilisent en classe les matériels didactiques et ludiques</v>
      </c>
      <c r="AC766" s="20" t="str">
        <f>D766 &amp; "-" &amp; VLOOKUP(D766,[4]STRATEGIES!$E$1:$F$504,2,FALSE)</f>
        <v>2542-Développement des matériels ludiques et didactiques et équipement des CEC</v>
      </c>
      <c r="AD766" s="21" t="str">
        <f t="shared" si="148"/>
        <v>25424-Aménagement et installations d'aires de jeux et de malle à lire dans les CEC</v>
      </c>
    </row>
    <row r="767" spans="1:30" s="22" customFormat="1" ht="30" hidden="1" customHeight="1" x14ac:dyDescent="0.8">
      <c r="A767" s="14">
        <v>2</v>
      </c>
      <c r="B767" s="15">
        <v>25</v>
      </c>
      <c r="C767" s="15">
        <v>254</v>
      </c>
      <c r="D767" s="15">
        <v>2542</v>
      </c>
      <c r="E767" s="15">
        <v>25424</v>
      </c>
      <c r="F767" s="16" t="s">
        <v>935</v>
      </c>
      <c r="G767" s="21" t="s">
        <v>722</v>
      </c>
      <c r="H767" s="17" t="s">
        <v>936</v>
      </c>
      <c r="I767" s="33">
        <v>0</v>
      </c>
      <c r="J767" s="33">
        <f>0.5*31.52%</f>
        <v>0.15759999999999999</v>
      </c>
      <c r="K767" s="33">
        <f>0.5*31.52%</f>
        <v>0.15759999999999999</v>
      </c>
      <c r="L767" s="33">
        <f>0.5*31.52%</f>
        <v>0.15759999999999999</v>
      </c>
      <c r="M767" s="33">
        <f>SUM(I767:L767)</f>
        <v>0.4728</v>
      </c>
      <c r="N767" s="33">
        <f>IF(OR(H767="",H767="sif",H767="PM"),0,VLOOKUP(H767,[5]CU!$C$4:$H$255,6,FALSE))</f>
        <v>2850</v>
      </c>
      <c r="O767" s="33">
        <f>IFERROR($N767*I767,0)</f>
        <v>0</v>
      </c>
      <c r="P767" s="33">
        <f>IFERROR($N767*J767,0)</f>
        <v>449.15999999999997</v>
      </c>
      <c r="Q767" s="33">
        <f>IFERROR($N767*K767,0)</f>
        <v>449.15999999999997</v>
      </c>
      <c r="R767" s="33">
        <f>IFERROR($N767*L767,0)</f>
        <v>449.15999999999997</v>
      </c>
      <c r="S767" s="34">
        <f>SUM(O767:R767)</f>
        <v>1347.48</v>
      </c>
      <c r="T767" s="35" t="s">
        <v>118</v>
      </c>
      <c r="U767" s="18" t="s">
        <v>647</v>
      </c>
      <c r="V767" s="18" t="str">
        <f>IF(OR($H767="",$H767="sif",$H767="PM"),"",VLOOKUP($H767,[5]CU!$C$5:$J$255,8,FALSE))</f>
        <v>3. Manuels scolaires et matériels pédagogiques</v>
      </c>
      <c r="W767" s="18" t="s">
        <v>665</v>
      </c>
      <c r="X767" s="18" t="s">
        <v>665</v>
      </c>
      <c r="Y767" s="19" t="s">
        <v>32</v>
      </c>
      <c r="Z767" s="18" t="str">
        <f>A767 &amp; "-" &amp; VLOOKUP(A767,[4]PROGRAMMES!$E$1:$F$7,2,FALSE)</f>
        <v>2-Qualité des enseignements et des apprentissages</v>
      </c>
      <c r="AA767" s="19" t="str">
        <f>B767 &amp; "-" &amp; VLOOKUP(B767,[4]SOUSPROGRAMMES!$E$1:$F$44,2,FALSE)</f>
        <v xml:space="preserve">25- Conditions d’apprentissage améliorées </v>
      </c>
      <c r="AB767" s="19" t="str">
        <f>C767 &amp; "-" &amp; VLOOKUP(C767,[4]RESULTATS!$E$1:$F$176,2,FALSE)</f>
        <v>254- Les enseignants utilisent en classe les matériels didactiques et ludiques</v>
      </c>
      <c r="AC767" s="20" t="str">
        <f>D767 &amp; "-" &amp; VLOOKUP(D767,[4]STRATEGIES!$E$1:$F$504,2,FALSE)</f>
        <v>2542-Développement des matériels ludiques et didactiques et équipement des CEC</v>
      </c>
      <c r="AD767" s="21" t="str">
        <f t="shared" si="148"/>
        <v>25424-Aménagement et installations d'aires de jeux et de malle à lire dans les CEC</v>
      </c>
    </row>
    <row r="768" spans="1:30" s="22" customFormat="1" ht="30" hidden="1" customHeight="1" x14ac:dyDescent="0.8">
      <c r="A768" s="14">
        <v>2</v>
      </c>
      <c r="B768" s="15">
        <v>25</v>
      </c>
      <c r="C768" s="15">
        <v>254</v>
      </c>
      <c r="D768" s="15">
        <v>2542</v>
      </c>
      <c r="E768" s="15">
        <v>25424</v>
      </c>
      <c r="F768" s="16" t="s">
        <v>935</v>
      </c>
      <c r="G768" s="21" t="s">
        <v>722</v>
      </c>
      <c r="H768" s="17" t="s">
        <v>936</v>
      </c>
      <c r="I768" s="33">
        <v>0</v>
      </c>
      <c r="J768" s="33">
        <f>0.5*43.47%</f>
        <v>0.21734999999999999</v>
      </c>
      <c r="K768" s="33">
        <f>0.5*43.47%</f>
        <v>0.21734999999999999</v>
      </c>
      <c r="L768" s="33">
        <f>0.5*43.47%</f>
        <v>0.21734999999999999</v>
      </c>
      <c r="M768" s="33">
        <f t="shared" si="150"/>
        <v>0.65205000000000002</v>
      </c>
      <c r="N768" s="33">
        <f>IF(OR(H768="",H768="sif",H768="PM"),0,VLOOKUP(H768,[5]CU!$C$4:$H$255,6,FALSE))</f>
        <v>2850</v>
      </c>
      <c r="O768" s="33">
        <f t="shared" si="154"/>
        <v>0</v>
      </c>
      <c r="P768" s="33">
        <f t="shared" si="154"/>
        <v>619.44749999999999</v>
      </c>
      <c r="Q768" s="33">
        <f t="shared" si="154"/>
        <v>619.44749999999999</v>
      </c>
      <c r="R768" s="33">
        <f t="shared" si="154"/>
        <v>619.44749999999999</v>
      </c>
      <c r="S768" s="34">
        <f>SUM(O768:R768)</f>
        <v>1858.3425</v>
      </c>
      <c r="T768" s="35" t="s">
        <v>67</v>
      </c>
      <c r="U768" s="18" t="s">
        <v>647</v>
      </c>
      <c r="V768" s="18" t="str">
        <f>IF(OR($H768="",$H768="sif",$H768="PM"),"",VLOOKUP($H768,[5]CU!$C$5:$J$255,8,FALSE))</f>
        <v>3. Manuels scolaires et matériels pédagogiques</v>
      </c>
      <c r="W768" s="18" t="s">
        <v>665</v>
      </c>
      <c r="X768" s="18" t="s">
        <v>665</v>
      </c>
      <c r="Y768" s="19" t="s">
        <v>32</v>
      </c>
      <c r="Z768" s="18" t="str">
        <f>A768 &amp; "-" &amp; VLOOKUP(A768,[4]PROGRAMMES!$E$1:$F$7,2,FALSE)</f>
        <v>2-Qualité des enseignements et des apprentissages</v>
      </c>
      <c r="AA768" s="19" t="str">
        <f>B768 &amp; "-" &amp; VLOOKUP(B768,[4]SOUSPROGRAMMES!$E$1:$F$44,2,FALSE)</f>
        <v xml:space="preserve">25- Conditions d’apprentissage améliorées </v>
      </c>
      <c r="AB768" s="19" t="str">
        <f>C768 &amp; "-" &amp; VLOOKUP(C768,[4]RESULTATS!$E$1:$F$176,2,FALSE)</f>
        <v>254- Les enseignants utilisent en classe les matériels didactiques et ludiques</v>
      </c>
      <c r="AC768" s="20" t="str">
        <f>D768 &amp; "-" &amp; VLOOKUP(D768,[4]STRATEGIES!$E$1:$F$504,2,FALSE)</f>
        <v>2542-Développement des matériels ludiques et didactiques et équipement des CEC</v>
      </c>
      <c r="AD768" s="21" t="str">
        <f t="shared" si="148"/>
        <v>25424-Aménagement et installations d'aires de jeux et de malle à lire dans les CEC</v>
      </c>
    </row>
    <row r="769" spans="1:30" s="22" customFormat="1" ht="30" hidden="1" customHeight="1" x14ac:dyDescent="0.8">
      <c r="A769" s="14">
        <v>2</v>
      </c>
      <c r="B769" s="15">
        <v>25</v>
      </c>
      <c r="C769" s="15">
        <v>254</v>
      </c>
      <c r="D769" s="15">
        <v>2543</v>
      </c>
      <c r="E769" s="15">
        <v>2543</v>
      </c>
      <c r="F769" s="16" t="s">
        <v>937</v>
      </c>
      <c r="G769" s="17"/>
      <c r="H769" s="17"/>
      <c r="I769" s="33">
        <v>0</v>
      </c>
      <c r="J769" s="33"/>
      <c r="K769" s="33"/>
      <c r="L769" s="33"/>
      <c r="M769" s="33"/>
      <c r="N769" s="33"/>
      <c r="O769" s="33"/>
      <c r="P769" s="33"/>
      <c r="Q769" s="33"/>
      <c r="R769" s="33"/>
      <c r="S769" s="34"/>
      <c r="T769" s="33"/>
      <c r="U769" s="18"/>
      <c r="V769" s="18"/>
      <c r="W769" s="18"/>
      <c r="X769" s="18"/>
      <c r="Y769" s="19" t="s">
        <v>32</v>
      </c>
      <c r="Z769" s="18" t="str">
        <f>A769 &amp; "-" &amp; VLOOKUP(A769,[4]PROGRAMMES!$E$1:$F$7,2,FALSE)</f>
        <v>2-Qualité des enseignements et des apprentissages</v>
      </c>
      <c r="AA769" s="19" t="str">
        <f>B769 &amp; "-" &amp; VLOOKUP(B769,[4]SOUSPROGRAMMES!$E$1:$F$44,2,FALSE)</f>
        <v xml:space="preserve">25- Conditions d’apprentissage améliorées </v>
      </c>
      <c r="AB769" s="19" t="str">
        <f>C769 &amp; "-" &amp; VLOOKUP(C769,[4]RESULTATS!$E$1:$F$176,2,FALSE)</f>
        <v>254- Les enseignants utilisent en classe les matériels didactiques et ludiques</v>
      </c>
      <c r="AC769" s="20" t="str">
        <f>D769 &amp; "-" &amp; VLOOKUP(D769,[4]STRATEGIES!$E$1:$F$504,2,FALSE)</f>
        <v>2543-Validation du matériel didactique produit</v>
      </c>
      <c r="AD769" s="21" t="str">
        <f t="shared" si="148"/>
        <v>2543-Validation du matériel didactique produit</v>
      </c>
    </row>
    <row r="770" spans="1:30" s="22" customFormat="1" ht="45" hidden="1" customHeight="1" x14ac:dyDescent="0.8">
      <c r="A770" s="14">
        <v>2</v>
      </c>
      <c r="B770" s="15">
        <v>25</v>
      </c>
      <c r="C770" s="15">
        <v>254</v>
      </c>
      <c r="D770" s="15">
        <v>2543</v>
      </c>
      <c r="E770" s="15">
        <v>25431</v>
      </c>
      <c r="F770" s="16" t="s">
        <v>938</v>
      </c>
      <c r="G770" s="21" t="s">
        <v>92</v>
      </c>
      <c r="H770" s="17" t="s">
        <v>55</v>
      </c>
      <c r="I770" s="33">
        <v>0</v>
      </c>
      <c r="J770" s="33"/>
      <c r="K770" s="33">
        <v>1</v>
      </c>
      <c r="L770" s="33">
        <v>1</v>
      </c>
      <c r="M770" s="33">
        <f t="shared" si="150"/>
        <v>2</v>
      </c>
      <c r="N770" s="33">
        <f>IF(OR(H770="",H770="sif",H770="PM"),0,VLOOKUP(H770,[5]CU!$C$4:$H$255,6,FALSE))</f>
        <v>0</v>
      </c>
      <c r="O770" s="33">
        <f t="shared" si="154"/>
        <v>0</v>
      </c>
      <c r="P770" s="33">
        <f t="shared" si="154"/>
        <v>0</v>
      </c>
      <c r="Q770" s="33">
        <f t="shared" si="154"/>
        <v>0</v>
      </c>
      <c r="R770" s="33">
        <f t="shared" si="154"/>
        <v>0</v>
      </c>
      <c r="S770" s="34"/>
      <c r="T770" s="35" t="s">
        <v>56</v>
      </c>
      <c r="U770" s="18" t="s">
        <v>647</v>
      </c>
      <c r="V770" s="18" t="str">
        <f>IF(OR($H770="",$H770="sif",$H770="PM"),"",VLOOKUP($H770,[5]CU!$C$5:$J$255,8,FALSE))</f>
        <v/>
      </c>
      <c r="W770" s="18" t="s">
        <v>708</v>
      </c>
      <c r="X770" s="18" t="s">
        <v>347</v>
      </c>
      <c r="Y770" s="19" t="s">
        <v>32</v>
      </c>
      <c r="Z770" s="18" t="str">
        <f>A770 &amp; "-" &amp; VLOOKUP(A770,[4]PROGRAMMES!$E$1:$F$7,2,FALSE)</f>
        <v>2-Qualité des enseignements et des apprentissages</v>
      </c>
      <c r="AA770" s="19" t="str">
        <f>B770 &amp; "-" &amp; VLOOKUP(B770,[4]SOUSPROGRAMMES!$E$1:$F$44,2,FALSE)</f>
        <v xml:space="preserve">25- Conditions d’apprentissage améliorées </v>
      </c>
      <c r="AB770" s="19" t="str">
        <f>C770 &amp; "-" &amp; VLOOKUP(C770,[4]RESULTATS!$E$1:$F$176,2,FALSE)</f>
        <v>254- Les enseignants utilisent en classe les matériels didactiques et ludiques</v>
      </c>
      <c r="AC770" s="20" t="str">
        <f>D770 &amp; "-" &amp; VLOOKUP(D770,[4]STRATEGIES!$E$1:$F$504,2,FALSE)</f>
        <v>2543-Validation du matériel didactique produit</v>
      </c>
      <c r="AD770" s="21" t="str">
        <f t="shared" si="148"/>
        <v>25431-Identification par les IRE et les DPE des productions les plus pertinentes et partage avec la commission scientifique (voir activité 25121)</v>
      </c>
    </row>
    <row r="771" spans="1:30" s="22" customFormat="1" ht="30" hidden="1" customHeight="1" x14ac:dyDescent="0.8">
      <c r="A771" s="14">
        <v>2</v>
      </c>
      <c r="B771" s="15">
        <v>25</v>
      </c>
      <c r="C771" s="15">
        <v>254</v>
      </c>
      <c r="D771" s="15">
        <v>2543</v>
      </c>
      <c r="E771" s="15">
        <v>25432</v>
      </c>
      <c r="F771" s="16" t="s">
        <v>939</v>
      </c>
      <c r="G771" s="21" t="s">
        <v>37</v>
      </c>
      <c r="H771" s="17" t="s">
        <v>38</v>
      </c>
      <c r="I771" s="33">
        <v>0</v>
      </c>
      <c r="J771" s="33"/>
      <c r="K771" s="33">
        <f>25*5</f>
        <v>125</v>
      </c>
      <c r="L771" s="33">
        <f>25*5</f>
        <v>125</v>
      </c>
      <c r="M771" s="33">
        <f t="shared" si="150"/>
        <v>250</v>
      </c>
      <c r="N771" s="33">
        <f>IF(OR(H771="",H771="sif",H771="PM"),0,VLOOKUP(H771,[5]CU!$C$4:$H$255,6,FALSE))</f>
        <v>0.3133333333333333</v>
      </c>
      <c r="O771" s="33">
        <f t="shared" si="154"/>
        <v>0</v>
      </c>
      <c r="P771" s="33">
        <f t="shared" si="154"/>
        <v>0</v>
      </c>
      <c r="Q771" s="33">
        <f t="shared" si="154"/>
        <v>39.166666666666664</v>
      </c>
      <c r="R771" s="33">
        <f t="shared" si="154"/>
        <v>39.166666666666664</v>
      </c>
      <c r="S771" s="34">
        <f>SUM(O771:R771)</f>
        <v>78.333333333333329</v>
      </c>
      <c r="T771" s="35" t="s">
        <v>39</v>
      </c>
      <c r="U771" s="19" t="s">
        <v>647</v>
      </c>
      <c r="V771" s="19" t="str">
        <f>IF(OR($H771="",$H771="sif",$H771="PM"),"",VLOOKUP($H771,[5]CU!$C$5:$J$255,8,FALSE))</f>
        <v>3. Formation</v>
      </c>
      <c r="W771" s="19" t="s">
        <v>708</v>
      </c>
      <c r="X771" s="19" t="s">
        <v>940</v>
      </c>
      <c r="Y771" s="19" t="s">
        <v>32</v>
      </c>
      <c r="Z771" s="18" t="str">
        <f>A771 &amp; "-" &amp; VLOOKUP(A771,[4]PROGRAMMES!$E$1:$F$7,2,FALSE)</f>
        <v>2-Qualité des enseignements et des apprentissages</v>
      </c>
      <c r="AA771" s="19" t="str">
        <f>B771 &amp; "-" &amp; VLOOKUP(B771,[4]SOUSPROGRAMMES!$E$1:$F$44,2,FALSE)</f>
        <v xml:space="preserve">25- Conditions d’apprentissage améliorées </v>
      </c>
      <c r="AB771" s="19" t="str">
        <f>C771 &amp; "-" &amp; VLOOKUP(C771,[4]RESULTATS!$E$1:$F$176,2,FALSE)</f>
        <v>254- Les enseignants utilisent en classe les matériels didactiques et ludiques</v>
      </c>
      <c r="AC771" s="20" t="str">
        <f>D771 &amp; "-" &amp; VLOOKUP(D771,[4]STRATEGIES!$E$1:$F$504,2,FALSE)</f>
        <v>2543-Validation du matériel didactique produit</v>
      </c>
      <c r="AD771" s="21" t="str">
        <f t="shared" si="148"/>
        <v>25432-choix par le comité scientifique des productions à vulgariser</v>
      </c>
    </row>
    <row r="772" spans="1:30" s="22" customFormat="1" ht="30" hidden="1" customHeight="1" x14ac:dyDescent="0.8">
      <c r="A772" s="14">
        <v>2</v>
      </c>
      <c r="B772" s="15">
        <v>25</v>
      </c>
      <c r="C772" s="15">
        <v>254</v>
      </c>
      <c r="D772" s="15">
        <v>2544</v>
      </c>
      <c r="E772" s="15">
        <v>2544</v>
      </c>
      <c r="F772" s="16" t="s">
        <v>941</v>
      </c>
      <c r="G772" s="17"/>
      <c r="H772" s="17"/>
      <c r="I772" s="33">
        <v>0</v>
      </c>
      <c r="J772" s="33"/>
      <c r="K772" s="33"/>
      <c r="L772" s="33"/>
      <c r="M772" s="33"/>
      <c r="N772" s="33"/>
      <c r="O772" s="33"/>
      <c r="P772" s="33"/>
      <c r="Q772" s="33"/>
      <c r="R772" s="33"/>
      <c r="S772" s="34"/>
      <c r="T772" s="33"/>
      <c r="U772" s="18"/>
      <c r="V772" s="18"/>
      <c r="W772" s="18"/>
      <c r="X772" s="18"/>
      <c r="Y772" s="19" t="s">
        <v>32</v>
      </c>
      <c r="Z772" s="18" t="str">
        <f>A772 &amp; "-" &amp; VLOOKUP(A772,[4]PROGRAMMES!$E$1:$F$7,2,FALSE)</f>
        <v>2-Qualité des enseignements et des apprentissages</v>
      </c>
      <c r="AA772" s="19" t="str">
        <f>B772 &amp; "-" &amp; VLOOKUP(B772,[4]SOUSPROGRAMMES!$E$1:$F$44,2,FALSE)</f>
        <v xml:space="preserve">25- Conditions d’apprentissage améliorées </v>
      </c>
      <c r="AB772" s="19" t="str">
        <f>C772 &amp; "-" &amp; VLOOKUP(C772,[4]RESULTATS!$E$1:$F$176,2,FALSE)</f>
        <v>254- Les enseignants utilisent en classe les matériels didactiques et ludiques</v>
      </c>
      <c r="AC772" s="20" t="str">
        <f>D772 &amp; "-" &amp; VLOOKUP(D772,[4]STRATEGIES!$E$1:$F$504,2,FALSE)</f>
        <v>2544-Distribution du matériel validé</v>
      </c>
      <c r="AD772" s="21" t="str">
        <f t="shared" ref="AD772:AD835" si="155">E772 &amp; "-" &amp; F772</f>
        <v>2544-Distribution du matériel validé</v>
      </c>
    </row>
    <row r="773" spans="1:30" s="22" customFormat="1" ht="45" hidden="1" customHeight="1" x14ac:dyDescent="0.8">
      <c r="A773" s="14">
        <v>2</v>
      </c>
      <c r="B773" s="15">
        <v>25</v>
      </c>
      <c r="C773" s="15">
        <v>254</v>
      </c>
      <c r="D773" s="15">
        <v>2544</v>
      </c>
      <c r="E773" s="15">
        <v>25441</v>
      </c>
      <c r="F773" s="16" t="s">
        <v>942</v>
      </c>
      <c r="G773" s="21" t="s">
        <v>943</v>
      </c>
      <c r="H773" s="17" t="s">
        <v>944</v>
      </c>
      <c r="I773" s="33">
        <v>0</v>
      </c>
      <c r="J773" s="33">
        <v>1</v>
      </c>
      <c r="K773" s="33">
        <v>1</v>
      </c>
      <c r="L773" s="33">
        <v>1</v>
      </c>
      <c r="M773" s="33">
        <f t="shared" si="150"/>
        <v>3</v>
      </c>
      <c r="N773" s="33">
        <f>IF(OR(H773="",H773="sif",H773="PM"),0,VLOOKUP(H773,[5]CU!$C$4:$H$255,6,FALSE))</f>
        <v>300</v>
      </c>
      <c r="O773" s="33">
        <f t="shared" si="154"/>
        <v>0</v>
      </c>
      <c r="P773" s="33">
        <f t="shared" si="154"/>
        <v>300</v>
      </c>
      <c r="Q773" s="33">
        <f t="shared" si="154"/>
        <v>300</v>
      </c>
      <c r="R773" s="33">
        <f t="shared" si="154"/>
        <v>300</v>
      </c>
      <c r="S773" s="34">
        <f>SUM(O773:R773)</f>
        <v>900</v>
      </c>
      <c r="T773" s="35" t="s">
        <v>39</v>
      </c>
      <c r="U773" s="19" t="s">
        <v>647</v>
      </c>
      <c r="V773" s="19" t="str">
        <f>IF(OR($H773="",$H773="sif",$H773="PM"),"",VLOOKUP($H773,[5]CU!$C$5:$J$255,8,FALSE))</f>
        <v>3. Manuels scolaires et matériels pédagogiques</v>
      </c>
      <c r="W773" s="19" t="s">
        <v>708</v>
      </c>
      <c r="X773" s="19" t="s">
        <v>347</v>
      </c>
      <c r="Y773" s="19" t="s">
        <v>32</v>
      </c>
      <c r="Z773" s="18" t="str">
        <f>A773 &amp; "-" &amp; VLOOKUP(A773,[4]PROGRAMMES!$E$1:$F$7,2,FALSE)</f>
        <v>2-Qualité des enseignements et des apprentissages</v>
      </c>
      <c r="AA773" s="19" t="str">
        <f>B773 &amp; "-" &amp; VLOOKUP(B773,[4]SOUSPROGRAMMES!$E$1:$F$44,2,FALSE)</f>
        <v xml:space="preserve">25- Conditions d’apprentissage améliorées </v>
      </c>
      <c r="AB773" s="19" t="str">
        <f>C773 &amp; "-" &amp; VLOOKUP(C773,[4]RESULTATS!$E$1:$F$176,2,FALSE)</f>
        <v>254- Les enseignants utilisent en classe les matériels didactiques et ludiques</v>
      </c>
      <c r="AC773" s="20" t="str">
        <f>D773 &amp; "-" &amp; VLOOKUP(D773,[4]STRATEGIES!$E$1:$F$504,2,FALSE)</f>
        <v>2544-Distribution du matériel validé</v>
      </c>
      <c r="AD773" s="21" t="str">
        <f t="shared" si="155"/>
        <v>25441-Reproduction et distribution du matériel retenu</v>
      </c>
    </row>
    <row r="774" spans="1:30" s="22" customFormat="1" ht="30" hidden="1" customHeight="1" x14ac:dyDescent="0.8">
      <c r="A774" s="14">
        <v>2</v>
      </c>
      <c r="B774" s="15">
        <v>25</v>
      </c>
      <c r="C774" s="15">
        <v>255</v>
      </c>
      <c r="D774" s="15">
        <v>255</v>
      </c>
      <c r="E774" s="15">
        <v>255</v>
      </c>
      <c r="F774" s="16" t="s">
        <v>945</v>
      </c>
      <c r="G774" s="17"/>
      <c r="H774" s="17"/>
      <c r="I774" s="33">
        <v>0</v>
      </c>
      <c r="J774" s="33"/>
      <c r="K774" s="33"/>
      <c r="L774" s="33"/>
      <c r="M774" s="33"/>
      <c r="N774" s="33"/>
      <c r="O774" s="33"/>
      <c r="P774" s="33"/>
      <c r="Q774" s="33"/>
      <c r="R774" s="33"/>
      <c r="S774" s="34"/>
      <c r="T774" s="33"/>
      <c r="U774" s="18"/>
      <c r="V774" s="18"/>
      <c r="W774" s="18"/>
      <c r="X774" s="18"/>
      <c r="Y774" s="19" t="s">
        <v>32</v>
      </c>
      <c r="Z774" s="18" t="str">
        <f>A774 &amp; "-" &amp; VLOOKUP(A774,[4]PROGRAMMES!$E$1:$F$7,2,FALSE)</f>
        <v>2-Qualité des enseignements et des apprentissages</v>
      </c>
      <c r="AA774" s="19" t="str">
        <f>B774 &amp; "-" &amp; VLOOKUP(B774,[4]SOUSPROGRAMMES!$E$1:$F$44,2,FALSE)</f>
        <v xml:space="preserve">25- Conditions d’apprentissage améliorées </v>
      </c>
      <c r="AB774" s="19" t="str">
        <f>C774 &amp; "-" &amp; VLOOKUP(C774,[4]RESULTATS!$E$1:$F$176,2,FALSE)</f>
        <v>255- les enseignants sont plus ou moins satisfaits de leur conditions de vie</v>
      </c>
      <c r="AC774" s="20" t="str">
        <f>D774 &amp; "-" &amp; VLOOKUP(D774,[4]STRATEGIES!$E$1:$F$504,2,FALSE)</f>
        <v>255- les enseignants sont plus ou moins satisfaits de leur conditions de vie</v>
      </c>
      <c r="AD774" s="21" t="str">
        <f t="shared" si="155"/>
        <v>255- les enseignants sont plus ou moins satisfaits de leur conditions de vie</v>
      </c>
    </row>
    <row r="775" spans="1:30" s="22" customFormat="1" ht="30" hidden="1" customHeight="1" x14ac:dyDescent="0.8">
      <c r="A775" s="14">
        <v>2</v>
      </c>
      <c r="B775" s="15">
        <v>25</v>
      </c>
      <c r="C775" s="15">
        <v>255</v>
      </c>
      <c r="D775" s="15">
        <v>2551</v>
      </c>
      <c r="E775" s="15">
        <v>2551</v>
      </c>
      <c r="F775" s="16" t="s">
        <v>946</v>
      </c>
      <c r="G775" s="17"/>
      <c r="H775" s="17"/>
      <c r="I775" s="33">
        <v>0</v>
      </c>
      <c r="J775" s="33"/>
      <c r="K775" s="33"/>
      <c r="L775" s="33"/>
      <c r="M775" s="33"/>
      <c r="N775" s="33"/>
      <c r="O775" s="33"/>
      <c r="P775" s="33"/>
      <c r="Q775" s="33"/>
      <c r="R775" s="33"/>
      <c r="S775" s="34"/>
      <c r="T775" s="33"/>
      <c r="U775" s="18"/>
      <c r="V775" s="18"/>
      <c r="W775" s="18"/>
      <c r="X775" s="18"/>
      <c r="Y775" s="19" t="s">
        <v>32</v>
      </c>
      <c r="Z775" s="18" t="str">
        <f>A775 &amp; "-" &amp; VLOOKUP(A775,[4]PROGRAMMES!$E$1:$F$7,2,FALSE)</f>
        <v>2-Qualité des enseignements et des apprentissages</v>
      </c>
      <c r="AA775" s="19" t="str">
        <f>B775 &amp; "-" &amp; VLOOKUP(B775,[4]SOUSPROGRAMMES!$E$1:$F$44,2,FALSE)</f>
        <v xml:space="preserve">25- Conditions d’apprentissage améliorées </v>
      </c>
      <c r="AB775" s="19" t="str">
        <f>C775 &amp; "-" &amp; VLOOKUP(C775,[4]RESULTATS!$E$1:$F$176,2,FALSE)</f>
        <v>255- les enseignants sont plus ou moins satisfaits de leur conditions de vie</v>
      </c>
      <c r="AC775" s="20" t="str">
        <f>D775 &amp; "-" &amp; VLOOKUP(D775,[4]STRATEGIES!$E$1:$F$504,2,FALSE)</f>
        <v>2551-Amélioration des conditions de vie des enseignants</v>
      </c>
      <c r="AD775" s="21" t="str">
        <f t="shared" si="155"/>
        <v>2551-Amélioration des conditions de vie des enseignants</v>
      </c>
    </row>
    <row r="776" spans="1:30" s="22" customFormat="1" ht="30" hidden="1" customHeight="1" x14ac:dyDescent="0.8">
      <c r="A776" s="14">
        <v>2</v>
      </c>
      <c r="B776" s="15">
        <v>25</v>
      </c>
      <c r="C776" s="15">
        <v>255</v>
      </c>
      <c r="D776" s="15">
        <v>2551</v>
      </c>
      <c r="E776" s="15">
        <v>25511</v>
      </c>
      <c r="F776" s="16" t="s">
        <v>947</v>
      </c>
      <c r="G776" s="21" t="s">
        <v>298</v>
      </c>
      <c r="H776" s="17" t="s">
        <v>38</v>
      </c>
      <c r="I776" s="33">
        <v>0</v>
      </c>
      <c r="J776" s="33"/>
      <c r="K776" s="33"/>
      <c r="L776" s="33"/>
      <c r="M776" s="33">
        <f t="shared" si="150"/>
        <v>0</v>
      </c>
      <c r="N776" s="33">
        <f>IF(OR(H776="",H776="sif",H776="PM"),0,VLOOKUP(H776,[5]CU!$C$4:$H$255,6,FALSE))</f>
        <v>0.3133333333333333</v>
      </c>
      <c r="O776" s="33">
        <f t="shared" si="154"/>
        <v>0</v>
      </c>
      <c r="P776" s="33">
        <f t="shared" si="154"/>
        <v>0</v>
      </c>
      <c r="Q776" s="33">
        <f t="shared" si="154"/>
        <v>0</v>
      </c>
      <c r="R776" s="33">
        <f t="shared" si="154"/>
        <v>0</v>
      </c>
      <c r="S776" s="34">
        <f>SUM(O776:R776)</f>
        <v>0</v>
      </c>
      <c r="T776" s="35" t="s">
        <v>56</v>
      </c>
      <c r="U776" s="18" t="s">
        <v>647</v>
      </c>
      <c r="V776" s="18" t="str">
        <f>IF(OR($H776="",$H776="sif",$H776="PM"),"",VLOOKUP($H776,[5]CU!$C$5:$J$255,8,FALSE))</f>
        <v>3. Formation</v>
      </c>
      <c r="W776" s="18" t="s">
        <v>142</v>
      </c>
      <c r="X776" s="18" t="s">
        <v>273</v>
      </c>
      <c r="Y776" s="19" t="s">
        <v>32</v>
      </c>
      <c r="Z776" s="18" t="str">
        <f>A776 &amp; "-" &amp; VLOOKUP(A776,[4]PROGRAMMES!$E$1:$F$7,2,FALSE)</f>
        <v>2-Qualité des enseignements et des apprentissages</v>
      </c>
      <c r="AA776" s="19" t="str">
        <f>B776 &amp; "-" &amp; VLOOKUP(B776,[4]SOUSPROGRAMMES!$E$1:$F$44,2,FALSE)</f>
        <v xml:space="preserve">25- Conditions d’apprentissage améliorées </v>
      </c>
      <c r="AB776" s="19" t="str">
        <f>C776 &amp; "-" &amp; VLOOKUP(C776,[4]RESULTATS!$E$1:$F$176,2,FALSE)</f>
        <v>255- les enseignants sont plus ou moins satisfaits de leur conditions de vie</v>
      </c>
      <c r="AC776" s="20" t="str">
        <f>D776 &amp; "-" &amp; VLOOKUP(D776,[4]STRATEGIES!$E$1:$F$504,2,FALSE)</f>
        <v>2551-Amélioration des conditions de vie des enseignants</v>
      </c>
      <c r="AD776" s="21" t="str">
        <f t="shared" si="155"/>
        <v>25511- Mise en place d’un mécanisme de dialogue permanent syndicats des enseignants et gouvernement</v>
      </c>
    </row>
    <row r="777" spans="1:30" s="22" customFormat="1" ht="30" hidden="1" customHeight="1" x14ac:dyDescent="0.8">
      <c r="A777" s="14">
        <v>2</v>
      </c>
      <c r="B777" s="15">
        <v>25</v>
      </c>
      <c r="C777" s="15">
        <v>255</v>
      </c>
      <c r="D777" s="15">
        <v>2551</v>
      </c>
      <c r="E777" s="15">
        <v>25512</v>
      </c>
      <c r="F777" s="16" t="s">
        <v>948</v>
      </c>
      <c r="G777" s="21" t="s">
        <v>298</v>
      </c>
      <c r="H777" s="17" t="s">
        <v>38</v>
      </c>
      <c r="I777" s="33">
        <v>0</v>
      </c>
      <c r="J777" s="33"/>
      <c r="K777" s="33"/>
      <c r="L777" s="33"/>
      <c r="M777" s="33">
        <f t="shared" si="150"/>
        <v>0</v>
      </c>
      <c r="N777" s="33">
        <f>IF(OR(H777="",H777="sif",H777="PM"),0,VLOOKUP(H777,[5]CU!$C$4:$H$255,6,FALSE))</f>
        <v>0.3133333333333333</v>
      </c>
      <c r="O777" s="33">
        <f t="shared" si="154"/>
        <v>0</v>
      </c>
      <c r="P777" s="33">
        <f t="shared" si="154"/>
        <v>0</v>
      </c>
      <c r="Q777" s="33">
        <f t="shared" si="154"/>
        <v>0</v>
      </c>
      <c r="R777" s="33">
        <f t="shared" si="154"/>
        <v>0</v>
      </c>
      <c r="S777" s="34">
        <f>SUM(O777:R777)</f>
        <v>0</v>
      </c>
      <c r="T777" s="35" t="s">
        <v>56</v>
      </c>
      <c r="U777" s="18" t="s">
        <v>647</v>
      </c>
      <c r="V777" s="18" t="str">
        <f>IF(OR($H777="",$H777="sif",$H777="PM"),"",VLOOKUP($H777,[5]CU!$C$5:$J$255,8,FALSE))</f>
        <v>3. Formation</v>
      </c>
      <c r="W777" s="18" t="s">
        <v>949</v>
      </c>
      <c r="X777" s="18" t="s">
        <v>142</v>
      </c>
      <c r="Y777" s="19" t="s">
        <v>32</v>
      </c>
      <c r="Z777" s="18" t="str">
        <f>A777 &amp; "-" &amp; VLOOKUP(A777,[4]PROGRAMMES!$E$1:$F$7,2,FALSE)</f>
        <v>2-Qualité des enseignements et des apprentissages</v>
      </c>
      <c r="AA777" s="19" t="str">
        <f>B777 &amp; "-" &amp; VLOOKUP(B777,[4]SOUSPROGRAMMES!$E$1:$F$44,2,FALSE)</f>
        <v xml:space="preserve">25- Conditions d’apprentissage améliorées </v>
      </c>
      <c r="AB777" s="19" t="str">
        <f>C777 &amp; "-" &amp; VLOOKUP(C777,[4]RESULTATS!$E$1:$F$176,2,FALSE)</f>
        <v>255- les enseignants sont plus ou moins satisfaits de leur conditions de vie</v>
      </c>
      <c r="AC777" s="20" t="str">
        <f>D777 &amp; "-" &amp; VLOOKUP(D777,[4]STRATEGIES!$E$1:$F$504,2,FALSE)</f>
        <v>2551-Amélioration des conditions de vie des enseignants</v>
      </c>
      <c r="AD777" s="21" t="str">
        <f t="shared" si="155"/>
        <v>25512- Identifier des canaux porteurs pour l’attractivité du métier d’enseignant en Guinée</v>
      </c>
    </row>
    <row r="778" spans="1:30" s="22" customFormat="1" ht="30" hidden="1" customHeight="1" x14ac:dyDescent="0.8">
      <c r="A778" s="14">
        <v>2</v>
      </c>
      <c r="B778" s="15">
        <v>25</v>
      </c>
      <c r="C778" s="15">
        <v>255</v>
      </c>
      <c r="D778" s="15">
        <v>2551</v>
      </c>
      <c r="E778" s="15">
        <v>25513</v>
      </c>
      <c r="F778" s="16" t="s">
        <v>950</v>
      </c>
      <c r="G778" s="21" t="s">
        <v>298</v>
      </c>
      <c r="H778" s="17" t="s">
        <v>38</v>
      </c>
      <c r="I778" s="33">
        <v>0</v>
      </c>
      <c r="J778" s="33">
        <f>25*7</f>
        <v>175</v>
      </c>
      <c r="K778" s="33"/>
      <c r="L778" s="33"/>
      <c r="M778" s="33">
        <f t="shared" si="150"/>
        <v>175</v>
      </c>
      <c r="N778" s="33">
        <f>IF(OR(H778="",H778="sif",H778="PM"),0,VLOOKUP(H778,[5]CU!$C$4:$H$255,6,FALSE))</f>
        <v>0.3133333333333333</v>
      </c>
      <c r="O778" s="33">
        <f t="shared" si="154"/>
        <v>0</v>
      </c>
      <c r="P778" s="33">
        <f t="shared" si="154"/>
        <v>54.833333333333329</v>
      </c>
      <c r="Q778" s="33">
        <f t="shared" si="154"/>
        <v>0</v>
      </c>
      <c r="R778" s="33">
        <f t="shared" si="154"/>
        <v>0</v>
      </c>
      <c r="S778" s="34">
        <f>SUM(O778:R778)</f>
        <v>54.833333333333329</v>
      </c>
      <c r="T778" s="35" t="s">
        <v>56</v>
      </c>
      <c r="U778" s="18" t="s">
        <v>647</v>
      </c>
      <c r="V778" s="18" t="str">
        <f>IF(OR($H778="",$H778="sif",$H778="PM"),"",VLOOKUP($H778,[5]CU!$C$5:$J$255,8,FALSE))</f>
        <v>3. Formation</v>
      </c>
      <c r="W778" s="18" t="s">
        <v>949</v>
      </c>
      <c r="X778" s="18" t="s">
        <v>142</v>
      </c>
      <c r="Y778" s="19" t="s">
        <v>32</v>
      </c>
      <c r="Z778" s="18" t="str">
        <f>A778 &amp; "-" &amp; VLOOKUP(A778,[4]PROGRAMMES!$E$1:$F$7,2,FALSE)</f>
        <v>2-Qualité des enseignements et des apprentissages</v>
      </c>
      <c r="AA778" s="19" t="str">
        <f>B778 &amp; "-" &amp; VLOOKUP(B778,[4]SOUSPROGRAMMES!$E$1:$F$44,2,FALSE)</f>
        <v xml:space="preserve">25- Conditions d’apprentissage améliorées </v>
      </c>
      <c r="AB778" s="19" t="str">
        <f>C778 &amp; "-" &amp; VLOOKUP(C778,[4]RESULTATS!$E$1:$F$176,2,FALSE)</f>
        <v>255- les enseignants sont plus ou moins satisfaits de leur conditions de vie</v>
      </c>
      <c r="AC778" s="20" t="str">
        <f>D778 &amp; "-" &amp; VLOOKUP(D778,[4]STRATEGIES!$E$1:$F$504,2,FALSE)</f>
        <v>2551-Amélioration des conditions de vie des enseignants</v>
      </c>
      <c r="AD778" s="21" t="str">
        <f t="shared" si="155"/>
        <v>25513-Renforcement des capacités professionnelles des enseignants</v>
      </c>
    </row>
    <row r="779" spans="1:30" s="22" customFormat="1" ht="45" hidden="1" customHeight="1" x14ac:dyDescent="0.8">
      <c r="A779" s="14">
        <v>2</v>
      </c>
      <c r="B779" s="15">
        <v>25</v>
      </c>
      <c r="C779" s="15">
        <v>256</v>
      </c>
      <c r="D779" s="15">
        <v>256</v>
      </c>
      <c r="E779" s="15">
        <v>256</v>
      </c>
      <c r="F779" s="16" t="s">
        <v>951</v>
      </c>
      <c r="G779" s="17"/>
      <c r="H779" s="17"/>
      <c r="I779" s="33">
        <v>0</v>
      </c>
      <c r="J779" s="33"/>
      <c r="K779" s="33"/>
      <c r="L779" s="33"/>
      <c r="M779" s="33"/>
      <c r="N779" s="33"/>
      <c r="O779" s="33"/>
      <c r="P779" s="33"/>
      <c r="Q779" s="33"/>
      <c r="R779" s="33"/>
      <c r="S779" s="34"/>
      <c r="T779" s="33"/>
      <c r="U779" s="18"/>
      <c r="V779" s="18"/>
      <c r="W779" s="18"/>
      <c r="X779" s="18"/>
      <c r="Y779" s="19" t="s">
        <v>32</v>
      </c>
      <c r="Z779" s="18" t="str">
        <f>A779 &amp; "-" &amp; VLOOKUP(A779,[4]PROGRAMMES!$E$1:$F$7,2,FALSE)</f>
        <v>2-Qualité des enseignements et des apprentissages</v>
      </c>
      <c r="AA779" s="19" t="str">
        <f>B779 &amp; "-" &amp; VLOOKUP(B779,[4]SOUSPROGRAMMES!$E$1:$F$44,2,FALSE)</f>
        <v xml:space="preserve">25- Conditions d’apprentissage améliorées </v>
      </c>
      <c r="AB779" s="19" t="str">
        <f>C779 &amp; "-" &amp; VLOOKUP(C779,[4]RESULTATS!$E$1:$F$176,2,FALSE)</f>
        <v>256- Les laboratoires et kits sont installés progressivement dans les établissements secondaires</v>
      </c>
      <c r="AC779" s="20" t="str">
        <f>D779 &amp; "-" &amp; VLOOKUP(D779,[4]STRATEGIES!$E$1:$F$504,2,FALSE)</f>
        <v>256- Les laboratoires et kits sont installés progressivement dans les établissements secondaires</v>
      </c>
      <c r="AD779" s="21" t="str">
        <f t="shared" si="155"/>
        <v>256- Les laboratoires et kits sont installés progressivement dans les établissements secondaires</v>
      </c>
    </row>
    <row r="780" spans="1:30" s="22" customFormat="1" ht="45" hidden="1" customHeight="1" x14ac:dyDescent="0.8">
      <c r="A780" s="14">
        <v>2</v>
      </c>
      <c r="B780" s="15">
        <v>25</v>
      </c>
      <c r="C780" s="15">
        <v>256</v>
      </c>
      <c r="D780" s="15">
        <v>2561</v>
      </c>
      <c r="E780" s="15">
        <v>2561</v>
      </c>
      <c r="F780" s="16" t="s">
        <v>952</v>
      </c>
      <c r="G780" s="17"/>
      <c r="H780" s="17"/>
      <c r="I780" s="33">
        <v>0</v>
      </c>
      <c r="J780" s="33"/>
      <c r="K780" s="33"/>
      <c r="L780" s="33"/>
      <c r="M780" s="33"/>
      <c r="N780" s="33"/>
      <c r="O780" s="33"/>
      <c r="P780" s="33"/>
      <c r="Q780" s="33"/>
      <c r="R780" s="33"/>
      <c r="S780" s="34"/>
      <c r="T780" s="33"/>
      <c r="U780" s="18"/>
      <c r="V780" s="18"/>
      <c r="W780" s="18"/>
      <c r="X780" s="18"/>
      <c r="Y780" s="19" t="s">
        <v>32</v>
      </c>
      <c r="Z780" s="18" t="str">
        <f>A780 &amp; "-" &amp; VLOOKUP(A780,[4]PROGRAMMES!$E$1:$F$7,2,FALSE)</f>
        <v>2-Qualité des enseignements et des apprentissages</v>
      </c>
      <c r="AA780" s="19" t="str">
        <f>B780 &amp; "-" &amp; VLOOKUP(B780,[4]SOUSPROGRAMMES!$E$1:$F$44,2,FALSE)</f>
        <v xml:space="preserve">25- Conditions d’apprentissage améliorées </v>
      </c>
      <c r="AB780" s="19" t="str">
        <f>C780 &amp; "-" &amp; VLOOKUP(C780,[4]RESULTATS!$E$1:$F$176,2,FALSE)</f>
        <v>256- Les laboratoires et kits sont installés progressivement dans les établissements secondaires</v>
      </c>
      <c r="AC780" s="20" t="str">
        <f>D780 &amp; "-" &amp; VLOOKUP(D780,[4]STRATEGIES!$E$1:$F$504,2,FALSE)</f>
        <v>2561-création de conditions pratiques d'enseignement</v>
      </c>
      <c r="AD780" s="21" t="str">
        <f t="shared" si="155"/>
        <v>2561-création de conditions pratiques d'enseignement</v>
      </c>
    </row>
    <row r="781" spans="1:30" s="22" customFormat="1" ht="45" hidden="1" customHeight="1" x14ac:dyDescent="0.8">
      <c r="A781" s="14">
        <v>2</v>
      </c>
      <c r="B781" s="15">
        <v>25</v>
      </c>
      <c r="C781" s="15">
        <v>256</v>
      </c>
      <c r="D781" s="15">
        <v>2561</v>
      </c>
      <c r="E781" s="15">
        <v>25611</v>
      </c>
      <c r="F781" s="16" t="s">
        <v>953</v>
      </c>
      <c r="G781" s="21" t="s">
        <v>321</v>
      </c>
      <c r="H781" s="17" t="s">
        <v>55</v>
      </c>
      <c r="I781" s="33">
        <v>0</v>
      </c>
      <c r="J781" s="33">
        <v>1</v>
      </c>
      <c r="K781" s="33"/>
      <c r="L781" s="33"/>
      <c r="M781" s="33">
        <f t="shared" si="150"/>
        <v>1</v>
      </c>
      <c r="N781" s="33">
        <f>IF(OR(H781="",H781="sif",H781="PM"),0,VLOOKUP(H781,[5]CU!$C$4:$H$255,6,FALSE))</f>
        <v>0</v>
      </c>
      <c r="O781" s="33">
        <f t="shared" si="154"/>
        <v>0</v>
      </c>
      <c r="P781" s="33">
        <f t="shared" si="154"/>
        <v>0</v>
      </c>
      <c r="Q781" s="33">
        <f t="shared" si="154"/>
        <v>0</v>
      </c>
      <c r="R781" s="33">
        <f t="shared" si="154"/>
        <v>0</v>
      </c>
      <c r="S781" s="34"/>
      <c r="T781" s="35" t="s">
        <v>56</v>
      </c>
      <c r="U781" s="18" t="s">
        <v>647</v>
      </c>
      <c r="V781" s="18" t="str">
        <f>IF(OR($H781="",$H781="sif",$H781="PM"),"",VLOOKUP($H781,[5]CU!$C$5:$J$255,8,FALSE))</f>
        <v/>
      </c>
      <c r="W781" s="18" t="s">
        <v>255</v>
      </c>
      <c r="X781" s="18" t="s">
        <v>398</v>
      </c>
      <c r="Y781" s="19" t="s">
        <v>32</v>
      </c>
      <c r="Z781" s="18" t="str">
        <f>A781 &amp; "-" &amp; VLOOKUP(A781,[4]PROGRAMMES!$E$1:$F$7,2,FALSE)</f>
        <v>2-Qualité des enseignements et des apprentissages</v>
      </c>
      <c r="AA781" s="19" t="str">
        <f>B781 &amp; "-" &amp; VLOOKUP(B781,[4]SOUSPROGRAMMES!$E$1:$F$44,2,FALSE)</f>
        <v xml:space="preserve">25- Conditions d’apprentissage améliorées </v>
      </c>
      <c r="AB781" s="19" t="str">
        <f>C781 &amp; "-" &amp; VLOOKUP(C781,[4]RESULTATS!$E$1:$F$176,2,FALSE)</f>
        <v>256- Les laboratoires et kits sont installés progressivement dans les établissements secondaires</v>
      </c>
      <c r="AC781" s="20" t="str">
        <f>D781 &amp; "-" &amp; VLOOKUP(D781,[4]STRATEGIES!$E$1:$F$504,2,FALSE)</f>
        <v>2561-création de conditions pratiques d'enseignement</v>
      </c>
      <c r="AD781" s="21" t="str">
        <f t="shared" si="155"/>
        <v>25611-Mise en place d'un comité pour la déFinition d'une stratégie pour le renforcement de l'enseignement scientifique dans le secondaire</v>
      </c>
    </row>
    <row r="782" spans="1:30" s="22" customFormat="1" ht="45" hidden="1" customHeight="1" x14ac:dyDescent="0.8">
      <c r="A782" s="14">
        <v>2</v>
      </c>
      <c r="B782" s="15">
        <v>25</v>
      </c>
      <c r="C782" s="15">
        <v>256</v>
      </c>
      <c r="D782" s="15">
        <v>2561</v>
      </c>
      <c r="E782" s="15">
        <v>25612</v>
      </c>
      <c r="F782" s="16" t="s">
        <v>954</v>
      </c>
      <c r="G782" s="21" t="s">
        <v>37</v>
      </c>
      <c r="H782" s="17" t="s">
        <v>38</v>
      </c>
      <c r="I782" s="33">
        <v>0</v>
      </c>
      <c r="J782" s="33"/>
      <c r="K782" s="33">
        <f>10*5*2</f>
        <v>100</v>
      </c>
      <c r="L782" s="33"/>
      <c r="M782" s="33">
        <f t="shared" si="150"/>
        <v>100</v>
      </c>
      <c r="N782" s="33">
        <f>IF(OR(H782="",H782="sif",H782="PM"),0,VLOOKUP(H782,[5]CU!$C$4:$H$255,6,FALSE))</f>
        <v>0.3133333333333333</v>
      </c>
      <c r="O782" s="33">
        <f t="shared" si="154"/>
        <v>0</v>
      </c>
      <c r="P782" s="33">
        <f t="shared" si="154"/>
        <v>0</v>
      </c>
      <c r="Q782" s="33">
        <f t="shared" si="154"/>
        <v>31.333333333333329</v>
      </c>
      <c r="R782" s="33">
        <f t="shared" si="154"/>
        <v>0</v>
      </c>
      <c r="S782" s="34">
        <f>SUM(O782:R782)</f>
        <v>31.333333333333329</v>
      </c>
      <c r="T782" s="35" t="s">
        <v>56</v>
      </c>
      <c r="U782" s="18" t="s">
        <v>647</v>
      </c>
      <c r="V782" s="18" t="str">
        <f>IF(OR($H782="",$H782="sif",$H782="PM"),"",VLOOKUP($H782,[5]CU!$C$5:$J$255,8,FALSE))</f>
        <v>3. Formation</v>
      </c>
      <c r="W782" s="18" t="s">
        <v>398</v>
      </c>
      <c r="X782" s="18" t="s">
        <v>940</v>
      </c>
      <c r="Y782" s="19" t="s">
        <v>32</v>
      </c>
      <c r="Z782" s="18" t="str">
        <f>A782 &amp; "-" &amp; VLOOKUP(A782,[4]PROGRAMMES!$E$1:$F$7,2,FALSE)</f>
        <v>2-Qualité des enseignements et des apprentissages</v>
      </c>
      <c r="AA782" s="19" t="str">
        <f>B782 &amp; "-" &amp; VLOOKUP(B782,[4]SOUSPROGRAMMES!$E$1:$F$44,2,FALSE)</f>
        <v xml:space="preserve">25- Conditions d’apprentissage améliorées </v>
      </c>
      <c r="AB782" s="19" t="str">
        <f>C782 &amp; "-" &amp; VLOOKUP(C782,[4]RESULTATS!$E$1:$F$176,2,FALSE)</f>
        <v>256- Les laboratoires et kits sont installés progressivement dans les établissements secondaires</v>
      </c>
      <c r="AC782" s="20" t="str">
        <f>D782 &amp; "-" &amp; VLOOKUP(D782,[4]STRATEGIES!$E$1:$F$504,2,FALSE)</f>
        <v>2561-création de conditions pratiques d'enseignement</v>
      </c>
      <c r="AD782" s="21" t="str">
        <f t="shared" si="155"/>
        <v>25612-Spécification par le comité du matériel à utiliser pour l'expérimentation dans des lycées pilotes</v>
      </c>
    </row>
    <row r="783" spans="1:30" s="22" customFormat="1" ht="45" hidden="1" customHeight="1" x14ac:dyDescent="0.8">
      <c r="A783" s="14">
        <v>2</v>
      </c>
      <c r="B783" s="15">
        <v>25</v>
      </c>
      <c r="C783" s="15">
        <v>256</v>
      </c>
      <c r="D783" s="15">
        <v>2561</v>
      </c>
      <c r="E783" s="15">
        <v>25613</v>
      </c>
      <c r="F783" s="16" t="s">
        <v>955</v>
      </c>
      <c r="G783" s="21" t="s">
        <v>943</v>
      </c>
      <c r="H783" s="17" t="s">
        <v>956</v>
      </c>
      <c r="I783" s="33">
        <v>0</v>
      </c>
      <c r="J783" s="33"/>
      <c r="K783" s="33">
        <v>1</v>
      </c>
      <c r="L783" s="33">
        <v>1</v>
      </c>
      <c r="M783" s="33">
        <f t="shared" si="150"/>
        <v>2</v>
      </c>
      <c r="N783" s="33">
        <f>IF(OR(H783="",H783="sif",H783="PM"),0,VLOOKUP(H783,[5]CU!$C$4:$H$255,6,FALSE))</f>
        <v>5000</v>
      </c>
      <c r="O783" s="33">
        <f t="shared" si="154"/>
        <v>0</v>
      </c>
      <c r="P783" s="33">
        <f t="shared" si="154"/>
        <v>0</v>
      </c>
      <c r="Q783" s="33">
        <f t="shared" si="154"/>
        <v>5000</v>
      </c>
      <c r="R783" s="33">
        <f t="shared" si="154"/>
        <v>5000</v>
      </c>
      <c r="S783" s="34">
        <f>SUM(O783:R783)</f>
        <v>10000</v>
      </c>
      <c r="T783" s="35" t="s">
        <v>56</v>
      </c>
      <c r="U783" s="18" t="s">
        <v>647</v>
      </c>
      <c r="V783" s="18" t="str">
        <f>IF(OR($H783="",$H783="sif",$H783="PM"),"",VLOOKUP($H783,[5]CU!$C$5:$J$255,8,FALSE))</f>
        <v>3. Manuels scolaires et matériels pédagogiques</v>
      </c>
      <c r="W783" s="18" t="s">
        <v>663</v>
      </c>
      <c r="X783" s="18" t="s">
        <v>398</v>
      </c>
      <c r="Y783" s="19" t="s">
        <v>32</v>
      </c>
      <c r="Z783" s="18" t="str">
        <f>A783 &amp; "-" &amp; VLOOKUP(A783,[4]PROGRAMMES!$E$1:$F$7,2,FALSE)</f>
        <v>2-Qualité des enseignements et des apprentissages</v>
      </c>
      <c r="AA783" s="19" t="str">
        <f>B783 &amp; "-" &amp; VLOOKUP(B783,[4]SOUSPROGRAMMES!$E$1:$F$44,2,FALSE)</f>
        <v xml:space="preserve">25- Conditions d’apprentissage améliorées </v>
      </c>
      <c r="AB783" s="19" t="str">
        <f>C783 &amp; "-" &amp; VLOOKUP(C783,[4]RESULTATS!$E$1:$F$176,2,FALSE)</f>
        <v>256- Les laboratoires et kits sont installés progressivement dans les établissements secondaires</v>
      </c>
      <c r="AC783" s="20" t="str">
        <f>D783 &amp; "-" &amp; VLOOKUP(D783,[4]STRATEGIES!$E$1:$F$504,2,FALSE)</f>
        <v>2561-création de conditions pratiques d'enseignement</v>
      </c>
      <c r="AD783" s="21" t="str">
        <f t="shared" si="155"/>
        <v>25613-Acquisition de matériel adaptés pour l'expérimentation</v>
      </c>
    </row>
    <row r="784" spans="1:30" s="22" customFormat="1" ht="45" hidden="1" customHeight="1" x14ac:dyDescent="0.8">
      <c r="A784" s="14">
        <v>2</v>
      </c>
      <c r="B784" s="15">
        <v>25</v>
      </c>
      <c r="C784" s="15">
        <v>256</v>
      </c>
      <c r="D784" s="15">
        <v>2561</v>
      </c>
      <c r="E784" s="15">
        <v>25614</v>
      </c>
      <c r="F784" s="16" t="s">
        <v>957</v>
      </c>
      <c r="G784" s="21" t="s">
        <v>54</v>
      </c>
      <c r="H784" s="17" t="s">
        <v>55</v>
      </c>
      <c r="I784" s="33">
        <v>0</v>
      </c>
      <c r="J784" s="33"/>
      <c r="K784" s="33"/>
      <c r="L784" s="33">
        <v>1</v>
      </c>
      <c r="M784" s="33">
        <f t="shared" si="150"/>
        <v>1</v>
      </c>
      <c r="N784" s="33">
        <f>IF(OR(H784="",H784="sif",H784="PM"),0,VLOOKUP(H784,[5]CU!$C$4:$H$255,6,FALSE))</f>
        <v>0</v>
      </c>
      <c r="O784" s="33">
        <f t="shared" si="154"/>
        <v>0</v>
      </c>
      <c r="P784" s="33">
        <f t="shared" si="154"/>
        <v>0</v>
      </c>
      <c r="Q784" s="33">
        <f t="shared" si="154"/>
        <v>0</v>
      </c>
      <c r="R784" s="33">
        <f t="shared" si="154"/>
        <v>0</v>
      </c>
      <c r="S784" s="34"/>
      <c r="T784" s="35" t="s">
        <v>56</v>
      </c>
      <c r="U784" s="18" t="s">
        <v>647</v>
      </c>
      <c r="V784" s="18" t="str">
        <f>IF(OR($H784="",$H784="sif",$H784="PM"),"",VLOOKUP($H784,[5]CU!$C$5:$J$255,8,FALSE))</f>
        <v/>
      </c>
      <c r="W784" s="18" t="s">
        <v>708</v>
      </c>
      <c r="X784" s="18" t="s">
        <v>398</v>
      </c>
      <c r="Y784" s="19" t="s">
        <v>32</v>
      </c>
      <c r="Z784" s="18" t="str">
        <f>A784 &amp; "-" &amp; VLOOKUP(A784,[4]PROGRAMMES!$E$1:$F$7,2,FALSE)</f>
        <v>2-Qualité des enseignements et des apprentissages</v>
      </c>
      <c r="AA784" s="19" t="str">
        <f>B784 &amp; "-" &amp; VLOOKUP(B784,[4]SOUSPROGRAMMES!$E$1:$F$44,2,FALSE)</f>
        <v xml:space="preserve">25- Conditions d’apprentissage améliorées </v>
      </c>
      <c r="AB784" s="19" t="str">
        <f>C784 &amp; "-" &amp; VLOOKUP(C784,[4]RESULTATS!$E$1:$F$176,2,FALSE)</f>
        <v>256- Les laboratoires et kits sont installés progressivement dans les établissements secondaires</v>
      </c>
      <c r="AC784" s="20" t="str">
        <f>D784 &amp; "-" &amp; VLOOKUP(D784,[4]STRATEGIES!$E$1:$F$504,2,FALSE)</f>
        <v>2561-création de conditions pratiques d'enseignement</v>
      </c>
      <c r="AD784" s="21" t="str">
        <f t="shared" si="155"/>
        <v>25614-Démarrage de l'expérimentation dans les établissements pilotes</v>
      </c>
    </row>
    <row r="785" spans="1:30" s="22" customFormat="1" ht="45" hidden="1" customHeight="1" x14ac:dyDescent="0.8">
      <c r="A785" s="14">
        <v>2</v>
      </c>
      <c r="B785" s="15">
        <v>25</v>
      </c>
      <c r="C785" s="15">
        <v>256</v>
      </c>
      <c r="D785" s="15">
        <v>2561</v>
      </c>
      <c r="E785" s="15">
        <v>25615</v>
      </c>
      <c r="F785" s="16" t="s">
        <v>958</v>
      </c>
      <c r="G785" s="21" t="s">
        <v>177</v>
      </c>
      <c r="H785" s="17" t="s">
        <v>59</v>
      </c>
      <c r="I785" s="33">
        <v>0</v>
      </c>
      <c r="J785" s="33"/>
      <c r="K785" s="33">
        <f>2*10*5</f>
        <v>100</v>
      </c>
      <c r="L785" s="33">
        <f>2*10*5</f>
        <v>100</v>
      </c>
      <c r="M785" s="33">
        <f t="shared" si="150"/>
        <v>200</v>
      </c>
      <c r="N785" s="33">
        <f>IF(OR(H785="",H785="sif",H785="PM"),0,VLOOKUP(H785,[5]CU!$C$4:$H$255,6,FALSE))</f>
        <v>0.8177777777777776</v>
      </c>
      <c r="O785" s="33">
        <f t="shared" si="154"/>
        <v>0</v>
      </c>
      <c r="P785" s="33">
        <f t="shared" si="154"/>
        <v>0</v>
      </c>
      <c r="Q785" s="33">
        <f t="shared" si="154"/>
        <v>81.777777777777757</v>
      </c>
      <c r="R785" s="33">
        <f t="shared" si="154"/>
        <v>81.777777777777757</v>
      </c>
      <c r="S785" s="34">
        <f>SUM(O785:R785)</f>
        <v>163.55555555555551</v>
      </c>
      <c r="T785" s="35" t="s">
        <v>56</v>
      </c>
      <c r="U785" s="18" t="s">
        <v>647</v>
      </c>
      <c r="V785" s="18" t="str">
        <f>IF(OR($H785="",$H785="sif",$H785="PM"),"",VLOOKUP($H785,[5]CU!$C$5:$J$255,8,FALSE))</f>
        <v>3. Dépenses de fonctionnement</v>
      </c>
      <c r="W785" s="18" t="s">
        <v>708</v>
      </c>
      <c r="X785" s="18" t="s">
        <v>398</v>
      </c>
      <c r="Y785" s="19" t="s">
        <v>32</v>
      </c>
      <c r="Z785" s="18" t="str">
        <f>A785 &amp; "-" &amp; VLOOKUP(A785,[4]PROGRAMMES!$E$1:$F$7,2,FALSE)</f>
        <v>2-Qualité des enseignements et des apprentissages</v>
      </c>
      <c r="AA785" s="19" t="str">
        <f>B785 &amp; "-" &amp; VLOOKUP(B785,[4]SOUSPROGRAMMES!$E$1:$F$44,2,FALSE)</f>
        <v xml:space="preserve">25- Conditions d’apprentissage améliorées </v>
      </c>
      <c r="AB785" s="19" t="str">
        <f>C785 &amp; "-" &amp; VLOOKUP(C785,[4]RESULTATS!$E$1:$F$176,2,FALSE)</f>
        <v>256- Les laboratoires et kits sont installés progressivement dans les établissements secondaires</v>
      </c>
      <c r="AC785" s="20" t="str">
        <f>D785 &amp; "-" &amp; VLOOKUP(D785,[4]STRATEGIES!$E$1:$F$504,2,FALSE)</f>
        <v>2561-création de conditions pratiques d'enseignement</v>
      </c>
      <c r="AD785" s="21" t="str">
        <f t="shared" si="155"/>
        <v>25615-Suivi de l'expérimentation</v>
      </c>
    </row>
    <row r="786" spans="1:30" s="22" customFormat="1" ht="45" hidden="1" customHeight="1" x14ac:dyDescent="0.8">
      <c r="A786" s="14">
        <v>2</v>
      </c>
      <c r="B786" s="15">
        <v>25</v>
      </c>
      <c r="C786" s="15">
        <v>256</v>
      </c>
      <c r="D786" s="15">
        <v>2561</v>
      </c>
      <c r="E786" s="15">
        <v>25616</v>
      </c>
      <c r="F786" s="16" t="s">
        <v>959</v>
      </c>
      <c r="G786" s="21" t="s">
        <v>960</v>
      </c>
      <c r="H786" s="17" t="s">
        <v>961</v>
      </c>
      <c r="I786" s="33">
        <v>0</v>
      </c>
      <c r="J786" s="33"/>
      <c r="K786" s="33"/>
      <c r="L786" s="33"/>
      <c r="M786" s="33">
        <f t="shared" si="150"/>
        <v>0</v>
      </c>
      <c r="N786" s="33">
        <f>IF(OR(H786="",H786="sif",H786="PM"),0,VLOOKUP(H786,[5]CU!$C$4:$H$255,6,FALSE))</f>
        <v>1.764</v>
      </c>
      <c r="O786" s="33">
        <f t="shared" si="154"/>
        <v>0</v>
      </c>
      <c r="P786" s="33">
        <f t="shared" si="154"/>
        <v>0</v>
      </c>
      <c r="Q786" s="33">
        <f t="shared" si="154"/>
        <v>0</v>
      </c>
      <c r="R786" s="33">
        <f t="shared" si="154"/>
        <v>0</v>
      </c>
      <c r="S786" s="34">
        <f>SUM(O786:R786)</f>
        <v>0</v>
      </c>
      <c r="T786" s="35" t="s">
        <v>178</v>
      </c>
      <c r="U786" s="18" t="s">
        <v>647</v>
      </c>
      <c r="V786" s="18" t="str">
        <f>IF(OR($H786="",$H786="sif",$H786="PM"),"",VLOOKUP($H786,[5]CU!$C$5:$J$255,8,FALSE))</f>
        <v>3. Formation</v>
      </c>
      <c r="W786" s="18" t="s">
        <v>708</v>
      </c>
      <c r="X786" s="18" t="s">
        <v>398</v>
      </c>
      <c r="Y786" s="19" t="s">
        <v>32</v>
      </c>
      <c r="Z786" s="18" t="str">
        <f>A786 &amp; "-" &amp; VLOOKUP(A786,[4]PROGRAMMES!$E$1:$F$7,2,FALSE)</f>
        <v>2-Qualité des enseignements et des apprentissages</v>
      </c>
      <c r="AA786" s="19" t="str">
        <f>B786 &amp; "-" &amp; VLOOKUP(B786,[4]SOUSPROGRAMMES!$E$1:$F$44,2,FALSE)</f>
        <v xml:space="preserve">25- Conditions d’apprentissage améliorées </v>
      </c>
      <c r="AB786" s="19" t="str">
        <f>C786 &amp; "-" &amp; VLOOKUP(C786,[4]RESULTATS!$E$1:$F$176,2,FALSE)</f>
        <v>256- Les laboratoires et kits sont installés progressivement dans les établissements secondaires</v>
      </c>
      <c r="AC786" s="20" t="str">
        <f>D786 &amp; "-" &amp; VLOOKUP(D786,[4]STRATEGIES!$E$1:$F$504,2,FALSE)</f>
        <v>2561-création de conditions pratiques d'enseignement</v>
      </c>
      <c r="AD786" s="21" t="str">
        <f t="shared" si="155"/>
        <v xml:space="preserve">25616-Acquisition de mallettes pédagogiques </v>
      </c>
    </row>
    <row r="787" spans="1:30" s="22" customFormat="1" ht="45" hidden="1" customHeight="1" x14ac:dyDescent="0.8">
      <c r="A787" s="14">
        <v>2</v>
      </c>
      <c r="B787" s="15">
        <v>25</v>
      </c>
      <c r="C787" s="15">
        <v>256</v>
      </c>
      <c r="D787" s="15">
        <v>2562</v>
      </c>
      <c r="E787" s="15">
        <v>2562</v>
      </c>
      <c r="F787" s="16" t="s">
        <v>962</v>
      </c>
      <c r="G787" s="17"/>
      <c r="H787" s="17"/>
      <c r="I787" s="33">
        <v>0</v>
      </c>
      <c r="J787" s="33"/>
      <c r="K787" s="33"/>
      <c r="L787" s="33"/>
      <c r="M787" s="33"/>
      <c r="N787" s="33"/>
      <c r="O787" s="33"/>
      <c r="P787" s="33"/>
      <c r="Q787" s="33"/>
      <c r="R787" s="33"/>
      <c r="S787" s="34"/>
      <c r="T787" s="33"/>
      <c r="U787" s="18"/>
      <c r="V787" s="18"/>
      <c r="W787" s="18"/>
      <c r="X787" s="18"/>
      <c r="Y787" s="19" t="s">
        <v>32</v>
      </c>
      <c r="Z787" s="18" t="str">
        <f>A787 &amp; "-" &amp; VLOOKUP(A787,[4]PROGRAMMES!$E$1:$F$7,2,FALSE)</f>
        <v>2-Qualité des enseignements et des apprentissages</v>
      </c>
      <c r="AA787" s="19" t="str">
        <f>B787 &amp; "-" &amp; VLOOKUP(B787,[4]SOUSPROGRAMMES!$E$1:$F$44,2,FALSE)</f>
        <v xml:space="preserve">25- Conditions d’apprentissage améliorées </v>
      </c>
      <c r="AB787" s="19" t="str">
        <f>C787 &amp; "-" &amp; VLOOKUP(C787,[4]RESULTATS!$E$1:$F$176,2,FALSE)</f>
        <v>256- Les laboratoires et kits sont installés progressivement dans les établissements secondaires</v>
      </c>
      <c r="AC787" s="20" t="str">
        <f>D787 &amp; "-" &amp; VLOOKUP(D787,[4]STRATEGIES!$E$1:$F$504,2,FALSE)</f>
        <v>2562-Promotion de l’initiative de l’enseignement des mathématiques, des sciences au Secondaire</v>
      </c>
      <c r="AD787" s="21" t="str">
        <f t="shared" si="155"/>
        <v>2562-Promotion de l’initiative de l’enseignement des mathématiques, des sciences au Secondaire</v>
      </c>
    </row>
    <row r="788" spans="1:30" s="22" customFormat="1" ht="45" hidden="1" customHeight="1" x14ac:dyDescent="0.8">
      <c r="A788" s="14">
        <v>2</v>
      </c>
      <c r="B788" s="15">
        <v>25</v>
      </c>
      <c r="C788" s="15">
        <v>256</v>
      </c>
      <c r="D788" s="15">
        <v>2562</v>
      </c>
      <c r="E788" s="15">
        <v>25621</v>
      </c>
      <c r="F788" s="16" t="s">
        <v>963</v>
      </c>
      <c r="G788" s="21" t="s">
        <v>651</v>
      </c>
      <c r="H788" s="17" t="s">
        <v>55</v>
      </c>
      <c r="I788" s="33">
        <v>0</v>
      </c>
      <c r="J788" s="33">
        <v>1</v>
      </c>
      <c r="K788" s="33"/>
      <c r="L788" s="33"/>
      <c r="M788" s="33">
        <f t="shared" si="150"/>
        <v>1</v>
      </c>
      <c r="N788" s="33">
        <f>IF(OR(H788="",H788="sif",H788="PM"),0,VLOOKUP(H788,[5]CU!$C$4:$H$255,6,FALSE))</f>
        <v>0</v>
      </c>
      <c r="O788" s="33">
        <f t="shared" si="154"/>
        <v>0</v>
      </c>
      <c r="P788" s="33">
        <f t="shared" si="154"/>
        <v>0</v>
      </c>
      <c r="Q788" s="33">
        <f t="shared" si="154"/>
        <v>0</v>
      </c>
      <c r="R788" s="33">
        <f t="shared" si="154"/>
        <v>0</v>
      </c>
      <c r="S788" s="34"/>
      <c r="T788" s="35" t="s">
        <v>56</v>
      </c>
      <c r="U788" s="18" t="s">
        <v>647</v>
      </c>
      <c r="V788" s="18" t="str">
        <f>IF(OR($H788="",$H788="sif",$H788="PM"),"",VLOOKUP($H788,[5]CU!$C$5:$J$255,8,FALSE))</f>
        <v/>
      </c>
      <c r="W788" s="18" t="s">
        <v>255</v>
      </c>
      <c r="X788" s="18" t="s">
        <v>398</v>
      </c>
      <c r="Y788" s="19" t="s">
        <v>32</v>
      </c>
      <c r="Z788" s="18" t="str">
        <f>A788 &amp; "-" &amp; VLOOKUP(A788,[4]PROGRAMMES!$E$1:$F$7,2,FALSE)</f>
        <v>2-Qualité des enseignements et des apprentissages</v>
      </c>
      <c r="AA788" s="19" t="str">
        <f>B788 &amp; "-" &amp; VLOOKUP(B788,[4]SOUSPROGRAMMES!$E$1:$F$44,2,FALSE)</f>
        <v xml:space="preserve">25- Conditions d’apprentissage améliorées </v>
      </c>
      <c r="AB788" s="19" t="str">
        <f>C788 &amp; "-" &amp; VLOOKUP(C788,[4]RESULTATS!$E$1:$F$176,2,FALSE)</f>
        <v>256- Les laboratoires et kits sont installés progressivement dans les établissements secondaires</v>
      </c>
      <c r="AC788" s="20" t="str">
        <f>D788 &amp; "-" &amp; VLOOKUP(D788,[4]STRATEGIES!$E$1:$F$504,2,FALSE)</f>
        <v>2562-Promotion de l’initiative de l’enseignement des mathématiques, des sciences au Secondaire</v>
      </c>
      <c r="AD788" s="21" t="str">
        <f t="shared" si="155"/>
        <v xml:space="preserve">25621-Création d'un Comité du programme MS4SSA             </v>
      </c>
    </row>
    <row r="789" spans="1:30" s="22" customFormat="1" ht="45" hidden="1" customHeight="1" x14ac:dyDescent="0.8">
      <c r="A789" s="14">
        <v>2</v>
      </c>
      <c r="B789" s="15">
        <v>25</v>
      </c>
      <c r="C789" s="15">
        <v>256</v>
      </c>
      <c r="D789" s="15">
        <v>2562</v>
      </c>
      <c r="E789" s="15">
        <v>25622</v>
      </c>
      <c r="F789" s="16" t="s">
        <v>964</v>
      </c>
      <c r="G789" s="21" t="s">
        <v>613</v>
      </c>
      <c r="H789" s="17" t="s">
        <v>55</v>
      </c>
      <c r="I789" s="33">
        <v>0</v>
      </c>
      <c r="J789" s="33">
        <v>1</v>
      </c>
      <c r="K789" s="33"/>
      <c r="L789" s="33"/>
      <c r="M789" s="33">
        <f t="shared" si="150"/>
        <v>1</v>
      </c>
      <c r="N789" s="33">
        <f>IF(OR(H789="",H789="sif",H789="PM"),0,VLOOKUP(H789,[5]CU!$C$4:$H$255,6,FALSE))</f>
        <v>0</v>
      </c>
      <c r="O789" s="33">
        <f t="shared" si="154"/>
        <v>0</v>
      </c>
      <c r="P789" s="33">
        <f t="shared" si="154"/>
        <v>0</v>
      </c>
      <c r="Q789" s="33">
        <f t="shared" si="154"/>
        <v>0</v>
      </c>
      <c r="R789" s="33">
        <f t="shared" si="154"/>
        <v>0</v>
      </c>
      <c r="S789" s="34"/>
      <c r="T789" s="35" t="s">
        <v>56</v>
      </c>
      <c r="U789" s="18" t="s">
        <v>647</v>
      </c>
      <c r="V789" s="18" t="str">
        <f>IF(OR($H789="",$H789="sif",$H789="PM"),"",VLOOKUP($H789,[5]CU!$C$5:$J$255,8,FALSE))</f>
        <v/>
      </c>
      <c r="W789" s="18" t="s">
        <v>398</v>
      </c>
      <c r="X789" s="18" t="s">
        <v>965</v>
      </c>
      <c r="Y789" s="19" t="s">
        <v>32</v>
      </c>
      <c r="Z789" s="18" t="str">
        <f>A789 &amp; "-" &amp; VLOOKUP(A789,[4]PROGRAMMES!$E$1:$F$7,2,FALSE)</f>
        <v>2-Qualité des enseignements et des apprentissages</v>
      </c>
      <c r="AA789" s="19" t="str">
        <f>B789 &amp; "-" &amp; VLOOKUP(B789,[4]SOUSPROGRAMMES!$E$1:$F$44,2,FALSE)</f>
        <v xml:space="preserve">25- Conditions d’apprentissage améliorées </v>
      </c>
      <c r="AB789" s="19" t="str">
        <f>C789 &amp; "-" &amp; VLOOKUP(C789,[4]RESULTATS!$E$1:$F$176,2,FALSE)</f>
        <v>256- Les laboratoires et kits sont installés progressivement dans les établissements secondaires</v>
      </c>
      <c r="AC789" s="20" t="str">
        <f>D789 &amp; "-" &amp; VLOOKUP(D789,[4]STRATEGIES!$E$1:$F$504,2,FALSE)</f>
        <v>2562-Promotion de l’initiative de l’enseignement des mathématiques, des sciences au Secondaire</v>
      </c>
      <c r="AD789" s="21" t="str">
        <f t="shared" si="155"/>
        <v xml:space="preserve">25622-Sélection de 20 écoles pilotes (14 régions administratives et 6 à Conakry).                    </v>
      </c>
    </row>
    <row r="790" spans="1:30" s="22" customFormat="1" ht="45" hidden="1" customHeight="1" x14ac:dyDescent="0.8">
      <c r="A790" s="14">
        <v>2</v>
      </c>
      <c r="B790" s="15">
        <v>25</v>
      </c>
      <c r="C790" s="15">
        <v>256</v>
      </c>
      <c r="D790" s="15">
        <v>2562</v>
      </c>
      <c r="E790" s="15">
        <v>25623</v>
      </c>
      <c r="F790" s="16" t="s">
        <v>966</v>
      </c>
      <c r="G790" s="21" t="s">
        <v>613</v>
      </c>
      <c r="H790" s="17" t="s">
        <v>55</v>
      </c>
      <c r="I790" s="33">
        <v>0</v>
      </c>
      <c r="J790" s="33">
        <v>1</v>
      </c>
      <c r="K790" s="33"/>
      <c r="L790" s="33"/>
      <c r="M790" s="33">
        <f t="shared" si="150"/>
        <v>1</v>
      </c>
      <c r="N790" s="33">
        <f>IF(OR(H790="",H790="sif",H790="PM"),0,VLOOKUP(H790,[5]CU!$C$4:$H$255,6,FALSE))</f>
        <v>0</v>
      </c>
      <c r="O790" s="33">
        <f t="shared" si="154"/>
        <v>0</v>
      </c>
      <c r="P790" s="33">
        <f t="shared" si="154"/>
        <v>0</v>
      </c>
      <c r="Q790" s="33">
        <f t="shared" si="154"/>
        <v>0</v>
      </c>
      <c r="R790" s="33">
        <f t="shared" si="154"/>
        <v>0</v>
      </c>
      <c r="S790" s="34"/>
      <c r="T790" s="35" t="s">
        <v>56</v>
      </c>
      <c r="U790" s="18" t="s">
        <v>647</v>
      </c>
      <c r="V790" s="18" t="str">
        <f>IF(OR($H790="",$H790="sif",$H790="PM"),"",VLOOKUP($H790,[5]CU!$C$5:$J$255,8,FALSE))</f>
        <v/>
      </c>
      <c r="W790" s="18" t="s">
        <v>398</v>
      </c>
      <c r="X790" s="18" t="s">
        <v>965</v>
      </c>
      <c r="Y790" s="19" t="s">
        <v>32</v>
      </c>
      <c r="Z790" s="18" t="str">
        <f>A790 &amp; "-" &amp; VLOOKUP(A790,[4]PROGRAMMES!$E$1:$F$7,2,FALSE)</f>
        <v>2-Qualité des enseignements et des apprentissages</v>
      </c>
      <c r="AA790" s="19" t="str">
        <f>B790 &amp; "-" &amp; VLOOKUP(B790,[4]SOUSPROGRAMMES!$E$1:$F$44,2,FALSE)</f>
        <v xml:space="preserve">25- Conditions d’apprentissage améliorées </v>
      </c>
      <c r="AB790" s="19" t="str">
        <f>C790 &amp; "-" &amp; VLOOKUP(C790,[4]RESULTATS!$E$1:$F$176,2,FALSE)</f>
        <v>256- Les laboratoires et kits sont installés progressivement dans les établissements secondaires</v>
      </c>
      <c r="AC790" s="20" t="str">
        <f>D790 &amp; "-" &amp; VLOOKUP(D790,[4]STRATEGIES!$E$1:$F$504,2,FALSE)</f>
        <v>2562-Promotion de l’initiative de l’enseignement des mathématiques, des sciences au Secondaire</v>
      </c>
      <c r="AD790" s="21" t="str">
        <f t="shared" si="155"/>
        <v>25623-Choix d'une équipe de 20 formateurs de formateurs.</v>
      </c>
    </row>
    <row r="791" spans="1:30" s="22" customFormat="1" ht="45" hidden="1" customHeight="1" x14ac:dyDescent="0.8">
      <c r="A791" s="14">
        <v>2</v>
      </c>
      <c r="B791" s="15">
        <v>25</v>
      </c>
      <c r="C791" s="15">
        <v>256</v>
      </c>
      <c r="D791" s="15">
        <v>2562</v>
      </c>
      <c r="E791" s="15">
        <v>25624</v>
      </c>
      <c r="F791" s="16" t="s">
        <v>967</v>
      </c>
      <c r="G791" s="21" t="s">
        <v>436</v>
      </c>
      <c r="H791" s="17" t="s">
        <v>501</v>
      </c>
      <c r="I791" s="33">
        <v>0</v>
      </c>
      <c r="J791" s="33">
        <f>20</f>
        <v>20</v>
      </c>
      <c r="K791" s="33"/>
      <c r="L791" s="33"/>
      <c r="M791" s="33">
        <f t="shared" si="150"/>
        <v>20</v>
      </c>
      <c r="N791" s="33">
        <f>IF(OR(H791="",H791="sif",H791="PM"),0,VLOOKUP(H791,[5]CU!$C$4:$H$255,6,FALSE))</f>
        <v>50.336534</v>
      </c>
      <c r="O791" s="33">
        <f t="shared" si="154"/>
        <v>0</v>
      </c>
      <c r="P791" s="33">
        <f t="shared" si="154"/>
        <v>1006.73068</v>
      </c>
      <c r="Q791" s="33">
        <f t="shared" si="154"/>
        <v>0</v>
      </c>
      <c r="R791" s="33">
        <f t="shared" si="154"/>
        <v>0</v>
      </c>
      <c r="S791" s="34">
        <f t="shared" ref="S791:S797" si="156">SUM(O791:R791)</f>
        <v>1006.73068</v>
      </c>
      <c r="T791" s="35" t="s">
        <v>39</v>
      </c>
      <c r="U791" s="19" t="s">
        <v>647</v>
      </c>
      <c r="V791" s="19" t="str">
        <f>IF(OR($H791="",$H791="sif",$H791="PM"),"",VLOOKUP($H791,[5]CU!$C$5:$J$255,8,FALSE))</f>
        <v>3. Formation</v>
      </c>
      <c r="W791" s="19" t="s">
        <v>663</v>
      </c>
      <c r="X791" s="19" t="s">
        <v>398</v>
      </c>
      <c r="Y791" s="19" t="s">
        <v>32</v>
      </c>
      <c r="Z791" s="18" t="str">
        <f>A791 &amp; "-" &amp; VLOOKUP(A791,[4]PROGRAMMES!$E$1:$F$7,2,FALSE)</f>
        <v>2-Qualité des enseignements et des apprentissages</v>
      </c>
      <c r="AA791" s="19" t="str">
        <f>B791 &amp; "-" &amp; VLOOKUP(B791,[4]SOUSPROGRAMMES!$E$1:$F$44,2,FALSE)</f>
        <v xml:space="preserve">25- Conditions d’apprentissage améliorées </v>
      </c>
      <c r="AB791" s="19" t="str">
        <f>C791 &amp; "-" &amp; VLOOKUP(C791,[4]RESULTATS!$E$1:$F$176,2,FALSE)</f>
        <v>256- Les laboratoires et kits sont installés progressivement dans les établissements secondaires</v>
      </c>
      <c r="AC791" s="20" t="str">
        <f>D791 &amp; "-" &amp; VLOOKUP(D791,[4]STRATEGIES!$E$1:$F$504,2,FALSE)</f>
        <v>2562-Promotion de l’initiative de l’enseignement des mathématiques, des sciences au Secondaire</v>
      </c>
      <c r="AD791" s="21" t="str">
        <f t="shared" si="155"/>
        <v>25624-Formation de 20 formateurs à l'étranger de l'initiative MS4SSA</v>
      </c>
    </row>
    <row r="792" spans="1:30" s="22" customFormat="1" ht="45" hidden="1" customHeight="1" x14ac:dyDescent="0.8">
      <c r="A792" s="14">
        <v>2</v>
      </c>
      <c r="B792" s="15">
        <v>25</v>
      </c>
      <c r="C792" s="15">
        <v>256</v>
      </c>
      <c r="D792" s="15">
        <v>2562</v>
      </c>
      <c r="E792" s="15">
        <v>25625</v>
      </c>
      <c r="F792" s="16" t="s">
        <v>968</v>
      </c>
      <c r="G792" s="21" t="s">
        <v>969</v>
      </c>
      <c r="H792" s="17" t="s">
        <v>970</v>
      </c>
      <c r="I792" s="33">
        <v>0</v>
      </c>
      <c r="J792" s="33">
        <f>4*5</f>
        <v>20</v>
      </c>
      <c r="K792" s="33"/>
      <c r="L792" s="33"/>
      <c r="M792" s="33">
        <f t="shared" si="150"/>
        <v>20</v>
      </c>
      <c r="N792" s="33">
        <f>IF(OR(H792="",H792="sif",H792="PM"),0,VLOOKUP(H792,[5]CU!$C$4:$H$255,6,FALSE))</f>
        <v>10.034934666666667</v>
      </c>
      <c r="O792" s="33">
        <f t="shared" si="154"/>
        <v>0</v>
      </c>
      <c r="P792" s="33">
        <f t="shared" si="154"/>
        <v>200.69869333333332</v>
      </c>
      <c r="Q792" s="33">
        <f t="shared" si="154"/>
        <v>0</v>
      </c>
      <c r="R792" s="33">
        <f t="shared" si="154"/>
        <v>0</v>
      </c>
      <c r="S792" s="34">
        <f t="shared" si="156"/>
        <v>200.69869333333332</v>
      </c>
      <c r="T792" s="35" t="s">
        <v>39</v>
      </c>
      <c r="U792" s="19" t="s">
        <v>647</v>
      </c>
      <c r="V792" s="19" t="str">
        <f>IF(OR($H792="",$H792="sif",$H792="PM"),"",VLOOKUP($H792,[5]CU!$C$5:$J$255,8,FALSE))</f>
        <v>5. Investissement</v>
      </c>
      <c r="W792" s="19" t="s">
        <v>663</v>
      </c>
      <c r="X792" s="19" t="s">
        <v>398</v>
      </c>
      <c r="Y792" s="19" t="s">
        <v>32</v>
      </c>
      <c r="Z792" s="18" t="str">
        <f>A792 &amp; "-" &amp; VLOOKUP(A792,[4]PROGRAMMES!$E$1:$F$7,2,FALSE)</f>
        <v>2-Qualité des enseignements et des apprentissages</v>
      </c>
      <c r="AA792" s="19" t="str">
        <f>B792 &amp; "-" &amp; VLOOKUP(B792,[4]SOUSPROGRAMMES!$E$1:$F$44,2,FALSE)</f>
        <v xml:space="preserve">25- Conditions d’apprentissage améliorées </v>
      </c>
      <c r="AB792" s="19" t="str">
        <f>C792 &amp; "-" &amp; VLOOKUP(C792,[4]RESULTATS!$E$1:$F$176,2,FALSE)</f>
        <v>256- Les laboratoires et kits sont installés progressivement dans les établissements secondaires</v>
      </c>
      <c r="AC792" s="20" t="str">
        <f>D792 &amp; "-" &amp; VLOOKUP(D792,[4]STRATEGIES!$E$1:$F$504,2,FALSE)</f>
        <v>2562-Promotion de l’initiative de l’enseignement des mathématiques, des sciences au Secondaire</v>
      </c>
      <c r="AD792" s="21" t="str">
        <f t="shared" si="155"/>
        <v>25625-Equipement en ressources informatiques des structures en charge de MS4SSA</v>
      </c>
    </row>
    <row r="793" spans="1:30" s="22" customFormat="1" ht="45" hidden="1" customHeight="1" x14ac:dyDescent="0.8">
      <c r="A793" s="14">
        <v>2</v>
      </c>
      <c r="B793" s="15">
        <v>25</v>
      </c>
      <c r="C793" s="15">
        <v>256</v>
      </c>
      <c r="D793" s="15">
        <v>2562</v>
      </c>
      <c r="E793" s="15">
        <v>25626</v>
      </c>
      <c r="F793" s="16" t="s">
        <v>971</v>
      </c>
      <c r="G793" s="21" t="s">
        <v>969</v>
      </c>
      <c r="H793" s="17" t="s">
        <v>972</v>
      </c>
      <c r="I793" s="33">
        <v>0</v>
      </c>
      <c r="J793" s="33">
        <v>20</v>
      </c>
      <c r="K793" s="33"/>
      <c r="L793" s="33"/>
      <c r="M793" s="33">
        <f t="shared" si="150"/>
        <v>20</v>
      </c>
      <c r="N793" s="33">
        <f>IF(OR(H793="",H793="sif",H793="PM"),0,VLOOKUP(H793,[5]CU!$C$4:$H$255,6,FALSE))</f>
        <v>5</v>
      </c>
      <c r="O793" s="33">
        <f t="shared" si="154"/>
        <v>0</v>
      </c>
      <c r="P793" s="33">
        <f t="shared" si="154"/>
        <v>100</v>
      </c>
      <c r="Q793" s="33">
        <f t="shared" si="154"/>
        <v>0</v>
      </c>
      <c r="R793" s="33">
        <f t="shared" si="154"/>
        <v>0</v>
      </c>
      <c r="S793" s="34">
        <f t="shared" si="156"/>
        <v>100</v>
      </c>
      <c r="T793" s="35" t="s">
        <v>39</v>
      </c>
      <c r="U793" s="19" t="s">
        <v>647</v>
      </c>
      <c r="V793" s="19" t="str">
        <f>IF(OR($H793="",$H793="sif",$H793="PM"),"",VLOOKUP($H793,[5]CU!$C$5:$J$255,8,FALSE))</f>
        <v>5. Investissement</v>
      </c>
      <c r="W793" s="19" t="s">
        <v>663</v>
      </c>
      <c r="X793" s="19" t="s">
        <v>398</v>
      </c>
      <c r="Y793" s="19" t="s">
        <v>32</v>
      </c>
      <c r="Z793" s="18" t="str">
        <f>A793 &amp; "-" &amp; VLOOKUP(A793,[4]PROGRAMMES!$E$1:$F$7,2,FALSE)</f>
        <v>2-Qualité des enseignements et des apprentissages</v>
      </c>
      <c r="AA793" s="19" t="str">
        <f>B793 &amp; "-" &amp; VLOOKUP(B793,[4]SOUSPROGRAMMES!$E$1:$F$44,2,FALSE)</f>
        <v xml:space="preserve">25- Conditions d’apprentissage améliorées </v>
      </c>
      <c r="AB793" s="19" t="str">
        <f>C793 &amp; "-" &amp; VLOOKUP(C793,[4]RESULTATS!$E$1:$F$176,2,FALSE)</f>
        <v>256- Les laboratoires et kits sont installés progressivement dans les établissements secondaires</v>
      </c>
      <c r="AC793" s="20" t="str">
        <f>D793 &amp; "-" &amp; VLOOKUP(D793,[4]STRATEGIES!$E$1:$F$504,2,FALSE)</f>
        <v>2562-Promotion de l’initiative de l’enseignement des mathématiques, des sciences au Secondaire</v>
      </c>
      <c r="AD793" s="21" t="str">
        <f t="shared" si="155"/>
        <v>25626-Equipement d'une salle de formation des formateurs en informatique (ISSEG)</v>
      </c>
    </row>
    <row r="794" spans="1:30" s="22" customFormat="1" ht="45" hidden="1" customHeight="1" x14ac:dyDescent="0.8">
      <c r="A794" s="14">
        <v>2</v>
      </c>
      <c r="B794" s="15">
        <v>25</v>
      </c>
      <c r="C794" s="15">
        <v>256</v>
      </c>
      <c r="D794" s="15">
        <v>2562</v>
      </c>
      <c r="E794" s="15">
        <v>25627</v>
      </c>
      <c r="F794" s="16" t="s">
        <v>973</v>
      </c>
      <c r="G794" s="21" t="s">
        <v>969</v>
      </c>
      <c r="H794" s="17" t="s">
        <v>974</v>
      </c>
      <c r="I794" s="33">
        <v>0</v>
      </c>
      <c r="J794" s="33">
        <v>11</v>
      </c>
      <c r="K794" s="33"/>
      <c r="L794" s="33"/>
      <c r="M794" s="33">
        <f t="shared" si="150"/>
        <v>11</v>
      </c>
      <c r="N794" s="33">
        <f>IF(OR(H794="",H794="sif",H794="PM"),0,VLOOKUP(H794,[5]CU!$C$4:$H$255,6,FALSE))</f>
        <v>6.333333333333333</v>
      </c>
      <c r="O794" s="33">
        <f t="shared" si="154"/>
        <v>0</v>
      </c>
      <c r="P794" s="33">
        <f t="shared" si="154"/>
        <v>69.666666666666657</v>
      </c>
      <c r="Q794" s="33">
        <f t="shared" si="154"/>
        <v>0</v>
      </c>
      <c r="R794" s="33">
        <f t="shared" si="154"/>
        <v>0</v>
      </c>
      <c r="S794" s="34">
        <f t="shared" si="156"/>
        <v>69.666666666666657</v>
      </c>
      <c r="T794" s="35" t="s">
        <v>39</v>
      </c>
      <c r="U794" s="19" t="s">
        <v>647</v>
      </c>
      <c r="V794" s="19" t="str">
        <f>IF(OR($H794="",$H794="sif",$H794="PM"),"",VLOOKUP($H794,[5]CU!$C$5:$J$255,8,FALSE))</f>
        <v>5. Investissement</v>
      </c>
      <c r="W794" s="19" t="s">
        <v>663</v>
      </c>
      <c r="X794" s="19" t="s">
        <v>398</v>
      </c>
      <c r="Y794" s="19" t="s">
        <v>32</v>
      </c>
      <c r="Z794" s="18" t="str">
        <f>A794 &amp; "-" &amp; VLOOKUP(A794,[4]PROGRAMMES!$E$1:$F$7,2,FALSE)</f>
        <v>2-Qualité des enseignements et des apprentissages</v>
      </c>
      <c r="AA794" s="19" t="str">
        <f>B794 &amp; "-" &amp; VLOOKUP(B794,[4]SOUSPROGRAMMES!$E$1:$F$44,2,FALSE)</f>
        <v xml:space="preserve">25- Conditions d’apprentissage améliorées </v>
      </c>
      <c r="AB794" s="19" t="str">
        <f>C794 &amp; "-" &amp; VLOOKUP(C794,[4]RESULTATS!$E$1:$F$176,2,FALSE)</f>
        <v>256- Les laboratoires et kits sont installés progressivement dans les établissements secondaires</v>
      </c>
      <c r="AC794" s="20" t="str">
        <f>D794 &amp; "-" &amp; VLOOKUP(D794,[4]STRATEGIES!$E$1:$F$504,2,FALSE)</f>
        <v>2562-Promotion de l’initiative de l’enseignement des mathématiques, des sciences au Secondaire</v>
      </c>
      <c r="AD794" s="21" t="str">
        <f t="shared" si="155"/>
        <v>25627-Acquisition d'équipement informatique pour les formateurs (ISSEG)</v>
      </c>
    </row>
    <row r="795" spans="1:30" s="22" customFormat="1" ht="45" hidden="1" customHeight="1" x14ac:dyDescent="0.8">
      <c r="A795" s="14">
        <v>2</v>
      </c>
      <c r="B795" s="15">
        <v>25</v>
      </c>
      <c r="C795" s="15">
        <v>256</v>
      </c>
      <c r="D795" s="15">
        <v>2562</v>
      </c>
      <c r="E795" s="15">
        <v>25628</v>
      </c>
      <c r="F795" s="16" t="s">
        <v>975</v>
      </c>
      <c r="G795" s="21" t="s">
        <v>976</v>
      </c>
      <c r="H795" s="17" t="s">
        <v>977</v>
      </c>
      <c r="I795" s="33">
        <v>0</v>
      </c>
      <c r="J795" s="33">
        <v>1</v>
      </c>
      <c r="K795" s="33"/>
      <c r="L795" s="33"/>
      <c r="M795" s="33">
        <f t="shared" si="150"/>
        <v>1</v>
      </c>
      <c r="N795" s="33">
        <f>IF(OR(H795="",H795="sif",H795="PM"),0,VLOOKUP(H795,[5]CU!$C$4:$H$255,6,FALSE))</f>
        <v>241.2</v>
      </c>
      <c r="O795" s="33">
        <f t="shared" si="154"/>
        <v>0</v>
      </c>
      <c r="P795" s="33">
        <f t="shared" si="154"/>
        <v>241.2</v>
      </c>
      <c r="Q795" s="33">
        <f t="shared" si="154"/>
        <v>0</v>
      </c>
      <c r="R795" s="33">
        <f t="shared" si="154"/>
        <v>0</v>
      </c>
      <c r="S795" s="34">
        <f t="shared" si="156"/>
        <v>241.2</v>
      </c>
      <c r="T795" s="35" t="s">
        <v>39</v>
      </c>
      <c r="U795" s="19" t="s">
        <v>647</v>
      </c>
      <c r="V795" s="19" t="str">
        <f>IF(OR($H795="",$H795="sif",$H795="PM"),"",VLOOKUP($H795,[5]CU!$C$5:$J$255,8,FALSE))</f>
        <v>5. Investissement</v>
      </c>
      <c r="W795" s="19" t="s">
        <v>663</v>
      </c>
      <c r="X795" s="19" t="s">
        <v>398</v>
      </c>
      <c r="Y795" s="19" t="s">
        <v>32</v>
      </c>
      <c r="Z795" s="18" t="str">
        <f>A795 &amp; "-" &amp; VLOOKUP(A795,[4]PROGRAMMES!$E$1:$F$7,2,FALSE)</f>
        <v>2-Qualité des enseignements et des apprentissages</v>
      </c>
      <c r="AA795" s="19" t="str">
        <f>B795 &amp; "-" &amp; VLOOKUP(B795,[4]SOUSPROGRAMMES!$E$1:$F$44,2,FALSE)</f>
        <v xml:space="preserve">25- Conditions d’apprentissage améliorées </v>
      </c>
      <c r="AB795" s="19" t="str">
        <f>C795 &amp; "-" &amp; VLOOKUP(C795,[4]RESULTATS!$E$1:$F$176,2,FALSE)</f>
        <v>256- Les laboratoires et kits sont installés progressivement dans les établissements secondaires</v>
      </c>
      <c r="AC795" s="20" t="str">
        <f>D795 &amp; "-" &amp; VLOOKUP(D795,[4]STRATEGIES!$E$1:$F$504,2,FALSE)</f>
        <v>2562-Promotion de l’initiative de l’enseignement des mathématiques, des sciences au Secondaire</v>
      </c>
      <c r="AD795" s="21" t="str">
        <f t="shared" si="155"/>
        <v>25628-Complément d'équipement de projection pour la salle (ISSEG)</v>
      </c>
    </row>
    <row r="796" spans="1:30" s="22" customFormat="1" ht="45" hidden="1" customHeight="1" x14ac:dyDescent="0.8">
      <c r="A796" s="14">
        <v>2</v>
      </c>
      <c r="B796" s="15">
        <v>25</v>
      </c>
      <c r="C796" s="15">
        <v>256</v>
      </c>
      <c r="D796" s="15">
        <v>2562</v>
      </c>
      <c r="E796" s="15">
        <v>25629</v>
      </c>
      <c r="F796" s="16" t="s">
        <v>978</v>
      </c>
      <c r="G796" s="21" t="s">
        <v>979</v>
      </c>
      <c r="H796" s="17" t="s">
        <v>980</v>
      </c>
      <c r="I796" s="33">
        <v>0</v>
      </c>
      <c r="J796" s="33"/>
      <c r="K796" s="33">
        <v>1</v>
      </c>
      <c r="L796" s="33"/>
      <c r="M796" s="33">
        <f t="shared" ref="M796:M825" si="157">SUM(I796:L796)</f>
        <v>1</v>
      </c>
      <c r="N796" s="33">
        <f>IF(OR(H796="",H796="sif",H796="PM"),0,VLOOKUP(H796,[5]CU!$C$4:$H$255,6,FALSE))</f>
        <v>300</v>
      </c>
      <c r="O796" s="33">
        <f t="shared" si="154"/>
        <v>0</v>
      </c>
      <c r="P796" s="33">
        <f t="shared" si="154"/>
        <v>0</v>
      </c>
      <c r="Q796" s="33">
        <f t="shared" si="154"/>
        <v>300</v>
      </c>
      <c r="R796" s="33">
        <f t="shared" si="154"/>
        <v>0</v>
      </c>
      <c r="S796" s="34">
        <f t="shared" si="156"/>
        <v>300</v>
      </c>
      <c r="T796" s="35" t="s">
        <v>39</v>
      </c>
      <c r="U796" s="19" t="s">
        <v>647</v>
      </c>
      <c r="V796" s="19" t="str">
        <f>IF(OR($H796="",$H796="sif",$H796="PM"),"",VLOOKUP($H796,[5]CU!$C$5:$J$255,8,FALSE))</f>
        <v>5. Investissement</v>
      </c>
      <c r="W796" s="19" t="s">
        <v>663</v>
      </c>
      <c r="X796" s="19" t="s">
        <v>398</v>
      </c>
      <c r="Y796" s="19" t="s">
        <v>32</v>
      </c>
      <c r="Z796" s="18" t="str">
        <f>A796 &amp; "-" &amp; VLOOKUP(A796,[4]PROGRAMMES!$E$1:$F$7,2,FALSE)</f>
        <v>2-Qualité des enseignements et des apprentissages</v>
      </c>
      <c r="AA796" s="19" t="str">
        <f>B796 &amp; "-" &amp; VLOOKUP(B796,[4]SOUSPROGRAMMES!$E$1:$F$44,2,FALSE)</f>
        <v xml:space="preserve">25- Conditions d’apprentissage améliorées </v>
      </c>
      <c r="AB796" s="19" t="str">
        <f>C796 &amp; "-" &amp; VLOOKUP(C796,[4]RESULTATS!$E$1:$F$176,2,FALSE)</f>
        <v>256- Les laboratoires et kits sont installés progressivement dans les établissements secondaires</v>
      </c>
      <c r="AC796" s="20" t="str">
        <f>D796 &amp; "-" &amp; VLOOKUP(D796,[4]STRATEGIES!$E$1:$F$504,2,FALSE)</f>
        <v>2562-Promotion de l’initiative de l’enseignement des mathématiques, des sciences au Secondaire</v>
      </c>
      <c r="AD796" s="21" t="str">
        <f t="shared" si="155"/>
        <v xml:space="preserve">25629-Acquisition de véhicule pour la liaison  </v>
      </c>
    </row>
    <row r="797" spans="1:30" s="22" customFormat="1" ht="45" hidden="1" customHeight="1" x14ac:dyDescent="0.8">
      <c r="A797" s="14">
        <v>2</v>
      </c>
      <c r="B797" s="15">
        <v>25</v>
      </c>
      <c r="C797" s="15">
        <v>256</v>
      </c>
      <c r="D797" s="15">
        <v>2562</v>
      </c>
      <c r="E797" s="15">
        <v>256210</v>
      </c>
      <c r="F797" s="16" t="s">
        <v>981</v>
      </c>
      <c r="G797" s="21" t="s">
        <v>451</v>
      </c>
      <c r="H797" s="17" t="s">
        <v>452</v>
      </c>
      <c r="I797" s="33">
        <v>0</v>
      </c>
      <c r="J797" s="33">
        <f>(3*5*2)*((10*3)+(30*70))</f>
        <v>63900</v>
      </c>
      <c r="K797" s="33"/>
      <c r="L797" s="33"/>
      <c r="M797" s="33">
        <f t="shared" si="157"/>
        <v>63900</v>
      </c>
      <c r="N797" s="33">
        <f>IF(OR(H797="",H797="sif",H797="PM"),0,VLOOKUP(H797,[5]CU!$C$4:$H$255,6,FALSE))</f>
        <v>7.4999999999999997E-3</v>
      </c>
      <c r="O797" s="33">
        <f t="shared" si="154"/>
        <v>0</v>
      </c>
      <c r="P797" s="33">
        <f t="shared" si="154"/>
        <v>479.25</v>
      </c>
      <c r="Q797" s="33">
        <f t="shared" si="154"/>
        <v>0</v>
      </c>
      <c r="R797" s="33">
        <f t="shared" si="154"/>
        <v>0</v>
      </c>
      <c r="S797" s="34">
        <f t="shared" si="156"/>
        <v>479.25</v>
      </c>
      <c r="T797" s="35" t="s">
        <v>39</v>
      </c>
      <c r="U797" s="19" t="s">
        <v>647</v>
      </c>
      <c r="V797" s="19" t="str">
        <f>IF(OR($H797="",$H797="sif",$H797="PM"),"",VLOOKUP($H797,[5]CU!$C$5:$J$255,8,FALSE))</f>
        <v>3. Dépenses de fonctionnement</v>
      </c>
      <c r="W797" s="19" t="s">
        <v>398</v>
      </c>
      <c r="X797" s="19" t="s">
        <v>398</v>
      </c>
      <c r="Y797" s="19" t="s">
        <v>32</v>
      </c>
      <c r="Z797" s="18" t="str">
        <f>A797 &amp; "-" &amp; VLOOKUP(A797,[4]PROGRAMMES!$E$1:$F$7,2,FALSE)</f>
        <v>2-Qualité des enseignements et des apprentissages</v>
      </c>
      <c r="AA797" s="19" t="str">
        <f>B797 &amp; "-" &amp; VLOOKUP(B797,[4]SOUSPROGRAMMES!$E$1:$F$44,2,FALSE)</f>
        <v xml:space="preserve">25- Conditions d’apprentissage améliorées </v>
      </c>
      <c r="AB797" s="19" t="str">
        <f>C797 &amp; "-" &amp; VLOOKUP(C797,[4]RESULTATS!$E$1:$F$176,2,FALSE)</f>
        <v>256- Les laboratoires et kits sont installés progressivement dans les établissements secondaires</v>
      </c>
      <c r="AC797" s="20" t="str">
        <f>D797 &amp; "-" &amp; VLOOKUP(D797,[4]STRATEGIES!$E$1:$F$504,2,FALSE)</f>
        <v>2562-Promotion de l’initiative de l’enseignement des mathématiques, des sciences au Secondaire</v>
      </c>
      <c r="AD797" s="21" t="str">
        <f t="shared" si="155"/>
        <v>256210-Reproduction des modules MS4SSA</v>
      </c>
    </row>
    <row r="798" spans="1:30" s="22" customFormat="1" ht="45" hidden="1" customHeight="1" x14ac:dyDescent="0.8">
      <c r="A798" s="14">
        <v>2</v>
      </c>
      <c r="B798" s="15">
        <v>25</v>
      </c>
      <c r="C798" s="15">
        <v>256</v>
      </c>
      <c r="D798" s="15">
        <v>2562</v>
      </c>
      <c r="E798" s="15">
        <v>256211</v>
      </c>
      <c r="F798" s="16" t="s">
        <v>982</v>
      </c>
      <c r="G798" s="21" t="s">
        <v>182</v>
      </c>
      <c r="H798" s="17" t="s">
        <v>55</v>
      </c>
      <c r="I798" s="33">
        <v>0</v>
      </c>
      <c r="J798" s="33"/>
      <c r="K798" s="33">
        <v>1</v>
      </c>
      <c r="L798" s="33">
        <v>1</v>
      </c>
      <c r="M798" s="33">
        <f t="shared" si="157"/>
        <v>2</v>
      </c>
      <c r="N798" s="33">
        <f>IF(OR(H798="",H798="sif",H798="PM"),0,VLOOKUP(H798,[5]CU!$C$4:$H$255,6,FALSE))</f>
        <v>0</v>
      </c>
      <c r="O798" s="33">
        <f t="shared" si="154"/>
        <v>0</v>
      </c>
      <c r="P798" s="33">
        <f t="shared" si="154"/>
        <v>0</v>
      </c>
      <c r="Q798" s="33">
        <f t="shared" si="154"/>
        <v>0</v>
      </c>
      <c r="R798" s="33">
        <f t="shared" si="154"/>
        <v>0</v>
      </c>
      <c r="S798" s="34"/>
      <c r="T798" s="35" t="s">
        <v>39</v>
      </c>
      <c r="U798" s="18" t="s">
        <v>647</v>
      </c>
      <c r="V798" s="18" t="str">
        <f>IF(OR($H798="",$H798="sif",$H798="PM"),"",VLOOKUP($H798,[5]CU!$C$5:$J$255,8,FALSE))</f>
        <v/>
      </c>
      <c r="W798" s="18" t="s">
        <v>398</v>
      </c>
      <c r="X798" s="18" t="s">
        <v>965</v>
      </c>
      <c r="Y798" s="19" t="s">
        <v>32</v>
      </c>
      <c r="Z798" s="18" t="str">
        <f>A798 &amp; "-" &amp; VLOOKUP(A798,[4]PROGRAMMES!$E$1:$F$7,2,FALSE)</f>
        <v>2-Qualité des enseignements et des apprentissages</v>
      </c>
      <c r="AA798" s="19" t="str">
        <f>B798 &amp; "-" &amp; VLOOKUP(B798,[4]SOUSPROGRAMMES!$E$1:$F$44,2,FALSE)</f>
        <v xml:space="preserve">25- Conditions d’apprentissage améliorées </v>
      </c>
      <c r="AB798" s="19" t="str">
        <f>C798 &amp; "-" &amp; VLOOKUP(C798,[4]RESULTATS!$E$1:$F$176,2,FALSE)</f>
        <v>256- Les laboratoires et kits sont installés progressivement dans les établissements secondaires</v>
      </c>
      <c r="AC798" s="20" t="str">
        <f>D798 &amp; "-" &amp; VLOOKUP(D798,[4]STRATEGIES!$E$1:$F$504,2,FALSE)</f>
        <v>2562-Promotion de l’initiative de l’enseignement des mathématiques, des sciences au Secondaire</v>
      </c>
      <c r="AD798" s="21" t="str">
        <f t="shared" si="155"/>
        <v>256211-Expérimentation dans les établissements pilotes</v>
      </c>
    </row>
    <row r="799" spans="1:30" s="22" customFormat="1" ht="45" hidden="1" customHeight="1" x14ac:dyDescent="0.8">
      <c r="A799" s="14">
        <v>2</v>
      </c>
      <c r="B799" s="15">
        <v>25</v>
      </c>
      <c r="C799" s="15">
        <v>256</v>
      </c>
      <c r="D799" s="15">
        <v>2562</v>
      </c>
      <c r="E799" s="15">
        <v>256212</v>
      </c>
      <c r="F799" s="16" t="s">
        <v>983</v>
      </c>
      <c r="G799" s="21" t="s">
        <v>37</v>
      </c>
      <c r="H799" s="17" t="s">
        <v>66</v>
      </c>
      <c r="I799" s="33">
        <v>0</v>
      </c>
      <c r="J799" s="33"/>
      <c r="K799" s="33">
        <f>10*2</f>
        <v>20</v>
      </c>
      <c r="L799" s="33"/>
      <c r="M799" s="33">
        <f t="shared" si="157"/>
        <v>20</v>
      </c>
      <c r="N799" s="33">
        <f>IF(OR(H799="",H799="sif",H799="PM"),0,VLOOKUP(H799,[5]CU!$C$4:$H$255,6,FALSE))</f>
        <v>0.255</v>
      </c>
      <c r="O799" s="33">
        <f t="shared" si="154"/>
        <v>0</v>
      </c>
      <c r="P799" s="33">
        <f t="shared" si="154"/>
        <v>0</v>
      </c>
      <c r="Q799" s="33">
        <f t="shared" si="154"/>
        <v>5.0999999999999996</v>
      </c>
      <c r="R799" s="33">
        <f t="shared" si="154"/>
        <v>0</v>
      </c>
      <c r="S799" s="34">
        <f t="shared" ref="S799:S806" si="158">SUM(O799:R799)</f>
        <v>5.0999999999999996</v>
      </c>
      <c r="T799" s="35" t="s">
        <v>39</v>
      </c>
      <c r="U799" s="19" t="s">
        <v>647</v>
      </c>
      <c r="V799" s="19" t="str">
        <f>IF(OR($H799="",$H799="sif",$H799="PM"),"",VLOOKUP($H799,[5]CU!$C$5:$J$255,8,FALSE))</f>
        <v>3. Dépenses de fonctionnement</v>
      </c>
      <c r="W799" s="19" t="s">
        <v>398</v>
      </c>
      <c r="X799" s="19" t="s">
        <v>984</v>
      </c>
      <c r="Y799" s="19" t="s">
        <v>32</v>
      </c>
      <c r="Z799" s="18" t="str">
        <f>A799 &amp; "-" &amp; VLOOKUP(A799,[4]PROGRAMMES!$E$1:$F$7,2,FALSE)</f>
        <v>2-Qualité des enseignements et des apprentissages</v>
      </c>
      <c r="AA799" s="19" t="str">
        <f>B799 &amp; "-" &amp; VLOOKUP(B799,[4]SOUSPROGRAMMES!$E$1:$F$44,2,FALSE)</f>
        <v xml:space="preserve">25- Conditions d’apprentissage améliorées </v>
      </c>
      <c r="AB799" s="19" t="str">
        <f>C799 &amp; "-" &amp; VLOOKUP(C799,[4]RESULTATS!$E$1:$F$176,2,FALSE)</f>
        <v>256- Les laboratoires et kits sont installés progressivement dans les établissements secondaires</v>
      </c>
      <c r="AC799" s="20" t="str">
        <f>D799 &amp; "-" &amp; VLOOKUP(D799,[4]STRATEGIES!$E$1:$F$504,2,FALSE)</f>
        <v>2562-Promotion de l’initiative de l’enseignement des mathématiques, des sciences au Secondaire</v>
      </c>
      <c r="AD799" s="21" t="str">
        <f t="shared" si="155"/>
        <v>256212-Préparation des fiches d’évaluation des modules MS4SSA pour les établissements pilotes</v>
      </c>
    </row>
    <row r="800" spans="1:30" s="22" customFormat="1" ht="45" hidden="1" customHeight="1" x14ac:dyDescent="0.8">
      <c r="A800" s="14">
        <v>2</v>
      </c>
      <c r="B800" s="15">
        <v>25</v>
      </c>
      <c r="C800" s="15">
        <v>256</v>
      </c>
      <c r="D800" s="15">
        <v>2562</v>
      </c>
      <c r="E800" s="15">
        <v>256213</v>
      </c>
      <c r="F800" s="16" t="s">
        <v>985</v>
      </c>
      <c r="G800" s="21" t="s">
        <v>58</v>
      </c>
      <c r="H800" s="17" t="s">
        <v>59</v>
      </c>
      <c r="I800" s="33">
        <v>0</v>
      </c>
      <c r="J800" s="33"/>
      <c r="K800" s="33">
        <f>10*5</f>
        <v>50</v>
      </c>
      <c r="L800" s="33">
        <f>10*5</f>
        <v>50</v>
      </c>
      <c r="M800" s="33">
        <f t="shared" si="157"/>
        <v>100</v>
      </c>
      <c r="N800" s="33">
        <f>IF(OR(H800="",H800="sif",H800="PM"),0,VLOOKUP(H800,[5]CU!$C$4:$H$255,6,FALSE))</f>
        <v>0.8177777777777776</v>
      </c>
      <c r="O800" s="33">
        <f t="shared" si="154"/>
        <v>0</v>
      </c>
      <c r="P800" s="33">
        <f t="shared" si="154"/>
        <v>0</v>
      </c>
      <c r="Q800" s="33">
        <f t="shared" si="154"/>
        <v>40.888888888888879</v>
      </c>
      <c r="R800" s="33">
        <f t="shared" si="154"/>
        <v>40.888888888888879</v>
      </c>
      <c r="S800" s="34">
        <f t="shared" si="158"/>
        <v>81.777777777777757</v>
      </c>
      <c r="T800" s="35" t="s">
        <v>39</v>
      </c>
      <c r="U800" s="19" t="s">
        <v>647</v>
      </c>
      <c r="V800" s="19" t="str">
        <f>IF(OR($H800="",$H800="sif",$H800="PM"),"",VLOOKUP($H800,[5]CU!$C$5:$J$255,8,FALSE))</f>
        <v>3. Dépenses de fonctionnement</v>
      </c>
      <c r="W800" s="19" t="s">
        <v>398</v>
      </c>
      <c r="X800" s="19" t="s">
        <v>273</v>
      </c>
      <c r="Y800" s="19" t="s">
        <v>32</v>
      </c>
      <c r="Z800" s="18" t="str">
        <f>A800 &amp; "-" &amp; VLOOKUP(A800,[4]PROGRAMMES!$E$1:$F$7,2,FALSE)</f>
        <v>2-Qualité des enseignements et des apprentissages</v>
      </c>
      <c r="AA800" s="19" t="str">
        <f>B800 &amp; "-" &amp; VLOOKUP(B800,[4]SOUSPROGRAMMES!$E$1:$F$44,2,FALSE)</f>
        <v xml:space="preserve">25- Conditions d’apprentissage améliorées </v>
      </c>
      <c r="AB800" s="19" t="str">
        <f>C800 &amp; "-" &amp; VLOOKUP(C800,[4]RESULTATS!$E$1:$F$176,2,FALSE)</f>
        <v>256- Les laboratoires et kits sont installés progressivement dans les établissements secondaires</v>
      </c>
      <c r="AC800" s="20" t="str">
        <f>D800 &amp; "-" &amp; VLOOKUP(D800,[4]STRATEGIES!$E$1:$F$504,2,FALSE)</f>
        <v>2562-Promotion de l’initiative de l’enseignement des mathématiques, des sciences au Secondaire</v>
      </c>
      <c r="AD800" s="21" t="str">
        <f t="shared" si="155"/>
        <v>256213-Observation de classe des enseignants dans l'enseignement des modules MS4SSA</v>
      </c>
    </row>
    <row r="801" spans="1:30" s="22" customFormat="1" ht="45" hidden="1" customHeight="1" x14ac:dyDescent="0.8">
      <c r="A801" s="14">
        <v>2</v>
      </c>
      <c r="B801" s="15">
        <v>25</v>
      </c>
      <c r="C801" s="15">
        <v>256</v>
      </c>
      <c r="D801" s="15">
        <v>2562</v>
      </c>
      <c r="E801" s="15">
        <v>256214</v>
      </c>
      <c r="F801" s="16" t="s">
        <v>986</v>
      </c>
      <c r="G801" s="21" t="s">
        <v>298</v>
      </c>
      <c r="H801" s="17" t="s">
        <v>66</v>
      </c>
      <c r="I801" s="33">
        <v>0</v>
      </c>
      <c r="J801" s="33"/>
      <c r="K801" s="33">
        <f>10*3</f>
        <v>30</v>
      </c>
      <c r="L801" s="33">
        <f>8*3</f>
        <v>24</v>
      </c>
      <c r="M801" s="33">
        <f t="shared" si="157"/>
        <v>54</v>
      </c>
      <c r="N801" s="33">
        <f>IF(OR(H801="",H801="sif",H801="PM"),0,VLOOKUP(H801,[5]CU!$C$4:$H$255,6,FALSE))</f>
        <v>0.255</v>
      </c>
      <c r="O801" s="33">
        <f t="shared" ref="O801:R825" si="159">IFERROR($N801*I801,0)</f>
        <v>0</v>
      </c>
      <c r="P801" s="33">
        <f t="shared" si="159"/>
        <v>0</v>
      </c>
      <c r="Q801" s="33">
        <f t="shared" si="159"/>
        <v>7.65</v>
      </c>
      <c r="R801" s="33">
        <f t="shared" si="159"/>
        <v>6.12</v>
      </c>
      <c r="S801" s="34">
        <f t="shared" si="158"/>
        <v>13.77</v>
      </c>
      <c r="T801" s="35" t="s">
        <v>39</v>
      </c>
      <c r="U801" s="19" t="s">
        <v>647</v>
      </c>
      <c r="V801" s="19" t="str">
        <f>IF(OR($H801="",$H801="sif",$H801="PM"),"",VLOOKUP($H801,[5]CU!$C$5:$J$255,8,FALSE))</f>
        <v>3. Dépenses de fonctionnement</v>
      </c>
      <c r="W801" s="19" t="s">
        <v>398</v>
      </c>
      <c r="X801" s="19" t="s">
        <v>987</v>
      </c>
      <c r="Y801" s="19" t="s">
        <v>32</v>
      </c>
      <c r="Z801" s="18" t="str">
        <f>A801 &amp; "-" &amp; VLOOKUP(A801,[4]PROGRAMMES!$E$1:$F$7,2,FALSE)</f>
        <v>2-Qualité des enseignements et des apprentissages</v>
      </c>
      <c r="AA801" s="19" t="str">
        <f>B801 &amp; "-" &amp; VLOOKUP(B801,[4]SOUSPROGRAMMES!$E$1:$F$44,2,FALSE)</f>
        <v xml:space="preserve">25- Conditions d’apprentissage améliorées </v>
      </c>
      <c r="AB801" s="19" t="str">
        <f>C801 &amp; "-" &amp; VLOOKUP(C801,[4]RESULTATS!$E$1:$F$176,2,FALSE)</f>
        <v>256- Les laboratoires et kits sont installés progressivement dans les établissements secondaires</v>
      </c>
      <c r="AC801" s="20" t="str">
        <f>D801 &amp; "-" &amp; VLOOKUP(D801,[4]STRATEGIES!$E$1:$F$504,2,FALSE)</f>
        <v>2562-Promotion de l’initiative de l’enseignement des mathématiques, des sciences au Secondaire</v>
      </c>
      <c r="AD801" s="21" t="str">
        <f t="shared" si="155"/>
        <v>256214-Traitement et analyse des données recueillies (élaboration du rapport de suivi)</v>
      </c>
    </row>
    <row r="802" spans="1:30" s="22" customFormat="1" ht="45" hidden="1" customHeight="1" x14ac:dyDescent="0.8">
      <c r="A802" s="14">
        <v>2</v>
      </c>
      <c r="B802" s="15">
        <v>25</v>
      </c>
      <c r="C802" s="15">
        <v>256</v>
      </c>
      <c r="D802" s="15">
        <v>2562</v>
      </c>
      <c r="E802" s="15">
        <v>256215</v>
      </c>
      <c r="F802" s="16" t="s">
        <v>988</v>
      </c>
      <c r="G802" s="21" t="s">
        <v>37</v>
      </c>
      <c r="H802" s="17" t="s">
        <v>66</v>
      </c>
      <c r="I802" s="33">
        <v>0</v>
      </c>
      <c r="J802" s="33"/>
      <c r="K802" s="33"/>
      <c r="L802" s="33">
        <f>20*3</f>
        <v>60</v>
      </c>
      <c r="M802" s="33">
        <f t="shared" si="157"/>
        <v>60</v>
      </c>
      <c r="N802" s="33">
        <f>IF(OR(H802="",H802="sif",H802="PM"),0,VLOOKUP(H802,[5]CU!$C$4:$H$255,6,FALSE))</f>
        <v>0.255</v>
      </c>
      <c r="O802" s="33">
        <f t="shared" si="159"/>
        <v>0</v>
      </c>
      <c r="P802" s="33">
        <f t="shared" si="159"/>
        <v>0</v>
      </c>
      <c r="Q802" s="33">
        <f t="shared" si="159"/>
        <v>0</v>
      </c>
      <c r="R802" s="33">
        <f t="shared" si="159"/>
        <v>15.3</v>
      </c>
      <c r="S802" s="34">
        <f t="shared" si="158"/>
        <v>15.3</v>
      </c>
      <c r="T802" s="35" t="s">
        <v>39</v>
      </c>
      <c r="U802" s="19" t="s">
        <v>647</v>
      </c>
      <c r="V802" s="19" t="str">
        <f>IF(OR($H802="",$H802="sif",$H802="PM"),"",VLOOKUP($H802,[5]CU!$C$5:$J$255,8,FALSE))</f>
        <v>3. Dépenses de fonctionnement</v>
      </c>
      <c r="W802" s="19" t="s">
        <v>398</v>
      </c>
      <c r="X802" s="19" t="s">
        <v>987</v>
      </c>
      <c r="Y802" s="19" t="s">
        <v>32</v>
      </c>
      <c r="Z802" s="18" t="str">
        <f>A802 &amp; "-" &amp; VLOOKUP(A802,[4]PROGRAMMES!$E$1:$F$7,2,FALSE)</f>
        <v>2-Qualité des enseignements et des apprentissages</v>
      </c>
      <c r="AA802" s="19" t="str">
        <f>B802 &amp; "-" &amp; VLOOKUP(B802,[4]SOUSPROGRAMMES!$E$1:$F$44,2,FALSE)</f>
        <v xml:space="preserve">25- Conditions d’apprentissage améliorées </v>
      </c>
      <c r="AB802" s="19" t="str">
        <f>C802 &amp; "-" &amp; VLOOKUP(C802,[4]RESULTATS!$E$1:$F$176,2,FALSE)</f>
        <v>256- Les laboratoires et kits sont installés progressivement dans les établissements secondaires</v>
      </c>
      <c r="AC802" s="20" t="str">
        <f>D802 &amp; "-" &amp; VLOOKUP(D802,[4]STRATEGIES!$E$1:$F$504,2,FALSE)</f>
        <v>2562-Promotion de l’initiative de l’enseignement des mathématiques, des sciences au Secondaire</v>
      </c>
      <c r="AD802" s="21" t="str">
        <f t="shared" si="155"/>
        <v>256215- validation du rapport de suivi</v>
      </c>
    </row>
    <row r="803" spans="1:30" s="22" customFormat="1" ht="45" hidden="1" customHeight="1" x14ac:dyDescent="0.8">
      <c r="A803" s="14">
        <v>2</v>
      </c>
      <c r="B803" s="15">
        <v>25</v>
      </c>
      <c r="C803" s="15">
        <v>256</v>
      </c>
      <c r="D803" s="15">
        <v>2563</v>
      </c>
      <c r="E803" s="15">
        <v>2563</v>
      </c>
      <c r="F803" s="16" t="s">
        <v>989</v>
      </c>
      <c r="G803" s="17"/>
      <c r="H803" s="17"/>
      <c r="I803" s="33">
        <v>0</v>
      </c>
      <c r="J803" s="33"/>
      <c r="K803" s="33"/>
      <c r="L803" s="33"/>
      <c r="M803" s="33"/>
      <c r="N803" s="33"/>
      <c r="O803" s="33"/>
      <c r="P803" s="33"/>
      <c r="Q803" s="33"/>
      <c r="R803" s="33"/>
      <c r="S803" s="34"/>
      <c r="T803" s="33"/>
      <c r="U803" s="18"/>
      <c r="V803" s="18"/>
      <c r="W803" s="18"/>
      <c r="X803" s="18"/>
      <c r="Y803" s="19" t="s">
        <v>32</v>
      </c>
      <c r="Z803" s="18" t="str">
        <f>A803 &amp; "-" &amp; VLOOKUP(A803,[4]PROGRAMMES!$E$1:$F$7,2,FALSE)</f>
        <v>2-Qualité des enseignements et des apprentissages</v>
      </c>
      <c r="AA803" s="19" t="str">
        <f>B803 &amp; "-" &amp; VLOOKUP(B803,[4]SOUSPROGRAMMES!$E$1:$F$44,2,FALSE)</f>
        <v xml:space="preserve">25- Conditions d’apprentissage améliorées </v>
      </c>
      <c r="AB803" s="19" t="str">
        <f>C803 &amp; "-" &amp; VLOOKUP(C803,[4]RESULTATS!$E$1:$F$176,2,FALSE)</f>
        <v>256- Les laboratoires et kits sont installés progressivement dans les établissements secondaires</v>
      </c>
      <c r="AC803" s="20" t="str">
        <f>D803 &amp; "-" &amp; VLOOKUP(D803,[4]STRATEGIES!$E$1:$F$504,2,FALSE)</f>
        <v>2563-Promotion et développement des TICE dans les enseignements apprentissages</v>
      </c>
      <c r="AD803" s="21" t="str">
        <f t="shared" si="155"/>
        <v>2563-Promotion et développement des TICE dans les enseignements apprentissages</v>
      </c>
    </row>
    <row r="804" spans="1:30" s="22" customFormat="1" ht="45" hidden="1" customHeight="1" x14ac:dyDescent="0.8">
      <c r="A804" s="14">
        <v>2</v>
      </c>
      <c r="B804" s="15">
        <v>25</v>
      </c>
      <c r="C804" s="15">
        <v>256</v>
      </c>
      <c r="D804" s="15">
        <v>2563</v>
      </c>
      <c r="E804" s="15">
        <v>25631</v>
      </c>
      <c r="F804" s="16" t="s">
        <v>990</v>
      </c>
      <c r="G804" s="21" t="s">
        <v>991</v>
      </c>
      <c r="H804" s="17" t="s">
        <v>992</v>
      </c>
      <c r="I804" s="33">
        <v>0</v>
      </c>
      <c r="J804" s="33"/>
      <c r="K804" s="33"/>
      <c r="L804" s="33"/>
      <c r="M804" s="33">
        <f t="shared" si="157"/>
        <v>0</v>
      </c>
      <c r="N804" s="33">
        <f>IF(OR(H804="",H804="sif",H804="PM"),0,VLOOKUP(H804,[5]CU!$C$4:$H$255,6,FALSE))</f>
        <v>475</v>
      </c>
      <c r="O804" s="33">
        <f t="shared" si="159"/>
        <v>0</v>
      </c>
      <c r="P804" s="33">
        <f t="shared" si="159"/>
        <v>0</v>
      </c>
      <c r="Q804" s="33">
        <f t="shared" si="159"/>
        <v>0</v>
      </c>
      <c r="R804" s="33">
        <f t="shared" si="159"/>
        <v>0</v>
      </c>
      <c r="S804" s="34">
        <f t="shared" si="158"/>
        <v>0</v>
      </c>
      <c r="T804" s="35" t="s">
        <v>67</v>
      </c>
      <c r="U804" s="18" t="s">
        <v>647</v>
      </c>
      <c r="V804" s="18" t="str">
        <f>IF(OR($H804="",$H804="sif",$H804="PM"),"",VLOOKUP($H804,[5]CU!$C$5:$J$255,8,FALSE))</f>
        <v>3. Dépenses de fonctionnement</v>
      </c>
      <c r="W804" s="18" t="s">
        <v>993</v>
      </c>
      <c r="X804" s="18" t="s">
        <v>993</v>
      </c>
      <c r="Y804" s="19" t="s">
        <v>32</v>
      </c>
      <c r="Z804" s="18" t="str">
        <f>A804 &amp; "-" &amp; VLOOKUP(A804,[4]PROGRAMMES!$E$1:$F$7,2,FALSE)</f>
        <v>2-Qualité des enseignements et des apprentissages</v>
      </c>
      <c r="AA804" s="19" t="str">
        <f>B804 &amp; "-" &amp; VLOOKUP(B804,[4]SOUSPROGRAMMES!$E$1:$F$44,2,FALSE)</f>
        <v xml:space="preserve">25- Conditions d’apprentissage améliorées </v>
      </c>
      <c r="AB804" s="19" t="str">
        <f>C804 &amp; "-" &amp; VLOOKUP(C804,[4]RESULTATS!$E$1:$F$176,2,FALSE)</f>
        <v>256- Les laboratoires et kits sont installés progressivement dans les établissements secondaires</v>
      </c>
      <c r="AC804" s="20" t="str">
        <f>D804 &amp; "-" &amp; VLOOKUP(D804,[4]STRATEGIES!$E$1:$F$504,2,FALSE)</f>
        <v>2563-Promotion et développement des TICE dans les enseignements apprentissages</v>
      </c>
      <c r="AD804" s="21" t="str">
        <f t="shared" si="155"/>
        <v>25631-Elaboration d'un document de politique d'introduction des TICE dans l'éducation</v>
      </c>
    </row>
    <row r="805" spans="1:30" s="22" customFormat="1" ht="45" hidden="1" customHeight="1" x14ac:dyDescent="0.8">
      <c r="A805" s="14">
        <v>2</v>
      </c>
      <c r="B805" s="15">
        <v>25</v>
      </c>
      <c r="C805" s="15">
        <v>256</v>
      </c>
      <c r="D805" s="15">
        <v>2563</v>
      </c>
      <c r="E805" s="15">
        <v>25632</v>
      </c>
      <c r="F805" s="16" t="s">
        <v>994</v>
      </c>
      <c r="G805" s="21" t="s">
        <v>37</v>
      </c>
      <c r="H805" s="17" t="s">
        <v>66</v>
      </c>
      <c r="I805" s="33">
        <v>0</v>
      </c>
      <c r="J805" s="33">
        <f>10*5</f>
        <v>50</v>
      </c>
      <c r="K805" s="33"/>
      <c r="L805" s="33"/>
      <c r="M805" s="33">
        <f t="shared" si="157"/>
        <v>50</v>
      </c>
      <c r="N805" s="33">
        <f>IF(OR(H805="",H805="sif",H805="PM"),0,VLOOKUP(H805,[5]CU!$C$4:$H$255,6,FALSE))</f>
        <v>0.255</v>
      </c>
      <c r="O805" s="33">
        <f t="shared" si="159"/>
        <v>0</v>
      </c>
      <c r="P805" s="33">
        <f t="shared" si="159"/>
        <v>12.75</v>
      </c>
      <c r="Q805" s="33">
        <f t="shared" si="159"/>
        <v>0</v>
      </c>
      <c r="R805" s="33">
        <f t="shared" si="159"/>
        <v>0</v>
      </c>
      <c r="S805" s="34">
        <f t="shared" si="158"/>
        <v>12.75</v>
      </c>
      <c r="T805" s="35" t="s">
        <v>39</v>
      </c>
      <c r="U805" s="19" t="s">
        <v>647</v>
      </c>
      <c r="V805" s="19" t="str">
        <f>IF(OR($H805="",$H805="sif",$H805="PM"),"",VLOOKUP($H805,[5]CU!$C$5:$J$255,8,FALSE))</f>
        <v>3. Dépenses de fonctionnement</v>
      </c>
      <c r="W805" s="19" t="s">
        <v>993</v>
      </c>
      <c r="X805" s="19" t="s">
        <v>995</v>
      </c>
      <c r="Y805" s="19" t="s">
        <v>32</v>
      </c>
      <c r="Z805" s="18" t="str">
        <f>A805 &amp; "-" &amp; VLOOKUP(A805,[4]PROGRAMMES!$E$1:$F$7,2,FALSE)</f>
        <v>2-Qualité des enseignements et des apprentissages</v>
      </c>
      <c r="AA805" s="19" t="str">
        <f>B805 &amp; "-" &amp; VLOOKUP(B805,[4]SOUSPROGRAMMES!$E$1:$F$44,2,FALSE)</f>
        <v xml:space="preserve">25- Conditions d’apprentissage améliorées </v>
      </c>
      <c r="AB805" s="19" t="str">
        <f>C805 &amp; "-" &amp; VLOOKUP(C805,[4]RESULTATS!$E$1:$F$176,2,FALSE)</f>
        <v>256- Les laboratoires et kits sont installés progressivement dans les établissements secondaires</v>
      </c>
      <c r="AC805" s="20" t="str">
        <f>D805 &amp; "-" &amp; VLOOKUP(D805,[4]STRATEGIES!$E$1:$F$504,2,FALSE)</f>
        <v>2563-Promotion et développement des TICE dans les enseignements apprentissages</v>
      </c>
      <c r="AD805" s="21" t="str">
        <f t="shared" si="155"/>
        <v>25632-Elaboration des outils de collecte des informations sur l'utilisation des TICE dans les établissements scolaires</v>
      </c>
    </row>
    <row r="806" spans="1:30" s="22" customFormat="1" ht="45" hidden="1" customHeight="1" x14ac:dyDescent="0.8">
      <c r="A806" s="14">
        <v>2</v>
      </c>
      <c r="B806" s="15">
        <v>25</v>
      </c>
      <c r="C806" s="15">
        <v>256</v>
      </c>
      <c r="D806" s="15">
        <v>2563</v>
      </c>
      <c r="E806" s="15">
        <v>25633</v>
      </c>
      <c r="F806" s="16" t="s">
        <v>996</v>
      </c>
      <c r="G806" s="21" t="s">
        <v>298</v>
      </c>
      <c r="H806" s="17" t="s">
        <v>38</v>
      </c>
      <c r="I806" s="33">
        <v>0</v>
      </c>
      <c r="J806" s="33">
        <f>20*1</f>
        <v>20</v>
      </c>
      <c r="K806" s="33"/>
      <c r="L806" s="33"/>
      <c r="M806" s="33">
        <f t="shared" si="157"/>
        <v>20</v>
      </c>
      <c r="N806" s="33">
        <f>IF(OR(H806="",H806="sif",H806="PM"),0,VLOOKUP(H806,[5]CU!$C$4:$H$255,6,FALSE))</f>
        <v>0.3133333333333333</v>
      </c>
      <c r="O806" s="33">
        <f t="shared" si="159"/>
        <v>0</v>
      </c>
      <c r="P806" s="33">
        <f t="shared" si="159"/>
        <v>6.2666666666666657</v>
      </c>
      <c r="Q806" s="33">
        <f t="shared" si="159"/>
        <v>0</v>
      </c>
      <c r="R806" s="33">
        <f t="shared" si="159"/>
        <v>0</v>
      </c>
      <c r="S806" s="34">
        <f t="shared" si="158"/>
        <v>6.2666666666666657</v>
      </c>
      <c r="T806" s="35" t="s">
        <v>39</v>
      </c>
      <c r="U806" s="19" t="s">
        <v>647</v>
      </c>
      <c r="V806" s="19" t="str">
        <f>IF(OR($H806="",$H806="sif",$H806="PM"),"",VLOOKUP($H806,[5]CU!$C$5:$J$255,8,FALSE))</f>
        <v>3. Formation</v>
      </c>
      <c r="W806" s="19" t="s">
        <v>993</v>
      </c>
      <c r="X806" s="19" t="s">
        <v>995</v>
      </c>
      <c r="Y806" s="19" t="s">
        <v>32</v>
      </c>
      <c r="Z806" s="18" t="str">
        <f>A806 &amp; "-" &amp; VLOOKUP(A806,[4]PROGRAMMES!$E$1:$F$7,2,FALSE)</f>
        <v>2-Qualité des enseignements et des apprentissages</v>
      </c>
      <c r="AA806" s="19" t="str">
        <f>B806 &amp; "-" &amp; VLOOKUP(B806,[4]SOUSPROGRAMMES!$E$1:$F$44,2,FALSE)</f>
        <v xml:space="preserve">25- Conditions d’apprentissage améliorées </v>
      </c>
      <c r="AB806" s="19" t="str">
        <f>C806 &amp; "-" &amp; VLOOKUP(C806,[4]RESULTATS!$E$1:$F$176,2,FALSE)</f>
        <v>256- Les laboratoires et kits sont installés progressivement dans les établissements secondaires</v>
      </c>
      <c r="AC806" s="20" t="str">
        <f>D806 &amp; "-" &amp; VLOOKUP(D806,[4]STRATEGIES!$E$1:$F$504,2,FALSE)</f>
        <v>2563-Promotion et développement des TICE dans les enseignements apprentissages</v>
      </c>
      <c r="AD806" s="21" t="str">
        <f t="shared" si="155"/>
        <v>25633-Validation des outils</v>
      </c>
    </row>
    <row r="807" spans="1:30" s="22" customFormat="1" ht="45" hidden="1" customHeight="1" x14ac:dyDescent="0.8">
      <c r="A807" s="14">
        <v>2</v>
      </c>
      <c r="B807" s="15">
        <v>25</v>
      </c>
      <c r="C807" s="15">
        <v>256</v>
      </c>
      <c r="D807" s="15">
        <v>2563</v>
      </c>
      <c r="E807" s="15">
        <v>25634</v>
      </c>
      <c r="F807" s="16" t="s">
        <v>997</v>
      </c>
      <c r="G807" s="21" t="s">
        <v>92</v>
      </c>
      <c r="H807" s="17" t="s">
        <v>55</v>
      </c>
      <c r="I807" s="33">
        <v>0</v>
      </c>
      <c r="J807" s="33">
        <v>1</v>
      </c>
      <c r="K807" s="33"/>
      <c r="L807" s="33"/>
      <c r="M807" s="33">
        <f t="shared" si="157"/>
        <v>1</v>
      </c>
      <c r="N807" s="33">
        <f>IF(OR(H807="",H807="sif",H807="PM"),0,VLOOKUP(H807,[5]CU!$C$4:$H$255,6,FALSE))</f>
        <v>0</v>
      </c>
      <c r="O807" s="33">
        <f t="shared" si="159"/>
        <v>0</v>
      </c>
      <c r="P807" s="33">
        <f t="shared" si="159"/>
        <v>0</v>
      </c>
      <c r="Q807" s="33">
        <f t="shared" si="159"/>
        <v>0</v>
      </c>
      <c r="R807" s="33">
        <f t="shared" si="159"/>
        <v>0</v>
      </c>
      <c r="S807" s="34"/>
      <c r="T807" s="35" t="s">
        <v>39</v>
      </c>
      <c r="U807" s="18" t="s">
        <v>647</v>
      </c>
      <c r="V807" s="18" t="str">
        <f>IF(OR($H807="",$H807="sif",$H807="PM"),"",VLOOKUP($H807,[5]CU!$C$5:$J$255,8,FALSE))</f>
        <v/>
      </c>
      <c r="W807" s="18" t="s">
        <v>993</v>
      </c>
      <c r="X807" s="18" t="s">
        <v>995</v>
      </c>
      <c r="Y807" s="19" t="s">
        <v>32</v>
      </c>
      <c r="Z807" s="18" t="str">
        <f>A807 &amp; "-" &amp; VLOOKUP(A807,[4]PROGRAMMES!$E$1:$F$7,2,FALSE)</f>
        <v>2-Qualité des enseignements et des apprentissages</v>
      </c>
      <c r="AA807" s="19" t="str">
        <f>B807 &amp; "-" &amp; VLOOKUP(B807,[4]SOUSPROGRAMMES!$E$1:$F$44,2,FALSE)</f>
        <v xml:space="preserve">25- Conditions d’apprentissage améliorées </v>
      </c>
      <c r="AB807" s="19" t="str">
        <f>C807 &amp; "-" &amp; VLOOKUP(C807,[4]RESULTATS!$E$1:$F$176,2,FALSE)</f>
        <v>256- Les laboratoires et kits sont installés progressivement dans les établissements secondaires</v>
      </c>
      <c r="AC807" s="20" t="str">
        <f>D807 &amp; "-" &amp; VLOOKUP(D807,[4]STRATEGIES!$E$1:$F$504,2,FALSE)</f>
        <v>2563-Promotion et développement des TICE dans les enseignements apprentissages</v>
      </c>
      <c r="AD807" s="21" t="str">
        <f t="shared" si="155"/>
        <v>25634-Manuel de remplissage du questionnaire (prise en compte dans l'activité 23261)</v>
      </c>
    </row>
    <row r="808" spans="1:30" s="22" customFormat="1" ht="45" hidden="1" customHeight="1" x14ac:dyDescent="0.8">
      <c r="A808" s="14">
        <v>2</v>
      </c>
      <c r="B808" s="15">
        <v>25</v>
      </c>
      <c r="C808" s="15">
        <v>256</v>
      </c>
      <c r="D808" s="15">
        <v>2563</v>
      </c>
      <c r="E808" s="15">
        <v>25635</v>
      </c>
      <c r="F808" s="16" t="s">
        <v>998</v>
      </c>
      <c r="G808" s="21" t="s">
        <v>92</v>
      </c>
      <c r="H808" s="17" t="s">
        <v>55</v>
      </c>
      <c r="I808" s="33">
        <v>0</v>
      </c>
      <c r="J808" s="33"/>
      <c r="K808" s="33">
        <v>1</v>
      </c>
      <c r="L808" s="33"/>
      <c r="M808" s="33">
        <f t="shared" si="157"/>
        <v>1</v>
      </c>
      <c r="N808" s="33">
        <f>IF(OR(H808="",H808="sif",H808="PM"),0,VLOOKUP(H808,[5]CU!$C$4:$H$255,6,FALSE))</f>
        <v>0</v>
      </c>
      <c r="O808" s="33">
        <f t="shared" si="159"/>
        <v>0</v>
      </c>
      <c r="P808" s="33">
        <f t="shared" si="159"/>
        <v>0</v>
      </c>
      <c r="Q808" s="33">
        <f t="shared" si="159"/>
        <v>0</v>
      </c>
      <c r="R808" s="33">
        <f t="shared" si="159"/>
        <v>0</v>
      </c>
      <c r="S808" s="34"/>
      <c r="T808" s="35" t="s">
        <v>39</v>
      </c>
      <c r="U808" s="18" t="s">
        <v>647</v>
      </c>
      <c r="V808" s="18" t="str">
        <f>IF(OR($H808="",$H808="sif",$H808="PM"),"",VLOOKUP($H808,[5]CU!$C$5:$J$255,8,FALSE))</f>
        <v/>
      </c>
      <c r="W808" s="18" t="s">
        <v>993</v>
      </c>
      <c r="X808" s="18" t="s">
        <v>96</v>
      </c>
      <c r="Y808" s="19" t="s">
        <v>32</v>
      </c>
      <c r="Z808" s="18" t="str">
        <f>A808 &amp; "-" &amp; VLOOKUP(A808,[4]PROGRAMMES!$E$1:$F$7,2,FALSE)</f>
        <v>2-Qualité des enseignements et des apprentissages</v>
      </c>
      <c r="AA808" s="19" t="str">
        <f>B808 &amp; "-" &amp; VLOOKUP(B808,[4]SOUSPROGRAMMES!$E$1:$F$44,2,FALSE)</f>
        <v xml:space="preserve">25- Conditions d’apprentissage améliorées </v>
      </c>
      <c r="AB808" s="19" t="str">
        <f>C808 &amp; "-" &amp; VLOOKUP(C808,[4]RESULTATS!$E$1:$F$176,2,FALSE)</f>
        <v>256- Les laboratoires et kits sont installés progressivement dans les établissements secondaires</v>
      </c>
      <c r="AC808" s="20" t="str">
        <f>D808 &amp; "-" &amp; VLOOKUP(D808,[4]STRATEGIES!$E$1:$F$504,2,FALSE)</f>
        <v>2563-Promotion et développement des TICE dans les enseignements apprentissages</v>
      </c>
      <c r="AD808" s="21" t="str">
        <f t="shared" si="155"/>
        <v>25635-Collecte des données (dans le cadre de l'enquête statistique annuelle)</v>
      </c>
    </row>
    <row r="809" spans="1:30" s="22" customFormat="1" ht="45" hidden="1" customHeight="1" x14ac:dyDescent="0.8">
      <c r="A809" s="14">
        <v>2</v>
      </c>
      <c r="B809" s="15">
        <v>25</v>
      </c>
      <c r="C809" s="15">
        <v>256</v>
      </c>
      <c r="D809" s="15">
        <v>2563</v>
      </c>
      <c r="E809" s="15">
        <v>25636</v>
      </c>
      <c r="F809" s="16" t="s">
        <v>999</v>
      </c>
      <c r="G809" s="21" t="s">
        <v>182</v>
      </c>
      <c r="H809" s="17" t="s">
        <v>55</v>
      </c>
      <c r="I809" s="33">
        <v>0</v>
      </c>
      <c r="J809" s="33"/>
      <c r="K809" s="33">
        <v>1</v>
      </c>
      <c r="L809" s="33"/>
      <c r="M809" s="33">
        <f t="shared" si="157"/>
        <v>1</v>
      </c>
      <c r="N809" s="33">
        <f>IF(OR(H809="",H809="sif",H809="PM"),0,VLOOKUP(H809,[5]CU!$C$4:$H$255,6,FALSE))</f>
        <v>0</v>
      </c>
      <c r="O809" s="33">
        <f t="shared" si="159"/>
        <v>0</v>
      </c>
      <c r="P809" s="33">
        <f t="shared" si="159"/>
        <v>0</v>
      </c>
      <c r="Q809" s="33">
        <f t="shared" si="159"/>
        <v>0</v>
      </c>
      <c r="R809" s="33">
        <f t="shared" si="159"/>
        <v>0</v>
      </c>
      <c r="S809" s="34"/>
      <c r="T809" s="35" t="s">
        <v>39</v>
      </c>
      <c r="U809" s="18" t="s">
        <v>647</v>
      </c>
      <c r="V809" s="18" t="str">
        <f>IF(OR($H809="",$H809="sif",$H809="PM"),"",VLOOKUP($H809,[5]CU!$C$5:$J$255,8,FALSE))</f>
        <v/>
      </c>
      <c r="W809" s="18" t="s">
        <v>993</v>
      </c>
      <c r="X809" s="18" t="s">
        <v>96</v>
      </c>
      <c r="Y809" s="19" t="s">
        <v>32</v>
      </c>
      <c r="Z809" s="18" t="str">
        <f>A809 &amp; "-" &amp; VLOOKUP(A809,[4]PROGRAMMES!$E$1:$F$7,2,FALSE)</f>
        <v>2-Qualité des enseignements et des apprentissages</v>
      </c>
      <c r="AA809" s="19" t="str">
        <f>B809 &amp; "-" &amp; VLOOKUP(B809,[4]SOUSPROGRAMMES!$E$1:$F$44,2,FALSE)</f>
        <v xml:space="preserve">25- Conditions d’apprentissage améliorées </v>
      </c>
      <c r="AB809" s="19" t="str">
        <f>C809 &amp; "-" &amp; VLOOKUP(C809,[4]RESULTATS!$E$1:$F$176,2,FALSE)</f>
        <v>256- Les laboratoires et kits sont installés progressivement dans les établissements secondaires</v>
      </c>
      <c r="AC809" s="20" t="str">
        <f>D809 &amp; "-" &amp; VLOOKUP(D809,[4]STRATEGIES!$E$1:$F$504,2,FALSE)</f>
        <v>2563-Promotion et développement des TICE dans les enseignements apprentissages</v>
      </c>
      <c r="AD809" s="21" t="str">
        <f t="shared" si="155"/>
        <v>25636-Traitement et analyse des données recueillies et rédaction du rapport diagnostic</v>
      </c>
    </row>
    <row r="810" spans="1:30" s="22" customFormat="1" ht="45" hidden="1" customHeight="1" x14ac:dyDescent="0.8">
      <c r="A810" s="14">
        <v>2</v>
      </c>
      <c r="B810" s="15">
        <v>25</v>
      </c>
      <c r="C810" s="15">
        <v>256</v>
      </c>
      <c r="D810" s="15">
        <v>2563</v>
      </c>
      <c r="E810" s="15">
        <v>25637</v>
      </c>
      <c r="F810" s="16" t="s">
        <v>1000</v>
      </c>
      <c r="G810" s="21" t="s">
        <v>37</v>
      </c>
      <c r="H810" s="17" t="s">
        <v>38</v>
      </c>
      <c r="I810" s="33">
        <v>0</v>
      </c>
      <c r="J810" s="33"/>
      <c r="K810" s="33">
        <f>30*2</f>
        <v>60</v>
      </c>
      <c r="L810" s="33"/>
      <c r="M810" s="33">
        <f t="shared" si="157"/>
        <v>60</v>
      </c>
      <c r="N810" s="33">
        <f>IF(OR(H810="",H810="sif",H810="PM"),0,VLOOKUP(H810,[5]CU!$C$4:$H$255,6,FALSE))</f>
        <v>0.3133333333333333</v>
      </c>
      <c r="O810" s="33">
        <f t="shared" si="159"/>
        <v>0</v>
      </c>
      <c r="P810" s="33">
        <f t="shared" si="159"/>
        <v>0</v>
      </c>
      <c r="Q810" s="33">
        <f t="shared" si="159"/>
        <v>18.799999999999997</v>
      </c>
      <c r="R810" s="33">
        <f t="shared" si="159"/>
        <v>0</v>
      </c>
      <c r="S810" s="34">
        <f>SUM(O810:R810)</f>
        <v>18.799999999999997</v>
      </c>
      <c r="T810" s="35" t="s">
        <v>39</v>
      </c>
      <c r="U810" s="19" t="s">
        <v>647</v>
      </c>
      <c r="V810" s="19" t="str">
        <f>IF(OR($H810="",$H810="sif",$H810="PM"),"",VLOOKUP($H810,[5]CU!$C$5:$J$255,8,FALSE))</f>
        <v>3. Formation</v>
      </c>
      <c r="W810" s="19" t="s">
        <v>993</v>
      </c>
      <c r="X810" s="19" t="s">
        <v>398</v>
      </c>
      <c r="Y810" s="19" t="s">
        <v>32</v>
      </c>
      <c r="Z810" s="18" t="str">
        <f>A810 &amp; "-" &amp; VLOOKUP(A810,[4]PROGRAMMES!$E$1:$F$7,2,FALSE)</f>
        <v>2-Qualité des enseignements et des apprentissages</v>
      </c>
      <c r="AA810" s="19" t="str">
        <f>B810 &amp; "-" &amp; VLOOKUP(B810,[4]SOUSPROGRAMMES!$E$1:$F$44,2,FALSE)</f>
        <v xml:space="preserve">25- Conditions d’apprentissage améliorées </v>
      </c>
      <c r="AB810" s="19" t="str">
        <f>C810 &amp; "-" &amp; VLOOKUP(C810,[4]RESULTATS!$E$1:$F$176,2,FALSE)</f>
        <v>256- Les laboratoires et kits sont installés progressivement dans les établissements secondaires</v>
      </c>
      <c r="AC810" s="20" t="str">
        <f>D810 &amp; "-" &amp; VLOOKUP(D810,[4]STRATEGIES!$E$1:$F$504,2,FALSE)</f>
        <v>2563-Promotion et développement des TICE dans les enseignements apprentissages</v>
      </c>
      <c r="AD810" s="21" t="str">
        <f t="shared" si="155"/>
        <v>25637-Validation du rapport diagnostic des TICE</v>
      </c>
    </row>
    <row r="811" spans="1:30" s="22" customFormat="1" ht="45" hidden="1" customHeight="1" x14ac:dyDescent="0.8">
      <c r="A811" s="14">
        <v>2</v>
      </c>
      <c r="B811" s="15">
        <v>25</v>
      </c>
      <c r="C811" s="15">
        <v>256</v>
      </c>
      <c r="D811" s="15">
        <v>2563</v>
      </c>
      <c r="E811" s="15">
        <v>25638</v>
      </c>
      <c r="F811" s="16" t="s">
        <v>1001</v>
      </c>
      <c r="G811" s="21" t="s">
        <v>37</v>
      </c>
      <c r="H811" s="17" t="s">
        <v>66</v>
      </c>
      <c r="I811" s="33">
        <v>0</v>
      </c>
      <c r="J811" s="33"/>
      <c r="K811" s="33">
        <f>10*10</f>
        <v>100</v>
      </c>
      <c r="L811" s="33"/>
      <c r="M811" s="33">
        <f t="shared" si="157"/>
        <v>100</v>
      </c>
      <c r="N811" s="33">
        <f>IF(OR(H811="",H811="sif",H811="PM"),0,VLOOKUP(H811,[5]CU!$C$4:$H$255,6,FALSE))</f>
        <v>0.255</v>
      </c>
      <c r="O811" s="33">
        <f t="shared" si="159"/>
        <v>0</v>
      </c>
      <c r="P811" s="33">
        <f t="shared" si="159"/>
        <v>0</v>
      </c>
      <c r="Q811" s="33">
        <f t="shared" si="159"/>
        <v>25.5</v>
      </c>
      <c r="R811" s="33">
        <f t="shared" si="159"/>
        <v>0</v>
      </c>
      <c r="S811" s="34">
        <f>SUM(O811:R811)</f>
        <v>25.5</v>
      </c>
      <c r="T811" s="35" t="s">
        <v>39</v>
      </c>
      <c r="U811" s="19" t="s">
        <v>647</v>
      </c>
      <c r="V811" s="19" t="str">
        <f>IF(OR($H811="",$H811="sif",$H811="PM"),"",VLOOKUP($H811,[5]CU!$C$5:$J$255,8,FALSE))</f>
        <v>3. Dépenses de fonctionnement</v>
      </c>
      <c r="W811" s="19" t="s">
        <v>993</v>
      </c>
      <c r="X811" s="19" t="s">
        <v>398</v>
      </c>
      <c r="Y811" s="19" t="s">
        <v>32</v>
      </c>
      <c r="Z811" s="18" t="str">
        <f>A811 &amp; "-" &amp; VLOOKUP(A811,[4]PROGRAMMES!$E$1:$F$7,2,FALSE)</f>
        <v>2-Qualité des enseignements et des apprentissages</v>
      </c>
      <c r="AA811" s="19" t="str">
        <f>B811 &amp; "-" &amp; VLOOKUP(B811,[4]SOUSPROGRAMMES!$E$1:$F$44,2,FALSE)</f>
        <v xml:space="preserve">25- Conditions d’apprentissage améliorées </v>
      </c>
      <c r="AB811" s="19" t="str">
        <f>C811 &amp; "-" &amp; VLOOKUP(C811,[4]RESULTATS!$E$1:$F$176,2,FALSE)</f>
        <v>256- Les laboratoires et kits sont installés progressivement dans les établissements secondaires</v>
      </c>
      <c r="AC811" s="20" t="str">
        <f>D811 &amp; "-" &amp; VLOOKUP(D811,[4]STRATEGIES!$E$1:$F$504,2,FALSE)</f>
        <v>2563-Promotion et développement des TICE dans les enseignements apprentissages</v>
      </c>
      <c r="AD811" s="21" t="str">
        <f t="shared" si="155"/>
        <v>25638-Elaboration d'un schéma directeur d'informatisation des établissements du secondaire</v>
      </c>
    </row>
    <row r="812" spans="1:30" s="22" customFormat="1" ht="45" hidden="1" customHeight="1" x14ac:dyDescent="0.8">
      <c r="A812" s="14">
        <v>2</v>
      </c>
      <c r="B812" s="15">
        <v>25</v>
      </c>
      <c r="C812" s="15">
        <v>256</v>
      </c>
      <c r="D812" s="15">
        <v>2563</v>
      </c>
      <c r="E812" s="15">
        <v>25639</v>
      </c>
      <c r="F812" s="16" t="s">
        <v>1002</v>
      </c>
      <c r="G812" s="21" t="s">
        <v>51</v>
      </c>
      <c r="H812" s="17" t="s">
        <v>501</v>
      </c>
      <c r="I812" s="33">
        <v>0</v>
      </c>
      <c r="J812" s="33"/>
      <c r="K812" s="33">
        <v>4</v>
      </c>
      <c r="L812" s="33"/>
      <c r="M812" s="33">
        <f t="shared" si="157"/>
        <v>4</v>
      </c>
      <c r="N812" s="33">
        <f>IF(OR(H812="",H812="sif",H812="PM"),0,VLOOKUP(H812,[5]CU!$C$4:$H$255,6,FALSE))</f>
        <v>50.336534</v>
      </c>
      <c r="O812" s="33">
        <f t="shared" si="159"/>
        <v>0</v>
      </c>
      <c r="P812" s="33">
        <f t="shared" si="159"/>
        <v>0</v>
      </c>
      <c r="Q812" s="33">
        <f t="shared" si="159"/>
        <v>201.346136</v>
      </c>
      <c r="R812" s="33">
        <f t="shared" si="159"/>
        <v>0</v>
      </c>
      <c r="S812" s="34">
        <f>SUM(O812:R812)</f>
        <v>201.346136</v>
      </c>
      <c r="T812" s="35" t="s">
        <v>39</v>
      </c>
      <c r="U812" s="19" t="s">
        <v>647</v>
      </c>
      <c r="V812" s="19" t="str">
        <f>IF(OR($H812="",$H812="sif",$H812="PM"),"",VLOOKUP($H812,[5]CU!$C$5:$J$255,8,FALSE))</f>
        <v>3. Formation</v>
      </c>
      <c r="W812" s="19" t="s">
        <v>663</v>
      </c>
      <c r="X812" s="19" t="s">
        <v>993</v>
      </c>
      <c r="Y812" s="19" t="s">
        <v>32</v>
      </c>
      <c r="Z812" s="18" t="str">
        <f>A812 &amp; "-" &amp; VLOOKUP(A812,[4]PROGRAMMES!$E$1:$F$7,2,FALSE)</f>
        <v>2-Qualité des enseignements et des apprentissages</v>
      </c>
      <c r="AA812" s="19" t="str">
        <f>B812 &amp; "-" &amp; VLOOKUP(B812,[4]SOUSPROGRAMMES!$E$1:$F$44,2,FALSE)</f>
        <v xml:space="preserve">25- Conditions d’apprentissage améliorées </v>
      </c>
      <c r="AB812" s="19" t="str">
        <f>C812 &amp; "-" &amp; VLOOKUP(C812,[4]RESULTATS!$E$1:$F$176,2,FALSE)</f>
        <v>256- Les laboratoires et kits sont installés progressivement dans les établissements secondaires</v>
      </c>
      <c r="AC812" s="20" t="str">
        <f>D812 &amp; "-" &amp; VLOOKUP(D812,[4]STRATEGIES!$E$1:$F$504,2,FALSE)</f>
        <v>2563-Promotion et développement des TICE dans les enseignements apprentissages</v>
      </c>
      <c r="AD812" s="21" t="str">
        <f t="shared" si="155"/>
        <v xml:space="preserve">25639-Formation de 4 cadres du SITIC à l'extérieure sur Utilisation professionnelle de la micro-informatique et des technologies mobiles </v>
      </c>
    </row>
    <row r="813" spans="1:30" s="22" customFormat="1" ht="45" hidden="1" customHeight="1" x14ac:dyDescent="0.8">
      <c r="A813" s="14">
        <v>2</v>
      </c>
      <c r="B813" s="15">
        <v>25</v>
      </c>
      <c r="C813" s="15">
        <v>256</v>
      </c>
      <c r="D813" s="15">
        <v>2563</v>
      </c>
      <c r="E813" s="15">
        <v>256310</v>
      </c>
      <c r="F813" s="16" t="s">
        <v>1003</v>
      </c>
      <c r="G813" s="21" t="s">
        <v>182</v>
      </c>
      <c r="H813" s="17" t="s">
        <v>55</v>
      </c>
      <c r="I813" s="33">
        <v>0</v>
      </c>
      <c r="J813" s="33"/>
      <c r="K813" s="33"/>
      <c r="L813" s="33">
        <v>1</v>
      </c>
      <c r="M813" s="33">
        <f t="shared" si="157"/>
        <v>1</v>
      </c>
      <c r="N813" s="33">
        <f>IF(OR(H813="",H813="sif",H813="PM"),0,VLOOKUP(H813,[5]CU!$C$4:$H$255,6,FALSE))</f>
        <v>0</v>
      </c>
      <c r="O813" s="33">
        <f t="shared" si="159"/>
        <v>0</v>
      </c>
      <c r="P813" s="33">
        <f t="shared" si="159"/>
        <v>0</v>
      </c>
      <c r="Q813" s="33">
        <f t="shared" si="159"/>
        <v>0</v>
      </c>
      <c r="R813" s="33">
        <f t="shared" si="159"/>
        <v>0</v>
      </c>
      <c r="S813" s="34"/>
      <c r="T813" s="35" t="s">
        <v>56</v>
      </c>
      <c r="U813" s="18" t="s">
        <v>647</v>
      </c>
      <c r="V813" s="18" t="str">
        <f>IF(OR($H813="",$H813="sif",$H813="PM"),"",VLOOKUP($H813,[5]CU!$C$5:$J$255,8,FALSE))</f>
        <v/>
      </c>
      <c r="W813" s="18" t="s">
        <v>993</v>
      </c>
      <c r="X813" s="18" t="s">
        <v>398</v>
      </c>
      <c r="Y813" s="19" t="s">
        <v>32</v>
      </c>
      <c r="Z813" s="18" t="str">
        <f>A813 &amp; "-" &amp; VLOOKUP(A813,[4]PROGRAMMES!$E$1:$F$7,2,FALSE)</f>
        <v>2-Qualité des enseignements et des apprentissages</v>
      </c>
      <c r="AA813" s="19" t="str">
        <f>B813 &amp; "-" &amp; VLOOKUP(B813,[4]SOUSPROGRAMMES!$E$1:$F$44,2,FALSE)</f>
        <v xml:space="preserve">25- Conditions d’apprentissage améliorées </v>
      </c>
      <c r="AB813" s="19" t="str">
        <f>C813 &amp; "-" &amp; VLOOKUP(C813,[4]RESULTATS!$E$1:$F$176,2,FALSE)</f>
        <v>256- Les laboratoires et kits sont installés progressivement dans les établissements secondaires</v>
      </c>
      <c r="AC813" s="20" t="str">
        <f>D813 &amp; "-" &amp; VLOOKUP(D813,[4]STRATEGIES!$E$1:$F$504,2,FALSE)</f>
        <v>2563-Promotion et développement des TICE dans les enseignements apprentissages</v>
      </c>
      <c r="AD813" s="21" t="str">
        <f t="shared" si="155"/>
        <v>256310-Transfert de compétence aux cadres du SITIC sur la micro-informatique et les technologies mobiles</v>
      </c>
    </row>
    <row r="814" spans="1:30" s="22" customFormat="1" ht="45" hidden="1" customHeight="1" x14ac:dyDescent="0.8">
      <c r="A814" s="14">
        <v>2</v>
      </c>
      <c r="B814" s="15">
        <v>25</v>
      </c>
      <c r="C814" s="15">
        <v>256</v>
      </c>
      <c r="D814" s="15">
        <v>2563</v>
      </c>
      <c r="E814" s="15">
        <v>256311</v>
      </c>
      <c r="F814" s="16" t="s">
        <v>1004</v>
      </c>
      <c r="G814" s="21" t="s">
        <v>37</v>
      </c>
      <c r="H814" s="17" t="s">
        <v>66</v>
      </c>
      <c r="I814" s="33">
        <v>0</v>
      </c>
      <c r="J814" s="33">
        <f>10*5</f>
        <v>50</v>
      </c>
      <c r="K814" s="33"/>
      <c r="L814" s="33"/>
      <c r="M814" s="33">
        <f t="shared" si="157"/>
        <v>50</v>
      </c>
      <c r="N814" s="33">
        <f>IF(OR(H814="",H814="sif",H814="PM"),0,VLOOKUP(H814,[5]CU!$C$4:$H$255,6,FALSE))</f>
        <v>0.255</v>
      </c>
      <c r="O814" s="33">
        <f t="shared" si="159"/>
        <v>0</v>
      </c>
      <c r="P814" s="33">
        <f t="shared" si="159"/>
        <v>12.75</v>
      </c>
      <c r="Q814" s="33">
        <f t="shared" si="159"/>
        <v>0</v>
      </c>
      <c r="R814" s="33">
        <f t="shared" si="159"/>
        <v>0</v>
      </c>
      <c r="S814" s="34">
        <f>SUM(O814:R814)</f>
        <v>12.75</v>
      </c>
      <c r="T814" s="35" t="s">
        <v>39</v>
      </c>
      <c r="U814" s="19" t="s">
        <v>647</v>
      </c>
      <c r="V814" s="19" t="str">
        <f>IF(OR($H814="",$H814="sif",$H814="PM"),"",VLOOKUP($H814,[5]CU!$C$5:$J$255,8,FALSE))</f>
        <v>3. Dépenses de fonctionnement</v>
      </c>
      <c r="W814" s="19" t="s">
        <v>993</v>
      </c>
      <c r="X814" s="19" t="s">
        <v>398</v>
      </c>
      <c r="Y814" s="19" t="s">
        <v>32</v>
      </c>
      <c r="Z814" s="18" t="str">
        <f>A814 &amp; "-" &amp; VLOOKUP(A814,[4]PROGRAMMES!$E$1:$F$7,2,FALSE)</f>
        <v>2-Qualité des enseignements et des apprentissages</v>
      </c>
      <c r="AA814" s="19" t="str">
        <f>B814 &amp; "-" &amp; VLOOKUP(B814,[4]SOUSPROGRAMMES!$E$1:$F$44,2,FALSE)</f>
        <v xml:space="preserve">25- Conditions d’apprentissage améliorées </v>
      </c>
      <c r="AB814" s="19" t="str">
        <f>C814 &amp; "-" &amp; VLOOKUP(C814,[4]RESULTATS!$E$1:$F$176,2,FALSE)</f>
        <v>256- Les laboratoires et kits sont installés progressivement dans les établissements secondaires</v>
      </c>
      <c r="AC814" s="20" t="str">
        <f>D814 &amp; "-" &amp; VLOOKUP(D814,[4]STRATEGIES!$E$1:$F$504,2,FALSE)</f>
        <v>2563-Promotion et développement des TICE dans les enseignements apprentissages</v>
      </c>
      <c r="AD814" s="21" t="str">
        <f t="shared" si="155"/>
        <v>256311-Elaboration de procédures d'utilisation de suivi, d'évaluation et de gestion des cyber centres dans les établissements.</v>
      </c>
    </row>
    <row r="815" spans="1:30" s="22" customFormat="1" ht="45" hidden="1" customHeight="1" x14ac:dyDescent="0.8">
      <c r="A815" s="14">
        <v>2</v>
      </c>
      <c r="B815" s="15">
        <v>25</v>
      </c>
      <c r="C815" s="15">
        <v>256</v>
      </c>
      <c r="D815" s="15">
        <v>2563</v>
      </c>
      <c r="E815" s="15">
        <v>256312</v>
      </c>
      <c r="F815" s="16" t="s">
        <v>1005</v>
      </c>
      <c r="G815" s="21" t="s">
        <v>651</v>
      </c>
      <c r="H815" s="17" t="s">
        <v>55</v>
      </c>
      <c r="I815" s="33">
        <v>0</v>
      </c>
      <c r="J815" s="33"/>
      <c r="K815" s="33">
        <v>1</v>
      </c>
      <c r="L815" s="33"/>
      <c r="M815" s="33">
        <f t="shared" si="157"/>
        <v>1</v>
      </c>
      <c r="N815" s="33">
        <f>IF(OR(H815="",H815="sif",H815="PM"),0,VLOOKUP(H815,[5]CU!$C$4:$H$255,6,FALSE))</f>
        <v>0</v>
      </c>
      <c r="O815" s="33">
        <f t="shared" si="159"/>
        <v>0</v>
      </c>
      <c r="P815" s="33">
        <f t="shared" si="159"/>
        <v>0</v>
      </c>
      <c r="Q815" s="33">
        <f t="shared" si="159"/>
        <v>0</v>
      </c>
      <c r="R815" s="33">
        <f t="shared" si="159"/>
        <v>0</v>
      </c>
      <c r="S815" s="34"/>
      <c r="T815" s="35" t="s">
        <v>39</v>
      </c>
      <c r="U815" s="18" t="s">
        <v>647</v>
      </c>
      <c r="V815" s="18" t="str">
        <f>IF(OR($H815="",$H815="sif",$H815="PM"),"",VLOOKUP($H815,[5]CU!$C$5:$J$255,8,FALSE))</f>
        <v/>
      </c>
      <c r="W815" s="18" t="s">
        <v>255</v>
      </c>
      <c r="X815" s="18" t="s">
        <v>398</v>
      </c>
      <c r="Y815" s="19" t="s">
        <v>32</v>
      </c>
      <c r="Z815" s="18" t="str">
        <f>A815 &amp; "-" &amp; VLOOKUP(A815,[4]PROGRAMMES!$E$1:$F$7,2,FALSE)</f>
        <v>2-Qualité des enseignements et des apprentissages</v>
      </c>
      <c r="AA815" s="19" t="str">
        <f>B815 &amp; "-" &amp; VLOOKUP(B815,[4]SOUSPROGRAMMES!$E$1:$F$44,2,FALSE)</f>
        <v xml:space="preserve">25- Conditions d’apprentissage améliorées </v>
      </c>
      <c r="AB815" s="19" t="str">
        <f>C815 &amp; "-" &amp; VLOOKUP(C815,[4]RESULTATS!$E$1:$F$176,2,FALSE)</f>
        <v>256- Les laboratoires et kits sont installés progressivement dans les établissements secondaires</v>
      </c>
      <c r="AC815" s="20" t="str">
        <f>D815 &amp; "-" &amp; VLOOKUP(D815,[4]STRATEGIES!$E$1:$F$504,2,FALSE)</f>
        <v>2563-Promotion et développement des TICE dans les enseignements apprentissages</v>
      </c>
      <c r="AD815" s="21" t="str">
        <f t="shared" si="155"/>
        <v>256312-Choix des écoles pilotes pour la mise en œuvre progressive du schéma directeur/ (établissements disposants de cyber centre)</v>
      </c>
    </row>
    <row r="816" spans="1:30" s="22" customFormat="1" ht="45" hidden="1" customHeight="1" x14ac:dyDescent="0.8">
      <c r="A816" s="14">
        <v>2</v>
      </c>
      <c r="B816" s="15">
        <v>25</v>
      </c>
      <c r="C816" s="15">
        <v>256</v>
      </c>
      <c r="D816" s="15">
        <v>2563</v>
      </c>
      <c r="E816" s="15">
        <v>256313</v>
      </c>
      <c r="F816" s="16" t="s">
        <v>1006</v>
      </c>
      <c r="G816" s="21" t="s">
        <v>37</v>
      </c>
      <c r="H816" s="17" t="s">
        <v>301</v>
      </c>
      <c r="I816" s="33">
        <v>0</v>
      </c>
      <c r="J816" s="33"/>
      <c r="K816" s="33">
        <f>30*5</f>
        <v>150</v>
      </c>
      <c r="L816" s="33"/>
      <c r="M816" s="33">
        <f t="shared" si="157"/>
        <v>150</v>
      </c>
      <c r="N816" s="33">
        <f>IF(OR(H816="",H816="sif",H816="PM"),0,VLOOKUP(H816,[5]CU!$C$4:$H$255,6,FALSE))</f>
        <v>0.67666666666666664</v>
      </c>
      <c r="O816" s="33">
        <f t="shared" si="159"/>
        <v>0</v>
      </c>
      <c r="P816" s="33">
        <f t="shared" si="159"/>
        <v>0</v>
      </c>
      <c r="Q816" s="33">
        <f t="shared" si="159"/>
        <v>101.5</v>
      </c>
      <c r="R816" s="33">
        <f t="shared" si="159"/>
        <v>0</v>
      </c>
      <c r="S816" s="34">
        <f>SUM(O816:R816)</f>
        <v>101.5</v>
      </c>
      <c r="T816" s="35" t="s">
        <v>39</v>
      </c>
      <c r="U816" s="19" t="s">
        <v>647</v>
      </c>
      <c r="V816" s="19" t="str">
        <f>IF(OR($H816="",$H816="sif",$H816="PM"),"",VLOOKUP($H816,[5]CU!$C$5:$J$255,8,FALSE))</f>
        <v>3. Formation</v>
      </c>
      <c r="W816" s="19" t="s">
        <v>993</v>
      </c>
      <c r="X816" s="19" t="s">
        <v>398</v>
      </c>
      <c r="Y816" s="19" t="s">
        <v>32</v>
      </c>
      <c r="Z816" s="18" t="str">
        <f>A816 &amp; "-" &amp; VLOOKUP(A816,[4]PROGRAMMES!$E$1:$F$7,2,FALSE)</f>
        <v>2-Qualité des enseignements et des apprentissages</v>
      </c>
      <c r="AA816" s="19" t="str">
        <f>B816 &amp; "-" &amp; VLOOKUP(B816,[4]SOUSPROGRAMMES!$E$1:$F$44,2,FALSE)</f>
        <v xml:space="preserve">25- Conditions d’apprentissage améliorées </v>
      </c>
      <c r="AB816" s="19" t="str">
        <f>C816 &amp; "-" &amp; VLOOKUP(C816,[4]RESULTATS!$E$1:$F$176,2,FALSE)</f>
        <v>256- Les laboratoires et kits sont installés progressivement dans les établissements secondaires</v>
      </c>
      <c r="AC816" s="20" t="str">
        <f>D816 &amp; "-" &amp; VLOOKUP(D816,[4]STRATEGIES!$E$1:$F$504,2,FALSE)</f>
        <v>2563-Promotion et développement des TICE dans les enseignements apprentissages</v>
      </c>
      <c r="AD816" s="21" t="str">
        <f t="shared" si="155"/>
        <v>256313-Formation des animateurs des centres des établissements pilotes</v>
      </c>
    </row>
    <row r="817" spans="1:30" s="22" customFormat="1" ht="45" hidden="1" customHeight="1" x14ac:dyDescent="0.8">
      <c r="A817" s="14">
        <v>2</v>
      </c>
      <c r="B817" s="15">
        <v>25</v>
      </c>
      <c r="C817" s="15">
        <v>256</v>
      </c>
      <c r="D817" s="15">
        <v>2563</v>
      </c>
      <c r="E817" s="15">
        <v>256314</v>
      </c>
      <c r="F817" s="16" t="s">
        <v>1007</v>
      </c>
      <c r="G817" s="21" t="s">
        <v>1008</v>
      </c>
      <c r="H817" s="17" t="s">
        <v>1009</v>
      </c>
      <c r="I817" s="33">
        <v>0</v>
      </c>
      <c r="J817" s="33"/>
      <c r="K817" s="33">
        <v>30</v>
      </c>
      <c r="L817" s="33"/>
      <c r="M817" s="33">
        <f t="shared" si="157"/>
        <v>30</v>
      </c>
      <c r="N817" s="33">
        <f>IF(OR(H817="",H817="sif",H817="PM"),0,VLOOKUP(H817,[5]CU!$C$4:$H$255,6,FALSE))</f>
        <v>12.79101</v>
      </c>
      <c r="O817" s="33">
        <f t="shared" si="159"/>
        <v>0</v>
      </c>
      <c r="P817" s="33">
        <f t="shared" si="159"/>
        <v>0</v>
      </c>
      <c r="Q817" s="33">
        <f t="shared" si="159"/>
        <v>383.7303</v>
      </c>
      <c r="R817" s="33">
        <f t="shared" si="159"/>
        <v>0</v>
      </c>
      <c r="S817" s="34">
        <f>SUM(O817:R817)</f>
        <v>383.7303</v>
      </c>
      <c r="T817" s="35" t="s">
        <v>39</v>
      </c>
      <c r="U817" s="19" t="s">
        <v>647</v>
      </c>
      <c r="V817" s="19" t="str">
        <f>IF(OR($H817="",$H817="sif",$H817="PM"),"",VLOOKUP($H817,[5]CU!$C$5:$J$255,8,FALSE))</f>
        <v>5. Investissement</v>
      </c>
      <c r="W817" s="19" t="s">
        <v>663</v>
      </c>
      <c r="X817" s="19" t="s">
        <v>398</v>
      </c>
      <c r="Y817" s="19" t="s">
        <v>32</v>
      </c>
      <c r="Z817" s="18" t="str">
        <f>A817 &amp; "-" &amp; VLOOKUP(A817,[4]PROGRAMMES!$E$1:$F$7,2,FALSE)</f>
        <v>2-Qualité des enseignements et des apprentissages</v>
      </c>
      <c r="AA817" s="19" t="str">
        <f>B817 &amp; "-" &amp; VLOOKUP(B817,[4]SOUSPROGRAMMES!$E$1:$F$44,2,FALSE)</f>
        <v xml:space="preserve">25- Conditions d’apprentissage améliorées </v>
      </c>
      <c r="AB817" s="19" t="str">
        <f>C817 &amp; "-" &amp; VLOOKUP(C817,[4]RESULTATS!$E$1:$F$176,2,FALSE)</f>
        <v>256- Les laboratoires et kits sont installés progressivement dans les établissements secondaires</v>
      </c>
      <c r="AC817" s="20" t="str">
        <f>D817 &amp; "-" &amp; VLOOKUP(D817,[4]STRATEGIES!$E$1:$F$504,2,FALSE)</f>
        <v>2563-Promotion et développement des TICE dans les enseignements apprentissages</v>
      </c>
      <c r="AD817" s="21" t="str">
        <f t="shared" si="155"/>
        <v>256314-Dotation en complément d'équipements pour les centres informatique des établissements pilotes</v>
      </c>
    </row>
    <row r="818" spans="1:30" s="22" customFormat="1" ht="45" hidden="1" customHeight="1" x14ac:dyDescent="0.8">
      <c r="A818" s="14">
        <v>2</v>
      </c>
      <c r="B818" s="15">
        <v>25</v>
      </c>
      <c r="C818" s="15">
        <v>256</v>
      </c>
      <c r="D818" s="15">
        <v>2563</v>
      </c>
      <c r="E818" s="15">
        <v>256315</v>
      </c>
      <c r="F818" s="16" t="s">
        <v>1010</v>
      </c>
      <c r="G818" s="21" t="s">
        <v>58</v>
      </c>
      <c r="H818" s="17" t="s">
        <v>59</v>
      </c>
      <c r="I818" s="33">
        <v>0</v>
      </c>
      <c r="J818" s="33"/>
      <c r="K818" s="33"/>
      <c r="L818" s="33">
        <f>4*4*8</f>
        <v>128</v>
      </c>
      <c r="M818" s="33">
        <f t="shared" si="157"/>
        <v>128</v>
      </c>
      <c r="N818" s="33">
        <f>IF(OR(H818="",H818="sif",H818="PM"),0,VLOOKUP(H818,[5]CU!$C$4:$H$255,6,FALSE))</f>
        <v>0.8177777777777776</v>
      </c>
      <c r="O818" s="33">
        <f t="shared" si="159"/>
        <v>0</v>
      </c>
      <c r="P818" s="33">
        <f t="shared" si="159"/>
        <v>0</v>
      </c>
      <c r="Q818" s="33">
        <f t="shared" si="159"/>
        <v>0</v>
      </c>
      <c r="R818" s="33">
        <f t="shared" si="159"/>
        <v>104.67555555555553</v>
      </c>
      <c r="S818" s="34">
        <f>SUM(O818:R818)</f>
        <v>104.67555555555553</v>
      </c>
      <c r="T818" s="35" t="s">
        <v>39</v>
      </c>
      <c r="U818" s="19" t="s">
        <v>647</v>
      </c>
      <c r="V818" s="19" t="str">
        <f>IF(OR($H818="",$H818="sif",$H818="PM"),"",VLOOKUP($H818,[5]CU!$C$5:$J$255,8,FALSE))</f>
        <v>3. Dépenses de fonctionnement</v>
      </c>
      <c r="W818" s="19" t="s">
        <v>993</v>
      </c>
      <c r="X818" s="19" t="s">
        <v>398</v>
      </c>
      <c r="Y818" s="19" t="s">
        <v>32</v>
      </c>
      <c r="Z818" s="18" t="str">
        <f>A818 &amp; "-" &amp; VLOOKUP(A818,[4]PROGRAMMES!$E$1:$F$7,2,FALSE)</f>
        <v>2-Qualité des enseignements et des apprentissages</v>
      </c>
      <c r="AA818" s="19" t="str">
        <f>B818 &amp; "-" &amp; VLOOKUP(B818,[4]SOUSPROGRAMMES!$E$1:$F$44,2,FALSE)</f>
        <v xml:space="preserve">25- Conditions d’apprentissage améliorées </v>
      </c>
      <c r="AB818" s="19" t="str">
        <f>C818 &amp; "-" &amp; VLOOKUP(C818,[4]RESULTATS!$E$1:$F$176,2,FALSE)</f>
        <v>256- Les laboratoires et kits sont installés progressivement dans les établissements secondaires</v>
      </c>
      <c r="AC818" s="20" t="str">
        <f>D818 &amp; "-" &amp; VLOOKUP(D818,[4]STRATEGIES!$E$1:$F$504,2,FALSE)</f>
        <v>2563-Promotion et développement des TICE dans les enseignements apprentissages</v>
      </c>
      <c r="AD818" s="21" t="str">
        <f t="shared" si="155"/>
        <v xml:space="preserve">256315-Suivi et évaluation des établissements pilotes </v>
      </c>
    </row>
    <row r="819" spans="1:30" s="22" customFormat="1" ht="45" hidden="1" customHeight="1" x14ac:dyDescent="0.8">
      <c r="A819" s="14">
        <v>2</v>
      </c>
      <c r="B819" s="15">
        <v>25</v>
      </c>
      <c r="C819" s="15">
        <v>256</v>
      </c>
      <c r="D819" s="15">
        <v>2563</v>
      </c>
      <c r="E819" s="15">
        <v>256316</v>
      </c>
      <c r="F819" s="16" t="s">
        <v>1011</v>
      </c>
      <c r="G819" s="21" t="s">
        <v>37</v>
      </c>
      <c r="H819" s="17" t="s">
        <v>38</v>
      </c>
      <c r="I819" s="33">
        <v>0</v>
      </c>
      <c r="J819" s="33"/>
      <c r="K819" s="33"/>
      <c r="L819" s="33">
        <f>25*2</f>
        <v>50</v>
      </c>
      <c r="M819" s="33">
        <f t="shared" si="157"/>
        <v>50</v>
      </c>
      <c r="N819" s="33">
        <f>IF(OR(H819="",H819="sif",H819="PM"),0,VLOOKUP(H819,[5]CU!$C$4:$H$255,6,FALSE))</f>
        <v>0.3133333333333333</v>
      </c>
      <c r="O819" s="33">
        <f t="shared" si="159"/>
        <v>0</v>
      </c>
      <c r="P819" s="33">
        <f t="shared" si="159"/>
        <v>0</v>
      </c>
      <c r="Q819" s="33">
        <f t="shared" si="159"/>
        <v>0</v>
      </c>
      <c r="R819" s="33">
        <f t="shared" si="159"/>
        <v>15.666666666666664</v>
      </c>
      <c r="S819" s="34">
        <f>SUM(O819:R819)</f>
        <v>15.666666666666664</v>
      </c>
      <c r="T819" s="35" t="s">
        <v>39</v>
      </c>
      <c r="U819" s="19" t="s">
        <v>647</v>
      </c>
      <c r="V819" s="19" t="str">
        <f>IF(OR($H819="",$H819="sif",$H819="PM"),"",VLOOKUP($H819,[5]CU!$C$5:$J$255,8,FALSE))</f>
        <v>3. Formation</v>
      </c>
      <c r="W819" s="19" t="s">
        <v>993</v>
      </c>
      <c r="X819" s="19" t="s">
        <v>398</v>
      </c>
      <c r="Y819" s="19" t="s">
        <v>32</v>
      </c>
      <c r="Z819" s="18" t="str">
        <f>A819 &amp; "-" &amp; VLOOKUP(A819,[4]PROGRAMMES!$E$1:$F$7,2,FALSE)</f>
        <v>2-Qualité des enseignements et des apprentissages</v>
      </c>
      <c r="AA819" s="19" t="str">
        <f>B819 &amp; "-" &amp; VLOOKUP(B819,[4]SOUSPROGRAMMES!$E$1:$F$44,2,FALSE)</f>
        <v xml:space="preserve">25- Conditions d’apprentissage améliorées </v>
      </c>
      <c r="AB819" s="19" t="str">
        <f>C819 &amp; "-" &amp; VLOOKUP(C819,[4]RESULTATS!$E$1:$F$176,2,FALSE)</f>
        <v>256- Les laboratoires et kits sont installés progressivement dans les établissements secondaires</v>
      </c>
      <c r="AC819" s="20" t="str">
        <f>D819 &amp; "-" &amp; VLOOKUP(D819,[4]STRATEGIES!$E$1:$F$504,2,FALSE)</f>
        <v>2563-Promotion et développement des TICE dans les enseignements apprentissages</v>
      </c>
      <c r="AD819" s="21" t="str">
        <f t="shared" si="155"/>
        <v>256316-Partage des résultats de l'évaluation</v>
      </c>
    </row>
    <row r="820" spans="1:30" s="22" customFormat="1" ht="45" hidden="1" customHeight="1" x14ac:dyDescent="0.8">
      <c r="A820" s="14">
        <v>2</v>
      </c>
      <c r="B820" s="15">
        <v>25</v>
      </c>
      <c r="C820" s="15">
        <v>256</v>
      </c>
      <c r="D820" s="15">
        <v>2563</v>
      </c>
      <c r="E820" s="15">
        <v>256317</v>
      </c>
      <c r="F820" s="16" t="s">
        <v>1012</v>
      </c>
      <c r="G820" s="21" t="s">
        <v>37</v>
      </c>
      <c r="H820" s="17" t="s">
        <v>66</v>
      </c>
      <c r="I820" s="33">
        <v>0</v>
      </c>
      <c r="J820" s="33"/>
      <c r="K820" s="33"/>
      <c r="L820" s="33">
        <f>10*4</f>
        <v>40</v>
      </c>
      <c r="M820" s="33">
        <f t="shared" si="157"/>
        <v>40</v>
      </c>
      <c r="N820" s="33">
        <f>IF(OR(H820="",H820="sif",H820="PM"),0,VLOOKUP(H820,[5]CU!$C$4:$H$255,6,FALSE))</f>
        <v>0.255</v>
      </c>
      <c r="O820" s="33">
        <f t="shared" si="159"/>
        <v>0</v>
      </c>
      <c r="P820" s="33">
        <f t="shared" si="159"/>
        <v>0</v>
      </c>
      <c r="Q820" s="33">
        <f t="shared" si="159"/>
        <v>0</v>
      </c>
      <c r="R820" s="33">
        <f t="shared" si="159"/>
        <v>10.199999999999999</v>
      </c>
      <c r="S820" s="34">
        <f>SUM(O820:R820)</f>
        <v>10.199999999999999</v>
      </c>
      <c r="T820" s="35" t="s">
        <v>39</v>
      </c>
      <c r="U820" s="19" t="s">
        <v>647</v>
      </c>
      <c r="V820" s="19" t="str">
        <f>IF(OR($H820="",$H820="sif",$H820="PM"),"",VLOOKUP($H820,[5]CU!$C$5:$J$255,8,FALSE))</f>
        <v>3. Dépenses de fonctionnement</v>
      </c>
      <c r="W820" s="19" t="s">
        <v>993</v>
      </c>
      <c r="X820" s="19" t="s">
        <v>398</v>
      </c>
      <c r="Y820" s="19" t="s">
        <v>32</v>
      </c>
      <c r="Z820" s="18" t="str">
        <f>A820 &amp; "-" &amp; VLOOKUP(A820,[4]PROGRAMMES!$E$1:$F$7,2,FALSE)</f>
        <v>2-Qualité des enseignements et des apprentissages</v>
      </c>
      <c r="AA820" s="19" t="str">
        <f>B820 &amp; "-" &amp; VLOOKUP(B820,[4]SOUSPROGRAMMES!$E$1:$F$44,2,FALSE)</f>
        <v xml:space="preserve">25- Conditions d’apprentissage améliorées </v>
      </c>
      <c r="AB820" s="19" t="str">
        <f>C820 &amp; "-" &amp; VLOOKUP(C820,[4]RESULTATS!$E$1:$F$176,2,FALSE)</f>
        <v>256- Les laboratoires et kits sont installés progressivement dans les établissements secondaires</v>
      </c>
      <c r="AC820" s="20" t="str">
        <f>D820 &amp; "-" &amp; VLOOKUP(D820,[4]STRATEGIES!$E$1:$F$504,2,FALSE)</f>
        <v>2563-Promotion et développement des TICE dans les enseignements apprentissages</v>
      </c>
      <c r="AD820" s="21" t="str">
        <f t="shared" si="155"/>
        <v>256317-Amendement du schéma directeur et des différents outils en fonction des résultats de l'évaluation</v>
      </c>
    </row>
    <row r="821" spans="1:30" s="22" customFormat="1" ht="45" hidden="1" customHeight="1" x14ac:dyDescent="0.8">
      <c r="A821" s="14">
        <v>2</v>
      </c>
      <c r="B821" s="15">
        <v>25</v>
      </c>
      <c r="C821" s="15">
        <v>256</v>
      </c>
      <c r="D821" s="15">
        <v>2563</v>
      </c>
      <c r="E821" s="15">
        <v>256318</v>
      </c>
      <c r="F821" s="16" t="s">
        <v>1013</v>
      </c>
      <c r="G821" s="21" t="s">
        <v>182</v>
      </c>
      <c r="H821" s="17" t="s">
        <v>55</v>
      </c>
      <c r="I821" s="33">
        <v>0</v>
      </c>
      <c r="J821" s="33"/>
      <c r="K821" s="33"/>
      <c r="L821" s="33">
        <v>1</v>
      </c>
      <c r="M821" s="33">
        <f t="shared" si="157"/>
        <v>1</v>
      </c>
      <c r="N821" s="33">
        <f>IF(OR(H821="",H821="sif",H821="PM"),0,VLOOKUP(H821,[5]CU!$C$4:$H$255,6,FALSE))</f>
        <v>0</v>
      </c>
      <c r="O821" s="33">
        <f t="shared" si="159"/>
        <v>0</v>
      </c>
      <c r="P821" s="33">
        <f t="shared" si="159"/>
        <v>0</v>
      </c>
      <c r="Q821" s="33">
        <f t="shared" si="159"/>
        <v>0</v>
      </c>
      <c r="R821" s="33">
        <f t="shared" si="159"/>
        <v>0</v>
      </c>
      <c r="S821" s="34"/>
      <c r="T821" s="35" t="s">
        <v>39</v>
      </c>
      <c r="U821" s="18" t="s">
        <v>647</v>
      </c>
      <c r="V821" s="18" t="str">
        <f>IF(OR($H821="",$H821="sif",$H821="PM"),"",VLOOKUP($H821,[5]CU!$C$5:$J$255,8,FALSE))</f>
        <v/>
      </c>
      <c r="W821" s="18" t="s">
        <v>993</v>
      </c>
      <c r="X821" s="18" t="s">
        <v>398</v>
      </c>
      <c r="Y821" s="19" t="s">
        <v>32</v>
      </c>
      <c r="Z821" s="18" t="str">
        <f>A821 &amp; "-" &amp; VLOOKUP(A821,[4]PROGRAMMES!$E$1:$F$7,2,FALSE)</f>
        <v>2-Qualité des enseignements et des apprentissages</v>
      </c>
      <c r="AA821" s="19" t="str">
        <f>B821 &amp; "-" &amp; VLOOKUP(B821,[4]SOUSPROGRAMMES!$E$1:$F$44,2,FALSE)</f>
        <v xml:space="preserve">25- Conditions d’apprentissage améliorées </v>
      </c>
      <c r="AB821" s="19" t="str">
        <f>C821 &amp; "-" &amp; VLOOKUP(C821,[4]RESULTATS!$E$1:$F$176,2,FALSE)</f>
        <v>256- Les laboratoires et kits sont installés progressivement dans les établissements secondaires</v>
      </c>
      <c r="AC821" s="20" t="str">
        <f>D821 &amp; "-" &amp; VLOOKUP(D821,[4]STRATEGIES!$E$1:$F$504,2,FALSE)</f>
        <v>2563-Promotion et développement des TICE dans les enseignements apprentissages</v>
      </c>
      <c r="AD821" s="21" t="str">
        <f t="shared" si="155"/>
        <v>256318-Préparation de l'expansion (choix des établissements, calendrier, …)</v>
      </c>
    </row>
    <row r="822" spans="1:30" s="22" customFormat="1" ht="45" hidden="1" customHeight="1" x14ac:dyDescent="0.8">
      <c r="A822" s="14">
        <v>2</v>
      </c>
      <c r="B822" s="15">
        <v>25</v>
      </c>
      <c r="C822" s="15">
        <v>257</v>
      </c>
      <c r="D822" s="15">
        <v>257</v>
      </c>
      <c r="E822" s="15">
        <v>257</v>
      </c>
      <c r="F822" s="16" t="s">
        <v>1014</v>
      </c>
      <c r="G822" s="17"/>
      <c r="H822" s="17"/>
      <c r="I822" s="33">
        <v>0</v>
      </c>
      <c r="J822" s="33"/>
      <c r="K822" s="33"/>
      <c r="L822" s="33"/>
      <c r="M822" s="33"/>
      <c r="N822" s="33"/>
      <c r="O822" s="33"/>
      <c r="P822" s="33"/>
      <c r="Q822" s="33"/>
      <c r="R822" s="33"/>
      <c r="S822" s="34"/>
      <c r="T822" s="33"/>
      <c r="U822" s="18"/>
      <c r="V822" s="18"/>
      <c r="W822" s="18"/>
      <c r="X822" s="18"/>
      <c r="Y822" s="19" t="s">
        <v>32</v>
      </c>
      <c r="Z822" s="18" t="str">
        <f>A822 &amp; "-" &amp; VLOOKUP(A822,[4]PROGRAMMES!$E$1:$F$7,2,FALSE)</f>
        <v>2-Qualité des enseignements et des apprentissages</v>
      </c>
      <c r="AA822" s="19" t="str">
        <f>B822 &amp; "-" &amp; VLOOKUP(B822,[4]SOUSPROGRAMMES!$E$1:$F$44,2,FALSE)</f>
        <v xml:space="preserve">25- Conditions d’apprentissage améliorées </v>
      </c>
      <c r="AB822" s="19" t="str">
        <f>C822 &amp; "-" &amp; VLOOKUP(C822,[4]RESULTATS!$E$1:$F$176,2,FALSE)</f>
        <v>257- Extension progressive de l'enseignement de l'anglais au secondaire(collège)</v>
      </c>
      <c r="AC822" s="20" t="str">
        <f>D822 &amp; "-" &amp; VLOOKUP(D822,[4]STRATEGIES!$E$1:$F$504,2,FALSE)</f>
        <v>257- Extension progressive de l'enseignement de l'anglais au secondaire(collège)</v>
      </c>
      <c r="AD822" s="21" t="str">
        <f t="shared" si="155"/>
        <v>257- Extension progressive de l'enseignement de l'anglais au secondaire(collège)</v>
      </c>
    </row>
    <row r="823" spans="1:30" s="22" customFormat="1" ht="45" hidden="1" customHeight="1" x14ac:dyDescent="0.8">
      <c r="A823" s="14">
        <v>2</v>
      </c>
      <c r="B823" s="15">
        <v>25</v>
      </c>
      <c r="C823" s="15">
        <v>257</v>
      </c>
      <c r="D823" s="15">
        <v>2571</v>
      </c>
      <c r="E823" s="15">
        <v>2571</v>
      </c>
      <c r="F823" s="16" t="s">
        <v>1015</v>
      </c>
      <c r="G823" s="17"/>
      <c r="H823" s="17"/>
      <c r="I823" s="33">
        <v>0</v>
      </c>
      <c r="J823" s="33"/>
      <c r="K823" s="33"/>
      <c r="L823" s="33"/>
      <c r="M823" s="33"/>
      <c r="N823" s="33"/>
      <c r="O823" s="33"/>
      <c r="P823" s="33"/>
      <c r="Q823" s="33"/>
      <c r="R823" s="33"/>
      <c r="S823" s="34"/>
      <c r="T823" s="33"/>
      <c r="U823" s="18"/>
      <c r="V823" s="18"/>
      <c r="W823" s="18"/>
      <c r="X823" s="18"/>
      <c r="Y823" s="19" t="s">
        <v>32</v>
      </c>
      <c r="Z823" s="18" t="str">
        <f>A823 &amp; "-" &amp; VLOOKUP(A823,[4]PROGRAMMES!$E$1:$F$7,2,FALSE)</f>
        <v>2-Qualité des enseignements et des apprentissages</v>
      </c>
      <c r="AA823" s="19" t="str">
        <f>B823 &amp; "-" &amp; VLOOKUP(B823,[4]SOUSPROGRAMMES!$E$1:$F$44,2,FALSE)</f>
        <v xml:space="preserve">25- Conditions d’apprentissage améliorées </v>
      </c>
      <c r="AB823" s="19" t="str">
        <f>C823 &amp; "-" &amp; VLOOKUP(C823,[4]RESULTATS!$E$1:$F$176,2,FALSE)</f>
        <v>257- Extension progressive de l'enseignement de l'anglais au secondaire(collège)</v>
      </c>
      <c r="AC823" s="20" t="str">
        <f>D823 &amp; "-" &amp; VLOOKUP(D823,[4]STRATEGIES!$E$1:$F$504,2,FALSE)</f>
        <v>2571-Recrutement de professeurs d'anglais en quantité suffisante</v>
      </c>
      <c r="AD823" s="21" t="str">
        <f t="shared" si="155"/>
        <v>2571-Recrutement de professeurs d'anglais en quantité suffisante</v>
      </c>
    </row>
    <row r="824" spans="1:30" s="22" customFormat="1" ht="45" hidden="1" customHeight="1" x14ac:dyDescent="0.8">
      <c r="A824" s="14">
        <v>2</v>
      </c>
      <c r="B824" s="15">
        <v>25</v>
      </c>
      <c r="C824" s="15">
        <v>257</v>
      </c>
      <c r="D824" s="15">
        <v>2571</v>
      </c>
      <c r="E824" s="15">
        <v>25711</v>
      </c>
      <c r="F824" s="16" t="s">
        <v>1016</v>
      </c>
      <c r="G824" s="21" t="s">
        <v>1017</v>
      </c>
      <c r="H824" s="17" t="s">
        <v>59</v>
      </c>
      <c r="I824" s="33">
        <v>0</v>
      </c>
      <c r="J824" s="33">
        <f>4*10*8</f>
        <v>320</v>
      </c>
      <c r="K824" s="33"/>
      <c r="L824" s="33"/>
      <c r="M824" s="33">
        <f t="shared" si="157"/>
        <v>320</v>
      </c>
      <c r="N824" s="33">
        <f>IF(OR(H824="",H824="sif",H824="PM"),0,VLOOKUP(H824,[5]CU!$C$4:$H$255,6,FALSE))</f>
        <v>0.8177777777777776</v>
      </c>
      <c r="O824" s="33">
        <f t="shared" si="159"/>
        <v>0</v>
      </c>
      <c r="P824" s="33">
        <f t="shared" si="159"/>
        <v>261.68888888888881</v>
      </c>
      <c r="Q824" s="33">
        <f t="shared" si="159"/>
        <v>0</v>
      </c>
      <c r="R824" s="33">
        <f t="shared" si="159"/>
        <v>0</v>
      </c>
      <c r="S824" s="34">
        <f>SUM(O824:R824)</f>
        <v>261.68888888888881</v>
      </c>
      <c r="T824" s="35" t="s">
        <v>118</v>
      </c>
      <c r="U824" s="18" t="s">
        <v>647</v>
      </c>
      <c r="V824" s="18" t="str">
        <f>IF(OR($H824="",$H824="sif",$H824="PM"),"",VLOOKUP($H824,[5]CU!$C$5:$J$255,8,FALSE))</f>
        <v>3. Dépenses de fonctionnement</v>
      </c>
      <c r="W824" s="18" t="s">
        <v>1018</v>
      </c>
      <c r="X824" s="18" t="s">
        <v>398</v>
      </c>
      <c r="Y824" s="19" t="s">
        <v>32</v>
      </c>
      <c r="Z824" s="18" t="str">
        <f>A824 &amp; "-" &amp; VLOOKUP(A824,[4]PROGRAMMES!$E$1:$F$7,2,FALSE)</f>
        <v>2-Qualité des enseignements et des apprentissages</v>
      </c>
      <c r="AA824" s="19" t="str">
        <f>B824 &amp; "-" &amp; VLOOKUP(B824,[4]SOUSPROGRAMMES!$E$1:$F$44,2,FALSE)</f>
        <v xml:space="preserve">25- Conditions d’apprentissage améliorées </v>
      </c>
      <c r="AB824" s="19" t="str">
        <f>C824 &amp; "-" &amp; VLOOKUP(C824,[4]RESULTATS!$E$1:$F$176,2,FALSE)</f>
        <v>257- Extension progressive de l'enseignement de l'anglais au secondaire(collège)</v>
      </c>
      <c r="AC824" s="20" t="str">
        <f>D824 &amp; "-" &amp; VLOOKUP(D824,[4]STRATEGIES!$E$1:$F$504,2,FALSE)</f>
        <v>2571-Recrutement de professeurs d'anglais en quantité suffisante</v>
      </c>
      <c r="AD824" s="21" t="str">
        <f t="shared" si="155"/>
        <v>25711-Réalisation d'une étude de suivi évaluation de l'initiative (besoins en enseignants anglophones, profils, besoins en formation continue, disponibilité ressources matérielles, pertinence, etc.)</v>
      </c>
    </row>
    <row r="825" spans="1:30" s="22" customFormat="1" ht="45" hidden="1" customHeight="1" x14ac:dyDescent="0.8">
      <c r="A825" s="14">
        <v>2</v>
      </c>
      <c r="B825" s="15">
        <v>25</v>
      </c>
      <c r="C825" s="15">
        <v>257</v>
      </c>
      <c r="D825" s="15">
        <v>2571</v>
      </c>
      <c r="E825" s="15">
        <v>25712</v>
      </c>
      <c r="F825" s="16" t="s">
        <v>1019</v>
      </c>
      <c r="G825" s="21" t="s">
        <v>37</v>
      </c>
      <c r="H825" s="17" t="s">
        <v>38</v>
      </c>
      <c r="I825" s="33">
        <v>0</v>
      </c>
      <c r="J825" s="33">
        <f>10*5</f>
        <v>50</v>
      </c>
      <c r="K825" s="33"/>
      <c r="L825" s="33"/>
      <c r="M825" s="33">
        <f t="shared" si="157"/>
        <v>50</v>
      </c>
      <c r="N825" s="33">
        <f>IF(OR(H825="",H825="sif",H825="PM"),0,VLOOKUP(H825,[5]CU!$C$4:$H$255,6,FALSE))</f>
        <v>0.3133333333333333</v>
      </c>
      <c r="O825" s="33">
        <f t="shared" si="159"/>
        <v>0</v>
      </c>
      <c r="P825" s="33">
        <f t="shared" si="159"/>
        <v>15.666666666666664</v>
      </c>
      <c r="Q825" s="33">
        <f t="shared" si="159"/>
        <v>0</v>
      </c>
      <c r="R825" s="33">
        <f t="shared" si="159"/>
        <v>0</v>
      </c>
      <c r="S825" s="34">
        <f>SUM(O825:R825)</f>
        <v>15.666666666666664</v>
      </c>
      <c r="T825" s="35" t="s">
        <v>118</v>
      </c>
      <c r="U825" s="18" t="s">
        <v>647</v>
      </c>
      <c r="V825" s="18" t="str">
        <f>IF(OR($H825="",$H825="sif",$H825="PM"),"",VLOOKUP($H825,[5]CU!$C$5:$J$255,8,FALSE))</f>
        <v>3. Formation</v>
      </c>
      <c r="W825" s="18" t="s">
        <v>1018</v>
      </c>
      <c r="X825" s="18" t="s">
        <v>398</v>
      </c>
      <c r="Y825" s="19" t="s">
        <v>32</v>
      </c>
      <c r="Z825" s="18" t="str">
        <f>A825 &amp; "-" &amp; VLOOKUP(A825,[4]PROGRAMMES!$E$1:$F$7,2,FALSE)</f>
        <v>2-Qualité des enseignements et des apprentissages</v>
      </c>
      <c r="AA825" s="19" t="str">
        <f>B825 &amp; "-" &amp; VLOOKUP(B825,[4]SOUSPROGRAMMES!$E$1:$F$44,2,FALSE)</f>
        <v xml:space="preserve">25- Conditions d’apprentissage améliorées </v>
      </c>
      <c r="AB825" s="19" t="str">
        <f>C825 &amp; "-" &amp; VLOOKUP(C825,[4]RESULTATS!$E$1:$F$176,2,FALSE)</f>
        <v>257- Extension progressive de l'enseignement de l'anglais au secondaire(collège)</v>
      </c>
      <c r="AC825" s="20" t="str">
        <f>D825 &amp; "-" &amp; VLOOKUP(D825,[4]STRATEGIES!$E$1:$F$504,2,FALSE)</f>
        <v>2571-Recrutement de professeurs d'anglais en quantité suffisante</v>
      </c>
      <c r="AD825" s="21" t="str">
        <f t="shared" si="155"/>
        <v>25712-Conception et élaboration des modules</v>
      </c>
    </row>
    <row r="826" spans="1:30" s="22" customFormat="1" ht="45" hidden="1" customHeight="1" x14ac:dyDescent="0.8">
      <c r="A826" s="14">
        <v>2</v>
      </c>
      <c r="B826" s="15">
        <v>25</v>
      </c>
      <c r="C826" s="15">
        <v>257</v>
      </c>
      <c r="D826" s="15">
        <v>2571</v>
      </c>
      <c r="E826" s="15">
        <v>25713</v>
      </c>
      <c r="F826" s="16" t="s">
        <v>1020</v>
      </c>
      <c r="G826" s="21" t="s">
        <v>1021</v>
      </c>
      <c r="H826" s="17" t="s">
        <v>1022</v>
      </c>
      <c r="I826" s="33">
        <v>0</v>
      </c>
      <c r="J826" s="33"/>
      <c r="K826" s="33"/>
      <c r="L826" s="33"/>
      <c r="M826" s="33"/>
      <c r="N826" s="33">
        <f>IF(OR(H826="",H826="sif",H826="PM"),0,VLOOKUP(H826,[5]CU!$C$4:$H$255,6,FALSE))</f>
        <v>0</v>
      </c>
      <c r="O826" s="33"/>
      <c r="P826" s="33"/>
      <c r="Q826" s="33"/>
      <c r="R826" s="33"/>
      <c r="S826" s="34"/>
      <c r="T826" s="35" t="s">
        <v>118</v>
      </c>
      <c r="U826" s="18" t="s">
        <v>647</v>
      </c>
      <c r="V826" s="18" t="str">
        <f>IF(OR($H826="",$H826="sif",$H826="PM"),"",VLOOKUP($H826,[5]CU!$C$5:$J$255,8,FALSE))</f>
        <v/>
      </c>
      <c r="W826" s="18" t="s">
        <v>142</v>
      </c>
      <c r="X826" s="18" t="s">
        <v>398</v>
      </c>
      <c r="Y826" s="19" t="s">
        <v>32</v>
      </c>
      <c r="Z826" s="18" t="str">
        <f>A826 &amp; "-" &amp; VLOOKUP(A826,[4]PROGRAMMES!$E$1:$F$7,2,FALSE)</f>
        <v>2-Qualité des enseignements et des apprentissages</v>
      </c>
      <c r="AA826" s="19" t="str">
        <f>B826 &amp; "-" &amp; VLOOKUP(B826,[4]SOUSPROGRAMMES!$E$1:$F$44,2,FALSE)</f>
        <v xml:space="preserve">25- Conditions d’apprentissage améliorées </v>
      </c>
      <c r="AB826" s="19" t="str">
        <f>C826 &amp; "-" &amp; VLOOKUP(C826,[4]RESULTATS!$E$1:$F$176,2,FALSE)</f>
        <v>257- Extension progressive de l'enseignement de l'anglais au secondaire(collège)</v>
      </c>
      <c r="AC826" s="20" t="str">
        <f>D826 &amp; "-" &amp; VLOOKUP(D826,[4]STRATEGIES!$E$1:$F$504,2,FALSE)</f>
        <v>2571-Recrutement de professeurs d'anglais en quantité suffisante</v>
      </c>
      <c r="AD826" s="21" t="str">
        <f t="shared" si="155"/>
        <v>25713-Dotation des enseignants d'anglais aux collèges</v>
      </c>
    </row>
    <row r="827" spans="1:30" s="22" customFormat="1" ht="45" hidden="1" customHeight="1" x14ac:dyDescent="0.8">
      <c r="A827" s="14">
        <v>2</v>
      </c>
      <c r="B827" s="15">
        <v>25</v>
      </c>
      <c r="C827" s="15">
        <v>257</v>
      </c>
      <c r="D827" s="15">
        <v>2571</v>
      </c>
      <c r="E827" s="15">
        <v>25714</v>
      </c>
      <c r="F827" s="16" t="s">
        <v>1023</v>
      </c>
      <c r="G827" s="21" t="s">
        <v>37</v>
      </c>
      <c r="H827" s="17" t="s">
        <v>38</v>
      </c>
      <c r="I827" s="33">
        <v>0</v>
      </c>
      <c r="J827" s="33">
        <f>100*7</f>
        <v>700</v>
      </c>
      <c r="K827" s="33"/>
      <c r="L827" s="33"/>
      <c r="M827" s="33">
        <f t="shared" ref="M827:M856" si="160">SUM(I827:L827)</f>
        <v>700</v>
      </c>
      <c r="N827" s="33">
        <f>IF(OR(H827="",H827="sif",H827="PM"),0,VLOOKUP(H827,[5]CU!$C$4:$H$255,6,FALSE))</f>
        <v>0.3133333333333333</v>
      </c>
      <c r="O827" s="33">
        <f t="shared" ref="O827:R871" si="161">IFERROR($N827*I827,0)</f>
        <v>0</v>
      </c>
      <c r="P827" s="33">
        <f t="shared" si="161"/>
        <v>219.33333333333331</v>
      </c>
      <c r="Q827" s="33">
        <f t="shared" si="161"/>
        <v>0</v>
      </c>
      <c r="R827" s="33">
        <f t="shared" si="161"/>
        <v>0</v>
      </c>
      <c r="S827" s="34">
        <f>SUM(O827:R827)</f>
        <v>219.33333333333331</v>
      </c>
      <c r="T827" s="35" t="s">
        <v>118</v>
      </c>
      <c r="U827" s="18" t="s">
        <v>647</v>
      </c>
      <c r="V827" s="18" t="str">
        <f>IF(OR($H827="",$H827="sif",$H827="PM"),"",VLOOKUP($H827,[5]CU!$C$5:$J$255,8,FALSE))</f>
        <v>3. Formation</v>
      </c>
      <c r="W827" s="18" t="s">
        <v>1018</v>
      </c>
      <c r="X827" s="18" t="s">
        <v>398</v>
      </c>
      <c r="Y827" s="19" t="s">
        <v>32</v>
      </c>
      <c r="Z827" s="18" t="str">
        <f>A827 &amp; "-" &amp; VLOOKUP(A827,[4]PROGRAMMES!$E$1:$F$7,2,FALSE)</f>
        <v>2-Qualité des enseignements et des apprentissages</v>
      </c>
      <c r="AA827" s="19" t="str">
        <f>B827 &amp; "-" &amp; VLOOKUP(B827,[4]SOUSPROGRAMMES!$E$1:$F$44,2,FALSE)</f>
        <v xml:space="preserve">25- Conditions d’apprentissage améliorées </v>
      </c>
      <c r="AB827" s="19" t="str">
        <f>C827 &amp; "-" &amp; VLOOKUP(C827,[4]RESULTATS!$E$1:$F$176,2,FALSE)</f>
        <v>257- Extension progressive de l'enseignement de l'anglais au secondaire(collège)</v>
      </c>
      <c r="AC827" s="20" t="str">
        <f>D827 &amp; "-" &amp; VLOOKUP(D827,[4]STRATEGIES!$E$1:$F$504,2,FALSE)</f>
        <v>2571-Recrutement de professeurs d'anglais en quantité suffisante</v>
      </c>
      <c r="AD827" s="21" t="str">
        <f t="shared" si="155"/>
        <v>25714-Appui en formation continue des professeurs d'anglais</v>
      </c>
    </row>
    <row r="828" spans="1:30" s="22" customFormat="1" ht="30" hidden="1" customHeight="1" x14ac:dyDescent="0.8">
      <c r="A828" s="14">
        <v>2</v>
      </c>
      <c r="B828" s="15">
        <v>25</v>
      </c>
      <c r="C828" s="15">
        <v>258</v>
      </c>
      <c r="D828" s="15">
        <v>258</v>
      </c>
      <c r="E828" s="15">
        <v>258</v>
      </c>
      <c r="F828" s="16" t="s">
        <v>1024</v>
      </c>
      <c r="G828" s="17"/>
      <c r="H828" s="17"/>
      <c r="I828" s="33">
        <v>0</v>
      </c>
      <c r="J828" s="33"/>
      <c r="K828" s="33"/>
      <c r="L828" s="33"/>
      <c r="M828" s="33"/>
      <c r="N828" s="33"/>
      <c r="O828" s="33"/>
      <c r="P828" s="33"/>
      <c r="Q828" s="33"/>
      <c r="R828" s="33"/>
      <c r="S828" s="34"/>
      <c r="T828" s="33"/>
      <c r="U828" s="18"/>
      <c r="V828" s="18"/>
      <c r="W828" s="18"/>
      <c r="X828" s="18"/>
      <c r="Y828" s="19" t="s">
        <v>32</v>
      </c>
      <c r="Z828" s="18" t="str">
        <f>A828 &amp; "-" &amp; VLOOKUP(A828,[4]PROGRAMMES!$E$1:$F$7,2,FALSE)</f>
        <v>2-Qualité des enseignements et des apprentissages</v>
      </c>
      <c r="AA828" s="19" t="str">
        <f>B828 &amp; "-" &amp; VLOOKUP(B828,[4]SOUSPROGRAMMES!$E$1:$F$44,2,FALSE)</f>
        <v xml:space="preserve">25- Conditions d’apprentissage améliorées </v>
      </c>
      <c r="AB828" s="19" t="str">
        <f>C828 &amp; "-" &amp; VLOOKUP(C828,[4]RESULTATS!$E$1:$F$176,2,FALSE)</f>
        <v>258- Les activités extrascolaires sont diversifiées</v>
      </c>
      <c r="AC828" s="20" t="str">
        <f>D828 &amp; "-" &amp; VLOOKUP(D828,[4]STRATEGIES!$E$1:$F$504,2,FALSE)</f>
        <v>258- Les activités extrascolaires sont diversifiées</v>
      </c>
      <c r="AD828" s="21" t="str">
        <f t="shared" si="155"/>
        <v>258- Les activités extrascolaires sont diversifiées</v>
      </c>
    </row>
    <row r="829" spans="1:30" s="22" customFormat="1" ht="30" hidden="1" customHeight="1" x14ac:dyDescent="0.8">
      <c r="A829" s="14">
        <v>2</v>
      </c>
      <c r="B829" s="15">
        <v>25</v>
      </c>
      <c r="C829" s="15">
        <v>258</v>
      </c>
      <c r="D829" s="15">
        <v>2581</v>
      </c>
      <c r="E829" s="15">
        <v>2581</v>
      </c>
      <c r="F829" s="16" t="s">
        <v>1025</v>
      </c>
      <c r="G829" s="17"/>
      <c r="H829" s="17"/>
      <c r="I829" s="33">
        <v>0</v>
      </c>
      <c r="J829" s="33"/>
      <c r="K829" s="33"/>
      <c r="L829" s="33"/>
      <c r="M829" s="33"/>
      <c r="N829" s="33"/>
      <c r="O829" s="33"/>
      <c r="P829" s="33"/>
      <c r="Q829" s="33"/>
      <c r="R829" s="33"/>
      <c r="S829" s="34"/>
      <c r="T829" s="33"/>
      <c r="U829" s="18"/>
      <c r="V829" s="18"/>
      <c r="W829" s="18"/>
      <c r="X829" s="18"/>
      <c r="Y829" s="19" t="s">
        <v>32</v>
      </c>
      <c r="Z829" s="18" t="str">
        <f>A829 &amp; "-" &amp; VLOOKUP(A829,[4]PROGRAMMES!$E$1:$F$7,2,FALSE)</f>
        <v>2-Qualité des enseignements et des apprentissages</v>
      </c>
      <c r="AA829" s="19" t="str">
        <f>B829 &amp; "-" &amp; VLOOKUP(B829,[4]SOUSPROGRAMMES!$E$1:$F$44,2,FALSE)</f>
        <v xml:space="preserve">25- Conditions d’apprentissage améliorées </v>
      </c>
      <c r="AB829" s="19" t="str">
        <f>C829 &amp; "-" &amp; VLOOKUP(C829,[4]RESULTATS!$E$1:$F$176,2,FALSE)</f>
        <v>258- Les activités extrascolaires sont diversifiées</v>
      </c>
      <c r="AC829" s="20" t="str">
        <f>D829 &amp; "-" &amp; VLOOKUP(D829,[4]STRATEGIES!$E$1:$F$504,2,FALSE)</f>
        <v>2581-Renforcement des activités artistiques, culturelles et sportives dans les écoles</v>
      </c>
      <c r="AD829" s="21" t="str">
        <f t="shared" si="155"/>
        <v>2581-Renforcement des activités artistiques, culturelles et sportives dans les écoles</v>
      </c>
    </row>
    <row r="830" spans="1:30" s="22" customFormat="1" ht="30" hidden="1" customHeight="1" x14ac:dyDescent="0.8">
      <c r="A830" s="14">
        <v>2</v>
      </c>
      <c r="B830" s="15">
        <v>25</v>
      </c>
      <c r="C830" s="15">
        <v>258</v>
      </c>
      <c r="D830" s="15">
        <v>2581</v>
      </c>
      <c r="E830" s="15">
        <v>25811</v>
      </c>
      <c r="F830" s="16" t="s">
        <v>1026</v>
      </c>
      <c r="G830" s="21" t="s">
        <v>37</v>
      </c>
      <c r="H830" s="17" t="s">
        <v>66</v>
      </c>
      <c r="I830" s="33">
        <v>0</v>
      </c>
      <c r="J830" s="33">
        <f>20*5</f>
        <v>100</v>
      </c>
      <c r="K830" s="33"/>
      <c r="L830" s="33"/>
      <c r="M830" s="33">
        <f t="shared" si="160"/>
        <v>100</v>
      </c>
      <c r="N830" s="33">
        <f>IF(OR(H830="",H830="sif",H830="PM"),0,VLOOKUP(H830,[5]CU!$C$4:$H$255,6,FALSE))</f>
        <v>0.255</v>
      </c>
      <c r="O830" s="33">
        <f t="shared" si="161"/>
        <v>0</v>
      </c>
      <c r="P830" s="33">
        <f t="shared" si="161"/>
        <v>25.5</v>
      </c>
      <c r="Q830" s="33">
        <f t="shared" si="161"/>
        <v>0</v>
      </c>
      <c r="R830" s="33">
        <f t="shared" si="161"/>
        <v>0</v>
      </c>
      <c r="S830" s="34">
        <f>SUM(O830:R830)</f>
        <v>25.5</v>
      </c>
      <c r="T830" s="35" t="s">
        <v>118</v>
      </c>
      <c r="U830" s="18" t="s">
        <v>647</v>
      </c>
      <c r="V830" s="18" t="str">
        <f>IF(OR($H830="",$H830="sif",$H830="PM"),"",VLOOKUP($H830,[5]CU!$C$5:$J$255,8,FALSE))</f>
        <v>3. Dépenses de fonctionnement</v>
      </c>
      <c r="W830" s="18" t="s">
        <v>1027</v>
      </c>
      <c r="X830" s="18" t="s">
        <v>1027</v>
      </c>
      <c r="Y830" s="19" t="s">
        <v>32</v>
      </c>
      <c r="Z830" s="18" t="str">
        <f>A830 &amp; "-" &amp; VLOOKUP(A830,[4]PROGRAMMES!$E$1:$F$7,2,FALSE)</f>
        <v>2-Qualité des enseignements et des apprentissages</v>
      </c>
      <c r="AA830" s="19" t="str">
        <f>B830 &amp; "-" &amp; VLOOKUP(B830,[4]SOUSPROGRAMMES!$E$1:$F$44,2,FALSE)</f>
        <v xml:space="preserve">25- Conditions d’apprentissage améliorées </v>
      </c>
      <c r="AB830" s="19" t="str">
        <f>C830 &amp; "-" &amp; VLOOKUP(C830,[4]RESULTATS!$E$1:$F$176,2,FALSE)</f>
        <v>258- Les activités extrascolaires sont diversifiées</v>
      </c>
      <c r="AC830" s="20" t="str">
        <f>D830 &amp; "-" &amp; VLOOKUP(D830,[4]STRATEGIES!$E$1:$F$504,2,FALSE)</f>
        <v>2581-Renforcement des activités artistiques, culturelles et sportives dans les écoles</v>
      </c>
      <c r="AD830" s="21" t="str">
        <f t="shared" si="155"/>
        <v>25811-Actualisation du document de politique sur les activités artistiques, culturelles et sportives en milieu scolaire</v>
      </c>
    </row>
    <row r="831" spans="1:30" s="22" customFormat="1" ht="30" hidden="1" customHeight="1" x14ac:dyDescent="0.8">
      <c r="A831" s="14">
        <v>2</v>
      </c>
      <c r="B831" s="15">
        <v>25</v>
      </c>
      <c r="C831" s="15">
        <v>258</v>
      </c>
      <c r="D831" s="15">
        <v>2581</v>
      </c>
      <c r="E831" s="15">
        <v>25812</v>
      </c>
      <c r="F831" s="16" t="s">
        <v>1028</v>
      </c>
      <c r="G831" s="21" t="s">
        <v>37</v>
      </c>
      <c r="H831" s="17" t="s">
        <v>38</v>
      </c>
      <c r="I831" s="33">
        <v>0</v>
      </c>
      <c r="J831" s="33">
        <f>50*2</f>
        <v>100</v>
      </c>
      <c r="K831" s="33"/>
      <c r="L831" s="33"/>
      <c r="M831" s="33">
        <f t="shared" si="160"/>
        <v>100</v>
      </c>
      <c r="N831" s="33">
        <f>IF(OR(H831="",H831="sif",H831="PM"),0,VLOOKUP(H831,[5]CU!$C$4:$H$255,6,FALSE))</f>
        <v>0.3133333333333333</v>
      </c>
      <c r="O831" s="33">
        <f t="shared" si="161"/>
        <v>0</v>
      </c>
      <c r="P831" s="33">
        <f t="shared" si="161"/>
        <v>31.333333333333329</v>
      </c>
      <c r="Q831" s="33">
        <f t="shared" si="161"/>
        <v>0</v>
      </c>
      <c r="R831" s="33">
        <f t="shared" si="161"/>
        <v>0</v>
      </c>
      <c r="S831" s="34">
        <f>SUM(O831:R831)</f>
        <v>31.333333333333329</v>
      </c>
      <c r="T831" s="35" t="s">
        <v>118</v>
      </c>
      <c r="U831" s="18" t="s">
        <v>647</v>
      </c>
      <c r="V831" s="18" t="str">
        <f>IF(OR($H831="",$H831="sif",$H831="PM"),"",VLOOKUP($H831,[5]CU!$C$5:$J$255,8,FALSE))</f>
        <v>3. Formation</v>
      </c>
      <c r="W831" s="18" t="s">
        <v>1027</v>
      </c>
      <c r="X831" s="18" t="s">
        <v>1027</v>
      </c>
      <c r="Y831" s="19" t="s">
        <v>32</v>
      </c>
      <c r="Z831" s="18" t="str">
        <f>A831 &amp; "-" &amp; VLOOKUP(A831,[4]PROGRAMMES!$E$1:$F$7,2,FALSE)</f>
        <v>2-Qualité des enseignements et des apprentissages</v>
      </c>
      <c r="AA831" s="19" t="str">
        <f>B831 &amp; "-" &amp; VLOOKUP(B831,[4]SOUSPROGRAMMES!$E$1:$F$44,2,FALSE)</f>
        <v xml:space="preserve">25- Conditions d’apprentissage améliorées </v>
      </c>
      <c r="AB831" s="19" t="str">
        <f>C831 &amp; "-" &amp; VLOOKUP(C831,[4]RESULTATS!$E$1:$F$176,2,FALSE)</f>
        <v>258- Les activités extrascolaires sont diversifiées</v>
      </c>
      <c r="AC831" s="20" t="str">
        <f>D831 &amp; "-" &amp; VLOOKUP(D831,[4]STRATEGIES!$E$1:$F$504,2,FALSE)</f>
        <v>2581-Renforcement des activités artistiques, culturelles et sportives dans les écoles</v>
      </c>
      <c r="AD831" s="21" t="str">
        <f t="shared" si="155"/>
        <v>25812-Validation du document de politique sur les activités artistiques, culturelles et sportives en milieu scolaire</v>
      </c>
    </row>
    <row r="832" spans="1:30" s="22" customFormat="1" ht="30" hidden="1" customHeight="1" x14ac:dyDescent="0.8">
      <c r="A832" s="14">
        <v>2</v>
      </c>
      <c r="B832" s="15">
        <v>25</v>
      </c>
      <c r="C832" s="15">
        <v>258</v>
      </c>
      <c r="D832" s="15">
        <v>2581</v>
      </c>
      <c r="E832" s="15">
        <v>25813</v>
      </c>
      <c r="F832" s="16" t="s">
        <v>1029</v>
      </c>
      <c r="G832" s="21" t="s">
        <v>44</v>
      </c>
      <c r="H832" s="17" t="s">
        <v>313</v>
      </c>
      <c r="I832" s="33">
        <v>0</v>
      </c>
      <c r="J832" s="33">
        <f>1000</f>
        <v>1000</v>
      </c>
      <c r="K832" s="33"/>
      <c r="L832" s="33"/>
      <c r="M832" s="33">
        <f t="shared" si="160"/>
        <v>1000</v>
      </c>
      <c r="N832" s="33">
        <f>IF(OR(H832="",H832="sif",H832="PM"),0,VLOOKUP(H832,[5]CU!$C$4:$H$255,6,FALSE))</f>
        <v>7.4999999999999997E-3</v>
      </c>
      <c r="O832" s="33">
        <f t="shared" si="161"/>
        <v>0</v>
      </c>
      <c r="P832" s="33">
        <f t="shared" si="161"/>
        <v>7.5</v>
      </c>
      <c r="Q832" s="33">
        <f t="shared" si="161"/>
        <v>0</v>
      </c>
      <c r="R832" s="33">
        <f t="shared" si="161"/>
        <v>0</v>
      </c>
      <c r="S832" s="34">
        <f>SUM(O832:R832)</f>
        <v>7.5</v>
      </c>
      <c r="T832" s="35" t="s">
        <v>118</v>
      </c>
      <c r="U832" s="18" t="s">
        <v>647</v>
      </c>
      <c r="V832" s="18" t="str">
        <f>IF(OR($H832="",$H832="sif",$H832="PM"),"",VLOOKUP($H832,[5]CU!$C$5:$J$255,8,FALSE))</f>
        <v>3. Dépenses de fonctionnement</v>
      </c>
      <c r="W832" s="18" t="s">
        <v>1027</v>
      </c>
      <c r="X832" s="18" t="s">
        <v>1027</v>
      </c>
      <c r="Y832" s="19" t="s">
        <v>32</v>
      </c>
      <c r="Z832" s="18" t="str">
        <f>A832 &amp; "-" &amp; VLOOKUP(A832,[4]PROGRAMMES!$E$1:$F$7,2,FALSE)</f>
        <v>2-Qualité des enseignements et des apprentissages</v>
      </c>
      <c r="AA832" s="19" t="str">
        <f>B832 &amp; "-" &amp; VLOOKUP(B832,[4]SOUSPROGRAMMES!$E$1:$F$44,2,FALSE)</f>
        <v xml:space="preserve">25- Conditions d’apprentissage améliorées </v>
      </c>
      <c r="AB832" s="19" t="str">
        <f>C832 &amp; "-" &amp; VLOOKUP(C832,[4]RESULTATS!$E$1:$F$176,2,FALSE)</f>
        <v>258- Les activités extrascolaires sont diversifiées</v>
      </c>
      <c r="AC832" s="20" t="str">
        <f>D832 &amp; "-" &amp; VLOOKUP(D832,[4]STRATEGIES!$E$1:$F$504,2,FALSE)</f>
        <v>2581-Renforcement des activités artistiques, culturelles et sportives dans les écoles</v>
      </c>
      <c r="AD832" s="21" t="str">
        <f t="shared" si="155"/>
        <v>25813-Impression du document de politique sur les activités artistiques, culturelles et sportives en milieu scolaire</v>
      </c>
    </row>
    <row r="833" spans="1:30" s="22" customFormat="1" ht="30" hidden="1" customHeight="1" x14ac:dyDescent="0.8">
      <c r="A833" s="14">
        <v>2</v>
      </c>
      <c r="B833" s="15">
        <v>25</v>
      </c>
      <c r="C833" s="15">
        <v>258</v>
      </c>
      <c r="D833" s="15">
        <v>2581</v>
      </c>
      <c r="E833" s="15">
        <v>25814</v>
      </c>
      <c r="F833" s="16" t="s">
        <v>1030</v>
      </c>
      <c r="G833" s="21" t="s">
        <v>37</v>
      </c>
      <c r="H833" s="17" t="s">
        <v>38</v>
      </c>
      <c r="I833" s="33">
        <v>0</v>
      </c>
      <c r="J833" s="33"/>
      <c r="K833" s="33">
        <f>30*2*8</f>
        <v>480</v>
      </c>
      <c r="L833" s="33"/>
      <c r="M833" s="33">
        <f t="shared" si="160"/>
        <v>480</v>
      </c>
      <c r="N833" s="33">
        <f>IF(OR(H833="",H833="sif",H833="PM"),0,VLOOKUP(H833,[5]CU!$C$4:$H$255,6,FALSE))</f>
        <v>0.3133333333333333</v>
      </c>
      <c r="O833" s="33">
        <f t="shared" si="161"/>
        <v>0</v>
      </c>
      <c r="P833" s="33">
        <f t="shared" si="161"/>
        <v>0</v>
      </c>
      <c r="Q833" s="33">
        <f t="shared" si="161"/>
        <v>150.39999999999998</v>
      </c>
      <c r="R833" s="33">
        <f t="shared" si="161"/>
        <v>0</v>
      </c>
      <c r="S833" s="34">
        <f>SUM(O833:R833)</f>
        <v>150.39999999999998</v>
      </c>
      <c r="T833" s="35" t="s">
        <v>118</v>
      </c>
      <c r="U833" s="18" t="s">
        <v>647</v>
      </c>
      <c r="V833" s="18" t="str">
        <f>IF(OR($H833="",$H833="sif",$H833="PM"),"",VLOOKUP($H833,[5]CU!$C$5:$J$255,8,FALSE))</f>
        <v>3. Formation</v>
      </c>
      <c r="W833" s="18" t="s">
        <v>1027</v>
      </c>
      <c r="X833" s="18" t="s">
        <v>1027</v>
      </c>
      <c r="Y833" s="19" t="s">
        <v>32</v>
      </c>
      <c r="Z833" s="18" t="str">
        <f>A833 &amp; "-" &amp; VLOOKUP(A833,[4]PROGRAMMES!$E$1:$F$7,2,FALSE)</f>
        <v>2-Qualité des enseignements et des apprentissages</v>
      </c>
      <c r="AA833" s="19" t="str">
        <f>B833 &amp; "-" &amp; VLOOKUP(B833,[4]SOUSPROGRAMMES!$E$1:$F$44,2,FALSE)</f>
        <v xml:space="preserve">25- Conditions d’apprentissage améliorées </v>
      </c>
      <c r="AB833" s="19" t="str">
        <f>C833 &amp; "-" &amp; VLOOKUP(C833,[4]RESULTATS!$E$1:$F$176,2,FALSE)</f>
        <v>258- Les activités extrascolaires sont diversifiées</v>
      </c>
      <c r="AC833" s="20" t="str">
        <f>D833 &amp; "-" &amp; VLOOKUP(D833,[4]STRATEGIES!$E$1:$F$504,2,FALSE)</f>
        <v>2581-Renforcement des activités artistiques, culturelles et sportives dans les écoles</v>
      </c>
      <c r="AD833" s="21" t="str">
        <f t="shared" si="155"/>
        <v>25814-Vulgarisation du document de politique sur les activités artistiques, culturelles et sportives en milieu scolaire</v>
      </c>
    </row>
    <row r="834" spans="1:30" s="22" customFormat="1" ht="30" hidden="1" customHeight="1" x14ac:dyDescent="0.8">
      <c r="A834" s="14">
        <v>2</v>
      </c>
      <c r="B834" s="15">
        <v>25</v>
      </c>
      <c r="C834" s="15">
        <v>258</v>
      </c>
      <c r="D834" s="15">
        <v>2581</v>
      </c>
      <c r="E834" s="15">
        <v>25815</v>
      </c>
      <c r="F834" s="16" t="s">
        <v>1031</v>
      </c>
      <c r="G834" s="21" t="s">
        <v>92</v>
      </c>
      <c r="H834" s="17" t="s">
        <v>55</v>
      </c>
      <c r="I834" s="33">
        <v>0</v>
      </c>
      <c r="J834" s="33">
        <v>427</v>
      </c>
      <c r="K834" s="33">
        <v>427</v>
      </c>
      <c r="L834" s="33">
        <v>427</v>
      </c>
      <c r="M834" s="33">
        <f t="shared" si="160"/>
        <v>1281</v>
      </c>
      <c r="N834" s="33">
        <f>IF(OR(H834="",H834="sif",H834="PM"),0,VLOOKUP(H834,[5]CU!$C$4:$H$255,6,FALSE))</f>
        <v>0</v>
      </c>
      <c r="O834" s="33">
        <f t="shared" si="161"/>
        <v>0</v>
      </c>
      <c r="P834" s="33">
        <f t="shared" si="161"/>
        <v>0</v>
      </c>
      <c r="Q834" s="33">
        <f t="shared" si="161"/>
        <v>0</v>
      </c>
      <c r="R834" s="33">
        <f t="shared" si="161"/>
        <v>0</v>
      </c>
      <c r="S834" s="34"/>
      <c r="T834" s="35" t="s">
        <v>56</v>
      </c>
      <c r="U834" s="18" t="s">
        <v>647</v>
      </c>
      <c r="V834" s="18" t="str">
        <f>IF(OR($H834="",$H834="sif",$H834="PM"),"",VLOOKUP($H834,[5]CU!$C$5:$J$255,8,FALSE))</f>
        <v/>
      </c>
      <c r="W834" s="18" t="s">
        <v>77</v>
      </c>
      <c r="X834" s="18" t="s">
        <v>193</v>
      </c>
      <c r="Y834" s="19" t="s">
        <v>32</v>
      </c>
      <c r="Z834" s="18" t="str">
        <f>A834 &amp; "-" &amp; VLOOKUP(A834,[4]PROGRAMMES!$E$1:$F$7,2,FALSE)</f>
        <v>2-Qualité des enseignements et des apprentissages</v>
      </c>
      <c r="AA834" s="19" t="str">
        <f>B834 &amp; "-" &amp; VLOOKUP(B834,[4]SOUSPROGRAMMES!$E$1:$F$44,2,FALSE)</f>
        <v xml:space="preserve">25- Conditions d’apprentissage améliorées </v>
      </c>
      <c r="AB834" s="19" t="str">
        <f>C834 &amp; "-" &amp; VLOOKUP(C834,[4]RESULTATS!$E$1:$F$176,2,FALSE)</f>
        <v>258- Les activités extrascolaires sont diversifiées</v>
      </c>
      <c r="AC834" s="20" t="str">
        <f>D834 &amp; "-" &amp; VLOOKUP(D834,[4]STRATEGIES!$E$1:$F$504,2,FALSE)</f>
        <v>2581-Renforcement des activités artistiques, culturelles et sportives dans les écoles</v>
      </c>
      <c r="AD834" s="21" t="str">
        <f t="shared" si="155"/>
        <v>25815-Organisation de compétitions sportives, artistiques et culturelles au niveau DSEE (prise en compte dans activité 12438)</v>
      </c>
    </row>
    <row r="835" spans="1:30" s="22" customFormat="1" ht="30" hidden="1" customHeight="1" x14ac:dyDescent="0.8">
      <c r="A835" s="14">
        <v>2</v>
      </c>
      <c r="B835" s="15">
        <v>25</v>
      </c>
      <c r="C835" s="15">
        <v>258</v>
      </c>
      <c r="D835" s="15">
        <v>2581</v>
      </c>
      <c r="E835" s="15">
        <v>25816</v>
      </c>
      <c r="F835" s="16" t="s">
        <v>1032</v>
      </c>
      <c r="G835" s="21" t="s">
        <v>92</v>
      </c>
      <c r="H835" s="17" t="s">
        <v>55</v>
      </c>
      <c r="I835" s="33">
        <v>0</v>
      </c>
      <c r="J835" s="33">
        <v>38</v>
      </c>
      <c r="K835" s="33">
        <v>38</v>
      </c>
      <c r="L835" s="33">
        <v>38</v>
      </c>
      <c r="M835" s="33">
        <f t="shared" si="160"/>
        <v>114</v>
      </c>
      <c r="N835" s="33">
        <f>IF(OR(H835="",H835="sif",H835="PM"),0,VLOOKUP(H835,[5]CU!$C$4:$H$255,6,FALSE))</f>
        <v>0</v>
      </c>
      <c r="O835" s="33">
        <f t="shared" si="161"/>
        <v>0</v>
      </c>
      <c r="P835" s="33">
        <f t="shared" si="161"/>
        <v>0</v>
      </c>
      <c r="Q835" s="33">
        <f t="shared" si="161"/>
        <v>0</v>
      </c>
      <c r="R835" s="33">
        <f t="shared" si="161"/>
        <v>0</v>
      </c>
      <c r="S835" s="34"/>
      <c r="T835" s="35" t="s">
        <v>56</v>
      </c>
      <c r="U835" s="18" t="s">
        <v>647</v>
      </c>
      <c r="V835" s="18" t="str">
        <f>IF(OR($H835="",$H835="sif",$H835="PM"),"",VLOOKUP($H835,[5]CU!$C$5:$J$255,8,FALSE))</f>
        <v/>
      </c>
      <c r="W835" s="18" t="s">
        <v>282</v>
      </c>
      <c r="X835" s="18" t="s">
        <v>77</v>
      </c>
      <c r="Y835" s="19" t="s">
        <v>32</v>
      </c>
      <c r="Z835" s="18" t="str">
        <f>A835 &amp; "-" &amp; VLOOKUP(A835,[4]PROGRAMMES!$E$1:$F$7,2,FALSE)</f>
        <v>2-Qualité des enseignements et des apprentissages</v>
      </c>
      <c r="AA835" s="19" t="str">
        <f>B835 &amp; "-" &amp; VLOOKUP(B835,[4]SOUSPROGRAMMES!$E$1:$F$44,2,FALSE)</f>
        <v xml:space="preserve">25- Conditions d’apprentissage améliorées </v>
      </c>
      <c r="AB835" s="19" t="str">
        <f>C835 &amp; "-" &amp; VLOOKUP(C835,[4]RESULTATS!$E$1:$F$176,2,FALSE)</f>
        <v>258- Les activités extrascolaires sont diversifiées</v>
      </c>
      <c r="AC835" s="20" t="str">
        <f>D835 &amp; "-" &amp; VLOOKUP(D835,[4]STRATEGIES!$E$1:$F$504,2,FALSE)</f>
        <v>2581-Renforcement des activités artistiques, culturelles et sportives dans les écoles</v>
      </c>
      <c r="AD835" s="21" t="str">
        <f t="shared" si="155"/>
        <v>25816-Organisation de compétitions sportives, artistiques et culturelles au niveau DPE/DCE (prise en compte dans activité 12438)</v>
      </c>
    </row>
    <row r="836" spans="1:30" s="22" customFormat="1" ht="30" hidden="1" customHeight="1" x14ac:dyDescent="0.8">
      <c r="A836" s="14">
        <v>2</v>
      </c>
      <c r="B836" s="15">
        <v>25</v>
      </c>
      <c r="C836" s="15">
        <v>258</v>
      </c>
      <c r="D836" s="15">
        <v>2581</v>
      </c>
      <c r="E836" s="15">
        <v>25817</v>
      </c>
      <c r="F836" s="16" t="s">
        <v>1033</v>
      </c>
      <c r="G836" s="21" t="s">
        <v>92</v>
      </c>
      <c r="H836" s="17" t="s">
        <v>55</v>
      </c>
      <c r="I836" s="33">
        <v>0</v>
      </c>
      <c r="J836" s="33">
        <v>8</v>
      </c>
      <c r="K836" s="33">
        <v>8</v>
      </c>
      <c r="L836" s="33">
        <v>8</v>
      </c>
      <c r="M836" s="33">
        <f t="shared" si="160"/>
        <v>24</v>
      </c>
      <c r="N836" s="33">
        <f>IF(OR(H836="",H836="sif",H836="PM"),0,VLOOKUP(H836,[5]CU!$C$4:$H$255,6,FALSE))</f>
        <v>0</v>
      </c>
      <c r="O836" s="33">
        <f t="shared" si="161"/>
        <v>0</v>
      </c>
      <c r="P836" s="33">
        <f t="shared" si="161"/>
        <v>0</v>
      </c>
      <c r="Q836" s="33">
        <f t="shared" si="161"/>
        <v>0</v>
      </c>
      <c r="R836" s="33">
        <f t="shared" si="161"/>
        <v>0</v>
      </c>
      <c r="S836" s="34"/>
      <c r="T836" s="35" t="s">
        <v>56</v>
      </c>
      <c r="U836" s="18" t="s">
        <v>647</v>
      </c>
      <c r="V836" s="18" t="str">
        <f>IF(OR($H836="",$H836="sif",$H836="PM"),"",VLOOKUP($H836,[5]CU!$C$5:$J$255,8,FALSE))</f>
        <v/>
      </c>
      <c r="W836" s="18" t="s">
        <v>1027</v>
      </c>
      <c r="X836" s="18" t="s">
        <v>282</v>
      </c>
      <c r="Y836" s="19" t="s">
        <v>32</v>
      </c>
      <c r="Z836" s="18" t="str">
        <f>A836 &amp; "-" &amp; VLOOKUP(A836,[4]PROGRAMMES!$E$1:$F$7,2,FALSE)</f>
        <v>2-Qualité des enseignements et des apprentissages</v>
      </c>
      <c r="AA836" s="19" t="str">
        <f>B836 &amp; "-" &amp; VLOOKUP(B836,[4]SOUSPROGRAMMES!$E$1:$F$44,2,FALSE)</f>
        <v xml:space="preserve">25- Conditions d’apprentissage améliorées </v>
      </c>
      <c r="AB836" s="19" t="str">
        <f>C836 &amp; "-" &amp; VLOOKUP(C836,[4]RESULTATS!$E$1:$F$176,2,FALSE)</f>
        <v>258- Les activités extrascolaires sont diversifiées</v>
      </c>
      <c r="AC836" s="20" t="str">
        <f>D836 &amp; "-" &amp; VLOOKUP(D836,[4]STRATEGIES!$E$1:$F$504,2,FALSE)</f>
        <v>2581-Renforcement des activités artistiques, culturelles et sportives dans les écoles</v>
      </c>
      <c r="AD836" s="21" t="str">
        <f t="shared" ref="AD836:AD899" si="162">E836 &amp; "-" &amp; F836</f>
        <v>25817-Organisation de compétitions sportives, artistiques et culturelles au niveau IRE (prise en compte dans activité 12438)</v>
      </c>
    </row>
    <row r="837" spans="1:30" s="22" customFormat="1" ht="30" hidden="1" customHeight="1" x14ac:dyDescent="0.8">
      <c r="A837" s="14">
        <v>2</v>
      </c>
      <c r="B837" s="15">
        <v>25</v>
      </c>
      <c r="C837" s="15">
        <v>258</v>
      </c>
      <c r="D837" s="15">
        <v>2581</v>
      </c>
      <c r="E837" s="15">
        <v>25818</v>
      </c>
      <c r="F837" s="16" t="s">
        <v>1034</v>
      </c>
      <c r="G837" s="21" t="s">
        <v>1035</v>
      </c>
      <c r="H837" s="17" t="s">
        <v>1036</v>
      </c>
      <c r="I837" s="33">
        <v>0</v>
      </c>
      <c r="J837" s="33">
        <v>1</v>
      </c>
      <c r="K837" s="33">
        <v>1</v>
      </c>
      <c r="L837" s="33">
        <v>1</v>
      </c>
      <c r="M837" s="33">
        <f t="shared" si="160"/>
        <v>3</v>
      </c>
      <c r="N837" s="33">
        <f>IF(OR(H837="",H837="sif",H837="PM"),0,VLOOKUP(H837,[5]CU!$C$4:$H$255,6,FALSE))</f>
        <v>185.47499999999999</v>
      </c>
      <c r="O837" s="33">
        <f t="shared" si="161"/>
        <v>0</v>
      </c>
      <c r="P837" s="33">
        <f t="shared" si="161"/>
        <v>185.47499999999999</v>
      </c>
      <c r="Q837" s="33">
        <f t="shared" si="161"/>
        <v>185.47499999999999</v>
      </c>
      <c r="R837" s="33">
        <f t="shared" si="161"/>
        <v>185.47499999999999</v>
      </c>
      <c r="S837" s="34">
        <f t="shared" ref="S837:S859" si="163">SUM(O837:R837)</f>
        <v>556.42499999999995</v>
      </c>
      <c r="T837" s="35" t="s">
        <v>56</v>
      </c>
      <c r="U837" s="18" t="s">
        <v>647</v>
      </c>
      <c r="V837" s="18" t="str">
        <f>IF(OR($H837="",$H837="sif",$H837="PM"),"",VLOOKUP($H837,[5]CU!$C$5:$J$255,8,FALSE))</f>
        <v>4. Transferts et subventions</v>
      </c>
      <c r="W837" s="18" t="s">
        <v>1027</v>
      </c>
      <c r="X837" s="18" t="s">
        <v>1027</v>
      </c>
      <c r="Y837" s="19" t="s">
        <v>32</v>
      </c>
      <c r="Z837" s="18" t="str">
        <f>A837 &amp; "-" &amp; VLOOKUP(A837,[4]PROGRAMMES!$E$1:$F$7,2,FALSE)</f>
        <v>2-Qualité des enseignements et des apprentissages</v>
      </c>
      <c r="AA837" s="19" t="str">
        <f>B837 &amp; "-" &amp; VLOOKUP(B837,[4]SOUSPROGRAMMES!$E$1:$F$44,2,FALSE)</f>
        <v xml:space="preserve">25- Conditions d’apprentissage améliorées </v>
      </c>
      <c r="AB837" s="19" t="str">
        <f>C837 &amp; "-" &amp; VLOOKUP(C837,[4]RESULTATS!$E$1:$F$176,2,FALSE)</f>
        <v>258- Les activités extrascolaires sont diversifiées</v>
      </c>
      <c r="AC837" s="20" t="str">
        <f>D837 &amp; "-" &amp; VLOOKUP(D837,[4]STRATEGIES!$E$1:$F$504,2,FALSE)</f>
        <v>2581-Renforcement des activités artistiques, culturelles et sportives dans les écoles</v>
      </c>
      <c r="AD837" s="21" t="str">
        <f t="shared" si="162"/>
        <v>25818-Organisation de compétitions sportives, artistiques et culturelles au niveau National</v>
      </c>
    </row>
    <row r="838" spans="1:30" s="22" customFormat="1" ht="15" hidden="1" customHeight="1" x14ac:dyDescent="0.8">
      <c r="A838" s="14">
        <v>2</v>
      </c>
      <c r="B838" s="15">
        <v>26</v>
      </c>
      <c r="C838" s="15">
        <v>26</v>
      </c>
      <c r="D838" s="15">
        <v>26</v>
      </c>
      <c r="E838" s="15">
        <v>26</v>
      </c>
      <c r="F838" s="16" t="s">
        <v>1037</v>
      </c>
      <c r="G838" s="17"/>
      <c r="H838" s="17"/>
      <c r="I838" s="33">
        <v>0</v>
      </c>
      <c r="J838" s="33"/>
      <c r="K838" s="33"/>
      <c r="L838" s="33"/>
      <c r="M838" s="33"/>
      <c r="N838" s="33"/>
      <c r="O838" s="33"/>
      <c r="P838" s="33"/>
      <c r="Q838" s="33"/>
      <c r="R838" s="33"/>
      <c r="S838" s="34"/>
      <c r="T838" s="33"/>
      <c r="U838" s="18"/>
      <c r="V838" s="18"/>
      <c r="W838" s="18"/>
      <c r="X838" s="18"/>
      <c r="Y838" s="19" t="s">
        <v>32</v>
      </c>
      <c r="Z838" s="18" t="str">
        <f>A838 &amp; "-" &amp; VLOOKUP(A838,[4]PROGRAMMES!$E$1:$F$7,2,FALSE)</f>
        <v>2-Qualité des enseignements et des apprentissages</v>
      </c>
      <c r="AA838" s="19" t="str">
        <f>B838 &amp; "-" &amp; VLOOKUP(B838,[4]SOUSPROGRAMMES!$E$1:$F$44,2,FALSE)</f>
        <v>26- Examen et évaluation</v>
      </c>
      <c r="AB838" s="19" t="str">
        <f>C838 &amp; "-" &amp; VLOOKUP(C838,[4]RESULTATS!$E$1:$F$176,2,FALSE)</f>
        <v>26- Examen et évaluation</v>
      </c>
      <c r="AC838" s="20" t="str">
        <f>D838 &amp; "-" &amp; VLOOKUP(D838,[4]STRATEGIES!$E$1:$F$504,2,FALSE)</f>
        <v>26- Examen et évaluation</v>
      </c>
      <c r="AD838" s="21" t="str">
        <f t="shared" si="162"/>
        <v>26- Examen et évaluation</v>
      </c>
    </row>
    <row r="839" spans="1:30" s="22" customFormat="1" ht="45" hidden="1" customHeight="1" x14ac:dyDescent="0.8">
      <c r="A839" s="14">
        <v>2</v>
      </c>
      <c r="B839" s="15">
        <v>26</v>
      </c>
      <c r="C839" s="15">
        <v>261</v>
      </c>
      <c r="D839" s="15">
        <v>261</v>
      </c>
      <c r="E839" s="15">
        <v>261</v>
      </c>
      <c r="F839" s="16" t="s">
        <v>1038</v>
      </c>
      <c r="G839" s="17"/>
      <c r="H839" s="17"/>
      <c r="I839" s="33">
        <v>0</v>
      </c>
      <c r="J839" s="33"/>
      <c r="K839" s="33"/>
      <c r="L839" s="33"/>
      <c r="M839" s="33"/>
      <c r="N839" s="33"/>
      <c r="O839" s="33"/>
      <c r="P839" s="33"/>
      <c r="Q839" s="33"/>
      <c r="R839" s="33"/>
      <c r="S839" s="34"/>
      <c r="T839" s="33"/>
      <c r="U839" s="18"/>
      <c r="V839" s="18"/>
      <c r="W839" s="18"/>
      <c r="X839" s="18"/>
      <c r="Y839" s="19" t="s">
        <v>32</v>
      </c>
      <c r="Z839" s="18" t="str">
        <f>A839 &amp; "-" &amp; VLOOKUP(A839,[4]PROGRAMMES!$E$1:$F$7,2,FALSE)</f>
        <v>2-Qualité des enseignements et des apprentissages</v>
      </c>
      <c r="AA839" s="19" t="str">
        <f>B839 &amp; "-" &amp; VLOOKUP(B839,[4]SOUSPROGRAMMES!$E$1:$F$44,2,FALSE)</f>
        <v>26- Examen et évaluation</v>
      </c>
      <c r="AB839" s="19" t="str">
        <f>C839 &amp; "-" &amp; VLOOKUP(C839,[4]RESULTATS!$E$1:$F$176,2,FALSE)</f>
        <v xml:space="preserve">261- Les évaluations des acquis au primaire et secondaire sont régulières, exploitées et disséminées.  </v>
      </c>
      <c r="AC839" s="20" t="str">
        <f>D839 &amp; "-" &amp; VLOOKUP(D839,[4]STRATEGIES!$E$1:$F$504,2,FALSE)</f>
        <v xml:space="preserve">261- Les évaluations des acquis au primaire et secondaire sont régulières, exploitées et disséminées.  </v>
      </c>
      <c r="AD839" s="21" t="str">
        <f t="shared" si="162"/>
        <v xml:space="preserve">261- Les évaluations des acquis au primaire et secondaire sont régulières, exploitées et disséminées.  </v>
      </c>
    </row>
    <row r="840" spans="1:30" s="22" customFormat="1" ht="45" hidden="1" customHeight="1" x14ac:dyDescent="0.8">
      <c r="A840" s="14">
        <v>2</v>
      </c>
      <c r="B840" s="15">
        <v>26</v>
      </c>
      <c r="C840" s="15">
        <v>261</v>
      </c>
      <c r="D840" s="15">
        <v>2611</v>
      </c>
      <c r="E840" s="15">
        <v>2611</v>
      </c>
      <c r="F840" s="16" t="s">
        <v>1039</v>
      </c>
      <c r="G840" s="17"/>
      <c r="H840" s="17"/>
      <c r="I840" s="33">
        <v>0</v>
      </c>
      <c r="J840" s="33"/>
      <c r="K840" s="33"/>
      <c r="L840" s="33"/>
      <c r="M840" s="33"/>
      <c r="N840" s="33"/>
      <c r="O840" s="33"/>
      <c r="P840" s="33"/>
      <c r="Q840" s="33"/>
      <c r="R840" s="33"/>
      <c r="S840" s="34"/>
      <c r="T840" s="33"/>
      <c r="U840" s="18"/>
      <c r="V840" s="18"/>
      <c r="W840" s="18"/>
      <c r="X840" s="18"/>
      <c r="Y840" s="19" t="s">
        <v>32</v>
      </c>
      <c r="Z840" s="18" t="str">
        <f>A840 &amp; "-" &amp; VLOOKUP(A840,[4]PROGRAMMES!$E$1:$F$7,2,FALSE)</f>
        <v>2-Qualité des enseignements et des apprentissages</v>
      </c>
      <c r="AA840" s="19" t="str">
        <f>B840 &amp; "-" &amp; VLOOKUP(B840,[4]SOUSPROGRAMMES!$E$1:$F$44,2,FALSE)</f>
        <v>26- Examen et évaluation</v>
      </c>
      <c r="AB840" s="19" t="str">
        <f>C840 &amp; "-" &amp; VLOOKUP(C840,[4]RESULTATS!$E$1:$F$176,2,FALSE)</f>
        <v xml:space="preserve">261- Les évaluations des acquis au primaire et secondaire sont régulières, exploitées et disséminées.  </v>
      </c>
      <c r="AC840" s="20" t="str">
        <f>D840 &amp; "-" &amp; VLOOKUP(D840,[4]STRATEGIES!$E$1:$F$504,2,FALSE)</f>
        <v>2611-Conception et la validation des outils de collecte de données</v>
      </c>
      <c r="AD840" s="21" t="str">
        <f t="shared" si="162"/>
        <v>2611-Conception et la validation des outils de collecte de données</v>
      </c>
    </row>
    <row r="841" spans="1:30" s="22" customFormat="1" ht="45" hidden="1" customHeight="1" x14ac:dyDescent="0.8">
      <c r="A841" s="14">
        <v>2</v>
      </c>
      <c r="B841" s="15">
        <v>26</v>
      </c>
      <c r="C841" s="15">
        <v>261</v>
      </c>
      <c r="D841" s="15">
        <v>2611</v>
      </c>
      <c r="E841" s="15">
        <v>26111</v>
      </c>
      <c r="F841" s="16" t="s">
        <v>1040</v>
      </c>
      <c r="G841" s="21" t="s">
        <v>37</v>
      </c>
      <c r="H841" s="17" t="s">
        <v>66</v>
      </c>
      <c r="I841" s="33">
        <v>0</v>
      </c>
      <c r="J841" s="33"/>
      <c r="K841" s="33">
        <f>10*7</f>
        <v>70</v>
      </c>
      <c r="L841" s="33"/>
      <c r="M841" s="33">
        <f t="shared" si="160"/>
        <v>70</v>
      </c>
      <c r="N841" s="33">
        <f>IF(OR(H841="",H841="sif",H841="PM"),0,VLOOKUP(H841,[5]CU!$C$4:$H$255,6,FALSE))</f>
        <v>0.255</v>
      </c>
      <c r="O841" s="33">
        <f t="shared" si="161"/>
        <v>0</v>
      </c>
      <c r="P841" s="33">
        <f t="shared" si="161"/>
        <v>0</v>
      </c>
      <c r="Q841" s="33">
        <f t="shared" si="161"/>
        <v>17.850000000000001</v>
      </c>
      <c r="R841" s="33">
        <f t="shared" si="161"/>
        <v>0</v>
      </c>
      <c r="S841" s="34">
        <f t="shared" si="163"/>
        <v>17.850000000000001</v>
      </c>
      <c r="T841" s="35" t="s">
        <v>39</v>
      </c>
      <c r="U841" s="19" t="s">
        <v>647</v>
      </c>
      <c r="V841" s="19" t="str">
        <f>IF(OR($H841="",$H841="sif",$H841="PM"),"",VLOOKUP($H841,[5]CU!$C$5:$J$255,8,FALSE))</f>
        <v>3. Dépenses de fonctionnement</v>
      </c>
      <c r="W841" s="19" t="s">
        <v>192</v>
      </c>
      <c r="X841" s="19" t="s">
        <v>764</v>
      </c>
      <c r="Y841" s="19" t="s">
        <v>32</v>
      </c>
      <c r="Z841" s="18" t="str">
        <f>A841 &amp; "-" &amp; VLOOKUP(A841,[4]PROGRAMMES!$E$1:$F$7,2,FALSE)</f>
        <v>2-Qualité des enseignements et des apprentissages</v>
      </c>
      <c r="AA841" s="19" t="str">
        <f>B841 &amp; "-" &amp; VLOOKUP(B841,[4]SOUSPROGRAMMES!$E$1:$F$44,2,FALSE)</f>
        <v>26- Examen et évaluation</v>
      </c>
      <c r="AB841" s="19" t="str">
        <f>C841 &amp; "-" &amp; VLOOKUP(C841,[4]RESULTATS!$E$1:$F$176,2,FALSE)</f>
        <v xml:space="preserve">261- Les évaluations des acquis au primaire et secondaire sont régulières, exploitées et disséminées.  </v>
      </c>
      <c r="AC841" s="20" t="str">
        <f>D841 &amp; "-" &amp; VLOOKUP(D841,[4]STRATEGIES!$E$1:$F$504,2,FALSE)</f>
        <v>2611-Conception et la validation des outils de collecte de données</v>
      </c>
      <c r="AD841" s="21" t="str">
        <f t="shared" si="162"/>
        <v>26111-Actualisation des outils d'évaluation au primaire</v>
      </c>
    </row>
    <row r="842" spans="1:30" s="22" customFormat="1" ht="45" hidden="1" customHeight="1" x14ac:dyDescent="0.8">
      <c r="A842" s="14">
        <v>2</v>
      </c>
      <c r="B842" s="15">
        <v>26</v>
      </c>
      <c r="C842" s="15">
        <v>261</v>
      </c>
      <c r="D842" s="15">
        <v>2611</v>
      </c>
      <c r="E842" s="15">
        <v>26112</v>
      </c>
      <c r="F842" s="16" t="s">
        <v>1041</v>
      </c>
      <c r="G842" s="21" t="s">
        <v>37</v>
      </c>
      <c r="H842" s="17" t="s">
        <v>38</v>
      </c>
      <c r="I842" s="33">
        <v>0</v>
      </c>
      <c r="J842" s="33"/>
      <c r="K842" s="33">
        <f>25*7</f>
        <v>175</v>
      </c>
      <c r="L842" s="33"/>
      <c r="M842" s="33">
        <f t="shared" si="160"/>
        <v>175</v>
      </c>
      <c r="N842" s="33">
        <f>IF(OR(H842="",H842="sif",H842="PM"),0,VLOOKUP(H842,[5]CU!$C$4:$H$255,6,FALSE))</f>
        <v>0.3133333333333333</v>
      </c>
      <c r="O842" s="33">
        <f t="shared" si="161"/>
        <v>0</v>
      </c>
      <c r="P842" s="33">
        <f t="shared" si="161"/>
        <v>0</v>
      </c>
      <c r="Q842" s="33">
        <f t="shared" si="161"/>
        <v>54.833333333333329</v>
      </c>
      <c r="R842" s="33">
        <f t="shared" si="161"/>
        <v>0</v>
      </c>
      <c r="S842" s="34">
        <f t="shared" si="163"/>
        <v>54.833333333333329</v>
      </c>
      <c r="T842" s="35" t="s">
        <v>39</v>
      </c>
      <c r="U842" s="19" t="s">
        <v>647</v>
      </c>
      <c r="V842" s="19" t="str">
        <f>IF(OR($H842="",$H842="sif",$H842="PM"),"",VLOOKUP($H842,[5]CU!$C$5:$J$255,8,FALSE))</f>
        <v>3. Formation</v>
      </c>
      <c r="W842" s="19" t="s">
        <v>398</v>
      </c>
      <c r="X842" s="19" t="s">
        <v>764</v>
      </c>
      <c r="Y842" s="19" t="s">
        <v>32</v>
      </c>
      <c r="Z842" s="18" t="str">
        <f>A842 &amp; "-" &amp; VLOOKUP(A842,[4]PROGRAMMES!$E$1:$F$7,2,FALSE)</f>
        <v>2-Qualité des enseignements et des apprentissages</v>
      </c>
      <c r="AA842" s="19" t="str">
        <f>B842 &amp; "-" &amp; VLOOKUP(B842,[4]SOUSPROGRAMMES!$E$1:$F$44,2,FALSE)</f>
        <v>26- Examen et évaluation</v>
      </c>
      <c r="AB842" s="19" t="str">
        <f>C842 &amp; "-" &amp; VLOOKUP(C842,[4]RESULTATS!$E$1:$F$176,2,FALSE)</f>
        <v xml:space="preserve">261- Les évaluations des acquis au primaire et secondaire sont régulières, exploitées et disséminées.  </v>
      </c>
      <c r="AC842" s="20" t="str">
        <f>D842 &amp; "-" &amp; VLOOKUP(D842,[4]STRATEGIES!$E$1:$F$504,2,FALSE)</f>
        <v>2611-Conception et la validation des outils de collecte de données</v>
      </c>
      <c r="AD842" s="21" t="str">
        <f t="shared" si="162"/>
        <v>26112-Conception des outils d'évaluation des acquis des élèves au collège</v>
      </c>
    </row>
    <row r="843" spans="1:30" s="22" customFormat="1" ht="45" hidden="1" customHeight="1" x14ac:dyDescent="0.8">
      <c r="A843" s="14">
        <v>2</v>
      </c>
      <c r="B843" s="15">
        <v>26</v>
      </c>
      <c r="C843" s="15">
        <v>261</v>
      </c>
      <c r="D843" s="15">
        <v>2611</v>
      </c>
      <c r="E843" s="15">
        <v>26113</v>
      </c>
      <c r="F843" s="16" t="s">
        <v>1042</v>
      </c>
      <c r="G843" s="21" t="s">
        <v>37</v>
      </c>
      <c r="H843" s="17" t="s">
        <v>38</v>
      </c>
      <c r="I843" s="33">
        <v>0</v>
      </c>
      <c r="J843" s="33"/>
      <c r="K843" s="33">
        <f>40*2</f>
        <v>80</v>
      </c>
      <c r="L843" s="33"/>
      <c r="M843" s="33">
        <f t="shared" si="160"/>
        <v>80</v>
      </c>
      <c r="N843" s="33">
        <f>IF(OR(H843="",H843="sif",H843="PM"),0,VLOOKUP(H843,[5]CU!$C$4:$H$255,6,FALSE))</f>
        <v>0.3133333333333333</v>
      </c>
      <c r="O843" s="33">
        <f t="shared" si="161"/>
        <v>0</v>
      </c>
      <c r="P843" s="33">
        <f t="shared" si="161"/>
        <v>0</v>
      </c>
      <c r="Q843" s="33">
        <f t="shared" si="161"/>
        <v>25.066666666666663</v>
      </c>
      <c r="R843" s="33">
        <f t="shared" si="161"/>
        <v>0</v>
      </c>
      <c r="S843" s="34">
        <f t="shared" si="163"/>
        <v>25.066666666666663</v>
      </c>
      <c r="T843" s="35" t="s">
        <v>39</v>
      </c>
      <c r="U843" s="19" t="s">
        <v>647</v>
      </c>
      <c r="V843" s="19" t="str">
        <f>IF(OR($H843="",$H843="sif",$H843="PM"),"",VLOOKUP($H843,[5]CU!$C$5:$J$255,8,FALSE))</f>
        <v>3. Formation</v>
      </c>
      <c r="W843" s="19" t="s">
        <v>764</v>
      </c>
      <c r="X843" s="19" t="s">
        <v>764</v>
      </c>
      <c r="Y843" s="19" t="s">
        <v>32</v>
      </c>
      <c r="Z843" s="18" t="str">
        <f>A843 &amp; "-" &amp; VLOOKUP(A843,[4]PROGRAMMES!$E$1:$F$7,2,FALSE)</f>
        <v>2-Qualité des enseignements et des apprentissages</v>
      </c>
      <c r="AA843" s="19" t="str">
        <f>B843 &amp; "-" &amp; VLOOKUP(B843,[4]SOUSPROGRAMMES!$E$1:$F$44,2,FALSE)</f>
        <v>26- Examen et évaluation</v>
      </c>
      <c r="AB843" s="19" t="str">
        <f>C843 &amp; "-" &amp; VLOOKUP(C843,[4]RESULTATS!$E$1:$F$176,2,FALSE)</f>
        <v xml:space="preserve">261- Les évaluations des acquis au primaire et secondaire sont régulières, exploitées et disséminées.  </v>
      </c>
      <c r="AC843" s="20" t="str">
        <f>D843 &amp; "-" &amp; VLOOKUP(D843,[4]STRATEGIES!$E$1:$F$504,2,FALSE)</f>
        <v>2611-Conception et la validation des outils de collecte de données</v>
      </c>
      <c r="AD843" s="21" t="str">
        <f t="shared" si="162"/>
        <v>26113-Formation des administrateurs de test pour l'expérimentation des outils</v>
      </c>
    </row>
    <row r="844" spans="1:30" s="22" customFormat="1" ht="45" hidden="1" customHeight="1" x14ac:dyDescent="0.8">
      <c r="A844" s="14">
        <v>2</v>
      </c>
      <c r="B844" s="15">
        <v>26</v>
      </c>
      <c r="C844" s="15">
        <v>261</v>
      </c>
      <c r="D844" s="15">
        <v>2611</v>
      </c>
      <c r="E844" s="15">
        <v>26114</v>
      </c>
      <c r="F844" s="16" t="s">
        <v>1043</v>
      </c>
      <c r="G844" s="21" t="s">
        <v>58</v>
      </c>
      <c r="H844" s="17" t="s">
        <v>38</v>
      </c>
      <c r="I844" s="33">
        <v>0</v>
      </c>
      <c r="J844" s="33"/>
      <c r="K844" s="33">
        <f>40*2</f>
        <v>80</v>
      </c>
      <c r="L844" s="33"/>
      <c r="M844" s="33">
        <f t="shared" si="160"/>
        <v>80</v>
      </c>
      <c r="N844" s="33">
        <f>IF(OR(H844="",H844="sif",H844="PM"),0,VLOOKUP(H844,[5]CU!$C$4:$H$255,6,FALSE))</f>
        <v>0.3133333333333333</v>
      </c>
      <c r="O844" s="33">
        <f t="shared" si="161"/>
        <v>0</v>
      </c>
      <c r="P844" s="33">
        <f t="shared" si="161"/>
        <v>0</v>
      </c>
      <c r="Q844" s="33">
        <f t="shared" si="161"/>
        <v>25.066666666666663</v>
      </c>
      <c r="R844" s="33">
        <f t="shared" si="161"/>
        <v>0</v>
      </c>
      <c r="S844" s="34">
        <f t="shared" si="163"/>
        <v>25.066666666666663</v>
      </c>
      <c r="T844" s="35" t="s">
        <v>39</v>
      </c>
      <c r="U844" s="19" t="s">
        <v>647</v>
      </c>
      <c r="V844" s="19" t="str">
        <f>IF(OR($H844="",$H844="sif",$H844="PM"),"",VLOOKUP($H844,[5]CU!$C$5:$J$255,8,FALSE))</f>
        <v>3. Formation</v>
      </c>
      <c r="W844" s="19" t="s">
        <v>764</v>
      </c>
      <c r="X844" s="19" t="s">
        <v>764</v>
      </c>
      <c r="Y844" s="19" t="s">
        <v>32</v>
      </c>
      <c r="Z844" s="18" t="str">
        <f>A844 &amp; "-" &amp; VLOOKUP(A844,[4]PROGRAMMES!$E$1:$F$7,2,FALSE)</f>
        <v>2-Qualité des enseignements et des apprentissages</v>
      </c>
      <c r="AA844" s="19" t="str">
        <f>B844 &amp; "-" &amp; VLOOKUP(B844,[4]SOUSPROGRAMMES!$E$1:$F$44,2,FALSE)</f>
        <v>26- Examen et évaluation</v>
      </c>
      <c r="AB844" s="19" t="str">
        <f>C844 &amp; "-" &amp; VLOOKUP(C844,[4]RESULTATS!$E$1:$F$176,2,FALSE)</f>
        <v xml:space="preserve">261- Les évaluations des acquis au primaire et secondaire sont régulières, exploitées et disséminées.  </v>
      </c>
      <c r="AC844" s="20" t="str">
        <f>D844 &amp; "-" &amp; VLOOKUP(D844,[4]STRATEGIES!$E$1:$F$504,2,FALSE)</f>
        <v>2611-Conception et la validation des outils de collecte de données</v>
      </c>
      <c r="AD844" s="21" t="str">
        <f t="shared" si="162"/>
        <v>26114-Collecte de données sur le terrain dans 20 écoles pour tester les outils</v>
      </c>
    </row>
    <row r="845" spans="1:30" s="22" customFormat="1" ht="45" hidden="1" customHeight="1" x14ac:dyDescent="0.8">
      <c r="A845" s="14">
        <v>2</v>
      </c>
      <c r="B845" s="15">
        <v>26</v>
      </c>
      <c r="C845" s="15">
        <v>261</v>
      </c>
      <c r="D845" s="15">
        <v>2611</v>
      </c>
      <c r="E845" s="15">
        <v>26115</v>
      </c>
      <c r="F845" s="16" t="s">
        <v>1044</v>
      </c>
      <c r="G845" s="21" t="s">
        <v>37</v>
      </c>
      <c r="H845" s="17" t="s">
        <v>66</v>
      </c>
      <c r="I845" s="33">
        <v>0</v>
      </c>
      <c r="J845" s="33"/>
      <c r="K845" s="33">
        <f>20*5</f>
        <v>100</v>
      </c>
      <c r="L845" s="33"/>
      <c r="M845" s="33">
        <f t="shared" si="160"/>
        <v>100</v>
      </c>
      <c r="N845" s="33">
        <f>IF(OR(H845="",H845="sif",H845="PM"),0,VLOOKUP(H845,[5]CU!$C$4:$H$255,6,FALSE))</f>
        <v>0.255</v>
      </c>
      <c r="O845" s="33">
        <f t="shared" si="161"/>
        <v>0</v>
      </c>
      <c r="P845" s="33">
        <f t="shared" si="161"/>
        <v>0</v>
      </c>
      <c r="Q845" s="33">
        <f t="shared" si="161"/>
        <v>25.5</v>
      </c>
      <c r="R845" s="33">
        <f t="shared" si="161"/>
        <v>0</v>
      </c>
      <c r="S845" s="34">
        <f t="shared" si="163"/>
        <v>25.5</v>
      </c>
      <c r="T845" s="35" t="s">
        <v>39</v>
      </c>
      <c r="U845" s="19" t="s">
        <v>647</v>
      </c>
      <c r="V845" s="19" t="str">
        <f>IF(OR($H845="",$H845="sif",$H845="PM"),"",VLOOKUP($H845,[5]CU!$C$5:$J$255,8,FALSE))</f>
        <v>3. Dépenses de fonctionnement</v>
      </c>
      <c r="W845" s="19" t="s">
        <v>764</v>
      </c>
      <c r="X845" s="19" t="s">
        <v>764</v>
      </c>
      <c r="Y845" s="19" t="s">
        <v>32</v>
      </c>
      <c r="Z845" s="18" t="str">
        <f>A845 &amp; "-" &amp; VLOOKUP(A845,[4]PROGRAMMES!$E$1:$F$7,2,FALSE)</f>
        <v>2-Qualité des enseignements et des apprentissages</v>
      </c>
      <c r="AA845" s="19" t="str">
        <f>B845 &amp; "-" &amp; VLOOKUP(B845,[4]SOUSPROGRAMMES!$E$1:$F$44,2,FALSE)</f>
        <v>26- Examen et évaluation</v>
      </c>
      <c r="AB845" s="19" t="str">
        <f>C845 &amp; "-" &amp; VLOOKUP(C845,[4]RESULTATS!$E$1:$F$176,2,FALSE)</f>
        <v xml:space="preserve">261- Les évaluations des acquis au primaire et secondaire sont régulières, exploitées et disséminées.  </v>
      </c>
      <c r="AC845" s="20" t="str">
        <f>D845 &amp; "-" &amp; VLOOKUP(D845,[4]STRATEGIES!$E$1:$F$504,2,FALSE)</f>
        <v>2611-Conception et la validation des outils de collecte de données</v>
      </c>
      <c r="AD845" s="21" t="str">
        <f t="shared" si="162"/>
        <v>26115-Analyse psychométrique des items et Finalisation des instruments de collecte</v>
      </c>
    </row>
    <row r="846" spans="1:30" s="22" customFormat="1" ht="45" hidden="1" customHeight="1" x14ac:dyDescent="0.8">
      <c r="A846" s="14">
        <v>2</v>
      </c>
      <c r="B846" s="15">
        <v>26</v>
      </c>
      <c r="C846" s="15">
        <v>261</v>
      </c>
      <c r="D846" s="15">
        <v>2612</v>
      </c>
      <c r="E846" s="15">
        <v>2612</v>
      </c>
      <c r="F846" s="16" t="s">
        <v>1045</v>
      </c>
      <c r="G846" s="17"/>
      <c r="H846" s="17"/>
      <c r="I846" s="33">
        <v>0</v>
      </c>
      <c r="J846" s="33"/>
      <c r="K846" s="33"/>
      <c r="L846" s="33"/>
      <c r="M846" s="33"/>
      <c r="N846" s="33"/>
      <c r="O846" s="33"/>
      <c r="P846" s="33"/>
      <c r="Q846" s="33"/>
      <c r="R846" s="33"/>
      <c r="S846" s="34"/>
      <c r="T846" s="33"/>
      <c r="U846" s="18"/>
      <c r="V846" s="18"/>
      <c r="W846" s="18"/>
      <c r="X846" s="18"/>
      <c r="Y846" s="19" t="s">
        <v>32</v>
      </c>
      <c r="Z846" s="18" t="str">
        <f>A846 &amp; "-" &amp; VLOOKUP(A846,[4]PROGRAMMES!$E$1:$F$7,2,FALSE)</f>
        <v>2-Qualité des enseignements et des apprentissages</v>
      </c>
      <c r="AA846" s="19" t="str">
        <f>B846 &amp; "-" &amp; VLOOKUP(B846,[4]SOUSPROGRAMMES!$E$1:$F$44,2,FALSE)</f>
        <v>26- Examen et évaluation</v>
      </c>
      <c r="AB846" s="19" t="str">
        <f>C846 &amp; "-" &amp; VLOOKUP(C846,[4]RESULTATS!$E$1:$F$176,2,FALSE)</f>
        <v xml:space="preserve">261- Les évaluations des acquis au primaire et secondaire sont régulières, exploitées et disséminées.  </v>
      </c>
      <c r="AC846" s="20" t="str">
        <f>D846 &amp; "-" &amp; VLOOKUP(D846,[4]STRATEGIES!$E$1:$F$504,2,FALSE)</f>
        <v>2612-Evaluation standardisée des acquis des élèves (CP2, CE2 et CM2) : Mise à échelle "Collecte", analyse et la rédaction du rapport d’évaluation</v>
      </c>
      <c r="AD846" s="21" t="str">
        <f t="shared" si="162"/>
        <v>2612-Evaluation standardisée des acquis des élèves (CP2, CE2 et CM2) : Mise à échelle "Collecte", analyse et la rédaction du rapport d’évaluation</v>
      </c>
    </row>
    <row r="847" spans="1:30" s="22" customFormat="1" ht="45" hidden="1" customHeight="1" x14ac:dyDescent="0.8">
      <c r="A847" s="14">
        <v>2</v>
      </c>
      <c r="B847" s="15">
        <v>26</v>
      </c>
      <c r="C847" s="15">
        <v>261</v>
      </c>
      <c r="D847" s="15">
        <v>2612</v>
      </c>
      <c r="E847" s="15">
        <v>26121</v>
      </c>
      <c r="F847" s="16" t="s">
        <v>1046</v>
      </c>
      <c r="G847" s="21" t="s">
        <v>1047</v>
      </c>
      <c r="H847" s="17" t="s">
        <v>1048</v>
      </c>
      <c r="I847" s="33">
        <v>0</v>
      </c>
      <c r="J847" s="33"/>
      <c r="K847" s="33"/>
      <c r="L847" s="33">
        <v>1</v>
      </c>
      <c r="M847" s="33">
        <f t="shared" si="160"/>
        <v>1</v>
      </c>
      <c r="N847" s="33">
        <f>IF(OR(H847="",H847="sif",H847="PM"),0,VLOOKUP(H847,[5]CU!$C$4:$H$255,6,FALSE))</f>
        <v>1152</v>
      </c>
      <c r="O847" s="33">
        <f t="shared" si="161"/>
        <v>0</v>
      </c>
      <c r="P847" s="33">
        <f t="shared" si="161"/>
        <v>0</v>
      </c>
      <c r="Q847" s="33">
        <f t="shared" si="161"/>
        <v>0</v>
      </c>
      <c r="R847" s="33">
        <f t="shared" si="161"/>
        <v>1152</v>
      </c>
      <c r="S847" s="34">
        <f t="shared" si="163"/>
        <v>1152</v>
      </c>
      <c r="T847" s="35" t="s">
        <v>39</v>
      </c>
      <c r="U847" s="19" t="s">
        <v>647</v>
      </c>
      <c r="V847" s="19" t="str">
        <f>IF(OR($H847="",$H847="sif",$H847="PM"),"",VLOOKUP($H847,[5]CU!$C$5:$J$255,8,FALSE))</f>
        <v>3. Dépenses de fonctionnement</v>
      </c>
      <c r="W847" s="19" t="s">
        <v>192</v>
      </c>
      <c r="X847" s="19" t="s">
        <v>764</v>
      </c>
      <c r="Y847" s="19" t="s">
        <v>32</v>
      </c>
      <c r="Z847" s="18" t="str">
        <f>A847 &amp; "-" &amp; VLOOKUP(A847,[4]PROGRAMMES!$E$1:$F$7,2,FALSE)</f>
        <v>2-Qualité des enseignements et des apprentissages</v>
      </c>
      <c r="AA847" s="19" t="str">
        <f>B847 &amp; "-" &amp; VLOOKUP(B847,[4]SOUSPROGRAMMES!$E$1:$F$44,2,FALSE)</f>
        <v>26- Examen et évaluation</v>
      </c>
      <c r="AB847" s="19" t="str">
        <f>C847 &amp; "-" &amp; VLOOKUP(C847,[4]RESULTATS!$E$1:$F$176,2,FALSE)</f>
        <v xml:space="preserve">261- Les évaluations des acquis au primaire et secondaire sont régulières, exploitées et disséminées.  </v>
      </c>
      <c r="AC847" s="20" t="str">
        <f>D847 &amp; "-" &amp; VLOOKUP(D847,[4]STRATEGIES!$E$1:$F$504,2,FALSE)</f>
        <v>2612-Evaluation standardisée des acquis des élèves (CP2, CE2 et CM2) : Mise à échelle "Collecte", analyse et la rédaction du rapport d’évaluation</v>
      </c>
      <c r="AD847" s="21" t="str">
        <f t="shared" si="162"/>
        <v>26121-Evaluation des acquis des élèves du CP2 (Reprographie des outils, colisage, échantillonnage, achat de petit matériel, formation, collecte, traitement, etc.)</v>
      </c>
    </row>
    <row r="848" spans="1:30" s="22" customFormat="1" ht="45" hidden="1" customHeight="1" x14ac:dyDescent="0.8">
      <c r="A848" s="14">
        <v>2</v>
      </c>
      <c r="B848" s="15">
        <v>26</v>
      </c>
      <c r="C848" s="15">
        <v>261</v>
      </c>
      <c r="D848" s="15">
        <v>2612</v>
      </c>
      <c r="E848" s="15">
        <v>26122</v>
      </c>
      <c r="F848" s="16" t="s">
        <v>1049</v>
      </c>
      <c r="G848" s="21" t="s">
        <v>1047</v>
      </c>
      <c r="H848" s="17" t="s">
        <v>1048</v>
      </c>
      <c r="I848" s="33">
        <v>0</v>
      </c>
      <c r="J848" s="33"/>
      <c r="K848" s="33">
        <v>1</v>
      </c>
      <c r="L848" s="33"/>
      <c r="M848" s="33">
        <f t="shared" si="160"/>
        <v>1</v>
      </c>
      <c r="N848" s="33">
        <f>IF(OR(H848="",H848="sif",H848="PM"),0,VLOOKUP(H848,[5]CU!$C$4:$H$255,6,FALSE))</f>
        <v>1152</v>
      </c>
      <c r="O848" s="33">
        <f t="shared" si="161"/>
        <v>0</v>
      </c>
      <c r="P848" s="33">
        <f t="shared" si="161"/>
        <v>0</v>
      </c>
      <c r="Q848" s="33">
        <f t="shared" si="161"/>
        <v>1152</v>
      </c>
      <c r="R848" s="33">
        <f t="shared" si="161"/>
        <v>0</v>
      </c>
      <c r="S848" s="34">
        <f t="shared" si="163"/>
        <v>1152</v>
      </c>
      <c r="T848" s="35" t="s">
        <v>39</v>
      </c>
      <c r="U848" s="18" t="s">
        <v>647</v>
      </c>
      <c r="V848" s="18" t="str">
        <f>IF(OR($H848="",$H848="sif",$H848="PM"),"",VLOOKUP($H848,[5]CU!$C$5:$J$255,8,FALSE))</f>
        <v>3. Dépenses de fonctionnement</v>
      </c>
      <c r="W848" s="18" t="s">
        <v>192</v>
      </c>
      <c r="X848" s="18" t="s">
        <v>764</v>
      </c>
      <c r="Y848" s="19" t="s">
        <v>32</v>
      </c>
      <c r="Z848" s="18" t="str">
        <f>A848 &amp; "-" &amp; VLOOKUP(A848,[4]PROGRAMMES!$E$1:$F$7,2,FALSE)</f>
        <v>2-Qualité des enseignements et des apprentissages</v>
      </c>
      <c r="AA848" s="19" t="str">
        <f>B848 &amp; "-" &amp; VLOOKUP(B848,[4]SOUSPROGRAMMES!$E$1:$F$44,2,FALSE)</f>
        <v>26- Examen et évaluation</v>
      </c>
      <c r="AB848" s="19" t="str">
        <f>C848 &amp; "-" &amp; VLOOKUP(C848,[4]RESULTATS!$E$1:$F$176,2,FALSE)</f>
        <v xml:space="preserve">261- Les évaluations des acquis au primaire et secondaire sont régulières, exploitées et disséminées.  </v>
      </c>
      <c r="AC848" s="20" t="str">
        <f>D848 &amp; "-" &amp; VLOOKUP(D848,[4]STRATEGIES!$E$1:$F$504,2,FALSE)</f>
        <v>2612-Evaluation standardisée des acquis des élèves (CP2, CE2 et CM2) : Mise à échelle "Collecte", analyse et la rédaction du rapport d’évaluation</v>
      </c>
      <c r="AD848" s="21" t="str">
        <f t="shared" si="162"/>
        <v>26122-Evaluation des acquis des élèves du CE2 (Reprographie des outils, colisage, échantillonnage, achat de petit matériel, formation, collecte, traitement, etc.)</v>
      </c>
    </row>
    <row r="849" spans="1:30" s="22" customFormat="1" ht="45" hidden="1" customHeight="1" x14ac:dyDescent="0.8">
      <c r="A849" s="14">
        <v>2</v>
      </c>
      <c r="B849" s="15">
        <v>26</v>
      </c>
      <c r="C849" s="15">
        <v>261</v>
      </c>
      <c r="D849" s="15">
        <v>2612</v>
      </c>
      <c r="E849" s="15">
        <v>26123</v>
      </c>
      <c r="F849" s="16" t="s">
        <v>1050</v>
      </c>
      <c r="G849" s="21" t="s">
        <v>1047</v>
      </c>
      <c r="H849" s="17" t="s">
        <v>1048</v>
      </c>
      <c r="I849" s="33">
        <v>0</v>
      </c>
      <c r="J849" s="33">
        <v>1</v>
      </c>
      <c r="K849" s="33"/>
      <c r="L849" s="33"/>
      <c r="M849" s="33">
        <f t="shared" si="160"/>
        <v>1</v>
      </c>
      <c r="N849" s="33">
        <f>IF(OR(H849="",H849="sif",H849="PM"),0,VLOOKUP(H849,[5]CU!$C$4:$H$255,6,FALSE))</f>
        <v>1152</v>
      </c>
      <c r="O849" s="33">
        <f t="shared" si="161"/>
        <v>0</v>
      </c>
      <c r="P849" s="33">
        <f t="shared" si="161"/>
        <v>1152</v>
      </c>
      <c r="Q849" s="33">
        <f t="shared" si="161"/>
        <v>0</v>
      </c>
      <c r="R849" s="33">
        <f t="shared" si="161"/>
        <v>0</v>
      </c>
      <c r="S849" s="34">
        <f t="shared" si="163"/>
        <v>1152</v>
      </c>
      <c r="T849" s="35" t="s">
        <v>39</v>
      </c>
      <c r="U849" s="18" t="s">
        <v>647</v>
      </c>
      <c r="V849" s="18" t="str">
        <f>IF(OR($H849="",$H849="sif",$H849="PM"),"",VLOOKUP($H849,[5]CU!$C$5:$J$255,8,FALSE))</f>
        <v>3. Dépenses de fonctionnement</v>
      </c>
      <c r="W849" s="18" t="s">
        <v>192</v>
      </c>
      <c r="X849" s="18" t="s">
        <v>764</v>
      </c>
      <c r="Y849" s="19" t="s">
        <v>32</v>
      </c>
      <c r="Z849" s="18" t="str">
        <f>A849 &amp; "-" &amp; VLOOKUP(A849,[4]PROGRAMMES!$E$1:$F$7,2,FALSE)</f>
        <v>2-Qualité des enseignements et des apprentissages</v>
      </c>
      <c r="AA849" s="19" t="str">
        <f>B849 &amp; "-" &amp; VLOOKUP(B849,[4]SOUSPROGRAMMES!$E$1:$F$44,2,FALSE)</f>
        <v>26- Examen et évaluation</v>
      </c>
      <c r="AB849" s="19" t="str">
        <f>C849 &amp; "-" &amp; VLOOKUP(C849,[4]RESULTATS!$E$1:$F$176,2,FALSE)</f>
        <v xml:space="preserve">261- Les évaluations des acquis au primaire et secondaire sont régulières, exploitées et disséminées.  </v>
      </c>
      <c r="AC849" s="20" t="str">
        <f>D849 &amp; "-" &amp; VLOOKUP(D849,[4]STRATEGIES!$E$1:$F$504,2,FALSE)</f>
        <v>2612-Evaluation standardisée des acquis des élèves (CP2, CE2 et CM2) : Mise à échelle "Collecte", analyse et la rédaction du rapport d’évaluation</v>
      </c>
      <c r="AD849" s="21" t="str">
        <f t="shared" si="162"/>
        <v>26123-Evaluation des acquis des élèves du CM2 (Reprographie des outils, colisage, échantillonnage, achat de petit matériel, formation, collecte, traitement, etc.)</v>
      </c>
    </row>
    <row r="850" spans="1:30" s="22" customFormat="1" ht="45" hidden="1" customHeight="1" x14ac:dyDescent="0.8">
      <c r="A850" s="14">
        <v>2</v>
      </c>
      <c r="B850" s="15">
        <v>26</v>
      </c>
      <c r="C850" s="15">
        <v>261</v>
      </c>
      <c r="D850" s="15">
        <v>2612</v>
      </c>
      <c r="E850" s="15">
        <v>26124</v>
      </c>
      <c r="F850" s="16" t="s">
        <v>1051</v>
      </c>
      <c r="G850" s="21" t="s">
        <v>1047</v>
      </c>
      <c r="H850" s="17" t="s">
        <v>1052</v>
      </c>
      <c r="I850" s="33">
        <v>0</v>
      </c>
      <c r="J850" s="33"/>
      <c r="K850" s="33"/>
      <c r="L850" s="33"/>
      <c r="M850" s="33">
        <f t="shared" si="160"/>
        <v>0</v>
      </c>
      <c r="N850" s="33">
        <f>IF(OR(H850="",H850="sif",H850="PM"),0,VLOOKUP(H850,[5]CU!$C$4:$H$255,6,FALSE))</f>
        <v>3325</v>
      </c>
      <c r="O850" s="33">
        <f t="shared" si="161"/>
        <v>0</v>
      </c>
      <c r="P850" s="33">
        <f t="shared" si="161"/>
        <v>0</v>
      </c>
      <c r="Q850" s="33">
        <f t="shared" si="161"/>
        <v>0</v>
      </c>
      <c r="R850" s="33">
        <f t="shared" si="161"/>
        <v>0</v>
      </c>
      <c r="S850" s="34">
        <f t="shared" si="163"/>
        <v>0</v>
      </c>
      <c r="T850" s="35" t="s">
        <v>178</v>
      </c>
      <c r="U850" s="18" t="s">
        <v>647</v>
      </c>
      <c r="V850" s="18" t="str">
        <f>IF(OR($H850="",$H850="sif",$H850="PM"),"",VLOOKUP($H850,[5]CU!$C$5:$J$255,8,FALSE))</f>
        <v>3. Dépenses de fonctionnement</v>
      </c>
      <c r="W850" s="18" t="s">
        <v>1053</v>
      </c>
      <c r="X850" s="18" t="s">
        <v>1054</v>
      </c>
      <c r="Y850" s="19" t="s">
        <v>32</v>
      </c>
      <c r="Z850" s="18" t="str">
        <f>A850 &amp; "-" &amp; VLOOKUP(A850,[4]PROGRAMMES!$E$1:$F$7,2,FALSE)</f>
        <v>2-Qualité des enseignements et des apprentissages</v>
      </c>
      <c r="AA850" s="19" t="str">
        <f>B850 &amp; "-" &amp; VLOOKUP(B850,[4]SOUSPROGRAMMES!$E$1:$F$44,2,FALSE)</f>
        <v>26- Examen et évaluation</v>
      </c>
      <c r="AB850" s="19" t="str">
        <f>C850 &amp; "-" &amp; VLOOKUP(C850,[4]RESULTATS!$E$1:$F$176,2,FALSE)</f>
        <v xml:space="preserve">261- Les évaluations des acquis au primaire et secondaire sont régulières, exploitées et disséminées.  </v>
      </c>
      <c r="AC850" s="20" t="str">
        <f>D850 &amp; "-" &amp; VLOOKUP(D850,[4]STRATEGIES!$E$1:$F$504,2,FALSE)</f>
        <v>2612-Evaluation standardisée des acquis des élèves (CP2, CE2 et CM2) : Mise à échelle "Collecte", analyse et la rédaction du rapport d’évaluation</v>
      </c>
      <c r="AD850" s="21" t="str">
        <f t="shared" si="162"/>
        <v>26124-Evaluation Internationale PASEC2019</v>
      </c>
    </row>
    <row r="851" spans="1:30" s="22" customFormat="1" ht="45" hidden="1" customHeight="1" x14ac:dyDescent="0.8">
      <c r="A851" s="14">
        <v>2</v>
      </c>
      <c r="B851" s="15">
        <v>26</v>
      </c>
      <c r="C851" s="15">
        <v>261</v>
      </c>
      <c r="D851" s="15">
        <v>2612</v>
      </c>
      <c r="E851" s="15">
        <v>26125</v>
      </c>
      <c r="F851" s="16" t="s">
        <v>1055</v>
      </c>
      <c r="G851" s="21" t="s">
        <v>1056</v>
      </c>
      <c r="H851" s="17" t="s">
        <v>1057</v>
      </c>
      <c r="I851" s="33">
        <v>0</v>
      </c>
      <c r="J851" s="33"/>
      <c r="K851" s="33"/>
      <c r="L851" s="33"/>
      <c r="M851" s="33">
        <f>SUM(I851:L851)</f>
        <v>0</v>
      </c>
      <c r="N851" s="33">
        <f>IF(OR(H851="",H851="sif",H851="PM"),0,VLOOKUP(H851,[5]CU!$C$4:$H$255,6,FALSE))</f>
        <v>538.00300000000004</v>
      </c>
      <c r="O851" s="33">
        <f>IFERROR($N851*I851,0)</f>
        <v>0</v>
      </c>
      <c r="P851" s="33">
        <f>IFERROR($N851*J851,0)</f>
        <v>0</v>
      </c>
      <c r="Q851" s="33">
        <f>IFERROR($N851*K851,0)</f>
        <v>0</v>
      </c>
      <c r="R851" s="33">
        <f>IFERROR($N851*L851,0)</f>
        <v>0</v>
      </c>
      <c r="S851" s="34">
        <f>SUM(O851:R851)</f>
        <v>0</v>
      </c>
      <c r="T851" s="35" t="s">
        <v>178</v>
      </c>
      <c r="U851" s="19" t="s">
        <v>647</v>
      </c>
      <c r="V851" s="19" t="str">
        <f>IF(OR($H851="",$H851="sif",$H851="PM"),"",VLOOKUP($H851,[5]CU!$C$5:$J$255,8,FALSE))</f>
        <v>3. Dépenses de fonctionnement</v>
      </c>
      <c r="W851" s="19" t="s">
        <v>347</v>
      </c>
      <c r="X851" s="19" t="s">
        <v>764</v>
      </c>
      <c r="Y851" s="19" t="s">
        <v>32</v>
      </c>
      <c r="Z851" s="18" t="str">
        <f>A851 &amp; "-" &amp; VLOOKUP(A851,[4]PROGRAMMES!$E$1:$F$7,2,FALSE)</f>
        <v>2-Qualité des enseignements et des apprentissages</v>
      </c>
      <c r="AA851" s="19" t="str">
        <f>B851 &amp; "-" &amp; VLOOKUP(B851,[4]SOUSPROGRAMMES!$E$1:$F$44,2,FALSE)</f>
        <v>26- Examen et évaluation</v>
      </c>
      <c r="AB851" s="19" t="str">
        <f>C851 &amp; "-" &amp; VLOOKUP(C851,[4]RESULTATS!$E$1:$F$176,2,FALSE)</f>
        <v xml:space="preserve">261- Les évaluations des acquis au primaire et secondaire sont régulières, exploitées et disséminées.  </v>
      </c>
      <c r="AC851" s="20" t="str">
        <f>D851 &amp; "-" &amp; VLOOKUP(D851,[4]STRATEGIES!$E$1:$F$504,2,FALSE)</f>
        <v>2612-Evaluation standardisée des acquis des élèves (CP2, CE2 et CM2) : Mise à échelle "Collecte", analyse et la rédaction du rapport d’évaluation</v>
      </c>
      <c r="AD851" s="21" t="str">
        <f t="shared" si="162"/>
        <v>26125-Evaluation de type EGRA</v>
      </c>
    </row>
    <row r="852" spans="1:30" s="22" customFormat="1" ht="45" hidden="1" customHeight="1" x14ac:dyDescent="0.8">
      <c r="A852" s="14">
        <v>2</v>
      </c>
      <c r="B852" s="15">
        <v>26</v>
      </c>
      <c r="C852" s="15">
        <v>261</v>
      </c>
      <c r="D852" s="15">
        <v>2612</v>
      </c>
      <c r="E852" s="15">
        <v>26125</v>
      </c>
      <c r="F852" s="16" t="s">
        <v>1055</v>
      </c>
      <c r="G852" s="21" t="s">
        <v>1056</v>
      </c>
      <c r="H852" s="17" t="s">
        <v>1057</v>
      </c>
      <c r="I852" s="33">
        <v>0</v>
      </c>
      <c r="J852" s="33"/>
      <c r="K852" s="33"/>
      <c r="L852" s="33">
        <v>1</v>
      </c>
      <c r="M852" s="33">
        <f t="shared" si="160"/>
        <v>1</v>
      </c>
      <c r="N852" s="33">
        <f>IF(OR(H852="",H852="sif",H852="PM"),0,VLOOKUP(H852,[5]CU!$C$4:$H$255,6,FALSE))</f>
        <v>538.00300000000004</v>
      </c>
      <c r="O852" s="33">
        <f t="shared" si="161"/>
        <v>0</v>
      </c>
      <c r="P852" s="33">
        <f t="shared" si="161"/>
        <v>0</v>
      </c>
      <c r="Q852" s="33">
        <f t="shared" si="161"/>
        <v>0</v>
      </c>
      <c r="R852" s="33">
        <f t="shared" si="161"/>
        <v>538.00300000000004</v>
      </c>
      <c r="S852" s="34">
        <f t="shared" si="163"/>
        <v>538.00300000000004</v>
      </c>
      <c r="T852" s="35" t="s">
        <v>39</v>
      </c>
      <c r="U852" s="19" t="s">
        <v>647</v>
      </c>
      <c r="V852" s="19" t="str">
        <f>IF(OR($H852="",$H852="sif",$H852="PM"),"",VLOOKUP($H852,[5]CU!$C$5:$J$255,8,FALSE))</f>
        <v>3. Dépenses de fonctionnement</v>
      </c>
      <c r="W852" s="19" t="s">
        <v>347</v>
      </c>
      <c r="X852" s="19" t="s">
        <v>764</v>
      </c>
      <c r="Y852" s="19" t="s">
        <v>32</v>
      </c>
      <c r="Z852" s="18" t="str">
        <f>A852 &amp; "-" &amp; VLOOKUP(A852,[4]PROGRAMMES!$E$1:$F$7,2,FALSE)</f>
        <v>2-Qualité des enseignements et des apprentissages</v>
      </c>
      <c r="AA852" s="19" t="str">
        <f>B852 &amp; "-" &amp; VLOOKUP(B852,[4]SOUSPROGRAMMES!$E$1:$F$44,2,FALSE)</f>
        <v>26- Examen et évaluation</v>
      </c>
      <c r="AB852" s="19" t="str">
        <f>C852 &amp; "-" &amp; VLOOKUP(C852,[4]RESULTATS!$E$1:$F$176,2,FALSE)</f>
        <v xml:space="preserve">261- Les évaluations des acquis au primaire et secondaire sont régulières, exploitées et disséminées.  </v>
      </c>
      <c r="AC852" s="20" t="str">
        <f>D852 &amp; "-" &amp; VLOOKUP(D852,[4]STRATEGIES!$E$1:$F$504,2,FALSE)</f>
        <v>2612-Evaluation standardisée des acquis des élèves (CP2, CE2 et CM2) : Mise à échelle "Collecte", analyse et la rédaction du rapport d’évaluation</v>
      </c>
      <c r="AD852" s="21" t="str">
        <f t="shared" si="162"/>
        <v>26125-Evaluation de type EGRA</v>
      </c>
    </row>
    <row r="853" spans="1:30" s="22" customFormat="1" ht="45" hidden="1" customHeight="1" x14ac:dyDescent="0.8">
      <c r="A853" s="14">
        <v>2</v>
      </c>
      <c r="B853" s="15">
        <v>26</v>
      </c>
      <c r="C853" s="15">
        <v>261</v>
      </c>
      <c r="D853" s="15">
        <v>2613</v>
      </c>
      <c r="E853" s="15">
        <v>2613</v>
      </c>
      <c r="F853" s="16" t="s">
        <v>1058</v>
      </c>
      <c r="G853" s="17"/>
      <c r="H853" s="17"/>
      <c r="I853" s="33">
        <v>0</v>
      </c>
      <c r="J853" s="33"/>
      <c r="K853" s="33"/>
      <c r="L853" s="33"/>
      <c r="M853" s="33"/>
      <c r="N853" s="33"/>
      <c r="O853" s="33"/>
      <c r="P853" s="33"/>
      <c r="Q853" s="33"/>
      <c r="R853" s="33"/>
      <c r="S853" s="34"/>
      <c r="T853" s="33"/>
      <c r="U853" s="18"/>
      <c r="V853" s="18"/>
      <c r="W853" s="18"/>
      <c r="X853" s="18"/>
      <c r="Y853" s="19" t="s">
        <v>32</v>
      </c>
      <c r="Z853" s="18" t="str">
        <f>A853 &amp; "-" &amp; VLOOKUP(A853,[4]PROGRAMMES!$E$1:$F$7,2,FALSE)</f>
        <v>2-Qualité des enseignements et des apprentissages</v>
      </c>
      <c r="AA853" s="19" t="str">
        <f>B853 &amp; "-" &amp; VLOOKUP(B853,[4]SOUSPROGRAMMES!$E$1:$F$44,2,FALSE)</f>
        <v>26- Examen et évaluation</v>
      </c>
      <c r="AB853" s="19" t="str">
        <f>C853 &amp; "-" &amp; VLOOKUP(C853,[4]RESULTATS!$E$1:$F$176,2,FALSE)</f>
        <v xml:space="preserve">261- Les évaluations des acquis au primaire et secondaire sont régulières, exploitées et disséminées.  </v>
      </c>
      <c r="AC853" s="20" t="str">
        <f>D853 &amp; "-" &amp; VLOOKUP(D853,[4]STRATEGIES!$E$1:$F$504,2,FALSE)</f>
        <v>2613-Evaluation standardisée des acquis des élèves au secondaire : Mise échelle, analyse et la rédaction du rapport d’évaluation</v>
      </c>
      <c r="AD853" s="21" t="str">
        <f t="shared" si="162"/>
        <v>2613-Evaluation standardisée des acquis des élèves au secondaire : Mise échelle, analyse et la rédaction du rapport d’évaluation</v>
      </c>
    </row>
    <row r="854" spans="1:30" s="22" customFormat="1" ht="45" hidden="1" customHeight="1" x14ac:dyDescent="0.8">
      <c r="A854" s="14">
        <v>2</v>
      </c>
      <c r="B854" s="15">
        <v>26</v>
      </c>
      <c r="C854" s="15">
        <v>261</v>
      </c>
      <c r="D854" s="15">
        <v>2613</v>
      </c>
      <c r="E854" s="15">
        <v>26131</v>
      </c>
      <c r="F854" s="16" t="s">
        <v>1059</v>
      </c>
      <c r="G854" s="21" t="s">
        <v>1047</v>
      </c>
      <c r="H854" s="17" t="s">
        <v>1060</v>
      </c>
      <c r="I854" s="33">
        <v>0</v>
      </c>
      <c r="J854" s="33"/>
      <c r="K854" s="33"/>
      <c r="L854" s="33">
        <v>1</v>
      </c>
      <c r="M854" s="33">
        <f t="shared" si="160"/>
        <v>1</v>
      </c>
      <c r="N854" s="33">
        <f>IF(OR(H854="",H854="sif",H854="PM"),0,VLOOKUP(H854,[5]CU!$C$4:$H$255,6,FALSE))</f>
        <v>889.63750000000005</v>
      </c>
      <c r="O854" s="33">
        <f t="shared" si="161"/>
        <v>0</v>
      </c>
      <c r="P854" s="33">
        <f t="shared" si="161"/>
        <v>0</v>
      </c>
      <c r="Q854" s="33">
        <f t="shared" si="161"/>
        <v>0</v>
      </c>
      <c r="R854" s="33">
        <f t="shared" si="161"/>
        <v>889.63750000000005</v>
      </c>
      <c r="S854" s="34">
        <f t="shared" si="163"/>
        <v>889.63750000000005</v>
      </c>
      <c r="T854" s="35" t="s">
        <v>39</v>
      </c>
      <c r="U854" s="18" t="s">
        <v>647</v>
      </c>
      <c r="V854" s="18" t="str">
        <f>IF(OR($H854="",$H854="sif",$H854="PM"),"",VLOOKUP($H854,[5]CU!$C$5:$J$255,8,FALSE))</f>
        <v>3. Dépenses de fonctionnement</v>
      </c>
      <c r="W854" s="18" t="s">
        <v>398</v>
      </c>
      <c r="X854" s="18" t="s">
        <v>764</v>
      </c>
      <c r="Y854" s="19" t="s">
        <v>32</v>
      </c>
      <c r="Z854" s="18" t="str">
        <f>A854 &amp; "-" &amp; VLOOKUP(A854,[4]PROGRAMMES!$E$1:$F$7,2,FALSE)</f>
        <v>2-Qualité des enseignements et des apprentissages</v>
      </c>
      <c r="AA854" s="19" t="str">
        <f>B854 &amp; "-" &amp; VLOOKUP(B854,[4]SOUSPROGRAMMES!$E$1:$F$44,2,FALSE)</f>
        <v>26- Examen et évaluation</v>
      </c>
      <c r="AB854" s="19" t="str">
        <f>C854 &amp; "-" &amp; VLOOKUP(C854,[4]RESULTATS!$E$1:$F$176,2,FALSE)</f>
        <v xml:space="preserve">261- Les évaluations des acquis au primaire et secondaire sont régulières, exploitées et disséminées.  </v>
      </c>
      <c r="AC854" s="20" t="str">
        <f>D854 &amp; "-" &amp; VLOOKUP(D854,[4]STRATEGIES!$E$1:$F$504,2,FALSE)</f>
        <v>2613-Evaluation standardisée des acquis des élèves au secondaire : Mise échelle, analyse et la rédaction du rapport d’évaluation</v>
      </c>
      <c r="AD854" s="21" t="str">
        <f t="shared" si="162"/>
        <v>26131-Evaluation des acquis des élèves de la 9éme année (Reprographie des outils, colisage, échantillonnage, achat de petit matériel, formation, collecte, traitement, etc.)</v>
      </c>
    </row>
    <row r="855" spans="1:30" s="22" customFormat="1" ht="45" hidden="1" customHeight="1" x14ac:dyDescent="0.8">
      <c r="A855" s="14">
        <v>2</v>
      </c>
      <c r="B855" s="15">
        <v>26</v>
      </c>
      <c r="C855" s="15">
        <v>261</v>
      </c>
      <c r="D855" s="15">
        <v>2614</v>
      </c>
      <c r="E855" s="15">
        <v>2614</v>
      </c>
      <c r="F855" s="16" t="s">
        <v>1061</v>
      </c>
      <c r="G855" s="17"/>
      <c r="H855" s="17"/>
      <c r="I855" s="33">
        <v>0</v>
      </c>
      <c r="J855" s="33"/>
      <c r="K855" s="33"/>
      <c r="L855" s="33"/>
      <c r="M855" s="33"/>
      <c r="N855" s="33"/>
      <c r="O855" s="33"/>
      <c r="P855" s="33"/>
      <c r="Q855" s="33"/>
      <c r="R855" s="33"/>
      <c r="S855" s="34"/>
      <c r="T855" s="33"/>
      <c r="U855" s="18"/>
      <c r="V855" s="18"/>
      <c r="W855" s="18"/>
      <c r="X855" s="18"/>
      <c r="Y855" s="19" t="s">
        <v>32</v>
      </c>
      <c r="Z855" s="18" t="str">
        <f>A855 &amp; "-" &amp; VLOOKUP(A855,[4]PROGRAMMES!$E$1:$F$7,2,FALSE)</f>
        <v>2-Qualité des enseignements et des apprentissages</v>
      </c>
      <c r="AA855" s="19" t="str">
        <f>B855 &amp; "-" &amp; VLOOKUP(B855,[4]SOUSPROGRAMMES!$E$1:$F$44,2,FALSE)</f>
        <v>26- Examen et évaluation</v>
      </c>
      <c r="AB855" s="19" t="str">
        <f>C855 &amp; "-" &amp; VLOOKUP(C855,[4]RESULTATS!$E$1:$F$176,2,FALSE)</f>
        <v xml:space="preserve">261- Les évaluations des acquis au primaire et secondaire sont régulières, exploitées et disséminées.  </v>
      </c>
      <c r="AC855" s="20" t="str">
        <f>D855 &amp; "-" &amp; VLOOKUP(D855,[4]STRATEGIES!$E$1:$F$504,2,FALSE)</f>
        <v>2614-Dissémination des résultats des évaluations à tous les niveaux (Régions, préfecture, DSEE et Ecoles)</v>
      </c>
      <c r="AD855" s="21" t="str">
        <f t="shared" si="162"/>
        <v>2614-Dissémination des résultats des évaluations à tous les niveaux (Régions, préfecture, DSEE et Ecoles)</v>
      </c>
    </row>
    <row r="856" spans="1:30" s="22" customFormat="1" ht="45" hidden="1" customHeight="1" x14ac:dyDescent="0.8">
      <c r="A856" s="14">
        <v>2</v>
      </c>
      <c r="B856" s="15">
        <v>26</v>
      </c>
      <c r="C856" s="15">
        <v>261</v>
      </c>
      <c r="D856" s="15">
        <v>2614</v>
      </c>
      <c r="E856" s="15">
        <v>26141</v>
      </c>
      <c r="F856" s="16" t="s">
        <v>1062</v>
      </c>
      <c r="G856" s="21" t="s">
        <v>37</v>
      </c>
      <c r="H856" s="17" t="s">
        <v>38</v>
      </c>
      <c r="I856" s="33">
        <v>0</v>
      </c>
      <c r="J856" s="33"/>
      <c r="K856" s="33">
        <f>(8*2+38*2)*2</f>
        <v>184</v>
      </c>
      <c r="L856" s="33">
        <f>(8*2+38*2)*2</f>
        <v>184</v>
      </c>
      <c r="M856" s="33">
        <f t="shared" si="160"/>
        <v>368</v>
      </c>
      <c r="N856" s="33">
        <f>IF(OR(H856="",H856="sif",H856="PM"),0,VLOOKUP(H856,[5]CU!$C$4:$H$255,6,FALSE))</f>
        <v>0.3133333333333333</v>
      </c>
      <c r="O856" s="33">
        <f t="shared" si="161"/>
        <v>0</v>
      </c>
      <c r="P856" s="33">
        <f t="shared" si="161"/>
        <v>0</v>
      </c>
      <c r="Q856" s="33">
        <f t="shared" si="161"/>
        <v>57.653333333333329</v>
      </c>
      <c r="R856" s="33">
        <f t="shared" si="161"/>
        <v>57.653333333333329</v>
      </c>
      <c r="S856" s="34">
        <f t="shared" si="163"/>
        <v>115.30666666666666</v>
      </c>
      <c r="T856" s="35" t="s">
        <v>39</v>
      </c>
      <c r="U856" s="18" t="s">
        <v>647</v>
      </c>
      <c r="V856" s="18" t="str">
        <f>IF(OR($H856="",$H856="sif",$H856="PM"),"",VLOOKUP($H856,[5]CU!$C$5:$J$255,8,FALSE))</f>
        <v>3. Formation</v>
      </c>
      <c r="W856" s="18" t="s">
        <v>764</v>
      </c>
      <c r="X856" s="18" t="s">
        <v>764</v>
      </c>
      <c r="Y856" s="19" t="s">
        <v>32</v>
      </c>
      <c r="Z856" s="18" t="str">
        <f>A856 &amp; "-" &amp; VLOOKUP(A856,[4]PROGRAMMES!$E$1:$F$7,2,FALSE)</f>
        <v>2-Qualité des enseignements et des apprentissages</v>
      </c>
      <c r="AA856" s="19" t="str">
        <f>B856 &amp; "-" &amp; VLOOKUP(B856,[4]SOUSPROGRAMMES!$E$1:$F$44,2,FALSE)</f>
        <v>26- Examen et évaluation</v>
      </c>
      <c r="AB856" s="19" t="str">
        <f>C856 &amp; "-" &amp; VLOOKUP(C856,[4]RESULTATS!$E$1:$F$176,2,FALSE)</f>
        <v xml:space="preserve">261- Les évaluations des acquis au primaire et secondaire sont régulières, exploitées et disséminées.  </v>
      </c>
      <c r="AC856" s="20" t="str">
        <f>D856 &amp; "-" &amp; VLOOKUP(D856,[4]STRATEGIES!$E$1:$F$504,2,FALSE)</f>
        <v>2614-Dissémination des résultats des évaluations à tous les niveaux (Régions, préfecture, DSEE et Ecoles)</v>
      </c>
      <c r="AD856" s="21" t="str">
        <f t="shared" si="162"/>
        <v xml:space="preserve">26141-Partage des résultats des rapports d'évaluation au niveau déconcentré </v>
      </c>
    </row>
    <row r="857" spans="1:30" s="22" customFormat="1" ht="45" hidden="1" customHeight="1" x14ac:dyDescent="0.8">
      <c r="A857" s="14">
        <v>2</v>
      </c>
      <c r="B857" s="15">
        <v>26</v>
      </c>
      <c r="C857" s="15">
        <v>261</v>
      </c>
      <c r="D857" s="15">
        <v>2614</v>
      </c>
      <c r="E857" s="15">
        <v>26142</v>
      </c>
      <c r="F857" s="16" t="s">
        <v>1063</v>
      </c>
      <c r="G857" s="21" t="s">
        <v>37</v>
      </c>
      <c r="H857" s="17" t="s">
        <v>301</v>
      </c>
      <c r="I857" s="33">
        <v>0</v>
      </c>
      <c r="J857" s="33"/>
      <c r="K857" s="33">
        <f>(8*2+38*2)*2</f>
        <v>184</v>
      </c>
      <c r="L857" s="33">
        <f>(8*2+38*2)*2</f>
        <v>184</v>
      </c>
      <c r="M857" s="33">
        <f>(8*2+38*2)</f>
        <v>92</v>
      </c>
      <c r="N857" s="33">
        <f>IF(OR(H857="",H857="sif",H857="PM"),0,VLOOKUP(H857,[5]CU!$C$4:$H$255,6,FALSE))</f>
        <v>0.67666666666666664</v>
      </c>
      <c r="O857" s="33">
        <f t="shared" si="161"/>
        <v>0</v>
      </c>
      <c r="P857" s="33">
        <f t="shared" si="161"/>
        <v>0</v>
      </c>
      <c r="Q857" s="33">
        <f t="shared" si="161"/>
        <v>124.50666666666666</v>
      </c>
      <c r="R857" s="33">
        <f t="shared" si="161"/>
        <v>124.50666666666666</v>
      </c>
      <c r="S857" s="34">
        <f t="shared" si="163"/>
        <v>249.01333333333332</v>
      </c>
      <c r="T857" s="35" t="s">
        <v>39</v>
      </c>
      <c r="U857" s="18" t="s">
        <v>647</v>
      </c>
      <c r="V857" s="18" t="str">
        <f>IF(OR($H857="",$H857="sif",$H857="PM"),"",VLOOKUP($H857,[5]CU!$C$5:$J$255,8,FALSE))</f>
        <v>3. Formation</v>
      </c>
      <c r="W857" s="18" t="s">
        <v>1064</v>
      </c>
      <c r="X857" s="18" t="s">
        <v>764</v>
      </c>
      <c r="Y857" s="19" t="s">
        <v>32</v>
      </c>
      <c r="Z857" s="18" t="str">
        <f>A857 &amp; "-" &amp; VLOOKUP(A857,[4]PROGRAMMES!$E$1:$F$7,2,FALSE)</f>
        <v>2-Qualité des enseignements et des apprentissages</v>
      </c>
      <c r="AA857" s="19" t="str">
        <f>B857 &amp; "-" &amp; VLOOKUP(B857,[4]SOUSPROGRAMMES!$E$1:$F$44,2,FALSE)</f>
        <v>26- Examen et évaluation</v>
      </c>
      <c r="AB857" s="19" t="str">
        <f>C857 &amp; "-" &amp; VLOOKUP(C857,[4]RESULTATS!$E$1:$F$176,2,FALSE)</f>
        <v xml:space="preserve">261- Les évaluations des acquis au primaire et secondaire sont régulières, exploitées et disséminées.  </v>
      </c>
      <c r="AC857" s="20" t="str">
        <f>D857 &amp; "-" &amp; VLOOKUP(D857,[4]STRATEGIES!$E$1:$F$504,2,FALSE)</f>
        <v>2614-Dissémination des résultats des évaluations à tous les niveaux (Régions, préfecture, DSEE et Ecoles)</v>
      </c>
      <c r="AD857" s="21" t="str">
        <f t="shared" si="162"/>
        <v xml:space="preserve">26142-Partage des résultats du rapport d'analyse des examens nationaux au niveau déconcentré </v>
      </c>
    </row>
    <row r="858" spans="1:30" s="22" customFormat="1" ht="45" hidden="1" customHeight="1" x14ac:dyDescent="0.8">
      <c r="A858" s="14">
        <v>2</v>
      </c>
      <c r="B858" s="15">
        <v>26</v>
      </c>
      <c r="C858" s="15">
        <v>261</v>
      </c>
      <c r="D858" s="15">
        <v>2615</v>
      </c>
      <c r="E858" s="15">
        <v>2615</v>
      </c>
      <c r="F858" s="16" t="s">
        <v>1065</v>
      </c>
      <c r="G858" s="17"/>
      <c r="H858" s="17"/>
      <c r="I858" s="33">
        <v>0</v>
      </c>
      <c r="J858" s="33"/>
      <c r="K858" s="33"/>
      <c r="L858" s="33"/>
      <c r="M858" s="33"/>
      <c r="N858" s="33"/>
      <c r="O858" s="33"/>
      <c r="P858" s="33"/>
      <c r="Q858" s="33"/>
      <c r="R858" s="33"/>
      <c r="S858" s="34"/>
      <c r="T858" s="33"/>
      <c r="U858" s="18"/>
      <c r="V858" s="18"/>
      <c r="W858" s="18"/>
      <c r="X858" s="18"/>
      <c r="Y858" s="19" t="s">
        <v>32</v>
      </c>
      <c r="Z858" s="18" t="str">
        <f>A858 &amp; "-" &amp; VLOOKUP(A858,[4]PROGRAMMES!$E$1:$F$7,2,FALSE)</f>
        <v>2-Qualité des enseignements et des apprentissages</v>
      </c>
      <c r="AA858" s="19" t="str">
        <f>B858 &amp; "-" &amp; VLOOKUP(B858,[4]SOUSPROGRAMMES!$E$1:$F$44,2,FALSE)</f>
        <v>26- Examen et évaluation</v>
      </c>
      <c r="AB858" s="19" t="str">
        <f>C858 &amp; "-" &amp; VLOOKUP(C858,[4]RESULTATS!$E$1:$F$176,2,FALSE)</f>
        <v xml:space="preserve">261- Les évaluations des acquis au primaire et secondaire sont régulières, exploitées et disséminées.  </v>
      </c>
      <c r="AC858" s="20" t="str">
        <f>D858 &amp; "-" &amp; VLOOKUP(D858,[4]STRATEGIES!$E$1:$F$504,2,FALSE)</f>
        <v>2615-Renforcement des capacités du service national d'évaluation</v>
      </c>
      <c r="AD858" s="21" t="str">
        <f t="shared" si="162"/>
        <v>2615-Renforcement des capacités du service national d'évaluation</v>
      </c>
    </row>
    <row r="859" spans="1:30" s="22" customFormat="1" ht="45" hidden="1" customHeight="1" x14ac:dyDescent="0.8">
      <c r="A859" s="14">
        <v>2</v>
      </c>
      <c r="B859" s="15">
        <v>26</v>
      </c>
      <c r="C859" s="15">
        <v>261</v>
      </c>
      <c r="D859" s="15">
        <v>2615</v>
      </c>
      <c r="E859" s="15">
        <v>26151</v>
      </c>
      <c r="F859" s="16" t="s">
        <v>1066</v>
      </c>
      <c r="G859" s="21" t="s">
        <v>1067</v>
      </c>
      <c r="H859" s="17" t="s">
        <v>1068</v>
      </c>
      <c r="I859" s="33">
        <v>0</v>
      </c>
      <c r="J859" s="33">
        <v>2</v>
      </c>
      <c r="K859" s="33">
        <v>2</v>
      </c>
      <c r="L859" s="33"/>
      <c r="M859" s="33">
        <f t="shared" ref="M859:M871" si="164">SUM(I859:L859)</f>
        <v>4</v>
      </c>
      <c r="N859" s="33">
        <f>IF(OR(H859="",H859="sif",H859="PM"),0,VLOOKUP(H859,[5]CU!$C$4:$H$255,6,FALSE))</f>
        <v>107.95</v>
      </c>
      <c r="O859" s="33">
        <f t="shared" si="161"/>
        <v>0</v>
      </c>
      <c r="P859" s="33">
        <f t="shared" si="161"/>
        <v>215.9</v>
      </c>
      <c r="Q859" s="33">
        <f t="shared" si="161"/>
        <v>215.9</v>
      </c>
      <c r="R859" s="33">
        <f t="shared" si="161"/>
        <v>0</v>
      </c>
      <c r="S859" s="34">
        <f t="shared" si="163"/>
        <v>431.8</v>
      </c>
      <c r="T859" s="35" t="s">
        <v>39</v>
      </c>
      <c r="U859" s="19" t="s">
        <v>647</v>
      </c>
      <c r="V859" s="19" t="str">
        <f>IF(OR($H859="",$H859="sif",$H859="PM"),"",VLOOKUP($H859,[5]CU!$C$5:$J$255,8,FALSE))</f>
        <v>3. Formation</v>
      </c>
      <c r="W859" s="19" t="s">
        <v>663</v>
      </c>
      <c r="X859" s="19" t="s">
        <v>764</v>
      </c>
      <c r="Y859" s="19" t="s">
        <v>32</v>
      </c>
      <c r="Z859" s="18" t="str">
        <f>A859 &amp; "-" &amp; VLOOKUP(A859,[4]PROGRAMMES!$E$1:$F$7,2,FALSE)</f>
        <v>2-Qualité des enseignements et des apprentissages</v>
      </c>
      <c r="AA859" s="19" t="str">
        <f>B859 &amp; "-" &amp; VLOOKUP(B859,[4]SOUSPROGRAMMES!$E$1:$F$44,2,FALSE)</f>
        <v>26- Examen et évaluation</v>
      </c>
      <c r="AB859" s="19" t="str">
        <f>C859 &amp; "-" &amp; VLOOKUP(C859,[4]RESULTATS!$E$1:$F$176,2,FALSE)</f>
        <v xml:space="preserve">261- Les évaluations des acquis au primaire et secondaire sont régulières, exploitées et disséminées.  </v>
      </c>
      <c r="AC859" s="20" t="str">
        <f>D859 &amp; "-" &amp; VLOOKUP(D859,[4]STRATEGIES!$E$1:$F$504,2,FALSE)</f>
        <v>2615-Renforcement des capacités du service national d'évaluation</v>
      </c>
      <c r="AD859" s="21" t="str">
        <f t="shared" si="162"/>
        <v>26151-Formation à l'extérieur de 4 cadres du SNCESE en analyse psychométrique et en analyse des données</v>
      </c>
    </row>
    <row r="860" spans="1:30" s="22" customFormat="1" ht="45" hidden="1" customHeight="1" x14ac:dyDescent="0.8">
      <c r="A860" s="14">
        <v>2</v>
      </c>
      <c r="B860" s="15">
        <v>26</v>
      </c>
      <c r="C860" s="15">
        <v>261</v>
      </c>
      <c r="D860" s="15">
        <v>2615</v>
      </c>
      <c r="E860" s="15">
        <v>26152</v>
      </c>
      <c r="F860" s="16" t="s">
        <v>1069</v>
      </c>
      <c r="G860" s="21" t="s">
        <v>1070</v>
      </c>
      <c r="H860" s="17" t="s">
        <v>55</v>
      </c>
      <c r="I860" s="33">
        <v>0</v>
      </c>
      <c r="J860" s="33"/>
      <c r="K860" s="33">
        <v>1</v>
      </c>
      <c r="L860" s="33">
        <v>1</v>
      </c>
      <c r="M860" s="33">
        <f t="shared" si="164"/>
        <v>2</v>
      </c>
      <c r="N860" s="33">
        <f>IF(OR(H860="",H860="sif",H860="PM"),0,VLOOKUP(H860,[5]CU!$C$4:$H$255,6,FALSE))</f>
        <v>0</v>
      </c>
      <c r="O860" s="33">
        <f t="shared" si="161"/>
        <v>0</v>
      </c>
      <c r="P860" s="33">
        <f t="shared" si="161"/>
        <v>0</v>
      </c>
      <c r="Q860" s="33">
        <f t="shared" si="161"/>
        <v>0</v>
      </c>
      <c r="R860" s="33">
        <f t="shared" si="161"/>
        <v>0</v>
      </c>
      <c r="S860" s="34"/>
      <c r="T860" s="35" t="s">
        <v>39</v>
      </c>
      <c r="U860" s="18" t="s">
        <v>647</v>
      </c>
      <c r="V860" s="18" t="str">
        <f>IF(OR($H860="",$H860="sif",$H860="PM"),"",VLOOKUP($H860,[5]CU!$C$5:$J$255,8,FALSE))</f>
        <v/>
      </c>
      <c r="W860" s="18" t="s">
        <v>764</v>
      </c>
      <c r="X860" s="18" t="s">
        <v>764</v>
      </c>
      <c r="Y860" s="19" t="s">
        <v>32</v>
      </c>
      <c r="Z860" s="18" t="str">
        <f>A860 &amp; "-" &amp; VLOOKUP(A860,[4]PROGRAMMES!$E$1:$F$7,2,FALSE)</f>
        <v>2-Qualité des enseignements et des apprentissages</v>
      </c>
      <c r="AA860" s="19" t="str">
        <f>B860 &amp; "-" &amp; VLOOKUP(B860,[4]SOUSPROGRAMMES!$E$1:$F$44,2,FALSE)</f>
        <v>26- Examen et évaluation</v>
      </c>
      <c r="AB860" s="19" t="str">
        <f>C860 &amp; "-" &amp; VLOOKUP(C860,[4]RESULTATS!$E$1:$F$176,2,FALSE)</f>
        <v xml:space="preserve">261- Les évaluations des acquis au primaire et secondaire sont régulières, exploitées et disséminées.  </v>
      </c>
      <c r="AC860" s="20" t="str">
        <f>D860 &amp; "-" &amp; VLOOKUP(D860,[4]STRATEGIES!$E$1:$F$504,2,FALSE)</f>
        <v>2615-Renforcement des capacités du service national d'évaluation</v>
      </c>
      <c r="AD860" s="21" t="str">
        <f t="shared" si="162"/>
        <v xml:space="preserve">26152-Transfert de compétence de 20 cadres du SNCESE en analyse du 1er degré (Statistique descriptive, nettoyage des fichiers, conception d'un masque de saisie etc.) en faisant faire </v>
      </c>
    </row>
    <row r="861" spans="1:30" s="22" customFormat="1" ht="45" hidden="1" customHeight="1" x14ac:dyDescent="0.8">
      <c r="A861" s="14">
        <v>2</v>
      </c>
      <c r="B861" s="15">
        <v>26</v>
      </c>
      <c r="C861" s="15">
        <v>261</v>
      </c>
      <c r="D861" s="15">
        <v>2615</v>
      </c>
      <c r="E861" s="15">
        <v>26153</v>
      </c>
      <c r="F861" s="16" t="s">
        <v>1071</v>
      </c>
      <c r="G861" s="21" t="s">
        <v>1072</v>
      </c>
      <c r="H861" s="17" t="s">
        <v>970</v>
      </c>
      <c r="I861" s="33">
        <v>0</v>
      </c>
      <c r="J861" s="33"/>
      <c r="K861" s="33">
        <v>20</v>
      </c>
      <c r="L861" s="33">
        <v>10</v>
      </c>
      <c r="M861" s="33">
        <f t="shared" si="164"/>
        <v>30</v>
      </c>
      <c r="N861" s="33">
        <f>IF(OR(H861="",H861="sif",H861="PM"),0,VLOOKUP(H861,[5]CU!$C$4:$H$255,6,FALSE))</f>
        <v>10.034934666666667</v>
      </c>
      <c r="O861" s="33">
        <f t="shared" si="161"/>
        <v>0</v>
      </c>
      <c r="P861" s="33">
        <f t="shared" si="161"/>
        <v>0</v>
      </c>
      <c r="Q861" s="33">
        <f t="shared" si="161"/>
        <v>200.69869333333332</v>
      </c>
      <c r="R861" s="33">
        <f t="shared" si="161"/>
        <v>100.34934666666666</v>
      </c>
      <c r="S861" s="34">
        <f>SUM(O861:R861)</f>
        <v>301.04804000000001</v>
      </c>
      <c r="T861" s="35" t="s">
        <v>39</v>
      </c>
      <c r="U861" s="19" t="s">
        <v>647</v>
      </c>
      <c r="V861" s="19" t="str">
        <f>IF(OR($H861="",$H861="sif",$H861="PM"),"",VLOOKUP($H861,[5]CU!$C$5:$J$255,8,FALSE))</f>
        <v>5. Investissement</v>
      </c>
      <c r="W861" s="19" t="s">
        <v>663</v>
      </c>
      <c r="X861" s="19" t="s">
        <v>764</v>
      </c>
      <c r="Y861" s="19" t="s">
        <v>32</v>
      </c>
      <c r="Z861" s="18" t="str">
        <f>A861 &amp; "-" &amp; VLOOKUP(A861,[4]PROGRAMMES!$E$1:$F$7,2,FALSE)</f>
        <v>2-Qualité des enseignements et des apprentissages</v>
      </c>
      <c r="AA861" s="19" t="str">
        <f>B861 &amp; "-" &amp; VLOOKUP(B861,[4]SOUSPROGRAMMES!$E$1:$F$44,2,FALSE)</f>
        <v>26- Examen et évaluation</v>
      </c>
      <c r="AB861" s="19" t="str">
        <f>C861 &amp; "-" &amp; VLOOKUP(C861,[4]RESULTATS!$E$1:$F$176,2,FALSE)</f>
        <v xml:space="preserve">261- Les évaluations des acquis au primaire et secondaire sont régulières, exploitées et disséminées.  </v>
      </c>
      <c r="AC861" s="20" t="str">
        <f>D861 &amp; "-" &amp; VLOOKUP(D861,[4]STRATEGIES!$E$1:$F$504,2,FALSE)</f>
        <v>2615-Renforcement des capacités du service national d'évaluation</v>
      </c>
      <c r="AD861" s="21" t="str">
        <f t="shared" si="162"/>
        <v>26153-Equipement en matériel informatique du service d'évaluation</v>
      </c>
    </row>
    <row r="862" spans="1:30" s="22" customFormat="1" ht="45" hidden="1" customHeight="1" x14ac:dyDescent="0.8">
      <c r="A862" s="14">
        <v>2</v>
      </c>
      <c r="B862" s="15">
        <v>26</v>
      </c>
      <c r="C862" s="15">
        <v>261</v>
      </c>
      <c r="D862" s="15">
        <v>2615</v>
      </c>
      <c r="E862" s="15">
        <v>26154</v>
      </c>
      <c r="F862" s="16" t="s">
        <v>1073</v>
      </c>
      <c r="G862" s="21" t="s">
        <v>1074</v>
      </c>
      <c r="H862" s="17" t="s">
        <v>1075</v>
      </c>
      <c r="I862" s="33">
        <v>0</v>
      </c>
      <c r="J862" s="33"/>
      <c r="K862" s="33">
        <f>2*8</f>
        <v>16</v>
      </c>
      <c r="L862" s="33"/>
      <c r="M862" s="33">
        <f t="shared" si="164"/>
        <v>16</v>
      </c>
      <c r="N862" s="33">
        <f>IF(OR(H862="",H862="sif",H862="PM"),0,VLOOKUP(H862,[5]CU!$C$4:$H$255,6,FALSE))</f>
        <v>10.5</v>
      </c>
      <c r="O862" s="33">
        <f t="shared" si="161"/>
        <v>0</v>
      </c>
      <c r="P862" s="33">
        <f t="shared" si="161"/>
        <v>0</v>
      </c>
      <c r="Q862" s="33">
        <f t="shared" si="161"/>
        <v>168</v>
      </c>
      <c r="R862" s="33">
        <f t="shared" si="161"/>
        <v>0</v>
      </c>
      <c r="S862" s="34">
        <f>SUM(O862:R862)</f>
        <v>168</v>
      </c>
      <c r="T862" s="35" t="s">
        <v>39</v>
      </c>
      <c r="U862" s="19" t="s">
        <v>647</v>
      </c>
      <c r="V862" s="19" t="str">
        <f>IF(OR($H862="",$H862="sif",$H862="PM"),"",VLOOKUP($H862,[5]CU!$C$5:$J$255,8,FALSE))</f>
        <v>5. Investissement</v>
      </c>
      <c r="W862" s="19" t="s">
        <v>663</v>
      </c>
      <c r="X862" s="19" t="s">
        <v>764</v>
      </c>
      <c r="Y862" s="19" t="s">
        <v>32</v>
      </c>
      <c r="Z862" s="18" t="str">
        <f>A862 &amp; "-" &amp; VLOOKUP(A862,[4]PROGRAMMES!$E$1:$F$7,2,FALSE)</f>
        <v>2-Qualité des enseignements et des apprentissages</v>
      </c>
      <c r="AA862" s="19" t="str">
        <f>B862 &amp; "-" &amp; VLOOKUP(B862,[4]SOUSPROGRAMMES!$E$1:$F$44,2,FALSE)</f>
        <v>26- Examen et évaluation</v>
      </c>
      <c r="AB862" s="19" t="str">
        <f>C862 &amp; "-" &amp; VLOOKUP(C862,[4]RESULTATS!$E$1:$F$176,2,FALSE)</f>
        <v xml:space="preserve">261- Les évaluations des acquis au primaire et secondaire sont régulières, exploitées et disséminées.  </v>
      </c>
      <c r="AC862" s="20" t="str">
        <f>D862 &amp; "-" &amp; VLOOKUP(D862,[4]STRATEGIES!$E$1:$F$504,2,FALSE)</f>
        <v>2615-Renforcement des capacités du service national d'évaluation</v>
      </c>
      <c r="AD862" s="21" t="str">
        <f t="shared" si="162"/>
        <v>26154-Acquisition de logiciels de traitement de données"SPSS, SPAD"</v>
      </c>
    </row>
    <row r="863" spans="1:30" s="22" customFormat="1" ht="45" hidden="1" customHeight="1" x14ac:dyDescent="0.8">
      <c r="A863" s="14">
        <v>2</v>
      </c>
      <c r="B863" s="15">
        <v>26</v>
      </c>
      <c r="C863" s="15">
        <v>261</v>
      </c>
      <c r="D863" s="15">
        <v>2615</v>
      </c>
      <c r="E863" s="15">
        <v>26155</v>
      </c>
      <c r="F863" s="16" t="s">
        <v>1076</v>
      </c>
      <c r="G863" s="21" t="s">
        <v>979</v>
      </c>
      <c r="H863" s="17" t="s">
        <v>980</v>
      </c>
      <c r="I863" s="33">
        <v>0</v>
      </c>
      <c r="J863" s="33"/>
      <c r="K863" s="33">
        <v>1</v>
      </c>
      <c r="L863" s="33"/>
      <c r="M863" s="33">
        <f t="shared" si="164"/>
        <v>1</v>
      </c>
      <c r="N863" s="33">
        <f>IF(OR(H863="",H863="sif",H863="PM"),0,VLOOKUP(H863,[5]CU!$C$4:$H$255,6,FALSE))</f>
        <v>300</v>
      </c>
      <c r="O863" s="33">
        <f t="shared" si="161"/>
        <v>0</v>
      </c>
      <c r="P863" s="33">
        <f t="shared" si="161"/>
        <v>0</v>
      </c>
      <c r="Q863" s="33">
        <f t="shared" si="161"/>
        <v>300</v>
      </c>
      <c r="R863" s="33">
        <f t="shared" si="161"/>
        <v>0</v>
      </c>
      <c r="S863" s="34">
        <f>SUM(O863:R863)</f>
        <v>300</v>
      </c>
      <c r="T863" s="35" t="s">
        <v>39</v>
      </c>
      <c r="U863" s="19" t="s">
        <v>647</v>
      </c>
      <c r="V863" s="19" t="str">
        <f>IF(OR($H863="",$H863="sif",$H863="PM"),"",VLOOKUP($H863,[5]CU!$C$5:$J$255,8,FALSE))</f>
        <v>5. Investissement</v>
      </c>
      <c r="W863" s="19" t="s">
        <v>663</v>
      </c>
      <c r="X863" s="19" t="s">
        <v>764</v>
      </c>
      <c r="Y863" s="19" t="s">
        <v>32</v>
      </c>
      <c r="Z863" s="18" t="str">
        <f>A863 &amp; "-" &amp; VLOOKUP(A863,[4]PROGRAMMES!$E$1:$F$7,2,FALSE)</f>
        <v>2-Qualité des enseignements et des apprentissages</v>
      </c>
      <c r="AA863" s="19" t="str">
        <f>B863 &amp; "-" &amp; VLOOKUP(B863,[4]SOUSPROGRAMMES!$E$1:$F$44,2,FALSE)</f>
        <v>26- Examen et évaluation</v>
      </c>
      <c r="AB863" s="19" t="str">
        <f>C863 &amp; "-" &amp; VLOOKUP(C863,[4]RESULTATS!$E$1:$F$176,2,FALSE)</f>
        <v xml:space="preserve">261- Les évaluations des acquis au primaire et secondaire sont régulières, exploitées et disséminées.  </v>
      </c>
      <c r="AC863" s="20" t="str">
        <f>D863 &amp; "-" &amp; VLOOKUP(D863,[4]STRATEGIES!$E$1:$F$504,2,FALSE)</f>
        <v>2615-Renforcement des capacités du service national d'évaluation</v>
      </c>
      <c r="AD863" s="21" t="str">
        <f t="shared" si="162"/>
        <v>26155-Acquisition d'un véhicule pour la supervision des activités d'évaluation</v>
      </c>
    </row>
    <row r="864" spans="1:30" s="22" customFormat="1" ht="45" hidden="1" customHeight="1" x14ac:dyDescent="0.8">
      <c r="A864" s="14">
        <v>2</v>
      </c>
      <c r="B864" s="15">
        <v>26</v>
      </c>
      <c r="C864" s="15">
        <v>261</v>
      </c>
      <c r="D864" s="15">
        <v>2616</v>
      </c>
      <c r="E864" s="15">
        <v>2616</v>
      </c>
      <c r="F864" s="16" t="s">
        <v>1077</v>
      </c>
      <c r="G864" s="17"/>
      <c r="H864" s="17"/>
      <c r="I864" s="33">
        <v>0</v>
      </c>
      <c r="J864" s="33"/>
      <c r="K864" s="33"/>
      <c r="L864" s="33"/>
      <c r="M864" s="33"/>
      <c r="N864" s="33"/>
      <c r="O864" s="33"/>
      <c r="P864" s="33"/>
      <c r="Q864" s="33"/>
      <c r="R864" s="33"/>
      <c r="S864" s="34"/>
      <c r="T864" s="33"/>
      <c r="U864" s="18"/>
      <c r="V864" s="18"/>
      <c r="W864" s="18"/>
      <c r="X864" s="18"/>
      <c r="Y864" s="19" t="s">
        <v>32</v>
      </c>
      <c r="Z864" s="18" t="str">
        <f>A864 &amp; "-" &amp; VLOOKUP(A864,[4]PROGRAMMES!$E$1:$F$7,2,FALSE)</f>
        <v>2-Qualité des enseignements et des apprentissages</v>
      </c>
      <c r="AA864" s="19" t="str">
        <f>B864 &amp; "-" &amp; VLOOKUP(B864,[4]SOUSPROGRAMMES!$E$1:$F$44,2,FALSE)</f>
        <v>26- Examen et évaluation</v>
      </c>
      <c r="AB864" s="19" t="str">
        <f>C864 &amp; "-" &amp; VLOOKUP(C864,[4]RESULTATS!$E$1:$F$176,2,FALSE)</f>
        <v xml:space="preserve">261- Les évaluations des acquis au primaire et secondaire sont régulières, exploitées et disséminées.  </v>
      </c>
      <c r="AC864" s="20" t="str">
        <f>D864 &amp; "-" &amp; VLOOKUP(D864,[4]STRATEGIES!$E$1:$F$504,2,FALSE)</f>
        <v>2616-Renforcement des évaluations pilotes</v>
      </c>
      <c r="AD864" s="21" t="str">
        <f t="shared" si="162"/>
        <v>2616-Renforcement des évaluations pilotes</v>
      </c>
    </row>
    <row r="865" spans="1:30" s="22" customFormat="1" ht="45" hidden="1" customHeight="1" x14ac:dyDescent="0.8">
      <c r="A865" s="14">
        <v>2</v>
      </c>
      <c r="B865" s="15">
        <v>26</v>
      </c>
      <c r="C865" s="15">
        <v>261</v>
      </c>
      <c r="D865" s="15">
        <v>2616</v>
      </c>
      <c r="E865" s="15">
        <v>26161</v>
      </c>
      <c r="F865" s="16" t="s">
        <v>1078</v>
      </c>
      <c r="G865" s="21" t="s">
        <v>722</v>
      </c>
      <c r="H865" s="17" t="s">
        <v>1079</v>
      </c>
      <c r="I865" s="33">
        <v>0</v>
      </c>
      <c r="J865" s="33"/>
      <c r="K865" s="33"/>
      <c r="L865" s="33"/>
      <c r="M865" s="33">
        <f t="shared" si="164"/>
        <v>0</v>
      </c>
      <c r="N865" s="33">
        <f>IF(OR(H865="",H865="sif",H865="PM"),0,VLOOKUP(H865,[5]CU!$C$4:$H$255,6,FALSE))</f>
        <v>570</v>
      </c>
      <c r="O865" s="33">
        <f t="shared" si="161"/>
        <v>0</v>
      </c>
      <c r="P865" s="33">
        <f t="shared" si="161"/>
        <v>0</v>
      </c>
      <c r="Q865" s="33">
        <f t="shared" si="161"/>
        <v>0</v>
      </c>
      <c r="R865" s="33">
        <f t="shared" si="161"/>
        <v>0</v>
      </c>
      <c r="S865" s="34">
        <f>SUM(O865:R865)</f>
        <v>0</v>
      </c>
      <c r="T865" s="35" t="s">
        <v>67</v>
      </c>
      <c r="U865" s="18" t="s">
        <v>647</v>
      </c>
      <c r="V865" s="18" t="str">
        <f>IF(OR($H865="",$H865="sif",$H865="PM"),"",VLOOKUP($H865,[5]CU!$C$5:$J$255,8,FALSE))</f>
        <v>3. Dépenses de fonctionnement</v>
      </c>
      <c r="W865" s="18" t="s">
        <v>764</v>
      </c>
      <c r="X865" s="18" t="s">
        <v>764</v>
      </c>
      <c r="Y865" s="19" t="s">
        <v>32</v>
      </c>
      <c r="Z865" s="18" t="str">
        <f>A865 &amp; "-" &amp; VLOOKUP(A865,[4]PROGRAMMES!$E$1:$F$7,2,FALSE)</f>
        <v>2-Qualité des enseignements et des apprentissages</v>
      </c>
      <c r="AA865" s="19" t="str">
        <f>B865 &amp; "-" &amp; VLOOKUP(B865,[4]SOUSPROGRAMMES!$E$1:$F$44,2,FALSE)</f>
        <v>26- Examen et évaluation</v>
      </c>
      <c r="AB865" s="19" t="str">
        <f>C865 &amp; "-" &amp; VLOOKUP(C865,[4]RESULTATS!$E$1:$F$176,2,FALSE)</f>
        <v xml:space="preserve">261- Les évaluations des acquis au primaire et secondaire sont régulières, exploitées et disséminées.  </v>
      </c>
      <c r="AC865" s="20" t="str">
        <f>D865 &amp; "-" &amp; VLOOKUP(D865,[4]STRATEGIES!$E$1:$F$504,2,FALSE)</f>
        <v>2616-Renforcement des évaluations pilotes</v>
      </c>
      <c r="AD865" s="21" t="str">
        <f t="shared" si="162"/>
        <v>26161-Evaluation des acquis scolaires et préscolaires dans les communes de convergence</v>
      </c>
    </row>
    <row r="866" spans="1:30" s="22" customFormat="1" ht="30" hidden="1" customHeight="1" x14ac:dyDescent="0.8">
      <c r="A866" s="14">
        <v>2</v>
      </c>
      <c r="B866" s="15">
        <v>26</v>
      </c>
      <c r="C866" s="15">
        <v>262</v>
      </c>
      <c r="D866" s="15">
        <v>262</v>
      </c>
      <c r="E866" s="15">
        <v>262</v>
      </c>
      <c r="F866" s="16" t="s">
        <v>1080</v>
      </c>
      <c r="G866" s="17"/>
      <c r="H866" s="17"/>
      <c r="I866" s="33">
        <v>0</v>
      </c>
      <c r="J866" s="33"/>
      <c r="K866" s="33"/>
      <c r="L866" s="33"/>
      <c r="M866" s="33"/>
      <c r="N866" s="33"/>
      <c r="O866" s="33"/>
      <c r="P866" s="33"/>
      <c r="Q866" s="33"/>
      <c r="R866" s="33"/>
      <c r="S866" s="34"/>
      <c r="T866" s="33"/>
      <c r="U866" s="18"/>
      <c r="V866" s="18"/>
      <c r="W866" s="18"/>
      <c r="X866" s="18"/>
      <c r="Y866" s="19" t="s">
        <v>32</v>
      </c>
      <c r="Z866" s="18" t="str">
        <f>A866 &amp; "-" &amp; VLOOKUP(A866,[4]PROGRAMMES!$E$1:$F$7,2,FALSE)</f>
        <v>2-Qualité des enseignements et des apprentissages</v>
      </c>
      <c r="AA866" s="19" t="str">
        <f>B866 &amp; "-" &amp; VLOOKUP(B866,[4]SOUSPROGRAMMES!$E$1:$F$44,2,FALSE)</f>
        <v>26- Examen et évaluation</v>
      </c>
      <c r="AB866" s="19" t="str">
        <f>C866 &amp; "-" &amp; VLOOKUP(C866,[4]RESULTATS!$E$1:$F$176,2,FALSE)</f>
        <v>262- La fiabilité des examens nationaux est améliorée</v>
      </c>
      <c r="AC866" s="20" t="str">
        <f>D866 &amp; "-" &amp; VLOOKUP(D866,[4]STRATEGIES!$E$1:$F$504,2,FALSE)</f>
        <v>262- La fiabilité des examens nationaux est améliorée</v>
      </c>
      <c r="AD866" s="21" t="str">
        <f t="shared" si="162"/>
        <v>262- La fiabilité des examens nationaux est améliorée</v>
      </c>
    </row>
    <row r="867" spans="1:30" s="22" customFormat="1" ht="30" hidden="1" customHeight="1" x14ac:dyDescent="0.8">
      <c r="A867" s="14">
        <v>2</v>
      </c>
      <c r="B867" s="15">
        <v>26</v>
      </c>
      <c r="C867" s="15">
        <v>262</v>
      </c>
      <c r="D867" s="15">
        <v>2621</v>
      </c>
      <c r="E867" s="15">
        <v>2621</v>
      </c>
      <c r="F867" s="16" t="s">
        <v>1081</v>
      </c>
      <c r="G867" s="17"/>
      <c r="H867" s="17"/>
      <c r="I867" s="33">
        <v>0</v>
      </c>
      <c r="J867" s="33"/>
      <c r="K867" s="33"/>
      <c r="L867" s="33"/>
      <c r="M867" s="33"/>
      <c r="N867" s="33"/>
      <c r="O867" s="33"/>
      <c r="P867" s="33"/>
      <c r="Q867" s="33"/>
      <c r="R867" s="33"/>
      <c r="S867" s="34"/>
      <c r="T867" s="33"/>
      <c r="U867" s="18"/>
      <c r="V867" s="18"/>
      <c r="W867" s="18"/>
      <c r="X867" s="18"/>
      <c r="Y867" s="19" t="s">
        <v>32</v>
      </c>
      <c r="Z867" s="18" t="str">
        <f>A867 &amp; "-" &amp; VLOOKUP(A867,[4]PROGRAMMES!$E$1:$F$7,2,FALSE)</f>
        <v>2-Qualité des enseignements et des apprentissages</v>
      </c>
      <c r="AA867" s="19" t="str">
        <f>B867 &amp; "-" &amp; VLOOKUP(B867,[4]SOUSPROGRAMMES!$E$1:$F$44,2,FALSE)</f>
        <v>26- Examen et évaluation</v>
      </c>
      <c r="AB867" s="19" t="str">
        <f>C867 &amp; "-" &amp; VLOOKUP(C867,[4]RESULTATS!$E$1:$F$176,2,FALSE)</f>
        <v>262- La fiabilité des examens nationaux est améliorée</v>
      </c>
      <c r="AC867" s="20" t="str">
        <f>D867 &amp; "-" &amp; VLOOKUP(D867,[4]STRATEGIES!$E$1:$F$504,2,FALSE)</f>
        <v>2621-Collecte des données des examens nationaux</v>
      </c>
      <c r="AD867" s="21" t="str">
        <f t="shared" si="162"/>
        <v>2621-Collecte des données des examens nationaux</v>
      </c>
    </row>
    <row r="868" spans="1:30" s="22" customFormat="1" ht="30" hidden="1" customHeight="1" x14ac:dyDescent="0.8">
      <c r="A868" s="14">
        <v>2</v>
      </c>
      <c r="B868" s="15">
        <v>26</v>
      </c>
      <c r="C868" s="15">
        <v>262</v>
      </c>
      <c r="D868" s="15">
        <v>2621</v>
      </c>
      <c r="E868" s="15">
        <v>26211</v>
      </c>
      <c r="F868" s="16" t="s">
        <v>1082</v>
      </c>
      <c r="G868" s="21" t="s">
        <v>37</v>
      </c>
      <c r="H868" s="17" t="s">
        <v>66</v>
      </c>
      <c r="I868" s="33">
        <v>0</v>
      </c>
      <c r="J868" s="33">
        <f>25*2</f>
        <v>50</v>
      </c>
      <c r="K868" s="33"/>
      <c r="L868" s="33"/>
      <c r="M868" s="33">
        <f t="shared" si="164"/>
        <v>50</v>
      </c>
      <c r="N868" s="33">
        <f>IF(OR(H868="",H868="sif",H868="PM"),0,VLOOKUP(H868,[5]CU!$C$4:$H$255,6,FALSE))</f>
        <v>0.255</v>
      </c>
      <c r="O868" s="33">
        <f t="shared" si="161"/>
        <v>0</v>
      </c>
      <c r="P868" s="33">
        <f t="shared" si="161"/>
        <v>12.75</v>
      </c>
      <c r="Q868" s="33">
        <f t="shared" si="161"/>
        <v>0</v>
      </c>
      <c r="R868" s="33">
        <f t="shared" si="161"/>
        <v>0</v>
      </c>
      <c r="S868" s="34">
        <f>SUM(O868:R868)</f>
        <v>12.75</v>
      </c>
      <c r="T868" s="35" t="s">
        <v>56</v>
      </c>
      <c r="U868" s="18" t="s">
        <v>647</v>
      </c>
      <c r="V868" s="18" t="str">
        <f>IF(OR($H868="",$H868="sif",$H868="PM"),"",VLOOKUP($H868,[5]CU!$C$5:$J$255,8,FALSE))</f>
        <v>3. Dépenses de fonctionnement</v>
      </c>
      <c r="W868" s="18" t="s">
        <v>708</v>
      </c>
      <c r="X868" s="18" t="s">
        <v>764</v>
      </c>
      <c r="Y868" s="19" t="s">
        <v>32</v>
      </c>
      <c r="Z868" s="18" t="str">
        <f>A868 &amp; "-" &amp; VLOOKUP(A868,[4]PROGRAMMES!$E$1:$F$7,2,FALSE)</f>
        <v>2-Qualité des enseignements et des apprentissages</v>
      </c>
      <c r="AA868" s="19" t="str">
        <f>B868 &amp; "-" &amp; VLOOKUP(B868,[4]SOUSPROGRAMMES!$E$1:$F$44,2,FALSE)</f>
        <v>26- Examen et évaluation</v>
      </c>
      <c r="AB868" s="19" t="str">
        <f>C868 &amp; "-" &amp; VLOOKUP(C868,[4]RESULTATS!$E$1:$F$176,2,FALSE)</f>
        <v>262- La fiabilité des examens nationaux est améliorée</v>
      </c>
      <c r="AC868" s="20" t="str">
        <f>D868 &amp; "-" &amp; VLOOKUP(D868,[4]STRATEGIES!$E$1:$F$504,2,FALSE)</f>
        <v>2621-Collecte des données des examens nationaux</v>
      </c>
      <c r="AD868" s="21" t="str">
        <f t="shared" si="162"/>
        <v>26211-Conception d'un questionnaire d'informations des élèves candidats (par échantillon)</v>
      </c>
    </row>
    <row r="869" spans="1:30" s="22" customFormat="1" ht="30" hidden="1" customHeight="1" x14ac:dyDescent="0.8">
      <c r="A869" s="14">
        <v>2</v>
      </c>
      <c r="B869" s="15">
        <v>26</v>
      </c>
      <c r="C869" s="15">
        <v>262</v>
      </c>
      <c r="D869" s="15">
        <v>2621</v>
      </c>
      <c r="E869" s="15">
        <v>26212</v>
      </c>
      <c r="F869" s="16" t="s">
        <v>1083</v>
      </c>
      <c r="G869" s="21" t="s">
        <v>321</v>
      </c>
      <c r="H869" s="17" t="s">
        <v>55</v>
      </c>
      <c r="I869" s="33">
        <v>0</v>
      </c>
      <c r="J869" s="33">
        <v>1</v>
      </c>
      <c r="K869" s="33">
        <v>1</v>
      </c>
      <c r="L869" s="33">
        <v>1</v>
      </c>
      <c r="M869" s="33">
        <f t="shared" si="164"/>
        <v>3</v>
      </c>
      <c r="N869" s="33">
        <f>IF(OR(H869="",H869="sif",H869="PM"),0,VLOOKUP(H869,[5]CU!$C$4:$H$255,6,FALSE))</f>
        <v>0</v>
      </c>
      <c r="O869" s="33">
        <f t="shared" si="161"/>
        <v>0</v>
      </c>
      <c r="P869" s="33">
        <f t="shared" si="161"/>
        <v>0</v>
      </c>
      <c r="Q869" s="33">
        <f t="shared" si="161"/>
        <v>0</v>
      </c>
      <c r="R869" s="33">
        <f t="shared" si="161"/>
        <v>0</v>
      </c>
      <c r="S869" s="34"/>
      <c r="T869" s="35" t="s">
        <v>56</v>
      </c>
      <c r="U869" s="18" t="s">
        <v>647</v>
      </c>
      <c r="V869" s="18" t="str">
        <f>IF(OR($H869="",$H869="sif",$H869="PM"),"",VLOOKUP($H869,[5]CU!$C$5:$J$255,8,FALSE))</f>
        <v/>
      </c>
      <c r="W869" s="18" t="s">
        <v>708</v>
      </c>
      <c r="X869" s="18" t="s">
        <v>764</v>
      </c>
      <c r="Y869" s="19" t="s">
        <v>32</v>
      </c>
      <c r="Z869" s="18" t="str">
        <f>A869 &amp; "-" &amp; VLOOKUP(A869,[4]PROGRAMMES!$E$1:$F$7,2,FALSE)</f>
        <v>2-Qualité des enseignements et des apprentissages</v>
      </c>
      <c r="AA869" s="19" t="str">
        <f>B869 &amp; "-" &amp; VLOOKUP(B869,[4]SOUSPROGRAMMES!$E$1:$F$44,2,FALSE)</f>
        <v>26- Examen et évaluation</v>
      </c>
      <c r="AB869" s="19" t="str">
        <f>C869 &amp; "-" &amp; VLOOKUP(C869,[4]RESULTATS!$E$1:$F$176,2,FALSE)</f>
        <v>262- La fiabilité des examens nationaux est améliorée</v>
      </c>
      <c r="AC869" s="20" t="str">
        <f>D869 &amp; "-" &amp; VLOOKUP(D869,[4]STRATEGIES!$E$1:$F$504,2,FALSE)</f>
        <v>2621-Collecte des données des examens nationaux</v>
      </c>
      <c r="AD869" s="21" t="str">
        <f t="shared" si="162"/>
        <v>26212-Collecte annuelle des fichiers de base des résultats des examens nationaux (Entrée en 7ième, BEPC et BAC)</v>
      </c>
    </row>
    <row r="870" spans="1:30" s="22" customFormat="1" ht="30" hidden="1" customHeight="1" x14ac:dyDescent="0.8">
      <c r="A870" s="14">
        <v>2</v>
      </c>
      <c r="B870" s="15">
        <v>26</v>
      </c>
      <c r="C870" s="15">
        <v>262</v>
      </c>
      <c r="D870" s="15">
        <v>2621</v>
      </c>
      <c r="E870" s="15">
        <v>26213</v>
      </c>
      <c r="F870" s="16" t="s">
        <v>1084</v>
      </c>
      <c r="G870" s="21" t="s">
        <v>436</v>
      </c>
      <c r="H870" s="17" t="s">
        <v>301</v>
      </c>
      <c r="I870" s="33">
        <v>0</v>
      </c>
      <c r="J870" s="33">
        <f>38*1</f>
        <v>38</v>
      </c>
      <c r="K870" s="33">
        <f>38*1</f>
        <v>38</v>
      </c>
      <c r="L870" s="33">
        <f>38*1</f>
        <v>38</v>
      </c>
      <c r="M870" s="33">
        <f t="shared" si="164"/>
        <v>114</v>
      </c>
      <c r="N870" s="33">
        <f>IF(OR(H870="",H870="sif",H870="PM"),0,VLOOKUP(H870,[5]CU!$C$4:$H$255,6,FALSE))</f>
        <v>0.67666666666666664</v>
      </c>
      <c r="O870" s="33">
        <f t="shared" si="161"/>
        <v>0</v>
      </c>
      <c r="P870" s="33">
        <f t="shared" si="161"/>
        <v>25.713333333333331</v>
      </c>
      <c r="Q870" s="33">
        <f t="shared" si="161"/>
        <v>25.713333333333331</v>
      </c>
      <c r="R870" s="33">
        <f t="shared" si="161"/>
        <v>25.713333333333331</v>
      </c>
      <c r="S870" s="34">
        <f>SUM(O870:R870)</f>
        <v>77.139999999999986</v>
      </c>
      <c r="T870" s="35" t="s">
        <v>56</v>
      </c>
      <c r="U870" s="18" t="s">
        <v>647</v>
      </c>
      <c r="V870" s="18" t="str">
        <f>IF(OR($H870="",$H870="sif",$H870="PM"),"",VLOOKUP($H870,[5]CU!$C$5:$J$255,8,FALSE))</f>
        <v>3. Formation</v>
      </c>
      <c r="W870" s="18" t="s">
        <v>764</v>
      </c>
      <c r="X870" s="18" t="s">
        <v>764</v>
      </c>
      <c r="Y870" s="19" t="s">
        <v>32</v>
      </c>
      <c r="Z870" s="18" t="str">
        <f>A870 &amp; "-" &amp; VLOOKUP(A870,[4]PROGRAMMES!$E$1:$F$7,2,FALSE)</f>
        <v>2-Qualité des enseignements et des apprentissages</v>
      </c>
      <c r="AA870" s="19" t="str">
        <f>B870 &amp; "-" &amp; VLOOKUP(B870,[4]SOUSPROGRAMMES!$E$1:$F$44,2,FALSE)</f>
        <v>26- Examen et évaluation</v>
      </c>
      <c r="AB870" s="19" t="str">
        <f>C870 &amp; "-" &amp; VLOOKUP(C870,[4]RESULTATS!$E$1:$F$176,2,FALSE)</f>
        <v>262- La fiabilité des examens nationaux est améliorée</v>
      </c>
      <c r="AC870" s="20" t="str">
        <f>D870 &amp; "-" &amp; VLOOKUP(D870,[4]STRATEGIES!$E$1:$F$504,2,FALSE)</f>
        <v>2621-Collecte des données des examens nationaux</v>
      </c>
      <c r="AD870" s="21" t="str">
        <f t="shared" si="162"/>
        <v>26213-Formation des administrateurs de test (superviseurs des examens)</v>
      </c>
    </row>
    <row r="871" spans="1:30" s="22" customFormat="1" ht="30" hidden="1" customHeight="1" x14ac:dyDescent="0.8">
      <c r="A871" s="14">
        <v>2</v>
      </c>
      <c r="B871" s="15">
        <v>26</v>
      </c>
      <c r="C871" s="15">
        <v>262</v>
      </c>
      <c r="D871" s="15">
        <v>2621</v>
      </c>
      <c r="E871" s="15">
        <v>26214</v>
      </c>
      <c r="F871" s="16" t="s">
        <v>1085</v>
      </c>
      <c r="G871" s="21" t="s">
        <v>692</v>
      </c>
      <c r="H871" s="17" t="s">
        <v>816</v>
      </c>
      <c r="I871" s="33">
        <v>0</v>
      </c>
      <c r="J871" s="33">
        <f>100*38*2</f>
        <v>7600</v>
      </c>
      <c r="K871" s="33">
        <f>100*38*2</f>
        <v>7600</v>
      </c>
      <c r="L871" s="33">
        <f>100*38*2</f>
        <v>7600</v>
      </c>
      <c r="M871" s="33">
        <f t="shared" si="164"/>
        <v>22800</v>
      </c>
      <c r="N871" s="33">
        <f>IF(OR(H871="",H871="sif",H871="PM"),0,VLOOKUP(H871,[5]CU!$C$4:$H$255,6,FALSE))</f>
        <v>7.4999999999999997E-3</v>
      </c>
      <c r="O871" s="33">
        <f t="shared" si="161"/>
        <v>0</v>
      </c>
      <c r="P871" s="33">
        <f t="shared" si="161"/>
        <v>57</v>
      </c>
      <c r="Q871" s="33">
        <f t="shared" si="161"/>
        <v>57</v>
      </c>
      <c r="R871" s="33">
        <f t="shared" si="161"/>
        <v>57</v>
      </c>
      <c r="S871" s="34">
        <f>SUM(O871:R871)</f>
        <v>171</v>
      </c>
      <c r="T871" s="35" t="s">
        <v>56</v>
      </c>
      <c r="U871" s="18" t="s">
        <v>647</v>
      </c>
      <c r="V871" s="18" t="str">
        <f>IF(OR($H871="",$H871="sif",$H871="PM"),"",VLOOKUP($H871,[5]CU!$C$5:$J$255,8,FALSE))</f>
        <v>3. Dépenses de fonctionnement</v>
      </c>
      <c r="W871" s="18" t="s">
        <v>764</v>
      </c>
      <c r="X871" s="18" t="s">
        <v>764</v>
      </c>
      <c r="Y871" s="19" t="s">
        <v>32</v>
      </c>
      <c r="Z871" s="18" t="str">
        <f>A871 &amp; "-" &amp; VLOOKUP(A871,[4]PROGRAMMES!$E$1:$F$7,2,FALSE)</f>
        <v>2-Qualité des enseignements et des apprentissages</v>
      </c>
      <c r="AA871" s="19" t="str">
        <f>B871 &amp; "-" &amp; VLOOKUP(B871,[4]SOUSPROGRAMMES!$E$1:$F$44,2,FALSE)</f>
        <v>26- Examen et évaluation</v>
      </c>
      <c r="AB871" s="19" t="str">
        <f>C871 &amp; "-" &amp; VLOOKUP(C871,[4]RESULTATS!$E$1:$F$176,2,FALSE)</f>
        <v>262- La fiabilité des examens nationaux est améliorée</v>
      </c>
      <c r="AC871" s="20" t="str">
        <f>D871 &amp; "-" &amp; VLOOKUP(D871,[4]STRATEGIES!$E$1:$F$504,2,FALSE)</f>
        <v>2621-Collecte des données des examens nationaux</v>
      </c>
      <c r="AD871" s="21" t="str">
        <f t="shared" si="162"/>
        <v>26214-Reproduction des questionnaires</v>
      </c>
    </row>
    <row r="872" spans="1:30" s="22" customFormat="1" ht="45" hidden="1" customHeight="1" x14ac:dyDescent="0.8">
      <c r="A872" s="14">
        <v>2</v>
      </c>
      <c r="B872" s="15">
        <v>26</v>
      </c>
      <c r="C872" s="15">
        <v>262</v>
      </c>
      <c r="D872" s="15">
        <v>2621</v>
      </c>
      <c r="E872" s="15">
        <v>26215</v>
      </c>
      <c r="F872" s="16" t="s">
        <v>1086</v>
      </c>
      <c r="G872" s="21" t="s">
        <v>92</v>
      </c>
      <c r="H872" s="17" t="s">
        <v>55</v>
      </c>
      <c r="I872" s="33">
        <v>0</v>
      </c>
      <c r="J872" s="33"/>
      <c r="K872" s="33"/>
      <c r="L872" s="33"/>
      <c r="M872" s="33"/>
      <c r="N872" s="33">
        <f>IF(OR(H872="",H872="sif",H872="PM"),0,VLOOKUP(H872,[5]CU!$C$4:$H$255,6,FALSE))</f>
        <v>0</v>
      </c>
      <c r="O872" s="33"/>
      <c r="P872" s="33"/>
      <c r="Q872" s="33"/>
      <c r="R872" s="33"/>
      <c r="S872" s="34"/>
      <c r="T872" s="35" t="s">
        <v>56</v>
      </c>
      <c r="U872" s="18" t="s">
        <v>647</v>
      </c>
      <c r="V872" s="18" t="str">
        <f>IF(OR($H872="",$H872="sif",$H872="PM"),"",VLOOKUP($H872,[5]CU!$C$5:$J$255,8,FALSE))</f>
        <v/>
      </c>
      <c r="W872" s="18" t="s">
        <v>764</v>
      </c>
      <c r="X872" s="18" t="s">
        <v>764</v>
      </c>
      <c r="Y872" s="19" t="s">
        <v>32</v>
      </c>
      <c r="Z872" s="18" t="str">
        <f>A872 &amp; "-" &amp; VLOOKUP(A872,[4]PROGRAMMES!$E$1:$F$7,2,FALSE)</f>
        <v>2-Qualité des enseignements et des apprentissages</v>
      </c>
      <c r="AA872" s="19" t="str">
        <f>B872 &amp; "-" &amp; VLOOKUP(B872,[4]SOUSPROGRAMMES!$E$1:$F$44,2,FALSE)</f>
        <v>26- Examen et évaluation</v>
      </c>
      <c r="AB872" s="19" t="str">
        <f>C872 &amp; "-" &amp; VLOOKUP(C872,[4]RESULTATS!$E$1:$F$176,2,FALSE)</f>
        <v>262- La fiabilité des examens nationaux est améliorée</v>
      </c>
      <c r="AC872" s="20" t="str">
        <f>D872 &amp; "-" &amp; VLOOKUP(D872,[4]STRATEGIES!$E$1:$F$504,2,FALSE)</f>
        <v>2621-Collecte des données des examens nationaux</v>
      </c>
      <c r="AD872" s="21" t="str">
        <f t="shared" si="162"/>
        <v>26215-Remplissage des questionnaires par l'échantillon sous l'administration des superviseurs des examens (pris en charge dans budget examen)</v>
      </c>
    </row>
    <row r="873" spans="1:30" s="22" customFormat="1" ht="30" hidden="1" customHeight="1" x14ac:dyDescent="0.8">
      <c r="A873" s="14">
        <v>2</v>
      </c>
      <c r="B873" s="15">
        <v>26</v>
      </c>
      <c r="C873" s="15">
        <v>262</v>
      </c>
      <c r="D873" s="15">
        <v>2621</v>
      </c>
      <c r="E873" s="15">
        <v>26216</v>
      </c>
      <c r="F873" s="16" t="s">
        <v>1087</v>
      </c>
      <c r="G873" s="21" t="s">
        <v>37</v>
      </c>
      <c r="H873" s="17" t="s">
        <v>66</v>
      </c>
      <c r="I873" s="33">
        <v>0</v>
      </c>
      <c r="J873" s="33">
        <f>12*10</f>
        <v>120</v>
      </c>
      <c r="K873" s="33">
        <f>12*10</f>
        <v>120</v>
      </c>
      <c r="L873" s="33">
        <f>12*10</f>
        <v>120</v>
      </c>
      <c r="M873" s="33">
        <f t="shared" ref="M873:M883" si="165">SUM(I873:L873)</f>
        <v>360</v>
      </c>
      <c r="N873" s="33">
        <f>IF(OR(H873="",H873="sif",H873="PM"),0,VLOOKUP(H873,[5]CU!$C$4:$H$255,6,FALSE))</f>
        <v>0.255</v>
      </c>
      <c r="O873" s="33">
        <f t="shared" ref="O873:R883" si="166">IFERROR($N873*I873,0)</f>
        <v>0</v>
      </c>
      <c r="P873" s="33">
        <f t="shared" si="166"/>
        <v>30.6</v>
      </c>
      <c r="Q873" s="33">
        <f t="shared" si="166"/>
        <v>30.6</v>
      </c>
      <c r="R873" s="33">
        <f t="shared" si="166"/>
        <v>30.6</v>
      </c>
      <c r="S873" s="34">
        <f>SUM(O873:R873)</f>
        <v>91.800000000000011</v>
      </c>
      <c r="T873" s="35" t="s">
        <v>56</v>
      </c>
      <c r="U873" s="18" t="s">
        <v>647</v>
      </c>
      <c r="V873" s="18" t="str">
        <f>IF(OR($H873="",$H873="sif",$H873="PM"),"",VLOOKUP($H873,[5]CU!$C$5:$J$255,8,FALSE))</f>
        <v>3. Dépenses de fonctionnement</v>
      </c>
      <c r="W873" s="18" t="s">
        <v>764</v>
      </c>
      <c r="X873" s="18" t="s">
        <v>764</v>
      </c>
      <c r="Y873" s="19" t="s">
        <v>32</v>
      </c>
      <c r="Z873" s="18" t="str">
        <f>A873 &amp; "-" &amp; VLOOKUP(A873,[4]PROGRAMMES!$E$1:$F$7,2,FALSE)</f>
        <v>2-Qualité des enseignements et des apprentissages</v>
      </c>
      <c r="AA873" s="19" t="str">
        <f>B873 &amp; "-" &amp; VLOOKUP(B873,[4]SOUSPROGRAMMES!$E$1:$F$44,2,FALSE)</f>
        <v>26- Examen et évaluation</v>
      </c>
      <c r="AB873" s="19" t="str">
        <f>C873 &amp; "-" &amp; VLOOKUP(C873,[4]RESULTATS!$E$1:$F$176,2,FALSE)</f>
        <v>262- La fiabilité des examens nationaux est améliorée</v>
      </c>
      <c r="AC873" s="20" t="str">
        <f>D873 &amp; "-" &amp; VLOOKUP(D873,[4]STRATEGIES!$E$1:$F$504,2,FALSE)</f>
        <v>2621-Collecte des données des examens nationaux</v>
      </c>
      <c r="AD873" s="21" t="str">
        <f t="shared" si="162"/>
        <v>26216-Traitement des données (codification, saisie et toilettage des fichiers)</v>
      </c>
    </row>
    <row r="874" spans="1:30" s="22" customFormat="1" ht="30" hidden="1" customHeight="1" x14ac:dyDescent="0.8">
      <c r="A874" s="14">
        <v>2</v>
      </c>
      <c r="B874" s="15">
        <v>26</v>
      </c>
      <c r="C874" s="15">
        <v>262</v>
      </c>
      <c r="D874" s="15">
        <v>2621</v>
      </c>
      <c r="E874" s="15">
        <v>26217</v>
      </c>
      <c r="F874" s="16" t="s">
        <v>1088</v>
      </c>
      <c r="G874" s="21" t="s">
        <v>37</v>
      </c>
      <c r="H874" s="17" t="s">
        <v>66</v>
      </c>
      <c r="I874" s="33">
        <v>0</v>
      </c>
      <c r="J874" s="33">
        <f>10*10</f>
        <v>100</v>
      </c>
      <c r="K874" s="33">
        <f>10*10</f>
        <v>100</v>
      </c>
      <c r="L874" s="33">
        <f>10*10</f>
        <v>100</v>
      </c>
      <c r="M874" s="33">
        <f t="shared" si="165"/>
        <v>300</v>
      </c>
      <c r="N874" s="33">
        <f>IF(OR(H874="",H874="sif",H874="PM"),0,VLOOKUP(H874,[5]CU!$C$4:$H$255,6,FALSE))</f>
        <v>0.255</v>
      </c>
      <c r="O874" s="33">
        <f t="shared" si="166"/>
        <v>0</v>
      </c>
      <c r="P874" s="33">
        <f t="shared" si="166"/>
        <v>25.5</v>
      </c>
      <c r="Q874" s="33">
        <f t="shared" si="166"/>
        <v>25.5</v>
      </c>
      <c r="R874" s="33">
        <f t="shared" si="166"/>
        <v>25.5</v>
      </c>
      <c r="S874" s="34">
        <f>SUM(O874:R874)</f>
        <v>76.5</v>
      </c>
      <c r="T874" s="35" t="s">
        <v>56</v>
      </c>
      <c r="U874" s="18" t="s">
        <v>647</v>
      </c>
      <c r="V874" s="18" t="str">
        <f>IF(OR($H874="",$H874="sif",$H874="PM"),"",VLOOKUP($H874,[5]CU!$C$5:$J$255,8,FALSE))</f>
        <v>3. Dépenses de fonctionnement</v>
      </c>
      <c r="W874" s="18" t="s">
        <v>764</v>
      </c>
      <c r="X874" s="18" t="s">
        <v>764</v>
      </c>
      <c r="Y874" s="19" t="s">
        <v>32</v>
      </c>
      <c r="Z874" s="18" t="str">
        <f>A874 &amp; "-" &amp; VLOOKUP(A874,[4]PROGRAMMES!$E$1:$F$7,2,FALSE)</f>
        <v>2-Qualité des enseignements et des apprentissages</v>
      </c>
      <c r="AA874" s="19" t="str">
        <f>B874 &amp; "-" &amp; VLOOKUP(B874,[4]SOUSPROGRAMMES!$E$1:$F$44,2,FALSE)</f>
        <v>26- Examen et évaluation</v>
      </c>
      <c r="AB874" s="19" t="str">
        <f>C874 &amp; "-" &amp; VLOOKUP(C874,[4]RESULTATS!$E$1:$F$176,2,FALSE)</f>
        <v>262- La fiabilité des examens nationaux est améliorée</v>
      </c>
      <c r="AC874" s="20" t="str">
        <f>D874 &amp; "-" &amp; VLOOKUP(D874,[4]STRATEGIES!$E$1:$F$504,2,FALSE)</f>
        <v>2621-Collecte des données des examens nationaux</v>
      </c>
      <c r="AD874" s="21" t="str">
        <f t="shared" si="162"/>
        <v>26217-Analyse et rédaction du rapport d'évaluation</v>
      </c>
    </row>
    <row r="875" spans="1:30" s="22" customFormat="1" ht="30" hidden="1" customHeight="1" x14ac:dyDescent="0.8">
      <c r="A875" s="14">
        <v>2</v>
      </c>
      <c r="B875" s="15">
        <v>26</v>
      </c>
      <c r="C875" s="15">
        <v>262</v>
      </c>
      <c r="D875" s="15">
        <v>2622</v>
      </c>
      <c r="E875" s="15">
        <v>2622</v>
      </c>
      <c r="F875" s="16" t="s">
        <v>1089</v>
      </c>
      <c r="G875" s="17"/>
      <c r="H875" s="17"/>
      <c r="I875" s="33">
        <v>0</v>
      </c>
      <c r="J875" s="33"/>
      <c r="K875" s="33"/>
      <c r="L875" s="33"/>
      <c r="M875" s="33"/>
      <c r="N875" s="33"/>
      <c r="O875" s="33"/>
      <c r="P875" s="33"/>
      <c r="Q875" s="33"/>
      <c r="R875" s="33"/>
      <c r="S875" s="34"/>
      <c r="T875" s="33"/>
      <c r="U875" s="18"/>
      <c r="V875" s="18"/>
      <c r="W875" s="18"/>
      <c r="X875" s="18"/>
      <c r="Y875" s="19" t="s">
        <v>32</v>
      </c>
      <c r="Z875" s="18" t="str">
        <f>A875 &amp; "-" &amp; VLOOKUP(A875,[4]PROGRAMMES!$E$1:$F$7,2,FALSE)</f>
        <v>2-Qualité des enseignements et des apprentissages</v>
      </c>
      <c r="AA875" s="19" t="str">
        <f>B875 &amp; "-" &amp; VLOOKUP(B875,[4]SOUSPROGRAMMES!$E$1:$F$44,2,FALSE)</f>
        <v>26- Examen et évaluation</v>
      </c>
      <c r="AB875" s="19" t="str">
        <f>C875 &amp; "-" &amp; VLOOKUP(C875,[4]RESULTATS!$E$1:$F$176,2,FALSE)</f>
        <v>262- La fiabilité des examens nationaux est améliorée</v>
      </c>
      <c r="AC875" s="20" t="str">
        <f>D875 &amp; "-" &amp; VLOOKUP(D875,[4]STRATEGIES!$E$1:$F$504,2,FALSE)</f>
        <v>2622-Analyse et rédaction du rapport d'audit</v>
      </c>
      <c r="AD875" s="21" t="str">
        <f t="shared" si="162"/>
        <v>2622-Analyse et rédaction du rapport d'audit</v>
      </c>
    </row>
    <row r="876" spans="1:30" s="22" customFormat="1" ht="45" hidden="1" customHeight="1" x14ac:dyDescent="0.8">
      <c r="A876" s="14">
        <v>2</v>
      </c>
      <c r="B876" s="15">
        <v>26</v>
      </c>
      <c r="C876" s="15">
        <v>262</v>
      </c>
      <c r="D876" s="15">
        <v>2622</v>
      </c>
      <c r="E876" s="15">
        <v>26221</v>
      </c>
      <c r="F876" s="16" t="s">
        <v>1090</v>
      </c>
      <c r="G876" s="21" t="s">
        <v>58</v>
      </c>
      <c r="H876" s="17" t="s">
        <v>59</v>
      </c>
      <c r="I876" s="33">
        <v>0</v>
      </c>
      <c r="J876" s="33">
        <f>4*7*8</f>
        <v>224</v>
      </c>
      <c r="K876" s="33">
        <f>4*7*8</f>
        <v>224</v>
      </c>
      <c r="L876" s="33">
        <f>4*7*8</f>
        <v>224</v>
      </c>
      <c r="M876" s="33">
        <f t="shared" si="165"/>
        <v>672</v>
      </c>
      <c r="N876" s="33">
        <f>IF(OR(H876="",H876="sif",H876="PM"),0,VLOOKUP(H876,[5]CU!$C$4:$H$255,6,FALSE))</f>
        <v>0.8177777777777776</v>
      </c>
      <c r="O876" s="33">
        <f t="shared" si="166"/>
        <v>0</v>
      </c>
      <c r="P876" s="33">
        <f t="shared" si="166"/>
        <v>183.18222222222218</v>
      </c>
      <c r="Q876" s="33">
        <f t="shared" si="166"/>
        <v>183.18222222222218</v>
      </c>
      <c r="R876" s="33">
        <f t="shared" si="166"/>
        <v>183.18222222222218</v>
      </c>
      <c r="S876" s="34">
        <f>SUM(O876:R876)</f>
        <v>549.54666666666651</v>
      </c>
      <c r="T876" s="35" t="s">
        <v>56</v>
      </c>
      <c r="U876" s="18" t="s">
        <v>647</v>
      </c>
      <c r="V876" s="18" t="str">
        <f>IF(OR($H876="",$H876="sif",$H876="PM"),"",VLOOKUP($H876,[5]CU!$C$5:$J$255,8,FALSE))</f>
        <v>3. Dépenses de fonctionnement</v>
      </c>
      <c r="W876" s="18" t="s">
        <v>273</v>
      </c>
      <c r="X876" s="18" t="s">
        <v>1091</v>
      </c>
      <c r="Y876" s="19" t="s">
        <v>32</v>
      </c>
      <c r="Z876" s="18" t="str">
        <f>A876 &amp; "-" &amp; VLOOKUP(A876,[4]PROGRAMMES!$E$1:$F$7,2,FALSE)</f>
        <v>2-Qualité des enseignements et des apprentissages</v>
      </c>
      <c r="AA876" s="19" t="str">
        <f>B876 &amp; "-" &amp; VLOOKUP(B876,[4]SOUSPROGRAMMES!$E$1:$F$44,2,FALSE)</f>
        <v>26- Examen et évaluation</v>
      </c>
      <c r="AB876" s="19" t="str">
        <f>C876 &amp; "-" &amp; VLOOKUP(C876,[4]RESULTATS!$E$1:$F$176,2,FALSE)</f>
        <v>262- La fiabilité des examens nationaux est améliorée</v>
      </c>
      <c r="AC876" s="20" t="str">
        <f>D876 &amp; "-" &amp; VLOOKUP(D876,[4]STRATEGIES!$E$1:$F$504,2,FALSE)</f>
        <v>2622-Analyse et rédaction du rapport d'audit</v>
      </c>
      <c r="AD876" s="21" t="str">
        <f t="shared" si="162"/>
        <v>26221-Contrôle de conformité entre la note et la production de l'élève, entre la note sur la copie et celle sur la fiche de centralisation, entre la note sur la fiche de centralisation et la note saisie)</v>
      </c>
    </row>
    <row r="877" spans="1:30" s="22" customFormat="1" ht="30" hidden="1" customHeight="1" x14ac:dyDescent="0.8">
      <c r="A877" s="14">
        <v>2</v>
      </c>
      <c r="B877" s="15">
        <v>26</v>
      </c>
      <c r="C877" s="15">
        <v>262</v>
      </c>
      <c r="D877" s="15">
        <v>2622</v>
      </c>
      <c r="E877" s="15">
        <v>26222</v>
      </c>
      <c r="F877" s="16" t="s">
        <v>1092</v>
      </c>
      <c r="G877" s="21" t="s">
        <v>37</v>
      </c>
      <c r="H877" s="17" t="s">
        <v>38</v>
      </c>
      <c r="I877" s="33">
        <v>0</v>
      </c>
      <c r="J877" s="33">
        <f>16*10</f>
        <v>160</v>
      </c>
      <c r="K877" s="33">
        <f>16*10</f>
        <v>160</v>
      </c>
      <c r="L877" s="33">
        <f>16*10</f>
        <v>160</v>
      </c>
      <c r="M877" s="33">
        <f t="shared" si="165"/>
        <v>480</v>
      </c>
      <c r="N877" s="33">
        <f>IF(OR(H877="",H877="sif",H877="PM"),0,VLOOKUP(H877,[5]CU!$C$4:$H$255,6,FALSE))</f>
        <v>0.3133333333333333</v>
      </c>
      <c r="O877" s="33">
        <f t="shared" si="166"/>
        <v>0</v>
      </c>
      <c r="P877" s="33">
        <f t="shared" si="166"/>
        <v>50.133333333333326</v>
      </c>
      <c r="Q877" s="33">
        <f t="shared" si="166"/>
        <v>50.133333333333326</v>
      </c>
      <c r="R877" s="33">
        <f t="shared" si="166"/>
        <v>50.133333333333326</v>
      </c>
      <c r="S877" s="34">
        <f>SUM(O877:R877)</f>
        <v>150.39999999999998</v>
      </c>
      <c r="T877" s="35" t="s">
        <v>56</v>
      </c>
      <c r="U877" s="18" t="s">
        <v>647</v>
      </c>
      <c r="V877" s="18" t="str">
        <f>IF(OR($H877="",$H877="sif",$H877="PM"),"",VLOOKUP($H877,[5]CU!$C$5:$J$255,8,FALSE))</f>
        <v>3. Formation</v>
      </c>
      <c r="W877" s="18" t="s">
        <v>273</v>
      </c>
      <c r="X877" s="18" t="s">
        <v>1091</v>
      </c>
      <c r="Y877" s="19" t="s">
        <v>32</v>
      </c>
      <c r="Z877" s="18" t="str">
        <f>A877 &amp; "-" &amp; VLOOKUP(A877,[4]PROGRAMMES!$E$1:$F$7,2,FALSE)</f>
        <v>2-Qualité des enseignements et des apprentissages</v>
      </c>
      <c r="AA877" s="19" t="str">
        <f>B877 &amp; "-" &amp; VLOOKUP(B877,[4]SOUSPROGRAMMES!$E$1:$F$44,2,FALSE)</f>
        <v>26- Examen et évaluation</v>
      </c>
      <c r="AB877" s="19" t="str">
        <f>C877 &amp; "-" &amp; VLOOKUP(C877,[4]RESULTATS!$E$1:$F$176,2,FALSE)</f>
        <v>262- La fiabilité des examens nationaux est améliorée</v>
      </c>
      <c r="AC877" s="20" t="str">
        <f>D877 &amp; "-" &amp; VLOOKUP(D877,[4]STRATEGIES!$E$1:$F$504,2,FALSE)</f>
        <v>2622-Analyse et rédaction du rapport d'audit</v>
      </c>
      <c r="AD877" s="21" t="str">
        <f t="shared" si="162"/>
        <v>26222-Rédaction du rapport d'audit</v>
      </c>
    </row>
    <row r="878" spans="1:30" s="22" customFormat="1" ht="30" hidden="1" customHeight="1" x14ac:dyDescent="0.8">
      <c r="A878" s="14">
        <v>2</v>
      </c>
      <c r="B878" s="15">
        <v>26</v>
      </c>
      <c r="C878" s="15">
        <v>262</v>
      </c>
      <c r="D878" s="15">
        <v>2623</v>
      </c>
      <c r="E878" s="15">
        <v>2623</v>
      </c>
      <c r="F878" s="16" t="s">
        <v>1093</v>
      </c>
      <c r="G878" s="17"/>
      <c r="H878" s="17"/>
      <c r="I878" s="33">
        <v>0</v>
      </c>
      <c r="J878" s="33"/>
      <c r="K878" s="33"/>
      <c r="L878" s="33"/>
      <c r="M878" s="33"/>
      <c r="N878" s="33"/>
      <c r="O878" s="33"/>
      <c r="P878" s="33"/>
      <c r="Q878" s="33"/>
      <c r="R878" s="33"/>
      <c r="S878" s="34"/>
      <c r="T878" s="33"/>
      <c r="U878" s="18"/>
      <c r="V878" s="18"/>
      <c r="W878" s="18"/>
      <c r="X878" s="18"/>
      <c r="Y878" s="19" t="s">
        <v>32</v>
      </c>
      <c r="Z878" s="18" t="str">
        <f>A878 &amp; "-" &amp; VLOOKUP(A878,[4]PROGRAMMES!$E$1:$F$7,2,FALSE)</f>
        <v>2-Qualité des enseignements et des apprentissages</v>
      </c>
      <c r="AA878" s="19" t="str">
        <f>B878 &amp; "-" &amp; VLOOKUP(B878,[4]SOUSPROGRAMMES!$E$1:$F$44,2,FALSE)</f>
        <v>26- Examen et évaluation</v>
      </c>
      <c r="AB878" s="19" t="str">
        <f>C878 &amp; "-" &amp; VLOOKUP(C878,[4]RESULTATS!$E$1:$F$176,2,FALSE)</f>
        <v>262- La fiabilité des examens nationaux est améliorée</v>
      </c>
      <c r="AC878" s="20" t="str">
        <f>D878 &amp; "-" &amp; VLOOKUP(D878,[4]STRATEGIES!$E$1:$F$504,2,FALSE)</f>
        <v>2623-Adaptation des textes organisants les examens nationaux</v>
      </c>
      <c r="AD878" s="21" t="str">
        <f t="shared" si="162"/>
        <v>2623-Adaptation des textes organisants les examens nationaux</v>
      </c>
    </row>
    <row r="879" spans="1:30" s="22" customFormat="1" ht="45" hidden="1" customHeight="1" x14ac:dyDescent="0.8">
      <c r="A879" s="14">
        <v>2</v>
      </c>
      <c r="B879" s="15">
        <v>26</v>
      </c>
      <c r="C879" s="15">
        <v>262</v>
      </c>
      <c r="D879" s="15">
        <v>2623</v>
      </c>
      <c r="E879" s="15">
        <v>26231</v>
      </c>
      <c r="F879" s="16" t="s">
        <v>1094</v>
      </c>
      <c r="G879" s="21" t="s">
        <v>1095</v>
      </c>
      <c r="H879" s="17" t="s">
        <v>55</v>
      </c>
      <c r="I879" s="33">
        <v>0</v>
      </c>
      <c r="J879" s="33">
        <v>1</v>
      </c>
      <c r="K879" s="33"/>
      <c r="L879" s="33"/>
      <c r="M879" s="33">
        <f t="shared" si="165"/>
        <v>1</v>
      </c>
      <c r="N879" s="33">
        <f>IF(OR(H879="",H879="sif",H879="PM"),0,VLOOKUP(H879,[5]CU!$C$4:$H$255,6,FALSE))</f>
        <v>0</v>
      </c>
      <c r="O879" s="33">
        <f t="shared" si="166"/>
        <v>0</v>
      </c>
      <c r="P879" s="33">
        <f t="shared" si="166"/>
        <v>0</v>
      </c>
      <c r="Q879" s="33">
        <f t="shared" si="166"/>
        <v>0</v>
      </c>
      <c r="R879" s="33">
        <f t="shared" si="166"/>
        <v>0</v>
      </c>
      <c r="S879" s="34"/>
      <c r="T879" s="35" t="s">
        <v>56</v>
      </c>
      <c r="U879" s="18" t="s">
        <v>647</v>
      </c>
      <c r="V879" s="18" t="str">
        <f>IF(OR($H879="",$H879="sif",$H879="PM"),"",VLOOKUP($H879,[5]CU!$C$5:$J$255,8,FALSE))</f>
        <v/>
      </c>
      <c r="W879" s="18" t="s">
        <v>708</v>
      </c>
      <c r="X879" s="18" t="s">
        <v>273</v>
      </c>
      <c r="Y879" s="19" t="s">
        <v>32</v>
      </c>
      <c r="Z879" s="18" t="str">
        <f>A879 &amp; "-" &amp; VLOOKUP(A879,[4]PROGRAMMES!$E$1:$F$7,2,FALSE)</f>
        <v>2-Qualité des enseignements et des apprentissages</v>
      </c>
      <c r="AA879" s="19" t="str">
        <f>B879 &amp; "-" &amp; VLOOKUP(B879,[4]SOUSPROGRAMMES!$E$1:$F$44,2,FALSE)</f>
        <v>26- Examen et évaluation</v>
      </c>
      <c r="AB879" s="19" t="str">
        <f>C879 &amp; "-" &amp; VLOOKUP(C879,[4]RESULTATS!$E$1:$F$176,2,FALSE)</f>
        <v>262- La fiabilité des examens nationaux est améliorée</v>
      </c>
      <c r="AC879" s="20" t="str">
        <f>D879 &amp; "-" &amp; VLOOKUP(D879,[4]STRATEGIES!$E$1:$F$504,2,FALSE)</f>
        <v>2623-Adaptation des textes organisants les examens nationaux</v>
      </c>
      <c r="AD879" s="21" t="str">
        <f t="shared" si="162"/>
        <v>26231-Mise en place d'une commission nationale pour la révision des procédures de passation des examens pour les rendre plus transparents</v>
      </c>
    </row>
    <row r="880" spans="1:30" s="22" customFormat="1" ht="60" hidden="1" customHeight="1" x14ac:dyDescent="0.8">
      <c r="A880" s="14">
        <v>2</v>
      </c>
      <c r="B880" s="15">
        <v>26</v>
      </c>
      <c r="C880" s="15">
        <v>262</v>
      </c>
      <c r="D880" s="15">
        <v>2623</v>
      </c>
      <c r="E880" s="15">
        <v>26232</v>
      </c>
      <c r="F880" s="16" t="s">
        <v>1096</v>
      </c>
      <c r="G880" s="21" t="s">
        <v>298</v>
      </c>
      <c r="H880" s="17" t="s">
        <v>38</v>
      </c>
      <c r="I880" s="33">
        <v>0</v>
      </c>
      <c r="J880" s="33">
        <f>20*2*4</f>
        <v>160</v>
      </c>
      <c r="K880" s="33"/>
      <c r="L880" s="33"/>
      <c r="M880" s="33">
        <f t="shared" si="165"/>
        <v>160</v>
      </c>
      <c r="N880" s="33">
        <f>IF(OR(H880="",H880="sif",H880="PM"),0,VLOOKUP(H880,[5]CU!$C$4:$H$255,6,FALSE))</f>
        <v>0.3133333333333333</v>
      </c>
      <c r="O880" s="33">
        <f t="shared" si="166"/>
        <v>0</v>
      </c>
      <c r="P880" s="33">
        <f t="shared" si="166"/>
        <v>50.133333333333326</v>
      </c>
      <c r="Q880" s="33">
        <f t="shared" si="166"/>
        <v>0</v>
      </c>
      <c r="R880" s="33">
        <f t="shared" si="166"/>
        <v>0</v>
      </c>
      <c r="S880" s="34">
        <f>SUM(O880:R880)</f>
        <v>50.133333333333326</v>
      </c>
      <c r="T880" s="35" t="s">
        <v>56</v>
      </c>
      <c r="U880" s="18" t="s">
        <v>647</v>
      </c>
      <c r="V880" s="18" t="str">
        <f>IF(OR($H880="",$H880="sif",$H880="PM"),"",VLOOKUP($H880,[5]CU!$C$5:$J$255,8,FALSE))</f>
        <v>3. Formation</v>
      </c>
      <c r="W880" s="18" t="s">
        <v>708</v>
      </c>
      <c r="X880" s="18" t="s">
        <v>273</v>
      </c>
      <c r="Y880" s="19" t="s">
        <v>32</v>
      </c>
      <c r="Z880" s="18" t="str">
        <f>A880 &amp; "-" &amp; VLOOKUP(A880,[4]PROGRAMMES!$E$1:$F$7,2,FALSE)</f>
        <v>2-Qualité des enseignements et des apprentissages</v>
      </c>
      <c r="AA880" s="19" t="str">
        <f>B880 &amp; "-" &amp; VLOOKUP(B880,[4]SOUSPROGRAMMES!$E$1:$F$44,2,FALSE)</f>
        <v>26- Examen et évaluation</v>
      </c>
      <c r="AB880" s="19" t="str">
        <f>C880 &amp; "-" &amp; VLOOKUP(C880,[4]RESULTATS!$E$1:$F$176,2,FALSE)</f>
        <v>262- La fiabilité des examens nationaux est améliorée</v>
      </c>
      <c r="AC880" s="20" t="str">
        <f>D880 &amp; "-" &amp; VLOOKUP(D880,[4]STRATEGIES!$E$1:$F$504,2,FALSE)</f>
        <v>2623-Adaptation des textes organisants les examens nationaux</v>
      </c>
      <c r="AD880" s="21" t="str">
        <f t="shared" si="162"/>
        <v>26232-Proposition de révision des procédures du déroulement des examens par la commission en concertation avec les partenaires et les acteurs (syndicats, les APEAE, les structures déconcentrées et le service des examens)</v>
      </c>
    </row>
    <row r="881" spans="1:30" s="22" customFormat="1" ht="30" hidden="1" customHeight="1" x14ac:dyDescent="0.8">
      <c r="A881" s="14">
        <v>2</v>
      </c>
      <c r="B881" s="15">
        <v>26</v>
      </c>
      <c r="C881" s="15">
        <v>262</v>
      </c>
      <c r="D881" s="15">
        <v>2623</v>
      </c>
      <c r="E881" s="15">
        <v>26233</v>
      </c>
      <c r="F881" s="16" t="s">
        <v>1097</v>
      </c>
      <c r="G881" s="21" t="s">
        <v>298</v>
      </c>
      <c r="H881" s="17" t="s">
        <v>38</v>
      </c>
      <c r="I881" s="33">
        <v>0</v>
      </c>
      <c r="J881" s="33">
        <f>30*1</f>
        <v>30</v>
      </c>
      <c r="K881" s="33"/>
      <c r="L881" s="33"/>
      <c r="M881" s="33">
        <f t="shared" si="165"/>
        <v>30</v>
      </c>
      <c r="N881" s="33">
        <f>IF(OR(H881="",H881="sif",H881="PM"),0,VLOOKUP(H881,[5]CU!$C$4:$H$255,6,FALSE))</f>
        <v>0.3133333333333333</v>
      </c>
      <c r="O881" s="33">
        <f t="shared" si="166"/>
        <v>0</v>
      </c>
      <c r="P881" s="33">
        <f t="shared" si="166"/>
        <v>9.3999999999999986</v>
      </c>
      <c r="Q881" s="33">
        <f t="shared" si="166"/>
        <v>0</v>
      </c>
      <c r="R881" s="33">
        <f t="shared" si="166"/>
        <v>0</v>
      </c>
      <c r="S881" s="34">
        <f>SUM(O881:R881)</f>
        <v>9.3999999999999986</v>
      </c>
      <c r="T881" s="35" t="s">
        <v>56</v>
      </c>
      <c r="U881" s="18" t="s">
        <v>647</v>
      </c>
      <c r="V881" s="18" t="str">
        <f>IF(OR($H881="",$H881="sif",$H881="PM"),"",VLOOKUP($H881,[5]CU!$C$5:$J$255,8,FALSE))</f>
        <v>3. Formation</v>
      </c>
      <c r="W881" s="18" t="s">
        <v>708</v>
      </c>
      <c r="X881" s="18" t="s">
        <v>273</v>
      </c>
      <c r="Y881" s="19" t="s">
        <v>32</v>
      </c>
      <c r="Z881" s="18" t="str">
        <f>A881 &amp; "-" &amp; VLOOKUP(A881,[4]PROGRAMMES!$E$1:$F$7,2,FALSE)</f>
        <v>2-Qualité des enseignements et des apprentissages</v>
      </c>
      <c r="AA881" s="19" t="str">
        <f>B881 &amp; "-" &amp; VLOOKUP(B881,[4]SOUSPROGRAMMES!$E$1:$F$44,2,FALSE)</f>
        <v>26- Examen et évaluation</v>
      </c>
      <c r="AB881" s="19" t="str">
        <f>C881 &amp; "-" &amp; VLOOKUP(C881,[4]RESULTATS!$E$1:$F$176,2,FALSE)</f>
        <v>262- La fiabilité des examens nationaux est améliorée</v>
      </c>
      <c r="AC881" s="20" t="str">
        <f>D881 &amp; "-" &amp; VLOOKUP(D881,[4]STRATEGIES!$E$1:$F$504,2,FALSE)</f>
        <v>2623-Adaptation des textes organisants les examens nationaux</v>
      </c>
      <c r="AD881" s="21" t="str">
        <f t="shared" si="162"/>
        <v xml:space="preserve">26233-Validation de la proposition de révision des procédures du déroulement des examens </v>
      </c>
    </row>
    <row r="882" spans="1:30" s="22" customFormat="1" ht="30" hidden="1" customHeight="1" x14ac:dyDescent="0.8">
      <c r="A882" s="14">
        <v>2</v>
      </c>
      <c r="B882" s="15">
        <v>26</v>
      </c>
      <c r="C882" s="15">
        <v>262</v>
      </c>
      <c r="D882" s="15">
        <v>2623</v>
      </c>
      <c r="E882" s="15">
        <v>26234</v>
      </c>
      <c r="F882" s="16" t="s">
        <v>1098</v>
      </c>
      <c r="G882" s="21" t="s">
        <v>826</v>
      </c>
      <c r="H882" s="17" t="s">
        <v>55</v>
      </c>
      <c r="I882" s="33">
        <v>0</v>
      </c>
      <c r="J882" s="33"/>
      <c r="K882" s="33">
        <v>1</v>
      </c>
      <c r="L882" s="33"/>
      <c r="M882" s="33">
        <f t="shared" si="165"/>
        <v>1</v>
      </c>
      <c r="N882" s="33">
        <f>IF(OR(H882="",H882="sif",H882="PM"),0,VLOOKUP(H882,[5]CU!$C$4:$H$255,6,FALSE))</f>
        <v>0</v>
      </c>
      <c r="O882" s="33">
        <f t="shared" si="166"/>
        <v>0</v>
      </c>
      <c r="P882" s="33">
        <f t="shared" si="166"/>
        <v>0</v>
      </c>
      <c r="Q882" s="33">
        <f t="shared" si="166"/>
        <v>0</v>
      </c>
      <c r="R882" s="33">
        <f t="shared" si="166"/>
        <v>0</v>
      </c>
      <c r="S882" s="34"/>
      <c r="T882" s="35" t="s">
        <v>56</v>
      </c>
      <c r="U882" s="18" t="s">
        <v>647</v>
      </c>
      <c r="V882" s="18" t="str">
        <f>IF(OR($H882="",$H882="sif",$H882="PM"),"",VLOOKUP($H882,[5]CU!$C$5:$J$255,8,FALSE))</f>
        <v/>
      </c>
      <c r="W882" s="18" t="s">
        <v>708</v>
      </c>
      <c r="X882" s="18" t="s">
        <v>273</v>
      </c>
      <c r="Y882" s="19" t="s">
        <v>32</v>
      </c>
      <c r="Z882" s="18" t="str">
        <f>A882 &amp; "-" &amp; VLOOKUP(A882,[4]PROGRAMMES!$E$1:$F$7,2,FALSE)</f>
        <v>2-Qualité des enseignements et des apprentissages</v>
      </c>
      <c r="AA882" s="19" t="str">
        <f>B882 &amp; "-" &amp; VLOOKUP(B882,[4]SOUSPROGRAMMES!$E$1:$F$44,2,FALSE)</f>
        <v>26- Examen et évaluation</v>
      </c>
      <c r="AB882" s="19" t="str">
        <f>C882 &amp; "-" &amp; VLOOKUP(C882,[4]RESULTATS!$E$1:$F$176,2,FALSE)</f>
        <v>262- La fiabilité des examens nationaux est améliorée</v>
      </c>
      <c r="AC882" s="20" t="str">
        <f>D882 &amp; "-" &amp; VLOOKUP(D882,[4]STRATEGIES!$E$1:$F$504,2,FALSE)</f>
        <v>2623-Adaptation des textes organisants les examens nationaux</v>
      </c>
      <c r="AD882" s="21" t="str">
        <f t="shared" si="162"/>
        <v xml:space="preserve">26234-Adoption des textes fixant les procédures de déroulement des examens </v>
      </c>
    </row>
    <row r="883" spans="1:30" s="22" customFormat="1" ht="30" hidden="1" customHeight="1" x14ac:dyDescent="0.8">
      <c r="A883" s="14">
        <v>2</v>
      </c>
      <c r="B883" s="15">
        <v>26</v>
      </c>
      <c r="C883" s="15">
        <v>262</v>
      </c>
      <c r="D883" s="15">
        <v>2623</v>
      </c>
      <c r="E883" s="15">
        <v>26235</v>
      </c>
      <c r="F883" s="16" t="s">
        <v>1099</v>
      </c>
      <c r="G883" s="21" t="s">
        <v>1100</v>
      </c>
      <c r="H883" s="17" t="s">
        <v>1101</v>
      </c>
      <c r="I883" s="33">
        <v>0</v>
      </c>
      <c r="J883" s="33">
        <v>0.94444920263311705</v>
      </c>
      <c r="K883" s="33">
        <v>0.99959583372921401</v>
      </c>
      <c r="L883" s="33">
        <v>1.0559549636376699</v>
      </c>
      <c r="M883" s="33">
        <f t="shared" si="165"/>
        <v>3.0000000000000009</v>
      </c>
      <c r="N883" s="33">
        <f>IF(OR(H883="",H883="sif",H883="PM"),0,VLOOKUP(H883,[5]CU!$C$4:$H$255,6,FALSE))</f>
        <v>45791.453339168198</v>
      </c>
      <c r="O883" s="33">
        <f t="shared" si="166"/>
        <v>0</v>
      </c>
      <c r="P883" s="33">
        <f t="shared" si="166"/>
        <v>43247.701593588987</v>
      </c>
      <c r="Q883" s="33">
        <f t="shared" si="166"/>
        <v>45772.945978238233</v>
      </c>
      <c r="R883" s="33">
        <f t="shared" si="166"/>
        <v>48353.712445677411</v>
      </c>
      <c r="S883" s="34">
        <f>SUM(O883:R883)</f>
        <v>137374.36001750463</v>
      </c>
      <c r="T883" s="35" t="s">
        <v>56</v>
      </c>
      <c r="U883" s="18" t="s">
        <v>647</v>
      </c>
      <c r="V883" s="18" t="str">
        <f>IF(OR($H883="",$H883="sif",$H883="PM"),"",VLOOKUP($H883,[5]CU!$C$5:$J$255,8,FALSE))</f>
        <v>3. Dépenses de fonctionnement</v>
      </c>
      <c r="W883" s="18" t="s">
        <v>708</v>
      </c>
      <c r="X883" s="18" t="s">
        <v>273</v>
      </c>
      <c r="Y883" s="19" t="s">
        <v>32</v>
      </c>
      <c r="Z883" s="18" t="str">
        <f>A883 &amp; "-" &amp; VLOOKUP(A883,[4]PROGRAMMES!$E$1:$F$7,2,FALSE)</f>
        <v>2-Qualité des enseignements et des apprentissages</v>
      </c>
      <c r="AA883" s="19" t="str">
        <f>B883 &amp; "-" &amp; VLOOKUP(B883,[4]SOUSPROGRAMMES!$E$1:$F$44,2,FALSE)</f>
        <v>26- Examen et évaluation</v>
      </c>
      <c r="AB883" s="19" t="str">
        <f>C883 &amp; "-" &amp; VLOOKUP(C883,[4]RESULTATS!$E$1:$F$176,2,FALSE)</f>
        <v>262- La fiabilité des examens nationaux est améliorée</v>
      </c>
      <c r="AC883" s="20" t="str">
        <f>D883 &amp; "-" &amp; VLOOKUP(D883,[4]STRATEGIES!$E$1:$F$504,2,FALSE)</f>
        <v>2623-Adaptation des textes organisants les examens nationaux</v>
      </c>
      <c r="AD883" s="21" t="str">
        <f t="shared" si="162"/>
        <v>26235-Organisation des examens et concours</v>
      </c>
    </row>
    <row r="884" spans="1:30" s="22" customFormat="1" ht="60" hidden="1" customHeight="1" x14ac:dyDescent="0.8">
      <c r="A884" s="14">
        <v>2</v>
      </c>
      <c r="B884" s="15">
        <v>26</v>
      </c>
      <c r="C884" s="15">
        <v>263</v>
      </c>
      <c r="D884" s="15">
        <v>263</v>
      </c>
      <c r="E884" s="15">
        <v>263</v>
      </c>
      <c r="F884" s="16" t="s">
        <v>1102</v>
      </c>
      <c r="G884" s="17"/>
      <c r="H884" s="17"/>
      <c r="I884" s="33">
        <v>0</v>
      </c>
      <c r="J884" s="33"/>
      <c r="K884" s="33"/>
      <c r="L884" s="33"/>
      <c r="M884" s="33"/>
      <c r="N884" s="33"/>
      <c r="O884" s="33"/>
      <c r="P884" s="33"/>
      <c r="Q884" s="33"/>
      <c r="R884" s="33"/>
      <c r="S884" s="34"/>
      <c r="T884" s="33"/>
      <c r="U884" s="18"/>
      <c r="V884" s="18"/>
      <c r="W884" s="18"/>
      <c r="X884" s="18"/>
      <c r="Y884" s="19" t="s">
        <v>32</v>
      </c>
      <c r="Z884" s="18" t="str">
        <f>A884 &amp; "-" &amp; VLOOKUP(A884,[4]PROGRAMMES!$E$1:$F$7,2,FALSE)</f>
        <v>2-Qualité des enseignements et des apprentissages</v>
      </c>
      <c r="AA884" s="19" t="str">
        <f>B884 &amp; "-" &amp; VLOOKUP(B884,[4]SOUSPROGRAMMES!$E$1:$F$44,2,FALSE)</f>
        <v>26- Examen et évaluation</v>
      </c>
      <c r="AB884" s="19" t="str">
        <f>C884 &amp; "-" &amp; VLOOKUP(C884,[4]RESULTATS!$E$1:$F$176,2,FALSE)</f>
        <v>263- Un document référentiel sur la production et l'utilisation des données des évaluations standardisées est mis en place</v>
      </c>
      <c r="AC884" s="20" t="str">
        <f>D884 &amp; "-" &amp; VLOOKUP(D884,[4]STRATEGIES!$E$1:$F$504,2,FALSE)</f>
        <v>263- Un document référentiel sur la production et l'utilisation des données des évaluations standardisées est mis en place</v>
      </c>
      <c r="AD884" s="21" t="str">
        <f t="shared" si="162"/>
        <v>263- Un document référentiel sur la production et l'utilisation des données des évaluations standardisées est mis en place</v>
      </c>
    </row>
    <row r="885" spans="1:30" s="22" customFormat="1" ht="60" hidden="1" customHeight="1" x14ac:dyDescent="0.8">
      <c r="A885" s="14">
        <v>2</v>
      </c>
      <c r="B885" s="15">
        <v>26</v>
      </c>
      <c r="C885" s="15">
        <v>263</v>
      </c>
      <c r="D885" s="15">
        <v>2631</v>
      </c>
      <c r="E885" s="15">
        <v>2631</v>
      </c>
      <c r="F885" s="16" t="s">
        <v>1103</v>
      </c>
      <c r="G885" s="17"/>
      <c r="H885" s="17"/>
      <c r="I885" s="33">
        <v>0</v>
      </c>
      <c r="J885" s="33"/>
      <c r="K885" s="33"/>
      <c r="L885" s="33"/>
      <c r="M885" s="33"/>
      <c r="N885" s="33"/>
      <c r="O885" s="33"/>
      <c r="P885" s="33"/>
      <c r="Q885" s="33"/>
      <c r="R885" s="33"/>
      <c r="S885" s="34"/>
      <c r="T885" s="33"/>
      <c r="U885" s="18"/>
      <c r="V885" s="18"/>
      <c r="W885" s="18"/>
      <c r="X885" s="18"/>
      <c r="Y885" s="19" t="s">
        <v>32</v>
      </c>
      <c r="Z885" s="18" t="str">
        <f>A885 &amp; "-" &amp; VLOOKUP(A885,[4]PROGRAMMES!$E$1:$F$7,2,FALSE)</f>
        <v>2-Qualité des enseignements et des apprentissages</v>
      </c>
      <c r="AA885" s="19" t="str">
        <f>B885 &amp; "-" &amp; VLOOKUP(B885,[4]SOUSPROGRAMMES!$E$1:$F$44,2,FALSE)</f>
        <v>26- Examen et évaluation</v>
      </c>
      <c r="AB885" s="19" t="str">
        <f>C885 &amp; "-" &amp; VLOOKUP(C885,[4]RESULTATS!$E$1:$F$176,2,FALSE)</f>
        <v>263- Un document référentiel sur la production et l'utilisation des données des évaluations standardisées est mis en place</v>
      </c>
      <c r="AC885" s="20" t="str">
        <f>D885 &amp; "-" &amp; VLOOKUP(D885,[4]STRATEGIES!$E$1:$F$504,2,FALSE)</f>
        <v>2631-Rédaction du document de référence</v>
      </c>
      <c r="AD885" s="21" t="str">
        <f t="shared" si="162"/>
        <v>2631-Rédaction du document de référence</v>
      </c>
    </row>
    <row r="886" spans="1:30" s="22" customFormat="1" ht="60" hidden="1" customHeight="1" x14ac:dyDescent="0.8">
      <c r="A886" s="14">
        <v>2</v>
      </c>
      <c r="B886" s="15">
        <v>26</v>
      </c>
      <c r="C886" s="15">
        <v>263</v>
      </c>
      <c r="D886" s="15">
        <v>2631</v>
      </c>
      <c r="E886" s="15">
        <v>26311</v>
      </c>
      <c r="F886" s="16" t="s">
        <v>1104</v>
      </c>
      <c r="G886" s="21" t="s">
        <v>321</v>
      </c>
      <c r="H886" s="17" t="s">
        <v>55</v>
      </c>
      <c r="I886" s="33">
        <v>0</v>
      </c>
      <c r="J886" s="33"/>
      <c r="K886" s="33"/>
      <c r="L886" s="33"/>
      <c r="M886" s="33"/>
      <c r="N886" s="33">
        <f>IF(OR(H886="",H886="sif",H886="PM"),0,VLOOKUP(H886,[5]CU!$C$4:$H$255,6,FALSE))</f>
        <v>0</v>
      </c>
      <c r="O886" s="33"/>
      <c r="P886" s="33"/>
      <c r="Q886" s="33"/>
      <c r="R886" s="33"/>
      <c r="S886" s="34"/>
      <c r="T886" s="35" t="s">
        <v>56</v>
      </c>
      <c r="U886" s="18" t="s">
        <v>647</v>
      </c>
      <c r="V886" s="18" t="str">
        <f>IF(OR($H886="",$H886="sif",$H886="PM"),"",VLOOKUP($H886,[5]CU!$C$5:$J$255,8,FALSE))</f>
        <v/>
      </c>
      <c r="W886" s="18" t="s">
        <v>255</v>
      </c>
      <c r="X886" s="18" t="s">
        <v>764</v>
      </c>
      <c r="Y886" s="19" t="s">
        <v>32</v>
      </c>
      <c r="Z886" s="18" t="str">
        <f>A886 &amp; "-" &amp; VLOOKUP(A886,[4]PROGRAMMES!$E$1:$F$7,2,FALSE)</f>
        <v>2-Qualité des enseignements et des apprentissages</v>
      </c>
      <c r="AA886" s="19" t="str">
        <f>B886 &amp; "-" &amp; VLOOKUP(B886,[4]SOUSPROGRAMMES!$E$1:$F$44,2,FALSE)</f>
        <v>26- Examen et évaluation</v>
      </c>
      <c r="AB886" s="19" t="str">
        <f>C886 &amp; "-" &amp; VLOOKUP(C886,[4]RESULTATS!$E$1:$F$176,2,FALSE)</f>
        <v>263- Un document référentiel sur la production et l'utilisation des données des évaluations standardisées est mis en place</v>
      </c>
      <c r="AC886" s="20" t="str">
        <f>D886 &amp; "-" &amp; VLOOKUP(D886,[4]STRATEGIES!$E$1:$F$504,2,FALSE)</f>
        <v>2631-Rédaction du document de référence</v>
      </c>
      <c r="AD886" s="21" t="str">
        <f t="shared" si="162"/>
        <v>26311-Mise en place de l'équipe chargée de l'élaboration du document de référence sur la production et l'utilisation des données des évaluations</v>
      </c>
    </row>
    <row r="887" spans="1:30" s="22" customFormat="1" ht="60" hidden="1" customHeight="1" x14ac:dyDescent="0.8">
      <c r="A887" s="14">
        <v>2</v>
      </c>
      <c r="B887" s="15">
        <v>26</v>
      </c>
      <c r="C887" s="15">
        <v>263</v>
      </c>
      <c r="D887" s="15">
        <v>2631</v>
      </c>
      <c r="E887" s="15">
        <v>26312</v>
      </c>
      <c r="F887" s="16" t="s">
        <v>709</v>
      </c>
      <c r="G887" s="21" t="s">
        <v>100</v>
      </c>
      <c r="H887" s="17" t="s">
        <v>646</v>
      </c>
      <c r="I887" s="33">
        <v>0</v>
      </c>
      <c r="J887" s="33">
        <f>1*10*2</f>
        <v>20</v>
      </c>
      <c r="K887" s="33"/>
      <c r="L887" s="33"/>
      <c r="M887" s="33">
        <f t="shared" ref="M887:M950" si="167">SUM(I887:L887)</f>
        <v>20</v>
      </c>
      <c r="N887" s="33">
        <f>IF(OR(H887="",H887="sif",H887="PM"),0,VLOOKUP(H887,[5]CU!$C$4:$H$255,6,FALSE))</f>
        <v>10.404797</v>
      </c>
      <c r="O887" s="33">
        <f t="shared" ref="O887:R940" si="168">IFERROR($N887*I887,0)</f>
        <v>0</v>
      </c>
      <c r="P887" s="33">
        <f t="shared" si="168"/>
        <v>208.09594000000001</v>
      </c>
      <c r="Q887" s="33">
        <f t="shared" si="168"/>
        <v>0</v>
      </c>
      <c r="R887" s="33">
        <f t="shared" si="168"/>
        <v>0</v>
      </c>
      <c r="S887" s="34">
        <f t="shared" ref="S887:S894" si="169">SUM(O887:R887)</f>
        <v>208.09594000000001</v>
      </c>
      <c r="T887" s="35" t="s">
        <v>39</v>
      </c>
      <c r="U887" s="19" t="s">
        <v>647</v>
      </c>
      <c r="V887" s="19" t="str">
        <f>IF(OR($H887="",$H887="sif",$H887="PM"),"",VLOOKUP($H887,[5]CU!$C$5:$J$255,8,FALSE))</f>
        <v>3. Dépenses de fonctionnement</v>
      </c>
      <c r="W887" s="19" t="s">
        <v>708</v>
      </c>
      <c r="X887" s="19" t="s">
        <v>764</v>
      </c>
      <c r="Y887" s="19" t="s">
        <v>32</v>
      </c>
      <c r="Z887" s="18" t="str">
        <f>A887 &amp; "-" &amp; VLOOKUP(A887,[4]PROGRAMMES!$E$1:$F$7,2,FALSE)</f>
        <v>2-Qualité des enseignements et des apprentissages</v>
      </c>
      <c r="AA887" s="19" t="str">
        <f>B887 &amp; "-" &amp; VLOOKUP(B887,[4]SOUSPROGRAMMES!$E$1:$F$44,2,FALSE)</f>
        <v>26- Examen et évaluation</v>
      </c>
      <c r="AB887" s="19" t="str">
        <f>C887 &amp; "-" &amp; VLOOKUP(C887,[4]RESULTATS!$E$1:$F$176,2,FALSE)</f>
        <v>263- Un document référentiel sur la production et l'utilisation des données des évaluations standardisées est mis en place</v>
      </c>
      <c r="AC887" s="20" t="str">
        <f>D887 &amp; "-" &amp; VLOOKUP(D887,[4]STRATEGIES!$E$1:$F$504,2,FALSE)</f>
        <v>2631-Rédaction du document de référence</v>
      </c>
      <c r="AD887" s="21" t="str">
        <f t="shared" si="162"/>
        <v xml:space="preserve">26312-Recrutement d'une expertise internationale d'appui à l'équipe </v>
      </c>
    </row>
    <row r="888" spans="1:30" s="22" customFormat="1" ht="60" hidden="1" customHeight="1" x14ac:dyDescent="0.8">
      <c r="A888" s="14">
        <v>2</v>
      </c>
      <c r="B888" s="15">
        <v>26</v>
      </c>
      <c r="C888" s="15">
        <v>263</v>
      </c>
      <c r="D888" s="15">
        <v>2631</v>
      </c>
      <c r="E888" s="15">
        <v>26313</v>
      </c>
      <c r="F888" s="16" t="s">
        <v>1105</v>
      </c>
      <c r="G888" s="21" t="s">
        <v>37</v>
      </c>
      <c r="H888" s="17" t="s">
        <v>66</v>
      </c>
      <c r="I888" s="33">
        <v>0</v>
      </c>
      <c r="J888" s="33">
        <f>20*10</f>
        <v>200</v>
      </c>
      <c r="K888" s="33"/>
      <c r="L888" s="33"/>
      <c r="M888" s="33">
        <f t="shared" si="167"/>
        <v>200</v>
      </c>
      <c r="N888" s="33">
        <f>IF(OR(H888="",H888="sif",H888="PM"),0,VLOOKUP(H888,[5]CU!$C$4:$H$255,6,FALSE))</f>
        <v>0.255</v>
      </c>
      <c r="O888" s="33">
        <f t="shared" si="168"/>
        <v>0</v>
      </c>
      <c r="P888" s="33">
        <f t="shared" si="168"/>
        <v>51</v>
      </c>
      <c r="Q888" s="33">
        <f t="shared" si="168"/>
        <v>0</v>
      </c>
      <c r="R888" s="33">
        <f t="shared" si="168"/>
        <v>0</v>
      </c>
      <c r="S888" s="34">
        <f t="shared" si="169"/>
        <v>51</v>
      </c>
      <c r="T888" s="35" t="s">
        <v>39</v>
      </c>
      <c r="U888" s="19" t="s">
        <v>647</v>
      </c>
      <c r="V888" s="19" t="str">
        <f>IF(OR($H888="",$H888="sif",$H888="PM"),"",VLOOKUP($H888,[5]CU!$C$5:$J$255,8,FALSE))</f>
        <v>3. Dépenses de fonctionnement</v>
      </c>
      <c r="W888" s="19" t="s">
        <v>708</v>
      </c>
      <c r="X888" s="19" t="s">
        <v>764</v>
      </c>
      <c r="Y888" s="19" t="s">
        <v>32</v>
      </c>
      <c r="Z888" s="18" t="str">
        <f>A888 &amp; "-" &amp; VLOOKUP(A888,[4]PROGRAMMES!$E$1:$F$7,2,FALSE)</f>
        <v>2-Qualité des enseignements et des apprentissages</v>
      </c>
      <c r="AA888" s="19" t="str">
        <f>B888 &amp; "-" &amp; VLOOKUP(B888,[4]SOUSPROGRAMMES!$E$1:$F$44,2,FALSE)</f>
        <v>26- Examen et évaluation</v>
      </c>
      <c r="AB888" s="19" t="str">
        <f>C888 &amp; "-" &amp; VLOOKUP(C888,[4]RESULTATS!$E$1:$F$176,2,FALSE)</f>
        <v>263- Un document référentiel sur la production et l'utilisation des données des évaluations standardisées est mis en place</v>
      </c>
      <c r="AC888" s="20" t="str">
        <f>D888 &amp; "-" &amp; VLOOKUP(D888,[4]STRATEGIES!$E$1:$F$504,2,FALSE)</f>
        <v>2631-Rédaction du document de référence</v>
      </c>
      <c r="AD888" s="21" t="str">
        <f t="shared" si="162"/>
        <v>26313-Rédaction du document de référentiel sur la production et l'utilisation des données des évaluations avec l'appui de l'expertise</v>
      </c>
    </row>
    <row r="889" spans="1:30" s="22" customFormat="1" ht="60" hidden="1" customHeight="1" x14ac:dyDescent="0.8">
      <c r="A889" s="14">
        <v>2</v>
      </c>
      <c r="B889" s="15">
        <v>26</v>
      </c>
      <c r="C889" s="15">
        <v>263</v>
      </c>
      <c r="D889" s="15">
        <v>2631</v>
      </c>
      <c r="E889" s="15">
        <v>26314</v>
      </c>
      <c r="F889" s="16" t="s">
        <v>1106</v>
      </c>
      <c r="G889" s="21" t="s">
        <v>37</v>
      </c>
      <c r="H889" s="17" t="s">
        <v>38</v>
      </c>
      <c r="I889" s="33">
        <v>0</v>
      </c>
      <c r="J889" s="33">
        <f>30*1</f>
        <v>30</v>
      </c>
      <c r="K889" s="33"/>
      <c r="L889" s="33"/>
      <c r="M889" s="33">
        <f t="shared" si="167"/>
        <v>30</v>
      </c>
      <c r="N889" s="33">
        <f>IF(OR(H889="",H889="sif",H889="PM"),0,VLOOKUP(H889,[5]CU!$C$4:$H$255,6,FALSE))</f>
        <v>0.3133333333333333</v>
      </c>
      <c r="O889" s="33">
        <f t="shared" si="168"/>
        <v>0</v>
      </c>
      <c r="P889" s="33">
        <f t="shared" si="168"/>
        <v>9.3999999999999986</v>
      </c>
      <c r="Q889" s="33">
        <f t="shared" si="168"/>
        <v>0</v>
      </c>
      <c r="R889" s="33">
        <f t="shared" si="168"/>
        <v>0</v>
      </c>
      <c r="S889" s="34">
        <f t="shared" si="169"/>
        <v>9.3999999999999986</v>
      </c>
      <c r="T889" s="35" t="s">
        <v>39</v>
      </c>
      <c r="U889" s="19" t="s">
        <v>647</v>
      </c>
      <c r="V889" s="19" t="str">
        <f>IF(OR($H889="",$H889="sif",$H889="PM"),"",VLOOKUP($H889,[5]CU!$C$5:$J$255,8,FALSE))</f>
        <v>3. Formation</v>
      </c>
      <c r="W889" s="19" t="s">
        <v>708</v>
      </c>
      <c r="X889" s="19" t="s">
        <v>764</v>
      </c>
      <c r="Y889" s="19" t="s">
        <v>32</v>
      </c>
      <c r="Z889" s="18" t="str">
        <f>A889 &amp; "-" &amp; VLOOKUP(A889,[4]PROGRAMMES!$E$1:$F$7,2,FALSE)</f>
        <v>2-Qualité des enseignements et des apprentissages</v>
      </c>
      <c r="AA889" s="19" t="str">
        <f>B889 &amp; "-" &amp; VLOOKUP(B889,[4]SOUSPROGRAMMES!$E$1:$F$44,2,FALSE)</f>
        <v>26- Examen et évaluation</v>
      </c>
      <c r="AB889" s="19" t="str">
        <f>C889 &amp; "-" &amp; VLOOKUP(C889,[4]RESULTATS!$E$1:$F$176,2,FALSE)</f>
        <v>263- Un document référentiel sur la production et l'utilisation des données des évaluations standardisées est mis en place</v>
      </c>
      <c r="AC889" s="20" t="str">
        <f>D889 &amp; "-" &amp; VLOOKUP(D889,[4]STRATEGIES!$E$1:$F$504,2,FALSE)</f>
        <v>2631-Rédaction du document de référence</v>
      </c>
      <c r="AD889" s="21" t="str">
        <f t="shared" si="162"/>
        <v>26314-Validation du document</v>
      </c>
    </row>
    <row r="890" spans="1:30" s="22" customFormat="1" ht="60" hidden="1" customHeight="1" x14ac:dyDescent="0.8">
      <c r="A890" s="14">
        <v>2</v>
      </c>
      <c r="B890" s="15">
        <v>26</v>
      </c>
      <c r="C890" s="15">
        <v>263</v>
      </c>
      <c r="D890" s="15">
        <v>2631</v>
      </c>
      <c r="E890" s="15">
        <v>26315</v>
      </c>
      <c r="F890" s="16" t="s">
        <v>1107</v>
      </c>
      <c r="G890" s="21" t="s">
        <v>1108</v>
      </c>
      <c r="H890" s="17" t="s">
        <v>816</v>
      </c>
      <c r="I890" s="33">
        <v>0</v>
      </c>
      <c r="J890" s="33"/>
      <c r="K890" s="33">
        <f>38+426+8+60</f>
        <v>532</v>
      </c>
      <c r="L890" s="33"/>
      <c r="M890" s="33">
        <f t="shared" si="167"/>
        <v>532</v>
      </c>
      <c r="N890" s="33">
        <f>IF(OR(H890="",H890="sif",H890="PM"),0,VLOOKUP(H890,[5]CU!$C$4:$H$255,6,FALSE))</f>
        <v>7.4999999999999997E-3</v>
      </c>
      <c r="O890" s="33">
        <f t="shared" si="168"/>
        <v>0</v>
      </c>
      <c r="P890" s="33">
        <f t="shared" si="168"/>
        <v>0</v>
      </c>
      <c r="Q890" s="33">
        <f t="shared" si="168"/>
        <v>3.9899999999999998</v>
      </c>
      <c r="R890" s="33">
        <f t="shared" si="168"/>
        <v>0</v>
      </c>
      <c r="S890" s="34">
        <f t="shared" si="169"/>
        <v>3.9899999999999998</v>
      </c>
      <c r="T890" s="35" t="s">
        <v>39</v>
      </c>
      <c r="U890" s="19" t="s">
        <v>647</v>
      </c>
      <c r="V890" s="19" t="str">
        <f>IF(OR($H890="",$H890="sif",$H890="PM"),"",VLOOKUP($H890,[5]CU!$C$5:$J$255,8,FALSE))</f>
        <v>3. Dépenses de fonctionnement</v>
      </c>
      <c r="W890" s="19" t="s">
        <v>764</v>
      </c>
      <c r="X890" s="19" t="s">
        <v>708</v>
      </c>
      <c r="Y890" s="19" t="s">
        <v>32</v>
      </c>
      <c r="Z890" s="18" t="str">
        <f>A890 &amp; "-" &amp; VLOOKUP(A890,[4]PROGRAMMES!$E$1:$F$7,2,FALSE)</f>
        <v>2-Qualité des enseignements et des apprentissages</v>
      </c>
      <c r="AA890" s="19" t="str">
        <f>B890 &amp; "-" &amp; VLOOKUP(B890,[4]SOUSPROGRAMMES!$E$1:$F$44,2,FALSE)</f>
        <v>26- Examen et évaluation</v>
      </c>
      <c r="AB890" s="19" t="str">
        <f>C890 &amp; "-" &amp; VLOOKUP(C890,[4]RESULTATS!$E$1:$F$176,2,FALSE)</f>
        <v>263- Un document référentiel sur la production et l'utilisation des données des évaluations standardisées est mis en place</v>
      </c>
      <c r="AC890" s="20" t="str">
        <f>D890 &amp; "-" &amp; VLOOKUP(D890,[4]STRATEGIES!$E$1:$F$504,2,FALSE)</f>
        <v>2631-Rédaction du document de référence</v>
      </c>
      <c r="AD890" s="21" t="str">
        <f t="shared" si="162"/>
        <v>26315-Partage du document au niveau central et déconcentré</v>
      </c>
    </row>
    <row r="891" spans="1:30" s="22" customFormat="1" ht="30" hidden="1" customHeight="1" x14ac:dyDescent="0.8">
      <c r="A891" s="14">
        <v>2</v>
      </c>
      <c r="B891" s="15">
        <v>26</v>
      </c>
      <c r="C891" s="15">
        <v>264</v>
      </c>
      <c r="D891" s="15">
        <v>264</v>
      </c>
      <c r="E891" s="15">
        <v>264</v>
      </c>
      <c r="F891" s="16" t="s">
        <v>1109</v>
      </c>
      <c r="G891" s="17"/>
      <c r="H891" s="17"/>
      <c r="I891" s="33">
        <v>0</v>
      </c>
      <c r="J891" s="33"/>
      <c r="K891" s="33"/>
      <c r="L891" s="33"/>
      <c r="M891" s="33"/>
      <c r="N891" s="33"/>
      <c r="O891" s="33"/>
      <c r="P891" s="33"/>
      <c r="Q891" s="33"/>
      <c r="R891" s="33"/>
      <c r="S891" s="34"/>
      <c r="T891" s="33"/>
      <c r="U891" s="18"/>
      <c r="V891" s="18"/>
      <c r="W891" s="18"/>
      <c r="X891" s="18"/>
      <c r="Y891" s="19" t="s">
        <v>32</v>
      </c>
      <c r="Z891" s="18" t="str">
        <f>A891 &amp; "-" &amp; VLOOKUP(A891,[4]PROGRAMMES!$E$1:$F$7,2,FALSE)</f>
        <v>2-Qualité des enseignements et des apprentissages</v>
      </c>
      <c r="AA891" s="19" t="str">
        <f>B891 &amp; "-" &amp; VLOOKUP(B891,[4]SOUSPROGRAMMES!$E$1:$F$44,2,FALSE)</f>
        <v>26- Examen et évaluation</v>
      </c>
      <c r="AB891" s="19" t="str">
        <f>C891 &amp; "-" &amp; VLOOKUP(C891,[4]RESULTATS!$E$1:$F$176,2,FALSE)</f>
        <v>264- Les capacités des enseignants en méthodes d'évaluation sont renforcés</v>
      </c>
      <c r="AC891" s="20" t="str">
        <f>D891 &amp; "-" &amp; VLOOKUP(D891,[4]STRATEGIES!$E$1:$F$504,2,FALSE)</f>
        <v>264- Les capacités des enseignants en méthodes d'évaluation sont renforcés</v>
      </c>
      <c r="AD891" s="21" t="str">
        <f t="shared" si="162"/>
        <v>264- Les capacités des enseignants en méthodes d'évaluation sont renforcés</v>
      </c>
    </row>
    <row r="892" spans="1:30" s="22" customFormat="1" ht="30" hidden="1" customHeight="1" x14ac:dyDescent="0.8">
      <c r="A892" s="14">
        <v>2</v>
      </c>
      <c r="B892" s="15">
        <v>26</v>
      </c>
      <c r="C892" s="15">
        <v>264</v>
      </c>
      <c r="D892" s="15">
        <v>2641</v>
      </c>
      <c r="E892" s="15">
        <v>2641</v>
      </c>
      <c r="F892" s="16" t="s">
        <v>1110</v>
      </c>
      <c r="G892" s="17"/>
      <c r="H892" s="17"/>
      <c r="I892" s="33">
        <v>0</v>
      </c>
      <c r="J892" s="33"/>
      <c r="K892" s="33"/>
      <c r="L892" s="33"/>
      <c r="M892" s="33"/>
      <c r="N892" s="33"/>
      <c r="O892" s="33"/>
      <c r="P892" s="33"/>
      <c r="Q892" s="33"/>
      <c r="R892" s="33"/>
      <c r="S892" s="34"/>
      <c r="T892" s="33"/>
      <c r="U892" s="18"/>
      <c r="V892" s="18"/>
      <c r="W892" s="18"/>
      <c r="X892" s="18"/>
      <c r="Y892" s="19" t="s">
        <v>32</v>
      </c>
      <c r="Z892" s="18" t="str">
        <f>A892 &amp; "-" &amp; VLOOKUP(A892,[4]PROGRAMMES!$E$1:$F$7,2,FALSE)</f>
        <v>2-Qualité des enseignements et des apprentissages</v>
      </c>
      <c r="AA892" s="19" t="str">
        <f>B892 &amp; "-" &amp; VLOOKUP(B892,[4]SOUSPROGRAMMES!$E$1:$F$44,2,FALSE)</f>
        <v>26- Examen et évaluation</v>
      </c>
      <c r="AB892" s="19" t="str">
        <f>C892 &amp; "-" &amp; VLOOKUP(C892,[4]RESULTATS!$E$1:$F$176,2,FALSE)</f>
        <v>264- Les capacités des enseignants en méthodes d'évaluation sont renforcés</v>
      </c>
      <c r="AC892" s="20" t="str">
        <f>D892 &amp; "-" &amp; VLOOKUP(D892,[4]STRATEGIES!$E$1:$F$504,2,FALSE)</f>
        <v>2641-Formation des enseignants en conception d'items/épreuves et en notation (docimologie)</v>
      </c>
      <c r="AD892" s="21" t="str">
        <f t="shared" si="162"/>
        <v>2641-Formation des enseignants en conception d'items/épreuves et en notation (docimologie)</v>
      </c>
    </row>
    <row r="893" spans="1:30" ht="45" hidden="1" customHeight="1" x14ac:dyDescent="0.8">
      <c r="A893" s="25">
        <v>2</v>
      </c>
      <c r="B893" s="16">
        <v>26</v>
      </c>
      <c r="C893" s="16">
        <v>264</v>
      </c>
      <c r="D893" s="16">
        <v>2641</v>
      </c>
      <c r="E893" s="16">
        <v>26411</v>
      </c>
      <c r="F893" s="16" t="s">
        <v>1111</v>
      </c>
      <c r="G893" s="21" t="s">
        <v>436</v>
      </c>
      <c r="H893" s="21" t="s">
        <v>301</v>
      </c>
      <c r="I893" s="36">
        <v>0</v>
      </c>
      <c r="J893" s="36"/>
      <c r="K893" s="36">
        <f>40*4</f>
        <v>160</v>
      </c>
      <c r="L893" s="36"/>
      <c r="M893" s="36">
        <f t="shared" si="167"/>
        <v>160</v>
      </c>
      <c r="N893" s="36">
        <f>IF(OR(H893="",H893="sif",H893="PM"),0,VLOOKUP(H893,[5]CU!$C$4:$H$255,6,FALSE))</f>
        <v>0.67666666666666664</v>
      </c>
      <c r="O893" s="36">
        <f t="shared" si="168"/>
        <v>0</v>
      </c>
      <c r="P893" s="36">
        <f t="shared" si="168"/>
        <v>0</v>
      </c>
      <c r="Q893" s="36">
        <f t="shared" si="168"/>
        <v>108.26666666666667</v>
      </c>
      <c r="R893" s="36">
        <f t="shared" si="168"/>
        <v>0</v>
      </c>
      <c r="S893" s="37">
        <f t="shared" si="169"/>
        <v>108.26666666666667</v>
      </c>
      <c r="T893" s="38" t="s">
        <v>169</v>
      </c>
      <c r="U893" s="19" t="s">
        <v>647</v>
      </c>
      <c r="V893" s="19" t="str">
        <f>IF(OR($H893="",$H893="sif",$H893="PM"),"",VLOOKUP($H893,[5]CU!$C$5:$J$255,8,FALSE))</f>
        <v>3. Formation</v>
      </c>
      <c r="W893" s="19" t="s">
        <v>764</v>
      </c>
      <c r="X893" s="19" t="s">
        <v>1112</v>
      </c>
      <c r="Y893" s="19" t="s">
        <v>32</v>
      </c>
      <c r="Z893" s="19" t="str">
        <f>A893 &amp; "-" &amp; VLOOKUP(A893,[4]PROGRAMMES!$E$1:$F$7,2,FALSE)</f>
        <v>2-Qualité des enseignements et des apprentissages</v>
      </c>
      <c r="AA893" s="19" t="str">
        <f>B893 &amp; "-" &amp; VLOOKUP(B893,[4]SOUSPROGRAMMES!$E$1:$F$44,2,FALSE)</f>
        <v>26- Examen et évaluation</v>
      </c>
      <c r="AB893" s="19" t="str">
        <f>C893 &amp; "-" &amp; VLOOKUP(C893,[4]RESULTATS!$E$1:$F$176,2,FALSE)</f>
        <v>264- Les capacités des enseignants en méthodes d'évaluation sont renforcés</v>
      </c>
      <c r="AC893" s="20" t="str">
        <f>D893 &amp; "-" &amp; VLOOKUP(D893,[4]STRATEGIES!$E$1:$F$504,2,FALSE)</f>
        <v>2641-Formation des enseignants en conception d'items/épreuves et en notation (docimologie)</v>
      </c>
      <c r="AD893" s="21" t="str">
        <f t="shared" si="162"/>
        <v>26411-Formation des cadres du niveau central et déconcentré en docimologie</v>
      </c>
    </row>
    <row r="894" spans="1:30" ht="45" hidden="1" customHeight="1" x14ac:dyDescent="0.8">
      <c r="A894" s="25">
        <v>2</v>
      </c>
      <c r="B894" s="16">
        <v>26</v>
      </c>
      <c r="C894" s="16">
        <v>264</v>
      </c>
      <c r="D894" s="16">
        <v>2641</v>
      </c>
      <c r="E894" s="16">
        <v>26412</v>
      </c>
      <c r="F894" s="16" t="s">
        <v>1113</v>
      </c>
      <c r="G894" s="21" t="s">
        <v>436</v>
      </c>
      <c r="H894" s="21" t="s">
        <v>352</v>
      </c>
      <c r="I894" s="36">
        <v>0</v>
      </c>
      <c r="J894" s="36"/>
      <c r="K894" s="36">
        <f>30*5*2</f>
        <v>300</v>
      </c>
      <c r="L894" s="36">
        <f>50*5*2*1</f>
        <v>500</v>
      </c>
      <c r="M894" s="36">
        <f t="shared" si="167"/>
        <v>800</v>
      </c>
      <c r="N894" s="36">
        <f>IF(OR(H894="",H894="sif",H894="PM"),0,VLOOKUP(H894,[5]CU!$C$4:$H$255,6,FALSE))</f>
        <v>0.54600000000000004</v>
      </c>
      <c r="O894" s="36">
        <f t="shared" si="168"/>
        <v>0</v>
      </c>
      <c r="P894" s="36">
        <f t="shared" si="168"/>
        <v>0</v>
      </c>
      <c r="Q894" s="36">
        <f t="shared" si="168"/>
        <v>163.80000000000001</v>
      </c>
      <c r="R894" s="36">
        <f t="shared" si="168"/>
        <v>273</v>
      </c>
      <c r="S894" s="37">
        <f t="shared" si="169"/>
        <v>436.8</v>
      </c>
      <c r="T894" s="38" t="s">
        <v>169</v>
      </c>
      <c r="U894" s="19" t="s">
        <v>647</v>
      </c>
      <c r="V894" s="19" t="str">
        <f>IF(OR($H894="",$H894="sif",$H894="PM"),"",VLOOKUP($H894,[5]CU!$C$5:$J$255,8,FALSE))</f>
        <v>3. Formation</v>
      </c>
      <c r="W894" s="19" t="s">
        <v>764</v>
      </c>
      <c r="X894" s="19" t="s">
        <v>1114</v>
      </c>
      <c r="Y894" s="19" t="s">
        <v>32</v>
      </c>
      <c r="Z894" s="19" t="str">
        <f>A894 &amp; "-" &amp; VLOOKUP(A894,[4]PROGRAMMES!$E$1:$F$7,2,FALSE)</f>
        <v>2-Qualité des enseignements et des apprentissages</v>
      </c>
      <c r="AA894" s="19" t="str">
        <f>B894 &amp; "-" &amp; VLOOKUP(B894,[4]SOUSPROGRAMMES!$E$1:$F$44,2,FALSE)</f>
        <v>26- Examen et évaluation</v>
      </c>
      <c r="AB894" s="19" t="str">
        <f>C894 &amp; "-" &amp; VLOOKUP(C894,[4]RESULTATS!$E$1:$F$176,2,FALSE)</f>
        <v>264- Les capacités des enseignants en méthodes d'évaluation sont renforcés</v>
      </c>
      <c r="AC894" s="20" t="str">
        <f>D894 &amp; "-" &amp; VLOOKUP(D894,[4]STRATEGIES!$E$1:$F$504,2,FALSE)</f>
        <v>2641-Formation des enseignants en conception d'items/épreuves et en notation (docimologie)</v>
      </c>
      <c r="AD894" s="21" t="str">
        <f t="shared" si="162"/>
        <v xml:space="preserve">26412-Duplication des formations auprès des enseignants correcteurs par les responsables des évaluations au niveau déconcentré </v>
      </c>
    </row>
    <row r="895" spans="1:30" s="22" customFormat="1" ht="45" hidden="1" customHeight="1" x14ac:dyDescent="0.8">
      <c r="A895" s="14">
        <v>2</v>
      </c>
      <c r="B895" s="15">
        <v>27</v>
      </c>
      <c r="C895" s="15">
        <v>27</v>
      </c>
      <c r="D895" s="15">
        <v>27</v>
      </c>
      <c r="E895" s="15">
        <v>27</v>
      </c>
      <c r="F895" s="16" t="s">
        <v>1115</v>
      </c>
      <c r="G895" s="17"/>
      <c r="H895" s="17"/>
      <c r="I895" s="33">
        <v>0</v>
      </c>
      <c r="J895" s="33"/>
      <c r="K895" s="33"/>
      <c r="L895" s="33"/>
      <c r="M895" s="33"/>
      <c r="N895" s="33"/>
      <c r="O895" s="33"/>
      <c r="P895" s="33"/>
      <c r="Q895" s="33"/>
      <c r="R895" s="33"/>
      <c r="S895" s="34"/>
      <c r="T895" s="33"/>
      <c r="U895" s="18"/>
      <c r="V895" s="18"/>
      <c r="W895" s="18"/>
      <c r="X895" s="18"/>
      <c r="Y895" s="19" t="s">
        <v>32</v>
      </c>
      <c r="Z895" s="18" t="str">
        <f>A895 &amp; "-" &amp; VLOOKUP(A895,[4]PROGRAMMES!$E$1:$F$7,2,FALSE)</f>
        <v>2-Qualité des enseignements et des apprentissages</v>
      </c>
      <c r="AA895" s="19" t="str">
        <f>B895 &amp; "-" &amp; VLOOKUP(B895,[4]SOUSPROGRAMMES!$E$1:$F$44,2,FALSE)</f>
        <v>27- Introduction de l'enseignement bilingue Français-langues nationales au primaire</v>
      </c>
      <c r="AB895" s="19" t="str">
        <f>C895 &amp; "-" &amp; VLOOKUP(C895,[4]RESULTATS!$E$1:$F$176,2,FALSE)</f>
        <v>27- Introduction de l'enseignement bilingue Français-langues nationales au primaire</v>
      </c>
      <c r="AC895" s="20" t="str">
        <f>D895 &amp; "-" &amp; VLOOKUP(D895,[4]STRATEGIES!$E$1:$F$504,2,FALSE)</f>
        <v>27- Introduction de l'enseignement bilingue Français-langues nationales au primaire</v>
      </c>
      <c r="AD895" s="21" t="str">
        <f t="shared" si="162"/>
        <v>27- Introduction de l'enseignement bilingue Français-langues nationales au primaire</v>
      </c>
    </row>
    <row r="896" spans="1:30" s="22" customFormat="1" ht="105" hidden="1" customHeight="1" x14ac:dyDescent="0.8">
      <c r="A896" s="14">
        <v>2</v>
      </c>
      <c r="B896" s="15">
        <v>27</v>
      </c>
      <c r="C896" s="15">
        <v>271</v>
      </c>
      <c r="D896" s="15">
        <v>271</v>
      </c>
      <c r="E896" s="15">
        <v>271</v>
      </c>
      <c r="F896" s="16" t="s">
        <v>1116</v>
      </c>
      <c r="G896" s="17"/>
      <c r="H896" s="17"/>
      <c r="I896" s="33">
        <v>0</v>
      </c>
      <c r="J896" s="33"/>
      <c r="K896" s="33"/>
      <c r="L896" s="33"/>
      <c r="M896" s="33"/>
      <c r="N896" s="33"/>
      <c r="O896" s="33"/>
      <c r="P896" s="33"/>
      <c r="Q896" s="33"/>
      <c r="R896" s="33"/>
      <c r="S896" s="34"/>
      <c r="T896" s="33"/>
      <c r="U896" s="18"/>
      <c r="V896" s="18"/>
      <c r="W896" s="18"/>
      <c r="X896" s="18"/>
      <c r="Y896" s="19" t="s">
        <v>32</v>
      </c>
      <c r="Z896" s="18" t="str">
        <f>A896 &amp; "-" &amp; VLOOKUP(A896,[4]PROGRAMMES!$E$1:$F$7,2,FALSE)</f>
        <v>2-Qualité des enseignements et des apprentissages</v>
      </c>
      <c r="AA896" s="19" t="str">
        <f>B896 &amp; "-" &amp; VLOOKUP(B896,[4]SOUSPROGRAMMES!$E$1:$F$44,2,FALSE)</f>
        <v>27- Introduction de l'enseignement bilingue Français-langues nationales au primaire</v>
      </c>
      <c r="AB896" s="19" t="str">
        <f>C896 &amp; "-" &amp; VLOOKUP(C896,[4]RESULTATS!$E$1:$F$176,2,FALSE)</f>
        <v>271- Les résultats de la phase pilote sont capitalisés pour identifier les stratégies d’utilisation des langues nationales dans l’enseignement et l’apprentissageUne instance de pilotage de la réforme du bilinguisme est opérationnelle</v>
      </c>
      <c r="AC896" s="20" t="str">
        <f>D896 &amp; "-" &amp; VLOOKUP(D896,[4]STRATEGIES!$E$1:$F$504,2,FALSE)</f>
        <v>271- Les résultats de la phase pilote sont capitalisés pour identifier les stratégies d’utilisation des langues nationales dans l’enseignement et l’apprentissageUne instance de pilotage de la réforme du bilinguisme est opérationnelle</v>
      </c>
      <c r="AD896" s="21" t="str">
        <f t="shared" si="162"/>
        <v>271- Les résultats de la phase pilote sont capitalisés pour identifier les stratégies d’utilisation des langues nationales dans l’enseignement et l’apprentissageUne instance de pilotage de la réforme du bilinguisme est opérationnelle</v>
      </c>
    </row>
    <row r="897" spans="1:30" s="22" customFormat="1" ht="105" hidden="1" customHeight="1" x14ac:dyDescent="0.8">
      <c r="A897" s="14">
        <v>2</v>
      </c>
      <c r="B897" s="15">
        <v>27</v>
      </c>
      <c r="C897" s="15">
        <v>271</v>
      </c>
      <c r="D897" s="15">
        <v>2711</v>
      </c>
      <c r="E897" s="15">
        <v>2711</v>
      </c>
      <c r="F897" s="16" t="s">
        <v>1117</v>
      </c>
      <c r="G897" s="17"/>
      <c r="H897" s="17"/>
      <c r="I897" s="33">
        <v>0</v>
      </c>
      <c r="J897" s="33"/>
      <c r="K897" s="33"/>
      <c r="L897" s="33"/>
      <c r="M897" s="33"/>
      <c r="N897" s="33"/>
      <c r="O897" s="33"/>
      <c r="P897" s="33"/>
      <c r="Q897" s="33"/>
      <c r="R897" s="33"/>
      <c r="S897" s="34"/>
      <c r="T897" s="33"/>
      <c r="U897" s="18"/>
      <c r="V897" s="18"/>
      <c r="W897" s="18"/>
      <c r="X897" s="18"/>
      <c r="Y897" s="19" t="s">
        <v>32</v>
      </c>
      <c r="Z897" s="18" t="str">
        <f>A897 &amp; "-" &amp; VLOOKUP(A897,[4]PROGRAMMES!$E$1:$F$7,2,FALSE)</f>
        <v>2-Qualité des enseignements et des apprentissages</v>
      </c>
      <c r="AA897" s="19" t="str">
        <f>B897 &amp; "-" &amp; VLOOKUP(B897,[4]SOUSPROGRAMMES!$E$1:$F$44,2,FALSE)</f>
        <v>27- Introduction de l'enseignement bilingue Français-langues nationales au primaire</v>
      </c>
      <c r="AB897" s="19" t="str">
        <f>C897 &amp; "-" &amp; VLOOKUP(C897,[4]RESULTATS!$E$1:$F$176,2,FALSE)</f>
        <v>271- Les résultats de la phase pilote sont capitalisés pour identifier les stratégies d’utilisation des langues nationales dans l’enseignement et l’apprentissageUne instance de pilotage de la réforme du bilinguisme est opérationnelle</v>
      </c>
      <c r="AC897" s="20" t="str">
        <f>D897 &amp; "-" &amp; VLOOKUP(D897,[4]STRATEGIES!$E$1:$F$504,2,FALSE)</f>
        <v>2711-Recomposition de l'instance de pilotage de la réforme du bilinguisme</v>
      </c>
      <c r="AD897" s="21" t="str">
        <f t="shared" si="162"/>
        <v>2711-Recomposition de l'instance de pilotage de la réforme du bilinguisme</v>
      </c>
    </row>
    <row r="898" spans="1:30" s="22" customFormat="1" ht="105" hidden="1" customHeight="1" x14ac:dyDescent="0.8">
      <c r="A898" s="14">
        <v>2</v>
      </c>
      <c r="B898" s="15">
        <v>27</v>
      </c>
      <c r="C898" s="15">
        <v>271</v>
      </c>
      <c r="D898" s="15">
        <v>2711</v>
      </c>
      <c r="E898" s="15">
        <v>27111</v>
      </c>
      <c r="F898" s="16" t="s">
        <v>1118</v>
      </c>
      <c r="G898" s="21" t="s">
        <v>1119</v>
      </c>
      <c r="H898" s="17" t="s">
        <v>55</v>
      </c>
      <c r="I898" s="33">
        <v>0</v>
      </c>
      <c r="J898" s="33"/>
      <c r="K898" s="33"/>
      <c r="L898" s="33"/>
      <c r="M898" s="33">
        <f t="shared" si="167"/>
        <v>0</v>
      </c>
      <c r="N898" s="33">
        <f>IF(OR(H898="",H898="sif",H898="PM"),0,VLOOKUP(H898,[5]CU!$C$4:$H$255,6,FALSE))</f>
        <v>0</v>
      </c>
      <c r="O898" s="33">
        <f t="shared" si="168"/>
        <v>0</v>
      </c>
      <c r="P898" s="33">
        <f t="shared" si="168"/>
        <v>0</v>
      </c>
      <c r="Q898" s="33">
        <f t="shared" si="168"/>
        <v>0</v>
      </c>
      <c r="R898" s="33">
        <f t="shared" si="168"/>
        <v>0</v>
      </c>
      <c r="S898" s="34"/>
      <c r="T898" s="35" t="s">
        <v>56</v>
      </c>
      <c r="U898" s="18" t="s">
        <v>330</v>
      </c>
      <c r="V898" s="18" t="str">
        <f>IF(OR($H898="",$H898="sif",$H898="PM"),"",VLOOKUP($H898,[5]CU!$C$5:$J$255,8,FALSE))</f>
        <v/>
      </c>
      <c r="W898" s="18" t="s">
        <v>1120</v>
      </c>
      <c r="X898" s="18" t="s">
        <v>192</v>
      </c>
      <c r="Y898" s="19" t="s">
        <v>32</v>
      </c>
      <c r="Z898" s="18" t="str">
        <f>A898 &amp; "-" &amp; VLOOKUP(A898,[4]PROGRAMMES!$E$1:$F$7,2,FALSE)</f>
        <v>2-Qualité des enseignements et des apprentissages</v>
      </c>
      <c r="AA898" s="19" t="str">
        <f>B898 &amp; "-" &amp; VLOOKUP(B898,[4]SOUSPROGRAMMES!$E$1:$F$44,2,FALSE)</f>
        <v>27- Introduction de l'enseignement bilingue Français-langues nationales au primaire</v>
      </c>
      <c r="AB898" s="19" t="str">
        <f>C898 &amp; "-" &amp; VLOOKUP(C898,[4]RESULTATS!$E$1:$F$176,2,FALSE)</f>
        <v>271- Les résultats de la phase pilote sont capitalisés pour identifier les stratégies d’utilisation des langues nationales dans l’enseignement et l’apprentissageUne instance de pilotage de la réforme du bilinguisme est opérationnelle</v>
      </c>
      <c r="AC898" s="20" t="str">
        <f>D898 &amp; "-" &amp; VLOOKUP(D898,[4]STRATEGIES!$E$1:$F$504,2,FALSE)</f>
        <v>2711-Recomposition de l'instance de pilotage de la réforme du bilinguisme</v>
      </c>
      <c r="AD898" s="21" t="str">
        <f t="shared" si="162"/>
        <v xml:space="preserve">27111-Création d’une instance de pilotage de la réforme des langues nationales </v>
      </c>
    </row>
    <row r="899" spans="1:30" s="22" customFormat="1" ht="105" hidden="1" customHeight="1" x14ac:dyDescent="0.8">
      <c r="A899" s="14">
        <v>2</v>
      </c>
      <c r="B899" s="15">
        <v>27</v>
      </c>
      <c r="C899" s="15">
        <v>271</v>
      </c>
      <c r="D899" s="15">
        <v>2711</v>
      </c>
      <c r="E899" s="15">
        <v>27112</v>
      </c>
      <c r="F899" s="16" t="s">
        <v>1121</v>
      </c>
      <c r="G899" s="21" t="s">
        <v>1122</v>
      </c>
      <c r="H899" s="17" t="s">
        <v>1123</v>
      </c>
      <c r="I899" s="33">
        <v>0</v>
      </c>
      <c r="J899" s="33"/>
      <c r="K899" s="33"/>
      <c r="L899" s="33"/>
      <c r="M899" s="33">
        <f>SUM(I899:L899)</f>
        <v>0</v>
      </c>
      <c r="N899" s="33">
        <f>IF(OR(H899="",H899="sif",H899="PM"),0,VLOOKUP(H899,[5]CU!$C$4:$H$255,6,FALSE))</f>
        <v>327.75</v>
      </c>
      <c r="O899" s="33">
        <f>IFERROR($N899*I899,0)</f>
        <v>0</v>
      </c>
      <c r="P899" s="33">
        <f>IFERROR($N899*J899,0)</f>
        <v>0</v>
      </c>
      <c r="Q899" s="33">
        <f>IFERROR($N899*K899,0)</f>
        <v>0</v>
      </c>
      <c r="R899" s="33">
        <f>IFERROR($N899*L899,0)</f>
        <v>0</v>
      </c>
      <c r="S899" s="34">
        <f>SUM(O899:R899)</f>
        <v>0</v>
      </c>
      <c r="T899" s="35" t="s">
        <v>67</v>
      </c>
      <c r="U899" s="18" t="s">
        <v>330</v>
      </c>
      <c r="V899" s="18" t="str">
        <f>IF(OR($H899="",$H899="sif",$H899="PM"),"",VLOOKUP($H899,[5]CU!$C$5:$J$255,8,FALSE))</f>
        <v>3. Manuels scolaires et matériels pédagogiques</v>
      </c>
      <c r="W899" s="18" t="s">
        <v>255</v>
      </c>
      <c r="X899" s="18" t="s">
        <v>192</v>
      </c>
      <c r="Y899" s="19" t="s">
        <v>32</v>
      </c>
      <c r="Z899" s="18" t="str">
        <f>A899 &amp; "-" &amp; VLOOKUP(A899,[4]PROGRAMMES!$E$1:$F$7,2,FALSE)</f>
        <v>2-Qualité des enseignements et des apprentissages</v>
      </c>
      <c r="AA899" s="19" t="str">
        <f>B899 &amp; "-" &amp; VLOOKUP(B899,[4]SOUSPROGRAMMES!$E$1:$F$44,2,FALSE)</f>
        <v>27- Introduction de l'enseignement bilingue Français-langues nationales au primaire</v>
      </c>
      <c r="AB899" s="19" t="str">
        <f>C899 &amp; "-" &amp; VLOOKUP(C899,[4]RESULTATS!$E$1:$F$176,2,FALSE)</f>
        <v>271- Les résultats de la phase pilote sont capitalisés pour identifier les stratégies d’utilisation des langues nationales dans l’enseignement et l’apprentissageUne instance de pilotage de la réforme du bilinguisme est opérationnelle</v>
      </c>
      <c r="AC899" s="20" t="str">
        <f>D899 &amp; "-" &amp; VLOOKUP(D899,[4]STRATEGIES!$E$1:$F$504,2,FALSE)</f>
        <v>2711-Recomposition de l'instance de pilotage de la réforme du bilinguisme</v>
      </c>
      <c r="AD899" s="21" t="str">
        <f t="shared" si="162"/>
        <v>27112-Poursuite de la mise en œuvre de la phase pilote actuelle</v>
      </c>
    </row>
    <row r="900" spans="1:30" s="22" customFormat="1" ht="105" hidden="1" customHeight="1" x14ac:dyDescent="0.8">
      <c r="A900" s="14">
        <v>2</v>
      </c>
      <c r="B900" s="15">
        <v>27</v>
      </c>
      <c r="C900" s="15">
        <v>271</v>
      </c>
      <c r="D900" s="15">
        <v>2711</v>
      </c>
      <c r="E900" s="15">
        <v>27112</v>
      </c>
      <c r="F900" s="16" t="s">
        <v>1121</v>
      </c>
      <c r="G900" s="21" t="s">
        <v>1122</v>
      </c>
      <c r="H900" s="17" t="s">
        <v>1123</v>
      </c>
      <c r="I900" s="33">
        <v>0</v>
      </c>
      <c r="J900" s="33">
        <v>10</v>
      </c>
      <c r="K900" s="33">
        <v>20</v>
      </c>
      <c r="L900" s="33">
        <v>25</v>
      </c>
      <c r="M900" s="33">
        <f t="shared" si="167"/>
        <v>55</v>
      </c>
      <c r="N900" s="33">
        <f>IF(OR(H900="",H900="sif",H900="PM"),0,VLOOKUP(H900,[5]CU!$C$4:$H$255,6,FALSE))</f>
        <v>327.75</v>
      </c>
      <c r="O900" s="33">
        <f t="shared" si="168"/>
        <v>0</v>
      </c>
      <c r="P900" s="33">
        <f t="shared" si="168"/>
        <v>3277.5</v>
      </c>
      <c r="Q900" s="33">
        <f t="shared" si="168"/>
        <v>6555</v>
      </c>
      <c r="R900" s="33">
        <f t="shared" si="168"/>
        <v>8193.75</v>
      </c>
      <c r="S900" s="34">
        <f>SUM(O900:R900)</f>
        <v>18026.25</v>
      </c>
      <c r="T900" s="35" t="s">
        <v>56</v>
      </c>
      <c r="U900" s="18" t="s">
        <v>330</v>
      </c>
      <c r="V900" s="18" t="str">
        <f>IF(OR($H900="",$H900="sif",$H900="PM"),"",VLOOKUP($H900,[5]CU!$C$5:$J$255,8,FALSE))</f>
        <v>3. Manuels scolaires et matériels pédagogiques</v>
      </c>
      <c r="W900" s="18" t="s">
        <v>255</v>
      </c>
      <c r="X900" s="18" t="s">
        <v>192</v>
      </c>
      <c r="Y900" s="19" t="s">
        <v>32</v>
      </c>
      <c r="Z900" s="18" t="str">
        <f>A900 &amp; "-" &amp; VLOOKUP(A900,[4]PROGRAMMES!$E$1:$F$7,2,FALSE)</f>
        <v>2-Qualité des enseignements et des apprentissages</v>
      </c>
      <c r="AA900" s="19" t="str">
        <f>B900 &amp; "-" &amp; VLOOKUP(B900,[4]SOUSPROGRAMMES!$E$1:$F$44,2,FALSE)</f>
        <v>27- Introduction de l'enseignement bilingue Français-langues nationales au primaire</v>
      </c>
      <c r="AB900" s="19" t="str">
        <f>C900 &amp; "-" &amp; VLOOKUP(C900,[4]RESULTATS!$E$1:$F$176,2,FALSE)</f>
        <v>271- Les résultats de la phase pilote sont capitalisés pour identifier les stratégies d’utilisation des langues nationales dans l’enseignement et l’apprentissageUne instance de pilotage de la réforme du bilinguisme est opérationnelle</v>
      </c>
      <c r="AC900" s="20" t="str">
        <f>D900 &amp; "-" &amp; VLOOKUP(D900,[4]STRATEGIES!$E$1:$F$504,2,FALSE)</f>
        <v>2711-Recomposition de l'instance de pilotage de la réforme du bilinguisme</v>
      </c>
      <c r="AD900" s="21" t="str">
        <f t="shared" ref="AD900:AD963" si="170">E900 &amp; "-" &amp; F900</f>
        <v>27112-Poursuite de la mise en œuvre de la phase pilote actuelle</v>
      </c>
    </row>
    <row r="901" spans="1:30" s="22" customFormat="1" ht="105" hidden="1" customHeight="1" x14ac:dyDescent="0.8">
      <c r="A901" s="14">
        <v>2</v>
      </c>
      <c r="B901" s="15">
        <v>27</v>
      </c>
      <c r="C901" s="15">
        <v>271</v>
      </c>
      <c r="D901" s="15">
        <v>2711</v>
      </c>
      <c r="E901" s="15">
        <v>27113</v>
      </c>
      <c r="F901" s="16" t="s">
        <v>1124</v>
      </c>
      <c r="G901" s="21" t="s">
        <v>496</v>
      </c>
      <c r="H901" s="17" t="s">
        <v>1125</v>
      </c>
      <c r="I901" s="33">
        <v>0</v>
      </c>
      <c r="J901" s="33"/>
      <c r="K901" s="33"/>
      <c r="L901" s="33">
        <v>1</v>
      </c>
      <c r="M901" s="33">
        <f t="shared" si="167"/>
        <v>1</v>
      </c>
      <c r="N901" s="33">
        <f>IF(OR(H901="",H901="sif",H901="PM"),0,VLOOKUP(H901,[5]CU!$C$4:$H$255,6,FALSE))</f>
        <v>285</v>
      </c>
      <c r="O901" s="33">
        <f t="shared" si="168"/>
        <v>0</v>
      </c>
      <c r="P901" s="33">
        <f t="shared" si="168"/>
        <v>0</v>
      </c>
      <c r="Q901" s="33">
        <f t="shared" si="168"/>
        <v>0</v>
      </c>
      <c r="R901" s="33">
        <f t="shared" si="168"/>
        <v>285</v>
      </c>
      <c r="S901" s="34">
        <f>SUM(O901:R901)</f>
        <v>285</v>
      </c>
      <c r="T901" s="35" t="s">
        <v>56</v>
      </c>
      <c r="U901" s="18" t="s">
        <v>330</v>
      </c>
      <c r="V901" s="18" t="str">
        <f>IF(OR($H901="",$H901="sif",$H901="PM"),"",VLOOKUP($H901,[5]CU!$C$5:$J$255,8,FALSE))</f>
        <v>3. Dépenses de fonctionnement</v>
      </c>
      <c r="W901" s="18" t="s">
        <v>1126</v>
      </c>
      <c r="X901" s="18" t="s">
        <v>192</v>
      </c>
      <c r="Y901" s="19" t="s">
        <v>32</v>
      </c>
      <c r="Z901" s="18" t="str">
        <f>A901 &amp; "-" &amp; VLOOKUP(A901,[4]PROGRAMMES!$E$1:$F$7,2,FALSE)</f>
        <v>2-Qualité des enseignements et des apprentissages</v>
      </c>
      <c r="AA901" s="19" t="str">
        <f>B901 &amp; "-" &amp; VLOOKUP(B901,[4]SOUSPROGRAMMES!$E$1:$F$44,2,FALSE)</f>
        <v>27- Introduction de l'enseignement bilingue Français-langues nationales au primaire</v>
      </c>
      <c r="AB901" s="19" t="str">
        <f>C901 &amp; "-" &amp; VLOOKUP(C901,[4]RESULTATS!$E$1:$F$176,2,FALSE)</f>
        <v>271- Les résultats de la phase pilote sont capitalisés pour identifier les stratégies d’utilisation des langues nationales dans l’enseignement et l’apprentissageUne instance de pilotage de la réforme du bilinguisme est opérationnelle</v>
      </c>
      <c r="AC901" s="20" t="str">
        <f>D901 &amp; "-" &amp; VLOOKUP(D901,[4]STRATEGIES!$E$1:$F$504,2,FALSE)</f>
        <v>2711-Recomposition de l'instance de pilotage de la réforme du bilinguisme</v>
      </c>
      <c r="AD901" s="21" t="str">
        <f t="shared" si="170"/>
        <v>27113-Evaluation des résultats de la phase pilote</v>
      </c>
    </row>
    <row r="902" spans="1:30" s="22" customFormat="1" ht="105" hidden="1" customHeight="1" x14ac:dyDescent="0.8">
      <c r="A902" s="14">
        <v>2</v>
      </c>
      <c r="B902" s="15">
        <v>27</v>
      </c>
      <c r="C902" s="15">
        <v>271</v>
      </c>
      <c r="D902" s="15">
        <v>2711</v>
      </c>
      <c r="E902" s="15">
        <v>27114</v>
      </c>
      <c r="F902" s="16" t="s">
        <v>1127</v>
      </c>
      <c r="G902" s="21" t="s">
        <v>1128</v>
      </c>
      <c r="H902" s="17" t="s">
        <v>59</v>
      </c>
      <c r="I902" s="33">
        <v>0</v>
      </c>
      <c r="J902" s="33">
        <f>4*10*8</f>
        <v>320</v>
      </c>
      <c r="K902" s="33">
        <f>4*10*8</f>
        <v>320</v>
      </c>
      <c r="L902" s="33">
        <f>4*10*8</f>
        <v>320</v>
      </c>
      <c r="M902" s="33">
        <f>SUM(I902:L902)</f>
        <v>960</v>
      </c>
      <c r="N902" s="33">
        <f>IF(OR(H902="",H902="sif",H902="PM"),0,VLOOKUP(H902,[5]CU!$C$4:$H$255,6,FALSE))</f>
        <v>0.8177777777777776</v>
      </c>
      <c r="O902" s="33">
        <f t="shared" si="168"/>
        <v>0</v>
      </c>
      <c r="P902" s="33">
        <f t="shared" si="168"/>
        <v>261.68888888888881</v>
      </c>
      <c r="Q902" s="33">
        <f t="shared" si="168"/>
        <v>261.68888888888881</v>
      </c>
      <c r="R902" s="33">
        <f t="shared" si="168"/>
        <v>261.68888888888881</v>
      </c>
      <c r="S902" s="34">
        <f>SUM(O902:R902)</f>
        <v>785.06666666666638</v>
      </c>
      <c r="T902" s="35" t="s">
        <v>56</v>
      </c>
      <c r="U902" s="18" t="s">
        <v>330</v>
      </c>
      <c r="V902" s="18" t="str">
        <f>IF(OR($H902="",$H902="sif",$H902="PM"),"",VLOOKUP($H902,[5]CU!$C$5:$J$255,8,FALSE))</f>
        <v>3. Dépenses de fonctionnement</v>
      </c>
      <c r="W902" s="18" t="s">
        <v>192</v>
      </c>
      <c r="X902" s="18" t="s">
        <v>192</v>
      </c>
      <c r="Y902" s="19" t="s">
        <v>32</v>
      </c>
      <c r="Z902" s="18" t="str">
        <f>A902 &amp; "-" &amp; VLOOKUP(A902,[4]PROGRAMMES!$E$1:$F$7,2,FALSE)</f>
        <v>2-Qualité des enseignements et des apprentissages</v>
      </c>
      <c r="AA902" s="19" t="str">
        <f>B902 &amp; "-" &amp; VLOOKUP(B902,[4]SOUSPROGRAMMES!$E$1:$F$44,2,FALSE)</f>
        <v>27- Introduction de l'enseignement bilingue Français-langues nationales au primaire</v>
      </c>
      <c r="AB902" s="19" t="str">
        <f>C902 &amp; "-" &amp; VLOOKUP(C902,[4]RESULTATS!$E$1:$F$176,2,FALSE)</f>
        <v>271- Les résultats de la phase pilote sont capitalisés pour identifier les stratégies d’utilisation des langues nationales dans l’enseignement et l’apprentissageUne instance de pilotage de la réforme du bilinguisme est opérationnelle</v>
      </c>
      <c r="AC902" s="20" t="str">
        <f>D902 &amp; "-" &amp; VLOOKUP(D902,[4]STRATEGIES!$E$1:$F$504,2,FALSE)</f>
        <v>2711-Recomposition de l'instance de pilotage de la réforme du bilinguisme</v>
      </c>
      <c r="AD902" s="21" t="str">
        <f t="shared" si="170"/>
        <v xml:space="preserve">27114-Suivi-supervision de la phase pilote </v>
      </c>
    </row>
    <row r="903" spans="1:30" s="22" customFormat="1" ht="45" hidden="1" customHeight="1" x14ac:dyDescent="0.8">
      <c r="A903" s="14">
        <v>2</v>
      </c>
      <c r="B903" s="15">
        <v>27</v>
      </c>
      <c r="C903" s="15">
        <v>272</v>
      </c>
      <c r="D903" s="15">
        <v>272</v>
      </c>
      <c r="E903" s="15">
        <v>272</v>
      </c>
      <c r="F903" s="16" t="s">
        <v>1129</v>
      </c>
      <c r="G903" s="17"/>
      <c r="H903" s="17"/>
      <c r="I903" s="33">
        <v>0</v>
      </c>
      <c r="J903" s="33"/>
      <c r="K903" s="33"/>
      <c r="L903" s="33"/>
      <c r="M903" s="33"/>
      <c r="N903" s="33"/>
      <c r="O903" s="33"/>
      <c r="P903" s="33"/>
      <c r="Q903" s="33"/>
      <c r="R903" s="33"/>
      <c r="S903" s="34"/>
      <c r="T903" s="33"/>
      <c r="U903" s="18"/>
      <c r="V903" s="18"/>
      <c r="W903" s="18"/>
      <c r="X903" s="18"/>
      <c r="Y903" s="19" t="s">
        <v>32</v>
      </c>
      <c r="Z903" s="18" t="str">
        <f>A903 &amp; "-" &amp; VLOOKUP(A903,[4]PROGRAMMES!$E$1:$F$7,2,FALSE)</f>
        <v>2-Qualité des enseignements et des apprentissages</v>
      </c>
      <c r="AA903" s="19" t="str">
        <f>B903 &amp; "-" &amp; VLOOKUP(B903,[4]SOUSPROGRAMMES!$E$1:$F$44,2,FALSE)</f>
        <v>27- Introduction de l'enseignement bilingue Français-langues nationales au primaire</v>
      </c>
      <c r="AB903" s="19" t="str">
        <f>C903 &amp; "-" &amp; VLOOKUP(C903,[4]RESULTATS!$E$1:$F$176,2,FALSE)</f>
        <v>272- Des étude sont réalisées pour préparer la mise à l'échelle</v>
      </c>
      <c r="AC903" s="20" t="str">
        <f>D903 &amp; "-" &amp; VLOOKUP(D903,[4]STRATEGIES!$E$1:$F$504,2,FALSE)</f>
        <v>272- Des étude sont réalisées pour préparer la mise à l'échelle</v>
      </c>
      <c r="AD903" s="21" t="str">
        <f t="shared" si="170"/>
        <v>272- Des étude sont réalisées pour préparer la mise à l'échelle</v>
      </c>
    </row>
    <row r="904" spans="1:30" s="22" customFormat="1" ht="45" hidden="1" customHeight="1" x14ac:dyDescent="0.8">
      <c r="A904" s="14">
        <v>2</v>
      </c>
      <c r="B904" s="15">
        <v>27</v>
      </c>
      <c r="C904" s="15">
        <v>272</v>
      </c>
      <c r="D904" s="15">
        <v>2721</v>
      </c>
      <c r="E904" s="15">
        <v>2721</v>
      </c>
      <c r="F904" s="16" t="s">
        <v>1130</v>
      </c>
      <c r="G904" s="17"/>
      <c r="H904" s="17"/>
      <c r="I904" s="33">
        <v>0</v>
      </c>
      <c r="J904" s="33"/>
      <c r="K904" s="33"/>
      <c r="L904" s="33"/>
      <c r="M904" s="33"/>
      <c r="N904" s="33"/>
      <c r="O904" s="33"/>
      <c r="P904" s="33"/>
      <c r="Q904" s="33"/>
      <c r="R904" s="33"/>
      <c r="S904" s="34"/>
      <c r="T904" s="33"/>
      <c r="U904" s="18"/>
      <c r="V904" s="18"/>
      <c r="W904" s="18"/>
      <c r="X904" s="18"/>
      <c r="Y904" s="19" t="s">
        <v>32</v>
      </c>
      <c r="Z904" s="18" t="str">
        <f>A904 &amp; "-" &amp; VLOOKUP(A904,[4]PROGRAMMES!$E$1:$F$7,2,FALSE)</f>
        <v>2-Qualité des enseignements et des apprentissages</v>
      </c>
      <c r="AA904" s="19" t="str">
        <f>B904 &amp; "-" &amp; VLOOKUP(B904,[4]SOUSPROGRAMMES!$E$1:$F$44,2,FALSE)</f>
        <v>27- Introduction de l'enseignement bilingue Français-langues nationales au primaire</v>
      </c>
      <c r="AB904" s="19" t="str">
        <f>C904 &amp; "-" &amp; VLOOKUP(C904,[4]RESULTATS!$E$1:$F$176,2,FALSE)</f>
        <v>272- Des étude sont réalisées pour préparer la mise à l'échelle</v>
      </c>
      <c r="AC904" s="20" t="str">
        <f>D904 &amp; "-" &amp; VLOOKUP(D904,[4]STRATEGIES!$E$1:$F$504,2,FALSE)</f>
        <v>2721-Recrutement d'un cabinet spécialisée pour la conduite de l'étude</v>
      </c>
      <c r="AD904" s="21" t="str">
        <f t="shared" si="170"/>
        <v>2721-Recrutement d'un cabinet spécialisée pour la conduite de l'étude</v>
      </c>
    </row>
    <row r="905" spans="1:30" s="22" customFormat="1" ht="45" hidden="1" customHeight="1" x14ac:dyDescent="0.8">
      <c r="A905" s="14">
        <v>2</v>
      </c>
      <c r="B905" s="15">
        <v>27</v>
      </c>
      <c r="C905" s="15">
        <v>272</v>
      </c>
      <c r="D905" s="15">
        <v>2721</v>
      </c>
      <c r="E905" s="15">
        <v>27211</v>
      </c>
      <c r="F905" s="16" t="s">
        <v>1131</v>
      </c>
      <c r="G905" s="21" t="s">
        <v>1119</v>
      </c>
      <c r="H905" s="17" t="s">
        <v>55</v>
      </c>
      <c r="I905" s="33">
        <v>0</v>
      </c>
      <c r="J905" s="33">
        <v>1</v>
      </c>
      <c r="K905" s="33"/>
      <c r="L905" s="33"/>
      <c r="M905" s="33">
        <f t="shared" si="167"/>
        <v>1</v>
      </c>
      <c r="N905" s="33">
        <f>IF(OR(H905="",H905="sif",H905="PM"),0,VLOOKUP(H905,[5]CU!$C$4:$H$255,6,FALSE))</f>
        <v>0</v>
      </c>
      <c r="O905" s="33">
        <f t="shared" si="168"/>
        <v>0</v>
      </c>
      <c r="P905" s="33">
        <f t="shared" si="168"/>
        <v>0</v>
      </c>
      <c r="Q905" s="33">
        <f t="shared" si="168"/>
        <v>0</v>
      </c>
      <c r="R905" s="33">
        <f t="shared" si="168"/>
        <v>0</v>
      </c>
      <c r="S905" s="34"/>
      <c r="T905" s="35" t="s">
        <v>56</v>
      </c>
      <c r="U905" s="18" t="s">
        <v>330</v>
      </c>
      <c r="V905" s="18" t="str">
        <f>IF(OR($H905="",$H905="sif",$H905="PM"),"",VLOOKUP($H905,[5]CU!$C$5:$J$255,8,FALSE))</f>
        <v/>
      </c>
      <c r="W905" s="18" t="s">
        <v>1132</v>
      </c>
      <c r="X905" s="18" t="s">
        <v>192</v>
      </c>
      <c r="Y905" s="19" t="s">
        <v>32</v>
      </c>
      <c r="Z905" s="18" t="str">
        <f>A905 &amp; "-" &amp; VLOOKUP(A905,[4]PROGRAMMES!$E$1:$F$7,2,FALSE)</f>
        <v>2-Qualité des enseignements et des apprentissages</v>
      </c>
      <c r="AA905" s="19" t="str">
        <f>B905 &amp; "-" &amp; VLOOKUP(B905,[4]SOUSPROGRAMMES!$E$1:$F$44,2,FALSE)</f>
        <v>27- Introduction de l'enseignement bilingue Français-langues nationales au primaire</v>
      </c>
      <c r="AB905" s="19" t="str">
        <f>C905 &amp; "-" &amp; VLOOKUP(C905,[4]RESULTATS!$E$1:$F$176,2,FALSE)</f>
        <v>272- Des étude sont réalisées pour préparer la mise à l'échelle</v>
      </c>
      <c r="AC905" s="20" t="str">
        <f>D905 &amp; "-" &amp; VLOOKUP(D905,[4]STRATEGIES!$E$1:$F$504,2,FALSE)</f>
        <v>2721-Recrutement d'un cabinet spécialisée pour la conduite de l'étude</v>
      </c>
      <c r="AD905" s="21" t="str">
        <f t="shared" si="170"/>
        <v>27211-Elaboration des TDR</v>
      </c>
    </row>
    <row r="906" spans="1:30" s="22" customFormat="1" ht="45" hidden="1" customHeight="1" x14ac:dyDescent="0.8">
      <c r="A906" s="14">
        <v>2</v>
      </c>
      <c r="B906" s="15">
        <v>27</v>
      </c>
      <c r="C906" s="15">
        <v>272</v>
      </c>
      <c r="D906" s="15">
        <v>2721</v>
      </c>
      <c r="E906" s="15">
        <v>27212</v>
      </c>
      <c r="F906" s="16" t="s">
        <v>1133</v>
      </c>
      <c r="G906" s="21" t="s">
        <v>167</v>
      </c>
      <c r="H906" s="17" t="s">
        <v>646</v>
      </c>
      <c r="I906" s="33">
        <v>0</v>
      </c>
      <c r="J906" s="33">
        <f>9*15*2</f>
        <v>270</v>
      </c>
      <c r="K906" s="33">
        <f>9*15*2</f>
        <v>270</v>
      </c>
      <c r="L906" s="33"/>
      <c r="M906" s="33">
        <f t="shared" si="167"/>
        <v>540</v>
      </c>
      <c r="N906" s="33">
        <f>IF(OR(H906="",H906="sif",H906="PM"),0,VLOOKUP(H906,[5]CU!$C$4:$H$255,6,FALSE))</f>
        <v>10.404797</v>
      </c>
      <c r="O906" s="33">
        <f t="shared" si="168"/>
        <v>0</v>
      </c>
      <c r="P906" s="33">
        <f t="shared" si="168"/>
        <v>2809.2951900000003</v>
      </c>
      <c r="Q906" s="33">
        <f t="shared" si="168"/>
        <v>2809.2951900000003</v>
      </c>
      <c r="R906" s="33">
        <f t="shared" si="168"/>
        <v>0</v>
      </c>
      <c r="S906" s="34">
        <f>SUM(O906:R906)</f>
        <v>5618.5903800000006</v>
      </c>
      <c r="T906" s="35" t="s">
        <v>56</v>
      </c>
      <c r="U906" s="18" t="s">
        <v>330</v>
      </c>
      <c r="V906" s="18" t="str">
        <f>IF(OR($H906="",$H906="sif",$H906="PM"),"",VLOOKUP($H906,[5]CU!$C$5:$J$255,8,FALSE))</f>
        <v>3. Dépenses de fonctionnement</v>
      </c>
      <c r="W906" s="18" t="s">
        <v>1132</v>
      </c>
      <c r="X906" s="18" t="s">
        <v>192</v>
      </c>
      <c r="Y906" s="19" t="s">
        <v>32</v>
      </c>
      <c r="Z906" s="18" t="str">
        <f>A906 &amp; "-" &amp; VLOOKUP(A906,[4]PROGRAMMES!$E$1:$F$7,2,FALSE)</f>
        <v>2-Qualité des enseignements et des apprentissages</v>
      </c>
      <c r="AA906" s="19" t="str">
        <f>B906 &amp; "-" &amp; VLOOKUP(B906,[4]SOUSPROGRAMMES!$E$1:$F$44,2,FALSE)</f>
        <v>27- Introduction de l'enseignement bilingue Français-langues nationales au primaire</v>
      </c>
      <c r="AB906" s="19" t="str">
        <f>C906 &amp; "-" &amp; VLOOKUP(C906,[4]RESULTATS!$E$1:$F$176,2,FALSE)</f>
        <v>272- Des étude sont réalisées pour préparer la mise à l'échelle</v>
      </c>
      <c r="AC906" s="20" t="str">
        <f>D906 &amp; "-" &amp; VLOOKUP(D906,[4]STRATEGIES!$E$1:$F$504,2,FALSE)</f>
        <v>2721-Recrutement d'un cabinet spécialisée pour la conduite de l'étude</v>
      </c>
      <c r="AD906" s="21" t="str">
        <f t="shared" si="170"/>
        <v>27212-Réalisation de l'étude sociolinguistique (aires linguistiques, compétences linguistiques des enseignants, etc.)</v>
      </c>
    </row>
    <row r="907" spans="1:30" s="22" customFormat="1" ht="45" hidden="1" customHeight="1" x14ac:dyDescent="0.8">
      <c r="A907" s="14">
        <v>2</v>
      </c>
      <c r="B907" s="15">
        <v>27</v>
      </c>
      <c r="C907" s="15">
        <v>272</v>
      </c>
      <c r="D907" s="15">
        <v>2721</v>
      </c>
      <c r="E907" s="15">
        <v>27213</v>
      </c>
      <c r="F907" s="16" t="s">
        <v>1134</v>
      </c>
      <c r="G907" s="21" t="s">
        <v>37</v>
      </c>
      <c r="H907" s="17" t="s">
        <v>38</v>
      </c>
      <c r="I907" s="33">
        <v>0</v>
      </c>
      <c r="J907" s="33">
        <f>30*2*3</f>
        <v>180</v>
      </c>
      <c r="K907" s="33">
        <f>80*2</f>
        <v>160</v>
      </c>
      <c r="L907" s="33"/>
      <c r="M907" s="33">
        <f t="shared" si="167"/>
        <v>340</v>
      </c>
      <c r="N907" s="33">
        <f>IF(OR(H907="",H907="sif",H907="PM"),0,VLOOKUP(H907,[5]CU!$C$4:$H$255,6,FALSE))</f>
        <v>0.3133333333333333</v>
      </c>
      <c r="O907" s="33">
        <f t="shared" si="168"/>
        <v>0</v>
      </c>
      <c r="P907" s="33">
        <f t="shared" si="168"/>
        <v>56.399999999999991</v>
      </c>
      <c r="Q907" s="33">
        <f t="shared" si="168"/>
        <v>50.133333333333326</v>
      </c>
      <c r="R907" s="33">
        <f t="shared" si="168"/>
        <v>0</v>
      </c>
      <c r="S907" s="34">
        <f>SUM(O907:R907)</f>
        <v>106.53333333333332</v>
      </c>
      <c r="T907" s="35" t="s">
        <v>56</v>
      </c>
      <c r="U907" s="18" t="s">
        <v>330</v>
      </c>
      <c r="V907" s="18" t="str">
        <f>IF(OR($H907="",$H907="sif",$H907="PM"),"",VLOOKUP($H907,[5]CU!$C$5:$J$255,8,FALSE))</f>
        <v>3. Formation</v>
      </c>
      <c r="W907" s="18" t="s">
        <v>1132</v>
      </c>
      <c r="X907" s="18" t="s">
        <v>192</v>
      </c>
      <c r="Y907" s="19" t="s">
        <v>32</v>
      </c>
      <c r="Z907" s="18" t="str">
        <f>A907 &amp; "-" &amp; VLOOKUP(A907,[4]PROGRAMMES!$E$1:$F$7,2,FALSE)</f>
        <v>2-Qualité des enseignements et des apprentissages</v>
      </c>
      <c r="AA907" s="19" t="str">
        <f>B907 &amp; "-" &amp; VLOOKUP(B907,[4]SOUSPROGRAMMES!$E$1:$F$44,2,FALSE)</f>
        <v>27- Introduction de l'enseignement bilingue Français-langues nationales au primaire</v>
      </c>
      <c r="AB907" s="19" t="str">
        <f>C907 &amp; "-" &amp; VLOOKUP(C907,[4]RESULTATS!$E$1:$F$176,2,FALSE)</f>
        <v>272- Des étude sont réalisées pour préparer la mise à l'échelle</v>
      </c>
      <c r="AC907" s="20" t="str">
        <f>D907 &amp; "-" &amp; VLOOKUP(D907,[4]STRATEGIES!$E$1:$F$504,2,FALSE)</f>
        <v>2721-Recrutement d'un cabinet spécialisée pour la conduite de l'étude</v>
      </c>
      <c r="AD907" s="21" t="str">
        <f t="shared" si="170"/>
        <v>27213-Concertation et validation du rapport de l'étude</v>
      </c>
    </row>
    <row r="908" spans="1:30" s="22" customFormat="1" ht="45" hidden="1" customHeight="1" x14ac:dyDescent="0.8">
      <c r="A908" s="14">
        <v>2</v>
      </c>
      <c r="B908" s="15">
        <v>27</v>
      </c>
      <c r="C908" s="15">
        <v>273</v>
      </c>
      <c r="D908" s="15">
        <v>273</v>
      </c>
      <c r="E908" s="15">
        <v>273</v>
      </c>
      <c r="F908" s="16" t="s">
        <v>1135</v>
      </c>
      <c r="G908" s="17"/>
      <c r="H908" s="17"/>
      <c r="I908" s="33">
        <v>0</v>
      </c>
      <c r="J908" s="33"/>
      <c r="K908" s="33"/>
      <c r="L908" s="33"/>
      <c r="M908" s="33"/>
      <c r="N908" s="33"/>
      <c r="O908" s="33"/>
      <c r="P908" s="33"/>
      <c r="Q908" s="33"/>
      <c r="R908" s="33"/>
      <c r="S908" s="34"/>
      <c r="T908" s="33"/>
      <c r="U908" s="18"/>
      <c r="V908" s="18"/>
      <c r="W908" s="18"/>
      <c r="X908" s="18"/>
      <c r="Y908" s="19" t="s">
        <v>32</v>
      </c>
      <c r="Z908" s="18" t="str">
        <f>A908 &amp; "-" &amp; VLOOKUP(A908,[4]PROGRAMMES!$E$1:$F$7,2,FALSE)</f>
        <v>2-Qualité des enseignements et des apprentissages</v>
      </c>
      <c r="AA908" s="19" t="str">
        <f>B908 &amp; "-" &amp; VLOOKUP(B908,[4]SOUSPROGRAMMES!$E$1:$F$44,2,FALSE)</f>
        <v>27- Introduction de l'enseignement bilingue Français-langues nationales au primaire</v>
      </c>
      <c r="AB908" s="19" t="str">
        <f>C908 &amp; "-" &amp; VLOOKUP(C908,[4]RESULTATS!$E$1:$F$176,2,FALSE)</f>
        <v>273-Une expertise nationale en  langues nationales est disponible</v>
      </c>
      <c r="AC908" s="20" t="str">
        <f>D908 &amp; "-" &amp; VLOOKUP(D908,[4]STRATEGIES!$E$1:$F$504,2,FALSE)</f>
        <v>273-Une expertise nationale en  langues nationales est disponible</v>
      </c>
      <c r="AD908" s="21" t="str">
        <f t="shared" si="170"/>
        <v>273-Une expertise nationale en  langues nationales est disponible</v>
      </c>
    </row>
    <row r="909" spans="1:30" s="22" customFormat="1" ht="45" hidden="1" customHeight="1" x14ac:dyDescent="0.8">
      <c r="A909" s="14">
        <v>2</v>
      </c>
      <c r="B909" s="15">
        <v>27</v>
      </c>
      <c r="C909" s="15">
        <v>273</v>
      </c>
      <c r="D909" s="15">
        <v>2731</v>
      </c>
      <c r="E909" s="15">
        <v>2731</v>
      </c>
      <c r="F909" s="16" t="s">
        <v>1136</v>
      </c>
      <c r="G909" s="17"/>
      <c r="H909" s="17"/>
      <c r="I909" s="33">
        <v>0</v>
      </c>
      <c r="J909" s="33"/>
      <c r="K909" s="33"/>
      <c r="L909" s="33"/>
      <c r="M909" s="33"/>
      <c r="N909" s="33"/>
      <c r="O909" s="33"/>
      <c r="P909" s="33"/>
      <c r="Q909" s="33"/>
      <c r="R909" s="33"/>
      <c r="S909" s="34"/>
      <c r="T909" s="33"/>
      <c r="U909" s="18"/>
      <c r="V909" s="18"/>
      <c r="W909" s="18"/>
      <c r="X909" s="18"/>
      <c r="Y909" s="19" t="s">
        <v>32</v>
      </c>
      <c r="Z909" s="18" t="str">
        <f>A909 &amp; "-" &amp; VLOOKUP(A909,[4]PROGRAMMES!$E$1:$F$7,2,FALSE)</f>
        <v>2-Qualité des enseignements et des apprentissages</v>
      </c>
      <c r="AA909" s="19" t="str">
        <f>B909 &amp; "-" &amp; VLOOKUP(B909,[4]SOUSPROGRAMMES!$E$1:$F$44,2,FALSE)</f>
        <v>27- Introduction de l'enseignement bilingue Français-langues nationales au primaire</v>
      </c>
      <c r="AB909" s="19" t="str">
        <f>C909 &amp; "-" &amp; VLOOKUP(C909,[4]RESULTATS!$E$1:$F$176,2,FALSE)</f>
        <v>273-Une expertise nationale en  langues nationales est disponible</v>
      </c>
      <c r="AC909" s="20" t="str">
        <f>D909 &amp; "-" &amp; VLOOKUP(D909,[4]STRATEGIES!$E$1:$F$504,2,FALSE)</f>
        <v>2731-Mise en place d’une équipe nationale pour la conduite du processus</v>
      </c>
      <c r="AD909" s="21" t="str">
        <f t="shared" si="170"/>
        <v>2731-Mise en place d’une équipe nationale pour la conduite du processus</v>
      </c>
    </row>
    <row r="910" spans="1:30" s="22" customFormat="1" ht="45" hidden="1" customHeight="1" x14ac:dyDescent="0.8">
      <c r="A910" s="14">
        <v>2</v>
      </c>
      <c r="B910" s="15">
        <v>27</v>
      </c>
      <c r="C910" s="15">
        <v>273</v>
      </c>
      <c r="D910" s="15">
        <v>2731</v>
      </c>
      <c r="E910" s="15">
        <v>27311</v>
      </c>
      <c r="F910" s="16" t="s">
        <v>1137</v>
      </c>
      <c r="G910" s="21" t="s">
        <v>1022</v>
      </c>
      <c r="H910" s="17"/>
      <c r="I910" s="33">
        <v>0</v>
      </c>
      <c r="J910" s="33">
        <v>1</v>
      </c>
      <c r="K910" s="33"/>
      <c r="L910" s="33"/>
      <c r="M910" s="33">
        <f t="shared" si="167"/>
        <v>1</v>
      </c>
      <c r="N910" s="33">
        <f>IF(OR(H910="",H910="sif",H910="PM"),0,VLOOKUP(H910,[5]CU!$C$4:$H$255,6,FALSE))</f>
        <v>0</v>
      </c>
      <c r="O910" s="33">
        <f t="shared" si="168"/>
        <v>0</v>
      </c>
      <c r="P910" s="33">
        <f t="shared" si="168"/>
        <v>0</v>
      </c>
      <c r="Q910" s="33">
        <f t="shared" si="168"/>
        <v>0</v>
      </c>
      <c r="R910" s="33">
        <f t="shared" si="168"/>
        <v>0</v>
      </c>
      <c r="S910" s="34"/>
      <c r="T910" s="35" t="s">
        <v>56</v>
      </c>
      <c r="U910" s="18" t="s">
        <v>330</v>
      </c>
      <c r="V910" s="18" t="str">
        <f>IF(OR($H910="",$H910="sif",$H910="PM"),"",VLOOKUP($H910,[5]CU!$C$5:$J$255,8,FALSE))</f>
        <v/>
      </c>
      <c r="W910" s="18" t="s">
        <v>255</v>
      </c>
      <c r="X910" s="18" t="s">
        <v>192</v>
      </c>
      <c r="Y910" s="19" t="s">
        <v>32</v>
      </c>
      <c r="Z910" s="18" t="str">
        <f>A910 &amp; "-" &amp; VLOOKUP(A910,[4]PROGRAMMES!$E$1:$F$7,2,FALSE)</f>
        <v>2-Qualité des enseignements et des apprentissages</v>
      </c>
      <c r="AA910" s="19" t="str">
        <f>B910 &amp; "-" &amp; VLOOKUP(B910,[4]SOUSPROGRAMMES!$E$1:$F$44,2,FALSE)</f>
        <v>27- Introduction de l'enseignement bilingue Français-langues nationales au primaire</v>
      </c>
      <c r="AB910" s="19" t="str">
        <f>C910 &amp; "-" &amp; VLOOKUP(C910,[4]RESULTATS!$E$1:$F$176,2,FALSE)</f>
        <v>273-Une expertise nationale en  langues nationales est disponible</v>
      </c>
      <c r="AC910" s="20" t="str">
        <f>D910 &amp; "-" &amp; VLOOKUP(D910,[4]STRATEGIES!$E$1:$F$504,2,FALSE)</f>
        <v>2731-Mise en place d’une équipe nationale pour la conduite du processus</v>
      </c>
      <c r="AD910" s="21" t="str">
        <f t="shared" si="170"/>
        <v>27311-Création du comité national</v>
      </c>
    </row>
    <row r="911" spans="1:30" s="22" customFormat="1" ht="45" hidden="1" customHeight="1" x14ac:dyDescent="0.8">
      <c r="A911" s="14">
        <v>2</v>
      </c>
      <c r="B911" s="15">
        <v>27</v>
      </c>
      <c r="C911" s="15">
        <v>273</v>
      </c>
      <c r="D911" s="15">
        <v>2731</v>
      </c>
      <c r="E911" s="15">
        <v>27312</v>
      </c>
      <c r="F911" s="16" t="s">
        <v>1019</v>
      </c>
      <c r="G911" s="21" t="s">
        <v>298</v>
      </c>
      <c r="H911" s="17" t="s">
        <v>66</v>
      </c>
      <c r="I911" s="33">
        <v>0</v>
      </c>
      <c r="J911" s="33">
        <f>25*7*2</f>
        <v>350</v>
      </c>
      <c r="K911" s="33"/>
      <c r="L911" s="33"/>
      <c r="M911" s="33">
        <f t="shared" si="167"/>
        <v>350</v>
      </c>
      <c r="N911" s="33">
        <f>IF(OR(H911="",H911="sif",H911="PM"),0,VLOOKUP(H911,[5]CU!$C$4:$H$255,6,FALSE))</f>
        <v>0.255</v>
      </c>
      <c r="O911" s="33">
        <f t="shared" si="168"/>
        <v>0</v>
      </c>
      <c r="P911" s="33">
        <f t="shared" si="168"/>
        <v>89.25</v>
      </c>
      <c r="Q911" s="33">
        <f t="shared" si="168"/>
        <v>0</v>
      </c>
      <c r="R911" s="33">
        <f t="shared" si="168"/>
        <v>0</v>
      </c>
      <c r="S911" s="34">
        <f t="shared" ref="S911:S937" si="171">SUM(O911:R911)</f>
        <v>89.25</v>
      </c>
      <c r="T911" s="35" t="s">
        <v>56</v>
      </c>
      <c r="U911" s="18" t="s">
        <v>330</v>
      </c>
      <c r="V911" s="18" t="str">
        <f>IF(OR($H911="",$H911="sif",$H911="PM"),"",VLOOKUP($H911,[5]CU!$C$5:$J$255,8,FALSE))</f>
        <v>3. Dépenses de fonctionnement</v>
      </c>
      <c r="W911" s="18" t="s">
        <v>1132</v>
      </c>
      <c r="X911" s="18" t="s">
        <v>192</v>
      </c>
      <c r="Y911" s="19" t="s">
        <v>32</v>
      </c>
      <c r="Z911" s="18" t="str">
        <f>A911 &amp; "-" &amp; VLOOKUP(A911,[4]PROGRAMMES!$E$1:$F$7,2,FALSE)</f>
        <v>2-Qualité des enseignements et des apprentissages</v>
      </c>
      <c r="AA911" s="19" t="str">
        <f>B911 &amp; "-" &amp; VLOOKUP(B911,[4]SOUSPROGRAMMES!$E$1:$F$44,2,FALSE)</f>
        <v>27- Introduction de l'enseignement bilingue Français-langues nationales au primaire</v>
      </c>
      <c r="AB911" s="19" t="str">
        <f>C911 &amp; "-" &amp; VLOOKUP(C911,[4]RESULTATS!$E$1:$F$176,2,FALSE)</f>
        <v>273-Une expertise nationale en  langues nationales est disponible</v>
      </c>
      <c r="AC911" s="20" t="str">
        <f>D911 &amp; "-" &amp; VLOOKUP(D911,[4]STRATEGIES!$E$1:$F$504,2,FALSE)</f>
        <v>2731-Mise en place d’une équipe nationale pour la conduite du processus</v>
      </c>
      <c r="AD911" s="21" t="str">
        <f t="shared" si="170"/>
        <v>27312-Conception et élaboration des modules</v>
      </c>
    </row>
    <row r="912" spans="1:30" s="22" customFormat="1" ht="45" hidden="1" customHeight="1" x14ac:dyDescent="0.8">
      <c r="A912" s="14">
        <v>2</v>
      </c>
      <c r="B912" s="15">
        <v>27</v>
      </c>
      <c r="C912" s="15">
        <v>273</v>
      </c>
      <c r="D912" s="15">
        <v>2731</v>
      </c>
      <c r="E912" s="15">
        <v>27313</v>
      </c>
      <c r="F912" s="16" t="s">
        <v>1138</v>
      </c>
      <c r="G912" s="21" t="s">
        <v>298</v>
      </c>
      <c r="H912" s="17" t="s">
        <v>52</v>
      </c>
      <c r="I912" s="33">
        <v>0</v>
      </c>
      <c r="J912" s="33">
        <f>50*10</f>
        <v>500</v>
      </c>
      <c r="K912" s="33"/>
      <c r="L912" s="33"/>
      <c r="M912" s="33">
        <f t="shared" si="167"/>
        <v>500</v>
      </c>
      <c r="N912" s="33">
        <f>IF(OR(H912="",H912="sif",H912="PM"),0,VLOOKUP(H912,[5]CU!$C$4:$H$255,6,FALSE))</f>
        <v>1.5</v>
      </c>
      <c r="O912" s="33">
        <f t="shared" si="168"/>
        <v>0</v>
      </c>
      <c r="P912" s="33">
        <f t="shared" si="168"/>
        <v>750</v>
      </c>
      <c r="Q912" s="33">
        <f t="shared" si="168"/>
        <v>0</v>
      </c>
      <c r="R912" s="33">
        <f t="shared" si="168"/>
        <v>0</v>
      </c>
      <c r="S912" s="34">
        <f t="shared" si="171"/>
        <v>750</v>
      </c>
      <c r="T912" s="35" t="s">
        <v>56</v>
      </c>
      <c r="U912" s="18" t="s">
        <v>330</v>
      </c>
      <c r="V912" s="18" t="str">
        <f>IF(OR($H912="",$H912="sif",$H912="PM"),"",VLOOKUP($H912,[5]CU!$C$5:$J$255,8,FALSE))</f>
        <v>3. Formation</v>
      </c>
      <c r="W912" s="18" t="s">
        <v>1132</v>
      </c>
      <c r="X912" s="18" t="s">
        <v>192</v>
      </c>
      <c r="Y912" s="19" t="s">
        <v>32</v>
      </c>
      <c r="Z912" s="18" t="str">
        <f>A912 &amp; "-" &amp; VLOOKUP(A912,[4]PROGRAMMES!$E$1:$F$7,2,FALSE)</f>
        <v>2-Qualité des enseignements et des apprentissages</v>
      </c>
      <c r="AA912" s="19" t="str">
        <f>B912 &amp; "-" &amp; VLOOKUP(B912,[4]SOUSPROGRAMMES!$E$1:$F$44,2,FALSE)</f>
        <v>27- Introduction de l'enseignement bilingue Français-langues nationales au primaire</v>
      </c>
      <c r="AB912" s="19" t="str">
        <f>C912 &amp; "-" &amp; VLOOKUP(C912,[4]RESULTATS!$E$1:$F$176,2,FALSE)</f>
        <v>273-Une expertise nationale en  langues nationales est disponible</v>
      </c>
      <c r="AC912" s="20" t="str">
        <f>D912 &amp; "-" &amp; VLOOKUP(D912,[4]STRATEGIES!$E$1:$F$504,2,FALSE)</f>
        <v>2731-Mise en place d’une équipe nationale pour la conduite du processus</v>
      </c>
      <c r="AD912" s="21" t="str">
        <f t="shared" si="170"/>
        <v>27313-Formation des enseignants à l'approche</v>
      </c>
    </row>
    <row r="913" spans="1:30" s="22" customFormat="1" ht="45" hidden="1" customHeight="1" x14ac:dyDescent="0.8">
      <c r="A913" s="14">
        <v>2</v>
      </c>
      <c r="B913" s="15">
        <v>27</v>
      </c>
      <c r="C913" s="15">
        <v>273</v>
      </c>
      <c r="D913" s="15">
        <v>2731</v>
      </c>
      <c r="E913" s="15">
        <v>27314</v>
      </c>
      <c r="F913" s="16" t="s">
        <v>1139</v>
      </c>
      <c r="G913" s="21" t="s">
        <v>298</v>
      </c>
      <c r="H913" s="17" t="s">
        <v>66</v>
      </c>
      <c r="I913" s="33">
        <v>0</v>
      </c>
      <c r="J913" s="33">
        <f>15*4*10</f>
        <v>600</v>
      </c>
      <c r="K913" s="33"/>
      <c r="L913" s="33"/>
      <c r="M913" s="33">
        <f t="shared" si="167"/>
        <v>600</v>
      </c>
      <c r="N913" s="33">
        <f>IF(OR(H913="",H913="sif",H913="PM"),0,VLOOKUP(H913,[5]CU!$C$4:$H$255,6,FALSE))</f>
        <v>0.255</v>
      </c>
      <c r="O913" s="33">
        <f t="shared" si="168"/>
        <v>0</v>
      </c>
      <c r="P913" s="33">
        <f t="shared" si="168"/>
        <v>153</v>
      </c>
      <c r="Q913" s="33">
        <f t="shared" si="168"/>
        <v>0</v>
      </c>
      <c r="R913" s="33">
        <f t="shared" si="168"/>
        <v>0</v>
      </c>
      <c r="S913" s="34">
        <f t="shared" si="171"/>
        <v>153</v>
      </c>
      <c r="T913" s="35" t="s">
        <v>56</v>
      </c>
      <c r="U913" s="18" t="s">
        <v>330</v>
      </c>
      <c r="V913" s="18" t="str">
        <f>IF(OR($H913="",$H913="sif",$H913="PM"),"",VLOOKUP($H913,[5]CU!$C$5:$J$255,8,FALSE))</f>
        <v>3. Dépenses de fonctionnement</v>
      </c>
      <c r="W913" s="18" t="s">
        <v>1132</v>
      </c>
      <c r="X913" s="18" t="s">
        <v>192</v>
      </c>
      <c r="Y913" s="19" t="s">
        <v>32</v>
      </c>
      <c r="Z913" s="18" t="str">
        <f>A913 &amp; "-" &amp; VLOOKUP(A913,[4]PROGRAMMES!$E$1:$F$7,2,FALSE)</f>
        <v>2-Qualité des enseignements et des apprentissages</v>
      </c>
      <c r="AA913" s="19" t="str">
        <f>B913 &amp; "-" &amp; VLOOKUP(B913,[4]SOUSPROGRAMMES!$E$1:$F$44,2,FALSE)</f>
        <v>27- Introduction de l'enseignement bilingue Français-langues nationales au primaire</v>
      </c>
      <c r="AB913" s="19" t="str">
        <f>C913 &amp; "-" &amp; VLOOKUP(C913,[4]RESULTATS!$E$1:$F$176,2,FALSE)</f>
        <v>273-Une expertise nationale en  langues nationales est disponible</v>
      </c>
      <c r="AC913" s="20" t="str">
        <f>D913 &amp; "-" &amp; VLOOKUP(D913,[4]STRATEGIES!$E$1:$F$504,2,FALSE)</f>
        <v>2731-Mise en place d’une équipe nationale pour la conduite du processus</v>
      </c>
      <c r="AD913" s="21" t="str">
        <f t="shared" si="170"/>
        <v>27314-Intégrations de la formation en enseignement bilingue dans les institutions de formation initiale</v>
      </c>
    </row>
    <row r="914" spans="1:30" s="22" customFormat="1" ht="45" hidden="1" customHeight="1" x14ac:dyDescent="0.8">
      <c r="A914" s="14">
        <v>2</v>
      </c>
      <c r="B914" s="15">
        <v>27</v>
      </c>
      <c r="C914" s="15">
        <v>274</v>
      </c>
      <c r="D914" s="15">
        <v>274</v>
      </c>
      <c r="E914" s="15">
        <v>274</v>
      </c>
      <c r="F914" s="16" t="s">
        <v>1140</v>
      </c>
      <c r="G914" s="17"/>
      <c r="H914" s="17"/>
      <c r="I914" s="33">
        <v>0</v>
      </c>
      <c r="J914" s="33"/>
      <c r="K914" s="33"/>
      <c r="L914" s="33"/>
      <c r="M914" s="33"/>
      <c r="N914" s="33"/>
      <c r="O914" s="33"/>
      <c r="P914" s="33"/>
      <c r="Q914" s="33"/>
      <c r="R914" s="33"/>
      <c r="S914" s="34"/>
      <c r="T914" s="33"/>
      <c r="U914" s="18"/>
      <c r="V914" s="18"/>
      <c r="W914" s="18"/>
      <c r="X914" s="18"/>
      <c r="Y914" s="19" t="s">
        <v>32</v>
      </c>
      <c r="Z914" s="18" t="str">
        <f>A914 &amp; "-" &amp; VLOOKUP(A914,[4]PROGRAMMES!$E$1:$F$7,2,FALSE)</f>
        <v>2-Qualité des enseignements et des apprentissages</v>
      </c>
      <c r="AA914" s="19" t="str">
        <f>B914 &amp; "-" &amp; VLOOKUP(B914,[4]SOUSPROGRAMMES!$E$1:$F$44,2,FALSE)</f>
        <v>27- Introduction de l'enseignement bilingue Français-langues nationales au primaire</v>
      </c>
      <c r="AB914" s="19" t="str">
        <f>C914 &amp; "-" &amp; VLOOKUP(C914,[4]RESULTATS!$E$1:$F$176,2,FALSE)</f>
        <v xml:space="preserve">274-Les acteurs et partenaires adhèrent à l’approche l’enseignement  et de l’apprentissage des langues nationales </v>
      </c>
      <c r="AC914" s="20" t="str">
        <f>D914 &amp; "-" &amp; VLOOKUP(D914,[4]STRATEGIES!$E$1:$F$504,2,FALSE)</f>
        <v xml:space="preserve">274-Les acteurs et partenaires adhèrent à l’approche l’enseignement  et de l’apprentissage des langues nationales </v>
      </c>
      <c r="AD914" s="21" t="str">
        <f t="shared" si="170"/>
        <v xml:space="preserve">274-Les acteurs et partenaires adhèrent à l’approche l’enseignement  et de l’apprentissage des langues nationales </v>
      </c>
    </row>
    <row r="915" spans="1:30" s="22" customFormat="1" ht="45" hidden="1" customHeight="1" x14ac:dyDescent="0.8">
      <c r="A915" s="14">
        <v>2</v>
      </c>
      <c r="B915" s="15">
        <v>27</v>
      </c>
      <c r="C915" s="15">
        <v>274</v>
      </c>
      <c r="D915" s="15">
        <v>2741</v>
      </c>
      <c r="E915" s="15">
        <v>2741</v>
      </c>
      <c r="F915" s="16" t="s">
        <v>1141</v>
      </c>
      <c r="G915" s="17"/>
      <c r="H915" s="17"/>
      <c r="I915" s="33">
        <v>0</v>
      </c>
      <c r="J915" s="33"/>
      <c r="K915" s="33"/>
      <c r="L915" s="33"/>
      <c r="M915" s="33"/>
      <c r="N915" s="33"/>
      <c r="O915" s="33"/>
      <c r="P915" s="33"/>
      <c r="Q915" s="33"/>
      <c r="R915" s="33"/>
      <c r="S915" s="34"/>
      <c r="T915" s="33"/>
      <c r="U915" s="18"/>
      <c r="V915" s="18"/>
      <c r="W915" s="18"/>
      <c r="X915" s="18"/>
      <c r="Y915" s="19" t="s">
        <v>32</v>
      </c>
      <c r="Z915" s="18" t="str">
        <f>A915 &amp; "-" &amp; VLOOKUP(A915,[4]PROGRAMMES!$E$1:$F$7,2,FALSE)</f>
        <v>2-Qualité des enseignements et des apprentissages</v>
      </c>
      <c r="AA915" s="19" t="str">
        <f>B915 &amp; "-" &amp; VLOOKUP(B915,[4]SOUSPROGRAMMES!$E$1:$F$44,2,FALSE)</f>
        <v>27- Introduction de l'enseignement bilingue Français-langues nationales au primaire</v>
      </c>
      <c r="AB915" s="19" t="str">
        <f>C915 &amp; "-" &amp; VLOOKUP(C915,[4]RESULTATS!$E$1:$F$176,2,FALSE)</f>
        <v xml:space="preserve">274-Les acteurs et partenaires adhèrent à l’approche l’enseignement  et de l’apprentissage des langues nationales </v>
      </c>
      <c r="AC915" s="20" t="str">
        <f>D915 &amp; "-" &amp; VLOOKUP(D915,[4]STRATEGIES!$E$1:$F$504,2,FALSE)</f>
        <v>2741-Sensibilisation de tous les acteurs et partenaires</v>
      </c>
      <c r="AD915" s="21" t="str">
        <f t="shared" si="170"/>
        <v>2741-Sensibilisation de tous les acteurs et partenaires</v>
      </c>
    </row>
    <row r="916" spans="1:30" s="22" customFormat="1" ht="45" hidden="1" customHeight="1" x14ac:dyDescent="0.8">
      <c r="A916" s="14">
        <v>2</v>
      </c>
      <c r="B916" s="15">
        <v>27</v>
      </c>
      <c r="C916" s="15">
        <v>274</v>
      </c>
      <c r="D916" s="15">
        <v>2741</v>
      </c>
      <c r="E916" s="15">
        <v>27411</v>
      </c>
      <c r="F916" s="16" t="s">
        <v>1142</v>
      </c>
      <c r="G916" s="21" t="s">
        <v>1143</v>
      </c>
      <c r="H916" s="17" t="s">
        <v>73</v>
      </c>
      <c r="I916" s="33">
        <v>0</v>
      </c>
      <c r="J916" s="33">
        <f>2*3*20</f>
        <v>120</v>
      </c>
      <c r="K916" s="33"/>
      <c r="L916" s="33"/>
      <c r="M916" s="33">
        <f t="shared" si="167"/>
        <v>120</v>
      </c>
      <c r="N916" s="33">
        <f>IF(OR(H916="",H916="sif",H916="PM"),0,VLOOKUP(H916,[5]CU!$C$4:$H$255,6,FALSE))</f>
        <v>0.4</v>
      </c>
      <c r="O916" s="33">
        <f t="shared" si="168"/>
        <v>0</v>
      </c>
      <c r="P916" s="33">
        <f t="shared" si="168"/>
        <v>48</v>
      </c>
      <c r="Q916" s="33">
        <f t="shared" si="168"/>
        <v>0</v>
      </c>
      <c r="R916" s="33">
        <f t="shared" si="168"/>
        <v>0</v>
      </c>
      <c r="S916" s="34">
        <f t="shared" si="171"/>
        <v>48</v>
      </c>
      <c r="T916" s="35" t="s">
        <v>56</v>
      </c>
      <c r="U916" s="18" t="s">
        <v>330</v>
      </c>
      <c r="V916" s="18" t="str">
        <f>IF(OR($H916="",$H916="sif",$H916="PM"),"",VLOOKUP($H916,[5]CU!$C$5:$J$255,8,FALSE))</f>
        <v>3. Dépenses de fonctionnement</v>
      </c>
      <c r="W916" s="18" t="s">
        <v>1132</v>
      </c>
      <c r="X916" s="18" t="s">
        <v>192</v>
      </c>
      <c r="Y916" s="19" t="s">
        <v>32</v>
      </c>
      <c r="Z916" s="18" t="str">
        <f>A916 &amp; "-" &amp; VLOOKUP(A916,[4]PROGRAMMES!$E$1:$F$7,2,FALSE)</f>
        <v>2-Qualité des enseignements et des apprentissages</v>
      </c>
      <c r="AA916" s="19" t="str">
        <f>B916 &amp; "-" &amp; VLOOKUP(B916,[4]SOUSPROGRAMMES!$E$1:$F$44,2,FALSE)</f>
        <v>27- Introduction de l'enseignement bilingue Français-langues nationales au primaire</v>
      </c>
      <c r="AB916" s="19" t="str">
        <f>C916 &amp; "-" &amp; VLOOKUP(C916,[4]RESULTATS!$E$1:$F$176,2,FALSE)</f>
        <v xml:space="preserve">274-Les acteurs et partenaires adhèrent à l’approche l’enseignement  et de l’apprentissage des langues nationales </v>
      </c>
      <c r="AC916" s="20" t="str">
        <f>D916 &amp; "-" &amp; VLOOKUP(D916,[4]STRATEGIES!$E$1:$F$504,2,FALSE)</f>
        <v>2741-Sensibilisation de tous les acteurs et partenaires</v>
      </c>
      <c r="AD916" s="21" t="str">
        <f t="shared" si="170"/>
        <v>27411-Conception et diffusion de messages radio/télé, affiches, etc.</v>
      </c>
    </row>
    <row r="917" spans="1:30" s="22" customFormat="1" ht="45" hidden="1" customHeight="1" x14ac:dyDescent="0.8">
      <c r="A917" s="14">
        <v>2</v>
      </c>
      <c r="B917" s="15">
        <v>27</v>
      </c>
      <c r="C917" s="15">
        <v>274</v>
      </c>
      <c r="D917" s="15">
        <v>2741</v>
      </c>
      <c r="E917" s="15">
        <v>27412</v>
      </c>
      <c r="F917" s="16" t="s">
        <v>1144</v>
      </c>
      <c r="G917" s="21" t="s">
        <v>1128</v>
      </c>
      <c r="H917" s="17" t="s">
        <v>59</v>
      </c>
      <c r="I917" s="33">
        <v>0</v>
      </c>
      <c r="J917" s="33">
        <f>4*6*8</f>
        <v>192</v>
      </c>
      <c r="K917" s="33"/>
      <c r="L917" s="33"/>
      <c r="M917" s="33">
        <f t="shared" si="167"/>
        <v>192</v>
      </c>
      <c r="N917" s="33">
        <f>IF(OR(H917="",H917="sif",H917="PM"),0,VLOOKUP(H917,[5]CU!$C$4:$H$255,6,FALSE))</f>
        <v>0.8177777777777776</v>
      </c>
      <c r="O917" s="33">
        <f t="shared" si="168"/>
        <v>0</v>
      </c>
      <c r="P917" s="33">
        <f t="shared" si="168"/>
        <v>157.01333333333329</v>
      </c>
      <c r="Q917" s="33">
        <f t="shared" si="168"/>
        <v>0</v>
      </c>
      <c r="R917" s="33">
        <f t="shared" si="168"/>
        <v>0</v>
      </c>
      <c r="S917" s="34">
        <f t="shared" si="171"/>
        <v>157.01333333333329</v>
      </c>
      <c r="T917" s="35" t="s">
        <v>56</v>
      </c>
      <c r="U917" s="18" t="s">
        <v>330</v>
      </c>
      <c r="V917" s="18" t="str">
        <f>IF(OR($H917="",$H917="sif",$H917="PM"),"",VLOOKUP($H917,[5]CU!$C$5:$J$255,8,FALSE))</f>
        <v>3. Dépenses de fonctionnement</v>
      </c>
      <c r="W917" s="18" t="s">
        <v>1132</v>
      </c>
      <c r="X917" s="18" t="s">
        <v>192</v>
      </c>
      <c r="Y917" s="19" t="s">
        <v>32</v>
      </c>
      <c r="Z917" s="18" t="str">
        <f>A917 &amp; "-" &amp; VLOOKUP(A917,[4]PROGRAMMES!$E$1:$F$7,2,FALSE)</f>
        <v>2-Qualité des enseignements et des apprentissages</v>
      </c>
      <c r="AA917" s="19" t="str">
        <f>B917 &amp; "-" &amp; VLOOKUP(B917,[4]SOUSPROGRAMMES!$E$1:$F$44,2,FALSE)</f>
        <v>27- Introduction de l'enseignement bilingue Français-langues nationales au primaire</v>
      </c>
      <c r="AB917" s="19" t="str">
        <f>C917 &amp; "-" &amp; VLOOKUP(C917,[4]RESULTATS!$E$1:$F$176,2,FALSE)</f>
        <v xml:space="preserve">274-Les acteurs et partenaires adhèrent à l’approche l’enseignement  et de l’apprentissage des langues nationales </v>
      </c>
      <c r="AC917" s="20" t="str">
        <f>D917 &amp; "-" &amp; VLOOKUP(D917,[4]STRATEGIES!$E$1:$F$504,2,FALSE)</f>
        <v>2741-Sensibilisation de tous les acteurs et partenaires</v>
      </c>
      <c r="AD917" s="21" t="str">
        <f t="shared" si="170"/>
        <v>27412-Organisation de plaidoyers</v>
      </c>
    </row>
    <row r="918" spans="1:30" s="22" customFormat="1" ht="45" hidden="1" customHeight="1" x14ac:dyDescent="0.8">
      <c r="A918" s="14">
        <v>2</v>
      </c>
      <c r="B918" s="15">
        <v>27</v>
      </c>
      <c r="C918" s="15">
        <v>274</v>
      </c>
      <c r="D918" s="15">
        <v>2741</v>
      </c>
      <c r="E918" s="15">
        <v>27413</v>
      </c>
      <c r="F918" s="16" t="s">
        <v>1145</v>
      </c>
      <c r="G918" s="21" t="s">
        <v>1079</v>
      </c>
      <c r="H918" s="17" t="s">
        <v>66</v>
      </c>
      <c r="I918" s="33">
        <v>0</v>
      </c>
      <c r="J918" s="33"/>
      <c r="K918" s="33">
        <f>20*6</f>
        <v>120</v>
      </c>
      <c r="L918" s="33"/>
      <c r="M918" s="33">
        <f t="shared" si="167"/>
        <v>120</v>
      </c>
      <c r="N918" s="33">
        <f>IF(OR(H918="",H918="sif",H918="PM"),0,VLOOKUP(H918,[5]CU!$C$4:$H$255,6,FALSE))</f>
        <v>0.255</v>
      </c>
      <c r="O918" s="33">
        <f t="shared" si="168"/>
        <v>0</v>
      </c>
      <c r="P918" s="33">
        <f t="shared" si="168"/>
        <v>0</v>
      </c>
      <c r="Q918" s="33">
        <f t="shared" si="168"/>
        <v>30.6</v>
      </c>
      <c r="R918" s="33">
        <f t="shared" si="168"/>
        <v>0</v>
      </c>
      <c r="S918" s="34">
        <f t="shared" si="171"/>
        <v>30.6</v>
      </c>
      <c r="T918" s="35" t="s">
        <v>56</v>
      </c>
      <c r="U918" s="18" t="s">
        <v>330</v>
      </c>
      <c r="V918" s="18" t="str">
        <f>IF(OR($H918="",$H918="sif",$H918="PM"),"",VLOOKUP($H918,[5]CU!$C$5:$J$255,8,FALSE))</f>
        <v>3. Dépenses de fonctionnement</v>
      </c>
      <c r="W918" s="18" t="s">
        <v>1132</v>
      </c>
      <c r="X918" s="18" t="s">
        <v>192</v>
      </c>
      <c r="Y918" s="19" t="s">
        <v>32</v>
      </c>
      <c r="Z918" s="18" t="str">
        <f>A918 &amp; "-" &amp; VLOOKUP(A918,[4]PROGRAMMES!$E$1:$F$7,2,FALSE)</f>
        <v>2-Qualité des enseignements et des apprentissages</v>
      </c>
      <c r="AA918" s="19" t="str">
        <f>B918 &amp; "-" &amp; VLOOKUP(B918,[4]SOUSPROGRAMMES!$E$1:$F$44,2,FALSE)</f>
        <v>27- Introduction de l'enseignement bilingue Français-langues nationales au primaire</v>
      </c>
      <c r="AB918" s="19" t="str">
        <f>C918 &amp; "-" &amp; VLOOKUP(C918,[4]RESULTATS!$E$1:$F$176,2,FALSE)</f>
        <v xml:space="preserve">274-Les acteurs et partenaires adhèrent à l’approche l’enseignement  et de l’apprentissage des langues nationales </v>
      </c>
      <c r="AC918" s="20" t="str">
        <f>D918 &amp; "-" &amp; VLOOKUP(D918,[4]STRATEGIES!$E$1:$F$504,2,FALSE)</f>
        <v>2741-Sensibilisation de tous les acteurs et partenaires</v>
      </c>
      <c r="AD918" s="21" t="str">
        <f t="shared" si="170"/>
        <v>27413-Bilan du processus</v>
      </c>
    </row>
    <row r="919" spans="1:30" s="22" customFormat="1" ht="45" hidden="1" customHeight="1" x14ac:dyDescent="0.8">
      <c r="A919" s="14">
        <v>2</v>
      </c>
      <c r="B919" s="15">
        <v>27</v>
      </c>
      <c r="C919" s="15">
        <v>275</v>
      </c>
      <c r="D919" s="15">
        <v>275</v>
      </c>
      <c r="E919" s="15">
        <v>275</v>
      </c>
      <c r="F919" s="16" t="s">
        <v>1146</v>
      </c>
      <c r="G919" s="17"/>
      <c r="H919" s="17"/>
      <c r="I919" s="33">
        <v>0</v>
      </c>
      <c r="J919" s="33"/>
      <c r="K919" s="33"/>
      <c r="L919" s="33"/>
      <c r="M919" s="33"/>
      <c r="N919" s="33"/>
      <c r="O919" s="33"/>
      <c r="P919" s="33"/>
      <c r="Q919" s="33"/>
      <c r="R919" s="33"/>
      <c r="S919" s="34"/>
      <c r="T919" s="33"/>
      <c r="U919" s="18"/>
      <c r="V919" s="18"/>
      <c r="W919" s="18"/>
      <c r="X919" s="18"/>
      <c r="Y919" s="19" t="s">
        <v>32</v>
      </c>
      <c r="Z919" s="18" t="str">
        <f>A919 &amp; "-" &amp; VLOOKUP(A919,[4]PROGRAMMES!$E$1:$F$7,2,FALSE)</f>
        <v>2-Qualité des enseignements et des apprentissages</v>
      </c>
      <c r="AA919" s="19" t="str">
        <f>B919 &amp; "-" &amp; VLOOKUP(B919,[4]SOUSPROGRAMMES!$E$1:$F$44,2,FALSE)</f>
        <v>27- Introduction de l'enseignement bilingue Français-langues nationales au primaire</v>
      </c>
      <c r="AB919" s="19" t="str">
        <f>C919 &amp; "-" &amp; VLOOKUP(C919,[4]RESULTATS!$E$1:$F$176,2,FALSE)</f>
        <v>275- L’utilisation des langues nationales dans l’enseignement et l’apprentissage est effective</v>
      </c>
      <c r="AC919" s="20" t="str">
        <f>D919 &amp; "-" &amp; VLOOKUP(D919,[4]STRATEGIES!$E$1:$F$504,2,FALSE)</f>
        <v>275- L’utilisation des langues nationales dans l’enseignement et l’apprentissage est effective</v>
      </c>
      <c r="AD919" s="21" t="str">
        <f t="shared" si="170"/>
        <v>275- L’utilisation des langues nationales dans l’enseignement et l’apprentissage est effective</v>
      </c>
    </row>
    <row r="920" spans="1:30" s="22" customFormat="1" ht="45" hidden="1" customHeight="1" x14ac:dyDescent="0.8">
      <c r="A920" s="14">
        <v>2</v>
      </c>
      <c r="B920" s="15">
        <v>27</v>
      </c>
      <c r="C920" s="15">
        <v>275</v>
      </c>
      <c r="D920" s="15">
        <v>2751</v>
      </c>
      <c r="E920" s="15">
        <v>2751</v>
      </c>
      <c r="F920" s="16" t="s">
        <v>1147</v>
      </c>
      <c r="G920" s="17"/>
      <c r="H920" s="17"/>
      <c r="I920" s="33">
        <v>0</v>
      </c>
      <c r="J920" s="33"/>
      <c r="K920" s="33"/>
      <c r="L920" s="33"/>
      <c r="M920" s="33"/>
      <c r="N920" s="33"/>
      <c r="O920" s="33"/>
      <c r="P920" s="33"/>
      <c r="Q920" s="33"/>
      <c r="R920" s="33"/>
      <c r="S920" s="34"/>
      <c r="T920" s="33"/>
      <c r="U920" s="18"/>
      <c r="V920" s="18"/>
      <c r="W920" s="18"/>
      <c r="X920" s="18"/>
      <c r="Y920" s="19" t="s">
        <v>32</v>
      </c>
      <c r="Z920" s="18" t="str">
        <f>A920 &amp; "-" &amp; VLOOKUP(A920,[4]PROGRAMMES!$E$1:$F$7,2,FALSE)</f>
        <v>2-Qualité des enseignements et des apprentissages</v>
      </c>
      <c r="AA920" s="19" t="str">
        <f>B920 &amp; "-" &amp; VLOOKUP(B920,[4]SOUSPROGRAMMES!$E$1:$F$44,2,FALSE)</f>
        <v>27- Introduction de l'enseignement bilingue Français-langues nationales au primaire</v>
      </c>
      <c r="AB920" s="19" t="str">
        <f>C920 &amp; "-" &amp; VLOOKUP(C920,[4]RESULTATS!$E$1:$F$176,2,FALSE)</f>
        <v>275- L’utilisation des langues nationales dans l’enseignement et l’apprentissage est effective</v>
      </c>
      <c r="AC920" s="20" t="str">
        <f>D920 &amp; "-" &amp; VLOOKUP(D920,[4]STRATEGIES!$E$1:$F$504,2,FALSE)</f>
        <v>2751-Les langues nationales sont généralisées progressivement dans les écoles</v>
      </c>
      <c r="AD920" s="21" t="str">
        <f t="shared" si="170"/>
        <v>2751-Les langues nationales sont généralisées progressivement dans les écoles</v>
      </c>
    </row>
    <row r="921" spans="1:30" s="22" customFormat="1" ht="45" hidden="1" customHeight="1" x14ac:dyDescent="0.8">
      <c r="A921" s="14">
        <v>2</v>
      </c>
      <c r="B921" s="15">
        <v>27</v>
      </c>
      <c r="C921" s="15">
        <v>275</v>
      </c>
      <c r="D921" s="15">
        <v>2751</v>
      </c>
      <c r="E921" s="15">
        <v>27511</v>
      </c>
      <c r="F921" s="16" t="s">
        <v>1148</v>
      </c>
      <c r="G921" s="21" t="s">
        <v>298</v>
      </c>
      <c r="H921" s="17" t="s">
        <v>38</v>
      </c>
      <c r="I921" s="33">
        <v>0</v>
      </c>
      <c r="J921" s="33"/>
      <c r="K921" s="33"/>
      <c r="L921" s="33">
        <f>15*10</f>
        <v>150</v>
      </c>
      <c r="M921" s="33">
        <f t="shared" si="167"/>
        <v>150</v>
      </c>
      <c r="N921" s="33">
        <f>IF(OR(H921="",H921="sif",H921="PM"),0,VLOOKUP(H921,[5]CU!$C$4:$H$255,6,FALSE))</f>
        <v>0.3133333333333333</v>
      </c>
      <c r="O921" s="33">
        <f t="shared" si="168"/>
        <v>0</v>
      </c>
      <c r="P921" s="33">
        <f t="shared" si="168"/>
        <v>0</v>
      </c>
      <c r="Q921" s="33">
        <f t="shared" si="168"/>
        <v>0</v>
      </c>
      <c r="R921" s="33">
        <f t="shared" si="168"/>
        <v>46.999999999999993</v>
      </c>
      <c r="S921" s="34">
        <f t="shared" si="171"/>
        <v>46.999999999999993</v>
      </c>
      <c r="T921" s="35" t="s">
        <v>56</v>
      </c>
      <c r="U921" s="18" t="s">
        <v>330</v>
      </c>
      <c r="V921" s="18" t="str">
        <f>IF(OR($H921="",$H921="sif",$H921="PM"),"",VLOOKUP($H921,[5]CU!$C$5:$J$255,8,FALSE))</f>
        <v>3. Formation</v>
      </c>
      <c r="W921" s="18" t="s">
        <v>1132</v>
      </c>
      <c r="X921" s="18" t="s">
        <v>192</v>
      </c>
      <c r="Y921" s="19" t="s">
        <v>32</v>
      </c>
      <c r="Z921" s="18" t="str">
        <f>A921 &amp; "-" &amp; VLOOKUP(A921,[4]PROGRAMMES!$E$1:$F$7,2,FALSE)</f>
        <v>2-Qualité des enseignements et des apprentissages</v>
      </c>
      <c r="AA921" s="19" t="str">
        <f>B921 &amp; "-" &amp; VLOOKUP(B921,[4]SOUSPROGRAMMES!$E$1:$F$44,2,FALSE)</f>
        <v>27- Introduction de l'enseignement bilingue Français-langues nationales au primaire</v>
      </c>
      <c r="AB921" s="19" t="str">
        <f>C921 &amp; "-" &amp; VLOOKUP(C921,[4]RESULTATS!$E$1:$F$176,2,FALSE)</f>
        <v>275- L’utilisation des langues nationales dans l’enseignement et l’apprentissage est effective</v>
      </c>
      <c r="AC921" s="20" t="str">
        <f>D921 &amp; "-" &amp; VLOOKUP(D921,[4]STRATEGIES!$E$1:$F$504,2,FALSE)</f>
        <v>2751-Les langues nationales sont généralisées progressivement dans les écoles</v>
      </c>
      <c r="AD921" s="21" t="str">
        <f t="shared" si="170"/>
        <v>27511-Elaboration des supports didactiques</v>
      </c>
    </row>
    <row r="922" spans="1:30" s="22" customFormat="1" ht="45" hidden="1" customHeight="1" x14ac:dyDescent="0.8">
      <c r="A922" s="14">
        <v>2</v>
      </c>
      <c r="B922" s="15">
        <v>27</v>
      </c>
      <c r="C922" s="15">
        <v>275</v>
      </c>
      <c r="D922" s="15">
        <v>2751</v>
      </c>
      <c r="E922" s="15">
        <v>27512</v>
      </c>
      <c r="F922" s="16" t="s">
        <v>1149</v>
      </c>
      <c r="G922" s="21" t="s">
        <v>1128</v>
      </c>
      <c r="H922" s="17" t="s">
        <v>59</v>
      </c>
      <c r="I922" s="33">
        <v>0</v>
      </c>
      <c r="J922" s="33"/>
      <c r="K922" s="33"/>
      <c r="L922" s="33">
        <f>3*38*10</f>
        <v>1140</v>
      </c>
      <c r="M922" s="33">
        <f t="shared" si="167"/>
        <v>1140</v>
      </c>
      <c r="N922" s="33">
        <f>IF(OR(H922="",H922="sif",H922="PM"),0,VLOOKUP(H922,[5]CU!$C$4:$H$255,6,FALSE))</f>
        <v>0.8177777777777776</v>
      </c>
      <c r="O922" s="33">
        <f t="shared" si="168"/>
        <v>0</v>
      </c>
      <c r="P922" s="33">
        <f t="shared" si="168"/>
        <v>0</v>
      </c>
      <c r="Q922" s="33">
        <f t="shared" si="168"/>
        <v>0</v>
      </c>
      <c r="R922" s="33">
        <f t="shared" si="168"/>
        <v>932.26666666666642</v>
      </c>
      <c r="S922" s="34">
        <f t="shared" si="171"/>
        <v>932.26666666666642</v>
      </c>
      <c r="T922" s="35" t="s">
        <v>56</v>
      </c>
      <c r="U922" s="18" t="s">
        <v>330</v>
      </c>
      <c r="V922" s="18" t="str">
        <f>IF(OR($H922="",$H922="sif",$H922="PM"),"",VLOOKUP($H922,[5]CU!$C$5:$J$255,8,FALSE))</f>
        <v>3. Dépenses de fonctionnement</v>
      </c>
      <c r="W922" s="18" t="s">
        <v>192</v>
      </c>
      <c r="X922" s="18" t="s">
        <v>192</v>
      </c>
      <c r="Y922" s="19" t="s">
        <v>32</v>
      </c>
      <c r="Z922" s="18" t="str">
        <f>A922 &amp; "-" &amp; VLOOKUP(A922,[4]PROGRAMMES!$E$1:$F$7,2,FALSE)</f>
        <v>2-Qualité des enseignements et des apprentissages</v>
      </c>
      <c r="AA922" s="19" t="str">
        <f>B922 &amp; "-" &amp; VLOOKUP(B922,[4]SOUSPROGRAMMES!$E$1:$F$44,2,FALSE)</f>
        <v>27- Introduction de l'enseignement bilingue Français-langues nationales au primaire</v>
      </c>
      <c r="AB922" s="19" t="str">
        <f>C922 &amp; "-" &amp; VLOOKUP(C922,[4]RESULTATS!$E$1:$F$176,2,FALSE)</f>
        <v>275- L’utilisation des langues nationales dans l’enseignement et l’apprentissage est effective</v>
      </c>
      <c r="AC922" s="20" t="str">
        <f>D922 &amp; "-" &amp; VLOOKUP(D922,[4]STRATEGIES!$E$1:$F$504,2,FALSE)</f>
        <v>2751-Les langues nationales sont généralisées progressivement dans les écoles</v>
      </c>
      <c r="AD922" s="21" t="str">
        <f t="shared" si="170"/>
        <v>27512-Dissémination des supports didactiques</v>
      </c>
    </row>
    <row r="923" spans="1:30" s="22" customFormat="1" ht="45" hidden="1" customHeight="1" x14ac:dyDescent="0.8">
      <c r="A923" s="14">
        <v>2</v>
      </c>
      <c r="B923" s="15">
        <v>27</v>
      </c>
      <c r="C923" s="15">
        <v>275</v>
      </c>
      <c r="D923" s="15">
        <v>2751</v>
      </c>
      <c r="E923" s="15">
        <v>27513</v>
      </c>
      <c r="F923" s="16" t="s">
        <v>1150</v>
      </c>
      <c r="G923" s="21" t="s">
        <v>298</v>
      </c>
      <c r="H923" s="17" t="s">
        <v>52</v>
      </c>
      <c r="I923" s="33">
        <v>0</v>
      </c>
      <c r="J923" s="33"/>
      <c r="K923" s="33"/>
      <c r="L923" s="33">
        <f>(46*2) +(38*4)</f>
        <v>244</v>
      </c>
      <c r="M923" s="33">
        <f t="shared" si="167"/>
        <v>244</v>
      </c>
      <c r="N923" s="33">
        <f>IF(OR(H923="",H923="sif",H923="PM"),0,VLOOKUP(H923,[5]CU!$C$4:$H$255,6,FALSE))</f>
        <v>1.5</v>
      </c>
      <c r="O923" s="33">
        <f t="shared" si="168"/>
        <v>0</v>
      </c>
      <c r="P923" s="33">
        <f t="shared" si="168"/>
        <v>0</v>
      </c>
      <c r="Q923" s="33">
        <f t="shared" si="168"/>
        <v>0</v>
      </c>
      <c r="R923" s="33">
        <f t="shared" si="168"/>
        <v>366</v>
      </c>
      <c r="S923" s="34">
        <f t="shared" si="171"/>
        <v>366</v>
      </c>
      <c r="T923" s="35" t="s">
        <v>56</v>
      </c>
      <c r="U923" s="18" t="s">
        <v>330</v>
      </c>
      <c r="V923" s="18" t="str">
        <f>IF(OR($H923="",$H923="sif",$H923="PM"),"",VLOOKUP($H923,[5]CU!$C$5:$J$255,8,FALSE))</f>
        <v>3. Formation</v>
      </c>
      <c r="W923" s="18" t="s">
        <v>192</v>
      </c>
      <c r="X923" s="18" t="s">
        <v>192</v>
      </c>
      <c r="Y923" s="19" t="s">
        <v>32</v>
      </c>
      <c r="Z923" s="18" t="str">
        <f>A923 &amp; "-" &amp; VLOOKUP(A923,[4]PROGRAMMES!$E$1:$F$7,2,FALSE)</f>
        <v>2-Qualité des enseignements et des apprentissages</v>
      </c>
      <c r="AA923" s="19" t="str">
        <f>B923 &amp; "-" &amp; VLOOKUP(B923,[4]SOUSPROGRAMMES!$E$1:$F$44,2,FALSE)</f>
        <v>27- Introduction de l'enseignement bilingue Français-langues nationales au primaire</v>
      </c>
      <c r="AB923" s="19" t="str">
        <f>C923 &amp; "-" &amp; VLOOKUP(C923,[4]RESULTATS!$E$1:$F$176,2,FALSE)</f>
        <v>275- L’utilisation des langues nationales dans l’enseignement et l’apprentissage est effective</v>
      </c>
      <c r="AC923" s="20" t="str">
        <f>D923 &amp; "-" &amp; VLOOKUP(D923,[4]STRATEGIES!$E$1:$F$504,2,FALSE)</f>
        <v>2751-Les langues nationales sont généralisées progressivement dans les écoles</v>
      </c>
      <c r="AD923" s="21" t="str">
        <f t="shared" si="170"/>
        <v>27513-Formation des enseignants et encadreurs</v>
      </c>
    </row>
    <row r="924" spans="1:30" s="22" customFormat="1" ht="15" hidden="1" customHeight="1" x14ac:dyDescent="0.8">
      <c r="A924" s="14">
        <v>3</v>
      </c>
      <c r="B924" s="15">
        <v>3</v>
      </c>
      <c r="C924" s="15">
        <v>3</v>
      </c>
      <c r="D924" s="15">
        <v>3</v>
      </c>
      <c r="E924" s="15">
        <v>3</v>
      </c>
      <c r="F924" s="16" t="s">
        <v>1151</v>
      </c>
      <c r="G924" s="17"/>
      <c r="H924" s="17"/>
      <c r="I924" s="33">
        <v>0</v>
      </c>
      <c r="J924" s="33"/>
      <c r="K924" s="33"/>
      <c r="L924" s="33"/>
      <c r="M924" s="33"/>
      <c r="N924" s="33"/>
      <c r="O924" s="33"/>
      <c r="P924" s="33"/>
      <c r="Q924" s="33"/>
      <c r="R924" s="33"/>
      <c r="S924" s="34"/>
      <c r="T924" s="33"/>
      <c r="U924" s="18"/>
      <c r="V924" s="18"/>
      <c r="W924" s="18"/>
      <c r="X924" s="18"/>
      <c r="Y924" s="18" t="s">
        <v>677</v>
      </c>
      <c r="Z924" s="18" t="str">
        <f>A924 &amp; "-" &amp; VLOOKUP(A924,[4]PROGRAMMES!$E$1:$F$7,2,FALSE)</f>
        <v>3-Expansion et réforme de l’ETFP</v>
      </c>
      <c r="AA924" s="19" t="str">
        <f>B924 &amp; "-" &amp; VLOOKUP(B924,[4]SOUSPROGRAMMES!$E$1:$F$44,2,FALSE)</f>
        <v>3-Expansion et réforme de l’ETFP</v>
      </c>
      <c r="AB924" s="19" t="str">
        <f>C924 &amp; "-" &amp; VLOOKUP(C924,[4]RESULTATS!$E$1:$F$176,2,FALSE)</f>
        <v>3-Expansion et réforme de l’ETFP</v>
      </c>
      <c r="AC924" s="20" t="str">
        <f>D924 &amp; "-" &amp; VLOOKUP(D924,[4]STRATEGIES!$E$1:$F$504,2,FALSE)</f>
        <v>3-Expansion et réforme de l’ETFP</v>
      </c>
      <c r="AD924" s="21" t="str">
        <f t="shared" si="170"/>
        <v>3-Expansion et réforme de l’ETFP</v>
      </c>
    </row>
    <row r="925" spans="1:30" s="22" customFormat="1" ht="30" hidden="1" customHeight="1" x14ac:dyDescent="0.8">
      <c r="A925" s="14">
        <v>3</v>
      </c>
      <c r="B925" s="15">
        <v>31</v>
      </c>
      <c r="C925" s="15">
        <v>31</v>
      </c>
      <c r="D925" s="15">
        <v>31</v>
      </c>
      <c r="E925" s="15">
        <v>31</v>
      </c>
      <c r="F925" s="16" t="s">
        <v>1152</v>
      </c>
      <c r="G925" s="17"/>
      <c r="H925" s="17"/>
      <c r="I925" s="33">
        <v>0</v>
      </c>
      <c r="J925" s="33"/>
      <c r="K925" s="33"/>
      <c r="L925" s="33"/>
      <c r="M925" s="33"/>
      <c r="N925" s="33"/>
      <c r="O925" s="33"/>
      <c r="P925" s="33"/>
      <c r="Q925" s="33"/>
      <c r="R925" s="33"/>
      <c r="S925" s="34"/>
      <c r="T925" s="33"/>
      <c r="U925" s="18"/>
      <c r="V925" s="18"/>
      <c r="W925" s="18"/>
      <c r="X925" s="18"/>
      <c r="Y925" s="18" t="s">
        <v>677</v>
      </c>
      <c r="Z925" s="18" t="str">
        <f>A925 &amp; "-" &amp; VLOOKUP(A925,[4]PROGRAMMES!$E$1:$F$7,2,FALSE)</f>
        <v>3-Expansion et réforme de l’ETFP</v>
      </c>
      <c r="AA925" s="19" t="str">
        <f>B925 &amp; "-" &amp; VLOOKUP(B925,[4]SOUSPROGRAMMES!$E$1:$F$44,2,FALSE)</f>
        <v>31- Identification des besoins en qualification de l’économie</v>
      </c>
      <c r="AB925" s="19" t="str">
        <f>C925 &amp; "-" &amp; VLOOKUP(C925,[4]RESULTATS!$E$1:$F$176,2,FALSE)</f>
        <v>31- Identification des besoins en qualification de l’économie</v>
      </c>
      <c r="AC925" s="20" t="str">
        <f>D925 &amp; "-" &amp; VLOOKUP(D925,[4]STRATEGIES!$E$1:$F$504,2,FALSE)</f>
        <v>31- Identification des besoins en qualification de l’économie</v>
      </c>
      <c r="AD925" s="21" t="str">
        <f t="shared" si="170"/>
        <v>31-Identification des besoins en qualification de l’économie</v>
      </c>
    </row>
    <row r="926" spans="1:30" s="22" customFormat="1" ht="30" hidden="1" customHeight="1" x14ac:dyDescent="0.8">
      <c r="A926" s="14">
        <v>3</v>
      </c>
      <c r="B926" s="15">
        <v>31</v>
      </c>
      <c r="C926" s="15">
        <v>311</v>
      </c>
      <c r="D926" s="15">
        <v>311</v>
      </c>
      <c r="E926" s="15">
        <v>311</v>
      </c>
      <c r="F926" s="16" t="s">
        <v>1153</v>
      </c>
      <c r="G926" s="17"/>
      <c r="H926" s="17"/>
      <c r="I926" s="33">
        <v>0</v>
      </c>
      <c r="J926" s="33"/>
      <c r="K926" s="33"/>
      <c r="L926" s="33"/>
      <c r="M926" s="33"/>
      <c r="N926" s="33"/>
      <c r="O926" s="33"/>
      <c r="P926" s="33"/>
      <c r="Q926" s="33"/>
      <c r="R926" s="33"/>
      <c r="S926" s="34"/>
      <c r="T926" s="33"/>
      <c r="U926" s="18"/>
      <c r="V926" s="18"/>
      <c r="W926" s="18"/>
      <c r="X926" s="18"/>
      <c r="Y926" s="18" t="s">
        <v>677</v>
      </c>
      <c r="Z926" s="18" t="str">
        <f>A926 &amp; "-" &amp; VLOOKUP(A926,[4]PROGRAMMES!$E$1:$F$7,2,FALSE)</f>
        <v>3-Expansion et réforme de l’ETFP</v>
      </c>
      <c r="AA926" s="19" t="str">
        <f>B926 &amp; "-" &amp; VLOOKUP(B926,[4]SOUSPROGRAMMES!$E$1:$F$44,2,FALSE)</f>
        <v>31- Identification des besoins en qualification de l’économie</v>
      </c>
      <c r="AB926" s="19" t="str">
        <f>C926 &amp; "-" &amp; VLOOKUP(C926,[4]RESULTATS!$E$1:$F$176,2,FALSE)</f>
        <v>311- Les besoins en compétence des secteurs prioritaires sont identifiés</v>
      </c>
      <c r="AC926" s="20" t="str">
        <f>D926 &amp; "-" &amp; VLOOKUP(D926,[4]STRATEGIES!$E$1:$F$504,2,FALSE)</f>
        <v>311- Les besoins en compétence des secteurs prioritaires sont identifiés</v>
      </c>
      <c r="AD926" s="21" t="str">
        <f t="shared" si="170"/>
        <v>311-Les besoins en compétence des secteurs prioritaires sont identifiés</v>
      </c>
    </row>
    <row r="927" spans="1:30" s="22" customFormat="1" ht="30" hidden="1" customHeight="1" x14ac:dyDescent="0.8">
      <c r="A927" s="14">
        <v>3</v>
      </c>
      <c r="B927" s="15">
        <v>31</v>
      </c>
      <c r="C927" s="15">
        <v>311</v>
      </c>
      <c r="D927" s="15">
        <v>3111</v>
      </c>
      <c r="E927" s="15">
        <v>3111</v>
      </c>
      <c r="F927" s="16" t="s">
        <v>1154</v>
      </c>
      <c r="G927" s="17"/>
      <c r="H927" s="17"/>
      <c r="I927" s="33">
        <v>0</v>
      </c>
      <c r="J927" s="33"/>
      <c r="K927" s="33"/>
      <c r="L927" s="33"/>
      <c r="M927" s="33"/>
      <c r="N927" s="33"/>
      <c r="O927" s="33"/>
      <c r="P927" s="33"/>
      <c r="Q927" s="33"/>
      <c r="R927" s="33"/>
      <c r="S927" s="34"/>
      <c r="T927" s="33"/>
      <c r="U927" s="18"/>
      <c r="V927" s="18"/>
      <c r="W927" s="18"/>
      <c r="X927" s="18"/>
      <c r="Y927" s="18" t="s">
        <v>677</v>
      </c>
      <c r="Z927" s="18" t="str">
        <f>A927 &amp; "-" &amp; VLOOKUP(A927,[4]PROGRAMMES!$E$1:$F$7,2,FALSE)</f>
        <v>3-Expansion et réforme de l’ETFP</v>
      </c>
      <c r="AA927" s="19" t="str">
        <f>B927 &amp; "-" &amp; VLOOKUP(B927,[4]SOUSPROGRAMMES!$E$1:$F$44,2,FALSE)</f>
        <v>31- Identification des besoins en qualification de l’économie</v>
      </c>
      <c r="AB927" s="19" t="str">
        <f>C927 &amp; "-" &amp; VLOOKUP(C927,[4]RESULTATS!$E$1:$F$176,2,FALSE)</f>
        <v>311- Les besoins en compétence des secteurs prioritaires sont identifiés</v>
      </c>
      <c r="AC927" s="20" t="str">
        <f>D927 &amp; "-" &amp; VLOOKUP(D927,[4]STRATEGIES!$E$1:$F$504,2,FALSE)</f>
        <v>3111-Réalisation d’études d'identification impliquant tous les acteurs à tous les niveaux</v>
      </c>
      <c r="AD927" s="21" t="str">
        <f t="shared" si="170"/>
        <v>3111-Réalisation d’études d'identification impliquant tous les acteurs à tous les niveaux</v>
      </c>
    </row>
    <row r="928" spans="1:30" ht="60" hidden="1" customHeight="1" x14ac:dyDescent="0.8">
      <c r="A928" s="25">
        <v>3</v>
      </c>
      <c r="B928" s="16">
        <v>31</v>
      </c>
      <c r="C928" s="16">
        <v>311</v>
      </c>
      <c r="D928" s="16">
        <v>3111</v>
      </c>
      <c r="E928" s="16">
        <v>31111</v>
      </c>
      <c r="F928" s="16" t="s">
        <v>1155</v>
      </c>
      <c r="G928" s="21" t="s">
        <v>167</v>
      </c>
      <c r="H928" s="21" t="s">
        <v>646</v>
      </c>
      <c r="I928" s="36">
        <v>0</v>
      </c>
      <c r="J928" s="36">
        <v>0</v>
      </c>
      <c r="K928" s="36"/>
      <c r="L928" s="36"/>
      <c r="M928" s="36">
        <f t="shared" si="167"/>
        <v>0</v>
      </c>
      <c r="N928" s="36">
        <f>IF(OR(H928="",H928="sif",H928="PM"),0,VLOOKUP(H928,[5]CU!$C$4:$H$255,6,FALSE))</f>
        <v>10.404797</v>
      </c>
      <c r="O928" s="36">
        <f t="shared" si="168"/>
        <v>0</v>
      </c>
      <c r="P928" s="36">
        <f t="shared" si="168"/>
        <v>0</v>
      </c>
      <c r="Q928" s="36">
        <f t="shared" si="168"/>
        <v>0</v>
      </c>
      <c r="R928" s="36">
        <f t="shared" si="168"/>
        <v>0</v>
      </c>
      <c r="S928" s="37">
        <f t="shared" si="171"/>
        <v>0</v>
      </c>
      <c r="T928" s="38" t="s">
        <v>56</v>
      </c>
      <c r="U928" s="19" t="s">
        <v>1156</v>
      </c>
      <c r="V928" s="19" t="str">
        <f>IF(OR($H928="",$H928="sif",$H928="PM"),"",VLOOKUP($H928,[5]CU!$C$5:$J$255,8,FALSE))</f>
        <v>3. Dépenses de fonctionnement</v>
      </c>
      <c r="W928" s="19" t="s">
        <v>96</v>
      </c>
      <c r="X928" s="19" t="s">
        <v>1157</v>
      </c>
      <c r="Y928" s="19" t="s">
        <v>677</v>
      </c>
      <c r="Z928" s="19" t="str">
        <f>A928 &amp; "-" &amp; VLOOKUP(A928,[4]PROGRAMMES!$E$1:$F$7,2,FALSE)</f>
        <v>3-Expansion et réforme de l’ETFP</v>
      </c>
      <c r="AA928" s="19" t="str">
        <f>B928 &amp; "-" &amp; VLOOKUP(B928,[4]SOUSPROGRAMMES!$E$1:$F$44,2,FALSE)</f>
        <v>31- Identification des besoins en qualification de l’économie</v>
      </c>
      <c r="AB928" s="19" t="str">
        <f>C928 &amp; "-" &amp; VLOOKUP(C928,[4]RESULTATS!$E$1:$F$176,2,FALSE)</f>
        <v>311- Les besoins en compétence des secteurs prioritaires sont identifiés</v>
      </c>
      <c r="AC928" s="20" t="str">
        <f>D928 &amp; "-" &amp; VLOOKUP(D928,[4]STRATEGIES!$E$1:$F$504,2,FALSE)</f>
        <v>3111-Réalisation d’études d'identification impliquant tous les acteurs à tous les niveaux</v>
      </c>
      <c r="AD928" s="21" t="str">
        <f t="shared" si="170"/>
        <v>31111-Appui à l'identification des études à mener et élaboration des TDR (y compris les données pouvant être régulièrement collectées)</v>
      </c>
    </row>
    <row r="929" spans="1:30" ht="60" hidden="1" customHeight="1" x14ac:dyDescent="0.8">
      <c r="A929" s="25">
        <v>3</v>
      </c>
      <c r="B929" s="16">
        <v>31</v>
      </c>
      <c r="C929" s="16">
        <v>311</v>
      </c>
      <c r="D929" s="16">
        <v>3111</v>
      </c>
      <c r="E929" s="16">
        <v>31112</v>
      </c>
      <c r="F929" s="16" t="s">
        <v>1158</v>
      </c>
      <c r="G929" s="21" t="s">
        <v>167</v>
      </c>
      <c r="H929" s="21" t="s">
        <v>662</v>
      </c>
      <c r="I929" s="36">
        <v>0</v>
      </c>
      <c r="J929" s="36">
        <v>0</v>
      </c>
      <c r="K929" s="36">
        <v>6</v>
      </c>
      <c r="L929" s="36">
        <v>0</v>
      </c>
      <c r="M929" s="36">
        <f t="shared" si="167"/>
        <v>6</v>
      </c>
      <c r="N929" s="36">
        <f>IF(OR(H929="",H929="sif",H929="PM"),0,VLOOKUP(H929,[5]CU!$C$4:$H$255,6,FALSE))</f>
        <v>219.54797350000001</v>
      </c>
      <c r="O929" s="36">
        <f t="shared" si="168"/>
        <v>0</v>
      </c>
      <c r="P929" s="36">
        <f t="shared" si="168"/>
        <v>0</v>
      </c>
      <c r="Q929" s="36">
        <f t="shared" si="168"/>
        <v>1317.2878410000001</v>
      </c>
      <c r="R929" s="36">
        <f t="shared" si="168"/>
        <v>0</v>
      </c>
      <c r="S929" s="37">
        <f t="shared" si="171"/>
        <v>1317.2878410000001</v>
      </c>
      <c r="T929" s="38" t="s">
        <v>169</v>
      </c>
      <c r="U929" s="19" t="s">
        <v>1156</v>
      </c>
      <c r="V929" s="19" t="str">
        <f>IF(OR($H929="",$H929="sif",$H929="PM"),"",VLOOKUP($H929,[5]CU!$C$5:$J$255,8,FALSE))</f>
        <v>3. Dépenses de fonctionnement</v>
      </c>
      <c r="W929" s="19" t="s">
        <v>96</v>
      </c>
      <c r="X929" s="19" t="s">
        <v>1157</v>
      </c>
      <c r="Y929" s="19" t="s">
        <v>677</v>
      </c>
      <c r="Z929" s="19" t="str">
        <f>A929 &amp; "-" &amp; VLOOKUP(A929,[4]PROGRAMMES!$E$1:$F$7,2,FALSE)</f>
        <v>3-Expansion et réforme de l’ETFP</v>
      </c>
      <c r="AA929" s="19" t="str">
        <f>B929 &amp; "-" &amp; VLOOKUP(B929,[4]SOUSPROGRAMMES!$E$1:$F$44,2,FALSE)</f>
        <v>31- Identification des besoins en qualification de l’économie</v>
      </c>
      <c r="AB929" s="19" t="str">
        <f>C929 &amp; "-" &amp; VLOOKUP(C929,[4]RESULTATS!$E$1:$F$176,2,FALSE)</f>
        <v>311- Les besoins en compétence des secteurs prioritaires sont identifiés</v>
      </c>
      <c r="AC929" s="20" t="str">
        <f>D929 &amp; "-" &amp; VLOOKUP(D929,[4]STRATEGIES!$E$1:$F$504,2,FALSE)</f>
        <v>3111-Réalisation d’études d'identification impliquant tous les acteurs à tous les niveaux</v>
      </c>
      <c r="AD929" s="21" t="str">
        <f t="shared" si="170"/>
        <v>31112-Etudes sur les besoins des secteurs prioritaires</v>
      </c>
    </row>
    <row r="930" spans="1:30" ht="60" hidden="1" customHeight="1" x14ac:dyDescent="0.8">
      <c r="A930" s="25">
        <v>3</v>
      </c>
      <c r="B930" s="16">
        <v>31</v>
      </c>
      <c r="C930" s="16">
        <v>311</v>
      </c>
      <c r="D930" s="16">
        <v>3111</v>
      </c>
      <c r="E930" s="16">
        <v>31113</v>
      </c>
      <c r="F930" s="16" t="s">
        <v>1159</v>
      </c>
      <c r="G930" s="21" t="s">
        <v>1160</v>
      </c>
      <c r="H930" s="21" t="s">
        <v>59</v>
      </c>
      <c r="I930" s="36">
        <v>0</v>
      </c>
      <c r="J930" s="36">
        <f>1*4*2</f>
        <v>8</v>
      </c>
      <c r="K930" s="36">
        <v>1</v>
      </c>
      <c r="L930" s="36"/>
      <c r="M930" s="36">
        <f t="shared" si="167"/>
        <v>9</v>
      </c>
      <c r="N930" s="36">
        <f>IF(OR(H930="",H930="sif",H930="PM"),0,VLOOKUP(H930,[5]CU!$C$4:$H$255,6,FALSE))</f>
        <v>0.8177777777777776</v>
      </c>
      <c r="O930" s="36">
        <f t="shared" si="168"/>
        <v>0</v>
      </c>
      <c r="P930" s="36">
        <f t="shared" si="168"/>
        <v>6.5422222222222208</v>
      </c>
      <c r="Q930" s="36">
        <f t="shared" si="168"/>
        <v>0.8177777777777776</v>
      </c>
      <c r="R930" s="36">
        <f t="shared" si="168"/>
        <v>0</v>
      </c>
      <c r="S930" s="37">
        <f t="shared" si="171"/>
        <v>7.3599999999999985</v>
      </c>
      <c r="T930" s="38" t="s">
        <v>169</v>
      </c>
      <c r="U930" s="19" t="s">
        <v>1156</v>
      </c>
      <c r="V930" s="19" t="str">
        <f>IF(OR($H930="",$H930="sif",$H930="PM"),"",VLOOKUP($H930,[5]CU!$C$5:$J$255,8,FALSE))</f>
        <v>3. Dépenses de fonctionnement</v>
      </c>
      <c r="W930" s="19" t="s">
        <v>1161</v>
      </c>
      <c r="X930" s="19" t="s">
        <v>1162</v>
      </c>
      <c r="Y930" s="19" t="s">
        <v>677</v>
      </c>
      <c r="Z930" s="19" t="str">
        <f>A930 &amp; "-" &amp; VLOOKUP(A930,[4]PROGRAMMES!$E$1:$F$7,2,FALSE)</f>
        <v>3-Expansion et réforme de l’ETFP</v>
      </c>
      <c r="AA930" s="19" t="str">
        <f>B930 &amp; "-" &amp; VLOOKUP(B930,[4]SOUSPROGRAMMES!$E$1:$F$44,2,FALSE)</f>
        <v>31- Identification des besoins en qualification de l’économie</v>
      </c>
      <c r="AB930" s="19" t="str">
        <f>C930 &amp; "-" &amp; VLOOKUP(C930,[4]RESULTATS!$E$1:$F$176,2,FALSE)</f>
        <v>311- Les besoins en compétence des secteurs prioritaires sont identifiés</v>
      </c>
      <c r="AC930" s="20" t="str">
        <f>D930 &amp; "-" &amp; VLOOKUP(D930,[4]STRATEGIES!$E$1:$F$504,2,FALSE)</f>
        <v>3111-Réalisation d’études d'identification impliquant tous les acteurs à tous les niveaux</v>
      </c>
      <c r="AD930" s="21" t="str">
        <f t="shared" si="170"/>
        <v>31113-Collecte de données pour l'étude sur les besoins en emploi des secteurs prioritaires (regroupement par région administrative)</v>
      </c>
    </row>
    <row r="931" spans="1:30" s="22" customFormat="1" ht="30" hidden="1" customHeight="1" x14ac:dyDescent="0.8">
      <c r="A931" s="14">
        <v>3</v>
      </c>
      <c r="B931" s="15">
        <v>31</v>
      </c>
      <c r="C931" s="15">
        <v>311</v>
      </c>
      <c r="D931" s="15">
        <v>3112</v>
      </c>
      <c r="E931" s="15">
        <v>3112</v>
      </c>
      <c r="F931" s="16" t="s">
        <v>1163</v>
      </c>
      <c r="G931" s="17"/>
      <c r="H931" s="17"/>
      <c r="I931" s="33">
        <v>0</v>
      </c>
      <c r="J931" s="33"/>
      <c r="K931" s="33"/>
      <c r="L931" s="33"/>
      <c r="M931" s="33"/>
      <c r="N931" s="33"/>
      <c r="O931" s="33"/>
      <c r="P931" s="33"/>
      <c r="Q931" s="33"/>
      <c r="R931" s="33"/>
      <c r="S931" s="34"/>
      <c r="T931" s="33"/>
      <c r="U931" s="18"/>
      <c r="V931" s="18"/>
      <c r="W931" s="18"/>
      <c r="X931" s="18"/>
      <c r="Y931" s="18" t="s">
        <v>677</v>
      </c>
      <c r="Z931" s="18" t="str">
        <f>A931 &amp; "-" &amp; VLOOKUP(A931,[4]PROGRAMMES!$E$1:$F$7,2,FALSE)</f>
        <v>3-Expansion et réforme de l’ETFP</v>
      </c>
      <c r="AA931" s="19" t="str">
        <f>B931 &amp; "-" &amp; VLOOKUP(B931,[4]SOUSPROGRAMMES!$E$1:$F$44,2,FALSE)</f>
        <v>31- Identification des besoins en qualification de l’économie</v>
      </c>
      <c r="AB931" s="19" t="str">
        <f>C931 &amp; "-" &amp; VLOOKUP(C931,[4]RESULTATS!$E$1:$F$176,2,FALSE)</f>
        <v>311- Les besoins en compétence des secteurs prioritaires sont identifiés</v>
      </c>
      <c r="AC931" s="20" t="str">
        <f>D931 &amp; "-" &amp; VLOOKUP(D931,[4]STRATEGIES!$E$1:$F$504,2,FALSE)</f>
        <v>3112-Organisation de concertations avec tous les acteurs, en particulier avec les professionnels à tous les niveaux</v>
      </c>
      <c r="AD931" s="21" t="str">
        <f t="shared" si="170"/>
        <v>3112-Organisation de concertations avec tous les acteurs, en particulier avec les professionnels à tous les niveaux</v>
      </c>
    </row>
    <row r="932" spans="1:30" s="22" customFormat="1" ht="30" hidden="1" customHeight="1" x14ac:dyDescent="0.8">
      <c r="A932" s="14">
        <v>3</v>
      </c>
      <c r="B932" s="15">
        <v>31</v>
      </c>
      <c r="C932" s="15">
        <v>311</v>
      </c>
      <c r="D932" s="15">
        <v>3112</v>
      </c>
      <c r="E932" s="15">
        <v>31121</v>
      </c>
      <c r="F932" s="16" t="s">
        <v>1164</v>
      </c>
      <c r="G932" s="21" t="s">
        <v>37</v>
      </c>
      <c r="H932" s="17" t="s">
        <v>38</v>
      </c>
      <c r="I932" s="33">
        <v>0</v>
      </c>
      <c r="J932" s="33"/>
      <c r="K932" s="33">
        <f>20*3*9</f>
        <v>540</v>
      </c>
      <c r="L932" s="33"/>
      <c r="M932" s="33">
        <f t="shared" si="167"/>
        <v>540</v>
      </c>
      <c r="N932" s="33">
        <f>IF(OR(H932="",H932="sif",H932="PM"),0,VLOOKUP(H932,[5]CU!$C$4:$H$255,6,FALSE))</f>
        <v>0.3133333333333333</v>
      </c>
      <c r="O932" s="33">
        <f t="shared" si="168"/>
        <v>0</v>
      </c>
      <c r="P932" s="33">
        <f t="shared" si="168"/>
        <v>0</v>
      </c>
      <c r="Q932" s="33">
        <f t="shared" si="168"/>
        <v>169.2</v>
      </c>
      <c r="R932" s="33">
        <f t="shared" si="168"/>
        <v>0</v>
      </c>
      <c r="S932" s="34">
        <f t="shared" si="171"/>
        <v>169.2</v>
      </c>
      <c r="T932" s="35" t="s">
        <v>118</v>
      </c>
      <c r="U932" s="18" t="s">
        <v>1156</v>
      </c>
      <c r="V932" s="18" t="str">
        <f>IF(OR($H932="",$H932="sif",$H932="PM"),"",VLOOKUP($H932,[5]CU!$C$5:$J$255,8,FALSE))</f>
        <v>3. Formation</v>
      </c>
      <c r="W932" s="18" t="s">
        <v>1165</v>
      </c>
      <c r="X932" s="18" t="s">
        <v>1166</v>
      </c>
      <c r="Y932" s="18" t="s">
        <v>677</v>
      </c>
      <c r="Z932" s="18" t="str">
        <f>A932 &amp; "-" &amp; VLOOKUP(A932,[4]PROGRAMMES!$E$1:$F$7,2,FALSE)</f>
        <v>3-Expansion et réforme de l’ETFP</v>
      </c>
      <c r="AA932" s="19" t="str">
        <f>B932 &amp; "-" &amp; VLOOKUP(B932,[4]SOUSPROGRAMMES!$E$1:$F$44,2,FALSE)</f>
        <v>31- Identification des besoins en qualification de l’économie</v>
      </c>
      <c r="AB932" s="19" t="str">
        <f>C932 &amp; "-" &amp; VLOOKUP(C932,[4]RESULTATS!$E$1:$F$176,2,FALSE)</f>
        <v>311- Les besoins en compétence des secteurs prioritaires sont identifiés</v>
      </c>
      <c r="AC932" s="20" t="str">
        <f>D932 &amp; "-" &amp; VLOOKUP(D932,[4]STRATEGIES!$E$1:$F$504,2,FALSE)</f>
        <v>3112-Organisation de concertations avec tous les acteurs, en particulier avec les professionnels à tous les niveaux</v>
      </c>
      <c r="AD932" s="21" t="str">
        <f t="shared" si="170"/>
        <v>31121-Organisation de rencontres de concertation et de partage des résultats des études</v>
      </c>
    </row>
    <row r="933" spans="1:30" s="22" customFormat="1" ht="30" hidden="1" customHeight="1" x14ac:dyDescent="0.8">
      <c r="A933" s="14">
        <v>3</v>
      </c>
      <c r="B933" s="15">
        <v>31</v>
      </c>
      <c r="C933" s="15">
        <v>311</v>
      </c>
      <c r="D933" s="15">
        <v>3112</v>
      </c>
      <c r="E933" s="15">
        <v>31122</v>
      </c>
      <c r="F933" s="16" t="s">
        <v>1167</v>
      </c>
      <c r="G933" s="21" t="s">
        <v>167</v>
      </c>
      <c r="H933" s="17" t="s">
        <v>646</v>
      </c>
      <c r="I933" s="33">
        <v>0</v>
      </c>
      <c r="J933" s="33"/>
      <c r="K933" s="33">
        <f>1*45</f>
        <v>45</v>
      </c>
      <c r="L933" s="33"/>
      <c r="M933" s="33">
        <f t="shared" si="167"/>
        <v>45</v>
      </c>
      <c r="N933" s="33">
        <f>IF(OR(H933="",H933="sif",H933="PM"),0,VLOOKUP(H933,[5]CU!$C$4:$H$255,6,FALSE))</f>
        <v>10.404797</v>
      </c>
      <c r="O933" s="33">
        <f t="shared" si="168"/>
        <v>0</v>
      </c>
      <c r="P933" s="33">
        <f t="shared" si="168"/>
        <v>0</v>
      </c>
      <c r="Q933" s="33">
        <f t="shared" si="168"/>
        <v>468.21586500000001</v>
      </c>
      <c r="R933" s="33">
        <f t="shared" si="168"/>
        <v>0</v>
      </c>
      <c r="S933" s="34">
        <f t="shared" si="171"/>
        <v>468.21586500000001</v>
      </c>
      <c r="T933" s="35" t="s">
        <v>118</v>
      </c>
      <c r="U933" s="18" t="s">
        <v>1156</v>
      </c>
      <c r="V933" s="18" t="str">
        <f>IF(OR($H933="",$H933="sif",$H933="PM"),"",VLOOKUP($H933,[5]CU!$C$5:$J$255,8,FALSE))</f>
        <v>3. Dépenses de fonctionnement</v>
      </c>
      <c r="W933" s="18" t="s">
        <v>1165</v>
      </c>
      <c r="X933" s="18" t="s">
        <v>1168</v>
      </c>
      <c r="Y933" s="18" t="s">
        <v>677</v>
      </c>
      <c r="Z933" s="18" t="str">
        <f>A933 &amp; "-" &amp; VLOOKUP(A933,[4]PROGRAMMES!$E$1:$F$7,2,FALSE)</f>
        <v>3-Expansion et réforme de l’ETFP</v>
      </c>
      <c r="AA933" s="19" t="str">
        <f>B933 &amp; "-" &amp; VLOOKUP(B933,[4]SOUSPROGRAMMES!$E$1:$F$44,2,FALSE)</f>
        <v>31- Identification des besoins en qualification de l’économie</v>
      </c>
      <c r="AB933" s="19" t="str">
        <f>C933 &amp; "-" &amp; VLOOKUP(C933,[4]RESULTATS!$E$1:$F$176,2,FALSE)</f>
        <v>311- Les besoins en compétence des secteurs prioritaires sont identifiés</v>
      </c>
      <c r="AC933" s="20" t="str">
        <f>D933 &amp; "-" &amp; VLOOKUP(D933,[4]STRATEGIES!$E$1:$F$504,2,FALSE)</f>
        <v>3112-Organisation de concertations avec tous les acteurs, en particulier avec les professionnels à tous les niveaux</v>
      </c>
      <c r="AD933" s="21" t="str">
        <f t="shared" si="170"/>
        <v>31122-Identification des filières prioritaires à développer</v>
      </c>
    </row>
    <row r="934" spans="1:30" s="22" customFormat="1" ht="30" hidden="1" customHeight="1" x14ac:dyDescent="0.8">
      <c r="A934" s="14">
        <v>3</v>
      </c>
      <c r="B934" s="15">
        <v>31</v>
      </c>
      <c r="C934" s="15">
        <v>311</v>
      </c>
      <c r="D934" s="15">
        <v>3112</v>
      </c>
      <c r="E934" s="15">
        <v>31123</v>
      </c>
      <c r="F934" s="16" t="s">
        <v>1169</v>
      </c>
      <c r="G934" s="21" t="s">
        <v>37</v>
      </c>
      <c r="H934" s="17" t="s">
        <v>38</v>
      </c>
      <c r="I934" s="33">
        <v>0</v>
      </c>
      <c r="J934" s="33"/>
      <c r="K934" s="33">
        <f>20*3</f>
        <v>60</v>
      </c>
      <c r="L934" s="33"/>
      <c r="M934" s="33">
        <f t="shared" si="167"/>
        <v>60</v>
      </c>
      <c r="N934" s="33">
        <f>IF(OR(H934="",H934="sif",H934="PM"),0,VLOOKUP(H934,[5]CU!$C$4:$H$255,6,FALSE))</f>
        <v>0.3133333333333333</v>
      </c>
      <c r="O934" s="33">
        <f t="shared" si="168"/>
        <v>0</v>
      </c>
      <c r="P934" s="33">
        <f t="shared" si="168"/>
        <v>0</v>
      </c>
      <c r="Q934" s="33">
        <f t="shared" si="168"/>
        <v>18.799999999999997</v>
      </c>
      <c r="R934" s="33">
        <f t="shared" si="168"/>
        <v>0</v>
      </c>
      <c r="S934" s="34">
        <f t="shared" si="171"/>
        <v>18.799999999999997</v>
      </c>
      <c r="T934" s="35" t="s">
        <v>118</v>
      </c>
      <c r="U934" s="18" t="s">
        <v>1156</v>
      </c>
      <c r="V934" s="18" t="str">
        <f>IF(OR($H934="",$H934="sif",$H934="PM"),"",VLOOKUP($H934,[5]CU!$C$5:$J$255,8,FALSE))</f>
        <v>3. Formation</v>
      </c>
      <c r="W934" s="18" t="s">
        <v>1165</v>
      </c>
      <c r="X934" s="18" t="s">
        <v>1170</v>
      </c>
      <c r="Y934" s="18" t="s">
        <v>677</v>
      </c>
      <c r="Z934" s="18" t="str">
        <f>A934 &amp; "-" &amp; VLOOKUP(A934,[4]PROGRAMMES!$E$1:$F$7,2,FALSE)</f>
        <v>3-Expansion et réforme de l’ETFP</v>
      </c>
      <c r="AA934" s="19" t="str">
        <f>B934 &amp; "-" &amp; VLOOKUP(B934,[4]SOUSPROGRAMMES!$E$1:$F$44,2,FALSE)</f>
        <v>31- Identification des besoins en qualification de l’économie</v>
      </c>
      <c r="AB934" s="19" t="str">
        <f>C934 &amp; "-" &amp; VLOOKUP(C934,[4]RESULTATS!$E$1:$F$176,2,FALSE)</f>
        <v>311- Les besoins en compétence des secteurs prioritaires sont identifiés</v>
      </c>
      <c r="AC934" s="20" t="str">
        <f>D934 &amp; "-" &amp; VLOOKUP(D934,[4]STRATEGIES!$E$1:$F$504,2,FALSE)</f>
        <v>3112-Organisation de concertations avec tous les acteurs, en particulier avec les professionnels à tous les niveaux</v>
      </c>
      <c r="AD934" s="21" t="str">
        <f t="shared" si="170"/>
        <v>31123-Validation du choix des filières</v>
      </c>
    </row>
    <row r="935" spans="1:30" s="22" customFormat="1" ht="60" hidden="1" customHeight="1" x14ac:dyDescent="0.8">
      <c r="A935" s="14">
        <v>3</v>
      </c>
      <c r="B935" s="15">
        <v>31</v>
      </c>
      <c r="C935" s="15">
        <v>312</v>
      </c>
      <c r="D935" s="15">
        <v>312</v>
      </c>
      <c r="E935" s="15">
        <v>312</v>
      </c>
      <c r="F935" s="16" t="s">
        <v>1171</v>
      </c>
      <c r="G935" s="17"/>
      <c r="H935" s="17"/>
      <c r="I935" s="33">
        <v>0</v>
      </c>
      <c r="J935" s="33"/>
      <c r="K935" s="33"/>
      <c r="L935" s="33"/>
      <c r="M935" s="33"/>
      <c r="N935" s="33"/>
      <c r="O935" s="33"/>
      <c r="P935" s="33"/>
      <c r="Q935" s="33"/>
      <c r="R935" s="33"/>
      <c r="S935" s="34"/>
      <c r="T935" s="33"/>
      <c r="U935" s="18"/>
      <c r="V935" s="18"/>
      <c r="W935" s="18"/>
      <c r="X935" s="18"/>
      <c r="Y935" s="18" t="s">
        <v>677</v>
      </c>
      <c r="Z935" s="18" t="str">
        <f>A935 &amp; "-" &amp; VLOOKUP(A935,[4]PROGRAMMES!$E$1:$F$7,2,FALSE)</f>
        <v>3-Expansion et réforme de l’ETFP</v>
      </c>
      <c r="AA935" s="19" t="str">
        <f>B935 &amp; "-" &amp; VLOOKUP(B935,[4]SOUSPROGRAMMES!$E$1:$F$44,2,FALSE)</f>
        <v>31- Identification des besoins en qualification de l’économie</v>
      </c>
      <c r="AB935" s="19" t="str">
        <f>C935 &amp; "-" &amp; VLOOKUP(C935,[4]RESULTATS!$E$1:$F$176,2,FALSE)</f>
        <v>312- Un dispositif de veille sur les métiers, d’anticipation et d’identification des besoins du marché du travail est opérationnel</v>
      </c>
      <c r="AC935" s="20" t="str">
        <f>D935 &amp; "-" &amp; VLOOKUP(D935,[4]STRATEGIES!$E$1:$F$504,2,FALSE)</f>
        <v>312- Un dispositif de veille sur les métiers, d’anticipation et d’identification des besoins du marché du travail est opérationnel</v>
      </c>
      <c r="AD935" s="21" t="str">
        <f t="shared" si="170"/>
        <v>312- Un dispositif de veille sur les métiers, d’anticipation et d’identification des besoins du marché du travail est opérationnel</v>
      </c>
    </row>
    <row r="936" spans="1:30" s="22" customFormat="1" ht="60" hidden="1" customHeight="1" x14ac:dyDescent="0.8">
      <c r="A936" s="14">
        <v>3</v>
      </c>
      <c r="B936" s="15">
        <v>31</v>
      </c>
      <c r="C936" s="15">
        <v>312</v>
      </c>
      <c r="D936" s="15">
        <v>3121</v>
      </c>
      <c r="E936" s="15">
        <v>3121</v>
      </c>
      <c r="F936" s="16" t="s">
        <v>1172</v>
      </c>
      <c r="G936" s="17"/>
      <c r="H936" s="17"/>
      <c r="I936" s="33">
        <v>0</v>
      </c>
      <c r="J936" s="33"/>
      <c r="K936" s="33"/>
      <c r="L936" s="33"/>
      <c r="M936" s="33"/>
      <c r="N936" s="33"/>
      <c r="O936" s="33"/>
      <c r="P936" s="33"/>
      <c r="Q936" s="33"/>
      <c r="R936" s="33"/>
      <c r="S936" s="34"/>
      <c r="T936" s="33"/>
      <c r="U936" s="18"/>
      <c r="V936" s="18"/>
      <c r="W936" s="18"/>
      <c r="X936" s="18"/>
      <c r="Y936" s="18" t="s">
        <v>677</v>
      </c>
      <c r="Z936" s="18" t="str">
        <f>A936 &amp; "-" &amp; VLOOKUP(A936,[4]PROGRAMMES!$E$1:$F$7,2,FALSE)</f>
        <v>3-Expansion et réforme de l’ETFP</v>
      </c>
      <c r="AA936" s="19" t="str">
        <f>B936 &amp; "-" &amp; VLOOKUP(B936,[4]SOUSPROGRAMMES!$E$1:$F$44,2,FALSE)</f>
        <v>31- Identification des besoins en qualification de l’économie</v>
      </c>
      <c r="AB936" s="19" t="str">
        <f>C936 &amp; "-" &amp; VLOOKUP(C936,[4]RESULTATS!$E$1:$F$176,2,FALSE)</f>
        <v>312- Un dispositif de veille sur les métiers, d’anticipation et d’identification des besoins du marché du travail est opérationnel</v>
      </c>
      <c r="AC936" s="20" t="str">
        <f>D936 &amp; "-" &amp; VLOOKUP(D936,[4]STRATEGIES!$E$1:$F$504,2,FALSE)</f>
        <v>3121-Définition des missions, du mode de fonctionnement du dispositif</v>
      </c>
      <c r="AD936" s="21" t="str">
        <f t="shared" si="170"/>
        <v>3121-DéFinition des missions, du mode de fonctionnement du dispositif</v>
      </c>
    </row>
    <row r="937" spans="1:30" s="22" customFormat="1" ht="60" hidden="1" customHeight="1" x14ac:dyDescent="0.8">
      <c r="A937" s="14">
        <v>3</v>
      </c>
      <c r="B937" s="15">
        <v>31</v>
      </c>
      <c r="C937" s="15">
        <v>312</v>
      </c>
      <c r="D937" s="15">
        <v>3121</v>
      </c>
      <c r="E937" s="15">
        <v>31211</v>
      </c>
      <c r="F937" s="16" t="s">
        <v>1173</v>
      </c>
      <c r="G937" s="21" t="s">
        <v>37</v>
      </c>
      <c r="H937" s="17" t="s">
        <v>66</v>
      </c>
      <c r="I937" s="33">
        <v>0</v>
      </c>
      <c r="J937" s="33">
        <f>20*3*9</f>
        <v>540</v>
      </c>
      <c r="K937" s="33"/>
      <c r="L937" s="33"/>
      <c r="M937" s="33">
        <f t="shared" si="167"/>
        <v>540</v>
      </c>
      <c r="N937" s="33">
        <f>IF(OR(H937="",H937="sif",H937="PM"),0,VLOOKUP(H937,[5]CU!$C$4:$H$255,6,FALSE))</f>
        <v>0.255</v>
      </c>
      <c r="O937" s="33">
        <f t="shared" si="168"/>
        <v>0</v>
      </c>
      <c r="P937" s="33">
        <f t="shared" si="168"/>
        <v>137.69999999999999</v>
      </c>
      <c r="Q937" s="33">
        <f t="shared" si="168"/>
        <v>0</v>
      </c>
      <c r="R937" s="33">
        <f t="shared" si="168"/>
        <v>0</v>
      </c>
      <c r="S937" s="34">
        <f t="shared" si="171"/>
        <v>137.69999999999999</v>
      </c>
      <c r="T937" s="35" t="s">
        <v>118</v>
      </c>
      <c r="U937" s="18" t="s">
        <v>1156</v>
      </c>
      <c r="V937" s="18" t="str">
        <f>IF(OR($H937="",$H937="sif",$H937="PM"),"",VLOOKUP($H937,[5]CU!$C$5:$J$255,8,FALSE))</f>
        <v>3. Dépenses de fonctionnement</v>
      </c>
      <c r="W937" s="18" t="s">
        <v>1165</v>
      </c>
      <c r="X937" s="18" t="s">
        <v>1174</v>
      </c>
      <c r="Y937" s="18" t="s">
        <v>677</v>
      </c>
      <c r="Z937" s="18" t="str">
        <f>A937 &amp; "-" &amp; VLOOKUP(A937,[4]PROGRAMMES!$E$1:$F$7,2,FALSE)</f>
        <v>3-Expansion et réforme de l’ETFP</v>
      </c>
      <c r="AA937" s="19" t="str">
        <f>B937 &amp; "-" &amp; VLOOKUP(B937,[4]SOUSPROGRAMMES!$E$1:$F$44,2,FALSE)</f>
        <v>31- Identification des besoins en qualification de l’économie</v>
      </c>
      <c r="AB937" s="19" t="str">
        <f>C937 &amp; "-" &amp; VLOOKUP(C937,[4]RESULTATS!$E$1:$F$176,2,FALSE)</f>
        <v>312- Un dispositif de veille sur les métiers, d’anticipation et d’identification des besoins du marché du travail est opérationnel</v>
      </c>
      <c r="AC937" s="20" t="str">
        <f>D937 &amp; "-" &amp; VLOOKUP(D937,[4]STRATEGIES!$E$1:$F$504,2,FALSE)</f>
        <v>3121-Définition des missions, du mode de fonctionnement du dispositif</v>
      </c>
      <c r="AD937" s="21" t="str">
        <f t="shared" si="170"/>
        <v>31211-Organisation de rencontres de concertation pour la déFinition des missions et du mode de fonctionnement du dispositif de veille</v>
      </c>
    </row>
    <row r="938" spans="1:30" s="22" customFormat="1" ht="60" hidden="1" customHeight="1" x14ac:dyDescent="0.8">
      <c r="A938" s="14">
        <v>3</v>
      </c>
      <c r="B938" s="15">
        <v>31</v>
      </c>
      <c r="C938" s="15">
        <v>312</v>
      </c>
      <c r="D938" s="15">
        <v>3121</v>
      </c>
      <c r="E938" s="15">
        <v>31212</v>
      </c>
      <c r="F938" s="16" t="s">
        <v>1175</v>
      </c>
      <c r="G938" s="21" t="s">
        <v>88</v>
      </c>
      <c r="H938" s="17" t="s">
        <v>55</v>
      </c>
      <c r="I938" s="33">
        <v>0</v>
      </c>
      <c r="J938" s="33">
        <v>1</v>
      </c>
      <c r="K938" s="33"/>
      <c r="L938" s="33"/>
      <c r="M938" s="33">
        <f t="shared" si="167"/>
        <v>1</v>
      </c>
      <c r="N938" s="33">
        <f>IF(OR(H938="",H938="sif",H938="PM"),0,VLOOKUP(H938,[5]CU!$C$4:$H$255,6,FALSE))</f>
        <v>0</v>
      </c>
      <c r="O938" s="33">
        <f t="shared" si="168"/>
        <v>0</v>
      </c>
      <c r="P938" s="33">
        <f t="shared" si="168"/>
        <v>0</v>
      </c>
      <c r="Q938" s="33">
        <f t="shared" si="168"/>
        <v>0</v>
      </c>
      <c r="R938" s="33">
        <f t="shared" si="168"/>
        <v>0</v>
      </c>
      <c r="S938" s="34"/>
      <c r="T938" s="35" t="s">
        <v>56</v>
      </c>
      <c r="U938" s="18" t="s">
        <v>1156</v>
      </c>
      <c r="V938" s="18" t="str">
        <f>IF(OR($H938="",$H938="sif",$H938="PM"),"",VLOOKUP($H938,[5]CU!$C$5:$J$255,8,FALSE))</f>
        <v/>
      </c>
      <c r="W938" s="18" t="s">
        <v>1165</v>
      </c>
      <c r="X938" s="18" t="s">
        <v>1174</v>
      </c>
      <c r="Y938" s="18" t="s">
        <v>677</v>
      </c>
      <c r="Z938" s="18" t="str">
        <f>A938 &amp; "-" &amp; VLOOKUP(A938,[4]PROGRAMMES!$E$1:$F$7,2,FALSE)</f>
        <v>3-Expansion et réforme de l’ETFP</v>
      </c>
      <c r="AA938" s="19" t="str">
        <f>B938 &amp; "-" &amp; VLOOKUP(B938,[4]SOUSPROGRAMMES!$E$1:$F$44,2,FALSE)</f>
        <v>31- Identification des besoins en qualification de l’économie</v>
      </c>
      <c r="AB938" s="19" t="str">
        <f>C938 &amp; "-" &amp; VLOOKUP(C938,[4]RESULTATS!$E$1:$F$176,2,FALSE)</f>
        <v>312- Un dispositif de veille sur les métiers, d’anticipation et d’identification des besoins du marché du travail est opérationnel</v>
      </c>
      <c r="AC938" s="20" t="str">
        <f>D938 &amp; "-" &amp; VLOOKUP(D938,[4]STRATEGIES!$E$1:$F$504,2,FALSE)</f>
        <v>3121-Définition des missions, du mode de fonctionnement du dispositif</v>
      </c>
      <c r="AD938" s="21" t="str">
        <f t="shared" si="170"/>
        <v>31212-Identification du dispositif sur la base des résultats de la concertation</v>
      </c>
    </row>
    <row r="939" spans="1:30" s="22" customFormat="1" ht="60" hidden="1" customHeight="1" x14ac:dyDescent="0.8">
      <c r="A939" s="14">
        <v>3</v>
      </c>
      <c r="B939" s="15">
        <v>31</v>
      </c>
      <c r="C939" s="15">
        <v>312</v>
      </c>
      <c r="D939" s="15">
        <v>3122</v>
      </c>
      <c r="E939" s="15">
        <v>3122</v>
      </c>
      <c r="F939" s="16" t="s">
        <v>1176</v>
      </c>
      <c r="G939" s="17"/>
      <c r="H939" s="17"/>
      <c r="I939" s="33">
        <v>0</v>
      </c>
      <c r="J939" s="33"/>
      <c r="K939" s="33"/>
      <c r="L939" s="33"/>
      <c r="M939" s="33"/>
      <c r="N939" s="33"/>
      <c r="O939" s="33"/>
      <c r="P939" s="33"/>
      <c r="Q939" s="33"/>
      <c r="R939" s="33"/>
      <c r="S939" s="34"/>
      <c r="T939" s="33"/>
      <c r="U939" s="18"/>
      <c r="V939" s="18"/>
      <c r="W939" s="18"/>
      <c r="X939" s="18"/>
      <c r="Y939" s="18" t="s">
        <v>677</v>
      </c>
      <c r="Z939" s="18" t="str">
        <f>A939 &amp; "-" &amp; VLOOKUP(A939,[4]PROGRAMMES!$E$1:$F$7,2,FALSE)</f>
        <v>3-Expansion et réforme de l’ETFP</v>
      </c>
      <c r="AA939" s="19" t="str">
        <f>B939 &amp; "-" &amp; VLOOKUP(B939,[4]SOUSPROGRAMMES!$E$1:$F$44,2,FALSE)</f>
        <v>31- Identification des besoins en qualification de l’économie</v>
      </c>
      <c r="AB939" s="19" t="str">
        <f>C939 &amp; "-" &amp; VLOOKUP(C939,[4]RESULTATS!$E$1:$F$176,2,FALSE)</f>
        <v>312- Un dispositif de veille sur les métiers, d’anticipation et d’identification des besoins du marché du travail est opérationnel</v>
      </c>
      <c r="AC939" s="20" t="str">
        <f>D939 &amp; "-" &amp; VLOOKUP(D939,[4]STRATEGIES!$E$1:$F$504,2,FALSE)</f>
        <v>3122-Mise en place et opérationnalisation du dispositif de veille</v>
      </c>
      <c r="AD939" s="21" t="str">
        <f t="shared" si="170"/>
        <v>3122-Mise en place et opérationnalisation du dispositif de veille</v>
      </c>
    </row>
    <row r="940" spans="1:30" s="22" customFormat="1" ht="60" hidden="1" customHeight="1" x14ac:dyDescent="0.8">
      <c r="A940" s="14">
        <v>3</v>
      </c>
      <c r="B940" s="15">
        <v>31</v>
      </c>
      <c r="C940" s="15">
        <v>312</v>
      </c>
      <c r="D940" s="15">
        <v>3122</v>
      </c>
      <c r="E940" s="15">
        <v>31221</v>
      </c>
      <c r="F940" s="16" t="s">
        <v>1177</v>
      </c>
      <c r="G940" s="21" t="s">
        <v>1178</v>
      </c>
      <c r="H940" s="17" t="s">
        <v>66</v>
      </c>
      <c r="I940" s="33">
        <v>0</v>
      </c>
      <c r="J940" s="33">
        <f>20*5</f>
        <v>100</v>
      </c>
      <c r="K940" s="33"/>
      <c r="L940" s="33"/>
      <c r="M940" s="33">
        <f t="shared" si="167"/>
        <v>100</v>
      </c>
      <c r="N940" s="33">
        <f>IF(OR(H940="",H940="sif",H940="PM"),0,VLOOKUP(H940,[5]CU!$C$4:$H$255,6,FALSE))</f>
        <v>0.255</v>
      </c>
      <c r="O940" s="33">
        <f t="shared" si="168"/>
        <v>0</v>
      </c>
      <c r="P940" s="33">
        <f t="shared" si="168"/>
        <v>25.5</v>
      </c>
      <c r="Q940" s="33">
        <f t="shared" si="168"/>
        <v>0</v>
      </c>
      <c r="R940" s="33">
        <f t="shared" si="168"/>
        <v>0</v>
      </c>
      <c r="S940" s="34">
        <f>SUM(O940:R940)</f>
        <v>25.5</v>
      </c>
      <c r="T940" s="35" t="s">
        <v>118</v>
      </c>
      <c r="U940" s="18" t="s">
        <v>1156</v>
      </c>
      <c r="V940" s="18" t="str">
        <f>IF(OR($H940="",$H940="sif",$H940="PM"),"",VLOOKUP($H940,[5]CU!$C$5:$J$255,8,FALSE))</f>
        <v>3. Dépenses de fonctionnement</v>
      </c>
      <c r="W940" s="18" t="s">
        <v>1165</v>
      </c>
      <c r="X940" s="18" t="s">
        <v>1162</v>
      </c>
      <c r="Y940" s="18" t="s">
        <v>677</v>
      </c>
      <c r="Z940" s="18" t="str">
        <f>A940 &amp; "-" &amp; VLOOKUP(A940,[4]PROGRAMMES!$E$1:$F$7,2,FALSE)</f>
        <v>3-Expansion et réforme de l’ETFP</v>
      </c>
      <c r="AA940" s="19" t="str">
        <f>B940 &amp; "-" &amp; VLOOKUP(B940,[4]SOUSPROGRAMMES!$E$1:$F$44,2,FALSE)</f>
        <v>31- Identification des besoins en qualification de l’économie</v>
      </c>
      <c r="AB940" s="19" t="str">
        <f>C940 &amp; "-" &amp; VLOOKUP(C940,[4]RESULTATS!$E$1:$F$176,2,FALSE)</f>
        <v>312- Un dispositif de veille sur les métiers, d’anticipation et d’identification des besoins du marché du travail est opérationnel</v>
      </c>
      <c r="AC940" s="20" t="str">
        <f>D940 &amp; "-" &amp; VLOOKUP(D940,[4]STRATEGIES!$E$1:$F$504,2,FALSE)</f>
        <v>3122-Mise en place et opérationnalisation du dispositif de veille</v>
      </c>
      <c r="AD940" s="21" t="str">
        <f t="shared" si="170"/>
        <v>31221-Elaboration, adoption et diffusion des textes réglementaires (gestion paritaire)</v>
      </c>
    </row>
    <row r="941" spans="1:30" s="22" customFormat="1" ht="60" hidden="1" customHeight="1" x14ac:dyDescent="0.8">
      <c r="A941" s="14">
        <v>3</v>
      </c>
      <c r="B941" s="15">
        <v>31</v>
      </c>
      <c r="C941" s="15">
        <v>312</v>
      </c>
      <c r="D941" s="15">
        <v>3122</v>
      </c>
      <c r="E941" s="15">
        <v>31222</v>
      </c>
      <c r="F941" s="16" t="s">
        <v>1179</v>
      </c>
      <c r="G941" s="21" t="s">
        <v>92</v>
      </c>
      <c r="H941" s="17" t="s">
        <v>55</v>
      </c>
      <c r="I941" s="33">
        <v>0</v>
      </c>
      <c r="J941" s="33">
        <v>1</v>
      </c>
      <c r="K941" s="33">
        <v>1</v>
      </c>
      <c r="L941" s="33"/>
      <c r="M941" s="33">
        <f t="shared" si="167"/>
        <v>2</v>
      </c>
      <c r="N941" s="33">
        <f>IF(OR(H941="",H941="sif",H941="PM"),0,VLOOKUP(H941,[5]CU!$C$4:$H$255,6,FALSE))</f>
        <v>0</v>
      </c>
      <c r="O941" s="33">
        <f t="shared" ref="O941:R979" si="172">IFERROR($N941*I941,0)</f>
        <v>0</v>
      </c>
      <c r="P941" s="33">
        <f t="shared" si="172"/>
        <v>0</v>
      </c>
      <c r="Q941" s="33">
        <f t="shared" si="172"/>
        <v>0</v>
      </c>
      <c r="R941" s="33">
        <f t="shared" si="172"/>
        <v>0</v>
      </c>
      <c r="S941" s="34"/>
      <c r="T941" s="35" t="s">
        <v>56</v>
      </c>
      <c r="U941" s="18" t="s">
        <v>1156</v>
      </c>
      <c r="V941" s="18" t="str">
        <f>IF(OR($H941="",$H941="sif",$H941="PM"),"",VLOOKUP($H941,[5]CU!$C$5:$J$255,8,FALSE))</f>
        <v/>
      </c>
      <c r="W941" s="18"/>
      <c r="X941" s="18"/>
      <c r="Y941" s="18" t="s">
        <v>677</v>
      </c>
      <c r="Z941" s="18" t="str">
        <f>A941 &amp; "-" &amp; VLOOKUP(A941,[4]PROGRAMMES!$E$1:$F$7,2,FALSE)</f>
        <v>3-Expansion et réforme de l’ETFP</v>
      </c>
      <c r="AA941" s="19" t="str">
        <f>B941 &amp; "-" &amp; VLOOKUP(B941,[4]SOUSPROGRAMMES!$E$1:$F$44,2,FALSE)</f>
        <v>31- Identification des besoins en qualification de l’économie</v>
      </c>
      <c r="AB941" s="19" t="str">
        <f>C941 &amp; "-" &amp; VLOOKUP(C941,[4]RESULTATS!$E$1:$F$176,2,FALSE)</f>
        <v>312- Un dispositif de veille sur les métiers, d’anticipation et d’identification des besoins du marché du travail est opérationnel</v>
      </c>
      <c r="AC941" s="20" t="str">
        <f>D941 &amp; "-" &amp; VLOOKUP(D941,[4]STRATEGIES!$E$1:$F$504,2,FALSE)</f>
        <v>3122-Mise en place et opérationnalisation du dispositif de veille</v>
      </c>
      <c r="AD941" s="21" t="str">
        <f t="shared" si="170"/>
        <v>31222-Appui technique pour l'élaboration de fiches de collecte et du guide de remplissage des fiches sur les métiers porteurs par zone (sur la base des résultats de l'activité 31112)</v>
      </c>
    </row>
    <row r="942" spans="1:30" s="22" customFormat="1" ht="60" hidden="1" customHeight="1" x14ac:dyDescent="0.8">
      <c r="A942" s="14">
        <v>3</v>
      </c>
      <c r="B942" s="15">
        <v>31</v>
      </c>
      <c r="C942" s="15">
        <v>312</v>
      </c>
      <c r="D942" s="15">
        <v>3122</v>
      </c>
      <c r="E942" s="15">
        <v>31223</v>
      </c>
      <c r="F942" s="16" t="s">
        <v>1180</v>
      </c>
      <c r="G942" s="21" t="s">
        <v>167</v>
      </c>
      <c r="H942" s="17" t="s">
        <v>101</v>
      </c>
      <c r="I942" s="33">
        <v>0</v>
      </c>
      <c r="J942" s="33"/>
      <c r="K942" s="33">
        <f>1*60</f>
        <v>60</v>
      </c>
      <c r="L942" s="33"/>
      <c r="M942" s="33">
        <f t="shared" si="167"/>
        <v>60</v>
      </c>
      <c r="N942" s="33">
        <f>IF(OR(H942="",H942="sif",H942="PM"),0,VLOOKUP(H942,[5]CU!$C$4:$H$255,6,FALSE))</f>
        <v>2.651545</v>
      </c>
      <c r="O942" s="33">
        <f t="shared" si="172"/>
        <v>0</v>
      </c>
      <c r="P942" s="33">
        <f t="shared" si="172"/>
        <v>0</v>
      </c>
      <c r="Q942" s="33">
        <f t="shared" si="172"/>
        <v>159.09270000000001</v>
      </c>
      <c r="R942" s="33">
        <f t="shared" si="172"/>
        <v>0</v>
      </c>
      <c r="S942" s="34">
        <f>SUM(O942:R942)</f>
        <v>159.09270000000001</v>
      </c>
      <c r="T942" s="35" t="s">
        <v>118</v>
      </c>
      <c r="U942" s="18" t="s">
        <v>1156</v>
      </c>
      <c r="V942" s="18" t="str">
        <f>IF(OR($H942="",$H942="sif",$H942="PM"),"",VLOOKUP($H942,[5]CU!$C$5:$J$255,8,FALSE))</f>
        <v>3. Dépenses de fonctionnement</v>
      </c>
      <c r="W942" s="18" t="s">
        <v>96</v>
      </c>
      <c r="X942" s="18" t="s">
        <v>196</v>
      </c>
      <c r="Y942" s="18" t="s">
        <v>677</v>
      </c>
      <c r="Z942" s="18" t="str">
        <f>A942 &amp; "-" &amp; VLOOKUP(A942,[4]PROGRAMMES!$E$1:$F$7,2,FALSE)</f>
        <v>3-Expansion et réforme de l’ETFP</v>
      </c>
      <c r="AA942" s="19" t="str">
        <f>B942 &amp; "-" &amp; VLOOKUP(B942,[4]SOUSPROGRAMMES!$E$1:$F$44,2,FALSE)</f>
        <v>31- Identification des besoins en qualification de l’économie</v>
      </c>
      <c r="AB942" s="19" t="str">
        <f>C942 &amp; "-" &amp; VLOOKUP(C942,[4]RESULTATS!$E$1:$F$176,2,FALSE)</f>
        <v>312- Un dispositif de veille sur les métiers, d’anticipation et d’identification des besoins du marché du travail est opérationnel</v>
      </c>
      <c r="AC942" s="20" t="str">
        <f>D942 &amp; "-" &amp; VLOOKUP(D942,[4]STRATEGIES!$E$1:$F$504,2,FALSE)</f>
        <v>3122-Mise en place et opérationnalisation du dispositif de veille</v>
      </c>
      <c r="AD942" s="21" t="str">
        <f t="shared" si="170"/>
        <v>31223-Appui technique pour la mise en place d'une base de données sur les métiers porteurs par zone (sur la base des résultats de l'activité 31112)</v>
      </c>
    </row>
    <row r="943" spans="1:30" s="22" customFormat="1" ht="60" hidden="1" customHeight="1" x14ac:dyDescent="0.8">
      <c r="A943" s="14">
        <v>3</v>
      </c>
      <c r="B943" s="15">
        <v>31</v>
      </c>
      <c r="C943" s="15">
        <v>312</v>
      </c>
      <c r="D943" s="15">
        <v>3122</v>
      </c>
      <c r="E943" s="15">
        <v>31224</v>
      </c>
      <c r="F943" s="16" t="s">
        <v>1181</v>
      </c>
      <c r="G943" s="21" t="s">
        <v>92</v>
      </c>
      <c r="H943" s="17" t="s">
        <v>55</v>
      </c>
      <c r="I943" s="33">
        <v>0</v>
      </c>
      <c r="J943" s="33"/>
      <c r="K943" s="33">
        <v>1</v>
      </c>
      <c r="L943" s="33"/>
      <c r="M943" s="33">
        <f t="shared" si="167"/>
        <v>1</v>
      </c>
      <c r="N943" s="33">
        <f>IF(OR(H943="",H943="sif",H943="PM"),0,VLOOKUP(H943,[5]CU!$C$4:$H$255,6,FALSE))</f>
        <v>0</v>
      </c>
      <c r="O943" s="33">
        <f t="shared" si="172"/>
        <v>0</v>
      </c>
      <c r="P943" s="33">
        <f t="shared" si="172"/>
        <v>0</v>
      </c>
      <c r="Q943" s="33">
        <f t="shared" si="172"/>
        <v>0</v>
      </c>
      <c r="R943" s="33">
        <f t="shared" si="172"/>
        <v>0</v>
      </c>
      <c r="S943" s="34"/>
      <c r="T943" s="35" t="s">
        <v>56</v>
      </c>
      <c r="U943" s="18" t="s">
        <v>1156</v>
      </c>
      <c r="V943" s="18" t="str">
        <f>IF(OR($H943="",$H943="sif",$H943="PM"),"",VLOOKUP($H943,[5]CU!$C$5:$J$255,8,FALSE))</f>
        <v/>
      </c>
      <c r="W943" s="18"/>
      <c r="X943" s="18"/>
      <c r="Y943" s="18" t="s">
        <v>677</v>
      </c>
      <c r="Z943" s="18" t="str">
        <f>A943 &amp; "-" &amp; VLOOKUP(A943,[4]PROGRAMMES!$E$1:$F$7,2,FALSE)</f>
        <v>3-Expansion et réforme de l’ETFP</v>
      </c>
      <c r="AA943" s="19" t="str">
        <f>B943 &amp; "-" &amp; VLOOKUP(B943,[4]SOUSPROGRAMMES!$E$1:$F$44,2,FALSE)</f>
        <v>31- Identification des besoins en qualification de l’économie</v>
      </c>
      <c r="AB943" s="19" t="str">
        <f>C943 &amp; "-" &amp; VLOOKUP(C943,[4]RESULTATS!$E$1:$F$176,2,FALSE)</f>
        <v>312- Un dispositif de veille sur les métiers, d’anticipation et d’identification des besoins du marché du travail est opérationnel</v>
      </c>
      <c r="AC943" s="20" t="str">
        <f>D943 &amp; "-" &amp; VLOOKUP(D943,[4]STRATEGIES!$E$1:$F$504,2,FALSE)</f>
        <v>3122-Mise en place et opérationnalisation du dispositif de veille</v>
      </c>
      <c r="AD943" s="21" t="str">
        <f t="shared" si="170"/>
        <v>31224-Elaboration d'un guide d'utilisation de la base de données (prise en compte dans activité 31223)</v>
      </c>
    </row>
    <row r="944" spans="1:30" s="22" customFormat="1" ht="60" hidden="1" customHeight="1" x14ac:dyDescent="0.8">
      <c r="A944" s="14">
        <v>3</v>
      </c>
      <c r="B944" s="15">
        <v>31</v>
      </c>
      <c r="C944" s="15">
        <v>312</v>
      </c>
      <c r="D944" s="15">
        <v>3122</v>
      </c>
      <c r="E944" s="15">
        <v>31225</v>
      </c>
      <c r="F944" s="16" t="s">
        <v>1182</v>
      </c>
      <c r="G944" s="21" t="s">
        <v>44</v>
      </c>
      <c r="H944" s="17" t="s">
        <v>452</v>
      </c>
      <c r="I944" s="33">
        <v>0</v>
      </c>
      <c r="J944" s="33">
        <f>10*4*8</f>
        <v>320</v>
      </c>
      <c r="K944" s="33">
        <f>30*10*8</f>
        <v>2400</v>
      </c>
      <c r="L944" s="33">
        <v>0</v>
      </c>
      <c r="M944" s="33">
        <f t="shared" si="167"/>
        <v>2720</v>
      </c>
      <c r="N944" s="33">
        <f>IF(OR(H944="",H944="sif",H944="PM"),0,VLOOKUP(H944,[5]CU!$C$4:$H$255,6,FALSE))</f>
        <v>7.4999999999999997E-3</v>
      </c>
      <c r="O944" s="33">
        <f t="shared" si="172"/>
        <v>0</v>
      </c>
      <c r="P944" s="33">
        <f t="shared" si="172"/>
        <v>2.4</v>
      </c>
      <c r="Q944" s="33">
        <f t="shared" si="172"/>
        <v>18</v>
      </c>
      <c r="R944" s="33">
        <f t="shared" si="172"/>
        <v>0</v>
      </c>
      <c r="S944" s="34">
        <f>SUM(O944:R944)</f>
        <v>20.399999999999999</v>
      </c>
      <c r="T944" s="35" t="s">
        <v>169</v>
      </c>
      <c r="U944" s="18" t="s">
        <v>1156</v>
      </c>
      <c r="V944" s="18" t="str">
        <f>IF(OR($H944="",$H944="sif",$H944="PM"),"",VLOOKUP($H944,[5]CU!$C$5:$J$255,8,FALSE))</f>
        <v>3. Dépenses de fonctionnement</v>
      </c>
      <c r="W944" s="18" t="s">
        <v>96</v>
      </c>
      <c r="X944" s="18" t="s">
        <v>1183</v>
      </c>
      <c r="Y944" s="18" t="s">
        <v>677</v>
      </c>
      <c r="Z944" s="18" t="str">
        <f>A944 &amp; "-" &amp; VLOOKUP(A944,[4]PROGRAMMES!$E$1:$F$7,2,FALSE)</f>
        <v>3-Expansion et réforme de l’ETFP</v>
      </c>
      <c r="AA944" s="19" t="str">
        <f>B944 &amp; "-" &amp; VLOOKUP(B944,[4]SOUSPROGRAMMES!$E$1:$F$44,2,FALSE)</f>
        <v>31- Identification des besoins en qualification de l’économie</v>
      </c>
      <c r="AB944" s="19" t="str">
        <f>C944 &amp; "-" &amp; VLOOKUP(C944,[4]RESULTATS!$E$1:$F$176,2,FALSE)</f>
        <v>312- Un dispositif de veille sur les métiers, d’anticipation et d’identification des besoins du marché du travail est opérationnel</v>
      </c>
      <c r="AC944" s="20" t="str">
        <f>D944 &amp; "-" &amp; VLOOKUP(D944,[4]STRATEGIES!$E$1:$F$504,2,FALSE)</f>
        <v>3122-Mise en place et opérationnalisation du dispositif de veille</v>
      </c>
      <c r="AD944" s="21" t="str">
        <f t="shared" si="170"/>
        <v>31225-Collecte périodique des données sur le marché de l'emploi</v>
      </c>
    </row>
    <row r="945" spans="1:30" s="22" customFormat="1" ht="60" hidden="1" customHeight="1" x14ac:dyDescent="0.8">
      <c r="A945" s="14">
        <v>3</v>
      </c>
      <c r="B945" s="15">
        <v>31</v>
      </c>
      <c r="C945" s="15">
        <v>312</v>
      </c>
      <c r="D945" s="15">
        <v>3122</v>
      </c>
      <c r="E945" s="15">
        <v>31226</v>
      </c>
      <c r="F945" s="16" t="s">
        <v>1184</v>
      </c>
      <c r="G945" s="21" t="s">
        <v>37</v>
      </c>
      <c r="H945" s="17" t="s">
        <v>66</v>
      </c>
      <c r="I945" s="33">
        <v>0</v>
      </c>
      <c r="J945" s="33"/>
      <c r="K945" s="33">
        <f>((1*10*12)+(10*12))*8</f>
        <v>1920</v>
      </c>
      <c r="L945" s="33">
        <v>0</v>
      </c>
      <c r="M945" s="33">
        <f t="shared" si="167"/>
        <v>1920</v>
      </c>
      <c r="N945" s="33">
        <f>IF(OR(H945="",H945="sif",H945="PM"),0,VLOOKUP(H945,[5]CU!$C$4:$H$255,6,FALSE))</f>
        <v>0.255</v>
      </c>
      <c r="O945" s="33">
        <f t="shared" si="172"/>
        <v>0</v>
      </c>
      <c r="P945" s="33">
        <f t="shared" si="172"/>
        <v>0</v>
      </c>
      <c r="Q945" s="33">
        <f t="shared" si="172"/>
        <v>489.6</v>
      </c>
      <c r="R945" s="33">
        <f t="shared" si="172"/>
        <v>0</v>
      </c>
      <c r="S945" s="34">
        <f>SUM(O945:R945)</f>
        <v>489.6</v>
      </c>
      <c r="T945" s="35" t="s">
        <v>169</v>
      </c>
      <c r="U945" s="18" t="s">
        <v>1156</v>
      </c>
      <c r="V945" s="18" t="str">
        <f>IF(OR($H945="",$H945="sif",$H945="PM"),"",VLOOKUP($H945,[5]CU!$C$5:$J$255,8,FALSE))</f>
        <v>3. Dépenses de fonctionnement</v>
      </c>
      <c r="W945" s="18"/>
      <c r="X945" s="18"/>
      <c r="Y945" s="18" t="s">
        <v>677</v>
      </c>
      <c r="Z945" s="18" t="str">
        <f>A945 &amp; "-" &amp; VLOOKUP(A945,[4]PROGRAMMES!$E$1:$F$7,2,FALSE)</f>
        <v>3-Expansion et réforme de l’ETFP</v>
      </c>
      <c r="AA945" s="19" t="str">
        <f>B945 &amp; "-" &amp; VLOOKUP(B945,[4]SOUSPROGRAMMES!$E$1:$F$44,2,FALSE)</f>
        <v>31- Identification des besoins en qualification de l’économie</v>
      </c>
      <c r="AB945" s="19" t="str">
        <f>C945 &amp; "-" &amp; VLOOKUP(C945,[4]RESULTATS!$E$1:$F$176,2,FALSE)</f>
        <v>312- Un dispositif de veille sur les métiers, d’anticipation et d’identification des besoins du marché du travail est opérationnel</v>
      </c>
      <c r="AC945" s="20" t="str">
        <f>D945 &amp; "-" &amp; VLOOKUP(D945,[4]STRATEGIES!$E$1:$F$504,2,FALSE)</f>
        <v>3122-Mise en place et opérationnalisation du dispositif de veille</v>
      </c>
      <c r="AD945" s="21" t="str">
        <f t="shared" si="170"/>
        <v>31226-Saisie et analyse des données collectées</v>
      </c>
    </row>
    <row r="946" spans="1:30" s="22" customFormat="1" ht="60" hidden="1" customHeight="1" x14ac:dyDescent="0.8">
      <c r="A946" s="14">
        <v>3</v>
      </c>
      <c r="B946" s="15">
        <v>31</v>
      </c>
      <c r="C946" s="15">
        <v>312</v>
      </c>
      <c r="D946" s="15">
        <v>3122</v>
      </c>
      <c r="E946" s="15">
        <v>31227</v>
      </c>
      <c r="F946" s="16" t="s">
        <v>1185</v>
      </c>
      <c r="G946" s="21" t="s">
        <v>1186</v>
      </c>
      <c r="H946" s="17" t="s">
        <v>66</v>
      </c>
      <c r="I946" s="33">
        <v>0</v>
      </c>
      <c r="J946" s="33"/>
      <c r="K946" s="33">
        <f>20*2</f>
        <v>40</v>
      </c>
      <c r="L946" s="33">
        <f>20*2</f>
        <v>40</v>
      </c>
      <c r="M946" s="33">
        <f t="shared" si="167"/>
        <v>80</v>
      </c>
      <c r="N946" s="33">
        <f>IF(OR(H946="",H946="sif",H946="PM"),0,VLOOKUP(H946,[5]CU!$C$4:$H$255,6,FALSE))</f>
        <v>0.255</v>
      </c>
      <c r="O946" s="33">
        <f t="shared" si="172"/>
        <v>0</v>
      </c>
      <c r="P946" s="33">
        <f t="shared" si="172"/>
        <v>0</v>
      </c>
      <c r="Q946" s="33">
        <f t="shared" si="172"/>
        <v>10.199999999999999</v>
      </c>
      <c r="R946" s="33">
        <f t="shared" si="172"/>
        <v>10.199999999999999</v>
      </c>
      <c r="S946" s="34">
        <f>SUM(O946:R946)</f>
        <v>20.399999999999999</v>
      </c>
      <c r="T946" s="35" t="s">
        <v>56</v>
      </c>
      <c r="U946" s="18" t="s">
        <v>1156</v>
      </c>
      <c r="V946" s="18" t="str">
        <f>IF(OR($H946="",$H946="sif",$H946="PM"),"",VLOOKUP($H946,[5]CU!$C$5:$J$255,8,FALSE))</f>
        <v>3. Dépenses de fonctionnement</v>
      </c>
      <c r="W946" s="18" t="s">
        <v>96</v>
      </c>
      <c r="X946" s="18" t="s">
        <v>1187</v>
      </c>
      <c r="Y946" s="18" t="s">
        <v>677</v>
      </c>
      <c r="Z946" s="18" t="str">
        <f>A946 &amp; "-" &amp; VLOOKUP(A946,[4]PROGRAMMES!$E$1:$F$7,2,FALSE)</f>
        <v>3-Expansion et réforme de l’ETFP</v>
      </c>
      <c r="AA946" s="19" t="str">
        <f>B946 &amp; "-" &amp; VLOOKUP(B946,[4]SOUSPROGRAMMES!$E$1:$F$44,2,FALSE)</f>
        <v>31- Identification des besoins en qualification de l’économie</v>
      </c>
      <c r="AB946" s="19" t="str">
        <f>C946 &amp; "-" &amp; VLOOKUP(C946,[4]RESULTATS!$E$1:$F$176,2,FALSE)</f>
        <v>312- Un dispositif de veille sur les métiers, d’anticipation et d’identification des besoins du marché du travail est opérationnel</v>
      </c>
      <c r="AC946" s="20" t="str">
        <f>D946 &amp; "-" &amp; VLOOKUP(D946,[4]STRATEGIES!$E$1:$F$504,2,FALSE)</f>
        <v>3122-Mise en place et opérationnalisation du dispositif de veille</v>
      </c>
      <c r="AD946" s="21" t="str">
        <f t="shared" si="170"/>
        <v>31227-Organisation des rencontres du groupe de gestion paritaire du dispositif de veille</v>
      </c>
    </row>
    <row r="947" spans="1:30" s="22" customFormat="1" ht="30" hidden="1" customHeight="1" x14ac:dyDescent="0.8">
      <c r="A947" s="14">
        <v>3</v>
      </c>
      <c r="B947" s="15">
        <v>31</v>
      </c>
      <c r="C947" s="15">
        <v>313</v>
      </c>
      <c r="D947" s="15">
        <v>313</v>
      </c>
      <c r="E947" s="15">
        <v>313</v>
      </c>
      <c r="F947" s="16" t="s">
        <v>1188</v>
      </c>
      <c r="G947" s="17"/>
      <c r="H947" s="17"/>
      <c r="I947" s="33">
        <v>0</v>
      </c>
      <c r="J947" s="33"/>
      <c r="K947" s="33"/>
      <c r="L947" s="33"/>
      <c r="M947" s="33"/>
      <c r="N947" s="33"/>
      <c r="O947" s="33"/>
      <c r="P947" s="33"/>
      <c r="Q947" s="33"/>
      <c r="R947" s="33"/>
      <c r="S947" s="34"/>
      <c r="T947" s="33"/>
      <c r="U947" s="18"/>
      <c r="V947" s="18"/>
      <c r="W947" s="18"/>
      <c r="X947" s="18"/>
      <c r="Y947" s="18" t="s">
        <v>677</v>
      </c>
      <c r="Z947" s="18" t="str">
        <f>A947 &amp; "-" &amp; VLOOKUP(A947,[4]PROGRAMMES!$E$1:$F$7,2,FALSE)</f>
        <v>3-Expansion et réforme de l’ETFP</v>
      </c>
      <c r="AA947" s="19" t="str">
        <f>B947 &amp; "-" &amp; VLOOKUP(B947,[4]SOUSPROGRAMMES!$E$1:$F$44,2,FALSE)</f>
        <v>31- Identification des besoins en qualification de l’économie</v>
      </c>
      <c r="AB947" s="19" t="str">
        <f>C947 &amp; "-" &amp; VLOOKUP(C947,[4]RESULTATS!$E$1:$F$176,2,FALSE)</f>
        <v>313- Un mécanisme de suivi de l’insertion est opérationnel</v>
      </c>
      <c r="AC947" s="20" t="str">
        <f>D947 &amp; "-" &amp; VLOOKUP(D947,[4]STRATEGIES!$E$1:$F$504,2,FALSE)</f>
        <v>313- Un mécanisme de suivi de l’insertion est opérationnel</v>
      </c>
      <c r="AD947" s="21" t="str">
        <f t="shared" si="170"/>
        <v>313- Un mécanisme de suivi de l’insertion est opérationnel</v>
      </c>
    </row>
    <row r="948" spans="1:30" s="22" customFormat="1" ht="30" hidden="1" customHeight="1" x14ac:dyDescent="0.8">
      <c r="A948" s="14">
        <v>3</v>
      </c>
      <c r="B948" s="15">
        <v>31</v>
      </c>
      <c r="C948" s="15">
        <v>313</v>
      </c>
      <c r="D948" s="15">
        <v>3131</v>
      </c>
      <c r="E948" s="15">
        <v>3131</v>
      </c>
      <c r="F948" s="16" t="s">
        <v>1189</v>
      </c>
      <c r="G948" s="17"/>
      <c r="H948" s="17"/>
      <c r="I948" s="33">
        <v>0</v>
      </c>
      <c r="J948" s="33"/>
      <c r="K948" s="33"/>
      <c r="L948" s="33"/>
      <c r="M948" s="33"/>
      <c r="N948" s="33"/>
      <c r="O948" s="33"/>
      <c r="P948" s="33"/>
      <c r="Q948" s="33"/>
      <c r="R948" s="33"/>
      <c r="S948" s="34"/>
      <c r="T948" s="33"/>
      <c r="U948" s="18"/>
      <c r="V948" s="18"/>
      <c r="W948" s="18"/>
      <c r="X948" s="18"/>
      <c r="Y948" s="18" t="s">
        <v>677</v>
      </c>
      <c r="Z948" s="18" t="str">
        <f>A948 &amp; "-" &amp; VLOOKUP(A948,[4]PROGRAMMES!$E$1:$F$7,2,FALSE)</f>
        <v>3-Expansion et réforme de l’ETFP</v>
      </c>
      <c r="AA948" s="19" t="str">
        <f>B948 &amp; "-" &amp; VLOOKUP(B948,[4]SOUSPROGRAMMES!$E$1:$F$44,2,FALSE)</f>
        <v>31- Identification des besoins en qualification de l’économie</v>
      </c>
      <c r="AB948" s="19" t="str">
        <f>C948 &amp; "-" &amp; VLOOKUP(C948,[4]RESULTATS!$E$1:$F$176,2,FALSE)</f>
        <v>313- Un mécanisme de suivi de l’insertion est opérationnel</v>
      </c>
      <c r="AC948" s="20" t="str">
        <f>D948 &amp; "-" &amp; VLOOKUP(D948,[4]STRATEGIES!$E$1:$F$504,2,FALSE)</f>
        <v>3131-Conception et mise en place du mécanisme de suivi de l’insertion</v>
      </c>
      <c r="AD948" s="21" t="str">
        <f t="shared" si="170"/>
        <v>3131-Conception et mise en place du mécanisme de suivi de l’insertion</v>
      </c>
    </row>
    <row r="949" spans="1:30" s="22" customFormat="1" ht="45" hidden="1" customHeight="1" x14ac:dyDescent="0.8">
      <c r="A949" s="14">
        <v>3</v>
      </c>
      <c r="B949" s="15">
        <v>31</v>
      </c>
      <c r="C949" s="15">
        <v>313</v>
      </c>
      <c r="D949" s="15">
        <v>3131</v>
      </c>
      <c r="E949" s="15">
        <v>31311</v>
      </c>
      <c r="F949" s="16" t="s">
        <v>1190</v>
      </c>
      <c r="G949" s="21" t="s">
        <v>1191</v>
      </c>
      <c r="H949" s="17" t="s">
        <v>662</v>
      </c>
      <c r="I949" s="33">
        <v>0</v>
      </c>
      <c r="J949" s="33">
        <f>1*4</f>
        <v>4</v>
      </c>
      <c r="K949" s="33">
        <v>2</v>
      </c>
      <c r="L949" s="33">
        <v>1</v>
      </c>
      <c r="M949" s="33">
        <f t="shared" si="167"/>
        <v>7</v>
      </c>
      <c r="N949" s="33">
        <f>IF(OR(H949="",H949="sif",H949="PM"),0,VLOOKUP(H949,[5]CU!$C$4:$H$255,6,FALSE))</f>
        <v>219.54797350000001</v>
      </c>
      <c r="O949" s="33">
        <f t="shared" si="172"/>
        <v>0</v>
      </c>
      <c r="P949" s="33">
        <f t="shared" si="172"/>
        <v>878.19189400000005</v>
      </c>
      <c r="Q949" s="33">
        <f t="shared" si="172"/>
        <v>439.09594700000002</v>
      </c>
      <c r="R949" s="33">
        <f t="shared" si="172"/>
        <v>219.54797350000001</v>
      </c>
      <c r="S949" s="34">
        <f>SUM(O949:R949)</f>
        <v>1536.8358145000002</v>
      </c>
      <c r="T949" s="35" t="s">
        <v>118</v>
      </c>
      <c r="U949" s="18" t="s">
        <v>1156</v>
      </c>
      <c r="V949" s="18" t="str">
        <f>IF(OR($H949="",$H949="sif",$H949="PM"),"",VLOOKUP($H949,[5]CU!$C$5:$J$255,8,FALSE))</f>
        <v>3. Dépenses de fonctionnement</v>
      </c>
      <c r="W949" s="18" t="s">
        <v>96</v>
      </c>
      <c r="X949" s="18" t="s">
        <v>1165</v>
      </c>
      <c r="Y949" s="18" t="s">
        <v>677</v>
      </c>
      <c r="Z949" s="18" t="str">
        <f>A949 &amp; "-" &amp; VLOOKUP(A949,[4]PROGRAMMES!$E$1:$F$7,2,FALSE)</f>
        <v>3-Expansion et réforme de l’ETFP</v>
      </c>
      <c r="AA949" s="19" t="str">
        <f>B949 &amp; "-" &amp; VLOOKUP(B949,[4]SOUSPROGRAMMES!$E$1:$F$44,2,FALSE)</f>
        <v>31- Identification des besoins en qualification de l’économie</v>
      </c>
      <c r="AB949" s="19" t="str">
        <f>C949 &amp; "-" &amp; VLOOKUP(C949,[4]RESULTATS!$E$1:$F$176,2,FALSE)</f>
        <v>313- Un mécanisme de suivi de l’insertion est opérationnel</v>
      </c>
      <c r="AC949" s="20" t="str">
        <f>D949 &amp; "-" &amp; VLOOKUP(D949,[4]STRATEGIES!$E$1:$F$504,2,FALSE)</f>
        <v>3131-Conception et mise en place du mécanisme de suivi de l’insertion</v>
      </c>
      <c r="AD949" s="21" t="str">
        <f t="shared" si="170"/>
        <v>31311-Appui à la mise en place et à l'opérationnalisation d'un dispositif de suivi de l'insertion socioprofessionnelle</v>
      </c>
    </row>
    <row r="950" spans="1:30" s="22" customFormat="1" ht="30" hidden="1" customHeight="1" x14ac:dyDescent="0.8">
      <c r="A950" s="14">
        <v>3</v>
      </c>
      <c r="B950" s="15">
        <v>31</v>
      </c>
      <c r="C950" s="15">
        <v>313</v>
      </c>
      <c r="D950" s="15">
        <v>3131</v>
      </c>
      <c r="E950" s="15">
        <v>31312</v>
      </c>
      <c r="F950" s="16" t="s">
        <v>1192</v>
      </c>
      <c r="G950" s="21" t="s">
        <v>1193</v>
      </c>
      <c r="H950" s="17" t="s">
        <v>66</v>
      </c>
      <c r="I950" s="33">
        <v>0</v>
      </c>
      <c r="J950" s="33">
        <f>20*5</f>
        <v>100</v>
      </c>
      <c r="K950" s="33"/>
      <c r="L950" s="33"/>
      <c r="M950" s="33">
        <f t="shared" si="167"/>
        <v>100</v>
      </c>
      <c r="N950" s="33">
        <f>IF(OR(H950="",H950="sif",H950="PM"),0,VLOOKUP(H950,[5]CU!$C$4:$H$255,6,FALSE))</f>
        <v>0.255</v>
      </c>
      <c r="O950" s="33">
        <f t="shared" si="172"/>
        <v>0</v>
      </c>
      <c r="P950" s="33">
        <f t="shared" si="172"/>
        <v>25.5</v>
      </c>
      <c r="Q950" s="33">
        <f t="shared" si="172"/>
        <v>0</v>
      </c>
      <c r="R950" s="33">
        <f t="shared" si="172"/>
        <v>0</v>
      </c>
      <c r="S950" s="34">
        <f>SUM(O950:R950)</f>
        <v>25.5</v>
      </c>
      <c r="T950" s="35" t="s">
        <v>118</v>
      </c>
      <c r="U950" s="18" t="s">
        <v>1156</v>
      </c>
      <c r="V950" s="18" t="str">
        <f>IF(OR($H950="",$H950="sif",$H950="PM"),"",VLOOKUP($H950,[5]CU!$C$5:$J$255,8,FALSE))</f>
        <v>3. Dépenses de fonctionnement</v>
      </c>
      <c r="W950" s="18" t="s">
        <v>1165</v>
      </c>
      <c r="X950" s="18" t="s">
        <v>1165</v>
      </c>
      <c r="Y950" s="18" t="s">
        <v>677</v>
      </c>
      <c r="Z950" s="18" t="str">
        <f>A950 &amp; "-" &amp; VLOOKUP(A950,[4]PROGRAMMES!$E$1:$F$7,2,FALSE)</f>
        <v>3-Expansion et réforme de l’ETFP</v>
      </c>
      <c r="AA950" s="19" t="str">
        <f>B950 &amp; "-" &amp; VLOOKUP(B950,[4]SOUSPROGRAMMES!$E$1:$F$44,2,FALSE)</f>
        <v>31- Identification des besoins en qualification de l’économie</v>
      </c>
      <c r="AB950" s="19" t="str">
        <f>C950 &amp; "-" &amp; VLOOKUP(C950,[4]RESULTATS!$E$1:$F$176,2,FALSE)</f>
        <v>313- Un mécanisme de suivi de l’insertion est opérationnel</v>
      </c>
      <c r="AC950" s="20" t="str">
        <f>D950 &amp; "-" &amp; VLOOKUP(D950,[4]STRATEGIES!$E$1:$F$504,2,FALSE)</f>
        <v>3131-Conception et mise en place du mécanisme de suivi de l’insertion</v>
      </c>
      <c r="AD950" s="21" t="str">
        <f t="shared" si="170"/>
        <v>31312-DéFinition du mécanisme de suivi de l'insertion</v>
      </c>
    </row>
    <row r="951" spans="1:30" s="22" customFormat="1" ht="30" hidden="1" customHeight="1" x14ac:dyDescent="0.8">
      <c r="A951" s="14">
        <v>3</v>
      </c>
      <c r="B951" s="15">
        <v>31</v>
      </c>
      <c r="C951" s="15">
        <v>313</v>
      </c>
      <c r="D951" s="15">
        <v>3131</v>
      </c>
      <c r="E951" s="15">
        <v>31313</v>
      </c>
      <c r="F951" s="16" t="s">
        <v>1194</v>
      </c>
      <c r="G951" s="21" t="s">
        <v>1195</v>
      </c>
      <c r="H951" s="17" t="s">
        <v>55</v>
      </c>
      <c r="I951" s="33">
        <v>0</v>
      </c>
      <c r="J951" s="33"/>
      <c r="K951" s="33">
        <v>1</v>
      </c>
      <c r="L951" s="33"/>
      <c r="M951" s="33">
        <f t="shared" ref="M951:M979" si="173">SUM(I951:L951)</f>
        <v>1</v>
      </c>
      <c r="N951" s="33">
        <f>IF(OR(H951="",H951="sif",H951="PM"),0,VLOOKUP(H951,[5]CU!$C$4:$H$255,6,FALSE))</f>
        <v>0</v>
      </c>
      <c r="O951" s="33">
        <f t="shared" si="172"/>
        <v>0</v>
      </c>
      <c r="P951" s="33">
        <f t="shared" si="172"/>
        <v>0</v>
      </c>
      <c r="Q951" s="33">
        <f t="shared" si="172"/>
        <v>0</v>
      </c>
      <c r="R951" s="33">
        <f t="shared" si="172"/>
        <v>0</v>
      </c>
      <c r="S951" s="34"/>
      <c r="T951" s="35" t="s">
        <v>56</v>
      </c>
      <c r="U951" s="18" t="s">
        <v>1156</v>
      </c>
      <c r="V951" s="18" t="str">
        <f>IF(OR($H951="",$H951="sif",$H951="PM"),"",VLOOKUP($H951,[5]CU!$C$5:$J$255,8,FALSE))</f>
        <v/>
      </c>
      <c r="W951" s="18" t="s">
        <v>1165</v>
      </c>
      <c r="X951" s="18" t="s">
        <v>1165</v>
      </c>
      <c r="Y951" s="18" t="s">
        <v>677</v>
      </c>
      <c r="Z951" s="18" t="str">
        <f>A951 &amp; "-" &amp; VLOOKUP(A951,[4]PROGRAMMES!$E$1:$F$7,2,FALSE)</f>
        <v>3-Expansion et réforme de l’ETFP</v>
      </c>
      <c r="AA951" s="19" t="str">
        <f>B951 &amp; "-" &amp; VLOOKUP(B951,[4]SOUSPROGRAMMES!$E$1:$F$44,2,FALSE)</f>
        <v>31- Identification des besoins en qualification de l’économie</v>
      </c>
      <c r="AB951" s="19" t="str">
        <f>C951 &amp; "-" &amp; VLOOKUP(C951,[4]RESULTATS!$E$1:$F$176,2,FALSE)</f>
        <v>313- Un mécanisme de suivi de l’insertion est opérationnel</v>
      </c>
      <c r="AC951" s="20" t="str">
        <f>D951 &amp; "-" &amp; VLOOKUP(D951,[4]STRATEGIES!$E$1:$F$504,2,FALSE)</f>
        <v>3131-Conception et mise en place du mécanisme de suivi de l’insertion</v>
      </c>
      <c r="AD951" s="21" t="str">
        <f t="shared" si="170"/>
        <v>31313-la mise en place du dispositif d'insertion</v>
      </c>
    </row>
    <row r="952" spans="1:30" s="22" customFormat="1" ht="30" hidden="1" customHeight="1" x14ac:dyDescent="0.8">
      <c r="A952" s="14">
        <v>3</v>
      </c>
      <c r="B952" s="15">
        <v>31</v>
      </c>
      <c r="C952" s="15">
        <v>313</v>
      </c>
      <c r="D952" s="15">
        <v>3132</v>
      </c>
      <c r="E952" s="15">
        <v>3132</v>
      </c>
      <c r="F952" s="16" t="s">
        <v>1196</v>
      </c>
      <c r="G952" s="17"/>
      <c r="H952" s="17"/>
      <c r="I952" s="33">
        <v>0</v>
      </c>
      <c r="J952" s="33"/>
      <c r="K952" s="33"/>
      <c r="L952" s="33"/>
      <c r="M952" s="33"/>
      <c r="N952" s="33"/>
      <c r="O952" s="33"/>
      <c r="P952" s="33"/>
      <c r="Q952" s="33"/>
      <c r="R952" s="33"/>
      <c r="S952" s="34"/>
      <c r="T952" s="33"/>
      <c r="U952" s="18"/>
      <c r="V952" s="18"/>
      <c r="W952" s="18"/>
      <c r="X952" s="18"/>
      <c r="Y952" s="18" t="s">
        <v>677</v>
      </c>
      <c r="Z952" s="18" t="str">
        <f>A952 &amp; "-" &amp; VLOOKUP(A952,[4]PROGRAMMES!$E$1:$F$7,2,FALSE)</f>
        <v>3-Expansion et réforme de l’ETFP</v>
      </c>
      <c r="AA952" s="19" t="str">
        <f>B952 &amp; "-" &amp; VLOOKUP(B952,[4]SOUSPROGRAMMES!$E$1:$F$44,2,FALSE)</f>
        <v>31- Identification des besoins en qualification de l’économie</v>
      </c>
      <c r="AB952" s="19" t="str">
        <f>C952 &amp; "-" &amp; VLOOKUP(C952,[4]RESULTATS!$E$1:$F$176,2,FALSE)</f>
        <v>313- Un mécanisme de suivi de l’insertion est opérationnel</v>
      </c>
      <c r="AC952" s="20" t="str">
        <f>D952 &amp; "-" &amp; VLOOKUP(D952,[4]STRATEGIES!$E$1:$F$504,2,FALSE)</f>
        <v>3132-Réalisation d’actions de suivi et d’analyse de l’insertion des diplômés de l’ETFP</v>
      </c>
      <c r="AD952" s="21" t="str">
        <f t="shared" si="170"/>
        <v>3132-Réalisation d’actions de suivi et d’analyse de l’insertion des diplômés de l’ETFP</v>
      </c>
    </row>
    <row r="953" spans="1:30" s="22" customFormat="1" ht="30" hidden="1" customHeight="1" x14ac:dyDescent="0.8">
      <c r="A953" s="14">
        <v>3</v>
      </c>
      <c r="B953" s="15">
        <v>31</v>
      </c>
      <c r="C953" s="15">
        <v>313</v>
      </c>
      <c r="D953" s="15">
        <v>3132</v>
      </c>
      <c r="E953" s="15">
        <v>31321</v>
      </c>
      <c r="F953" s="16" t="s">
        <v>1197</v>
      </c>
      <c r="G953" s="21" t="s">
        <v>92</v>
      </c>
      <c r="H953" s="17" t="s">
        <v>55</v>
      </c>
      <c r="I953" s="33">
        <v>0</v>
      </c>
      <c r="J953" s="33"/>
      <c r="K953" s="33">
        <v>1</v>
      </c>
      <c r="L953" s="33"/>
      <c r="M953" s="33">
        <f t="shared" si="173"/>
        <v>1</v>
      </c>
      <c r="N953" s="33">
        <f>IF(OR(H953="",H953="sif",H953="PM"),0,VLOOKUP(H953,[5]CU!$C$4:$H$255,6,FALSE))</f>
        <v>0</v>
      </c>
      <c r="O953" s="33">
        <f t="shared" si="172"/>
        <v>0</v>
      </c>
      <c r="P953" s="33">
        <f t="shared" si="172"/>
        <v>0</v>
      </c>
      <c r="Q953" s="33">
        <f t="shared" si="172"/>
        <v>0</v>
      </c>
      <c r="R953" s="33">
        <f t="shared" si="172"/>
        <v>0</v>
      </c>
      <c r="S953" s="34"/>
      <c r="T953" s="35" t="s">
        <v>56</v>
      </c>
      <c r="U953" s="18" t="s">
        <v>1156</v>
      </c>
      <c r="V953" s="18" t="str">
        <f>IF(OR($H953="",$H953="sif",$H953="PM"),"",VLOOKUP($H953,[5]CU!$C$5:$J$255,8,FALSE))</f>
        <v/>
      </c>
      <c r="W953" s="18"/>
      <c r="X953" s="18"/>
      <c r="Y953" s="18" t="s">
        <v>677</v>
      </c>
      <c r="Z953" s="18" t="str">
        <f>A953 &amp; "-" &amp; VLOOKUP(A953,[4]PROGRAMMES!$E$1:$F$7,2,FALSE)</f>
        <v>3-Expansion et réforme de l’ETFP</v>
      </c>
      <c r="AA953" s="19" t="str">
        <f>B953 &amp; "-" &amp; VLOOKUP(B953,[4]SOUSPROGRAMMES!$E$1:$F$44,2,FALSE)</f>
        <v>31- Identification des besoins en qualification de l’économie</v>
      </c>
      <c r="AB953" s="19" t="str">
        <f>C953 &amp; "-" &amp; VLOOKUP(C953,[4]RESULTATS!$E$1:$F$176,2,FALSE)</f>
        <v>313- Un mécanisme de suivi de l’insertion est opérationnel</v>
      </c>
      <c r="AC953" s="20" t="str">
        <f>D953 &amp; "-" &amp; VLOOKUP(D953,[4]STRATEGIES!$E$1:$F$504,2,FALSE)</f>
        <v>3132-Réalisation d’actions de suivi et d’analyse de l’insertion des diplômés de l’ETFP</v>
      </c>
      <c r="AD953" s="21" t="str">
        <f t="shared" si="170"/>
        <v>31321-Elaboration de guide d'enquête pour le suivi de l'insertion professionnelle (pris en compte dans activité 31311)</v>
      </c>
    </row>
    <row r="954" spans="1:30" s="22" customFormat="1" ht="45" hidden="1" customHeight="1" x14ac:dyDescent="0.8">
      <c r="A954" s="14">
        <v>3</v>
      </c>
      <c r="B954" s="15">
        <v>31</v>
      </c>
      <c r="C954" s="15">
        <v>313</v>
      </c>
      <c r="D954" s="15">
        <v>3132</v>
      </c>
      <c r="E954" s="15">
        <v>31322</v>
      </c>
      <c r="F954" s="16" t="s">
        <v>1198</v>
      </c>
      <c r="G954" s="21" t="s">
        <v>92</v>
      </c>
      <c r="H954" s="17" t="s">
        <v>55</v>
      </c>
      <c r="I954" s="33">
        <v>0</v>
      </c>
      <c r="J954" s="33"/>
      <c r="K954" s="33">
        <v>1</v>
      </c>
      <c r="L954" s="33"/>
      <c r="M954" s="33">
        <f t="shared" si="173"/>
        <v>1</v>
      </c>
      <c r="N954" s="33">
        <f>IF(OR(H954="",H954="sif",H954="PM"),0,VLOOKUP(H954,[5]CU!$C$4:$H$255,6,FALSE))</f>
        <v>0</v>
      </c>
      <c r="O954" s="33">
        <f t="shared" si="172"/>
        <v>0</v>
      </c>
      <c r="P954" s="33">
        <f t="shared" si="172"/>
        <v>0</v>
      </c>
      <c r="Q954" s="33">
        <f t="shared" si="172"/>
        <v>0</v>
      </c>
      <c r="R954" s="33">
        <f t="shared" si="172"/>
        <v>0</v>
      </c>
      <c r="S954" s="34"/>
      <c r="T954" s="35" t="s">
        <v>56</v>
      </c>
      <c r="U954" s="18" t="s">
        <v>1156</v>
      </c>
      <c r="V954" s="18" t="str">
        <f>IF(OR($H954="",$H954="sif",$H954="PM"),"",VLOOKUP($H954,[5]CU!$C$5:$J$255,8,FALSE))</f>
        <v/>
      </c>
      <c r="W954" s="18"/>
      <c r="X954" s="18"/>
      <c r="Y954" s="18" t="s">
        <v>677</v>
      </c>
      <c r="Z954" s="18" t="str">
        <f>A954 &amp; "-" &amp; VLOOKUP(A954,[4]PROGRAMMES!$E$1:$F$7,2,FALSE)</f>
        <v>3-Expansion et réforme de l’ETFP</v>
      </c>
      <c r="AA954" s="19" t="str">
        <f>B954 &amp; "-" &amp; VLOOKUP(B954,[4]SOUSPROGRAMMES!$E$1:$F$44,2,FALSE)</f>
        <v>31- Identification des besoins en qualification de l’économie</v>
      </c>
      <c r="AB954" s="19" t="str">
        <f>C954 &amp; "-" &amp; VLOOKUP(C954,[4]RESULTATS!$E$1:$F$176,2,FALSE)</f>
        <v>313- Un mécanisme de suivi de l’insertion est opérationnel</v>
      </c>
      <c r="AC954" s="20" t="str">
        <f>D954 &amp; "-" &amp; VLOOKUP(D954,[4]STRATEGIES!$E$1:$F$504,2,FALSE)</f>
        <v>3132-Réalisation d’actions de suivi et d’analyse de l’insertion des diplômés de l’ETFP</v>
      </c>
      <c r="AD954" s="21" t="str">
        <f t="shared" si="170"/>
        <v>31322-Développement d'une application pour le suivi de l'insertion (niveau établissement et niveau national pris en charge dans activité 31311)</v>
      </c>
    </row>
    <row r="955" spans="1:30" s="22" customFormat="1" ht="45" hidden="1" customHeight="1" x14ac:dyDescent="0.8">
      <c r="A955" s="14">
        <v>3</v>
      </c>
      <c r="B955" s="15">
        <v>31</v>
      </c>
      <c r="C955" s="15">
        <v>313</v>
      </c>
      <c r="D955" s="15">
        <v>3132</v>
      </c>
      <c r="E955" s="15">
        <v>31323</v>
      </c>
      <c r="F955" s="16" t="s">
        <v>1199</v>
      </c>
      <c r="G955" s="21" t="s">
        <v>92</v>
      </c>
      <c r="H955" s="17" t="s">
        <v>55</v>
      </c>
      <c r="I955" s="33">
        <v>0</v>
      </c>
      <c r="J955" s="33"/>
      <c r="K955" s="33">
        <v>1</v>
      </c>
      <c r="L955" s="33">
        <v>1</v>
      </c>
      <c r="M955" s="33">
        <f t="shared" si="173"/>
        <v>2</v>
      </c>
      <c r="N955" s="33">
        <f>IF(OR(H955="",H955="sif",H955="PM"),0,VLOOKUP(H955,[5]CU!$C$4:$H$255,6,FALSE))</f>
        <v>0</v>
      </c>
      <c r="O955" s="33">
        <f t="shared" si="172"/>
        <v>0</v>
      </c>
      <c r="P955" s="33">
        <f t="shared" si="172"/>
        <v>0</v>
      </c>
      <c r="Q955" s="33">
        <f t="shared" si="172"/>
        <v>0</v>
      </c>
      <c r="R955" s="33">
        <f t="shared" si="172"/>
        <v>0</v>
      </c>
      <c r="S955" s="34"/>
      <c r="T955" s="35" t="s">
        <v>56</v>
      </c>
      <c r="U955" s="18" t="s">
        <v>1156</v>
      </c>
      <c r="V955" s="18" t="str">
        <f>IF(OR($H955="",$H955="sif",$H955="PM"),"",VLOOKUP($H955,[5]CU!$C$5:$J$255,8,FALSE))</f>
        <v/>
      </c>
      <c r="W955" s="18"/>
      <c r="X955" s="18"/>
      <c r="Y955" s="18" t="s">
        <v>677</v>
      </c>
      <c r="Z955" s="18" t="str">
        <f>A955 &amp; "-" &amp; VLOOKUP(A955,[4]PROGRAMMES!$E$1:$F$7,2,FALSE)</f>
        <v>3-Expansion et réforme de l’ETFP</v>
      </c>
      <c r="AA955" s="19" t="str">
        <f>B955 &amp; "-" &amp; VLOOKUP(B955,[4]SOUSPROGRAMMES!$E$1:$F$44,2,FALSE)</f>
        <v>31- Identification des besoins en qualification de l’économie</v>
      </c>
      <c r="AB955" s="19" t="str">
        <f>C955 &amp; "-" &amp; VLOOKUP(C955,[4]RESULTATS!$E$1:$F$176,2,FALSE)</f>
        <v>313- Un mécanisme de suivi de l’insertion est opérationnel</v>
      </c>
      <c r="AC955" s="20" t="str">
        <f>D955 &amp; "-" &amp; VLOOKUP(D955,[4]STRATEGIES!$E$1:$F$504,2,FALSE)</f>
        <v>3132-Réalisation d’actions de suivi et d’analyse de l’insertion des diplômés de l’ETFP</v>
      </c>
      <c r="AD955" s="21" t="str">
        <f t="shared" si="170"/>
        <v>31323-Collecte périodique des données sur l'insertion professionnelle au niveau des institutions de formation et des entreprises (voir budget établissement)</v>
      </c>
    </row>
    <row r="956" spans="1:30" s="22" customFormat="1" ht="30" hidden="1" customHeight="1" x14ac:dyDescent="0.8">
      <c r="A956" s="14">
        <v>3</v>
      </c>
      <c r="B956" s="15">
        <v>31</v>
      </c>
      <c r="C956" s="15">
        <v>313</v>
      </c>
      <c r="D956" s="15">
        <v>3132</v>
      </c>
      <c r="E956" s="15">
        <v>31324</v>
      </c>
      <c r="F956" s="16" t="s">
        <v>1200</v>
      </c>
      <c r="G956" s="21" t="s">
        <v>37</v>
      </c>
      <c r="H956" s="17" t="s">
        <v>66</v>
      </c>
      <c r="I956" s="33">
        <v>0</v>
      </c>
      <c r="J956" s="33"/>
      <c r="K956" s="33">
        <f>40*5*8</f>
        <v>1600</v>
      </c>
      <c r="L956" s="33">
        <v>0</v>
      </c>
      <c r="M956" s="33">
        <f t="shared" si="173"/>
        <v>1600</v>
      </c>
      <c r="N956" s="33">
        <f>IF(OR(H956="",H956="sif",H956="PM"),0,VLOOKUP(H956,[5]CU!$C$4:$H$255,6,FALSE))</f>
        <v>0.255</v>
      </c>
      <c r="O956" s="33">
        <f t="shared" si="172"/>
        <v>0</v>
      </c>
      <c r="P956" s="33">
        <f t="shared" si="172"/>
        <v>0</v>
      </c>
      <c r="Q956" s="33">
        <f t="shared" si="172"/>
        <v>408</v>
      </c>
      <c r="R956" s="33">
        <f t="shared" si="172"/>
        <v>0</v>
      </c>
      <c r="S956" s="34">
        <f>SUM(O956:R956)</f>
        <v>408</v>
      </c>
      <c r="T956" s="35" t="s">
        <v>169</v>
      </c>
      <c r="U956" s="18" t="s">
        <v>1156</v>
      </c>
      <c r="V956" s="18" t="str">
        <f>IF(OR($H956="",$H956="sif",$H956="PM"),"",VLOOKUP($H956,[5]CU!$C$5:$J$255,8,FALSE))</f>
        <v>3. Dépenses de fonctionnement</v>
      </c>
      <c r="W956" s="18" t="s">
        <v>96</v>
      </c>
      <c r="X956" s="18" t="s">
        <v>1165</v>
      </c>
      <c r="Y956" s="18" t="s">
        <v>677</v>
      </c>
      <c r="Z956" s="18" t="str">
        <f>A956 &amp; "-" &amp; VLOOKUP(A956,[4]PROGRAMMES!$E$1:$F$7,2,FALSE)</f>
        <v>3-Expansion et réforme de l’ETFP</v>
      </c>
      <c r="AA956" s="19" t="str">
        <f>B956 &amp; "-" &amp; VLOOKUP(B956,[4]SOUSPROGRAMMES!$E$1:$F$44,2,FALSE)</f>
        <v>31- Identification des besoins en qualification de l’économie</v>
      </c>
      <c r="AB956" s="19" t="str">
        <f>C956 &amp; "-" &amp; VLOOKUP(C956,[4]RESULTATS!$E$1:$F$176,2,FALSE)</f>
        <v>313- Un mécanisme de suivi de l’insertion est opérationnel</v>
      </c>
      <c r="AC956" s="20" t="str">
        <f>D956 &amp; "-" &amp; VLOOKUP(D956,[4]STRATEGIES!$E$1:$F$504,2,FALSE)</f>
        <v>3132-Réalisation d’actions de suivi et d’analyse de l’insertion des diplômés de l’ETFP</v>
      </c>
      <c r="AD956" s="21" t="str">
        <f t="shared" si="170"/>
        <v>31324-Analyse et partage des résultats annuels du suivi de l'insertion</v>
      </c>
    </row>
    <row r="957" spans="1:30" s="22" customFormat="1" ht="30" hidden="1" customHeight="1" x14ac:dyDescent="0.8">
      <c r="A957" s="14">
        <v>3</v>
      </c>
      <c r="B957" s="15">
        <v>31</v>
      </c>
      <c r="C957" s="15">
        <v>313</v>
      </c>
      <c r="D957" s="15">
        <v>3132</v>
      </c>
      <c r="E957" s="15">
        <v>31325</v>
      </c>
      <c r="F957" s="16" t="s">
        <v>1201</v>
      </c>
      <c r="G957" s="21" t="s">
        <v>1195</v>
      </c>
      <c r="H957" s="17" t="s">
        <v>55</v>
      </c>
      <c r="I957" s="33">
        <v>0</v>
      </c>
      <c r="J957" s="33"/>
      <c r="K957" s="33">
        <v>1</v>
      </c>
      <c r="L957" s="33">
        <v>1</v>
      </c>
      <c r="M957" s="33">
        <f t="shared" si="173"/>
        <v>2</v>
      </c>
      <c r="N957" s="33">
        <f>IF(OR(H957="",H957="sif",H957="PM"),0,VLOOKUP(H957,[5]CU!$C$4:$H$255,6,FALSE))</f>
        <v>0</v>
      </c>
      <c r="O957" s="33">
        <f t="shared" si="172"/>
        <v>0</v>
      </c>
      <c r="P957" s="33">
        <f t="shared" si="172"/>
        <v>0</v>
      </c>
      <c r="Q957" s="33">
        <f t="shared" si="172"/>
        <v>0</v>
      </c>
      <c r="R957" s="33">
        <f t="shared" si="172"/>
        <v>0</v>
      </c>
      <c r="S957" s="34"/>
      <c r="T957" s="35" t="s">
        <v>56</v>
      </c>
      <c r="U957" s="18" t="s">
        <v>1156</v>
      </c>
      <c r="V957" s="18" t="str">
        <f>IF(OR($H957="",$H957="sif",$H957="PM"),"",VLOOKUP($H957,[5]CU!$C$5:$J$255,8,FALSE))</f>
        <v/>
      </c>
      <c r="W957" s="18" t="s">
        <v>1165</v>
      </c>
      <c r="X957" s="18" t="s">
        <v>1165</v>
      </c>
      <c r="Y957" s="18" t="s">
        <v>677</v>
      </c>
      <c r="Z957" s="18" t="str">
        <f>A957 &amp; "-" &amp; VLOOKUP(A957,[4]PROGRAMMES!$E$1:$F$7,2,FALSE)</f>
        <v>3-Expansion et réforme de l’ETFP</v>
      </c>
      <c r="AA957" s="19" t="str">
        <f>B957 &amp; "-" &amp; VLOOKUP(B957,[4]SOUSPROGRAMMES!$E$1:$F$44,2,FALSE)</f>
        <v>31- Identification des besoins en qualification de l’économie</v>
      </c>
      <c r="AB957" s="19" t="str">
        <f>C957 &amp; "-" &amp; VLOOKUP(C957,[4]RESULTATS!$E$1:$F$176,2,FALSE)</f>
        <v>313- Un mécanisme de suivi de l’insertion est opérationnel</v>
      </c>
      <c r="AC957" s="20" t="str">
        <f>D957 &amp; "-" &amp; VLOOKUP(D957,[4]STRATEGIES!$E$1:$F$504,2,FALSE)</f>
        <v>3132-Réalisation d’actions de suivi et d’analyse de l’insertion des diplômés de l’ETFP</v>
      </c>
      <c r="AD957" s="21" t="str">
        <f t="shared" si="170"/>
        <v xml:space="preserve">31325-Prise en charge dans les programmes de formation des constats de l'analyse du suivi de l'insertion </v>
      </c>
    </row>
    <row r="958" spans="1:30" s="22" customFormat="1" ht="45" hidden="1" customHeight="1" x14ac:dyDescent="0.8">
      <c r="A958" s="14">
        <v>3</v>
      </c>
      <c r="B958" s="15">
        <v>32</v>
      </c>
      <c r="C958" s="15">
        <v>32</v>
      </c>
      <c r="D958" s="15">
        <v>32</v>
      </c>
      <c r="E958" s="15">
        <v>32</v>
      </c>
      <c r="F958" s="16" t="s">
        <v>1202</v>
      </c>
      <c r="G958" s="17"/>
      <c r="H958" s="17"/>
      <c r="I958" s="33">
        <v>0</v>
      </c>
      <c r="J958" s="33"/>
      <c r="K958" s="33"/>
      <c r="L958" s="33"/>
      <c r="M958" s="33"/>
      <c r="N958" s="33"/>
      <c r="O958" s="33"/>
      <c r="P958" s="33"/>
      <c r="Q958" s="33"/>
      <c r="R958" s="33"/>
      <c r="S958" s="34"/>
      <c r="T958" s="33"/>
      <c r="U958" s="18"/>
      <c r="V958" s="18"/>
      <c r="W958" s="18"/>
      <c r="X958" s="18"/>
      <c r="Y958" s="18" t="s">
        <v>677</v>
      </c>
      <c r="Z958" s="18" t="str">
        <f>A958 &amp; "-" &amp; VLOOKUP(A958,[4]PROGRAMMES!$E$1:$F$7,2,FALSE)</f>
        <v>3-Expansion et réforme de l’ETFP</v>
      </c>
      <c r="AA958" s="19" t="str">
        <f>B958 &amp; "-" &amp; VLOOKUP(B958,[4]SOUSPROGRAMMES!$E$1:$F$44,2,FALSE)</f>
        <v>32- Mise en place d’une ingénierie de formation adaptée aux besoins de l’économie</v>
      </c>
      <c r="AB958" s="19" t="str">
        <f>C958 &amp; "-" &amp; VLOOKUP(C958,[4]RESULTATS!$E$1:$F$176,2,FALSE)</f>
        <v>32- Mise en place d’une ingénierie de formation adaptée aux besoins de l’économie</v>
      </c>
      <c r="AC958" s="20" t="str">
        <f>D958 &amp; "-" &amp; VLOOKUP(D958,[4]STRATEGIES!$E$1:$F$504,2,FALSE)</f>
        <v>32- Mise en place d’une ingénierie de formation adaptée aux besoins de l’économie</v>
      </c>
      <c r="AD958" s="21" t="str">
        <f t="shared" si="170"/>
        <v>32- Mise en place d’une ingénierie de formation adaptée aux besoins de l’économie</v>
      </c>
    </row>
    <row r="959" spans="1:30" s="22" customFormat="1" ht="60" hidden="1" customHeight="1" x14ac:dyDescent="0.8">
      <c r="A959" s="14">
        <v>3</v>
      </c>
      <c r="B959" s="15">
        <v>32</v>
      </c>
      <c r="C959" s="15">
        <v>321</v>
      </c>
      <c r="D959" s="15">
        <v>321</v>
      </c>
      <c r="E959" s="15">
        <v>321</v>
      </c>
      <c r="F959" s="16" t="s">
        <v>1203</v>
      </c>
      <c r="G959" s="17"/>
      <c r="H959" s="17"/>
      <c r="I959" s="33">
        <v>0</v>
      </c>
      <c r="J959" s="33"/>
      <c r="K959" s="33"/>
      <c r="L959" s="33"/>
      <c r="M959" s="33"/>
      <c r="N959" s="33"/>
      <c r="O959" s="33"/>
      <c r="P959" s="33"/>
      <c r="Q959" s="33"/>
      <c r="R959" s="33"/>
      <c r="S959" s="34"/>
      <c r="T959" s="33"/>
      <c r="U959" s="18"/>
      <c r="V959" s="18"/>
      <c r="W959" s="18"/>
      <c r="X959" s="18"/>
      <c r="Y959" s="18" t="s">
        <v>677</v>
      </c>
      <c r="Z959" s="18" t="str">
        <f>A959 &amp; "-" &amp; VLOOKUP(A959,[4]PROGRAMMES!$E$1:$F$7,2,FALSE)</f>
        <v>3-Expansion et réforme de l’ETFP</v>
      </c>
      <c r="AA959" s="19" t="str">
        <f>B959 &amp; "-" &amp; VLOOKUP(B959,[4]SOUSPROGRAMMES!$E$1:$F$44,2,FALSE)</f>
        <v>32- Mise en place d’une ingénierie de formation adaptée aux besoins de l’économie</v>
      </c>
      <c r="AB959" s="19" t="str">
        <f>C959 &amp; "-" &amp; VLOOKUP(C959,[4]RESULTATS!$E$1:$F$176,2,FALSE)</f>
        <v>321- Un dispositif institutionnel de formation du personnel de formation et d’ingénierie de formation est mis en place</v>
      </c>
      <c r="AC959" s="20" t="str">
        <f>D959 &amp; "-" &amp; VLOOKUP(D959,[4]STRATEGIES!$E$1:$F$504,2,FALSE)</f>
        <v>321- Un dispositif institutionnel de formation du personnel de formation et d’ingénierie de formation est mis en place</v>
      </c>
      <c r="AD959" s="21" t="str">
        <f t="shared" si="170"/>
        <v>321- Un dispositif institutionnel de formation du personnel de formation et d’ingénierie de formation est mis en place</v>
      </c>
    </row>
    <row r="960" spans="1:30" s="22" customFormat="1" ht="60" hidden="1" customHeight="1" x14ac:dyDescent="0.8">
      <c r="A960" s="14">
        <v>3</v>
      </c>
      <c r="B960" s="15">
        <v>32</v>
      </c>
      <c r="C960" s="15">
        <v>321</v>
      </c>
      <c r="D960" s="15">
        <v>3211</v>
      </c>
      <c r="E960" s="15">
        <v>3211</v>
      </c>
      <c r="F960" s="16" t="s">
        <v>1204</v>
      </c>
      <c r="G960" s="17"/>
      <c r="H960" s="17"/>
      <c r="I960" s="33">
        <v>0</v>
      </c>
      <c r="J960" s="33"/>
      <c r="K960" s="33"/>
      <c r="L960" s="33"/>
      <c r="M960" s="33"/>
      <c r="N960" s="33"/>
      <c r="O960" s="33"/>
      <c r="P960" s="33"/>
      <c r="Q960" s="33"/>
      <c r="R960" s="33"/>
      <c r="S960" s="34"/>
      <c r="T960" s="33"/>
      <c r="U960" s="18"/>
      <c r="V960" s="18"/>
      <c r="W960" s="18"/>
      <c r="X960" s="18"/>
      <c r="Y960" s="18" t="s">
        <v>677</v>
      </c>
      <c r="Z960" s="18" t="str">
        <f>A960 &amp; "-" &amp; VLOOKUP(A960,[4]PROGRAMMES!$E$1:$F$7,2,FALSE)</f>
        <v>3-Expansion et réforme de l’ETFP</v>
      </c>
      <c r="AA960" s="19" t="str">
        <f>B960 &amp; "-" &amp; VLOOKUP(B960,[4]SOUSPROGRAMMES!$E$1:$F$44,2,FALSE)</f>
        <v>32- Mise en place d’une ingénierie de formation adaptée aux besoins de l’économie</v>
      </c>
      <c r="AB960" s="19" t="str">
        <f>C960 &amp; "-" &amp; VLOOKUP(C960,[4]RESULTATS!$E$1:$F$176,2,FALSE)</f>
        <v>321- Un dispositif institutionnel de formation du personnel de formation et d’ingénierie de formation est mis en place</v>
      </c>
      <c r="AC960" s="20" t="str">
        <f>D960 &amp; "-" &amp; VLOOKUP(D960,[4]STRATEGIES!$E$1:$F$504,2,FALSE)</f>
        <v>3211-Définition des missions du dispositif institutionnel de l’ingénierie de formation</v>
      </c>
      <c r="AD960" s="21" t="str">
        <f t="shared" si="170"/>
        <v>3211-DéFinition des missions du dispositif institutionnel de l’ingénierie de formation</v>
      </c>
    </row>
    <row r="961" spans="1:30" s="22" customFormat="1" ht="60" hidden="1" customHeight="1" x14ac:dyDescent="0.8">
      <c r="A961" s="14">
        <v>3</v>
      </c>
      <c r="B961" s="15">
        <v>32</v>
      </c>
      <c r="C961" s="15">
        <v>321</v>
      </c>
      <c r="D961" s="15">
        <v>3211</v>
      </c>
      <c r="E961" s="15">
        <v>32111</v>
      </c>
      <c r="F961" s="16" t="s">
        <v>1205</v>
      </c>
      <c r="G961" s="21" t="s">
        <v>1191</v>
      </c>
      <c r="H961" s="17" t="s">
        <v>662</v>
      </c>
      <c r="I961" s="33">
        <v>0</v>
      </c>
      <c r="J961" s="33"/>
      <c r="K961" s="33">
        <v>8</v>
      </c>
      <c r="L961" s="33">
        <f>1*4</f>
        <v>4</v>
      </c>
      <c r="M961" s="33">
        <f t="shared" si="173"/>
        <v>12</v>
      </c>
      <c r="N961" s="33">
        <f>IF(OR(H961="",H961="sif",H961="PM"),0,VLOOKUP(H961,[5]CU!$C$4:$H$255,6,FALSE))</f>
        <v>219.54797350000001</v>
      </c>
      <c r="O961" s="33">
        <f t="shared" si="172"/>
        <v>0</v>
      </c>
      <c r="P961" s="33">
        <f t="shared" si="172"/>
        <v>0</v>
      </c>
      <c r="Q961" s="33">
        <f t="shared" si="172"/>
        <v>1756.3837880000001</v>
      </c>
      <c r="R961" s="33">
        <f t="shared" si="172"/>
        <v>878.19189400000005</v>
      </c>
      <c r="S961" s="34">
        <f>SUM(O961:R961)</f>
        <v>2634.5756820000001</v>
      </c>
      <c r="T961" s="35" t="s">
        <v>118</v>
      </c>
      <c r="U961" s="18" t="s">
        <v>1206</v>
      </c>
      <c r="V961" s="18" t="str">
        <f>IF(OR($H961="",$H961="sif",$H961="PM"),"",VLOOKUP($H961,[5]CU!$C$5:$J$255,8,FALSE))</f>
        <v>3. Dépenses de fonctionnement</v>
      </c>
      <c r="W961" s="18" t="s">
        <v>1165</v>
      </c>
      <c r="X961" s="18" t="s">
        <v>1168</v>
      </c>
      <c r="Y961" s="18" t="s">
        <v>677</v>
      </c>
      <c r="Z961" s="18" t="str">
        <f>A961 &amp; "-" &amp; VLOOKUP(A961,[4]PROGRAMMES!$E$1:$F$7,2,FALSE)</f>
        <v>3-Expansion et réforme de l’ETFP</v>
      </c>
      <c r="AA961" s="19" t="str">
        <f>B961 &amp; "-" &amp; VLOOKUP(B961,[4]SOUSPROGRAMMES!$E$1:$F$44,2,FALSE)</f>
        <v>32- Mise en place d’une ingénierie de formation adaptée aux besoins de l’économie</v>
      </c>
      <c r="AB961" s="19" t="str">
        <f>C961 &amp; "-" &amp; VLOOKUP(C961,[4]RESULTATS!$E$1:$F$176,2,FALSE)</f>
        <v>321- Un dispositif institutionnel de formation du personnel de formation et d’ingénierie de formation est mis en place</v>
      </c>
      <c r="AC961" s="20" t="str">
        <f>D961 &amp; "-" &amp; VLOOKUP(D961,[4]STRATEGIES!$E$1:$F$504,2,FALSE)</f>
        <v>3211-Définition des missions du dispositif institutionnel de l’ingénierie de formation</v>
      </c>
      <c r="AD961" s="21" t="str">
        <f t="shared" si="170"/>
        <v>32111-Appui à la déFinition du dispositif institutionnel et à l'accompagnement de l'ingénierie de formation (appui long terme sur l'ensemble du processus)</v>
      </c>
    </row>
    <row r="962" spans="1:30" s="22" customFormat="1" ht="60" hidden="1" customHeight="1" x14ac:dyDescent="0.8">
      <c r="A962" s="14">
        <v>3</v>
      </c>
      <c r="B962" s="15">
        <v>32</v>
      </c>
      <c r="C962" s="15">
        <v>321</v>
      </c>
      <c r="D962" s="15">
        <v>3211</v>
      </c>
      <c r="E962" s="15">
        <v>32112</v>
      </c>
      <c r="F962" s="16" t="s">
        <v>1207</v>
      </c>
      <c r="G962" s="21" t="s">
        <v>92</v>
      </c>
      <c r="H962" s="17" t="s">
        <v>55</v>
      </c>
      <c r="I962" s="33">
        <v>0</v>
      </c>
      <c r="J962" s="33"/>
      <c r="K962" s="33">
        <v>1</v>
      </c>
      <c r="L962" s="33"/>
      <c r="M962" s="33">
        <f t="shared" si="173"/>
        <v>1</v>
      </c>
      <c r="N962" s="33">
        <f>IF(OR(H962="",H962="sif",H962="PM"),0,VLOOKUP(H962,[5]CU!$C$4:$H$255,6,FALSE))</f>
        <v>0</v>
      </c>
      <c r="O962" s="33">
        <f t="shared" si="172"/>
        <v>0</v>
      </c>
      <c r="P962" s="33">
        <f t="shared" si="172"/>
        <v>0</v>
      </c>
      <c r="Q962" s="33">
        <f t="shared" si="172"/>
        <v>0</v>
      </c>
      <c r="R962" s="33">
        <f t="shared" si="172"/>
        <v>0</v>
      </c>
      <c r="S962" s="34"/>
      <c r="T962" s="35" t="s">
        <v>56</v>
      </c>
      <c r="U962" s="18" t="s">
        <v>1206</v>
      </c>
      <c r="V962" s="18" t="str">
        <f>IF(OR($H962="",$H962="sif",$H962="PM"),"",VLOOKUP($H962,[5]CU!$C$5:$J$255,8,FALSE))</f>
        <v/>
      </c>
      <c r="W962" s="18"/>
      <c r="X962" s="18"/>
      <c r="Y962" s="18" t="s">
        <v>677</v>
      </c>
      <c r="Z962" s="18" t="str">
        <f>A962 &amp; "-" &amp; VLOOKUP(A962,[4]PROGRAMMES!$E$1:$F$7,2,FALSE)</f>
        <v>3-Expansion et réforme de l’ETFP</v>
      </c>
      <c r="AA962" s="19" t="str">
        <f>B962 &amp; "-" &amp; VLOOKUP(B962,[4]SOUSPROGRAMMES!$E$1:$F$44,2,FALSE)</f>
        <v>32- Mise en place d’une ingénierie de formation adaptée aux besoins de l’économie</v>
      </c>
      <c r="AB962" s="19" t="str">
        <f>C962 &amp; "-" &amp; VLOOKUP(C962,[4]RESULTATS!$E$1:$F$176,2,FALSE)</f>
        <v>321- Un dispositif institutionnel de formation du personnel de formation et d’ingénierie de formation est mis en place</v>
      </c>
      <c r="AC962" s="20" t="str">
        <f>D962 &amp; "-" &amp; VLOOKUP(D962,[4]STRATEGIES!$E$1:$F$504,2,FALSE)</f>
        <v>3211-Définition des missions du dispositif institutionnel de l’ingénierie de formation</v>
      </c>
      <c r="AD962" s="21" t="str">
        <f t="shared" si="170"/>
        <v>32112-Elaboration d'un cahier de charges (pris en compte dans 32111)</v>
      </c>
    </row>
    <row r="963" spans="1:30" s="22" customFormat="1" ht="60" hidden="1" customHeight="1" x14ac:dyDescent="0.8">
      <c r="A963" s="14">
        <v>3</v>
      </c>
      <c r="B963" s="15">
        <v>32</v>
      </c>
      <c r="C963" s="15">
        <v>321</v>
      </c>
      <c r="D963" s="15">
        <v>3211</v>
      </c>
      <c r="E963" s="15">
        <v>32113</v>
      </c>
      <c r="F963" s="16" t="s">
        <v>1208</v>
      </c>
      <c r="G963" s="21" t="s">
        <v>37</v>
      </c>
      <c r="H963" s="17" t="s">
        <v>38</v>
      </c>
      <c r="I963" s="33">
        <v>0</v>
      </c>
      <c r="J963" s="33"/>
      <c r="K963" s="33">
        <f>20*3</f>
        <v>60</v>
      </c>
      <c r="L963" s="33">
        <f>20*3</f>
        <v>60</v>
      </c>
      <c r="M963" s="33">
        <f t="shared" si="173"/>
        <v>120</v>
      </c>
      <c r="N963" s="33">
        <f>IF(OR(H963="",H963="sif",H963="PM"),0,VLOOKUP(H963,[5]CU!$C$4:$H$255,6,FALSE))</f>
        <v>0.3133333333333333</v>
      </c>
      <c r="O963" s="33">
        <f t="shared" si="172"/>
        <v>0</v>
      </c>
      <c r="P963" s="33">
        <f t="shared" si="172"/>
        <v>0</v>
      </c>
      <c r="Q963" s="33">
        <f t="shared" si="172"/>
        <v>18.799999999999997</v>
      </c>
      <c r="R963" s="33">
        <f t="shared" si="172"/>
        <v>18.799999999999997</v>
      </c>
      <c r="S963" s="34">
        <f>SUM(O963:R963)</f>
        <v>37.599999999999994</v>
      </c>
      <c r="T963" s="35" t="s">
        <v>118</v>
      </c>
      <c r="U963" s="18" t="s">
        <v>1206</v>
      </c>
      <c r="V963" s="18" t="str">
        <f>IF(OR($H963="",$H963="sif",$H963="PM"),"",VLOOKUP($H963,[5]CU!$C$5:$J$255,8,FALSE))</f>
        <v>3. Formation</v>
      </c>
      <c r="W963" s="18" t="s">
        <v>96</v>
      </c>
      <c r="X963" s="18" t="s">
        <v>1165</v>
      </c>
      <c r="Y963" s="18" t="s">
        <v>677</v>
      </c>
      <c r="Z963" s="18" t="str">
        <f>A963 &amp; "-" &amp; VLOOKUP(A963,[4]PROGRAMMES!$E$1:$F$7,2,FALSE)</f>
        <v>3-Expansion et réforme de l’ETFP</v>
      </c>
      <c r="AA963" s="19" t="str">
        <f>B963 &amp; "-" &amp; VLOOKUP(B963,[4]SOUSPROGRAMMES!$E$1:$F$44,2,FALSE)</f>
        <v>32- Mise en place d’une ingénierie de formation adaptée aux besoins de l’économie</v>
      </c>
      <c r="AB963" s="19" t="str">
        <f>C963 &amp; "-" &amp; VLOOKUP(C963,[4]RESULTATS!$E$1:$F$176,2,FALSE)</f>
        <v>321- Un dispositif institutionnel de formation du personnel de formation et d’ingénierie de formation est mis en place</v>
      </c>
      <c r="AC963" s="20" t="str">
        <f>D963 &amp; "-" &amp; VLOOKUP(D963,[4]STRATEGIES!$E$1:$F$504,2,FALSE)</f>
        <v>3211-Définition des missions du dispositif institutionnel de l’ingénierie de formation</v>
      </c>
      <c r="AD963" s="21" t="str">
        <f t="shared" si="170"/>
        <v xml:space="preserve">32113-Partage et validation du projet de dispositif </v>
      </c>
    </row>
    <row r="964" spans="1:30" s="22" customFormat="1" ht="60" hidden="1" customHeight="1" x14ac:dyDescent="0.8">
      <c r="A964" s="14">
        <v>3</v>
      </c>
      <c r="B964" s="15">
        <v>32</v>
      </c>
      <c r="C964" s="15">
        <v>321</v>
      </c>
      <c r="D964" s="15">
        <v>3211</v>
      </c>
      <c r="E964" s="15">
        <v>32114</v>
      </c>
      <c r="F964" s="16" t="s">
        <v>1209</v>
      </c>
      <c r="G964" s="21" t="s">
        <v>651</v>
      </c>
      <c r="H964" s="17" t="s">
        <v>55</v>
      </c>
      <c r="I964" s="33">
        <v>0</v>
      </c>
      <c r="J964" s="33"/>
      <c r="K964" s="33">
        <v>1</v>
      </c>
      <c r="L964" s="33"/>
      <c r="M964" s="33">
        <f t="shared" si="173"/>
        <v>1</v>
      </c>
      <c r="N964" s="33">
        <f>IF(OR(H964="",H964="sif",H964="PM"),0,VLOOKUP(H964,[5]CU!$C$4:$H$255,6,FALSE))</f>
        <v>0</v>
      </c>
      <c r="O964" s="33">
        <f t="shared" si="172"/>
        <v>0</v>
      </c>
      <c r="P964" s="33">
        <f t="shared" si="172"/>
        <v>0</v>
      </c>
      <c r="Q964" s="33">
        <f t="shared" si="172"/>
        <v>0</v>
      </c>
      <c r="R964" s="33">
        <f t="shared" si="172"/>
        <v>0</v>
      </c>
      <c r="S964" s="34"/>
      <c r="T964" s="35" t="s">
        <v>56</v>
      </c>
      <c r="U964" s="18" t="s">
        <v>1206</v>
      </c>
      <c r="V964" s="18" t="str">
        <f>IF(OR($H964="",$H964="sif",$H964="PM"),"",VLOOKUP($H964,[5]CU!$C$5:$J$255,8,FALSE))</f>
        <v/>
      </c>
      <c r="W964" s="18" t="s">
        <v>1165</v>
      </c>
      <c r="X964" s="18" t="s">
        <v>1165</v>
      </c>
      <c r="Y964" s="18" t="s">
        <v>677</v>
      </c>
      <c r="Z964" s="18" t="str">
        <f>A964 &amp; "-" &amp; VLOOKUP(A964,[4]PROGRAMMES!$E$1:$F$7,2,FALSE)</f>
        <v>3-Expansion et réforme de l’ETFP</v>
      </c>
      <c r="AA964" s="19" t="str">
        <f>B964 &amp; "-" &amp; VLOOKUP(B964,[4]SOUSPROGRAMMES!$E$1:$F$44,2,FALSE)</f>
        <v>32- Mise en place d’une ingénierie de formation adaptée aux besoins de l’économie</v>
      </c>
      <c r="AB964" s="19" t="str">
        <f>C964 &amp; "-" &amp; VLOOKUP(C964,[4]RESULTATS!$E$1:$F$176,2,FALSE)</f>
        <v>321- Un dispositif institutionnel de formation du personnel de formation et d’ingénierie de formation est mis en place</v>
      </c>
      <c r="AC964" s="20" t="str">
        <f>D964 &amp; "-" &amp; VLOOKUP(D964,[4]STRATEGIES!$E$1:$F$504,2,FALSE)</f>
        <v>3211-Définition des missions du dispositif institutionnel de l’ingénierie de formation</v>
      </c>
      <c r="AD964" s="21" t="str">
        <f t="shared" ref="AD964:AD1027" si="174">E964 &amp; "-" &amp; F964</f>
        <v>32114-Elaboration et adoption des textes réglementant le fonctionnement du dispositif</v>
      </c>
    </row>
    <row r="965" spans="1:30" s="22" customFormat="1" ht="60" hidden="1" customHeight="1" x14ac:dyDescent="0.8">
      <c r="A965" s="14">
        <v>3</v>
      </c>
      <c r="B965" s="15">
        <v>32</v>
      </c>
      <c r="C965" s="15">
        <v>321</v>
      </c>
      <c r="D965" s="15">
        <v>3212</v>
      </c>
      <c r="E965" s="15">
        <v>3212</v>
      </c>
      <c r="F965" s="16" t="s">
        <v>1210</v>
      </c>
      <c r="G965" s="17"/>
      <c r="H965" s="17"/>
      <c r="I965" s="33">
        <v>0</v>
      </c>
      <c r="J965" s="33"/>
      <c r="K965" s="33"/>
      <c r="L965" s="33"/>
      <c r="M965" s="33"/>
      <c r="N965" s="33"/>
      <c r="O965" s="33"/>
      <c r="P965" s="33"/>
      <c r="Q965" s="33"/>
      <c r="R965" s="33"/>
      <c r="S965" s="34"/>
      <c r="T965" s="33"/>
      <c r="U965" s="18"/>
      <c r="V965" s="18"/>
      <c r="W965" s="18"/>
      <c r="X965" s="18"/>
      <c r="Y965" s="18" t="s">
        <v>677</v>
      </c>
      <c r="Z965" s="18" t="str">
        <f>A965 &amp; "-" &amp; VLOOKUP(A965,[4]PROGRAMMES!$E$1:$F$7,2,FALSE)</f>
        <v>3-Expansion et réforme de l’ETFP</v>
      </c>
      <c r="AA965" s="19" t="str">
        <f>B965 &amp; "-" &amp; VLOOKUP(B965,[4]SOUSPROGRAMMES!$E$1:$F$44,2,FALSE)</f>
        <v>32- Mise en place d’une ingénierie de formation adaptée aux besoins de l’économie</v>
      </c>
      <c r="AB965" s="19" t="str">
        <f>C965 &amp; "-" &amp; VLOOKUP(C965,[4]RESULTATS!$E$1:$F$176,2,FALSE)</f>
        <v>321- Un dispositif institutionnel de formation du personnel de formation et d’ingénierie de formation est mis en place</v>
      </c>
      <c r="AC965" s="20" t="str">
        <f>D965 &amp; "-" &amp; VLOOKUP(D965,[4]STRATEGIES!$E$1:$F$504,2,FALSE)</f>
        <v>3212-Opérationnalisation du dispositif</v>
      </c>
      <c r="AD965" s="21" t="str">
        <f t="shared" si="174"/>
        <v>3212-Opérationnalisation du dispositif</v>
      </c>
    </row>
    <row r="966" spans="1:30" s="22" customFormat="1" ht="60" hidden="1" customHeight="1" x14ac:dyDescent="0.8">
      <c r="A966" s="14">
        <v>3</v>
      </c>
      <c r="B966" s="15">
        <v>32</v>
      </c>
      <c r="C966" s="15">
        <v>321</v>
      </c>
      <c r="D966" s="15">
        <v>3212</v>
      </c>
      <c r="E966" s="15">
        <v>32121</v>
      </c>
      <c r="F966" s="16" t="s">
        <v>1211</v>
      </c>
      <c r="G966" s="21" t="s">
        <v>88</v>
      </c>
      <c r="H966" s="17" t="s">
        <v>55</v>
      </c>
      <c r="I966" s="33">
        <v>0</v>
      </c>
      <c r="J966" s="33"/>
      <c r="K966" s="33">
        <v>1</v>
      </c>
      <c r="L966" s="33"/>
      <c r="M966" s="33">
        <f t="shared" si="173"/>
        <v>1</v>
      </c>
      <c r="N966" s="33">
        <f>IF(OR(H966="",H966="sif",H966="PM"),0,VLOOKUP(H966,[5]CU!$C$4:$H$255,6,FALSE))</f>
        <v>0</v>
      </c>
      <c r="O966" s="33">
        <f t="shared" si="172"/>
        <v>0</v>
      </c>
      <c r="P966" s="33">
        <f t="shared" si="172"/>
        <v>0</v>
      </c>
      <c r="Q966" s="33">
        <f t="shared" si="172"/>
        <v>0</v>
      </c>
      <c r="R966" s="33">
        <f t="shared" si="172"/>
        <v>0</v>
      </c>
      <c r="S966" s="34"/>
      <c r="T966" s="35" t="s">
        <v>56</v>
      </c>
      <c r="U966" s="18" t="s">
        <v>1206</v>
      </c>
      <c r="V966" s="18" t="str">
        <f>IF(OR($H966="",$H966="sif",$H966="PM"),"",VLOOKUP($H966,[5]CU!$C$5:$J$255,8,FALSE))</f>
        <v/>
      </c>
      <c r="W966" s="18" t="s">
        <v>1165</v>
      </c>
      <c r="X966" s="18" t="s">
        <v>1165</v>
      </c>
      <c r="Y966" s="18" t="s">
        <v>677</v>
      </c>
      <c r="Z966" s="18" t="str">
        <f>A966 &amp; "-" &amp; VLOOKUP(A966,[4]PROGRAMMES!$E$1:$F$7,2,FALSE)</f>
        <v>3-Expansion et réforme de l’ETFP</v>
      </c>
      <c r="AA966" s="19" t="str">
        <f>B966 &amp; "-" &amp; VLOOKUP(B966,[4]SOUSPROGRAMMES!$E$1:$F$44,2,FALSE)</f>
        <v>32- Mise en place d’une ingénierie de formation adaptée aux besoins de l’économie</v>
      </c>
      <c r="AB966" s="19" t="str">
        <f>C966 &amp; "-" &amp; VLOOKUP(C966,[4]RESULTATS!$E$1:$F$176,2,FALSE)</f>
        <v>321- Un dispositif institutionnel de formation du personnel de formation et d’ingénierie de formation est mis en place</v>
      </c>
      <c r="AC966" s="20" t="str">
        <f>D966 &amp; "-" &amp; VLOOKUP(D966,[4]STRATEGIES!$E$1:$F$504,2,FALSE)</f>
        <v>3212-Opérationnalisation du dispositif</v>
      </c>
      <c r="AD966" s="21" t="str">
        <f t="shared" si="174"/>
        <v>32121-DéFinition de critères de sélection de conseillers pédagogiques pour la rédaction des programmes et de formateurs de formateurs en APC</v>
      </c>
    </row>
    <row r="967" spans="1:30" s="22" customFormat="1" ht="60" hidden="1" customHeight="1" x14ac:dyDescent="0.8">
      <c r="A967" s="14">
        <v>3</v>
      </c>
      <c r="B967" s="15">
        <v>32</v>
      </c>
      <c r="C967" s="15">
        <v>321</v>
      </c>
      <c r="D967" s="15">
        <v>3212</v>
      </c>
      <c r="E967" s="15">
        <v>32122</v>
      </c>
      <c r="F967" s="16" t="s">
        <v>1212</v>
      </c>
      <c r="G967" s="21" t="s">
        <v>92</v>
      </c>
      <c r="H967" s="17" t="s">
        <v>55</v>
      </c>
      <c r="I967" s="33">
        <v>0</v>
      </c>
      <c r="J967" s="33"/>
      <c r="K967" s="33">
        <v>1</v>
      </c>
      <c r="L967" s="33"/>
      <c r="M967" s="33">
        <f t="shared" si="173"/>
        <v>1</v>
      </c>
      <c r="N967" s="33">
        <f>IF(OR(H967="",H967="sif",H967="PM"),0,VLOOKUP(H967,[5]CU!$C$4:$H$255,6,FALSE))</f>
        <v>0</v>
      </c>
      <c r="O967" s="33">
        <f t="shared" si="172"/>
        <v>0</v>
      </c>
      <c r="P967" s="33">
        <f t="shared" si="172"/>
        <v>0</v>
      </c>
      <c r="Q967" s="33">
        <f t="shared" si="172"/>
        <v>0</v>
      </c>
      <c r="R967" s="33">
        <f t="shared" si="172"/>
        <v>0</v>
      </c>
      <c r="S967" s="34"/>
      <c r="T967" s="35" t="s">
        <v>56</v>
      </c>
      <c r="U967" s="18" t="s">
        <v>1206</v>
      </c>
      <c r="V967" s="18" t="str">
        <f>IF(OR($H967="",$H967="sif",$H967="PM"),"",VLOOKUP($H967,[5]CU!$C$5:$J$255,8,FALSE))</f>
        <v/>
      </c>
      <c r="W967" s="18"/>
      <c r="X967" s="18"/>
      <c r="Y967" s="18" t="s">
        <v>677</v>
      </c>
      <c r="Z967" s="18" t="str">
        <f>A967 &amp; "-" &amp; VLOOKUP(A967,[4]PROGRAMMES!$E$1:$F$7,2,FALSE)</f>
        <v>3-Expansion et réforme de l’ETFP</v>
      </c>
      <c r="AA967" s="19" t="str">
        <f>B967 &amp; "-" &amp; VLOOKUP(B967,[4]SOUSPROGRAMMES!$E$1:$F$44,2,FALSE)</f>
        <v>32- Mise en place d’une ingénierie de formation adaptée aux besoins de l’économie</v>
      </c>
      <c r="AB967" s="19" t="str">
        <f>C967 &amp; "-" &amp; VLOOKUP(C967,[4]RESULTATS!$E$1:$F$176,2,FALSE)</f>
        <v>321- Un dispositif institutionnel de formation du personnel de formation et d’ingénierie de formation est mis en place</v>
      </c>
      <c r="AC967" s="20" t="str">
        <f>D967 &amp; "-" &amp; VLOOKUP(D967,[4]STRATEGIES!$E$1:$F$504,2,FALSE)</f>
        <v>3212-Opérationnalisation du dispositif</v>
      </c>
      <c r="AD967" s="21" t="str">
        <f t="shared" si="174"/>
        <v>32122-Elaboration de plans et supports de formation (Pris en compte dans 32111)</v>
      </c>
    </row>
    <row r="968" spans="1:30" s="22" customFormat="1" ht="60" hidden="1" customHeight="1" x14ac:dyDescent="0.8">
      <c r="A968" s="14">
        <v>3</v>
      </c>
      <c r="B968" s="15">
        <v>32</v>
      </c>
      <c r="C968" s="15">
        <v>321</v>
      </c>
      <c r="D968" s="15">
        <v>3212</v>
      </c>
      <c r="E968" s="15">
        <v>32123</v>
      </c>
      <c r="F968" s="16" t="s">
        <v>1213</v>
      </c>
      <c r="G968" s="21" t="s">
        <v>916</v>
      </c>
      <c r="H968" s="17" t="s">
        <v>55</v>
      </c>
      <c r="I968" s="33">
        <v>0</v>
      </c>
      <c r="J968" s="33"/>
      <c r="K968" s="33">
        <v>1</v>
      </c>
      <c r="L968" s="33"/>
      <c r="M968" s="33">
        <f t="shared" si="173"/>
        <v>1</v>
      </c>
      <c r="N968" s="33">
        <f>IF(OR(H968="",H968="sif",H968="PM"),0,VLOOKUP(H968,[5]CU!$C$4:$H$255,6,FALSE))</f>
        <v>0</v>
      </c>
      <c r="O968" s="33">
        <f t="shared" si="172"/>
        <v>0</v>
      </c>
      <c r="P968" s="33">
        <f t="shared" si="172"/>
        <v>0</v>
      </c>
      <c r="Q968" s="33">
        <f t="shared" si="172"/>
        <v>0</v>
      </c>
      <c r="R968" s="33">
        <f t="shared" si="172"/>
        <v>0</v>
      </c>
      <c r="S968" s="34"/>
      <c r="T968" s="35" t="s">
        <v>56</v>
      </c>
      <c r="U968" s="18" t="s">
        <v>1206</v>
      </c>
      <c r="V968" s="18" t="str">
        <f>IF(OR($H968="",$H968="sif",$H968="PM"),"",VLOOKUP($H968,[5]CU!$C$5:$J$255,8,FALSE))</f>
        <v/>
      </c>
      <c r="W968" s="18" t="s">
        <v>1165</v>
      </c>
      <c r="X968" s="18" t="s">
        <v>1165</v>
      </c>
      <c r="Y968" s="18" t="s">
        <v>677</v>
      </c>
      <c r="Z968" s="18" t="str">
        <f>A968 &amp; "-" &amp; VLOOKUP(A968,[4]PROGRAMMES!$E$1:$F$7,2,FALSE)</f>
        <v>3-Expansion et réforme de l’ETFP</v>
      </c>
      <c r="AA968" s="19" t="str">
        <f>B968 &amp; "-" &amp; VLOOKUP(B968,[4]SOUSPROGRAMMES!$E$1:$F$44,2,FALSE)</f>
        <v>32- Mise en place d’une ingénierie de formation adaptée aux besoins de l’économie</v>
      </c>
      <c r="AB968" s="19" t="str">
        <f>C968 &amp; "-" &amp; VLOOKUP(C968,[4]RESULTATS!$E$1:$F$176,2,FALSE)</f>
        <v>321- Un dispositif institutionnel de formation du personnel de formation et d’ingénierie de formation est mis en place</v>
      </c>
      <c r="AC968" s="20" t="str">
        <f>D968 &amp; "-" &amp; VLOOKUP(D968,[4]STRATEGIES!$E$1:$F$504,2,FALSE)</f>
        <v>3212-Opérationnalisation du dispositif</v>
      </c>
      <c r="AD968" s="21" t="str">
        <f t="shared" si="174"/>
        <v>32123-Recrutement de conseillers pour la rédaction des programmes</v>
      </c>
    </row>
    <row r="969" spans="1:30" s="22" customFormat="1" ht="60" hidden="1" customHeight="1" x14ac:dyDescent="0.8">
      <c r="A969" s="14">
        <v>3</v>
      </c>
      <c r="B969" s="15">
        <v>32</v>
      </c>
      <c r="C969" s="15">
        <v>321</v>
      </c>
      <c r="D969" s="15">
        <v>3212</v>
      </c>
      <c r="E969" s="15">
        <v>32124</v>
      </c>
      <c r="F969" s="16" t="s">
        <v>1214</v>
      </c>
      <c r="G969" s="21" t="s">
        <v>51</v>
      </c>
      <c r="H969" s="17" t="s">
        <v>301</v>
      </c>
      <c r="I969" s="33">
        <v>0</v>
      </c>
      <c r="J969" s="33"/>
      <c r="K969" s="33">
        <f>40*30*8</f>
        <v>9600</v>
      </c>
      <c r="L969" s="33"/>
      <c r="M969" s="33">
        <f t="shared" si="173"/>
        <v>9600</v>
      </c>
      <c r="N969" s="33">
        <f>IF(OR(H969="",H969="sif",H969="PM"),0,VLOOKUP(H969,[5]CU!$C$4:$H$255,6,FALSE))</f>
        <v>0.67666666666666664</v>
      </c>
      <c r="O969" s="33">
        <f t="shared" si="172"/>
        <v>0</v>
      </c>
      <c r="P969" s="33">
        <f t="shared" si="172"/>
        <v>0</v>
      </c>
      <c r="Q969" s="33">
        <f t="shared" si="172"/>
        <v>6496</v>
      </c>
      <c r="R969" s="33">
        <f t="shared" si="172"/>
        <v>0</v>
      </c>
      <c r="S969" s="34">
        <f>SUM(O969:R969)</f>
        <v>6496</v>
      </c>
      <c r="T969" s="35" t="s">
        <v>169</v>
      </c>
      <c r="U969" s="18" t="s">
        <v>1206</v>
      </c>
      <c r="V969" s="18" t="str">
        <f>IF(OR($H969="",$H969="sif",$H969="PM"),"",VLOOKUP($H969,[5]CU!$C$5:$J$255,8,FALSE))</f>
        <v>3. Formation</v>
      </c>
      <c r="W969" s="18" t="s">
        <v>1165</v>
      </c>
      <c r="X969" s="18" t="s">
        <v>1165</v>
      </c>
      <c r="Y969" s="18" t="s">
        <v>677</v>
      </c>
      <c r="Z969" s="18" t="str">
        <f>A969 &amp; "-" &amp; VLOOKUP(A969,[4]PROGRAMMES!$E$1:$F$7,2,FALSE)</f>
        <v>3-Expansion et réforme de l’ETFP</v>
      </c>
      <c r="AA969" s="19" t="str">
        <f>B969 &amp; "-" &amp; VLOOKUP(B969,[4]SOUSPROGRAMMES!$E$1:$F$44,2,FALSE)</f>
        <v>32- Mise en place d’une ingénierie de formation adaptée aux besoins de l’économie</v>
      </c>
      <c r="AB969" s="19" t="str">
        <f>C969 &amp; "-" &amp; VLOOKUP(C969,[4]RESULTATS!$E$1:$F$176,2,FALSE)</f>
        <v>321- Un dispositif institutionnel de formation du personnel de formation et d’ingénierie de formation est mis en place</v>
      </c>
      <c r="AC969" s="20" t="str">
        <f>D969 &amp; "-" &amp; VLOOKUP(D969,[4]STRATEGIES!$E$1:$F$504,2,FALSE)</f>
        <v>3212-Opérationnalisation du dispositif</v>
      </c>
      <c r="AD969" s="21" t="str">
        <f t="shared" si="174"/>
        <v xml:space="preserve">32124-Formation de conseillers sur la méthodologie APC </v>
      </c>
    </row>
    <row r="970" spans="1:30" s="22" customFormat="1" ht="60" hidden="1" customHeight="1" x14ac:dyDescent="0.8">
      <c r="A970" s="14">
        <v>3</v>
      </c>
      <c r="B970" s="15">
        <v>32</v>
      </c>
      <c r="C970" s="15">
        <v>321</v>
      </c>
      <c r="D970" s="15">
        <v>3212</v>
      </c>
      <c r="E970" s="15">
        <v>32125</v>
      </c>
      <c r="F970" s="16" t="s">
        <v>1215</v>
      </c>
      <c r="G970" s="21" t="s">
        <v>92</v>
      </c>
      <c r="H970" s="17" t="s">
        <v>55</v>
      </c>
      <c r="I970" s="33">
        <v>0</v>
      </c>
      <c r="J970" s="33"/>
      <c r="K970" s="33">
        <v>1</v>
      </c>
      <c r="L970" s="33">
        <v>1</v>
      </c>
      <c r="M970" s="33">
        <f t="shared" si="173"/>
        <v>2</v>
      </c>
      <c r="N970" s="33">
        <f>IF(OR(H970="",H970="sif",H970="PM"),0,VLOOKUP(H970,[5]CU!$C$4:$H$255,6,FALSE))</f>
        <v>0</v>
      </c>
      <c r="O970" s="33">
        <f t="shared" si="172"/>
        <v>0</v>
      </c>
      <c r="P970" s="33">
        <f t="shared" si="172"/>
        <v>0</v>
      </c>
      <c r="Q970" s="33">
        <f t="shared" si="172"/>
        <v>0</v>
      </c>
      <c r="R970" s="33">
        <f t="shared" si="172"/>
        <v>0</v>
      </c>
      <c r="S970" s="34"/>
      <c r="T970" s="35" t="s">
        <v>56</v>
      </c>
      <c r="U970" s="18" t="s">
        <v>1206</v>
      </c>
      <c r="V970" s="18" t="str">
        <f>IF(OR($H970="",$H970="sif",$H970="PM"),"",VLOOKUP($H970,[5]CU!$C$5:$J$255,8,FALSE))</f>
        <v/>
      </c>
      <c r="W970" s="18"/>
      <c r="X970" s="18"/>
      <c r="Y970" s="18" t="s">
        <v>677</v>
      </c>
      <c r="Z970" s="18" t="str">
        <f>A970 &amp; "-" &amp; VLOOKUP(A970,[4]PROGRAMMES!$E$1:$F$7,2,FALSE)</f>
        <v>3-Expansion et réforme de l’ETFP</v>
      </c>
      <c r="AA970" s="19" t="str">
        <f>B970 &amp; "-" &amp; VLOOKUP(B970,[4]SOUSPROGRAMMES!$E$1:$F$44,2,FALSE)</f>
        <v>32- Mise en place d’une ingénierie de formation adaptée aux besoins de l’économie</v>
      </c>
      <c r="AB970" s="19" t="str">
        <f>C970 &amp; "-" &amp; VLOOKUP(C970,[4]RESULTATS!$E$1:$F$176,2,FALSE)</f>
        <v>321- Un dispositif institutionnel de formation du personnel de formation et d’ingénierie de formation est mis en place</v>
      </c>
      <c r="AC970" s="20" t="str">
        <f>D970 &amp; "-" &amp; VLOOKUP(D970,[4]STRATEGIES!$E$1:$F$504,2,FALSE)</f>
        <v>3212-Opérationnalisation du dispositif</v>
      </c>
      <c r="AD970" s="21" t="str">
        <f t="shared" si="174"/>
        <v>32125-Appui développement des nouveaux programmes pour les nouvelles filières (pris en compte dans activité 32111)</v>
      </c>
    </row>
    <row r="971" spans="1:30" s="22" customFormat="1" ht="60" hidden="1" customHeight="1" x14ac:dyDescent="0.8">
      <c r="A971" s="14">
        <v>3</v>
      </c>
      <c r="B971" s="15">
        <v>32</v>
      </c>
      <c r="C971" s="15">
        <v>321</v>
      </c>
      <c r="D971" s="15">
        <v>3212</v>
      </c>
      <c r="E971" s="15">
        <v>32126</v>
      </c>
      <c r="F971" s="16" t="s">
        <v>1216</v>
      </c>
      <c r="G971" s="21" t="s">
        <v>1217</v>
      </c>
      <c r="H971" s="17" t="s">
        <v>66</v>
      </c>
      <c r="I971" s="33">
        <v>0</v>
      </c>
      <c r="J971" s="33"/>
      <c r="K971" s="33">
        <f>(5*10*1)*20+(10+5*2)*20</f>
        <v>1400</v>
      </c>
      <c r="L971" s="33">
        <v>0</v>
      </c>
      <c r="M971" s="33">
        <f t="shared" si="173"/>
        <v>1400</v>
      </c>
      <c r="N971" s="33">
        <f>IF(OR(H971="",H971="sif",H971="PM"),0,VLOOKUP(H971,[5]CU!$C$4:$H$255,6,FALSE))</f>
        <v>0.255</v>
      </c>
      <c r="O971" s="33">
        <f t="shared" si="172"/>
        <v>0</v>
      </c>
      <c r="P971" s="33">
        <f t="shared" si="172"/>
        <v>0</v>
      </c>
      <c r="Q971" s="33">
        <f t="shared" si="172"/>
        <v>357</v>
      </c>
      <c r="R971" s="33">
        <f t="shared" si="172"/>
        <v>0</v>
      </c>
      <c r="S971" s="34">
        <f>SUM(O971:R971)</f>
        <v>357</v>
      </c>
      <c r="T971" s="35" t="s">
        <v>169</v>
      </c>
      <c r="U971" s="18" t="s">
        <v>1206</v>
      </c>
      <c r="V971" s="18" t="str">
        <f>IF(OR($H971="",$H971="sif",$H971="PM"),"",VLOOKUP($H971,[5]CU!$C$5:$J$255,8,FALSE))</f>
        <v>3. Dépenses de fonctionnement</v>
      </c>
      <c r="W971" s="18" t="s">
        <v>1165</v>
      </c>
      <c r="X971" s="18" t="s">
        <v>1218</v>
      </c>
      <c r="Y971" s="18" t="s">
        <v>677</v>
      </c>
      <c r="Z971" s="18" t="str">
        <f>A971 &amp; "-" &amp; VLOOKUP(A971,[4]PROGRAMMES!$E$1:$F$7,2,FALSE)</f>
        <v>3-Expansion et réforme de l’ETFP</v>
      </c>
      <c r="AA971" s="19" t="str">
        <f>B971 &amp; "-" &amp; VLOOKUP(B971,[4]SOUSPROGRAMMES!$E$1:$F$44,2,FALSE)</f>
        <v>32- Mise en place d’une ingénierie de formation adaptée aux besoins de l’économie</v>
      </c>
      <c r="AB971" s="19" t="str">
        <f>C971 &amp; "-" &amp; VLOOKUP(C971,[4]RESULTATS!$E$1:$F$176,2,FALSE)</f>
        <v>321- Un dispositif institutionnel de formation du personnel de formation et d’ingénierie de formation est mis en place</v>
      </c>
      <c r="AC971" s="20" t="str">
        <f>D971 &amp; "-" &amp; VLOOKUP(D971,[4]STRATEGIES!$E$1:$F$504,2,FALSE)</f>
        <v>3212-Opérationnalisation du dispositif</v>
      </c>
      <c r="AD971" s="21" t="str">
        <f t="shared" si="174"/>
        <v>32126-Elaboration des nouveaux programmes et des guides d'accompagnement</v>
      </c>
    </row>
    <row r="972" spans="1:30" s="22" customFormat="1" ht="60" hidden="1" customHeight="1" x14ac:dyDescent="0.8">
      <c r="A972" s="14">
        <v>3</v>
      </c>
      <c r="B972" s="15">
        <v>32</v>
      </c>
      <c r="C972" s="15">
        <v>321</v>
      </c>
      <c r="D972" s="15">
        <v>3212</v>
      </c>
      <c r="E972" s="15">
        <v>32127</v>
      </c>
      <c r="F972" s="16" t="s">
        <v>1219</v>
      </c>
      <c r="G972" s="21" t="s">
        <v>1217</v>
      </c>
      <c r="H972" s="17" t="s">
        <v>66</v>
      </c>
      <c r="I972" s="33">
        <v>0</v>
      </c>
      <c r="J972" s="33"/>
      <c r="K972" s="33">
        <f>(5*40*1)*20</f>
        <v>4000</v>
      </c>
      <c r="L972" s="33">
        <v>0</v>
      </c>
      <c r="M972" s="33">
        <f t="shared" si="173"/>
        <v>4000</v>
      </c>
      <c r="N972" s="33">
        <f>IF(OR(H972="",H972="sif",H972="PM"),0,VLOOKUP(H972,[5]CU!$C$4:$H$255,6,FALSE))</f>
        <v>0.255</v>
      </c>
      <c r="O972" s="33">
        <f t="shared" si="172"/>
        <v>0</v>
      </c>
      <c r="P972" s="33">
        <f t="shared" si="172"/>
        <v>0</v>
      </c>
      <c r="Q972" s="33">
        <f t="shared" si="172"/>
        <v>1020</v>
      </c>
      <c r="R972" s="33">
        <f t="shared" si="172"/>
        <v>0</v>
      </c>
      <c r="S972" s="34">
        <f>SUM(O972:R972)</f>
        <v>1020</v>
      </c>
      <c r="T972" s="35" t="s">
        <v>169</v>
      </c>
      <c r="U972" s="18" t="s">
        <v>1206</v>
      </c>
      <c r="V972" s="18" t="str">
        <f>IF(OR($H972="",$H972="sif",$H972="PM"),"",VLOOKUP($H972,[5]CU!$C$5:$J$255,8,FALSE))</f>
        <v>3. Dépenses de fonctionnement</v>
      </c>
      <c r="W972" s="18" t="s">
        <v>1165</v>
      </c>
      <c r="X972" s="18" t="s">
        <v>1218</v>
      </c>
      <c r="Y972" s="18" t="s">
        <v>677</v>
      </c>
      <c r="Z972" s="18" t="str">
        <f>A972 &amp; "-" &amp; VLOOKUP(A972,[4]PROGRAMMES!$E$1:$F$7,2,FALSE)</f>
        <v>3-Expansion et réforme de l’ETFP</v>
      </c>
      <c r="AA972" s="19" t="str">
        <f>B972 &amp; "-" &amp; VLOOKUP(B972,[4]SOUSPROGRAMMES!$E$1:$F$44,2,FALSE)</f>
        <v>32- Mise en place d’une ingénierie de formation adaptée aux besoins de l’économie</v>
      </c>
      <c r="AB972" s="19" t="str">
        <f>C972 &amp; "-" &amp; VLOOKUP(C972,[4]RESULTATS!$E$1:$F$176,2,FALSE)</f>
        <v>321- Un dispositif institutionnel de formation du personnel de formation et d’ingénierie de formation est mis en place</v>
      </c>
      <c r="AC972" s="20" t="str">
        <f>D972 &amp; "-" &amp; VLOOKUP(D972,[4]STRATEGIES!$E$1:$F$504,2,FALSE)</f>
        <v>3212-Opérationnalisation du dispositif</v>
      </c>
      <c r="AD972" s="21" t="str">
        <f t="shared" si="174"/>
        <v>32127-Révision des programmes existants selon l'APC</v>
      </c>
    </row>
    <row r="973" spans="1:30" s="22" customFormat="1" ht="60" hidden="1" customHeight="1" x14ac:dyDescent="0.8">
      <c r="A973" s="14">
        <v>3</v>
      </c>
      <c r="B973" s="15">
        <v>32</v>
      </c>
      <c r="C973" s="15">
        <v>321</v>
      </c>
      <c r="D973" s="15">
        <v>3212</v>
      </c>
      <c r="E973" s="15">
        <v>32128</v>
      </c>
      <c r="F973" s="16" t="s">
        <v>1220</v>
      </c>
      <c r="G973" s="21" t="s">
        <v>916</v>
      </c>
      <c r="H973" s="17" t="s">
        <v>55</v>
      </c>
      <c r="I973" s="33">
        <v>0</v>
      </c>
      <c r="J973" s="33"/>
      <c r="K973" s="33">
        <v>1</v>
      </c>
      <c r="L973" s="33">
        <v>1</v>
      </c>
      <c r="M973" s="33">
        <f t="shared" si="173"/>
        <v>2</v>
      </c>
      <c r="N973" s="33">
        <f>IF(OR(H973="",H973="sif",H973="PM"),0,VLOOKUP(H973,[5]CU!$C$4:$H$255,6,FALSE))</f>
        <v>0</v>
      </c>
      <c r="O973" s="33">
        <f t="shared" si="172"/>
        <v>0</v>
      </c>
      <c r="P973" s="33">
        <f t="shared" si="172"/>
        <v>0</v>
      </c>
      <c r="Q973" s="33">
        <f t="shared" si="172"/>
        <v>0</v>
      </c>
      <c r="R973" s="33">
        <f t="shared" si="172"/>
        <v>0</v>
      </c>
      <c r="S973" s="34"/>
      <c r="T973" s="35" t="s">
        <v>56</v>
      </c>
      <c r="U973" s="18" t="s">
        <v>1206</v>
      </c>
      <c r="V973" s="18" t="str">
        <f>IF(OR($H973="",$H973="sif",$H973="PM"),"",VLOOKUP($H973,[5]CU!$C$5:$J$255,8,FALSE))</f>
        <v/>
      </c>
      <c r="W973" s="18"/>
      <c r="X973" s="18"/>
      <c r="Y973" s="18" t="s">
        <v>677</v>
      </c>
      <c r="Z973" s="18" t="str">
        <f>A973 &amp; "-" &amp; VLOOKUP(A973,[4]PROGRAMMES!$E$1:$F$7,2,FALSE)</f>
        <v>3-Expansion et réforme de l’ETFP</v>
      </c>
      <c r="AA973" s="19" t="str">
        <f>B973 &amp; "-" &amp; VLOOKUP(B973,[4]SOUSPROGRAMMES!$E$1:$F$44,2,FALSE)</f>
        <v>32- Mise en place d’une ingénierie de formation adaptée aux besoins de l’économie</v>
      </c>
      <c r="AB973" s="19" t="str">
        <f>C973 &amp; "-" &amp; VLOOKUP(C973,[4]RESULTATS!$E$1:$F$176,2,FALSE)</f>
        <v>321- Un dispositif institutionnel de formation du personnel de formation et d’ingénierie de formation est mis en place</v>
      </c>
      <c r="AC973" s="20" t="str">
        <f>D973 &amp; "-" &amp; VLOOKUP(D973,[4]STRATEGIES!$E$1:$F$504,2,FALSE)</f>
        <v>3212-Opérationnalisation du dispositif</v>
      </c>
      <c r="AD973" s="21" t="str">
        <f t="shared" si="174"/>
        <v>32128-Recrutement de formateurs pour la formation des formateurs en méthodologie APC (pris en compte activité 32111</v>
      </c>
    </row>
    <row r="974" spans="1:30" s="22" customFormat="1" ht="60" hidden="1" customHeight="1" x14ac:dyDescent="0.8">
      <c r="A974" s="14">
        <v>3</v>
      </c>
      <c r="B974" s="15">
        <v>32</v>
      </c>
      <c r="C974" s="15">
        <v>321</v>
      </c>
      <c r="D974" s="15">
        <v>3212</v>
      </c>
      <c r="E974" s="15">
        <v>32129</v>
      </c>
      <c r="F974" s="16" t="s">
        <v>1221</v>
      </c>
      <c r="G974" s="21" t="s">
        <v>436</v>
      </c>
      <c r="H974" s="17" t="s">
        <v>301</v>
      </c>
      <c r="I974" s="33">
        <v>0</v>
      </c>
      <c r="J974" s="33"/>
      <c r="K974" s="33">
        <f>35*30</f>
        <v>1050</v>
      </c>
      <c r="L974" s="33">
        <v>0</v>
      </c>
      <c r="M974" s="33">
        <f t="shared" si="173"/>
        <v>1050</v>
      </c>
      <c r="N974" s="33">
        <f>IF(OR(H974="",H974="sif",H974="PM"),0,VLOOKUP(H974,[5]CU!$C$4:$H$255,6,FALSE))</f>
        <v>0.67666666666666664</v>
      </c>
      <c r="O974" s="33">
        <f t="shared" si="172"/>
        <v>0</v>
      </c>
      <c r="P974" s="33">
        <f t="shared" si="172"/>
        <v>0</v>
      </c>
      <c r="Q974" s="33">
        <f t="shared" si="172"/>
        <v>710.5</v>
      </c>
      <c r="R974" s="33">
        <f t="shared" si="172"/>
        <v>0</v>
      </c>
      <c r="S974" s="34">
        <f t="shared" ref="S974:S979" si="175">SUM(O974:R974)</f>
        <v>710.5</v>
      </c>
      <c r="T974" s="35" t="s">
        <v>169</v>
      </c>
      <c r="U974" s="18" t="s">
        <v>1206</v>
      </c>
      <c r="V974" s="18" t="str">
        <f>IF(OR($H974="",$H974="sif",$H974="PM"),"",VLOOKUP($H974,[5]CU!$C$5:$J$255,8,FALSE))</f>
        <v>3. Formation</v>
      </c>
      <c r="W974" s="18" t="s">
        <v>1165</v>
      </c>
      <c r="X974" s="18" t="s">
        <v>1222</v>
      </c>
      <c r="Y974" s="18" t="s">
        <v>677</v>
      </c>
      <c r="Z974" s="18" t="str">
        <f>A974 &amp; "-" &amp; VLOOKUP(A974,[4]PROGRAMMES!$E$1:$F$7,2,FALSE)</f>
        <v>3-Expansion et réforme de l’ETFP</v>
      </c>
      <c r="AA974" s="19" t="str">
        <f>B974 &amp; "-" &amp; VLOOKUP(B974,[4]SOUSPROGRAMMES!$E$1:$F$44,2,FALSE)</f>
        <v>32- Mise en place d’une ingénierie de formation adaptée aux besoins de l’économie</v>
      </c>
      <c r="AB974" s="19" t="str">
        <f>C974 &amp; "-" &amp; VLOOKUP(C974,[4]RESULTATS!$E$1:$F$176,2,FALSE)</f>
        <v>321- Un dispositif institutionnel de formation du personnel de formation et d’ingénierie de formation est mis en place</v>
      </c>
      <c r="AC974" s="20" t="str">
        <f>D974 &amp; "-" &amp; VLOOKUP(D974,[4]STRATEGIES!$E$1:$F$504,2,FALSE)</f>
        <v>3212-Opérationnalisation du dispositif</v>
      </c>
      <c r="AD974" s="21" t="str">
        <f t="shared" si="174"/>
        <v>32129-Formation de formateurs (formateurs d l'ENPETP) en méthodologie APC</v>
      </c>
    </row>
    <row r="975" spans="1:30" s="22" customFormat="1" ht="60" hidden="1" customHeight="1" x14ac:dyDescent="0.8">
      <c r="A975" s="14">
        <v>3</v>
      </c>
      <c r="B975" s="15">
        <v>32</v>
      </c>
      <c r="C975" s="15">
        <v>321</v>
      </c>
      <c r="D975" s="15">
        <v>3212</v>
      </c>
      <c r="E975" s="15">
        <v>321210</v>
      </c>
      <c r="F975" s="16" t="s">
        <v>1223</v>
      </c>
      <c r="G975" s="21" t="s">
        <v>106</v>
      </c>
      <c r="H975" s="17" t="s">
        <v>1224</v>
      </c>
      <c r="I975" s="33">
        <v>0</v>
      </c>
      <c r="J975" s="33"/>
      <c r="K975" s="33">
        <v>1</v>
      </c>
      <c r="L975" s="33"/>
      <c r="M975" s="33">
        <f t="shared" si="173"/>
        <v>1</v>
      </c>
      <c r="N975" s="33">
        <f>IF(OR(H975="",H975="sif",H975="PM"),0,VLOOKUP(H975,[5]CU!$C$4:$H$255,6,FALSE))</f>
        <v>645.37004999999999</v>
      </c>
      <c r="O975" s="33">
        <f t="shared" si="172"/>
        <v>0</v>
      </c>
      <c r="P975" s="33">
        <f t="shared" si="172"/>
        <v>0</v>
      </c>
      <c r="Q975" s="33">
        <f t="shared" si="172"/>
        <v>645.37004999999999</v>
      </c>
      <c r="R975" s="33">
        <f t="shared" si="172"/>
        <v>0</v>
      </c>
      <c r="S975" s="34">
        <f t="shared" si="175"/>
        <v>645.37004999999999</v>
      </c>
      <c r="T975" s="35" t="s">
        <v>169</v>
      </c>
      <c r="U975" s="18" t="s">
        <v>1206</v>
      </c>
      <c r="V975" s="18" t="str">
        <f>IF(OR($H975="",$H975="sif",$H975="PM"),"",VLOOKUP($H975,[5]CU!$C$5:$J$255,8,FALSE))</f>
        <v>5. Investissement</v>
      </c>
      <c r="W975" s="18"/>
      <c r="X975" s="18"/>
      <c r="Y975" s="18" t="s">
        <v>677</v>
      </c>
      <c r="Z975" s="18" t="str">
        <f>A975 &amp; "-" &amp; VLOOKUP(A975,[4]PROGRAMMES!$E$1:$F$7,2,FALSE)</f>
        <v>3-Expansion et réforme de l’ETFP</v>
      </c>
      <c r="AA975" s="19" t="str">
        <f>B975 &amp; "-" &amp; VLOOKUP(B975,[4]SOUSPROGRAMMES!$E$1:$F$44,2,FALSE)</f>
        <v>32- Mise en place d’une ingénierie de formation adaptée aux besoins de l’économie</v>
      </c>
      <c r="AB975" s="19" t="str">
        <f>C975 &amp; "-" &amp; VLOOKUP(C975,[4]RESULTATS!$E$1:$F$176,2,FALSE)</f>
        <v>321- Un dispositif institutionnel de formation du personnel de formation et d’ingénierie de formation est mis en place</v>
      </c>
      <c r="AC975" s="20" t="str">
        <f>D975 &amp; "-" &amp; VLOOKUP(D975,[4]STRATEGIES!$E$1:$F$504,2,FALSE)</f>
        <v>3212-Opérationnalisation du dispositif</v>
      </c>
      <c r="AD975" s="21" t="str">
        <f t="shared" si="174"/>
        <v>321210-Acquisition d'équipements pour l'ENPETP</v>
      </c>
    </row>
    <row r="976" spans="1:30" s="22" customFormat="1" ht="60" hidden="1" customHeight="1" x14ac:dyDescent="0.8">
      <c r="A976" s="14">
        <v>3</v>
      </c>
      <c r="B976" s="15">
        <v>32</v>
      </c>
      <c r="C976" s="15">
        <v>321</v>
      </c>
      <c r="D976" s="15">
        <v>3212</v>
      </c>
      <c r="E976" s="15">
        <v>321211</v>
      </c>
      <c r="F976" s="16" t="s">
        <v>1225</v>
      </c>
      <c r="G976" s="21" t="s">
        <v>167</v>
      </c>
      <c r="H976" s="17" t="s">
        <v>646</v>
      </c>
      <c r="I976" s="33">
        <v>0</v>
      </c>
      <c r="J976" s="33">
        <f>1*45</f>
        <v>45</v>
      </c>
      <c r="K976" s="33"/>
      <c r="L976" s="33"/>
      <c r="M976" s="33">
        <f t="shared" si="173"/>
        <v>45</v>
      </c>
      <c r="N976" s="33">
        <f>IF(OR(H976="",H976="sif",H976="PM"),0,VLOOKUP(H976,[5]CU!$C$4:$H$255,6,FALSE))</f>
        <v>10.404797</v>
      </c>
      <c r="O976" s="33">
        <f t="shared" si="172"/>
        <v>0</v>
      </c>
      <c r="P976" s="33">
        <f t="shared" si="172"/>
        <v>468.21586500000001</v>
      </c>
      <c r="Q976" s="33">
        <f t="shared" si="172"/>
        <v>0</v>
      </c>
      <c r="R976" s="33">
        <f t="shared" si="172"/>
        <v>0</v>
      </c>
      <c r="S976" s="34">
        <f t="shared" si="175"/>
        <v>468.21586500000001</v>
      </c>
      <c r="T976" s="35" t="s">
        <v>118</v>
      </c>
      <c r="U976" s="18" t="s">
        <v>1206</v>
      </c>
      <c r="V976" s="18" t="str">
        <f>IF(OR($H976="",$H976="sif",$H976="PM"),"",VLOOKUP($H976,[5]CU!$C$5:$J$255,8,FALSE))</f>
        <v>3. Dépenses de fonctionnement</v>
      </c>
      <c r="W976" s="18" t="s">
        <v>1165</v>
      </c>
      <c r="X976" s="18" t="s">
        <v>750</v>
      </c>
      <c r="Y976" s="18" t="s">
        <v>677</v>
      </c>
      <c r="Z976" s="18" t="str">
        <f>A976 &amp; "-" &amp; VLOOKUP(A976,[4]PROGRAMMES!$E$1:$F$7,2,FALSE)</f>
        <v>3-Expansion et réforme de l’ETFP</v>
      </c>
      <c r="AA976" s="19" t="str">
        <f>B976 &amp; "-" &amp; VLOOKUP(B976,[4]SOUSPROGRAMMES!$E$1:$F$44,2,FALSE)</f>
        <v>32- Mise en place d’une ingénierie de formation adaptée aux besoins de l’économie</v>
      </c>
      <c r="AB976" s="19" t="str">
        <f>C976 &amp; "-" &amp; VLOOKUP(C976,[4]RESULTATS!$E$1:$F$176,2,FALSE)</f>
        <v>321- Un dispositif institutionnel de formation du personnel de formation et d’ingénierie de formation est mis en place</v>
      </c>
      <c r="AC976" s="20" t="str">
        <f>D976 &amp; "-" &amp; VLOOKUP(D976,[4]STRATEGIES!$E$1:$F$504,2,FALSE)</f>
        <v>3212-Opérationnalisation du dispositif</v>
      </c>
      <c r="AD976" s="21" t="str">
        <f t="shared" si="174"/>
        <v>321211-Appui à la déFinition d'outils de gestion et d'encadrement pour l'ENPETP</v>
      </c>
    </row>
    <row r="977" spans="1:30" s="22" customFormat="1" ht="60" hidden="1" customHeight="1" x14ac:dyDescent="0.8">
      <c r="A977" s="14">
        <v>3</v>
      </c>
      <c r="B977" s="15">
        <v>32</v>
      </c>
      <c r="C977" s="15">
        <v>321</v>
      </c>
      <c r="D977" s="15">
        <v>3212</v>
      </c>
      <c r="E977" s="15">
        <v>321212</v>
      </c>
      <c r="F977" s="16" t="s">
        <v>1226</v>
      </c>
      <c r="G977" s="21" t="s">
        <v>37</v>
      </c>
      <c r="H977" s="17" t="s">
        <v>66</v>
      </c>
      <c r="I977" s="33">
        <v>0</v>
      </c>
      <c r="J977" s="33">
        <f>10*5</f>
        <v>50</v>
      </c>
      <c r="K977" s="33">
        <f>10*5</f>
        <v>50</v>
      </c>
      <c r="L977" s="33">
        <f>10*5</f>
        <v>50</v>
      </c>
      <c r="M977" s="33">
        <f t="shared" si="173"/>
        <v>150</v>
      </c>
      <c r="N977" s="33">
        <f>IF(OR(H977="",H977="sif",H977="PM"),0,VLOOKUP(H977,[5]CU!$C$4:$H$255,6,FALSE))</f>
        <v>0.255</v>
      </c>
      <c r="O977" s="33">
        <f t="shared" si="172"/>
        <v>0</v>
      </c>
      <c r="P977" s="33">
        <f t="shared" si="172"/>
        <v>12.75</v>
      </c>
      <c r="Q977" s="33">
        <f t="shared" si="172"/>
        <v>12.75</v>
      </c>
      <c r="R977" s="33">
        <f t="shared" si="172"/>
        <v>12.75</v>
      </c>
      <c r="S977" s="34">
        <f t="shared" si="175"/>
        <v>38.25</v>
      </c>
      <c r="T977" s="35" t="s">
        <v>118</v>
      </c>
      <c r="U977" s="18" t="s">
        <v>1206</v>
      </c>
      <c r="V977" s="18" t="str">
        <f>IF(OR($H977="",$H977="sif",$H977="PM"),"",VLOOKUP($H977,[5]CU!$C$5:$J$255,8,FALSE))</f>
        <v>3. Dépenses de fonctionnement</v>
      </c>
      <c r="W977" s="18" t="s">
        <v>1165</v>
      </c>
      <c r="X977" s="18" t="s">
        <v>1222</v>
      </c>
      <c r="Y977" s="18" t="s">
        <v>677</v>
      </c>
      <c r="Z977" s="18" t="str">
        <f>A977 &amp; "-" &amp; VLOOKUP(A977,[4]PROGRAMMES!$E$1:$F$7,2,FALSE)</f>
        <v>3-Expansion et réforme de l’ETFP</v>
      </c>
      <c r="AA977" s="19" t="str">
        <f>B977 &amp; "-" &amp; VLOOKUP(B977,[4]SOUSPROGRAMMES!$E$1:$F$44,2,FALSE)</f>
        <v>32- Mise en place d’une ingénierie de formation adaptée aux besoins de l’économie</v>
      </c>
      <c r="AB977" s="19" t="str">
        <f>C977 &amp; "-" &amp; VLOOKUP(C977,[4]RESULTATS!$E$1:$F$176,2,FALSE)</f>
        <v>321- Un dispositif institutionnel de formation du personnel de formation et d’ingénierie de formation est mis en place</v>
      </c>
      <c r="AC977" s="20" t="str">
        <f>D977 &amp; "-" &amp; VLOOKUP(D977,[4]STRATEGIES!$E$1:$F$504,2,FALSE)</f>
        <v>3212-Opérationnalisation du dispositif</v>
      </c>
      <c r="AD977" s="21" t="str">
        <f t="shared" si="174"/>
        <v>321212-Formation du personnel d'encadrement de l'ENPET à l'utilisation des outils</v>
      </c>
    </row>
    <row r="978" spans="1:30" s="22" customFormat="1" ht="60" hidden="1" customHeight="1" x14ac:dyDescent="0.8">
      <c r="A978" s="14">
        <v>3</v>
      </c>
      <c r="B978" s="15">
        <v>32</v>
      </c>
      <c r="C978" s="15">
        <v>321</v>
      </c>
      <c r="D978" s="15">
        <v>3212</v>
      </c>
      <c r="E978" s="15">
        <v>321212</v>
      </c>
      <c r="F978" s="16" t="s">
        <v>1227</v>
      </c>
      <c r="G978" s="21" t="s">
        <v>37</v>
      </c>
      <c r="H978" s="17" t="s">
        <v>301</v>
      </c>
      <c r="I978" s="33">
        <v>0</v>
      </c>
      <c r="J978" s="33"/>
      <c r="K978" s="33">
        <f>(3*10*1)*60/3</f>
        <v>600</v>
      </c>
      <c r="L978" s="33">
        <f>(3*10*1)*60/3</f>
        <v>600</v>
      </c>
      <c r="M978" s="33">
        <f t="shared" si="173"/>
        <v>1200</v>
      </c>
      <c r="N978" s="33">
        <f>IF(OR(H978="",H978="sif",H978="PM"),0,VLOOKUP(H978,[5]CU!$C$4:$H$255,6,FALSE))</f>
        <v>0.67666666666666664</v>
      </c>
      <c r="O978" s="33">
        <f t="shared" si="172"/>
        <v>0</v>
      </c>
      <c r="P978" s="33">
        <f t="shared" si="172"/>
        <v>0</v>
      </c>
      <c r="Q978" s="33">
        <f t="shared" si="172"/>
        <v>406</v>
      </c>
      <c r="R978" s="33">
        <f t="shared" si="172"/>
        <v>406</v>
      </c>
      <c r="S978" s="34">
        <f t="shared" si="175"/>
        <v>812</v>
      </c>
      <c r="T978" s="35" t="s">
        <v>56</v>
      </c>
      <c r="U978" s="18" t="s">
        <v>1206</v>
      </c>
      <c r="V978" s="18" t="str">
        <f>IF(OR($H978="",$H978="sif",$H978="PM"),"",VLOOKUP($H978,[5]CU!$C$5:$J$255,8,FALSE))</f>
        <v>3. Formation</v>
      </c>
      <c r="W978" s="18" t="s">
        <v>1165</v>
      </c>
      <c r="X978" s="18" t="s">
        <v>1222</v>
      </c>
      <c r="Y978" s="18" t="s">
        <v>677</v>
      </c>
      <c r="Z978" s="18" t="str">
        <f>A978 &amp; "-" &amp; VLOOKUP(A978,[4]PROGRAMMES!$E$1:$F$7,2,FALSE)</f>
        <v>3-Expansion et réforme de l’ETFP</v>
      </c>
      <c r="AA978" s="19" t="str">
        <f>B978 &amp; "-" &amp; VLOOKUP(B978,[4]SOUSPROGRAMMES!$E$1:$F$44,2,FALSE)</f>
        <v>32- Mise en place d’une ingénierie de formation adaptée aux besoins de l’économie</v>
      </c>
      <c r="AB978" s="19" t="str">
        <f>C978 &amp; "-" &amp; VLOOKUP(C978,[4]RESULTATS!$E$1:$F$176,2,FALSE)</f>
        <v>321- Un dispositif institutionnel de formation du personnel de formation et d’ingénierie de formation est mis en place</v>
      </c>
      <c r="AC978" s="20" t="str">
        <f>D978 &amp; "-" &amp; VLOOKUP(D978,[4]STRATEGIES!$E$1:$F$504,2,FALSE)</f>
        <v>3212-Opérationnalisation du dispositif</v>
      </c>
      <c r="AD978" s="21" t="str">
        <f t="shared" si="174"/>
        <v>321212-Formation de formateurs (Prof CFP, ENAE, Ecoles de santé) de l'ENPETP à l'APC</v>
      </c>
    </row>
    <row r="979" spans="1:30" s="22" customFormat="1" ht="60" hidden="1" customHeight="1" x14ac:dyDescent="0.8">
      <c r="A979" s="14">
        <v>3</v>
      </c>
      <c r="B979" s="15">
        <v>32</v>
      </c>
      <c r="C979" s="15">
        <v>321</v>
      </c>
      <c r="D979" s="15">
        <v>3212</v>
      </c>
      <c r="E979" s="15">
        <v>321213</v>
      </c>
      <c r="F979" s="16" t="s">
        <v>1228</v>
      </c>
      <c r="G979" s="21" t="s">
        <v>1229</v>
      </c>
      <c r="H979" s="17" t="s">
        <v>1230</v>
      </c>
      <c r="I979" s="33">
        <v>0</v>
      </c>
      <c r="J979" s="33">
        <v>1</v>
      </c>
      <c r="K979" s="33">
        <v>1</v>
      </c>
      <c r="L979" s="33">
        <v>1</v>
      </c>
      <c r="M979" s="33">
        <f t="shared" si="173"/>
        <v>3</v>
      </c>
      <c r="N979" s="33">
        <f>IF(OR(H979="",H979="sif",H979="PM"),0,VLOOKUP(H979,[5]CU!$C$4:$H$255,6,FALSE))</f>
        <v>41384.007740617999</v>
      </c>
      <c r="O979" s="33">
        <f t="shared" si="172"/>
        <v>0</v>
      </c>
      <c r="P979" s="33">
        <f t="shared" si="172"/>
        <v>41384.007740617999</v>
      </c>
      <c r="Q979" s="33">
        <f t="shared" si="172"/>
        <v>41384.007740617999</v>
      </c>
      <c r="R979" s="33">
        <f t="shared" si="172"/>
        <v>41384.007740617999</v>
      </c>
      <c r="S979" s="34">
        <f t="shared" si="175"/>
        <v>124152.023221854</v>
      </c>
      <c r="T979" s="35" t="s">
        <v>56</v>
      </c>
      <c r="U979" s="18" t="s">
        <v>1206</v>
      </c>
      <c r="V979" s="18" t="str">
        <f>IF(OR($H979="",$H979="sif",$H979="PM"),"",VLOOKUP($H979,[5]CU!$C$5:$J$255,8,FALSE))</f>
        <v>3. Dépenses de fonctionnement</v>
      </c>
      <c r="W979" s="18" t="s">
        <v>521</v>
      </c>
      <c r="X979" s="18" t="s">
        <v>1231</v>
      </c>
      <c r="Y979" s="18" t="s">
        <v>677</v>
      </c>
      <c r="Z979" s="18" t="str">
        <f>A979 &amp; "-" &amp; VLOOKUP(A979,[4]PROGRAMMES!$E$1:$F$7,2,FALSE)</f>
        <v>3-Expansion et réforme de l’ETFP</v>
      </c>
      <c r="AA979" s="19" t="str">
        <f>B979 &amp; "-" &amp; VLOOKUP(B979,[4]SOUSPROGRAMMES!$E$1:$F$44,2,FALSE)</f>
        <v>32- Mise en place d’une ingénierie de formation adaptée aux besoins de l’économie</v>
      </c>
      <c r="AB979" s="19" t="str">
        <f>C979 &amp; "-" &amp; VLOOKUP(C979,[4]RESULTATS!$E$1:$F$176,2,FALSE)</f>
        <v>321- Un dispositif institutionnel de formation du personnel de formation et d’ingénierie de formation est mis en place</v>
      </c>
      <c r="AC979" s="20" t="str">
        <f>D979 &amp; "-" &amp; VLOOKUP(D979,[4]STRATEGIES!$E$1:$F$504,2,FALSE)</f>
        <v>3212-Opérationnalisation du dispositif</v>
      </c>
      <c r="AD979" s="21" t="str">
        <f t="shared" si="174"/>
        <v>321213-Organisation des examens de sortie et concours d'entrée dans les institutions de l'ETFPET</v>
      </c>
    </row>
    <row r="980" spans="1:30" s="22" customFormat="1" ht="45" hidden="1" customHeight="1" x14ac:dyDescent="0.8">
      <c r="A980" s="14">
        <v>3</v>
      </c>
      <c r="B980" s="15">
        <v>32</v>
      </c>
      <c r="C980" s="15">
        <v>322</v>
      </c>
      <c r="D980" s="15">
        <v>322</v>
      </c>
      <c r="E980" s="15">
        <v>322</v>
      </c>
      <c r="F980" s="16" t="s">
        <v>1232</v>
      </c>
      <c r="G980" s="17"/>
      <c r="H980" s="17"/>
      <c r="I980" s="33">
        <v>0</v>
      </c>
      <c r="J980" s="33"/>
      <c r="K980" s="33"/>
      <c r="L980" s="33"/>
      <c r="M980" s="33"/>
      <c r="N980" s="33"/>
      <c r="O980" s="33"/>
      <c r="P980" s="33"/>
      <c r="Q980" s="33"/>
      <c r="R980" s="33"/>
      <c r="S980" s="34"/>
      <c r="T980" s="33"/>
      <c r="U980" s="18"/>
      <c r="V980" s="18"/>
      <c r="W980" s="18"/>
      <c r="X980" s="18"/>
      <c r="Y980" s="18" t="s">
        <v>677</v>
      </c>
      <c r="Z980" s="18" t="str">
        <f>A980 &amp; "-" &amp; VLOOKUP(A980,[4]PROGRAMMES!$E$1:$F$7,2,FALSE)</f>
        <v>3-Expansion et réforme de l’ETFP</v>
      </c>
      <c r="AA980" s="19" t="str">
        <f>B980 &amp; "-" &amp; VLOOKUP(B980,[4]SOUSPROGRAMMES!$E$1:$F$44,2,FALSE)</f>
        <v>32- Mise en place d’une ingénierie de formation adaptée aux besoins de l’économie</v>
      </c>
      <c r="AB980" s="19" t="str">
        <f>C980 &amp; "-" &amp; VLOOKUP(C980,[4]RESULTATS!$E$1:$F$176,2,FALSE)</f>
        <v>322- Les TIC et l’économie verte sont prises en compte dans l’élaboration des programmes</v>
      </c>
      <c r="AC980" s="20" t="str">
        <f>D980 &amp; "-" &amp; VLOOKUP(D980,[4]STRATEGIES!$E$1:$F$504,2,FALSE)</f>
        <v>322- Les TIC et l’économie verte sont prises en compte dans l’élaboration des programmes</v>
      </c>
      <c r="AD980" s="21" t="str">
        <f t="shared" si="174"/>
        <v>322- Les TIC et l’économie verte sont prises en compte dans l’élaboration des programmes</v>
      </c>
    </row>
    <row r="981" spans="1:30" s="22" customFormat="1" ht="45" hidden="1" customHeight="1" x14ac:dyDescent="0.8">
      <c r="A981" s="14">
        <v>3</v>
      </c>
      <c r="B981" s="15">
        <v>32</v>
      </c>
      <c r="C981" s="15">
        <v>322</v>
      </c>
      <c r="D981" s="15">
        <v>3221</v>
      </c>
      <c r="E981" s="15">
        <v>3221</v>
      </c>
      <c r="F981" s="16" t="s">
        <v>1233</v>
      </c>
      <c r="G981" s="17"/>
      <c r="H981" s="17"/>
      <c r="I981" s="33">
        <v>0</v>
      </c>
      <c r="J981" s="33"/>
      <c r="K981" s="33"/>
      <c r="L981" s="33"/>
      <c r="M981" s="33"/>
      <c r="N981" s="33"/>
      <c r="O981" s="33"/>
      <c r="P981" s="33"/>
      <c r="Q981" s="33"/>
      <c r="R981" s="33"/>
      <c r="S981" s="34"/>
      <c r="T981" s="33"/>
      <c r="U981" s="18"/>
      <c r="V981" s="18"/>
      <c r="W981" s="18"/>
      <c r="X981" s="18"/>
      <c r="Y981" s="18" t="s">
        <v>677</v>
      </c>
      <c r="Z981" s="18" t="str">
        <f>A981 &amp; "-" &amp; VLOOKUP(A981,[4]PROGRAMMES!$E$1:$F$7,2,FALSE)</f>
        <v>3-Expansion et réforme de l’ETFP</v>
      </c>
      <c r="AA981" s="19" t="str">
        <f>B981 &amp; "-" &amp; VLOOKUP(B981,[4]SOUSPROGRAMMES!$E$1:$F$44,2,FALSE)</f>
        <v>32- Mise en place d’une ingénierie de formation adaptée aux besoins de l’économie</v>
      </c>
      <c r="AB981" s="19" t="str">
        <f>C981 &amp; "-" &amp; VLOOKUP(C981,[4]RESULTATS!$E$1:$F$176,2,FALSE)</f>
        <v>322- Les TIC et l’économie verte sont prises en compte dans l’élaboration des programmes</v>
      </c>
      <c r="AC981" s="20" t="str">
        <f>D981 &amp; "-" &amp; VLOOKUP(D981,[4]STRATEGIES!$E$1:$F$504,2,FALSE)</f>
        <v>3221-Intégration des TIC et prise en compte de l’économie verte dans l’actualisation et l’élaboration des programmes</v>
      </c>
      <c r="AD981" s="21" t="str">
        <f t="shared" si="174"/>
        <v>3221-Intégration des TIC et prise en compte de l’économie verte dans l’actualisation et l’élaboration des programmes</v>
      </c>
    </row>
    <row r="982" spans="1:30" s="22" customFormat="1" ht="45" hidden="1" customHeight="1" x14ac:dyDescent="0.8">
      <c r="A982" s="14">
        <v>3</v>
      </c>
      <c r="B982" s="15">
        <v>32</v>
      </c>
      <c r="C982" s="15">
        <v>322</v>
      </c>
      <c r="D982" s="15">
        <v>3221</v>
      </c>
      <c r="E982" s="15">
        <v>32211</v>
      </c>
      <c r="F982" s="16" t="s">
        <v>1234</v>
      </c>
      <c r="G982" s="21" t="s">
        <v>159</v>
      </c>
      <c r="H982" s="17"/>
      <c r="I982" s="33">
        <v>0</v>
      </c>
      <c r="J982" s="33"/>
      <c r="K982" s="33">
        <v>1</v>
      </c>
      <c r="L982" s="33">
        <v>1</v>
      </c>
      <c r="M982" s="33">
        <f t="shared" ref="M982:M1044" si="176">SUM(I982:L982)</f>
        <v>2</v>
      </c>
      <c r="N982" s="33">
        <f>IF(OR(H982="",H982="sif",H982="PM"),0,VLOOKUP(H982,[5]CU!$C$4:$H$255,6,FALSE))</f>
        <v>0</v>
      </c>
      <c r="O982" s="33">
        <f t="shared" ref="O982:R1020" si="177">IFERROR($N982*I982,0)</f>
        <v>0</v>
      </c>
      <c r="P982" s="33">
        <f t="shared" si="177"/>
        <v>0</v>
      </c>
      <c r="Q982" s="33">
        <f t="shared" si="177"/>
        <v>0</v>
      </c>
      <c r="R982" s="33">
        <f t="shared" si="177"/>
        <v>0</v>
      </c>
      <c r="S982" s="34"/>
      <c r="T982" s="35" t="s">
        <v>56</v>
      </c>
      <c r="U982" s="18" t="s">
        <v>1206</v>
      </c>
      <c r="V982" s="18" t="str">
        <f>IF(OR($H982="",$H982="sif",$H982="PM"),"",VLOOKUP($H982,[5]CU!$C$5:$J$255,8,FALSE))</f>
        <v/>
      </c>
      <c r="W982" s="18" t="s">
        <v>1165</v>
      </c>
      <c r="X982" s="18" t="s">
        <v>1235</v>
      </c>
      <c r="Y982" s="18" t="s">
        <v>677</v>
      </c>
      <c r="Z982" s="18" t="str">
        <f>A982 &amp; "-" &amp; VLOOKUP(A982,[4]PROGRAMMES!$E$1:$F$7,2,FALSE)</f>
        <v>3-Expansion et réforme de l’ETFP</v>
      </c>
      <c r="AA982" s="19" t="str">
        <f>B982 &amp; "-" &amp; VLOOKUP(B982,[4]SOUSPROGRAMMES!$E$1:$F$44,2,FALSE)</f>
        <v>32- Mise en place d’une ingénierie de formation adaptée aux besoins de l’économie</v>
      </c>
      <c r="AB982" s="19" t="str">
        <f>C982 &amp; "-" &amp; VLOOKUP(C982,[4]RESULTATS!$E$1:$F$176,2,FALSE)</f>
        <v>322- Les TIC et l’économie verte sont prises en compte dans l’élaboration des programmes</v>
      </c>
      <c r="AC982" s="20" t="str">
        <f>D982 &amp; "-" &amp; VLOOKUP(D982,[4]STRATEGIES!$E$1:$F$504,2,FALSE)</f>
        <v>3221-Intégration des TIC et prise en compte de l’économie verte dans l’actualisation et l’élaboration des programmes</v>
      </c>
      <c r="AD982" s="21" t="str">
        <f t="shared" si="174"/>
        <v>32211-Prise en compte des TIC et de l'économie verte dans les nouveaux programmes et dans les programmes révisés (pris en compte dans activités 32126 et 32127)</v>
      </c>
    </row>
    <row r="983" spans="1:30" s="22" customFormat="1" ht="45" hidden="1" customHeight="1" x14ac:dyDescent="0.8">
      <c r="A983" s="14">
        <v>3</v>
      </c>
      <c r="B983" s="15">
        <v>32</v>
      </c>
      <c r="C983" s="15">
        <v>322</v>
      </c>
      <c r="D983" s="15">
        <v>3221</v>
      </c>
      <c r="E983" s="15">
        <v>32212</v>
      </c>
      <c r="F983" s="16" t="s">
        <v>1236</v>
      </c>
      <c r="G983" s="21" t="s">
        <v>92</v>
      </c>
      <c r="H983" s="17" t="s">
        <v>55</v>
      </c>
      <c r="I983" s="33">
        <v>0</v>
      </c>
      <c r="J983" s="33"/>
      <c r="K983" s="33"/>
      <c r="L983" s="33"/>
      <c r="M983" s="33">
        <f t="shared" si="176"/>
        <v>0</v>
      </c>
      <c r="N983" s="33">
        <f>IF(OR(H983="",H983="sif",H983="PM"),0,VLOOKUP(H983,[5]CU!$C$4:$H$255,6,FALSE))</f>
        <v>0</v>
      </c>
      <c r="O983" s="33">
        <f t="shared" si="177"/>
        <v>0</v>
      </c>
      <c r="P983" s="33">
        <f t="shared" si="177"/>
        <v>0</v>
      </c>
      <c r="Q983" s="33">
        <f t="shared" si="177"/>
        <v>0</v>
      </c>
      <c r="R983" s="33">
        <f t="shared" si="177"/>
        <v>0</v>
      </c>
      <c r="S983" s="34"/>
      <c r="T983" s="35" t="s">
        <v>56</v>
      </c>
      <c r="U983" s="18" t="s">
        <v>1206</v>
      </c>
      <c r="V983" s="18" t="str">
        <f>IF(OR($H983="",$H983="sif",$H983="PM"),"",VLOOKUP($H983,[5]CU!$C$5:$J$255,8,FALSE))</f>
        <v/>
      </c>
      <c r="W983" s="18" t="s">
        <v>521</v>
      </c>
      <c r="X983" s="18" t="s">
        <v>1237</v>
      </c>
      <c r="Y983" s="18" t="s">
        <v>677</v>
      </c>
      <c r="Z983" s="18" t="str">
        <f>A983 &amp; "-" &amp; VLOOKUP(A983,[4]PROGRAMMES!$E$1:$F$7,2,FALSE)</f>
        <v>3-Expansion et réforme de l’ETFP</v>
      </c>
      <c r="AA983" s="19" t="str">
        <f>B983 &amp; "-" &amp; VLOOKUP(B983,[4]SOUSPROGRAMMES!$E$1:$F$44,2,FALSE)</f>
        <v>32- Mise en place d’une ingénierie de formation adaptée aux besoins de l’économie</v>
      </c>
      <c r="AB983" s="19" t="str">
        <f>C983 &amp; "-" &amp; VLOOKUP(C983,[4]RESULTATS!$E$1:$F$176,2,FALSE)</f>
        <v>322- Les TIC et l’économie verte sont prises en compte dans l’élaboration des programmes</v>
      </c>
      <c r="AC983" s="20" t="str">
        <f>D983 &amp; "-" &amp; VLOOKUP(D983,[4]STRATEGIES!$E$1:$F$504,2,FALSE)</f>
        <v>3221-Intégration des TIC et prise en compte de l’économie verte dans l’actualisation et l’élaboration des programmes</v>
      </c>
      <c r="AD983" s="21" t="str">
        <f t="shared" si="174"/>
        <v>32212-Equipement des ERAM en matériel informatiques (voir activité 33117)</v>
      </c>
    </row>
    <row r="984" spans="1:30" s="22" customFormat="1" ht="45" hidden="1" customHeight="1" x14ac:dyDescent="0.8">
      <c r="A984" s="14">
        <v>3</v>
      </c>
      <c r="B984" s="15">
        <v>32</v>
      </c>
      <c r="C984" s="15">
        <v>322</v>
      </c>
      <c r="D984" s="15">
        <v>3221</v>
      </c>
      <c r="E984" s="15">
        <v>32213</v>
      </c>
      <c r="F984" s="16" t="s">
        <v>1238</v>
      </c>
      <c r="G984" s="21" t="s">
        <v>1239</v>
      </c>
      <c r="H984" s="17" t="s">
        <v>1240</v>
      </c>
      <c r="I984" s="33">
        <v>0</v>
      </c>
      <c r="J984" s="33">
        <v>0</v>
      </c>
      <c r="K984" s="33">
        <v>8</v>
      </c>
      <c r="L984" s="33">
        <v>0</v>
      </c>
      <c r="M984" s="33">
        <f t="shared" si="176"/>
        <v>8</v>
      </c>
      <c r="N984" s="33">
        <f>IF(OR(H984="",H984="sif",H984="PM"),0,VLOOKUP(H984,[5]CU!$C$4:$H$255,6,FALSE))</f>
        <v>100</v>
      </c>
      <c r="O984" s="33">
        <f t="shared" si="177"/>
        <v>0</v>
      </c>
      <c r="P984" s="33">
        <f t="shared" si="177"/>
        <v>0</v>
      </c>
      <c r="Q984" s="33">
        <f t="shared" si="177"/>
        <v>800</v>
      </c>
      <c r="R984" s="33">
        <f t="shared" si="177"/>
        <v>0</v>
      </c>
      <c r="S984" s="34">
        <f t="shared" ref="S984:S993" si="178">SUM(O984:R984)</f>
        <v>800</v>
      </c>
      <c r="T984" s="35" t="s">
        <v>169</v>
      </c>
      <c r="U984" s="18" t="s">
        <v>1206</v>
      </c>
      <c r="V984" s="18" t="str">
        <f>IF(OR($H984="",$H984="sif",$H984="PM"),"",VLOOKUP($H984,[5]CU!$C$5:$J$255,8,FALSE))</f>
        <v>5. Investissement</v>
      </c>
      <c r="W984" s="18" t="s">
        <v>521</v>
      </c>
      <c r="X984" s="18" t="s">
        <v>1237</v>
      </c>
      <c r="Y984" s="18" t="s">
        <v>677</v>
      </c>
      <c r="Z984" s="18" t="str">
        <f>A984 &amp; "-" &amp; VLOOKUP(A984,[4]PROGRAMMES!$E$1:$F$7,2,FALSE)</f>
        <v>3-Expansion et réforme de l’ETFP</v>
      </c>
      <c r="AA984" s="19" t="str">
        <f>B984 &amp; "-" &amp; VLOOKUP(B984,[4]SOUSPROGRAMMES!$E$1:$F$44,2,FALSE)</f>
        <v>32- Mise en place d’une ingénierie de formation adaptée aux besoins de l’économie</v>
      </c>
      <c r="AB984" s="19" t="str">
        <f>C984 &amp; "-" &amp; VLOOKUP(C984,[4]RESULTATS!$E$1:$F$176,2,FALSE)</f>
        <v>322- Les TIC et l’économie verte sont prises en compte dans l’élaboration des programmes</v>
      </c>
      <c r="AC984" s="20" t="str">
        <f>D984 &amp; "-" &amp; VLOOKUP(D984,[4]STRATEGIES!$E$1:$F$504,2,FALSE)</f>
        <v>3221-Intégration des TIC et prise en compte de l’économie verte dans l’actualisation et l’élaboration des programmes</v>
      </c>
      <c r="AD984" s="21" t="str">
        <f t="shared" si="174"/>
        <v>32213-Equipement des ENI en matériel informatiques</v>
      </c>
    </row>
    <row r="985" spans="1:30" s="22" customFormat="1" ht="45" hidden="1" customHeight="1" x14ac:dyDescent="0.8">
      <c r="A985" s="14">
        <v>3</v>
      </c>
      <c r="B985" s="15">
        <v>32</v>
      </c>
      <c r="C985" s="15">
        <v>322</v>
      </c>
      <c r="D985" s="15">
        <v>3221</v>
      </c>
      <c r="E985" s="15">
        <v>32214</v>
      </c>
      <c r="F985" s="16" t="s">
        <v>1241</v>
      </c>
      <c r="G985" s="21" t="s">
        <v>1239</v>
      </c>
      <c r="H985" s="17" t="s">
        <v>1242</v>
      </c>
      <c r="I985" s="33">
        <v>0</v>
      </c>
      <c r="J985" s="33"/>
      <c r="K985" s="33"/>
      <c r="L985" s="33"/>
      <c r="M985" s="33">
        <f t="shared" si="176"/>
        <v>0</v>
      </c>
      <c r="N985" s="33">
        <f>IF(OR(H985="",H985="sif",H985="PM"),0,VLOOKUP(H985,[5]CU!$C$4:$H$255,6,FALSE))</f>
        <v>60</v>
      </c>
      <c r="O985" s="33">
        <f t="shared" si="177"/>
        <v>0</v>
      </c>
      <c r="P985" s="33">
        <f t="shared" si="177"/>
        <v>0</v>
      </c>
      <c r="Q985" s="33">
        <f t="shared" si="177"/>
        <v>0</v>
      </c>
      <c r="R985" s="33">
        <f t="shared" si="177"/>
        <v>0</v>
      </c>
      <c r="S985" s="34">
        <f t="shared" si="178"/>
        <v>0</v>
      </c>
      <c r="T985" s="35" t="s">
        <v>56</v>
      </c>
      <c r="U985" s="18" t="s">
        <v>1206</v>
      </c>
      <c r="V985" s="18" t="str">
        <f>IF(OR($H985="",$H985="sif",$H985="PM"),"",VLOOKUP($H985,[5]CU!$C$5:$J$255,8,FALSE))</f>
        <v>5. Investissement</v>
      </c>
      <c r="W985" s="18" t="s">
        <v>521</v>
      </c>
      <c r="X985" s="18" t="s">
        <v>1237</v>
      </c>
      <c r="Y985" s="18" t="s">
        <v>677</v>
      </c>
      <c r="Z985" s="18" t="str">
        <f>A985 &amp; "-" &amp; VLOOKUP(A985,[4]PROGRAMMES!$E$1:$F$7,2,FALSE)</f>
        <v>3-Expansion et réforme de l’ETFP</v>
      </c>
      <c r="AA985" s="19" t="str">
        <f>B985 &amp; "-" &amp; VLOOKUP(B985,[4]SOUSPROGRAMMES!$E$1:$F$44,2,FALSE)</f>
        <v>32- Mise en place d’une ingénierie de formation adaptée aux besoins de l’économie</v>
      </c>
      <c r="AB985" s="19" t="str">
        <f>C985 &amp; "-" &amp; VLOOKUP(C985,[4]RESULTATS!$E$1:$F$176,2,FALSE)</f>
        <v>322- Les TIC et l’économie verte sont prises en compte dans l’élaboration des programmes</v>
      </c>
      <c r="AC985" s="20" t="str">
        <f>D985 &amp; "-" &amp; VLOOKUP(D985,[4]STRATEGIES!$E$1:$F$504,2,FALSE)</f>
        <v>3221-Intégration des TIC et prise en compte de l’économie verte dans l’actualisation et l’élaboration des programmes</v>
      </c>
      <c r="AD985" s="21" t="str">
        <f t="shared" si="174"/>
        <v>32214-Equipement des ENAE en matériel informatiques</v>
      </c>
    </row>
    <row r="986" spans="1:30" s="22" customFormat="1" ht="45" hidden="1" customHeight="1" x14ac:dyDescent="0.8">
      <c r="A986" s="14">
        <v>3</v>
      </c>
      <c r="B986" s="15">
        <v>32</v>
      </c>
      <c r="C986" s="15">
        <v>322</v>
      </c>
      <c r="D986" s="15">
        <v>3221</v>
      </c>
      <c r="E986" s="15">
        <v>32215</v>
      </c>
      <c r="F986" s="16" t="s">
        <v>1243</v>
      </c>
      <c r="G986" s="21" t="s">
        <v>436</v>
      </c>
      <c r="H986" s="17" t="s">
        <v>301</v>
      </c>
      <c r="I986" s="33">
        <v>0</v>
      </c>
      <c r="J986" s="33">
        <f>1*10*1</f>
        <v>10</v>
      </c>
      <c r="K986" s="33"/>
      <c r="L986" s="33"/>
      <c r="M986" s="33">
        <f t="shared" si="176"/>
        <v>10</v>
      </c>
      <c r="N986" s="33">
        <f>IF(OR(H986="",H986="sif",H986="PM"),0,VLOOKUP(H986,[5]CU!$C$4:$H$255,6,FALSE))</f>
        <v>0.67666666666666664</v>
      </c>
      <c r="O986" s="33">
        <f t="shared" si="177"/>
        <v>0</v>
      </c>
      <c r="P986" s="33">
        <f t="shared" si="177"/>
        <v>6.7666666666666666</v>
      </c>
      <c r="Q986" s="33">
        <f t="shared" si="177"/>
        <v>0</v>
      </c>
      <c r="R986" s="33">
        <f t="shared" si="177"/>
        <v>0</v>
      </c>
      <c r="S986" s="34">
        <f t="shared" si="178"/>
        <v>6.7666666666666666</v>
      </c>
      <c r="T986" s="35" t="s">
        <v>169</v>
      </c>
      <c r="U986" s="18" t="s">
        <v>1206</v>
      </c>
      <c r="V986" s="18" t="str">
        <f>IF(OR($H986="",$H986="sif",$H986="PM"),"",VLOOKUP($H986,[5]CU!$C$5:$J$255,8,FALSE))</f>
        <v>3. Formation</v>
      </c>
      <c r="W986" s="18" t="s">
        <v>521</v>
      </c>
      <c r="X986" s="18" t="s">
        <v>1244</v>
      </c>
      <c r="Y986" s="18" t="s">
        <v>677</v>
      </c>
      <c r="Z986" s="18" t="str">
        <f>A986 &amp; "-" &amp; VLOOKUP(A986,[4]PROGRAMMES!$E$1:$F$7,2,FALSE)</f>
        <v>3-Expansion et réforme de l’ETFP</v>
      </c>
      <c r="AA986" s="19" t="str">
        <f>B986 &amp; "-" &amp; VLOOKUP(B986,[4]SOUSPROGRAMMES!$E$1:$F$44,2,FALSE)</f>
        <v>32- Mise en place d’une ingénierie de formation adaptée aux besoins de l’économie</v>
      </c>
      <c r="AB986" s="19" t="str">
        <f>C986 &amp; "-" &amp; VLOOKUP(C986,[4]RESULTATS!$E$1:$F$176,2,FALSE)</f>
        <v>322- Les TIC et l’économie verte sont prises en compte dans l’élaboration des programmes</v>
      </c>
      <c r="AC986" s="20" t="str">
        <f>D986 &amp; "-" &amp; VLOOKUP(D986,[4]STRATEGIES!$E$1:$F$504,2,FALSE)</f>
        <v>3221-Intégration des TIC et prise en compte de l’économie verte dans l’actualisation et l’élaboration des programmes</v>
      </c>
      <c r="AD986" s="21" t="str">
        <f t="shared" si="174"/>
        <v>32215-Formation des responsables TIC des ENI, ERAM, ENAE, Ecoles de santé</v>
      </c>
    </row>
    <row r="987" spans="1:30" s="22" customFormat="1" ht="45" hidden="1" customHeight="1" x14ac:dyDescent="0.8">
      <c r="A987" s="14">
        <v>3</v>
      </c>
      <c r="B987" s="15">
        <v>32</v>
      </c>
      <c r="C987" s="15">
        <v>323</v>
      </c>
      <c r="D987" s="15">
        <v>323</v>
      </c>
      <c r="E987" s="15">
        <v>323</v>
      </c>
      <c r="F987" s="16" t="s">
        <v>1245</v>
      </c>
      <c r="G987" s="17"/>
      <c r="H987" s="17"/>
      <c r="I987" s="33">
        <v>0</v>
      </c>
      <c r="J987" s="33"/>
      <c r="K987" s="33"/>
      <c r="L987" s="33"/>
      <c r="M987" s="33"/>
      <c r="N987" s="33"/>
      <c r="O987" s="33"/>
      <c r="P987" s="33"/>
      <c r="Q987" s="33"/>
      <c r="R987" s="33"/>
      <c r="S987" s="34"/>
      <c r="T987" s="33"/>
      <c r="U987" s="18"/>
      <c r="V987" s="18"/>
      <c r="W987" s="18"/>
      <c r="X987" s="18"/>
      <c r="Y987" s="18" t="s">
        <v>677</v>
      </c>
      <c r="Z987" s="18" t="str">
        <f>A987 &amp; "-" &amp; VLOOKUP(A987,[4]PROGRAMMES!$E$1:$F$7,2,FALSE)</f>
        <v>3-Expansion et réforme de l’ETFP</v>
      </c>
      <c r="AA987" s="19" t="str">
        <f>B987 &amp; "-" &amp; VLOOKUP(B987,[4]SOUSPROGRAMMES!$E$1:$F$44,2,FALSE)</f>
        <v>32- Mise en place d’une ingénierie de formation adaptée aux besoins de l’économie</v>
      </c>
      <c r="AB987" s="19" t="str">
        <f>C987 &amp; "-" &amp; VLOOKUP(C987,[4]RESULTATS!$E$1:$F$176,2,FALSE)</f>
        <v>323- Un cadre adéquat pour le développement de la formation en milieu du travail est mis en place</v>
      </c>
      <c r="AC987" s="20" t="str">
        <f>D987 &amp; "-" &amp; VLOOKUP(D987,[4]STRATEGIES!$E$1:$F$504,2,FALSE)</f>
        <v>323- Un cadre adéquat pour le développement de la formation en milieu du travail est mis en place</v>
      </c>
      <c r="AD987" s="21" t="str">
        <f t="shared" si="174"/>
        <v>323- Un cadre adéquat pour le développement de la formation en milieu du travail est mis en place</v>
      </c>
    </row>
    <row r="988" spans="1:30" s="22" customFormat="1" ht="45" hidden="1" customHeight="1" x14ac:dyDescent="0.8">
      <c r="A988" s="14">
        <v>3</v>
      </c>
      <c r="B988" s="15">
        <v>32</v>
      </c>
      <c r="C988" s="15">
        <v>323</v>
      </c>
      <c r="D988" s="15">
        <v>3231</v>
      </c>
      <c r="E988" s="15">
        <v>3231</v>
      </c>
      <c r="F988" s="16" t="s">
        <v>1246</v>
      </c>
      <c r="G988" s="17"/>
      <c r="H988" s="17"/>
      <c r="I988" s="33">
        <v>0</v>
      </c>
      <c r="J988" s="33"/>
      <c r="K988" s="33"/>
      <c r="L988" s="33"/>
      <c r="M988" s="33"/>
      <c r="N988" s="33"/>
      <c r="O988" s="33"/>
      <c r="P988" s="33"/>
      <c r="Q988" s="33"/>
      <c r="R988" s="33"/>
      <c r="S988" s="34"/>
      <c r="T988" s="33"/>
      <c r="U988" s="18"/>
      <c r="V988" s="18"/>
      <c r="W988" s="18"/>
      <c r="X988" s="18"/>
      <c r="Y988" s="18" t="s">
        <v>677</v>
      </c>
      <c r="Z988" s="18" t="str">
        <f>A988 &amp; "-" &amp; VLOOKUP(A988,[4]PROGRAMMES!$E$1:$F$7,2,FALSE)</f>
        <v>3-Expansion et réforme de l’ETFP</v>
      </c>
      <c r="AA988" s="19" t="str">
        <f>B988 &amp; "-" &amp; VLOOKUP(B988,[4]SOUSPROGRAMMES!$E$1:$F$44,2,FALSE)</f>
        <v>32- Mise en place d’une ingénierie de formation adaptée aux besoins de l’économie</v>
      </c>
      <c r="AB988" s="19" t="str">
        <f>C988 &amp; "-" &amp; VLOOKUP(C988,[4]RESULTATS!$E$1:$F$176,2,FALSE)</f>
        <v>323- Un cadre adéquat pour le développement de la formation en milieu du travail est mis en place</v>
      </c>
      <c r="AC988" s="20" t="str">
        <f>D988 &amp; "-" &amp; VLOOKUP(D988,[4]STRATEGIES!$E$1:$F$504,2,FALSE)</f>
        <v>3231-Définition d’un cadre de développement de l’apprentissage</v>
      </c>
      <c r="AD988" s="21" t="str">
        <f t="shared" si="174"/>
        <v>3231-DéFinition d’un cadre de développement de l’apprentissage</v>
      </c>
    </row>
    <row r="989" spans="1:30" s="22" customFormat="1" ht="45" hidden="1" customHeight="1" x14ac:dyDescent="0.8">
      <c r="A989" s="14">
        <v>3</v>
      </c>
      <c r="B989" s="15">
        <v>32</v>
      </c>
      <c r="C989" s="15">
        <v>323</v>
      </c>
      <c r="D989" s="15">
        <v>3231</v>
      </c>
      <c r="E989" s="15">
        <v>32311</v>
      </c>
      <c r="F989" s="16" t="s">
        <v>1247</v>
      </c>
      <c r="G989" s="21" t="s">
        <v>167</v>
      </c>
      <c r="H989" s="17" t="s">
        <v>662</v>
      </c>
      <c r="I989" s="33">
        <v>0</v>
      </c>
      <c r="J989" s="33">
        <f>2*3</f>
        <v>6</v>
      </c>
      <c r="K989" s="33">
        <v>4</v>
      </c>
      <c r="L989" s="33">
        <v>2</v>
      </c>
      <c r="M989" s="33">
        <f t="shared" si="176"/>
        <v>12</v>
      </c>
      <c r="N989" s="33">
        <f>IF(OR(H989="",H989="sif",H989="PM"),0,VLOOKUP(H989,[5]CU!$C$4:$H$255,6,FALSE))</f>
        <v>219.54797350000001</v>
      </c>
      <c r="O989" s="33">
        <f t="shared" si="177"/>
        <v>0</v>
      </c>
      <c r="P989" s="33">
        <f t="shared" si="177"/>
        <v>1317.2878410000001</v>
      </c>
      <c r="Q989" s="33">
        <f t="shared" si="177"/>
        <v>878.19189400000005</v>
      </c>
      <c r="R989" s="33">
        <f t="shared" si="177"/>
        <v>439.09594700000002</v>
      </c>
      <c r="S989" s="34">
        <f t="shared" si="178"/>
        <v>2634.5756819999997</v>
      </c>
      <c r="T989" s="35" t="s">
        <v>118</v>
      </c>
      <c r="U989" s="18" t="s">
        <v>1206</v>
      </c>
      <c r="V989" s="18" t="str">
        <f>IF(OR($H989="",$H989="sif",$H989="PM"),"",VLOOKUP($H989,[5]CU!$C$5:$J$255,8,FALSE))</f>
        <v>3. Dépenses de fonctionnement</v>
      </c>
      <c r="W989" s="18" t="s">
        <v>1165</v>
      </c>
      <c r="X989" s="18" t="s">
        <v>750</v>
      </c>
      <c r="Y989" s="18" t="s">
        <v>677</v>
      </c>
      <c r="Z989" s="18" t="str">
        <f>A989 &amp; "-" &amp; VLOOKUP(A989,[4]PROGRAMMES!$E$1:$F$7,2,FALSE)</f>
        <v>3-Expansion et réforme de l’ETFP</v>
      </c>
      <c r="AA989" s="19" t="str">
        <f>B989 &amp; "-" &amp; VLOOKUP(B989,[4]SOUSPROGRAMMES!$E$1:$F$44,2,FALSE)</f>
        <v>32- Mise en place d’une ingénierie de formation adaptée aux besoins de l’économie</v>
      </c>
      <c r="AB989" s="19" t="str">
        <f>C989 &amp; "-" &amp; VLOOKUP(C989,[4]RESULTATS!$E$1:$F$176,2,FALSE)</f>
        <v>323- Un cadre adéquat pour le développement de la formation en milieu du travail est mis en place</v>
      </c>
      <c r="AC989" s="20" t="str">
        <f>D989 &amp; "-" &amp; VLOOKUP(D989,[4]STRATEGIES!$E$1:$F$504,2,FALSE)</f>
        <v>3231-Définition d’un cadre de développement de l’apprentissage</v>
      </c>
      <c r="AD989" s="21" t="str">
        <f t="shared" si="174"/>
        <v>32311-Appui à la déFinition d'un cadre de développement de l'apprentissage (assistance technique longue durée pour accompagner le processus dans son ensemble)</v>
      </c>
    </row>
    <row r="990" spans="1:30" s="22" customFormat="1" ht="45" hidden="1" customHeight="1" x14ac:dyDescent="0.8">
      <c r="A990" s="14">
        <v>3</v>
      </c>
      <c r="B990" s="15">
        <v>32</v>
      </c>
      <c r="C990" s="15">
        <v>323</v>
      </c>
      <c r="D990" s="15">
        <v>3231</v>
      </c>
      <c r="E990" s="15">
        <v>32312</v>
      </c>
      <c r="F990" s="16" t="s">
        <v>1248</v>
      </c>
      <c r="G990" s="21" t="s">
        <v>298</v>
      </c>
      <c r="H990" s="17" t="s">
        <v>66</v>
      </c>
      <c r="I990" s="33">
        <v>0</v>
      </c>
      <c r="J990" s="33">
        <f>15*5</f>
        <v>75</v>
      </c>
      <c r="K990" s="33"/>
      <c r="L990" s="33"/>
      <c r="M990" s="33">
        <f t="shared" si="176"/>
        <v>75</v>
      </c>
      <c r="N990" s="33">
        <f>IF(OR(H990="",H990="sif",H990="PM"),0,VLOOKUP(H990,[5]CU!$C$4:$H$255,6,FALSE))</f>
        <v>0.255</v>
      </c>
      <c r="O990" s="33">
        <f t="shared" si="177"/>
        <v>0</v>
      </c>
      <c r="P990" s="33">
        <f t="shared" si="177"/>
        <v>19.125</v>
      </c>
      <c r="Q990" s="33">
        <f t="shared" si="177"/>
        <v>0</v>
      </c>
      <c r="R990" s="33">
        <f t="shared" si="177"/>
        <v>0</v>
      </c>
      <c r="S990" s="34">
        <f t="shared" si="178"/>
        <v>19.125</v>
      </c>
      <c r="T990" s="35" t="s">
        <v>118</v>
      </c>
      <c r="U990" s="18" t="s">
        <v>1206</v>
      </c>
      <c r="V990" s="18" t="str">
        <f>IF(OR($H990="",$H990="sif",$H990="PM"),"",VLOOKUP($H990,[5]CU!$C$5:$J$255,8,FALSE))</f>
        <v>3. Dépenses de fonctionnement</v>
      </c>
      <c r="W990" s="18" t="s">
        <v>1165</v>
      </c>
      <c r="X990" s="18" t="s">
        <v>1165</v>
      </c>
      <c r="Y990" s="18" t="s">
        <v>677</v>
      </c>
      <c r="Z990" s="18" t="str">
        <f>A990 &amp; "-" &amp; VLOOKUP(A990,[4]PROGRAMMES!$E$1:$F$7,2,FALSE)</f>
        <v>3-Expansion et réforme de l’ETFP</v>
      </c>
      <c r="AA990" s="19" t="str">
        <f>B990 &amp; "-" &amp; VLOOKUP(B990,[4]SOUSPROGRAMMES!$E$1:$F$44,2,FALSE)</f>
        <v>32- Mise en place d’une ingénierie de formation adaptée aux besoins de l’économie</v>
      </c>
      <c r="AB990" s="19" t="str">
        <f>C990 &amp; "-" &amp; VLOOKUP(C990,[4]RESULTATS!$E$1:$F$176,2,FALSE)</f>
        <v>323- Un cadre adéquat pour le développement de la formation en milieu du travail est mis en place</v>
      </c>
      <c r="AC990" s="20" t="str">
        <f>D990 &amp; "-" &amp; VLOOKUP(D990,[4]STRATEGIES!$E$1:$F$504,2,FALSE)</f>
        <v>3231-Définition d’un cadre de développement de l’apprentissage</v>
      </c>
      <c r="AD990" s="21" t="str">
        <f t="shared" si="174"/>
        <v>32312-Elaboration d'une fiche de collecte pour l'identification des maitres apprentis et des cadres d'apprentissage (en collaboration avec les fédérations)</v>
      </c>
    </row>
    <row r="991" spans="1:30" s="22" customFormat="1" ht="45" hidden="1" customHeight="1" x14ac:dyDescent="0.8">
      <c r="A991" s="14">
        <v>3</v>
      </c>
      <c r="B991" s="15">
        <v>32</v>
      </c>
      <c r="C991" s="15">
        <v>323</v>
      </c>
      <c r="D991" s="15">
        <v>3231</v>
      </c>
      <c r="E991" s="15">
        <v>32313</v>
      </c>
      <c r="F991" s="16" t="s">
        <v>1249</v>
      </c>
      <c r="G991" s="21" t="s">
        <v>1250</v>
      </c>
      <c r="H991" s="17" t="s">
        <v>59</v>
      </c>
      <c r="I991" s="33">
        <v>0</v>
      </c>
      <c r="J991" s="33">
        <v>0</v>
      </c>
      <c r="K991" s="33"/>
      <c r="L991" s="33">
        <v>1</v>
      </c>
      <c r="M991" s="33">
        <f t="shared" si="176"/>
        <v>1</v>
      </c>
      <c r="N991" s="33">
        <f>IF(OR(H991="",H991="sif",H991="PM"),0,VLOOKUP(H991,[5]CU!$C$4:$H$255,6,FALSE))</f>
        <v>0.8177777777777776</v>
      </c>
      <c r="O991" s="33">
        <f t="shared" si="177"/>
        <v>0</v>
      </c>
      <c r="P991" s="33">
        <f t="shared" si="177"/>
        <v>0</v>
      </c>
      <c r="Q991" s="33">
        <f t="shared" si="177"/>
        <v>0</v>
      </c>
      <c r="R991" s="33">
        <f t="shared" si="177"/>
        <v>0.8177777777777776</v>
      </c>
      <c r="S991" s="34">
        <f t="shared" si="178"/>
        <v>0.8177777777777776</v>
      </c>
      <c r="T991" s="35" t="s">
        <v>169</v>
      </c>
      <c r="U991" s="18" t="s">
        <v>1206</v>
      </c>
      <c r="V991" s="18" t="str">
        <f>IF(OR($H991="",$H991="sif",$H991="PM"),"",VLOOKUP($H991,[5]CU!$C$5:$J$255,8,FALSE))</f>
        <v>3. Dépenses de fonctionnement</v>
      </c>
      <c r="W991" s="18" t="s">
        <v>1165</v>
      </c>
      <c r="X991" s="18" t="s">
        <v>1251</v>
      </c>
      <c r="Y991" s="18" t="s">
        <v>677</v>
      </c>
      <c r="Z991" s="18" t="str">
        <f>A991 &amp; "-" &amp; VLOOKUP(A991,[4]PROGRAMMES!$E$1:$F$7,2,FALSE)</f>
        <v>3-Expansion et réforme de l’ETFP</v>
      </c>
      <c r="AA991" s="19" t="str">
        <f>B991 &amp; "-" &amp; VLOOKUP(B991,[4]SOUSPROGRAMMES!$E$1:$F$44,2,FALSE)</f>
        <v>32- Mise en place d’une ingénierie de formation adaptée aux besoins de l’économie</v>
      </c>
      <c r="AB991" s="19" t="str">
        <f>C991 &amp; "-" &amp; VLOOKUP(C991,[4]RESULTATS!$E$1:$F$176,2,FALSE)</f>
        <v>323- Un cadre adéquat pour le développement de la formation en milieu du travail est mis en place</v>
      </c>
      <c r="AC991" s="20" t="str">
        <f>D991 &amp; "-" &amp; VLOOKUP(D991,[4]STRATEGIES!$E$1:$F$504,2,FALSE)</f>
        <v>3231-Définition d’un cadre de développement de l’apprentissage</v>
      </c>
      <c r="AD991" s="21" t="str">
        <f t="shared" si="174"/>
        <v>32313-Identification/Recensement des maitres apprentis et des cadres d'apprentissage adéquats (A faire par les fédérations)</v>
      </c>
    </row>
    <row r="992" spans="1:30" s="22" customFormat="1" ht="45" hidden="1" customHeight="1" x14ac:dyDescent="0.8">
      <c r="A992" s="14">
        <v>3</v>
      </c>
      <c r="B992" s="15">
        <v>32</v>
      </c>
      <c r="C992" s="15">
        <v>323</v>
      </c>
      <c r="D992" s="15">
        <v>3231</v>
      </c>
      <c r="E992" s="15">
        <v>32314</v>
      </c>
      <c r="F992" s="16" t="s">
        <v>1252</v>
      </c>
      <c r="G992" s="21" t="s">
        <v>315</v>
      </c>
      <c r="H992" s="17" t="s">
        <v>38</v>
      </c>
      <c r="I992" s="33">
        <v>0</v>
      </c>
      <c r="J992" s="33">
        <f>15*2*9</f>
        <v>270</v>
      </c>
      <c r="K992" s="33"/>
      <c r="L992" s="33">
        <f>15*2*9</f>
        <v>270</v>
      </c>
      <c r="M992" s="33">
        <f t="shared" si="176"/>
        <v>540</v>
      </c>
      <c r="N992" s="33">
        <f>IF(OR(H992="",H992="sif",H992="PM"),0,VLOOKUP(H992,[5]CU!$C$4:$H$255,6,FALSE))</f>
        <v>0.3133333333333333</v>
      </c>
      <c r="O992" s="33">
        <f t="shared" si="177"/>
        <v>0</v>
      </c>
      <c r="P992" s="33">
        <f t="shared" si="177"/>
        <v>84.6</v>
      </c>
      <c r="Q992" s="33">
        <f t="shared" si="177"/>
        <v>0</v>
      </c>
      <c r="R992" s="33">
        <f t="shared" si="177"/>
        <v>84.6</v>
      </c>
      <c r="S992" s="34">
        <f t="shared" si="178"/>
        <v>169.2</v>
      </c>
      <c r="T992" s="35" t="s">
        <v>56</v>
      </c>
      <c r="U992" s="18" t="s">
        <v>1206</v>
      </c>
      <c r="V992" s="18" t="str">
        <f>IF(OR($H992="",$H992="sif",$H992="PM"),"",VLOOKUP($H992,[5]CU!$C$5:$J$255,8,FALSE))</f>
        <v>3. Formation</v>
      </c>
      <c r="W992" s="18" t="s">
        <v>1165</v>
      </c>
      <c r="X992" s="18" t="s">
        <v>1251</v>
      </c>
      <c r="Y992" s="18" t="s">
        <v>677</v>
      </c>
      <c r="Z992" s="18" t="str">
        <f>A992 &amp; "-" &amp; VLOOKUP(A992,[4]PROGRAMMES!$E$1:$F$7,2,FALSE)</f>
        <v>3-Expansion et réforme de l’ETFP</v>
      </c>
      <c r="AA992" s="19" t="str">
        <f>B992 &amp; "-" &amp; VLOOKUP(B992,[4]SOUSPROGRAMMES!$E$1:$F$44,2,FALSE)</f>
        <v>32- Mise en place d’une ingénierie de formation adaptée aux besoins de l’économie</v>
      </c>
      <c r="AB992" s="19" t="str">
        <f>C992 &amp; "-" &amp; VLOOKUP(C992,[4]RESULTATS!$E$1:$F$176,2,FALSE)</f>
        <v>323- Un cadre adéquat pour le développement de la formation en milieu du travail est mis en place</v>
      </c>
      <c r="AC992" s="20" t="str">
        <f>D992 &amp; "-" &amp; VLOOKUP(D992,[4]STRATEGIES!$E$1:$F$504,2,FALSE)</f>
        <v>3231-Définition d’un cadre de développement de l’apprentissage</v>
      </c>
      <c r="AD992" s="21" t="str">
        <f t="shared" si="174"/>
        <v xml:space="preserve">32314-Validation par les acteurs au niveau régional et national des résultats de la collecte et déFinition des appuis à mener </v>
      </c>
    </row>
    <row r="993" spans="1:30" s="22" customFormat="1" ht="45" hidden="1" customHeight="1" x14ac:dyDescent="0.8">
      <c r="A993" s="14">
        <v>3</v>
      </c>
      <c r="B993" s="15">
        <v>32</v>
      </c>
      <c r="C993" s="15">
        <v>323</v>
      </c>
      <c r="D993" s="15">
        <v>3231</v>
      </c>
      <c r="E993" s="15">
        <v>32315</v>
      </c>
      <c r="F993" s="16" t="s">
        <v>1253</v>
      </c>
      <c r="G993" s="21" t="s">
        <v>1254</v>
      </c>
      <c r="H993" s="17" t="s">
        <v>38</v>
      </c>
      <c r="I993" s="33">
        <v>0</v>
      </c>
      <c r="J993" s="33">
        <f>45*2</f>
        <v>90</v>
      </c>
      <c r="K993" s="33"/>
      <c r="L993" s="33"/>
      <c r="M993" s="33">
        <f t="shared" si="176"/>
        <v>90</v>
      </c>
      <c r="N993" s="33">
        <f>IF(OR(H993="",H993="sif",H993="PM"),0,VLOOKUP(H993,[5]CU!$C$4:$H$255,6,FALSE))</f>
        <v>0.3133333333333333</v>
      </c>
      <c r="O993" s="33">
        <f t="shared" si="177"/>
        <v>0</v>
      </c>
      <c r="P993" s="33">
        <f t="shared" si="177"/>
        <v>28.199999999999996</v>
      </c>
      <c r="Q993" s="33">
        <f t="shared" si="177"/>
        <v>0</v>
      </c>
      <c r="R993" s="33">
        <f t="shared" si="177"/>
        <v>0</v>
      </c>
      <c r="S993" s="34">
        <f t="shared" si="178"/>
        <v>28.199999999999996</v>
      </c>
      <c r="T993" s="35" t="s">
        <v>118</v>
      </c>
      <c r="U993" s="18" t="s">
        <v>1206</v>
      </c>
      <c r="V993" s="18" t="str">
        <f>IF(OR($H993="",$H993="sif",$H993="PM"),"",VLOOKUP($H993,[5]CU!$C$5:$J$255,8,FALSE))</f>
        <v>3. Formation</v>
      </c>
      <c r="W993" s="18" t="s">
        <v>1165</v>
      </c>
      <c r="X993" s="18" t="s">
        <v>1255</v>
      </c>
      <c r="Y993" s="18" t="s">
        <v>677</v>
      </c>
      <c r="Z993" s="18" t="str">
        <f>A993 &amp; "-" &amp; VLOOKUP(A993,[4]PROGRAMMES!$E$1:$F$7,2,FALSE)</f>
        <v>3-Expansion et réforme de l’ETFP</v>
      </c>
      <c r="AA993" s="19" t="str">
        <f>B993 &amp; "-" &amp; VLOOKUP(B993,[4]SOUSPROGRAMMES!$E$1:$F$44,2,FALSE)</f>
        <v>32- Mise en place d’une ingénierie de formation adaptée aux besoins de l’économie</v>
      </c>
      <c r="AB993" s="19" t="str">
        <f>C993 &amp; "-" &amp; VLOOKUP(C993,[4]RESULTATS!$E$1:$F$176,2,FALSE)</f>
        <v>323- Un cadre adéquat pour le développement de la formation en milieu du travail est mis en place</v>
      </c>
      <c r="AC993" s="20" t="str">
        <f>D993 &amp; "-" &amp; VLOOKUP(D993,[4]STRATEGIES!$E$1:$F$504,2,FALSE)</f>
        <v>3231-Définition d’un cadre de développement de l’apprentissage</v>
      </c>
      <c r="AD993" s="21" t="str">
        <f t="shared" si="174"/>
        <v>32315-Partage des résultats de l'étude sur le cadre de l'apprentissage</v>
      </c>
    </row>
    <row r="994" spans="1:30" s="22" customFormat="1" ht="45" hidden="1" customHeight="1" x14ac:dyDescent="0.8">
      <c r="A994" s="14">
        <v>3</v>
      </c>
      <c r="B994" s="15">
        <v>32</v>
      </c>
      <c r="C994" s="15">
        <v>323</v>
      </c>
      <c r="D994" s="15">
        <v>3231</v>
      </c>
      <c r="E994" s="15">
        <v>32316</v>
      </c>
      <c r="F994" s="16" t="s">
        <v>1256</v>
      </c>
      <c r="G994" s="21" t="s">
        <v>826</v>
      </c>
      <c r="H994" s="17" t="s">
        <v>55</v>
      </c>
      <c r="I994" s="33">
        <v>0</v>
      </c>
      <c r="J994" s="33"/>
      <c r="K994" s="33">
        <v>1</v>
      </c>
      <c r="L994" s="33">
        <v>1</v>
      </c>
      <c r="M994" s="33">
        <f t="shared" si="176"/>
        <v>2</v>
      </c>
      <c r="N994" s="33">
        <f>IF(OR(H994="",H994="sif",H994="PM"),0,VLOOKUP(H994,[5]CU!$C$4:$H$255,6,FALSE))</f>
        <v>0</v>
      </c>
      <c r="O994" s="33">
        <f t="shared" si="177"/>
        <v>0</v>
      </c>
      <c r="P994" s="33">
        <f t="shared" si="177"/>
        <v>0</v>
      </c>
      <c r="Q994" s="33">
        <f t="shared" si="177"/>
        <v>0</v>
      </c>
      <c r="R994" s="33">
        <f t="shared" si="177"/>
        <v>0</v>
      </c>
      <c r="S994" s="34"/>
      <c r="T994" s="35" t="s">
        <v>56</v>
      </c>
      <c r="U994" s="18" t="s">
        <v>1206</v>
      </c>
      <c r="V994" s="18" t="str">
        <f>IF(OR($H994="",$H994="sif",$H994="PM"),"",VLOOKUP($H994,[5]CU!$C$5:$J$255,8,FALSE))</f>
        <v/>
      </c>
      <c r="W994" s="18" t="s">
        <v>1165</v>
      </c>
      <c r="X994" s="18" t="s">
        <v>1255</v>
      </c>
      <c r="Y994" s="18" t="s">
        <v>677</v>
      </c>
      <c r="Z994" s="18" t="str">
        <f>A994 &amp; "-" &amp; VLOOKUP(A994,[4]PROGRAMMES!$E$1:$F$7,2,FALSE)</f>
        <v>3-Expansion et réforme de l’ETFP</v>
      </c>
      <c r="AA994" s="19" t="str">
        <f>B994 &amp; "-" &amp; VLOOKUP(B994,[4]SOUSPROGRAMMES!$E$1:$F$44,2,FALSE)</f>
        <v>32- Mise en place d’une ingénierie de formation adaptée aux besoins de l’économie</v>
      </c>
      <c r="AB994" s="19" t="str">
        <f>C994 &amp; "-" &amp; VLOOKUP(C994,[4]RESULTATS!$E$1:$F$176,2,FALSE)</f>
        <v>323- Un cadre adéquat pour le développement de la formation en milieu du travail est mis en place</v>
      </c>
      <c r="AC994" s="20" t="str">
        <f>D994 &amp; "-" &amp; VLOOKUP(D994,[4]STRATEGIES!$E$1:$F$504,2,FALSE)</f>
        <v>3231-Définition d’un cadre de développement de l’apprentissage</v>
      </c>
      <c r="AD994" s="21" t="str">
        <f t="shared" si="174"/>
        <v>32316-Adoption du nouveau cadre d'apprentissage</v>
      </c>
    </row>
    <row r="995" spans="1:30" s="22" customFormat="1" ht="45" hidden="1" customHeight="1" x14ac:dyDescent="0.8">
      <c r="A995" s="14">
        <v>3</v>
      </c>
      <c r="B995" s="15">
        <v>32</v>
      </c>
      <c r="C995" s="15">
        <v>323</v>
      </c>
      <c r="D995" s="15">
        <v>3232</v>
      </c>
      <c r="E995" s="15">
        <v>3232</v>
      </c>
      <c r="F995" s="16" t="s">
        <v>1257</v>
      </c>
      <c r="G995" s="17"/>
      <c r="H995" s="17"/>
      <c r="I995" s="33">
        <v>0</v>
      </c>
      <c r="J995" s="33"/>
      <c r="K995" s="33"/>
      <c r="L995" s="33"/>
      <c r="M995" s="33"/>
      <c r="N995" s="33"/>
      <c r="O995" s="33"/>
      <c r="P995" s="33"/>
      <c r="Q995" s="33"/>
      <c r="R995" s="33"/>
      <c r="S995" s="34"/>
      <c r="T995" s="33"/>
      <c r="U995" s="18"/>
      <c r="V995" s="18"/>
      <c r="W995" s="18"/>
      <c r="X995" s="18"/>
      <c r="Y995" s="18" t="s">
        <v>677</v>
      </c>
      <c r="Z995" s="18" t="str">
        <f>A995 &amp; "-" &amp; VLOOKUP(A995,[4]PROGRAMMES!$E$1:$F$7,2,FALSE)</f>
        <v>3-Expansion et réforme de l’ETFP</v>
      </c>
      <c r="AA995" s="19" t="str">
        <f>B995 &amp; "-" &amp; VLOOKUP(B995,[4]SOUSPROGRAMMES!$E$1:$F$44,2,FALSE)</f>
        <v>32- Mise en place d’une ingénierie de formation adaptée aux besoins de l’économie</v>
      </c>
      <c r="AB995" s="19" t="str">
        <f>C995 &amp; "-" &amp; VLOOKUP(C995,[4]RESULTATS!$E$1:$F$176,2,FALSE)</f>
        <v>323- Un cadre adéquat pour le développement de la formation en milieu du travail est mis en place</v>
      </c>
      <c r="AC995" s="20" t="str">
        <f>D995 &amp; "-" &amp; VLOOKUP(D995,[4]STRATEGIES!$E$1:$F$504,2,FALSE)</f>
        <v>3232-Définition d’un cadre de développement de l’alternance</v>
      </c>
      <c r="AD995" s="21" t="str">
        <f t="shared" si="174"/>
        <v>3232-DéFinition d’un cadre de développement de l’alternance</v>
      </c>
    </row>
    <row r="996" spans="1:30" s="22" customFormat="1" ht="45" hidden="1" customHeight="1" x14ac:dyDescent="0.8">
      <c r="A996" s="14">
        <v>3</v>
      </c>
      <c r="B996" s="15">
        <v>32</v>
      </c>
      <c r="C996" s="15">
        <v>323</v>
      </c>
      <c r="D996" s="15">
        <v>3232</v>
      </c>
      <c r="E996" s="15">
        <v>32321</v>
      </c>
      <c r="F996" s="16" t="s">
        <v>1258</v>
      </c>
      <c r="G996" s="21" t="s">
        <v>92</v>
      </c>
      <c r="H996" s="17" t="s">
        <v>55</v>
      </c>
      <c r="I996" s="33">
        <v>0</v>
      </c>
      <c r="J996" s="33">
        <v>1</v>
      </c>
      <c r="K996" s="33"/>
      <c r="L996" s="33"/>
      <c r="M996" s="33">
        <f t="shared" si="176"/>
        <v>1</v>
      </c>
      <c r="N996" s="33">
        <f>IF(OR(H996="",H996="sif",H996="PM"),0,VLOOKUP(H996,[5]CU!$C$4:$H$255,6,FALSE))</f>
        <v>0</v>
      </c>
      <c r="O996" s="33">
        <f t="shared" si="177"/>
        <v>0</v>
      </c>
      <c r="P996" s="33">
        <f t="shared" si="177"/>
        <v>0</v>
      </c>
      <c r="Q996" s="33">
        <f t="shared" si="177"/>
        <v>0</v>
      </c>
      <c r="R996" s="33">
        <f t="shared" si="177"/>
        <v>0</v>
      </c>
      <c r="S996" s="34"/>
      <c r="T996" s="35" t="s">
        <v>56</v>
      </c>
      <c r="U996" s="18" t="s">
        <v>1206</v>
      </c>
      <c r="V996" s="18" t="str">
        <f>IF(OR($H996="",$H996="sif",$H996="PM"),"",VLOOKUP($H996,[5]CU!$C$5:$J$255,8,FALSE))</f>
        <v/>
      </c>
      <c r="W996" s="18"/>
      <c r="X996" s="18"/>
      <c r="Y996" s="18" t="s">
        <v>677</v>
      </c>
      <c r="Z996" s="18" t="str">
        <f>A996 &amp; "-" &amp; VLOOKUP(A996,[4]PROGRAMMES!$E$1:$F$7,2,FALSE)</f>
        <v>3-Expansion et réforme de l’ETFP</v>
      </c>
      <c r="AA996" s="19" t="str">
        <f>B996 &amp; "-" &amp; VLOOKUP(B996,[4]SOUSPROGRAMMES!$E$1:$F$44,2,FALSE)</f>
        <v>32- Mise en place d’une ingénierie de formation adaptée aux besoins de l’économie</v>
      </c>
      <c r="AB996" s="19" t="str">
        <f>C996 &amp; "-" &amp; VLOOKUP(C996,[4]RESULTATS!$E$1:$F$176,2,FALSE)</f>
        <v>323- Un cadre adéquat pour le développement de la formation en milieu du travail est mis en place</v>
      </c>
      <c r="AC996" s="20" t="str">
        <f>D996 &amp; "-" &amp; VLOOKUP(D996,[4]STRATEGIES!$E$1:$F$504,2,FALSE)</f>
        <v>3232-Définition d’un cadre de développement de l’alternance</v>
      </c>
      <c r="AD996" s="21" t="str">
        <f t="shared" si="174"/>
        <v>32321-Appui à la déFinition d'un cadre de développement de l'alternance (compris dans l'activité 32311)</v>
      </c>
    </row>
    <row r="997" spans="1:30" s="22" customFormat="1" ht="45" hidden="1" customHeight="1" x14ac:dyDescent="0.8">
      <c r="A997" s="14">
        <v>3</v>
      </c>
      <c r="B997" s="15">
        <v>32</v>
      </c>
      <c r="C997" s="15">
        <v>323</v>
      </c>
      <c r="D997" s="15">
        <v>3232</v>
      </c>
      <c r="E997" s="15">
        <v>32322</v>
      </c>
      <c r="F997" s="16" t="s">
        <v>1259</v>
      </c>
      <c r="G997" s="21" t="s">
        <v>92</v>
      </c>
      <c r="H997" s="17" t="s">
        <v>55</v>
      </c>
      <c r="I997" s="33">
        <v>0</v>
      </c>
      <c r="J997" s="33">
        <v>1</v>
      </c>
      <c r="K997" s="33"/>
      <c r="L997" s="33"/>
      <c r="M997" s="33">
        <f t="shared" si="176"/>
        <v>1</v>
      </c>
      <c r="N997" s="33">
        <f>IF(OR(H997="",H997="sif",H997="PM"),0,VLOOKUP(H997,[5]CU!$C$4:$H$255,6,FALSE))</f>
        <v>0</v>
      </c>
      <c r="O997" s="33">
        <f t="shared" si="177"/>
        <v>0</v>
      </c>
      <c r="P997" s="33">
        <f t="shared" si="177"/>
        <v>0</v>
      </c>
      <c r="Q997" s="33">
        <f t="shared" si="177"/>
        <v>0</v>
      </c>
      <c r="R997" s="33">
        <f t="shared" si="177"/>
        <v>0</v>
      </c>
      <c r="S997" s="34"/>
      <c r="T997" s="35" t="s">
        <v>56</v>
      </c>
      <c r="U997" s="18" t="s">
        <v>1206</v>
      </c>
      <c r="V997" s="18" t="str">
        <f>IF(OR($H997="",$H997="sif",$H997="PM"),"",VLOOKUP($H997,[5]CU!$C$5:$J$255,8,FALSE))</f>
        <v/>
      </c>
      <c r="W997" s="18"/>
      <c r="X997" s="18"/>
      <c r="Y997" s="18" t="s">
        <v>677</v>
      </c>
      <c r="Z997" s="18" t="str">
        <f>A997 &amp; "-" &amp; VLOOKUP(A997,[4]PROGRAMMES!$E$1:$F$7,2,FALSE)</f>
        <v>3-Expansion et réforme de l’ETFP</v>
      </c>
      <c r="AA997" s="19" t="str">
        <f>B997 &amp; "-" &amp; VLOOKUP(B997,[4]SOUSPROGRAMMES!$E$1:$F$44,2,FALSE)</f>
        <v>32- Mise en place d’une ingénierie de formation adaptée aux besoins de l’économie</v>
      </c>
      <c r="AB997" s="19" t="str">
        <f>C997 &amp; "-" &amp; VLOOKUP(C997,[4]RESULTATS!$E$1:$F$176,2,FALSE)</f>
        <v>323- Un cadre adéquat pour le développement de la formation en milieu du travail est mis en place</v>
      </c>
      <c r="AC997" s="20" t="str">
        <f>D997 &amp; "-" &amp; VLOOKUP(D997,[4]STRATEGIES!$E$1:$F$504,2,FALSE)</f>
        <v>3232-Définition d’un cadre de développement de l’alternance</v>
      </c>
      <c r="AD997" s="21" t="str">
        <f t="shared" si="174"/>
        <v>32322-Conception des fiches d'identification des entreprises (compris dans 32311)</v>
      </c>
    </row>
    <row r="998" spans="1:30" s="22" customFormat="1" ht="45" hidden="1" customHeight="1" x14ac:dyDescent="0.8">
      <c r="A998" s="14">
        <v>3</v>
      </c>
      <c r="B998" s="15">
        <v>32</v>
      </c>
      <c r="C998" s="15">
        <v>323</v>
      </c>
      <c r="D998" s="15">
        <v>3232</v>
      </c>
      <c r="E998" s="15">
        <v>32323</v>
      </c>
      <c r="F998" s="16" t="s">
        <v>1260</v>
      </c>
      <c r="G998" s="21" t="s">
        <v>298</v>
      </c>
      <c r="H998" s="17" t="s">
        <v>38</v>
      </c>
      <c r="I998" s="33">
        <v>0</v>
      </c>
      <c r="J998" s="33">
        <f>30*3</f>
        <v>90</v>
      </c>
      <c r="K998" s="33"/>
      <c r="L998" s="33"/>
      <c r="M998" s="33">
        <f t="shared" si="176"/>
        <v>90</v>
      </c>
      <c r="N998" s="33">
        <f>IF(OR(H998="",H998="sif",H998="PM"),0,VLOOKUP(H998,[5]CU!$C$4:$H$255,6,FALSE))</f>
        <v>0.3133333333333333</v>
      </c>
      <c r="O998" s="33">
        <f t="shared" si="177"/>
        <v>0</v>
      </c>
      <c r="P998" s="33">
        <f t="shared" si="177"/>
        <v>28.199999999999996</v>
      </c>
      <c r="Q998" s="33">
        <f t="shared" si="177"/>
        <v>0</v>
      </c>
      <c r="R998" s="33">
        <f t="shared" si="177"/>
        <v>0</v>
      </c>
      <c r="S998" s="34">
        <f>SUM(O998:R998)</f>
        <v>28.199999999999996</v>
      </c>
      <c r="T998" s="35" t="s">
        <v>56</v>
      </c>
      <c r="U998" s="18" t="s">
        <v>1206</v>
      </c>
      <c r="V998" s="18" t="str">
        <f>IF(OR($H998="",$H998="sif",$H998="PM"),"",VLOOKUP($H998,[5]CU!$C$5:$J$255,8,FALSE))</f>
        <v>3. Formation</v>
      </c>
      <c r="W998" s="18" t="s">
        <v>1165</v>
      </c>
      <c r="X998" s="18" t="s">
        <v>1255</v>
      </c>
      <c r="Y998" s="18" t="s">
        <v>677</v>
      </c>
      <c r="Z998" s="18" t="str">
        <f>A998 &amp; "-" &amp; VLOOKUP(A998,[4]PROGRAMMES!$E$1:$F$7,2,FALSE)</f>
        <v>3-Expansion et réforme de l’ETFP</v>
      </c>
      <c r="AA998" s="19" t="str">
        <f>B998 &amp; "-" &amp; VLOOKUP(B998,[4]SOUSPROGRAMMES!$E$1:$F$44,2,FALSE)</f>
        <v>32- Mise en place d’une ingénierie de formation adaptée aux besoins de l’économie</v>
      </c>
      <c r="AB998" s="19" t="str">
        <f>C998 &amp; "-" &amp; VLOOKUP(C998,[4]RESULTATS!$E$1:$F$176,2,FALSE)</f>
        <v>323- Un cadre adéquat pour le développement de la formation en milieu du travail est mis en place</v>
      </c>
      <c r="AC998" s="20" t="str">
        <f>D998 &amp; "-" &amp; VLOOKUP(D998,[4]STRATEGIES!$E$1:$F$504,2,FALSE)</f>
        <v>3232-Définition d’un cadre de développement de l’alternance</v>
      </c>
      <c r="AD998" s="21" t="str">
        <f t="shared" si="174"/>
        <v>32323-Validation des fiches de collecte par les acteurs concernés</v>
      </c>
    </row>
    <row r="999" spans="1:30" s="22" customFormat="1" ht="45" hidden="1" customHeight="1" x14ac:dyDescent="0.8">
      <c r="A999" s="14">
        <v>3</v>
      </c>
      <c r="B999" s="15">
        <v>32</v>
      </c>
      <c r="C999" s="15">
        <v>323</v>
      </c>
      <c r="D999" s="15">
        <v>3232</v>
      </c>
      <c r="E999" s="15">
        <v>32324</v>
      </c>
      <c r="F999" s="16" t="s">
        <v>1261</v>
      </c>
      <c r="G999" s="21" t="s">
        <v>1250</v>
      </c>
      <c r="H999" s="17" t="s">
        <v>59</v>
      </c>
      <c r="I999" s="33">
        <v>0</v>
      </c>
      <c r="J999" s="33">
        <f>5*5*9</f>
        <v>225</v>
      </c>
      <c r="K999" s="33"/>
      <c r="L999" s="33">
        <f>5*3*9</f>
        <v>135</v>
      </c>
      <c r="M999" s="33">
        <f t="shared" si="176"/>
        <v>360</v>
      </c>
      <c r="N999" s="33">
        <f>IF(OR(H999="",H999="sif",H999="PM"),0,VLOOKUP(H999,[5]CU!$C$4:$H$255,6,FALSE))</f>
        <v>0.8177777777777776</v>
      </c>
      <c r="O999" s="33">
        <f t="shared" si="177"/>
        <v>0</v>
      </c>
      <c r="P999" s="33">
        <f t="shared" si="177"/>
        <v>183.99999999999997</v>
      </c>
      <c r="Q999" s="33">
        <f t="shared" si="177"/>
        <v>0</v>
      </c>
      <c r="R999" s="33">
        <f t="shared" si="177"/>
        <v>110.39999999999998</v>
      </c>
      <c r="S999" s="34">
        <f>SUM(O999:R999)</f>
        <v>294.39999999999998</v>
      </c>
      <c r="T999" s="35" t="s">
        <v>56</v>
      </c>
      <c r="U999" s="18" t="s">
        <v>1206</v>
      </c>
      <c r="V999" s="18" t="str">
        <f>IF(OR($H999="",$H999="sif",$H999="PM"),"",VLOOKUP($H999,[5]CU!$C$5:$J$255,8,FALSE))</f>
        <v>3. Dépenses de fonctionnement</v>
      </c>
      <c r="W999" s="18" t="s">
        <v>96</v>
      </c>
      <c r="X999" s="18" t="s">
        <v>1262</v>
      </c>
      <c r="Y999" s="18" t="s">
        <v>677</v>
      </c>
      <c r="Z999" s="18" t="str">
        <f>A999 &amp; "-" &amp; VLOOKUP(A999,[4]PROGRAMMES!$E$1:$F$7,2,FALSE)</f>
        <v>3-Expansion et réforme de l’ETFP</v>
      </c>
      <c r="AA999" s="19" t="str">
        <f>B999 &amp; "-" &amp; VLOOKUP(B999,[4]SOUSPROGRAMMES!$E$1:$F$44,2,FALSE)</f>
        <v>32- Mise en place d’une ingénierie de formation adaptée aux besoins de l’économie</v>
      </c>
      <c r="AB999" s="19" t="str">
        <f>C999 &amp; "-" &amp; VLOOKUP(C999,[4]RESULTATS!$E$1:$F$176,2,FALSE)</f>
        <v>323- Un cadre adéquat pour le développement de la formation en milieu du travail est mis en place</v>
      </c>
      <c r="AC999" s="20" t="str">
        <f>D999 &amp; "-" &amp; VLOOKUP(D999,[4]STRATEGIES!$E$1:$F$504,2,FALSE)</f>
        <v>3232-Définition d’un cadre de développement de l’alternance</v>
      </c>
      <c r="AD999" s="21" t="str">
        <f t="shared" si="174"/>
        <v>32324-Identification des entreprises par zone et par secteur d'activité</v>
      </c>
    </row>
    <row r="1000" spans="1:30" s="22" customFormat="1" ht="45" hidden="1" customHeight="1" x14ac:dyDescent="0.8">
      <c r="A1000" s="14">
        <v>3</v>
      </c>
      <c r="B1000" s="15">
        <v>32</v>
      </c>
      <c r="C1000" s="15">
        <v>323</v>
      </c>
      <c r="D1000" s="15">
        <v>3232</v>
      </c>
      <c r="E1000" s="15">
        <v>32325</v>
      </c>
      <c r="F1000" s="16" t="s">
        <v>1263</v>
      </c>
      <c r="G1000" s="21" t="s">
        <v>37</v>
      </c>
      <c r="H1000" s="17" t="s">
        <v>38</v>
      </c>
      <c r="I1000" s="33">
        <v>0</v>
      </c>
      <c r="J1000" s="33"/>
      <c r="K1000" s="33">
        <f>45*2</f>
        <v>90</v>
      </c>
      <c r="L1000" s="33"/>
      <c r="M1000" s="33">
        <f t="shared" si="176"/>
        <v>90</v>
      </c>
      <c r="N1000" s="33">
        <f>IF(OR(H1000="",H1000="sif",H1000="PM"),0,VLOOKUP(H1000,[5]CU!$C$4:$H$255,6,FALSE))</f>
        <v>0.3133333333333333</v>
      </c>
      <c r="O1000" s="33">
        <f t="shared" si="177"/>
        <v>0</v>
      </c>
      <c r="P1000" s="33">
        <f t="shared" si="177"/>
        <v>0</v>
      </c>
      <c r="Q1000" s="33">
        <f t="shared" si="177"/>
        <v>28.199999999999996</v>
      </c>
      <c r="R1000" s="33">
        <f t="shared" si="177"/>
        <v>0</v>
      </c>
      <c r="S1000" s="34">
        <f>SUM(O1000:R1000)</f>
        <v>28.199999999999996</v>
      </c>
      <c r="T1000" s="35" t="s">
        <v>56</v>
      </c>
      <c r="U1000" s="18" t="s">
        <v>1206</v>
      </c>
      <c r="V1000" s="18" t="str">
        <f>IF(OR($H1000="",$H1000="sif",$H1000="PM"),"",VLOOKUP($H1000,[5]CU!$C$5:$J$255,8,FALSE))</f>
        <v>3. Formation</v>
      </c>
      <c r="W1000" s="18" t="s">
        <v>1165</v>
      </c>
      <c r="X1000" s="18" t="s">
        <v>1255</v>
      </c>
      <c r="Y1000" s="18" t="s">
        <v>677</v>
      </c>
      <c r="Z1000" s="18" t="str">
        <f>A1000 &amp; "-" &amp; VLOOKUP(A1000,[4]PROGRAMMES!$E$1:$F$7,2,FALSE)</f>
        <v>3-Expansion et réforme de l’ETFP</v>
      </c>
      <c r="AA1000" s="19" t="str">
        <f>B1000 &amp; "-" &amp; VLOOKUP(B1000,[4]SOUSPROGRAMMES!$E$1:$F$44,2,FALSE)</f>
        <v>32- Mise en place d’une ingénierie de formation adaptée aux besoins de l’économie</v>
      </c>
      <c r="AB1000" s="19" t="str">
        <f>C1000 &amp; "-" &amp; VLOOKUP(C1000,[4]RESULTATS!$E$1:$F$176,2,FALSE)</f>
        <v>323- Un cadre adéquat pour le développement de la formation en milieu du travail est mis en place</v>
      </c>
      <c r="AC1000" s="20" t="str">
        <f>D1000 &amp; "-" &amp; VLOOKUP(D1000,[4]STRATEGIES!$E$1:$F$504,2,FALSE)</f>
        <v>3232-Définition d’un cadre de développement de l’alternance</v>
      </c>
      <c r="AD1000" s="21" t="str">
        <f t="shared" si="174"/>
        <v>32325-Validation du cadre de l'alternance</v>
      </c>
    </row>
    <row r="1001" spans="1:30" s="22" customFormat="1" ht="45" hidden="1" customHeight="1" x14ac:dyDescent="0.8">
      <c r="A1001" s="14">
        <v>3</v>
      </c>
      <c r="B1001" s="15">
        <v>32</v>
      </c>
      <c r="C1001" s="15">
        <v>323</v>
      </c>
      <c r="D1001" s="15">
        <v>3232</v>
      </c>
      <c r="E1001" s="15">
        <v>32326</v>
      </c>
      <c r="F1001" s="16" t="s">
        <v>1264</v>
      </c>
      <c r="G1001" s="21" t="s">
        <v>826</v>
      </c>
      <c r="H1001" s="17" t="s">
        <v>55</v>
      </c>
      <c r="I1001" s="33">
        <v>0</v>
      </c>
      <c r="J1001" s="33"/>
      <c r="K1001" s="33">
        <v>1</v>
      </c>
      <c r="L1001" s="33"/>
      <c r="M1001" s="33">
        <f t="shared" si="176"/>
        <v>1</v>
      </c>
      <c r="N1001" s="33">
        <f>IF(OR(H1001="",H1001="sif",H1001="PM"),0,VLOOKUP(H1001,[5]CU!$C$4:$H$255,6,FALSE))</f>
        <v>0</v>
      </c>
      <c r="O1001" s="33">
        <f t="shared" si="177"/>
        <v>0</v>
      </c>
      <c r="P1001" s="33">
        <f t="shared" si="177"/>
        <v>0</v>
      </c>
      <c r="Q1001" s="33">
        <f t="shared" si="177"/>
        <v>0</v>
      </c>
      <c r="R1001" s="33">
        <f t="shared" si="177"/>
        <v>0</v>
      </c>
      <c r="S1001" s="34"/>
      <c r="T1001" s="35" t="s">
        <v>56</v>
      </c>
      <c r="U1001" s="18" t="s">
        <v>1206</v>
      </c>
      <c r="V1001" s="18" t="str">
        <f>IF(OR($H1001="",$H1001="sif",$H1001="PM"),"",VLOOKUP($H1001,[5]CU!$C$5:$J$255,8,FALSE))</f>
        <v/>
      </c>
      <c r="W1001" s="18" t="s">
        <v>1165</v>
      </c>
      <c r="X1001" s="18" t="s">
        <v>1255</v>
      </c>
      <c r="Y1001" s="18" t="s">
        <v>677</v>
      </c>
      <c r="Z1001" s="18" t="str">
        <f>A1001 &amp; "-" &amp; VLOOKUP(A1001,[4]PROGRAMMES!$E$1:$F$7,2,FALSE)</f>
        <v>3-Expansion et réforme de l’ETFP</v>
      </c>
      <c r="AA1001" s="19" t="str">
        <f>B1001 &amp; "-" &amp; VLOOKUP(B1001,[4]SOUSPROGRAMMES!$E$1:$F$44,2,FALSE)</f>
        <v>32- Mise en place d’une ingénierie de formation adaptée aux besoins de l’économie</v>
      </c>
      <c r="AB1001" s="19" t="str">
        <f>C1001 &amp; "-" &amp; VLOOKUP(C1001,[4]RESULTATS!$E$1:$F$176,2,FALSE)</f>
        <v>323- Un cadre adéquat pour le développement de la formation en milieu du travail est mis en place</v>
      </c>
      <c r="AC1001" s="20" t="str">
        <f>D1001 &amp; "-" &amp; VLOOKUP(D1001,[4]STRATEGIES!$E$1:$F$504,2,FALSE)</f>
        <v>3232-Définition d’un cadre de développement de l’alternance</v>
      </c>
      <c r="AD1001" s="21" t="str">
        <f t="shared" si="174"/>
        <v>32326-Elaboration et adoption des textes organisant l'alternance</v>
      </c>
    </row>
    <row r="1002" spans="1:30" s="22" customFormat="1" ht="45" hidden="1" customHeight="1" x14ac:dyDescent="0.8">
      <c r="A1002" s="14">
        <v>3</v>
      </c>
      <c r="B1002" s="15">
        <v>32</v>
      </c>
      <c r="C1002" s="15">
        <v>323</v>
      </c>
      <c r="D1002" s="15">
        <v>3233</v>
      </c>
      <c r="E1002" s="15">
        <v>3233</v>
      </c>
      <c r="F1002" s="16" t="s">
        <v>1265</v>
      </c>
      <c r="G1002" s="17"/>
      <c r="H1002" s="17"/>
      <c r="I1002" s="33">
        <v>0</v>
      </c>
      <c r="J1002" s="33"/>
      <c r="K1002" s="33"/>
      <c r="L1002" s="33"/>
      <c r="M1002" s="33"/>
      <c r="N1002" s="33"/>
      <c r="O1002" s="33"/>
      <c r="P1002" s="33"/>
      <c r="Q1002" s="33"/>
      <c r="R1002" s="33"/>
      <c r="S1002" s="34"/>
      <c r="T1002" s="33"/>
      <c r="U1002" s="18"/>
      <c r="V1002" s="18"/>
      <c r="W1002" s="18"/>
      <c r="X1002" s="18"/>
      <c r="Y1002" s="18" t="s">
        <v>677</v>
      </c>
      <c r="Z1002" s="18" t="str">
        <f>A1002 &amp; "-" &amp; VLOOKUP(A1002,[4]PROGRAMMES!$E$1:$F$7,2,FALSE)</f>
        <v>3-Expansion et réforme de l’ETFP</v>
      </c>
      <c r="AA1002" s="19" t="str">
        <f>B1002 &amp; "-" &amp; VLOOKUP(B1002,[4]SOUSPROGRAMMES!$E$1:$F$44,2,FALSE)</f>
        <v>32- Mise en place d’une ingénierie de formation adaptée aux besoins de l’économie</v>
      </c>
      <c r="AB1002" s="19" t="str">
        <f>C1002 &amp; "-" &amp; VLOOKUP(C1002,[4]RESULTATS!$E$1:$F$176,2,FALSE)</f>
        <v>323- Un cadre adéquat pour le développement de la formation en milieu du travail est mis en place</v>
      </c>
      <c r="AC1002" s="20" t="str">
        <f>D1002 &amp; "-" &amp; VLOOKUP(D1002,[4]STRATEGIES!$E$1:$F$504,2,FALSE)</f>
        <v>3233-Mise en place d’un dispositif de validation des acquis de l’expérience</v>
      </c>
      <c r="AD1002" s="21" t="str">
        <f t="shared" si="174"/>
        <v>3233-Mise en place d’un dispositif de validation des acquis de l’expérience</v>
      </c>
    </row>
    <row r="1003" spans="1:30" s="22" customFormat="1" ht="45" hidden="1" customHeight="1" x14ac:dyDescent="0.8">
      <c r="A1003" s="14">
        <v>3</v>
      </c>
      <c r="B1003" s="15">
        <v>32</v>
      </c>
      <c r="C1003" s="15">
        <v>323</v>
      </c>
      <c r="D1003" s="15">
        <v>3233</v>
      </c>
      <c r="E1003" s="15">
        <v>32331</v>
      </c>
      <c r="F1003" s="16" t="s">
        <v>1266</v>
      </c>
      <c r="G1003" s="21" t="s">
        <v>92</v>
      </c>
      <c r="H1003" s="17" t="s">
        <v>55</v>
      </c>
      <c r="I1003" s="33">
        <v>0</v>
      </c>
      <c r="J1003" s="33">
        <v>1</v>
      </c>
      <c r="K1003" s="33">
        <v>0</v>
      </c>
      <c r="L1003" s="33">
        <v>0</v>
      </c>
      <c r="M1003" s="33">
        <f t="shared" si="176"/>
        <v>1</v>
      </c>
      <c r="N1003" s="33">
        <f>IF(OR(H1003="",H1003="sif",H1003="PM"),0,VLOOKUP(H1003,[5]CU!$C$4:$H$255,6,FALSE))</f>
        <v>0</v>
      </c>
      <c r="O1003" s="33">
        <f t="shared" si="177"/>
        <v>0</v>
      </c>
      <c r="P1003" s="33">
        <f t="shared" si="177"/>
        <v>0</v>
      </c>
      <c r="Q1003" s="33">
        <f t="shared" si="177"/>
        <v>0</v>
      </c>
      <c r="R1003" s="33">
        <f t="shared" si="177"/>
        <v>0</v>
      </c>
      <c r="S1003" s="34"/>
      <c r="T1003" s="35" t="s">
        <v>169</v>
      </c>
      <c r="U1003" s="18" t="s">
        <v>1206</v>
      </c>
      <c r="V1003" s="18" t="str">
        <f>IF(OR($H1003="",$H1003="sif",$H1003="PM"),"",VLOOKUP($H1003,[5]CU!$C$5:$J$255,8,FALSE))</f>
        <v/>
      </c>
      <c r="W1003" s="18"/>
      <c r="X1003" s="18"/>
      <c r="Y1003" s="18" t="s">
        <v>677</v>
      </c>
      <c r="Z1003" s="18" t="str">
        <f>A1003 &amp; "-" &amp; VLOOKUP(A1003,[4]PROGRAMMES!$E$1:$F$7,2,FALSE)</f>
        <v>3-Expansion et réforme de l’ETFP</v>
      </c>
      <c r="AA1003" s="19" t="str">
        <f>B1003 &amp; "-" &amp; VLOOKUP(B1003,[4]SOUSPROGRAMMES!$E$1:$F$44,2,FALSE)</f>
        <v>32- Mise en place d’une ingénierie de formation adaptée aux besoins de l’économie</v>
      </c>
      <c r="AB1003" s="19" t="str">
        <f>C1003 &amp; "-" &amp; VLOOKUP(C1003,[4]RESULTATS!$E$1:$F$176,2,FALSE)</f>
        <v>323- Un cadre adéquat pour le développement de la formation en milieu du travail est mis en place</v>
      </c>
      <c r="AC1003" s="20" t="str">
        <f>D1003 &amp; "-" &amp; VLOOKUP(D1003,[4]STRATEGIES!$E$1:$F$504,2,FALSE)</f>
        <v>3233-Mise en place d’un dispositif de validation des acquis de l’expérience</v>
      </c>
      <c r="AD1003" s="21" t="str">
        <f t="shared" si="174"/>
        <v>32331-Appui à la mise en place d'un dispositif de validation des acquis (voir activité 32311)</v>
      </c>
    </row>
    <row r="1004" spans="1:30" s="22" customFormat="1" ht="45" hidden="1" customHeight="1" x14ac:dyDescent="0.8">
      <c r="A1004" s="14">
        <v>3</v>
      </c>
      <c r="B1004" s="15">
        <v>32</v>
      </c>
      <c r="C1004" s="15">
        <v>323</v>
      </c>
      <c r="D1004" s="15">
        <v>3233</v>
      </c>
      <c r="E1004" s="15">
        <v>32332</v>
      </c>
      <c r="F1004" s="16" t="s">
        <v>1267</v>
      </c>
      <c r="G1004" s="21" t="s">
        <v>1217</v>
      </c>
      <c r="H1004" s="17" t="s">
        <v>66</v>
      </c>
      <c r="I1004" s="33">
        <v>0</v>
      </c>
      <c r="J1004" s="33"/>
      <c r="K1004" s="33">
        <f>5*8*5</f>
        <v>200</v>
      </c>
      <c r="L1004" s="33">
        <v>0</v>
      </c>
      <c r="M1004" s="33">
        <f t="shared" si="176"/>
        <v>200</v>
      </c>
      <c r="N1004" s="33">
        <f>IF(OR(H1004="",H1004="sif",H1004="PM"),0,VLOOKUP(H1004,[5]CU!$C$4:$H$255,6,FALSE))</f>
        <v>0.255</v>
      </c>
      <c r="O1004" s="33">
        <f t="shared" si="177"/>
        <v>0</v>
      </c>
      <c r="P1004" s="33">
        <f t="shared" si="177"/>
        <v>0</v>
      </c>
      <c r="Q1004" s="33">
        <f t="shared" si="177"/>
        <v>51</v>
      </c>
      <c r="R1004" s="33">
        <f t="shared" si="177"/>
        <v>0</v>
      </c>
      <c r="S1004" s="34">
        <f>SUM(O1004:R1004)</f>
        <v>51</v>
      </c>
      <c r="T1004" s="35" t="s">
        <v>169</v>
      </c>
      <c r="U1004" s="18" t="s">
        <v>1206</v>
      </c>
      <c r="V1004" s="18" t="str">
        <f>IF(OR($H1004="",$H1004="sif",$H1004="PM"),"",VLOOKUP($H1004,[5]CU!$C$5:$J$255,8,FALSE))</f>
        <v>3. Dépenses de fonctionnement</v>
      </c>
      <c r="W1004" s="18" t="s">
        <v>1268</v>
      </c>
      <c r="X1004" s="18" t="s">
        <v>1165</v>
      </c>
      <c r="Y1004" s="18" t="s">
        <v>677</v>
      </c>
      <c r="Z1004" s="18" t="str">
        <f>A1004 &amp; "-" &amp; VLOOKUP(A1004,[4]PROGRAMMES!$E$1:$F$7,2,FALSE)</f>
        <v>3-Expansion et réforme de l’ETFP</v>
      </c>
      <c r="AA1004" s="19" t="str">
        <f>B1004 &amp; "-" &amp; VLOOKUP(B1004,[4]SOUSPROGRAMMES!$E$1:$F$44,2,FALSE)</f>
        <v>32- Mise en place d’une ingénierie de formation adaptée aux besoins de l’économie</v>
      </c>
      <c r="AB1004" s="19" t="str">
        <f>C1004 &amp; "-" &amp; VLOOKUP(C1004,[4]RESULTATS!$E$1:$F$176,2,FALSE)</f>
        <v>323- Un cadre adéquat pour le développement de la formation en milieu du travail est mis en place</v>
      </c>
      <c r="AC1004" s="20" t="str">
        <f>D1004 &amp; "-" &amp; VLOOKUP(D1004,[4]STRATEGIES!$E$1:$F$504,2,FALSE)</f>
        <v>3233-Mise en place d’un dispositif de validation des acquis de l’expérience</v>
      </c>
      <c r="AD1004" s="21" t="str">
        <f t="shared" si="174"/>
        <v>32332-Concertation sur la proposition de dispositif de validation des acquis</v>
      </c>
    </row>
    <row r="1005" spans="1:30" s="22" customFormat="1" ht="45" hidden="1" customHeight="1" x14ac:dyDescent="0.8">
      <c r="A1005" s="14">
        <v>3</v>
      </c>
      <c r="B1005" s="15">
        <v>32</v>
      </c>
      <c r="C1005" s="15">
        <v>323</v>
      </c>
      <c r="D1005" s="15">
        <v>3233</v>
      </c>
      <c r="E1005" s="15">
        <v>32333</v>
      </c>
      <c r="F1005" s="16" t="s">
        <v>1269</v>
      </c>
      <c r="G1005" s="21" t="s">
        <v>826</v>
      </c>
      <c r="H1005" s="17" t="s">
        <v>55</v>
      </c>
      <c r="I1005" s="33">
        <v>0</v>
      </c>
      <c r="J1005" s="33"/>
      <c r="K1005" s="33">
        <v>1</v>
      </c>
      <c r="L1005" s="33"/>
      <c r="M1005" s="33">
        <f t="shared" si="176"/>
        <v>1</v>
      </c>
      <c r="N1005" s="33">
        <f>IF(OR(H1005="",H1005="sif",H1005="PM"),0,VLOOKUP(H1005,[5]CU!$C$4:$H$255,6,FALSE))</f>
        <v>0</v>
      </c>
      <c r="O1005" s="33">
        <f t="shared" si="177"/>
        <v>0</v>
      </c>
      <c r="P1005" s="33">
        <f t="shared" si="177"/>
        <v>0</v>
      </c>
      <c r="Q1005" s="33">
        <f t="shared" si="177"/>
        <v>0</v>
      </c>
      <c r="R1005" s="33">
        <f t="shared" si="177"/>
        <v>0</v>
      </c>
      <c r="S1005" s="34"/>
      <c r="T1005" s="35" t="s">
        <v>56</v>
      </c>
      <c r="U1005" s="18" t="s">
        <v>1206</v>
      </c>
      <c r="V1005" s="18" t="str">
        <f>IF(OR($H1005="",$H1005="sif",$H1005="PM"),"",VLOOKUP($H1005,[5]CU!$C$5:$J$255,8,FALSE))</f>
        <v/>
      </c>
      <c r="W1005" s="18" t="s">
        <v>1268</v>
      </c>
      <c r="X1005" s="18" t="s">
        <v>1165</v>
      </c>
      <c r="Y1005" s="18" t="s">
        <v>677</v>
      </c>
      <c r="Z1005" s="18" t="str">
        <f>A1005 &amp; "-" &amp; VLOOKUP(A1005,[4]PROGRAMMES!$E$1:$F$7,2,FALSE)</f>
        <v>3-Expansion et réforme de l’ETFP</v>
      </c>
      <c r="AA1005" s="19" t="str">
        <f>B1005 &amp; "-" &amp; VLOOKUP(B1005,[4]SOUSPROGRAMMES!$E$1:$F$44,2,FALSE)</f>
        <v>32- Mise en place d’une ingénierie de formation adaptée aux besoins de l’économie</v>
      </c>
      <c r="AB1005" s="19" t="str">
        <f>C1005 &amp; "-" &amp; VLOOKUP(C1005,[4]RESULTATS!$E$1:$F$176,2,FALSE)</f>
        <v>323- Un cadre adéquat pour le développement de la formation en milieu du travail est mis en place</v>
      </c>
      <c r="AC1005" s="20" t="str">
        <f>D1005 &amp; "-" &amp; VLOOKUP(D1005,[4]STRATEGIES!$E$1:$F$504,2,FALSE)</f>
        <v>3233-Mise en place d’un dispositif de validation des acquis de l’expérience</v>
      </c>
      <c r="AD1005" s="21" t="str">
        <f t="shared" si="174"/>
        <v>32333-Elaboration des textes règlementant la validation des acquis des apprentissages</v>
      </c>
    </row>
    <row r="1006" spans="1:30" s="22" customFormat="1" ht="45" hidden="1" customHeight="1" x14ac:dyDescent="0.8">
      <c r="A1006" s="14">
        <v>3</v>
      </c>
      <c r="B1006" s="15">
        <v>33</v>
      </c>
      <c r="C1006" s="15">
        <v>33</v>
      </c>
      <c r="D1006" s="15">
        <v>33</v>
      </c>
      <c r="E1006" s="15">
        <v>33</v>
      </c>
      <c r="F1006" s="16" t="s">
        <v>1270</v>
      </c>
      <c r="G1006" s="17"/>
      <c r="H1006" s="17"/>
      <c r="I1006" s="33">
        <v>0</v>
      </c>
      <c r="J1006" s="33"/>
      <c r="K1006" s="33"/>
      <c r="L1006" s="33"/>
      <c r="M1006" s="33"/>
      <c r="N1006" s="33"/>
      <c r="O1006" s="33"/>
      <c r="P1006" s="33"/>
      <c r="Q1006" s="33"/>
      <c r="R1006" s="33"/>
      <c r="S1006" s="34"/>
      <c r="T1006" s="33"/>
      <c r="U1006" s="18"/>
      <c r="V1006" s="18"/>
      <c r="W1006" s="18"/>
      <c r="X1006" s="18"/>
      <c r="Y1006" s="18" t="s">
        <v>677</v>
      </c>
      <c r="Z1006" s="18" t="str">
        <f>A1006 &amp; "-" &amp; VLOOKUP(A1006,[4]PROGRAMMES!$E$1:$F$7,2,FALSE)</f>
        <v>3-Expansion et réforme de l’ETFP</v>
      </c>
      <c r="AA1006" s="19" t="str">
        <f>B1006 &amp; "-" &amp; VLOOKUP(B1006,[4]SOUSPROGRAMMES!$E$1:$F$44,2,FALSE)</f>
        <v>33- Développement de l’offre de formation professionnelle et technique de qualité</v>
      </c>
      <c r="AB1006" s="19" t="str">
        <f>C1006 &amp; "-" &amp; VLOOKUP(C1006,[4]RESULTATS!$E$1:$F$176,2,FALSE)</f>
        <v>33- Développement de l’offre de formation professionnelle et technique de qualité</v>
      </c>
      <c r="AC1006" s="20" t="str">
        <f>D1006 &amp; "-" &amp; VLOOKUP(D1006,[4]STRATEGIES!$E$1:$F$504,2,FALSE)</f>
        <v>33- Développement de l’offre de formation professionnelle et technique de qualité</v>
      </c>
      <c r="AD1006" s="21" t="str">
        <f t="shared" si="174"/>
        <v>33- Développement de l’offre de formation professionnelle et technique de qualité</v>
      </c>
    </row>
    <row r="1007" spans="1:30" s="22" customFormat="1" ht="90" hidden="1" customHeight="1" x14ac:dyDescent="0.8">
      <c r="A1007" s="14">
        <v>3</v>
      </c>
      <c r="B1007" s="15">
        <v>33</v>
      </c>
      <c r="C1007" s="15">
        <v>331</v>
      </c>
      <c r="D1007" s="15">
        <v>331</v>
      </c>
      <c r="E1007" s="15">
        <v>331</v>
      </c>
      <c r="F1007" s="16" t="s">
        <v>1271</v>
      </c>
      <c r="G1007" s="17"/>
      <c r="H1007" s="17"/>
      <c r="I1007" s="33">
        <v>0</v>
      </c>
      <c r="J1007" s="33"/>
      <c r="K1007" s="33"/>
      <c r="L1007" s="33"/>
      <c r="M1007" s="33"/>
      <c r="N1007" s="33"/>
      <c r="O1007" s="33"/>
      <c r="P1007" s="33"/>
      <c r="Q1007" s="33"/>
      <c r="R1007" s="33"/>
      <c r="S1007" s="34"/>
      <c r="T1007" s="33"/>
      <c r="U1007" s="18"/>
      <c r="V1007" s="18"/>
      <c r="W1007" s="18"/>
      <c r="X1007" s="18"/>
      <c r="Y1007" s="18" t="s">
        <v>677</v>
      </c>
      <c r="Z1007" s="18" t="str">
        <f>A1007 &amp; "-" &amp; VLOOKUP(A1007,[4]PROGRAMMES!$E$1:$F$7,2,FALSE)</f>
        <v>3-Expansion et réforme de l’ETFP</v>
      </c>
      <c r="AA1007" s="19" t="str">
        <f>B1007 &amp; "-" &amp; VLOOKUP(B1007,[4]SOUSPROGRAMMES!$E$1:$F$44,2,FALSE)</f>
        <v>33- Développement de l’offre de formation professionnelle et technique de qualité</v>
      </c>
      <c r="AB1007" s="19" t="str">
        <f>C1007 &amp; "-" &amp; VLOOKUP(C1007,[4]RESULTATS!$E$1:$F$176,2,FALSE)</f>
        <v>331- L’accès aux dispositifs de l’ETFP est accrue en lien avec les besoins (quantitatifs et qualitatifs) de l’économie avec une priorité accordée aux filières porteuses dans les secteurs primaire et secondaire</v>
      </c>
      <c r="AC1007" s="20" t="str">
        <f>D1007 &amp; "-" &amp; VLOOKUP(D1007,[4]STRATEGIES!$E$1:$F$504,2,FALSE)</f>
        <v>331- L’accès aux dispositifs de l’ETFP est accrue en lien avec les besoins (quantitatifs et qualitatifs) de l’économie avec une priorité accordée aux filières porteuses dans les secteurs primaire et secondaire</v>
      </c>
      <c r="AD1007" s="21" t="str">
        <f t="shared" si="174"/>
        <v>331- L’accès aux dispositifs de l’ETFP est accrue en lien avec les besoins (quantitatifs et qualitatifs) de l’économie avec une priorité accordée aux filières porteuses dans les secteurs primaire et secondaire</v>
      </c>
    </row>
    <row r="1008" spans="1:30" s="22" customFormat="1" ht="90" hidden="1" customHeight="1" x14ac:dyDescent="0.8">
      <c r="A1008" s="14">
        <v>3</v>
      </c>
      <c r="B1008" s="15">
        <v>33</v>
      </c>
      <c r="C1008" s="15">
        <v>331</v>
      </c>
      <c r="D1008" s="15">
        <v>3311</v>
      </c>
      <c r="E1008" s="15">
        <v>3311</v>
      </c>
      <c r="F1008" s="16" t="s">
        <v>1272</v>
      </c>
      <c r="G1008" s="17"/>
      <c r="H1008" s="17"/>
      <c r="I1008" s="33">
        <v>0</v>
      </c>
      <c r="J1008" s="33"/>
      <c r="K1008" s="33"/>
      <c r="L1008" s="33"/>
      <c r="M1008" s="33"/>
      <c r="N1008" s="33"/>
      <c r="O1008" s="33"/>
      <c r="P1008" s="33"/>
      <c r="Q1008" s="33"/>
      <c r="R1008" s="33"/>
      <c r="S1008" s="34"/>
      <c r="T1008" s="33"/>
      <c r="U1008" s="18"/>
      <c r="V1008" s="18"/>
      <c r="W1008" s="18"/>
      <c r="X1008" s="18"/>
      <c r="Y1008" s="18" t="s">
        <v>677</v>
      </c>
      <c r="Z1008" s="18" t="str">
        <f>A1008 &amp; "-" &amp; VLOOKUP(A1008,[4]PROGRAMMES!$E$1:$F$7,2,FALSE)</f>
        <v>3-Expansion et réforme de l’ETFP</v>
      </c>
      <c r="AA1008" s="19" t="str">
        <f>B1008 &amp; "-" &amp; VLOOKUP(B1008,[4]SOUSPROGRAMMES!$E$1:$F$44,2,FALSE)</f>
        <v>33- Développement de l’offre de formation professionnelle et technique de qualité</v>
      </c>
      <c r="AB1008" s="19" t="str">
        <f>C1008 &amp; "-" &amp; VLOOKUP(C1008,[4]RESULTATS!$E$1:$F$176,2,FALSE)</f>
        <v>331- L’accès aux dispositifs de l’ETFP est accrue en lien avec les besoins (quantitatifs et qualitatifs) de l’économie avec une priorité accordée aux filières porteuses dans les secteurs primaire et secondaire</v>
      </c>
      <c r="AC1008" s="20" t="str">
        <f>D1008 &amp; "-" &amp; VLOOKUP(D1008,[4]STRATEGIES!$E$1:$F$504,2,FALSE)</f>
        <v>3311-Accroissement de la capacité d’accueil (infrastructures, équipements en tenant compte des besoins des apprenants porteurs de handicap et à besoins éducatifs speciaux ainsi que les catastrophes naturelles)</v>
      </c>
      <c r="AD1008" s="21" t="str">
        <f t="shared" si="174"/>
        <v>3311-Accroissement de la capacité d’accueil (infrastructures, équipements en tenant compte des besoins des apprenants porteurs de handicap et à besoins éducatifs speciaux ainsi que les catastrophes naturelles)</v>
      </c>
    </row>
    <row r="1009" spans="1:30" s="22" customFormat="1" ht="90" customHeight="1" x14ac:dyDescent="0.8">
      <c r="A1009" s="14">
        <v>3</v>
      </c>
      <c r="B1009" s="15">
        <v>33</v>
      </c>
      <c r="C1009" s="15">
        <v>331</v>
      </c>
      <c r="D1009" s="15">
        <v>3311</v>
      </c>
      <c r="E1009" s="15">
        <v>33111</v>
      </c>
      <c r="F1009" s="16" t="s">
        <v>1273</v>
      </c>
      <c r="G1009" s="21" t="s">
        <v>1274</v>
      </c>
      <c r="H1009" s="17" t="s">
        <v>1275</v>
      </c>
      <c r="I1009" s="33">
        <v>0</v>
      </c>
      <c r="J1009" s="33"/>
      <c r="K1009" s="33"/>
      <c r="L1009" s="33"/>
      <c r="M1009" s="33">
        <f t="shared" si="176"/>
        <v>0</v>
      </c>
      <c r="N1009" s="33">
        <f>IF(OR(H1009="",H1009="sif",H1009="PM"),0,VLOOKUP(H1009,[5]CU!$C$4:$H$255,6,FALSE))</f>
        <v>2006.65768</v>
      </c>
      <c r="O1009" s="33">
        <f t="shared" si="177"/>
        <v>0</v>
      </c>
      <c r="P1009" s="33">
        <f t="shared" si="177"/>
        <v>0</v>
      </c>
      <c r="Q1009" s="33">
        <f t="shared" si="177"/>
        <v>0</v>
      </c>
      <c r="R1009" s="33">
        <f t="shared" si="177"/>
        <v>0</v>
      </c>
      <c r="S1009" s="34">
        <f>SUM(O1009:R1009)</f>
        <v>0</v>
      </c>
      <c r="T1009" s="35" t="s">
        <v>1276</v>
      </c>
      <c r="U1009" s="18" t="s">
        <v>1206</v>
      </c>
      <c r="V1009" s="18" t="str">
        <f>IF(OR($H1009="",$H1009="sif",$H1009="PM"),"",VLOOKUP($H1009,[5]CU!$C$5:$J$255,8,FALSE))</f>
        <v>3. Dépenses de fonctionnement</v>
      </c>
      <c r="W1009" s="18" t="s">
        <v>521</v>
      </c>
      <c r="X1009" s="18" t="s">
        <v>1237</v>
      </c>
      <c r="Y1009" s="18" t="s">
        <v>677</v>
      </c>
      <c r="Z1009" s="18" t="str">
        <f>A1009 &amp; "-" &amp; VLOOKUP(A1009,[4]PROGRAMMES!$E$1:$F$7,2,FALSE)</f>
        <v>3-Expansion et réforme de l’ETFP</v>
      </c>
      <c r="AA1009" s="19" t="str">
        <f>B1009 &amp; "-" &amp; VLOOKUP(B1009,[4]SOUSPROGRAMMES!$E$1:$F$44,2,FALSE)</f>
        <v>33- Développement de l’offre de formation professionnelle et technique de qualité</v>
      </c>
      <c r="AB1009" s="19" t="str">
        <f>C1009 &amp; "-" &amp; VLOOKUP(C1009,[4]RESULTATS!$E$1:$F$176,2,FALSE)</f>
        <v>331- L’accès aux dispositifs de l’ETFP est accrue en lien avec les besoins (quantitatifs et qualitatifs) de l’économie avec une priorité accordée aux filières porteuses dans les secteurs primaire et secondaire</v>
      </c>
      <c r="AC1009" s="20" t="str">
        <f>D1009 &amp; "-" &amp; VLOOKUP(D1009,[4]STRATEGIES!$E$1:$F$504,2,FALSE)</f>
        <v>3311-Accroissement de la capacité d’accueil (infrastructures, équipements en tenant compte des besoins des apprenants porteurs de handicap et à besoins éducatifs speciaux ainsi que les catastrophes naturelles)</v>
      </c>
      <c r="AD1009" s="21" t="str">
        <f t="shared" si="174"/>
        <v>33111-Etudes et supervisions des travaux de rénovation des CFP en cours</v>
      </c>
    </row>
    <row r="1010" spans="1:30" s="22" customFormat="1" ht="90" hidden="1" customHeight="1" x14ac:dyDescent="0.8">
      <c r="A1010" s="14">
        <v>3</v>
      </c>
      <c r="B1010" s="15">
        <v>33</v>
      </c>
      <c r="C1010" s="15">
        <v>331</v>
      </c>
      <c r="D1010" s="15">
        <v>3311</v>
      </c>
      <c r="E1010" s="15">
        <v>33112</v>
      </c>
      <c r="F1010" s="16" t="s">
        <v>1277</v>
      </c>
      <c r="G1010" s="21" t="s">
        <v>1278</v>
      </c>
      <c r="H1010" s="17" t="s">
        <v>1279</v>
      </c>
      <c r="I1010" s="33">
        <v>0</v>
      </c>
      <c r="J1010" s="33">
        <v>0</v>
      </c>
      <c r="K1010" s="33">
        <v>1</v>
      </c>
      <c r="L1010" s="33">
        <v>0</v>
      </c>
      <c r="M1010" s="33">
        <f t="shared" si="176"/>
        <v>1</v>
      </c>
      <c r="N1010" s="33">
        <f>IF(OR(H1010="",H1010="sif",H1010="PM"),0,VLOOKUP(H1010,[5]CU!$C$4:$H$255,6,FALSE))</f>
        <v>3703.140895</v>
      </c>
      <c r="O1010" s="33">
        <f t="shared" si="177"/>
        <v>0</v>
      </c>
      <c r="P1010" s="33">
        <f t="shared" si="177"/>
        <v>0</v>
      </c>
      <c r="Q1010" s="33">
        <f t="shared" si="177"/>
        <v>3703.140895</v>
      </c>
      <c r="R1010" s="33">
        <f t="shared" si="177"/>
        <v>0</v>
      </c>
      <c r="S1010" s="34">
        <f>SUM(O1010:R1010)</f>
        <v>3703.140895</v>
      </c>
      <c r="T1010" s="35" t="s">
        <v>169</v>
      </c>
      <c r="U1010" s="18" t="s">
        <v>1206</v>
      </c>
      <c r="V1010" s="18" t="str">
        <f>IF(OR($H1010="",$H1010="sif",$H1010="PM"),"",VLOOKUP($H1010,[5]CU!$C$5:$J$255,8,FALSE))</f>
        <v>5. Investissement</v>
      </c>
      <c r="W1010" s="18" t="s">
        <v>521</v>
      </c>
      <c r="X1010" s="18" t="s">
        <v>1237</v>
      </c>
      <c r="Y1010" s="18" t="s">
        <v>677</v>
      </c>
      <c r="Z1010" s="18" t="str">
        <f>A1010 &amp; "-" &amp; VLOOKUP(A1010,[4]PROGRAMMES!$E$1:$F$7,2,FALSE)</f>
        <v>3-Expansion et réforme de l’ETFP</v>
      </c>
      <c r="AA1010" s="19" t="str">
        <f>B1010 &amp; "-" &amp; VLOOKUP(B1010,[4]SOUSPROGRAMMES!$E$1:$F$44,2,FALSE)</f>
        <v>33- Développement de l’offre de formation professionnelle et technique de qualité</v>
      </c>
      <c r="AB1010" s="19" t="str">
        <f>C1010 &amp; "-" &amp; VLOOKUP(C1010,[4]RESULTATS!$E$1:$F$176,2,FALSE)</f>
        <v>331- L’accès aux dispositifs de l’ETFP est accrue en lien avec les besoins (quantitatifs et qualitatifs) de l’économie avec une priorité accordée aux filières porteuses dans les secteurs primaire et secondaire</v>
      </c>
      <c r="AC1010" s="20" t="str">
        <f>D1010 &amp; "-" &amp; VLOOKUP(D1010,[4]STRATEGIES!$E$1:$F$504,2,FALSE)</f>
        <v>3311-Accroissement de la capacité d’accueil (infrastructures, équipements en tenant compte des besoins des apprenants porteurs de handicap et à besoins éducatifs speciaux ainsi que les catastrophes naturelles)</v>
      </c>
      <c r="AD1010" s="21" t="str">
        <f t="shared" si="174"/>
        <v xml:space="preserve">33112-Etudes et supervisions des ERAM </v>
      </c>
    </row>
    <row r="1011" spans="1:30" s="22" customFormat="1" ht="90" hidden="1" customHeight="1" x14ac:dyDescent="0.8">
      <c r="A1011" s="14">
        <v>3</v>
      </c>
      <c r="B1011" s="15">
        <v>33</v>
      </c>
      <c r="C1011" s="15">
        <v>331</v>
      </c>
      <c r="D1011" s="15">
        <v>3311</v>
      </c>
      <c r="E1011" s="15">
        <v>33113</v>
      </c>
      <c r="F1011" s="16" t="s">
        <v>1280</v>
      </c>
      <c r="G1011" s="21" t="s">
        <v>92</v>
      </c>
      <c r="H1011" s="17" t="s">
        <v>92</v>
      </c>
      <c r="I1011" s="33">
        <v>0</v>
      </c>
      <c r="J1011" s="33">
        <v>0.2</v>
      </c>
      <c r="K1011" s="33"/>
      <c r="L1011" s="33"/>
      <c r="M1011" s="33">
        <f t="shared" si="176"/>
        <v>0.2</v>
      </c>
      <c r="N1011" s="33">
        <f>IF(OR(H1011="",H1011="sif",H1011="PM"),0,VLOOKUP(H1011,[5]CU!$C$4:$H$255,6,FALSE))</f>
        <v>0</v>
      </c>
      <c r="O1011" s="33">
        <f t="shared" si="177"/>
        <v>0</v>
      </c>
      <c r="P1011" s="33">
        <f t="shared" si="177"/>
        <v>0</v>
      </c>
      <c r="Q1011" s="33">
        <f t="shared" si="177"/>
        <v>0</v>
      </c>
      <c r="R1011" s="33">
        <f t="shared" si="177"/>
        <v>0</v>
      </c>
      <c r="S1011" s="34"/>
      <c r="T1011" s="35" t="s">
        <v>56</v>
      </c>
      <c r="U1011" s="18" t="s">
        <v>1206</v>
      </c>
      <c r="V1011" s="18" t="str">
        <f>IF(OR($H1011="",$H1011="sif",$H1011="PM"),"",VLOOKUP($H1011,[5]CU!$C$5:$J$255,8,FALSE))</f>
        <v/>
      </c>
      <c r="W1011" s="18"/>
      <c r="X1011" s="18"/>
      <c r="Y1011" s="18" t="s">
        <v>677</v>
      </c>
      <c r="Z1011" s="18" t="str">
        <f>A1011 &amp; "-" &amp; VLOOKUP(A1011,[4]PROGRAMMES!$E$1:$F$7,2,FALSE)</f>
        <v>3-Expansion et réforme de l’ETFP</v>
      </c>
      <c r="AA1011" s="19" t="str">
        <f>B1011 &amp; "-" &amp; VLOOKUP(B1011,[4]SOUSPROGRAMMES!$E$1:$F$44,2,FALSE)</f>
        <v>33- Développement de l’offre de formation professionnelle et technique de qualité</v>
      </c>
      <c r="AB1011" s="19" t="str">
        <f>C1011 &amp; "-" &amp; VLOOKUP(C1011,[4]RESULTATS!$E$1:$F$176,2,FALSE)</f>
        <v>331- L’accès aux dispositifs de l’ETFP est accrue en lien avec les besoins (quantitatifs et qualitatifs) de l’économie avec une priorité accordée aux filières porteuses dans les secteurs primaire et secondaire</v>
      </c>
      <c r="AC1011" s="20" t="str">
        <f>D1011 &amp; "-" &amp; VLOOKUP(D1011,[4]STRATEGIES!$E$1:$F$504,2,FALSE)</f>
        <v>3311-Accroissement de la capacité d’accueil (infrastructures, équipements en tenant compte des besoins des apprenants porteurs de handicap et à besoins éducatifs speciaux ainsi que les catastrophes naturelles)</v>
      </c>
      <c r="AD1011" s="21" t="str">
        <f t="shared" si="174"/>
        <v>33113-Construction et équipement du complexe sectoriel BTP hôtellerie (Don fondation Mohamed VI</v>
      </c>
    </row>
    <row r="1012" spans="1:30" s="22" customFormat="1" ht="90" hidden="1" customHeight="1" x14ac:dyDescent="0.8">
      <c r="A1012" s="14">
        <v>3</v>
      </c>
      <c r="B1012" s="15">
        <v>33</v>
      </c>
      <c r="C1012" s="15">
        <v>331</v>
      </c>
      <c r="D1012" s="15">
        <v>3311</v>
      </c>
      <c r="E1012" s="15">
        <v>33114</v>
      </c>
      <c r="F1012" s="16" t="s">
        <v>1281</v>
      </c>
      <c r="G1012" s="21" t="s">
        <v>1282</v>
      </c>
      <c r="H1012" s="17" t="s">
        <v>1283</v>
      </c>
      <c r="I1012" s="33">
        <v>0</v>
      </c>
      <c r="J1012" s="33">
        <v>0.2</v>
      </c>
      <c r="K1012" s="33"/>
      <c r="L1012" s="33"/>
      <c r="M1012" s="33">
        <f t="shared" si="176"/>
        <v>0.2</v>
      </c>
      <c r="N1012" s="33">
        <f>IF(OR(H1012="",H1012="sif",H1012="PM"),0,VLOOKUP(H1012,[5]CU!$C$4:$H$255,6,FALSE))</f>
        <v>9225.6919629999993</v>
      </c>
      <c r="O1012" s="33">
        <f t="shared" si="177"/>
        <v>0</v>
      </c>
      <c r="P1012" s="33">
        <f t="shared" si="177"/>
        <v>1845.1383925999999</v>
      </c>
      <c r="Q1012" s="33">
        <f t="shared" si="177"/>
        <v>0</v>
      </c>
      <c r="R1012" s="33">
        <f t="shared" si="177"/>
        <v>0</v>
      </c>
      <c r="S1012" s="34">
        <f t="shared" ref="S1012:S1030" si="179">SUM(O1012:R1012)</f>
        <v>1845.1383925999999</v>
      </c>
      <c r="T1012" s="35" t="s">
        <v>56</v>
      </c>
      <c r="U1012" s="18" t="s">
        <v>1206</v>
      </c>
      <c r="V1012" s="18" t="str">
        <f>IF(OR($H1012="",$H1012="sif",$H1012="PM"),"",VLOOKUP($H1012,[5]CU!$C$5:$J$255,8,FALSE))</f>
        <v>5. Investissement</v>
      </c>
      <c r="W1012" s="18"/>
      <c r="X1012" s="18"/>
      <c r="Y1012" s="18" t="s">
        <v>677</v>
      </c>
      <c r="Z1012" s="18" t="str">
        <f>A1012 &amp; "-" &amp; VLOOKUP(A1012,[4]PROGRAMMES!$E$1:$F$7,2,FALSE)</f>
        <v>3-Expansion et réforme de l’ETFP</v>
      </c>
      <c r="AA1012" s="19" t="str">
        <f>B1012 &amp; "-" &amp; VLOOKUP(B1012,[4]SOUSPROGRAMMES!$E$1:$F$44,2,FALSE)</f>
        <v>33- Développement de l’offre de formation professionnelle et technique de qualité</v>
      </c>
      <c r="AB1012" s="19" t="str">
        <f>C1012 &amp; "-" &amp; VLOOKUP(C1012,[4]RESULTATS!$E$1:$F$176,2,FALSE)</f>
        <v>331- L’accès aux dispositifs de l’ETFP est accrue en lien avec les besoins (quantitatifs et qualitatifs) de l’économie avec une priorité accordée aux filières porteuses dans les secteurs primaire et secondaire</v>
      </c>
      <c r="AC1012" s="20" t="str">
        <f>D1012 &amp; "-" &amp; VLOOKUP(D1012,[4]STRATEGIES!$E$1:$F$504,2,FALSE)</f>
        <v>3311-Accroissement de la capacité d’accueil (infrastructures, équipements en tenant compte des besoins des apprenants porteurs de handicap et à besoins éducatifs speciaux ainsi que les catastrophes naturelles)</v>
      </c>
      <c r="AD1012" s="21" t="str">
        <f t="shared" si="174"/>
        <v>33114-Travaux d’extension ENSAC</v>
      </c>
    </row>
    <row r="1013" spans="1:30" s="22" customFormat="1" ht="90" hidden="1" customHeight="1" x14ac:dyDescent="0.8">
      <c r="A1013" s="14">
        <v>3</v>
      </c>
      <c r="B1013" s="15">
        <v>33</v>
      </c>
      <c r="C1013" s="15">
        <v>331</v>
      </c>
      <c r="D1013" s="15">
        <v>3311</v>
      </c>
      <c r="E1013" s="15">
        <v>33115</v>
      </c>
      <c r="F1013" s="16" t="s">
        <v>1284</v>
      </c>
      <c r="G1013" s="21" t="s">
        <v>1282</v>
      </c>
      <c r="H1013" s="17" t="s">
        <v>1285</v>
      </c>
      <c r="I1013" s="33">
        <v>0</v>
      </c>
      <c r="J1013" s="33">
        <v>0.6</v>
      </c>
      <c r="K1013" s="33"/>
      <c r="L1013" s="33"/>
      <c r="M1013" s="33">
        <f t="shared" si="176"/>
        <v>0.6</v>
      </c>
      <c r="N1013" s="33">
        <f>IF(OR(H1013="",H1013="sif",H1013="PM"),0,VLOOKUP(H1013,[5]CU!$C$4:$H$255,6,FALSE))</f>
        <v>25083.221000000001</v>
      </c>
      <c r="O1013" s="33">
        <f t="shared" si="177"/>
        <v>0</v>
      </c>
      <c r="P1013" s="33">
        <f t="shared" si="177"/>
        <v>15049.9326</v>
      </c>
      <c r="Q1013" s="33">
        <f t="shared" si="177"/>
        <v>0</v>
      </c>
      <c r="R1013" s="33">
        <f t="shared" si="177"/>
        <v>0</v>
      </c>
      <c r="S1013" s="34">
        <f t="shared" si="179"/>
        <v>15049.9326</v>
      </c>
      <c r="T1013" s="35" t="s">
        <v>56</v>
      </c>
      <c r="U1013" s="18" t="s">
        <v>1206</v>
      </c>
      <c r="V1013" s="18" t="str">
        <f>IF(OR($H1013="",$H1013="sif",$H1013="PM"),"",VLOOKUP($H1013,[5]CU!$C$5:$J$255,8,FALSE))</f>
        <v>5. Investissement</v>
      </c>
      <c r="W1013" s="18"/>
      <c r="X1013" s="18"/>
      <c r="Y1013" s="18" t="s">
        <v>677</v>
      </c>
      <c r="Z1013" s="18" t="str">
        <f>A1013 &amp; "-" &amp; VLOOKUP(A1013,[4]PROGRAMMES!$E$1:$F$7,2,FALSE)</f>
        <v>3-Expansion et réforme de l’ETFP</v>
      </c>
      <c r="AA1013" s="19" t="str">
        <f>B1013 &amp; "-" &amp; VLOOKUP(B1013,[4]SOUSPROGRAMMES!$E$1:$F$44,2,FALSE)</f>
        <v>33- Développement de l’offre de formation professionnelle et technique de qualité</v>
      </c>
      <c r="AB1013" s="19" t="str">
        <f>C1013 &amp; "-" &amp; VLOOKUP(C1013,[4]RESULTATS!$E$1:$F$176,2,FALSE)</f>
        <v>331- L’accès aux dispositifs de l’ETFP est accrue en lien avec les besoins (quantitatifs et qualitatifs) de l’économie avec une priorité accordée aux filières porteuses dans les secteurs primaire et secondaire</v>
      </c>
      <c r="AC1013" s="20" t="str">
        <f>D1013 &amp; "-" &amp; VLOOKUP(D1013,[4]STRATEGIES!$E$1:$F$504,2,FALSE)</f>
        <v>3311-Accroissement de la capacité d’accueil (infrastructures, équipements en tenant compte des besoins des apprenants porteurs de handicap et à besoins éducatifs speciaux ainsi que les catastrophes naturelles)</v>
      </c>
      <c r="AD1013" s="21" t="str">
        <f t="shared" si="174"/>
        <v>33115-Construction du CFP de Lambanyi</v>
      </c>
    </row>
    <row r="1014" spans="1:30" s="22" customFormat="1" ht="90" hidden="1" customHeight="1" x14ac:dyDescent="0.8">
      <c r="A1014" s="14">
        <v>3</v>
      </c>
      <c r="B1014" s="15">
        <v>33</v>
      </c>
      <c r="C1014" s="15">
        <v>331</v>
      </c>
      <c r="D1014" s="15">
        <v>3311</v>
      </c>
      <c r="E1014" s="15">
        <v>33116</v>
      </c>
      <c r="F1014" s="16" t="s">
        <v>1286</v>
      </c>
      <c r="G1014" s="21" t="s">
        <v>1282</v>
      </c>
      <c r="H1014" s="17" t="s">
        <v>1287</v>
      </c>
      <c r="I1014" s="33">
        <v>0</v>
      </c>
      <c r="J1014" s="33">
        <v>0.2</v>
      </c>
      <c r="K1014" s="33"/>
      <c r="L1014" s="33"/>
      <c r="M1014" s="33">
        <f t="shared" si="176"/>
        <v>0.2</v>
      </c>
      <c r="N1014" s="33">
        <f>IF(OR(H1014="",H1014="sif",H1014="PM"),0,VLOOKUP(H1014,[5]CU!$C$4:$H$255,6,FALSE))</f>
        <v>46289.261183000002</v>
      </c>
      <c r="O1014" s="33">
        <f t="shared" si="177"/>
        <v>0</v>
      </c>
      <c r="P1014" s="33">
        <f t="shared" si="177"/>
        <v>9257.8522366000016</v>
      </c>
      <c r="Q1014" s="33">
        <f t="shared" si="177"/>
        <v>0</v>
      </c>
      <c r="R1014" s="33">
        <f t="shared" si="177"/>
        <v>0</v>
      </c>
      <c r="S1014" s="34">
        <f t="shared" si="179"/>
        <v>9257.8522366000016</v>
      </c>
      <c r="T1014" s="35" t="s">
        <v>56</v>
      </c>
      <c r="U1014" s="18" t="s">
        <v>1206</v>
      </c>
      <c r="V1014" s="18" t="str">
        <f>IF(OR($H1014="",$H1014="sif",$H1014="PM"),"",VLOOKUP($H1014,[5]CU!$C$5:$J$255,8,FALSE))</f>
        <v>5. Investissement</v>
      </c>
      <c r="W1014" s="18" t="s">
        <v>521</v>
      </c>
      <c r="X1014" s="18" t="s">
        <v>1237</v>
      </c>
      <c r="Y1014" s="18" t="s">
        <v>677</v>
      </c>
      <c r="Z1014" s="18" t="str">
        <f>A1014 &amp; "-" &amp; VLOOKUP(A1014,[4]PROGRAMMES!$E$1:$F$7,2,FALSE)</f>
        <v>3-Expansion et réforme de l’ETFP</v>
      </c>
      <c r="AA1014" s="19" t="str">
        <f>B1014 &amp; "-" &amp; VLOOKUP(B1014,[4]SOUSPROGRAMMES!$E$1:$F$44,2,FALSE)</f>
        <v>33- Développement de l’offre de formation professionnelle et technique de qualité</v>
      </c>
      <c r="AB1014" s="19" t="str">
        <f>C1014 &amp; "-" &amp; VLOOKUP(C1014,[4]RESULTATS!$E$1:$F$176,2,FALSE)</f>
        <v>331- L’accès aux dispositifs de l’ETFP est accrue en lien avec les besoins (quantitatifs et qualitatifs) de l’économie avec une priorité accordée aux filières porteuses dans les secteurs primaire et secondaire</v>
      </c>
      <c r="AC1014" s="20" t="str">
        <f>D1014 &amp; "-" &amp; VLOOKUP(D1014,[4]STRATEGIES!$E$1:$F$504,2,FALSE)</f>
        <v>3311-Accroissement de la capacité d’accueil (infrastructures, équipements en tenant compte des besoins des apprenants porteurs de handicap et à besoins éducatifs speciaux ainsi que les catastrophes naturelles)</v>
      </c>
      <c r="AD1014" s="21" t="str">
        <f t="shared" si="174"/>
        <v>33116-Construction des ERAM de Coyah et Dabola</v>
      </c>
    </row>
    <row r="1015" spans="1:30" s="22" customFormat="1" ht="90" hidden="1" customHeight="1" x14ac:dyDescent="0.8">
      <c r="A1015" s="14">
        <v>3</v>
      </c>
      <c r="B1015" s="15">
        <v>33</v>
      </c>
      <c r="C1015" s="15">
        <v>331</v>
      </c>
      <c r="D1015" s="15">
        <v>3311</v>
      </c>
      <c r="E1015" s="15">
        <v>33117</v>
      </c>
      <c r="F1015" s="16" t="s">
        <v>1288</v>
      </c>
      <c r="G1015" s="21" t="s">
        <v>106</v>
      </c>
      <c r="H1015" s="17" t="s">
        <v>1289</v>
      </c>
      <c r="I1015" s="33">
        <v>0</v>
      </c>
      <c r="J1015" s="33"/>
      <c r="K1015" s="33"/>
      <c r="L1015" s="33"/>
      <c r="M1015" s="33">
        <f t="shared" si="176"/>
        <v>0</v>
      </c>
      <c r="N1015" s="33">
        <f>IF(OR(H1015="",H1015="sif",H1015="PM"),0,VLOOKUP(H1015,[5]CU!$C$4:$H$255,6,FALSE))</f>
        <v>17865.557499999999</v>
      </c>
      <c r="O1015" s="33">
        <f t="shared" si="177"/>
        <v>0</v>
      </c>
      <c r="P1015" s="33">
        <f t="shared" si="177"/>
        <v>0</v>
      </c>
      <c r="Q1015" s="33">
        <f t="shared" si="177"/>
        <v>0</v>
      </c>
      <c r="R1015" s="33">
        <f t="shared" si="177"/>
        <v>0</v>
      </c>
      <c r="S1015" s="34">
        <f t="shared" si="179"/>
        <v>0</v>
      </c>
      <c r="T1015" s="35" t="s">
        <v>56</v>
      </c>
      <c r="U1015" s="18" t="s">
        <v>1206</v>
      </c>
      <c r="V1015" s="18" t="str">
        <f>IF(OR($H1015="",$H1015="sif",$H1015="PM"),"",VLOOKUP($H1015,[5]CU!$C$5:$J$255,8,FALSE))</f>
        <v>5. Investissement</v>
      </c>
      <c r="W1015" s="18" t="s">
        <v>521</v>
      </c>
      <c r="X1015" s="18" t="s">
        <v>1237</v>
      </c>
      <c r="Y1015" s="18" t="s">
        <v>677</v>
      </c>
      <c r="Z1015" s="18" t="str">
        <f>A1015 &amp; "-" &amp; VLOOKUP(A1015,[4]PROGRAMMES!$E$1:$F$7,2,FALSE)</f>
        <v>3-Expansion et réforme de l’ETFP</v>
      </c>
      <c r="AA1015" s="19" t="str">
        <f>B1015 &amp; "-" &amp; VLOOKUP(B1015,[4]SOUSPROGRAMMES!$E$1:$F$44,2,FALSE)</f>
        <v>33- Développement de l’offre de formation professionnelle et technique de qualité</v>
      </c>
      <c r="AB1015" s="19" t="str">
        <f>C1015 &amp; "-" &amp; VLOOKUP(C1015,[4]RESULTATS!$E$1:$F$176,2,FALSE)</f>
        <v>331- L’accès aux dispositifs de l’ETFP est accrue en lien avec les besoins (quantitatifs et qualitatifs) de l’économie avec une priorité accordée aux filières porteuses dans les secteurs primaire et secondaire</v>
      </c>
      <c r="AC1015" s="20" t="str">
        <f>D1015 &amp; "-" &amp; VLOOKUP(D1015,[4]STRATEGIES!$E$1:$F$504,2,FALSE)</f>
        <v>3311-Accroissement de la capacité d’accueil (infrastructures, équipements en tenant compte des besoins des apprenants porteurs de handicap et à besoins éducatifs speciaux ainsi que les catastrophes naturelles)</v>
      </c>
      <c r="AD1015" s="21" t="str">
        <f t="shared" si="174"/>
        <v>33117-Equipement de 4 ERAM : Boké, Labé, Siguiri et N’Zérékoré</v>
      </c>
    </row>
    <row r="1016" spans="1:30" s="22" customFormat="1" ht="90" hidden="1" customHeight="1" x14ac:dyDescent="0.8">
      <c r="A1016" s="14">
        <v>3</v>
      </c>
      <c r="B1016" s="15">
        <v>33</v>
      </c>
      <c r="C1016" s="15">
        <v>331</v>
      </c>
      <c r="D1016" s="15">
        <v>3311</v>
      </c>
      <c r="E1016" s="15">
        <v>33118</v>
      </c>
      <c r="F1016" s="16" t="s">
        <v>1290</v>
      </c>
      <c r="G1016" s="21" t="s">
        <v>1282</v>
      </c>
      <c r="H1016" s="17" t="s">
        <v>1287</v>
      </c>
      <c r="I1016" s="33">
        <v>0</v>
      </c>
      <c r="J1016" s="33"/>
      <c r="K1016" s="33">
        <v>0.5</v>
      </c>
      <c r="L1016" s="33">
        <v>0.5</v>
      </c>
      <c r="M1016" s="33">
        <f t="shared" si="176"/>
        <v>1</v>
      </c>
      <c r="N1016" s="33">
        <f>IF(OR(H1016="",H1016="sif",H1016="PM"),0,VLOOKUP(H1016,[5]CU!$C$4:$H$255,6,FALSE))</f>
        <v>46289.261183000002</v>
      </c>
      <c r="O1016" s="33">
        <f t="shared" si="177"/>
        <v>0</v>
      </c>
      <c r="P1016" s="33">
        <f t="shared" si="177"/>
        <v>0</v>
      </c>
      <c r="Q1016" s="33">
        <f t="shared" si="177"/>
        <v>23144.630591500001</v>
      </c>
      <c r="R1016" s="33">
        <f t="shared" si="177"/>
        <v>23144.630591500001</v>
      </c>
      <c r="S1016" s="34">
        <f t="shared" si="179"/>
        <v>46289.261183000002</v>
      </c>
      <c r="T1016" s="35" t="s">
        <v>56</v>
      </c>
      <c r="U1016" s="18" t="s">
        <v>1206</v>
      </c>
      <c r="V1016" s="18" t="str">
        <f>IF(OR($H1016="",$H1016="sif",$H1016="PM"),"",VLOOKUP($H1016,[5]CU!$C$5:$J$255,8,FALSE))</f>
        <v>5. Investissement</v>
      </c>
      <c r="W1016" s="18" t="s">
        <v>521</v>
      </c>
      <c r="X1016" s="18" t="s">
        <v>1237</v>
      </c>
      <c r="Y1016" s="18" t="s">
        <v>677</v>
      </c>
      <c r="Z1016" s="18" t="str">
        <f>A1016 &amp; "-" &amp; VLOOKUP(A1016,[4]PROGRAMMES!$E$1:$F$7,2,FALSE)</f>
        <v>3-Expansion et réforme de l’ETFP</v>
      </c>
      <c r="AA1016" s="19" t="str">
        <f>B1016 &amp; "-" &amp; VLOOKUP(B1016,[4]SOUSPROGRAMMES!$E$1:$F$44,2,FALSE)</f>
        <v>33- Développement de l’offre de formation professionnelle et technique de qualité</v>
      </c>
      <c r="AB1016" s="19" t="str">
        <f>C1016 &amp; "-" &amp; VLOOKUP(C1016,[4]RESULTATS!$E$1:$F$176,2,FALSE)</f>
        <v>331- L’accès aux dispositifs de l’ETFP est accrue en lien avec les besoins (quantitatifs et qualitatifs) de l’économie avec une priorité accordée aux filières porteuses dans les secteurs primaire et secondaire</v>
      </c>
      <c r="AC1016" s="20" t="str">
        <f>D1016 &amp; "-" &amp; VLOOKUP(D1016,[4]STRATEGIES!$E$1:$F$504,2,FALSE)</f>
        <v>3311-Accroissement de la capacité d’accueil (infrastructures, équipements en tenant compte des besoins des apprenants porteurs de handicap et à besoins éducatifs speciaux ainsi que les catastrophes naturelles)</v>
      </c>
      <c r="AD1016" s="21" t="str">
        <f t="shared" si="174"/>
        <v>33118-Construction de 2 ERAM : Mamou et Kindia</v>
      </c>
    </row>
    <row r="1017" spans="1:30" s="22" customFormat="1" ht="90" hidden="1" customHeight="1" x14ac:dyDescent="0.8">
      <c r="A1017" s="14">
        <v>3</v>
      </c>
      <c r="B1017" s="15">
        <v>33</v>
      </c>
      <c r="C1017" s="15">
        <v>331</v>
      </c>
      <c r="D1017" s="15">
        <v>3311</v>
      </c>
      <c r="E1017" s="15">
        <v>33119</v>
      </c>
      <c r="F1017" s="16" t="s">
        <v>1291</v>
      </c>
      <c r="G1017" s="21" t="s">
        <v>1292</v>
      </c>
      <c r="H1017" s="17" t="s">
        <v>1293</v>
      </c>
      <c r="I1017" s="33">
        <v>0</v>
      </c>
      <c r="J1017" s="33"/>
      <c r="K1017" s="33"/>
      <c r="L1017" s="33"/>
      <c r="M1017" s="33">
        <f t="shared" si="176"/>
        <v>0</v>
      </c>
      <c r="N1017" s="33">
        <f>IF(OR(H1017="",H1017="sif",H1017="PM"),0,VLOOKUP(H1017,[5]CU!$C$4:$H$255,6,FALSE))</f>
        <v>22879.5</v>
      </c>
      <c r="O1017" s="33">
        <f t="shared" si="177"/>
        <v>0</v>
      </c>
      <c r="P1017" s="33">
        <f t="shared" si="177"/>
        <v>0</v>
      </c>
      <c r="Q1017" s="33">
        <f t="shared" si="177"/>
        <v>0</v>
      </c>
      <c r="R1017" s="33">
        <f t="shared" si="177"/>
        <v>0</v>
      </c>
      <c r="S1017" s="34">
        <f t="shared" si="179"/>
        <v>0</v>
      </c>
      <c r="T1017" s="35" t="s">
        <v>414</v>
      </c>
      <c r="U1017" s="18" t="s">
        <v>1206</v>
      </c>
      <c r="V1017" s="18" t="str">
        <f>IF(OR($H1017="",$H1017="sif",$H1017="PM"),"",VLOOKUP($H1017,[5]CU!$C$5:$J$255,8,FALSE))</f>
        <v>5. Investissement</v>
      </c>
      <c r="W1017" s="18" t="s">
        <v>521</v>
      </c>
      <c r="X1017" s="18" t="s">
        <v>1237</v>
      </c>
      <c r="Y1017" s="18" t="s">
        <v>677</v>
      </c>
      <c r="Z1017" s="18" t="str">
        <f>A1017 &amp; "-" &amp; VLOOKUP(A1017,[4]PROGRAMMES!$E$1:$F$7,2,FALSE)</f>
        <v>3-Expansion et réforme de l’ETFP</v>
      </c>
      <c r="AA1017" s="19" t="str">
        <f>B1017 &amp; "-" &amp; VLOOKUP(B1017,[4]SOUSPROGRAMMES!$E$1:$F$44,2,FALSE)</f>
        <v>33- Développement de l’offre de formation professionnelle et technique de qualité</v>
      </c>
      <c r="AB1017" s="19" t="str">
        <f>C1017 &amp; "-" &amp; VLOOKUP(C1017,[4]RESULTATS!$E$1:$F$176,2,FALSE)</f>
        <v>331- L’accès aux dispositifs de l’ETFP est accrue en lien avec les besoins (quantitatifs et qualitatifs) de l’économie avec une priorité accordée aux filières porteuses dans les secteurs primaire et secondaire</v>
      </c>
      <c r="AC1017" s="20" t="str">
        <f>D1017 &amp; "-" &amp; VLOOKUP(D1017,[4]STRATEGIES!$E$1:$F$504,2,FALSE)</f>
        <v>3311-Accroissement de la capacité d’accueil (infrastructures, équipements en tenant compte des besoins des apprenants porteurs de handicap et à besoins éducatifs speciaux ainsi que les catastrophes naturelles)</v>
      </c>
      <c r="AD1017" s="21" t="str">
        <f t="shared" si="174"/>
        <v>33119-Construction et Equipement ENI Mamou</v>
      </c>
    </row>
    <row r="1018" spans="1:30" s="22" customFormat="1" ht="90" hidden="1" customHeight="1" x14ac:dyDescent="0.8">
      <c r="A1018" s="14">
        <v>3</v>
      </c>
      <c r="B1018" s="15">
        <v>33</v>
      </c>
      <c r="C1018" s="15">
        <v>331</v>
      </c>
      <c r="D1018" s="15">
        <v>3311</v>
      </c>
      <c r="E1018" s="15">
        <v>331110</v>
      </c>
      <c r="F1018" s="16" t="s">
        <v>1294</v>
      </c>
      <c r="G1018" s="21" t="s">
        <v>1282</v>
      </c>
      <c r="H1018" s="17" t="s">
        <v>1295</v>
      </c>
      <c r="I1018" s="33">
        <v>0</v>
      </c>
      <c r="J1018" s="33">
        <v>0</v>
      </c>
      <c r="K1018" s="33">
        <v>1</v>
      </c>
      <c r="L1018" s="33">
        <v>0</v>
      </c>
      <c r="M1018" s="33">
        <f t="shared" si="176"/>
        <v>1</v>
      </c>
      <c r="N1018" s="33">
        <f>IF(OR(H1018="",H1018="sif",H1018="PM"),0,VLOOKUP(H1018,[5]CU!$C$4:$H$255,6,FALSE))</f>
        <v>5099.777</v>
      </c>
      <c r="O1018" s="33">
        <f t="shared" si="177"/>
        <v>0</v>
      </c>
      <c r="P1018" s="33">
        <f t="shared" si="177"/>
        <v>0</v>
      </c>
      <c r="Q1018" s="33">
        <f t="shared" si="177"/>
        <v>5099.777</v>
      </c>
      <c r="R1018" s="33">
        <f t="shared" si="177"/>
        <v>0</v>
      </c>
      <c r="S1018" s="34">
        <f t="shared" si="179"/>
        <v>5099.777</v>
      </c>
      <c r="T1018" s="35" t="s">
        <v>169</v>
      </c>
      <c r="U1018" s="18" t="s">
        <v>1206</v>
      </c>
      <c r="V1018" s="18" t="str">
        <f>IF(OR($H1018="",$H1018="sif",$H1018="PM"),"",VLOOKUP($H1018,[5]CU!$C$5:$J$255,8,FALSE))</f>
        <v>5. Investissement</v>
      </c>
      <c r="W1018" s="18" t="s">
        <v>521</v>
      </c>
      <c r="X1018" s="18" t="s">
        <v>1237</v>
      </c>
      <c r="Y1018" s="18" t="s">
        <v>677</v>
      </c>
      <c r="Z1018" s="18" t="str">
        <f>A1018 &amp; "-" &amp; VLOOKUP(A1018,[4]PROGRAMMES!$E$1:$F$7,2,FALSE)</f>
        <v>3-Expansion et réforme de l’ETFP</v>
      </c>
      <c r="AA1018" s="19" t="str">
        <f>B1018 &amp; "-" &amp; VLOOKUP(B1018,[4]SOUSPROGRAMMES!$E$1:$F$44,2,FALSE)</f>
        <v>33- Développement de l’offre de formation professionnelle et technique de qualité</v>
      </c>
      <c r="AB1018" s="19" t="str">
        <f>C1018 &amp; "-" &amp; VLOOKUP(C1018,[4]RESULTATS!$E$1:$F$176,2,FALSE)</f>
        <v>331- L’accès aux dispositifs de l’ETFP est accrue en lien avec les besoins (quantitatifs et qualitatifs) de l’économie avec une priorité accordée aux filières porteuses dans les secteurs primaire et secondaire</v>
      </c>
      <c r="AC1018" s="20" t="str">
        <f>D1018 &amp; "-" &amp; VLOOKUP(D1018,[4]STRATEGIES!$E$1:$F$504,2,FALSE)</f>
        <v>3311-Accroissement de la capacité d’accueil (infrastructures, équipements en tenant compte des besoins des apprenants porteurs de handicap et à besoins éducatifs speciaux ainsi que les catastrophes naturelles)</v>
      </c>
      <c r="AD1018" s="21" t="str">
        <f t="shared" si="174"/>
        <v>331110-Sécurisation du Site de l’ENEPS</v>
      </c>
    </row>
    <row r="1019" spans="1:30" s="22" customFormat="1" ht="90" hidden="1" customHeight="1" x14ac:dyDescent="0.8">
      <c r="A1019" s="14">
        <v>3</v>
      </c>
      <c r="B1019" s="15">
        <v>33</v>
      </c>
      <c r="C1019" s="15">
        <v>331</v>
      </c>
      <c r="D1019" s="15">
        <v>3311</v>
      </c>
      <c r="E1019" s="15">
        <v>331111</v>
      </c>
      <c r="F1019" s="16" t="s">
        <v>1296</v>
      </c>
      <c r="G1019" s="21" t="s">
        <v>1282</v>
      </c>
      <c r="H1019" s="17" t="s">
        <v>1297</v>
      </c>
      <c r="I1019" s="33">
        <v>0</v>
      </c>
      <c r="J1019" s="33">
        <v>2</v>
      </c>
      <c r="K1019" s="33">
        <v>6</v>
      </c>
      <c r="L1019" s="33">
        <v>2</v>
      </c>
      <c r="M1019" s="33">
        <f t="shared" si="176"/>
        <v>10</v>
      </c>
      <c r="N1019" s="33">
        <f>IF(OR(H1019="",H1019="sif",H1019="PM"),0,VLOOKUP(H1019,[5]CU!$C$4:$H$255,6,FALSE))</f>
        <v>17142.857143000001</v>
      </c>
      <c r="O1019" s="33">
        <f t="shared" si="177"/>
        <v>0</v>
      </c>
      <c r="P1019" s="33">
        <f t="shared" si="177"/>
        <v>34285.714286000002</v>
      </c>
      <c r="Q1019" s="33">
        <f t="shared" si="177"/>
        <v>102857.14285800001</v>
      </c>
      <c r="R1019" s="33">
        <f t="shared" si="177"/>
        <v>34285.714286000002</v>
      </c>
      <c r="S1019" s="34">
        <f t="shared" si="179"/>
        <v>171428.57143000001</v>
      </c>
      <c r="T1019" s="35" t="s">
        <v>56</v>
      </c>
      <c r="U1019" s="18" t="s">
        <v>1206</v>
      </c>
      <c r="V1019" s="18" t="str">
        <f>IF(OR($H1019="",$H1019="sif",$H1019="PM"),"",VLOOKUP($H1019,[5]CU!$C$5:$J$255,8,FALSE))</f>
        <v>5. Investissement</v>
      </c>
      <c r="W1019" s="18" t="s">
        <v>521</v>
      </c>
      <c r="X1019" s="18" t="s">
        <v>1237</v>
      </c>
      <c r="Y1019" s="18" t="s">
        <v>677</v>
      </c>
      <c r="Z1019" s="18" t="str">
        <f>A1019 &amp; "-" &amp; VLOOKUP(A1019,[4]PROGRAMMES!$E$1:$F$7,2,FALSE)</f>
        <v>3-Expansion et réforme de l’ETFP</v>
      </c>
      <c r="AA1019" s="19" t="str">
        <f>B1019 &amp; "-" &amp; VLOOKUP(B1019,[4]SOUSPROGRAMMES!$E$1:$F$44,2,FALSE)</f>
        <v>33- Développement de l’offre de formation professionnelle et technique de qualité</v>
      </c>
      <c r="AB1019" s="19" t="str">
        <f>C1019 &amp; "-" &amp; VLOOKUP(C1019,[4]RESULTATS!$E$1:$F$176,2,FALSE)</f>
        <v>331- L’accès aux dispositifs de l’ETFP est accrue en lien avec les besoins (quantitatifs et qualitatifs) de l’économie avec une priorité accordée aux filières porteuses dans les secteurs primaire et secondaire</v>
      </c>
      <c r="AC1019" s="20" t="str">
        <f>D1019 &amp; "-" &amp; VLOOKUP(D1019,[4]STRATEGIES!$E$1:$F$504,2,FALSE)</f>
        <v>3311-Accroissement de la capacité d’accueil (infrastructures, équipements en tenant compte des besoins des apprenants porteurs de handicap et à besoins éducatifs speciaux ainsi que les catastrophes naturelles)</v>
      </c>
      <c r="AD1019" s="21" t="str">
        <f t="shared" si="174"/>
        <v>331111-Construction de CAFPPS</v>
      </c>
    </row>
    <row r="1020" spans="1:30" s="22" customFormat="1" ht="90" hidden="1" customHeight="1" x14ac:dyDescent="0.8">
      <c r="A1020" s="14">
        <v>3</v>
      </c>
      <c r="B1020" s="15">
        <v>33</v>
      </c>
      <c r="C1020" s="15">
        <v>331</v>
      </c>
      <c r="D1020" s="15">
        <v>3311</v>
      </c>
      <c r="E1020" s="15">
        <v>331112</v>
      </c>
      <c r="F1020" s="16" t="s">
        <v>1298</v>
      </c>
      <c r="G1020" s="21" t="s">
        <v>106</v>
      </c>
      <c r="H1020" s="17" t="s">
        <v>1299</v>
      </c>
      <c r="I1020" s="33">
        <v>0</v>
      </c>
      <c r="J1020" s="33"/>
      <c r="K1020" s="33">
        <v>1</v>
      </c>
      <c r="L1020" s="33">
        <v>0</v>
      </c>
      <c r="M1020" s="33">
        <f t="shared" si="176"/>
        <v>1</v>
      </c>
      <c r="N1020" s="33">
        <f>IF(OR(H1020="",H1020="sif",H1020="PM"),0,VLOOKUP(H1020,[5]CU!$C$4:$H$255,6,FALSE))</f>
        <v>136.16666666666666</v>
      </c>
      <c r="O1020" s="33">
        <f t="shared" si="177"/>
        <v>0</v>
      </c>
      <c r="P1020" s="33">
        <f t="shared" si="177"/>
        <v>0</v>
      </c>
      <c r="Q1020" s="33">
        <f t="shared" si="177"/>
        <v>136.16666666666666</v>
      </c>
      <c r="R1020" s="33">
        <f t="shared" si="177"/>
        <v>0</v>
      </c>
      <c r="S1020" s="34">
        <f t="shared" si="179"/>
        <v>136.16666666666666</v>
      </c>
      <c r="T1020" s="35" t="s">
        <v>169</v>
      </c>
      <c r="U1020" s="18" t="s">
        <v>1206</v>
      </c>
      <c r="V1020" s="18" t="str">
        <f>IF(OR($H1020="",$H1020="sif",$H1020="PM"),"",VLOOKUP($H1020,[5]CU!$C$5:$J$255,8,FALSE))</f>
        <v>5. Investissement</v>
      </c>
      <c r="W1020" s="18" t="s">
        <v>521</v>
      </c>
      <c r="X1020" s="18" t="s">
        <v>1237</v>
      </c>
      <c r="Y1020" s="18" t="s">
        <v>677</v>
      </c>
      <c r="Z1020" s="18" t="str">
        <f>A1020 &amp; "-" &amp; VLOOKUP(A1020,[4]PROGRAMMES!$E$1:$F$7,2,FALSE)</f>
        <v>3-Expansion et réforme de l’ETFP</v>
      </c>
      <c r="AA1020" s="19" t="str">
        <f>B1020 &amp; "-" &amp; VLOOKUP(B1020,[4]SOUSPROGRAMMES!$E$1:$F$44,2,FALSE)</f>
        <v>33- Développement de l’offre de formation professionnelle et technique de qualité</v>
      </c>
      <c r="AB1020" s="19" t="str">
        <f>C1020 &amp; "-" &amp; VLOOKUP(C1020,[4]RESULTATS!$E$1:$F$176,2,FALSE)</f>
        <v>331- L’accès aux dispositifs de l’ETFP est accrue en lien avec les besoins (quantitatifs et qualitatifs) de l’économie avec une priorité accordée aux filières porteuses dans les secteurs primaire et secondaire</v>
      </c>
      <c r="AC1020" s="20" t="str">
        <f>D1020 &amp; "-" &amp; VLOOKUP(D1020,[4]STRATEGIES!$E$1:$F$504,2,FALSE)</f>
        <v>3311-Accroissement de la capacité d’accueil (infrastructures, équipements en tenant compte des besoins des apprenants porteurs de handicap et à besoins éducatifs speciaux ainsi que les catastrophes naturelles)</v>
      </c>
      <c r="AD1020" s="21" t="str">
        <f t="shared" si="174"/>
        <v>331112-Equipement de CAFPPS</v>
      </c>
    </row>
    <row r="1021" spans="1:30" s="22" customFormat="1" ht="90" hidden="1" customHeight="1" x14ac:dyDescent="0.8">
      <c r="A1021" s="14">
        <v>3</v>
      </c>
      <c r="B1021" s="15">
        <v>33</v>
      </c>
      <c r="C1021" s="15">
        <v>331</v>
      </c>
      <c r="D1021" s="15">
        <v>3311</v>
      </c>
      <c r="E1021" s="15">
        <v>331113</v>
      </c>
      <c r="F1021" s="16" t="s">
        <v>1300</v>
      </c>
      <c r="G1021" s="21" t="s">
        <v>1282</v>
      </c>
      <c r="H1021" s="17" t="s">
        <v>1301</v>
      </c>
      <c r="I1021" s="33">
        <v>0</v>
      </c>
      <c r="J1021" s="33">
        <v>0.4</v>
      </c>
      <c r="K1021" s="33"/>
      <c r="L1021" s="33"/>
      <c r="M1021" s="33">
        <f t="shared" si="176"/>
        <v>0.4</v>
      </c>
      <c r="N1021" s="33">
        <f>IF(OR(H1021="",H1021="sif",H1021="PM"),0,VLOOKUP(H1021,[5]CU!$C$4:$H$255,6,FALSE))</f>
        <v>2499.6039999999998</v>
      </c>
      <c r="O1021" s="33">
        <f t="shared" ref="O1021:R1063" si="180">IFERROR($N1021*I1021,0)</f>
        <v>0</v>
      </c>
      <c r="P1021" s="33">
        <f t="shared" si="180"/>
        <v>999.84159999999997</v>
      </c>
      <c r="Q1021" s="33">
        <f t="shared" si="180"/>
        <v>0</v>
      </c>
      <c r="R1021" s="33">
        <f t="shared" si="180"/>
        <v>0</v>
      </c>
      <c r="S1021" s="34">
        <f t="shared" si="179"/>
        <v>999.84159999999997</v>
      </c>
      <c r="T1021" s="35" t="s">
        <v>56</v>
      </c>
      <c r="U1021" s="18" t="s">
        <v>1206</v>
      </c>
      <c r="V1021" s="18" t="str">
        <f>IF(OR($H1021="",$H1021="sif",$H1021="PM"),"",VLOOKUP($H1021,[5]CU!$C$5:$J$255,8,FALSE))</f>
        <v>5. Investissement</v>
      </c>
      <c r="W1021" s="18" t="s">
        <v>521</v>
      </c>
      <c r="X1021" s="18" t="s">
        <v>1237</v>
      </c>
      <c r="Y1021" s="18" t="s">
        <v>677</v>
      </c>
      <c r="Z1021" s="18" t="str">
        <f>A1021 &amp; "-" &amp; VLOOKUP(A1021,[4]PROGRAMMES!$E$1:$F$7,2,FALSE)</f>
        <v>3-Expansion et réforme de l’ETFP</v>
      </c>
      <c r="AA1021" s="19" t="str">
        <f>B1021 &amp; "-" &amp; VLOOKUP(B1021,[4]SOUSPROGRAMMES!$E$1:$F$44,2,FALSE)</f>
        <v>33- Développement de l’offre de formation professionnelle et technique de qualité</v>
      </c>
      <c r="AB1021" s="19" t="str">
        <f>C1021 &amp; "-" &amp; VLOOKUP(C1021,[4]RESULTATS!$E$1:$F$176,2,FALSE)</f>
        <v>331- L’accès aux dispositifs de l’ETFP est accrue en lien avec les besoins (quantitatifs et qualitatifs) de l’économie avec une priorité accordée aux filières porteuses dans les secteurs primaire et secondaire</v>
      </c>
      <c r="AC1021" s="20" t="str">
        <f>D1021 &amp; "-" &amp; VLOOKUP(D1021,[4]STRATEGIES!$E$1:$F$504,2,FALSE)</f>
        <v>3311-Accroissement de la capacité d’accueil (infrastructures, équipements en tenant compte des besoins des apprenants porteurs de handicap et à besoins éducatifs speciaux ainsi que les catastrophes naturelles)</v>
      </c>
      <c r="AD1021" s="21" t="str">
        <f t="shared" si="174"/>
        <v>331113-Construction de la clôture de l’ENI et du CFP de Mamou</v>
      </c>
    </row>
    <row r="1022" spans="1:30" s="22" customFormat="1" ht="90" hidden="1" customHeight="1" x14ac:dyDescent="0.8">
      <c r="A1022" s="14">
        <v>3</v>
      </c>
      <c r="B1022" s="15">
        <v>33</v>
      </c>
      <c r="C1022" s="15">
        <v>331</v>
      </c>
      <c r="D1022" s="15">
        <v>3311</v>
      </c>
      <c r="E1022" s="15">
        <v>331115</v>
      </c>
      <c r="F1022" s="16" t="s">
        <v>1302</v>
      </c>
      <c r="G1022" s="21" t="s">
        <v>604</v>
      </c>
      <c r="H1022" s="17" t="s">
        <v>1303</v>
      </c>
      <c r="I1022" s="33">
        <v>0</v>
      </c>
      <c r="J1022" s="33">
        <v>0.6</v>
      </c>
      <c r="K1022" s="33">
        <v>0.3</v>
      </c>
      <c r="L1022" s="33"/>
      <c r="M1022" s="33">
        <f t="shared" si="176"/>
        <v>0.89999999999999991</v>
      </c>
      <c r="N1022" s="33">
        <f>IF(OR(H1022="",H1022="sif",H1022="PM"),0,VLOOKUP(H1022,[5]CU!$C$4:$H$255,6,FALSE))</f>
        <v>8366.5</v>
      </c>
      <c r="O1022" s="33">
        <f t="shared" si="180"/>
        <v>0</v>
      </c>
      <c r="P1022" s="33">
        <f t="shared" si="180"/>
        <v>5019.8999999999996</v>
      </c>
      <c r="Q1022" s="33">
        <f t="shared" si="180"/>
        <v>2509.9499999999998</v>
      </c>
      <c r="R1022" s="33">
        <f t="shared" si="180"/>
        <v>0</v>
      </c>
      <c r="S1022" s="34">
        <f t="shared" si="179"/>
        <v>7529.8499999999995</v>
      </c>
      <c r="T1022" s="35" t="s">
        <v>1304</v>
      </c>
      <c r="U1022" s="19" t="s">
        <v>1206</v>
      </c>
      <c r="V1022" s="19" t="str">
        <f>IF(OR($H1022="",$H1022="sif",$H1022="PM"),"",VLOOKUP($H1022,[5]CU!$C$5:$J$255,8,FALSE))</f>
        <v>5. Investissement</v>
      </c>
      <c r="W1022" s="19" t="s">
        <v>521</v>
      </c>
      <c r="X1022" s="19" t="s">
        <v>1237</v>
      </c>
      <c r="Y1022" s="18" t="s">
        <v>677</v>
      </c>
      <c r="Z1022" s="18" t="str">
        <f>A1022 &amp; "-" &amp; VLOOKUP(A1022,[4]PROGRAMMES!$E$1:$F$7,2,FALSE)</f>
        <v>3-Expansion et réforme de l’ETFP</v>
      </c>
      <c r="AA1022" s="19" t="str">
        <f>B1022 &amp; "-" &amp; VLOOKUP(B1022,[4]SOUSPROGRAMMES!$E$1:$F$44,2,FALSE)</f>
        <v>33- Développement de l’offre de formation professionnelle et technique de qualité</v>
      </c>
      <c r="AB1022" s="19" t="str">
        <f>C1022 &amp; "-" &amp; VLOOKUP(C1022,[4]RESULTATS!$E$1:$F$176,2,FALSE)</f>
        <v>331- L’accès aux dispositifs de l’ETFP est accrue en lien avec les besoins (quantitatifs et qualitatifs) de l’économie avec une priorité accordée aux filières porteuses dans les secteurs primaire et secondaire</v>
      </c>
      <c r="AC1022" s="20" t="str">
        <f>D1022 &amp; "-" &amp; VLOOKUP(D1022,[4]STRATEGIES!$E$1:$F$504,2,FALSE)</f>
        <v>3311-Accroissement de la capacité d’accueil (infrastructures, équipements en tenant compte des besoins des apprenants porteurs de handicap et à besoins éducatifs speciaux ainsi que les catastrophes naturelles)</v>
      </c>
      <c r="AD1022" s="21" t="str">
        <f t="shared" si="174"/>
        <v>331115-Rénovation et extension du CFP de Ratoma</v>
      </c>
    </row>
    <row r="1023" spans="1:30" s="22" customFormat="1" ht="90" hidden="1" customHeight="1" x14ac:dyDescent="0.8">
      <c r="A1023" s="14">
        <v>3</v>
      </c>
      <c r="B1023" s="15">
        <v>33</v>
      </c>
      <c r="C1023" s="15">
        <v>331</v>
      </c>
      <c r="D1023" s="15">
        <v>3311</v>
      </c>
      <c r="E1023" s="15">
        <v>331116</v>
      </c>
      <c r="F1023" s="16" t="s">
        <v>1305</v>
      </c>
      <c r="G1023" s="21" t="s">
        <v>604</v>
      </c>
      <c r="H1023" s="17" t="s">
        <v>1303</v>
      </c>
      <c r="I1023" s="33">
        <v>0</v>
      </c>
      <c r="J1023" s="33">
        <v>0.6</v>
      </c>
      <c r="K1023" s="33">
        <v>0.3</v>
      </c>
      <c r="L1023" s="33"/>
      <c r="M1023" s="33">
        <f t="shared" si="176"/>
        <v>0.89999999999999991</v>
      </c>
      <c r="N1023" s="33">
        <f>IF(OR(H1023="",H1023="sif",H1023="PM"),0,VLOOKUP(H1023,[5]CU!$C$4:$H$255,6,FALSE))</f>
        <v>8366.5</v>
      </c>
      <c r="O1023" s="33">
        <f t="shared" si="180"/>
        <v>0</v>
      </c>
      <c r="P1023" s="33">
        <f t="shared" si="180"/>
        <v>5019.8999999999996</v>
      </c>
      <c r="Q1023" s="33">
        <f t="shared" si="180"/>
        <v>2509.9499999999998</v>
      </c>
      <c r="R1023" s="33">
        <f t="shared" si="180"/>
        <v>0</v>
      </c>
      <c r="S1023" s="34">
        <f t="shared" si="179"/>
        <v>7529.8499999999995</v>
      </c>
      <c r="T1023" s="35" t="s">
        <v>56</v>
      </c>
      <c r="U1023" s="18" t="s">
        <v>1206</v>
      </c>
      <c r="V1023" s="18" t="str">
        <f>IF(OR($H1023="",$H1023="sif",$H1023="PM"),"",VLOOKUP($H1023,[5]CU!$C$5:$J$255,8,FALSE))</f>
        <v>5. Investissement</v>
      </c>
      <c r="W1023" s="18" t="s">
        <v>521</v>
      </c>
      <c r="X1023" s="18" t="s">
        <v>1237</v>
      </c>
      <c r="Y1023" s="18" t="s">
        <v>677</v>
      </c>
      <c r="Z1023" s="18" t="str">
        <f>A1023 &amp; "-" &amp; VLOOKUP(A1023,[4]PROGRAMMES!$E$1:$F$7,2,FALSE)</f>
        <v>3-Expansion et réforme de l’ETFP</v>
      </c>
      <c r="AA1023" s="19" t="str">
        <f>B1023 &amp; "-" &amp; VLOOKUP(B1023,[4]SOUSPROGRAMMES!$E$1:$F$44,2,FALSE)</f>
        <v>33- Développement de l’offre de formation professionnelle et technique de qualité</v>
      </c>
      <c r="AB1023" s="19" t="str">
        <f>C1023 &amp; "-" &amp; VLOOKUP(C1023,[4]RESULTATS!$E$1:$F$176,2,FALSE)</f>
        <v>331- L’accès aux dispositifs de l’ETFP est accrue en lien avec les besoins (quantitatifs et qualitatifs) de l’économie avec une priorité accordée aux filières porteuses dans les secteurs primaire et secondaire</v>
      </c>
      <c r="AC1023" s="20" t="str">
        <f>D1023 &amp; "-" &amp; VLOOKUP(D1023,[4]STRATEGIES!$E$1:$F$504,2,FALSE)</f>
        <v>3311-Accroissement de la capacité d’accueil (infrastructures, équipements en tenant compte des besoins des apprenants porteurs de handicap et à besoins éducatifs speciaux ainsi que les catastrophes naturelles)</v>
      </c>
      <c r="AD1023" s="21" t="str">
        <f t="shared" si="174"/>
        <v>331116-Rénovation et extension du CFP Bordo Kankan</v>
      </c>
    </row>
    <row r="1024" spans="1:30" s="22" customFormat="1" ht="90" hidden="1" customHeight="1" x14ac:dyDescent="0.8">
      <c r="A1024" s="14">
        <v>3</v>
      </c>
      <c r="B1024" s="15">
        <v>33</v>
      </c>
      <c r="C1024" s="15">
        <v>331</v>
      </c>
      <c r="D1024" s="15">
        <v>3311</v>
      </c>
      <c r="E1024" s="15">
        <v>331118</v>
      </c>
      <c r="F1024" s="16" t="s">
        <v>1306</v>
      </c>
      <c r="G1024" s="21" t="s">
        <v>106</v>
      </c>
      <c r="H1024" s="17" t="s">
        <v>1289</v>
      </c>
      <c r="I1024" s="33">
        <v>0</v>
      </c>
      <c r="J1024" s="33">
        <v>0</v>
      </c>
      <c r="K1024" s="33">
        <v>4</v>
      </c>
      <c r="L1024" s="33">
        <v>1</v>
      </c>
      <c r="M1024" s="33">
        <f t="shared" si="176"/>
        <v>5</v>
      </c>
      <c r="N1024" s="33">
        <f>IF(OR(H1024="",H1024="sif",H1024="PM"),0,VLOOKUP(H1024,[5]CU!$C$4:$H$255,6,FALSE))</f>
        <v>17865.557499999999</v>
      </c>
      <c r="O1024" s="33">
        <f t="shared" si="180"/>
        <v>0</v>
      </c>
      <c r="P1024" s="33">
        <f t="shared" si="180"/>
        <v>0</v>
      </c>
      <c r="Q1024" s="33">
        <f t="shared" si="180"/>
        <v>71462.23</v>
      </c>
      <c r="R1024" s="33">
        <f t="shared" si="180"/>
        <v>17865.557499999999</v>
      </c>
      <c r="S1024" s="34">
        <f t="shared" si="179"/>
        <v>89327.787499999991</v>
      </c>
      <c r="T1024" s="35" t="s">
        <v>169</v>
      </c>
      <c r="U1024" s="18" t="s">
        <v>1206</v>
      </c>
      <c r="V1024" s="18" t="str">
        <f>IF(OR($H1024="",$H1024="sif",$H1024="PM"),"",VLOOKUP($H1024,[5]CU!$C$5:$J$255,8,FALSE))</f>
        <v>5. Investissement</v>
      </c>
      <c r="W1024" s="18" t="s">
        <v>521</v>
      </c>
      <c r="X1024" s="18" t="s">
        <v>1237</v>
      </c>
      <c r="Y1024" s="18" t="s">
        <v>677</v>
      </c>
      <c r="Z1024" s="18" t="str">
        <f>A1024 &amp; "-" &amp; VLOOKUP(A1024,[4]PROGRAMMES!$E$1:$F$7,2,FALSE)</f>
        <v>3-Expansion et réforme de l’ETFP</v>
      </c>
      <c r="AA1024" s="19" t="str">
        <f>B1024 &amp; "-" &amp; VLOOKUP(B1024,[4]SOUSPROGRAMMES!$E$1:$F$44,2,FALSE)</f>
        <v>33- Développement de l’offre de formation professionnelle et technique de qualité</v>
      </c>
      <c r="AB1024" s="19" t="str">
        <f>C1024 &amp; "-" &amp; VLOOKUP(C1024,[4]RESULTATS!$E$1:$F$176,2,FALSE)</f>
        <v>331- L’accès aux dispositifs de l’ETFP est accrue en lien avec les besoins (quantitatifs et qualitatifs) de l’économie avec une priorité accordée aux filières porteuses dans les secteurs primaire et secondaire</v>
      </c>
      <c r="AC1024" s="20" t="str">
        <f>D1024 &amp; "-" &amp; VLOOKUP(D1024,[4]STRATEGIES!$E$1:$F$504,2,FALSE)</f>
        <v>3311-Accroissement de la capacité d’accueil (infrastructures, équipements en tenant compte des besoins des apprenants porteurs de handicap et à besoins éducatifs speciaux ainsi que les catastrophes naturelles)</v>
      </c>
      <c r="AD1024" s="21" t="str">
        <f t="shared" si="174"/>
        <v>331118-Equipement des ERAM de Coyah, Dabola, Kindia et Mamou</v>
      </c>
    </row>
    <row r="1025" spans="1:30" s="22" customFormat="1" ht="90" hidden="1" customHeight="1" x14ac:dyDescent="0.8">
      <c r="A1025" s="14">
        <v>3</v>
      </c>
      <c r="B1025" s="15">
        <v>33</v>
      </c>
      <c r="C1025" s="15">
        <v>331</v>
      </c>
      <c r="D1025" s="15">
        <v>3311</v>
      </c>
      <c r="E1025" s="15">
        <v>331119</v>
      </c>
      <c r="F1025" s="16" t="s">
        <v>1307</v>
      </c>
      <c r="G1025" s="21" t="s">
        <v>106</v>
      </c>
      <c r="H1025" s="17" t="s">
        <v>1308</v>
      </c>
      <c r="I1025" s="33">
        <v>0</v>
      </c>
      <c r="J1025" s="33">
        <v>3</v>
      </c>
      <c r="K1025" s="33">
        <v>4</v>
      </c>
      <c r="L1025" s="33">
        <v>3</v>
      </c>
      <c r="M1025" s="33">
        <f t="shared" si="176"/>
        <v>10</v>
      </c>
      <c r="N1025" s="33">
        <f>IF(OR(H1025="",H1025="sif",H1025="PM"),0,VLOOKUP(H1025,[5]CU!$C$4:$H$255,6,FALSE))</f>
        <v>16391</v>
      </c>
      <c r="O1025" s="33">
        <f t="shared" si="180"/>
        <v>0</v>
      </c>
      <c r="P1025" s="33">
        <f t="shared" si="180"/>
        <v>49173</v>
      </c>
      <c r="Q1025" s="33">
        <f t="shared" si="180"/>
        <v>65564</v>
      </c>
      <c r="R1025" s="33">
        <f t="shared" si="180"/>
        <v>49173</v>
      </c>
      <c r="S1025" s="34">
        <f t="shared" si="179"/>
        <v>163910</v>
      </c>
      <c r="T1025" s="35" t="s">
        <v>56</v>
      </c>
      <c r="U1025" s="18" t="s">
        <v>1206</v>
      </c>
      <c r="V1025" s="18" t="str">
        <f>IF(OR($H1025="",$H1025="sif",$H1025="PM"),"",VLOOKUP($H1025,[5]CU!$C$5:$J$255,8,FALSE))</f>
        <v>5. Investissement</v>
      </c>
      <c r="W1025" s="18" t="s">
        <v>521</v>
      </c>
      <c r="X1025" s="18" t="s">
        <v>1237</v>
      </c>
      <c r="Y1025" s="18" t="s">
        <v>677</v>
      </c>
      <c r="Z1025" s="18" t="str">
        <f>A1025 &amp; "-" &amp; VLOOKUP(A1025,[4]PROGRAMMES!$E$1:$F$7,2,FALSE)</f>
        <v>3-Expansion et réforme de l’ETFP</v>
      </c>
      <c r="AA1025" s="19" t="str">
        <f>B1025 &amp; "-" &amp; VLOOKUP(B1025,[4]SOUSPROGRAMMES!$E$1:$F$44,2,FALSE)</f>
        <v>33- Développement de l’offre de formation professionnelle et technique de qualité</v>
      </c>
      <c r="AB1025" s="19" t="str">
        <f>C1025 &amp; "-" &amp; VLOOKUP(C1025,[4]RESULTATS!$E$1:$F$176,2,FALSE)</f>
        <v>331- L’accès aux dispositifs de l’ETFP est accrue en lien avec les besoins (quantitatifs et qualitatifs) de l’économie avec une priorité accordée aux filières porteuses dans les secteurs primaire et secondaire</v>
      </c>
      <c r="AC1025" s="20" t="str">
        <f>D1025 &amp; "-" &amp; VLOOKUP(D1025,[4]STRATEGIES!$E$1:$F$504,2,FALSE)</f>
        <v>3311-Accroissement de la capacité d’accueil (infrastructures, équipements en tenant compte des besoins des apprenants porteurs de handicap et à besoins éducatifs speciaux ainsi que les catastrophes naturelles)</v>
      </c>
      <c r="AD1025" s="21" t="str">
        <f t="shared" si="174"/>
        <v>331119-Equipement des CFP</v>
      </c>
    </row>
    <row r="1026" spans="1:30" s="22" customFormat="1" ht="90" customHeight="1" x14ac:dyDescent="0.8">
      <c r="A1026" s="14">
        <v>3</v>
      </c>
      <c r="B1026" s="15">
        <v>33</v>
      </c>
      <c r="C1026" s="15">
        <v>331</v>
      </c>
      <c r="D1026" s="15">
        <v>3311</v>
      </c>
      <c r="E1026" s="15">
        <v>331120</v>
      </c>
      <c r="F1026" s="16" t="s">
        <v>1309</v>
      </c>
      <c r="G1026" s="21" t="s">
        <v>1310</v>
      </c>
      <c r="H1026" s="17" t="s">
        <v>1311</v>
      </c>
      <c r="I1026" s="33">
        <v>0</v>
      </c>
      <c r="J1026" s="33">
        <v>0.6</v>
      </c>
      <c r="K1026" s="33">
        <v>0.3</v>
      </c>
      <c r="L1026" s="33"/>
      <c r="M1026" s="33">
        <f t="shared" si="176"/>
        <v>0.89999999999999991</v>
      </c>
      <c r="N1026" s="33">
        <f>IF(OR(H1026="",H1026="sif",H1026="PM"),0,VLOOKUP(H1026,[5]CU!$C$4:$H$255,6,FALSE))</f>
        <v>95550</v>
      </c>
      <c r="O1026" s="33">
        <f t="shared" si="180"/>
        <v>0</v>
      </c>
      <c r="P1026" s="33">
        <f t="shared" si="180"/>
        <v>57330</v>
      </c>
      <c r="Q1026" s="33">
        <f t="shared" si="180"/>
        <v>28665</v>
      </c>
      <c r="R1026" s="33">
        <f t="shared" si="180"/>
        <v>0</v>
      </c>
      <c r="S1026" s="34">
        <f t="shared" si="179"/>
        <v>85995</v>
      </c>
      <c r="T1026" s="35" t="s">
        <v>1276</v>
      </c>
      <c r="U1026" s="18" t="s">
        <v>1206</v>
      </c>
      <c r="V1026" s="18" t="str">
        <f>IF(OR($H1026="",$H1026="sif",$H1026="PM"),"",VLOOKUP($H1026,[5]CU!$C$5:$J$255,8,FALSE))</f>
        <v>5. Investissement</v>
      </c>
      <c r="W1026" s="18" t="s">
        <v>1312</v>
      </c>
      <c r="X1026" s="18" t="s">
        <v>1312</v>
      </c>
      <c r="Y1026" s="18" t="s">
        <v>677</v>
      </c>
      <c r="Z1026" s="18" t="str">
        <f>A1026 &amp; "-" &amp; VLOOKUP(A1026,[4]PROGRAMMES!$E$1:$F$7,2,FALSE)</f>
        <v>3-Expansion et réforme de l’ETFP</v>
      </c>
      <c r="AA1026" s="19" t="str">
        <f>B1026 &amp; "-" &amp; VLOOKUP(B1026,[4]SOUSPROGRAMMES!$E$1:$F$44,2,FALSE)</f>
        <v>33- Développement de l’offre de formation professionnelle et technique de qualité</v>
      </c>
      <c r="AB1026" s="19" t="str">
        <f>C1026 &amp; "-" &amp; VLOOKUP(C1026,[4]RESULTATS!$E$1:$F$176,2,FALSE)</f>
        <v>331- L’accès aux dispositifs de l’ETFP est accrue en lien avec les besoins (quantitatifs et qualitatifs) de l’économie avec une priorité accordée aux filières porteuses dans les secteurs primaire et secondaire</v>
      </c>
      <c r="AC1026" s="20" t="str">
        <f>D1026 &amp; "-" &amp; VLOOKUP(D1026,[4]STRATEGIES!$E$1:$F$504,2,FALSE)</f>
        <v>3311-Accroissement de la capacité d’accueil (infrastructures, équipements en tenant compte des besoins des apprenants porteurs de handicap et à besoins éducatifs speciaux ainsi que les catastrophes naturelles)</v>
      </c>
      <c r="AD1026" s="21" t="str">
        <f t="shared" si="174"/>
        <v>331120-Rénovation et extension des infrastructures de l'ENAM, de l'ENPET, de CEPERTAM, des CFP et ENAE de Matoto,  Beyla, Fria, Boké, Koba, Tolo,Macenta et du CAFPPS Macenta</v>
      </c>
    </row>
    <row r="1027" spans="1:30" s="22" customFormat="1" ht="90" customHeight="1" x14ac:dyDescent="0.8">
      <c r="A1027" s="14">
        <v>3</v>
      </c>
      <c r="B1027" s="15">
        <v>33</v>
      </c>
      <c r="C1027" s="15">
        <v>331</v>
      </c>
      <c r="D1027" s="15">
        <v>3311</v>
      </c>
      <c r="E1027" s="15">
        <v>331121</v>
      </c>
      <c r="F1027" s="16" t="s">
        <v>1313</v>
      </c>
      <c r="G1027" s="21" t="s">
        <v>106</v>
      </c>
      <c r="H1027" s="17" t="s">
        <v>1314</v>
      </c>
      <c r="I1027" s="33">
        <v>0</v>
      </c>
      <c r="J1027" s="33">
        <v>0.1</v>
      </c>
      <c r="K1027" s="33">
        <v>0.9</v>
      </c>
      <c r="L1027" s="33"/>
      <c r="M1027" s="33">
        <f t="shared" si="176"/>
        <v>1</v>
      </c>
      <c r="N1027" s="33">
        <f>IF(OR(H1027="",H1027="sif",H1027="PM"),0,VLOOKUP(H1027,[5]CU!$C$4:$H$255,6,FALSE))</f>
        <v>89775</v>
      </c>
      <c r="O1027" s="33">
        <f t="shared" si="180"/>
        <v>0</v>
      </c>
      <c r="P1027" s="33">
        <f t="shared" si="180"/>
        <v>8977.5</v>
      </c>
      <c r="Q1027" s="33">
        <f t="shared" si="180"/>
        <v>80797.5</v>
      </c>
      <c r="R1027" s="33">
        <f t="shared" si="180"/>
        <v>0</v>
      </c>
      <c r="S1027" s="34">
        <f t="shared" si="179"/>
        <v>89775</v>
      </c>
      <c r="T1027" s="35" t="s">
        <v>1276</v>
      </c>
      <c r="U1027" s="18" t="s">
        <v>1206</v>
      </c>
      <c r="V1027" s="18" t="str">
        <f>IF(OR($H1027="",$H1027="sif",$H1027="PM"),"",VLOOKUP($H1027,[5]CU!$C$5:$J$255,8,FALSE))</f>
        <v>5. Investissement</v>
      </c>
      <c r="W1027" s="18" t="s">
        <v>1312</v>
      </c>
      <c r="X1027" s="18" t="s">
        <v>1312</v>
      </c>
      <c r="Y1027" s="18" t="s">
        <v>677</v>
      </c>
      <c r="Z1027" s="18" t="str">
        <f>A1027 &amp; "-" &amp; VLOOKUP(A1027,[4]PROGRAMMES!$E$1:$F$7,2,FALSE)</f>
        <v>3-Expansion et réforme de l’ETFP</v>
      </c>
      <c r="AA1027" s="19" t="str">
        <f>B1027 &amp; "-" &amp; VLOOKUP(B1027,[4]SOUSPROGRAMMES!$E$1:$F$44,2,FALSE)</f>
        <v>33- Développement de l’offre de formation professionnelle et technique de qualité</v>
      </c>
      <c r="AB1027" s="19" t="str">
        <f>C1027 &amp; "-" &amp; VLOOKUP(C1027,[4]RESULTATS!$E$1:$F$176,2,FALSE)</f>
        <v>331- L’accès aux dispositifs de l’ETFP est accrue en lien avec les besoins (quantitatifs et qualitatifs) de l’économie avec une priorité accordée aux filières porteuses dans les secteurs primaire et secondaire</v>
      </c>
      <c r="AC1027" s="20" t="str">
        <f>D1027 &amp; "-" &amp; VLOOKUP(D1027,[4]STRATEGIES!$E$1:$F$504,2,FALSE)</f>
        <v>3311-Accroissement de la capacité d’accueil (infrastructures, équipements en tenant compte des besoins des apprenants porteurs de handicap et à besoins éducatifs speciaux ainsi que les catastrophes naturelles)</v>
      </c>
      <c r="AD1027" s="21" t="str">
        <f t="shared" si="174"/>
        <v>331121-Equipement ateliers de l'ENAM, de l'ENPET, de CEPERTAM, des CFP et ENAE de Matoto, Macenta, Beyla, Fria, Boké, Koba, Tolo, et du CAFPPS Macenta</v>
      </c>
    </row>
    <row r="1028" spans="1:30" s="22" customFormat="1" ht="90" hidden="1" customHeight="1" x14ac:dyDescent="0.8">
      <c r="A1028" s="14">
        <v>3</v>
      </c>
      <c r="B1028" s="15">
        <v>33</v>
      </c>
      <c r="C1028" s="15">
        <v>331</v>
      </c>
      <c r="D1028" s="15">
        <v>3311</v>
      </c>
      <c r="E1028" s="15">
        <v>331122</v>
      </c>
      <c r="F1028" s="16" t="s">
        <v>1315</v>
      </c>
      <c r="G1028" s="21" t="s">
        <v>1310</v>
      </c>
      <c r="H1028" s="17" t="s">
        <v>1316</v>
      </c>
      <c r="I1028" s="33">
        <v>0</v>
      </c>
      <c r="J1028" s="33">
        <v>0.4</v>
      </c>
      <c r="K1028" s="33"/>
      <c r="L1028" s="33"/>
      <c r="M1028" s="33">
        <f t="shared" si="176"/>
        <v>0.4</v>
      </c>
      <c r="N1028" s="33">
        <f>IF(OR(H1028="",H1028="sif",H1028="PM"),0,VLOOKUP(H1028,[5]CU!$C$4:$H$255,6,FALSE))</f>
        <v>6175</v>
      </c>
      <c r="O1028" s="33">
        <f t="shared" si="180"/>
        <v>0</v>
      </c>
      <c r="P1028" s="33">
        <f t="shared" si="180"/>
        <v>2470</v>
      </c>
      <c r="Q1028" s="33">
        <f t="shared" si="180"/>
        <v>0</v>
      </c>
      <c r="R1028" s="33">
        <f t="shared" si="180"/>
        <v>0</v>
      </c>
      <c r="S1028" s="34">
        <f t="shared" si="179"/>
        <v>2470</v>
      </c>
      <c r="T1028" s="35" t="s">
        <v>1304</v>
      </c>
      <c r="U1028" s="19" t="s">
        <v>1206</v>
      </c>
      <c r="V1028" s="19" t="str">
        <f>IF(OR($H1028="",$H1028="sif",$H1028="PM"),"",VLOOKUP($H1028,[5]CU!$C$5:$J$255,8,FALSE))</f>
        <v>5. Investissement</v>
      </c>
      <c r="W1028" s="19" t="s">
        <v>1317</v>
      </c>
      <c r="X1028" s="19" t="s">
        <v>1318</v>
      </c>
      <c r="Y1028" s="18" t="s">
        <v>677</v>
      </c>
      <c r="Z1028" s="18" t="str">
        <f>A1028 &amp; "-" &amp; VLOOKUP(A1028,[4]PROGRAMMES!$E$1:$F$7,2,FALSE)</f>
        <v>3-Expansion et réforme de l’ETFP</v>
      </c>
      <c r="AA1028" s="19" t="str">
        <f>B1028 &amp; "-" &amp; VLOOKUP(B1028,[4]SOUSPROGRAMMES!$E$1:$F$44,2,FALSE)</f>
        <v>33- Développement de l’offre de formation professionnelle et technique de qualité</v>
      </c>
      <c r="AB1028" s="19" t="str">
        <f>C1028 &amp; "-" &amp; VLOOKUP(C1028,[4]RESULTATS!$E$1:$F$176,2,FALSE)</f>
        <v>331- L’accès aux dispositifs de l’ETFP est accrue en lien avec les besoins (quantitatifs et qualitatifs) de l’économie avec une priorité accordée aux filières porteuses dans les secteurs primaire et secondaire</v>
      </c>
      <c r="AC1028" s="20" t="str">
        <f>D1028 &amp; "-" &amp; VLOOKUP(D1028,[4]STRATEGIES!$E$1:$F$504,2,FALSE)</f>
        <v>3311-Accroissement de la capacité d’accueil (infrastructures, équipements en tenant compte des besoins des apprenants porteurs de handicap et à besoins éducatifs speciaux ainsi que les catastrophes naturelles)</v>
      </c>
      <c r="AD1028" s="21" t="str">
        <f t="shared" ref="AD1028:AD1091" si="181">E1028 &amp; "-" &amp; F1028</f>
        <v>331122-Rénovation et équipement des ateliers des CFP Donka, Ratoma, CENFOTH</v>
      </c>
    </row>
    <row r="1029" spans="1:30" s="22" customFormat="1" ht="90" hidden="1" customHeight="1" x14ac:dyDescent="0.8">
      <c r="A1029" s="14">
        <v>3</v>
      </c>
      <c r="B1029" s="15">
        <v>33</v>
      </c>
      <c r="C1029" s="15">
        <v>331</v>
      </c>
      <c r="D1029" s="15">
        <v>3312</v>
      </c>
      <c r="E1029" s="15">
        <v>3312</v>
      </c>
      <c r="F1029" s="16" t="s">
        <v>1319</v>
      </c>
      <c r="G1029" s="17"/>
      <c r="H1029" s="17"/>
      <c r="I1029" s="33">
        <v>0</v>
      </c>
      <c r="J1029" s="33"/>
      <c r="K1029" s="33"/>
      <c r="L1029" s="33"/>
      <c r="M1029" s="33"/>
      <c r="N1029" s="33"/>
      <c r="O1029" s="33"/>
      <c r="P1029" s="33"/>
      <c r="Q1029" s="33"/>
      <c r="R1029" s="33"/>
      <c r="S1029" s="34"/>
      <c r="T1029" s="33"/>
      <c r="U1029" s="18"/>
      <c r="V1029" s="18"/>
      <c r="W1029" s="18"/>
      <c r="X1029" s="18"/>
      <c r="Y1029" s="18" t="s">
        <v>677</v>
      </c>
      <c r="Z1029" s="18" t="str">
        <f>A1029 &amp; "-" &amp; VLOOKUP(A1029,[4]PROGRAMMES!$E$1:$F$7,2,FALSE)</f>
        <v>3-Expansion et réforme de l’ETFP</v>
      </c>
      <c r="AA1029" s="19" t="str">
        <f>B1029 &amp; "-" &amp; VLOOKUP(B1029,[4]SOUSPROGRAMMES!$E$1:$F$44,2,FALSE)</f>
        <v>33- Développement de l’offre de formation professionnelle et technique de qualité</v>
      </c>
      <c r="AB1029" s="19" t="str">
        <f>C1029 &amp; "-" &amp; VLOOKUP(C1029,[4]RESULTATS!$E$1:$F$176,2,FALSE)</f>
        <v>331- L’accès aux dispositifs de l’ETFP est accrue en lien avec les besoins (quantitatifs et qualitatifs) de l’économie avec une priorité accordée aux filières porteuses dans les secteurs primaire et secondaire</v>
      </c>
      <c r="AC1029" s="20" t="str">
        <f>D1029 &amp; "-" &amp; VLOOKUP(D1029,[4]STRATEGIES!$E$1:$F$504,2,FALSE)</f>
        <v>3312-Dotation des établissements en personnel qualifié suffisant</v>
      </c>
      <c r="AD1029" s="21" t="str">
        <f t="shared" si="181"/>
        <v>3312-Dotation des établissements en personnel qualifié suffisant</v>
      </c>
    </row>
    <row r="1030" spans="1:30" s="22" customFormat="1" ht="90" hidden="1" customHeight="1" x14ac:dyDescent="0.8">
      <c r="A1030" s="14">
        <v>3</v>
      </c>
      <c r="B1030" s="15">
        <v>33</v>
      </c>
      <c r="C1030" s="15">
        <v>331</v>
      </c>
      <c r="D1030" s="15">
        <v>3312</v>
      </c>
      <c r="E1030" s="15">
        <v>33121</v>
      </c>
      <c r="F1030" s="16" t="s">
        <v>1320</v>
      </c>
      <c r="G1030" s="21" t="s">
        <v>1321</v>
      </c>
      <c r="H1030" s="17" t="s">
        <v>1322</v>
      </c>
      <c r="I1030" s="33">
        <v>0</v>
      </c>
      <c r="J1030" s="33">
        <v>0.86929068308295498</v>
      </c>
      <c r="K1030" s="33">
        <v>1.0731920814281699</v>
      </c>
      <c r="L1030" s="33">
        <v>1.35448177220855</v>
      </c>
      <c r="M1030" s="33">
        <f t="shared" si="176"/>
        <v>3.2969645367196749</v>
      </c>
      <c r="N1030" s="33">
        <f>IF(OR(H1030="",H1030="sif",H1030="PM"),0,VLOOKUP(H1030,[5]CU!$C$4:$H$255,6,FALSE))</f>
        <v>70656.731413700894</v>
      </c>
      <c r="O1030" s="33">
        <f t="shared" si="180"/>
        <v>0</v>
      </c>
      <c r="P1030" s="33">
        <f t="shared" si="180"/>
        <v>61421.238315024937</v>
      </c>
      <c r="Q1030" s="33">
        <f t="shared" si="180"/>
        <v>75828.244652780821</v>
      </c>
      <c r="R1030" s="33">
        <f t="shared" si="180"/>
        <v>95703.254783693119</v>
      </c>
      <c r="S1030" s="34">
        <f t="shared" si="179"/>
        <v>232952.73775149888</v>
      </c>
      <c r="T1030" s="35" t="s">
        <v>56</v>
      </c>
      <c r="U1030" s="18" t="s">
        <v>1206</v>
      </c>
      <c r="V1030" s="18" t="str">
        <f>IF(OR($H1030="",$H1030="sif",$H1030="PM"),"",VLOOKUP($H1030,[5]CU!$C$5:$J$255,8,FALSE))</f>
        <v>2. Personnel</v>
      </c>
      <c r="W1030" s="18" t="s">
        <v>1323</v>
      </c>
      <c r="X1030" s="18" t="s">
        <v>142</v>
      </c>
      <c r="Y1030" s="18" t="s">
        <v>677</v>
      </c>
      <c r="Z1030" s="18" t="str">
        <f>A1030 &amp; "-" &amp; VLOOKUP(A1030,[4]PROGRAMMES!$E$1:$F$7,2,FALSE)</f>
        <v>3-Expansion et réforme de l’ETFP</v>
      </c>
      <c r="AA1030" s="19" t="str">
        <f>B1030 &amp; "-" &amp; VLOOKUP(B1030,[4]SOUSPROGRAMMES!$E$1:$F$44,2,FALSE)</f>
        <v>33- Développement de l’offre de formation professionnelle et technique de qualité</v>
      </c>
      <c r="AB1030" s="19" t="str">
        <f>C1030 &amp; "-" &amp; VLOOKUP(C1030,[4]RESULTATS!$E$1:$F$176,2,FALSE)</f>
        <v>331- L’accès aux dispositifs de l’ETFP est accrue en lien avec les besoins (quantitatifs et qualitatifs) de l’économie avec une priorité accordée aux filières porteuses dans les secteurs primaire et secondaire</v>
      </c>
      <c r="AC1030" s="20" t="str">
        <f>D1030 &amp; "-" &amp; VLOOKUP(D1030,[4]STRATEGIES!$E$1:$F$504,2,FALSE)</f>
        <v>3312-Dotation des établissements en personnel qualifié suffisant</v>
      </c>
      <c r="AD1030" s="21" t="str">
        <f t="shared" si="181"/>
        <v>33121-Recrutement du personnel de formation pour les centres de formation (hors ENI)</v>
      </c>
    </row>
    <row r="1031" spans="1:30" s="22" customFormat="1" ht="90" hidden="1" customHeight="1" x14ac:dyDescent="0.8">
      <c r="A1031" s="14">
        <v>3</v>
      </c>
      <c r="B1031" s="15">
        <v>33</v>
      </c>
      <c r="C1031" s="15">
        <v>331</v>
      </c>
      <c r="D1031" s="15">
        <v>3312</v>
      </c>
      <c r="E1031" s="15">
        <v>33122</v>
      </c>
      <c r="F1031" s="16" t="s">
        <v>1324</v>
      </c>
      <c r="G1031" s="21" t="s">
        <v>92</v>
      </c>
      <c r="H1031" s="17" t="s">
        <v>55</v>
      </c>
      <c r="I1031" s="33">
        <v>0</v>
      </c>
      <c r="J1031" s="33">
        <v>400</v>
      </c>
      <c r="K1031" s="33">
        <v>400</v>
      </c>
      <c r="L1031" s="33">
        <v>400</v>
      </c>
      <c r="M1031" s="33">
        <f t="shared" si="176"/>
        <v>1200</v>
      </c>
      <c r="N1031" s="33">
        <f>IF(OR(H1031="",H1031="sif",H1031="PM"),0,VLOOKUP(H1031,[5]CU!$C$4:$H$255,6,FALSE))</f>
        <v>0</v>
      </c>
      <c r="O1031" s="33">
        <f t="shared" si="180"/>
        <v>0</v>
      </c>
      <c r="P1031" s="33">
        <f t="shared" si="180"/>
        <v>0</v>
      </c>
      <c r="Q1031" s="33">
        <f t="shared" si="180"/>
        <v>0</v>
      </c>
      <c r="R1031" s="33">
        <f t="shared" si="180"/>
        <v>0</v>
      </c>
      <c r="S1031" s="34"/>
      <c r="T1031" s="35" t="s">
        <v>56</v>
      </c>
      <c r="U1031" s="18" t="s">
        <v>1206</v>
      </c>
      <c r="V1031" s="18" t="str">
        <f>IF(OR($H1031="",$H1031="sif",$H1031="PM"),"",VLOOKUP($H1031,[5]CU!$C$5:$J$255,8,FALSE))</f>
        <v/>
      </c>
      <c r="W1031" s="18"/>
      <c r="X1031" s="18"/>
      <c r="Y1031" s="18" t="s">
        <v>677</v>
      </c>
      <c r="Z1031" s="18" t="str">
        <f>A1031 &amp; "-" &amp; VLOOKUP(A1031,[4]PROGRAMMES!$E$1:$F$7,2,FALSE)</f>
        <v>3-Expansion et réforme de l’ETFP</v>
      </c>
      <c r="AA1031" s="19" t="str">
        <f>B1031 &amp; "-" &amp; VLOOKUP(B1031,[4]SOUSPROGRAMMES!$E$1:$F$44,2,FALSE)</f>
        <v>33- Développement de l’offre de formation professionnelle et technique de qualité</v>
      </c>
      <c r="AB1031" s="19" t="str">
        <f>C1031 &amp; "-" &amp; VLOOKUP(C1031,[4]RESULTATS!$E$1:$F$176,2,FALSE)</f>
        <v>331- L’accès aux dispositifs de l’ETFP est accrue en lien avec les besoins (quantitatifs et qualitatifs) de l’économie avec une priorité accordée aux filières porteuses dans les secteurs primaire et secondaire</v>
      </c>
      <c r="AC1031" s="20" t="str">
        <f>D1031 &amp; "-" &amp; VLOOKUP(D1031,[4]STRATEGIES!$E$1:$F$504,2,FALSE)</f>
        <v>3312-Dotation des établissements en personnel qualifié suffisant</v>
      </c>
      <c r="AD1031" s="21" t="str">
        <f t="shared" si="181"/>
        <v>33122-Formation du personnel enseignant à l’ENPET (CFP, ENAE, Ecoles de SANTE)</v>
      </c>
    </row>
    <row r="1032" spans="1:30" s="22" customFormat="1" ht="90" hidden="1" customHeight="1" x14ac:dyDescent="0.8">
      <c r="A1032" s="14">
        <v>3</v>
      </c>
      <c r="B1032" s="15">
        <v>33</v>
      </c>
      <c r="C1032" s="15">
        <v>331</v>
      </c>
      <c r="D1032" s="15">
        <v>3312</v>
      </c>
      <c r="E1032" s="15">
        <v>33123</v>
      </c>
      <c r="F1032" s="16" t="s">
        <v>1325</v>
      </c>
      <c r="G1032" s="21" t="s">
        <v>1326</v>
      </c>
      <c r="H1032" s="17" t="s">
        <v>1327</v>
      </c>
      <c r="I1032" s="33">
        <v>0</v>
      </c>
      <c r="J1032" s="33">
        <f>I1032/4*2</f>
        <v>0</v>
      </c>
      <c r="K1032" s="33">
        <v>30</v>
      </c>
      <c r="L1032" s="33"/>
      <c r="M1032" s="33">
        <f t="shared" si="176"/>
        <v>30</v>
      </c>
      <c r="N1032" s="33">
        <f>IF(OR(H1032="",H1032="sif",H1032="PM"),0,VLOOKUP(H1032,[5]CU!$C$4:$H$255,6,FALSE))</f>
        <v>252</v>
      </c>
      <c r="O1032" s="33">
        <f t="shared" si="180"/>
        <v>0</v>
      </c>
      <c r="P1032" s="33">
        <f t="shared" si="180"/>
        <v>0</v>
      </c>
      <c r="Q1032" s="33">
        <f t="shared" si="180"/>
        <v>7560</v>
      </c>
      <c r="R1032" s="33">
        <f t="shared" si="180"/>
        <v>0</v>
      </c>
      <c r="S1032" s="34">
        <f>SUM(O1032:R1032)</f>
        <v>7560</v>
      </c>
      <c r="T1032" s="35" t="s">
        <v>56</v>
      </c>
      <c r="U1032" s="18" t="s">
        <v>1206</v>
      </c>
      <c r="V1032" s="18" t="str">
        <f>IF(OR($H1032="",$H1032="sif",$H1032="PM"),"",VLOOKUP($H1032,[5]CU!$C$5:$J$255,8,FALSE))</f>
        <v>3. Formation</v>
      </c>
      <c r="W1032" s="18"/>
      <c r="X1032" s="18"/>
      <c r="Y1032" s="18" t="s">
        <v>677</v>
      </c>
      <c r="Z1032" s="18" t="str">
        <f>A1032 &amp; "-" &amp; VLOOKUP(A1032,[4]PROGRAMMES!$E$1:$F$7,2,FALSE)</f>
        <v>3-Expansion et réforme de l’ETFP</v>
      </c>
      <c r="AA1032" s="19" t="str">
        <f>B1032 &amp; "-" &amp; VLOOKUP(B1032,[4]SOUSPROGRAMMES!$E$1:$F$44,2,FALSE)</f>
        <v>33- Développement de l’offre de formation professionnelle et technique de qualité</v>
      </c>
      <c r="AB1032" s="19" t="str">
        <f>C1032 &amp; "-" &amp; VLOOKUP(C1032,[4]RESULTATS!$E$1:$F$176,2,FALSE)</f>
        <v>331- L’accès aux dispositifs de l’ETFP est accrue en lien avec les besoins (quantitatifs et qualitatifs) de l’économie avec une priorité accordée aux filières porteuses dans les secteurs primaire et secondaire</v>
      </c>
      <c r="AC1032" s="20" t="str">
        <f>D1032 &amp; "-" &amp; VLOOKUP(D1032,[4]STRATEGIES!$E$1:$F$504,2,FALSE)</f>
        <v>3312-Dotation des établissements en personnel qualifié suffisant</v>
      </c>
      <c r="AD1032" s="21" t="str">
        <f t="shared" si="181"/>
        <v>33123-Formation du personnel enseignant des ERAM à l'étranger</v>
      </c>
    </row>
    <row r="1033" spans="1:30" s="22" customFormat="1" ht="90" hidden="1" customHeight="1" x14ac:dyDescent="0.8">
      <c r="A1033" s="14">
        <v>3</v>
      </c>
      <c r="B1033" s="15">
        <v>33</v>
      </c>
      <c r="C1033" s="15">
        <v>331</v>
      </c>
      <c r="D1033" s="15">
        <v>3312</v>
      </c>
      <c r="E1033" s="15">
        <v>33124</v>
      </c>
      <c r="F1033" s="16" t="s">
        <v>1328</v>
      </c>
      <c r="G1033" s="21" t="s">
        <v>92</v>
      </c>
      <c r="H1033" s="17" t="s">
        <v>55</v>
      </c>
      <c r="I1033" s="33">
        <v>0</v>
      </c>
      <c r="J1033" s="33">
        <f>I1033*5/100+256</f>
        <v>256</v>
      </c>
      <c r="K1033" s="33">
        <f>+I1033*0.05+269</f>
        <v>269</v>
      </c>
      <c r="L1033" s="33">
        <f>+K1033*0.05+282</f>
        <v>295.45</v>
      </c>
      <c r="M1033" s="33">
        <f t="shared" si="176"/>
        <v>820.45</v>
      </c>
      <c r="N1033" s="33">
        <f>IF(OR(H1033="",H1033="sif",H1033="PM"),0,VLOOKUP(H1033,[5]CU!$C$4:$H$255,6,FALSE))</f>
        <v>0</v>
      </c>
      <c r="O1033" s="33">
        <f t="shared" si="180"/>
        <v>0</v>
      </c>
      <c r="P1033" s="33">
        <f t="shared" si="180"/>
        <v>0</v>
      </c>
      <c r="Q1033" s="33">
        <f t="shared" si="180"/>
        <v>0</v>
      </c>
      <c r="R1033" s="33">
        <f t="shared" si="180"/>
        <v>0</v>
      </c>
      <c r="S1033" s="34"/>
      <c r="T1033" s="35" t="s">
        <v>56</v>
      </c>
      <c r="U1033" s="18" t="s">
        <v>1206</v>
      </c>
      <c r="V1033" s="18" t="str">
        <f>IF(OR($H1033="",$H1033="sif",$H1033="PM"),"",VLOOKUP($H1033,[5]CU!$C$5:$J$255,8,FALSE))</f>
        <v/>
      </c>
      <c r="W1033" s="18" t="s">
        <v>521</v>
      </c>
      <c r="X1033" s="18" t="s">
        <v>1329</v>
      </c>
      <c r="Y1033" s="18" t="s">
        <v>677</v>
      </c>
      <c r="Z1033" s="18" t="str">
        <f>A1033 &amp; "-" &amp; VLOOKUP(A1033,[4]PROGRAMMES!$E$1:$F$7,2,FALSE)</f>
        <v>3-Expansion et réforme de l’ETFP</v>
      </c>
      <c r="AA1033" s="19" t="str">
        <f>B1033 &amp; "-" &amp; VLOOKUP(B1033,[4]SOUSPROGRAMMES!$E$1:$F$44,2,FALSE)</f>
        <v>33- Développement de l’offre de formation professionnelle et technique de qualité</v>
      </c>
      <c r="AB1033" s="19" t="str">
        <f>C1033 &amp; "-" &amp; VLOOKUP(C1033,[4]RESULTATS!$E$1:$F$176,2,FALSE)</f>
        <v>331- L’accès aux dispositifs de l’ETFP est accrue en lien avec les besoins (quantitatifs et qualitatifs) de l’économie avec une priorité accordée aux filières porteuses dans les secteurs primaire et secondaire</v>
      </c>
      <c r="AC1033" s="20" t="str">
        <f>D1033 &amp; "-" &amp; VLOOKUP(D1033,[4]STRATEGIES!$E$1:$F$504,2,FALSE)</f>
        <v>3312-Dotation des établissements en personnel qualifié suffisant</v>
      </c>
      <c r="AD1033" s="21" t="str">
        <f t="shared" si="181"/>
        <v>33124-Dotation des établissements du post primaire pour la prise en charge de la vacation des professionnels (voir budget établissement)</v>
      </c>
    </row>
    <row r="1034" spans="1:30" s="22" customFormat="1" ht="90" hidden="1" customHeight="1" x14ac:dyDescent="0.8">
      <c r="A1034" s="14">
        <v>3</v>
      </c>
      <c r="B1034" s="15">
        <v>33</v>
      </c>
      <c r="C1034" s="15">
        <v>331</v>
      </c>
      <c r="D1034" s="15">
        <v>3313</v>
      </c>
      <c r="E1034" s="15">
        <v>3313</v>
      </c>
      <c r="F1034" s="16" t="s">
        <v>1330</v>
      </c>
      <c r="G1034" s="17"/>
      <c r="H1034" s="17"/>
      <c r="I1034" s="33">
        <v>0</v>
      </c>
      <c r="J1034" s="33"/>
      <c r="K1034" s="33"/>
      <c r="L1034" s="33"/>
      <c r="M1034" s="33"/>
      <c r="N1034" s="33"/>
      <c r="O1034" s="33"/>
      <c r="P1034" s="33"/>
      <c r="Q1034" s="33"/>
      <c r="R1034" s="33"/>
      <c r="S1034" s="34"/>
      <c r="T1034" s="33"/>
      <c r="U1034" s="18"/>
      <c r="V1034" s="18"/>
      <c r="W1034" s="18"/>
      <c r="X1034" s="18"/>
      <c r="Y1034" s="18" t="s">
        <v>677</v>
      </c>
      <c r="Z1034" s="18" t="str">
        <f>A1034 &amp; "-" &amp; VLOOKUP(A1034,[4]PROGRAMMES!$E$1:$F$7,2,FALSE)</f>
        <v>3-Expansion et réforme de l’ETFP</v>
      </c>
      <c r="AA1034" s="19" t="str">
        <f>B1034 &amp; "-" &amp; VLOOKUP(B1034,[4]SOUSPROGRAMMES!$E$1:$F$44,2,FALSE)</f>
        <v>33- Développement de l’offre de formation professionnelle et technique de qualité</v>
      </c>
      <c r="AB1034" s="19" t="str">
        <f>C1034 &amp; "-" &amp; VLOOKUP(C1034,[4]RESULTATS!$E$1:$F$176,2,FALSE)</f>
        <v>331- L’accès aux dispositifs de l’ETFP est accrue en lien avec les besoins (quantitatifs et qualitatifs) de l’économie avec une priorité accordée aux filières porteuses dans les secteurs primaire et secondaire</v>
      </c>
      <c r="AC1034" s="20" t="str">
        <f>D1034 &amp; "-" &amp; VLOOKUP(D1034,[4]STRATEGIES!$E$1:$F$504,2,FALSE)</f>
        <v>3313-Application de divers modes de formation (apprentissage, résidentiel, alternance, en situation de travail…)</v>
      </c>
      <c r="AD1034" s="21" t="str">
        <f t="shared" si="181"/>
        <v>3313-Application de divers modes de formation (apprentissage, résidentiel, alternance, en situation de travail…)</v>
      </c>
    </row>
    <row r="1035" spans="1:30" s="22" customFormat="1" ht="90" hidden="1" customHeight="1" x14ac:dyDescent="0.8">
      <c r="A1035" s="14">
        <v>3</v>
      </c>
      <c r="B1035" s="15">
        <v>33</v>
      </c>
      <c r="C1035" s="15">
        <v>331</v>
      </c>
      <c r="D1035" s="15">
        <v>3313</v>
      </c>
      <c r="E1035" s="15">
        <v>33131</v>
      </c>
      <c r="F1035" s="16" t="s">
        <v>1331</v>
      </c>
      <c r="G1035" s="21" t="s">
        <v>1332</v>
      </c>
      <c r="H1035" s="17" t="s">
        <v>1333</v>
      </c>
      <c r="I1035" s="33">
        <v>0</v>
      </c>
      <c r="J1035" s="33"/>
      <c r="K1035" s="33"/>
      <c r="L1035" s="33">
        <v>11107</v>
      </c>
      <c r="M1035" s="33">
        <f t="shared" si="176"/>
        <v>11107</v>
      </c>
      <c r="N1035" s="33">
        <f>IF(OR(H1035="",H1035="sif",H1035="PM"),0,VLOOKUP(H1035,[5]CU!$C$4:$H$255,6,FALSE))</f>
        <v>0.12571428571428572</v>
      </c>
      <c r="O1035" s="33">
        <f t="shared" si="180"/>
        <v>0</v>
      </c>
      <c r="P1035" s="33">
        <f t="shared" si="180"/>
        <v>0</v>
      </c>
      <c r="Q1035" s="33">
        <f t="shared" si="180"/>
        <v>0</v>
      </c>
      <c r="R1035" s="33">
        <f t="shared" si="180"/>
        <v>1396.3085714285714</v>
      </c>
      <c r="S1035" s="34">
        <f>SUM(O1035:R1035)</f>
        <v>1396.3085714285714</v>
      </c>
      <c r="T1035" s="35" t="s">
        <v>56</v>
      </c>
      <c r="U1035" s="18" t="s">
        <v>1206</v>
      </c>
      <c r="V1035" s="18" t="str">
        <f>IF(OR($H1035="",$H1035="sif",$H1035="PM"),"",VLOOKUP($H1035,[5]CU!$C$5:$J$255,8,FALSE))</f>
        <v>3. Dépenses de fonctionnement</v>
      </c>
      <c r="W1035" s="18" t="s">
        <v>1334</v>
      </c>
      <c r="X1035" s="18" t="s">
        <v>1335</v>
      </c>
      <c r="Y1035" s="18" t="s">
        <v>677</v>
      </c>
      <c r="Z1035" s="18" t="str">
        <f>A1035 &amp; "-" &amp; VLOOKUP(A1035,[4]PROGRAMMES!$E$1:$F$7,2,FALSE)</f>
        <v>3-Expansion et réforme de l’ETFP</v>
      </c>
      <c r="AA1035" s="19" t="str">
        <f>B1035 &amp; "-" &amp; VLOOKUP(B1035,[4]SOUSPROGRAMMES!$E$1:$F$44,2,FALSE)</f>
        <v>33- Développement de l’offre de formation professionnelle et technique de qualité</v>
      </c>
      <c r="AB1035" s="19" t="str">
        <f>C1035 &amp; "-" &amp; VLOOKUP(C1035,[4]RESULTATS!$E$1:$F$176,2,FALSE)</f>
        <v>331- L’accès aux dispositifs de l’ETFP est accrue en lien avec les besoins (quantitatifs et qualitatifs) de l’économie avec une priorité accordée aux filières porteuses dans les secteurs primaire et secondaire</v>
      </c>
      <c r="AC1035" s="20" t="str">
        <f>D1035 &amp; "-" &amp; VLOOKUP(D1035,[4]STRATEGIES!$E$1:$F$504,2,FALSE)</f>
        <v>3313-Application de divers modes de formation (apprentissage, résidentiel, alternance, en situation de travail…)</v>
      </c>
      <c r="AD1035" s="21" t="str">
        <f t="shared" si="181"/>
        <v>33131-Encadrement et appui méthodologique aux maitres apprentis retenus</v>
      </c>
    </row>
    <row r="1036" spans="1:30" s="22" customFormat="1" ht="90" hidden="1" customHeight="1" x14ac:dyDescent="0.8">
      <c r="A1036" s="14">
        <v>3</v>
      </c>
      <c r="B1036" s="15">
        <v>33</v>
      </c>
      <c r="C1036" s="15">
        <v>331</v>
      </c>
      <c r="D1036" s="15">
        <v>3313</v>
      </c>
      <c r="E1036" s="15">
        <v>33132</v>
      </c>
      <c r="F1036" s="16" t="s">
        <v>1336</v>
      </c>
      <c r="G1036" s="21" t="s">
        <v>1337</v>
      </c>
      <c r="H1036" s="17" t="s">
        <v>1338</v>
      </c>
      <c r="I1036" s="33">
        <v>0</v>
      </c>
      <c r="J1036" s="33"/>
      <c r="K1036" s="33"/>
      <c r="L1036" s="33">
        <f>L1035/20</f>
        <v>555.35</v>
      </c>
      <c r="M1036" s="33">
        <f t="shared" si="176"/>
        <v>555.35</v>
      </c>
      <c r="N1036" s="33">
        <f>IF(OR(H1036="",H1036="sif",H1036="PM"),0,VLOOKUP(H1036,[5]CU!$C$4:$H$255,6,FALSE))</f>
        <v>30</v>
      </c>
      <c r="O1036" s="33">
        <f t="shared" si="180"/>
        <v>0</v>
      </c>
      <c r="P1036" s="33">
        <f t="shared" si="180"/>
        <v>0</v>
      </c>
      <c r="Q1036" s="33">
        <f t="shared" si="180"/>
        <v>0</v>
      </c>
      <c r="R1036" s="33">
        <f t="shared" si="180"/>
        <v>16660.5</v>
      </c>
      <c r="S1036" s="34">
        <f>SUM(O1036:R1036)</f>
        <v>16660.5</v>
      </c>
      <c r="T1036" s="35" t="s">
        <v>56</v>
      </c>
      <c r="U1036" s="18" t="s">
        <v>1206</v>
      </c>
      <c r="V1036" s="18" t="str">
        <f>IF(OR($H1036="",$H1036="sif",$H1036="PM"),"",VLOOKUP($H1036,[5]CU!$C$5:$J$255,8,FALSE))</f>
        <v>3. Manuels scolaires et matériels pédagogiques</v>
      </c>
      <c r="W1036" s="18" t="s">
        <v>521</v>
      </c>
      <c r="X1036" s="18" t="s">
        <v>1339</v>
      </c>
      <c r="Y1036" s="18" t="s">
        <v>677</v>
      </c>
      <c r="Z1036" s="18" t="str">
        <f>A1036 &amp; "-" &amp; VLOOKUP(A1036,[4]PROGRAMMES!$E$1:$F$7,2,FALSE)</f>
        <v>3-Expansion et réforme de l’ETFP</v>
      </c>
      <c r="AA1036" s="19" t="str">
        <f>B1036 &amp; "-" &amp; VLOOKUP(B1036,[4]SOUSPROGRAMMES!$E$1:$F$44,2,FALSE)</f>
        <v>33- Développement de l’offre de formation professionnelle et technique de qualité</v>
      </c>
      <c r="AB1036" s="19" t="str">
        <f>C1036 &amp; "-" &amp; VLOOKUP(C1036,[4]RESULTATS!$E$1:$F$176,2,FALSE)</f>
        <v>331- L’accès aux dispositifs de l’ETFP est accrue en lien avec les besoins (quantitatifs et qualitatifs) de l’économie avec une priorité accordée aux filières porteuses dans les secteurs primaire et secondaire</v>
      </c>
      <c r="AC1036" s="20" t="str">
        <f>D1036 &amp; "-" &amp; VLOOKUP(D1036,[4]STRATEGIES!$E$1:$F$504,2,FALSE)</f>
        <v>3313-Application de divers modes de formation (apprentissage, résidentiel, alternance, en situation de travail…)</v>
      </c>
      <c r="AD1036" s="21" t="str">
        <f t="shared" si="181"/>
        <v>33132-Acquisition de Kit d'apprentissage pour les apprentis encadrés</v>
      </c>
    </row>
    <row r="1037" spans="1:30" s="22" customFormat="1" ht="90" hidden="1" customHeight="1" x14ac:dyDescent="0.8">
      <c r="A1037" s="14">
        <v>3</v>
      </c>
      <c r="B1037" s="15">
        <v>33</v>
      </c>
      <c r="C1037" s="15">
        <v>331</v>
      </c>
      <c r="D1037" s="15">
        <v>3313</v>
      </c>
      <c r="E1037" s="15">
        <v>33133</v>
      </c>
      <c r="F1037" s="16" t="s">
        <v>1340</v>
      </c>
      <c r="G1037" s="21" t="s">
        <v>58</v>
      </c>
      <c r="H1037" s="17" t="s">
        <v>59</v>
      </c>
      <c r="I1037" s="33">
        <v>0</v>
      </c>
      <c r="J1037" s="33"/>
      <c r="K1037" s="33"/>
      <c r="L1037" s="33">
        <f>(L1035/350)</f>
        <v>31.734285714285715</v>
      </c>
      <c r="M1037" s="33">
        <f t="shared" si="176"/>
        <v>31.734285714285715</v>
      </c>
      <c r="N1037" s="33">
        <f>IF(OR(H1037="",H1037="sif",H1037="PM"),0,VLOOKUP(H1037,[5]CU!$C$4:$H$255,6,FALSE))</f>
        <v>0.8177777777777776</v>
      </c>
      <c r="O1037" s="33">
        <f t="shared" si="180"/>
        <v>0</v>
      </c>
      <c r="P1037" s="33">
        <f t="shared" si="180"/>
        <v>0</v>
      </c>
      <c r="Q1037" s="33">
        <f t="shared" si="180"/>
        <v>0</v>
      </c>
      <c r="R1037" s="33">
        <f t="shared" si="180"/>
        <v>25.951593650793647</v>
      </c>
      <c r="S1037" s="34">
        <f>SUM(O1037:R1037)</f>
        <v>25.951593650793647</v>
      </c>
      <c r="T1037" s="35" t="s">
        <v>56</v>
      </c>
      <c r="U1037" s="18" t="s">
        <v>1206</v>
      </c>
      <c r="V1037" s="18" t="str">
        <f>IF(OR($H1037="",$H1037="sif",$H1037="PM"),"",VLOOKUP($H1037,[5]CU!$C$5:$J$255,8,FALSE))</f>
        <v>3. Dépenses de fonctionnement</v>
      </c>
      <c r="W1037" s="18" t="s">
        <v>1166</v>
      </c>
      <c r="X1037" s="18" t="s">
        <v>1318</v>
      </c>
      <c r="Y1037" s="18" t="s">
        <v>677</v>
      </c>
      <c r="Z1037" s="18" t="str">
        <f>A1037 &amp; "-" &amp; VLOOKUP(A1037,[4]PROGRAMMES!$E$1:$F$7,2,FALSE)</f>
        <v>3-Expansion et réforme de l’ETFP</v>
      </c>
      <c r="AA1037" s="19" t="str">
        <f>B1037 &amp; "-" &amp; VLOOKUP(B1037,[4]SOUSPROGRAMMES!$E$1:$F$44,2,FALSE)</f>
        <v>33- Développement de l’offre de formation professionnelle et technique de qualité</v>
      </c>
      <c r="AB1037" s="19" t="str">
        <f>C1037 &amp; "-" &amp; VLOOKUP(C1037,[4]RESULTATS!$E$1:$F$176,2,FALSE)</f>
        <v>331- L’accès aux dispositifs de l’ETFP est accrue en lien avec les besoins (quantitatifs et qualitatifs) de l’économie avec une priorité accordée aux filières porteuses dans les secteurs primaire et secondaire</v>
      </c>
      <c r="AC1037" s="20" t="str">
        <f>D1037 &amp; "-" &amp; VLOOKUP(D1037,[4]STRATEGIES!$E$1:$F$504,2,FALSE)</f>
        <v>3313-Application de divers modes de formation (apprentissage, résidentiel, alternance, en situation de travail…)</v>
      </c>
      <c r="AD1037" s="21" t="str">
        <f t="shared" si="181"/>
        <v>33133-Orientation professionnelle et placement des apprentis</v>
      </c>
    </row>
    <row r="1038" spans="1:30" s="22" customFormat="1" ht="90" hidden="1" customHeight="1" x14ac:dyDescent="0.8">
      <c r="A1038" s="14">
        <v>3</v>
      </c>
      <c r="B1038" s="15">
        <v>33</v>
      </c>
      <c r="C1038" s="15">
        <v>331</v>
      </c>
      <c r="D1038" s="15">
        <v>3313</v>
      </c>
      <c r="E1038" s="15">
        <v>33134</v>
      </c>
      <c r="F1038" s="16" t="s">
        <v>1341</v>
      </c>
      <c r="G1038" s="21" t="s">
        <v>1342</v>
      </c>
      <c r="H1038" s="17" t="s">
        <v>55</v>
      </c>
      <c r="I1038" s="33">
        <v>0</v>
      </c>
      <c r="J1038" s="33"/>
      <c r="K1038" s="33">
        <v>1</v>
      </c>
      <c r="L1038" s="33"/>
      <c r="M1038" s="33">
        <f t="shared" si="176"/>
        <v>1</v>
      </c>
      <c r="N1038" s="33">
        <f>IF(OR(H1038="",H1038="sif",H1038="PM"),0,VLOOKUP(H1038,[5]CU!$C$4:$H$255,6,FALSE))</f>
        <v>0</v>
      </c>
      <c r="O1038" s="33">
        <f t="shared" si="180"/>
        <v>0</v>
      </c>
      <c r="P1038" s="33">
        <f t="shared" si="180"/>
        <v>0</v>
      </c>
      <c r="Q1038" s="33">
        <f t="shared" si="180"/>
        <v>0</v>
      </c>
      <c r="R1038" s="33">
        <f t="shared" si="180"/>
        <v>0</v>
      </c>
      <c r="S1038" s="34"/>
      <c r="T1038" s="35" t="s">
        <v>56</v>
      </c>
      <c r="U1038" s="18" t="s">
        <v>1206</v>
      </c>
      <c r="V1038" s="18" t="str">
        <f>IF(OR($H1038="",$H1038="sif",$H1038="PM"),"",VLOOKUP($H1038,[5]CU!$C$5:$J$255,8,FALSE))</f>
        <v/>
      </c>
      <c r="W1038" s="18" t="s">
        <v>1166</v>
      </c>
      <c r="X1038" s="18" t="s">
        <v>1318</v>
      </c>
      <c r="Y1038" s="18" t="s">
        <v>677</v>
      </c>
      <c r="Z1038" s="18" t="str">
        <f>A1038 &amp; "-" &amp; VLOOKUP(A1038,[4]PROGRAMMES!$E$1:$F$7,2,FALSE)</f>
        <v>3-Expansion et réforme de l’ETFP</v>
      </c>
      <c r="AA1038" s="19" t="str">
        <f>B1038 &amp; "-" &amp; VLOOKUP(B1038,[4]SOUSPROGRAMMES!$E$1:$F$44,2,FALSE)</f>
        <v>33- Développement de l’offre de formation professionnelle et technique de qualité</v>
      </c>
      <c r="AB1038" s="19" t="str">
        <f>C1038 &amp; "-" &amp; VLOOKUP(C1038,[4]RESULTATS!$E$1:$F$176,2,FALSE)</f>
        <v>331- L’accès aux dispositifs de l’ETFP est accrue en lien avec les besoins (quantitatifs et qualitatifs) de l’économie avec une priorité accordée aux filières porteuses dans les secteurs primaire et secondaire</v>
      </c>
      <c r="AC1038" s="20" t="str">
        <f>D1038 &amp; "-" &amp; VLOOKUP(D1038,[4]STRATEGIES!$E$1:$F$504,2,FALSE)</f>
        <v>3313-Application de divers modes de formation (apprentissage, résidentiel, alternance, en situation de travail…)</v>
      </c>
      <c r="AD1038" s="21" t="str">
        <f t="shared" si="181"/>
        <v>33134-Recrutement des superviseurs (Post primaire, CFP, ENI, ENAE, Ecoles de Santé)</v>
      </c>
    </row>
    <row r="1039" spans="1:30" s="22" customFormat="1" ht="90" hidden="1" customHeight="1" x14ac:dyDescent="0.8">
      <c r="A1039" s="14">
        <v>3</v>
      </c>
      <c r="B1039" s="15">
        <v>33</v>
      </c>
      <c r="C1039" s="15">
        <v>331</v>
      </c>
      <c r="D1039" s="15">
        <v>3313</v>
      </c>
      <c r="E1039" s="15">
        <v>33135</v>
      </c>
      <c r="F1039" s="16" t="s">
        <v>1343</v>
      </c>
      <c r="G1039" s="21" t="s">
        <v>37</v>
      </c>
      <c r="H1039" s="17" t="s">
        <v>66</v>
      </c>
      <c r="I1039" s="33">
        <v>0</v>
      </c>
      <c r="J1039" s="33"/>
      <c r="K1039" s="33">
        <f>20*5</f>
        <v>100</v>
      </c>
      <c r="L1039" s="33">
        <f>20*5</f>
        <v>100</v>
      </c>
      <c r="M1039" s="33">
        <f t="shared" si="176"/>
        <v>200</v>
      </c>
      <c r="N1039" s="33">
        <f>IF(OR(H1039="",H1039="sif",H1039="PM"),0,VLOOKUP(H1039,[5]CU!$C$4:$H$255,6,FALSE))</f>
        <v>0.255</v>
      </c>
      <c r="O1039" s="33">
        <f t="shared" si="180"/>
        <v>0</v>
      </c>
      <c r="P1039" s="33">
        <f t="shared" si="180"/>
        <v>0</v>
      </c>
      <c r="Q1039" s="33">
        <f t="shared" si="180"/>
        <v>25.5</v>
      </c>
      <c r="R1039" s="33">
        <f t="shared" si="180"/>
        <v>25.5</v>
      </c>
      <c r="S1039" s="34">
        <f>SUM(O1039:R1039)</f>
        <v>51</v>
      </c>
      <c r="T1039" s="35" t="s">
        <v>56</v>
      </c>
      <c r="U1039" s="18" t="s">
        <v>1206</v>
      </c>
      <c r="V1039" s="18" t="str">
        <f>IF(OR($H1039="",$H1039="sif",$H1039="PM"),"",VLOOKUP($H1039,[5]CU!$C$5:$J$255,8,FALSE))</f>
        <v>3. Dépenses de fonctionnement</v>
      </c>
      <c r="W1039" s="18" t="s">
        <v>1334</v>
      </c>
      <c r="X1039" s="18" t="s">
        <v>1166</v>
      </c>
      <c r="Y1039" s="18" t="s">
        <v>677</v>
      </c>
      <c r="Z1039" s="18" t="str">
        <f>A1039 &amp; "-" &amp; VLOOKUP(A1039,[4]PROGRAMMES!$E$1:$F$7,2,FALSE)</f>
        <v>3-Expansion et réforme de l’ETFP</v>
      </c>
      <c r="AA1039" s="19" t="str">
        <f>B1039 &amp; "-" &amp; VLOOKUP(B1039,[4]SOUSPROGRAMMES!$E$1:$F$44,2,FALSE)</f>
        <v>33- Développement de l’offre de formation professionnelle et technique de qualité</v>
      </c>
      <c r="AB1039" s="19" t="str">
        <f>C1039 &amp; "-" &amp; VLOOKUP(C1039,[4]RESULTATS!$E$1:$F$176,2,FALSE)</f>
        <v>331- L’accès aux dispositifs de l’ETFP est accrue en lien avec les besoins (quantitatifs et qualitatifs) de l’économie avec une priorité accordée aux filières porteuses dans les secteurs primaire et secondaire</v>
      </c>
      <c r="AC1039" s="20" t="str">
        <f>D1039 &amp; "-" &amp; VLOOKUP(D1039,[4]STRATEGIES!$E$1:$F$504,2,FALSE)</f>
        <v>3313-Application de divers modes de formation (apprentissage, résidentiel, alternance, en situation de travail…)</v>
      </c>
      <c r="AD1039" s="21" t="str">
        <f t="shared" si="181"/>
        <v>33135-Développement de guide de supervision pédagogique</v>
      </c>
    </row>
    <row r="1040" spans="1:30" s="22" customFormat="1" ht="90" hidden="1" customHeight="1" x14ac:dyDescent="0.8">
      <c r="A1040" s="14">
        <v>3</v>
      </c>
      <c r="B1040" s="15">
        <v>33</v>
      </c>
      <c r="C1040" s="15">
        <v>331</v>
      </c>
      <c r="D1040" s="15">
        <v>3313</v>
      </c>
      <c r="E1040" s="15">
        <v>33136</v>
      </c>
      <c r="F1040" s="16" t="s">
        <v>1344</v>
      </c>
      <c r="G1040" s="21" t="s">
        <v>51</v>
      </c>
      <c r="H1040" s="17" t="s">
        <v>301</v>
      </c>
      <c r="I1040" s="33">
        <v>0</v>
      </c>
      <c r="J1040" s="33"/>
      <c r="K1040" s="33">
        <f>(L1035/350)*2</f>
        <v>63.46857142857143</v>
      </c>
      <c r="L1040" s="33">
        <f>((24319/150)-(L1037))*2</f>
        <v>260.78476190476192</v>
      </c>
      <c r="M1040" s="33">
        <f t="shared" si="176"/>
        <v>324.25333333333333</v>
      </c>
      <c r="N1040" s="33">
        <f>IF(OR(H1040="",H1040="sif",H1040="PM"),0,VLOOKUP(H1040,[5]CU!$C$4:$H$255,6,FALSE))</f>
        <v>0.67666666666666664</v>
      </c>
      <c r="O1040" s="33">
        <f t="shared" si="180"/>
        <v>0</v>
      </c>
      <c r="P1040" s="33">
        <f t="shared" si="180"/>
        <v>0</v>
      </c>
      <c r="Q1040" s="33">
        <f t="shared" si="180"/>
        <v>42.947066666666665</v>
      </c>
      <c r="R1040" s="33">
        <f t="shared" si="180"/>
        <v>176.46435555555556</v>
      </c>
      <c r="S1040" s="34">
        <f>SUM(O1040:R1040)</f>
        <v>219.41142222222223</v>
      </c>
      <c r="T1040" s="35" t="s">
        <v>56</v>
      </c>
      <c r="U1040" s="18" t="s">
        <v>1206</v>
      </c>
      <c r="V1040" s="18" t="str">
        <f>IF(OR($H1040="",$H1040="sif",$H1040="PM"),"",VLOOKUP($H1040,[5]CU!$C$5:$J$255,8,FALSE))</f>
        <v>3. Formation</v>
      </c>
      <c r="W1040" s="18" t="s">
        <v>1334</v>
      </c>
      <c r="X1040" s="18" t="s">
        <v>1345</v>
      </c>
      <c r="Y1040" s="18" t="s">
        <v>677</v>
      </c>
      <c r="Z1040" s="18" t="str">
        <f>A1040 &amp; "-" &amp; VLOOKUP(A1040,[4]PROGRAMMES!$E$1:$F$7,2,FALSE)</f>
        <v>3-Expansion et réforme de l’ETFP</v>
      </c>
      <c r="AA1040" s="19" t="str">
        <f>B1040 &amp; "-" &amp; VLOOKUP(B1040,[4]SOUSPROGRAMMES!$E$1:$F$44,2,FALSE)</f>
        <v>33- Développement de l’offre de formation professionnelle et technique de qualité</v>
      </c>
      <c r="AB1040" s="19" t="str">
        <f>C1040 &amp; "-" &amp; VLOOKUP(C1040,[4]RESULTATS!$E$1:$F$176,2,FALSE)</f>
        <v>331- L’accès aux dispositifs de l’ETFP est accrue en lien avec les besoins (quantitatifs et qualitatifs) de l’économie avec une priorité accordée aux filières porteuses dans les secteurs primaire et secondaire</v>
      </c>
      <c r="AC1040" s="20" t="str">
        <f>D1040 &amp; "-" &amp; VLOOKUP(D1040,[4]STRATEGIES!$E$1:$F$504,2,FALSE)</f>
        <v>3313-Application de divers modes de formation (apprentissage, résidentiel, alternance, en situation de travail…)</v>
      </c>
      <c r="AD1040" s="21" t="str">
        <f t="shared" si="181"/>
        <v>33136-Formation des superviseurs (Post primaire, CFP, ENI, ENAE, Ecoles de Santé)</v>
      </c>
    </row>
    <row r="1041" spans="1:30" s="22" customFormat="1" ht="90" hidden="1" customHeight="1" x14ac:dyDescent="0.8">
      <c r="A1041" s="14">
        <v>3</v>
      </c>
      <c r="B1041" s="15">
        <v>33</v>
      </c>
      <c r="C1041" s="15">
        <v>331</v>
      </c>
      <c r="D1041" s="15">
        <v>3313</v>
      </c>
      <c r="E1041" s="15">
        <v>33137</v>
      </c>
      <c r="F1041" s="16" t="s">
        <v>1346</v>
      </c>
      <c r="G1041" s="21" t="s">
        <v>943</v>
      </c>
      <c r="H1041" s="17" t="s">
        <v>1347</v>
      </c>
      <c r="I1041" s="33">
        <v>0</v>
      </c>
      <c r="J1041" s="33"/>
      <c r="K1041" s="33"/>
      <c r="L1041" s="33">
        <v>63</v>
      </c>
      <c r="M1041" s="33">
        <f t="shared" si="176"/>
        <v>63</v>
      </c>
      <c r="N1041" s="33">
        <f>IF(OR(H1041="",H1041="sif",H1041="PM"),0,VLOOKUP(H1041,[5]CU!$C$4:$H$255,6,FALSE))</f>
        <v>15</v>
      </c>
      <c r="O1041" s="33">
        <f t="shared" si="180"/>
        <v>0</v>
      </c>
      <c r="P1041" s="33">
        <f t="shared" si="180"/>
        <v>0</v>
      </c>
      <c r="Q1041" s="33">
        <f t="shared" si="180"/>
        <v>0</v>
      </c>
      <c r="R1041" s="33">
        <f t="shared" si="180"/>
        <v>945</v>
      </c>
      <c r="S1041" s="34">
        <f>SUM(O1041:R1041)</f>
        <v>945</v>
      </c>
      <c r="T1041" s="35" t="s">
        <v>56</v>
      </c>
      <c r="U1041" s="18" t="s">
        <v>1206</v>
      </c>
      <c r="V1041" s="18" t="str">
        <f>IF(OR($H1041="",$H1041="sif",$H1041="PM"),"",VLOOKUP($H1041,[5]CU!$C$5:$J$255,8,FALSE))</f>
        <v>5. Investissement</v>
      </c>
      <c r="W1041" s="18" t="s">
        <v>521</v>
      </c>
      <c r="X1041" s="18" t="s">
        <v>1348</v>
      </c>
      <c r="Y1041" s="18" t="s">
        <v>677</v>
      </c>
      <c r="Z1041" s="18" t="str">
        <f>A1041 &amp; "-" &amp; VLOOKUP(A1041,[4]PROGRAMMES!$E$1:$F$7,2,FALSE)</f>
        <v>3-Expansion et réforme de l’ETFP</v>
      </c>
      <c r="AA1041" s="19" t="str">
        <f>B1041 &amp; "-" &amp; VLOOKUP(B1041,[4]SOUSPROGRAMMES!$E$1:$F$44,2,FALSE)</f>
        <v>33- Développement de l’offre de formation professionnelle et technique de qualité</v>
      </c>
      <c r="AB1041" s="19" t="str">
        <f>C1041 &amp; "-" &amp; VLOOKUP(C1041,[4]RESULTATS!$E$1:$F$176,2,FALSE)</f>
        <v>331- L’accès aux dispositifs de l’ETFP est accrue en lien avec les besoins (quantitatifs et qualitatifs) de l’économie avec une priorité accordée aux filières porteuses dans les secteurs primaire et secondaire</v>
      </c>
      <c r="AC1041" s="20" t="str">
        <f>D1041 &amp; "-" &amp; VLOOKUP(D1041,[4]STRATEGIES!$E$1:$F$504,2,FALSE)</f>
        <v>3313-Application de divers modes de formation (apprentissage, résidentiel, alternance, en situation de travail…)</v>
      </c>
      <c r="AD1041" s="21" t="str">
        <f t="shared" si="181"/>
        <v>33137-Dotation des superviseurs en Moto</v>
      </c>
    </row>
    <row r="1042" spans="1:30" s="22" customFormat="1" ht="90" hidden="1" customHeight="1" x14ac:dyDescent="0.8">
      <c r="A1042" s="14">
        <v>3</v>
      </c>
      <c r="B1042" s="15">
        <v>33</v>
      </c>
      <c r="C1042" s="15">
        <v>331</v>
      </c>
      <c r="D1042" s="15">
        <v>3313</v>
      </c>
      <c r="E1042" s="15">
        <v>33138</v>
      </c>
      <c r="F1042" s="16" t="s">
        <v>1349</v>
      </c>
      <c r="G1042" s="21" t="s">
        <v>1350</v>
      </c>
      <c r="H1042" s="17" t="s">
        <v>59</v>
      </c>
      <c r="I1042" s="33">
        <v>0</v>
      </c>
      <c r="J1042" s="33"/>
      <c r="K1042" s="33"/>
      <c r="L1042" s="33">
        <f>L1037*3</f>
        <v>95.202857142857141</v>
      </c>
      <c r="M1042" s="33">
        <f t="shared" si="176"/>
        <v>95.202857142857141</v>
      </c>
      <c r="N1042" s="33">
        <f>IF(OR(H1042="",H1042="sif",H1042="PM"),0,VLOOKUP(H1042,[5]CU!$C$4:$H$255,6,FALSE))</f>
        <v>0.8177777777777776</v>
      </c>
      <c r="O1042" s="33">
        <f t="shared" si="180"/>
        <v>0</v>
      </c>
      <c r="P1042" s="33">
        <f t="shared" si="180"/>
        <v>0</v>
      </c>
      <c r="Q1042" s="33">
        <f t="shared" si="180"/>
        <v>0</v>
      </c>
      <c r="R1042" s="33">
        <f t="shared" si="180"/>
        <v>77.854780952380935</v>
      </c>
      <c r="S1042" s="34">
        <f>SUM(O1042:R1042)</f>
        <v>77.854780952380935</v>
      </c>
      <c r="T1042" s="35" t="s">
        <v>56</v>
      </c>
      <c r="U1042" s="18" t="s">
        <v>1206</v>
      </c>
      <c r="V1042" s="18" t="str">
        <f>IF(OR($H1042="",$H1042="sif",$H1042="PM"),"",VLOOKUP($H1042,[5]CU!$C$5:$J$255,8,FALSE))</f>
        <v>3. Dépenses de fonctionnement</v>
      </c>
      <c r="W1042" s="18" t="s">
        <v>521</v>
      </c>
      <c r="X1042" s="18" t="s">
        <v>548</v>
      </c>
      <c r="Y1042" s="18" t="s">
        <v>677</v>
      </c>
      <c r="Z1042" s="18" t="str">
        <f>A1042 &amp; "-" &amp; VLOOKUP(A1042,[4]PROGRAMMES!$E$1:$F$7,2,FALSE)</f>
        <v>3-Expansion et réforme de l’ETFP</v>
      </c>
      <c r="AA1042" s="19" t="str">
        <f>B1042 &amp; "-" &amp; VLOOKUP(B1042,[4]SOUSPROGRAMMES!$E$1:$F$44,2,FALSE)</f>
        <v>33- Développement de l’offre de formation professionnelle et technique de qualité</v>
      </c>
      <c r="AB1042" s="19" t="str">
        <f>C1042 &amp; "-" &amp; VLOOKUP(C1042,[4]RESULTATS!$E$1:$F$176,2,FALSE)</f>
        <v>331- L’accès aux dispositifs de l’ETFP est accrue en lien avec les besoins (quantitatifs et qualitatifs) de l’économie avec une priorité accordée aux filières porteuses dans les secteurs primaire et secondaire</v>
      </c>
      <c r="AC1042" s="20" t="str">
        <f>D1042 &amp; "-" &amp; VLOOKUP(D1042,[4]STRATEGIES!$E$1:$F$504,2,FALSE)</f>
        <v>3313-Application de divers modes de formation (apprentissage, résidentiel, alternance, en situation de travail…)</v>
      </c>
      <c r="AD1042" s="21" t="str">
        <f t="shared" si="181"/>
        <v>33138-Organisation des activités de supervision</v>
      </c>
    </row>
    <row r="1043" spans="1:30" s="22" customFormat="1" ht="90" hidden="1" customHeight="1" x14ac:dyDescent="0.8">
      <c r="A1043" s="14">
        <v>3</v>
      </c>
      <c r="B1043" s="15">
        <v>33</v>
      </c>
      <c r="C1043" s="15">
        <v>331</v>
      </c>
      <c r="D1043" s="15">
        <v>3314</v>
      </c>
      <c r="E1043" s="15">
        <v>3314</v>
      </c>
      <c r="F1043" s="16" t="s">
        <v>1351</v>
      </c>
      <c r="G1043" s="17"/>
      <c r="H1043" s="17"/>
      <c r="I1043" s="33">
        <v>0</v>
      </c>
      <c r="J1043" s="33"/>
      <c r="K1043" s="33"/>
      <c r="L1043" s="33"/>
      <c r="M1043" s="33"/>
      <c r="N1043" s="33"/>
      <c r="O1043" s="33"/>
      <c r="P1043" s="33"/>
      <c r="Q1043" s="33"/>
      <c r="R1043" s="33"/>
      <c r="S1043" s="34"/>
      <c r="T1043" s="33"/>
      <c r="U1043" s="18"/>
      <c r="V1043" s="18"/>
      <c r="W1043" s="18"/>
      <c r="X1043" s="18"/>
      <c r="Y1043" s="18" t="s">
        <v>677</v>
      </c>
      <c r="Z1043" s="18" t="str">
        <f>A1043 &amp; "-" &amp; VLOOKUP(A1043,[4]PROGRAMMES!$E$1:$F$7,2,FALSE)</f>
        <v>3-Expansion et réforme de l’ETFP</v>
      </c>
      <c r="AA1043" s="19" t="str">
        <f>B1043 &amp; "-" &amp; VLOOKUP(B1043,[4]SOUSPROGRAMMES!$E$1:$F$44,2,FALSE)</f>
        <v>33- Développement de l’offre de formation professionnelle et technique de qualité</v>
      </c>
      <c r="AB1043" s="19" t="str">
        <f>C1043 &amp; "-" &amp; VLOOKUP(C1043,[4]RESULTATS!$E$1:$F$176,2,FALSE)</f>
        <v>331- L’accès aux dispositifs de l’ETFP est accrue en lien avec les besoins (quantitatifs et qualitatifs) de l’économie avec une priorité accordée aux filières porteuses dans les secteurs primaire et secondaire</v>
      </c>
      <c r="AC1043" s="20" t="str">
        <f>D1043 &amp; "-" &amp; VLOOKUP(D1043,[4]STRATEGIES!$E$1:$F$504,2,FALSE)</f>
        <v>3314-Fournitures de matières d'œuvres</v>
      </c>
      <c r="AD1043" s="21" t="str">
        <f t="shared" si="181"/>
        <v>3314-Fournitures de matières d'œuvres</v>
      </c>
    </row>
    <row r="1044" spans="1:30" s="22" customFormat="1" ht="90" hidden="1" customHeight="1" x14ac:dyDescent="0.8">
      <c r="A1044" s="14">
        <v>3</v>
      </c>
      <c r="B1044" s="15">
        <v>33</v>
      </c>
      <c r="C1044" s="15">
        <v>331</v>
      </c>
      <c r="D1044" s="15">
        <v>3314</v>
      </c>
      <c r="E1044" s="15">
        <v>33141</v>
      </c>
      <c r="F1044" s="16" t="s">
        <v>1352</v>
      </c>
      <c r="G1044" s="21" t="s">
        <v>1353</v>
      </c>
      <c r="H1044" s="17" t="s">
        <v>1354</v>
      </c>
      <c r="I1044" s="33">
        <v>0</v>
      </c>
      <c r="J1044" s="33">
        <v>0.88219879567267101</v>
      </c>
      <c r="K1044" s="33">
        <v>1.0571857240256399</v>
      </c>
      <c r="L1044" s="33">
        <v>1.3133731127672701</v>
      </c>
      <c r="M1044" s="33">
        <f t="shared" si="176"/>
        <v>3.2527576324655811</v>
      </c>
      <c r="N1044" s="33">
        <f>IF(OR(H1044="",H1044="sif",H1044="PM"),0,VLOOKUP(H1044,[5]CU!$C$4:$H$255,6,FALSE))</f>
        <v>11105.788684483899</v>
      </c>
      <c r="O1044" s="33">
        <f t="shared" si="180"/>
        <v>0</v>
      </c>
      <c r="P1044" s="33">
        <f t="shared" si="180"/>
        <v>9797.5134024468734</v>
      </c>
      <c r="Q1044" s="33">
        <f t="shared" si="180"/>
        <v>11740.881251281871</v>
      </c>
      <c r="R1044" s="33">
        <f t="shared" si="180"/>
        <v>14586.044254276145</v>
      </c>
      <c r="S1044" s="34">
        <f>SUM(O1044:R1044)</f>
        <v>36124.438908004886</v>
      </c>
      <c r="T1044" s="35" t="s">
        <v>56</v>
      </c>
      <c r="U1044" s="18" t="s">
        <v>1206</v>
      </c>
      <c r="V1044" s="18" t="str">
        <f>IF(OR($H1044="",$H1044="sif",$H1044="PM"),"",VLOOKUP($H1044,[5]CU!$C$5:$J$255,8,FALSE))</f>
        <v>3. Dépenses de fonctionnement</v>
      </c>
      <c r="W1044" s="18" t="s">
        <v>521</v>
      </c>
      <c r="X1044" s="18" t="s">
        <v>1318</v>
      </c>
      <c r="Y1044" s="18" t="s">
        <v>677</v>
      </c>
      <c r="Z1044" s="18" t="str">
        <f>A1044 &amp; "-" &amp; VLOOKUP(A1044,[4]PROGRAMMES!$E$1:$F$7,2,FALSE)</f>
        <v>3-Expansion et réforme de l’ETFP</v>
      </c>
      <c r="AA1044" s="19" t="str">
        <f>B1044 &amp; "-" &amp; VLOOKUP(B1044,[4]SOUSPROGRAMMES!$E$1:$F$44,2,FALSE)</f>
        <v>33- Développement de l’offre de formation professionnelle et technique de qualité</v>
      </c>
      <c r="AB1044" s="19" t="str">
        <f>C1044 &amp; "-" &amp; VLOOKUP(C1044,[4]RESULTATS!$E$1:$F$176,2,FALSE)</f>
        <v>331- L’accès aux dispositifs de l’ETFP est accrue en lien avec les besoins (quantitatifs et qualitatifs) de l’économie avec une priorité accordée aux filières porteuses dans les secteurs primaire et secondaire</v>
      </c>
      <c r="AC1044" s="20" t="str">
        <f>D1044 &amp; "-" &amp; VLOOKUP(D1044,[4]STRATEGIES!$E$1:$F$504,2,FALSE)</f>
        <v>3314-Fournitures de matières d'œuvres</v>
      </c>
      <c r="AD1044" s="21" t="str">
        <f t="shared" si="181"/>
        <v>33141-Allocations pour l'achat de matières d'œuvre pour les institutions de formation (hors ENI)</v>
      </c>
    </row>
    <row r="1045" spans="1:30" s="22" customFormat="1" ht="45" hidden="1" customHeight="1" x14ac:dyDescent="0.8">
      <c r="A1045" s="14">
        <v>3</v>
      </c>
      <c r="B1045" s="15">
        <v>33</v>
      </c>
      <c r="C1045" s="15">
        <v>332</v>
      </c>
      <c r="D1045" s="15">
        <v>332</v>
      </c>
      <c r="E1045" s="15">
        <v>332</v>
      </c>
      <c r="F1045" s="16" t="s">
        <v>1355</v>
      </c>
      <c r="G1045" s="17"/>
      <c r="H1045" s="17"/>
      <c r="I1045" s="33">
        <v>0</v>
      </c>
      <c r="J1045" s="33"/>
      <c r="K1045" s="33"/>
      <c r="L1045" s="33"/>
      <c r="M1045" s="33"/>
      <c r="N1045" s="33"/>
      <c r="O1045" s="33"/>
      <c r="P1045" s="33"/>
      <c r="Q1045" s="33"/>
      <c r="R1045" s="33"/>
      <c r="S1045" s="34"/>
      <c r="T1045" s="33"/>
      <c r="U1045" s="18"/>
      <c r="V1045" s="18"/>
      <c r="W1045" s="18"/>
      <c r="X1045" s="18"/>
      <c r="Y1045" s="18" t="s">
        <v>677</v>
      </c>
      <c r="Z1045" s="18" t="str">
        <f>A1045 &amp; "-" &amp; VLOOKUP(A1045,[4]PROGRAMMES!$E$1:$F$7,2,FALSE)</f>
        <v>3-Expansion et réforme de l’ETFP</v>
      </c>
      <c r="AA1045" s="19" t="str">
        <f>B1045 &amp; "-" &amp; VLOOKUP(B1045,[4]SOUSPROGRAMMES!$E$1:$F$44,2,FALSE)</f>
        <v>33- Développement de l’offre de formation professionnelle et technique de qualité</v>
      </c>
      <c r="AB1045" s="19" t="str">
        <f>C1045 &amp; "-" &amp; VLOOKUP(C1045,[4]RESULTATS!$E$1:$F$176,2,FALSE)</f>
        <v>332- L’équité dans l’accès est améliorée (genre, zones, régions, besoins spécifiques)</v>
      </c>
      <c r="AC1045" s="20" t="str">
        <f>D1045 &amp; "-" &amp; VLOOKUP(D1045,[4]STRATEGIES!$E$1:$F$504,2,FALSE)</f>
        <v>332- L’équité dans l’accès est améliorée (genre, zones, régions, besoins spécifiques)</v>
      </c>
      <c r="AD1045" s="21" t="str">
        <f t="shared" si="181"/>
        <v>332- L’équité dans l’accès est améliorée (genre, zones, régions, besoins spécifiques)</v>
      </c>
    </row>
    <row r="1046" spans="1:30" s="22" customFormat="1" ht="45" hidden="1" customHeight="1" x14ac:dyDescent="0.8">
      <c r="A1046" s="14">
        <v>3</v>
      </c>
      <c r="B1046" s="15">
        <v>33</v>
      </c>
      <c r="C1046" s="15">
        <v>332</v>
      </c>
      <c r="D1046" s="15">
        <v>3321</v>
      </c>
      <c r="E1046" s="15">
        <v>3321</v>
      </c>
      <c r="F1046" s="16" t="s">
        <v>1356</v>
      </c>
      <c r="G1046" s="17"/>
      <c r="H1046" s="17"/>
      <c r="I1046" s="33">
        <v>0</v>
      </c>
      <c r="J1046" s="33"/>
      <c r="K1046" s="33"/>
      <c r="L1046" s="33"/>
      <c r="M1046" s="33"/>
      <c r="N1046" s="33"/>
      <c r="O1046" s="33"/>
      <c r="P1046" s="33"/>
      <c r="Q1046" s="33"/>
      <c r="R1046" s="33"/>
      <c r="S1046" s="34"/>
      <c r="T1046" s="33"/>
      <c r="U1046" s="18"/>
      <c r="V1046" s="18"/>
      <c r="W1046" s="18"/>
      <c r="X1046" s="18"/>
      <c r="Y1046" s="18" t="s">
        <v>677</v>
      </c>
      <c r="Z1046" s="18" t="str">
        <f>A1046 &amp; "-" &amp; VLOOKUP(A1046,[4]PROGRAMMES!$E$1:$F$7,2,FALSE)</f>
        <v>3-Expansion et réforme de l’ETFP</v>
      </c>
      <c r="AA1046" s="19" t="str">
        <f>B1046 &amp; "-" &amp; VLOOKUP(B1046,[4]SOUSPROGRAMMES!$E$1:$F$44,2,FALSE)</f>
        <v>33- Développement de l’offre de formation professionnelle et technique de qualité</v>
      </c>
      <c r="AB1046" s="19" t="str">
        <f>C1046 &amp; "-" &amp; VLOOKUP(C1046,[4]RESULTATS!$E$1:$F$176,2,FALSE)</f>
        <v>332- L’équité dans l’accès est améliorée (genre, zones, régions, besoins spécifiques)</v>
      </c>
      <c r="AC1046" s="20" t="str">
        <f>D1046 &amp; "-" &amp; VLOOKUP(D1046,[4]STRATEGIES!$E$1:$F$504,2,FALSE)</f>
        <v>3321-Définition et Mise en place de mécanismes favorisant l’équité</v>
      </c>
      <c r="AD1046" s="21" t="str">
        <f t="shared" si="181"/>
        <v>3321-DéFinition et Mise en place de mécanismes favorisant l’équité</v>
      </c>
    </row>
    <row r="1047" spans="1:30" s="22" customFormat="1" ht="45" hidden="1" customHeight="1" x14ac:dyDescent="0.8">
      <c r="A1047" s="14">
        <v>3</v>
      </c>
      <c r="B1047" s="15">
        <v>33</v>
      </c>
      <c r="C1047" s="15">
        <v>332</v>
      </c>
      <c r="D1047" s="15">
        <v>3321</v>
      </c>
      <c r="E1047" s="15">
        <v>33211</v>
      </c>
      <c r="F1047" s="16" t="s">
        <v>1357</v>
      </c>
      <c r="G1047" s="21" t="s">
        <v>660</v>
      </c>
      <c r="H1047" s="17" t="s">
        <v>55</v>
      </c>
      <c r="I1047" s="33">
        <v>0</v>
      </c>
      <c r="J1047" s="33">
        <v>1</v>
      </c>
      <c r="K1047" s="33"/>
      <c r="L1047" s="33"/>
      <c r="M1047" s="33">
        <f t="shared" ref="M1047:M1102" si="182">SUM(I1047:L1047)</f>
        <v>1</v>
      </c>
      <c r="N1047" s="33">
        <f>IF(OR(H1047="",H1047="sif",H1047="PM"),0,VLOOKUP(H1047,[5]CU!$C$4:$H$255,6,FALSE))</f>
        <v>0</v>
      </c>
      <c r="O1047" s="33">
        <f t="shared" si="180"/>
        <v>0</v>
      </c>
      <c r="P1047" s="33">
        <f t="shared" si="180"/>
        <v>0</v>
      </c>
      <c r="Q1047" s="33">
        <f t="shared" si="180"/>
        <v>0</v>
      </c>
      <c r="R1047" s="33">
        <f t="shared" si="180"/>
        <v>0</v>
      </c>
      <c r="S1047" s="34"/>
      <c r="T1047" s="35" t="s">
        <v>56</v>
      </c>
      <c r="U1047" s="18" t="s">
        <v>1206</v>
      </c>
      <c r="V1047" s="18" t="str">
        <f>IF(OR($H1047="",$H1047="sif",$H1047="PM"),"",VLOOKUP($H1047,[5]CU!$C$5:$J$255,8,FALSE))</f>
        <v/>
      </c>
      <c r="W1047" s="18" t="s">
        <v>1358</v>
      </c>
      <c r="X1047" s="18" t="s">
        <v>1318</v>
      </c>
      <c r="Y1047" s="18" t="s">
        <v>677</v>
      </c>
      <c r="Z1047" s="18" t="str">
        <f>A1047 &amp; "-" &amp; VLOOKUP(A1047,[4]PROGRAMMES!$E$1:$F$7,2,FALSE)</f>
        <v>3-Expansion et réforme de l’ETFP</v>
      </c>
      <c r="AA1047" s="19" t="str">
        <f>B1047 &amp; "-" &amp; VLOOKUP(B1047,[4]SOUSPROGRAMMES!$E$1:$F$44,2,FALSE)</f>
        <v>33- Développement de l’offre de formation professionnelle et technique de qualité</v>
      </c>
      <c r="AB1047" s="19" t="str">
        <f>C1047 &amp; "-" &amp; VLOOKUP(C1047,[4]RESULTATS!$E$1:$F$176,2,FALSE)</f>
        <v>332- L’équité dans l’accès est améliorée (genre, zones, régions, besoins spécifiques)</v>
      </c>
      <c r="AC1047" s="20" t="str">
        <f>D1047 &amp; "-" &amp; VLOOKUP(D1047,[4]STRATEGIES!$E$1:$F$504,2,FALSE)</f>
        <v>3321-Définition et Mise en place de mécanismes favorisant l’équité</v>
      </c>
      <c r="AD1047" s="21" t="str">
        <f t="shared" si="181"/>
        <v>33211-DéFinition de critères pour l'octroi de bourses aux filles dans les filières du secteur primaire et secondaire</v>
      </c>
    </row>
    <row r="1048" spans="1:30" s="22" customFormat="1" ht="45" hidden="1" customHeight="1" x14ac:dyDescent="0.8">
      <c r="A1048" s="14">
        <v>3</v>
      </c>
      <c r="B1048" s="15">
        <v>33</v>
      </c>
      <c r="C1048" s="15">
        <v>332</v>
      </c>
      <c r="D1048" s="15">
        <v>3311</v>
      </c>
      <c r="E1048" s="15">
        <v>33211</v>
      </c>
      <c r="F1048" s="16" t="s">
        <v>1359</v>
      </c>
      <c r="G1048" s="17"/>
      <c r="H1048" s="17"/>
      <c r="I1048" s="33">
        <v>0</v>
      </c>
      <c r="J1048" s="33"/>
      <c r="K1048" s="33"/>
      <c r="L1048" s="33"/>
      <c r="M1048" s="33"/>
      <c r="N1048" s="33"/>
      <c r="O1048" s="33"/>
      <c r="P1048" s="33"/>
      <c r="Q1048" s="33"/>
      <c r="R1048" s="33"/>
      <c r="S1048" s="34"/>
      <c r="T1048" s="33"/>
      <c r="U1048" s="18"/>
      <c r="V1048" s="18"/>
      <c r="W1048" s="18"/>
      <c r="X1048" s="18"/>
      <c r="Y1048" s="18" t="s">
        <v>677</v>
      </c>
      <c r="Z1048" s="18" t="str">
        <f>A1048 &amp; "-" &amp; VLOOKUP(A1048,[4]PROGRAMMES!$E$1:$F$7,2,FALSE)</f>
        <v>3-Expansion et réforme de l’ETFP</v>
      </c>
      <c r="AA1048" s="19" t="str">
        <f>B1048 &amp; "-" &amp; VLOOKUP(B1048,[4]SOUSPROGRAMMES!$E$1:$F$44,2,FALSE)</f>
        <v>33- Développement de l’offre de formation professionnelle et technique de qualité</v>
      </c>
      <c r="AB1048" s="19" t="str">
        <f>C1048 &amp; "-" &amp; VLOOKUP(C1048,[4]RESULTATS!$E$1:$F$176,2,FALSE)</f>
        <v>332- L’équité dans l’accès est améliorée (genre, zones, régions, besoins spécifiques)</v>
      </c>
      <c r="AC1048" s="20" t="str">
        <f>D1048 &amp; "-" &amp; VLOOKUP(D1048,[4]STRATEGIES!$E$1:$F$504,2,FALSE)</f>
        <v>3311-Accroissement de la capacité d’accueil (infrastructures, équipements en tenant compte des besoins des apprenants porteurs de handicap et à besoins éducatifs speciaux ainsi que les catastrophes naturelles)</v>
      </c>
      <c r="AD1048" s="21" t="str">
        <f t="shared" si="181"/>
        <v>33211-Modélisé</v>
      </c>
    </row>
    <row r="1049" spans="1:30" s="22" customFormat="1" ht="45" hidden="1" customHeight="1" x14ac:dyDescent="0.8">
      <c r="A1049" s="14">
        <v>3</v>
      </c>
      <c r="B1049" s="15">
        <v>33</v>
      </c>
      <c r="C1049" s="15">
        <v>332</v>
      </c>
      <c r="D1049" s="15">
        <v>3312</v>
      </c>
      <c r="E1049" s="15">
        <v>33212</v>
      </c>
      <c r="F1049" s="16" t="s">
        <v>1360</v>
      </c>
      <c r="G1049" s="21" t="s">
        <v>1361</v>
      </c>
      <c r="H1049" s="17" t="s">
        <v>1362</v>
      </c>
      <c r="I1049" s="33">
        <v>0</v>
      </c>
      <c r="J1049" s="33">
        <v>500</v>
      </c>
      <c r="K1049" s="33">
        <v>750</v>
      </c>
      <c r="L1049" s="33">
        <v>1000</v>
      </c>
      <c r="M1049" s="33">
        <f t="shared" si="182"/>
        <v>2250</v>
      </c>
      <c r="N1049" s="33">
        <f>IF(OR(H1049="",H1049="sif",H1049="PM"),0,VLOOKUP(H1049,[5]CU!$C$4:$H$255,6,FALSE))</f>
        <v>1.8</v>
      </c>
      <c r="O1049" s="33">
        <f t="shared" si="180"/>
        <v>0</v>
      </c>
      <c r="P1049" s="33">
        <f t="shared" si="180"/>
        <v>900</v>
      </c>
      <c r="Q1049" s="33">
        <f t="shared" si="180"/>
        <v>1350</v>
      </c>
      <c r="R1049" s="33">
        <f t="shared" si="180"/>
        <v>1800</v>
      </c>
      <c r="S1049" s="34">
        <f>SUM(O1049:R1049)</f>
        <v>4050</v>
      </c>
      <c r="T1049" s="35" t="s">
        <v>56</v>
      </c>
      <c r="U1049" s="18" t="s">
        <v>1206</v>
      </c>
      <c r="V1049" s="18" t="str">
        <f>IF(OR($H1049="",$H1049="sif",$H1049="PM"),"",VLOOKUP($H1049,[5]CU!$C$5:$J$255,8,FALSE))</f>
        <v>4. Transferts et subventions</v>
      </c>
      <c r="W1049" s="18" t="s">
        <v>521</v>
      </c>
      <c r="X1049" s="18" t="s">
        <v>1363</v>
      </c>
      <c r="Y1049" s="18" t="s">
        <v>677</v>
      </c>
      <c r="Z1049" s="18" t="str">
        <f>A1049 &amp; "-" &amp; VLOOKUP(A1049,[4]PROGRAMMES!$E$1:$F$7,2,FALSE)</f>
        <v>3-Expansion et réforme de l’ETFP</v>
      </c>
      <c r="AA1049" s="19" t="str">
        <f>B1049 &amp; "-" &amp; VLOOKUP(B1049,[4]SOUSPROGRAMMES!$E$1:$F$44,2,FALSE)</f>
        <v>33- Développement de l’offre de formation professionnelle et technique de qualité</v>
      </c>
      <c r="AB1049" s="19" t="str">
        <f>C1049 &amp; "-" &amp; VLOOKUP(C1049,[4]RESULTATS!$E$1:$F$176,2,FALSE)</f>
        <v>332- L’équité dans l’accès est améliorée (genre, zones, régions, besoins spécifiques)</v>
      </c>
      <c r="AC1049" s="20" t="str">
        <f>D1049 &amp; "-" &amp; VLOOKUP(D1049,[4]STRATEGIES!$E$1:$F$504,2,FALSE)</f>
        <v>3312-Dotation des établissements en personnel qualifié suffisant</v>
      </c>
      <c r="AD1049" s="21" t="str">
        <f t="shared" si="181"/>
        <v>33212-Attribution de bourses pour les filles retenues</v>
      </c>
    </row>
    <row r="1050" spans="1:30" s="22" customFormat="1" ht="45" hidden="1" customHeight="1" x14ac:dyDescent="0.8">
      <c r="A1050" s="14">
        <v>3</v>
      </c>
      <c r="B1050" s="15">
        <v>33</v>
      </c>
      <c r="C1050" s="15">
        <v>332</v>
      </c>
      <c r="D1050" s="15">
        <v>3313</v>
      </c>
      <c r="E1050" s="15">
        <v>33213</v>
      </c>
      <c r="F1050" s="16" t="s">
        <v>1364</v>
      </c>
      <c r="G1050" s="21" t="s">
        <v>1365</v>
      </c>
      <c r="H1050" s="17" t="s">
        <v>1366</v>
      </c>
      <c r="I1050" s="33">
        <v>0</v>
      </c>
      <c r="J1050" s="33">
        <v>0.96474039200074402</v>
      </c>
      <c r="K1050" s="33">
        <v>1.1027134346771701</v>
      </c>
      <c r="L1050" s="33">
        <v>1.1946954631281199</v>
      </c>
      <c r="M1050" s="33">
        <f t="shared" si="182"/>
        <v>3.2621492898060342</v>
      </c>
      <c r="N1050" s="33">
        <f>IF(OR(H1050="",H1050="sif",H1050="PM"),0,VLOOKUP(H1050,[5]CU!$C$4:$H$255,6,FALSE))</f>
        <v>16876.0817384408</v>
      </c>
      <c r="O1050" s="33">
        <f t="shared" si="180"/>
        <v>0</v>
      </c>
      <c r="P1050" s="33">
        <f t="shared" si="180"/>
        <v>16281.037711779974</v>
      </c>
      <c r="Q1050" s="33">
        <f t="shared" si="180"/>
        <v>18609.482057688721</v>
      </c>
      <c r="R1050" s="33">
        <f t="shared" si="180"/>
        <v>20161.778288294539</v>
      </c>
      <c r="S1050" s="34">
        <f>SUM(O1050:R1050)</f>
        <v>55052.298057763233</v>
      </c>
      <c r="T1050" s="35" t="s">
        <v>56</v>
      </c>
      <c r="U1050" s="18" t="s">
        <v>1206</v>
      </c>
      <c r="V1050" s="18" t="str">
        <f>IF(OR($H1050="",$H1050="sif",$H1050="PM"),"",VLOOKUP($H1050,[5]CU!$C$5:$J$255,8,FALSE))</f>
        <v>4. Transferts et subventions</v>
      </c>
      <c r="W1050" s="18" t="s">
        <v>521</v>
      </c>
      <c r="X1050" s="18" t="s">
        <v>1367</v>
      </c>
      <c r="Y1050" s="18" t="s">
        <v>677</v>
      </c>
      <c r="Z1050" s="18" t="str">
        <f>A1050 &amp; "-" &amp; VLOOKUP(A1050,[4]PROGRAMMES!$E$1:$F$7,2,FALSE)</f>
        <v>3-Expansion et réforme de l’ETFP</v>
      </c>
      <c r="AA1050" s="19" t="str">
        <f>B1050 &amp; "-" &amp; VLOOKUP(B1050,[4]SOUSPROGRAMMES!$E$1:$F$44,2,FALSE)</f>
        <v>33- Développement de l’offre de formation professionnelle et technique de qualité</v>
      </c>
      <c r="AB1050" s="19" t="str">
        <f>C1050 &amp; "-" &amp; VLOOKUP(C1050,[4]RESULTATS!$E$1:$F$176,2,FALSE)</f>
        <v>332- L’équité dans l’accès est améliorée (genre, zones, régions, besoins spécifiques)</v>
      </c>
      <c r="AC1050" s="20" t="str">
        <f>D1050 &amp; "-" &amp; VLOOKUP(D1050,[4]STRATEGIES!$E$1:$F$504,2,FALSE)</f>
        <v>3313-Application de divers modes de formation (apprentissage, résidentiel, alternance, en situation de travail…)</v>
      </c>
      <c r="AD1050" s="21" t="str">
        <f t="shared" si="181"/>
        <v>33213-Attribution de bourses pour les élèves maitres dans les ENI</v>
      </c>
    </row>
    <row r="1051" spans="1:30" s="22" customFormat="1" ht="45" hidden="1" customHeight="1" x14ac:dyDescent="0.8">
      <c r="A1051" s="14">
        <v>3</v>
      </c>
      <c r="B1051" s="15">
        <v>33</v>
      </c>
      <c r="C1051" s="15">
        <v>333</v>
      </c>
      <c r="D1051" s="15">
        <v>333</v>
      </c>
      <c r="E1051" s="15">
        <v>333</v>
      </c>
      <c r="F1051" s="16" t="s">
        <v>1368</v>
      </c>
      <c r="G1051" s="17"/>
      <c r="H1051" s="17"/>
      <c r="I1051" s="33">
        <v>0</v>
      </c>
      <c r="J1051" s="33"/>
      <c r="K1051" s="33"/>
      <c r="L1051" s="33"/>
      <c r="M1051" s="33"/>
      <c r="N1051" s="33"/>
      <c r="O1051" s="33"/>
      <c r="P1051" s="33"/>
      <c r="Q1051" s="33"/>
      <c r="R1051" s="33"/>
      <c r="S1051" s="34"/>
      <c r="T1051" s="33"/>
      <c r="U1051" s="18"/>
      <c r="V1051" s="18"/>
      <c r="W1051" s="18"/>
      <c r="X1051" s="18"/>
      <c r="Y1051" s="18" t="s">
        <v>677</v>
      </c>
      <c r="Z1051" s="18" t="str">
        <f>A1051 &amp; "-" &amp; VLOOKUP(A1051,[4]PROGRAMMES!$E$1:$F$7,2,FALSE)</f>
        <v>3-Expansion et réforme de l’ETFP</v>
      </c>
      <c r="AA1051" s="19" t="str">
        <f>B1051 &amp; "-" &amp; VLOOKUP(B1051,[4]SOUSPROGRAMMES!$E$1:$F$44,2,FALSE)</f>
        <v>33- Développement de l’offre de formation professionnelle et technique de qualité</v>
      </c>
      <c r="AB1051" s="19" t="str">
        <f>C1051 &amp; "-" &amp; VLOOKUP(C1051,[4]RESULTATS!$E$1:$F$176,2,FALSE)</f>
        <v>333- Un dispositif d’appui à l’insertion socioprofessionnelle y compris l’entreprenariat est opérationnel</v>
      </c>
      <c r="AC1051" s="20" t="str">
        <f>D1051 &amp; "-" &amp; VLOOKUP(D1051,[4]STRATEGIES!$E$1:$F$504,2,FALSE)</f>
        <v>333- Un dispositif d’appui à l’insertion socioprofessionnelle y compris l’entreprenariat est opérationnel</v>
      </c>
      <c r="AD1051" s="21" t="str">
        <f t="shared" si="181"/>
        <v>333- Un dispositif d’appui à l’insertion socioprofessionnelle y compris l’entreprenariat est opérationnel</v>
      </c>
    </row>
    <row r="1052" spans="1:30" s="22" customFormat="1" ht="45" hidden="1" customHeight="1" x14ac:dyDescent="0.8">
      <c r="A1052" s="14">
        <v>3</v>
      </c>
      <c r="B1052" s="15">
        <v>33</v>
      </c>
      <c r="C1052" s="15">
        <v>333</v>
      </c>
      <c r="D1052" s="15">
        <v>3331</v>
      </c>
      <c r="E1052" s="15">
        <v>3331</v>
      </c>
      <c r="F1052" s="16" t="s">
        <v>1369</v>
      </c>
      <c r="G1052" s="17"/>
      <c r="H1052" s="17"/>
      <c r="I1052" s="33">
        <v>0</v>
      </c>
      <c r="J1052" s="33"/>
      <c r="K1052" s="33"/>
      <c r="L1052" s="33"/>
      <c r="M1052" s="33"/>
      <c r="N1052" s="33"/>
      <c r="O1052" s="33"/>
      <c r="P1052" s="33"/>
      <c r="Q1052" s="33"/>
      <c r="R1052" s="33"/>
      <c r="S1052" s="34"/>
      <c r="T1052" s="33"/>
      <c r="U1052" s="18"/>
      <c r="V1052" s="18"/>
      <c r="W1052" s="18"/>
      <c r="X1052" s="18"/>
      <c r="Y1052" s="18" t="s">
        <v>677</v>
      </c>
      <c r="Z1052" s="18" t="str">
        <f>A1052 &amp; "-" &amp; VLOOKUP(A1052,[4]PROGRAMMES!$E$1:$F$7,2,FALSE)</f>
        <v>3-Expansion et réforme de l’ETFP</v>
      </c>
      <c r="AA1052" s="19" t="str">
        <f>B1052 &amp; "-" &amp; VLOOKUP(B1052,[4]SOUSPROGRAMMES!$E$1:$F$44,2,FALSE)</f>
        <v>33- Développement de l’offre de formation professionnelle et technique de qualité</v>
      </c>
      <c r="AB1052" s="19" t="str">
        <f>C1052 &amp; "-" &amp; VLOOKUP(C1052,[4]RESULTATS!$E$1:$F$176,2,FALSE)</f>
        <v>333- Un dispositif d’appui à l’insertion socioprofessionnelle y compris l’entreprenariat est opérationnel</v>
      </c>
      <c r="AC1052" s="20" t="str">
        <f>D1052 &amp; "-" &amp; VLOOKUP(D1052,[4]STRATEGIES!$E$1:$F$504,2,FALSE)</f>
        <v>3331-Consolidation des mécanismes d’appui à l’insertion</v>
      </c>
      <c r="AD1052" s="21" t="str">
        <f t="shared" si="181"/>
        <v>3331-Consolidation des mécanismes d’appui à l’insertion</v>
      </c>
    </row>
    <row r="1053" spans="1:30" s="22" customFormat="1" ht="45" customHeight="1" x14ac:dyDescent="0.8">
      <c r="A1053" s="14">
        <v>3</v>
      </c>
      <c r="B1053" s="15">
        <v>33</v>
      </c>
      <c r="C1053" s="15">
        <v>333</v>
      </c>
      <c r="D1053" s="15">
        <v>3331</v>
      </c>
      <c r="E1053" s="15">
        <v>33311</v>
      </c>
      <c r="F1053" s="16" t="s">
        <v>1370</v>
      </c>
      <c r="G1053" s="21" t="s">
        <v>100</v>
      </c>
      <c r="H1053" s="17" t="s">
        <v>646</v>
      </c>
      <c r="I1053" s="33">
        <v>0</v>
      </c>
      <c r="J1053" s="33">
        <f>1*30</f>
        <v>30</v>
      </c>
      <c r="K1053" s="33"/>
      <c r="L1053" s="33"/>
      <c r="M1053" s="33">
        <f t="shared" si="182"/>
        <v>30</v>
      </c>
      <c r="N1053" s="33">
        <f>IF(OR(H1053="",H1053="sif",H1053="PM"),0,VLOOKUP(H1053,[5]CU!$C$4:$H$255,6,FALSE))</f>
        <v>10.404797</v>
      </c>
      <c r="O1053" s="33">
        <f t="shared" si="180"/>
        <v>0</v>
      </c>
      <c r="P1053" s="33">
        <f t="shared" si="180"/>
        <v>312.14391000000001</v>
      </c>
      <c r="Q1053" s="33">
        <f t="shared" si="180"/>
        <v>0</v>
      </c>
      <c r="R1053" s="33">
        <f t="shared" si="180"/>
        <v>0</v>
      </c>
      <c r="S1053" s="34">
        <f>SUM(O1053:R1053)</f>
        <v>312.14391000000001</v>
      </c>
      <c r="T1053" s="35" t="s">
        <v>1276</v>
      </c>
      <c r="U1053" s="18" t="s">
        <v>1206</v>
      </c>
      <c r="V1053" s="18" t="str">
        <f>IF(OR($H1053="",$H1053="sif",$H1053="PM"),"",VLOOKUP($H1053,[5]CU!$C$5:$J$255,8,FALSE))</f>
        <v>3. Dépenses de fonctionnement</v>
      </c>
      <c r="W1053" s="18" t="s">
        <v>1334</v>
      </c>
      <c r="X1053" s="18" t="s">
        <v>1371</v>
      </c>
      <c r="Y1053" s="18" t="s">
        <v>677</v>
      </c>
      <c r="Z1053" s="18" t="str">
        <f>A1053 &amp; "-" &amp; VLOOKUP(A1053,[4]PROGRAMMES!$E$1:$F$7,2,FALSE)</f>
        <v>3-Expansion et réforme de l’ETFP</v>
      </c>
      <c r="AA1053" s="19" t="str">
        <f>B1053 &amp; "-" &amp; VLOOKUP(B1053,[4]SOUSPROGRAMMES!$E$1:$F$44,2,FALSE)</f>
        <v>33- Développement de l’offre de formation professionnelle et technique de qualité</v>
      </c>
      <c r="AB1053" s="19" t="str">
        <f>C1053 &amp; "-" &amp; VLOOKUP(C1053,[4]RESULTATS!$E$1:$F$176,2,FALSE)</f>
        <v>333- Un dispositif d’appui à l’insertion socioprofessionnelle y compris l’entreprenariat est opérationnel</v>
      </c>
      <c r="AC1053" s="20" t="str">
        <f>D1053 &amp; "-" &amp; VLOOKUP(D1053,[4]STRATEGIES!$E$1:$F$504,2,FALSE)</f>
        <v>3331-Consolidation des mécanismes d’appui à l’insertion</v>
      </c>
      <c r="AD1053" s="21" t="str">
        <f t="shared" si="181"/>
        <v>33311-Réalisation d'un état des lieux des dispositifs d'insertion existants</v>
      </c>
    </row>
    <row r="1054" spans="1:30" s="22" customFormat="1" ht="45" hidden="1" customHeight="1" x14ac:dyDescent="0.8">
      <c r="A1054" s="14">
        <v>3</v>
      </c>
      <c r="B1054" s="15">
        <v>33</v>
      </c>
      <c r="C1054" s="15">
        <v>333</v>
      </c>
      <c r="D1054" s="15">
        <v>3331</v>
      </c>
      <c r="E1054" s="15">
        <v>33312</v>
      </c>
      <c r="F1054" s="16" t="s">
        <v>1372</v>
      </c>
      <c r="G1054" s="21" t="s">
        <v>298</v>
      </c>
      <c r="H1054" s="17" t="s">
        <v>38</v>
      </c>
      <c r="I1054" s="33">
        <v>0</v>
      </c>
      <c r="J1054" s="33">
        <f>45*2</f>
        <v>90</v>
      </c>
      <c r="K1054" s="33"/>
      <c r="L1054" s="33"/>
      <c r="M1054" s="33">
        <f t="shared" si="182"/>
        <v>90</v>
      </c>
      <c r="N1054" s="33">
        <f>IF(OR(H1054="",H1054="sif",H1054="PM"),0,VLOOKUP(H1054,[5]CU!$C$4:$H$255,6,FALSE))</f>
        <v>0.3133333333333333</v>
      </c>
      <c r="O1054" s="33">
        <f t="shared" si="180"/>
        <v>0</v>
      </c>
      <c r="P1054" s="33">
        <f t="shared" si="180"/>
        <v>28.199999999999996</v>
      </c>
      <c r="Q1054" s="33">
        <f t="shared" si="180"/>
        <v>0</v>
      </c>
      <c r="R1054" s="33">
        <f t="shared" si="180"/>
        <v>0</v>
      </c>
      <c r="S1054" s="34">
        <f>SUM(O1054:R1054)</f>
        <v>28.199999999999996</v>
      </c>
      <c r="T1054" s="35" t="s">
        <v>118</v>
      </c>
      <c r="U1054" s="18" t="s">
        <v>1206</v>
      </c>
      <c r="V1054" s="18" t="str">
        <f>IF(OR($H1054="",$H1054="sif",$H1054="PM"),"",VLOOKUP($H1054,[5]CU!$C$5:$J$255,8,FALSE))</f>
        <v>3. Formation</v>
      </c>
      <c r="W1054" s="18" t="s">
        <v>1334</v>
      </c>
      <c r="X1054" s="18" t="s">
        <v>1371</v>
      </c>
      <c r="Y1054" s="18" t="s">
        <v>677</v>
      </c>
      <c r="Z1054" s="18" t="str">
        <f>A1054 &amp; "-" &amp; VLOOKUP(A1054,[4]PROGRAMMES!$E$1:$F$7,2,FALSE)</f>
        <v>3-Expansion et réforme de l’ETFP</v>
      </c>
      <c r="AA1054" s="19" t="str">
        <f>B1054 &amp; "-" &amp; VLOOKUP(B1054,[4]SOUSPROGRAMMES!$E$1:$F$44,2,FALSE)</f>
        <v>33- Développement de l’offre de formation professionnelle et technique de qualité</v>
      </c>
      <c r="AB1054" s="19" t="str">
        <f>C1054 &amp; "-" &amp; VLOOKUP(C1054,[4]RESULTATS!$E$1:$F$176,2,FALSE)</f>
        <v>333- Un dispositif d’appui à l’insertion socioprofessionnelle y compris l’entreprenariat est opérationnel</v>
      </c>
      <c r="AC1054" s="20" t="str">
        <f>D1054 &amp; "-" &amp; VLOOKUP(D1054,[4]STRATEGIES!$E$1:$F$504,2,FALSE)</f>
        <v>3331-Consolidation des mécanismes d’appui à l’insertion</v>
      </c>
      <c r="AD1054" s="21" t="str">
        <f t="shared" si="181"/>
        <v>33312-Choix et adoption d'un dispositif d'insertion</v>
      </c>
    </row>
    <row r="1055" spans="1:30" s="22" customFormat="1" ht="45" hidden="1" customHeight="1" x14ac:dyDescent="0.8">
      <c r="A1055" s="14">
        <v>3</v>
      </c>
      <c r="B1055" s="15">
        <v>33</v>
      </c>
      <c r="C1055" s="15">
        <v>333</v>
      </c>
      <c r="D1055" s="15">
        <v>3332</v>
      </c>
      <c r="E1055" s="15">
        <v>3332</v>
      </c>
      <c r="F1055" s="16" t="s">
        <v>1373</v>
      </c>
      <c r="G1055" s="17"/>
      <c r="H1055" s="17"/>
      <c r="I1055" s="33">
        <v>0</v>
      </c>
      <c r="J1055" s="33"/>
      <c r="K1055" s="33"/>
      <c r="L1055" s="33"/>
      <c r="M1055" s="33"/>
      <c r="N1055" s="33"/>
      <c r="O1055" s="33"/>
      <c r="P1055" s="33"/>
      <c r="Q1055" s="33"/>
      <c r="R1055" s="33"/>
      <c r="S1055" s="34"/>
      <c r="T1055" s="33"/>
      <c r="U1055" s="18"/>
      <c r="V1055" s="18"/>
      <c r="W1055" s="18"/>
      <c r="X1055" s="18"/>
      <c r="Y1055" s="18" t="s">
        <v>677</v>
      </c>
      <c r="Z1055" s="18" t="str">
        <f>A1055 &amp; "-" &amp; VLOOKUP(A1055,[4]PROGRAMMES!$E$1:$F$7,2,FALSE)</f>
        <v>3-Expansion et réforme de l’ETFP</v>
      </c>
      <c r="AA1055" s="19" t="str">
        <f>B1055 &amp; "-" &amp; VLOOKUP(B1055,[4]SOUSPROGRAMMES!$E$1:$F$44,2,FALSE)</f>
        <v>33- Développement de l’offre de formation professionnelle et technique de qualité</v>
      </c>
      <c r="AB1055" s="19" t="str">
        <f>C1055 &amp; "-" &amp; VLOOKUP(C1055,[4]RESULTATS!$E$1:$F$176,2,FALSE)</f>
        <v>333- Un dispositif d’appui à l’insertion socioprofessionnelle y compris l’entreprenariat est opérationnel</v>
      </c>
      <c r="AC1055" s="20" t="str">
        <f>D1055 &amp; "-" &amp; VLOOKUP(D1055,[4]STRATEGIES!$E$1:$F$504,2,FALSE)</f>
        <v>3332-Opérationnalisation,(notamment allocation de ressources) des mécanismes d’appui à l’insertion</v>
      </c>
      <c r="AD1055" s="21" t="str">
        <f t="shared" si="181"/>
        <v>3332-Opérationnalisation,(notamment allocation de ressources) des mécanismes d’appui à l’insertion</v>
      </c>
    </row>
    <row r="1056" spans="1:30" s="22" customFormat="1" ht="45" hidden="1" customHeight="1" x14ac:dyDescent="0.8">
      <c r="A1056" s="14">
        <v>3</v>
      </c>
      <c r="B1056" s="15">
        <v>33</v>
      </c>
      <c r="C1056" s="15">
        <v>333</v>
      </c>
      <c r="D1056" s="15">
        <v>3332</v>
      </c>
      <c r="E1056" s="15">
        <v>33321</v>
      </c>
      <c r="F1056" s="16" t="s">
        <v>1374</v>
      </c>
      <c r="G1056" s="21" t="s">
        <v>37</v>
      </c>
      <c r="H1056" s="17" t="s">
        <v>38</v>
      </c>
      <c r="I1056" s="33">
        <v>0</v>
      </c>
      <c r="J1056" s="33">
        <f>50*1*8</f>
        <v>400</v>
      </c>
      <c r="K1056" s="33">
        <f>50*1*8</f>
        <v>400</v>
      </c>
      <c r="L1056" s="33">
        <f>50*1*8</f>
        <v>400</v>
      </c>
      <c r="M1056" s="33">
        <f t="shared" si="182"/>
        <v>1200</v>
      </c>
      <c r="N1056" s="33">
        <f>IF(OR(H1056="",H1056="sif",H1056="PM"),0,VLOOKUP(H1056,[5]CU!$C$4:$H$255,6,FALSE))</f>
        <v>0.3133333333333333</v>
      </c>
      <c r="O1056" s="33">
        <f t="shared" si="180"/>
        <v>0</v>
      </c>
      <c r="P1056" s="33">
        <f t="shared" si="180"/>
        <v>125.33333333333331</v>
      </c>
      <c r="Q1056" s="33">
        <f t="shared" si="180"/>
        <v>125.33333333333331</v>
      </c>
      <c r="R1056" s="33">
        <f t="shared" si="180"/>
        <v>125.33333333333331</v>
      </c>
      <c r="S1056" s="34">
        <f>SUM(O1056:R1056)</f>
        <v>375.99999999999994</v>
      </c>
      <c r="T1056" s="35" t="s">
        <v>56</v>
      </c>
      <c r="U1056" s="18" t="s">
        <v>1206</v>
      </c>
      <c r="V1056" s="18" t="str">
        <f>IF(OR($H1056="",$H1056="sif",$H1056="PM"),"",VLOOKUP($H1056,[5]CU!$C$5:$J$255,8,FALSE))</f>
        <v>3. Formation</v>
      </c>
      <c r="W1056" s="18" t="s">
        <v>1334</v>
      </c>
      <c r="X1056" s="18" t="s">
        <v>1375</v>
      </c>
      <c r="Y1056" s="18" t="s">
        <v>677</v>
      </c>
      <c r="Z1056" s="18" t="str">
        <f>A1056 &amp; "-" &amp; VLOOKUP(A1056,[4]PROGRAMMES!$E$1:$F$7,2,FALSE)</f>
        <v>3-Expansion et réforme de l’ETFP</v>
      </c>
      <c r="AA1056" s="19" t="str">
        <f>B1056 &amp; "-" &amp; VLOOKUP(B1056,[4]SOUSPROGRAMMES!$E$1:$F$44,2,FALSE)</f>
        <v>33- Développement de l’offre de formation professionnelle et technique de qualité</v>
      </c>
      <c r="AB1056" s="19" t="str">
        <f>C1056 &amp; "-" &amp; VLOOKUP(C1056,[4]RESULTATS!$E$1:$F$176,2,FALSE)</f>
        <v>333- Un dispositif d’appui à l’insertion socioprofessionnelle y compris l’entreprenariat est opérationnel</v>
      </c>
      <c r="AC1056" s="20" t="str">
        <f>D1056 &amp; "-" &amp; VLOOKUP(D1056,[4]STRATEGIES!$E$1:$F$504,2,FALSE)</f>
        <v>3332-Opérationnalisation,(notamment allocation de ressources) des mécanismes d’appui à l’insertion</v>
      </c>
      <c r="AD1056" s="21" t="str">
        <f t="shared" si="181"/>
        <v>33321-Amélioration de l'adhésion des jeunes diplômés dans les organisations professionnelles</v>
      </c>
    </row>
    <row r="1057" spans="1:30" s="22" customFormat="1" ht="45" hidden="1" customHeight="1" x14ac:dyDescent="0.8">
      <c r="A1057" s="14">
        <v>3</v>
      </c>
      <c r="B1057" s="15">
        <v>33</v>
      </c>
      <c r="C1057" s="15">
        <v>333</v>
      </c>
      <c r="D1057" s="15">
        <v>3332</v>
      </c>
      <c r="E1057" s="15">
        <v>33322</v>
      </c>
      <c r="F1057" s="16" t="s">
        <v>1376</v>
      </c>
      <c r="G1057" s="21" t="s">
        <v>736</v>
      </c>
      <c r="H1057" s="17" t="s">
        <v>55</v>
      </c>
      <c r="I1057" s="33">
        <v>0</v>
      </c>
      <c r="J1057" s="33">
        <v>1</v>
      </c>
      <c r="K1057" s="33">
        <v>1</v>
      </c>
      <c r="L1057" s="33">
        <v>1</v>
      </c>
      <c r="M1057" s="33">
        <f t="shared" si="182"/>
        <v>3</v>
      </c>
      <c r="N1057" s="33">
        <f>IF(OR(H1057="",H1057="sif",H1057="PM"),0,VLOOKUP(H1057,[5]CU!$C$4:$H$255,6,FALSE))</f>
        <v>0</v>
      </c>
      <c r="O1057" s="33">
        <f t="shared" si="180"/>
        <v>0</v>
      </c>
      <c r="P1057" s="33">
        <f t="shared" si="180"/>
        <v>0</v>
      </c>
      <c r="Q1057" s="33">
        <f t="shared" si="180"/>
        <v>0</v>
      </c>
      <c r="R1057" s="33">
        <f t="shared" si="180"/>
        <v>0</v>
      </c>
      <c r="S1057" s="34"/>
      <c r="T1057" s="35" t="s">
        <v>56</v>
      </c>
      <c r="U1057" s="18" t="s">
        <v>1206</v>
      </c>
      <c r="V1057" s="18" t="str">
        <f>IF(OR($H1057="",$H1057="sif",$H1057="PM"),"",VLOOKUP($H1057,[5]CU!$C$5:$J$255,8,FALSE))</f>
        <v/>
      </c>
      <c r="W1057" s="18" t="s">
        <v>255</v>
      </c>
      <c r="X1057" s="18" t="s">
        <v>96</v>
      </c>
      <c r="Y1057" s="18" t="s">
        <v>677</v>
      </c>
      <c r="Z1057" s="18" t="str">
        <f>A1057 &amp; "-" &amp; VLOOKUP(A1057,[4]PROGRAMMES!$E$1:$F$7,2,FALSE)</f>
        <v>3-Expansion et réforme de l’ETFP</v>
      </c>
      <c r="AA1057" s="19" t="str">
        <f>B1057 &amp; "-" &amp; VLOOKUP(B1057,[4]SOUSPROGRAMMES!$E$1:$F$44,2,FALSE)</f>
        <v>33- Développement de l’offre de formation professionnelle et technique de qualité</v>
      </c>
      <c r="AB1057" s="19" t="str">
        <f>C1057 &amp; "-" &amp; VLOOKUP(C1057,[4]RESULTATS!$E$1:$F$176,2,FALSE)</f>
        <v>333- Un dispositif d’appui à l’insertion socioprofessionnelle y compris l’entreprenariat est opérationnel</v>
      </c>
      <c r="AC1057" s="20" t="str">
        <f>D1057 &amp; "-" &amp; VLOOKUP(D1057,[4]STRATEGIES!$E$1:$F$504,2,FALSE)</f>
        <v>3332-Opérationnalisation,(notamment allocation de ressources) des mécanismes d’appui à l’insertion</v>
      </c>
      <c r="AD1057" s="21" t="str">
        <f t="shared" si="181"/>
        <v>33322-Plaidoyer auprès des institutions Financières pour le Financement des projets d'insertion (auto-emploi)</v>
      </c>
    </row>
    <row r="1058" spans="1:30" s="22" customFormat="1" ht="45" customHeight="1" x14ac:dyDescent="0.8">
      <c r="A1058" s="14">
        <v>3</v>
      </c>
      <c r="B1058" s="15">
        <v>33</v>
      </c>
      <c r="C1058" s="15">
        <v>333</v>
      </c>
      <c r="D1058" s="15">
        <v>3332</v>
      </c>
      <c r="E1058" s="15">
        <v>33323</v>
      </c>
      <c r="F1058" s="16" t="s">
        <v>1377</v>
      </c>
      <c r="G1058" s="21" t="s">
        <v>167</v>
      </c>
      <c r="H1058" s="17" t="s">
        <v>646</v>
      </c>
      <c r="I1058" s="33">
        <v>0</v>
      </c>
      <c r="J1058" s="33">
        <f>1*30</f>
        <v>30</v>
      </c>
      <c r="K1058" s="33"/>
      <c r="L1058" s="33"/>
      <c r="M1058" s="33">
        <f t="shared" si="182"/>
        <v>30</v>
      </c>
      <c r="N1058" s="33">
        <f>IF(OR(H1058="",H1058="sif",H1058="PM"),0,VLOOKUP(H1058,[5]CU!$C$4:$H$255,6,FALSE))</f>
        <v>10.404797</v>
      </c>
      <c r="O1058" s="33">
        <f t="shared" si="180"/>
        <v>0</v>
      </c>
      <c r="P1058" s="33">
        <f t="shared" si="180"/>
        <v>312.14391000000001</v>
      </c>
      <c r="Q1058" s="33">
        <f t="shared" si="180"/>
        <v>0</v>
      </c>
      <c r="R1058" s="33">
        <f t="shared" si="180"/>
        <v>0</v>
      </c>
      <c r="S1058" s="34">
        <f>SUM(O1058:R1058)</f>
        <v>312.14391000000001</v>
      </c>
      <c r="T1058" s="35" t="s">
        <v>1276</v>
      </c>
      <c r="U1058" s="18" t="s">
        <v>1206</v>
      </c>
      <c r="V1058" s="18" t="str">
        <f>IF(OR($H1058="",$H1058="sif",$H1058="PM"),"",VLOOKUP($H1058,[5]CU!$C$5:$J$255,8,FALSE))</f>
        <v>3. Dépenses de fonctionnement</v>
      </c>
      <c r="W1058" s="18" t="s">
        <v>96</v>
      </c>
      <c r="X1058" s="18" t="s">
        <v>100</v>
      </c>
      <c r="Y1058" s="18" t="s">
        <v>677</v>
      </c>
      <c r="Z1058" s="18" t="str">
        <f>A1058 &amp; "-" &amp; VLOOKUP(A1058,[4]PROGRAMMES!$E$1:$F$7,2,FALSE)</f>
        <v>3-Expansion et réforme de l’ETFP</v>
      </c>
      <c r="AA1058" s="19" t="str">
        <f>B1058 &amp; "-" &amp; VLOOKUP(B1058,[4]SOUSPROGRAMMES!$E$1:$F$44,2,FALSE)</f>
        <v>33- Développement de l’offre de formation professionnelle et technique de qualité</v>
      </c>
      <c r="AB1058" s="19" t="str">
        <f>C1058 &amp; "-" &amp; VLOOKUP(C1058,[4]RESULTATS!$E$1:$F$176,2,FALSE)</f>
        <v>333- Un dispositif d’appui à l’insertion socioprofessionnelle y compris l’entreprenariat est opérationnel</v>
      </c>
      <c r="AC1058" s="20" t="str">
        <f>D1058 &amp; "-" &amp; VLOOKUP(D1058,[4]STRATEGIES!$E$1:$F$504,2,FALSE)</f>
        <v>3332-Opérationnalisation,(notamment allocation de ressources) des mécanismes d’appui à l’insertion</v>
      </c>
      <c r="AD1058" s="21" t="str">
        <f t="shared" si="181"/>
        <v>33323-Etude de faisabilité de la mise en œuvre d'un fonds d'insertion</v>
      </c>
    </row>
    <row r="1059" spans="1:30" s="22" customFormat="1" ht="60" hidden="1" customHeight="1" x14ac:dyDescent="0.8">
      <c r="A1059" s="14">
        <v>3</v>
      </c>
      <c r="B1059" s="15">
        <v>33</v>
      </c>
      <c r="C1059" s="15">
        <v>333</v>
      </c>
      <c r="D1059" s="15">
        <v>3332</v>
      </c>
      <c r="E1059" s="15">
        <v>33324</v>
      </c>
      <c r="F1059" s="16" t="s">
        <v>1378</v>
      </c>
      <c r="G1059" s="21" t="s">
        <v>1379</v>
      </c>
      <c r="H1059" s="17" t="s">
        <v>1380</v>
      </c>
      <c r="I1059" s="33">
        <v>0</v>
      </c>
      <c r="J1059" s="33"/>
      <c r="K1059" s="33"/>
      <c r="L1059" s="33">
        <v>156</v>
      </c>
      <c r="M1059" s="33">
        <f t="shared" si="182"/>
        <v>156</v>
      </c>
      <c r="N1059" s="33">
        <f>IF(OR(H1059="",H1059="sif",H1059="PM"),0,VLOOKUP(H1059,[5]CU!$C$4:$H$255,6,FALSE))</f>
        <v>20</v>
      </c>
      <c r="O1059" s="33">
        <f t="shared" si="180"/>
        <v>0</v>
      </c>
      <c r="P1059" s="33">
        <f t="shared" si="180"/>
        <v>0</v>
      </c>
      <c r="Q1059" s="33">
        <f t="shared" si="180"/>
        <v>0</v>
      </c>
      <c r="R1059" s="33">
        <f t="shared" si="180"/>
        <v>3120</v>
      </c>
      <c r="S1059" s="34">
        <f>SUM(O1059:R1059)</f>
        <v>3120</v>
      </c>
      <c r="T1059" s="35" t="s">
        <v>56</v>
      </c>
      <c r="U1059" s="18" t="s">
        <v>1206</v>
      </c>
      <c r="V1059" s="18" t="str">
        <f>IF(OR($H1059="",$H1059="sif",$H1059="PM"),"",VLOOKUP($H1059,[5]CU!$C$5:$J$255,8,FALSE))</f>
        <v>4. Transferts et subventions</v>
      </c>
      <c r="W1059" s="18" t="s">
        <v>1334</v>
      </c>
      <c r="X1059" s="19" t="s">
        <v>1381</v>
      </c>
      <c r="Y1059" s="18" t="s">
        <v>677</v>
      </c>
      <c r="Z1059" s="18" t="str">
        <f>A1059 &amp; "-" &amp; VLOOKUP(A1059,[4]PROGRAMMES!$E$1:$F$7,2,FALSE)</f>
        <v>3-Expansion et réforme de l’ETFP</v>
      </c>
      <c r="AA1059" s="19" t="str">
        <f>B1059 &amp; "-" &amp; VLOOKUP(B1059,[4]SOUSPROGRAMMES!$E$1:$F$44,2,FALSE)</f>
        <v>33- Développement de l’offre de formation professionnelle et technique de qualité</v>
      </c>
      <c r="AB1059" s="19" t="str">
        <f>C1059 &amp; "-" &amp; VLOOKUP(C1059,[4]RESULTATS!$E$1:$F$176,2,FALSE)</f>
        <v>333- Un dispositif d’appui à l’insertion socioprofessionnelle y compris l’entreprenariat est opérationnel</v>
      </c>
      <c r="AC1059" s="20" t="str">
        <f>D1059 &amp; "-" &amp; VLOOKUP(D1059,[4]STRATEGIES!$E$1:$F$504,2,FALSE)</f>
        <v>3332-Opérationnalisation,(notamment allocation de ressources) des mécanismes d’appui à l’insertion</v>
      </c>
      <c r="AD1059" s="21" t="str">
        <f t="shared" si="181"/>
        <v>33324-Dotation de kits d'appui à l'insertion</v>
      </c>
    </row>
    <row r="1060" spans="1:30" s="22" customFormat="1" ht="45" hidden="1" customHeight="1" x14ac:dyDescent="0.8">
      <c r="A1060" s="14">
        <v>3</v>
      </c>
      <c r="B1060" s="15">
        <v>33</v>
      </c>
      <c r="C1060" s="15">
        <v>333</v>
      </c>
      <c r="D1060" s="15">
        <v>3333</v>
      </c>
      <c r="E1060" s="15">
        <v>3333</v>
      </c>
      <c r="F1060" s="16" t="s">
        <v>1382</v>
      </c>
      <c r="G1060" s="17"/>
      <c r="H1060" s="17"/>
      <c r="I1060" s="33">
        <v>0</v>
      </c>
      <c r="J1060" s="33"/>
      <c r="K1060" s="33"/>
      <c r="L1060" s="33"/>
      <c r="M1060" s="33"/>
      <c r="N1060" s="33"/>
      <c r="O1060" s="33"/>
      <c r="P1060" s="33"/>
      <c r="Q1060" s="33"/>
      <c r="R1060" s="33"/>
      <c r="S1060" s="34"/>
      <c r="T1060" s="33"/>
      <c r="U1060" s="18"/>
      <c r="V1060" s="18"/>
      <c r="W1060" s="18"/>
      <c r="X1060" s="18"/>
      <c r="Y1060" s="18" t="s">
        <v>677</v>
      </c>
      <c r="Z1060" s="18" t="str">
        <f>A1060 &amp; "-" &amp; VLOOKUP(A1060,[4]PROGRAMMES!$E$1:$F$7,2,FALSE)</f>
        <v>3-Expansion et réforme de l’ETFP</v>
      </c>
      <c r="AA1060" s="19" t="str">
        <f>B1060 &amp; "-" &amp; VLOOKUP(B1060,[4]SOUSPROGRAMMES!$E$1:$F$44,2,FALSE)</f>
        <v>33- Développement de l’offre de formation professionnelle et technique de qualité</v>
      </c>
      <c r="AB1060" s="19" t="str">
        <f>C1060 &amp; "-" &amp; VLOOKUP(C1060,[4]RESULTATS!$E$1:$F$176,2,FALSE)</f>
        <v>333- Un dispositif d’appui à l’insertion socioprofessionnelle y compris l’entreprenariat est opérationnel</v>
      </c>
      <c r="AC1060" s="20" t="str">
        <f>D1060 &amp; "-" &amp; VLOOKUP(D1060,[4]STRATEGIES!$E$1:$F$504,2,FALSE)</f>
        <v>3333-Suivi et encadrement des appuyés</v>
      </c>
      <c r="AD1060" s="21" t="str">
        <f t="shared" si="181"/>
        <v>3333-Suivi et encadrement des appuyés</v>
      </c>
    </row>
    <row r="1061" spans="1:30" s="22" customFormat="1" ht="60" hidden="1" customHeight="1" x14ac:dyDescent="0.8">
      <c r="A1061" s="14">
        <v>3</v>
      </c>
      <c r="B1061" s="15">
        <v>33</v>
      </c>
      <c r="C1061" s="15">
        <v>333</v>
      </c>
      <c r="D1061" s="15">
        <v>3333</v>
      </c>
      <c r="E1061" s="15">
        <v>33331</v>
      </c>
      <c r="F1061" s="16" t="s">
        <v>1383</v>
      </c>
      <c r="G1061" s="21" t="s">
        <v>1384</v>
      </c>
      <c r="H1061" s="17" t="s">
        <v>1385</v>
      </c>
      <c r="I1061" s="33">
        <v>0</v>
      </c>
      <c r="J1061" s="33"/>
      <c r="K1061" s="33"/>
      <c r="L1061" s="33">
        <f>11107/350</f>
        <v>31.734285714285715</v>
      </c>
      <c r="M1061" s="33">
        <f t="shared" si="182"/>
        <v>31.734285714285715</v>
      </c>
      <c r="N1061" s="33">
        <f>IF(OR(H1061="",H1061="sif",H1061="PM"),0,VLOOKUP(H1061,[5]CU!$C$4:$H$255,6,FALSE))</f>
        <v>25.906700000000001</v>
      </c>
      <c r="O1061" s="33">
        <f t="shared" si="180"/>
        <v>0</v>
      </c>
      <c r="P1061" s="33">
        <f t="shared" si="180"/>
        <v>0</v>
      </c>
      <c r="Q1061" s="33">
        <f t="shared" si="180"/>
        <v>0</v>
      </c>
      <c r="R1061" s="33">
        <f t="shared" si="180"/>
        <v>822.13061971428579</v>
      </c>
      <c r="S1061" s="34">
        <f>SUM(O1061:R1061)</f>
        <v>822.13061971428579</v>
      </c>
      <c r="T1061" s="35" t="s">
        <v>56</v>
      </c>
      <c r="U1061" s="18" t="s">
        <v>1206</v>
      </c>
      <c r="V1061" s="18" t="str">
        <f>IF(OR($H1061="",$H1061="sif",$H1061="PM"),"",VLOOKUP($H1061,[5]CU!$C$5:$J$255,8,FALSE))</f>
        <v>3. Dépenses de fonctionnement</v>
      </c>
      <c r="W1061" s="18" t="s">
        <v>1334</v>
      </c>
      <c r="X1061" s="19" t="s">
        <v>1381</v>
      </c>
      <c r="Y1061" s="18" t="s">
        <v>677</v>
      </c>
      <c r="Z1061" s="18" t="str">
        <f>A1061 &amp; "-" &amp; VLOOKUP(A1061,[4]PROGRAMMES!$E$1:$F$7,2,FALSE)</f>
        <v>3-Expansion et réforme de l’ETFP</v>
      </c>
      <c r="AA1061" s="19" t="str">
        <f>B1061 &amp; "-" &amp; VLOOKUP(B1061,[4]SOUSPROGRAMMES!$E$1:$F$44,2,FALSE)</f>
        <v>33- Développement de l’offre de formation professionnelle et technique de qualité</v>
      </c>
      <c r="AB1061" s="19" t="str">
        <f>C1061 &amp; "-" &amp; VLOOKUP(C1061,[4]RESULTATS!$E$1:$F$176,2,FALSE)</f>
        <v>333- Un dispositif d’appui à l’insertion socioprofessionnelle y compris l’entreprenariat est opérationnel</v>
      </c>
      <c r="AC1061" s="20" t="str">
        <f>D1061 &amp; "-" &amp; VLOOKUP(D1061,[4]STRATEGIES!$E$1:$F$504,2,FALSE)</f>
        <v>3333-Suivi et encadrement des appuyés</v>
      </c>
      <c r="AD1061" s="21" t="str">
        <f t="shared" si="181"/>
        <v>33331-Travaux de supervisions des apprentissages</v>
      </c>
    </row>
    <row r="1062" spans="1:30" s="22" customFormat="1" ht="45" hidden="1" customHeight="1" x14ac:dyDescent="0.8">
      <c r="A1062" s="14">
        <v>3</v>
      </c>
      <c r="B1062" s="15">
        <v>33</v>
      </c>
      <c r="C1062" s="15">
        <v>333</v>
      </c>
      <c r="D1062" s="15">
        <v>3334</v>
      </c>
      <c r="E1062" s="15">
        <v>3334</v>
      </c>
      <c r="F1062" s="16" t="s">
        <v>1386</v>
      </c>
      <c r="G1062" s="17"/>
      <c r="H1062" s="17"/>
      <c r="I1062" s="33">
        <v>0</v>
      </c>
      <c r="J1062" s="33"/>
      <c r="K1062" s="33"/>
      <c r="L1062" s="33"/>
      <c r="M1062" s="33"/>
      <c r="N1062" s="33"/>
      <c r="O1062" s="33"/>
      <c r="P1062" s="33"/>
      <c r="Q1062" s="33"/>
      <c r="R1062" s="33"/>
      <c r="S1062" s="34"/>
      <c r="T1062" s="33"/>
      <c r="U1062" s="18"/>
      <c r="V1062" s="18"/>
      <c r="W1062" s="18"/>
      <c r="X1062" s="18"/>
      <c r="Y1062" s="18" t="s">
        <v>677</v>
      </c>
      <c r="Z1062" s="18" t="str">
        <f>A1062 &amp; "-" &amp; VLOOKUP(A1062,[4]PROGRAMMES!$E$1:$F$7,2,FALSE)</f>
        <v>3-Expansion et réforme de l’ETFP</v>
      </c>
      <c r="AA1062" s="19" t="str">
        <f>B1062 &amp; "-" &amp; VLOOKUP(B1062,[4]SOUSPROGRAMMES!$E$1:$F$44,2,FALSE)</f>
        <v>33- Développement de l’offre de formation professionnelle et technique de qualité</v>
      </c>
      <c r="AB1062" s="19" t="str">
        <f>C1062 &amp; "-" &amp; VLOOKUP(C1062,[4]RESULTATS!$E$1:$F$176,2,FALSE)</f>
        <v>333- Un dispositif d’appui à l’insertion socioprofessionnelle y compris l’entreprenariat est opérationnel</v>
      </c>
      <c r="AC1062" s="20" t="str">
        <f>D1062 &amp; "-" &amp; VLOOKUP(D1062,[4]STRATEGIES!$E$1:$F$504,2,FALSE)</f>
        <v>3334-Intégration de la dimension entrepreunariale dans le dispositif de formation</v>
      </c>
      <c r="AD1062" s="21" t="str">
        <f t="shared" si="181"/>
        <v>3334-Intégration de la dimension entrepreunariale dans le dispositif de formation</v>
      </c>
    </row>
    <row r="1063" spans="1:30" s="22" customFormat="1" ht="45" hidden="1" customHeight="1" x14ac:dyDescent="0.8">
      <c r="A1063" s="14">
        <v>3</v>
      </c>
      <c r="B1063" s="15">
        <v>33</v>
      </c>
      <c r="C1063" s="15">
        <v>333</v>
      </c>
      <c r="D1063" s="15">
        <v>3334</v>
      </c>
      <c r="E1063" s="15">
        <v>33341</v>
      </c>
      <c r="F1063" s="16" t="s">
        <v>1387</v>
      </c>
      <c r="G1063" s="21" t="s">
        <v>1388</v>
      </c>
      <c r="H1063" s="17" t="s">
        <v>55</v>
      </c>
      <c r="I1063" s="33">
        <v>0</v>
      </c>
      <c r="J1063" s="33"/>
      <c r="K1063" s="33">
        <v>1</v>
      </c>
      <c r="L1063" s="33">
        <v>1</v>
      </c>
      <c r="M1063" s="33">
        <f t="shared" si="182"/>
        <v>2</v>
      </c>
      <c r="N1063" s="33">
        <f>IF(OR(H1063="",H1063="sif",H1063="PM"),0,VLOOKUP(H1063,[5]CU!$C$4:$H$255,6,FALSE))</f>
        <v>0</v>
      </c>
      <c r="O1063" s="33">
        <f t="shared" si="180"/>
        <v>0</v>
      </c>
      <c r="P1063" s="33">
        <f t="shared" si="180"/>
        <v>0</v>
      </c>
      <c r="Q1063" s="33">
        <f t="shared" si="180"/>
        <v>0</v>
      </c>
      <c r="R1063" s="33">
        <f t="shared" si="180"/>
        <v>0</v>
      </c>
      <c r="S1063" s="34"/>
      <c r="T1063" s="35" t="s">
        <v>56</v>
      </c>
      <c r="U1063" s="18" t="s">
        <v>1206</v>
      </c>
      <c r="V1063" s="18" t="str">
        <f>IF(OR($H1063="",$H1063="sif",$H1063="PM"),"",VLOOKUP($H1063,[5]CU!$C$5:$J$255,8,FALSE))</f>
        <v/>
      </c>
      <c r="W1063" s="18" t="s">
        <v>1162</v>
      </c>
      <c r="X1063" s="18" t="s">
        <v>1389</v>
      </c>
      <c r="Y1063" s="18" t="s">
        <v>677</v>
      </c>
      <c r="Z1063" s="18" t="str">
        <f>A1063 &amp; "-" &amp; VLOOKUP(A1063,[4]PROGRAMMES!$E$1:$F$7,2,FALSE)</f>
        <v>3-Expansion et réforme de l’ETFP</v>
      </c>
      <c r="AA1063" s="19" t="str">
        <f>B1063 &amp; "-" &amp; VLOOKUP(B1063,[4]SOUSPROGRAMMES!$E$1:$F$44,2,FALSE)</f>
        <v>33- Développement de l’offre de formation professionnelle et technique de qualité</v>
      </c>
      <c r="AB1063" s="19" t="str">
        <f>C1063 &amp; "-" &amp; VLOOKUP(C1063,[4]RESULTATS!$E$1:$F$176,2,FALSE)</f>
        <v>333- Un dispositif d’appui à l’insertion socioprofessionnelle y compris l’entreprenariat est opérationnel</v>
      </c>
      <c r="AC1063" s="20" t="str">
        <f>D1063 &amp; "-" &amp; VLOOKUP(D1063,[4]STRATEGIES!$E$1:$F$504,2,FALSE)</f>
        <v>3334-Intégration de la dimension entrepreunariale dans le dispositif de formation</v>
      </c>
      <c r="AD1063" s="21" t="str">
        <f t="shared" si="181"/>
        <v>33341-Introduction dans les cursus de formation du développement de projet personnel</v>
      </c>
    </row>
    <row r="1064" spans="1:30" s="22" customFormat="1" ht="45" hidden="1" customHeight="1" x14ac:dyDescent="0.8">
      <c r="A1064" s="14">
        <v>3</v>
      </c>
      <c r="B1064" s="15">
        <v>33</v>
      </c>
      <c r="C1064" s="15">
        <v>333</v>
      </c>
      <c r="D1064" s="15">
        <v>3334</v>
      </c>
      <c r="E1064" s="15">
        <v>33342</v>
      </c>
      <c r="F1064" s="16" t="s">
        <v>1390</v>
      </c>
      <c r="G1064" s="21" t="s">
        <v>100</v>
      </c>
      <c r="H1064" s="17" t="s">
        <v>646</v>
      </c>
      <c r="I1064" s="33">
        <v>0</v>
      </c>
      <c r="J1064" s="33"/>
      <c r="K1064" s="33">
        <f>1*30</f>
        <v>30</v>
      </c>
      <c r="L1064" s="33"/>
      <c r="M1064" s="33">
        <f t="shared" si="182"/>
        <v>30</v>
      </c>
      <c r="N1064" s="33">
        <f>IF(OR(H1064="",H1064="sif",H1064="PM"),0,VLOOKUP(H1064,[5]CU!$C$4:$H$255,6,FALSE))</f>
        <v>10.404797</v>
      </c>
      <c r="O1064" s="33">
        <f t="shared" ref="O1064:R1102" si="183">IFERROR($N1064*I1064,0)</f>
        <v>0</v>
      </c>
      <c r="P1064" s="33">
        <f t="shared" si="183"/>
        <v>0</v>
      </c>
      <c r="Q1064" s="33">
        <f t="shared" si="183"/>
        <v>312.14391000000001</v>
      </c>
      <c r="R1064" s="33">
        <f t="shared" si="183"/>
        <v>0</v>
      </c>
      <c r="S1064" s="34">
        <f>SUM(O1064:R1064)</f>
        <v>312.14391000000001</v>
      </c>
      <c r="T1064" s="35" t="s">
        <v>118</v>
      </c>
      <c r="U1064" s="18" t="s">
        <v>1206</v>
      </c>
      <c r="V1064" s="18" t="str">
        <f>IF(OR($H1064="",$H1064="sif",$H1064="PM"),"",VLOOKUP($H1064,[5]CU!$C$5:$J$255,8,FALSE))</f>
        <v>3. Dépenses de fonctionnement</v>
      </c>
      <c r="W1064" s="18" t="s">
        <v>96</v>
      </c>
      <c r="X1064" s="18" t="s">
        <v>100</v>
      </c>
      <c r="Y1064" s="18" t="s">
        <v>677</v>
      </c>
      <c r="Z1064" s="18" t="str">
        <f>A1064 &amp; "-" &amp; VLOOKUP(A1064,[4]PROGRAMMES!$E$1:$F$7,2,FALSE)</f>
        <v>3-Expansion et réforme de l’ETFP</v>
      </c>
      <c r="AA1064" s="19" t="str">
        <f>B1064 &amp; "-" &amp; VLOOKUP(B1064,[4]SOUSPROGRAMMES!$E$1:$F$44,2,FALSE)</f>
        <v>33- Développement de l’offre de formation professionnelle et technique de qualité</v>
      </c>
      <c r="AB1064" s="19" t="str">
        <f>C1064 &amp; "-" &amp; VLOOKUP(C1064,[4]RESULTATS!$E$1:$F$176,2,FALSE)</f>
        <v>333- Un dispositif d’appui à l’insertion socioprofessionnelle y compris l’entreprenariat est opérationnel</v>
      </c>
      <c r="AC1064" s="20" t="str">
        <f>D1064 &amp; "-" &amp; VLOOKUP(D1064,[4]STRATEGIES!$E$1:$F$504,2,FALSE)</f>
        <v>3334-Intégration de la dimension entrepreunariale dans le dispositif de formation</v>
      </c>
      <c r="AD1064" s="21" t="str">
        <f t="shared" si="181"/>
        <v>33342-Etude pour la mise en place d'incubateurs</v>
      </c>
    </row>
    <row r="1065" spans="1:30" s="22" customFormat="1" ht="30" hidden="1" customHeight="1" x14ac:dyDescent="0.8">
      <c r="A1065" s="14">
        <v>3</v>
      </c>
      <c r="B1065" s="15">
        <v>34</v>
      </c>
      <c r="C1065" s="15">
        <v>34</v>
      </c>
      <c r="D1065" s="15">
        <v>34</v>
      </c>
      <c r="E1065" s="15">
        <v>34</v>
      </c>
      <c r="F1065" s="16" t="s">
        <v>1391</v>
      </c>
      <c r="G1065" s="17"/>
      <c r="H1065" s="17"/>
      <c r="I1065" s="33">
        <v>0</v>
      </c>
      <c r="J1065" s="33"/>
      <c r="K1065" s="33"/>
      <c r="L1065" s="33"/>
      <c r="M1065" s="33"/>
      <c r="N1065" s="33"/>
      <c r="O1065" s="33"/>
      <c r="P1065" s="33"/>
      <c r="Q1065" s="33"/>
      <c r="R1065" s="33"/>
      <c r="S1065" s="34"/>
      <c r="T1065" s="33"/>
      <c r="U1065" s="18"/>
      <c r="V1065" s="18"/>
      <c r="W1065" s="18"/>
      <c r="X1065" s="18"/>
      <c r="Y1065" s="18" t="s">
        <v>677</v>
      </c>
      <c r="Z1065" s="18" t="str">
        <f>A1065 &amp; "-" &amp; VLOOKUP(A1065,[4]PROGRAMMES!$E$1:$F$7,2,FALSE)</f>
        <v>3-Expansion et réforme de l’ETFP</v>
      </c>
      <c r="AA1065" s="19" t="str">
        <f>B1065 &amp; "-" &amp; VLOOKUP(B1065,[4]SOUSPROGRAMMES!$E$1:$F$44,2,FALSE)</f>
        <v>34- le financement du développement de l’ETFP</v>
      </c>
      <c r="AB1065" s="19" t="str">
        <f>C1065 &amp; "-" &amp; VLOOKUP(C1065,[4]RESULTATS!$E$1:$F$176,2,FALSE)</f>
        <v>34- le financement du développement de l’ETFP</v>
      </c>
      <c r="AC1065" s="20" t="str">
        <f>D1065 &amp; "-" &amp; VLOOKUP(D1065,[4]STRATEGIES!$E$1:$F$504,2,FALSE)</f>
        <v>34- le financement du développement de l’ETFP</v>
      </c>
      <c r="AD1065" s="21" t="str">
        <f t="shared" si="181"/>
        <v>34- le Financement du développement de l’ETFP</v>
      </c>
    </row>
    <row r="1066" spans="1:30" s="22" customFormat="1" ht="45" hidden="1" customHeight="1" x14ac:dyDescent="0.8">
      <c r="A1066" s="14">
        <v>3</v>
      </c>
      <c r="B1066" s="15">
        <v>34</v>
      </c>
      <c r="C1066" s="15">
        <v>341</v>
      </c>
      <c r="D1066" s="15">
        <v>341</v>
      </c>
      <c r="E1066" s="15">
        <v>341</v>
      </c>
      <c r="F1066" s="16" t="s">
        <v>1392</v>
      </c>
      <c r="G1066" s="17"/>
      <c r="H1066" s="17"/>
      <c r="I1066" s="33">
        <v>0</v>
      </c>
      <c r="J1066" s="33"/>
      <c r="K1066" s="33"/>
      <c r="L1066" s="33"/>
      <c r="M1066" s="33"/>
      <c r="N1066" s="33"/>
      <c r="O1066" s="33"/>
      <c r="P1066" s="33"/>
      <c r="Q1066" s="33"/>
      <c r="R1066" s="33"/>
      <c r="S1066" s="34"/>
      <c r="T1066" s="33"/>
      <c r="U1066" s="18"/>
      <c r="V1066" s="18"/>
      <c r="W1066" s="18"/>
      <c r="X1066" s="18"/>
      <c r="Y1066" s="18" t="s">
        <v>677</v>
      </c>
      <c r="Z1066" s="18" t="str">
        <f>A1066 &amp; "-" &amp; VLOOKUP(A1066,[4]PROGRAMMES!$E$1:$F$7,2,FALSE)</f>
        <v>3-Expansion et réforme de l’ETFP</v>
      </c>
      <c r="AA1066" s="19" t="str">
        <f>B1066 &amp; "-" &amp; VLOOKUP(B1066,[4]SOUSPROGRAMMES!$E$1:$F$44,2,FALSE)</f>
        <v>34- le financement du développement de l’ETFP</v>
      </c>
      <c r="AB1066" s="19" t="str">
        <f>C1066 &amp; "-" &amp; VLOOKUP(C1066,[4]RESULTATS!$E$1:$F$176,2,FALSE)</f>
        <v>341- L’allocation budgétaire de l’ETFP dans le budget de l’éducation est améliorée</v>
      </c>
      <c r="AC1066" s="20" t="str">
        <f>D1066 &amp; "-" &amp; VLOOKUP(D1066,[4]STRATEGIES!$E$1:$F$504,2,FALSE)</f>
        <v>341- L’allocation budgétaire de l’ETFP dans le budget de l’éducation est améliorée</v>
      </c>
      <c r="AD1066" s="21" t="str">
        <f t="shared" si="181"/>
        <v>341- L’allocation budgétaire de l’ETFP dans le budget de l’éducation est améliorée</v>
      </c>
    </row>
    <row r="1067" spans="1:30" s="22" customFormat="1" ht="45" hidden="1" customHeight="1" x14ac:dyDescent="0.8">
      <c r="A1067" s="14">
        <v>3</v>
      </c>
      <c r="B1067" s="15">
        <v>34</v>
      </c>
      <c r="C1067" s="15">
        <v>341</v>
      </c>
      <c r="D1067" s="15">
        <v>3411</v>
      </c>
      <c r="E1067" s="15">
        <v>3411</v>
      </c>
      <c r="F1067" s="16" t="s">
        <v>1393</v>
      </c>
      <c r="G1067" s="17"/>
      <c r="H1067" s="17"/>
      <c r="I1067" s="33">
        <v>0</v>
      </c>
      <c r="J1067" s="33"/>
      <c r="K1067" s="33"/>
      <c r="L1067" s="33"/>
      <c r="M1067" s="33"/>
      <c r="N1067" s="33"/>
      <c r="O1067" s="33"/>
      <c r="P1067" s="33"/>
      <c r="Q1067" s="33"/>
      <c r="R1067" s="33"/>
      <c r="S1067" s="34"/>
      <c r="T1067" s="33"/>
      <c r="U1067" s="18"/>
      <c r="V1067" s="18"/>
      <c r="W1067" s="18"/>
      <c r="X1067" s="18"/>
      <c r="Y1067" s="18" t="s">
        <v>677</v>
      </c>
      <c r="Z1067" s="18" t="str">
        <f>A1067 &amp; "-" &amp; VLOOKUP(A1067,[4]PROGRAMMES!$E$1:$F$7,2,FALSE)</f>
        <v>3-Expansion et réforme de l’ETFP</v>
      </c>
      <c r="AA1067" s="19" t="str">
        <f>B1067 &amp; "-" &amp; VLOOKUP(B1067,[4]SOUSPROGRAMMES!$E$1:$F$44,2,FALSE)</f>
        <v>34- le financement du développement de l’ETFP</v>
      </c>
      <c r="AB1067" s="19" t="str">
        <f>C1067 &amp; "-" &amp; VLOOKUP(C1067,[4]RESULTATS!$E$1:$F$176,2,FALSE)</f>
        <v>341- L’allocation budgétaire de l’ETFP dans le budget de l’éducation est améliorée</v>
      </c>
      <c r="AC1067" s="20" t="str">
        <f>D1067 &amp; "-" &amp; VLOOKUP(D1067,[4]STRATEGIES!$E$1:$F$504,2,FALSE)</f>
        <v>3411-Plaidoyer pour concrétiser la priorité accordée à l’ETFP</v>
      </c>
      <c r="AD1067" s="21" t="str">
        <f t="shared" si="181"/>
        <v>3411-Plaidoyer pour concrétiser la priorité accordée à l’ETFP</v>
      </c>
    </row>
    <row r="1068" spans="1:30" s="22" customFormat="1" ht="45" hidden="1" customHeight="1" x14ac:dyDescent="0.8">
      <c r="A1068" s="14">
        <v>3</v>
      </c>
      <c r="B1068" s="15">
        <v>34</v>
      </c>
      <c r="C1068" s="15">
        <v>341</v>
      </c>
      <c r="D1068" s="15">
        <v>3411</v>
      </c>
      <c r="E1068" s="15">
        <v>34111</v>
      </c>
      <c r="F1068" s="16" t="s">
        <v>1394</v>
      </c>
      <c r="G1068" s="21" t="s">
        <v>1395</v>
      </c>
      <c r="H1068" s="17" t="s">
        <v>55</v>
      </c>
      <c r="I1068" s="33">
        <v>0</v>
      </c>
      <c r="J1068" s="33">
        <v>1</v>
      </c>
      <c r="K1068" s="33">
        <v>1</v>
      </c>
      <c r="L1068" s="33">
        <v>1</v>
      </c>
      <c r="M1068" s="33">
        <f t="shared" si="182"/>
        <v>3</v>
      </c>
      <c r="N1068" s="33">
        <f>IF(OR(H1068="",H1068="sif",H1068="PM"),0,VLOOKUP(H1068,[5]CU!$C$4:$H$255,6,FALSE))</f>
        <v>0</v>
      </c>
      <c r="O1068" s="33">
        <f t="shared" si="183"/>
        <v>0</v>
      </c>
      <c r="P1068" s="33">
        <f t="shared" si="183"/>
        <v>0</v>
      </c>
      <c r="Q1068" s="33">
        <f t="shared" si="183"/>
        <v>0</v>
      </c>
      <c r="R1068" s="33">
        <f t="shared" si="183"/>
        <v>0</v>
      </c>
      <c r="S1068" s="34"/>
      <c r="T1068" s="35" t="s">
        <v>56</v>
      </c>
      <c r="U1068" s="18" t="s">
        <v>1156</v>
      </c>
      <c r="V1068" s="18" t="str">
        <f>IF(OR($H1068="",$H1068="sif",$H1068="PM"),"",VLOOKUP($H1068,[5]CU!$C$5:$J$255,8,FALSE))</f>
        <v/>
      </c>
      <c r="W1068" s="18" t="s">
        <v>521</v>
      </c>
      <c r="X1068" s="18" t="s">
        <v>1334</v>
      </c>
      <c r="Y1068" s="18" t="s">
        <v>677</v>
      </c>
      <c r="Z1068" s="18" t="str">
        <f>A1068 &amp; "-" &amp; VLOOKUP(A1068,[4]PROGRAMMES!$E$1:$F$7,2,FALSE)</f>
        <v>3-Expansion et réforme de l’ETFP</v>
      </c>
      <c r="AA1068" s="19" t="str">
        <f>B1068 &amp; "-" &amp; VLOOKUP(B1068,[4]SOUSPROGRAMMES!$E$1:$F$44,2,FALSE)</f>
        <v>34- le financement du développement de l’ETFP</v>
      </c>
      <c r="AB1068" s="19" t="str">
        <f>C1068 &amp; "-" &amp; VLOOKUP(C1068,[4]RESULTATS!$E$1:$F$176,2,FALSE)</f>
        <v>341- L’allocation budgétaire de l’ETFP dans le budget de l’éducation est améliorée</v>
      </c>
      <c r="AC1068" s="20" t="str">
        <f>D1068 &amp; "-" &amp; VLOOKUP(D1068,[4]STRATEGIES!$E$1:$F$504,2,FALSE)</f>
        <v>3411-Plaidoyer pour concrétiser la priorité accordée à l’ETFP</v>
      </c>
      <c r="AD1068" s="21" t="str">
        <f t="shared" si="181"/>
        <v>34111-Réorganisation et réorientation des projets de budget en lien avec la réforme de l'ETFP</v>
      </c>
    </row>
    <row r="1069" spans="1:30" s="22" customFormat="1" ht="45" hidden="1" customHeight="1" x14ac:dyDescent="0.8">
      <c r="A1069" s="14">
        <v>3</v>
      </c>
      <c r="B1069" s="15">
        <v>34</v>
      </c>
      <c r="C1069" s="15">
        <v>341</v>
      </c>
      <c r="D1069" s="15">
        <v>3411</v>
      </c>
      <c r="E1069" s="15">
        <v>34112</v>
      </c>
      <c r="F1069" s="16" t="s">
        <v>1396</v>
      </c>
      <c r="G1069" s="21" t="s">
        <v>836</v>
      </c>
      <c r="H1069" s="17" t="s">
        <v>55</v>
      </c>
      <c r="I1069" s="33">
        <v>0</v>
      </c>
      <c r="J1069" s="33">
        <v>1</v>
      </c>
      <c r="K1069" s="33">
        <v>1</v>
      </c>
      <c r="L1069" s="33">
        <v>1</v>
      </c>
      <c r="M1069" s="33">
        <f t="shared" si="182"/>
        <v>3</v>
      </c>
      <c r="N1069" s="33">
        <f>IF(OR(H1069="",H1069="sif",H1069="PM"),0,VLOOKUP(H1069,[5]CU!$C$4:$H$255,6,FALSE))</f>
        <v>0</v>
      </c>
      <c r="O1069" s="33">
        <f t="shared" si="183"/>
        <v>0</v>
      </c>
      <c r="P1069" s="33">
        <f t="shared" si="183"/>
        <v>0</v>
      </c>
      <c r="Q1069" s="33">
        <f t="shared" si="183"/>
        <v>0</v>
      </c>
      <c r="R1069" s="33">
        <f t="shared" si="183"/>
        <v>0</v>
      </c>
      <c r="S1069" s="34"/>
      <c r="T1069" s="35" t="s">
        <v>56</v>
      </c>
      <c r="U1069" s="18" t="s">
        <v>1156</v>
      </c>
      <c r="V1069" s="18" t="str">
        <f>IF(OR($H1069="",$H1069="sif",$H1069="PM"),"",VLOOKUP($H1069,[5]CU!$C$5:$J$255,8,FALSE))</f>
        <v/>
      </c>
      <c r="W1069" s="18" t="s">
        <v>521</v>
      </c>
      <c r="X1069" s="18" t="s">
        <v>1334</v>
      </c>
      <c r="Y1069" s="18" t="s">
        <v>677</v>
      </c>
      <c r="Z1069" s="18" t="str">
        <f>A1069 &amp; "-" &amp; VLOOKUP(A1069,[4]PROGRAMMES!$E$1:$F$7,2,FALSE)</f>
        <v>3-Expansion et réforme de l’ETFP</v>
      </c>
      <c r="AA1069" s="19" t="str">
        <f>B1069 &amp; "-" &amp; VLOOKUP(B1069,[4]SOUSPROGRAMMES!$E$1:$F$44,2,FALSE)</f>
        <v>34- le financement du développement de l’ETFP</v>
      </c>
      <c r="AB1069" s="19" t="str">
        <f>C1069 &amp; "-" &amp; VLOOKUP(C1069,[4]RESULTATS!$E$1:$F$176,2,FALSE)</f>
        <v>341- L’allocation budgétaire de l’ETFP dans le budget de l’éducation est améliorée</v>
      </c>
      <c r="AC1069" s="20" t="str">
        <f>D1069 &amp; "-" &amp; VLOOKUP(D1069,[4]STRATEGIES!$E$1:$F$504,2,FALSE)</f>
        <v>3411-Plaidoyer pour concrétiser la priorité accordée à l’ETFP</v>
      </c>
      <c r="AD1069" s="21" t="str">
        <f t="shared" si="181"/>
        <v>34112-Organisation de réunion de concertation et d'information avec les services techniques du budget et du plan</v>
      </c>
    </row>
    <row r="1070" spans="1:30" s="22" customFormat="1" ht="45" hidden="1" customHeight="1" x14ac:dyDescent="0.8">
      <c r="A1070" s="14">
        <v>3</v>
      </c>
      <c r="B1070" s="15">
        <v>34</v>
      </c>
      <c r="C1070" s="15">
        <v>341</v>
      </c>
      <c r="D1070" s="15">
        <v>3412</v>
      </c>
      <c r="E1070" s="15">
        <v>3412</v>
      </c>
      <c r="F1070" s="16" t="s">
        <v>1397</v>
      </c>
      <c r="G1070" s="17"/>
      <c r="H1070" s="17"/>
      <c r="I1070" s="33">
        <v>0</v>
      </c>
      <c r="J1070" s="33"/>
      <c r="K1070" s="33"/>
      <c r="L1070" s="33"/>
      <c r="M1070" s="33"/>
      <c r="N1070" s="33"/>
      <c r="O1070" s="33"/>
      <c r="P1070" s="33"/>
      <c r="Q1070" s="33"/>
      <c r="R1070" s="33"/>
      <c r="S1070" s="34"/>
      <c r="T1070" s="33"/>
      <c r="U1070" s="18"/>
      <c r="V1070" s="18"/>
      <c r="W1070" s="18"/>
      <c r="X1070" s="18"/>
      <c r="Y1070" s="18" t="s">
        <v>677</v>
      </c>
      <c r="Z1070" s="18" t="str">
        <f>A1070 &amp; "-" &amp; VLOOKUP(A1070,[4]PROGRAMMES!$E$1:$F$7,2,FALSE)</f>
        <v>3-Expansion et réforme de l’ETFP</v>
      </c>
      <c r="AA1070" s="19" t="str">
        <f>B1070 &amp; "-" &amp; VLOOKUP(B1070,[4]SOUSPROGRAMMES!$E$1:$F$44,2,FALSE)</f>
        <v>34- le financement du développement de l’ETFP</v>
      </c>
      <c r="AB1070" s="19" t="str">
        <f>C1070 &amp; "-" &amp; VLOOKUP(C1070,[4]RESULTATS!$E$1:$F$176,2,FALSE)</f>
        <v>341- L’allocation budgétaire de l’ETFP dans le budget de l’éducation est améliorée</v>
      </c>
      <c r="AC1070" s="20" t="str">
        <f>D1070 &amp; "-" &amp; VLOOKUP(D1070,[4]STRATEGIES!$E$1:$F$504,2,FALSE)</f>
        <v>3412-Adaptation des lignes budgétaire pour tenir compte des spécificités de l’ETFP</v>
      </c>
      <c r="AD1070" s="21" t="str">
        <f t="shared" si="181"/>
        <v>3412-Adaptation des lignes budgétaire pour tenir compte des spécificités de l’ETFP</v>
      </c>
    </row>
    <row r="1071" spans="1:30" s="22" customFormat="1" ht="45" hidden="1" customHeight="1" x14ac:dyDescent="0.8">
      <c r="A1071" s="14">
        <v>3</v>
      </c>
      <c r="B1071" s="15">
        <v>34</v>
      </c>
      <c r="C1071" s="15">
        <v>341</v>
      </c>
      <c r="D1071" s="15">
        <v>3412</v>
      </c>
      <c r="E1071" s="15">
        <v>34121</v>
      </c>
      <c r="F1071" s="16" t="s">
        <v>1398</v>
      </c>
      <c r="G1071" s="21" t="s">
        <v>836</v>
      </c>
      <c r="H1071" s="17" t="s">
        <v>55</v>
      </c>
      <c r="I1071" s="33">
        <v>0</v>
      </c>
      <c r="J1071" s="33" t="s">
        <v>1399</v>
      </c>
      <c r="K1071" s="33"/>
      <c r="L1071" s="33"/>
      <c r="M1071" s="33">
        <f t="shared" si="182"/>
        <v>0</v>
      </c>
      <c r="N1071" s="33">
        <f>IF(OR(H1071="",H1071="sif",H1071="PM"),0,VLOOKUP(H1071,[5]CU!$C$4:$H$255,6,FALSE))</f>
        <v>0</v>
      </c>
      <c r="O1071" s="33">
        <f t="shared" si="183"/>
        <v>0</v>
      </c>
      <c r="P1071" s="33">
        <f t="shared" si="183"/>
        <v>0</v>
      </c>
      <c r="Q1071" s="33">
        <f t="shared" si="183"/>
        <v>0</v>
      </c>
      <c r="R1071" s="33">
        <f t="shared" si="183"/>
        <v>0</v>
      </c>
      <c r="S1071" s="34"/>
      <c r="T1071" s="35" t="s">
        <v>56</v>
      </c>
      <c r="U1071" s="18" t="s">
        <v>1156</v>
      </c>
      <c r="V1071" s="18" t="str">
        <f>IF(OR($H1071="",$H1071="sif",$H1071="PM"),"",VLOOKUP($H1071,[5]CU!$C$5:$J$255,8,FALSE))</f>
        <v/>
      </c>
      <c r="W1071" s="18" t="s">
        <v>521</v>
      </c>
      <c r="X1071" s="18" t="s">
        <v>1334</v>
      </c>
      <c r="Y1071" s="18" t="s">
        <v>677</v>
      </c>
      <c r="Z1071" s="18" t="str">
        <f>A1071 &amp; "-" &amp; VLOOKUP(A1071,[4]PROGRAMMES!$E$1:$F$7,2,FALSE)</f>
        <v>3-Expansion et réforme de l’ETFP</v>
      </c>
      <c r="AA1071" s="19" t="str">
        <f>B1071 &amp; "-" &amp; VLOOKUP(B1071,[4]SOUSPROGRAMMES!$E$1:$F$44,2,FALSE)</f>
        <v>34- le financement du développement de l’ETFP</v>
      </c>
      <c r="AB1071" s="19" t="str">
        <f>C1071 &amp; "-" &amp; VLOOKUP(C1071,[4]RESULTATS!$E$1:$F$176,2,FALSE)</f>
        <v>341- L’allocation budgétaire de l’ETFP dans le budget de l’éducation est améliorée</v>
      </c>
      <c r="AC1071" s="20" t="str">
        <f>D1071 &amp; "-" &amp; VLOOKUP(D1071,[4]STRATEGIES!$E$1:$F$504,2,FALSE)</f>
        <v>3412-Adaptation des lignes budgétaire pour tenir compte des spécificités de l’ETFP</v>
      </c>
      <c r="AD1071" s="21" t="str">
        <f t="shared" si="181"/>
        <v>34121-Proposition de lignes budgétaires pour les activités spécifiques à l'ETFP</v>
      </c>
    </row>
    <row r="1072" spans="1:30" s="22" customFormat="1" ht="45" hidden="1" customHeight="1" x14ac:dyDescent="0.8">
      <c r="A1072" s="14">
        <v>3</v>
      </c>
      <c r="B1072" s="15">
        <v>34</v>
      </c>
      <c r="C1072" s="15">
        <v>341</v>
      </c>
      <c r="D1072" s="15">
        <v>3412</v>
      </c>
      <c r="E1072" s="15">
        <v>34122</v>
      </c>
      <c r="F1072" s="16" t="s">
        <v>1400</v>
      </c>
      <c r="G1072" s="21" t="s">
        <v>836</v>
      </c>
      <c r="H1072" s="17" t="s">
        <v>55</v>
      </c>
      <c r="I1072" s="33">
        <v>0</v>
      </c>
      <c r="J1072" s="33"/>
      <c r="K1072" s="33"/>
      <c r="L1072" s="33"/>
      <c r="M1072" s="33">
        <f t="shared" si="182"/>
        <v>0</v>
      </c>
      <c r="N1072" s="33">
        <f>IF(OR(H1072="",H1072="sif",H1072="PM"),0,VLOOKUP(H1072,[5]CU!$C$4:$H$255,6,FALSE))</f>
        <v>0</v>
      </c>
      <c r="O1072" s="33">
        <f t="shared" si="183"/>
        <v>0</v>
      </c>
      <c r="P1072" s="33">
        <f t="shared" si="183"/>
        <v>0</v>
      </c>
      <c r="Q1072" s="33">
        <f t="shared" si="183"/>
        <v>0</v>
      </c>
      <c r="R1072" s="33">
        <f t="shared" si="183"/>
        <v>0</v>
      </c>
      <c r="S1072" s="34"/>
      <c r="T1072" s="35" t="s">
        <v>56</v>
      </c>
      <c r="U1072" s="18" t="s">
        <v>1156</v>
      </c>
      <c r="V1072" s="18" t="str">
        <f>IF(OR($H1072="",$H1072="sif",$H1072="PM"),"",VLOOKUP($H1072,[5]CU!$C$5:$J$255,8,FALSE))</f>
        <v/>
      </c>
      <c r="W1072" s="18" t="s">
        <v>521</v>
      </c>
      <c r="X1072" s="18" t="s">
        <v>1334</v>
      </c>
      <c r="Y1072" s="18" t="s">
        <v>677</v>
      </c>
      <c r="Z1072" s="18" t="str">
        <f>A1072 &amp; "-" &amp; VLOOKUP(A1072,[4]PROGRAMMES!$E$1:$F$7,2,FALSE)</f>
        <v>3-Expansion et réforme de l’ETFP</v>
      </c>
      <c r="AA1072" s="19" t="str">
        <f>B1072 &amp; "-" &amp; VLOOKUP(B1072,[4]SOUSPROGRAMMES!$E$1:$F$44,2,FALSE)</f>
        <v>34- le financement du développement de l’ETFP</v>
      </c>
      <c r="AB1072" s="19" t="str">
        <f>C1072 &amp; "-" &amp; VLOOKUP(C1072,[4]RESULTATS!$E$1:$F$176,2,FALSE)</f>
        <v>341- L’allocation budgétaire de l’ETFP dans le budget de l’éducation est améliorée</v>
      </c>
      <c r="AC1072" s="20" t="str">
        <f>D1072 &amp; "-" &amp; VLOOKUP(D1072,[4]STRATEGIES!$E$1:$F$504,2,FALSE)</f>
        <v>3412-Adaptation des lignes budgétaire pour tenir compte des spécificités de l’ETFP</v>
      </c>
      <c r="AD1072" s="21" t="str">
        <f t="shared" si="181"/>
        <v>34122-Validation de lignes budgétaires par la direction nationale du budget</v>
      </c>
    </row>
    <row r="1073" spans="1:30" s="22" customFormat="1" ht="45" hidden="1" customHeight="1" x14ac:dyDescent="0.8">
      <c r="A1073" s="14">
        <v>3</v>
      </c>
      <c r="B1073" s="15">
        <v>34</v>
      </c>
      <c r="C1073" s="15">
        <v>342</v>
      </c>
      <c r="D1073" s="15">
        <v>342</v>
      </c>
      <c r="E1073" s="15">
        <v>342</v>
      </c>
      <c r="F1073" s="16" t="s">
        <v>1401</v>
      </c>
      <c r="G1073" s="17"/>
      <c r="H1073" s="17"/>
      <c r="I1073" s="33">
        <v>0</v>
      </c>
      <c r="J1073" s="33"/>
      <c r="K1073" s="33"/>
      <c r="L1073" s="33"/>
      <c r="M1073" s="33"/>
      <c r="N1073" s="33"/>
      <c r="O1073" s="33"/>
      <c r="P1073" s="33"/>
      <c r="Q1073" s="33"/>
      <c r="R1073" s="33"/>
      <c r="S1073" s="34"/>
      <c r="T1073" s="33"/>
      <c r="U1073" s="18"/>
      <c r="V1073" s="18"/>
      <c r="W1073" s="18"/>
      <c r="X1073" s="18"/>
      <c r="Y1073" s="18" t="s">
        <v>677</v>
      </c>
      <c r="Z1073" s="18" t="str">
        <f>A1073 &amp; "-" &amp; VLOOKUP(A1073,[4]PROGRAMMES!$E$1:$F$7,2,FALSE)</f>
        <v>3-Expansion et réforme de l’ETFP</v>
      </c>
      <c r="AA1073" s="19" t="str">
        <f>B1073 &amp; "-" &amp; VLOOKUP(B1073,[4]SOUSPROGRAMMES!$E$1:$F$44,2,FALSE)</f>
        <v>34- le financement du développement de l’ETFP</v>
      </c>
      <c r="AB1073" s="19" t="str">
        <f>C1073 &amp; "-" &amp; VLOOKUP(C1073,[4]RESULTATS!$E$1:$F$176,2,FALSE)</f>
        <v>342- Le reversement intégral du produit de la taxe de l’apprentissage au FNQP est effectif</v>
      </c>
      <c r="AC1073" s="20" t="str">
        <f>D1073 &amp; "-" &amp; VLOOKUP(D1073,[4]STRATEGIES!$E$1:$F$504,2,FALSE)</f>
        <v>342- Le reversement intégral du produit de la taxe de l’apprentissage au FNQP est effectif</v>
      </c>
      <c r="AD1073" s="21" t="str">
        <f t="shared" si="181"/>
        <v>342- Le reversement intégral du produit de la taxe de l’apprentissage au FNQP est effectif</v>
      </c>
    </row>
    <row r="1074" spans="1:30" s="22" customFormat="1" ht="45" hidden="1" customHeight="1" x14ac:dyDescent="0.8">
      <c r="A1074" s="14">
        <v>3</v>
      </c>
      <c r="B1074" s="15">
        <v>34</v>
      </c>
      <c r="C1074" s="15">
        <v>342</v>
      </c>
      <c r="D1074" s="15">
        <v>3421</v>
      </c>
      <c r="E1074" s="15">
        <v>3421</v>
      </c>
      <c r="F1074" s="16" t="s">
        <v>1402</v>
      </c>
      <c r="G1074" s="17"/>
      <c r="H1074" s="17"/>
      <c r="I1074" s="33">
        <v>0</v>
      </c>
      <c r="J1074" s="33"/>
      <c r="K1074" s="33"/>
      <c r="L1074" s="33"/>
      <c r="M1074" s="33"/>
      <c r="N1074" s="33"/>
      <c r="O1074" s="33"/>
      <c r="P1074" s="33"/>
      <c r="Q1074" s="33"/>
      <c r="R1074" s="33"/>
      <c r="S1074" s="34"/>
      <c r="T1074" s="33"/>
      <c r="U1074" s="18"/>
      <c r="V1074" s="18"/>
      <c r="W1074" s="18"/>
      <c r="X1074" s="18"/>
      <c r="Y1074" s="18" t="s">
        <v>677</v>
      </c>
      <c r="Z1074" s="18" t="str">
        <f>A1074 &amp; "-" &amp; VLOOKUP(A1074,[4]PROGRAMMES!$E$1:$F$7,2,FALSE)</f>
        <v>3-Expansion et réforme de l’ETFP</v>
      </c>
      <c r="AA1074" s="19" t="str">
        <f>B1074 &amp; "-" &amp; VLOOKUP(B1074,[4]SOUSPROGRAMMES!$E$1:$F$44,2,FALSE)</f>
        <v>34- le financement du développement de l’ETFP</v>
      </c>
      <c r="AB1074" s="19" t="str">
        <f>C1074 &amp; "-" &amp; VLOOKUP(C1074,[4]RESULTATS!$E$1:$F$176,2,FALSE)</f>
        <v>342- Le reversement intégral du produit de la taxe de l’apprentissage au FNQP est effectif</v>
      </c>
      <c r="AC1074" s="20" t="str">
        <f>D1074 &amp; "-" &amp; VLOOKUP(D1074,[4]STRATEGIES!$E$1:$F$504,2,FALSE)</f>
        <v>3421-Plaidoyer pour le reversement intégral du produit de la taxe de l’apprentissage au FNQP</v>
      </c>
      <c r="AD1074" s="21" t="str">
        <f t="shared" si="181"/>
        <v>3421-Plaidoyer pour le reversement intégral du produit de la taxe de l’apprentissage au FNQP</v>
      </c>
    </row>
    <row r="1075" spans="1:30" s="22" customFormat="1" ht="45" hidden="1" customHeight="1" x14ac:dyDescent="0.8">
      <c r="A1075" s="14">
        <v>3</v>
      </c>
      <c r="B1075" s="15">
        <v>34</v>
      </c>
      <c r="C1075" s="15">
        <v>342</v>
      </c>
      <c r="D1075" s="15">
        <v>3421</v>
      </c>
      <c r="E1075" s="15">
        <v>34211</v>
      </c>
      <c r="F1075" s="16" t="s">
        <v>1403</v>
      </c>
      <c r="G1075" s="21" t="s">
        <v>651</v>
      </c>
      <c r="H1075" s="17" t="s">
        <v>55</v>
      </c>
      <c r="I1075" s="33">
        <v>0</v>
      </c>
      <c r="J1075" s="33">
        <v>1</v>
      </c>
      <c r="K1075" s="33"/>
      <c r="L1075" s="33"/>
      <c r="M1075" s="33">
        <f t="shared" si="182"/>
        <v>1</v>
      </c>
      <c r="N1075" s="33">
        <f>IF(OR(H1075="",H1075="sif",H1075="PM"),0,VLOOKUP(H1075,[5]CU!$C$4:$H$255,6,FALSE))</f>
        <v>0</v>
      </c>
      <c r="O1075" s="33">
        <f t="shared" si="183"/>
        <v>0</v>
      </c>
      <c r="P1075" s="33">
        <f t="shared" si="183"/>
        <v>0</v>
      </c>
      <c r="Q1075" s="33">
        <f t="shared" si="183"/>
        <v>0</v>
      </c>
      <c r="R1075" s="33">
        <f t="shared" si="183"/>
        <v>0</v>
      </c>
      <c r="S1075" s="34"/>
      <c r="T1075" s="35" t="s">
        <v>56</v>
      </c>
      <c r="U1075" s="18" t="s">
        <v>1156</v>
      </c>
      <c r="V1075" s="18" t="str">
        <f>IF(OR($H1075="",$H1075="sif",$H1075="PM"),"",VLOOKUP($H1075,[5]CU!$C$5:$J$255,8,FALSE))</f>
        <v/>
      </c>
      <c r="W1075" s="18" t="s">
        <v>521</v>
      </c>
      <c r="X1075" s="18" t="s">
        <v>1404</v>
      </c>
      <c r="Y1075" s="18" t="s">
        <v>677</v>
      </c>
      <c r="Z1075" s="18" t="str">
        <f>A1075 &amp; "-" &amp; VLOOKUP(A1075,[4]PROGRAMMES!$E$1:$F$7,2,FALSE)</f>
        <v>3-Expansion et réforme de l’ETFP</v>
      </c>
      <c r="AA1075" s="19" t="str">
        <f>B1075 &amp; "-" &amp; VLOOKUP(B1075,[4]SOUSPROGRAMMES!$E$1:$F$44,2,FALSE)</f>
        <v>34- le financement du développement de l’ETFP</v>
      </c>
      <c r="AB1075" s="19" t="str">
        <f>C1075 &amp; "-" &amp; VLOOKUP(C1075,[4]RESULTATS!$E$1:$F$176,2,FALSE)</f>
        <v>342- Le reversement intégral du produit de la taxe de l’apprentissage au FNQP est effectif</v>
      </c>
      <c r="AC1075" s="20" t="str">
        <f>D1075 &amp; "-" &amp; VLOOKUP(D1075,[4]STRATEGIES!$E$1:$F$504,2,FALSE)</f>
        <v>3421-Plaidoyer pour le reversement intégral du produit de la taxe de l’apprentissage au FNQP</v>
      </c>
      <c r="AD1075" s="21" t="str">
        <f t="shared" si="181"/>
        <v>34211-Elaboration et adoption des textes instaurant le reversement de la taxe d'apprentissage pour le Financement de la formation professionnelle</v>
      </c>
    </row>
    <row r="1076" spans="1:30" s="22" customFormat="1" ht="45" hidden="1" customHeight="1" x14ac:dyDescent="0.8">
      <c r="A1076" s="14">
        <v>3</v>
      </c>
      <c r="B1076" s="15">
        <v>34</v>
      </c>
      <c r="C1076" s="15">
        <v>342</v>
      </c>
      <c r="D1076" s="15">
        <v>3421</v>
      </c>
      <c r="E1076" s="15">
        <v>34212</v>
      </c>
      <c r="F1076" s="16" t="s">
        <v>1405</v>
      </c>
      <c r="G1076" s="21" t="s">
        <v>836</v>
      </c>
      <c r="H1076" s="17" t="s">
        <v>55</v>
      </c>
      <c r="I1076" s="33">
        <v>0</v>
      </c>
      <c r="J1076" s="33">
        <v>1</v>
      </c>
      <c r="K1076" s="33"/>
      <c r="L1076" s="33"/>
      <c r="M1076" s="33">
        <f t="shared" si="182"/>
        <v>1</v>
      </c>
      <c r="N1076" s="33">
        <f>IF(OR(H1076="",H1076="sif",H1076="PM"),0,VLOOKUP(H1076,[5]CU!$C$4:$H$255,6,FALSE))</f>
        <v>0</v>
      </c>
      <c r="O1076" s="33">
        <f t="shared" si="183"/>
        <v>0</v>
      </c>
      <c r="P1076" s="33">
        <f t="shared" si="183"/>
        <v>0</v>
      </c>
      <c r="Q1076" s="33">
        <f t="shared" si="183"/>
        <v>0</v>
      </c>
      <c r="R1076" s="33">
        <f t="shared" si="183"/>
        <v>0</v>
      </c>
      <c r="S1076" s="34"/>
      <c r="T1076" s="35" t="s">
        <v>56</v>
      </c>
      <c r="U1076" s="18" t="s">
        <v>1156</v>
      </c>
      <c r="V1076" s="18" t="str">
        <f>IF(OR($H1076="",$H1076="sif",$H1076="PM"),"",VLOOKUP($H1076,[5]CU!$C$5:$J$255,8,FALSE))</f>
        <v/>
      </c>
      <c r="W1076" s="18" t="s">
        <v>521</v>
      </c>
      <c r="X1076" s="18" t="s">
        <v>1404</v>
      </c>
      <c r="Y1076" s="18" t="s">
        <v>677</v>
      </c>
      <c r="Z1076" s="18" t="str">
        <f>A1076 &amp; "-" &amp; VLOOKUP(A1076,[4]PROGRAMMES!$E$1:$F$7,2,FALSE)</f>
        <v>3-Expansion et réforme de l’ETFP</v>
      </c>
      <c r="AA1076" s="19" t="str">
        <f>B1076 &amp; "-" &amp; VLOOKUP(B1076,[4]SOUSPROGRAMMES!$E$1:$F$44,2,FALSE)</f>
        <v>34- le financement du développement de l’ETFP</v>
      </c>
      <c r="AB1076" s="19" t="str">
        <f>C1076 &amp; "-" &amp; VLOOKUP(C1076,[4]RESULTATS!$E$1:$F$176,2,FALSE)</f>
        <v>342- Le reversement intégral du produit de la taxe de l’apprentissage au FNQP est effectif</v>
      </c>
      <c r="AC1076" s="20" t="str">
        <f>D1076 &amp; "-" &amp; VLOOKUP(D1076,[4]STRATEGIES!$E$1:$F$504,2,FALSE)</f>
        <v>3421-Plaidoyer pour le reversement intégral du produit de la taxe de l’apprentissage au FNQP</v>
      </c>
      <c r="AD1076" s="21" t="str">
        <f t="shared" si="181"/>
        <v>34212-Révision des textes régissant le fonds national pour la qualification professionnelle</v>
      </c>
    </row>
    <row r="1077" spans="1:30" s="22" customFormat="1" ht="45" hidden="1" customHeight="1" x14ac:dyDescent="0.8">
      <c r="A1077" s="14">
        <v>3</v>
      </c>
      <c r="B1077" s="15">
        <v>34</v>
      </c>
      <c r="C1077" s="15">
        <v>342</v>
      </c>
      <c r="D1077" s="15">
        <v>3421</v>
      </c>
      <c r="E1077" s="15">
        <v>34213</v>
      </c>
      <c r="F1077" s="16" t="s">
        <v>1406</v>
      </c>
      <c r="G1077" s="21" t="s">
        <v>836</v>
      </c>
      <c r="H1077" s="17" t="s">
        <v>55</v>
      </c>
      <c r="I1077" s="33">
        <v>0</v>
      </c>
      <c r="J1077" s="33">
        <v>1</v>
      </c>
      <c r="K1077" s="33"/>
      <c r="L1077" s="33"/>
      <c r="M1077" s="33">
        <f t="shared" si="182"/>
        <v>1</v>
      </c>
      <c r="N1077" s="33">
        <f>IF(OR(H1077="",H1077="sif",H1077="PM"),0,VLOOKUP(H1077,[5]CU!$C$4:$H$255,6,FALSE))</f>
        <v>0</v>
      </c>
      <c r="O1077" s="33">
        <f t="shared" si="183"/>
        <v>0</v>
      </c>
      <c r="P1077" s="33">
        <f t="shared" si="183"/>
        <v>0</v>
      </c>
      <c r="Q1077" s="33">
        <f t="shared" si="183"/>
        <v>0</v>
      </c>
      <c r="R1077" s="33">
        <f t="shared" si="183"/>
        <v>0</v>
      </c>
      <c r="S1077" s="34"/>
      <c r="T1077" s="35" t="s">
        <v>56</v>
      </c>
      <c r="U1077" s="18" t="s">
        <v>1156</v>
      </c>
      <c r="V1077" s="18" t="str">
        <f>IF(OR($H1077="",$H1077="sif",$H1077="PM"),"",VLOOKUP($H1077,[5]CU!$C$5:$J$255,8,FALSE))</f>
        <v/>
      </c>
      <c r="W1077" s="18" t="s">
        <v>521</v>
      </c>
      <c r="X1077" s="18" t="s">
        <v>1404</v>
      </c>
      <c r="Y1077" s="18" t="s">
        <v>677</v>
      </c>
      <c r="Z1077" s="18" t="str">
        <f>A1077 &amp; "-" &amp; VLOOKUP(A1077,[4]PROGRAMMES!$E$1:$F$7,2,FALSE)</f>
        <v>3-Expansion et réforme de l’ETFP</v>
      </c>
      <c r="AA1077" s="19" t="str">
        <f>B1077 &amp; "-" &amp; VLOOKUP(B1077,[4]SOUSPROGRAMMES!$E$1:$F$44,2,FALSE)</f>
        <v>34- le financement du développement de l’ETFP</v>
      </c>
      <c r="AB1077" s="19" t="str">
        <f>C1077 &amp; "-" &amp; VLOOKUP(C1077,[4]RESULTATS!$E$1:$F$176,2,FALSE)</f>
        <v>342- Le reversement intégral du produit de la taxe de l’apprentissage au FNQP est effectif</v>
      </c>
      <c r="AC1077" s="20" t="str">
        <f>D1077 &amp; "-" &amp; VLOOKUP(D1077,[4]STRATEGIES!$E$1:$F$504,2,FALSE)</f>
        <v>3421-Plaidoyer pour le reversement intégral du produit de la taxe de l’apprentissage au FNQP</v>
      </c>
      <c r="AD1077" s="21" t="str">
        <f t="shared" si="181"/>
        <v>34213-Introduction dans le contrat des sociétés minières le paiement de la CFPCA pour la mise à niveau de la main d'œuvre nationale</v>
      </c>
    </row>
    <row r="1078" spans="1:30" s="22" customFormat="1" ht="45" hidden="1" customHeight="1" x14ac:dyDescent="0.8">
      <c r="A1078" s="14">
        <v>3</v>
      </c>
      <c r="B1078" s="15">
        <v>34</v>
      </c>
      <c r="C1078" s="15">
        <v>342</v>
      </c>
      <c r="D1078" s="15">
        <v>3422</v>
      </c>
      <c r="E1078" s="15">
        <v>3422</v>
      </c>
      <c r="F1078" s="16" t="s">
        <v>1407</v>
      </c>
      <c r="G1078" s="17"/>
      <c r="H1078" s="17"/>
      <c r="I1078" s="33">
        <v>0</v>
      </c>
      <c r="J1078" s="33"/>
      <c r="K1078" s="33"/>
      <c r="L1078" s="33"/>
      <c r="M1078" s="33"/>
      <c r="N1078" s="33"/>
      <c r="O1078" s="33"/>
      <c r="P1078" s="33"/>
      <c r="Q1078" s="33"/>
      <c r="R1078" s="33"/>
      <c r="S1078" s="34"/>
      <c r="T1078" s="33"/>
      <c r="U1078" s="18"/>
      <c r="V1078" s="18"/>
      <c r="W1078" s="18"/>
      <c r="X1078" s="18"/>
      <c r="Y1078" s="18" t="s">
        <v>677</v>
      </c>
      <c r="Z1078" s="18" t="str">
        <f>A1078 &amp; "-" &amp; VLOOKUP(A1078,[4]PROGRAMMES!$E$1:$F$7,2,FALSE)</f>
        <v>3-Expansion et réforme de l’ETFP</v>
      </c>
      <c r="AA1078" s="19" t="str">
        <f>B1078 &amp; "-" &amp; VLOOKUP(B1078,[4]SOUSPROGRAMMES!$E$1:$F$44,2,FALSE)</f>
        <v>34- le financement du développement de l’ETFP</v>
      </c>
      <c r="AB1078" s="19" t="str">
        <f>C1078 &amp; "-" &amp; VLOOKUP(C1078,[4]RESULTATS!$E$1:$F$176,2,FALSE)</f>
        <v>342- Le reversement intégral du produit de la taxe de l’apprentissage au FNQP est effectif</v>
      </c>
      <c r="AC1078" s="20" t="str">
        <f>D1078 &amp; "-" &amp; VLOOKUP(D1078,[4]STRATEGIES!$E$1:$F$504,2,FALSE)</f>
        <v>3422-Mise en place d’une stratégie de gestion de la taxe d’apprentissage</v>
      </c>
      <c r="AD1078" s="21" t="str">
        <f t="shared" si="181"/>
        <v>3422-Mise en place d’une stratégie de gestion de la taxe d’apprentissage</v>
      </c>
    </row>
    <row r="1079" spans="1:30" s="22" customFormat="1" ht="45" hidden="1" customHeight="1" x14ac:dyDescent="0.8">
      <c r="A1079" s="14">
        <v>3</v>
      </c>
      <c r="B1079" s="15">
        <v>34</v>
      </c>
      <c r="C1079" s="15">
        <v>342</v>
      </c>
      <c r="D1079" s="15">
        <v>3422</v>
      </c>
      <c r="E1079" s="15">
        <v>34221</v>
      </c>
      <c r="F1079" s="16" t="s">
        <v>1408</v>
      </c>
      <c r="G1079" s="21" t="s">
        <v>1409</v>
      </c>
      <c r="H1079" s="17" t="s">
        <v>38</v>
      </c>
      <c r="I1079" s="33">
        <v>0</v>
      </c>
      <c r="J1079" s="33"/>
      <c r="K1079" s="33">
        <f>35*2*4</f>
        <v>280</v>
      </c>
      <c r="L1079" s="33">
        <f>35*2*4</f>
        <v>280</v>
      </c>
      <c r="M1079" s="33">
        <f t="shared" si="182"/>
        <v>560</v>
      </c>
      <c r="N1079" s="33">
        <f>IF(OR(H1079="",H1079="sif",H1079="PM"),0,VLOOKUP(H1079,[5]CU!$C$4:$H$255,6,FALSE))</f>
        <v>0.3133333333333333</v>
      </c>
      <c r="O1079" s="33">
        <f t="shared" si="183"/>
        <v>0</v>
      </c>
      <c r="P1079" s="33">
        <f t="shared" si="183"/>
        <v>0</v>
      </c>
      <c r="Q1079" s="33">
        <f t="shared" si="183"/>
        <v>87.73333333333332</v>
      </c>
      <c r="R1079" s="33">
        <f t="shared" si="183"/>
        <v>87.73333333333332</v>
      </c>
      <c r="S1079" s="34">
        <f>SUM(O1079:R1079)</f>
        <v>175.46666666666664</v>
      </c>
      <c r="T1079" s="35" t="s">
        <v>118</v>
      </c>
      <c r="U1079" s="18" t="s">
        <v>1156</v>
      </c>
      <c r="V1079" s="18" t="str">
        <f>IF(OR($H1079="",$H1079="sif",$H1079="PM"),"",VLOOKUP($H1079,[5]CU!$C$5:$J$255,8,FALSE))</f>
        <v>3. Formation</v>
      </c>
      <c r="W1079" s="18" t="s">
        <v>521</v>
      </c>
      <c r="X1079" s="18" t="s">
        <v>1404</v>
      </c>
      <c r="Y1079" s="18" t="s">
        <v>677</v>
      </c>
      <c r="Z1079" s="18" t="str">
        <f>A1079 &amp; "-" &amp; VLOOKUP(A1079,[4]PROGRAMMES!$E$1:$F$7,2,FALSE)</f>
        <v>3-Expansion et réforme de l’ETFP</v>
      </c>
      <c r="AA1079" s="19" t="str">
        <f>B1079 &amp; "-" &amp; VLOOKUP(B1079,[4]SOUSPROGRAMMES!$E$1:$F$44,2,FALSE)</f>
        <v>34- le financement du développement de l’ETFP</v>
      </c>
      <c r="AB1079" s="19" t="str">
        <f>C1079 &amp; "-" &amp; VLOOKUP(C1079,[4]RESULTATS!$E$1:$F$176,2,FALSE)</f>
        <v>342- Le reversement intégral du produit de la taxe de l’apprentissage au FNQP est effectif</v>
      </c>
      <c r="AC1079" s="20" t="str">
        <f>D1079 &amp; "-" &amp; VLOOKUP(D1079,[4]STRATEGIES!$E$1:$F$504,2,FALSE)</f>
        <v>3422-Mise en place d’une stratégie de gestion de la taxe d’apprentissage</v>
      </c>
      <c r="AD1079" s="21" t="str">
        <f t="shared" si="181"/>
        <v>34221-Organisation de rencontres avec les services concernés (ONFPP, différents services du METFP-ET et employeurs) pour la déFinition de stratégie de gestion de la taxe d'apprentissage</v>
      </c>
    </row>
    <row r="1080" spans="1:30" s="22" customFormat="1" ht="45" hidden="1" customHeight="1" x14ac:dyDescent="0.8">
      <c r="A1080" s="14">
        <v>3</v>
      </c>
      <c r="B1080" s="15">
        <v>34</v>
      </c>
      <c r="C1080" s="15">
        <v>342</v>
      </c>
      <c r="D1080" s="15">
        <v>3423</v>
      </c>
      <c r="E1080" s="15">
        <v>3423</v>
      </c>
      <c r="F1080" s="16" t="s">
        <v>1410</v>
      </c>
      <c r="G1080" s="17"/>
      <c r="H1080" s="17"/>
      <c r="I1080" s="33">
        <v>0</v>
      </c>
      <c r="J1080" s="33"/>
      <c r="K1080" s="33"/>
      <c r="L1080" s="33"/>
      <c r="M1080" s="33"/>
      <c r="N1080" s="33"/>
      <c r="O1080" s="33"/>
      <c r="P1080" s="33"/>
      <c r="Q1080" s="33"/>
      <c r="R1080" s="33"/>
      <c r="S1080" s="34"/>
      <c r="T1080" s="33"/>
      <c r="U1080" s="18"/>
      <c r="V1080" s="18"/>
      <c r="W1080" s="18"/>
      <c r="X1080" s="18"/>
      <c r="Y1080" s="18" t="s">
        <v>677</v>
      </c>
      <c r="Z1080" s="18" t="str">
        <f>A1080 &amp; "-" &amp; VLOOKUP(A1080,[4]PROGRAMMES!$E$1:$F$7,2,FALSE)</f>
        <v>3-Expansion et réforme de l’ETFP</v>
      </c>
      <c r="AA1080" s="19" t="str">
        <f>B1080 &amp; "-" &amp; VLOOKUP(B1080,[4]SOUSPROGRAMMES!$E$1:$F$44,2,FALSE)</f>
        <v>34- le financement du développement de l’ETFP</v>
      </c>
      <c r="AB1080" s="19" t="str">
        <f>C1080 &amp; "-" &amp; VLOOKUP(C1080,[4]RESULTATS!$E$1:$F$176,2,FALSE)</f>
        <v>342- Le reversement intégral du produit de la taxe de l’apprentissage au FNQP est effectif</v>
      </c>
      <c r="AC1080" s="20" t="str">
        <f>D1080 &amp; "-" &amp; VLOOKUP(D1080,[4]STRATEGIES!$E$1:$F$504,2,FALSE)</f>
        <v xml:space="preserve">3423-Opérationnalisation de la stratégie de gestion de la taxe
</v>
      </c>
      <c r="AD1080" s="21" t="str">
        <f t="shared" si="181"/>
        <v xml:space="preserve">3423-Opérationnalisation de la stratégie de gestion de la taxe
</v>
      </c>
    </row>
    <row r="1081" spans="1:30" s="22" customFormat="1" ht="45" hidden="1" customHeight="1" x14ac:dyDescent="0.8">
      <c r="A1081" s="14">
        <v>3</v>
      </c>
      <c r="B1081" s="15">
        <v>34</v>
      </c>
      <c r="C1081" s="15">
        <v>342</v>
      </c>
      <c r="D1081" s="15">
        <v>3423</v>
      </c>
      <c r="E1081" s="15">
        <v>34231</v>
      </c>
      <c r="F1081" s="16" t="s">
        <v>1411</v>
      </c>
      <c r="G1081" s="21" t="s">
        <v>159</v>
      </c>
      <c r="H1081" s="17"/>
      <c r="I1081" s="33">
        <v>0</v>
      </c>
      <c r="J1081" s="33"/>
      <c r="K1081" s="33">
        <v>1</v>
      </c>
      <c r="L1081" s="33">
        <v>1</v>
      </c>
      <c r="M1081" s="33">
        <f t="shared" si="182"/>
        <v>2</v>
      </c>
      <c r="N1081" s="33">
        <f>IF(OR(H1081="",H1081="sif",H1081="PM"),0,VLOOKUP(H1081,[5]CU!$C$4:$H$255,6,FALSE))</f>
        <v>0</v>
      </c>
      <c r="O1081" s="33">
        <f t="shared" si="183"/>
        <v>0</v>
      </c>
      <c r="P1081" s="33">
        <f t="shared" si="183"/>
        <v>0</v>
      </c>
      <c r="Q1081" s="33">
        <f t="shared" si="183"/>
        <v>0</v>
      </c>
      <c r="R1081" s="33">
        <f t="shared" si="183"/>
        <v>0</v>
      </c>
      <c r="S1081" s="34"/>
      <c r="T1081" s="35" t="s">
        <v>56</v>
      </c>
      <c r="U1081" s="18" t="s">
        <v>1156</v>
      </c>
      <c r="V1081" s="18" t="str">
        <f>IF(OR($H1081="",$H1081="sif",$H1081="PM"),"",VLOOKUP($H1081,[5]CU!$C$5:$J$255,8,FALSE))</f>
        <v/>
      </c>
      <c r="W1081" s="18" t="s">
        <v>1404</v>
      </c>
      <c r="X1081" s="19" t="s">
        <v>1412</v>
      </c>
      <c r="Y1081" s="18" t="s">
        <v>677</v>
      </c>
      <c r="Z1081" s="18" t="str">
        <f>A1081 &amp; "-" &amp; VLOOKUP(A1081,[4]PROGRAMMES!$E$1:$F$7,2,FALSE)</f>
        <v>3-Expansion et réforme de l’ETFP</v>
      </c>
      <c r="AA1081" s="19" t="str">
        <f>B1081 &amp; "-" &amp; VLOOKUP(B1081,[4]SOUSPROGRAMMES!$E$1:$F$44,2,FALSE)</f>
        <v>34- le financement du développement de l’ETFP</v>
      </c>
      <c r="AB1081" s="19" t="str">
        <f>C1081 &amp; "-" &amp; VLOOKUP(C1081,[4]RESULTATS!$E$1:$F$176,2,FALSE)</f>
        <v>342- Le reversement intégral du produit de la taxe de l’apprentissage au FNQP est effectif</v>
      </c>
      <c r="AC1081" s="20" t="str">
        <f>D1081 &amp; "-" &amp; VLOOKUP(D1081,[4]STRATEGIES!$E$1:$F$504,2,FALSE)</f>
        <v xml:space="preserve">3423-Opérationnalisation de la stratégie de gestion de la taxe
</v>
      </c>
      <c r="AD1081" s="21" t="str">
        <f t="shared" si="181"/>
        <v>34231-Mise en œuvre des activités Financées par la taxe d'apprentissage par l'ONFPP</v>
      </c>
    </row>
    <row r="1082" spans="1:30" s="22" customFormat="1" ht="45" hidden="1" customHeight="1" x14ac:dyDescent="0.8">
      <c r="A1082" s="14">
        <v>3</v>
      </c>
      <c r="B1082" s="15">
        <v>34</v>
      </c>
      <c r="C1082" s="15">
        <v>343</v>
      </c>
      <c r="D1082" s="15">
        <v>343</v>
      </c>
      <c r="E1082" s="15">
        <v>343</v>
      </c>
      <c r="F1082" s="16" t="s">
        <v>1413</v>
      </c>
      <c r="G1082" s="17"/>
      <c r="H1082" s="17"/>
      <c r="I1082" s="33">
        <v>0</v>
      </c>
      <c r="J1082" s="33"/>
      <c r="K1082" s="33"/>
      <c r="L1082" s="33"/>
      <c r="M1082" s="33"/>
      <c r="N1082" s="33"/>
      <c r="O1082" s="33"/>
      <c r="P1082" s="33"/>
      <c r="Q1082" s="33"/>
      <c r="R1082" s="33"/>
      <c r="S1082" s="34"/>
      <c r="T1082" s="33"/>
      <c r="U1082" s="18"/>
      <c r="V1082" s="18"/>
      <c r="W1082" s="18"/>
      <c r="X1082" s="18"/>
      <c r="Y1082" s="18" t="s">
        <v>677</v>
      </c>
      <c r="Z1082" s="18" t="str">
        <f>A1082 &amp; "-" &amp; VLOOKUP(A1082,[4]PROGRAMMES!$E$1:$F$7,2,FALSE)</f>
        <v>3-Expansion et réforme de l’ETFP</v>
      </c>
      <c r="AA1082" s="19" t="str">
        <f>B1082 &amp; "-" &amp; VLOOKUP(B1082,[4]SOUSPROGRAMMES!$E$1:$F$44,2,FALSE)</f>
        <v>34- le financement du développement de l’ETFP</v>
      </c>
      <c r="AB1082" s="19" t="str">
        <f>C1082 &amp; "-" &amp; VLOOKUP(C1082,[4]RESULTATS!$E$1:$F$176,2,FALSE)</f>
        <v>343- La contribution du milieu socioprofessionnel dans le partage du coût de formation est accrue</v>
      </c>
      <c r="AC1082" s="20" t="str">
        <f>D1082 &amp; "-" &amp; VLOOKUP(D1082,[4]STRATEGIES!$E$1:$F$504,2,FALSE)</f>
        <v>343- La contribution du milieu socioprofessionnel dans le partage du coût de formation est accrue</v>
      </c>
      <c r="AD1082" s="21" t="str">
        <f t="shared" si="181"/>
        <v>343- La contribution du milieu socioprofessionnel dans le partage du coût de formation est accrue</v>
      </c>
    </row>
    <row r="1083" spans="1:30" s="22" customFormat="1" ht="45" hidden="1" customHeight="1" x14ac:dyDescent="0.8">
      <c r="A1083" s="14">
        <v>3</v>
      </c>
      <c r="B1083" s="15">
        <v>34</v>
      </c>
      <c r="C1083" s="15">
        <v>343</v>
      </c>
      <c r="D1083" s="15">
        <v>3431</v>
      </c>
      <c r="E1083" s="15">
        <v>3431</v>
      </c>
      <c r="F1083" s="16" t="s">
        <v>1414</v>
      </c>
      <c r="G1083" s="17"/>
      <c r="H1083" s="17"/>
      <c r="I1083" s="33">
        <v>0</v>
      </c>
      <c r="J1083" s="33"/>
      <c r="K1083" s="33"/>
      <c r="L1083" s="33"/>
      <c r="M1083" s="33"/>
      <c r="N1083" s="33"/>
      <c r="O1083" s="33"/>
      <c r="P1083" s="33"/>
      <c r="Q1083" s="33"/>
      <c r="R1083" s="33"/>
      <c r="S1083" s="34"/>
      <c r="T1083" s="33"/>
      <c r="U1083" s="18"/>
      <c r="V1083" s="18"/>
      <c r="W1083" s="18"/>
      <c r="X1083" s="18"/>
      <c r="Y1083" s="18" t="s">
        <v>677</v>
      </c>
      <c r="Z1083" s="18" t="str">
        <f>A1083 &amp; "-" &amp; VLOOKUP(A1083,[4]PROGRAMMES!$E$1:$F$7,2,FALSE)</f>
        <v>3-Expansion et réforme de l’ETFP</v>
      </c>
      <c r="AA1083" s="19" t="str">
        <f>B1083 &amp; "-" &amp; VLOOKUP(B1083,[4]SOUSPROGRAMMES!$E$1:$F$44,2,FALSE)</f>
        <v>34- le financement du développement de l’ETFP</v>
      </c>
      <c r="AB1083" s="19" t="str">
        <f>C1083 &amp; "-" &amp; VLOOKUP(C1083,[4]RESULTATS!$E$1:$F$176,2,FALSE)</f>
        <v>343- La contribution du milieu socioprofessionnel dans le partage du coût de formation est accrue</v>
      </c>
      <c r="AC1083" s="20" t="str">
        <f>D1083 &amp; "-" &amp; VLOOKUP(D1083,[4]STRATEGIES!$E$1:$F$504,2,FALSE)</f>
        <v>3431-Elaboration d’un cadre parteunarial favorisant le partage de coût de la formation avec le milieu socioprofessionnel</v>
      </c>
      <c r="AD1083" s="21" t="str">
        <f t="shared" si="181"/>
        <v>3431-Elaboration d’un cadre parteunarial favorisant le partage de coût de la formation avec le milieu socioprofessionnel</v>
      </c>
    </row>
    <row r="1084" spans="1:30" s="22" customFormat="1" ht="45" hidden="1" customHeight="1" x14ac:dyDescent="0.8">
      <c r="A1084" s="14">
        <v>3</v>
      </c>
      <c r="B1084" s="15">
        <v>34</v>
      </c>
      <c r="C1084" s="15">
        <v>343</v>
      </c>
      <c r="D1084" s="15">
        <v>3431</v>
      </c>
      <c r="E1084" s="15">
        <v>34311</v>
      </c>
      <c r="F1084" s="16" t="s">
        <v>1415</v>
      </c>
      <c r="G1084" s="21" t="s">
        <v>1416</v>
      </c>
      <c r="H1084" s="17" t="s">
        <v>101</v>
      </c>
      <c r="I1084" s="33">
        <v>0</v>
      </c>
      <c r="J1084" s="33">
        <f>1*30</f>
        <v>30</v>
      </c>
      <c r="K1084" s="33"/>
      <c r="L1084" s="33"/>
      <c r="M1084" s="33">
        <f t="shared" si="182"/>
        <v>30</v>
      </c>
      <c r="N1084" s="33">
        <f>IF(OR(H1084="",H1084="sif",H1084="PM"),0,VLOOKUP(H1084,[5]CU!$C$4:$H$255,6,FALSE))</f>
        <v>2.651545</v>
      </c>
      <c r="O1084" s="33">
        <f t="shared" si="183"/>
        <v>0</v>
      </c>
      <c r="P1084" s="33">
        <f t="shared" si="183"/>
        <v>79.546350000000004</v>
      </c>
      <c r="Q1084" s="33">
        <f t="shared" si="183"/>
        <v>0</v>
      </c>
      <c r="R1084" s="33">
        <f t="shared" si="183"/>
        <v>0</v>
      </c>
      <c r="S1084" s="34">
        <f>SUM(O1084:R1084)</f>
        <v>79.546350000000004</v>
      </c>
      <c r="T1084" s="35" t="s">
        <v>118</v>
      </c>
      <c r="U1084" s="18" t="s">
        <v>1156</v>
      </c>
      <c r="V1084" s="18" t="str">
        <f>IF(OR($H1084="",$H1084="sif",$H1084="PM"),"",VLOOKUP($H1084,[5]CU!$C$5:$J$255,8,FALSE))</f>
        <v>3. Dépenses de fonctionnement</v>
      </c>
      <c r="W1084" s="18" t="s">
        <v>96</v>
      </c>
      <c r="X1084" s="18" t="s">
        <v>1371</v>
      </c>
      <c r="Y1084" s="18" t="s">
        <v>677</v>
      </c>
      <c r="Z1084" s="18" t="str">
        <f>A1084 &amp; "-" &amp; VLOOKUP(A1084,[4]PROGRAMMES!$E$1:$F$7,2,FALSE)</f>
        <v>3-Expansion et réforme de l’ETFP</v>
      </c>
      <c r="AA1084" s="19" t="str">
        <f>B1084 &amp; "-" &amp; VLOOKUP(B1084,[4]SOUSPROGRAMMES!$E$1:$F$44,2,FALSE)</f>
        <v>34- le financement du développement de l’ETFP</v>
      </c>
      <c r="AB1084" s="19" t="str">
        <f>C1084 &amp; "-" &amp; VLOOKUP(C1084,[4]RESULTATS!$E$1:$F$176,2,FALSE)</f>
        <v>343- La contribution du milieu socioprofessionnel dans le partage du coût de formation est accrue</v>
      </c>
      <c r="AC1084" s="20" t="str">
        <f>D1084 &amp; "-" &amp; VLOOKUP(D1084,[4]STRATEGIES!$E$1:$F$504,2,FALSE)</f>
        <v>3431-Elaboration d’un cadre parteunarial favorisant le partage de coût de la formation avec le milieu socioprofessionnel</v>
      </c>
      <c r="AD1084" s="21" t="str">
        <f t="shared" si="181"/>
        <v>34311-Organisation d'un état des lieux</v>
      </c>
    </row>
    <row r="1085" spans="1:30" s="22" customFormat="1" ht="45" hidden="1" customHeight="1" x14ac:dyDescent="0.8">
      <c r="A1085" s="14">
        <v>3</v>
      </c>
      <c r="B1085" s="15">
        <v>34</v>
      </c>
      <c r="C1085" s="15">
        <v>343</v>
      </c>
      <c r="D1085" s="15">
        <v>3431</v>
      </c>
      <c r="E1085" s="15">
        <v>34312</v>
      </c>
      <c r="F1085" s="16" t="s">
        <v>1417</v>
      </c>
      <c r="G1085" s="21" t="s">
        <v>836</v>
      </c>
      <c r="H1085" s="17" t="s">
        <v>55</v>
      </c>
      <c r="I1085" s="33">
        <v>0</v>
      </c>
      <c r="J1085" s="33">
        <v>1</v>
      </c>
      <c r="K1085" s="33"/>
      <c r="L1085" s="33"/>
      <c r="M1085" s="33">
        <f t="shared" si="182"/>
        <v>1</v>
      </c>
      <c r="N1085" s="33">
        <f>IF(OR(H1085="",H1085="sif",H1085="PM"),0,VLOOKUP(H1085,[5]CU!$C$4:$H$255,6,FALSE))</f>
        <v>0</v>
      </c>
      <c r="O1085" s="33">
        <f t="shared" si="183"/>
        <v>0</v>
      </c>
      <c r="P1085" s="33">
        <f t="shared" si="183"/>
        <v>0</v>
      </c>
      <c r="Q1085" s="33">
        <f t="shared" si="183"/>
        <v>0</v>
      </c>
      <c r="R1085" s="33">
        <f t="shared" si="183"/>
        <v>0</v>
      </c>
      <c r="S1085" s="34"/>
      <c r="T1085" s="35" t="s">
        <v>56</v>
      </c>
      <c r="U1085" s="18" t="s">
        <v>1156</v>
      </c>
      <c r="V1085" s="18" t="str">
        <f>IF(OR($H1085="",$H1085="sif",$H1085="PM"),"",VLOOKUP($H1085,[5]CU!$C$5:$J$255,8,FALSE))</f>
        <v/>
      </c>
      <c r="W1085" s="18"/>
      <c r="X1085" s="18"/>
      <c r="Y1085" s="18" t="s">
        <v>677</v>
      </c>
      <c r="Z1085" s="18" t="str">
        <f>A1085 &amp; "-" &amp; VLOOKUP(A1085,[4]PROGRAMMES!$E$1:$F$7,2,FALSE)</f>
        <v>3-Expansion et réforme de l’ETFP</v>
      </c>
      <c r="AA1085" s="19" t="str">
        <f>B1085 &amp; "-" &amp; VLOOKUP(B1085,[4]SOUSPROGRAMMES!$E$1:$F$44,2,FALSE)</f>
        <v>34- le financement du développement de l’ETFP</v>
      </c>
      <c r="AB1085" s="19" t="str">
        <f>C1085 &amp; "-" &amp; VLOOKUP(C1085,[4]RESULTATS!$E$1:$F$176,2,FALSE)</f>
        <v>343- La contribution du milieu socioprofessionnel dans le partage du coût de formation est accrue</v>
      </c>
      <c r="AC1085" s="20" t="str">
        <f>D1085 &amp; "-" &amp; VLOOKUP(D1085,[4]STRATEGIES!$E$1:$F$504,2,FALSE)</f>
        <v>3431-Elaboration d’un cadre parteunarial favorisant le partage de coût de la formation avec le milieu socioprofessionnel</v>
      </c>
      <c r="AD1085" s="21" t="str">
        <f t="shared" si="181"/>
        <v>34312-Identification des partenaires potentiels (pris en compte dans l'activité 34311)</v>
      </c>
    </row>
    <row r="1086" spans="1:30" s="22" customFormat="1" ht="45" hidden="1" customHeight="1" x14ac:dyDescent="0.8">
      <c r="A1086" s="14">
        <v>3</v>
      </c>
      <c r="B1086" s="15">
        <v>34</v>
      </c>
      <c r="C1086" s="15">
        <v>343</v>
      </c>
      <c r="D1086" s="15">
        <v>3431</v>
      </c>
      <c r="E1086" s="15">
        <v>34313</v>
      </c>
      <c r="F1086" s="16" t="s">
        <v>1418</v>
      </c>
      <c r="G1086" s="21" t="s">
        <v>836</v>
      </c>
      <c r="H1086" s="17" t="s">
        <v>55</v>
      </c>
      <c r="I1086" s="33">
        <v>0</v>
      </c>
      <c r="J1086" s="33">
        <v>1</v>
      </c>
      <c r="K1086" s="33"/>
      <c r="L1086" s="33"/>
      <c r="M1086" s="33">
        <f t="shared" si="182"/>
        <v>1</v>
      </c>
      <c r="N1086" s="33">
        <f>IF(OR(H1086="",H1086="sif",H1086="PM"),0,VLOOKUP(H1086,[5]CU!$C$4:$H$255,6,FALSE))</f>
        <v>0</v>
      </c>
      <c r="O1086" s="33">
        <f t="shared" si="183"/>
        <v>0</v>
      </c>
      <c r="P1086" s="33">
        <f t="shared" si="183"/>
        <v>0</v>
      </c>
      <c r="Q1086" s="33">
        <f t="shared" si="183"/>
        <v>0</v>
      </c>
      <c r="R1086" s="33">
        <f t="shared" si="183"/>
        <v>0</v>
      </c>
      <c r="S1086" s="34"/>
      <c r="T1086" s="35" t="s">
        <v>56</v>
      </c>
      <c r="U1086" s="18" t="s">
        <v>1156</v>
      </c>
      <c r="V1086" s="18" t="str">
        <f>IF(OR($H1086="",$H1086="sif",$H1086="PM"),"",VLOOKUP($H1086,[5]CU!$C$5:$J$255,8,FALSE))</f>
        <v/>
      </c>
      <c r="W1086" s="18"/>
      <c r="X1086" s="18"/>
      <c r="Y1086" s="18" t="s">
        <v>677</v>
      </c>
      <c r="Z1086" s="18" t="str">
        <f>A1086 &amp; "-" &amp; VLOOKUP(A1086,[4]PROGRAMMES!$E$1:$F$7,2,FALSE)</f>
        <v>3-Expansion et réforme de l’ETFP</v>
      </c>
      <c r="AA1086" s="19" t="str">
        <f>B1086 &amp; "-" &amp; VLOOKUP(B1086,[4]SOUSPROGRAMMES!$E$1:$F$44,2,FALSE)</f>
        <v>34- le financement du développement de l’ETFP</v>
      </c>
      <c r="AB1086" s="19" t="str">
        <f>C1086 &amp; "-" &amp; VLOOKUP(C1086,[4]RESULTATS!$E$1:$F$176,2,FALSE)</f>
        <v>343- La contribution du milieu socioprofessionnel dans le partage du coût de formation est accrue</v>
      </c>
      <c r="AC1086" s="20" t="str">
        <f>D1086 &amp; "-" &amp; VLOOKUP(D1086,[4]STRATEGIES!$E$1:$F$504,2,FALSE)</f>
        <v>3431-Elaboration d’un cadre parteunarial favorisant le partage de coût de la formation avec le milieu socioprofessionnel</v>
      </c>
      <c r="AD1086" s="21" t="str">
        <f t="shared" si="181"/>
        <v>34313-Identification de grandes orientations et axes de partenariats (pris en compte dans l'activité 34311)</v>
      </c>
    </row>
    <row r="1087" spans="1:30" s="22" customFormat="1" ht="45" hidden="1" customHeight="1" x14ac:dyDescent="0.8">
      <c r="A1087" s="14">
        <v>3</v>
      </c>
      <c r="B1087" s="15">
        <v>34</v>
      </c>
      <c r="C1087" s="15">
        <v>343</v>
      </c>
      <c r="D1087" s="15">
        <v>3431</v>
      </c>
      <c r="E1087" s="15">
        <v>34314</v>
      </c>
      <c r="F1087" s="16" t="s">
        <v>1419</v>
      </c>
      <c r="G1087" s="21" t="s">
        <v>660</v>
      </c>
      <c r="H1087" s="17" t="s">
        <v>55</v>
      </c>
      <c r="I1087" s="33">
        <v>0</v>
      </c>
      <c r="J1087" s="33"/>
      <c r="K1087" s="33">
        <v>1</v>
      </c>
      <c r="L1087" s="33"/>
      <c r="M1087" s="33">
        <f t="shared" si="182"/>
        <v>1</v>
      </c>
      <c r="N1087" s="33">
        <f>IF(OR(H1087="",H1087="sif",H1087="PM"),0,VLOOKUP(H1087,[5]CU!$C$4:$H$255,6,FALSE))</f>
        <v>0</v>
      </c>
      <c r="O1087" s="33">
        <f t="shared" si="183"/>
        <v>0</v>
      </c>
      <c r="P1087" s="33">
        <f t="shared" si="183"/>
        <v>0</v>
      </c>
      <c r="Q1087" s="33">
        <f t="shared" si="183"/>
        <v>0</v>
      </c>
      <c r="R1087" s="33">
        <f t="shared" si="183"/>
        <v>0</v>
      </c>
      <c r="S1087" s="34"/>
      <c r="T1087" s="35" t="s">
        <v>56</v>
      </c>
      <c r="U1087" s="18" t="s">
        <v>1156</v>
      </c>
      <c r="V1087" s="18" t="str">
        <f>IF(OR($H1087="",$H1087="sif",$H1087="PM"),"",VLOOKUP($H1087,[5]CU!$C$5:$J$255,8,FALSE))</f>
        <v/>
      </c>
      <c r="W1087" s="18" t="s">
        <v>1334</v>
      </c>
      <c r="X1087" s="18" t="s">
        <v>1375</v>
      </c>
      <c r="Y1087" s="18" t="s">
        <v>677</v>
      </c>
      <c r="Z1087" s="18" t="str">
        <f>A1087 &amp; "-" &amp; VLOOKUP(A1087,[4]PROGRAMMES!$E$1:$F$7,2,FALSE)</f>
        <v>3-Expansion et réforme de l’ETFP</v>
      </c>
      <c r="AA1087" s="19" t="str">
        <f>B1087 &amp; "-" &amp; VLOOKUP(B1087,[4]SOUSPROGRAMMES!$E$1:$F$44,2,FALSE)</f>
        <v>34- le financement du développement de l’ETFP</v>
      </c>
      <c r="AB1087" s="19" t="str">
        <f>C1087 &amp; "-" &amp; VLOOKUP(C1087,[4]RESULTATS!$E$1:$F$176,2,FALSE)</f>
        <v>343- La contribution du milieu socioprofessionnel dans le partage du coût de formation est accrue</v>
      </c>
      <c r="AC1087" s="20" t="str">
        <f>D1087 &amp; "-" &amp; VLOOKUP(D1087,[4]STRATEGIES!$E$1:$F$504,2,FALSE)</f>
        <v>3431-Elaboration d’un cadre parteunarial favorisant le partage de coût de la formation avec le milieu socioprofessionnel</v>
      </c>
      <c r="AD1087" s="21" t="str">
        <f t="shared" si="181"/>
        <v>34314-formalisation du cadre partenarial</v>
      </c>
    </row>
    <row r="1088" spans="1:30" s="22" customFormat="1" ht="45" hidden="1" customHeight="1" x14ac:dyDescent="0.8">
      <c r="A1088" s="14">
        <v>3</v>
      </c>
      <c r="B1088" s="15">
        <v>34</v>
      </c>
      <c r="C1088" s="15">
        <v>343</v>
      </c>
      <c r="D1088" s="15">
        <v>3431</v>
      </c>
      <c r="E1088" s="15">
        <v>34315</v>
      </c>
      <c r="F1088" s="16" t="s">
        <v>1420</v>
      </c>
      <c r="G1088" s="21" t="s">
        <v>1186</v>
      </c>
      <c r="H1088" s="17" t="s">
        <v>38</v>
      </c>
      <c r="I1088" s="33">
        <v>0</v>
      </c>
      <c r="J1088" s="33"/>
      <c r="K1088" s="33">
        <f>45*3*2</f>
        <v>270</v>
      </c>
      <c r="L1088" s="33">
        <f>45*3*2</f>
        <v>270</v>
      </c>
      <c r="M1088" s="33">
        <f t="shared" si="182"/>
        <v>540</v>
      </c>
      <c r="N1088" s="33">
        <f>IF(OR(H1088="",H1088="sif",H1088="PM"),0,VLOOKUP(H1088,[5]CU!$C$4:$H$255,6,FALSE))</f>
        <v>0.3133333333333333</v>
      </c>
      <c r="O1088" s="33">
        <f t="shared" si="183"/>
        <v>0</v>
      </c>
      <c r="P1088" s="33">
        <f t="shared" si="183"/>
        <v>0</v>
      </c>
      <c r="Q1088" s="33">
        <f t="shared" si="183"/>
        <v>84.6</v>
      </c>
      <c r="R1088" s="33">
        <f t="shared" si="183"/>
        <v>84.6</v>
      </c>
      <c r="S1088" s="34">
        <f>SUM(O1088:R1088)</f>
        <v>169.2</v>
      </c>
      <c r="T1088" s="35" t="s">
        <v>56</v>
      </c>
      <c r="U1088" s="18" t="s">
        <v>1156</v>
      </c>
      <c r="V1088" s="18" t="str">
        <f>IF(OR($H1088="",$H1088="sif",$H1088="PM"),"",VLOOKUP($H1088,[5]CU!$C$5:$J$255,8,FALSE))</f>
        <v>3. Formation</v>
      </c>
      <c r="W1088" s="18" t="s">
        <v>1334</v>
      </c>
      <c r="X1088" s="18" t="s">
        <v>1375</v>
      </c>
      <c r="Y1088" s="18" t="s">
        <v>677</v>
      </c>
      <c r="Z1088" s="18" t="str">
        <f>A1088 &amp; "-" &amp; VLOOKUP(A1088,[4]PROGRAMMES!$E$1:$F$7,2,FALSE)</f>
        <v>3-Expansion et réforme de l’ETFP</v>
      </c>
      <c r="AA1088" s="19" t="str">
        <f>B1088 &amp; "-" &amp; VLOOKUP(B1088,[4]SOUSPROGRAMMES!$E$1:$F$44,2,FALSE)</f>
        <v>34- le financement du développement de l’ETFP</v>
      </c>
      <c r="AB1088" s="19" t="str">
        <f>C1088 &amp; "-" &amp; VLOOKUP(C1088,[4]RESULTATS!$E$1:$F$176,2,FALSE)</f>
        <v>343- La contribution du milieu socioprofessionnel dans le partage du coût de formation est accrue</v>
      </c>
      <c r="AC1088" s="20" t="str">
        <f>D1088 &amp; "-" &amp; VLOOKUP(D1088,[4]STRATEGIES!$E$1:$F$504,2,FALSE)</f>
        <v>3431-Elaboration d’un cadre parteunarial favorisant le partage de coût de la formation avec le milieu socioprofessionnel</v>
      </c>
      <c r="AD1088" s="21" t="str">
        <f t="shared" si="181"/>
        <v>34315-fonctionnement du cadre partenarial</v>
      </c>
    </row>
    <row r="1089" spans="1:30" s="22" customFormat="1" ht="45" hidden="1" customHeight="1" x14ac:dyDescent="0.8">
      <c r="A1089" s="14">
        <v>3</v>
      </c>
      <c r="B1089" s="15">
        <v>34</v>
      </c>
      <c r="C1089" s="15">
        <v>343</v>
      </c>
      <c r="D1089" s="15">
        <v>3432</v>
      </c>
      <c r="E1089" s="15">
        <v>3432</v>
      </c>
      <c r="F1089" s="16" t="s">
        <v>1421</v>
      </c>
      <c r="G1089" s="17"/>
      <c r="H1089" s="17"/>
      <c r="I1089" s="33">
        <v>0</v>
      </c>
      <c r="J1089" s="33"/>
      <c r="K1089" s="33"/>
      <c r="L1089" s="33"/>
      <c r="M1089" s="33"/>
      <c r="N1089" s="33"/>
      <c r="O1089" s="33"/>
      <c r="P1089" s="33"/>
      <c r="Q1089" s="33"/>
      <c r="R1089" s="33"/>
      <c r="S1089" s="34"/>
      <c r="T1089" s="33"/>
      <c r="U1089" s="18"/>
      <c r="V1089" s="18"/>
      <c r="W1089" s="18"/>
      <c r="X1089" s="18"/>
      <c r="Y1089" s="18" t="s">
        <v>677</v>
      </c>
      <c r="Z1089" s="18" t="str">
        <f>A1089 &amp; "-" &amp; VLOOKUP(A1089,[4]PROGRAMMES!$E$1:$F$7,2,FALSE)</f>
        <v>3-Expansion et réforme de l’ETFP</v>
      </c>
      <c r="AA1089" s="19" t="str">
        <f>B1089 &amp; "-" &amp; VLOOKUP(B1089,[4]SOUSPROGRAMMES!$E$1:$F$44,2,FALSE)</f>
        <v>34- le financement du développement de l’ETFP</v>
      </c>
      <c r="AB1089" s="19" t="str">
        <f>C1089 &amp; "-" &amp; VLOOKUP(C1089,[4]RESULTATS!$E$1:$F$176,2,FALSE)</f>
        <v>343- La contribution du milieu socioprofessionnel dans le partage du coût de formation est accrue</v>
      </c>
      <c r="AC1089" s="20" t="str">
        <f>D1089 &amp; "-" &amp; VLOOKUP(D1089,[4]STRATEGIES!$E$1:$F$504,2,FALSE)</f>
        <v>3432-Mise en place d’un cadre qui favorise les prestations de services par les institutions de l’ETFP</v>
      </c>
      <c r="AD1089" s="21" t="str">
        <f t="shared" si="181"/>
        <v>3432-Mise en place d’un cadre qui favorise les prestations de services par les institutions de l’ETFP</v>
      </c>
    </row>
    <row r="1090" spans="1:30" s="22" customFormat="1" ht="45" hidden="1" customHeight="1" x14ac:dyDescent="0.8">
      <c r="A1090" s="14">
        <v>3</v>
      </c>
      <c r="B1090" s="15">
        <v>34</v>
      </c>
      <c r="C1090" s="15">
        <v>343</v>
      </c>
      <c r="D1090" s="15">
        <v>3432</v>
      </c>
      <c r="E1090" s="15">
        <v>34321</v>
      </c>
      <c r="F1090" s="16" t="s">
        <v>1422</v>
      </c>
      <c r="G1090" s="21" t="s">
        <v>1423</v>
      </c>
      <c r="H1090" s="17" t="s">
        <v>1424</v>
      </c>
      <c r="I1090" s="33">
        <v>0</v>
      </c>
      <c r="J1090" s="33">
        <f>1*25</f>
        <v>25</v>
      </c>
      <c r="K1090" s="33"/>
      <c r="L1090" s="33"/>
      <c r="M1090" s="33">
        <f t="shared" si="182"/>
        <v>25</v>
      </c>
      <c r="N1090" s="33">
        <f>IF(OR(H1090="",H1090="sif",H1090="PM"),0,VLOOKUP(H1090,[5]CU!$C$4:$H$255,6,FALSE))</f>
        <v>10.404797</v>
      </c>
      <c r="O1090" s="33">
        <f t="shared" si="183"/>
        <v>0</v>
      </c>
      <c r="P1090" s="33">
        <f t="shared" si="183"/>
        <v>260.11992500000002</v>
      </c>
      <c r="Q1090" s="33">
        <f t="shared" si="183"/>
        <v>0</v>
      </c>
      <c r="R1090" s="33">
        <f t="shared" si="183"/>
        <v>0</v>
      </c>
      <c r="S1090" s="34">
        <f>SUM(O1090:R1090)</f>
        <v>260.11992500000002</v>
      </c>
      <c r="T1090" s="35" t="s">
        <v>118</v>
      </c>
      <c r="U1090" s="18" t="s">
        <v>1156</v>
      </c>
      <c r="V1090" s="18" t="str">
        <f>IF(OR($H1090="",$H1090="sif",$H1090="PM"),"",VLOOKUP($H1090,[5]CU!$C$5:$J$255,8,FALSE))</f>
        <v>3. Dépenses de fonctionnement</v>
      </c>
      <c r="W1090" s="18" t="s">
        <v>1334</v>
      </c>
      <c r="X1090" s="18" t="s">
        <v>1375</v>
      </c>
      <c r="Y1090" s="18" t="s">
        <v>677</v>
      </c>
      <c r="Z1090" s="18" t="str">
        <f>A1090 &amp; "-" &amp; VLOOKUP(A1090,[4]PROGRAMMES!$E$1:$F$7,2,FALSE)</f>
        <v>3-Expansion et réforme de l’ETFP</v>
      </c>
      <c r="AA1090" s="19" t="str">
        <f>B1090 &amp; "-" &amp; VLOOKUP(B1090,[4]SOUSPROGRAMMES!$E$1:$F$44,2,FALSE)</f>
        <v>34- le financement du développement de l’ETFP</v>
      </c>
      <c r="AB1090" s="19" t="str">
        <f>C1090 &amp; "-" &amp; VLOOKUP(C1090,[4]RESULTATS!$E$1:$F$176,2,FALSE)</f>
        <v>343- La contribution du milieu socioprofessionnel dans le partage du coût de formation est accrue</v>
      </c>
      <c r="AC1090" s="20" t="str">
        <f>D1090 &amp; "-" &amp; VLOOKUP(D1090,[4]STRATEGIES!$E$1:$F$504,2,FALSE)</f>
        <v>3432-Mise en place d’un cadre qui favorise les prestations de services par les institutions de l’ETFP</v>
      </c>
      <c r="AD1090" s="21" t="str">
        <f t="shared" si="181"/>
        <v>34321-Elaboration de lignes directrices et d'orientation qui favorisent les prestations de services par les institutions de l'ETFP</v>
      </c>
    </row>
    <row r="1091" spans="1:30" s="22" customFormat="1" ht="45" hidden="1" customHeight="1" x14ac:dyDescent="0.8">
      <c r="A1091" s="14">
        <v>3</v>
      </c>
      <c r="B1091" s="15">
        <v>34</v>
      </c>
      <c r="C1091" s="15">
        <v>343</v>
      </c>
      <c r="D1091" s="15">
        <v>3432</v>
      </c>
      <c r="E1091" s="15">
        <v>34322</v>
      </c>
      <c r="F1091" s="16" t="s">
        <v>1425</v>
      </c>
      <c r="G1091" s="21" t="s">
        <v>315</v>
      </c>
      <c r="H1091" s="17" t="s">
        <v>38</v>
      </c>
      <c r="I1091" s="33">
        <v>0</v>
      </c>
      <c r="J1091" s="33">
        <f>30*2*9</f>
        <v>540</v>
      </c>
      <c r="K1091" s="33"/>
      <c r="L1091" s="33"/>
      <c r="M1091" s="33">
        <f t="shared" si="182"/>
        <v>540</v>
      </c>
      <c r="N1091" s="33">
        <f>IF(OR(H1091="",H1091="sif",H1091="PM"),0,VLOOKUP(H1091,[5]CU!$C$4:$H$255,6,FALSE))</f>
        <v>0.3133333333333333</v>
      </c>
      <c r="O1091" s="33">
        <f t="shared" si="183"/>
        <v>0</v>
      </c>
      <c r="P1091" s="33">
        <f t="shared" si="183"/>
        <v>169.2</v>
      </c>
      <c r="Q1091" s="33">
        <f t="shared" si="183"/>
        <v>0</v>
      </c>
      <c r="R1091" s="33">
        <f t="shared" si="183"/>
        <v>0</v>
      </c>
      <c r="S1091" s="34">
        <f>SUM(O1091:R1091)</f>
        <v>169.2</v>
      </c>
      <c r="T1091" s="35" t="s">
        <v>118</v>
      </c>
      <c r="U1091" s="18" t="s">
        <v>1156</v>
      </c>
      <c r="V1091" s="18" t="str">
        <f>IF(OR($H1091="",$H1091="sif",$H1091="PM"),"",VLOOKUP($H1091,[5]CU!$C$5:$J$255,8,FALSE))</f>
        <v>3. Formation</v>
      </c>
      <c r="W1091" s="18" t="s">
        <v>1334</v>
      </c>
      <c r="X1091" s="18" t="s">
        <v>1375</v>
      </c>
      <c r="Y1091" s="18" t="s">
        <v>677</v>
      </c>
      <c r="Z1091" s="18" t="str">
        <f>A1091 &amp; "-" &amp; VLOOKUP(A1091,[4]PROGRAMMES!$E$1:$F$7,2,FALSE)</f>
        <v>3-Expansion et réforme de l’ETFP</v>
      </c>
      <c r="AA1091" s="19" t="str">
        <f>B1091 &amp; "-" &amp; VLOOKUP(B1091,[4]SOUSPROGRAMMES!$E$1:$F$44,2,FALSE)</f>
        <v>34- le financement du développement de l’ETFP</v>
      </c>
      <c r="AB1091" s="19" t="str">
        <f>C1091 &amp; "-" &amp; VLOOKUP(C1091,[4]RESULTATS!$E$1:$F$176,2,FALSE)</f>
        <v>343- La contribution du milieu socioprofessionnel dans le partage du coût de formation est accrue</v>
      </c>
      <c r="AC1091" s="20" t="str">
        <f>D1091 &amp; "-" &amp; VLOOKUP(D1091,[4]STRATEGIES!$E$1:$F$504,2,FALSE)</f>
        <v>3432-Mise en place d’un cadre qui favorise les prestations de services par les institutions de l’ETFP</v>
      </c>
      <c r="AD1091" s="21" t="str">
        <f t="shared" si="181"/>
        <v>34322-Vulgarisation des textes élaborés</v>
      </c>
    </row>
    <row r="1092" spans="1:30" s="22" customFormat="1" ht="45" hidden="1" customHeight="1" x14ac:dyDescent="0.8">
      <c r="A1092" s="14">
        <v>3</v>
      </c>
      <c r="B1092" s="15">
        <v>34</v>
      </c>
      <c r="C1092" s="15">
        <v>343</v>
      </c>
      <c r="D1092" s="15">
        <v>3433</v>
      </c>
      <c r="E1092" s="15">
        <v>3433</v>
      </c>
      <c r="F1092" s="16" t="s">
        <v>1426</v>
      </c>
      <c r="G1092" s="17"/>
      <c r="H1092" s="17"/>
      <c r="I1092" s="33">
        <v>0</v>
      </c>
      <c r="J1092" s="33"/>
      <c r="K1092" s="33"/>
      <c r="L1092" s="33"/>
      <c r="M1092" s="33"/>
      <c r="N1092" s="33"/>
      <c r="O1092" s="33"/>
      <c r="P1092" s="33"/>
      <c r="Q1092" s="33"/>
      <c r="R1092" s="33"/>
      <c r="S1092" s="34"/>
      <c r="T1092" s="33"/>
      <c r="U1092" s="18"/>
      <c r="V1092" s="18"/>
      <c r="W1092" s="18"/>
      <c r="X1092" s="18"/>
      <c r="Y1092" s="18" t="s">
        <v>677</v>
      </c>
      <c r="Z1092" s="18" t="str">
        <f>A1092 &amp; "-" &amp; VLOOKUP(A1092,[4]PROGRAMMES!$E$1:$F$7,2,FALSE)</f>
        <v>3-Expansion et réforme de l’ETFP</v>
      </c>
      <c r="AA1092" s="19" t="str">
        <f>B1092 &amp; "-" &amp; VLOOKUP(B1092,[4]SOUSPROGRAMMES!$E$1:$F$44,2,FALSE)</f>
        <v>34- le financement du développement de l’ETFP</v>
      </c>
      <c r="AB1092" s="19" t="str">
        <f>C1092 &amp; "-" &amp; VLOOKUP(C1092,[4]RESULTATS!$E$1:$F$176,2,FALSE)</f>
        <v>343- La contribution du milieu socioprofessionnel dans le partage du coût de formation est accrue</v>
      </c>
      <c r="AC1092" s="20" t="str">
        <f>D1092 &amp; "-" &amp; VLOOKUP(D1092,[4]STRATEGIES!$E$1:$F$504,2,FALSE)</f>
        <v>3433-Elaboration et mise en œuvre d’une stratégie de communication et de sensibilisation du milieu socioprofessionnel</v>
      </c>
      <c r="AD1092" s="21" t="str">
        <f t="shared" ref="AD1092:AD1155" si="184">E1092 &amp; "-" &amp; F1092</f>
        <v>3433-Elaboration et mise en œuvre d’une stratégie de communication et de sensibilisation du milieu socioprofessionnel</v>
      </c>
    </row>
    <row r="1093" spans="1:30" s="22" customFormat="1" ht="45" hidden="1" customHeight="1" x14ac:dyDescent="0.8">
      <c r="A1093" s="14">
        <v>3</v>
      </c>
      <c r="B1093" s="15">
        <v>34</v>
      </c>
      <c r="C1093" s="15">
        <v>343</v>
      </c>
      <c r="D1093" s="15">
        <v>3433</v>
      </c>
      <c r="E1093" s="15">
        <v>34331</v>
      </c>
      <c r="F1093" s="16" t="s">
        <v>1427</v>
      </c>
      <c r="G1093" s="21" t="s">
        <v>1428</v>
      </c>
      <c r="H1093" s="17" t="s">
        <v>1429</v>
      </c>
      <c r="I1093" s="33">
        <v>0</v>
      </c>
      <c r="J1093" s="33">
        <f>1*30</f>
        <v>30</v>
      </c>
      <c r="K1093" s="33"/>
      <c r="L1093" s="33"/>
      <c r="M1093" s="33">
        <f t="shared" si="182"/>
        <v>30</v>
      </c>
      <c r="N1093" s="33">
        <f>IF(OR(H1093="",H1093="sif",H1093="PM"),0,VLOOKUP(H1093,[5]CU!$C$4:$H$255,6,FALSE))</f>
        <v>2.651545</v>
      </c>
      <c r="O1093" s="33">
        <f t="shared" si="183"/>
        <v>0</v>
      </c>
      <c r="P1093" s="33">
        <f t="shared" si="183"/>
        <v>79.546350000000004</v>
      </c>
      <c r="Q1093" s="33">
        <f t="shared" si="183"/>
        <v>0</v>
      </c>
      <c r="R1093" s="33">
        <f t="shared" si="183"/>
        <v>0</v>
      </c>
      <c r="S1093" s="34">
        <f>SUM(O1093:R1093)</f>
        <v>79.546350000000004</v>
      </c>
      <c r="T1093" s="35" t="s">
        <v>118</v>
      </c>
      <c r="U1093" s="18" t="s">
        <v>1156</v>
      </c>
      <c r="V1093" s="18" t="str">
        <f>IF(OR($H1093="",$H1093="sif",$H1093="PM"),"",VLOOKUP($H1093,[5]CU!$C$5:$J$255,8,FALSE))</f>
        <v>3. Dépenses de fonctionnement</v>
      </c>
      <c r="W1093" s="18" t="s">
        <v>1334</v>
      </c>
      <c r="X1093" s="18" t="s">
        <v>100</v>
      </c>
      <c r="Y1093" s="18" t="s">
        <v>677</v>
      </c>
      <c r="Z1093" s="18" t="str">
        <f>A1093 &amp; "-" &amp; VLOOKUP(A1093,[4]PROGRAMMES!$E$1:$F$7,2,FALSE)</f>
        <v>3-Expansion et réforme de l’ETFP</v>
      </c>
      <c r="AA1093" s="19" t="str">
        <f>B1093 &amp; "-" &amp; VLOOKUP(B1093,[4]SOUSPROGRAMMES!$E$1:$F$44,2,FALSE)</f>
        <v>34- le financement du développement de l’ETFP</v>
      </c>
      <c r="AB1093" s="19" t="str">
        <f>C1093 &amp; "-" &amp; VLOOKUP(C1093,[4]RESULTATS!$E$1:$F$176,2,FALSE)</f>
        <v>343- La contribution du milieu socioprofessionnel dans le partage du coût de formation est accrue</v>
      </c>
      <c r="AC1093" s="20" t="str">
        <f>D1093 &amp; "-" &amp; VLOOKUP(D1093,[4]STRATEGIES!$E$1:$F$504,2,FALSE)</f>
        <v>3433-Elaboration et mise en œuvre d’une stratégie de communication et de sensibilisation du milieu socioprofessionnel</v>
      </c>
      <c r="AD1093" s="21" t="str">
        <f t="shared" si="184"/>
        <v>34331-Etat des lieux</v>
      </c>
    </row>
    <row r="1094" spans="1:30" s="22" customFormat="1" ht="45" hidden="1" customHeight="1" x14ac:dyDescent="0.8">
      <c r="A1094" s="14">
        <v>3</v>
      </c>
      <c r="B1094" s="15">
        <v>34</v>
      </c>
      <c r="C1094" s="15">
        <v>343</v>
      </c>
      <c r="D1094" s="15">
        <v>3433</v>
      </c>
      <c r="E1094" s="15">
        <v>34332</v>
      </c>
      <c r="F1094" s="16" t="s">
        <v>1430</v>
      </c>
      <c r="G1094" s="21" t="s">
        <v>800</v>
      </c>
      <c r="H1094" s="17"/>
      <c r="I1094" s="33">
        <v>0</v>
      </c>
      <c r="J1094" s="33">
        <v>1</v>
      </c>
      <c r="K1094" s="33"/>
      <c r="L1094" s="33"/>
      <c r="M1094" s="33">
        <f t="shared" si="182"/>
        <v>1</v>
      </c>
      <c r="N1094" s="33">
        <f>IF(OR(H1094="",H1094="sif",H1094="PM"),0,VLOOKUP(H1094,[5]CU!$C$4:$H$255,6,FALSE))</f>
        <v>0</v>
      </c>
      <c r="O1094" s="33">
        <f t="shared" si="183"/>
        <v>0</v>
      </c>
      <c r="P1094" s="33">
        <f t="shared" si="183"/>
        <v>0</v>
      </c>
      <c r="Q1094" s="33">
        <f t="shared" si="183"/>
        <v>0</v>
      </c>
      <c r="R1094" s="33">
        <f t="shared" si="183"/>
        <v>0</v>
      </c>
      <c r="S1094" s="34"/>
      <c r="T1094" s="35" t="s">
        <v>56</v>
      </c>
      <c r="U1094" s="18" t="s">
        <v>1156</v>
      </c>
      <c r="V1094" s="18" t="str">
        <f>IF(OR($H1094="",$H1094="sif",$H1094="PM"),"",VLOOKUP($H1094,[5]CU!$C$5:$J$255,8,FALSE))</f>
        <v/>
      </c>
      <c r="W1094" s="18" t="s">
        <v>1334</v>
      </c>
      <c r="X1094" s="18" t="s">
        <v>100</v>
      </c>
      <c r="Y1094" s="18" t="s">
        <v>677</v>
      </c>
      <c r="Z1094" s="18" t="str">
        <f>A1094 &amp; "-" &amp; VLOOKUP(A1094,[4]PROGRAMMES!$E$1:$F$7,2,FALSE)</f>
        <v>3-Expansion et réforme de l’ETFP</v>
      </c>
      <c r="AA1094" s="19" t="str">
        <f>B1094 &amp; "-" &amp; VLOOKUP(B1094,[4]SOUSPROGRAMMES!$E$1:$F$44,2,FALSE)</f>
        <v>34- le financement du développement de l’ETFP</v>
      </c>
      <c r="AB1094" s="19" t="str">
        <f>C1094 &amp; "-" &amp; VLOOKUP(C1094,[4]RESULTATS!$E$1:$F$176,2,FALSE)</f>
        <v>343- La contribution du milieu socioprofessionnel dans le partage du coût de formation est accrue</v>
      </c>
      <c r="AC1094" s="20" t="str">
        <f>D1094 &amp; "-" &amp; VLOOKUP(D1094,[4]STRATEGIES!$E$1:$F$504,2,FALSE)</f>
        <v>3433-Elaboration et mise en œuvre d’une stratégie de communication et de sensibilisation du milieu socioprofessionnel</v>
      </c>
      <c r="AD1094" s="21" t="str">
        <f t="shared" si="184"/>
        <v>34332-Elaboration d’un plan de communication (pris en compte dans activité 34331)</v>
      </c>
    </row>
    <row r="1095" spans="1:30" s="22" customFormat="1" ht="45" hidden="1" customHeight="1" x14ac:dyDescent="0.8">
      <c r="A1095" s="14">
        <v>3</v>
      </c>
      <c r="B1095" s="15">
        <v>34</v>
      </c>
      <c r="C1095" s="15">
        <v>343</v>
      </c>
      <c r="D1095" s="15">
        <v>3433</v>
      </c>
      <c r="E1095" s="15">
        <v>34333</v>
      </c>
      <c r="F1095" s="16" t="s">
        <v>1431</v>
      </c>
      <c r="G1095" s="21" t="s">
        <v>1432</v>
      </c>
      <c r="H1095" s="17" t="s">
        <v>1433</v>
      </c>
      <c r="I1095" s="33">
        <v>0</v>
      </c>
      <c r="J1095" s="33"/>
      <c r="K1095" s="33">
        <f>35*3*9</f>
        <v>945</v>
      </c>
      <c r="L1095" s="33"/>
      <c r="M1095" s="33">
        <f t="shared" si="182"/>
        <v>945</v>
      </c>
      <c r="N1095" s="33">
        <f>IF(OR(H1095="",H1095="sif",H1095="PM"),0,VLOOKUP(H1095,[5]CU!$C$4:$H$255,6,FALSE))</f>
        <v>0.3133333333333333</v>
      </c>
      <c r="O1095" s="33">
        <f t="shared" si="183"/>
        <v>0</v>
      </c>
      <c r="P1095" s="33">
        <f t="shared" si="183"/>
        <v>0</v>
      </c>
      <c r="Q1095" s="33">
        <f t="shared" si="183"/>
        <v>296.09999999999997</v>
      </c>
      <c r="R1095" s="33">
        <f t="shared" si="183"/>
        <v>0</v>
      </c>
      <c r="S1095" s="34">
        <f>SUM(O1095:R1095)</f>
        <v>296.09999999999997</v>
      </c>
      <c r="T1095" s="35" t="s">
        <v>118</v>
      </c>
      <c r="U1095" s="18" t="s">
        <v>1156</v>
      </c>
      <c r="V1095" s="18" t="str">
        <f>IF(OR($H1095="",$H1095="sif",$H1095="PM"),"",VLOOKUP($H1095,[5]CU!$C$5:$J$255,8,FALSE))</f>
        <v>3. Formation</v>
      </c>
      <c r="W1095" s="18" t="s">
        <v>1434</v>
      </c>
      <c r="X1095" s="19" t="s">
        <v>1435</v>
      </c>
      <c r="Y1095" s="18" t="s">
        <v>677</v>
      </c>
      <c r="Z1095" s="18" t="str">
        <f>A1095 &amp; "-" &amp; VLOOKUP(A1095,[4]PROGRAMMES!$E$1:$F$7,2,FALSE)</f>
        <v>3-Expansion et réforme de l’ETFP</v>
      </c>
      <c r="AA1095" s="19" t="str">
        <f>B1095 &amp; "-" &amp; VLOOKUP(B1095,[4]SOUSPROGRAMMES!$E$1:$F$44,2,FALSE)</f>
        <v>34- le financement du développement de l’ETFP</v>
      </c>
      <c r="AB1095" s="19" t="str">
        <f>C1095 &amp; "-" &amp; VLOOKUP(C1095,[4]RESULTATS!$E$1:$F$176,2,FALSE)</f>
        <v>343- La contribution du milieu socioprofessionnel dans le partage du coût de formation est accrue</v>
      </c>
      <c r="AC1095" s="20" t="str">
        <f>D1095 &amp; "-" &amp; VLOOKUP(D1095,[4]STRATEGIES!$E$1:$F$504,2,FALSE)</f>
        <v>3433-Elaboration et mise en œuvre d’une stratégie de communication et de sensibilisation du milieu socioprofessionnel</v>
      </c>
      <c r="AD1095" s="21" t="str">
        <f t="shared" si="184"/>
        <v>34333-vulgarisation du plan de communication</v>
      </c>
    </row>
    <row r="1096" spans="1:30" s="22" customFormat="1" ht="45" hidden="1" customHeight="1" x14ac:dyDescent="0.8">
      <c r="A1096" s="14">
        <v>3</v>
      </c>
      <c r="B1096" s="15">
        <v>34</v>
      </c>
      <c r="C1096" s="15">
        <v>343</v>
      </c>
      <c r="D1096" s="15">
        <v>3433</v>
      </c>
      <c r="E1096" s="15">
        <v>34334</v>
      </c>
      <c r="F1096" s="16" t="s">
        <v>1436</v>
      </c>
      <c r="G1096" s="21" t="s">
        <v>1437</v>
      </c>
      <c r="H1096" s="17" t="s">
        <v>1438</v>
      </c>
      <c r="I1096" s="33">
        <v>0</v>
      </c>
      <c r="J1096" s="33"/>
      <c r="K1096" s="33">
        <v>1</v>
      </c>
      <c r="L1096" s="33">
        <v>1</v>
      </c>
      <c r="M1096" s="33">
        <f t="shared" si="182"/>
        <v>2</v>
      </c>
      <c r="N1096" s="33">
        <f>IF(OR(H1096="",H1096="sif",H1096="PM"),0,VLOOKUP(H1096,[5]CU!$C$4:$H$255,6,FALSE))</f>
        <v>50.536799999999999</v>
      </c>
      <c r="O1096" s="33">
        <f t="shared" si="183"/>
        <v>0</v>
      </c>
      <c r="P1096" s="33">
        <f t="shared" si="183"/>
        <v>0</v>
      </c>
      <c r="Q1096" s="33">
        <f t="shared" si="183"/>
        <v>50.536799999999999</v>
      </c>
      <c r="R1096" s="33">
        <f t="shared" si="183"/>
        <v>50.536799999999999</v>
      </c>
      <c r="S1096" s="34">
        <f>SUM(O1096:R1096)</f>
        <v>101.0736</v>
      </c>
      <c r="T1096" s="35" t="s">
        <v>118</v>
      </c>
      <c r="U1096" s="18" t="s">
        <v>1156</v>
      </c>
      <c r="V1096" s="18" t="str">
        <f>IF(OR($H1096="",$H1096="sif",$H1096="PM"),"",VLOOKUP($H1096,[5]CU!$C$5:$J$255,8,FALSE))</f>
        <v>3. Dépenses de fonctionnement</v>
      </c>
      <c r="W1096" s="18"/>
      <c r="X1096" s="18"/>
      <c r="Y1096" s="18" t="s">
        <v>677</v>
      </c>
      <c r="Z1096" s="18" t="str">
        <f>A1096 &amp; "-" &amp; VLOOKUP(A1096,[4]PROGRAMMES!$E$1:$F$7,2,FALSE)</f>
        <v>3-Expansion et réforme de l’ETFP</v>
      </c>
      <c r="AA1096" s="19" t="str">
        <f>B1096 &amp; "-" &amp; VLOOKUP(B1096,[4]SOUSPROGRAMMES!$E$1:$F$44,2,FALSE)</f>
        <v>34- le financement du développement de l’ETFP</v>
      </c>
      <c r="AB1096" s="19" t="str">
        <f>C1096 &amp; "-" &amp; VLOOKUP(C1096,[4]RESULTATS!$E$1:$F$176,2,FALSE)</f>
        <v>343- La contribution du milieu socioprofessionnel dans le partage du coût de formation est accrue</v>
      </c>
      <c r="AC1096" s="20" t="str">
        <f>D1096 &amp; "-" &amp; VLOOKUP(D1096,[4]STRATEGIES!$E$1:$F$504,2,FALSE)</f>
        <v>3433-Elaboration et mise en œuvre d’une stratégie de communication et de sensibilisation du milieu socioprofessionnel</v>
      </c>
      <c r="AD1096" s="21" t="str">
        <f t="shared" si="184"/>
        <v>34334-Mise en œuvre d'activités de communication</v>
      </c>
    </row>
    <row r="1097" spans="1:30" s="22" customFormat="1" ht="45" hidden="1" customHeight="1" x14ac:dyDescent="0.8">
      <c r="A1097" s="14">
        <v>3</v>
      </c>
      <c r="B1097" s="15">
        <v>35</v>
      </c>
      <c r="C1097" s="15">
        <v>35</v>
      </c>
      <c r="D1097" s="15">
        <v>35</v>
      </c>
      <c r="E1097" s="15">
        <v>35</v>
      </c>
      <c r="F1097" s="16" t="s">
        <v>1439</v>
      </c>
      <c r="G1097" s="17"/>
      <c r="H1097" s="17"/>
      <c r="I1097" s="33">
        <v>0</v>
      </c>
      <c r="J1097" s="33"/>
      <c r="K1097" s="33"/>
      <c r="L1097" s="33"/>
      <c r="M1097" s="33"/>
      <c r="N1097" s="33"/>
      <c r="O1097" s="33"/>
      <c r="P1097" s="33"/>
      <c r="Q1097" s="33"/>
      <c r="R1097" s="33"/>
      <c r="S1097" s="34"/>
      <c r="T1097" s="33"/>
      <c r="U1097" s="18"/>
      <c r="V1097" s="18"/>
      <c r="W1097" s="18"/>
      <c r="X1097" s="18"/>
      <c r="Y1097" s="18" t="s">
        <v>677</v>
      </c>
      <c r="Z1097" s="18" t="str">
        <f>A1097 &amp; "-" &amp; VLOOKUP(A1097,[4]PROGRAMMES!$E$1:$F$7,2,FALSE)</f>
        <v>3-Expansion et réforme de l’ETFP</v>
      </c>
      <c r="AA1097" s="19" t="str">
        <f>B1097 &amp; "-" &amp; VLOOKUP(B1097,[4]SOUSPROGRAMMES!$E$1:$F$44,2,FALSE)</f>
        <v>35- Développement de la formation continue des actifs en situation de travail</v>
      </c>
      <c r="AB1097" s="19" t="str">
        <f>C1097 &amp; "-" &amp; VLOOKUP(C1097,[4]RESULTATS!$E$1:$F$176,2,FALSE)</f>
        <v>35- Développement de la formation continue des actifs en situation de travail</v>
      </c>
      <c r="AC1097" s="20" t="str">
        <f>D1097 &amp; "-" &amp; VLOOKUP(D1097,[4]STRATEGIES!$E$1:$F$504,2,FALSE)</f>
        <v>35- Développement de la formation continue des actifs en situation de travail</v>
      </c>
      <c r="AD1097" s="21" t="str">
        <f t="shared" si="184"/>
        <v>35- Développement de la formation continue des actifs en situation de travail</v>
      </c>
    </row>
    <row r="1098" spans="1:30" s="22" customFormat="1" ht="45" hidden="1" customHeight="1" x14ac:dyDescent="0.8">
      <c r="A1098" s="14">
        <v>3</v>
      </c>
      <c r="B1098" s="15">
        <v>35</v>
      </c>
      <c r="C1098" s="15">
        <v>352</v>
      </c>
      <c r="D1098" s="15">
        <v>352</v>
      </c>
      <c r="E1098" s="15">
        <v>352</v>
      </c>
      <c r="F1098" s="16" t="s">
        <v>1440</v>
      </c>
      <c r="G1098" s="17"/>
      <c r="H1098" s="17"/>
      <c r="I1098" s="33">
        <v>0</v>
      </c>
      <c r="J1098" s="33"/>
      <c r="K1098" s="33"/>
      <c r="L1098" s="33"/>
      <c r="M1098" s="33"/>
      <c r="N1098" s="33"/>
      <c r="O1098" s="33"/>
      <c r="P1098" s="33"/>
      <c r="Q1098" s="33"/>
      <c r="R1098" s="33"/>
      <c r="S1098" s="34"/>
      <c r="T1098" s="33"/>
      <c r="U1098" s="18"/>
      <c r="V1098" s="18"/>
      <c r="W1098" s="18"/>
      <c r="X1098" s="18"/>
      <c r="Y1098" s="18" t="s">
        <v>677</v>
      </c>
      <c r="Z1098" s="18" t="str">
        <f>A1098 &amp; "-" &amp; VLOOKUP(A1098,[4]PROGRAMMES!$E$1:$F$7,2,FALSE)</f>
        <v>3-Expansion et réforme de l’ETFP</v>
      </c>
      <c r="AA1098" s="19" t="str">
        <f>B1098 &amp; "-" &amp; VLOOKUP(B1098,[4]SOUSPROGRAMMES!$E$1:$F$44,2,FALSE)</f>
        <v>35- Développement de la formation continue des actifs en situation de travail</v>
      </c>
      <c r="AB1098" s="19" t="str">
        <f>C1098 &amp; "-" &amp; VLOOKUP(C1098,[4]RESULTATS!$E$1:$F$176,2,FALSE)</f>
        <v>352- la stratégie globale de formation continue est mise en œuvre</v>
      </c>
      <c r="AC1098" s="20" t="str">
        <f>D1098 &amp; "-" &amp; VLOOKUP(D1098,[4]STRATEGIES!$E$1:$F$504,2,FALSE)</f>
        <v>352- la stratégie globale de formation continue est mise en œuvre</v>
      </c>
      <c r="AD1098" s="21" t="str">
        <f t="shared" si="184"/>
        <v>352- la stratégie globale de formation continue est mise en œuvre</v>
      </c>
    </row>
    <row r="1099" spans="1:30" s="22" customFormat="1" ht="45" hidden="1" customHeight="1" x14ac:dyDescent="0.8">
      <c r="A1099" s="14">
        <v>3</v>
      </c>
      <c r="B1099" s="15">
        <v>35</v>
      </c>
      <c r="C1099" s="15">
        <v>352</v>
      </c>
      <c r="D1099" s="15">
        <v>3521</v>
      </c>
      <c r="E1099" s="15">
        <v>3521</v>
      </c>
      <c r="F1099" s="16" t="s">
        <v>1441</v>
      </c>
      <c r="G1099" s="17"/>
      <c r="H1099" s="17"/>
      <c r="I1099" s="33">
        <v>0</v>
      </c>
      <c r="J1099" s="33"/>
      <c r="K1099" s="33"/>
      <c r="L1099" s="33"/>
      <c r="M1099" s="33"/>
      <c r="N1099" s="33"/>
      <c r="O1099" s="33"/>
      <c r="P1099" s="33"/>
      <c r="Q1099" s="33"/>
      <c r="R1099" s="33"/>
      <c r="S1099" s="34"/>
      <c r="T1099" s="33"/>
      <c r="U1099" s="18"/>
      <c r="V1099" s="18"/>
      <c r="W1099" s="18"/>
      <c r="X1099" s="18"/>
      <c r="Y1099" s="18" t="s">
        <v>677</v>
      </c>
      <c r="Z1099" s="18" t="str">
        <f>A1099 &amp; "-" &amp; VLOOKUP(A1099,[4]PROGRAMMES!$E$1:$F$7,2,FALSE)</f>
        <v>3-Expansion et réforme de l’ETFP</v>
      </c>
      <c r="AA1099" s="19" t="str">
        <f>B1099 &amp; "-" &amp; VLOOKUP(B1099,[4]SOUSPROGRAMMES!$E$1:$F$44,2,FALSE)</f>
        <v>35- Développement de la formation continue des actifs en situation de travail</v>
      </c>
      <c r="AB1099" s="19" t="str">
        <f>C1099 &amp; "-" &amp; VLOOKUP(C1099,[4]RESULTATS!$E$1:$F$176,2,FALSE)</f>
        <v>352- la stratégie globale de formation continue est mise en œuvre</v>
      </c>
      <c r="AC1099" s="20" t="str">
        <f>D1099 &amp; "-" &amp; VLOOKUP(D1099,[4]STRATEGIES!$E$1:$F$504,2,FALSE)</f>
        <v>3521-Elaboration d’une stratégie nationale de formation continue avec l'implication active des professionnels</v>
      </c>
      <c r="AD1099" s="21" t="str">
        <f t="shared" si="184"/>
        <v>3521-Elaboration d’une stratégie nationale de formation continue avec l'implication active des professionnels</v>
      </c>
    </row>
    <row r="1100" spans="1:30" s="22" customFormat="1" ht="60" hidden="1" customHeight="1" x14ac:dyDescent="0.8">
      <c r="A1100" s="14">
        <v>3</v>
      </c>
      <c r="B1100" s="15">
        <v>35</v>
      </c>
      <c r="C1100" s="15">
        <v>352</v>
      </c>
      <c r="D1100" s="15">
        <v>3521</v>
      </c>
      <c r="E1100" s="15">
        <v>35111</v>
      </c>
      <c r="F1100" s="16" t="s">
        <v>1442</v>
      </c>
      <c r="G1100" s="21" t="s">
        <v>1423</v>
      </c>
      <c r="H1100" s="17" t="s">
        <v>646</v>
      </c>
      <c r="I1100" s="33">
        <v>0</v>
      </c>
      <c r="J1100" s="33">
        <f>1*30</f>
        <v>30</v>
      </c>
      <c r="K1100" s="33"/>
      <c r="L1100" s="33"/>
      <c r="M1100" s="33">
        <f t="shared" si="182"/>
        <v>30</v>
      </c>
      <c r="N1100" s="33">
        <f>IF(OR(H1100="",H1100="sif",H1100="PM"),0,VLOOKUP(H1100,[5]CU!$C$4:$H$255,6,FALSE))</f>
        <v>10.404797</v>
      </c>
      <c r="O1100" s="33">
        <f t="shared" si="183"/>
        <v>0</v>
      </c>
      <c r="P1100" s="33">
        <f t="shared" si="183"/>
        <v>312.14391000000001</v>
      </c>
      <c r="Q1100" s="33">
        <f t="shared" si="183"/>
        <v>0</v>
      </c>
      <c r="R1100" s="33">
        <f t="shared" si="183"/>
        <v>0</v>
      </c>
      <c r="S1100" s="34">
        <f>SUM(O1100:R1100)</f>
        <v>312.14391000000001</v>
      </c>
      <c r="T1100" s="35" t="s">
        <v>118</v>
      </c>
      <c r="U1100" s="18" t="s">
        <v>1443</v>
      </c>
      <c r="V1100" s="18" t="str">
        <f>IF(OR($H1100="",$H1100="sif",$H1100="PM"),"",VLOOKUP($H1100,[5]CU!$C$5:$J$255,8,FALSE))</f>
        <v>3. Dépenses de fonctionnement</v>
      </c>
      <c r="W1100" s="18" t="s">
        <v>96</v>
      </c>
      <c r="X1100" s="19" t="s">
        <v>1444</v>
      </c>
      <c r="Y1100" s="18" t="s">
        <v>677</v>
      </c>
      <c r="Z1100" s="18" t="str">
        <f>A1100 &amp; "-" &amp; VLOOKUP(A1100,[4]PROGRAMMES!$E$1:$F$7,2,FALSE)</f>
        <v>3-Expansion et réforme de l’ETFP</v>
      </c>
      <c r="AA1100" s="19" t="str">
        <f>B1100 &amp; "-" &amp; VLOOKUP(B1100,[4]SOUSPROGRAMMES!$E$1:$F$44,2,FALSE)</f>
        <v>35- Développement de la formation continue des actifs en situation de travail</v>
      </c>
      <c r="AB1100" s="19" t="str">
        <f>C1100 &amp; "-" &amp; VLOOKUP(C1100,[4]RESULTATS!$E$1:$F$176,2,FALSE)</f>
        <v>352- la stratégie globale de formation continue est mise en œuvre</v>
      </c>
      <c r="AC1100" s="20" t="str">
        <f>D1100 &amp; "-" &amp; VLOOKUP(D1100,[4]STRATEGIES!$E$1:$F$504,2,FALSE)</f>
        <v>3521-Elaboration d’une stratégie nationale de formation continue avec l'implication active des professionnels</v>
      </c>
      <c r="AD1100" s="21" t="str">
        <f t="shared" si="184"/>
        <v>35111-Réalisation d'une étude</v>
      </c>
    </row>
    <row r="1101" spans="1:30" s="22" customFormat="1" ht="45" hidden="1" customHeight="1" x14ac:dyDescent="0.8">
      <c r="A1101" s="14">
        <v>3</v>
      </c>
      <c r="B1101" s="15">
        <v>35</v>
      </c>
      <c r="C1101" s="15">
        <v>352</v>
      </c>
      <c r="D1101" s="15">
        <v>3521</v>
      </c>
      <c r="E1101" s="15">
        <v>35211</v>
      </c>
      <c r="F1101" s="16" t="s">
        <v>1445</v>
      </c>
      <c r="G1101" s="21" t="s">
        <v>315</v>
      </c>
      <c r="H1101" s="17" t="s">
        <v>66</v>
      </c>
      <c r="I1101" s="33">
        <v>0</v>
      </c>
      <c r="J1101" s="33">
        <f>20*3*9</f>
        <v>540</v>
      </c>
      <c r="K1101" s="33"/>
      <c r="L1101" s="33"/>
      <c r="M1101" s="33">
        <f t="shared" si="182"/>
        <v>540</v>
      </c>
      <c r="N1101" s="33">
        <f>IF(OR(H1101="",H1101="sif",H1101="PM"),0,VLOOKUP(H1101,[5]CU!$C$4:$H$255,6,FALSE))</f>
        <v>0.255</v>
      </c>
      <c r="O1101" s="33">
        <f t="shared" si="183"/>
        <v>0</v>
      </c>
      <c r="P1101" s="33">
        <f t="shared" si="183"/>
        <v>137.69999999999999</v>
      </c>
      <c r="Q1101" s="33">
        <f t="shared" si="183"/>
        <v>0</v>
      </c>
      <c r="R1101" s="33">
        <f t="shared" si="183"/>
        <v>0</v>
      </c>
      <c r="S1101" s="34">
        <f>SUM(O1101:R1101)</f>
        <v>137.69999999999999</v>
      </c>
      <c r="T1101" s="35" t="s">
        <v>118</v>
      </c>
      <c r="U1101" s="18" t="s">
        <v>1443</v>
      </c>
      <c r="V1101" s="18" t="str">
        <f>IF(OR($H1101="",$H1101="sif",$H1101="PM"),"",VLOOKUP($H1101,[5]CU!$C$5:$J$255,8,FALSE))</f>
        <v>3. Dépenses de fonctionnement</v>
      </c>
      <c r="W1101" s="18" t="s">
        <v>96</v>
      </c>
      <c r="X1101" s="19" t="s">
        <v>1446</v>
      </c>
      <c r="Y1101" s="18" t="s">
        <v>677</v>
      </c>
      <c r="Z1101" s="18" t="str">
        <f>A1101 &amp; "-" &amp; VLOOKUP(A1101,[4]PROGRAMMES!$E$1:$F$7,2,FALSE)</f>
        <v>3-Expansion et réforme de l’ETFP</v>
      </c>
      <c r="AA1101" s="19" t="str">
        <f>B1101 &amp; "-" &amp; VLOOKUP(B1101,[4]SOUSPROGRAMMES!$E$1:$F$44,2,FALSE)</f>
        <v>35- Développement de la formation continue des actifs en situation de travail</v>
      </c>
      <c r="AB1101" s="19" t="str">
        <f>C1101 &amp; "-" &amp; VLOOKUP(C1101,[4]RESULTATS!$E$1:$F$176,2,FALSE)</f>
        <v>352- la stratégie globale de formation continue est mise en œuvre</v>
      </c>
      <c r="AC1101" s="20" t="str">
        <f>D1101 &amp; "-" &amp; VLOOKUP(D1101,[4]STRATEGIES!$E$1:$F$504,2,FALSE)</f>
        <v>3521-Elaboration d’une stratégie nationale de formation continue avec l'implication active des professionnels</v>
      </c>
      <c r="AD1101" s="21" t="str">
        <f t="shared" si="184"/>
        <v>35211-Organisation d'atelier d'élaboration</v>
      </c>
    </row>
    <row r="1102" spans="1:30" s="22" customFormat="1" ht="45" hidden="1" customHeight="1" x14ac:dyDescent="0.8">
      <c r="A1102" s="14">
        <v>3</v>
      </c>
      <c r="B1102" s="15">
        <v>35</v>
      </c>
      <c r="C1102" s="15">
        <v>352</v>
      </c>
      <c r="D1102" s="15">
        <v>3521</v>
      </c>
      <c r="E1102" s="15">
        <v>35212</v>
      </c>
      <c r="F1102" s="16" t="s">
        <v>1447</v>
      </c>
      <c r="G1102" s="21" t="s">
        <v>916</v>
      </c>
      <c r="H1102" s="17" t="s">
        <v>55</v>
      </c>
      <c r="I1102" s="33">
        <v>0</v>
      </c>
      <c r="J1102" s="33"/>
      <c r="K1102" s="33">
        <v>1</v>
      </c>
      <c r="L1102" s="33"/>
      <c r="M1102" s="33">
        <f t="shared" si="182"/>
        <v>1</v>
      </c>
      <c r="N1102" s="33">
        <f>IF(OR(H1102="",H1102="sif",H1102="PM"),0,VLOOKUP(H1102,[5]CU!$C$4:$H$255,6,FALSE))</f>
        <v>0</v>
      </c>
      <c r="O1102" s="33">
        <f t="shared" si="183"/>
        <v>0</v>
      </c>
      <c r="P1102" s="33">
        <f t="shared" si="183"/>
        <v>0</v>
      </c>
      <c r="Q1102" s="33">
        <f t="shared" si="183"/>
        <v>0</v>
      </c>
      <c r="R1102" s="33">
        <f t="shared" si="183"/>
        <v>0</v>
      </c>
      <c r="S1102" s="34"/>
      <c r="T1102" s="35" t="s">
        <v>56</v>
      </c>
      <c r="U1102" s="18" t="s">
        <v>1443</v>
      </c>
      <c r="V1102" s="18" t="str">
        <f>IF(OR($H1102="",$H1102="sif",$H1102="PM"),"",VLOOKUP($H1102,[5]CU!$C$5:$J$255,8,FALSE))</f>
        <v/>
      </c>
      <c r="W1102" s="18" t="s">
        <v>1334</v>
      </c>
      <c r="X1102" s="19" t="s">
        <v>1448</v>
      </c>
      <c r="Y1102" s="18" t="s">
        <v>677</v>
      </c>
      <c r="Z1102" s="18" t="str">
        <f>A1102 &amp; "-" &amp; VLOOKUP(A1102,[4]PROGRAMMES!$E$1:$F$7,2,FALSE)</f>
        <v>3-Expansion et réforme de l’ETFP</v>
      </c>
      <c r="AA1102" s="19" t="str">
        <f>B1102 &amp; "-" &amp; VLOOKUP(B1102,[4]SOUSPROGRAMMES!$E$1:$F$44,2,FALSE)</f>
        <v>35- Développement de la formation continue des actifs en situation de travail</v>
      </c>
      <c r="AB1102" s="19" t="str">
        <f>C1102 &amp; "-" &amp; VLOOKUP(C1102,[4]RESULTATS!$E$1:$F$176,2,FALSE)</f>
        <v>352- la stratégie globale de formation continue est mise en œuvre</v>
      </c>
      <c r="AC1102" s="20" t="str">
        <f>D1102 &amp; "-" &amp; VLOOKUP(D1102,[4]STRATEGIES!$E$1:$F$504,2,FALSE)</f>
        <v>3521-Elaboration d’une stratégie nationale de formation continue avec l'implication active des professionnels</v>
      </c>
      <c r="AD1102" s="21" t="str">
        <f t="shared" si="184"/>
        <v>35212-Adoption de la stratégie nationale de formation continue</v>
      </c>
    </row>
    <row r="1103" spans="1:30" s="22" customFormat="1" ht="45" hidden="1" customHeight="1" x14ac:dyDescent="0.8">
      <c r="A1103" s="14">
        <v>3</v>
      </c>
      <c r="B1103" s="15">
        <v>35</v>
      </c>
      <c r="C1103" s="15">
        <v>352</v>
      </c>
      <c r="D1103" s="15">
        <v>3522</v>
      </c>
      <c r="E1103" s="15">
        <v>3522</v>
      </c>
      <c r="F1103" s="16" t="s">
        <v>1449</v>
      </c>
      <c r="G1103" s="17"/>
      <c r="H1103" s="17"/>
      <c r="I1103" s="33">
        <v>0</v>
      </c>
      <c r="J1103" s="33"/>
      <c r="K1103" s="33"/>
      <c r="L1103" s="33"/>
      <c r="M1103" s="33"/>
      <c r="N1103" s="33"/>
      <c r="O1103" s="33"/>
      <c r="P1103" s="33"/>
      <c r="Q1103" s="33"/>
      <c r="R1103" s="33"/>
      <c r="S1103" s="34"/>
      <c r="T1103" s="33"/>
      <c r="U1103" s="18"/>
      <c r="V1103" s="18"/>
      <c r="W1103" s="18"/>
      <c r="X1103" s="18"/>
      <c r="Y1103" s="18" t="s">
        <v>677</v>
      </c>
      <c r="Z1103" s="18" t="str">
        <f>A1103 &amp; "-" &amp; VLOOKUP(A1103,[4]PROGRAMMES!$E$1:$F$7,2,FALSE)</f>
        <v>3-Expansion et réforme de l’ETFP</v>
      </c>
      <c r="AA1103" s="19" t="str">
        <f>B1103 &amp; "-" &amp; VLOOKUP(B1103,[4]SOUSPROGRAMMES!$E$1:$F$44,2,FALSE)</f>
        <v>35- Développement de la formation continue des actifs en situation de travail</v>
      </c>
      <c r="AB1103" s="19" t="str">
        <f>C1103 &amp; "-" &amp; VLOOKUP(C1103,[4]RESULTATS!$E$1:$F$176,2,FALSE)</f>
        <v>352- la stratégie globale de formation continue est mise en œuvre</v>
      </c>
      <c r="AC1103" s="20" t="str">
        <f>D1103 &amp; "-" &amp; VLOOKUP(D1103,[4]STRATEGIES!$E$1:$F$504,2,FALSE)</f>
        <v>3522-Promotion de nouveaux mécanismes d'incitation à la formation continue</v>
      </c>
      <c r="AD1103" s="21" t="str">
        <f t="shared" si="184"/>
        <v>3522-Promotion de nouveaux mécanismes d'incitation à la formation continue</v>
      </c>
    </row>
    <row r="1104" spans="1:30" s="22" customFormat="1" ht="45" hidden="1" customHeight="1" x14ac:dyDescent="0.8">
      <c r="A1104" s="14">
        <v>3</v>
      </c>
      <c r="B1104" s="15">
        <v>35</v>
      </c>
      <c r="C1104" s="15">
        <v>352</v>
      </c>
      <c r="D1104" s="15">
        <v>3522</v>
      </c>
      <c r="E1104" s="15"/>
      <c r="F1104" s="16" t="s">
        <v>1450</v>
      </c>
      <c r="G1104" s="21"/>
      <c r="H1104" s="17"/>
      <c r="I1104" s="33">
        <v>0</v>
      </c>
      <c r="J1104" s="33"/>
      <c r="K1104" s="33"/>
      <c r="L1104" s="33"/>
      <c r="M1104" s="33"/>
      <c r="N1104" s="33"/>
      <c r="O1104" s="33"/>
      <c r="P1104" s="33"/>
      <c r="Q1104" s="33"/>
      <c r="R1104" s="33"/>
      <c r="S1104" s="34"/>
      <c r="T1104" s="35" t="s">
        <v>56</v>
      </c>
      <c r="U1104" s="18" t="s">
        <v>1443</v>
      </c>
      <c r="V1104" s="18" t="str">
        <f>IF(OR($H1104="",$H1104="sif",$H1104="PM"),"",VLOOKUP($H1104,[5]CU!$C$5:$J$255,8,FALSE))</f>
        <v/>
      </c>
      <c r="W1104" s="18"/>
      <c r="X1104" s="18"/>
      <c r="Y1104" s="18" t="s">
        <v>677</v>
      </c>
      <c r="Z1104" s="18" t="str">
        <f>A1104 &amp; "-" &amp; VLOOKUP(A1104,[4]PROGRAMMES!$E$1:$F$7,2,FALSE)</f>
        <v>3-Expansion et réforme de l’ETFP</v>
      </c>
      <c r="AA1104" s="19" t="str">
        <f>B1104 &amp; "-" &amp; VLOOKUP(B1104,[4]SOUSPROGRAMMES!$E$1:$F$44,2,FALSE)</f>
        <v>35- Développement de la formation continue des actifs en situation de travail</v>
      </c>
      <c r="AB1104" s="19" t="str">
        <f>C1104 &amp; "-" &amp; VLOOKUP(C1104,[4]RESULTATS!$E$1:$F$176,2,FALSE)</f>
        <v>352- la stratégie globale de formation continue est mise en œuvre</v>
      </c>
      <c r="AC1104" s="20" t="str">
        <f>D1104 &amp; "-" &amp; VLOOKUP(D1104,[4]STRATEGIES!$E$1:$F$504,2,FALSE)</f>
        <v>3522-Promotion de nouveaux mécanismes d'incitation à la formation continue</v>
      </c>
      <c r="AD1104" s="21" t="str">
        <f t="shared" si="184"/>
        <v>-pm sera pris en compte dans la seconde phase du PRODEG</v>
      </c>
    </row>
    <row r="1105" spans="1:30" s="22" customFormat="1" ht="45" hidden="1" customHeight="1" x14ac:dyDescent="0.8">
      <c r="A1105" s="14">
        <v>3</v>
      </c>
      <c r="B1105" s="15">
        <v>35</v>
      </c>
      <c r="C1105" s="15">
        <v>352</v>
      </c>
      <c r="D1105" s="15">
        <v>3523</v>
      </c>
      <c r="E1105" s="15">
        <v>3523</v>
      </c>
      <c r="F1105" s="16" t="s">
        <v>1451</v>
      </c>
      <c r="G1105" s="17"/>
      <c r="H1105" s="17"/>
      <c r="I1105" s="33">
        <v>0</v>
      </c>
      <c r="J1105" s="33"/>
      <c r="K1105" s="33"/>
      <c r="L1105" s="33"/>
      <c r="M1105" s="33"/>
      <c r="N1105" s="33"/>
      <c r="O1105" s="33"/>
      <c r="P1105" s="33"/>
      <c r="Q1105" s="33"/>
      <c r="R1105" s="33"/>
      <c r="S1105" s="34"/>
      <c r="T1105" s="33"/>
      <c r="U1105" s="18"/>
      <c r="V1105" s="18"/>
      <c r="W1105" s="18"/>
      <c r="X1105" s="18"/>
      <c r="Y1105" s="18" t="s">
        <v>677</v>
      </c>
      <c r="Z1105" s="18" t="str">
        <f>A1105 &amp; "-" &amp; VLOOKUP(A1105,[4]PROGRAMMES!$E$1:$F$7,2,FALSE)</f>
        <v>3-Expansion et réforme de l’ETFP</v>
      </c>
      <c r="AA1105" s="19" t="str">
        <f>B1105 &amp; "-" &amp; VLOOKUP(B1105,[4]SOUSPROGRAMMES!$E$1:$F$44,2,FALSE)</f>
        <v>35- Développement de la formation continue des actifs en situation de travail</v>
      </c>
      <c r="AB1105" s="19" t="str">
        <f>C1105 &amp; "-" &amp; VLOOKUP(C1105,[4]RESULTATS!$E$1:$F$176,2,FALSE)</f>
        <v>352- la stratégie globale de formation continue est mise en œuvre</v>
      </c>
      <c r="AC1105" s="20" t="str">
        <f>D1105 &amp; "-" &amp; VLOOKUP(D1105,[4]STRATEGIES!$E$1:$F$504,2,FALSE)</f>
        <v>3523-Opérationnalisation des nouveaux mécanismes de formation continue</v>
      </c>
      <c r="AD1105" s="21" t="str">
        <f t="shared" si="184"/>
        <v>3523-Opérationnalisation des nouveaux mécanismes de formation continue</v>
      </c>
    </row>
    <row r="1106" spans="1:30" s="22" customFormat="1" ht="45" hidden="1" customHeight="1" x14ac:dyDescent="0.8">
      <c r="A1106" s="14">
        <v>3</v>
      </c>
      <c r="B1106" s="15">
        <v>35</v>
      </c>
      <c r="C1106" s="15">
        <v>352</v>
      </c>
      <c r="D1106" s="15">
        <v>3523</v>
      </c>
      <c r="E1106" s="15"/>
      <c r="F1106" s="16" t="s">
        <v>1450</v>
      </c>
      <c r="G1106" s="21"/>
      <c r="H1106" s="17"/>
      <c r="I1106" s="33">
        <v>0</v>
      </c>
      <c r="J1106" s="33"/>
      <c r="K1106" s="33"/>
      <c r="L1106" s="33"/>
      <c r="M1106" s="33"/>
      <c r="N1106" s="33"/>
      <c r="O1106" s="33"/>
      <c r="P1106" s="33"/>
      <c r="Q1106" s="33"/>
      <c r="R1106" s="33"/>
      <c r="S1106" s="34"/>
      <c r="T1106" s="35" t="s">
        <v>56</v>
      </c>
      <c r="U1106" s="18" t="s">
        <v>1443</v>
      </c>
      <c r="V1106" s="18" t="str">
        <f>IF(OR($H1106="",$H1106="sif",$H1106="PM"),"",VLOOKUP($H1106,[5]CU!$C$5:$J$255,8,FALSE))</f>
        <v/>
      </c>
      <c r="W1106" s="18"/>
      <c r="X1106" s="18"/>
      <c r="Y1106" s="18" t="s">
        <v>677</v>
      </c>
      <c r="Z1106" s="18" t="str">
        <f>A1106 &amp; "-" &amp; VLOOKUP(A1106,[4]PROGRAMMES!$E$1:$F$7,2,FALSE)</f>
        <v>3-Expansion et réforme de l’ETFP</v>
      </c>
      <c r="AA1106" s="19" t="str">
        <f>B1106 &amp; "-" &amp; VLOOKUP(B1106,[4]SOUSPROGRAMMES!$E$1:$F$44,2,FALSE)</f>
        <v>35- Développement de la formation continue des actifs en situation de travail</v>
      </c>
      <c r="AB1106" s="19" t="str">
        <f>C1106 &amp; "-" &amp; VLOOKUP(C1106,[4]RESULTATS!$E$1:$F$176,2,FALSE)</f>
        <v>352- la stratégie globale de formation continue est mise en œuvre</v>
      </c>
      <c r="AC1106" s="20" t="str">
        <f>D1106 &amp; "-" &amp; VLOOKUP(D1106,[4]STRATEGIES!$E$1:$F$504,2,FALSE)</f>
        <v>3523-Opérationnalisation des nouveaux mécanismes de formation continue</v>
      </c>
      <c r="AD1106" s="21" t="str">
        <f t="shared" si="184"/>
        <v>-pm sera pris en compte dans la seconde phase du PRODEG</v>
      </c>
    </row>
    <row r="1107" spans="1:30" s="22" customFormat="1" ht="45" hidden="1" customHeight="1" x14ac:dyDescent="0.8">
      <c r="A1107" s="14">
        <v>3</v>
      </c>
      <c r="B1107" s="15">
        <v>35</v>
      </c>
      <c r="C1107" s="15">
        <v>353</v>
      </c>
      <c r="D1107" s="15">
        <v>353</v>
      </c>
      <c r="E1107" s="15">
        <v>353</v>
      </c>
      <c r="F1107" s="16" t="s">
        <v>1452</v>
      </c>
      <c r="G1107" s="17"/>
      <c r="H1107" s="17"/>
      <c r="I1107" s="33">
        <v>0</v>
      </c>
      <c r="J1107" s="33"/>
      <c r="K1107" s="33"/>
      <c r="L1107" s="33"/>
      <c r="M1107" s="33"/>
      <c r="N1107" s="33"/>
      <c r="O1107" s="33"/>
      <c r="P1107" s="33"/>
      <c r="Q1107" s="33"/>
      <c r="R1107" s="33"/>
      <c r="S1107" s="34"/>
      <c r="T1107" s="33"/>
      <c r="U1107" s="18"/>
      <c r="V1107" s="18"/>
      <c r="W1107" s="18"/>
      <c r="X1107" s="18"/>
      <c r="Y1107" s="18" t="s">
        <v>677</v>
      </c>
      <c r="Z1107" s="18" t="str">
        <f>A1107 &amp; "-" &amp; VLOOKUP(A1107,[4]PROGRAMMES!$E$1:$F$7,2,FALSE)</f>
        <v>3-Expansion et réforme de l’ETFP</v>
      </c>
      <c r="AA1107" s="19" t="str">
        <f>B1107 &amp; "-" &amp; VLOOKUP(B1107,[4]SOUSPROGRAMMES!$E$1:$F$44,2,FALSE)</f>
        <v>35- Développement de la formation continue des actifs en situation de travail</v>
      </c>
      <c r="AB1107" s="19" t="str">
        <f>C1107 &amp; "-" &amp; VLOOKUP(C1107,[4]RESULTATS!$E$1:$F$176,2,FALSE)</f>
        <v>353- La prestation de service en formation continue est accrue dans les centres</v>
      </c>
      <c r="AC1107" s="20" t="str">
        <f>D1107 &amp; "-" &amp; VLOOKUP(D1107,[4]STRATEGIES!$E$1:$F$504,2,FALSE)</f>
        <v>353- La prestation de service en formation continue est accrue dans les centres</v>
      </c>
      <c r="AD1107" s="21" t="str">
        <f t="shared" si="184"/>
        <v>353- La prestation de service en formation continue est accrue dans les centres</v>
      </c>
    </row>
    <row r="1108" spans="1:30" s="22" customFormat="1" ht="45" hidden="1" customHeight="1" x14ac:dyDescent="0.8">
      <c r="A1108" s="14">
        <v>3</v>
      </c>
      <c r="B1108" s="15">
        <v>35</v>
      </c>
      <c r="C1108" s="15">
        <v>353</v>
      </c>
      <c r="D1108" s="15">
        <v>3531</v>
      </c>
      <c r="E1108" s="15">
        <v>3531</v>
      </c>
      <c r="F1108" s="16" t="s">
        <v>1453</v>
      </c>
      <c r="G1108" s="17"/>
      <c r="H1108" s="17"/>
      <c r="I1108" s="33">
        <v>0</v>
      </c>
      <c r="J1108" s="33"/>
      <c r="K1108" s="33"/>
      <c r="L1108" s="33"/>
      <c r="M1108" s="33"/>
      <c r="N1108" s="33"/>
      <c r="O1108" s="33"/>
      <c r="P1108" s="33"/>
      <c r="Q1108" s="33"/>
      <c r="R1108" s="33"/>
      <c r="S1108" s="34"/>
      <c r="T1108" s="33"/>
      <c r="U1108" s="18"/>
      <c r="V1108" s="18"/>
      <c r="W1108" s="18"/>
      <c r="X1108" s="18"/>
      <c r="Y1108" s="18" t="s">
        <v>677</v>
      </c>
      <c r="Z1108" s="18" t="str">
        <f>A1108 &amp; "-" &amp; VLOOKUP(A1108,[4]PROGRAMMES!$E$1:$F$7,2,FALSE)</f>
        <v>3-Expansion et réforme de l’ETFP</v>
      </c>
      <c r="AA1108" s="19" t="str">
        <f>B1108 &amp; "-" &amp; VLOOKUP(B1108,[4]SOUSPROGRAMMES!$E$1:$F$44,2,FALSE)</f>
        <v>35- Développement de la formation continue des actifs en situation de travail</v>
      </c>
      <c r="AB1108" s="19" t="str">
        <f>C1108 &amp; "-" &amp; VLOOKUP(C1108,[4]RESULTATS!$E$1:$F$176,2,FALSE)</f>
        <v>353- La prestation de service en formation continue est accrue dans les centres</v>
      </c>
      <c r="AC1108" s="20" t="str">
        <f>D1108 &amp; "-" &amp; VLOOKUP(D1108,[4]STRATEGIES!$E$1:$F$504,2,FALSE)</f>
        <v>3531-Renforcement de capacités des centres en prestation de service en matière de formation continue</v>
      </c>
      <c r="AD1108" s="21" t="str">
        <f t="shared" si="184"/>
        <v>3531-Renforcement de capacités des centres en prestation de service en matière de formation continue</v>
      </c>
    </row>
    <row r="1109" spans="1:30" s="22" customFormat="1" ht="45" hidden="1" customHeight="1" x14ac:dyDescent="0.8">
      <c r="A1109" s="14">
        <v>3</v>
      </c>
      <c r="B1109" s="15">
        <v>35</v>
      </c>
      <c r="C1109" s="15">
        <v>353</v>
      </c>
      <c r="D1109" s="15">
        <v>3531</v>
      </c>
      <c r="E1109" s="15"/>
      <c r="F1109" s="16" t="s">
        <v>1450</v>
      </c>
      <c r="G1109" s="21"/>
      <c r="H1109" s="17"/>
      <c r="I1109" s="33">
        <v>0</v>
      </c>
      <c r="J1109" s="33"/>
      <c r="K1109" s="33"/>
      <c r="L1109" s="33"/>
      <c r="M1109" s="33"/>
      <c r="N1109" s="33"/>
      <c r="O1109" s="33"/>
      <c r="P1109" s="33"/>
      <c r="Q1109" s="33"/>
      <c r="R1109" s="33"/>
      <c r="S1109" s="34"/>
      <c r="T1109" s="35" t="s">
        <v>56</v>
      </c>
      <c r="U1109" s="18" t="s">
        <v>1443</v>
      </c>
      <c r="V1109" s="18" t="str">
        <f>IF(OR($H1109="",$H1109="sif",$H1109="PM"),"",VLOOKUP($H1109,[5]CU!$C$5:$J$255,8,FALSE))</f>
        <v/>
      </c>
      <c r="W1109" s="18"/>
      <c r="X1109" s="18"/>
      <c r="Y1109" s="18" t="s">
        <v>677</v>
      </c>
      <c r="Z1109" s="18" t="str">
        <f>A1109 &amp; "-" &amp; VLOOKUP(A1109,[4]PROGRAMMES!$E$1:$F$7,2,FALSE)</f>
        <v>3-Expansion et réforme de l’ETFP</v>
      </c>
      <c r="AA1109" s="19" t="str">
        <f>B1109 &amp; "-" &amp; VLOOKUP(B1109,[4]SOUSPROGRAMMES!$E$1:$F$44,2,FALSE)</f>
        <v>35- Développement de la formation continue des actifs en situation de travail</v>
      </c>
      <c r="AB1109" s="19" t="str">
        <f>C1109 &amp; "-" &amp; VLOOKUP(C1109,[4]RESULTATS!$E$1:$F$176,2,FALSE)</f>
        <v>353- La prestation de service en formation continue est accrue dans les centres</v>
      </c>
      <c r="AC1109" s="20" t="str">
        <f>D1109 &amp; "-" &amp; VLOOKUP(D1109,[4]STRATEGIES!$E$1:$F$504,2,FALSE)</f>
        <v>3531-Renforcement de capacités des centres en prestation de service en matière de formation continue</v>
      </c>
      <c r="AD1109" s="21" t="str">
        <f t="shared" si="184"/>
        <v>-pm sera pris en compte dans la seconde phase du PRODEG</v>
      </c>
    </row>
    <row r="1110" spans="1:30" s="22" customFormat="1" ht="45" hidden="1" customHeight="1" x14ac:dyDescent="0.8">
      <c r="A1110" s="14">
        <v>3</v>
      </c>
      <c r="B1110" s="15">
        <v>35</v>
      </c>
      <c r="C1110" s="15">
        <v>353</v>
      </c>
      <c r="D1110" s="15">
        <v>3532</v>
      </c>
      <c r="E1110" s="15">
        <v>3532</v>
      </c>
      <c r="F1110" s="16" t="s">
        <v>1454</v>
      </c>
      <c r="G1110" s="17"/>
      <c r="H1110" s="17"/>
      <c r="I1110" s="33">
        <v>0</v>
      </c>
      <c r="J1110" s="33"/>
      <c r="K1110" s="33"/>
      <c r="L1110" s="33"/>
      <c r="M1110" s="33"/>
      <c r="N1110" s="33"/>
      <c r="O1110" s="33"/>
      <c r="P1110" s="33"/>
      <c r="Q1110" s="33"/>
      <c r="R1110" s="33"/>
      <c r="S1110" s="34"/>
      <c r="T1110" s="33"/>
      <c r="U1110" s="18"/>
      <c r="V1110" s="18"/>
      <c r="W1110" s="18"/>
      <c r="X1110" s="18"/>
      <c r="Y1110" s="18" t="s">
        <v>677</v>
      </c>
      <c r="Z1110" s="18" t="str">
        <f>A1110 &amp; "-" &amp; VLOOKUP(A1110,[4]PROGRAMMES!$E$1:$F$7,2,FALSE)</f>
        <v>3-Expansion et réforme de l’ETFP</v>
      </c>
      <c r="AA1110" s="19" t="str">
        <f>B1110 &amp; "-" &amp; VLOOKUP(B1110,[4]SOUSPROGRAMMES!$E$1:$F$44,2,FALSE)</f>
        <v>35- Développement de la formation continue des actifs en situation de travail</v>
      </c>
      <c r="AB1110" s="19" t="str">
        <f>C1110 &amp; "-" &amp; VLOOKUP(C1110,[4]RESULTATS!$E$1:$F$176,2,FALSE)</f>
        <v>353- La prestation de service en formation continue est accrue dans les centres</v>
      </c>
      <c r="AC1110" s="20" t="str">
        <f>D1110 &amp; "-" &amp; VLOOKUP(D1110,[4]STRATEGIES!$E$1:$F$504,2,FALSE)</f>
        <v>3532-Mise en œuvre d'actions de formations continues dans les centres</v>
      </c>
      <c r="AD1110" s="21" t="str">
        <f t="shared" si="184"/>
        <v>3532-Mise en œuvre d'actions de formations continues dans les centres</v>
      </c>
    </row>
    <row r="1111" spans="1:30" s="22" customFormat="1" ht="45" hidden="1" customHeight="1" x14ac:dyDescent="0.8">
      <c r="A1111" s="14">
        <v>3</v>
      </c>
      <c r="B1111" s="15">
        <v>35</v>
      </c>
      <c r="C1111" s="15">
        <v>353</v>
      </c>
      <c r="D1111" s="15">
        <v>3532</v>
      </c>
      <c r="E1111" s="15"/>
      <c r="F1111" s="16" t="s">
        <v>1450</v>
      </c>
      <c r="G1111" s="21"/>
      <c r="H1111" s="17"/>
      <c r="I1111" s="33">
        <v>0</v>
      </c>
      <c r="J1111" s="33"/>
      <c r="K1111" s="33"/>
      <c r="L1111" s="33"/>
      <c r="M1111" s="33"/>
      <c r="N1111" s="33"/>
      <c r="O1111" s="33"/>
      <c r="P1111" s="33"/>
      <c r="Q1111" s="33"/>
      <c r="R1111" s="33"/>
      <c r="S1111" s="34"/>
      <c r="T1111" s="35" t="s">
        <v>56</v>
      </c>
      <c r="U1111" s="18" t="s">
        <v>1443</v>
      </c>
      <c r="V1111" s="18" t="str">
        <f>IF(OR($H1111="",$H1111="sif",$H1111="PM"),"",VLOOKUP($H1111,[5]CU!$C$5:$J$255,8,FALSE))</f>
        <v/>
      </c>
      <c r="W1111" s="18"/>
      <c r="X1111" s="18"/>
      <c r="Y1111" s="18" t="s">
        <v>677</v>
      </c>
      <c r="Z1111" s="18" t="str">
        <f>A1111 &amp; "-" &amp; VLOOKUP(A1111,[4]PROGRAMMES!$E$1:$F$7,2,FALSE)</f>
        <v>3-Expansion et réforme de l’ETFP</v>
      </c>
      <c r="AA1111" s="19" t="str">
        <f>B1111 &amp; "-" &amp; VLOOKUP(B1111,[4]SOUSPROGRAMMES!$E$1:$F$44,2,FALSE)</f>
        <v>35- Développement de la formation continue des actifs en situation de travail</v>
      </c>
      <c r="AB1111" s="19" t="str">
        <f>C1111 &amp; "-" &amp; VLOOKUP(C1111,[4]RESULTATS!$E$1:$F$176,2,FALSE)</f>
        <v>353- La prestation de service en formation continue est accrue dans les centres</v>
      </c>
      <c r="AC1111" s="20" t="str">
        <f>D1111 &amp; "-" &amp; VLOOKUP(D1111,[4]STRATEGIES!$E$1:$F$504,2,FALSE)</f>
        <v>3532-Mise en œuvre d'actions de formations continues dans les centres</v>
      </c>
      <c r="AD1111" s="21" t="str">
        <f t="shared" si="184"/>
        <v>-pm sera pris en compte dans la seconde phase du PRODEG</v>
      </c>
    </row>
    <row r="1112" spans="1:30" s="22" customFormat="1" ht="60" hidden="1" customHeight="1" x14ac:dyDescent="0.8">
      <c r="A1112" s="14">
        <v>3</v>
      </c>
      <c r="B1112" s="15">
        <v>36</v>
      </c>
      <c r="C1112" s="15">
        <v>36</v>
      </c>
      <c r="D1112" s="15">
        <v>36</v>
      </c>
      <c r="E1112" s="15">
        <v>36</v>
      </c>
      <c r="F1112" s="16" t="s">
        <v>1455</v>
      </c>
      <c r="G1112" s="17"/>
      <c r="H1112" s="17"/>
      <c r="I1112" s="33">
        <v>0</v>
      </c>
      <c r="J1112" s="33"/>
      <c r="K1112" s="33"/>
      <c r="L1112" s="33"/>
      <c r="M1112" s="33"/>
      <c r="N1112" s="33"/>
      <c r="O1112" s="33"/>
      <c r="P1112" s="33"/>
      <c r="Q1112" s="33"/>
      <c r="R1112" s="33"/>
      <c r="S1112" s="34"/>
      <c r="T1112" s="33"/>
      <c r="U1112" s="18"/>
      <c r="V1112" s="18"/>
      <c r="W1112" s="18"/>
      <c r="X1112" s="18"/>
      <c r="Y1112" s="18" t="s">
        <v>677</v>
      </c>
      <c r="Z1112" s="18" t="str">
        <f>A1112 &amp; "-" &amp; VLOOKUP(A1112,[4]PROGRAMMES!$E$1:$F$7,2,FALSE)</f>
        <v>3-Expansion et réforme de l’ETFP</v>
      </c>
      <c r="AA1112" s="19" t="str">
        <f>B1112 &amp; "-" &amp; VLOOKUP(B1112,[4]SOUSPROGRAMMES!$E$1:$F$44,2,FALSE)</f>
        <v>36- Renforcement des capacités de pilotage et de gestion dans le cadre d’une gouvernance parteunariale multi niveaux</v>
      </c>
      <c r="AB1112" s="19" t="str">
        <f>C1112 &amp; "-" &amp; VLOOKUP(C1112,[4]RESULTATS!$E$1:$F$176,2,FALSE)</f>
        <v>36- Renforcement des capacités de pilotage et de gestion dans le cadre d’une gouvernance parteunariale multi niveaux</v>
      </c>
      <c r="AC1112" s="20" t="str">
        <f>D1112 &amp; "-" &amp; VLOOKUP(D1112,[4]STRATEGIES!$E$1:$F$504,2,FALSE)</f>
        <v>36- Renforcement des capacités de pilotage et de gestion dans le cadre d’une gouvernance parteunariale multi niveaux</v>
      </c>
      <c r="AD1112" s="21" t="str">
        <f t="shared" si="184"/>
        <v>36- Renforcement des capacités de pilotage et de gestion dans le cadre d’une gouvernance parteunariale multi niveaux</v>
      </c>
    </row>
    <row r="1113" spans="1:30" s="22" customFormat="1" ht="90" hidden="1" customHeight="1" x14ac:dyDescent="0.8">
      <c r="A1113" s="14">
        <v>3</v>
      </c>
      <c r="B1113" s="15">
        <v>36</v>
      </c>
      <c r="C1113" s="15">
        <v>361</v>
      </c>
      <c r="D1113" s="15">
        <v>361</v>
      </c>
      <c r="E1113" s="15">
        <v>361</v>
      </c>
      <c r="F1113" s="16" t="s">
        <v>1456</v>
      </c>
      <c r="G1113" s="17"/>
      <c r="H1113" s="17"/>
      <c r="I1113" s="33">
        <v>0</v>
      </c>
      <c r="J1113" s="33"/>
      <c r="K1113" s="33"/>
      <c r="L1113" s="33"/>
      <c r="M1113" s="33"/>
      <c r="N1113" s="33"/>
      <c r="O1113" s="33"/>
      <c r="P1113" s="33"/>
      <c r="Q1113" s="33"/>
      <c r="R1113" s="33"/>
      <c r="S1113" s="34"/>
      <c r="T1113" s="33"/>
      <c r="U1113" s="18"/>
      <c r="V1113" s="18"/>
      <c r="W1113" s="18"/>
      <c r="X1113" s="18"/>
      <c r="Y1113" s="18" t="s">
        <v>677</v>
      </c>
      <c r="Z1113" s="18" t="str">
        <f>A1113 &amp; "-" &amp; VLOOKUP(A1113,[4]PROGRAMMES!$E$1:$F$7,2,FALSE)</f>
        <v>3-Expansion et réforme de l’ETFP</v>
      </c>
      <c r="AA1113" s="19" t="str">
        <f>B1113 &amp; "-" &amp; VLOOKUP(B1113,[4]SOUSPROGRAMMES!$E$1:$F$44,2,FALSE)</f>
        <v>36- Renforcement des capacités de pilotage et de gestion dans le cadre d’une gouvernance parteunariale multi niveaux</v>
      </c>
      <c r="AB1113" s="19" t="str">
        <f>C1113 &amp; "-" &amp; VLOOKUP(C1113,[4]RESULTATS!$E$1:$F$176,2,FALSE)</f>
        <v>361-Des cadres formalisés de concertation entre les acteurs de la formation professionnelle publics, partenaires sociaux économiques, les collectivités territoriales, sont opérationnels</v>
      </c>
      <c r="AC1113" s="20" t="str">
        <f>D1113 &amp; "-" &amp; VLOOKUP(D1113,[4]STRATEGIES!$E$1:$F$504,2,FALSE)</f>
        <v>361-Des cadres formalisés de concertation entre les acteurs de la formation professionnelle publics, partenaires sociaux économiques, les collectivités territoriales, sont opérationnels</v>
      </c>
      <c r="AD1113" s="21" t="str">
        <f t="shared" si="184"/>
        <v>361-Des cadres formalisés de concertation entre les acteurs de la formation professionnelle publics, partenaires sociaux économiques, les collectivités territoriales, sont opérationnels</v>
      </c>
    </row>
    <row r="1114" spans="1:30" s="22" customFormat="1" ht="90" hidden="1" customHeight="1" x14ac:dyDescent="0.8">
      <c r="A1114" s="14">
        <v>3</v>
      </c>
      <c r="B1114" s="15">
        <v>36</v>
      </c>
      <c r="C1114" s="15">
        <v>361</v>
      </c>
      <c r="D1114" s="15">
        <v>3611</v>
      </c>
      <c r="E1114" s="15">
        <v>3611</v>
      </c>
      <c r="F1114" s="16" t="s">
        <v>1457</v>
      </c>
      <c r="G1114" s="17"/>
      <c r="H1114" s="17"/>
      <c r="I1114" s="33">
        <v>0</v>
      </c>
      <c r="J1114" s="33"/>
      <c r="K1114" s="33"/>
      <c r="L1114" s="33"/>
      <c r="M1114" s="33"/>
      <c r="N1114" s="33"/>
      <c r="O1114" s="33"/>
      <c r="P1114" s="33"/>
      <c r="Q1114" s="33"/>
      <c r="R1114" s="33"/>
      <c r="S1114" s="34"/>
      <c r="T1114" s="33"/>
      <c r="U1114" s="18"/>
      <c r="V1114" s="18"/>
      <c r="W1114" s="18"/>
      <c r="X1114" s="18"/>
      <c r="Y1114" s="18" t="s">
        <v>677</v>
      </c>
      <c r="Z1114" s="18" t="str">
        <f>A1114 &amp; "-" &amp; VLOOKUP(A1114,[4]PROGRAMMES!$E$1:$F$7,2,FALSE)</f>
        <v>3-Expansion et réforme de l’ETFP</v>
      </c>
      <c r="AA1114" s="19" t="str">
        <f>B1114 &amp; "-" &amp; VLOOKUP(B1114,[4]SOUSPROGRAMMES!$E$1:$F$44,2,FALSE)</f>
        <v>36- Renforcement des capacités de pilotage et de gestion dans le cadre d’une gouvernance parteunariale multi niveaux</v>
      </c>
      <c r="AB1114" s="19" t="str">
        <f>C1114 &amp; "-" &amp; VLOOKUP(C1114,[4]RESULTATS!$E$1:$F$176,2,FALSE)</f>
        <v>361-Des cadres formalisés de concertation entre les acteurs de la formation professionnelle publics, partenaires sociaux économiques, les collectivités territoriales, sont opérationnels</v>
      </c>
      <c r="AC1114" s="20" t="str">
        <f>D1114 &amp; "-" &amp; VLOOKUP(D1114,[4]STRATEGIES!$E$1:$F$504,2,FALSE)</f>
        <v>3611-Définition des cadres de concertation</v>
      </c>
      <c r="AD1114" s="21" t="str">
        <f t="shared" si="184"/>
        <v>3611-DéFinition des cadres de concertation</v>
      </c>
    </row>
    <row r="1115" spans="1:30" s="22" customFormat="1" ht="90" hidden="1" customHeight="1" x14ac:dyDescent="0.8">
      <c r="A1115" s="14">
        <v>3</v>
      </c>
      <c r="B1115" s="15">
        <v>36</v>
      </c>
      <c r="C1115" s="15">
        <v>361</v>
      </c>
      <c r="D1115" s="15">
        <v>3611</v>
      </c>
      <c r="E1115" s="15">
        <v>36111</v>
      </c>
      <c r="F1115" s="16" t="s">
        <v>1458</v>
      </c>
      <c r="G1115" s="21" t="s">
        <v>1217</v>
      </c>
      <c r="H1115" s="17" t="s">
        <v>38</v>
      </c>
      <c r="I1115" s="33">
        <v>0</v>
      </c>
      <c r="J1115" s="33">
        <f>45*3*9</f>
        <v>1215</v>
      </c>
      <c r="K1115" s="33"/>
      <c r="L1115" s="33"/>
      <c r="M1115" s="33">
        <f t="shared" ref="M1115:M1134" si="185">SUM(I1115:L1115)</f>
        <v>1215</v>
      </c>
      <c r="N1115" s="33">
        <f>IF(OR(H1115="",H1115="sif",H1115="PM"),0,VLOOKUP(H1115,[5]CU!$C$4:$H$255,6,FALSE))</f>
        <v>0.3133333333333333</v>
      </c>
      <c r="O1115" s="33">
        <f t="shared" ref="O1115:R1134" si="186">IFERROR($N1115*I1115,0)</f>
        <v>0</v>
      </c>
      <c r="P1115" s="33">
        <f t="shared" si="186"/>
        <v>380.69999999999993</v>
      </c>
      <c r="Q1115" s="33">
        <f t="shared" si="186"/>
        <v>0</v>
      </c>
      <c r="R1115" s="33">
        <f t="shared" si="186"/>
        <v>0</v>
      </c>
      <c r="S1115" s="34">
        <f t="shared" ref="S1115:S1123" si="187">SUM(O1115:R1115)</f>
        <v>380.69999999999993</v>
      </c>
      <c r="T1115" s="35" t="s">
        <v>56</v>
      </c>
      <c r="U1115" s="18" t="s">
        <v>1156</v>
      </c>
      <c r="V1115" s="18" t="str">
        <f>IF(OR($H1115="",$H1115="sif",$H1115="PM"),"",VLOOKUP($H1115,[5]CU!$C$5:$J$255,8,FALSE))</f>
        <v>3. Formation</v>
      </c>
      <c r="W1115" s="18" t="s">
        <v>1334</v>
      </c>
      <c r="X1115" s="19" t="s">
        <v>1459</v>
      </c>
      <c r="Y1115" s="18" t="s">
        <v>677</v>
      </c>
      <c r="Z1115" s="18" t="str">
        <f>A1115 &amp; "-" &amp; VLOOKUP(A1115,[4]PROGRAMMES!$E$1:$F$7,2,FALSE)</f>
        <v>3-Expansion et réforme de l’ETFP</v>
      </c>
      <c r="AA1115" s="19" t="str">
        <f>B1115 &amp; "-" &amp; VLOOKUP(B1115,[4]SOUSPROGRAMMES!$E$1:$F$44,2,FALSE)</f>
        <v>36- Renforcement des capacités de pilotage et de gestion dans le cadre d’une gouvernance parteunariale multi niveaux</v>
      </c>
      <c r="AB1115" s="19" t="str">
        <f>C1115 &amp; "-" &amp; VLOOKUP(C1115,[4]RESULTATS!$E$1:$F$176,2,FALSE)</f>
        <v>361-Des cadres formalisés de concertation entre les acteurs de la formation professionnelle publics, partenaires sociaux économiques, les collectivités territoriales, sont opérationnels</v>
      </c>
      <c r="AC1115" s="20" t="str">
        <f>D1115 &amp; "-" &amp; VLOOKUP(D1115,[4]STRATEGIES!$E$1:$F$504,2,FALSE)</f>
        <v>3611-Définition des cadres de concertation</v>
      </c>
      <c r="AD1115" s="21" t="str">
        <f t="shared" si="184"/>
        <v>36111-Identification, information et sensibilisation de tous les partenaires pour la déFinition des cadres de concertation à tous les niveaux (local, régional et national)</v>
      </c>
    </row>
    <row r="1116" spans="1:30" s="22" customFormat="1" ht="90" hidden="1" customHeight="1" x14ac:dyDescent="0.8">
      <c r="A1116" s="14">
        <v>3</v>
      </c>
      <c r="B1116" s="15">
        <v>36</v>
      </c>
      <c r="C1116" s="15">
        <v>361</v>
      </c>
      <c r="D1116" s="15">
        <v>3611</v>
      </c>
      <c r="E1116" s="15">
        <v>36112</v>
      </c>
      <c r="F1116" s="16" t="s">
        <v>1460</v>
      </c>
      <c r="G1116" s="21" t="s">
        <v>37</v>
      </c>
      <c r="H1116" s="17" t="s">
        <v>66</v>
      </c>
      <c r="I1116" s="33">
        <v>0</v>
      </c>
      <c r="J1116" s="33">
        <f>15*3</f>
        <v>45</v>
      </c>
      <c r="K1116" s="33"/>
      <c r="L1116" s="33"/>
      <c r="M1116" s="33">
        <f t="shared" si="185"/>
        <v>45</v>
      </c>
      <c r="N1116" s="33">
        <f>IF(OR(H1116="",H1116="sif",H1116="PM"),0,VLOOKUP(H1116,[5]CU!$C$4:$H$255,6,FALSE))</f>
        <v>0.255</v>
      </c>
      <c r="O1116" s="33">
        <f t="shared" si="186"/>
        <v>0</v>
      </c>
      <c r="P1116" s="33">
        <f t="shared" si="186"/>
        <v>11.475</v>
      </c>
      <c r="Q1116" s="33">
        <f t="shared" si="186"/>
        <v>0</v>
      </c>
      <c r="R1116" s="33">
        <f t="shared" si="186"/>
        <v>0</v>
      </c>
      <c r="S1116" s="34">
        <f t="shared" si="187"/>
        <v>11.475</v>
      </c>
      <c r="T1116" s="35" t="s">
        <v>56</v>
      </c>
      <c r="U1116" s="18" t="s">
        <v>1156</v>
      </c>
      <c r="V1116" s="18" t="str">
        <f>IF(OR($H1116="",$H1116="sif",$H1116="PM"),"",VLOOKUP($H1116,[5]CU!$C$5:$J$255,8,FALSE))</f>
        <v>3. Dépenses de fonctionnement</v>
      </c>
      <c r="W1116" s="18" t="s">
        <v>1334</v>
      </c>
      <c r="X1116" s="19" t="s">
        <v>1461</v>
      </c>
      <c r="Y1116" s="18" t="s">
        <v>677</v>
      </c>
      <c r="Z1116" s="18" t="str">
        <f>A1116 &amp; "-" &amp; VLOOKUP(A1116,[4]PROGRAMMES!$E$1:$F$7,2,FALSE)</f>
        <v>3-Expansion et réforme de l’ETFP</v>
      </c>
      <c r="AA1116" s="19" t="str">
        <f>B1116 &amp; "-" &amp; VLOOKUP(B1116,[4]SOUSPROGRAMMES!$E$1:$F$44,2,FALSE)</f>
        <v>36- Renforcement des capacités de pilotage et de gestion dans le cadre d’une gouvernance parteunariale multi niveaux</v>
      </c>
      <c r="AB1116" s="19" t="str">
        <f>C1116 &amp; "-" &amp; VLOOKUP(C1116,[4]RESULTATS!$E$1:$F$176,2,FALSE)</f>
        <v>361-Des cadres formalisés de concertation entre les acteurs de la formation professionnelle publics, partenaires sociaux économiques, les collectivités territoriales, sont opérationnels</v>
      </c>
      <c r="AC1116" s="20" t="str">
        <f>D1116 &amp; "-" &amp; VLOOKUP(D1116,[4]STRATEGIES!$E$1:$F$504,2,FALSE)</f>
        <v>3611-Définition des cadres de concertation</v>
      </c>
      <c r="AD1116" s="21" t="str">
        <f t="shared" si="184"/>
        <v>36112-Elaboration de textes régissant le fonctionnement des cadres de concertation à tous les niveaux</v>
      </c>
    </row>
    <row r="1117" spans="1:30" s="22" customFormat="1" ht="90" hidden="1" customHeight="1" x14ac:dyDescent="0.8">
      <c r="A1117" s="14">
        <v>3</v>
      </c>
      <c r="B1117" s="15">
        <v>36</v>
      </c>
      <c r="C1117" s="15">
        <v>361</v>
      </c>
      <c r="D1117" s="15">
        <v>3612</v>
      </c>
      <c r="E1117" s="15">
        <v>3612</v>
      </c>
      <c r="F1117" s="16" t="s">
        <v>1462</v>
      </c>
      <c r="G1117" s="17"/>
      <c r="H1117" s="17"/>
      <c r="I1117" s="33">
        <v>0</v>
      </c>
      <c r="J1117" s="33"/>
      <c r="K1117" s="33"/>
      <c r="L1117" s="33"/>
      <c r="M1117" s="33"/>
      <c r="N1117" s="33"/>
      <c r="O1117" s="33"/>
      <c r="P1117" s="33"/>
      <c r="Q1117" s="33"/>
      <c r="R1117" s="33"/>
      <c r="S1117" s="34"/>
      <c r="T1117" s="33"/>
      <c r="U1117" s="18"/>
      <c r="V1117" s="18"/>
      <c r="W1117" s="18"/>
      <c r="X1117" s="18"/>
      <c r="Y1117" s="18" t="s">
        <v>677</v>
      </c>
      <c r="Z1117" s="18" t="str">
        <f>A1117 &amp; "-" &amp; VLOOKUP(A1117,[4]PROGRAMMES!$E$1:$F$7,2,FALSE)</f>
        <v>3-Expansion et réforme de l’ETFP</v>
      </c>
      <c r="AA1117" s="19" t="str">
        <f>B1117 &amp; "-" &amp; VLOOKUP(B1117,[4]SOUSPROGRAMMES!$E$1:$F$44,2,FALSE)</f>
        <v>36- Renforcement des capacités de pilotage et de gestion dans le cadre d’une gouvernance parteunariale multi niveaux</v>
      </c>
      <c r="AB1117" s="19" t="str">
        <f>C1117 &amp; "-" &amp; VLOOKUP(C1117,[4]RESULTATS!$E$1:$F$176,2,FALSE)</f>
        <v>361-Des cadres formalisés de concertation entre les acteurs de la formation professionnelle publics, partenaires sociaux économiques, les collectivités territoriales, sont opérationnels</v>
      </c>
      <c r="AC1117" s="20" t="str">
        <f>D1117 &amp; "-" &amp; VLOOKUP(D1117,[4]STRATEGIES!$E$1:$F$504,2,FALSE)</f>
        <v xml:space="preserve">3612-Opérationnalisation des cadres
</v>
      </c>
      <c r="AD1117" s="21" t="str">
        <f t="shared" si="184"/>
        <v xml:space="preserve">3612-Opérationnalisation des cadres
</v>
      </c>
    </row>
    <row r="1118" spans="1:30" s="22" customFormat="1" ht="90" hidden="1" customHeight="1" x14ac:dyDescent="0.8">
      <c r="A1118" s="14">
        <v>3</v>
      </c>
      <c r="B1118" s="15">
        <v>36</v>
      </c>
      <c r="C1118" s="15">
        <v>361</v>
      </c>
      <c r="D1118" s="15">
        <v>3612</v>
      </c>
      <c r="E1118" s="15">
        <v>36121</v>
      </c>
      <c r="F1118" s="16" t="s">
        <v>1463</v>
      </c>
      <c r="G1118" s="21" t="s">
        <v>1464</v>
      </c>
      <c r="H1118" s="17" t="s">
        <v>38</v>
      </c>
      <c r="I1118" s="33">
        <v>0</v>
      </c>
      <c r="J1118" s="33"/>
      <c r="K1118" s="33">
        <f>45*9*2</f>
        <v>810</v>
      </c>
      <c r="L1118" s="33">
        <f>45*9*2</f>
        <v>810</v>
      </c>
      <c r="M1118" s="33">
        <f t="shared" si="185"/>
        <v>1620</v>
      </c>
      <c r="N1118" s="33">
        <f>IF(OR(H1118="",H1118="sif",H1118="PM"),0,VLOOKUP(H1118,[5]CU!$C$4:$H$255,6,FALSE))</f>
        <v>0.3133333333333333</v>
      </c>
      <c r="O1118" s="33">
        <f t="shared" si="186"/>
        <v>0</v>
      </c>
      <c r="P1118" s="33">
        <f t="shared" si="186"/>
        <v>0</v>
      </c>
      <c r="Q1118" s="33">
        <f t="shared" si="186"/>
        <v>253.79999999999998</v>
      </c>
      <c r="R1118" s="33">
        <f t="shared" si="186"/>
        <v>253.79999999999998</v>
      </c>
      <c r="S1118" s="34">
        <f t="shared" si="187"/>
        <v>507.59999999999997</v>
      </c>
      <c r="T1118" s="35" t="s">
        <v>56</v>
      </c>
      <c r="U1118" s="18" t="s">
        <v>1156</v>
      </c>
      <c r="V1118" s="18" t="str">
        <f>IF(OR($H1118="",$H1118="sif",$H1118="PM"),"",VLOOKUP($H1118,[5]CU!$C$5:$J$255,8,FALSE))</f>
        <v>3. Formation</v>
      </c>
      <c r="W1118" s="18" t="s">
        <v>521</v>
      </c>
      <c r="X1118" s="19" t="s">
        <v>1465</v>
      </c>
      <c r="Y1118" s="18" t="s">
        <v>677</v>
      </c>
      <c r="Z1118" s="18" t="str">
        <f>A1118 &amp; "-" &amp; VLOOKUP(A1118,[4]PROGRAMMES!$E$1:$F$7,2,FALSE)</f>
        <v>3-Expansion et réforme de l’ETFP</v>
      </c>
      <c r="AA1118" s="19" t="str">
        <f>B1118 &amp; "-" &amp; VLOOKUP(B1118,[4]SOUSPROGRAMMES!$E$1:$F$44,2,FALSE)</f>
        <v>36- Renforcement des capacités de pilotage et de gestion dans le cadre d’une gouvernance parteunariale multi niveaux</v>
      </c>
      <c r="AB1118" s="19" t="str">
        <f>C1118 &amp; "-" &amp; VLOOKUP(C1118,[4]RESULTATS!$E$1:$F$176,2,FALSE)</f>
        <v>361-Des cadres formalisés de concertation entre les acteurs de la formation professionnelle publics, partenaires sociaux économiques, les collectivités territoriales, sont opérationnels</v>
      </c>
      <c r="AC1118" s="20" t="str">
        <f>D1118 &amp; "-" &amp; VLOOKUP(D1118,[4]STRATEGIES!$E$1:$F$504,2,FALSE)</f>
        <v xml:space="preserve">3612-Opérationnalisation des cadres
</v>
      </c>
      <c r="AD1118" s="21" t="str">
        <f t="shared" si="184"/>
        <v>36121-Prise en charge des frais de concertation</v>
      </c>
    </row>
    <row r="1119" spans="1:30" s="22" customFormat="1" ht="90" hidden="1" customHeight="1" x14ac:dyDescent="0.8">
      <c r="A1119" s="14">
        <v>3</v>
      </c>
      <c r="B1119" s="15">
        <v>36</v>
      </c>
      <c r="C1119" s="15">
        <v>361</v>
      </c>
      <c r="D1119" s="15">
        <v>3612</v>
      </c>
      <c r="E1119" s="15">
        <v>36122</v>
      </c>
      <c r="F1119" s="16" t="s">
        <v>1466</v>
      </c>
      <c r="G1119" s="21" t="s">
        <v>37</v>
      </c>
      <c r="H1119" s="17" t="s">
        <v>301</v>
      </c>
      <c r="I1119" s="33">
        <v>0</v>
      </c>
      <c r="J1119" s="33"/>
      <c r="K1119" s="33">
        <f>(47*2)*9</f>
        <v>846</v>
      </c>
      <c r="L1119" s="33"/>
      <c r="M1119" s="33">
        <f t="shared" si="185"/>
        <v>846</v>
      </c>
      <c r="N1119" s="33">
        <f>IF(OR(H1119="",H1119="sif",H1119="PM"),0,VLOOKUP(H1119,[5]CU!$C$4:$H$255,6,FALSE))</f>
        <v>0.67666666666666664</v>
      </c>
      <c r="O1119" s="33">
        <f t="shared" si="186"/>
        <v>0</v>
      </c>
      <c r="P1119" s="33">
        <f t="shared" si="186"/>
        <v>0</v>
      </c>
      <c r="Q1119" s="33">
        <f t="shared" si="186"/>
        <v>572.45999999999992</v>
      </c>
      <c r="R1119" s="33">
        <f t="shared" si="186"/>
        <v>0</v>
      </c>
      <c r="S1119" s="34">
        <f t="shared" si="187"/>
        <v>572.45999999999992</v>
      </c>
      <c r="T1119" s="35" t="s">
        <v>56</v>
      </c>
      <c r="U1119" s="18" t="s">
        <v>1156</v>
      </c>
      <c r="V1119" s="18" t="str">
        <f>IF(OR($H1119="",$H1119="sif",$H1119="PM"),"",VLOOKUP($H1119,[5]CU!$C$5:$J$255,8,FALSE))</f>
        <v>3. Formation</v>
      </c>
      <c r="W1119" s="18" t="s">
        <v>521</v>
      </c>
      <c r="X1119" s="19" t="s">
        <v>1465</v>
      </c>
      <c r="Y1119" s="18" t="s">
        <v>677</v>
      </c>
      <c r="Z1119" s="18" t="str">
        <f>A1119 &amp; "-" &amp; VLOOKUP(A1119,[4]PROGRAMMES!$E$1:$F$7,2,FALSE)</f>
        <v>3-Expansion et réforme de l’ETFP</v>
      </c>
      <c r="AA1119" s="19" t="str">
        <f>B1119 &amp; "-" &amp; VLOOKUP(B1119,[4]SOUSPROGRAMMES!$E$1:$F$44,2,FALSE)</f>
        <v>36- Renforcement des capacités de pilotage et de gestion dans le cadre d’une gouvernance parteunariale multi niveaux</v>
      </c>
      <c r="AB1119" s="19" t="str">
        <f>C1119 &amp; "-" &amp; VLOOKUP(C1119,[4]RESULTATS!$E$1:$F$176,2,FALSE)</f>
        <v>361-Des cadres formalisés de concertation entre les acteurs de la formation professionnelle publics, partenaires sociaux économiques, les collectivités territoriales, sont opérationnels</v>
      </c>
      <c r="AC1119" s="20" t="str">
        <f>D1119 &amp; "-" &amp; VLOOKUP(D1119,[4]STRATEGIES!$E$1:$F$504,2,FALSE)</f>
        <v xml:space="preserve">3612-Opérationnalisation des cadres
</v>
      </c>
      <c r="AD1119" s="21" t="str">
        <f t="shared" si="184"/>
        <v>36122-Formation des acteurs impliqués dans les concertations</v>
      </c>
    </row>
    <row r="1120" spans="1:30" s="22" customFormat="1" ht="60" hidden="1" customHeight="1" x14ac:dyDescent="0.8">
      <c r="A1120" s="14">
        <v>3</v>
      </c>
      <c r="B1120" s="15">
        <v>36</v>
      </c>
      <c r="C1120" s="15">
        <v>362</v>
      </c>
      <c r="D1120" s="15">
        <v>362</v>
      </c>
      <c r="E1120" s="15">
        <v>362</v>
      </c>
      <c r="F1120" s="16" t="s">
        <v>1467</v>
      </c>
      <c r="G1120" s="17"/>
      <c r="H1120" s="17"/>
      <c r="I1120" s="33">
        <v>0</v>
      </c>
      <c r="J1120" s="33"/>
      <c r="K1120" s="33"/>
      <c r="L1120" s="33"/>
      <c r="M1120" s="33"/>
      <c r="N1120" s="33"/>
      <c r="O1120" s="33"/>
      <c r="P1120" s="33"/>
      <c r="Q1120" s="33"/>
      <c r="R1120" s="33"/>
      <c r="S1120" s="34"/>
      <c r="T1120" s="33"/>
      <c r="U1120" s="18"/>
      <c r="V1120" s="18"/>
      <c r="W1120" s="18"/>
      <c r="X1120" s="18"/>
      <c r="Y1120" s="18" t="s">
        <v>677</v>
      </c>
      <c r="Z1120" s="18" t="str">
        <f>A1120 &amp; "-" &amp; VLOOKUP(A1120,[4]PROGRAMMES!$E$1:$F$7,2,FALSE)</f>
        <v>3-Expansion et réforme de l’ETFP</v>
      </c>
      <c r="AA1120" s="19" t="str">
        <f>B1120 &amp; "-" &amp; VLOOKUP(B1120,[4]SOUSPROGRAMMES!$E$1:$F$44,2,FALSE)</f>
        <v>36- Renforcement des capacités de pilotage et de gestion dans le cadre d’une gouvernance parteunariale multi niveaux</v>
      </c>
      <c r="AB1120" s="19" t="str">
        <f>C1120 &amp; "-" &amp; VLOOKUP(C1120,[4]RESULTATS!$E$1:$F$176,2,FALSE)</f>
        <v>362- L’autonomisation des institutions est accrue dans un cadre de redevabilité</v>
      </c>
      <c r="AC1120" s="20" t="str">
        <f>D1120 &amp; "-" &amp; VLOOKUP(D1120,[4]STRATEGIES!$E$1:$F$504,2,FALSE)</f>
        <v>362- L’autonomisation des institutions est accrue dans un cadre de redevabilité</v>
      </c>
      <c r="AD1120" s="21" t="str">
        <f t="shared" si="184"/>
        <v>362- L’autonomisation des institutions est accrue dans un cadre de redevabilité</v>
      </c>
    </row>
    <row r="1121" spans="1:30" s="22" customFormat="1" ht="60" hidden="1" customHeight="1" x14ac:dyDescent="0.8">
      <c r="A1121" s="14">
        <v>3</v>
      </c>
      <c r="B1121" s="15">
        <v>36</v>
      </c>
      <c r="C1121" s="15">
        <v>362</v>
      </c>
      <c r="D1121" s="15">
        <v>3621</v>
      </c>
      <c r="E1121" s="15">
        <v>3621</v>
      </c>
      <c r="F1121" s="16" t="s">
        <v>1468</v>
      </c>
      <c r="G1121" s="17"/>
      <c r="H1121" s="17"/>
      <c r="I1121" s="33">
        <v>0</v>
      </c>
      <c r="J1121" s="33"/>
      <c r="K1121" s="33"/>
      <c r="L1121" s="33"/>
      <c r="M1121" s="33"/>
      <c r="N1121" s="33"/>
      <c r="O1121" s="33"/>
      <c r="P1121" s="33"/>
      <c r="Q1121" s="33"/>
      <c r="R1121" s="33"/>
      <c r="S1121" s="34"/>
      <c r="T1121" s="33"/>
      <c r="U1121" s="18"/>
      <c r="V1121" s="18"/>
      <c r="W1121" s="18"/>
      <c r="X1121" s="18"/>
      <c r="Y1121" s="18" t="s">
        <v>677</v>
      </c>
      <c r="Z1121" s="18" t="str">
        <f>A1121 &amp; "-" &amp; VLOOKUP(A1121,[4]PROGRAMMES!$E$1:$F$7,2,FALSE)</f>
        <v>3-Expansion et réforme de l’ETFP</v>
      </c>
      <c r="AA1121" s="19" t="str">
        <f>B1121 &amp; "-" &amp; VLOOKUP(B1121,[4]SOUSPROGRAMMES!$E$1:$F$44,2,FALSE)</f>
        <v>36- Renforcement des capacités de pilotage et de gestion dans le cadre d’une gouvernance parteunariale multi niveaux</v>
      </c>
      <c r="AB1121" s="19" t="str">
        <f>C1121 &amp; "-" &amp; VLOOKUP(C1121,[4]RESULTATS!$E$1:$F$176,2,FALSE)</f>
        <v>362- L’autonomisation des institutions est accrue dans un cadre de redevabilité</v>
      </c>
      <c r="AC1121" s="20" t="str">
        <f>D1121 &amp; "-" &amp; VLOOKUP(D1121,[4]STRATEGIES!$E$1:$F$504,2,FALSE)</f>
        <v>3621-Définition d’un modèle de fonctionnement des institutions de l’ETFP</v>
      </c>
      <c r="AD1121" s="21" t="str">
        <f t="shared" si="184"/>
        <v>3621-DéFinition d’un modèle de fonctionnement des institutions de l’ETFP</v>
      </c>
    </row>
    <row r="1122" spans="1:30" s="22" customFormat="1" ht="60" hidden="1" customHeight="1" x14ac:dyDescent="0.8">
      <c r="A1122" s="14">
        <v>3</v>
      </c>
      <c r="B1122" s="15">
        <v>36</v>
      </c>
      <c r="C1122" s="15">
        <v>362</v>
      </c>
      <c r="D1122" s="15">
        <v>3621</v>
      </c>
      <c r="E1122" s="15">
        <v>36211</v>
      </c>
      <c r="F1122" s="16" t="s">
        <v>1469</v>
      </c>
      <c r="G1122" s="21" t="s">
        <v>167</v>
      </c>
      <c r="H1122" s="17" t="s">
        <v>646</v>
      </c>
      <c r="I1122" s="33">
        <v>0</v>
      </c>
      <c r="J1122" s="33">
        <f>2*20</f>
        <v>40</v>
      </c>
      <c r="K1122" s="33"/>
      <c r="L1122" s="33"/>
      <c r="M1122" s="33">
        <f t="shared" si="185"/>
        <v>40</v>
      </c>
      <c r="N1122" s="33">
        <f>IF(OR(H1122="",H1122="sif",H1122="PM"),0,VLOOKUP(H1122,[5]CU!$C$4:$H$255,6,FALSE))</f>
        <v>10.404797</v>
      </c>
      <c r="O1122" s="33">
        <f t="shared" si="186"/>
        <v>0</v>
      </c>
      <c r="P1122" s="33">
        <f t="shared" si="186"/>
        <v>416.19188000000003</v>
      </c>
      <c r="Q1122" s="33">
        <f t="shared" si="186"/>
        <v>0</v>
      </c>
      <c r="R1122" s="33">
        <f t="shared" si="186"/>
        <v>0</v>
      </c>
      <c r="S1122" s="34">
        <f t="shared" si="187"/>
        <v>416.19188000000003</v>
      </c>
      <c r="T1122" s="35" t="s">
        <v>118</v>
      </c>
      <c r="U1122" s="18" t="s">
        <v>1156</v>
      </c>
      <c r="V1122" s="18" t="str">
        <f>IF(OR($H1122="",$H1122="sif",$H1122="PM"),"",VLOOKUP($H1122,[5]CU!$C$5:$J$255,8,FALSE))</f>
        <v>3. Dépenses de fonctionnement</v>
      </c>
      <c r="W1122" s="18" t="s">
        <v>96</v>
      </c>
      <c r="X1122" s="18" t="s">
        <v>1371</v>
      </c>
      <c r="Y1122" s="18" t="s">
        <v>677</v>
      </c>
      <c r="Z1122" s="18" t="str">
        <f>A1122 &amp; "-" &amp; VLOOKUP(A1122,[4]PROGRAMMES!$E$1:$F$7,2,FALSE)</f>
        <v>3-Expansion et réforme de l’ETFP</v>
      </c>
      <c r="AA1122" s="19" t="str">
        <f>B1122 &amp; "-" &amp; VLOOKUP(B1122,[4]SOUSPROGRAMMES!$E$1:$F$44,2,FALSE)</f>
        <v>36- Renforcement des capacités de pilotage et de gestion dans le cadre d’une gouvernance parteunariale multi niveaux</v>
      </c>
      <c r="AB1122" s="19" t="str">
        <f>C1122 &amp; "-" &amp; VLOOKUP(C1122,[4]RESULTATS!$E$1:$F$176,2,FALSE)</f>
        <v>362- L’autonomisation des institutions est accrue dans un cadre de redevabilité</v>
      </c>
      <c r="AC1122" s="20" t="str">
        <f>D1122 &amp; "-" &amp; VLOOKUP(D1122,[4]STRATEGIES!$E$1:$F$504,2,FALSE)</f>
        <v>3621-Définition d’un modèle de fonctionnement des institutions de l’ETFP</v>
      </c>
      <c r="AD1122" s="21" t="str">
        <f t="shared" si="184"/>
        <v>36211-Etude sur la gouvernance des établissements de l'ETFP</v>
      </c>
    </row>
    <row r="1123" spans="1:30" s="22" customFormat="1" ht="60" hidden="1" customHeight="1" x14ac:dyDescent="0.8">
      <c r="A1123" s="14">
        <v>3</v>
      </c>
      <c r="B1123" s="15">
        <v>36</v>
      </c>
      <c r="C1123" s="15">
        <v>362</v>
      </c>
      <c r="D1123" s="15">
        <v>3621</v>
      </c>
      <c r="E1123" s="15">
        <v>36212</v>
      </c>
      <c r="F1123" s="16" t="s">
        <v>1470</v>
      </c>
      <c r="G1123" s="21" t="s">
        <v>298</v>
      </c>
      <c r="H1123" s="17" t="s">
        <v>38</v>
      </c>
      <c r="I1123" s="33">
        <v>0</v>
      </c>
      <c r="J1123" s="33">
        <f>45*3</f>
        <v>135</v>
      </c>
      <c r="K1123" s="33"/>
      <c r="L1123" s="33"/>
      <c r="M1123" s="33">
        <f t="shared" si="185"/>
        <v>135</v>
      </c>
      <c r="N1123" s="33">
        <f>IF(OR(H1123="",H1123="sif",H1123="PM"),0,VLOOKUP(H1123,[5]CU!$C$4:$H$255,6,FALSE))</f>
        <v>0.3133333333333333</v>
      </c>
      <c r="O1123" s="33">
        <f t="shared" si="186"/>
        <v>0</v>
      </c>
      <c r="P1123" s="33">
        <f t="shared" si="186"/>
        <v>42.3</v>
      </c>
      <c r="Q1123" s="33">
        <f t="shared" si="186"/>
        <v>0</v>
      </c>
      <c r="R1123" s="33">
        <f t="shared" si="186"/>
        <v>0</v>
      </c>
      <c r="S1123" s="34">
        <f t="shared" si="187"/>
        <v>42.3</v>
      </c>
      <c r="T1123" s="35" t="s">
        <v>118</v>
      </c>
      <c r="U1123" s="18" t="s">
        <v>1156</v>
      </c>
      <c r="V1123" s="18" t="str">
        <f>IF(OR($H1123="",$H1123="sif",$H1123="PM"),"",VLOOKUP($H1123,[5]CU!$C$5:$J$255,8,FALSE))</f>
        <v>3. Formation</v>
      </c>
      <c r="W1123" s="18" t="s">
        <v>96</v>
      </c>
      <c r="X1123" s="19" t="s">
        <v>1471</v>
      </c>
      <c r="Y1123" s="18" t="s">
        <v>677</v>
      </c>
      <c r="Z1123" s="18" t="str">
        <f>A1123 &amp; "-" &amp; VLOOKUP(A1123,[4]PROGRAMMES!$E$1:$F$7,2,FALSE)</f>
        <v>3-Expansion et réforme de l’ETFP</v>
      </c>
      <c r="AA1123" s="19" t="str">
        <f>B1123 &amp; "-" &amp; VLOOKUP(B1123,[4]SOUSPROGRAMMES!$E$1:$F$44,2,FALSE)</f>
        <v>36- Renforcement des capacités de pilotage et de gestion dans le cadre d’une gouvernance parteunariale multi niveaux</v>
      </c>
      <c r="AB1123" s="19" t="str">
        <f>C1123 &amp; "-" &amp; VLOOKUP(C1123,[4]RESULTATS!$E$1:$F$176,2,FALSE)</f>
        <v>362- L’autonomisation des institutions est accrue dans un cadre de redevabilité</v>
      </c>
      <c r="AC1123" s="20" t="str">
        <f>D1123 &amp; "-" &amp; VLOOKUP(D1123,[4]STRATEGIES!$E$1:$F$504,2,FALSE)</f>
        <v>3621-Définition d’un modèle de fonctionnement des institutions de l’ETFP</v>
      </c>
      <c r="AD1123" s="21" t="str">
        <f t="shared" si="184"/>
        <v>36212-Concertation et validation des recommandations des résultats de l'étude</v>
      </c>
    </row>
    <row r="1124" spans="1:30" s="22" customFormat="1" ht="60" hidden="1" customHeight="1" x14ac:dyDescent="0.8">
      <c r="A1124" s="14">
        <v>3</v>
      </c>
      <c r="B1124" s="15">
        <v>36</v>
      </c>
      <c r="C1124" s="15">
        <v>362</v>
      </c>
      <c r="D1124" s="15">
        <v>3621</v>
      </c>
      <c r="E1124" s="15">
        <v>36213</v>
      </c>
      <c r="F1124" s="16" t="s">
        <v>1472</v>
      </c>
      <c r="G1124" s="21" t="s">
        <v>836</v>
      </c>
      <c r="H1124" s="17" t="s">
        <v>55</v>
      </c>
      <c r="I1124" s="33">
        <v>0</v>
      </c>
      <c r="J1124" s="33"/>
      <c r="K1124" s="33">
        <v>1</v>
      </c>
      <c r="L1124" s="33"/>
      <c r="M1124" s="33">
        <f t="shared" si="185"/>
        <v>1</v>
      </c>
      <c r="N1124" s="33">
        <f>IF(OR(H1124="",H1124="sif",H1124="PM"),0,VLOOKUP(H1124,[5]CU!$C$4:$H$255,6,FALSE))</f>
        <v>0</v>
      </c>
      <c r="O1124" s="33">
        <f t="shared" si="186"/>
        <v>0</v>
      </c>
      <c r="P1124" s="33">
        <f t="shared" si="186"/>
        <v>0</v>
      </c>
      <c r="Q1124" s="33">
        <f t="shared" si="186"/>
        <v>0</v>
      </c>
      <c r="R1124" s="33">
        <f t="shared" si="186"/>
        <v>0</v>
      </c>
      <c r="S1124" s="34"/>
      <c r="T1124" s="35" t="s">
        <v>56</v>
      </c>
      <c r="U1124" s="18" t="s">
        <v>1156</v>
      </c>
      <c r="V1124" s="18" t="str">
        <f>IF(OR($H1124="",$H1124="sif",$H1124="PM"),"",VLOOKUP($H1124,[5]CU!$C$5:$J$255,8,FALSE))</f>
        <v/>
      </c>
      <c r="W1124" s="18" t="s">
        <v>1334</v>
      </c>
      <c r="X1124" s="19" t="s">
        <v>1471</v>
      </c>
      <c r="Y1124" s="18" t="s">
        <v>677</v>
      </c>
      <c r="Z1124" s="18" t="str">
        <f>A1124 &amp; "-" &amp; VLOOKUP(A1124,[4]PROGRAMMES!$E$1:$F$7,2,FALSE)</f>
        <v>3-Expansion et réforme de l’ETFP</v>
      </c>
      <c r="AA1124" s="19" t="str">
        <f>B1124 &amp; "-" &amp; VLOOKUP(B1124,[4]SOUSPROGRAMMES!$E$1:$F$44,2,FALSE)</f>
        <v>36- Renforcement des capacités de pilotage et de gestion dans le cadre d’une gouvernance parteunariale multi niveaux</v>
      </c>
      <c r="AB1124" s="19" t="str">
        <f>C1124 &amp; "-" &amp; VLOOKUP(C1124,[4]RESULTATS!$E$1:$F$176,2,FALSE)</f>
        <v>362- L’autonomisation des institutions est accrue dans un cadre de redevabilité</v>
      </c>
      <c r="AC1124" s="20" t="str">
        <f>D1124 &amp; "-" &amp; VLOOKUP(D1124,[4]STRATEGIES!$E$1:$F$504,2,FALSE)</f>
        <v>3621-Définition d’un modèle de fonctionnement des institutions de l’ETFP</v>
      </c>
      <c r="AD1124" s="21" t="str">
        <f t="shared" si="184"/>
        <v>36213-Elaboration et adoption des textes réglementaires et organisationnels des établissements pilotes</v>
      </c>
    </row>
    <row r="1125" spans="1:30" s="22" customFormat="1" ht="60" hidden="1" customHeight="1" x14ac:dyDescent="0.8">
      <c r="A1125" s="14">
        <v>3</v>
      </c>
      <c r="B1125" s="15">
        <v>36</v>
      </c>
      <c r="C1125" s="15">
        <v>362</v>
      </c>
      <c r="D1125" s="15">
        <v>3622</v>
      </c>
      <c r="E1125" s="15">
        <v>3622</v>
      </c>
      <c r="F1125" s="16" t="s">
        <v>1473</v>
      </c>
      <c r="G1125" s="17"/>
      <c r="H1125" s="17"/>
      <c r="I1125" s="33">
        <v>0</v>
      </c>
      <c r="J1125" s="33"/>
      <c r="K1125" s="33"/>
      <c r="L1125" s="33"/>
      <c r="M1125" s="33"/>
      <c r="N1125" s="33"/>
      <c r="O1125" s="33"/>
      <c r="P1125" s="33"/>
      <c r="Q1125" s="33"/>
      <c r="R1125" s="33"/>
      <c r="S1125" s="34"/>
      <c r="T1125" s="33"/>
      <c r="U1125" s="18"/>
      <c r="V1125" s="18"/>
      <c r="W1125" s="18"/>
      <c r="X1125" s="18"/>
      <c r="Y1125" s="18" t="s">
        <v>677</v>
      </c>
      <c r="Z1125" s="18" t="str">
        <f>A1125 &amp; "-" &amp; VLOOKUP(A1125,[4]PROGRAMMES!$E$1:$F$7,2,FALSE)</f>
        <v>3-Expansion et réforme de l’ETFP</v>
      </c>
      <c r="AA1125" s="19" t="str">
        <f>B1125 &amp; "-" &amp; VLOOKUP(B1125,[4]SOUSPROGRAMMES!$E$1:$F$44,2,FALSE)</f>
        <v>36- Renforcement des capacités de pilotage et de gestion dans le cadre d’une gouvernance parteunariale multi niveaux</v>
      </c>
      <c r="AB1125" s="19" t="str">
        <f>C1125 &amp; "-" &amp; VLOOKUP(C1125,[4]RESULTATS!$E$1:$F$176,2,FALSE)</f>
        <v>362- L’autonomisation des institutions est accrue dans un cadre de redevabilité</v>
      </c>
      <c r="AC1125" s="20" t="str">
        <f>D1125 &amp; "-" &amp; VLOOKUP(D1125,[4]STRATEGIES!$E$1:$F$504,2,FALSE)</f>
        <v xml:space="preserve">3622-Déploiement progressif du modèle de fonctionnement retenue
</v>
      </c>
      <c r="AD1125" s="21" t="str">
        <f t="shared" si="184"/>
        <v xml:space="preserve">3622-Déploiement progressif du modèle de fonctionnement retenue
</v>
      </c>
    </row>
    <row r="1126" spans="1:30" s="22" customFormat="1" ht="60" hidden="1" customHeight="1" x14ac:dyDescent="0.8">
      <c r="A1126" s="14">
        <v>3</v>
      </c>
      <c r="B1126" s="15">
        <v>36</v>
      </c>
      <c r="C1126" s="15">
        <v>362</v>
      </c>
      <c r="D1126" s="15">
        <v>3622</v>
      </c>
      <c r="E1126" s="15">
        <v>36221</v>
      </c>
      <c r="F1126" s="16" t="s">
        <v>1474</v>
      </c>
      <c r="G1126" s="21" t="s">
        <v>92</v>
      </c>
      <c r="H1126" s="17" t="s">
        <v>55</v>
      </c>
      <c r="I1126" s="33">
        <v>0</v>
      </c>
      <c r="J1126" s="33">
        <v>1</v>
      </c>
      <c r="K1126" s="33"/>
      <c r="L1126" s="33"/>
      <c r="M1126" s="33">
        <f t="shared" si="185"/>
        <v>1</v>
      </c>
      <c r="N1126" s="33">
        <f>IF(OR(H1126="",H1126="sif",H1126="PM"),0,VLOOKUP(H1126,[5]CU!$C$4:$H$255,6,FALSE))</f>
        <v>0</v>
      </c>
      <c r="O1126" s="33">
        <f t="shared" si="186"/>
        <v>0</v>
      </c>
      <c r="P1126" s="33">
        <f t="shared" si="186"/>
        <v>0</v>
      </c>
      <c r="Q1126" s="33">
        <f t="shared" si="186"/>
        <v>0</v>
      </c>
      <c r="R1126" s="33">
        <f t="shared" si="186"/>
        <v>0</v>
      </c>
      <c r="S1126" s="34"/>
      <c r="T1126" s="35" t="s">
        <v>56</v>
      </c>
      <c r="U1126" s="18" t="s">
        <v>1156</v>
      </c>
      <c r="V1126" s="18" t="str">
        <f>IF(OR($H1126="",$H1126="sif",$H1126="PM"),"",VLOOKUP($H1126,[5]CU!$C$5:$J$255,8,FALSE))</f>
        <v/>
      </c>
      <c r="W1126" s="18" t="s">
        <v>96</v>
      </c>
      <c r="X1126" s="19" t="s">
        <v>1475</v>
      </c>
      <c r="Y1126" s="18" t="s">
        <v>677</v>
      </c>
      <c r="Z1126" s="18" t="str">
        <f>A1126 &amp; "-" &amp; VLOOKUP(A1126,[4]PROGRAMMES!$E$1:$F$7,2,FALSE)</f>
        <v>3-Expansion et réforme de l’ETFP</v>
      </c>
      <c r="AA1126" s="19" t="str">
        <f>B1126 &amp; "-" &amp; VLOOKUP(B1126,[4]SOUSPROGRAMMES!$E$1:$F$44,2,FALSE)</f>
        <v>36- Renforcement des capacités de pilotage et de gestion dans le cadre d’une gouvernance parteunariale multi niveaux</v>
      </c>
      <c r="AB1126" s="19" t="str">
        <f>C1126 &amp; "-" &amp; VLOOKUP(C1126,[4]RESULTATS!$E$1:$F$176,2,FALSE)</f>
        <v>362- L’autonomisation des institutions est accrue dans un cadre de redevabilité</v>
      </c>
      <c r="AC1126" s="20" t="str">
        <f>D1126 &amp; "-" &amp; VLOOKUP(D1126,[4]STRATEGIES!$E$1:$F$504,2,FALSE)</f>
        <v xml:space="preserve">3622-Déploiement progressif du modèle de fonctionnement retenue
</v>
      </c>
      <c r="AD1126" s="21" t="str">
        <f t="shared" si="184"/>
        <v>36221-Identification des besoins en formation et en organisation des établissements pilotes pour la mise en place du nouveau modèle de fonctionnement (pris en compte dans activité 36211)</v>
      </c>
    </row>
    <row r="1127" spans="1:30" s="22" customFormat="1" ht="60" hidden="1" customHeight="1" x14ac:dyDescent="0.8">
      <c r="A1127" s="14">
        <v>3</v>
      </c>
      <c r="B1127" s="15">
        <v>36</v>
      </c>
      <c r="C1127" s="15">
        <v>362</v>
      </c>
      <c r="D1127" s="15">
        <v>3622</v>
      </c>
      <c r="E1127" s="15">
        <v>36222</v>
      </c>
      <c r="F1127" s="16" t="s">
        <v>1476</v>
      </c>
      <c r="G1127" s="21" t="s">
        <v>298</v>
      </c>
      <c r="H1127" s="17" t="s">
        <v>301</v>
      </c>
      <c r="I1127" s="33">
        <v>0</v>
      </c>
      <c r="J1127" s="33"/>
      <c r="K1127" s="33">
        <f>5*10*20</f>
        <v>1000</v>
      </c>
      <c r="L1127" s="33"/>
      <c r="M1127" s="33">
        <f t="shared" si="185"/>
        <v>1000</v>
      </c>
      <c r="N1127" s="33">
        <f>IF(OR(H1127="",H1127="sif",H1127="PM"),0,VLOOKUP(H1127,[5]CU!$C$4:$H$255,6,FALSE))</f>
        <v>0.67666666666666664</v>
      </c>
      <c r="O1127" s="33">
        <f t="shared" si="186"/>
        <v>0</v>
      </c>
      <c r="P1127" s="33">
        <f t="shared" si="186"/>
        <v>0</v>
      </c>
      <c r="Q1127" s="33">
        <f t="shared" si="186"/>
        <v>676.66666666666663</v>
      </c>
      <c r="R1127" s="33">
        <f t="shared" si="186"/>
        <v>0</v>
      </c>
      <c r="S1127" s="34">
        <f>SUM(O1127:R1127)</f>
        <v>676.66666666666663</v>
      </c>
      <c r="T1127" s="35" t="s">
        <v>56</v>
      </c>
      <c r="U1127" s="18" t="s">
        <v>1156</v>
      </c>
      <c r="V1127" s="18" t="str">
        <f>IF(OR($H1127="",$H1127="sif",$H1127="PM"),"",VLOOKUP($H1127,[5]CU!$C$5:$J$255,8,FALSE))</f>
        <v>3. Formation</v>
      </c>
      <c r="W1127" s="18" t="s">
        <v>1334</v>
      </c>
      <c r="X1127" s="19" t="s">
        <v>1477</v>
      </c>
      <c r="Y1127" s="18" t="s">
        <v>677</v>
      </c>
      <c r="Z1127" s="18" t="str">
        <f>A1127 &amp; "-" &amp; VLOOKUP(A1127,[4]PROGRAMMES!$E$1:$F$7,2,FALSE)</f>
        <v>3-Expansion et réforme de l’ETFP</v>
      </c>
      <c r="AA1127" s="19" t="str">
        <f>B1127 &amp; "-" &amp; VLOOKUP(B1127,[4]SOUSPROGRAMMES!$E$1:$F$44,2,FALSE)</f>
        <v>36- Renforcement des capacités de pilotage et de gestion dans le cadre d’une gouvernance parteunariale multi niveaux</v>
      </c>
      <c r="AB1127" s="19" t="str">
        <f>C1127 &amp; "-" &amp; VLOOKUP(C1127,[4]RESULTATS!$E$1:$F$176,2,FALSE)</f>
        <v>362- L’autonomisation des institutions est accrue dans un cadre de redevabilité</v>
      </c>
      <c r="AC1127" s="20" t="str">
        <f>D1127 &amp; "-" &amp; VLOOKUP(D1127,[4]STRATEGIES!$E$1:$F$504,2,FALSE)</f>
        <v xml:space="preserve">3622-Déploiement progressif du modèle de fonctionnement retenue
</v>
      </c>
      <c r="AD1127" s="21" t="str">
        <f t="shared" si="184"/>
        <v>36222-Formation des ressources humaines des établissements</v>
      </c>
    </row>
    <row r="1128" spans="1:30" s="22" customFormat="1" ht="60" hidden="1" customHeight="1" x14ac:dyDescent="0.8">
      <c r="A1128" s="14">
        <v>3</v>
      </c>
      <c r="B1128" s="15">
        <v>36</v>
      </c>
      <c r="C1128" s="15">
        <v>362</v>
      </c>
      <c r="D1128" s="15">
        <v>3622</v>
      </c>
      <c r="E1128" s="15">
        <v>36223</v>
      </c>
      <c r="F1128" s="16" t="s">
        <v>1478</v>
      </c>
      <c r="G1128" s="21" t="s">
        <v>159</v>
      </c>
      <c r="H1128" s="17"/>
      <c r="I1128" s="33">
        <v>0</v>
      </c>
      <c r="J1128" s="33">
        <v>1</v>
      </c>
      <c r="K1128" s="33">
        <v>1</v>
      </c>
      <c r="L1128" s="33">
        <v>1</v>
      </c>
      <c r="M1128" s="33">
        <f t="shared" si="185"/>
        <v>3</v>
      </c>
      <c r="N1128" s="33">
        <f>IF(OR(H1128="",H1128="sif",H1128="PM"),0,VLOOKUP(H1128,[5]CU!$C$4:$H$255,6,FALSE))</f>
        <v>0</v>
      </c>
      <c r="O1128" s="33">
        <f t="shared" si="186"/>
        <v>0</v>
      </c>
      <c r="P1128" s="33">
        <f t="shared" si="186"/>
        <v>0</v>
      </c>
      <c r="Q1128" s="33">
        <f t="shared" si="186"/>
        <v>0</v>
      </c>
      <c r="R1128" s="33">
        <f t="shared" si="186"/>
        <v>0</v>
      </c>
      <c r="S1128" s="34"/>
      <c r="T1128" s="35" t="s">
        <v>56</v>
      </c>
      <c r="U1128" s="18" t="s">
        <v>1156</v>
      </c>
      <c r="V1128" s="18" t="str">
        <f>IF(OR($H1128="",$H1128="sif",$H1128="PM"),"",VLOOKUP($H1128,[5]CU!$C$5:$J$255,8,FALSE))</f>
        <v/>
      </c>
      <c r="W1128" s="18" t="s">
        <v>521</v>
      </c>
      <c r="X1128" s="18" t="s">
        <v>1318</v>
      </c>
      <c r="Y1128" s="18" t="s">
        <v>677</v>
      </c>
      <c r="Z1128" s="18" t="str">
        <f>A1128 &amp; "-" &amp; VLOOKUP(A1128,[4]PROGRAMMES!$E$1:$F$7,2,FALSE)</f>
        <v>3-Expansion et réforme de l’ETFP</v>
      </c>
      <c r="AA1128" s="19" t="str">
        <f>B1128 &amp; "-" &amp; VLOOKUP(B1128,[4]SOUSPROGRAMMES!$E$1:$F$44,2,FALSE)</f>
        <v>36- Renforcement des capacités de pilotage et de gestion dans le cadre d’une gouvernance parteunariale multi niveaux</v>
      </c>
      <c r="AB1128" s="19" t="str">
        <f>C1128 &amp; "-" &amp; VLOOKUP(C1128,[4]RESULTATS!$E$1:$F$176,2,FALSE)</f>
        <v>362- L’autonomisation des institutions est accrue dans un cadre de redevabilité</v>
      </c>
      <c r="AC1128" s="20" t="str">
        <f>D1128 &amp; "-" &amp; VLOOKUP(D1128,[4]STRATEGIES!$E$1:$F$504,2,FALSE)</f>
        <v xml:space="preserve">3622-Déploiement progressif du modèle de fonctionnement retenue
</v>
      </c>
      <c r="AD1128" s="21" t="str">
        <f t="shared" si="184"/>
        <v>36223-Financement des sessions des organes de gestion (pris en compte dans la subvention des établissements)</v>
      </c>
    </row>
    <row r="1129" spans="1:30" s="22" customFormat="1" ht="60" hidden="1" customHeight="1" x14ac:dyDescent="0.8">
      <c r="A1129" s="14">
        <v>3</v>
      </c>
      <c r="B1129" s="15">
        <v>36</v>
      </c>
      <c r="C1129" s="15">
        <v>362</v>
      </c>
      <c r="D1129" s="15">
        <v>3622</v>
      </c>
      <c r="E1129" s="15">
        <v>36224</v>
      </c>
      <c r="F1129" s="16" t="s">
        <v>1479</v>
      </c>
      <c r="G1129" s="21" t="s">
        <v>167</v>
      </c>
      <c r="H1129" s="17" t="s">
        <v>101</v>
      </c>
      <c r="I1129" s="33">
        <v>0</v>
      </c>
      <c r="J1129" s="33"/>
      <c r="K1129" s="33"/>
      <c r="L1129" s="33">
        <f>20*20</f>
        <v>400</v>
      </c>
      <c r="M1129" s="33">
        <f t="shared" si="185"/>
        <v>400</v>
      </c>
      <c r="N1129" s="33">
        <f>IF(OR(H1129="",H1129="sif",H1129="PM"),0,VLOOKUP(H1129,[5]CU!$C$4:$H$255,6,FALSE))</f>
        <v>2.651545</v>
      </c>
      <c r="O1129" s="33">
        <f t="shared" si="186"/>
        <v>0</v>
      </c>
      <c r="P1129" s="33">
        <f t="shared" si="186"/>
        <v>0</v>
      </c>
      <c r="Q1129" s="33">
        <f t="shared" si="186"/>
        <v>0</v>
      </c>
      <c r="R1129" s="33">
        <f t="shared" si="186"/>
        <v>1060.6179999999999</v>
      </c>
      <c r="S1129" s="34">
        <f>SUM(O1129:R1129)</f>
        <v>1060.6179999999999</v>
      </c>
      <c r="T1129" s="35" t="s">
        <v>56</v>
      </c>
      <c r="U1129" s="18" t="s">
        <v>1156</v>
      </c>
      <c r="V1129" s="18" t="str">
        <f>IF(OR($H1129="",$H1129="sif",$H1129="PM"),"",VLOOKUP($H1129,[5]CU!$C$5:$J$255,8,FALSE))</f>
        <v>3. Dépenses de fonctionnement</v>
      </c>
      <c r="W1129" s="18" t="s">
        <v>521</v>
      </c>
      <c r="X1129" s="18" t="s">
        <v>1371</v>
      </c>
      <c r="Y1129" s="18" t="s">
        <v>677</v>
      </c>
      <c r="Z1129" s="18" t="str">
        <f>A1129 &amp; "-" &amp; VLOOKUP(A1129,[4]PROGRAMMES!$E$1:$F$7,2,FALSE)</f>
        <v>3-Expansion et réforme de l’ETFP</v>
      </c>
      <c r="AA1129" s="19" t="str">
        <f>B1129 &amp; "-" &amp; VLOOKUP(B1129,[4]SOUSPROGRAMMES!$E$1:$F$44,2,FALSE)</f>
        <v>36- Renforcement des capacités de pilotage et de gestion dans le cadre d’une gouvernance parteunariale multi niveaux</v>
      </c>
      <c r="AB1129" s="19" t="str">
        <f>C1129 &amp; "-" &amp; VLOOKUP(C1129,[4]RESULTATS!$E$1:$F$176,2,FALSE)</f>
        <v>362- L’autonomisation des institutions est accrue dans un cadre de redevabilité</v>
      </c>
      <c r="AC1129" s="20" t="str">
        <f>D1129 &amp; "-" &amp; VLOOKUP(D1129,[4]STRATEGIES!$E$1:$F$504,2,FALSE)</f>
        <v xml:space="preserve">3622-Déploiement progressif du modèle de fonctionnement retenue
</v>
      </c>
      <c r="AD1129" s="21" t="str">
        <f t="shared" si="184"/>
        <v xml:space="preserve">36224-Réalisation des audits annuels des comptes des établissements pilotes </v>
      </c>
    </row>
    <row r="1130" spans="1:30" s="22" customFormat="1" ht="75" hidden="1" customHeight="1" x14ac:dyDescent="0.8">
      <c r="A1130" s="14">
        <v>3</v>
      </c>
      <c r="B1130" s="15">
        <v>36</v>
      </c>
      <c r="C1130" s="15">
        <v>363</v>
      </c>
      <c r="D1130" s="15">
        <v>363</v>
      </c>
      <c r="E1130" s="15">
        <v>363</v>
      </c>
      <c r="F1130" s="16" t="s">
        <v>1480</v>
      </c>
      <c r="G1130" s="17"/>
      <c r="H1130" s="17"/>
      <c r="I1130" s="33">
        <v>0</v>
      </c>
      <c r="J1130" s="33"/>
      <c r="K1130" s="33"/>
      <c r="L1130" s="33"/>
      <c r="M1130" s="33"/>
      <c r="N1130" s="33"/>
      <c r="O1130" s="33"/>
      <c r="P1130" s="33"/>
      <c r="Q1130" s="33"/>
      <c r="R1130" s="33"/>
      <c r="S1130" s="34"/>
      <c r="T1130" s="33"/>
      <c r="U1130" s="18"/>
      <c r="V1130" s="18"/>
      <c r="W1130" s="18"/>
      <c r="X1130" s="18"/>
      <c r="Y1130" s="18" t="s">
        <v>677</v>
      </c>
      <c r="Z1130" s="18" t="str">
        <f>A1130 &amp; "-" &amp; VLOOKUP(A1130,[4]PROGRAMMES!$E$1:$F$7,2,FALSE)</f>
        <v>3-Expansion et réforme de l’ETFP</v>
      </c>
      <c r="AA1130" s="19" t="str">
        <f>B1130 &amp; "-" &amp; VLOOKUP(B1130,[4]SOUSPROGRAMMES!$E$1:$F$44,2,FALSE)</f>
        <v>36- Renforcement des capacités de pilotage et de gestion dans le cadre d’une gouvernance parteunariale multi niveaux</v>
      </c>
      <c r="AB1130" s="19" t="str">
        <f>C1130 &amp; "-" &amp; VLOOKUP(C1130,[4]RESULTATS!$E$1:$F$176,2,FALSE)</f>
        <v>363- La concertation est améliorée au niveaux des autres établissements (établissements non impliqués dans l'expérimentation du nouveau modèle de gouvernance)</v>
      </c>
      <c r="AC1130" s="20" t="str">
        <f>D1130 &amp; "-" &amp; VLOOKUP(D1130,[4]STRATEGIES!$E$1:$F$504,2,FALSE)</f>
        <v>363- La concertation est améliorée au niveaux des autres établissements (établissements non impliqués dans l'expérimentation du nouveau modèle de gouvernance)</v>
      </c>
      <c r="AD1130" s="21" t="str">
        <f t="shared" si="184"/>
        <v>363- La concertation est améliorée au niveaux des autres établissements (établissements non impliqués dans l'expérimentation du nouveau modèle de gouvernance)</v>
      </c>
    </row>
    <row r="1131" spans="1:30" s="22" customFormat="1" ht="75" hidden="1" customHeight="1" x14ac:dyDescent="0.8">
      <c r="A1131" s="14">
        <v>3</v>
      </c>
      <c r="B1131" s="15">
        <v>36</v>
      </c>
      <c r="C1131" s="15">
        <v>363</v>
      </c>
      <c r="D1131" s="15">
        <v>3631</v>
      </c>
      <c r="E1131" s="15">
        <v>3631</v>
      </c>
      <c r="F1131" s="16" t="s">
        <v>1481</v>
      </c>
      <c r="G1131" s="17"/>
      <c r="H1131" s="17"/>
      <c r="I1131" s="33">
        <v>0</v>
      </c>
      <c r="J1131" s="33"/>
      <c r="K1131" s="33"/>
      <c r="L1131" s="33"/>
      <c r="M1131" s="33"/>
      <c r="N1131" s="33"/>
      <c r="O1131" s="33"/>
      <c r="P1131" s="33"/>
      <c r="Q1131" s="33"/>
      <c r="R1131" s="33"/>
      <c r="S1131" s="34"/>
      <c r="T1131" s="33"/>
      <c r="U1131" s="18"/>
      <c r="V1131" s="18"/>
      <c r="W1131" s="18"/>
      <c r="X1131" s="18"/>
      <c r="Y1131" s="18" t="s">
        <v>677</v>
      </c>
      <c r="Z1131" s="18" t="str">
        <f>A1131 &amp; "-" &amp; VLOOKUP(A1131,[4]PROGRAMMES!$E$1:$F$7,2,FALSE)</f>
        <v>3-Expansion et réforme de l’ETFP</v>
      </c>
      <c r="AA1131" s="19" t="str">
        <f>B1131 &amp; "-" &amp; VLOOKUP(B1131,[4]SOUSPROGRAMMES!$E$1:$F$44,2,FALSE)</f>
        <v>36- Renforcement des capacités de pilotage et de gestion dans le cadre d’une gouvernance parteunariale multi niveaux</v>
      </c>
      <c r="AB1131" s="19" t="str">
        <f>C1131 &amp; "-" &amp; VLOOKUP(C1131,[4]RESULTATS!$E$1:$F$176,2,FALSE)</f>
        <v>363- La concertation est améliorée au niveaux des autres établissements (établissements non impliqués dans l'expérimentation du nouveau modèle de gouvernance)</v>
      </c>
      <c r="AC1131" s="20" t="str">
        <f>D1131 &amp; "-" &amp; VLOOKUP(D1131,[4]STRATEGIES!$E$1:$F$504,2,FALSE)</f>
        <v>3631-Renforcement du fonctionnement des conseils d'établissements</v>
      </c>
      <c r="AD1131" s="21" t="str">
        <f t="shared" si="184"/>
        <v>3631-Renforcement du fonctionnement des conseils d'établissements</v>
      </c>
    </row>
    <row r="1132" spans="1:30" s="22" customFormat="1" ht="75" hidden="1" customHeight="1" x14ac:dyDescent="0.8">
      <c r="A1132" s="14">
        <v>3</v>
      </c>
      <c r="B1132" s="15">
        <v>36</v>
      </c>
      <c r="C1132" s="15">
        <v>363</v>
      </c>
      <c r="D1132" s="15">
        <v>3631</v>
      </c>
      <c r="E1132" s="15">
        <v>36311</v>
      </c>
      <c r="F1132" s="16" t="s">
        <v>1482</v>
      </c>
      <c r="G1132" s="21" t="s">
        <v>177</v>
      </c>
      <c r="H1132" s="17" t="s">
        <v>59</v>
      </c>
      <c r="I1132" s="33">
        <v>0</v>
      </c>
      <c r="J1132" s="33">
        <f>4*5</f>
        <v>20</v>
      </c>
      <c r="K1132" s="33">
        <f>4*5</f>
        <v>20</v>
      </c>
      <c r="L1132" s="33">
        <f>4*5</f>
        <v>20</v>
      </c>
      <c r="M1132" s="33">
        <f t="shared" si="185"/>
        <v>60</v>
      </c>
      <c r="N1132" s="33">
        <f>IF(OR(H1132="",H1132="sif",H1132="PM"),0,VLOOKUP(H1132,[5]CU!$C$4:$H$255,6,FALSE))</f>
        <v>0.8177777777777776</v>
      </c>
      <c r="O1132" s="33">
        <f t="shared" si="186"/>
        <v>0</v>
      </c>
      <c r="P1132" s="33">
        <f t="shared" si="186"/>
        <v>16.355555555555551</v>
      </c>
      <c r="Q1132" s="33">
        <f t="shared" si="186"/>
        <v>16.355555555555551</v>
      </c>
      <c r="R1132" s="33">
        <f t="shared" si="186"/>
        <v>16.355555555555551</v>
      </c>
      <c r="S1132" s="34">
        <f>SUM(O1132:R1132)</f>
        <v>49.066666666666649</v>
      </c>
      <c r="T1132" s="35" t="s">
        <v>56</v>
      </c>
      <c r="U1132" s="18" t="s">
        <v>1156</v>
      </c>
      <c r="V1132" s="18" t="str">
        <f>IF(OR($H1132="",$H1132="sif",$H1132="PM"),"",VLOOKUP($H1132,[5]CU!$C$5:$J$255,8,FALSE))</f>
        <v>3. Dépenses de fonctionnement</v>
      </c>
      <c r="W1132" s="18" t="s">
        <v>1334</v>
      </c>
      <c r="X1132" s="19" t="s">
        <v>1483</v>
      </c>
      <c r="Y1132" s="18" t="s">
        <v>677</v>
      </c>
      <c r="Z1132" s="18" t="str">
        <f>A1132 &amp; "-" &amp; VLOOKUP(A1132,[4]PROGRAMMES!$E$1:$F$7,2,FALSE)</f>
        <v>3-Expansion et réforme de l’ETFP</v>
      </c>
      <c r="AA1132" s="19" t="str">
        <f>B1132 &amp; "-" &amp; VLOOKUP(B1132,[4]SOUSPROGRAMMES!$E$1:$F$44,2,FALSE)</f>
        <v>36- Renforcement des capacités de pilotage et de gestion dans le cadre d’une gouvernance parteunariale multi niveaux</v>
      </c>
      <c r="AB1132" s="19" t="str">
        <f>C1132 &amp; "-" &amp; VLOOKUP(C1132,[4]RESULTATS!$E$1:$F$176,2,FALSE)</f>
        <v>363- La concertation est améliorée au niveaux des autres établissements (établissements non impliqués dans l'expérimentation du nouveau modèle de gouvernance)</v>
      </c>
      <c r="AC1132" s="20" t="str">
        <f>D1132 &amp; "-" &amp; VLOOKUP(D1132,[4]STRATEGIES!$E$1:$F$504,2,FALSE)</f>
        <v>3631-Renforcement du fonctionnement des conseils d'établissements</v>
      </c>
      <c r="AD1132" s="21" t="str">
        <f t="shared" si="184"/>
        <v>36311-Information, sensibilisation des partenaires sur la mise en place et l'importance des conseils d'établissement</v>
      </c>
    </row>
    <row r="1133" spans="1:30" s="22" customFormat="1" ht="75" hidden="1" customHeight="1" x14ac:dyDescent="0.8">
      <c r="A1133" s="14">
        <v>3</v>
      </c>
      <c r="B1133" s="15">
        <v>36</v>
      </c>
      <c r="C1133" s="15">
        <v>363</v>
      </c>
      <c r="D1133" s="15">
        <v>3631</v>
      </c>
      <c r="E1133" s="15">
        <v>36312</v>
      </c>
      <c r="F1133" s="16" t="s">
        <v>1484</v>
      </c>
      <c r="G1133" s="21" t="s">
        <v>167</v>
      </c>
      <c r="H1133" s="17" t="s">
        <v>101</v>
      </c>
      <c r="I1133" s="33">
        <v>0</v>
      </c>
      <c r="J1133" s="33">
        <f>1*10</f>
        <v>10</v>
      </c>
      <c r="K1133" s="33">
        <f>1*10</f>
        <v>10</v>
      </c>
      <c r="L1133" s="33">
        <f>1*10</f>
        <v>10</v>
      </c>
      <c r="M1133" s="33">
        <f t="shared" si="185"/>
        <v>30</v>
      </c>
      <c r="N1133" s="33">
        <f>IF(OR(H1133="",H1133="sif",H1133="PM"),0,VLOOKUP(H1133,[5]CU!$C$4:$H$255,6,FALSE))</f>
        <v>2.651545</v>
      </c>
      <c r="O1133" s="33">
        <f t="shared" si="186"/>
        <v>0</v>
      </c>
      <c r="P1133" s="33">
        <f t="shared" si="186"/>
        <v>26.515450000000001</v>
      </c>
      <c r="Q1133" s="33">
        <f t="shared" si="186"/>
        <v>26.515450000000001</v>
      </c>
      <c r="R1133" s="33">
        <f t="shared" si="186"/>
        <v>26.515450000000001</v>
      </c>
      <c r="S1133" s="34">
        <f>SUM(O1133:R1133)</f>
        <v>79.546350000000004</v>
      </c>
      <c r="T1133" s="35" t="s">
        <v>118</v>
      </c>
      <c r="U1133" s="18" t="s">
        <v>1156</v>
      </c>
      <c r="V1133" s="18" t="str">
        <f>IF(OR($H1133="",$H1133="sif",$H1133="PM"),"",VLOOKUP($H1133,[5]CU!$C$5:$J$255,8,FALSE))</f>
        <v>3. Dépenses de fonctionnement</v>
      </c>
      <c r="W1133" s="18" t="s">
        <v>1334</v>
      </c>
      <c r="X1133" s="19" t="s">
        <v>1483</v>
      </c>
      <c r="Y1133" s="18" t="s">
        <v>677</v>
      </c>
      <c r="Z1133" s="18" t="str">
        <f>A1133 &amp; "-" &amp; VLOOKUP(A1133,[4]PROGRAMMES!$E$1:$F$7,2,FALSE)</f>
        <v>3-Expansion et réforme de l’ETFP</v>
      </c>
      <c r="AA1133" s="19" t="str">
        <f>B1133 &amp; "-" &amp; VLOOKUP(B1133,[4]SOUSPROGRAMMES!$E$1:$F$44,2,FALSE)</f>
        <v>36- Renforcement des capacités de pilotage et de gestion dans le cadre d’une gouvernance parteunariale multi niveaux</v>
      </c>
      <c r="AB1133" s="19" t="str">
        <f>C1133 &amp; "-" &amp; VLOOKUP(C1133,[4]RESULTATS!$E$1:$F$176,2,FALSE)</f>
        <v>363- La concertation est améliorée au niveaux des autres établissements (établissements non impliqués dans l'expérimentation du nouveau modèle de gouvernance)</v>
      </c>
      <c r="AC1133" s="20" t="str">
        <f>D1133 &amp; "-" &amp; VLOOKUP(D1133,[4]STRATEGIES!$E$1:$F$504,2,FALSE)</f>
        <v>3631-Renforcement du fonctionnement des conseils d'établissements</v>
      </c>
      <c r="AD1133" s="21" t="str">
        <f t="shared" si="184"/>
        <v>36312-Identification des points forts et des points faibles des centres de formation en termes d'implication du secteur privé</v>
      </c>
    </row>
    <row r="1134" spans="1:30" s="22" customFormat="1" ht="75" hidden="1" customHeight="1" x14ac:dyDescent="0.8">
      <c r="A1134" s="14">
        <v>3</v>
      </c>
      <c r="B1134" s="15">
        <v>36</v>
      </c>
      <c r="C1134" s="15">
        <v>363</v>
      </c>
      <c r="D1134" s="15">
        <v>3631</v>
      </c>
      <c r="E1134" s="15">
        <v>36313</v>
      </c>
      <c r="F1134" s="16" t="s">
        <v>1485</v>
      </c>
      <c r="G1134" s="21" t="s">
        <v>1486</v>
      </c>
      <c r="H1134" s="17" t="s">
        <v>38</v>
      </c>
      <c r="I1134" s="33">
        <v>0</v>
      </c>
      <c r="J1134" s="33">
        <f>4*5*30</f>
        <v>600</v>
      </c>
      <c r="K1134" s="33">
        <f>4*5*10</f>
        <v>200</v>
      </c>
      <c r="L1134" s="33"/>
      <c r="M1134" s="33">
        <f t="shared" si="185"/>
        <v>800</v>
      </c>
      <c r="N1134" s="33">
        <f>IF(OR(H1134="",H1134="sif",H1134="PM"),0,VLOOKUP(H1134,[5]CU!$C$4:$H$255,6,FALSE))</f>
        <v>0.3133333333333333</v>
      </c>
      <c r="O1134" s="33">
        <f t="shared" si="186"/>
        <v>0</v>
      </c>
      <c r="P1134" s="33">
        <f t="shared" si="186"/>
        <v>187.99999999999997</v>
      </c>
      <c r="Q1134" s="33">
        <f t="shared" si="186"/>
        <v>62.666666666666657</v>
      </c>
      <c r="R1134" s="33">
        <f t="shared" si="186"/>
        <v>0</v>
      </c>
      <c r="S1134" s="34">
        <f>SUM(O1134:R1134)</f>
        <v>250.66666666666663</v>
      </c>
      <c r="T1134" s="35" t="s">
        <v>118</v>
      </c>
      <c r="U1134" s="18" t="s">
        <v>1156</v>
      </c>
      <c r="V1134" s="18" t="str">
        <f>IF(OR($H1134="",$H1134="sif",$H1134="PM"),"",VLOOKUP($H1134,[5]CU!$C$5:$J$255,8,FALSE))</f>
        <v>3. Formation</v>
      </c>
      <c r="W1134" s="18" t="s">
        <v>1334</v>
      </c>
      <c r="X1134" s="19" t="s">
        <v>1483</v>
      </c>
      <c r="Y1134" s="18" t="s">
        <v>677</v>
      </c>
      <c r="Z1134" s="18" t="str">
        <f>A1134 &amp; "-" &amp; VLOOKUP(A1134,[4]PROGRAMMES!$E$1:$F$7,2,FALSE)</f>
        <v>3-Expansion et réforme de l’ETFP</v>
      </c>
      <c r="AA1134" s="19" t="str">
        <f>B1134 &amp; "-" &amp; VLOOKUP(B1134,[4]SOUSPROGRAMMES!$E$1:$F$44,2,FALSE)</f>
        <v>36- Renforcement des capacités de pilotage et de gestion dans le cadre d’une gouvernance parteunariale multi niveaux</v>
      </c>
      <c r="AB1134" s="19" t="str">
        <f>C1134 &amp; "-" &amp; VLOOKUP(C1134,[4]RESULTATS!$E$1:$F$176,2,FALSE)</f>
        <v>363- La concertation est améliorée au niveaux des autres établissements (établissements non impliqués dans l'expérimentation du nouveau modèle de gouvernance)</v>
      </c>
      <c r="AC1134" s="20" t="str">
        <f>D1134 &amp; "-" &amp; VLOOKUP(D1134,[4]STRATEGIES!$E$1:$F$504,2,FALSE)</f>
        <v>3631-Renforcement du fonctionnement des conseils d'établissements</v>
      </c>
      <c r="AD1134" s="21" t="str">
        <f t="shared" si="184"/>
        <v>36313-Renforcement de capacités des membres des conseils d'établissement</v>
      </c>
    </row>
    <row r="1135" spans="1:30" s="22" customFormat="1" ht="75" hidden="1" customHeight="1" x14ac:dyDescent="0.8">
      <c r="A1135" s="14">
        <v>3</v>
      </c>
      <c r="B1135" s="15">
        <v>36</v>
      </c>
      <c r="C1135" s="15">
        <v>363</v>
      </c>
      <c r="D1135" s="15">
        <v>3632</v>
      </c>
      <c r="E1135" s="15">
        <v>3632</v>
      </c>
      <c r="F1135" s="16" t="s">
        <v>1487</v>
      </c>
      <c r="G1135" s="17"/>
      <c r="H1135" s="17"/>
      <c r="I1135" s="33">
        <v>0</v>
      </c>
      <c r="J1135" s="33"/>
      <c r="K1135" s="33"/>
      <c r="L1135" s="33"/>
      <c r="M1135" s="33"/>
      <c r="N1135" s="33"/>
      <c r="O1135" s="33"/>
      <c r="P1135" s="33"/>
      <c r="Q1135" s="33"/>
      <c r="R1135" s="33"/>
      <c r="S1135" s="34"/>
      <c r="T1135" s="33"/>
      <c r="U1135" s="18"/>
      <c r="V1135" s="18"/>
      <c r="W1135" s="18"/>
      <c r="X1135" s="18"/>
      <c r="Y1135" s="18" t="s">
        <v>677</v>
      </c>
      <c r="Z1135" s="18" t="str">
        <f>A1135 &amp; "-" &amp; VLOOKUP(A1135,[4]PROGRAMMES!$E$1:$F$7,2,FALSE)</f>
        <v>3-Expansion et réforme de l’ETFP</v>
      </c>
      <c r="AA1135" s="19" t="str">
        <f>B1135 &amp; "-" &amp; VLOOKUP(B1135,[4]SOUSPROGRAMMES!$E$1:$F$44,2,FALSE)</f>
        <v>36- Renforcement des capacités de pilotage et de gestion dans le cadre d’une gouvernance parteunariale multi niveaux</v>
      </c>
      <c r="AB1135" s="19" t="str">
        <f>C1135 &amp; "-" &amp; VLOOKUP(C1135,[4]RESULTATS!$E$1:$F$176,2,FALSE)</f>
        <v>363- La concertation est améliorée au niveaux des autres établissements (établissements non impliqués dans l'expérimentation du nouveau modèle de gouvernance)</v>
      </c>
      <c r="AC1135" s="20" t="str">
        <f>D1135 &amp; "-" &amp; VLOOKUP(D1135,[4]STRATEGIES!$E$1:$F$504,2,FALSE)</f>
        <v>3632-Elaboration et mise en œuvre des projets d'établissements</v>
      </c>
      <c r="AD1135" s="21" t="str">
        <f t="shared" si="184"/>
        <v>3632-Elaboration et mise en œuvre des projets d'établissements</v>
      </c>
    </row>
    <row r="1136" spans="1:30" s="22" customFormat="1" ht="75" hidden="1" customHeight="1" x14ac:dyDescent="0.8">
      <c r="A1136" s="14">
        <v>3</v>
      </c>
      <c r="B1136" s="15">
        <v>36</v>
      </c>
      <c r="C1136" s="15">
        <v>363</v>
      </c>
      <c r="D1136" s="15">
        <v>3632</v>
      </c>
      <c r="E1136" s="15"/>
      <c r="F1136" s="16" t="s">
        <v>1488</v>
      </c>
      <c r="G1136" s="21"/>
      <c r="H1136" s="17"/>
      <c r="I1136" s="33">
        <v>0</v>
      </c>
      <c r="J1136" s="33"/>
      <c r="K1136" s="33"/>
      <c r="L1136" s="33"/>
      <c r="M1136" s="33"/>
      <c r="N1136" s="33"/>
      <c r="O1136" s="33"/>
      <c r="P1136" s="33"/>
      <c r="Q1136" s="33"/>
      <c r="R1136" s="33"/>
      <c r="S1136" s="34"/>
      <c r="T1136" s="35" t="s">
        <v>56</v>
      </c>
      <c r="U1136" s="18" t="s">
        <v>1156</v>
      </c>
      <c r="V1136" s="18" t="str">
        <f>IF(OR($H1136="",$H1136="sif",$H1136="PM"),"",VLOOKUP($H1136,[5]CU!$C$5:$J$255,8,FALSE))</f>
        <v/>
      </c>
      <c r="W1136" s="18"/>
      <c r="X1136" s="18"/>
      <c r="Y1136" s="18" t="s">
        <v>677</v>
      </c>
      <c r="Z1136" s="18" t="str">
        <f>A1136 &amp; "-" &amp; VLOOKUP(A1136,[4]PROGRAMMES!$E$1:$F$7,2,FALSE)</f>
        <v>3-Expansion et réforme de l’ETFP</v>
      </c>
      <c r="AA1136" s="19" t="str">
        <f>B1136 &amp; "-" &amp; VLOOKUP(B1136,[4]SOUSPROGRAMMES!$E$1:$F$44,2,FALSE)</f>
        <v>36- Renforcement des capacités de pilotage et de gestion dans le cadre d’une gouvernance parteunariale multi niveaux</v>
      </c>
      <c r="AB1136" s="19" t="str">
        <f>C1136 &amp; "-" &amp; VLOOKUP(C1136,[4]RESULTATS!$E$1:$F$176,2,FALSE)</f>
        <v>363- La concertation est améliorée au niveaux des autres établissements (établissements non impliqués dans l'expérimentation du nouveau modèle de gouvernance)</v>
      </c>
      <c r="AC1136" s="20" t="str">
        <f>D1136 &amp; "-" &amp; VLOOKUP(D1136,[4]STRATEGIES!$E$1:$F$504,2,FALSE)</f>
        <v>3632-Elaboration et mise en œuvre des projets d'établissements</v>
      </c>
      <c r="AD1136" s="21" t="str">
        <f t="shared" si="184"/>
        <v>-pm seconde phase du PRODEG</v>
      </c>
    </row>
    <row r="1137" spans="1:30" s="22" customFormat="1" ht="60" hidden="1" customHeight="1" x14ac:dyDescent="0.8">
      <c r="A1137" s="14">
        <v>3</v>
      </c>
      <c r="B1137" s="15">
        <v>36</v>
      </c>
      <c r="C1137" s="15">
        <v>364</v>
      </c>
      <c r="D1137" s="15">
        <v>364</v>
      </c>
      <c r="E1137" s="15">
        <v>364</v>
      </c>
      <c r="F1137" s="16" t="s">
        <v>1489</v>
      </c>
      <c r="G1137" s="17"/>
      <c r="H1137" s="17"/>
      <c r="I1137" s="33">
        <v>0</v>
      </c>
      <c r="J1137" s="33"/>
      <c r="K1137" s="33"/>
      <c r="L1137" s="33"/>
      <c r="M1137" s="33"/>
      <c r="N1137" s="33"/>
      <c r="O1137" s="33"/>
      <c r="P1137" s="33"/>
      <c r="Q1137" s="33"/>
      <c r="R1137" s="33"/>
      <c r="S1137" s="34"/>
      <c r="T1137" s="33"/>
      <c r="U1137" s="18"/>
      <c r="V1137" s="18"/>
      <c r="W1137" s="18"/>
      <c r="X1137" s="18"/>
      <c r="Y1137" s="18" t="s">
        <v>677</v>
      </c>
      <c r="Z1137" s="18" t="str">
        <f>A1137 &amp; "-" &amp; VLOOKUP(A1137,[4]PROGRAMMES!$E$1:$F$7,2,FALSE)</f>
        <v>3-Expansion et réforme de l’ETFP</v>
      </c>
      <c r="AA1137" s="19" t="str">
        <f>B1137 &amp; "-" &amp; VLOOKUP(B1137,[4]SOUSPROGRAMMES!$E$1:$F$44,2,FALSE)</f>
        <v>36- Renforcement des capacités de pilotage et de gestion dans le cadre d’une gouvernance parteunariale multi niveaux</v>
      </c>
      <c r="AB1137" s="19" t="str">
        <f>C1137 &amp; "-" &amp; VLOOKUP(C1137,[4]RESULTATS!$E$1:$F$176,2,FALSE)</f>
        <v>364- La capacité de pilotage et de mise en œuvre, technique et financière, de l’ETFP est renforcée</v>
      </c>
      <c r="AC1137" s="20" t="str">
        <f>D1137 &amp; "-" &amp; VLOOKUP(D1137,[4]STRATEGIES!$E$1:$F$504,2,FALSE)</f>
        <v>364- La capacité de pilotage et de mise en œuvre, technique et financière, de l’ETFP est renforcée</v>
      </c>
      <c r="AD1137" s="21" t="str">
        <f t="shared" si="184"/>
        <v>364- La capacité de pilotage et de mise en œuvre, technique et Financière, de l’ETFP est renforcée</v>
      </c>
    </row>
    <row r="1138" spans="1:30" s="22" customFormat="1" ht="60" hidden="1" customHeight="1" x14ac:dyDescent="0.8">
      <c r="A1138" s="14">
        <v>3</v>
      </c>
      <c r="B1138" s="15">
        <v>36</v>
      </c>
      <c r="C1138" s="15">
        <v>364</v>
      </c>
      <c r="D1138" s="15">
        <v>3641</v>
      </c>
      <c r="E1138" s="15">
        <v>3641</v>
      </c>
      <c r="F1138" s="16" t="s">
        <v>1490</v>
      </c>
      <c r="G1138" s="17"/>
      <c r="H1138" s="17"/>
      <c r="I1138" s="33">
        <v>0</v>
      </c>
      <c r="J1138" s="33"/>
      <c r="K1138" s="33"/>
      <c r="L1138" s="33"/>
      <c r="M1138" s="33"/>
      <c r="N1138" s="33"/>
      <c r="O1138" s="33"/>
      <c r="P1138" s="33"/>
      <c r="Q1138" s="33"/>
      <c r="R1138" s="33"/>
      <c r="S1138" s="34"/>
      <c r="T1138" s="33"/>
      <c r="U1138" s="18"/>
      <c r="V1138" s="18"/>
      <c r="W1138" s="18"/>
      <c r="X1138" s="18"/>
      <c r="Y1138" s="18" t="s">
        <v>677</v>
      </c>
      <c r="Z1138" s="18" t="str">
        <f>A1138 &amp; "-" &amp; VLOOKUP(A1138,[4]PROGRAMMES!$E$1:$F$7,2,FALSE)</f>
        <v>3-Expansion et réforme de l’ETFP</v>
      </c>
      <c r="AA1138" s="19" t="str">
        <f>B1138 &amp; "-" &amp; VLOOKUP(B1138,[4]SOUSPROGRAMMES!$E$1:$F$44,2,FALSE)</f>
        <v>36- Renforcement des capacités de pilotage et de gestion dans le cadre d’une gouvernance parteunariale multi niveaux</v>
      </c>
      <c r="AB1138" s="19" t="str">
        <f>C1138 &amp; "-" &amp; VLOOKUP(C1138,[4]RESULTATS!$E$1:$F$176,2,FALSE)</f>
        <v>364- La capacité de pilotage et de mise en œuvre, technique et financière, de l’ETFP est renforcée</v>
      </c>
      <c r="AC1138" s="20" t="str">
        <f>D1138 &amp; "-" &amp; VLOOKUP(D1138,[4]STRATEGIES!$E$1:$F$504,2,FALSE)</f>
        <v xml:space="preserve">3641-Mise en place d’un Système articulé d’information et de gestion de l’ETFP capitalisant et consolidant les données à tous les niveaux
</v>
      </c>
      <c r="AD1138" s="21" t="str">
        <f t="shared" si="184"/>
        <v xml:space="preserve">3641-Mise en place d’un Système articulé d’information et de gestion de l’ETFP capitalisant et consolidant les données à tous les niveaux
</v>
      </c>
    </row>
    <row r="1139" spans="1:30" s="22" customFormat="1" ht="60" hidden="1" customHeight="1" x14ac:dyDescent="0.8">
      <c r="A1139" s="14">
        <v>3</v>
      </c>
      <c r="B1139" s="15">
        <v>36</v>
      </c>
      <c r="C1139" s="15">
        <v>364</v>
      </c>
      <c r="D1139" s="15">
        <v>3641</v>
      </c>
      <c r="E1139" s="15">
        <v>36411</v>
      </c>
      <c r="F1139" s="16" t="s">
        <v>1491</v>
      </c>
      <c r="G1139" s="21" t="s">
        <v>100</v>
      </c>
      <c r="H1139" s="17" t="s">
        <v>1424</v>
      </c>
      <c r="I1139" s="33">
        <v>0</v>
      </c>
      <c r="J1139" s="33"/>
      <c r="K1139" s="33"/>
      <c r="L1139" s="33"/>
      <c r="M1139" s="33">
        <f t="shared" ref="M1139:M1160" si="188">SUM(I1139:L1139)</f>
        <v>0</v>
      </c>
      <c r="N1139" s="33">
        <f>IF(OR(H1139="",H1139="sif",H1139="PM"),0,VLOOKUP(H1139,[5]CU!$C$4:$H$255,6,FALSE))</f>
        <v>10.404797</v>
      </c>
      <c r="O1139" s="33">
        <f t="shared" ref="O1139:R1160" si="189">IFERROR($N1139*I1139,0)</f>
        <v>0</v>
      </c>
      <c r="P1139" s="33">
        <f t="shared" si="189"/>
        <v>0</v>
      </c>
      <c r="Q1139" s="33">
        <f t="shared" si="189"/>
        <v>0</v>
      </c>
      <c r="R1139" s="33">
        <f t="shared" si="189"/>
        <v>0</v>
      </c>
      <c r="S1139" s="34">
        <f>SUM(O1139:R1139)</f>
        <v>0</v>
      </c>
      <c r="T1139" s="35" t="s">
        <v>1304</v>
      </c>
      <c r="U1139" s="19" t="s">
        <v>1156</v>
      </c>
      <c r="V1139" s="19" t="str">
        <f>IF(OR($H1139="",$H1139="sif",$H1139="PM"),"",VLOOKUP($H1139,[5]CU!$C$5:$J$255,8,FALSE))</f>
        <v>3. Dépenses de fonctionnement</v>
      </c>
      <c r="W1139" s="19" t="s">
        <v>1492</v>
      </c>
      <c r="X1139" s="19" t="s">
        <v>1371</v>
      </c>
      <c r="Y1139" s="18" t="s">
        <v>677</v>
      </c>
      <c r="Z1139" s="18" t="str">
        <f>A1139 &amp; "-" &amp; VLOOKUP(A1139,[4]PROGRAMMES!$E$1:$F$7,2,FALSE)</f>
        <v>3-Expansion et réforme de l’ETFP</v>
      </c>
      <c r="AA1139" s="19" t="str">
        <f>B1139 &amp; "-" &amp; VLOOKUP(B1139,[4]SOUSPROGRAMMES!$E$1:$F$44,2,FALSE)</f>
        <v>36- Renforcement des capacités de pilotage et de gestion dans le cadre d’une gouvernance parteunariale multi niveaux</v>
      </c>
      <c r="AB1139" s="19" t="str">
        <f>C1139 &amp; "-" &amp; VLOOKUP(C1139,[4]RESULTATS!$E$1:$F$176,2,FALSE)</f>
        <v>364- La capacité de pilotage et de mise en œuvre, technique et financière, de l’ETFP est renforcée</v>
      </c>
      <c r="AC1139" s="20" t="str">
        <f>D1139 &amp; "-" &amp; VLOOKUP(D1139,[4]STRATEGIES!$E$1:$F$504,2,FALSE)</f>
        <v xml:space="preserve">3641-Mise en place d’un Système articulé d’information et de gestion de l’ETFP capitalisant et consolidant les données à tous les niveaux
</v>
      </c>
      <c r="AD1139" s="21" t="str">
        <f t="shared" si="184"/>
        <v>36411-DéFinition de l'architecture d'un système d'information articulé aux différents niveaux</v>
      </c>
    </row>
    <row r="1140" spans="1:30" s="22" customFormat="1" ht="60" hidden="1" customHeight="1" x14ac:dyDescent="0.8">
      <c r="A1140" s="14">
        <v>3</v>
      </c>
      <c r="B1140" s="15">
        <v>36</v>
      </c>
      <c r="C1140" s="15">
        <v>364</v>
      </c>
      <c r="D1140" s="15">
        <v>3641</v>
      </c>
      <c r="E1140" s="15">
        <v>36412</v>
      </c>
      <c r="F1140" s="16" t="s">
        <v>1493</v>
      </c>
      <c r="G1140" s="21" t="s">
        <v>100</v>
      </c>
      <c r="H1140" s="17" t="s">
        <v>1424</v>
      </c>
      <c r="I1140" s="33">
        <v>0</v>
      </c>
      <c r="J1140" s="33">
        <f>(2*15*4)*20%</f>
        <v>24</v>
      </c>
      <c r="K1140" s="33"/>
      <c r="L1140" s="33"/>
      <c r="M1140" s="33">
        <f>SUM(I1140:L1140)</f>
        <v>24</v>
      </c>
      <c r="N1140" s="33">
        <f>IF(OR(H1140="",H1140="sif",H1140="PM"),0,VLOOKUP(H1140,[5]CU!$C$4:$H$255,6,FALSE))</f>
        <v>10.404797</v>
      </c>
      <c r="O1140" s="33">
        <f>IFERROR($N1140*I1140,0)</f>
        <v>0</v>
      </c>
      <c r="P1140" s="33">
        <f>IFERROR($N1140*J1140,0)</f>
        <v>249.71512799999999</v>
      </c>
      <c r="Q1140" s="33">
        <f>IFERROR($N1140*K1140,0)</f>
        <v>0</v>
      </c>
      <c r="R1140" s="33">
        <f>IFERROR($N1140*L1140,0)</f>
        <v>0</v>
      </c>
      <c r="S1140" s="34">
        <f>SUM(O1140:R1140)</f>
        <v>249.71512799999999</v>
      </c>
      <c r="T1140" s="35" t="s">
        <v>1304</v>
      </c>
      <c r="U1140" s="19" t="s">
        <v>1156</v>
      </c>
      <c r="V1140" s="19" t="str">
        <f>IF(OR($H1140="",$H1140="sif",$H1140="PM"),"",VLOOKUP($H1140,[5]CU!$C$5:$J$255,8,FALSE))</f>
        <v>3. Dépenses de fonctionnement</v>
      </c>
      <c r="W1140" s="19" t="s">
        <v>1494</v>
      </c>
      <c r="X1140" s="19" t="s">
        <v>1371</v>
      </c>
      <c r="Y1140" s="18" t="s">
        <v>677</v>
      </c>
      <c r="Z1140" s="18" t="str">
        <f>A1140 &amp; "-" &amp; VLOOKUP(A1140,[4]PROGRAMMES!$E$1:$F$7,2,FALSE)</f>
        <v>3-Expansion et réforme de l’ETFP</v>
      </c>
      <c r="AA1140" s="19" t="str">
        <f>B1140 &amp; "-" &amp; VLOOKUP(B1140,[4]SOUSPROGRAMMES!$E$1:$F$44,2,FALSE)</f>
        <v>36- Renforcement des capacités de pilotage et de gestion dans le cadre d’une gouvernance parteunariale multi niveaux</v>
      </c>
      <c r="AB1140" s="19" t="str">
        <f>C1140 &amp; "-" &amp; VLOOKUP(C1140,[4]RESULTATS!$E$1:$F$176,2,FALSE)</f>
        <v>364- La capacité de pilotage et de mise en œuvre, technique et financière, de l’ETFP est renforcée</v>
      </c>
      <c r="AC1140" s="20" t="str">
        <f>D1140 &amp; "-" &amp; VLOOKUP(D1140,[4]STRATEGIES!$E$1:$F$504,2,FALSE)</f>
        <v xml:space="preserve">3641-Mise en place d’un Système articulé d’information et de gestion de l’ETFP capitalisant et consolidant les données à tous les niveaux
</v>
      </c>
      <c r="AD1140" s="21" t="str">
        <f t="shared" si="184"/>
        <v>36412-Développement du système d'information pour les différents niveaux et l'identification des équipements et des compétences nécessaires à sa mise en place</v>
      </c>
    </row>
    <row r="1141" spans="1:30" s="22" customFormat="1" ht="60" hidden="1" customHeight="1" x14ac:dyDescent="0.8">
      <c r="A1141" s="14">
        <v>3</v>
      </c>
      <c r="B1141" s="15">
        <v>36</v>
      </c>
      <c r="C1141" s="15">
        <v>364</v>
      </c>
      <c r="D1141" s="15">
        <v>3641</v>
      </c>
      <c r="E1141" s="15">
        <v>36412</v>
      </c>
      <c r="F1141" s="16" t="s">
        <v>1493</v>
      </c>
      <c r="G1141" s="21" t="s">
        <v>100</v>
      </c>
      <c r="H1141" s="17" t="s">
        <v>1424</v>
      </c>
      <c r="I1141" s="33">
        <v>0</v>
      </c>
      <c r="J1141" s="33">
        <f>(2*15*4)*80%</f>
        <v>96</v>
      </c>
      <c r="K1141" s="33"/>
      <c r="L1141" s="33"/>
      <c r="M1141" s="33">
        <f t="shared" si="188"/>
        <v>96</v>
      </c>
      <c r="N1141" s="33">
        <f>IF(OR(H1141="",H1141="sif",H1141="PM"),0,VLOOKUP(H1141,[5]CU!$C$4:$H$255,6,FALSE))</f>
        <v>10.404797</v>
      </c>
      <c r="O1141" s="33">
        <f t="shared" si="189"/>
        <v>0</v>
      </c>
      <c r="P1141" s="33">
        <f t="shared" si="189"/>
        <v>998.86051199999997</v>
      </c>
      <c r="Q1141" s="33">
        <f t="shared" si="189"/>
        <v>0</v>
      </c>
      <c r="R1141" s="33">
        <f t="shared" si="189"/>
        <v>0</v>
      </c>
      <c r="S1141" s="34">
        <f>SUM(O1141:R1141)</f>
        <v>998.86051199999997</v>
      </c>
      <c r="T1141" s="35" t="s">
        <v>118</v>
      </c>
      <c r="U1141" s="19" t="s">
        <v>1156</v>
      </c>
      <c r="V1141" s="19" t="str">
        <f>IF(OR($H1141="",$H1141="sif",$H1141="PM"),"",VLOOKUP($H1141,[5]CU!$C$5:$J$255,8,FALSE))</f>
        <v>3. Dépenses de fonctionnement</v>
      </c>
      <c r="W1141" s="19" t="s">
        <v>1494</v>
      </c>
      <c r="X1141" s="19" t="s">
        <v>1371</v>
      </c>
      <c r="Y1141" s="18" t="s">
        <v>677</v>
      </c>
      <c r="Z1141" s="18" t="str">
        <f>A1141 &amp; "-" &amp; VLOOKUP(A1141,[4]PROGRAMMES!$E$1:$F$7,2,FALSE)</f>
        <v>3-Expansion et réforme de l’ETFP</v>
      </c>
      <c r="AA1141" s="19" t="str">
        <f>B1141 &amp; "-" &amp; VLOOKUP(B1141,[4]SOUSPROGRAMMES!$E$1:$F$44,2,FALSE)</f>
        <v>36- Renforcement des capacités de pilotage et de gestion dans le cadre d’une gouvernance parteunariale multi niveaux</v>
      </c>
      <c r="AB1141" s="19" t="str">
        <f>C1141 &amp; "-" &amp; VLOOKUP(C1141,[4]RESULTATS!$E$1:$F$176,2,FALSE)</f>
        <v>364- La capacité de pilotage et de mise en œuvre, technique et financière, de l’ETFP est renforcée</v>
      </c>
      <c r="AC1141" s="20" t="str">
        <f>D1141 &amp; "-" &amp; VLOOKUP(D1141,[4]STRATEGIES!$E$1:$F$504,2,FALSE)</f>
        <v xml:space="preserve">3641-Mise en place d’un Système articulé d’information et de gestion de l’ETFP capitalisant et consolidant les données à tous les niveaux
</v>
      </c>
      <c r="AD1141" s="21" t="str">
        <f t="shared" si="184"/>
        <v>36412-Développement du système d'information pour les différents niveaux et l'identification des équipements et des compétences nécessaires à sa mise en place</v>
      </c>
    </row>
    <row r="1142" spans="1:30" s="22" customFormat="1" ht="60" hidden="1" customHeight="1" x14ac:dyDescent="0.8">
      <c r="A1142" s="14">
        <v>3</v>
      </c>
      <c r="B1142" s="15">
        <v>36</v>
      </c>
      <c r="C1142" s="15">
        <v>364</v>
      </c>
      <c r="D1142" s="15">
        <v>3641</v>
      </c>
      <c r="E1142" s="15">
        <v>36413</v>
      </c>
      <c r="F1142" s="16" t="s">
        <v>1495</v>
      </c>
      <c r="G1142" s="21" t="s">
        <v>159</v>
      </c>
      <c r="H1142" s="17"/>
      <c r="I1142" s="33">
        <v>0</v>
      </c>
      <c r="J1142" s="33">
        <v>1</v>
      </c>
      <c r="K1142" s="33"/>
      <c r="L1142" s="33"/>
      <c r="M1142" s="33">
        <f t="shared" si="188"/>
        <v>1</v>
      </c>
      <c r="N1142" s="33">
        <f>IF(OR(H1142="",H1142="sif",H1142="PM"),0,VLOOKUP(H1142,[5]CU!$C$4:$H$255,6,FALSE))</f>
        <v>0</v>
      </c>
      <c r="O1142" s="33">
        <f t="shared" si="189"/>
        <v>0</v>
      </c>
      <c r="P1142" s="33">
        <f t="shared" si="189"/>
        <v>0</v>
      </c>
      <c r="Q1142" s="33">
        <f t="shared" si="189"/>
        <v>0</v>
      </c>
      <c r="R1142" s="33">
        <f t="shared" si="189"/>
        <v>0</v>
      </c>
      <c r="S1142" s="34"/>
      <c r="T1142" s="35" t="s">
        <v>56</v>
      </c>
      <c r="U1142" s="18" t="s">
        <v>1156</v>
      </c>
      <c r="V1142" s="18" t="str">
        <f>IF(OR($H1142="",$H1142="sif",$H1142="PM"),"",VLOOKUP($H1142,[5]CU!$C$5:$J$255,8,FALSE))</f>
        <v/>
      </c>
      <c r="W1142" s="18"/>
      <c r="X1142" s="18"/>
      <c r="Y1142" s="18" t="s">
        <v>677</v>
      </c>
      <c r="Z1142" s="18" t="str">
        <f>A1142 &amp; "-" &amp; VLOOKUP(A1142,[4]PROGRAMMES!$E$1:$F$7,2,FALSE)</f>
        <v>3-Expansion et réforme de l’ETFP</v>
      </c>
      <c r="AA1142" s="19" t="str">
        <f>B1142 &amp; "-" &amp; VLOOKUP(B1142,[4]SOUSPROGRAMMES!$E$1:$F$44,2,FALSE)</f>
        <v>36- Renforcement des capacités de pilotage et de gestion dans le cadre d’une gouvernance parteunariale multi niveaux</v>
      </c>
      <c r="AB1142" s="19" t="str">
        <f>C1142 &amp; "-" &amp; VLOOKUP(C1142,[4]RESULTATS!$E$1:$F$176,2,FALSE)</f>
        <v>364- La capacité de pilotage et de mise en œuvre, technique et financière, de l’ETFP est renforcée</v>
      </c>
      <c r="AC1142" s="20" t="str">
        <f>D1142 &amp; "-" &amp; VLOOKUP(D1142,[4]STRATEGIES!$E$1:$F$504,2,FALSE)</f>
        <v xml:space="preserve">3641-Mise en place d’un Système articulé d’information et de gestion de l’ETFP capitalisant et consolidant les données à tous les niveaux
</v>
      </c>
      <c r="AD1142" s="21" t="str">
        <f t="shared" si="184"/>
        <v>36413-Elaboration d'un plan d'opérationnalisation du système d'information (pris en compte dans activité 36312)</v>
      </c>
    </row>
    <row r="1143" spans="1:30" s="22" customFormat="1" ht="60" hidden="1" customHeight="1" x14ac:dyDescent="0.8">
      <c r="A1143" s="14">
        <v>3</v>
      </c>
      <c r="B1143" s="15">
        <v>36</v>
      </c>
      <c r="C1143" s="15">
        <v>364</v>
      </c>
      <c r="D1143" s="15">
        <v>3642</v>
      </c>
      <c r="E1143" s="15">
        <v>3642</v>
      </c>
      <c r="F1143" s="16" t="s">
        <v>1496</v>
      </c>
      <c r="G1143" s="17"/>
      <c r="H1143" s="17"/>
      <c r="I1143" s="33">
        <v>0</v>
      </c>
      <c r="J1143" s="33"/>
      <c r="K1143" s="33"/>
      <c r="L1143" s="33"/>
      <c r="M1143" s="33"/>
      <c r="N1143" s="33"/>
      <c r="O1143" s="33"/>
      <c r="P1143" s="33"/>
      <c r="Q1143" s="33"/>
      <c r="R1143" s="33"/>
      <c r="S1143" s="34"/>
      <c r="T1143" s="33"/>
      <c r="U1143" s="18"/>
      <c r="V1143" s="18"/>
      <c r="W1143" s="18"/>
      <c r="X1143" s="18"/>
      <c r="Y1143" s="18" t="s">
        <v>677</v>
      </c>
      <c r="Z1143" s="18" t="str">
        <f>A1143 &amp; "-" &amp; VLOOKUP(A1143,[4]PROGRAMMES!$E$1:$F$7,2,FALSE)</f>
        <v>3-Expansion et réforme de l’ETFP</v>
      </c>
      <c r="AA1143" s="19" t="str">
        <f>B1143 &amp; "-" &amp; VLOOKUP(B1143,[4]SOUSPROGRAMMES!$E$1:$F$44,2,FALSE)</f>
        <v>36- Renforcement des capacités de pilotage et de gestion dans le cadre d’une gouvernance parteunariale multi niveaux</v>
      </c>
      <c r="AB1143" s="19" t="str">
        <f>C1143 &amp; "-" &amp; VLOOKUP(C1143,[4]RESULTATS!$E$1:$F$176,2,FALSE)</f>
        <v>364- La capacité de pilotage et de mise en œuvre, technique et financière, de l’ETFP est renforcée</v>
      </c>
      <c r="AC1143" s="20" t="str">
        <f>D1143 &amp; "-" &amp; VLOOKUP(D1143,[4]STRATEGIES!$E$1:$F$504,2,FALSE)</f>
        <v xml:space="preserve">3642-Renforcement de la gestion des ressources humaines chargée de la gestion de l’ETFP
</v>
      </c>
      <c r="AD1143" s="21" t="str">
        <f t="shared" si="184"/>
        <v xml:space="preserve">3642-Renforcement de la gestion des ressources humaines chargée de la gestion de l’ETFP
</v>
      </c>
    </row>
    <row r="1144" spans="1:30" s="22" customFormat="1" ht="60" hidden="1" customHeight="1" x14ac:dyDescent="0.8">
      <c r="A1144" s="14">
        <v>3</v>
      </c>
      <c r="B1144" s="15">
        <v>36</v>
      </c>
      <c r="C1144" s="15">
        <v>364</v>
      </c>
      <c r="D1144" s="15">
        <v>3642</v>
      </c>
      <c r="E1144" s="15">
        <v>36421</v>
      </c>
      <c r="F1144" s="16" t="s">
        <v>1497</v>
      </c>
      <c r="G1144" s="21" t="s">
        <v>100</v>
      </c>
      <c r="H1144" s="17" t="s">
        <v>646</v>
      </c>
      <c r="I1144" s="33">
        <v>0</v>
      </c>
      <c r="J1144" s="33"/>
      <c r="K1144" s="33">
        <f>4*20</f>
        <v>80</v>
      </c>
      <c r="L1144" s="33"/>
      <c r="M1144" s="33">
        <f t="shared" si="188"/>
        <v>80</v>
      </c>
      <c r="N1144" s="33">
        <f>IF(OR(H1144="",H1144="sif",H1144="PM"),0,VLOOKUP(H1144,[5]CU!$C$4:$H$255,6,FALSE))</f>
        <v>10.404797</v>
      </c>
      <c r="O1144" s="33">
        <f t="shared" si="189"/>
        <v>0</v>
      </c>
      <c r="P1144" s="33">
        <f t="shared" si="189"/>
        <v>0</v>
      </c>
      <c r="Q1144" s="33">
        <f t="shared" si="189"/>
        <v>832.38376000000005</v>
      </c>
      <c r="R1144" s="33">
        <f t="shared" si="189"/>
        <v>0</v>
      </c>
      <c r="S1144" s="34">
        <f t="shared" ref="S1144:S1151" si="190">SUM(O1144:R1144)</f>
        <v>832.38376000000005</v>
      </c>
      <c r="T1144" s="35" t="s">
        <v>118</v>
      </c>
      <c r="U1144" s="18" t="s">
        <v>1156</v>
      </c>
      <c r="V1144" s="18" t="str">
        <f>IF(OR($H1144="",$H1144="sif",$H1144="PM"),"",VLOOKUP($H1144,[5]CU!$C$5:$J$255,8,FALSE))</f>
        <v>3. Dépenses de fonctionnement</v>
      </c>
      <c r="W1144" s="18" t="s">
        <v>142</v>
      </c>
      <c r="X1144" s="18" t="s">
        <v>1371</v>
      </c>
      <c r="Y1144" s="18" t="s">
        <v>677</v>
      </c>
      <c r="Z1144" s="18" t="str">
        <f>A1144 &amp; "-" &amp; VLOOKUP(A1144,[4]PROGRAMMES!$E$1:$F$7,2,FALSE)</f>
        <v>3-Expansion et réforme de l’ETFP</v>
      </c>
      <c r="AA1144" s="19" t="str">
        <f>B1144 &amp; "-" &amp; VLOOKUP(B1144,[4]SOUSPROGRAMMES!$E$1:$F$44,2,FALSE)</f>
        <v>36- Renforcement des capacités de pilotage et de gestion dans le cadre d’une gouvernance parteunariale multi niveaux</v>
      </c>
      <c r="AB1144" s="19" t="str">
        <f>C1144 &amp; "-" &amp; VLOOKUP(C1144,[4]RESULTATS!$E$1:$F$176,2,FALSE)</f>
        <v>364- La capacité de pilotage et de mise en œuvre, technique et financière, de l’ETFP est renforcée</v>
      </c>
      <c r="AC1144" s="20" t="str">
        <f>D1144 &amp; "-" &amp; VLOOKUP(D1144,[4]STRATEGIES!$E$1:$F$504,2,FALSE)</f>
        <v xml:space="preserve">3642-Renforcement de la gestion des ressources humaines chargée de la gestion de l’ETFP
</v>
      </c>
      <c r="AD1144" s="21" t="str">
        <f t="shared" si="184"/>
        <v xml:space="preserve">36421-Elaboration d'un audit organisationnel du METFP (déFinition des postes et des profils et adéquation profils poste et identification des besoins en formation et élaboration d'un plan de formation) </v>
      </c>
    </row>
    <row r="1145" spans="1:30" s="22" customFormat="1" ht="60" hidden="1" customHeight="1" x14ac:dyDescent="0.8">
      <c r="A1145" s="14">
        <v>3</v>
      </c>
      <c r="B1145" s="15">
        <v>36</v>
      </c>
      <c r="C1145" s="15">
        <v>364</v>
      </c>
      <c r="D1145" s="15">
        <v>3642</v>
      </c>
      <c r="E1145" s="15">
        <v>36422</v>
      </c>
      <c r="F1145" s="16" t="s">
        <v>1498</v>
      </c>
      <c r="G1145" s="21" t="s">
        <v>1499</v>
      </c>
      <c r="H1145" s="17" t="s">
        <v>66</v>
      </c>
      <c r="I1145" s="33">
        <v>0</v>
      </c>
      <c r="J1145" s="33"/>
      <c r="K1145" s="33">
        <f>20*5</f>
        <v>100</v>
      </c>
      <c r="L1145" s="33"/>
      <c r="M1145" s="33">
        <f t="shared" si="188"/>
        <v>100</v>
      </c>
      <c r="N1145" s="33">
        <f>IF(OR(H1145="",H1145="sif",H1145="PM"),0,VLOOKUP(H1145,[5]CU!$C$4:$H$255,6,FALSE))</f>
        <v>0.255</v>
      </c>
      <c r="O1145" s="33">
        <f t="shared" si="189"/>
        <v>0</v>
      </c>
      <c r="P1145" s="33">
        <f t="shared" si="189"/>
        <v>0</v>
      </c>
      <c r="Q1145" s="33">
        <f t="shared" si="189"/>
        <v>25.5</v>
      </c>
      <c r="R1145" s="33">
        <f t="shared" si="189"/>
        <v>0</v>
      </c>
      <c r="S1145" s="34">
        <f t="shared" si="190"/>
        <v>25.5</v>
      </c>
      <c r="T1145" s="35" t="s">
        <v>118</v>
      </c>
      <c r="U1145" s="18" t="s">
        <v>1156</v>
      </c>
      <c r="V1145" s="18" t="str">
        <f>IF(OR($H1145="",$H1145="sif",$H1145="PM"),"",VLOOKUP($H1145,[5]CU!$C$5:$J$255,8,FALSE))</f>
        <v>3. Dépenses de fonctionnement</v>
      </c>
      <c r="W1145" s="18" t="s">
        <v>96</v>
      </c>
      <c r="X1145" s="19" t="s">
        <v>1500</v>
      </c>
      <c r="Y1145" s="18" t="s">
        <v>677</v>
      </c>
      <c r="Z1145" s="18" t="str">
        <f>A1145 &amp; "-" &amp; VLOOKUP(A1145,[4]PROGRAMMES!$E$1:$F$7,2,FALSE)</f>
        <v>3-Expansion et réforme de l’ETFP</v>
      </c>
      <c r="AA1145" s="19" t="str">
        <f>B1145 &amp; "-" &amp; VLOOKUP(B1145,[4]SOUSPROGRAMMES!$E$1:$F$44,2,FALSE)</f>
        <v>36- Renforcement des capacités de pilotage et de gestion dans le cadre d’une gouvernance parteunariale multi niveaux</v>
      </c>
      <c r="AB1145" s="19" t="str">
        <f>C1145 &amp; "-" &amp; VLOOKUP(C1145,[4]RESULTATS!$E$1:$F$176,2,FALSE)</f>
        <v>364- La capacité de pilotage et de mise en œuvre, technique et financière, de l’ETFP est renforcée</v>
      </c>
      <c r="AC1145" s="20" t="str">
        <f>D1145 &amp; "-" &amp; VLOOKUP(D1145,[4]STRATEGIES!$E$1:$F$504,2,FALSE)</f>
        <v xml:space="preserve">3642-Renforcement de la gestion des ressources humaines chargée de la gestion de l’ETFP
</v>
      </c>
      <c r="AD1145" s="21" t="str">
        <f t="shared" si="184"/>
        <v>36422-DéFinition d'un mécanisme d'évaluation des performances du personnel de l'ETFP</v>
      </c>
    </row>
    <row r="1146" spans="1:30" s="22" customFormat="1" ht="60" hidden="1" customHeight="1" x14ac:dyDescent="0.8">
      <c r="A1146" s="14">
        <v>3</v>
      </c>
      <c r="B1146" s="15">
        <v>36</v>
      </c>
      <c r="C1146" s="15">
        <v>364</v>
      </c>
      <c r="D1146" s="15">
        <v>3643</v>
      </c>
      <c r="E1146" s="15">
        <v>3643</v>
      </c>
      <c r="F1146" s="16" t="s">
        <v>1501</v>
      </c>
      <c r="G1146" s="17"/>
      <c r="H1146" s="17"/>
      <c r="I1146" s="33">
        <v>0</v>
      </c>
      <c r="J1146" s="33"/>
      <c r="K1146" s="33"/>
      <c r="L1146" s="33"/>
      <c r="M1146" s="33"/>
      <c r="N1146" s="33"/>
      <c r="O1146" s="33"/>
      <c r="P1146" s="33"/>
      <c r="Q1146" s="33"/>
      <c r="R1146" s="33"/>
      <c r="S1146" s="34"/>
      <c r="T1146" s="33"/>
      <c r="U1146" s="18"/>
      <c r="V1146" s="18"/>
      <c r="W1146" s="18"/>
      <c r="X1146" s="18"/>
      <c r="Y1146" s="18" t="s">
        <v>677</v>
      </c>
      <c r="Z1146" s="18" t="str">
        <f>A1146 &amp; "-" &amp; VLOOKUP(A1146,[4]PROGRAMMES!$E$1:$F$7,2,FALSE)</f>
        <v>3-Expansion et réforme de l’ETFP</v>
      </c>
      <c r="AA1146" s="19" t="str">
        <f>B1146 &amp; "-" &amp; VLOOKUP(B1146,[4]SOUSPROGRAMMES!$E$1:$F$44,2,FALSE)</f>
        <v>36- Renforcement des capacités de pilotage et de gestion dans le cadre d’une gouvernance parteunariale multi niveaux</v>
      </c>
      <c r="AB1146" s="19" t="str">
        <f>C1146 &amp; "-" &amp; VLOOKUP(C1146,[4]RESULTATS!$E$1:$F$176,2,FALSE)</f>
        <v>364- La capacité de pilotage et de mise en œuvre, technique et financière, de l’ETFP est renforcée</v>
      </c>
      <c r="AC1146" s="20" t="str">
        <f>D1146 &amp; "-" &amp; VLOOKUP(D1146,[4]STRATEGIES!$E$1:$F$504,2,FALSE)</f>
        <v xml:space="preserve">3643-Renforcement des moyens et outils de travail
</v>
      </c>
      <c r="AD1146" s="21" t="str">
        <f t="shared" si="184"/>
        <v xml:space="preserve">3643-Renforcement des moyens et outils de travail
</v>
      </c>
    </row>
    <row r="1147" spans="1:30" s="22" customFormat="1" ht="60" hidden="1" customHeight="1" x14ac:dyDescent="0.8">
      <c r="A1147" s="14">
        <v>3</v>
      </c>
      <c r="B1147" s="15">
        <v>36</v>
      </c>
      <c r="C1147" s="15">
        <v>364</v>
      </c>
      <c r="D1147" s="15">
        <v>3643</v>
      </c>
      <c r="E1147" s="15">
        <v>36431</v>
      </c>
      <c r="F1147" s="16" t="s">
        <v>1502</v>
      </c>
      <c r="G1147" s="21" t="s">
        <v>100</v>
      </c>
      <c r="H1147" s="17" t="s">
        <v>646</v>
      </c>
      <c r="I1147" s="33">
        <v>0</v>
      </c>
      <c r="J1147" s="33"/>
      <c r="K1147" s="33"/>
      <c r="L1147" s="33"/>
      <c r="M1147" s="33">
        <f t="shared" si="188"/>
        <v>0</v>
      </c>
      <c r="N1147" s="33">
        <f>IF(OR(H1147="",H1147="sif",H1147="PM"),0,VLOOKUP(H1147,[5]CU!$C$4:$H$255,6,FALSE))</f>
        <v>10.404797</v>
      </c>
      <c r="O1147" s="33">
        <f t="shared" si="189"/>
        <v>0</v>
      </c>
      <c r="P1147" s="33">
        <f t="shared" si="189"/>
        <v>0</v>
      </c>
      <c r="Q1147" s="33">
        <f t="shared" si="189"/>
        <v>0</v>
      </c>
      <c r="R1147" s="33">
        <f t="shared" si="189"/>
        <v>0</v>
      </c>
      <c r="S1147" s="34">
        <f t="shared" si="190"/>
        <v>0</v>
      </c>
      <c r="T1147" s="35" t="s">
        <v>1304</v>
      </c>
      <c r="U1147" s="19" t="s">
        <v>1156</v>
      </c>
      <c r="V1147" s="19" t="str">
        <f>IF(OR($H1147="",$H1147="sif",$H1147="PM"),"",VLOOKUP($H1147,[5]CU!$C$5:$J$255,8,FALSE))</f>
        <v>3. Dépenses de fonctionnement</v>
      </c>
      <c r="W1147" s="19" t="s">
        <v>1494</v>
      </c>
      <c r="X1147" s="19" t="s">
        <v>100</v>
      </c>
      <c r="Y1147" s="18" t="s">
        <v>677</v>
      </c>
      <c r="Z1147" s="18" t="str">
        <f>A1147 &amp; "-" &amp; VLOOKUP(A1147,[4]PROGRAMMES!$E$1:$F$7,2,FALSE)</f>
        <v>3-Expansion et réforme de l’ETFP</v>
      </c>
      <c r="AA1147" s="19" t="str">
        <f>B1147 &amp; "-" &amp; VLOOKUP(B1147,[4]SOUSPROGRAMMES!$E$1:$F$44,2,FALSE)</f>
        <v>36- Renforcement des capacités de pilotage et de gestion dans le cadre d’une gouvernance parteunariale multi niveaux</v>
      </c>
      <c r="AB1147" s="19" t="str">
        <f>C1147 &amp; "-" &amp; VLOOKUP(C1147,[4]RESULTATS!$E$1:$F$176,2,FALSE)</f>
        <v>364- La capacité de pilotage et de mise en œuvre, technique et financière, de l’ETFP est renforcée</v>
      </c>
      <c r="AC1147" s="20" t="str">
        <f>D1147 &amp; "-" &amp; VLOOKUP(D1147,[4]STRATEGIES!$E$1:$F$504,2,FALSE)</f>
        <v xml:space="preserve">3643-Renforcement des moyens et outils de travail
</v>
      </c>
      <c r="AD1147" s="21" t="str">
        <f t="shared" si="184"/>
        <v>36431-Réalisation d'une étude sur les couts unitaires des programmes d'études</v>
      </c>
    </row>
    <row r="1148" spans="1:30" s="22" customFormat="1" ht="60" hidden="1" customHeight="1" x14ac:dyDescent="0.8">
      <c r="A1148" s="14">
        <v>3</v>
      </c>
      <c r="B1148" s="15">
        <v>36</v>
      </c>
      <c r="C1148" s="15">
        <v>364</v>
      </c>
      <c r="D1148" s="15">
        <v>3643</v>
      </c>
      <c r="E1148" s="15">
        <v>36432</v>
      </c>
      <c r="F1148" s="16" t="s">
        <v>1503</v>
      </c>
      <c r="G1148" s="21" t="s">
        <v>100</v>
      </c>
      <c r="H1148" s="17" t="s">
        <v>646</v>
      </c>
      <c r="I1148" s="33">
        <v>0</v>
      </c>
      <c r="J1148" s="33">
        <f>1*30</f>
        <v>30</v>
      </c>
      <c r="K1148" s="33"/>
      <c r="L1148" s="33"/>
      <c r="M1148" s="33">
        <f t="shared" si="188"/>
        <v>30</v>
      </c>
      <c r="N1148" s="33">
        <f>IF(OR(H1148="",H1148="sif",H1148="PM"),0,VLOOKUP(H1148,[5]CU!$C$4:$H$255,6,FALSE))</f>
        <v>10.404797</v>
      </c>
      <c r="O1148" s="33">
        <f t="shared" si="189"/>
        <v>0</v>
      </c>
      <c r="P1148" s="33">
        <f t="shared" si="189"/>
        <v>312.14391000000001</v>
      </c>
      <c r="Q1148" s="33">
        <f t="shared" si="189"/>
        <v>0</v>
      </c>
      <c r="R1148" s="33">
        <f t="shared" si="189"/>
        <v>0</v>
      </c>
      <c r="S1148" s="34">
        <f t="shared" si="190"/>
        <v>312.14391000000001</v>
      </c>
      <c r="T1148" s="35" t="s">
        <v>118</v>
      </c>
      <c r="U1148" s="18" t="s">
        <v>1156</v>
      </c>
      <c r="V1148" s="18" t="str">
        <f>IF(OR($H1148="",$H1148="sif",$H1148="PM"),"",VLOOKUP($H1148,[5]CU!$C$5:$J$255,8,FALSE))</f>
        <v>3. Dépenses de fonctionnement</v>
      </c>
      <c r="W1148" s="18" t="s">
        <v>142</v>
      </c>
      <c r="X1148" s="19" t="s">
        <v>1504</v>
      </c>
      <c r="Y1148" s="18" t="s">
        <v>677</v>
      </c>
      <c r="Z1148" s="18" t="str">
        <f>A1148 &amp; "-" &amp; VLOOKUP(A1148,[4]PROGRAMMES!$E$1:$F$7,2,FALSE)</f>
        <v>3-Expansion et réforme de l’ETFP</v>
      </c>
      <c r="AA1148" s="19" t="str">
        <f>B1148 &amp; "-" &amp; VLOOKUP(B1148,[4]SOUSPROGRAMMES!$E$1:$F$44,2,FALSE)</f>
        <v>36- Renforcement des capacités de pilotage et de gestion dans le cadre d’une gouvernance parteunariale multi niveaux</v>
      </c>
      <c r="AB1148" s="19" t="str">
        <f>C1148 &amp; "-" &amp; VLOOKUP(C1148,[4]RESULTATS!$E$1:$F$176,2,FALSE)</f>
        <v>364- La capacité de pilotage et de mise en œuvre, technique et financière, de l’ETFP est renforcée</v>
      </c>
      <c r="AC1148" s="20" t="str">
        <f>D1148 &amp; "-" &amp; VLOOKUP(D1148,[4]STRATEGIES!$E$1:$F$504,2,FALSE)</f>
        <v xml:space="preserve">3643-Renforcement des moyens et outils de travail
</v>
      </c>
      <c r="AD1148" s="21" t="str">
        <f t="shared" si="184"/>
        <v>36432-Elaboration d'un manuel de procédures de gestion des ressources humaines</v>
      </c>
    </row>
    <row r="1149" spans="1:30" s="22" customFormat="1" ht="60" hidden="1" customHeight="1" x14ac:dyDescent="0.8">
      <c r="A1149" s="14">
        <v>3</v>
      </c>
      <c r="B1149" s="15">
        <v>36</v>
      </c>
      <c r="C1149" s="15">
        <v>364</v>
      </c>
      <c r="D1149" s="15">
        <v>3643</v>
      </c>
      <c r="E1149" s="15">
        <v>36433</v>
      </c>
      <c r="F1149" s="16" t="s">
        <v>1505</v>
      </c>
      <c r="G1149" s="21" t="s">
        <v>1432</v>
      </c>
      <c r="H1149" s="17" t="s">
        <v>38</v>
      </c>
      <c r="I1149" s="33">
        <v>0</v>
      </c>
      <c r="J1149" s="33">
        <f>45*3</f>
        <v>135</v>
      </c>
      <c r="K1149" s="33"/>
      <c r="L1149" s="33"/>
      <c r="M1149" s="33">
        <f t="shared" si="188"/>
        <v>135</v>
      </c>
      <c r="N1149" s="33">
        <f>IF(OR(H1149="",H1149="sif",H1149="PM"),0,VLOOKUP(H1149,[5]CU!$C$4:$H$255,6,FALSE))</f>
        <v>0.3133333333333333</v>
      </c>
      <c r="O1149" s="33">
        <f t="shared" si="189"/>
        <v>0</v>
      </c>
      <c r="P1149" s="33">
        <f t="shared" si="189"/>
        <v>42.3</v>
      </c>
      <c r="Q1149" s="33">
        <f t="shared" si="189"/>
        <v>0</v>
      </c>
      <c r="R1149" s="33">
        <f t="shared" si="189"/>
        <v>0</v>
      </c>
      <c r="S1149" s="34">
        <f t="shared" si="190"/>
        <v>42.3</v>
      </c>
      <c r="T1149" s="35" t="s">
        <v>118</v>
      </c>
      <c r="U1149" s="18" t="s">
        <v>1156</v>
      </c>
      <c r="V1149" s="18" t="str">
        <f>IF(OR($H1149="",$H1149="sif",$H1149="PM"),"",VLOOKUP($H1149,[5]CU!$C$5:$J$255,8,FALSE))</f>
        <v>3. Formation</v>
      </c>
      <c r="W1149" s="18" t="s">
        <v>142</v>
      </c>
      <c r="X1149" s="19" t="s">
        <v>1504</v>
      </c>
      <c r="Y1149" s="18" t="s">
        <v>677</v>
      </c>
      <c r="Z1149" s="18" t="str">
        <f>A1149 &amp; "-" &amp; VLOOKUP(A1149,[4]PROGRAMMES!$E$1:$F$7,2,FALSE)</f>
        <v>3-Expansion et réforme de l’ETFP</v>
      </c>
      <c r="AA1149" s="19" t="str">
        <f>B1149 &amp; "-" &amp; VLOOKUP(B1149,[4]SOUSPROGRAMMES!$E$1:$F$44,2,FALSE)</f>
        <v>36- Renforcement des capacités de pilotage et de gestion dans le cadre d’une gouvernance parteunariale multi niveaux</v>
      </c>
      <c r="AB1149" s="19" t="str">
        <f>C1149 &amp; "-" &amp; VLOOKUP(C1149,[4]RESULTATS!$E$1:$F$176,2,FALSE)</f>
        <v>364- La capacité de pilotage et de mise en œuvre, technique et financière, de l’ETFP est renforcée</v>
      </c>
      <c r="AC1149" s="20" t="str">
        <f>D1149 &amp; "-" &amp; VLOOKUP(D1149,[4]STRATEGIES!$E$1:$F$504,2,FALSE)</f>
        <v xml:space="preserve">3643-Renforcement des moyens et outils de travail
</v>
      </c>
      <c r="AD1149" s="21" t="str">
        <f t="shared" si="184"/>
        <v>36433-Validation et diffusion du manuel de GRH</v>
      </c>
    </row>
    <row r="1150" spans="1:30" s="22" customFormat="1" ht="60" hidden="1" customHeight="1" x14ac:dyDescent="0.8">
      <c r="A1150" s="14">
        <v>3</v>
      </c>
      <c r="B1150" s="15">
        <v>36</v>
      </c>
      <c r="C1150" s="15">
        <v>364</v>
      </c>
      <c r="D1150" s="15">
        <v>3643</v>
      </c>
      <c r="E1150" s="15">
        <v>36434</v>
      </c>
      <c r="F1150" s="16" t="s">
        <v>1506</v>
      </c>
      <c r="G1150" s="21" t="s">
        <v>1072</v>
      </c>
      <c r="H1150" s="17" t="s">
        <v>970</v>
      </c>
      <c r="I1150" s="33">
        <v>0</v>
      </c>
      <c r="J1150" s="33"/>
      <c r="K1150" s="33">
        <f>8+38+5</f>
        <v>51</v>
      </c>
      <c r="L1150" s="33"/>
      <c r="M1150" s="33">
        <f t="shared" si="188"/>
        <v>51</v>
      </c>
      <c r="N1150" s="33">
        <f>IF(OR(H1150="",H1150="sif",H1150="PM"),0,VLOOKUP(H1150,[5]CU!$C$4:$H$255,6,FALSE))</f>
        <v>10.034934666666667</v>
      </c>
      <c r="O1150" s="33">
        <f t="shared" si="189"/>
        <v>0</v>
      </c>
      <c r="P1150" s="33">
        <f t="shared" si="189"/>
        <v>0</v>
      </c>
      <c r="Q1150" s="33">
        <f t="shared" si="189"/>
        <v>511.78166799999997</v>
      </c>
      <c r="R1150" s="33">
        <f t="shared" si="189"/>
        <v>0</v>
      </c>
      <c r="S1150" s="34">
        <f t="shared" si="190"/>
        <v>511.78166799999997</v>
      </c>
      <c r="T1150" s="35" t="s">
        <v>56</v>
      </c>
      <c r="U1150" s="18" t="s">
        <v>1156</v>
      </c>
      <c r="V1150" s="18" t="str">
        <f>IF(OR($H1150="",$H1150="sif",$H1150="PM"),"",VLOOKUP($H1150,[5]CU!$C$5:$J$255,8,FALSE))</f>
        <v>5. Investissement</v>
      </c>
      <c r="W1150" s="18" t="s">
        <v>521</v>
      </c>
      <c r="X1150" s="18" t="s">
        <v>142</v>
      </c>
      <c r="Y1150" s="18" t="s">
        <v>677</v>
      </c>
      <c r="Z1150" s="18" t="str">
        <f>A1150 &amp; "-" &amp; VLOOKUP(A1150,[4]PROGRAMMES!$E$1:$F$7,2,FALSE)</f>
        <v>3-Expansion et réforme de l’ETFP</v>
      </c>
      <c r="AA1150" s="19" t="str">
        <f>B1150 &amp; "-" &amp; VLOOKUP(B1150,[4]SOUSPROGRAMMES!$E$1:$F$44,2,FALSE)</f>
        <v>36- Renforcement des capacités de pilotage et de gestion dans le cadre d’une gouvernance parteunariale multi niveaux</v>
      </c>
      <c r="AB1150" s="19" t="str">
        <f>C1150 &amp; "-" &amp; VLOOKUP(C1150,[4]RESULTATS!$E$1:$F$176,2,FALSE)</f>
        <v>364- La capacité de pilotage et de mise en œuvre, technique et financière, de l’ETFP est renforcée</v>
      </c>
      <c r="AC1150" s="20" t="str">
        <f>D1150 &amp; "-" &amp; VLOOKUP(D1150,[4]STRATEGIES!$E$1:$F$504,2,FALSE)</f>
        <v xml:space="preserve">3643-Renforcement des moyens et outils de travail
</v>
      </c>
      <c r="AD1150" s="21" t="str">
        <f t="shared" si="184"/>
        <v>36434-Acquisition de matériels informatiques pour la GRH</v>
      </c>
    </row>
    <row r="1151" spans="1:30" s="22" customFormat="1" ht="60" hidden="1" customHeight="1" x14ac:dyDescent="0.8">
      <c r="A1151" s="14">
        <v>3</v>
      </c>
      <c r="B1151" s="15">
        <v>36</v>
      </c>
      <c r="C1151" s="15">
        <v>364</v>
      </c>
      <c r="D1151" s="15">
        <v>3643</v>
      </c>
      <c r="E1151" s="15">
        <v>36435</v>
      </c>
      <c r="F1151" s="16" t="s">
        <v>1507</v>
      </c>
      <c r="G1151" s="21" t="s">
        <v>1508</v>
      </c>
      <c r="H1151" s="17" t="s">
        <v>1509</v>
      </c>
      <c r="I1151" s="33">
        <v>0</v>
      </c>
      <c r="J1151" s="33"/>
      <c r="K1151" s="33">
        <v>51</v>
      </c>
      <c r="L1151" s="33"/>
      <c r="M1151" s="33">
        <f t="shared" si="188"/>
        <v>51</v>
      </c>
      <c r="N1151" s="33">
        <f>IF(OR(H1151="",H1151="sif",H1151="PM"),0,VLOOKUP(H1151,[5]CU!$C$4:$H$255,6,FALSE))</f>
        <v>0.48333333333333334</v>
      </c>
      <c r="O1151" s="33">
        <f t="shared" si="189"/>
        <v>0</v>
      </c>
      <c r="P1151" s="33">
        <f t="shared" si="189"/>
        <v>0</v>
      </c>
      <c r="Q1151" s="33">
        <f t="shared" si="189"/>
        <v>24.65</v>
      </c>
      <c r="R1151" s="33">
        <f t="shared" si="189"/>
        <v>0</v>
      </c>
      <c r="S1151" s="34">
        <f t="shared" si="190"/>
        <v>24.65</v>
      </c>
      <c r="T1151" s="35" t="s">
        <v>56</v>
      </c>
      <c r="U1151" s="18" t="s">
        <v>1156</v>
      </c>
      <c r="V1151" s="18" t="str">
        <f>IF(OR($H1151="",$H1151="sif",$H1151="PM"),"",VLOOKUP($H1151,[5]CU!$C$5:$J$255,8,FALSE))</f>
        <v>3. Dépenses de fonctionnement</v>
      </c>
      <c r="W1151" s="18" t="s">
        <v>521</v>
      </c>
      <c r="X1151" s="19" t="s">
        <v>1510</v>
      </c>
      <c r="Y1151" s="18" t="s">
        <v>677</v>
      </c>
      <c r="Z1151" s="18" t="str">
        <f>A1151 &amp; "-" &amp; VLOOKUP(A1151,[4]PROGRAMMES!$E$1:$F$7,2,FALSE)</f>
        <v>3-Expansion et réforme de l’ETFP</v>
      </c>
      <c r="AA1151" s="19" t="str">
        <f>B1151 &amp; "-" &amp; VLOOKUP(B1151,[4]SOUSPROGRAMMES!$E$1:$F$44,2,FALSE)</f>
        <v>36- Renforcement des capacités de pilotage et de gestion dans le cadre d’une gouvernance parteunariale multi niveaux</v>
      </c>
      <c r="AB1151" s="19" t="str">
        <f>C1151 &amp; "-" &amp; VLOOKUP(C1151,[4]RESULTATS!$E$1:$F$176,2,FALSE)</f>
        <v>364- La capacité de pilotage et de mise en œuvre, technique et financière, de l’ETFP est renforcée</v>
      </c>
      <c r="AC1151" s="20" t="str">
        <f>D1151 &amp; "-" &amp; VLOOKUP(D1151,[4]STRATEGIES!$E$1:$F$504,2,FALSE)</f>
        <v xml:space="preserve">3643-Renforcement des moyens et outils de travail
</v>
      </c>
      <c r="AD1151" s="21" t="str">
        <f t="shared" si="184"/>
        <v>36435-Acquisition de MODEMS internet</v>
      </c>
    </row>
    <row r="1152" spans="1:30" s="22" customFormat="1" ht="60" hidden="1" customHeight="1" x14ac:dyDescent="0.8">
      <c r="A1152" s="14">
        <v>3</v>
      </c>
      <c r="B1152" s="15">
        <v>36</v>
      </c>
      <c r="C1152" s="15">
        <v>364</v>
      </c>
      <c r="D1152" s="15">
        <v>3643</v>
      </c>
      <c r="E1152" s="15">
        <v>36436</v>
      </c>
      <c r="F1152" s="16" t="s">
        <v>1511</v>
      </c>
      <c r="G1152" s="21" t="s">
        <v>836</v>
      </c>
      <c r="H1152" s="17" t="s">
        <v>55</v>
      </c>
      <c r="I1152" s="33">
        <v>0</v>
      </c>
      <c r="J1152" s="33"/>
      <c r="K1152" s="33">
        <v>1</v>
      </c>
      <c r="L1152" s="33">
        <v>1</v>
      </c>
      <c r="M1152" s="33">
        <f t="shared" si="188"/>
        <v>2</v>
      </c>
      <c r="N1152" s="33">
        <f>IF(OR(H1152="",H1152="sif",H1152="PM"),0,VLOOKUP(H1152,[5]CU!$C$4:$H$255,6,FALSE))</f>
        <v>0</v>
      </c>
      <c r="O1152" s="33">
        <f t="shared" si="189"/>
        <v>0</v>
      </c>
      <c r="P1152" s="33">
        <f t="shared" si="189"/>
        <v>0</v>
      </c>
      <c r="Q1152" s="33">
        <f t="shared" si="189"/>
        <v>0</v>
      </c>
      <c r="R1152" s="33">
        <f t="shared" si="189"/>
        <v>0</v>
      </c>
      <c r="S1152" s="34"/>
      <c r="T1152" s="35" t="s">
        <v>56</v>
      </c>
      <c r="U1152" s="18" t="s">
        <v>1156</v>
      </c>
      <c r="V1152" s="18" t="str">
        <f>IF(OR($H1152="",$H1152="sif",$H1152="PM"),"",VLOOKUP($H1152,[5]CU!$C$5:$J$255,8,FALSE))</f>
        <v/>
      </c>
      <c r="W1152" s="18" t="s">
        <v>142</v>
      </c>
      <c r="X1152" s="18" t="s">
        <v>1512</v>
      </c>
      <c r="Y1152" s="18" t="s">
        <v>677</v>
      </c>
      <c r="Z1152" s="18" t="str">
        <f>A1152 &amp; "-" &amp; VLOOKUP(A1152,[4]PROGRAMMES!$E$1:$F$7,2,FALSE)</f>
        <v>3-Expansion et réforme de l’ETFP</v>
      </c>
      <c r="AA1152" s="19" t="str">
        <f>B1152 &amp; "-" &amp; VLOOKUP(B1152,[4]SOUSPROGRAMMES!$E$1:$F$44,2,FALSE)</f>
        <v>36- Renforcement des capacités de pilotage et de gestion dans le cadre d’une gouvernance parteunariale multi niveaux</v>
      </c>
      <c r="AB1152" s="19" t="str">
        <f>C1152 &amp; "-" &amp; VLOOKUP(C1152,[4]RESULTATS!$E$1:$F$176,2,FALSE)</f>
        <v>364- La capacité de pilotage et de mise en œuvre, technique et financière, de l’ETFP est renforcée</v>
      </c>
      <c r="AC1152" s="20" t="str">
        <f>D1152 &amp; "-" &amp; VLOOKUP(D1152,[4]STRATEGIES!$E$1:$F$504,2,FALSE)</f>
        <v xml:space="preserve">3643-Renforcement des moyens et outils de travail
</v>
      </c>
      <c r="AD1152" s="21" t="str">
        <f t="shared" si="184"/>
        <v>36436-Mise à jour régulière de la base de données GRH (compris dans activités 36433 et 36434)</v>
      </c>
    </row>
    <row r="1153" spans="1:30" s="22" customFormat="1" ht="60" hidden="1" customHeight="1" x14ac:dyDescent="0.8">
      <c r="A1153" s="14">
        <v>3</v>
      </c>
      <c r="B1153" s="15">
        <v>36</v>
      </c>
      <c r="C1153" s="15">
        <v>364</v>
      </c>
      <c r="D1153" s="15">
        <v>3643</v>
      </c>
      <c r="E1153" s="15">
        <v>36437</v>
      </c>
      <c r="F1153" s="16" t="s">
        <v>1513</v>
      </c>
      <c r="G1153" s="21" t="s">
        <v>1514</v>
      </c>
      <c r="H1153" s="17" t="s">
        <v>980</v>
      </c>
      <c r="I1153" s="33">
        <v>0</v>
      </c>
      <c r="J1153" s="33">
        <f>4*50%</f>
        <v>2</v>
      </c>
      <c r="K1153" s="33">
        <f>4*50%</f>
        <v>2</v>
      </c>
      <c r="L1153" s="33">
        <f>2*50%</f>
        <v>1</v>
      </c>
      <c r="M1153" s="33">
        <f>SUM(I1153:L1153)</f>
        <v>5</v>
      </c>
      <c r="N1153" s="33">
        <f>IF(OR(H1153="",H1153="sif",H1153="PM"),0,VLOOKUP(H1153,[5]CU!$C$4:$H$255,6,FALSE))</f>
        <v>300</v>
      </c>
      <c r="O1153" s="33">
        <f>IFERROR($N1153*I1153,0)</f>
        <v>0</v>
      </c>
      <c r="P1153" s="33">
        <f>IFERROR($N1153*J1153,0)</f>
        <v>600</v>
      </c>
      <c r="Q1153" s="33">
        <f>IFERROR($N1153*K1153,0)</f>
        <v>600</v>
      </c>
      <c r="R1153" s="33">
        <f>IFERROR($N1153*L1153,0)</f>
        <v>300</v>
      </c>
      <c r="S1153" s="34">
        <f>SUM(O1153:R1153)</f>
        <v>1500</v>
      </c>
      <c r="T1153" s="35" t="s">
        <v>56</v>
      </c>
      <c r="U1153" s="18" t="s">
        <v>1156</v>
      </c>
      <c r="V1153" s="18" t="str">
        <f>IF(OR($H1153="",$H1153="sif",$H1153="PM"),"",VLOOKUP($H1153,[5]CU!$C$5:$J$255,8,FALSE))</f>
        <v>5. Investissement</v>
      </c>
      <c r="W1153" s="18" t="s">
        <v>521</v>
      </c>
      <c r="X1153" s="18" t="s">
        <v>1515</v>
      </c>
      <c r="Y1153" s="18" t="s">
        <v>677</v>
      </c>
      <c r="Z1153" s="18" t="str">
        <f>A1153 &amp; "-" &amp; VLOOKUP(A1153,[4]PROGRAMMES!$E$1:$F$7,2,FALSE)</f>
        <v>3-Expansion et réforme de l’ETFP</v>
      </c>
      <c r="AA1153" s="19" t="str">
        <f>B1153 &amp; "-" &amp; VLOOKUP(B1153,[4]SOUSPROGRAMMES!$E$1:$F$44,2,FALSE)</f>
        <v>36- Renforcement des capacités de pilotage et de gestion dans le cadre d’une gouvernance parteunariale multi niveaux</v>
      </c>
      <c r="AB1153" s="19" t="str">
        <f>C1153 &amp; "-" &amp; VLOOKUP(C1153,[4]RESULTATS!$E$1:$F$176,2,FALSE)</f>
        <v>364- La capacité de pilotage et de mise en œuvre, technique et financière, de l’ETFP est renforcée</v>
      </c>
      <c r="AC1153" s="20" t="str">
        <f>D1153 &amp; "-" &amp; VLOOKUP(D1153,[4]STRATEGIES!$E$1:$F$504,2,FALSE)</f>
        <v xml:space="preserve">3643-Renforcement des moyens et outils de travail
</v>
      </c>
      <c r="AD1153" s="21" t="str">
        <f t="shared" si="184"/>
        <v>36437-Acquisition de moyens logistiques pour les Directions nationales et Inspections régionales de l'ETFP</v>
      </c>
    </row>
    <row r="1154" spans="1:30" s="22" customFormat="1" ht="60" hidden="1" customHeight="1" x14ac:dyDescent="0.8">
      <c r="A1154" s="14">
        <v>3</v>
      </c>
      <c r="B1154" s="15">
        <v>36</v>
      </c>
      <c r="C1154" s="15">
        <v>364</v>
      </c>
      <c r="D1154" s="15">
        <v>3643</v>
      </c>
      <c r="E1154" s="15">
        <v>36437</v>
      </c>
      <c r="F1154" s="16" t="s">
        <v>1513</v>
      </c>
      <c r="G1154" s="21" t="s">
        <v>1514</v>
      </c>
      <c r="H1154" s="17" t="s">
        <v>980</v>
      </c>
      <c r="I1154" s="33">
        <v>0</v>
      </c>
      <c r="J1154" s="33">
        <f>4*50%</f>
        <v>2</v>
      </c>
      <c r="K1154" s="33">
        <f>4*50%</f>
        <v>2</v>
      </c>
      <c r="L1154" s="33">
        <f>2*50%</f>
        <v>1</v>
      </c>
      <c r="M1154" s="33">
        <f t="shared" si="188"/>
        <v>5</v>
      </c>
      <c r="N1154" s="33">
        <f>IF(OR(H1154="",H1154="sif",H1154="PM"),0,VLOOKUP(H1154,[5]CU!$C$4:$H$255,6,FALSE))</f>
        <v>300</v>
      </c>
      <c r="O1154" s="33">
        <f t="shared" si="189"/>
        <v>0</v>
      </c>
      <c r="P1154" s="33">
        <f t="shared" si="189"/>
        <v>600</v>
      </c>
      <c r="Q1154" s="33">
        <f t="shared" si="189"/>
        <v>600</v>
      </c>
      <c r="R1154" s="33">
        <f t="shared" si="189"/>
        <v>300</v>
      </c>
      <c r="S1154" s="34">
        <f>SUM(O1154:R1154)</f>
        <v>1500</v>
      </c>
      <c r="T1154" s="35" t="s">
        <v>118</v>
      </c>
      <c r="U1154" s="18" t="s">
        <v>1156</v>
      </c>
      <c r="V1154" s="18" t="str">
        <f>IF(OR($H1154="",$H1154="sif",$H1154="PM"),"",VLOOKUP($H1154,[5]CU!$C$5:$J$255,8,FALSE))</f>
        <v>5. Investissement</v>
      </c>
      <c r="W1154" s="18" t="s">
        <v>521</v>
      </c>
      <c r="X1154" s="18" t="s">
        <v>1515</v>
      </c>
      <c r="Y1154" s="18" t="s">
        <v>677</v>
      </c>
      <c r="Z1154" s="18" t="str">
        <f>A1154 &amp; "-" &amp; VLOOKUP(A1154,[4]PROGRAMMES!$E$1:$F$7,2,FALSE)</f>
        <v>3-Expansion et réforme de l’ETFP</v>
      </c>
      <c r="AA1154" s="19" t="str">
        <f>B1154 &amp; "-" &amp; VLOOKUP(B1154,[4]SOUSPROGRAMMES!$E$1:$F$44,2,FALSE)</f>
        <v>36- Renforcement des capacités de pilotage et de gestion dans le cadre d’une gouvernance parteunariale multi niveaux</v>
      </c>
      <c r="AB1154" s="19" t="str">
        <f>C1154 &amp; "-" &amp; VLOOKUP(C1154,[4]RESULTATS!$E$1:$F$176,2,FALSE)</f>
        <v>364- La capacité de pilotage et de mise en œuvre, technique et financière, de l’ETFP est renforcée</v>
      </c>
      <c r="AC1154" s="20" t="str">
        <f>D1154 &amp; "-" &amp; VLOOKUP(D1154,[4]STRATEGIES!$E$1:$F$504,2,FALSE)</f>
        <v xml:space="preserve">3643-Renforcement des moyens et outils de travail
</v>
      </c>
      <c r="AD1154" s="21" t="str">
        <f t="shared" si="184"/>
        <v>36437-Acquisition de moyens logistiques pour les Directions nationales et Inspections régionales de l'ETFP</v>
      </c>
    </row>
    <row r="1155" spans="1:30" s="22" customFormat="1" ht="60" hidden="1" customHeight="1" x14ac:dyDescent="0.8">
      <c r="A1155" s="14">
        <v>3</v>
      </c>
      <c r="B1155" s="15">
        <v>36</v>
      </c>
      <c r="C1155" s="15">
        <v>364</v>
      </c>
      <c r="D1155" s="15">
        <v>3643</v>
      </c>
      <c r="E1155" s="15">
        <v>36438</v>
      </c>
      <c r="F1155" s="16" t="s">
        <v>1516</v>
      </c>
      <c r="G1155" s="21" t="s">
        <v>103</v>
      </c>
      <c r="H1155" s="17" t="s">
        <v>1517</v>
      </c>
      <c r="I1155" s="33">
        <v>0</v>
      </c>
      <c r="J1155" s="33"/>
      <c r="K1155" s="33">
        <v>4</v>
      </c>
      <c r="L1155" s="33">
        <v>4</v>
      </c>
      <c r="M1155" s="33">
        <f t="shared" si="188"/>
        <v>8</v>
      </c>
      <c r="N1155" s="33">
        <f>IF(OR(H1155="",H1155="sif",H1155="PM"),0,VLOOKUP(H1155,[5]CU!$C$4:$H$255,6,FALSE))</f>
        <v>173.22474299999999</v>
      </c>
      <c r="O1155" s="33">
        <f t="shared" si="189"/>
        <v>0</v>
      </c>
      <c r="P1155" s="33">
        <f t="shared" si="189"/>
        <v>0</v>
      </c>
      <c r="Q1155" s="33">
        <f t="shared" si="189"/>
        <v>692.89897199999996</v>
      </c>
      <c r="R1155" s="33">
        <f t="shared" si="189"/>
        <v>692.89897199999996</v>
      </c>
      <c r="S1155" s="34">
        <f>SUM(O1155:R1155)</f>
        <v>1385.7979439999999</v>
      </c>
      <c r="T1155" s="35" t="s">
        <v>56</v>
      </c>
      <c r="U1155" s="18" t="s">
        <v>1156</v>
      </c>
      <c r="V1155" s="18" t="str">
        <f>IF(OR($H1155="",$H1155="sif",$H1155="PM"),"",VLOOKUP($H1155,[5]CU!$C$5:$J$255,8,FALSE))</f>
        <v>5. Investissement</v>
      </c>
      <c r="W1155" s="18" t="s">
        <v>521</v>
      </c>
      <c r="X1155" s="19" t="s">
        <v>1518</v>
      </c>
      <c r="Y1155" s="18" t="s">
        <v>677</v>
      </c>
      <c r="Z1155" s="18" t="str">
        <f>A1155 &amp; "-" &amp; VLOOKUP(A1155,[4]PROGRAMMES!$E$1:$F$7,2,FALSE)</f>
        <v>3-Expansion et réforme de l’ETFP</v>
      </c>
      <c r="AA1155" s="19" t="str">
        <f>B1155 &amp; "-" &amp; VLOOKUP(B1155,[4]SOUSPROGRAMMES!$E$1:$F$44,2,FALSE)</f>
        <v>36- Renforcement des capacités de pilotage et de gestion dans le cadre d’une gouvernance parteunariale multi niveaux</v>
      </c>
      <c r="AB1155" s="19" t="str">
        <f>C1155 &amp; "-" &amp; VLOOKUP(C1155,[4]RESULTATS!$E$1:$F$176,2,FALSE)</f>
        <v>364- La capacité de pilotage et de mise en œuvre, technique et financière, de l’ETFP est renforcée</v>
      </c>
      <c r="AC1155" s="20" t="str">
        <f>D1155 &amp; "-" &amp; VLOOKUP(D1155,[4]STRATEGIES!$E$1:$F$504,2,FALSE)</f>
        <v xml:space="preserve">3643-Renforcement des moyens et outils de travail
</v>
      </c>
      <c r="AD1155" s="21" t="str">
        <f t="shared" si="184"/>
        <v>36438-Construction de 8 inspections régionales de l'ETFP</v>
      </c>
    </row>
    <row r="1156" spans="1:30" s="22" customFormat="1" ht="60" hidden="1" customHeight="1" x14ac:dyDescent="0.8">
      <c r="A1156" s="14">
        <v>3</v>
      </c>
      <c r="B1156" s="15">
        <v>36</v>
      </c>
      <c r="C1156" s="15">
        <v>364</v>
      </c>
      <c r="D1156" s="15">
        <v>3643</v>
      </c>
      <c r="E1156" s="15">
        <v>36439</v>
      </c>
      <c r="F1156" s="16" t="s">
        <v>1519</v>
      </c>
      <c r="G1156" s="21" t="s">
        <v>1520</v>
      </c>
      <c r="H1156" s="17" t="s">
        <v>1521</v>
      </c>
      <c r="I1156" s="33">
        <v>0</v>
      </c>
      <c r="J1156" s="33"/>
      <c r="K1156" s="33"/>
      <c r="L1156" s="33">
        <v>4</v>
      </c>
      <c r="M1156" s="33">
        <f t="shared" si="188"/>
        <v>4</v>
      </c>
      <c r="N1156" s="33">
        <f>IF(OR(H1156="",H1156="sif",H1156="PM"),0,VLOOKUP(H1156,[5]CU!$C$4:$H$255,6,FALSE))</f>
        <v>610.48388699999998</v>
      </c>
      <c r="O1156" s="33">
        <f t="shared" si="189"/>
        <v>0</v>
      </c>
      <c r="P1156" s="33">
        <f t="shared" si="189"/>
        <v>0</v>
      </c>
      <c r="Q1156" s="33">
        <f t="shared" si="189"/>
        <v>0</v>
      </c>
      <c r="R1156" s="33">
        <f t="shared" si="189"/>
        <v>2441.9355479999999</v>
      </c>
      <c r="S1156" s="34">
        <f>SUM(O1156:R1156)</f>
        <v>2441.9355479999999</v>
      </c>
      <c r="T1156" s="35" t="s">
        <v>56</v>
      </c>
      <c r="U1156" s="18" t="s">
        <v>1156</v>
      </c>
      <c r="V1156" s="18" t="str">
        <f>IF(OR($H1156="",$H1156="sif",$H1156="PM"),"",VLOOKUP($H1156,[5]CU!$C$5:$J$255,8,FALSE))</f>
        <v>5. Investissement</v>
      </c>
      <c r="W1156" s="18" t="s">
        <v>521</v>
      </c>
      <c r="X1156" s="18" t="s">
        <v>1522</v>
      </c>
      <c r="Y1156" s="18" t="s">
        <v>677</v>
      </c>
      <c r="Z1156" s="18" t="str">
        <f>A1156 &amp; "-" &amp; VLOOKUP(A1156,[4]PROGRAMMES!$E$1:$F$7,2,FALSE)</f>
        <v>3-Expansion et réforme de l’ETFP</v>
      </c>
      <c r="AA1156" s="19" t="str">
        <f>B1156 &amp; "-" &amp; VLOOKUP(B1156,[4]SOUSPROGRAMMES!$E$1:$F$44,2,FALSE)</f>
        <v>36- Renforcement des capacités de pilotage et de gestion dans le cadre d’une gouvernance parteunariale multi niveaux</v>
      </c>
      <c r="AB1156" s="19" t="str">
        <f>C1156 &amp; "-" &amp; VLOOKUP(C1156,[4]RESULTATS!$E$1:$F$176,2,FALSE)</f>
        <v>364- La capacité de pilotage et de mise en œuvre, technique et financière, de l’ETFP est renforcée</v>
      </c>
      <c r="AC1156" s="20" t="str">
        <f>D1156 &amp; "-" &amp; VLOOKUP(D1156,[4]STRATEGIES!$E$1:$F$504,2,FALSE)</f>
        <v xml:space="preserve">3643-Renforcement des moyens et outils de travail
</v>
      </c>
      <c r="AD1156" s="21" t="str">
        <f t="shared" ref="AD1156:AD1219" si="191">E1156 &amp; "-" &amp; F1156</f>
        <v>36439-Equipement de 8 inspections</v>
      </c>
    </row>
    <row r="1157" spans="1:30" s="22" customFormat="1" ht="60" hidden="1" customHeight="1" x14ac:dyDescent="0.8">
      <c r="A1157" s="14">
        <v>3</v>
      </c>
      <c r="B1157" s="15">
        <v>36</v>
      </c>
      <c r="C1157" s="15">
        <v>364</v>
      </c>
      <c r="D1157" s="15">
        <v>3644</v>
      </c>
      <c r="E1157" s="15">
        <v>3644</v>
      </c>
      <c r="F1157" s="16" t="s">
        <v>1523</v>
      </c>
      <c r="G1157" s="17"/>
      <c r="H1157" s="17"/>
      <c r="I1157" s="33">
        <v>0</v>
      </c>
      <c r="J1157" s="33"/>
      <c r="K1157" s="33"/>
      <c r="L1157" s="33"/>
      <c r="M1157" s="33"/>
      <c r="N1157" s="33"/>
      <c r="O1157" s="33"/>
      <c r="P1157" s="33"/>
      <c r="Q1157" s="33"/>
      <c r="R1157" s="33"/>
      <c r="S1157" s="34"/>
      <c r="T1157" s="33"/>
      <c r="U1157" s="18"/>
      <c r="V1157" s="18"/>
      <c r="W1157" s="18"/>
      <c r="X1157" s="18"/>
      <c r="Y1157" s="18" t="s">
        <v>677</v>
      </c>
      <c r="Z1157" s="18" t="str">
        <f>A1157 &amp; "-" &amp; VLOOKUP(A1157,[4]PROGRAMMES!$E$1:$F$7,2,FALSE)</f>
        <v>3-Expansion et réforme de l’ETFP</v>
      </c>
      <c r="AA1157" s="19" t="str">
        <f>B1157 &amp; "-" &amp; VLOOKUP(B1157,[4]SOUSPROGRAMMES!$E$1:$F$44,2,FALSE)</f>
        <v>36- Renforcement des capacités de pilotage et de gestion dans le cadre d’une gouvernance parteunariale multi niveaux</v>
      </c>
      <c r="AB1157" s="19" t="str">
        <f>C1157 &amp; "-" &amp; VLOOKUP(C1157,[4]RESULTATS!$E$1:$F$176,2,FALSE)</f>
        <v>364- La capacité de pilotage et de mise en œuvre, technique et financière, de l’ETFP est renforcée</v>
      </c>
      <c r="AC1157" s="20" t="str">
        <f>D1157 &amp; "-" &amp; VLOOKUP(D1157,[4]STRATEGIES!$E$1:$F$504,2,FALSE)</f>
        <v>3644-Adaptation et mise en cohérence des rôles et responsabilités des différentes structures concernées par l’ETFP</v>
      </c>
      <c r="AD1157" s="21" t="str">
        <f t="shared" si="191"/>
        <v>3644-Adaptation et mise en cohérence des rôles et responsabilités des différentes structures concernées par l’ETFP</v>
      </c>
    </row>
    <row r="1158" spans="1:30" s="22" customFormat="1" ht="60" hidden="1" customHeight="1" x14ac:dyDescent="0.8">
      <c r="A1158" s="14">
        <v>3</v>
      </c>
      <c r="B1158" s="15">
        <v>36</v>
      </c>
      <c r="C1158" s="15">
        <v>364</v>
      </c>
      <c r="D1158" s="15">
        <v>3644</v>
      </c>
      <c r="E1158" s="15">
        <v>36441</v>
      </c>
      <c r="F1158" s="16" t="s">
        <v>1524</v>
      </c>
      <c r="G1158" s="21" t="s">
        <v>836</v>
      </c>
      <c r="H1158" s="17" t="s">
        <v>55</v>
      </c>
      <c r="I1158" s="33">
        <v>0</v>
      </c>
      <c r="J1158" s="33"/>
      <c r="K1158" s="33">
        <v>1</v>
      </c>
      <c r="L1158" s="33"/>
      <c r="M1158" s="33">
        <f t="shared" si="188"/>
        <v>1</v>
      </c>
      <c r="N1158" s="33">
        <f>IF(OR(H1158="",H1158="sif",H1158="PM"),0,VLOOKUP(H1158,[5]CU!$C$4:$H$255,6,FALSE))</f>
        <v>0</v>
      </c>
      <c r="O1158" s="33">
        <f t="shared" si="189"/>
        <v>0</v>
      </c>
      <c r="P1158" s="33">
        <f t="shared" si="189"/>
        <v>0</v>
      </c>
      <c r="Q1158" s="33">
        <f t="shared" si="189"/>
        <v>0</v>
      </c>
      <c r="R1158" s="33">
        <f t="shared" si="189"/>
        <v>0</v>
      </c>
      <c r="S1158" s="34"/>
      <c r="T1158" s="35" t="s">
        <v>56</v>
      </c>
      <c r="U1158" s="18" t="s">
        <v>1156</v>
      </c>
      <c r="V1158" s="18" t="str">
        <f>IF(OR($H1158="",$H1158="sif",$H1158="PM"),"",VLOOKUP($H1158,[5]CU!$C$5:$J$255,8,FALSE))</f>
        <v/>
      </c>
      <c r="W1158" s="18" t="s">
        <v>142</v>
      </c>
      <c r="X1158" s="18" t="s">
        <v>1334</v>
      </c>
      <c r="Y1158" s="18" t="s">
        <v>677</v>
      </c>
      <c r="Z1158" s="18" t="str">
        <f>A1158 &amp; "-" &amp; VLOOKUP(A1158,[4]PROGRAMMES!$E$1:$F$7,2,FALSE)</f>
        <v>3-Expansion et réforme de l’ETFP</v>
      </c>
      <c r="AA1158" s="19" t="str">
        <f>B1158 &amp; "-" &amp; VLOOKUP(B1158,[4]SOUSPROGRAMMES!$E$1:$F$44,2,FALSE)</f>
        <v>36- Renforcement des capacités de pilotage et de gestion dans le cadre d’une gouvernance parteunariale multi niveaux</v>
      </c>
      <c r="AB1158" s="19" t="str">
        <f>C1158 &amp; "-" &amp; VLOOKUP(C1158,[4]RESULTATS!$E$1:$F$176,2,FALSE)</f>
        <v>364- La capacité de pilotage et de mise en œuvre, technique et financière, de l’ETFP est renforcée</v>
      </c>
      <c r="AC1158" s="20" t="str">
        <f>D1158 &amp; "-" &amp; VLOOKUP(D1158,[4]STRATEGIES!$E$1:$F$504,2,FALSE)</f>
        <v>3644-Adaptation et mise en cohérence des rôles et responsabilités des différentes structures concernées par l’ETFP</v>
      </c>
      <c r="AD1158" s="21" t="str">
        <f t="shared" si="191"/>
        <v>36441-Révision des textes et cadres organiques des structures et services de l'ETFP (attributions, organisations et fonctionnement des services)</v>
      </c>
    </row>
    <row r="1159" spans="1:30" s="22" customFormat="1" ht="60" hidden="1" customHeight="1" x14ac:dyDescent="0.8">
      <c r="A1159" s="14">
        <v>3</v>
      </c>
      <c r="B1159" s="15">
        <v>36</v>
      </c>
      <c r="C1159" s="15">
        <v>364</v>
      </c>
      <c r="D1159" s="15">
        <v>3644</v>
      </c>
      <c r="E1159" s="15">
        <v>36442</v>
      </c>
      <c r="F1159" s="16" t="s">
        <v>1525</v>
      </c>
      <c r="G1159" s="21" t="s">
        <v>1526</v>
      </c>
      <c r="H1159" s="17" t="s">
        <v>66</v>
      </c>
      <c r="I1159" s="33">
        <v>0</v>
      </c>
      <c r="J1159" s="33"/>
      <c r="K1159" s="33">
        <f>15*5</f>
        <v>75</v>
      </c>
      <c r="L1159" s="33"/>
      <c r="M1159" s="33">
        <f t="shared" si="188"/>
        <v>75</v>
      </c>
      <c r="N1159" s="33">
        <f>IF(OR(H1159="",H1159="sif",H1159="PM"),0,VLOOKUP(H1159,[5]CU!$C$4:$H$255,6,FALSE))</f>
        <v>0.255</v>
      </c>
      <c r="O1159" s="33">
        <f t="shared" si="189"/>
        <v>0</v>
      </c>
      <c r="P1159" s="33">
        <f t="shared" si="189"/>
        <v>0</v>
      </c>
      <c r="Q1159" s="33">
        <f t="shared" si="189"/>
        <v>19.125</v>
      </c>
      <c r="R1159" s="33">
        <f t="shared" si="189"/>
        <v>0</v>
      </c>
      <c r="S1159" s="34">
        <f>SUM(O1159:R1159)</f>
        <v>19.125</v>
      </c>
      <c r="T1159" s="35" t="s">
        <v>56</v>
      </c>
      <c r="U1159" s="18" t="s">
        <v>1156</v>
      </c>
      <c r="V1159" s="18" t="str">
        <f>IF(OR($H1159="",$H1159="sif",$H1159="PM"),"",VLOOKUP($H1159,[5]CU!$C$5:$J$255,8,FALSE))</f>
        <v>3. Dépenses de fonctionnement</v>
      </c>
      <c r="W1159" s="18" t="s">
        <v>1334</v>
      </c>
      <c r="X1159" s="18" t="s">
        <v>1162</v>
      </c>
      <c r="Y1159" s="18" t="s">
        <v>677</v>
      </c>
      <c r="Z1159" s="18" t="str">
        <f>A1159 &amp; "-" &amp; VLOOKUP(A1159,[4]PROGRAMMES!$E$1:$F$7,2,FALSE)</f>
        <v>3-Expansion et réforme de l’ETFP</v>
      </c>
      <c r="AA1159" s="19" t="str">
        <f>B1159 &amp; "-" &amp; VLOOKUP(B1159,[4]SOUSPROGRAMMES!$E$1:$F$44,2,FALSE)</f>
        <v>36- Renforcement des capacités de pilotage et de gestion dans le cadre d’une gouvernance parteunariale multi niveaux</v>
      </c>
      <c r="AB1159" s="19" t="str">
        <f>C1159 &amp; "-" &amp; VLOOKUP(C1159,[4]RESULTATS!$E$1:$F$176,2,FALSE)</f>
        <v>364- La capacité de pilotage et de mise en œuvre, technique et financière, de l’ETFP est renforcée</v>
      </c>
      <c r="AC1159" s="20" t="str">
        <f>D1159 &amp; "-" &amp; VLOOKUP(D1159,[4]STRATEGIES!$E$1:$F$504,2,FALSE)</f>
        <v>3644-Adaptation et mise en cohérence des rôles et responsabilités des différentes structures concernées par l’ETFP</v>
      </c>
      <c r="AD1159" s="21" t="str">
        <f t="shared" si="191"/>
        <v>36442-vulgarisation des textes, des lois et conventions et traités</v>
      </c>
    </row>
    <row r="1160" spans="1:30" s="22" customFormat="1" ht="60" hidden="1" customHeight="1" x14ac:dyDescent="0.8">
      <c r="A1160" s="14">
        <v>3</v>
      </c>
      <c r="B1160" s="15">
        <v>36</v>
      </c>
      <c r="C1160" s="15">
        <v>364</v>
      </c>
      <c r="D1160" s="15">
        <v>3644</v>
      </c>
      <c r="E1160" s="15">
        <v>36443</v>
      </c>
      <c r="F1160" s="16" t="s">
        <v>1527</v>
      </c>
      <c r="G1160" s="21" t="s">
        <v>100</v>
      </c>
      <c r="H1160" s="17" t="s">
        <v>662</v>
      </c>
      <c r="I1160" s="33">
        <v>0</v>
      </c>
      <c r="J1160" s="33">
        <f>3*6</f>
        <v>18</v>
      </c>
      <c r="K1160" s="33"/>
      <c r="L1160" s="33"/>
      <c r="M1160" s="33">
        <f t="shared" si="188"/>
        <v>18</v>
      </c>
      <c r="N1160" s="33">
        <f>IF(OR(H1160="",H1160="sif",H1160="PM"),0,VLOOKUP(H1160,[5]CU!$C$4:$H$255,6,FALSE))</f>
        <v>219.54797350000001</v>
      </c>
      <c r="O1160" s="33">
        <f t="shared" si="189"/>
        <v>0</v>
      </c>
      <c r="P1160" s="33">
        <f t="shared" si="189"/>
        <v>3951.863523</v>
      </c>
      <c r="Q1160" s="33">
        <f t="shared" si="189"/>
        <v>0</v>
      </c>
      <c r="R1160" s="33">
        <f t="shared" si="189"/>
        <v>0</v>
      </c>
      <c r="S1160" s="34">
        <f>SUM(O1160:R1160)</f>
        <v>3951.863523</v>
      </c>
      <c r="T1160" s="35" t="s">
        <v>118</v>
      </c>
      <c r="U1160" s="18" t="s">
        <v>1156</v>
      </c>
      <c r="V1160" s="18" t="str">
        <f>IF(OR($H1160="",$H1160="sif",$H1160="PM"),"",VLOOKUP($H1160,[5]CU!$C$5:$J$255,8,FALSE))</f>
        <v>3. Dépenses de fonctionnement</v>
      </c>
      <c r="W1160" s="18" t="s">
        <v>1528</v>
      </c>
      <c r="X1160" s="18" t="s">
        <v>1529</v>
      </c>
      <c r="Y1160" s="18" t="s">
        <v>677</v>
      </c>
      <c r="Z1160" s="18" t="str">
        <f>A1160 &amp; "-" &amp; VLOOKUP(A1160,[4]PROGRAMMES!$E$1:$F$7,2,FALSE)</f>
        <v>3-Expansion et réforme de l’ETFP</v>
      </c>
      <c r="AA1160" s="19" t="str">
        <f>B1160 &amp; "-" &amp; VLOOKUP(B1160,[4]SOUSPROGRAMMES!$E$1:$F$44,2,FALSE)</f>
        <v>36- Renforcement des capacités de pilotage et de gestion dans le cadre d’une gouvernance parteunariale multi niveaux</v>
      </c>
      <c r="AB1160" s="19" t="str">
        <f>C1160 &amp; "-" &amp; VLOOKUP(C1160,[4]RESULTATS!$E$1:$F$176,2,FALSE)</f>
        <v>364- La capacité de pilotage et de mise en œuvre, technique et financière, de l’ETFP est renforcée</v>
      </c>
      <c r="AC1160" s="20" t="str">
        <f>D1160 &amp; "-" &amp; VLOOKUP(D1160,[4]STRATEGIES!$E$1:$F$504,2,FALSE)</f>
        <v>3644-Adaptation et mise en cohérence des rôles et responsabilités des différentes structures concernées par l’ETFP</v>
      </c>
      <c r="AD1160" s="21" t="str">
        <f t="shared" si="191"/>
        <v>36443-Recrutement de consultants pour la formation des inspecteurs de l'enseignement technique et de la formation professionnelle</v>
      </c>
    </row>
    <row r="1161" spans="1:30" s="22" customFormat="1" ht="60" hidden="1" customHeight="1" x14ac:dyDescent="0.8">
      <c r="A1161" s="14">
        <v>3</v>
      </c>
      <c r="B1161" s="15">
        <v>36</v>
      </c>
      <c r="C1161" s="15">
        <v>364</v>
      </c>
      <c r="D1161" s="15">
        <v>3644</v>
      </c>
      <c r="E1161" s="15">
        <v>36444</v>
      </c>
      <c r="F1161" s="16" t="s">
        <v>1530</v>
      </c>
      <c r="G1161" s="21" t="s">
        <v>55</v>
      </c>
      <c r="H1161" s="17"/>
      <c r="I1161" s="33">
        <v>0</v>
      </c>
      <c r="J1161" s="33"/>
      <c r="K1161" s="33"/>
      <c r="L1161" s="33"/>
      <c r="M1161" s="33"/>
      <c r="N1161" s="33">
        <f>IF(OR(H1161="",H1161="sif",H1161="PM"),0,VLOOKUP(H1161,[5]CU!$C$4:$H$255,6,FALSE))</f>
        <v>0</v>
      </c>
      <c r="O1161" s="33"/>
      <c r="P1161" s="33"/>
      <c r="Q1161" s="33"/>
      <c r="R1161" s="33"/>
      <c r="S1161" s="34"/>
      <c r="T1161" s="35" t="s">
        <v>56</v>
      </c>
      <c r="U1161" s="18" t="s">
        <v>1156</v>
      </c>
      <c r="V1161" s="18" t="str">
        <f>IF(OR($H1161="",$H1161="sif",$H1161="PM"),"",VLOOKUP($H1161,[5]CU!$C$5:$J$255,8,FALSE))</f>
        <v/>
      </c>
      <c r="W1161" s="18" t="s">
        <v>1528</v>
      </c>
      <c r="X1161" s="18" t="s">
        <v>1529</v>
      </c>
      <c r="Y1161" s="18" t="s">
        <v>677</v>
      </c>
      <c r="Z1161" s="18" t="str">
        <f>A1161 &amp; "-" &amp; VLOOKUP(A1161,[4]PROGRAMMES!$E$1:$F$7,2,FALSE)</f>
        <v>3-Expansion et réforme de l’ETFP</v>
      </c>
      <c r="AA1161" s="19" t="str">
        <f>B1161 &amp; "-" &amp; VLOOKUP(B1161,[4]SOUSPROGRAMMES!$E$1:$F$44,2,FALSE)</f>
        <v>36- Renforcement des capacités de pilotage et de gestion dans le cadre d’une gouvernance parteunariale multi niveaux</v>
      </c>
      <c r="AB1161" s="19" t="str">
        <f>C1161 &amp; "-" &amp; VLOOKUP(C1161,[4]RESULTATS!$E$1:$F$176,2,FALSE)</f>
        <v>364- La capacité de pilotage et de mise en œuvre, technique et financière, de l’ETFP est renforcée</v>
      </c>
      <c r="AC1161" s="20" t="str">
        <f>D1161 &amp; "-" &amp; VLOOKUP(D1161,[4]STRATEGIES!$E$1:$F$504,2,FALSE)</f>
        <v>3644-Adaptation et mise en cohérence des rôles et responsabilités des différentes structures concernées par l’ETFP</v>
      </c>
      <c r="AD1161" s="21" t="str">
        <f t="shared" si="191"/>
        <v>36444-Recrutement des inspecteurs à former</v>
      </c>
    </row>
    <row r="1162" spans="1:30" s="22" customFormat="1" ht="60" hidden="1" customHeight="1" x14ac:dyDescent="0.8">
      <c r="A1162" s="14">
        <v>3</v>
      </c>
      <c r="B1162" s="15">
        <v>36</v>
      </c>
      <c r="C1162" s="15">
        <v>364</v>
      </c>
      <c r="D1162" s="15">
        <v>3644</v>
      </c>
      <c r="E1162" s="15">
        <v>36445</v>
      </c>
      <c r="F1162" s="16" t="s">
        <v>1531</v>
      </c>
      <c r="G1162" s="21" t="s">
        <v>51</v>
      </c>
      <c r="H1162" s="17" t="s">
        <v>301</v>
      </c>
      <c r="I1162" s="33">
        <v>0</v>
      </c>
      <c r="J1162" s="33">
        <f>30*6</f>
        <v>180</v>
      </c>
      <c r="K1162" s="33"/>
      <c r="L1162" s="33"/>
      <c r="M1162" s="33">
        <f t="shared" ref="M1162:M1169" si="192">SUM(I1162:L1162)</f>
        <v>180</v>
      </c>
      <c r="N1162" s="33">
        <f>IF(OR(H1162="",H1162="sif",H1162="PM"),0,VLOOKUP(H1162,[5]CU!$C$4:$H$255,6,FALSE))</f>
        <v>0.67666666666666664</v>
      </c>
      <c r="O1162" s="33">
        <f t="shared" ref="O1162:R1169" si="193">IFERROR($N1162*I1162,0)</f>
        <v>0</v>
      </c>
      <c r="P1162" s="33">
        <f t="shared" si="193"/>
        <v>121.8</v>
      </c>
      <c r="Q1162" s="33">
        <f t="shared" si="193"/>
        <v>0</v>
      </c>
      <c r="R1162" s="33">
        <f t="shared" si="193"/>
        <v>0</v>
      </c>
      <c r="S1162" s="34">
        <f t="shared" ref="S1162:S1169" si="194">SUM(O1162:R1162)</f>
        <v>121.8</v>
      </c>
      <c r="T1162" s="35" t="s">
        <v>56</v>
      </c>
      <c r="U1162" s="18" t="s">
        <v>1156</v>
      </c>
      <c r="V1162" s="18" t="str">
        <f>IF(OR($H1162="",$H1162="sif",$H1162="PM"),"",VLOOKUP($H1162,[5]CU!$C$5:$J$255,8,FALSE))</f>
        <v>3. Formation</v>
      </c>
      <c r="W1162" s="18" t="s">
        <v>1528</v>
      </c>
      <c r="X1162" s="18" t="s">
        <v>1529</v>
      </c>
      <c r="Y1162" s="18" t="s">
        <v>677</v>
      </c>
      <c r="Z1162" s="18" t="str">
        <f>A1162 &amp; "-" &amp; VLOOKUP(A1162,[4]PROGRAMMES!$E$1:$F$7,2,FALSE)</f>
        <v>3-Expansion et réforme de l’ETFP</v>
      </c>
      <c r="AA1162" s="19" t="str">
        <f>B1162 &amp; "-" &amp; VLOOKUP(B1162,[4]SOUSPROGRAMMES!$E$1:$F$44,2,FALSE)</f>
        <v>36- Renforcement des capacités de pilotage et de gestion dans le cadre d’une gouvernance parteunariale multi niveaux</v>
      </c>
      <c r="AB1162" s="19" t="str">
        <f>C1162 &amp; "-" &amp; VLOOKUP(C1162,[4]RESULTATS!$E$1:$F$176,2,FALSE)</f>
        <v>364- La capacité de pilotage et de mise en œuvre, technique et financière, de l’ETFP est renforcée</v>
      </c>
      <c r="AC1162" s="20" t="str">
        <f>D1162 &amp; "-" &amp; VLOOKUP(D1162,[4]STRATEGIES!$E$1:$F$504,2,FALSE)</f>
        <v>3644-Adaptation et mise en cohérence des rôles et responsabilités des différentes structures concernées par l’ETFP</v>
      </c>
      <c r="AD1162" s="21" t="str">
        <f t="shared" si="191"/>
        <v>36445-Formation des inspecteurs</v>
      </c>
    </row>
    <row r="1163" spans="1:30" s="22" customFormat="1" ht="60" hidden="1" customHeight="1" x14ac:dyDescent="0.8">
      <c r="A1163" s="14">
        <v>3</v>
      </c>
      <c r="B1163" s="15">
        <v>36</v>
      </c>
      <c r="C1163" s="15">
        <v>364</v>
      </c>
      <c r="D1163" s="15">
        <v>3644</v>
      </c>
      <c r="E1163" s="15">
        <v>36446</v>
      </c>
      <c r="F1163" s="16" t="s">
        <v>1532</v>
      </c>
      <c r="G1163" s="21" t="s">
        <v>58</v>
      </c>
      <c r="H1163" s="17" t="s">
        <v>59</v>
      </c>
      <c r="I1163" s="33">
        <v>0</v>
      </c>
      <c r="J1163" s="33">
        <f>16*10*2</f>
        <v>320</v>
      </c>
      <c r="K1163" s="33">
        <f>16*10*2</f>
        <v>320</v>
      </c>
      <c r="L1163" s="33">
        <f>16*10*2</f>
        <v>320</v>
      </c>
      <c r="M1163" s="33">
        <f t="shared" si="192"/>
        <v>960</v>
      </c>
      <c r="N1163" s="33">
        <f>IF(OR(H1163="",H1163="sif",H1163="PM"),0,VLOOKUP(H1163,[5]CU!$C$4:$H$255,6,FALSE))</f>
        <v>0.8177777777777776</v>
      </c>
      <c r="O1163" s="33">
        <f t="shared" si="193"/>
        <v>0</v>
      </c>
      <c r="P1163" s="33">
        <f t="shared" si="193"/>
        <v>261.68888888888881</v>
      </c>
      <c r="Q1163" s="33">
        <f t="shared" si="193"/>
        <v>261.68888888888881</v>
      </c>
      <c r="R1163" s="33">
        <f t="shared" si="193"/>
        <v>261.68888888888881</v>
      </c>
      <c r="S1163" s="34">
        <f t="shared" si="194"/>
        <v>785.06666666666638</v>
      </c>
      <c r="T1163" s="35" t="s">
        <v>56</v>
      </c>
      <c r="U1163" s="18" t="s">
        <v>1156</v>
      </c>
      <c r="V1163" s="18" t="str">
        <f>IF(OR($H1163="",$H1163="sif",$H1163="PM"),"",VLOOKUP($H1163,[5]CU!$C$5:$J$255,8,FALSE))</f>
        <v>3. Dépenses de fonctionnement</v>
      </c>
      <c r="W1163" s="18" t="s">
        <v>1528</v>
      </c>
      <c r="X1163" s="18" t="s">
        <v>1528</v>
      </c>
      <c r="Y1163" s="18" t="s">
        <v>677</v>
      </c>
      <c r="Z1163" s="18" t="str">
        <f>A1163 &amp; "-" &amp; VLOOKUP(A1163,[4]PROGRAMMES!$E$1:$F$7,2,FALSE)</f>
        <v>3-Expansion et réforme de l’ETFP</v>
      </c>
      <c r="AA1163" s="19" t="str">
        <f>B1163 &amp; "-" &amp; VLOOKUP(B1163,[4]SOUSPROGRAMMES!$E$1:$F$44,2,FALSE)</f>
        <v>36- Renforcement des capacités de pilotage et de gestion dans le cadre d’une gouvernance parteunariale multi niveaux</v>
      </c>
      <c r="AB1163" s="19" t="str">
        <f>C1163 &amp; "-" &amp; VLOOKUP(C1163,[4]RESULTATS!$E$1:$F$176,2,FALSE)</f>
        <v>364- La capacité de pilotage et de mise en œuvre, technique et financière, de l’ETFP est renforcée</v>
      </c>
      <c r="AC1163" s="20" t="str">
        <f>D1163 &amp; "-" &amp; VLOOKUP(D1163,[4]STRATEGIES!$E$1:$F$504,2,FALSE)</f>
        <v>3644-Adaptation et mise en cohérence des rôles et responsabilités des différentes structures concernées par l’ETFP</v>
      </c>
      <c r="AD1163" s="21" t="str">
        <f t="shared" si="191"/>
        <v>36446-Organisation de l'inspection dans les institutions de formation par les services centraux</v>
      </c>
    </row>
    <row r="1164" spans="1:30" s="22" customFormat="1" ht="60" hidden="1" customHeight="1" x14ac:dyDescent="0.8">
      <c r="A1164" s="14">
        <v>3</v>
      </c>
      <c r="B1164" s="15">
        <v>36</v>
      </c>
      <c r="C1164" s="15">
        <v>364</v>
      </c>
      <c r="D1164" s="15">
        <v>3644</v>
      </c>
      <c r="E1164" s="15">
        <v>36447</v>
      </c>
      <c r="F1164" s="16" t="s">
        <v>1533</v>
      </c>
      <c r="G1164" s="21" t="s">
        <v>58</v>
      </c>
      <c r="H1164" s="17" t="s">
        <v>59</v>
      </c>
      <c r="I1164" s="33">
        <v>0</v>
      </c>
      <c r="J1164" s="33">
        <f>16*5*2</f>
        <v>160</v>
      </c>
      <c r="K1164" s="33">
        <f>16*5*2</f>
        <v>160</v>
      </c>
      <c r="L1164" s="33">
        <f>16*5*2</f>
        <v>160</v>
      </c>
      <c r="M1164" s="33">
        <f t="shared" si="192"/>
        <v>480</v>
      </c>
      <c r="N1164" s="33">
        <f>IF(OR(H1164="",H1164="sif",H1164="PM"),0,VLOOKUP(H1164,[5]CU!$C$4:$H$255,6,FALSE))</f>
        <v>0.8177777777777776</v>
      </c>
      <c r="O1164" s="33">
        <f t="shared" si="193"/>
        <v>0</v>
      </c>
      <c r="P1164" s="33">
        <f t="shared" si="193"/>
        <v>130.84444444444441</v>
      </c>
      <c r="Q1164" s="33">
        <f t="shared" si="193"/>
        <v>130.84444444444441</v>
      </c>
      <c r="R1164" s="33">
        <f t="shared" si="193"/>
        <v>130.84444444444441</v>
      </c>
      <c r="S1164" s="34">
        <f t="shared" si="194"/>
        <v>392.53333333333319</v>
      </c>
      <c r="T1164" s="35" t="s">
        <v>56</v>
      </c>
      <c r="U1164" s="18" t="s">
        <v>1156</v>
      </c>
      <c r="V1164" s="18" t="str">
        <f>IF(OR($H1164="",$H1164="sif",$H1164="PM"),"",VLOOKUP($H1164,[5]CU!$C$5:$J$255,8,FALSE))</f>
        <v>3. Dépenses de fonctionnement</v>
      </c>
      <c r="W1164" s="18" t="s">
        <v>1528</v>
      </c>
      <c r="X1164" s="18" t="s">
        <v>1162</v>
      </c>
      <c r="Y1164" s="18" t="s">
        <v>677</v>
      </c>
      <c r="Z1164" s="18" t="str">
        <f>A1164 &amp; "-" &amp; VLOOKUP(A1164,[4]PROGRAMMES!$E$1:$F$7,2,FALSE)</f>
        <v>3-Expansion et réforme de l’ETFP</v>
      </c>
      <c r="AA1164" s="19" t="str">
        <f>B1164 &amp; "-" &amp; VLOOKUP(B1164,[4]SOUSPROGRAMMES!$E$1:$F$44,2,FALSE)</f>
        <v>36- Renforcement des capacités de pilotage et de gestion dans le cadre d’une gouvernance parteunariale multi niveaux</v>
      </c>
      <c r="AB1164" s="19" t="str">
        <f>C1164 &amp; "-" &amp; VLOOKUP(C1164,[4]RESULTATS!$E$1:$F$176,2,FALSE)</f>
        <v>364- La capacité de pilotage et de mise en œuvre, technique et financière, de l’ETFP est renforcée</v>
      </c>
      <c r="AC1164" s="20" t="str">
        <f>D1164 &amp; "-" &amp; VLOOKUP(D1164,[4]STRATEGIES!$E$1:$F$504,2,FALSE)</f>
        <v>3644-Adaptation et mise en cohérence des rôles et responsabilités des différentes structures concernées par l’ETFP</v>
      </c>
      <c r="AD1164" s="21" t="str">
        <f t="shared" si="191"/>
        <v>36447-Organisation de l'inspection dans les institutions de formation par les services régionaux</v>
      </c>
    </row>
    <row r="1165" spans="1:30" s="22" customFormat="1" ht="60" hidden="1" customHeight="1" x14ac:dyDescent="0.8">
      <c r="A1165" s="14">
        <v>3</v>
      </c>
      <c r="B1165" s="15">
        <v>36</v>
      </c>
      <c r="C1165" s="15">
        <v>365</v>
      </c>
      <c r="D1165" s="15">
        <v>365</v>
      </c>
      <c r="E1165" s="15">
        <v>365</v>
      </c>
      <c r="F1165" s="16" t="s">
        <v>1534</v>
      </c>
      <c r="G1165" s="17"/>
      <c r="H1165" s="17"/>
      <c r="I1165" s="33">
        <v>0</v>
      </c>
      <c r="J1165" s="33"/>
      <c r="K1165" s="33"/>
      <c r="L1165" s="33"/>
      <c r="M1165" s="33"/>
      <c r="N1165" s="33"/>
      <c r="O1165" s="33"/>
      <c r="P1165" s="33"/>
      <c r="Q1165" s="33"/>
      <c r="R1165" s="33"/>
      <c r="S1165" s="34"/>
      <c r="T1165" s="33"/>
      <c r="U1165" s="18"/>
      <c r="V1165" s="18"/>
      <c r="W1165" s="18"/>
      <c r="X1165" s="18"/>
      <c r="Y1165" s="18" t="s">
        <v>677</v>
      </c>
      <c r="Z1165" s="18" t="str">
        <f>A1165 &amp; "-" &amp; VLOOKUP(A1165,[4]PROGRAMMES!$E$1:$F$7,2,FALSE)</f>
        <v>3-Expansion et réforme de l’ETFP</v>
      </c>
      <c r="AA1165" s="19" t="str">
        <f>B1165 &amp; "-" &amp; VLOOKUP(B1165,[4]SOUSPROGRAMMES!$E$1:$F$44,2,FALSE)</f>
        <v>36- Renforcement des capacités de pilotage et de gestion dans le cadre d’une gouvernance parteunariale multi niveaux</v>
      </c>
      <c r="AB1165" s="19" t="str">
        <f>C1165 &amp; "-" &amp; VLOOKUP(C1165,[4]RESULTATS!$E$1:$F$176,2,FALSE)</f>
        <v>365-Le dispositif de communication et d’orientation professionnelle est opérationnel</v>
      </c>
      <c r="AC1165" s="20" t="str">
        <f>D1165 &amp; "-" &amp; VLOOKUP(D1165,[4]STRATEGIES!$E$1:$F$504,2,FALSE)</f>
        <v>365-Le dispositif de communication et d’orientation professionnelle est opérationnel</v>
      </c>
      <c r="AD1165" s="21" t="str">
        <f t="shared" si="191"/>
        <v>365-Le dispositif de communication et d’orientation professionnelle est opérationnel</v>
      </c>
    </row>
    <row r="1166" spans="1:30" s="22" customFormat="1" ht="60" hidden="1" customHeight="1" x14ac:dyDescent="0.8">
      <c r="A1166" s="14">
        <v>3</v>
      </c>
      <c r="B1166" s="15">
        <v>36</v>
      </c>
      <c r="C1166" s="15">
        <v>365</v>
      </c>
      <c r="D1166" s="15">
        <v>3651</v>
      </c>
      <c r="E1166" s="15">
        <v>3651</v>
      </c>
      <c r="F1166" s="16" t="s">
        <v>1535</v>
      </c>
      <c r="G1166" s="17"/>
      <c r="H1166" s="17"/>
      <c r="I1166" s="33">
        <v>0</v>
      </c>
      <c r="J1166" s="33"/>
      <c r="K1166" s="33"/>
      <c r="L1166" s="33"/>
      <c r="M1166" s="33"/>
      <c r="N1166" s="33"/>
      <c r="O1166" s="33"/>
      <c r="P1166" s="33"/>
      <c r="Q1166" s="33"/>
      <c r="R1166" s="33"/>
      <c r="S1166" s="34"/>
      <c r="T1166" s="33"/>
      <c r="U1166" s="18"/>
      <c r="V1166" s="18"/>
      <c r="W1166" s="18"/>
      <c r="X1166" s="18"/>
      <c r="Y1166" s="18" t="s">
        <v>677</v>
      </c>
      <c r="Z1166" s="18" t="str">
        <f>A1166 &amp; "-" &amp; VLOOKUP(A1166,[4]PROGRAMMES!$E$1:$F$7,2,FALSE)</f>
        <v>3-Expansion et réforme de l’ETFP</v>
      </c>
      <c r="AA1166" s="19" t="str">
        <f>B1166 &amp; "-" &amp; VLOOKUP(B1166,[4]SOUSPROGRAMMES!$E$1:$F$44,2,FALSE)</f>
        <v>36- Renforcement des capacités de pilotage et de gestion dans le cadre d’une gouvernance parteunariale multi niveaux</v>
      </c>
      <c r="AB1166" s="19" t="str">
        <f>C1166 &amp; "-" &amp; VLOOKUP(C1166,[4]RESULTATS!$E$1:$F$176,2,FALSE)</f>
        <v>365-Le dispositif de communication et d’orientation professionnelle est opérationnel</v>
      </c>
      <c r="AC1166" s="20" t="str">
        <f>D1166 &amp; "-" &amp; VLOOKUP(D1166,[4]STRATEGIES!$E$1:$F$504,2,FALSE)</f>
        <v>3651-Configuration du dispositif de communication et d’orientation professionnelle</v>
      </c>
      <c r="AD1166" s="21" t="str">
        <f t="shared" si="191"/>
        <v>3651-Configuration du dispositif de communication et d’orientation professionnelle</v>
      </c>
    </row>
    <row r="1167" spans="1:30" s="22" customFormat="1" ht="60" hidden="1" customHeight="1" x14ac:dyDescent="0.8">
      <c r="A1167" s="14">
        <v>3</v>
      </c>
      <c r="B1167" s="15">
        <v>36</v>
      </c>
      <c r="C1167" s="15">
        <v>365</v>
      </c>
      <c r="D1167" s="15">
        <v>3651</v>
      </c>
      <c r="E1167" s="15">
        <v>36511</v>
      </c>
      <c r="F1167" s="16" t="s">
        <v>1536</v>
      </c>
      <c r="G1167" s="21" t="s">
        <v>1423</v>
      </c>
      <c r="H1167" s="17" t="s">
        <v>646</v>
      </c>
      <c r="I1167" s="33">
        <v>0</v>
      </c>
      <c r="J1167" s="33">
        <f>1*45</f>
        <v>45</v>
      </c>
      <c r="K1167" s="33"/>
      <c r="L1167" s="33"/>
      <c r="M1167" s="33">
        <f t="shared" si="192"/>
        <v>45</v>
      </c>
      <c r="N1167" s="33">
        <f>IF(OR(H1167="",H1167="sif",H1167="PM"),0,VLOOKUP(H1167,[5]CU!$C$4:$H$255,6,FALSE))</f>
        <v>10.404797</v>
      </c>
      <c r="O1167" s="33">
        <f t="shared" si="193"/>
        <v>0</v>
      </c>
      <c r="P1167" s="33">
        <f t="shared" si="193"/>
        <v>468.21586500000001</v>
      </c>
      <c r="Q1167" s="33">
        <f t="shared" si="193"/>
        <v>0</v>
      </c>
      <c r="R1167" s="33">
        <f t="shared" si="193"/>
        <v>0</v>
      </c>
      <c r="S1167" s="34">
        <f t="shared" si="194"/>
        <v>468.21586500000001</v>
      </c>
      <c r="T1167" s="35" t="s">
        <v>118</v>
      </c>
      <c r="U1167" s="18" t="s">
        <v>1156</v>
      </c>
      <c r="V1167" s="18" t="str">
        <f>IF(OR($H1167="",$H1167="sif",$H1167="PM"),"",VLOOKUP($H1167,[5]CU!$C$5:$J$255,8,FALSE))</f>
        <v>3. Dépenses de fonctionnement</v>
      </c>
      <c r="W1167" s="18" t="s">
        <v>96</v>
      </c>
      <c r="X1167" s="18" t="s">
        <v>1371</v>
      </c>
      <c r="Y1167" s="18" t="s">
        <v>677</v>
      </c>
      <c r="Z1167" s="18" t="str">
        <f>A1167 &amp; "-" &amp; VLOOKUP(A1167,[4]PROGRAMMES!$E$1:$F$7,2,FALSE)</f>
        <v>3-Expansion et réforme de l’ETFP</v>
      </c>
      <c r="AA1167" s="19" t="str">
        <f>B1167 &amp; "-" &amp; VLOOKUP(B1167,[4]SOUSPROGRAMMES!$E$1:$F$44,2,FALSE)</f>
        <v>36- Renforcement des capacités de pilotage et de gestion dans le cadre d’une gouvernance parteunariale multi niveaux</v>
      </c>
      <c r="AB1167" s="19" t="str">
        <f>C1167 &amp; "-" &amp; VLOOKUP(C1167,[4]RESULTATS!$E$1:$F$176,2,FALSE)</f>
        <v>365-Le dispositif de communication et d’orientation professionnelle est opérationnel</v>
      </c>
      <c r="AC1167" s="20" t="str">
        <f>D1167 &amp; "-" &amp; VLOOKUP(D1167,[4]STRATEGIES!$E$1:$F$504,2,FALSE)</f>
        <v>3651-Configuration du dispositif de communication et d’orientation professionnelle</v>
      </c>
      <c r="AD1167" s="21" t="str">
        <f t="shared" si="191"/>
        <v>36511-Etude pour la déFinition du dispositif de communication sur l'orientation professionnelle</v>
      </c>
    </row>
    <row r="1168" spans="1:30" s="22" customFormat="1" ht="60" hidden="1" customHeight="1" x14ac:dyDescent="0.8">
      <c r="A1168" s="14">
        <v>3</v>
      </c>
      <c r="B1168" s="15">
        <v>36</v>
      </c>
      <c r="C1168" s="15">
        <v>365</v>
      </c>
      <c r="D1168" s="15">
        <v>3651</v>
      </c>
      <c r="E1168" s="15">
        <v>36512</v>
      </c>
      <c r="F1168" s="16" t="s">
        <v>1537</v>
      </c>
      <c r="G1168" s="21" t="s">
        <v>298</v>
      </c>
      <c r="H1168" s="17" t="s">
        <v>38</v>
      </c>
      <c r="I1168" s="33">
        <v>0</v>
      </c>
      <c r="J1168" s="33">
        <f>30*2</f>
        <v>60</v>
      </c>
      <c r="K1168" s="33"/>
      <c r="L1168" s="33"/>
      <c r="M1168" s="33">
        <f t="shared" si="192"/>
        <v>60</v>
      </c>
      <c r="N1168" s="33">
        <f>IF(OR(H1168="",H1168="sif",H1168="PM"),0,VLOOKUP(H1168,[5]CU!$C$4:$H$255,6,FALSE))</f>
        <v>0.3133333333333333</v>
      </c>
      <c r="O1168" s="33">
        <f t="shared" si="193"/>
        <v>0</v>
      </c>
      <c r="P1168" s="33">
        <f t="shared" si="193"/>
        <v>18.799999999999997</v>
      </c>
      <c r="Q1168" s="33">
        <f t="shared" si="193"/>
        <v>0</v>
      </c>
      <c r="R1168" s="33">
        <f t="shared" si="193"/>
        <v>0</v>
      </c>
      <c r="S1168" s="34">
        <f t="shared" si="194"/>
        <v>18.799999999999997</v>
      </c>
      <c r="T1168" s="35" t="s">
        <v>118</v>
      </c>
      <c r="U1168" s="18" t="s">
        <v>1156</v>
      </c>
      <c r="V1168" s="18" t="str">
        <f>IF(OR($H1168="",$H1168="sif",$H1168="PM"),"",VLOOKUP($H1168,[5]CU!$C$5:$J$255,8,FALSE))</f>
        <v>3. Formation</v>
      </c>
      <c r="W1168" s="18" t="s">
        <v>96</v>
      </c>
      <c r="X1168" s="18" t="s">
        <v>1334</v>
      </c>
      <c r="Y1168" s="18" t="s">
        <v>677</v>
      </c>
      <c r="Z1168" s="18" t="str">
        <f>A1168 &amp; "-" &amp; VLOOKUP(A1168,[4]PROGRAMMES!$E$1:$F$7,2,FALSE)</f>
        <v>3-Expansion et réforme de l’ETFP</v>
      </c>
      <c r="AA1168" s="19" t="str">
        <f>B1168 &amp; "-" &amp; VLOOKUP(B1168,[4]SOUSPROGRAMMES!$E$1:$F$44,2,FALSE)</f>
        <v>36- Renforcement des capacités de pilotage et de gestion dans le cadre d’une gouvernance parteunariale multi niveaux</v>
      </c>
      <c r="AB1168" s="19" t="str">
        <f>C1168 &amp; "-" &amp; VLOOKUP(C1168,[4]RESULTATS!$E$1:$F$176,2,FALSE)</f>
        <v>365-Le dispositif de communication et d’orientation professionnelle est opérationnel</v>
      </c>
      <c r="AC1168" s="20" t="str">
        <f>D1168 &amp; "-" &amp; VLOOKUP(D1168,[4]STRATEGIES!$E$1:$F$504,2,FALSE)</f>
        <v>3651-Configuration du dispositif de communication et d’orientation professionnelle</v>
      </c>
      <c r="AD1168" s="21" t="str">
        <f t="shared" si="191"/>
        <v>36512-Validation des résultats de l'étude</v>
      </c>
    </row>
    <row r="1169" spans="1:30" s="22" customFormat="1" ht="60" hidden="1" customHeight="1" x14ac:dyDescent="0.8">
      <c r="A1169" s="14">
        <v>3</v>
      </c>
      <c r="B1169" s="15">
        <v>36</v>
      </c>
      <c r="C1169" s="15">
        <v>365</v>
      </c>
      <c r="D1169" s="15">
        <v>3651</v>
      </c>
      <c r="E1169" s="15">
        <v>36513</v>
      </c>
      <c r="F1169" s="16" t="s">
        <v>1538</v>
      </c>
      <c r="G1169" s="21" t="s">
        <v>298</v>
      </c>
      <c r="H1169" s="17" t="s">
        <v>38</v>
      </c>
      <c r="I1169" s="33">
        <v>0</v>
      </c>
      <c r="J1169" s="33"/>
      <c r="K1169" s="33">
        <f>30*2</f>
        <v>60</v>
      </c>
      <c r="L1169" s="33"/>
      <c r="M1169" s="33">
        <f t="shared" si="192"/>
        <v>60</v>
      </c>
      <c r="N1169" s="33">
        <f>IF(OR(H1169="",H1169="sif",H1169="PM"),0,VLOOKUP(H1169,[5]CU!$C$4:$H$255,6,FALSE))</f>
        <v>0.3133333333333333</v>
      </c>
      <c r="O1169" s="33">
        <f t="shared" si="193"/>
        <v>0</v>
      </c>
      <c r="P1169" s="33">
        <f t="shared" si="193"/>
        <v>0</v>
      </c>
      <c r="Q1169" s="33">
        <f t="shared" si="193"/>
        <v>18.799999999999997</v>
      </c>
      <c r="R1169" s="33">
        <f t="shared" si="193"/>
        <v>0</v>
      </c>
      <c r="S1169" s="34">
        <f t="shared" si="194"/>
        <v>18.799999999999997</v>
      </c>
      <c r="T1169" s="35" t="s">
        <v>118</v>
      </c>
      <c r="U1169" s="18" t="s">
        <v>1156</v>
      </c>
      <c r="V1169" s="18" t="str">
        <f>IF(OR($H1169="",$H1169="sif",$H1169="PM"),"",VLOOKUP($H1169,[5]CU!$C$5:$J$255,8,FALSE))</f>
        <v>3. Formation</v>
      </c>
      <c r="W1169" s="18" t="s">
        <v>96</v>
      </c>
      <c r="X1169" s="18" t="s">
        <v>1334</v>
      </c>
      <c r="Y1169" s="18" t="s">
        <v>677</v>
      </c>
      <c r="Z1169" s="18" t="str">
        <f>A1169 &amp; "-" &amp; VLOOKUP(A1169,[4]PROGRAMMES!$E$1:$F$7,2,FALSE)</f>
        <v>3-Expansion et réforme de l’ETFP</v>
      </c>
      <c r="AA1169" s="19" t="str">
        <f>B1169 &amp; "-" &amp; VLOOKUP(B1169,[4]SOUSPROGRAMMES!$E$1:$F$44,2,FALSE)</f>
        <v>36- Renforcement des capacités de pilotage et de gestion dans le cadre d’une gouvernance parteunariale multi niveaux</v>
      </c>
      <c r="AB1169" s="19" t="str">
        <f>C1169 &amp; "-" &amp; VLOOKUP(C1169,[4]RESULTATS!$E$1:$F$176,2,FALSE)</f>
        <v>365-Le dispositif de communication et d’orientation professionnelle est opérationnel</v>
      </c>
      <c r="AC1169" s="20" t="str">
        <f>D1169 &amp; "-" &amp; VLOOKUP(D1169,[4]STRATEGIES!$E$1:$F$504,2,FALSE)</f>
        <v>3651-Configuration du dispositif de communication et d’orientation professionnelle</v>
      </c>
      <c r="AD1169" s="21" t="str">
        <f t="shared" si="191"/>
        <v>36513-Vulgarisation du dispositif de communication</v>
      </c>
    </row>
    <row r="1170" spans="1:30" s="22" customFormat="1" ht="60" hidden="1" customHeight="1" x14ac:dyDescent="0.8">
      <c r="A1170" s="14">
        <v>3</v>
      </c>
      <c r="B1170" s="15">
        <v>36</v>
      </c>
      <c r="C1170" s="15">
        <v>365</v>
      </c>
      <c r="D1170" s="15">
        <v>3652</v>
      </c>
      <c r="E1170" s="15">
        <v>3652</v>
      </c>
      <c r="F1170" s="16" t="s">
        <v>1539</v>
      </c>
      <c r="G1170" s="17"/>
      <c r="H1170" s="17"/>
      <c r="I1170" s="33">
        <v>0</v>
      </c>
      <c r="J1170" s="33"/>
      <c r="K1170" s="33"/>
      <c r="L1170" s="33"/>
      <c r="M1170" s="33"/>
      <c r="N1170" s="33"/>
      <c r="O1170" s="33"/>
      <c r="P1170" s="33"/>
      <c r="Q1170" s="33"/>
      <c r="R1170" s="33"/>
      <c r="S1170" s="34"/>
      <c r="T1170" s="33"/>
      <c r="U1170" s="18"/>
      <c r="V1170" s="18"/>
      <c r="W1170" s="18"/>
      <c r="X1170" s="18"/>
      <c r="Y1170" s="18" t="s">
        <v>677</v>
      </c>
      <c r="Z1170" s="18" t="str">
        <f>A1170 &amp; "-" &amp; VLOOKUP(A1170,[4]PROGRAMMES!$E$1:$F$7,2,FALSE)</f>
        <v>3-Expansion et réforme de l’ETFP</v>
      </c>
      <c r="AA1170" s="19" t="str">
        <f>B1170 &amp; "-" &amp; VLOOKUP(B1170,[4]SOUSPROGRAMMES!$E$1:$F$44,2,FALSE)</f>
        <v>36- Renforcement des capacités de pilotage et de gestion dans le cadre d’une gouvernance parteunariale multi niveaux</v>
      </c>
      <c r="AB1170" s="19" t="str">
        <f>C1170 &amp; "-" &amp; VLOOKUP(C1170,[4]RESULTATS!$E$1:$F$176,2,FALSE)</f>
        <v>365-Le dispositif de communication et d’orientation professionnelle est opérationnel</v>
      </c>
      <c r="AC1170" s="20" t="str">
        <f>D1170 &amp; "-" &amp; VLOOKUP(D1170,[4]STRATEGIES!$E$1:$F$504,2,FALSE)</f>
        <v>3652-Mise en œuvre du dispositif de communication</v>
      </c>
      <c r="AD1170" s="21" t="str">
        <f t="shared" si="191"/>
        <v>3652-Mise en œuvre du dispositif de communication</v>
      </c>
    </row>
    <row r="1171" spans="1:30" s="22" customFormat="1" ht="60" hidden="1" customHeight="1" x14ac:dyDescent="0.8">
      <c r="A1171" s="14">
        <v>3</v>
      </c>
      <c r="B1171" s="15">
        <v>36</v>
      </c>
      <c r="C1171" s="15">
        <v>365</v>
      </c>
      <c r="D1171" s="15">
        <v>3652</v>
      </c>
      <c r="E1171" s="15"/>
      <c r="F1171" s="16" t="s">
        <v>1540</v>
      </c>
      <c r="G1171" s="21"/>
      <c r="H1171" s="17"/>
      <c r="I1171" s="33">
        <v>0</v>
      </c>
      <c r="J1171" s="33"/>
      <c r="K1171" s="33"/>
      <c r="L1171" s="33"/>
      <c r="M1171" s="33"/>
      <c r="N1171" s="33"/>
      <c r="O1171" s="33"/>
      <c r="P1171" s="33"/>
      <c r="Q1171" s="33"/>
      <c r="R1171" s="33"/>
      <c r="S1171" s="34"/>
      <c r="T1171" s="35" t="s">
        <v>56</v>
      </c>
      <c r="U1171" s="18" t="s">
        <v>1156</v>
      </c>
      <c r="V1171" s="18" t="str">
        <f>IF(OR($H1171="",$H1171="sif",$H1171="PM"),"",VLOOKUP($H1171,[5]CU!$C$5:$J$255,8,FALSE))</f>
        <v/>
      </c>
      <c r="W1171" s="18"/>
      <c r="X1171" s="18"/>
      <c r="Y1171" s="18" t="s">
        <v>677</v>
      </c>
      <c r="Z1171" s="18" t="str">
        <f>A1171 &amp; "-" &amp; VLOOKUP(A1171,[4]PROGRAMMES!$E$1:$F$7,2,FALSE)</f>
        <v>3-Expansion et réforme de l’ETFP</v>
      </c>
      <c r="AA1171" s="19" t="str">
        <f>B1171 &amp; "-" &amp; VLOOKUP(B1171,[4]SOUSPROGRAMMES!$E$1:$F$44,2,FALSE)</f>
        <v>36- Renforcement des capacités de pilotage et de gestion dans le cadre d’une gouvernance parteunariale multi niveaux</v>
      </c>
      <c r="AB1171" s="19" t="str">
        <f>C1171 &amp; "-" &amp; VLOOKUP(C1171,[4]RESULTATS!$E$1:$F$176,2,FALSE)</f>
        <v>365-Le dispositif de communication et d’orientation professionnelle est opérationnel</v>
      </c>
      <c r="AC1171" s="20" t="str">
        <f>D1171 &amp; "-" &amp; VLOOKUP(D1171,[4]STRATEGIES!$E$1:$F$504,2,FALSE)</f>
        <v>3652-Mise en œuvre du dispositif de communication</v>
      </c>
      <c r="AD1171" s="21" t="str">
        <f t="shared" si="191"/>
        <v>-PM (mis en œuvre dans le prochain PAPB)</v>
      </c>
    </row>
    <row r="1172" spans="1:30" s="22" customFormat="1" ht="60" hidden="1" customHeight="1" x14ac:dyDescent="0.8">
      <c r="A1172" s="14">
        <v>3</v>
      </c>
      <c r="B1172" s="15">
        <v>36</v>
      </c>
      <c r="C1172" s="15">
        <v>366</v>
      </c>
      <c r="D1172" s="15">
        <v>366</v>
      </c>
      <c r="E1172" s="15">
        <v>366</v>
      </c>
      <c r="F1172" s="16" t="s">
        <v>1541</v>
      </c>
      <c r="G1172" s="17"/>
      <c r="H1172" s="17"/>
      <c r="I1172" s="33">
        <v>0</v>
      </c>
      <c r="J1172" s="33"/>
      <c r="K1172" s="33"/>
      <c r="L1172" s="33"/>
      <c r="M1172" s="33"/>
      <c r="N1172" s="33"/>
      <c r="O1172" s="33"/>
      <c r="P1172" s="33"/>
      <c r="Q1172" s="33"/>
      <c r="R1172" s="33"/>
      <c r="S1172" s="34"/>
      <c r="T1172" s="33"/>
      <c r="U1172" s="18"/>
      <c r="V1172" s="18"/>
      <c r="W1172" s="18"/>
      <c r="X1172" s="18"/>
      <c r="Y1172" s="18" t="s">
        <v>677</v>
      </c>
      <c r="Z1172" s="18" t="str">
        <f>A1172 &amp; "-" &amp; VLOOKUP(A1172,[4]PROGRAMMES!$E$1:$F$7,2,FALSE)</f>
        <v>3-Expansion et réforme de l’ETFP</v>
      </c>
      <c r="AA1172" s="19" t="str">
        <f>B1172 &amp; "-" &amp; VLOOKUP(B1172,[4]SOUSPROGRAMMES!$E$1:$F$44,2,FALSE)</f>
        <v>36- Renforcement des capacités de pilotage et de gestion dans le cadre d’une gouvernance parteunariale multi niveaux</v>
      </c>
      <c r="AB1172" s="19" t="str">
        <f>C1172 &amp; "-" &amp; VLOOKUP(C1172,[4]RESULTATS!$E$1:$F$176,2,FALSE)</f>
        <v>366- Un système d’assurance qualité est mis en place</v>
      </c>
      <c r="AC1172" s="20" t="str">
        <f>D1172 &amp; "-" &amp; VLOOKUP(D1172,[4]STRATEGIES!$E$1:$F$504,2,FALSE)</f>
        <v>366- Un système d’assurance qualité est mis en place</v>
      </c>
      <c r="AD1172" s="21" t="str">
        <f t="shared" si="191"/>
        <v>366- Un système d’assurance qualité est mis en place</v>
      </c>
    </row>
    <row r="1173" spans="1:30" s="22" customFormat="1" ht="60" hidden="1" customHeight="1" x14ac:dyDescent="0.8">
      <c r="A1173" s="14">
        <v>3</v>
      </c>
      <c r="B1173" s="15">
        <v>36</v>
      </c>
      <c r="C1173" s="15">
        <v>366</v>
      </c>
      <c r="D1173" s="15">
        <v>3661</v>
      </c>
      <c r="E1173" s="15">
        <v>3661</v>
      </c>
      <c r="F1173" s="16" t="s">
        <v>1542</v>
      </c>
      <c r="G1173" s="17"/>
      <c r="H1173" s="17"/>
      <c r="I1173" s="33">
        <v>0</v>
      </c>
      <c r="J1173" s="33"/>
      <c r="K1173" s="33"/>
      <c r="L1173" s="33"/>
      <c r="M1173" s="33"/>
      <c r="N1173" s="33"/>
      <c r="O1173" s="33"/>
      <c r="P1173" s="33"/>
      <c r="Q1173" s="33"/>
      <c r="R1173" s="33"/>
      <c r="S1173" s="34"/>
      <c r="T1173" s="33"/>
      <c r="U1173" s="18"/>
      <c r="V1173" s="18"/>
      <c r="W1173" s="18"/>
      <c r="X1173" s="18"/>
      <c r="Y1173" s="18" t="s">
        <v>677</v>
      </c>
      <c r="Z1173" s="18" t="str">
        <f>A1173 &amp; "-" &amp; VLOOKUP(A1173,[4]PROGRAMMES!$E$1:$F$7,2,FALSE)</f>
        <v>3-Expansion et réforme de l’ETFP</v>
      </c>
      <c r="AA1173" s="19" t="str">
        <f>B1173 &amp; "-" &amp; VLOOKUP(B1173,[4]SOUSPROGRAMMES!$E$1:$F$44,2,FALSE)</f>
        <v>36- Renforcement des capacités de pilotage et de gestion dans le cadre d’une gouvernance parteunariale multi niveaux</v>
      </c>
      <c r="AB1173" s="19" t="str">
        <f>C1173 &amp; "-" &amp; VLOOKUP(C1173,[4]RESULTATS!$E$1:$F$176,2,FALSE)</f>
        <v>366- Un système d’assurance qualité est mis en place</v>
      </c>
      <c r="AC1173" s="20" t="str">
        <f>D1173 &amp; "-" &amp; VLOOKUP(D1173,[4]STRATEGIES!$E$1:$F$504,2,FALSE)</f>
        <v>3661-Développement du système d’assurance qualité en cours de mise en œuvre</v>
      </c>
      <c r="AD1173" s="21" t="str">
        <f t="shared" si="191"/>
        <v>3661-Développement du système d’assurance qualité en cours de mise en œuvre</v>
      </c>
    </row>
    <row r="1174" spans="1:30" s="22" customFormat="1" ht="60" hidden="1" customHeight="1" x14ac:dyDescent="0.8">
      <c r="A1174" s="14">
        <v>3</v>
      </c>
      <c r="B1174" s="15">
        <v>36</v>
      </c>
      <c r="C1174" s="15">
        <v>366</v>
      </c>
      <c r="D1174" s="15">
        <v>3661</v>
      </c>
      <c r="E1174" s="15">
        <v>36611</v>
      </c>
      <c r="F1174" s="16" t="s">
        <v>1543</v>
      </c>
      <c r="G1174" s="21" t="s">
        <v>836</v>
      </c>
      <c r="H1174" s="17" t="s">
        <v>55</v>
      </c>
      <c r="I1174" s="33">
        <v>0</v>
      </c>
      <c r="J1174" s="33">
        <v>1</v>
      </c>
      <c r="K1174" s="33">
        <v>1</v>
      </c>
      <c r="L1174" s="33">
        <v>1</v>
      </c>
      <c r="M1174" s="33">
        <f t="shared" ref="M1174:M1190" si="195">SUM(I1174:L1174)</f>
        <v>3</v>
      </c>
      <c r="N1174" s="33">
        <f>IF(OR(H1174="",H1174="sif",H1174="PM"),0,VLOOKUP(H1174,[5]CU!$C$4:$H$255,6,FALSE))</f>
        <v>0</v>
      </c>
      <c r="O1174" s="33">
        <f t="shared" ref="O1174:R1190" si="196">IFERROR($N1174*I1174,0)</f>
        <v>0</v>
      </c>
      <c r="P1174" s="33">
        <f t="shared" si="196"/>
        <v>0</v>
      </c>
      <c r="Q1174" s="33">
        <f t="shared" si="196"/>
        <v>0</v>
      </c>
      <c r="R1174" s="33">
        <f t="shared" si="196"/>
        <v>0</v>
      </c>
      <c r="S1174" s="34"/>
      <c r="T1174" s="35" t="s">
        <v>56</v>
      </c>
      <c r="U1174" s="18" t="s">
        <v>1156</v>
      </c>
      <c r="V1174" s="18" t="str">
        <f>IF(OR($H1174="",$H1174="sif",$H1174="PM"),"",VLOOKUP($H1174,[5]CU!$C$5:$J$255,8,FALSE))</f>
        <v/>
      </c>
      <c r="W1174" s="18" t="s">
        <v>1334</v>
      </c>
      <c r="X1174" s="19" t="s">
        <v>1544</v>
      </c>
      <c r="Y1174" s="18" t="s">
        <v>677</v>
      </c>
      <c r="Z1174" s="18" t="str">
        <f>A1174 &amp; "-" &amp; VLOOKUP(A1174,[4]PROGRAMMES!$E$1:$F$7,2,FALSE)</f>
        <v>3-Expansion et réforme de l’ETFP</v>
      </c>
      <c r="AA1174" s="19" t="str">
        <f>B1174 &amp; "-" &amp; VLOOKUP(B1174,[4]SOUSPROGRAMMES!$E$1:$F$44,2,FALSE)</f>
        <v>36- Renforcement des capacités de pilotage et de gestion dans le cadre d’une gouvernance parteunariale multi niveaux</v>
      </c>
      <c r="AB1174" s="19" t="str">
        <f>C1174 &amp; "-" &amp; VLOOKUP(C1174,[4]RESULTATS!$E$1:$F$176,2,FALSE)</f>
        <v>366- Un système d’assurance qualité est mis en place</v>
      </c>
      <c r="AC1174" s="20" t="str">
        <f>D1174 &amp; "-" &amp; VLOOKUP(D1174,[4]STRATEGIES!$E$1:$F$504,2,FALSE)</f>
        <v>3661-Développement du système d’assurance qualité en cours de mise en œuvre</v>
      </c>
      <c r="AD1174" s="21" t="str">
        <f t="shared" si="191"/>
        <v>36611-Auto-évaluation des programmes pilotes sur la base du manuel de procédures</v>
      </c>
    </row>
    <row r="1175" spans="1:30" s="22" customFormat="1" ht="60" hidden="1" customHeight="1" x14ac:dyDescent="0.8">
      <c r="A1175" s="14">
        <v>3</v>
      </c>
      <c r="B1175" s="15">
        <v>36</v>
      </c>
      <c r="C1175" s="15">
        <v>366</v>
      </c>
      <c r="D1175" s="15">
        <v>3661</v>
      </c>
      <c r="E1175" s="15">
        <v>36612</v>
      </c>
      <c r="F1175" s="16" t="s">
        <v>1545</v>
      </c>
      <c r="G1175" s="21" t="s">
        <v>100</v>
      </c>
      <c r="H1175" s="17" t="s">
        <v>646</v>
      </c>
      <c r="I1175" s="33">
        <v>0</v>
      </c>
      <c r="J1175" s="33">
        <f>((1*15)*20)*23.08%</f>
        <v>69.239999999999995</v>
      </c>
      <c r="K1175" s="33">
        <f>((1*15)*30)*23.08%</f>
        <v>103.85999999999999</v>
      </c>
      <c r="L1175" s="33"/>
      <c r="M1175" s="33">
        <f>SUM(I1175:L1175)</f>
        <v>173.09999999999997</v>
      </c>
      <c r="N1175" s="33">
        <f>IF(OR(H1175="",H1175="sif",H1175="PM"),0,VLOOKUP(H1175,[5]CU!$C$4:$H$255,6,FALSE))</f>
        <v>10.404797</v>
      </c>
      <c r="O1175" s="33">
        <f>IFERROR($N1175*I1175,0)</f>
        <v>0</v>
      </c>
      <c r="P1175" s="33">
        <f>IFERROR($N1175*J1175,0)</f>
        <v>720.42814427999997</v>
      </c>
      <c r="Q1175" s="33">
        <f>IFERROR($N1175*K1175,0)</f>
        <v>1080.6422164199998</v>
      </c>
      <c r="R1175" s="33">
        <f>IFERROR($N1175*L1175,0)</f>
        <v>0</v>
      </c>
      <c r="S1175" s="34">
        <f>SUM(O1175:R1175)</f>
        <v>1801.0703606999998</v>
      </c>
      <c r="T1175" s="35" t="s">
        <v>1304</v>
      </c>
      <c r="U1175" s="19" t="s">
        <v>1156</v>
      </c>
      <c r="V1175" s="19" t="str">
        <f>IF(OR($H1175="",$H1175="sif",$H1175="PM"),"",VLOOKUP($H1175,[5]CU!$C$5:$J$255,8,FALSE))</f>
        <v>3. Dépenses de fonctionnement</v>
      </c>
      <c r="W1175" s="19" t="s">
        <v>1546</v>
      </c>
      <c r="X1175" s="19" t="s">
        <v>100</v>
      </c>
      <c r="Y1175" s="18" t="s">
        <v>677</v>
      </c>
      <c r="Z1175" s="18" t="str">
        <f>A1175 &amp; "-" &amp; VLOOKUP(A1175,[4]PROGRAMMES!$E$1:$F$7,2,FALSE)</f>
        <v>3-Expansion et réforme de l’ETFP</v>
      </c>
      <c r="AA1175" s="19" t="str">
        <f>B1175 &amp; "-" &amp; VLOOKUP(B1175,[4]SOUSPROGRAMMES!$E$1:$F$44,2,FALSE)</f>
        <v>36- Renforcement des capacités de pilotage et de gestion dans le cadre d’une gouvernance parteunariale multi niveaux</v>
      </c>
      <c r="AB1175" s="19" t="str">
        <f>C1175 &amp; "-" &amp; VLOOKUP(C1175,[4]RESULTATS!$E$1:$F$176,2,FALSE)</f>
        <v>366- Un système d’assurance qualité est mis en place</v>
      </c>
      <c r="AC1175" s="20" t="str">
        <f>D1175 &amp; "-" &amp; VLOOKUP(D1175,[4]STRATEGIES!$E$1:$F$504,2,FALSE)</f>
        <v>3661-Développement du système d’assurance qualité en cours de mise en œuvre</v>
      </c>
      <c r="AD1175" s="21" t="str">
        <f t="shared" si="191"/>
        <v>36612-Evaluation indépendante des programmes pilotes</v>
      </c>
    </row>
    <row r="1176" spans="1:30" s="22" customFormat="1" ht="60" hidden="1" customHeight="1" x14ac:dyDescent="0.8">
      <c r="A1176" s="14">
        <v>3</v>
      </c>
      <c r="B1176" s="15">
        <v>36</v>
      </c>
      <c r="C1176" s="15">
        <v>366</v>
      </c>
      <c r="D1176" s="15">
        <v>3661</v>
      </c>
      <c r="E1176" s="15">
        <v>36612</v>
      </c>
      <c r="F1176" s="16" t="s">
        <v>1545</v>
      </c>
      <c r="G1176" s="21" t="s">
        <v>100</v>
      </c>
      <c r="H1176" s="17" t="s">
        <v>646</v>
      </c>
      <c r="I1176" s="33">
        <v>0</v>
      </c>
      <c r="J1176" s="33">
        <f>((1*15)*20)*76.92%</f>
        <v>230.76</v>
      </c>
      <c r="K1176" s="33">
        <f>((1*15)*30)*76.92%</f>
        <v>346.14</v>
      </c>
      <c r="L1176" s="33"/>
      <c r="M1176" s="33">
        <f t="shared" si="195"/>
        <v>576.9</v>
      </c>
      <c r="N1176" s="33">
        <f>IF(OR(H1176="",H1176="sif",H1176="PM"),0,VLOOKUP(H1176,[5]CU!$C$4:$H$255,6,FALSE))</f>
        <v>10.404797</v>
      </c>
      <c r="O1176" s="33">
        <f t="shared" si="196"/>
        <v>0</v>
      </c>
      <c r="P1176" s="33">
        <f t="shared" si="196"/>
        <v>2401.0109557199999</v>
      </c>
      <c r="Q1176" s="33">
        <f t="shared" si="196"/>
        <v>3601.51643358</v>
      </c>
      <c r="R1176" s="33">
        <f t="shared" si="196"/>
        <v>0</v>
      </c>
      <c r="S1176" s="34">
        <f>SUM(O1176:R1176)</f>
        <v>6002.5273892999994</v>
      </c>
      <c r="T1176" s="35" t="s">
        <v>118</v>
      </c>
      <c r="U1176" s="19" t="s">
        <v>1156</v>
      </c>
      <c r="V1176" s="19" t="str">
        <f>IF(OR($H1176="",$H1176="sif",$H1176="PM"),"",VLOOKUP($H1176,[5]CU!$C$5:$J$255,8,FALSE))</f>
        <v>3. Dépenses de fonctionnement</v>
      </c>
      <c r="W1176" s="19" t="s">
        <v>1546</v>
      </c>
      <c r="X1176" s="19" t="s">
        <v>100</v>
      </c>
      <c r="Y1176" s="18" t="s">
        <v>677</v>
      </c>
      <c r="Z1176" s="18" t="str">
        <f>A1176 &amp; "-" &amp; VLOOKUP(A1176,[4]PROGRAMMES!$E$1:$F$7,2,FALSE)</f>
        <v>3-Expansion et réforme de l’ETFP</v>
      </c>
      <c r="AA1176" s="19" t="str">
        <f>B1176 &amp; "-" &amp; VLOOKUP(B1176,[4]SOUSPROGRAMMES!$E$1:$F$44,2,FALSE)</f>
        <v>36- Renforcement des capacités de pilotage et de gestion dans le cadre d’une gouvernance parteunariale multi niveaux</v>
      </c>
      <c r="AB1176" s="19" t="str">
        <f>C1176 &amp; "-" &amp; VLOOKUP(C1176,[4]RESULTATS!$E$1:$F$176,2,FALSE)</f>
        <v>366- Un système d’assurance qualité est mis en place</v>
      </c>
      <c r="AC1176" s="20" t="str">
        <f>D1176 &amp; "-" &amp; VLOOKUP(D1176,[4]STRATEGIES!$E$1:$F$504,2,FALSE)</f>
        <v>3661-Développement du système d’assurance qualité en cours de mise en œuvre</v>
      </c>
      <c r="AD1176" s="21" t="str">
        <f t="shared" si="191"/>
        <v>36612-Evaluation indépendante des programmes pilotes</v>
      </c>
    </row>
    <row r="1177" spans="1:30" s="22" customFormat="1" ht="60" hidden="1" customHeight="1" x14ac:dyDescent="0.8">
      <c r="A1177" s="14">
        <v>3</v>
      </c>
      <c r="B1177" s="15">
        <v>36</v>
      </c>
      <c r="C1177" s="15">
        <v>366</v>
      </c>
      <c r="D1177" s="15">
        <v>3661</v>
      </c>
      <c r="E1177" s="15">
        <v>36613</v>
      </c>
      <c r="F1177" s="16" t="s">
        <v>1547</v>
      </c>
      <c r="G1177" s="21" t="s">
        <v>836</v>
      </c>
      <c r="H1177" s="17" t="s">
        <v>55</v>
      </c>
      <c r="I1177" s="33">
        <v>0</v>
      </c>
      <c r="J1177" s="33">
        <v>1</v>
      </c>
      <c r="K1177" s="33">
        <v>1</v>
      </c>
      <c r="L1177" s="33">
        <v>1</v>
      </c>
      <c r="M1177" s="33">
        <f t="shared" si="195"/>
        <v>3</v>
      </c>
      <c r="N1177" s="33">
        <f>IF(OR(H1177="",H1177="sif",H1177="PM"),0,VLOOKUP(H1177,[5]CU!$C$4:$H$255,6,FALSE))</f>
        <v>0</v>
      </c>
      <c r="O1177" s="33">
        <f t="shared" si="196"/>
        <v>0</v>
      </c>
      <c r="P1177" s="33">
        <f t="shared" si="196"/>
        <v>0</v>
      </c>
      <c r="Q1177" s="33">
        <f t="shared" si="196"/>
        <v>0</v>
      </c>
      <c r="R1177" s="33">
        <f t="shared" si="196"/>
        <v>0</v>
      </c>
      <c r="S1177" s="34"/>
      <c r="T1177" s="35" t="s">
        <v>56</v>
      </c>
      <c r="U1177" s="18" t="s">
        <v>1156</v>
      </c>
      <c r="V1177" s="18" t="str">
        <f>IF(OR($H1177="",$H1177="sif",$H1177="PM"),"",VLOOKUP($H1177,[5]CU!$C$5:$J$255,8,FALSE))</f>
        <v/>
      </c>
      <c r="W1177" s="18" t="s">
        <v>1546</v>
      </c>
      <c r="X1177" s="18" t="s">
        <v>1548</v>
      </c>
      <c r="Y1177" s="18" t="s">
        <v>677</v>
      </c>
      <c r="Z1177" s="18" t="str">
        <f>A1177 &amp; "-" &amp; VLOOKUP(A1177,[4]PROGRAMMES!$E$1:$F$7,2,FALSE)</f>
        <v>3-Expansion et réforme de l’ETFP</v>
      </c>
      <c r="AA1177" s="19" t="str">
        <f>B1177 &amp; "-" &amp; VLOOKUP(B1177,[4]SOUSPROGRAMMES!$E$1:$F$44,2,FALSE)</f>
        <v>36- Renforcement des capacités de pilotage et de gestion dans le cadre d’une gouvernance parteunariale multi niveaux</v>
      </c>
      <c r="AB1177" s="19" t="str">
        <f>C1177 &amp; "-" &amp; VLOOKUP(C1177,[4]RESULTATS!$E$1:$F$176,2,FALSE)</f>
        <v>366- Un système d’assurance qualité est mis en place</v>
      </c>
      <c r="AC1177" s="20" t="str">
        <f>D1177 &amp; "-" &amp; VLOOKUP(D1177,[4]STRATEGIES!$E$1:$F$504,2,FALSE)</f>
        <v>3661-Développement du système d’assurance qualité en cours de mise en œuvre</v>
      </c>
      <c r="AD1177" s="21" t="str">
        <f t="shared" si="191"/>
        <v>36613-Accréditation des programmes ayant satisfait à l'évaluation</v>
      </c>
    </row>
    <row r="1178" spans="1:30" s="22" customFormat="1" ht="60" hidden="1" customHeight="1" x14ac:dyDescent="0.8">
      <c r="A1178" s="14">
        <v>3</v>
      </c>
      <c r="B1178" s="15">
        <v>36</v>
      </c>
      <c r="C1178" s="15">
        <v>366</v>
      </c>
      <c r="D1178" s="15">
        <v>3661</v>
      </c>
      <c r="E1178" s="15">
        <v>36614</v>
      </c>
      <c r="F1178" s="16" t="s">
        <v>1549</v>
      </c>
      <c r="G1178" s="21" t="s">
        <v>836</v>
      </c>
      <c r="H1178" s="17" t="s">
        <v>55</v>
      </c>
      <c r="I1178" s="33">
        <v>0</v>
      </c>
      <c r="J1178" s="33">
        <v>1</v>
      </c>
      <c r="K1178" s="33">
        <v>1</v>
      </c>
      <c r="L1178" s="33">
        <v>1</v>
      </c>
      <c r="M1178" s="33">
        <f t="shared" si="195"/>
        <v>3</v>
      </c>
      <c r="N1178" s="33">
        <f>IF(OR(H1178="",H1178="sif",H1178="PM"),0,VLOOKUP(H1178,[5]CU!$C$4:$H$255,6,FALSE))</f>
        <v>0</v>
      </c>
      <c r="O1178" s="33">
        <f t="shared" si="196"/>
        <v>0</v>
      </c>
      <c r="P1178" s="33">
        <f t="shared" si="196"/>
        <v>0</v>
      </c>
      <c r="Q1178" s="33">
        <f t="shared" si="196"/>
        <v>0</v>
      </c>
      <c r="R1178" s="33">
        <f t="shared" si="196"/>
        <v>0</v>
      </c>
      <c r="S1178" s="34"/>
      <c r="T1178" s="35" t="s">
        <v>56</v>
      </c>
      <c r="U1178" s="18" t="s">
        <v>1156</v>
      </c>
      <c r="V1178" s="18" t="str">
        <f>IF(OR($H1178="",$H1178="sif",$H1178="PM"),"",VLOOKUP($H1178,[5]CU!$C$5:$J$255,8,FALSE))</f>
        <v/>
      </c>
      <c r="W1178" s="18" t="s">
        <v>1334</v>
      </c>
      <c r="X1178" s="18" t="s">
        <v>1548</v>
      </c>
      <c r="Y1178" s="18" t="s">
        <v>677</v>
      </c>
      <c r="Z1178" s="18" t="str">
        <f>A1178 &amp; "-" &amp; VLOOKUP(A1178,[4]PROGRAMMES!$E$1:$F$7,2,FALSE)</f>
        <v>3-Expansion et réforme de l’ETFP</v>
      </c>
      <c r="AA1178" s="19" t="str">
        <f>B1178 &amp; "-" &amp; VLOOKUP(B1178,[4]SOUSPROGRAMMES!$E$1:$F$44,2,FALSE)</f>
        <v>36- Renforcement des capacités de pilotage et de gestion dans le cadre d’une gouvernance parteunariale multi niveaux</v>
      </c>
      <c r="AB1178" s="19" t="str">
        <f>C1178 &amp; "-" &amp; VLOOKUP(C1178,[4]RESULTATS!$E$1:$F$176,2,FALSE)</f>
        <v>366- Un système d’assurance qualité est mis en place</v>
      </c>
      <c r="AC1178" s="20" t="str">
        <f>D1178 &amp; "-" &amp; VLOOKUP(D1178,[4]STRATEGIES!$E$1:$F$504,2,FALSE)</f>
        <v>3661-Développement du système d’assurance qualité en cours de mise en œuvre</v>
      </c>
      <c r="AD1178" s="21" t="str">
        <f t="shared" si="191"/>
        <v>36614-Mise à jour des programmes non accrédités en fonction des recommandations de l'évaluation</v>
      </c>
    </row>
    <row r="1179" spans="1:30" s="22" customFormat="1" ht="60" hidden="1" customHeight="1" x14ac:dyDescent="0.8">
      <c r="A1179" s="14">
        <v>3</v>
      </c>
      <c r="B1179" s="15">
        <v>36</v>
      </c>
      <c r="C1179" s="15">
        <v>366</v>
      </c>
      <c r="D1179" s="15">
        <v>3662</v>
      </c>
      <c r="E1179" s="15">
        <v>3662</v>
      </c>
      <c r="F1179" s="16" t="s">
        <v>1550</v>
      </c>
      <c r="G1179" s="17"/>
      <c r="H1179" s="17"/>
      <c r="I1179" s="33">
        <v>0</v>
      </c>
      <c r="J1179" s="33"/>
      <c r="K1179" s="33"/>
      <c r="L1179" s="33"/>
      <c r="M1179" s="33"/>
      <c r="N1179" s="33"/>
      <c r="O1179" s="33"/>
      <c r="P1179" s="33"/>
      <c r="Q1179" s="33"/>
      <c r="R1179" s="33"/>
      <c r="S1179" s="34"/>
      <c r="T1179" s="33"/>
      <c r="U1179" s="18"/>
      <c r="V1179" s="18"/>
      <c r="W1179" s="18"/>
      <c r="X1179" s="18"/>
      <c r="Y1179" s="18" t="s">
        <v>677</v>
      </c>
      <c r="Z1179" s="18" t="str">
        <f>A1179 &amp; "-" &amp; VLOOKUP(A1179,[4]PROGRAMMES!$E$1:$F$7,2,FALSE)</f>
        <v>3-Expansion et réforme de l’ETFP</v>
      </c>
      <c r="AA1179" s="19" t="str">
        <f>B1179 &amp; "-" &amp; VLOOKUP(B1179,[4]SOUSPROGRAMMES!$E$1:$F$44,2,FALSE)</f>
        <v>36- Renforcement des capacités de pilotage et de gestion dans le cadre d’une gouvernance parteunariale multi niveaux</v>
      </c>
      <c r="AB1179" s="19" t="str">
        <f>C1179 &amp; "-" &amp; VLOOKUP(C1179,[4]RESULTATS!$E$1:$F$176,2,FALSE)</f>
        <v>366- Un système d’assurance qualité est mis en place</v>
      </c>
      <c r="AC1179" s="20" t="str">
        <f>D1179 &amp; "-" &amp; VLOOKUP(D1179,[4]STRATEGIES!$E$1:$F$504,2,FALSE)</f>
        <v>3662-Extension de la mise en œuvre du système d’assurance qualité</v>
      </c>
      <c r="AD1179" s="21" t="str">
        <f t="shared" si="191"/>
        <v>3662-Extension de la mise en œuvre du système d’assurance qualité</v>
      </c>
    </row>
    <row r="1180" spans="1:30" s="22" customFormat="1" ht="60" hidden="1" customHeight="1" x14ac:dyDescent="0.8">
      <c r="A1180" s="14">
        <v>3</v>
      </c>
      <c r="B1180" s="15">
        <v>36</v>
      </c>
      <c r="C1180" s="15">
        <v>366</v>
      </c>
      <c r="D1180" s="15">
        <v>3662</v>
      </c>
      <c r="E1180" s="15">
        <v>36621</v>
      </c>
      <c r="F1180" s="16" t="s">
        <v>1551</v>
      </c>
      <c r="G1180" s="21" t="s">
        <v>436</v>
      </c>
      <c r="H1180" s="17" t="s">
        <v>301</v>
      </c>
      <c r="I1180" s="33">
        <v>0</v>
      </c>
      <c r="J1180" s="33">
        <f>60*2</f>
        <v>120</v>
      </c>
      <c r="K1180" s="33">
        <f>60*2</f>
        <v>120</v>
      </c>
      <c r="L1180" s="33"/>
      <c r="M1180" s="33">
        <f>SUM(I1180:L1180)</f>
        <v>240</v>
      </c>
      <c r="N1180" s="33">
        <f>IF(OR(H1180="",H1180="sif",H1180="PM"),0,VLOOKUP(H1180,[5]CU!$C$4:$H$255,6,FALSE))</f>
        <v>0.67666666666666664</v>
      </c>
      <c r="O1180" s="33">
        <f>IFERROR($N1180*I1180,0)</f>
        <v>0</v>
      </c>
      <c r="P1180" s="33">
        <f>IFERROR($N1180*J1180,0)</f>
        <v>81.2</v>
      </c>
      <c r="Q1180" s="33">
        <f>IFERROR($N1180*K1180,0)</f>
        <v>81.2</v>
      </c>
      <c r="R1180" s="33">
        <f>IFERROR($N1180*L1180,0)</f>
        <v>0</v>
      </c>
      <c r="S1180" s="34">
        <f>SUM(O1180:R1180)</f>
        <v>162.4</v>
      </c>
      <c r="T1180" s="35" t="s">
        <v>1304</v>
      </c>
      <c r="U1180" s="19" t="s">
        <v>1156</v>
      </c>
      <c r="V1180" s="19" t="str">
        <f>IF(OR($H1180="",$H1180="sif",$H1180="PM"),"",VLOOKUP($H1180,[5]CU!$C$5:$J$255,8,FALSE))</f>
        <v>3. Formation</v>
      </c>
      <c r="W1180" s="19" t="s">
        <v>1546</v>
      </c>
      <c r="X1180" s="19" t="s">
        <v>1162</v>
      </c>
      <c r="Y1180" s="18" t="s">
        <v>677</v>
      </c>
      <c r="Z1180" s="18" t="str">
        <f>A1180 &amp; "-" &amp; VLOOKUP(A1180,[4]PROGRAMMES!$E$1:$F$7,2,FALSE)</f>
        <v>3-Expansion et réforme de l’ETFP</v>
      </c>
      <c r="AA1180" s="19" t="str">
        <f>B1180 &amp; "-" &amp; VLOOKUP(B1180,[4]SOUSPROGRAMMES!$E$1:$F$44,2,FALSE)</f>
        <v>36- Renforcement des capacités de pilotage et de gestion dans le cadre d’une gouvernance parteunariale multi niveaux</v>
      </c>
      <c r="AB1180" s="19" t="str">
        <f>C1180 &amp; "-" &amp; VLOOKUP(C1180,[4]RESULTATS!$E$1:$F$176,2,FALSE)</f>
        <v>366- Un système d’assurance qualité est mis en place</v>
      </c>
      <c r="AC1180" s="20" t="str">
        <f>D1180 &amp; "-" &amp; VLOOKUP(D1180,[4]STRATEGIES!$E$1:$F$504,2,FALSE)</f>
        <v>3662-Extension de la mise en œuvre du système d’assurance qualité</v>
      </c>
      <c r="AD1180" s="21" t="str">
        <f t="shared" si="191"/>
        <v>36621-Formation des établissements sur l'assurance qualité (chefs d'établissements et de filières)</v>
      </c>
    </row>
    <row r="1181" spans="1:30" s="22" customFormat="1" ht="60" customHeight="1" x14ac:dyDescent="0.8">
      <c r="A1181" s="14">
        <v>3</v>
      </c>
      <c r="B1181" s="15">
        <v>36</v>
      </c>
      <c r="C1181" s="15">
        <v>366</v>
      </c>
      <c r="D1181" s="15">
        <v>3662</v>
      </c>
      <c r="E1181" s="15">
        <v>36621</v>
      </c>
      <c r="F1181" s="16" t="s">
        <v>1551</v>
      </c>
      <c r="G1181" s="21" t="s">
        <v>436</v>
      </c>
      <c r="H1181" s="17" t="s">
        <v>301</v>
      </c>
      <c r="I1181" s="33">
        <v>0</v>
      </c>
      <c r="J1181" s="33"/>
      <c r="K1181" s="33"/>
      <c r="L1181" s="33">
        <f>60*2</f>
        <v>120</v>
      </c>
      <c r="M1181" s="33">
        <f t="shared" si="195"/>
        <v>120</v>
      </c>
      <c r="N1181" s="33">
        <f>IF(OR(H1181="",H1181="sif",H1181="PM"),0,VLOOKUP(H1181,[5]CU!$C$4:$H$255,6,FALSE))</f>
        <v>0.67666666666666664</v>
      </c>
      <c r="O1181" s="33">
        <f t="shared" si="196"/>
        <v>0</v>
      </c>
      <c r="P1181" s="33">
        <f t="shared" si="196"/>
        <v>0</v>
      </c>
      <c r="Q1181" s="33">
        <f t="shared" si="196"/>
        <v>0</v>
      </c>
      <c r="R1181" s="33">
        <f t="shared" si="196"/>
        <v>81.2</v>
      </c>
      <c r="S1181" s="34">
        <f>SUM(O1181:R1181)</f>
        <v>81.2</v>
      </c>
      <c r="T1181" s="35" t="s">
        <v>1276</v>
      </c>
      <c r="U1181" s="19" t="s">
        <v>1156</v>
      </c>
      <c r="V1181" s="19" t="str">
        <f>IF(OR($H1181="",$H1181="sif",$H1181="PM"),"",VLOOKUP($H1181,[5]CU!$C$5:$J$255,8,FALSE))</f>
        <v>3. Formation</v>
      </c>
      <c r="W1181" s="19" t="s">
        <v>1546</v>
      </c>
      <c r="X1181" s="19" t="s">
        <v>1162</v>
      </c>
      <c r="Y1181" s="18" t="s">
        <v>677</v>
      </c>
      <c r="Z1181" s="18" t="str">
        <f>A1181 &amp; "-" &amp; VLOOKUP(A1181,[4]PROGRAMMES!$E$1:$F$7,2,FALSE)</f>
        <v>3-Expansion et réforme de l’ETFP</v>
      </c>
      <c r="AA1181" s="19" t="str">
        <f>B1181 &amp; "-" &amp; VLOOKUP(B1181,[4]SOUSPROGRAMMES!$E$1:$F$44,2,FALSE)</f>
        <v>36- Renforcement des capacités de pilotage et de gestion dans le cadre d’une gouvernance parteunariale multi niveaux</v>
      </c>
      <c r="AB1181" s="19" t="str">
        <f>C1181 &amp; "-" &amp; VLOOKUP(C1181,[4]RESULTATS!$E$1:$F$176,2,FALSE)</f>
        <v>366- Un système d’assurance qualité est mis en place</v>
      </c>
      <c r="AC1181" s="20" t="str">
        <f>D1181 &amp; "-" &amp; VLOOKUP(D1181,[4]STRATEGIES!$E$1:$F$504,2,FALSE)</f>
        <v>3662-Extension de la mise en œuvre du système d’assurance qualité</v>
      </c>
      <c r="AD1181" s="21" t="str">
        <f t="shared" si="191"/>
        <v>36621-Formation des établissements sur l'assurance qualité (chefs d'établissements et de filières)</v>
      </c>
    </row>
    <row r="1182" spans="1:30" s="22" customFormat="1" ht="60" hidden="1" customHeight="1" x14ac:dyDescent="0.8">
      <c r="A1182" s="14">
        <v>3</v>
      </c>
      <c r="B1182" s="15">
        <v>36</v>
      </c>
      <c r="C1182" s="15">
        <v>366</v>
      </c>
      <c r="D1182" s="15">
        <v>3662</v>
      </c>
      <c r="E1182" s="15">
        <v>36622</v>
      </c>
      <c r="F1182" s="16" t="s">
        <v>1552</v>
      </c>
      <c r="G1182" s="21" t="s">
        <v>836</v>
      </c>
      <c r="H1182" s="17" t="s">
        <v>55</v>
      </c>
      <c r="I1182" s="33">
        <v>0</v>
      </c>
      <c r="J1182" s="33"/>
      <c r="K1182" s="33">
        <v>1</v>
      </c>
      <c r="L1182" s="33">
        <v>1</v>
      </c>
      <c r="M1182" s="33">
        <f t="shared" si="195"/>
        <v>2</v>
      </c>
      <c r="N1182" s="33">
        <f>IF(OR(H1182="",H1182="sif",H1182="PM"),0,VLOOKUP(H1182,[5]CU!$C$4:$H$255,6,FALSE))</f>
        <v>0</v>
      </c>
      <c r="O1182" s="33">
        <f t="shared" si="196"/>
        <v>0</v>
      </c>
      <c r="P1182" s="33">
        <f t="shared" si="196"/>
        <v>0</v>
      </c>
      <c r="Q1182" s="33">
        <f t="shared" si="196"/>
        <v>0</v>
      </c>
      <c r="R1182" s="33">
        <f t="shared" si="196"/>
        <v>0</v>
      </c>
      <c r="S1182" s="34"/>
      <c r="T1182" s="35" t="s">
        <v>56</v>
      </c>
      <c r="U1182" s="18" t="s">
        <v>1156</v>
      </c>
      <c r="V1182" s="18" t="str">
        <f>IF(OR($H1182="",$H1182="sif",$H1182="PM"),"",VLOOKUP($H1182,[5]CU!$C$5:$J$255,8,FALSE))</f>
        <v/>
      </c>
      <c r="W1182" s="18" t="s">
        <v>1548</v>
      </c>
      <c r="X1182" s="18" t="s">
        <v>1334</v>
      </c>
      <c r="Y1182" s="18" t="s">
        <v>677</v>
      </c>
      <c r="Z1182" s="18" t="str">
        <f>A1182 &amp; "-" &amp; VLOOKUP(A1182,[4]PROGRAMMES!$E$1:$F$7,2,FALSE)</f>
        <v>3-Expansion et réforme de l’ETFP</v>
      </c>
      <c r="AA1182" s="19" t="str">
        <f>B1182 &amp; "-" &amp; VLOOKUP(B1182,[4]SOUSPROGRAMMES!$E$1:$F$44,2,FALSE)</f>
        <v>36- Renforcement des capacités de pilotage et de gestion dans le cadre d’une gouvernance parteunariale multi niveaux</v>
      </c>
      <c r="AB1182" s="19" t="str">
        <f>C1182 &amp; "-" &amp; VLOOKUP(C1182,[4]RESULTATS!$E$1:$F$176,2,FALSE)</f>
        <v>366- Un système d’assurance qualité est mis en place</v>
      </c>
      <c r="AC1182" s="20" t="str">
        <f>D1182 &amp; "-" &amp; VLOOKUP(D1182,[4]STRATEGIES!$E$1:$F$504,2,FALSE)</f>
        <v>3662-Extension de la mise en œuvre du système d’assurance qualité</v>
      </c>
      <c r="AD1182" s="21" t="str">
        <f t="shared" si="191"/>
        <v>36622-Auto-évaluation des programmes retenues sur la base du manuel de procédures</v>
      </c>
    </row>
    <row r="1183" spans="1:30" s="22" customFormat="1" ht="60" hidden="1" customHeight="1" x14ac:dyDescent="0.8">
      <c r="A1183" s="14">
        <v>3</v>
      </c>
      <c r="B1183" s="15">
        <v>36</v>
      </c>
      <c r="C1183" s="15">
        <v>366</v>
      </c>
      <c r="D1183" s="15">
        <v>3662</v>
      </c>
      <c r="E1183" s="15">
        <v>36623</v>
      </c>
      <c r="F1183" s="16" t="s">
        <v>1553</v>
      </c>
      <c r="G1183" s="21" t="s">
        <v>100</v>
      </c>
      <c r="H1183" s="17" t="s">
        <v>646</v>
      </c>
      <c r="I1183" s="33">
        <v>0</v>
      </c>
      <c r="J1183" s="33"/>
      <c r="K1183" s="33">
        <f>1*45</f>
        <v>45</v>
      </c>
      <c r="L1183" s="33">
        <f>1*45</f>
        <v>45</v>
      </c>
      <c r="M1183" s="33">
        <f t="shared" si="195"/>
        <v>90</v>
      </c>
      <c r="N1183" s="33">
        <f>IF(OR(H1183="",H1183="sif",H1183="PM"),0,VLOOKUP(H1183,[5]CU!$C$4:$H$255,6,FALSE))</f>
        <v>10.404797</v>
      </c>
      <c r="O1183" s="33">
        <f t="shared" si="196"/>
        <v>0</v>
      </c>
      <c r="P1183" s="33">
        <f t="shared" si="196"/>
        <v>0</v>
      </c>
      <c r="Q1183" s="33">
        <f t="shared" si="196"/>
        <v>468.21586500000001</v>
      </c>
      <c r="R1183" s="33">
        <f t="shared" si="196"/>
        <v>468.21586500000001</v>
      </c>
      <c r="S1183" s="34">
        <f>SUM(O1183:R1183)</f>
        <v>936.43173000000002</v>
      </c>
      <c r="T1183" s="35" t="s">
        <v>56</v>
      </c>
      <c r="U1183" s="18" t="s">
        <v>1156</v>
      </c>
      <c r="V1183" s="18" t="str">
        <f>IF(OR($H1183="",$H1183="sif",$H1183="PM"),"",VLOOKUP($H1183,[5]CU!$C$5:$J$255,8,FALSE))</f>
        <v>3. Dépenses de fonctionnement</v>
      </c>
      <c r="W1183" s="18" t="s">
        <v>1546</v>
      </c>
      <c r="X1183" s="18" t="s">
        <v>100</v>
      </c>
      <c r="Y1183" s="18" t="s">
        <v>677</v>
      </c>
      <c r="Z1183" s="18" t="str">
        <f>A1183 &amp; "-" &amp; VLOOKUP(A1183,[4]PROGRAMMES!$E$1:$F$7,2,FALSE)</f>
        <v>3-Expansion et réforme de l’ETFP</v>
      </c>
      <c r="AA1183" s="19" t="str">
        <f>B1183 &amp; "-" &amp; VLOOKUP(B1183,[4]SOUSPROGRAMMES!$E$1:$F$44,2,FALSE)</f>
        <v>36- Renforcement des capacités de pilotage et de gestion dans le cadre d’une gouvernance parteunariale multi niveaux</v>
      </c>
      <c r="AB1183" s="19" t="str">
        <f>C1183 &amp; "-" &amp; VLOOKUP(C1183,[4]RESULTATS!$E$1:$F$176,2,FALSE)</f>
        <v>366- Un système d’assurance qualité est mis en place</v>
      </c>
      <c r="AC1183" s="20" t="str">
        <f>D1183 &amp; "-" &amp; VLOOKUP(D1183,[4]STRATEGIES!$E$1:$F$504,2,FALSE)</f>
        <v>3662-Extension de la mise en œuvre du système d’assurance qualité</v>
      </c>
      <c r="AD1183" s="21" t="str">
        <f t="shared" si="191"/>
        <v>36623-Evaluation indépendante des programmes retenus</v>
      </c>
    </row>
    <row r="1184" spans="1:30" s="22" customFormat="1" ht="60" hidden="1" customHeight="1" x14ac:dyDescent="0.8">
      <c r="A1184" s="14">
        <v>3</v>
      </c>
      <c r="B1184" s="15">
        <v>36</v>
      </c>
      <c r="C1184" s="15">
        <v>366</v>
      </c>
      <c r="D1184" s="15">
        <v>3663</v>
      </c>
      <c r="E1184" s="15">
        <v>3663</v>
      </c>
      <c r="F1184" s="16" t="s">
        <v>1554</v>
      </c>
      <c r="G1184" s="17"/>
      <c r="H1184" s="17"/>
      <c r="I1184" s="33">
        <v>0</v>
      </c>
      <c r="J1184" s="33"/>
      <c r="K1184" s="33"/>
      <c r="L1184" s="33"/>
      <c r="M1184" s="33"/>
      <c r="N1184" s="33"/>
      <c r="O1184" s="33"/>
      <c r="P1184" s="33"/>
      <c r="Q1184" s="33"/>
      <c r="R1184" s="33"/>
      <c r="S1184" s="34"/>
      <c r="T1184" s="33"/>
      <c r="U1184" s="18"/>
      <c r="V1184" s="18"/>
      <c r="W1184" s="18"/>
      <c r="X1184" s="18"/>
      <c r="Y1184" s="18" t="s">
        <v>677</v>
      </c>
      <c r="Z1184" s="18" t="str">
        <f>A1184 &amp; "-" &amp; VLOOKUP(A1184,[4]PROGRAMMES!$E$1:$F$7,2,FALSE)</f>
        <v>3-Expansion et réforme de l’ETFP</v>
      </c>
      <c r="AA1184" s="19" t="str">
        <f>B1184 &amp; "-" &amp; VLOOKUP(B1184,[4]SOUSPROGRAMMES!$E$1:$F$44,2,FALSE)</f>
        <v>36- Renforcement des capacités de pilotage et de gestion dans le cadre d’une gouvernance parteunariale multi niveaux</v>
      </c>
      <c r="AB1184" s="19" t="str">
        <f>C1184 &amp; "-" &amp; VLOOKUP(C1184,[4]RESULTATS!$E$1:$F$176,2,FALSE)</f>
        <v>366- Un système d’assurance qualité est mis en place</v>
      </c>
      <c r="AC1184" s="20" t="str">
        <f>D1184 &amp; "-" &amp; VLOOKUP(D1184,[4]STRATEGIES!$E$1:$F$504,2,FALSE)</f>
        <v>3663-Développement d’un Cadre National de Certification et de Qualification (CNCQ)</v>
      </c>
      <c r="AD1184" s="21" t="str">
        <f t="shared" si="191"/>
        <v>3663-Développement d’un Cadre National de Certification et de Qualification (CNCQ)</v>
      </c>
    </row>
    <row r="1185" spans="1:30" s="22" customFormat="1" ht="60" hidden="1" customHeight="1" x14ac:dyDescent="0.8">
      <c r="A1185" s="14">
        <v>3</v>
      </c>
      <c r="B1185" s="15">
        <v>36</v>
      </c>
      <c r="C1185" s="15">
        <v>366</v>
      </c>
      <c r="D1185" s="15">
        <v>3663</v>
      </c>
      <c r="E1185" s="15">
        <v>36631</v>
      </c>
      <c r="F1185" s="16" t="s">
        <v>1555</v>
      </c>
      <c r="G1185" s="21" t="s">
        <v>195</v>
      </c>
      <c r="H1185" s="17" t="s">
        <v>646</v>
      </c>
      <c r="I1185" s="33">
        <v>0</v>
      </c>
      <c r="J1185" s="33"/>
      <c r="K1185" s="33">
        <f>1*45</f>
        <v>45</v>
      </c>
      <c r="L1185" s="33"/>
      <c r="M1185" s="33">
        <f t="shared" si="195"/>
        <v>45</v>
      </c>
      <c r="N1185" s="33">
        <f>IF(OR(H1185="",H1185="sif",H1185="PM"),0,VLOOKUP(H1185,[5]CU!$C$4:$H$255,6,FALSE))</f>
        <v>10.404797</v>
      </c>
      <c r="O1185" s="33">
        <f t="shared" si="196"/>
        <v>0</v>
      </c>
      <c r="P1185" s="33">
        <f t="shared" si="196"/>
        <v>0</v>
      </c>
      <c r="Q1185" s="33">
        <f t="shared" si="196"/>
        <v>468.21586500000001</v>
      </c>
      <c r="R1185" s="33">
        <f t="shared" si="196"/>
        <v>0</v>
      </c>
      <c r="S1185" s="34">
        <f>SUM(O1185:R1185)</f>
        <v>468.21586500000001</v>
      </c>
      <c r="T1185" s="35" t="s">
        <v>118</v>
      </c>
      <c r="U1185" s="18" t="s">
        <v>1156</v>
      </c>
      <c r="V1185" s="18" t="str">
        <f>IF(OR($H1185="",$H1185="sif",$H1185="PM"),"",VLOOKUP($H1185,[5]CU!$C$5:$J$255,8,FALSE))</f>
        <v>3. Dépenses de fonctionnement</v>
      </c>
      <c r="W1185" s="18" t="s">
        <v>1231</v>
      </c>
      <c r="X1185" s="18" t="s">
        <v>100</v>
      </c>
      <c r="Y1185" s="18" t="s">
        <v>677</v>
      </c>
      <c r="Z1185" s="18" t="str">
        <f>A1185 &amp; "-" &amp; VLOOKUP(A1185,[4]PROGRAMMES!$E$1:$F$7,2,FALSE)</f>
        <v>3-Expansion et réforme de l’ETFP</v>
      </c>
      <c r="AA1185" s="19" t="str">
        <f>B1185 &amp; "-" &amp; VLOOKUP(B1185,[4]SOUSPROGRAMMES!$E$1:$F$44,2,FALSE)</f>
        <v>36- Renforcement des capacités de pilotage et de gestion dans le cadre d’une gouvernance parteunariale multi niveaux</v>
      </c>
      <c r="AB1185" s="19" t="str">
        <f>C1185 &amp; "-" &amp; VLOOKUP(C1185,[4]RESULTATS!$E$1:$F$176,2,FALSE)</f>
        <v>366- Un système d’assurance qualité est mis en place</v>
      </c>
      <c r="AC1185" s="20" t="str">
        <f>D1185 &amp; "-" &amp; VLOOKUP(D1185,[4]STRATEGIES!$E$1:$F$504,2,FALSE)</f>
        <v>3663-Développement d’un Cadre National de Certification et de Qualification (CNCQ)</v>
      </c>
      <c r="AD1185" s="21" t="str">
        <f t="shared" si="191"/>
        <v>36631-Etat des lieux de la formation et de la certification</v>
      </c>
    </row>
    <row r="1186" spans="1:30" s="22" customFormat="1" ht="60" hidden="1" customHeight="1" x14ac:dyDescent="0.8">
      <c r="A1186" s="14">
        <v>3</v>
      </c>
      <c r="B1186" s="15">
        <v>36</v>
      </c>
      <c r="C1186" s="15">
        <v>366</v>
      </c>
      <c r="D1186" s="15">
        <v>3663</v>
      </c>
      <c r="E1186" s="15">
        <v>36632</v>
      </c>
      <c r="F1186" s="16" t="s">
        <v>1556</v>
      </c>
      <c r="G1186" s="21" t="s">
        <v>92</v>
      </c>
      <c r="H1186" s="17" t="s">
        <v>55</v>
      </c>
      <c r="I1186" s="33">
        <v>0</v>
      </c>
      <c r="J1186" s="33"/>
      <c r="K1186" s="33">
        <v>1</v>
      </c>
      <c r="L1186" s="33"/>
      <c r="M1186" s="33">
        <f t="shared" si="195"/>
        <v>1</v>
      </c>
      <c r="N1186" s="33">
        <f>IF(OR(H1186="",H1186="sif",H1186="PM"),0,VLOOKUP(H1186,[5]CU!$C$4:$H$255,6,FALSE))</f>
        <v>0</v>
      </c>
      <c r="O1186" s="33">
        <f t="shared" si="196"/>
        <v>0</v>
      </c>
      <c r="P1186" s="33">
        <f t="shared" si="196"/>
        <v>0</v>
      </c>
      <c r="Q1186" s="33">
        <f t="shared" si="196"/>
        <v>0</v>
      </c>
      <c r="R1186" s="33">
        <f t="shared" si="196"/>
        <v>0</v>
      </c>
      <c r="S1186" s="34"/>
      <c r="T1186" s="35" t="s">
        <v>56</v>
      </c>
      <c r="U1186" s="18" t="s">
        <v>1156</v>
      </c>
      <c r="V1186" s="18" t="str">
        <f>IF(OR($H1186="",$H1186="sif",$H1186="PM"),"",VLOOKUP($H1186,[5]CU!$C$5:$J$255,8,FALSE))</f>
        <v/>
      </c>
      <c r="W1186" s="18" t="s">
        <v>1231</v>
      </c>
      <c r="X1186" s="19" t="s">
        <v>1475</v>
      </c>
      <c r="Y1186" s="18" t="s">
        <v>677</v>
      </c>
      <c r="Z1186" s="18" t="str">
        <f>A1186 &amp; "-" &amp; VLOOKUP(A1186,[4]PROGRAMMES!$E$1:$F$7,2,FALSE)</f>
        <v>3-Expansion et réforme de l’ETFP</v>
      </c>
      <c r="AA1186" s="19" t="str">
        <f>B1186 &amp; "-" &amp; VLOOKUP(B1186,[4]SOUSPROGRAMMES!$E$1:$F$44,2,FALSE)</f>
        <v>36- Renforcement des capacités de pilotage et de gestion dans le cadre d’une gouvernance parteunariale multi niveaux</v>
      </c>
      <c r="AB1186" s="19" t="str">
        <f>C1186 &amp; "-" &amp; VLOOKUP(C1186,[4]RESULTATS!$E$1:$F$176,2,FALSE)</f>
        <v>366- Un système d’assurance qualité est mis en place</v>
      </c>
      <c r="AC1186" s="20" t="str">
        <f>D1186 &amp; "-" &amp; VLOOKUP(D1186,[4]STRATEGIES!$E$1:$F$504,2,FALSE)</f>
        <v>3663-Développement d’un Cadre National de Certification et de Qualification (CNCQ)</v>
      </c>
      <c r="AD1186" s="21" t="str">
        <f t="shared" si="191"/>
        <v>36632-Identification des problématiques de la certification et de la qualification en formation professionnelle (pris en compte dans activité 36531)</v>
      </c>
    </row>
    <row r="1187" spans="1:30" s="22" customFormat="1" ht="60" hidden="1" customHeight="1" x14ac:dyDescent="0.8">
      <c r="A1187" s="14">
        <v>3</v>
      </c>
      <c r="B1187" s="15">
        <v>36</v>
      </c>
      <c r="C1187" s="15">
        <v>366</v>
      </c>
      <c r="D1187" s="15">
        <v>3663</v>
      </c>
      <c r="E1187" s="15">
        <v>36633</v>
      </c>
      <c r="F1187" s="16" t="s">
        <v>1557</v>
      </c>
      <c r="G1187" s="21" t="s">
        <v>1558</v>
      </c>
      <c r="H1187" s="17" t="s">
        <v>66</v>
      </c>
      <c r="I1187" s="33">
        <v>0</v>
      </c>
      <c r="J1187" s="33"/>
      <c r="K1187" s="33">
        <f>20*5</f>
        <v>100</v>
      </c>
      <c r="L1187" s="33"/>
      <c r="M1187" s="33">
        <f t="shared" si="195"/>
        <v>100</v>
      </c>
      <c r="N1187" s="33">
        <f>IF(OR(H1187="",H1187="sif",H1187="PM"),0,VLOOKUP(H1187,[5]CU!$C$4:$H$255,6,FALSE))</f>
        <v>0.255</v>
      </c>
      <c r="O1187" s="33">
        <f t="shared" si="196"/>
        <v>0</v>
      </c>
      <c r="P1187" s="33">
        <f t="shared" si="196"/>
        <v>0</v>
      </c>
      <c r="Q1187" s="33">
        <f t="shared" si="196"/>
        <v>25.5</v>
      </c>
      <c r="R1187" s="33">
        <f t="shared" si="196"/>
        <v>0</v>
      </c>
      <c r="S1187" s="34">
        <f>SUM(O1187:R1187)</f>
        <v>25.5</v>
      </c>
      <c r="T1187" s="35" t="s">
        <v>118</v>
      </c>
      <c r="U1187" s="18" t="s">
        <v>1156</v>
      </c>
      <c r="V1187" s="18" t="str">
        <f>IF(OR($H1187="",$H1187="sif",$H1187="PM"),"",VLOOKUP($H1187,[5]CU!$C$5:$J$255,8,FALSE))</f>
        <v>3. Dépenses de fonctionnement</v>
      </c>
      <c r="W1187" s="18" t="s">
        <v>1231</v>
      </c>
      <c r="X1187" s="19" t="s">
        <v>1475</v>
      </c>
      <c r="Y1187" s="18" t="s">
        <v>677</v>
      </c>
      <c r="Z1187" s="18" t="str">
        <f>A1187 &amp; "-" &amp; VLOOKUP(A1187,[4]PROGRAMMES!$E$1:$F$7,2,FALSE)</f>
        <v>3-Expansion et réforme de l’ETFP</v>
      </c>
      <c r="AA1187" s="19" t="str">
        <f>B1187 &amp; "-" &amp; VLOOKUP(B1187,[4]SOUSPROGRAMMES!$E$1:$F$44,2,FALSE)</f>
        <v>36- Renforcement des capacités de pilotage et de gestion dans le cadre d’une gouvernance parteunariale multi niveaux</v>
      </c>
      <c r="AB1187" s="19" t="str">
        <f>C1187 &amp; "-" &amp; VLOOKUP(C1187,[4]RESULTATS!$E$1:$F$176,2,FALSE)</f>
        <v>366- Un système d’assurance qualité est mis en place</v>
      </c>
      <c r="AC1187" s="20" t="str">
        <f>D1187 &amp; "-" &amp; VLOOKUP(D1187,[4]STRATEGIES!$E$1:$F$504,2,FALSE)</f>
        <v>3663-Développement d’un Cadre National de Certification et de Qualification (CNCQ)</v>
      </c>
      <c r="AD1187" s="21" t="str">
        <f t="shared" si="191"/>
        <v>36633-Elaboration du cadre légal et réglementaire de la qualification et de la certification</v>
      </c>
    </row>
    <row r="1188" spans="1:30" s="22" customFormat="1" ht="60" hidden="1" customHeight="1" x14ac:dyDescent="0.8">
      <c r="A1188" s="14">
        <v>3</v>
      </c>
      <c r="B1188" s="15">
        <v>36</v>
      </c>
      <c r="C1188" s="15">
        <v>366</v>
      </c>
      <c r="D1188" s="15">
        <v>3663</v>
      </c>
      <c r="E1188" s="15">
        <v>36634</v>
      </c>
      <c r="F1188" s="16" t="s">
        <v>1559</v>
      </c>
      <c r="G1188" s="21" t="s">
        <v>1432</v>
      </c>
      <c r="H1188" s="17" t="s">
        <v>38</v>
      </c>
      <c r="I1188" s="33">
        <v>0</v>
      </c>
      <c r="J1188" s="33"/>
      <c r="K1188" s="33">
        <f>60*3</f>
        <v>180</v>
      </c>
      <c r="L1188" s="33"/>
      <c r="M1188" s="33">
        <f t="shared" si="195"/>
        <v>180</v>
      </c>
      <c r="N1188" s="33">
        <f>IF(OR(H1188="",H1188="sif",H1188="PM"),0,VLOOKUP(H1188,[5]CU!$C$4:$H$255,6,FALSE))</f>
        <v>0.3133333333333333</v>
      </c>
      <c r="O1188" s="33">
        <f t="shared" si="196"/>
        <v>0</v>
      </c>
      <c r="P1188" s="33">
        <f t="shared" si="196"/>
        <v>0</v>
      </c>
      <c r="Q1188" s="33">
        <f t="shared" si="196"/>
        <v>56.399999999999991</v>
      </c>
      <c r="R1188" s="33">
        <f t="shared" si="196"/>
        <v>0</v>
      </c>
      <c r="S1188" s="34">
        <f>SUM(O1188:R1188)</f>
        <v>56.399999999999991</v>
      </c>
      <c r="T1188" s="35" t="s">
        <v>118</v>
      </c>
      <c r="U1188" s="18" t="s">
        <v>1156</v>
      </c>
      <c r="V1188" s="18" t="str">
        <f>IF(OR($H1188="",$H1188="sif",$H1188="PM"),"",VLOOKUP($H1188,[5]CU!$C$5:$J$255,8,FALSE))</f>
        <v>3. Formation</v>
      </c>
      <c r="W1188" s="18" t="s">
        <v>1231</v>
      </c>
      <c r="X1188" s="19" t="s">
        <v>1475</v>
      </c>
      <c r="Y1188" s="18" t="s">
        <v>677</v>
      </c>
      <c r="Z1188" s="18" t="str">
        <f>A1188 &amp; "-" &amp; VLOOKUP(A1188,[4]PROGRAMMES!$E$1:$F$7,2,FALSE)</f>
        <v>3-Expansion et réforme de l’ETFP</v>
      </c>
      <c r="AA1188" s="19" t="str">
        <f>B1188 &amp; "-" &amp; VLOOKUP(B1188,[4]SOUSPROGRAMMES!$E$1:$F$44,2,FALSE)</f>
        <v>36- Renforcement des capacités de pilotage et de gestion dans le cadre d’une gouvernance parteunariale multi niveaux</v>
      </c>
      <c r="AB1188" s="19" t="str">
        <f>C1188 &amp; "-" &amp; VLOOKUP(C1188,[4]RESULTATS!$E$1:$F$176,2,FALSE)</f>
        <v>366- Un système d’assurance qualité est mis en place</v>
      </c>
      <c r="AC1188" s="20" t="str">
        <f>D1188 &amp; "-" &amp; VLOOKUP(D1188,[4]STRATEGIES!$E$1:$F$504,2,FALSE)</f>
        <v>3663-Développement d’un Cadre National de Certification et de Qualification (CNCQ)</v>
      </c>
      <c r="AD1188" s="21" t="str">
        <f t="shared" si="191"/>
        <v>36634-Concertation sur le CNCQ</v>
      </c>
    </row>
    <row r="1189" spans="1:30" s="22" customFormat="1" ht="60" hidden="1" customHeight="1" x14ac:dyDescent="0.8">
      <c r="A1189" s="14">
        <v>3</v>
      </c>
      <c r="B1189" s="15">
        <v>36</v>
      </c>
      <c r="C1189" s="15">
        <v>366</v>
      </c>
      <c r="D1189" s="15">
        <v>3663</v>
      </c>
      <c r="E1189" s="15">
        <v>36635</v>
      </c>
      <c r="F1189" s="16" t="s">
        <v>1560</v>
      </c>
      <c r="G1189" s="21" t="s">
        <v>836</v>
      </c>
      <c r="H1189" s="17" t="s">
        <v>55</v>
      </c>
      <c r="I1189" s="33">
        <v>0</v>
      </c>
      <c r="J1189" s="33"/>
      <c r="K1189" s="33">
        <v>1</v>
      </c>
      <c r="L1189" s="33"/>
      <c r="M1189" s="33">
        <f t="shared" si="195"/>
        <v>1</v>
      </c>
      <c r="N1189" s="33">
        <f>IF(OR(H1189="",H1189="sif",H1189="PM"),0,VLOOKUP(H1189,[5]CU!$C$4:$H$255,6,FALSE))</f>
        <v>0</v>
      </c>
      <c r="O1189" s="33">
        <f t="shared" si="196"/>
        <v>0</v>
      </c>
      <c r="P1189" s="33">
        <f t="shared" si="196"/>
        <v>0</v>
      </c>
      <c r="Q1189" s="33">
        <f t="shared" si="196"/>
        <v>0</v>
      </c>
      <c r="R1189" s="33">
        <f t="shared" si="196"/>
        <v>0</v>
      </c>
      <c r="S1189" s="34"/>
      <c r="T1189" s="35" t="s">
        <v>56</v>
      </c>
      <c r="U1189" s="18" t="s">
        <v>1156</v>
      </c>
      <c r="V1189" s="18" t="str">
        <f>IF(OR($H1189="",$H1189="sif",$H1189="PM"),"",VLOOKUP($H1189,[5]CU!$C$5:$J$255,8,FALSE))</f>
        <v/>
      </c>
      <c r="W1189" s="18" t="s">
        <v>1231</v>
      </c>
      <c r="X1189" s="19" t="s">
        <v>1475</v>
      </c>
      <c r="Y1189" s="18" t="s">
        <v>677</v>
      </c>
      <c r="Z1189" s="18" t="str">
        <f>A1189 &amp; "-" &amp; VLOOKUP(A1189,[4]PROGRAMMES!$E$1:$F$7,2,FALSE)</f>
        <v>3-Expansion et réforme de l’ETFP</v>
      </c>
      <c r="AA1189" s="19" t="str">
        <f>B1189 &amp; "-" &amp; VLOOKUP(B1189,[4]SOUSPROGRAMMES!$E$1:$F$44,2,FALSE)</f>
        <v>36- Renforcement des capacités de pilotage et de gestion dans le cadre d’une gouvernance parteunariale multi niveaux</v>
      </c>
      <c r="AB1189" s="19" t="str">
        <f>C1189 &amp; "-" &amp; VLOOKUP(C1189,[4]RESULTATS!$E$1:$F$176,2,FALSE)</f>
        <v>366- Un système d’assurance qualité est mis en place</v>
      </c>
      <c r="AC1189" s="20" t="str">
        <f>D1189 &amp; "-" &amp; VLOOKUP(D1189,[4]STRATEGIES!$E$1:$F$504,2,FALSE)</f>
        <v>3663-Développement d’un Cadre National de Certification et de Qualification (CNCQ)</v>
      </c>
      <c r="AD1189" s="21" t="str">
        <f t="shared" si="191"/>
        <v>36635-Adoption des textes réglementaires</v>
      </c>
    </row>
    <row r="1190" spans="1:30" s="22" customFormat="1" ht="60" hidden="1" customHeight="1" x14ac:dyDescent="0.8">
      <c r="A1190" s="14">
        <v>3</v>
      </c>
      <c r="B1190" s="15">
        <v>36</v>
      </c>
      <c r="C1190" s="15">
        <v>366</v>
      </c>
      <c r="D1190" s="15">
        <v>3663</v>
      </c>
      <c r="E1190" s="15">
        <v>36636</v>
      </c>
      <c r="F1190" s="16" t="s">
        <v>1561</v>
      </c>
      <c r="G1190" s="21" t="s">
        <v>1562</v>
      </c>
      <c r="H1190" s="17" t="s">
        <v>452</v>
      </c>
      <c r="I1190" s="33">
        <v>0</v>
      </c>
      <c r="J1190" s="33"/>
      <c r="K1190" s="33"/>
      <c r="L1190" s="33">
        <f>60*20</f>
        <v>1200</v>
      </c>
      <c r="M1190" s="33">
        <f t="shared" si="195"/>
        <v>1200</v>
      </c>
      <c r="N1190" s="33">
        <f>IF(OR(H1190="",H1190="sif",H1190="PM"),0,VLOOKUP(H1190,[5]CU!$C$4:$H$255,6,FALSE))</f>
        <v>7.4999999999999997E-3</v>
      </c>
      <c r="O1190" s="33">
        <f t="shared" si="196"/>
        <v>0</v>
      </c>
      <c r="P1190" s="33">
        <f t="shared" si="196"/>
        <v>0</v>
      </c>
      <c r="Q1190" s="33">
        <f t="shared" si="196"/>
        <v>0</v>
      </c>
      <c r="R1190" s="33">
        <f t="shared" si="196"/>
        <v>9</v>
      </c>
      <c r="S1190" s="34">
        <f>SUM(O1190:R1190)</f>
        <v>9</v>
      </c>
      <c r="T1190" s="35" t="s">
        <v>118</v>
      </c>
      <c r="U1190" s="18" t="s">
        <v>1156</v>
      </c>
      <c r="V1190" s="18" t="str">
        <f>IF(OR($H1190="",$H1190="sif",$H1190="PM"),"",VLOOKUP($H1190,[5]CU!$C$5:$J$255,8,FALSE))</f>
        <v>3. Dépenses de fonctionnement</v>
      </c>
      <c r="W1190" s="18" t="s">
        <v>521</v>
      </c>
      <c r="X1190" s="19" t="s">
        <v>1475</v>
      </c>
      <c r="Y1190" s="18" t="s">
        <v>677</v>
      </c>
      <c r="Z1190" s="18" t="str">
        <f>A1190 &amp; "-" &amp; VLOOKUP(A1190,[4]PROGRAMMES!$E$1:$F$7,2,FALSE)</f>
        <v>3-Expansion et réforme de l’ETFP</v>
      </c>
      <c r="AA1190" s="19" t="str">
        <f>B1190 &amp; "-" &amp; VLOOKUP(B1190,[4]SOUSPROGRAMMES!$E$1:$F$44,2,FALSE)</f>
        <v>36- Renforcement des capacités de pilotage et de gestion dans le cadre d’une gouvernance parteunariale multi niveaux</v>
      </c>
      <c r="AB1190" s="19" t="str">
        <f>C1190 &amp; "-" &amp; VLOOKUP(C1190,[4]RESULTATS!$E$1:$F$176,2,FALSE)</f>
        <v>366- Un système d’assurance qualité est mis en place</v>
      </c>
      <c r="AC1190" s="20" t="str">
        <f>D1190 &amp; "-" &amp; VLOOKUP(D1190,[4]STRATEGIES!$E$1:$F$504,2,FALSE)</f>
        <v>3663-Développement d’un Cadre National de Certification et de Qualification (CNCQ)</v>
      </c>
      <c r="AD1190" s="21" t="str">
        <f t="shared" si="191"/>
        <v>36636-Diffusion des textes</v>
      </c>
    </row>
    <row r="1191" spans="1:30" s="22" customFormat="1" ht="60" hidden="1" customHeight="1" x14ac:dyDescent="0.8">
      <c r="A1191" s="14">
        <v>3</v>
      </c>
      <c r="B1191" s="15">
        <v>36</v>
      </c>
      <c r="C1191" s="15">
        <v>366</v>
      </c>
      <c r="D1191" s="15">
        <v>3664</v>
      </c>
      <c r="E1191" s="15">
        <v>3664</v>
      </c>
      <c r="F1191" s="16" t="s">
        <v>1563</v>
      </c>
      <c r="G1191" s="17"/>
      <c r="H1191" s="17"/>
      <c r="I1191" s="33">
        <v>0</v>
      </c>
      <c r="J1191" s="33"/>
      <c r="K1191" s="33"/>
      <c r="L1191" s="33"/>
      <c r="M1191" s="33"/>
      <c r="N1191" s="33"/>
      <c r="O1191" s="33"/>
      <c r="P1191" s="33"/>
      <c r="Q1191" s="33"/>
      <c r="R1191" s="33"/>
      <c r="S1191" s="34"/>
      <c r="T1191" s="33"/>
      <c r="U1191" s="18"/>
      <c r="V1191" s="18"/>
      <c r="W1191" s="18"/>
      <c r="X1191" s="18"/>
      <c r="Y1191" s="18" t="s">
        <v>677</v>
      </c>
      <c r="Z1191" s="18" t="str">
        <f>A1191 &amp; "-" &amp; VLOOKUP(A1191,[4]PROGRAMMES!$E$1:$F$7,2,FALSE)</f>
        <v>3-Expansion et réforme de l’ETFP</v>
      </c>
      <c r="AA1191" s="19" t="str">
        <f>B1191 &amp; "-" &amp; VLOOKUP(B1191,[4]SOUSPROGRAMMES!$E$1:$F$44,2,FALSE)</f>
        <v>36- Renforcement des capacités de pilotage et de gestion dans le cadre d’une gouvernance parteunariale multi niveaux</v>
      </c>
      <c r="AB1191" s="19" t="str">
        <f>C1191 &amp; "-" &amp; VLOOKUP(C1191,[4]RESULTATS!$E$1:$F$176,2,FALSE)</f>
        <v>366- Un système d’assurance qualité est mis en place</v>
      </c>
      <c r="AC1191" s="20" t="str">
        <f>D1191 &amp; "-" &amp; VLOOKUP(D1191,[4]STRATEGIES!$E$1:$F$504,2,FALSE)</f>
        <v>3664-Application du CNCQ</v>
      </c>
      <c r="AD1191" s="21" t="str">
        <f t="shared" si="191"/>
        <v>3664-Application du CNCQ</v>
      </c>
    </row>
    <row r="1192" spans="1:30" s="22" customFormat="1" ht="60" hidden="1" customHeight="1" x14ac:dyDescent="0.8">
      <c r="A1192" s="14">
        <v>3</v>
      </c>
      <c r="B1192" s="15">
        <v>36</v>
      </c>
      <c r="C1192" s="15">
        <v>366</v>
      </c>
      <c r="D1192" s="15">
        <v>3664</v>
      </c>
      <c r="E1192" s="15"/>
      <c r="F1192" s="16" t="s">
        <v>1564</v>
      </c>
      <c r="G1192" s="21"/>
      <c r="H1192" s="17"/>
      <c r="I1192" s="33">
        <v>0</v>
      </c>
      <c r="J1192" s="33"/>
      <c r="K1192" s="33"/>
      <c r="L1192" s="33"/>
      <c r="M1192" s="33"/>
      <c r="N1192" s="33"/>
      <c r="O1192" s="33"/>
      <c r="P1192" s="33"/>
      <c r="Q1192" s="33"/>
      <c r="R1192" s="33"/>
      <c r="S1192" s="34"/>
      <c r="T1192" s="35" t="s">
        <v>56</v>
      </c>
      <c r="U1192" s="18" t="s">
        <v>1156</v>
      </c>
      <c r="V1192" s="18" t="str">
        <f>IF(OR($H1192="",$H1192="sif",$H1192="PM"),"",VLOOKUP($H1192,[5]CU!$C$5:$J$255,8,FALSE))</f>
        <v/>
      </c>
      <c r="W1192" s="18"/>
      <c r="X1192" s="18"/>
      <c r="Y1192" s="18" t="s">
        <v>677</v>
      </c>
      <c r="Z1192" s="18" t="str">
        <f>A1192 &amp; "-" &amp; VLOOKUP(A1192,[4]PROGRAMMES!$E$1:$F$7,2,FALSE)</f>
        <v>3-Expansion et réforme de l’ETFP</v>
      </c>
      <c r="AA1192" s="19" t="str">
        <f>B1192 &amp; "-" &amp; VLOOKUP(B1192,[4]SOUSPROGRAMMES!$E$1:$F$44,2,FALSE)</f>
        <v>36- Renforcement des capacités de pilotage et de gestion dans le cadre d’une gouvernance parteunariale multi niveaux</v>
      </c>
      <c r="AB1192" s="19" t="str">
        <f>C1192 &amp; "-" &amp; VLOOKUP(C1192,[4]RESULTATS!$E$1:$F$176,2,FALSE)</f>
        <v>366- Un système d’assurance qualité est mis en place</v>
      </c>
      <c r="AC1192" s="20" t="str">
        <f>D1192 &amp; "-" &amp; VLOOKUP(D1192,[4]STRATEGIES!$E$1:$F$504,2,FALSE)</f>
        <v>3664-Application du CNCQ</v>
      </c>
      <c r="AD1192" s="21" t="str">
        <f t="shared" si="191"/>
        <v>-PM (phase 2 du PRODEG)</v>
      </c>
    </row>
    <row r="1193" spans="1:30" s="22" customFormat="1" ht="60" hidden="1" customHeight="1" x14ac:dyDescent="0.8">
      <c r="A1193" s="14">
        <v>3</v>
      </c>
      <c r="B1193" s="15">
        <v>36</v>
      </c>
      <c r="C1193" s="15">
        <v>366</v>
      </c>
      <c r="D1193" s="15">
        <v>3665</v>
      </c>
      <c r="E1193" s="15">
        <v>3665</v>
      </c>
      <c r="F1193" s="16" t="s">
        <v>1565</v>
      </c>
      <c r="G1193" s="17"/>
      <c r="H1193" s="17"/>
      <c r="I1193" s="33">
        <v>0</v>
      </c>
      <c r="J1193" s="33"/>
      <c r="K1193" s="33"/>
      <c r="L1193" s="33"/>
      <c r="M1193" s="33"/>
      <c r="N1193" s="33"/>
      <c r="O1193" s="33"/>
      <c r="P1193" s="33"/>
      <c r="Q1193" s="33"/>
      <c r="R1193" s="33"/>
      <c r="S1193" s="34"/>
      <c r="T1193" s="33"/>
      <c r="U1193" s="18"/>
      <c r="V1193" s="18"/>
      <c r="W1193" s="18"/>
      <c r="X1193" s="18"/>
      <c r="Y1193" s="18" t="s">
        <v>677</v>
      </c>
      <c r="Z1193" s="18" t="str">
        <f>A1193 &amp; "-" &amp; VLOOKUP(A1193,[4]PROGRAMMES!$E$1:$F$7,2,FALSE)</f>
        <v>3-Expansion et réforme de l’ETFP</v>
      </c>
      <c r="AA1193" s="19" t="str">
        <f>B1193 &amp; "-" &amp; VLOOKUP(B1193,[4]SOUSPROGRAMMES!$E$1:$F$44,2,FALSE)</f>
        <v>36- Renforcement des capacités de pilotage et de gestion dans le cadre d’une gouvernance parteunariale multi niveaux</v>
      </c>
      <c r="AB1193" s="19" t="str">
        <f>C1193 &amp; "-" &amp; VLOOKUP(C1193,[4]RESULTATS!$E$1:$F$176,2,FALSE)</f>
        <v>366- Un système d’assurance qualité est mis en place</v>
      </c>
      <c r="AC1193" s="20" t="str">
        <f>D1193 &amp; "-" &amp; VLOOKUP(D1193,[4]STRATEGIES!$E$1:$F$504,2,FALSE)</f>
        <v>3665-Participation à la mise en place du cadre régional de certification</v>
      </c>
      <c r="AD1193" s="21" t="str">
        <f t="shared" si="191"/>
        <v>3665-Participation à la mise en place du cadre régional de certification</v>
      </c>
    </row>
    <row r="1194" spans="1:30" s="22" customFormat="1" ht="60" hidden="1" customHeight="1" x14ac:dyDescent="0.8">
      <c r="A1194" s="14">
        <v>3</v>
      </c>
      <c r="B1194" s="15">
        <v>36</v>
      </c>
      <c r="C1194" s="15">
        <v>366</v>
      </c>
      <c r="D1194" s="15">
        <v>3665</v>
      </c>
      <c r="E1194" s="15">
        <v>36651</v>
      </c>
      <c r="F1194" s="16" t="s">
        <v>1566</v>
      </c>
      <c r="G1194" s="21" t="s">
        <v>159</v>
      </c>
      <c r="H1194" s="17"/>
      <c r="I1194" s="33">
        <v>0</v>
      </c>
      <c r="J1194" s="33"/>
      <c r="K1194" s="33">
        <v>1</v>
      </c>
      <c r="L1194" s="33"/>
      <c r="M1194" s="33">
        <f t="shared" ref="M1194:M1209" si="197">SUM(I1194:L1194)</f>
        <v>1</v>
      </c>
      <c r="N1194" s="33">
        <f>IF(OR(H1194="",H1194="sif",H1194="PM"),0,VLOOKUP(H1194,[5]CU!$C$4:$H$255,6,FALSE))</f>
        <v>0</v>
      </c>
      <c r="O1194" s="33">
        <f t="shared" ref="O1194:R1209" si="198">IFERROR($N1194*I1194,0)</f>
        <v>0</v>
      </c>
      <c r="P1194" s="33">
        <f t="shared" si="198"/>
        <v>0</v>
      </c>
      <c r="Q1194" s="33">
        <f t="shared" si="198"/>
        <v>0</v>
      </c>
      <c r="R1194" s="33">
        <f t="shared" si="198"/>
        <v>0</v>
      </c>
      <c r="S1194" s="34"/>
      <c r="T1194" s="35" t="s">
        <v>56</v>
      </c>
      <c r="U1194" s="18" t="s">
        <v>1156</v>
      </c>
      <c r="V1194" s="18" t="str">
        <f>IF(OR($H1194="",$H1194="sif",$H1194="PM"),"",VLOOKUP($H1194,[5]CU!$C$5:$J$255,8,FALSE))</f>
        <v/>
      </c>
      <c r="W1194" s="18" t="s">
        <v>1231</v>
      </c>
      <c r="X1194" s="19" t="s">
        <v>1567</v>
      </c>
      <c r="Y1194" s="18" t="s">
        <v>677</v>
      </c>
      <c r="Z1194" s="18" t="str">
        <f>A1194 &amp; "-" &amp; VLOOKUP(A1194,[4]PROGRAMMES!$E$1:$F$7,2,FALSE)</f>
        <v>3-Expansion et réforme de l’ETFP</v>
      </c>
      <c r="AA1194" s="19" t="str">
        <f>B1194 &amp; "-" &amp; VLOOKUP(B1194,[4]SOUSPROGRAMMES!$E$1:$F$44,2,FALSE)</f>
        <v>36- Renforcement des capacités de pilotage et de gestion dans le cadre d’une gouvernance parteunariale multi niveaux</v>
      </c>
      <c r="AB1194" s="19" t="str">
        <f>C1194 &amp; "-" &amp; VLOOKUP(C1194,[4]RESULTATS!$E$1:$F$176,2,FALSE)</f>
        <v>366- Un système d’assurance qualité est mis en place</v>
      </c>
      <c r="AC1194" s="20" t="str">
        <f>D1194 &amp; "-" &amp; VLOOKUP(D1194,[4]STRATEGIES!$E$1:$F$504,2,FALSE)</f>
        <v>3665-Participation à la mise en place du cadre régional de certification</v>
      </c>
      <c r="AD1194" s="21" t="str">
        <f t="shared" si="191"/>
        <v>36651-harmonisation du CNCQ de la guinée avec le cadre régional (pris en compte dans la stratégie 3654)</v>
      </c>
    </row>
    <row r="1195" spans="1:30" s="22" customFormat="1" ht="60" hidden="1" customHeight="1" x14ac:dyDescent="0.8">
      <c r="A1195" s="14">
        <v>3</v>
      </c>
      <c r="B1195" s="15">
        <v>36</v>
      </c>
      <c r="C1195" s="15">
        <v>367</v>
      </c>
      <c r="D1195" s="15">
        <v>367</v>
      </c>
      <c r="E1195" s="15">
        <v>367</v>
      </c>
      <c r="F1195" s="16" t="s">
        <v>1568</v>
      </c>
      <c r="G1195" s="17"/>
      <c r="H1195" s="17"/>
      <c r="I1195" s="33">
        <v>0</v>
      </c>
      <c r="J1195" s="33"/>
      <c r="K1195" s="33"/>
      <c r="L1195" s="33"/>
      <c r="M1195" s="33"/>
      <c r="N1195" s="33"/>
      <c r="O1195" s="33"/>
      <c r="P1195" s="33"/>
      <c r="Q1195" s="33"/>
      <c r="R1195" s="33"/>
      <c r="S1195" s="34"/>
      <c r="T1195" s="33"/>
      <c r="U1195" s="18"/>
      <c r="V1195" s="18"/>
      <c r="W1195" s="18"/>
      <c r="X1195" s="18"/>
      <c r="Y1195" s="18" t="s">
        <v>677</v>
      </c>
      <c r="Z1195" s="18" t="str">
        <f>A1195 &amp; "-" &amp; VLOOKUP(A1195,[4]PROGRAMMES!$E$1:$F$7,2,FALSE)</f>
        <v>3-Expansion et réforme de l’ETFP</v>
      </c>
      <c r="AA1195" s="19" t="str">
        <f>B1195 &amp; "-" &amp; VLOOKUP(B1195,[4]SOUSPROGRAMMES!$E$1:$F$44,2,FALSE)</f>
        <v>36- Renforcement des capacités de pilotage et de gestion dans le cadre d’une gouvernance parteunariale multi niveaux</v>
      </c>
      <c r="AB1195" s="19" t="str">
        <f>C1195 &amp; "-" &amp; VLOOKUP(C1195,[4]RESULTATS!$E$1:$F$176,2,FALSE)</f>
        <v>367- Une loi cadre de l’ETFP est élaborée</v>
      </c>
      <c r="AC1195" s="20" t="str">
        <f>D1195 &amp; "-" &amp; VLOOKUP(D1195,[4]STRATEGIES!$E$1:$F$504,2,FALSE)</f>
        <v>367- Une loi cadre de l’ETFP est élaborée</v>
      </c>
      <c r="AD1195" s="21" t="str">
        <f t="shared" si="191"/>
        <v>367- Une loi cadre de l’ETFP est élaborée</v>
      </c>
    </row>
    <row r="1196" spans="1:30" s="22" customFormat="1" ht="60" hidden="1" customHeight="1" x14ac:dyDescent="0.8">
      <c r="A1196" s="14">
        <v>3</v>
      </c>
      <c r="B1196" s="15">
        <v>36</v>
      </c>
      <c r="C1196" s="15">
        <v>367</v>
      </c>
      <c r="D1196" s="15">
        <v>3671</v>
      </c>
      <c r="E1196" s="15">
        <v>3671</v>
      </c>
      <c r="F1196" s="16" t="s">
        <v>1569</v>
      </c>
      <c r="G1196" s="17"/>
      <c r="H1196" s="17"/>
      <c r="I1196" s="33">
        <v>0</v>
      </c>
      <c r="J1196" s="33"/>
      <c r="K1196" s="33"/>
      <c r="L1196" s="33"/>
      <c r="M1196" s="33"/>
      <c r="N1196" s="33"/>
      <c r="O1196" s="33"/>
      <c r="P1196" s="33"/>
      <c r="Q1196" s="33"/>
      <c r="R1196" s="33"/>
      <c r="S1196" s="34"/>
      <c r="T1196" s="33"/>
      <c r="U1196" s="18"/>
      <c r="V1196" s="18"/>
      <c r="W1196" s="18"/>
      <c r="X1196" s="18"/>
      <c r="Y1196" s="18" t="s">
        <v>677</v>
      </c>
      <c r="Z1196" s="18" t="str">
        <f>A1196 &amp; "-" &amp; VLOOKUP(A1196,[4]PROGRAMMES!$E$1:$F$7,2,FALSE)</f>
        <v>3-Expansion et réforme de l’ETFP</v>
      </c>
      <c r="AA1196" s="19" t="str">
        <f>B1196 &amp; "-" &amp; VLOOKUP(B1196,[4]SOUSPROGRAMMES!$E$1:$F$44,2,FALSE)</f>
        <v>36- Renforcement des capacités de pilotage et de gestion dans le cadre d’une gouvernance parteunariale multi niveaux</v>
      </c>
      <c r="AB1196" s="19" t="str">
        <f>C1196 &amp; "-" &amp; VLOOKUP(C1196,[4]RESULTATS!$E$1:$F$176,2,FALSE)</f>
        <v>367- Une loi cadre de l’ETFP est élaborée</v>
      </c>
      <c r="AC1196" s="20" t="str">
        <f>D1196 &amp; "-" &amp; VLOOKUP(D1196,[4]STRATEGIES!$E$1:$F$504,2,FALSE)</f>
        <v xml:space="preserve">3671-élaboration de la loi cadre avec une approche participative
</v>
      </c>
      <c r="AD1196" s="21" t="str">
        <f t="shared" si="191"/>
        <v xml:space="preserve">3671-élaboration de la loi cadre avec une approche participative
</v>
      </c>
    </row>
    <row r="1197" spans="1:30" s="22" customFormat="1" ht="60" hidden="1" customHeight="1" x14ac:dyDescent="0.8">
      <c r="A1197" s="14">
        <v>3</v>
      </c>
      <c r="B1197" s="15">
        <v>36</v>
      </c>
      <c r="C1197" s="15">
        <v>367</v>
      </c>
      <c r="D1197" s="15">
        <v>3671</v>
      </c>
      <c r="E1197" s="15">
        <v>36711</v>
      </c>
      <c r="F1197" s="16" t="s">
        <v>1570</v>
      </c>
      <c r="G1197" s="21" t="s">
        <v>100</v>
      </c>
      <c r="H1197" s="17" t="s">
        <v>646</v>
      </c>
      <c r="I1197" s="33">
        <v>0</v>
      </c>
      <c r="J1197" s="33">
        <f>1*45</f>
        <v>45</v>
      </c>
      <c r="K1197" s="33"/>
      <c r="L1197" s="33"/>
      <c r="M1197" s="33">
        <f t="shared" si="197"/>
        <v>45</v>
      </c>
      <c r="N1197" s="33">
        <f>IF(OR(H1197="",H1197="sif",H1197="PM"),0,VLOOKUP(H1197,[5]CU!$C$4:$H$255,6,FALSE))</f>
        <v>10.404797</v>
      </c>
      <c r="O1197" s="33">
        <f t="shared" si="198"/>
        <v>0</v>
      </c>
      <c r="P1197" s="33">
        <f t="shared" si="198"/>
        <v>468.21586500000001</v>
      </c>
      <c r="Q1197" s="33">
        <f t="shared" si="198"/>
        <v>0</v>
      </c>
      <c r="R1197" s="33">
        <f t="shared" si="198"/>
        <v>0</v>
      </c>
      <c r="S1197" s="34">
        <f>SUM(O1197:R1197)</f>
        <v>468.21586500000001</v>
      </c>
      <c r="T1197" s="35" t="s">
        <v>118</v>
      </c>
      <c r="U1197" s="18" t="s">
        <v>1156</v>
      </c>
      <c r="V1197" s="18" t="str">
        <f>IF(OR($H1197="",$H1197="sif",$H1197="PM"),"",VLOOKUP($H1197,[5]CU!$C$5:$J$255,8,FALSE))</f>
        <v>3. Dépenses de fonctionnement</v>
      </c>
      <c r="W1197" s="18" t="s">
        <v>96</v>
      </c>
      <c r="X1197" s="18" t="s">
        <v>1371</v>
      </c>
      <c r="Y1197" s="18" t="s">
        <v>677</v>
      </c>
      <c r="Z1197" s="18" t="str">
        <f>A1197 &amp; "-" &amp; VLOOKUP(A1197,[4]PROGRAMMES!$E$1:$F$7,2,FALSE)</f>
        <v>3-Expansion et réforme de l’ETFP</v>
      </c>
      <c r="AA1197" s="19" t="str">
        <f>B1197 &amp; "-" &amp; VLOOKUP(B1197,[4]SOUSPROGRAMMES!$E$1:$F$44,2,FALSE)</f>
        <v>36- Renforcement des capacités de pilotage et de gestion dans le cadre d’une gouvernance parteunariale multi niveaux</v>
      </c>
      <c r="AB1197" s="19" t="str">
        <f>C1197 &amp; "-" &amp; VLOOKUP(C1197,[4]RESULTATS!$E$1:$F$176,2,FALSE)</f>
        <v>367- Une loi cadre de l’ETFP est élaborée</v>
      </c>
      <c r="AC1197" s="20" t="str">
        <f>D1197 &amp; "-" &amp; VLOOKUP(D1197,[4]STRATEGIES!$E$1:$F$504,2,FALSE)</f>
        <v xml:space="preserve">3671-élaboration de la loi cadre avec une approche participative
</v>
      </c>
      <c r="AD1197" s="21" t="str">
        <f t="shared" si="191"/>
        <v xml:space="preserve">36711-Appui d'une expertise internationale pour la déFinition du contenu de la loi cadre sur la formation professionnelle </v>
      </c>
    </row>
    <row r="1198" spans="1:30" s="22" customFormat="1" ht="60" hidden="1" customHeight="1" x14ac:dyDescent="0.8">
      <c r="A1198" s="14">
        <v>3</v>
      </c>
      <c r="B1198" s="15">
        <v>36</v>
      </c>
      <c r="C1198" s="15">
        <v>367</v>
      </c>
      <c r="D1198" s="15">
        <v>3671</v>
      </c>
      <c r="E1198" s="15">
        <v>36712</v>
      </c>
      <c r="F1198" s="16" t="s">
        <v>1571</v>
      </c>
      <c r="G1198" s="21" t="s">
        <v>100</v>
      </c>
      <c r="H1198" s="17" t="s">
        <v>101</v>
      </c>
      <c r="I1198" s="33">
        <v>0</v>
      </c>
      <c r="J1198" s="33">
        <f>1*45</f>
        <v>45</v>
      </c>
      <c r="K1198" s="33"/>
      <c r="L1198" s="33"/>
      <c r="M1198" s="33">
        <f t="shared" si="197"/>
        <v>45</v>
      </c>
      <c r="N1198" s="33">
        <f>IF(OR(H1198="",H1198="sif",H1198="PM"),0,VLOOKUP(H1198,[5]CU!$C$4:$H$255,6,FALSE))</f>
        <v>2.651545</v>
      </c>
      <c r="O1198" s="33">
        <f t="shared" si="198"/>
        <v>0</v>
      </c>
      <c r="P1198" s="33">
        <f t="shared" si="198"/>
        <v>119.319525</v>
      </c>
      <c r="Q1198" s="33">
        <f t="shared" si="198"/>
        <v>0</v>
      </c>
      <c r="R1198" s="33">
        <f t="shared" si="198"/>
        <v>0</v>
      </c>
      <c r="S1198" s="34">
        <f>SUM(O1198:R1198)</f>
        <v>119.319525</v>
      </c>
      <c r="T1198" s="35" t="s">
        <v>118</v>
      </c>
      <c r="U1198" s="18" t="s">
        <v>1156</v>
      </c>
      <c r="V1198" s="18" t="str">
        <f>IF(OR($H1198="",$H1198="sif",$H1198="PM"),"",VLOOKUP($H1198,[5]CU!$C$5:$J$255,8,FALSE))</f>
        <v>3. Dépenses de fonctionnement</v>
      </c>
      <c r="W1198" s="18" t="s">
        <v>96</v>
      </c>
      <c r="X1198" s="18" t="s">
        <v>1371</v>
      </c>
      <c r="Y1198" s="18" t="s">
        <v>677</v>
      </c>
      <c r="Z1198" s="18" t="str">
        <f>A1198 &amp; "-" &amp; VLOOKUP(A1198,[4]PROGRAMMES!$E$1:$F$7,2,FALSE)</f>
        <v>3-Expansion et réforme de l’ETFP</v>
      </c>
      <c r="AA1198" s="19" t="str">
        <f>B1198 &amp; "-" &amp; VLOOKUP(B1198,[4]SOUSPROGRAMMES!$E$1:$F$44,2,FALSE)</f>
        <v>36- Renforcement des capacités de pilotage et de gestion dans le cadre d’une gouvernance parteunariale multi niveaux</v>
      </c>
      <c r="AB1198" s="19" t="str">
        <f>C1198 &amp; "-" &amp; VLOOKUP(C1198,[4]RESULTATS!$E$1:$F$176,2,FALSE)</f>
        <v>367- Une loi cadre de l’ETFP est élaborée</v>
      </c>
      <c r="AC1198" s="20" t="str">
        <f>D1198 &amp; "-" &amp; VLOOKUP(D1198,[4]STRATEGIES!$E$1:$F$504,2,FALSE)</f>
        <v xml:space="preserve">3671-élaboration de la loi cadre avec une approche participative
</v>
      </c>
      <c r="AD1198" s="21" t="str">
        <f t="shared" si="191"/>
        <v>36712-Appui à l'élaboration du projet de loi cadre de l'ETFP</v>
      </c>
    </row>
    <row r="1199" spans="1:30" s="22" customFormat="1" ht="60" hidden="1" customHeight="1" x14ac:dyDescent="0.8">
      <c r="A1199" s="14">
        <v>3</v>
      </c>
      <c r="B1199" s="15">
        <v>36</v>
      </c>
      <c r="C1199" s="15">
        <v>367</v>
      </c>
      <c r="D1199" s="15">
        <v>3671</v>
      </c>
      <c r="E1199" s="15">
        <v>36713</v>
      </c>
      <c r="F1199" s="16" t="s">
        <v>1572</v>
      </c>
      <c r="G1199" s="21" t="s">
        <v>37</v>
      </c>
      <c r="H1199" s="17" t="s">
        <v>38</v>
      </c>
      <c r="I1199" s="33">
        <v>0</v>
      </c>
      <c r="J1199" s="33">
        <f>30*2*2</f>
        <v>120</v>
      </c>
      <c r="K1199" s="33"/>
      <c r="L1199" s="33"/>
      <c r="M1199" s="33">
        <f t="shared" si="197"/>
        <v>120</v>
      </c>
      <c r="N1199" s="33">
        <f>IF(OR(H1199="",H1199="sif",H1199="PM"),0,VLOOKUP(H1199,[5]CU!$C$4:$H$255,6,FALSE))</f>
        <v>0.3133333333333333</v>
      </c>
      <c r="O1199" s="33">
        <f t="shared" si="198"/>
        <v>0</v>
      </c>
      <c r="P1199" s="33">
        <f t="shared" si="198"/>
        <v>37.599999999999994</v>
      </c>
      <c r="Q1199" s="33">
        <f t="shared" si="198"/>
        <v>0</v>
      </c>
      <c r="R1199" s="33">
        <f t="shared" si="198"/>
        <v>0</v>
      </c>
      <c r="S1199" s="34">
        <f>SUM(O1199:R1199)</f>
        <v>37.599999999999994</v>
      </c>
      <c r="T1199" s="35" t="s">
        <v>118</v>
      </c>
      <c r="U1199" s="18" t="s">
        <v>1156</v>
      </c>
      <c r="V1199" s="18" t="str">
        <f>IF(OR($H1199="",$H1199="sif",$H1199="PM"),"",VLOOKUP($H1199,[5]CU!$C$5:$J$255,8,FALSE))</f>
        <v>3. Formation</v>
      </c>
      <c r="W1199" s="18" t="s">
        <v>96</v>
      </c>
      <c r="X1199" s="19" t="s">
        <v>1573</v>
      </c>
      <c r="Y1199" s="18" t="s">
        <v>677</v>
      </c>
      <c r="Z1199" s="18" t="str">
        <f>A1199 &amp; "-" &amp; VLOOKUP(A1199,[4]PROGRAMMES!$E$1:$F$7,2,FALSE)</f>
        <v>3-Expansion et réforme de l’ETFP</v>
      </c>
      <c r="AA1199" s="19" t="str">
        <f>B1199 &amp; "-" &amp; VLOOKUP(B1199,[4]SOUSPROGRAMMES!$E$1:$F$44,2,FALSE)</f>
        <v>36- Renforcement des capacités de pilotage et de gestion dans le cadre d’une gouvernance parteunariale multi niveaux</v>
      </c>
      <c r="AB1199" s="19" t="str">
        <f>C1199 &amp; "-" &amp; VLOOKUP(C1199,[4]RESULTATS!$E$1:$F$176,2,FALSE)</f>
        <v>367- Une loi cadre de l’ETFP est élaborée</v>
      </c>
      <c r="AC1199" s="20" t="str">
        <f>D1199 &amp; "-" &amp; VLOOKUP(D1199,[4]STRATEGIES!$E$1:$F$504,2,FALSE)</f>
        <v xml:space="preserve">3671-élaboration de la loi cadre avec une approche participative
</v>
      </c>
      <c r="AD1199" s="21" t="str">
        <f t="shared" si="191"/>
        <v>36713-Concertation avec les acteurs</v>
      </c>
    </row>
    <row r="1200" spans="1:30" s="22" customFormat="1" ht="60" hidden="1" customHeight="1" x14ac:dyDescent="0.8">
      <c r="A1200" s="14">
        <v>3</v>
      </c>
      <c r="B1200" s="15">
        <v>36</v>
      </c>
      <c r="C1200" s="15">
        <v>367</v>
      </c>
      <c r="D1200" s="15">
        <v>3671</v>
      </c>
      <c r="E1200" s="15">
        <v>36714</v>
      </c>
      <c r="F1200" s="16" t="s">
        <v>1574</v>
      </c>
      <c r="G1200" s="21" t="s">
        <v>37</v>
      </c>
      <c r="H1200" s="17" t="s">
        <v>38</v>
      </c>
      <c r="I1200" s="33">
        <v>0</v>
      </c>
      <c r="J1200" s="33">
        <f>30*2</f>
        <v>60</v>
      </c>
      <c r="K1200" s="33"/>
      <c r="L1200" s="33"/>
      <c r="M1200" s="33">
        <f t="shared" si="197"/>
        <v>60</v>
      </c>
      <c r="N1200" s="33">
        <f>IF(OR(H1200="",H1200="sif",H1200="PM"),0,VLOOKUP(H1200,[5]CU!$C$4:$H$255,6,FALSE))</f>
        <v>0.3133333333333333</v>
      </c>
      <c r="O1200" s="33">
        <f t="shared" si="198"/>
        <v>0</v>
      </c>
      <c r="P1200" s="33">
        <f t="shared" si="198"/>
        <v>18.799999999999997</v>
      </c>
      <c r="Q1200" s="33">
        <f t="shared" si="198"/>
        <v>0</v>
      </c>
      <c r="R1200" s="33">
        <f t="shared" si="198"/>
        <v>0</v>
      </c>
      <c r="S1200" s="34">
        <f>SUM(O1200:R1200)</f>
        <v>18.799999999999997</v>
      </c>
      <c r="T1200" s="35" t="s">
        <v>118</v>
      </c>
      <c r="U1200" s="18" t="s">
        <v>1156</v>
      </c>
      <c r="V1200" s="18" t="str">
        <f>IF(OR($H1200="",$H1200="sif",$H1200="PM"),"",VLOOKUP($H1200,[5]CU!$C$5:$J$255,8,FALSE))</f>
        <v>3. Formation</v>
      </c>
      <c r="W1200" s="18" t="s">
        <v>96</v>
      </c>
      <c r="X1200" s="19" t="s">
        <v>1573</v>
      </c>
      <c r="Y1200" s="18" t="s">
        <v>677</v>
      </c>
      <c r="Z1200" s="18" t="str">
        <f>A1200 &amp; "-" &amp; VLOOKUP(A1200,[4]PROGRAMMES!$E$1:$F$7,2,FALSE)</f>
        <v>3-Expansion et réforme de l’ETFP</v>
      </c>
      <c r="AA1200" s="19" t="str">
        <f>B1200 &amp; "-" &amp; VLOOKUP(B1200,[4]SOUSPROGRAMMES!$E$1:$F$44,2,FALSE)</f>
        <v>36- Renforcement des capacités de pilotage et de gestion dans le cadre d’une gouvernance parteunariale multi niveaux</v>
      </c>
      <c r="AB1200" s="19" t="str">
        <f>C1200 &amp; "-" &amp; VLOOKUP(C1200,[4]RESULTATS!$E$1:$F$176,2,FALSE)</f>
        <v>367- Une loi cadre de l’ETFP est élaborée</v>
      </c>
      <c r="AC1200" s="20" t="str">
        <f>D1200 &amp; "-" &amp; VLOOKUP(D1200,[4]STRATEGIES!$E$1:$F$504,2,FALSE)</f>
        <v xml:space="preserve">3671-élaboration de la loi cadre avec une approche participative
</v>
      </c>
      <c r="AD1200" s="21" t="str">
        <f t="shared" si="191"/>
        <v>36714-Validation</v>
      </c>
    </row>
    <row r="1201" spans="1:30" s="22" customFormat="1" ht="60" hidden="1" customHeight="1" x14ac:dyDescent="0.8">
      <c r="A1201" s="14">
        <v>3</v>
      </c>
      <c r="B1201" s="15">
        <v>36</v>
      </c>
      <c r="C1201" s="15">
        <v>367</v>
      </c>
      <c r="D1201" s="15">
        <v>3671</v>
      </c>
      <c r="E1201" s="15">
        <v>36715</v>
      </c>
      <c r="F1201" s="16" t="s">
        <v>1575</v>
      </c>
      <c r="G1201" s="21" t="s">
        <v>88</v>
      </c>
      <c r="H1201" s="17" t="s">
        <v>55</v>
      </c>
      <c r="I1201" s="33">
        <v>0</v>
      </c>
      <c r="J1201" s="33"/>
      <c r="K1201" s="33">
        <v>1</v>
      </c>
      <c r="L1201" s="33"/>
      <c r="M1201" s="33">
        <f t="shared" si="197"/>
        <v>1</v>
      </c>
      <c r="N1201" s="33">
        <f>IF(OR(H1201="",H1201="sif",H1201="PM"),0,VLOOKUP(H1201,[5]CU!$C$4:$H$255,6,FALSE))</f>
        <v>0</v>
      </c>
      <c r="O1201" s="33">
        <f t="shared" si="198"/>
        <v>0</v>
      </c>
      <c r="P1201" s="33">
        <f t="shared" si="198"/>
        <v>0</v>
      </c>
      <c r="Q1201" s="33">
        <f t="shared" si="198"/>
        <v>0</v>
      </c>
      <c r="R1201" s="33">
        <f t="shared" si="198"/>
        <v>0</v>
      </c>
      <c r="S1201" s="34"/>
      <c r="T1201" s="35" t="s">
        <v>56</v>
      </c>
      <c r="U1201" s="18" t="s">
        <v>1156</v>
      </c>
      <c r="V1201" s="18" t="str">
        <f>IF(OR($H1201="",$H1201="sif",$H1201="PM"),"",VLOOKUP($H1201,[5]CU!$C$5:$J$255,8,FALSE))</f>
        <v/>
      </c>
      <c r="W1201" s="18" t="s">
        <v>96</v>
      </c>
      <c r="X1201" s="19" t="s">
        <v>1573</v>
      </c>
      <c r="Y1201" s="18" t="s">
        <v>677</v>
      </c>
      <c r="Z1201" s="18" t="str">
        <f>A1201 &amp; "-" &amp; VLOOKUP(A1201,[4]PROGRAMMES!$E$1:$F$7,2,FALSE)</f>
        <v>3-Expansion et réforme de l’ETFP</v>
      </c>
      <c r="AA1201" s="19" t="str">
        <f>B1201 &amp; "-" &amp; VLOOKUP(B1201,[4]SOUSPROGRAMMES!$E$1:$F$44,2,FALSE)</f>
        <v>36- Renforcement des capacités de pilotage et de gestion dans le cadre d’une gouvernance parteunariale multi niveaux</v>
      </c>
      <c r="AB1201" s="19" t="str">
        <f>C1201 &amp; "-" &amp; VLOOKUP(C1201,[4]RESULTATS!$E$1:$F$176,2,FALSE)</f>
        <v>367- Une loi cadre de l’ETFP est élaborée</v>
      </c>
      <c r="AC1201" s="20" t="str">
        <f>D1201 &amp; "-" &amp; VLOOKUP(D1201,[4]STRATEGIES!$E$1:$F$504,2,FALSE)</f>
        <v xml:space="preserve">3671-élaboration de la loi cadre avec une approche participative
</v>
      </c>
      <c r="AD1201" s="21" t="str">
        <f t="shared" si="191"/>
        <v>36715-Promulgation</v>
      </c>
    </row>
    <row r="1202" spans="1:30" s="22" customFormat="1" ht="60" hidden="1" customHeight="1" x14ac:dyDescent="0.8">
      <c r="A1202" s="14">
        <v>3</v>
      </c>
      <c r="B1202" s="15">
        <v>36</v>
      </c>
      <c r="C1202" s="15">
        <v>367</v>
      </c>
      <c r="D1202" s="15">
        <v>3671</v>
      </c>
      <c r="E1202" s="15">
        <v>36716</v>
      </c>
      <c r="F1202" s="16" t="s">
        <v>1576</v>
      </c>
      <c r="G1202" s="21" t="s">
        <v>44</v>
      </c>
      <c r="H1202" s="17" t="s">
        <v>816</v>
      </c>
      <c r="I1202" s="33">
        <v>0</v>
      </c>
      <c r="J1202" s="33"/>
      <c r="K1202" s="33">
        <f>60*20</f>
        <v>1200</v>
      </c>
      <c r="L1202" s="33"/>
      <c r="M1202" s="33">
        <f t="shared" si="197"/>
        <v>1200</v>
      </c>
      <c r="N1202" s="33">
        <f>IF(OR(H1202="",H1202="sif",H1202="PM"),0,VLOOKUP(H1202,[5]CU!$C$4:$H$255,6,FALSE))</f>
        <v>7.4999999999999997E-3</v>
      </c>
      <c r="O1202" s="33">
        <f t="shared" si="198"/>
        <v>0</v>
      </c>
      <c r="P1202" s="33">
        <f t="shared" si="198"/>
        <v>0</v>
      </c>
      <c r="Q1202" s="33">
        <f t="shared" si="198"/>
        <v>9</v>
      </c>
      <c r="R1202" s="33">
        <f t="shared" si="198"/>
        <v>0</v>
      </c>
      <c r="S1202" s="34">
        <f t="shared" ref="S1202:S1209" si="199">SUM(O1202:R1202)</f>
        <v>9</v>
      </c>
      <c r="T1202" s="35" t="s">
        <v>118</v>
      </c>
      <c r="U1202" s="18" t="s">
        <v>1156</v>
      </c>
      <c r="V1202" s="18" t="str">
        <f>IF(OR($H1202="",$H1202="sif",$H1202="PM"),"",VLOOKUP($H1202,[5]CU!$C$5:$J$255,8,FALSE))</f>
        <v>3. Dépenses de fonctionnement</v>
      </c>
      <c r="W1202" s="18" t="s">
        <v>521</v>
      </c>
      <c r="X1202" s="19" t="s">
        <v>1475</v>
      </c>
      <c r="Y1202" s="18" t="s">
        <v>677</v>
      </c>
      <c r="Z1202" s="18" t="str">
        <f>A1202 &amp; "-" &amp; VLOOKUP(A1202,[4]PROGRAMMES!$E$1:$F$7,2,FALSE)</f>
        <v>3-Expansion et réforme de l’ETFP</v>
      </c>
      <c r="AA1202" s="19" t="str">
        <f>B1202 &amp; "-" &amp; VLOOKUP(B1202,[4]SOUSPROGRAMMES!$E$1:$F$44,2,FALSE)</f>
        <v>36- Renforcement des capacités de pilotage et de gestion dans le cadre d’une gouvernance parteunariale multi niveaux</v>
      </c>
      <c r="AB1202" s="19" t="str">
        <f>C1202 &amp; "-" &amp; VLOOKUP(C1202,[4]RESULTATS!$E$1:$F$176,2,FALSE)</f>
        <v>367- Une loi cadre de l’ETFP est élaborée</v>
      </c>
      <c r="AC1202" s="20" t="str">
        <f>D1202 &amp; "-" &amp; VLOOKUP(D1202,[4]STRATEGIES!$E$1:$F$504,2,FALSE)</f>
        <v xml:space="preserve">3671-élaboration de la loi cadre avec une approche participative
</v>
      </c>
      <c r="AD1202" s="21" t="str">
        <f t="shared" si="191"/>
        <v>36716-Vulgarisation</v>
      </c>
    </row>
    <row r="1203" spans="1:30" s="22" customFormat="1" ht="60" hidden="1" customHeight="1" x14ac:dyDescent="0.8">
      <c r="A1203" s="14">
        <v>3</v>
      </c>
      <c r="B1203" s="15">
        <v>36</v>
      </c>
      <c r="C1203" s="15">
        <v>368</v>
      </c>
      <c r="D1203" s="15">
        <v>368</v>
      </c>
      <c r="E1203" s="15">
        <v>368</v>
      </c>
      <c r="F1203" s="16" t="s">
        <v>1577</v>
      </c>
      <c r="G1203" s="17"/>
      <c r="H1203" s="17"/>
      <c r="I1203" s="33">
        <v>0</v>
      </c>
      <c r="J1203" s="33"/>
      <c r="K1203" s="33"/>
      <c r="L1203" s="33"/>
      <c r="M1203" s="33"/>
      <c r="N1203" s="33"/>
      <c r="O1203" s="33"/>
      <c r="P1203" s="33"/>
      <c r="Q1203" s="33"/>
      <c r="R1203" s="33"/>
      <c r="S1203" s="34"/>
      <c r="T1203" s="33"/>
      <c r="U1203" s="18"/>
      <c r="V1203" s="18"/>
      <c r="W1203" s="18"/>
      <c r="X1203" s="18"/>
      <c r="Y1203" s="18" t="s">
        <v>677</v>
      </c>
      <c r="Z1203" s="18" t="str">
        <f>A1203 &amp; "-" &amp; VLOOKUP(A1203,[4]PROGRAMMES!$E$1:$F$7,2,FALSE)</f>
        <v>3-Expansion et réforme de l’ETFP</v>
      </c>
      <c r="AA1203" s="19" t="str">
        <f>B1203 &amp; "-" &amp; VLOOKUP(B1203,[4]SOUSPROGRAMMES!$E$1:$F$44,2,FALSE)</f>
        <v>36- Renforcement des capacités de pilotage et de gestion dans le cadre d’une gouvernance parteunariale multi niveaux</v>
      </c>
      <c r="AB1203" s="19" t="str">
        <f>C1203 &amp; "-" &amp; VLOOKUP(C1203,[4]RESULTATS!$E$1:$F$176,2,FALSE)</f>
        <v xml:space="preserve">368- Le cadre juridique et règlementaire est adapté </v>
      </c>
      <c r="AC1203" s="20" t="str">
        <f>D1203 &amp; "-" &amp; VLOOKUP(D1203,[4]STRATEGIES!$E$1:$F$504,2,FALSE)</f>
        <v xml:space="preserve">368- Le cadre juridique et règlementaire est adapté </v>
      </c>
      <c r="AD1203" s="21" t="str">
        <f t="shared" si="191"/>
        <v xml:space="preserve">368- Le cadre juridique et règlementaire est adapté </v>
      </c>
    </row>
    <row r="1204" spans="1:30" s="22" customFormat="1" ht="60" hidden="1" customHeight="1" x14ac:dyDescent="0.8">
      <c r="A1204" s="14">
        <v>3</v>
      </c>
      <c r="B1204" s="15">
        <v>36</v>
      </c>
      <c r="C1204" s="15">
        <v>368</v>
      </c>
      <c r="D1204" s="15">
        <v>3681</v>
      </c>
      <c r="E1204" s="15">
        <v>3681</v>
      </c>
      <c r="F1204" s="16" t="s">
        <v>1578</v>
      </c>
      <c r="G1204" s="17"/>
      <c r="H1204" s="17"/>
      <c r="I1204" s="33">
        <v>0</v>
      </c>
      <c r="J1204" s="33"/>
      <c r="K1204" s="33"/>
      <c r="L1204" s="33"/>
      <c r="M1204" s="33"/>
      <c r="N1204" s="33"/>
      <c r="O1204" s="33"/>
      <c r="P1204" s="33"/>
      <c r="Q1204" s="33"/>
      <c r="R1204" s="33"/>
      <c r="S1204" s="34"/>
      <c r="T1204" s="33"/>
      <c r="U1204" s="18"/>
      <c r="V1204" s="18"/>
      <c r="W1204" s="18"/>
      <c r="X1204" s="18"/>
      <c r="Y1204" s="18" t="s">
        <v>677</v>
      </c>
      <c r="Z1204" s="18" t="str">
        <f>A1204 &amp; "-" &amp; VLOOKUP(A1204,[4]PROGRAMMES!$E$1:$F$7,2,FALSE)</f>
        <v>3-Expansion et réforme de l’ETFP</v>
      </c>
      <c r="AA1204" s="19" t="str">
        <f>B1204 &amp; "-" &amp; VLOOKUP(B1204,[4]SOUSPROGRAMMES!$E$1:$F$44,2,FALSE)</f>
        <v>36- Renforcement des capacités de pilotage et de gestion dans le cadre d’une gouvernance parteunariale multi niveaux</v>
      </c>
      <c r="AB1204" s="19" t="str">
        <f>C1204 &amp; "-" &amp; VLOOKUP(C1204,[4]RESULTATS!$E$1:$F$176,2,FALSE)</f>
        <v xml:space="preserve">368- Le cadre juridique et règlementaire est adapté </v>
      </c>
      <c r="AC1204" s="20" t="str">
        <f>D1204 &amp; "-" &amp; VLOOKUP(D1204,[4]STRATEGIES!$E$1:$F$504,2,FALSE)</f>
        <v>3681-Revue du cadre existant et adaptation au nouveau cadre</v>
      </c>
      <c r="AD1204" s="21" t="str">
        <f t="shared" si="191"/>
        <v>3681-Revue du cadre existant et adaptation au nouveau cadre</v>
      </c>
    </row>
    <row r="1205" spans="1:30" s="22" customFormat="1" ht="60" hidden="1" customHeight="1" x14ac:dyDescent="0.8">
      <c r="A1205" s="14">
        <v>3</v>
      </c>
      <c r="B1205" s="15">
        <v>36</v>
      </c>
      <c r="C1205" s="15">
        <v>368</v>
      </c>
      <c r="D1205" s="15">
        <v>3681</v>
      </c>
      <c r="E1205" s="15">
        <v>36811</v>
      </c>
      <c r="F1205" s="16" t="s">
        <v>1579</v>
      </c>
      <c r="G1205" s="21" t="s">
        <v>1580</v>
      </c>
      <c r="H1205" s="17" t="s">
        <v>38</v>
      </c>
      <c r="I1205" s="33">
        <v>0</v>
      </c>
      <c r="J1205" s="33"/>
      <c r="K1205" s="33">
        <v>50</v>
      </c>
      <c r="L1205" s="33"/>
      <c r="M1205" s="33">
        <f t="shared" si="197"/>
        <v>50</v>
      </c>
      <c r="N1205" s="33">
        <f>IF(OR(H1205="",H1205="sif",H1205="PM"),0,VLOOKUP(H1205,[5]CU!$C$4:$H$255,6,FALSE))</f>
        <v>0.3133333333333333</v>
      </c>
      <c r="O1205" s="33">
        <f t="shared" si="198"/>
        <v>0</v>
      </c>
      <c r="P1205" s="33">
        <f t="shared" si="198"/>
        <v>0</v>
      </c>
      <c r="Q1205" s="33">
        <f t="shared" si="198"/>
        <v>15.666666666666664</v>
      </c>
      <c r="R1205" s="33">
        <f t="shared" si="198"/>
        <v>0</v>
      </c>
      <c r="S1205" s="34">
        <f t="shared" si="199"/>
        <v>15.666666666666664</v>
      </c>
      <c r="T1205" s="35" t="s">
        <v>118</v>
      </c>
      <c r="U1205" s="18" t="s">
        <v>1156</v>
      </c>
      <c r="V1205" s="18" t="str">
        <f>IF(OR($H1205="",$H1205="sif",$H1205="PM"),"",VLOOKUP($H1205,[5]CU!$C$5:$J$255,8,FALSE))</f>
        <v>3. Formation</v>
      </c>
      <c r="W1205" s="18" t="s">
        <v>96</v>
      </c>
      <c r="X1205" s="19" t="s">
        <v>1581</v>
      </c>
      <c r="Y1205" s="18" t="s">
        <v>677</v>
      </c>
      <c r="Z1205" s="18" t="str">
        <f>A1205 &amp; "-" &amp; VLOOKUP(A1205,[4]PROGRAMMES!$E$1:$F$7,2,FALSE)</f>
        <v>3-Expansion et réforme de l’ETFP</v>
      </c>
      <c r="AA1205" s="19" t="str">
        <f>B1205 &amp; "-" &amp; VLOOKUP(B1205,[4]SOUSPROGRAMMES!$E$1:$F$44,2,FALSE)</f>
        <v>36- Renforcement des capacités de pilotage et de gestion dans le cadre d’une gouvernance parteunariale multi niveaux</v>
      </c>
      <c r="AB1205" s="19" t="str">
        <f>C1205 &amp; "-" &amp; VLOOKUP(C1205,[4]RESULTATS!$E$1:$F$176,2,FALSE)</f>
        <v xml:space="preserve">368- Le cadre juridique et règlementaire est adapté </v>
      </c>
      <c r="AC1205" s="20" t="str">
        <f>D1205 &amp; "-" &amp; VLOOKUP(D1205,[4]STRATEGIES!$E$1:$F$504,2,FALSE)</f>
        <v>3681-Revue du cadre existant et adaptation au nouveau cadre</v>
      </c>
      <c r="AD1205" s="21" t="str">
        <f t="shared" si="191"/>
        <v>36811-Analyse de la cohérence des différents textes régissant l'ETFP avec la loi cadre</v>
      </c>
    </row>
    <row r="1206" spans="1:30" s="22" customFormat="1" ht="60" hidden="1" customHeight="1" x14ac:dyDescent="0.8">
      <c r="A1206" s="14">
        <v>3</v>
      </c>
      <c r="B1206" s="15">
        <v>36</v>
      </c>
      <c r="C1206" s="15">
        <v>368</v>
      </c>
      <c r="D1206" s="15">
        <v>3681</v>
      </c>
      <c r="E1206" s="15">
        <v>36812</v>
      </c>
      <c r="F1206" s="16" t="s">
        <v>1582</v>
      </c>
      <c r="G1206" s="21" t="s">
        <v>167</v>
      </c>
      <c r="H1206" s="17" t="s">
        <v>101</v>
      </c>
      <c r="I1206" s="33">
        <v>0</v>
      </c>
      <c r="J1206" s="33"/>
      <c r="K1206" s="33">
        <f>1*30</f>
        <v>30</v>
      </c>
      <c r="L1206" s="33">
        <f>1*30</f>
        <v>30</v>
      </c>
      <c r="M1206" s="33">
        <f t="shared" si="197"/>
        <v>60</v>
      </c>
      <c r="N1206" s="33">
        <f>IF(OR(H1206="",H1206="sif",H1206="PM"),0,VLOOKUP(H1206,[5]CU!$C$4:$H$255,6,FALSE))</f>
        <v>2.651545</v>
      </c>
      <c r="O1206" s="33">
        <f t="shared" si="198"/>
        <v>0</v>
      </c>
      <c r="P1206" s="33">
        <f t="shared" si="198"/>
        <v>0</v>
      </c>
      <c r="Q1206" s="33">
        <f t="shared" si="198"/>
        <v>79.546350000000004</v>
      </c>
      <c r="R1206" s="33">
        <f t="shared" si="198"/>
        <v>79.546350000000004</v>
      </c>
      <c r="S1206" s="34">
        <f t="shared" si="199"/>
        <v>159.09270000000001</v>
      </c>
      <c r="T1206" s="35" t="s">
        <v>118</v>
      </c>
      <c r="U1206" s="18" t="s">
        <v>1156</v>
      </c>
      <c r="V1206" s="18" t="str">
        <f>IF(OR($H1206="",$H1206="sif",$H1206="PM"),"",VLOOKUP($H1206,[5]CU!$C$5:$J$255,8,FALSE))</f>
        <v>3. Dépenses de fonctionnement</v>
      </c>
      <c r="W1206" s="18" t="s">
        <v>96</v>
      </c>
      <c r="X1206" s="18" t="s">
        <v>1334</v>
      </c>
      <c r="Y1206" s="18" t="s">
        <v>677</v>
      </c>
      <c r="Z1206" s="18" t="str">
        <f>A1206 &amp; "-" &amp; VLOOKUP(A1206,[4]PROGRAMMES!$E$1:$F$7,2,FALSE)</f>
        <v>3-Expansion et réforme de l’ETFP</v>
      </c>
      <c r="AA1206" s="19" t="str">
        <f>B1206 &amp; "-" &amp; VLOOKUP(B1206,[4]SOUSPROGRAMMES!$E$1:$F$44,2,FALSE)</f>
        <v>36- Renforcement des capacités de pilotage et de gestion dans le cadre d’une gouvernance parteunariale multi niveaux</v>
      </c>
      <c r="AB1206" s="19" t="str">
        <f>C1206 &amp; "-" &amp; VLOOKUP(C1206,[4]RESULTATS!$E$1:$F$176,2,FALSE)</f>
        <v xml:space="preserve">368- Le cadre juridique et règlementaire est adapté </v>
      </c>
      <c r="AC1206" s="20" t="str">
        <f>D1206 &amp; "-" &amp; VLOOKUP(D1206,[4]STRATEGIES!$E$1:$F$504,2,FALSE)</f>
        <v>3681-Revue du cadre existant et adaptation au nouveau cadre</v>
      </c>
      <c r="AD1206" s="21" t="str">
        <f t="shared" si="191"/>
        <v>36812-Mobilisation d'Expertise nationale</v>
      </c>
    </row>
    <row r="1207" spans="1:30" s="22" customFormat="1" ht="60" hidden="1" customHeight="1" x14ac:dyDescent="0.8">
      <c r="A1207" s="14">
        <v>3</v>
      </c>
      <c r="B1207" s="15">
        <v>36</v>
      </c>
      <c r="C1207" s="15">
        <v>368</v>
      </c>
      <c r="D1207" s="15">
        <v>3681</v>
      </c>
      <c r="E1207" s="15">
        <v>36813</v>
      </c>
      <c r="F1207" s="16" t="s">
        <v>1572</v>
      </c>
      <c r="G1207" s="21" t="s">
        <v>37</v>
      </c>
      <c r="H1207" s="17" t="s">
        <v>38</v>
      </c>
      <c r="I1207" s="33">
        <v>0</v>
      </c>
      <c r="J1207" s="33"/>
      <c r="K1207" s="33">
        <f>45*2</f>
        <v>90</v>
      </c>
      <c r="L1207" s="33">
        <f>45*2</f>
        <v>90</v>
      </c>
      <c r="M1207" s="33">
        <f t="shared" si="197"/>
        <v>180</v>
      </c>
      <c r="N1207" s="33">
        <f>IF(OR(H1207="",H1207="sif",H1207="PM"),0,VLOOKUP(H1207,[5]CU!$C$4:$H$255,6,FALSE))</f>
        <v>0.3133333333333333</v>
      </c>
      <c r="O1207" s="33">
        <f t="shared" si="198"/>
        <v>0</v>
      </c>
      <c r="P1207" s="33">
        <f t="shared" si="198"/>
        <v>0</v>
      </c>
      <c r="Q1207" s="33">
        <f t="shared" si="198"/>
        <v>28.199999999999996</v>
      </c>
      <c r="R1207" s="33">
        <f t="shared" si="198"/>
        <v>28.199999999999996</v>
      </c>
      <c r="S1207" s="34">
        <f t="shared" si="199"/>
        <v>56.399999999999991</v>
      </c>
      <c r="T1207" s="35" t="s">
        <v>118</v>
      </c>
      <c r="U1207" s="18" t="s">
        <v>1156</v>
      </c>
      <c r="V1207" s="18" t="str">
        <f>IF(OR($H1207="",$H1207="sif",$H1207="PM"),"",VLOOKUP($H1207,[5]CU!$C$5:$J$255,8,FALSE))</f>
        <v>3. Formation</v>
      </c>
      <c r="W1207" s="18" t="s">
        <v>96</v>
      </c>
      <c r="X1207" s="18" t="s">
        <v>1334</v>
      </c>
      <c r="Y1207" s="18" t="s">
        <v>677</v>
      </c>
      <c r="Z1207" s="18" t="str">
        <f>A1207 &amp; "-" &amp; VLOOKUP(A1207,[4]PROGRAMMES!$E$1:$F$7,2,FALSE)</f>
        <v>3-Expansion et réforme de l’ETFP</v>
      </c>
      <c r="AA1207" s="19" t="str">
        <f>B1207 &amp; "-" &amp; VLOOKUP(B1207,[4]SOUSPROGRAMMES!$E$1:$F$44,2,FALSE)</f>
        <v>36- Renforcement des capacités de pilotage et de gestion dans le cadre d’une gouvernance parteunariale multi niveaux</v>
      </c>
      <c r="AB1207" s="19" t="str">
        <f>C1207 &amp; "-" &amp; VLOOKUP(C1207,[4]RESULTATS!$E$1:$F$176,2,FALSE)</f>
        <v xml:space="preserve">368- Le cadre juridique et règlementaire est adapté </v>
      </c>
      <c r="AC1207" s="20" t="str">
        <f>D1207 &amp; "-" &amp; VLOOKUP(D1207,[4]STRATEGIES!$E$1:$F$504,2,FALSE)</f>
        <v>3681-Revue du cadre existant et adaptation au nouveau cadre</v>
      </c>
      <c r="AD1207" s="21" t="str">
        <f t="shared" si="191"/>
        <v>36813-Concertation avec les acteurs</v>
      </c>
    </row>
    <row r="1208" spans="1:30" s="22" customFormat="1" ht="60" hidden="1" customHeight="1" x14ac:dyDescent="0.8">
      <c r="A1208" s="14">
        <v>3</v>
      </c>
      <c r="B1208" s="15">
        <v>36</v>
      </c>
      <c r="C1208" s="15">
        <v>368</v>
      </c>
      <c r="D1208" s="15">
        <v>3681</v>
      </c>
      <c r="E1208" s="15">
        <v>36814</v>
      </c>
      <c r="F1208" s="16" t="s">
        <v>1583</v>
      </c>
      <c r="G1208" s="21" t="s">
        <v>37</v>
      </c>
      <c r="H1208" s="17" t="s">
        <v>66</v>
      </c>
      <c r="I1208" s="33">
        <v>0</v>
      </c>
      <c r="J1208" s="33"/>
      <c r="K1208" s="33">
        <f>15*5</f>
        <v>75</v>
      </c>
      <c r="L1208" s="33"/>
      <c r="M1208" s="33">
        <f t="shared" si="197"/>
        <v>75</v>
      </c>
      <c r="N1208" s="33">
        <f>IF(OR(H1208="",H1208="sif",H1208="PM"),0,VLOOKUP(H1208,[5]CU!$C$4:$H$255,6,FALSE))</f>
        <v>0.255</v>
      </c>
      <c r="O1208" s="33">
        <f t="shared" si="198"/>
        <v>0</v>
      </c>
      <c r="P1208" s="33">
        <f t="shared" si="198"/>
        <v>0</v>
      </c>
      <c r="Q1208" s="33">
        <f t="shared" si="198"/>
        <v>19.125</v>
      </c>
      <c r="R1208" s="33">
        <f t="shared" si="198"/>
        <v>0</v>
      </c>
      <c r="S1208" s="34">
        <f t="shared" si="199"/>
        <v>19.125</v>
      </c>
      <c r="T1208" s="35" t="s">
        <v>118</v>
      </c>
      <c r="U1208" s="18" t="s">
        <v>1156</v>
      </c>
      <c r="V1208" s="18" t="str">
        <f>IF(OR($H1208="",$H1208="sif",$H1208="PM"),"",VLOOKUP($H1208,[5]CU!$C$5:$J$255,8,FALSE))</f>
        <v>3. Dépenses de fonctionnement</v>
      </c>
      <c r="W1208" s="18" t="s">
        <v>96</v>
      </c>
      <c r="X1208" s="18" t="s">
        <v>1334</v>
      </c>
      <c r="Y1208" s="18" t="s">
        <v>677</v>
      </c>
      <c r="Z1208" s="18" t="str">
        <f>A1208 &amp; "-" &amp; VLOOKUP(A1208,[4]PROGRAMMES!$E$1:$F$7,2,FALSE)</f>
        <v>3-Expansion et réforme de l’ETFP</v>
      </c>
      <c r="AA1208" s="19" t="str">
        <f>B1208 &amp; "-" &amp; VLOOKUP(B1208,[4]SOUSPROGRAMMES!$E$1:$F$44,2,FALSE)</f>
        <v>36- Renforcement des capacités de pilotage et de gestion dans le cadre d’une gouvernance parteunariale multi niveaux</v>
      </c>
      <c r="AB1208" s="19" t="str">
        <f>C1208 &amp; "-" &amp; VLOOKUP(C1208,[4]RESULTATS!$E$1:$F$176,2,FALSE)</f>
        <v xml:space="preserve">368- Le cadre juridique et règlementaire est adapté </v>
      </c>
      <c r="AC1208" s="20" t="str">
        <f>D1208 &amp; "-" &amp; VLOOKUP(D1208,[4]STRATEGIES!$E$1:$F$504,2,FALSE)</f>
        <v>3681-Revue du cadre existant et adaptation au nouveau cadre</v>
      </c>
      <c r="AD1208" s="21" t="str">
        <f t="shared" si="191"/>
        <v>36814-Elaboration des projets de textes</v>
      </c>
    </row>
    <row r="1209" spans="1:30" s="22" customFormat="1" ht="60" hidden="1" customHeight="1" x14ac:dyDescent="0.8">
      <c r="A1209" s="14">
        <v>3</v>
      </c>
      <c r="B1209" s="15">
        <v>36</v>
      </c>
      <c r="C1209" s="15">
        <v>368</v>
      </c>
      <c r="D1209" s="15">
        <v>3681</v>
      </c>
      <c r="E1209" s="15">
        <v>36815</v>
      </c>
      <c r="F1209" s="16" t="s">
        <v>1584</v>
      </c>
      <c r="G1209" s="21" t="s">
        <v>37</v>
      </c>
      <c r="H1209" s="17" t="s">
        <v>38</v>
      </c>
      <c r="I1209" s="33">
        <v>0</v>
      </c>
      <c r="J1209" s="33"/>
      <c r="K1209" s="33">
        <f>30*3</f>
        <v>90</v>
      </c>
      <c r="L1209" s="33">
        <f>30*3</f>
        <v>90</v>
      </c>
      <c r="M1209" s="33">
        <f t="shared" si="197"/>
        <v>180</v>
      </c>
      <c r="N1209" s="33">
        <f>IF(OR(H1209="",H1209="sif",H1209="PM"),0,VLOOKUP(H1209,[5]CU!$C$4:$H$255,6,FALSE))</f>
        <v>0.3133333333333333</v>
      </c>
      <c r="O1209" s="33">
        <f t="shared" si="198"/>
        <v>0</v>
      </c>
      <c r="P1209" s="33">
        <f t="shared" si="198"/>
        <v>0</v>
      </c>
      <c r="Q1209" s="33">
        <f t="shared" si="198"/>
        <v>28.199999999999996</v>
      </c>
      <c r="R1209" s="33">
        <f t="shared" si="198"/>
        <v>28.199999999999996</v>
      </c>
      <c r="S1209" s="34">
        <f t="shared" si="199"/>
        <v>56.399999999999991</v>
      </c>
      <c r="T1209" s="35" t="s">
        <v>118</v>
      </c>
      <c r="U1209" s="18" t="s">
        <v>1156</v>
      </c>
      <c r="V1209" s="18" t="str">
        <f>IF(OR($H1209="",$H1209="sif",$H1209="PM"),"",VLOOKUP($H1209,[5]CU!$C$5:$J$255,8,FALSE))</f>
        <v>3. Formation</v>
      </c>
      <c r="W1209" s="18" t="s">
        <v>96</v>
      </c>
      <c r="X1209" s="18" t="s">
        <v>1334</v>
      </c>
      <c r="Y1209" s="18" t="s">
        <v>677</v>
      </c>
      <c r="Z1209" s="18" t="str">
        <f>A1209 &amp; "-" &amp; VLOOKUP(A1209,[4]PROGRAMMES!$E$1:$F$7,2,FALSE)</f>
        <v>3-Expansion et réforme de l’ETFP</v>
      </c>
      <c r="AA1209" s="19" t="str">
        <f>B1209 &amp; "-" &amp; VLOOKUP(B1209,[4]SOUSPROGRAMMES!$E$1:$F$44,2,FALSE)</f>
        <v>36- Renforcement des capacités de pilotage et de gestion dans le cadre d’une gouvernance parteunariale multi niveaux</v>
      </c>
      <c r="AB1209" s="19" t="str">
        <f>C1209 &amp; "-" &amp; VLOOKUP(C1209,[4]RESULTATS!$E$1:$F$176,2,FALSE)</f>
        <v xml:space="preserve">368- Le cadre juridique et règlementaire est adapté </v>
      </c>
      <c r="AC1209" s="20" t="str">
        <f>D1209 &amp; "-" &amp; VLOOKUP(D1209,[4]STRATEGIES!$E$1:$F$504,2,FALSE)</f>
        <v>3681-Revue du cadre existant et adaptation au nouveau cadre</v>
      </c>
      <c r="AD1209" s="21" t="str">
        <f t="shared" si="191"/>
        <v>36815-Validation des textes</v>
      </c>
    </row>
    <row r="1210" spans="1:30" s="22" customFormat="1" ht="60" hidden="1" customHeight="1" x14ac:dyDescent="0.8">
      <c r="A1210" s="14">
        <v>3</v>
      </c>
      <c r="B1210" s="15">
        <v>36</v>
      </c>
      <c r="C1210" s="15">
        <v>368</v>
      </c>
      <c r="D1210" s="15">
        <v>3681</v>
      </c>
      <c r="E1210" s="15">
        <v>36816</v>
      </c>
      <c r="F1210" s="16" t="s">
        <v>1575</v>
      </c>
      <c r="G1210" s="21" t="s">
        <v>37</v>
      </c>
      <c r="H1210" s="17" t="s">
        <v>55</v>
      </c>
      <c r="I1210" s="33">
        <v>0</v>
      </c>
      <c r="J1210" s="33"/>
      <c r="K1210" s="33"/>
      <c r="L1210" s="33"/>
      <c r="M1210" s="33"/>
      <c r="N1210" s="33">
        <f>IF(OR(H1210="",H1210="sif",H1210="PM"),0,VLOOKUP(H1210,[5]CU!$C$4:$H$255,6,FALSE))</f>
        <v>0</v>
      </c>
      <c r="O1210" s="33"/>
      <c r="P1210" s="33"/>
      <c r="Q1210" s="33"/>
      <c r="R1210" s="33"/>
      <c r="S1210" s="34"/>
      <c r="T1210" s="35" t="s">
        <v>56</v>
      </c>
      <c r="U1210" s="18" t="s">
        <v>1156</v>
      </c>
      <c r="V1210" s="18" t="str">
        <f>IF(OR($H1210="",$H1210="sif",$H1210="PM"),"",VLOOKUP($H1210,[5]CU!$C$5:$J$255,8,FALSE))</f>
        <v/>
      </c>
      <c r="W1210" s="18"/>
      <c r="X1210" s="18"/>
      <c r="Y1210" s="18" t="s">
        <v>677</v>
      </c>
      <c r="Z1210" s="18" t="str">
        <f>A1210 &amp; "-" &amp; VLOOKUP(A1210,[4]PROGRAMMES!$E$1:$F$7,2,FALSE)</f>
        <v>3-Expansion et réforme de l’ETFP</v>
      </c>
      <c r="AA1210" s="19" t="str">
        <f>B1210 &amp; "-" &amp; VLOOKUP(B1210,[4]SOUSPROGRAMMES!$E$1:$F$44,2,FALSE)</f>
        <v>36- Renforcement des capacités de pilotage et de gestion dans le cadre d’une gouvernance parteunariale multi niveaux</v>
      </c>
      <c r="AB1210" s="19" t="str">
        <f>C1210 &amp; "-" &amp; VLOOKUP(C1210,[4]RESULTATS!$E$1:$F$176,2,FALSE)</f>
        <v xml:space="preserve">368- Le cadre juridique et règlementaire est adapté </v>
      </c>
      <c r="AC1210" s="20" t="str">
        <f>D1210 &amp; "-" &amp; VLOOKUP(D1210,[4]STRATEGIES!$E$1:$F$504,2,FALSE)</f>
        <v>3681-Revue du cadre existant et adaptation au nouveau cadre</v>
      </c>
      <c r="AD1210" s="21" t="str">
        <f t="shared" si="191"/>
        <v>36816-Promulgation</v>
      </c>
    </row>
    <row r="1211" spans="1:30" s="22" customFormat="1" ht="60" hidden="1" customHeight="1" x14ac:dyDescent="0.8">
      <c r="A1211" s="14">
        <v>3</v>
      </c>
      <c r="B1211" s="15">
        <v>36</v>
      </c>
      <c r="C1211" s="15">
        <v>368</v>
      </c>
      <c r="D1211" s="15">
        <v>3681</v>
      </c>
      <c r="E1211" s="15">
        <v>36817</v>
      </c>
      <c r="F1211" s="16" t="s">
        <v>1576</v>
      </c>
      <c r="G1211" s="21" t="s">
        <v>44</v>
      </c>
      <c r="H1211" s="17" t="s">
        <v>816</v>
      </c>
      <c r="I1211" s="33">
        <v>0</v>
      </c>
      <c r="J1211" s="33"/>
      <c r="K1211" s="33">
        <f>100+60+58+20</f>
        <v>238</v>
      </c>
      <c r="L1211" s="33">
        <f>100+60+58+20</f>
        <v>238</v>
      </c>
      <c r="M1211" s="33">
        <f t="shared" ref="M1211:M1269" si="200">SUM(I1211:L1211)</f>
        <v>476</v>
      </c>
      <c r="N1211" s="33">
        <f>IF(OR(H1211="",H1211="sif",H1211="PM"),0,VLOOKUP(H1211,[5]CU!$C$4:$H$255,6,FALSE))</f>
        <v>7.4999999999999997E-3</v>
      </c>
      <c r="O1211" s="33">
        <f t="shared" ref="O1211:R1269" si="201">IFERROR($N1211*I1211,0)</f>
        <v>0</v>
      </c>
      <c r="P1211" s="33">
        <f t="shared" si="201"/>
        <v>0</v>
      </c>
      <c r="Q1211" s="33">
        <f t="shared" si="201"/>
        <v>1.7849999999999999</v>
      </c>
      <c r="R1211" s="33">
        <f t="shared" si="201"/>
        <v>1.7849999999999999</v>
      </c>
      <c r="S1211" s="34">
        <f>SUM(O1211:R1211)</f>
        <v>3.57</v>
      </c>
      <c r="T1211" s="35" t="s">
        <v>118</v>
      </c>
      <c r="U1211" s="18" t="s">
        <v>1156</v>
      </c>
      <c r="V1211" s="18" t="str">
        <f>IF(OR($H1211="",$H1211="sif",$H1211="PM"),"",VLOOKUP($H1211,[5]CU!$C$5:$J$255,8,FALSE))</f>
        <v>3. Dépenses de fonctionnement</v>
      </c>
      <c r="W1211" s="18" t="s">
        <v>521</v>
      </c>
      <c r="X1211" s="19" t="s">
        <v>1475</v>
      </c>
      <c r="Y1211" s="18" t="s">
        <v>677</v>
      </c>
      <c r="Z1211" s="18" t="str">
        <f>A1211 &amp; "-" &amp; VLOOKUP(A1211,[4]PROGRAMMES!$E$1:$F$7,2,FALSE)</f>
        <v>3-Expansion et réforme de l’ETFP</v>
      </c>
      <c r="AA1211" s="19" t="str">
        <f>B1211 &amp; "-" &amp; VLOOKUP(B1211,[4]SOUSPROGRAMMES!$E$1:$F$44,2,FALSE)</f>
        <v>36- Renforcement des capacités de pilotage et de gestion dans le cadre d’une gouvernance parteunariale multi niveaux</v>
      </c>
      <c r="AB1211" s="19" t="str">
        <f>C1211 &amp; "-" &amp; VLOOKUP(C1211,[4]RESULTATS!$E$1:$F$176,2,FALSE)</f>
        <v xml:space="preserve">368- Le cadre juridique et règlementaire est adapté </v>
      </c>
      <c r="AC1211" s="20" t="str">
        <f>D1211 &amp; "-" &amp; VLOOKUP(D1211,[4]STRATEGIES!$E$1:$F$504,2,FALSE)</f>
        <v>3681-Revue du cadre existant et adaptation au nouveau cadre</v>
      </c>
      <c r="AD1211" s="21" t="str">
        <f t="shared" si="191"/>
        <v>36817-Vulgarisation</v>
      </c>
    </row>
    <row r="1212" spans="1:30" s="22" customFormat="1" ht="60" hidden="1" customHeight="1" x14ac:dyDescent="0.8">
      <c r="A1212" s="14">
        <v>3</v>
      </c>
      <c r="B1212" s="15">
        <v>36</v>
      </c>
      <c r="C1212" s="15">
        <v>369</v>
      </c>
      <c r="D1212" s="15">
        <v>369</v>
      </c>
      <c r="E1212" s="15">
        <v>369</v>
      </c>
      <c r="F1212" s="16" t="s">
        <v>1585</v>
      </c>
      <c r="G1212" s="17"/>
      <c r="H1212" s="17"/>
      <c r="I1212" s="33">
        <v>0</v>
      </c>
      <c r="J1212" s="33"/>
      <c r="K1212" s="33"/>
      <c r="L1212" s="33"/>
      <c r="M1212" s="33"/>
      <c r="N1212" s="33"/>
      <c r="O1212" s="33"/>
      <c r="P1212" s="33"/>
      <c r="Q1212" s="33"/>
      <c r="R1212" s="33"/>
      <c r="S1212" s="34"/>
      <c r="T1212" s="33"/>
      <c r="U1212" s="18"/>
      <c r="V1212" s="18"/>
      <c r="W1212" s="18"/>
      <c r="X1212" s="18"/>
      <c r="Y1212" s="18" t="s">
        <v>677</v>
      </c>
      <c r="Z1212" s="18" t="str">
        <f>A1212 &amp; "-" &amp; VLOOKUP(A1212,[4]PROGRAMMES!$E$1:$F$7,2,FALSE)</f>
        <v>3-Expansion et réforme de l’ETFP</v>
      </c>
      <c r="AA1212" s="19" t="str">
        <f>B1212 &amp; "-" &amp; VLOOKUP(B1212,[4]SOUSPROGRAMMES!$E$1:$F$44,2,FALSE)</f>
        <v>36- Renforcement des capacités de pilotage et de gestion dans le cadre d’une gouvernance parteunariale multi niveaux</v>
      </c>
      <c r="AB1212" s="19" t="str">
        <f>C1212 &amp; "-" &amp; VLOOKUP(C1212,[4]RESULTATS!$E$1:$F$176,2,FALSE)</f>
        <v>369- Suivi et évaluation du programme reforme et expansion de l'ETFP est assuré</v>
      </c>
      <c r="AC1212" s="20" t="str">
        <f>D1212 &amp; "-" &amp; VLOOKUP(D1212,[4]STRATEGIES!$E$1:$F$504,2,FALSE)</f>
        <v>369- Suivi et évaluation du programme reforme et expansion de l'ETFP est assuré</v>
      </c>
      <c r="AD1212" s="21" t="str">
        <f t="shared" si="191"/>
        <v>369- Suivi et évaluation du programme reforme et expansion de l'ETFP est assuré</v>
      </c>
    </row>
    <row r="1213" spans="1:30" s="22" customFormat="1" ht="60" hidden="1" customHeight="1" x14ac:dyDescent="0.8">
      <c r="A1213" s="14">
        <v>3</v>
      </c>
      <c r="B1213" s="15">
        <v>36</v>
      </c>
      <c r="C1213" s="15">
        <v>369</v>
      </c>
      <c r="D1213" s="15">
        <v>3691</v>
      </c>
      <c r="E1213" s="15">
        <v>3691</v>
      </c>
      <c r="F1213" s="16" t="s">
        <v>1586</v>
      </c>
      <c r="G1213" s="17"/>
      <c r="H1213" s="17"/>
      <c r="I1213" s="33">
        <v>0</v>
      </c>
      <c r="J1213" s="33"/>
      <c r="K1213" s="33"/>
      <c r="L1213" s="33"/>
      <c r="M1213" s="33"/>
      <c r="N1213" s="33"/>
      <c r="O1213" s="33"/>
      <c r="P1213" s="33"/>
      <c r="Q1213" s="33"/>
      <c r="R1213" s="33"/>
      <c r="S1213" s="34"/>
      <c r="T1213" s="33"/>
      <c r="U1213" s="18"/>
      <c r="V1213" s="18"/>
      <c r="W1213" s="18"/>
      <c r="X1213" s="18"/>
      <c r="Y1213" s="18" t="s">
        <v>677</v>
      </c>
      <c r="Z1213" s="18" t="str">
        <f>A1213 &amp; "-" &amp; VLOOKUP(A1213,[4]PROGRAMMES!$E$1:$F$7,2,FALSE)</f>
        <v>3-Expansion et réforme de l’ETFP</v>
      </c>
      <c r="AA1213" s="19" t="str">
        <f>B1213 &amp; "-" &amp; VLOOKUP(B1213,[4]SOUSPROGRAMMES!$E$1:$F$44,2,FALSE)</f>
        <v>36- Renforcement des capacités de pilotage et de gestion dans le cadre d’une gouvernance parteunariale multi niveaux</v>
      </c>
      <c r="AB1213" s="19" t="str">
        <f>C1213 &amp; "-" &amp; VLOOKUP(C1213,[4]RESULTATS!$E$1:$F$176,2,FALSE)</f>
        <v>369- Suivi et évaluation du programme reforme et expansion de l'ETFP est assuré</v>
      </c>
      <c r="AC1213" s="20" t="str">
        <f>D1213 &amp; "-" &amp; VLOOKUP(D1213,[4]STRATEGIES!$E$1:$F$504,2,FALSE)</f>
        <v xml:space="preserve">3691-Mise en place d'un cadre de suivi-évaluation
</v>
      </c>
      <c r="AD1213" s="21" t="str">
        <f t="shared" si="191"/>
        <v xml:space="preserve">3691-Mise en place d'un cadre de suivi-évaluation
</v>
      </c>
    </row>
    <row r="1214" spans="1:30" s="22" customFormat="1" ht="60" hidden="1" customHeight="1" x14ac:dyDescent="0.8">
      <c r="A1214" s="14">
        <v>3</v>
      </c>
      <c r="B1214" s="15">
        <v>36</v>
      </c>
      <c r="C1214" s="15">
        <v>369</v>
      </c>
      <c r="D1214" s="15">
        <v>3691</v>
      </c>
      <c r="E1214" s="15">
        <v>36911</v>
      </c>
      <c r="F1214" s="16" t="s">
        <v>1587</v>
      </c>
      <c r="G1214" s="21" t="s">
        <v>1588</v>
      </c>
      <c r="H1214" s="17" t="s">
        <v>66</v>
      </c>
      <c r="I1214" s="33">
        <v>0</v>
      </c>
      <c r="J1214" s="33">
        <f>35*5</f>
        <v>175</v>
      </c>
      <c r="K1214" s="33"/>
      <c r="L1214" s="33"/>
      <c r="M1214" s="33">
        <f t="shared" si="200"/>
        <v>175</v>
      </c>
      <c r="N1214" s="33">
        <f>IF(OR(H1214="",H1214="sif",H1214="PM"),0,VLOOKUP(H1214,[5]CU!$C$4:$H$255,6,FALSE))</f>
        <v>0.255</v>
      </c>
      <c r="O1214" s="33">
        <f t="shared" si="201"/>
        <v>0</v>
      </c>
      <c r="P1214" s="33">
        <f t="shared" si="201"/>
        <v>44.625</v>
      </c>
      <c r="Q1214" s="33">
        <f t="shared" si="201"/>
        <v>0</v>
      </c>
      <c r="R1214" s="33">
        <f t="shared" si="201"/>
        <v>0</v>
      </c>
      <c r="S1214" s="34">
        <f>SUM(O1214:R1214)</f>
        <v>44.625</v>
      </c>
      <c r="T1214" s="35" t="s">
        <v>56</v>
      </c>
      <c r="U1214" s="18" t="s">
        <v>1156</v>
      </c>
      <c r="V1214" s="18" t="str">
        <f>IF(OR($H1214="",$H1214="sif",$H1214="PM"),"",VLOOKUP($H1214,[5]CU!$C$5:$J$255,8,FALSE))</f>
        <v>3. Dépenses de fonctionnement</v>
      </c>
      <c r="W1214" s="18" t="s">
        <v>96</v>
      </c>
      <c r="X1214" s="19" t="s">
        <v>1589</v>
      </c>
      <c r="Y1214" s="18" t="s">
        <v>677</v>
      </c>
      <c r="Z1214" s="18" t="str">
        <f>A1214 &amp; "-" &amp; VLOOKUP(A1214,[4]PROGRAMMES!$E$1:$F$7,2,FALSE)</f>
        <v>3-Expansion et réforme de l’ETFP</v>
      </c>
      <c r="AA1214" s="19" t="str">
        <f>B1214 &amp; "-" &amp; VLOOKUP(B1214,[4]SOUSPROGRAMMES!$E$1:$F$44,2,FALSE)</f>
        <v>36- Renforcement des capacités de pilotage et de gestion dans le cadre d’une gouvernance parteunariale multi niveaux</v>
      </c>
      <c r="AB1214" s="19" t="str">
        <f>C1214 &amp; "-" &amp; VLOOKUP(C1214,[4]RESULTATS!$E$1:$F$176,2,FALSE)</f>
        <v>369- Suivi et évaluation du programme reforme et expansion de l'ETFP est assuré</v>
      </c>
      <c r="AC1214" s="20" t="str">
        <f>D1214 &amp; "-" &amp; VLOOKUP(D1214,[4]STRATEGIES!$E$1:$F$504,2,FALSE)</f>
        <v xml:space="preserve">3691-Mise en place d'un cadre de suivi-évaluation
</v>
      </c>
      <c r="AD1214" s="21" t="str">
        <f t="shared" si="191"/>
        <v>36911-DéFinition du cadre partenarial de suivi évaluation de l'ETFP</v>
      </c>
    </row>
    <row r="1215" spans="1:30" s="22" customFormat="1" ht="60" hidden="1" customHeight="1" x14ac:dyDescent="0.8">
      <c r="A1215" s="14">
        <v>3</v>
      </c>
      <c r="B1215" s="15">
        <v>36</v>
      </c>
      <c r="C1215" s="15">
        <v>369</v>
      </c>
      <c r="D1215" s="15">
        <v>3691</v>
      </c>
      <c r="E1215" s="15">
        <v>36912</v>
      </c>
      <c r="F1215" s="16" t="s">
        <v>1590</v>
      </c>
      <c r="G1215" s="21" t="s">
        <v>836</v>
      </c>
      <c r="H1215" s="17" t="s">
        <v>55</v>
      </c>
      <c r="I1215" s="33">
        <v>0</v>
      </c>
      <c r="J1215" s="33">
        <v>1</v>
      </c>
      <c r="K1215" s="33">
        <v>1</v>
      </c>
      <c r="L1215" s="33">
        <v>1</v>
      </c>
      <c r="M1215" s="33">
        <f t="shared" si="200"/>
        <v>3</v>
      </c>
      <c r="N1215" s="33">
        <f>IF(OR(H1215="",H1215="sif",H1215="PM"),0,VLOOKUP(H1215,[5]CU!$C$4:$H$255,6,FALSE))</f>
        <v>0</v>
      </c>
      <c r="O1215" s="33">
        <f t="shared" si="201"/>
        <v>0</v>
      </c>
      <c r="P1215" s="33">
        <f t="shared" si="201"/>
        <v>0</v>
      </c>
      <c r="Q1215" s="33">
        <f t="shared" si="201"/>
        <v>0</v>
      </c>
      <c r="R1215" s="33">
        <f t="shared" si="201"/>
        <v>0</v>
      </c>
      <c r="S1215" s="34"/>
      <c r="T1215" s="35" t="s">
        <v>56</v>
      </c>
      <c r="U1215" s="18" t="s">
        <v>1156</v>
      </c>
      <c r="V1215" s="18" t="str">
        <f>IF(OR($H1215="",$H1215="sif",$H1215="PM"),"",VLOOKUP($H1215,[5]CU!$C$5:$J$255,8,FALSE))</f>
        <v/>
      </c>
      <c r="W1215" s="18" t="s">
        <v>96</v>
      </c>
      <c r="X1215" s="19" t="s">
        <v>1589</v>
      </c>
      <c r="Y1215" s="18" t="s">
        <v>677</v>
      </c>
      <c r="Z1215" s="18" t="str">
        <f>A1215 &amp; "-" &amp; VLOOKUP(A1215,[4]PROGRAMMES!$E$1:$F$7,2,FALSE)</f>
        <v>3-Expansion et réforme de l’ETFP</v>
      </c>
      <c r="AA1215" s="19" t="str">
        <f>B1215 &amp; "-" &amp; VLOOKUP(B1215,[4]SOUSPROGRAMMES!$E$1:$F$44,2,FALSE)</f>
        <v>36- Renforcement des capacités de pilotage et de gestion dans le cadre d’une gouvernance parteunariale multi niveaux</v>
      </c>
      <c r="AB1215" s="19" t="str">
        <f>C1215 &amp; "-" &amp; VLOOKUP(C1215,[4]RESULTATS!$E$1:$F$176,2,FALSE)</f>
        <v>369- Suivi et évaluation du programme reforme et expansion de l'ETFP est assuré</v>
      </c>
      <c r="AC1215" s="20" t="str">
        <f>D1215 &amp; "-" &amp; VLOOKUP(D1215,[4]STRATEGIES!$E$1:$F$504,2,FALSE)</f>
        <v xml:space="preserve">3691-Mise en place d'un cadre de suivi-évaluation
</v>
      </c>
      <c r="AD1215" s="21" t="str">
        <f t="shared" si="191"/>
        <v>36912-Evaluation régulière des performances de l'ETFP (à tous les niveaux)</v>
      </c>
    </row>
    <row r="1216" spans="1:30" s="22" customFormat="1" ht="60" hidden="1" customHeight="1" x14ac:dyDescent="0.8">
      <c r="A1216" s="14">
        <v>3</v>
      </c>
      <c r="B1216" s="15">
        <v>36</v>
      </c>
      <c r="C1216" s="15">
        <v>369</v>
      </c>
      <c r="D1216" s="15">
        <v>3691</v>
      </c>
      <c r="E1216" s="15">
        <v>36913</v>
      </c>
      <c r="F1216" s="16" t="s">
        <v>1591</v>
      </c>
      <c r="G1216" s="21" t="s">
        <v>1592</v>
      </c>
      <c r="H1216" s="17" t="s">
        <v>38</v>
      </c>
      <c r="I1216" s="33">
        <v>0</v>
      </c>
      <c r="J1216" s="33">
        <f>60*3</f>
        <v>180</v>
      </c>
      <c r="K1216" s="33">
        <f>60*3</f>
        <v>180</v>
      </c>
      <c r="L1216" s="33">
        <f>60*3</f>
        <v>180</v>
      </c>
      <c r="M1216" s="33">
        <f t="shared" si="200"/>
        <v>540</v>
      </c>
      <c r="N1216" s="33">
        <f>IF(OR(H1216="",H1216="sif",H1216="PM"),0,VLOOKUP(H1216,[5]CU!$C$4:$H$255,6,FALSE))</f>
        <v>0.3133333333333333</v>
      </c>
      <c r="O1216" s="33">
        <f t="shared" si="201"/>
        <v>0</v>
      </c>
      <c r="P1216" s="33">
        <f t="shared" si="201"/>
        <v>56.399999999999991</v>
      </c>
      <c r="Q1216" s="33">
        <f t="shared" si="201"/>
        <v>56.399999999999991</v>
      </c>
      <c r="R1216" s="33">
        <f t="shared" si="201"/>
        <v>56.399999999999991</v>
      </c>
      <c r="S1216" s="34">
        <f>SUM(O1216:R1216)</f>
        <v>169.2</v>
      </c>
      <c r="T1216" s="35" t="s">
        <v>56</v>
      </c>
      <c r="U1216" s="18" t="s">
        <v>1156</v>
      </c>
      <c r="V1216" s="18" t="str">
        <f>IF(OR($H1216="",$H1216="sif",$H1216="PM"),"",VLOOKUP($H1216,[5]CU!$C$5:$J$255,8,FALSE))</f>
        <v>3. Formation</v>
      </c>
      <c r="W1216" s="18" t="s">
        <v>96</v>
      </c>
      <c r="X1216" s="19" t="s">
        <v>1589</v>
      </c>
      <c r="Y1216" s="18" t="s">
        <v>677</v>
      </c>
      <c r="Z1216" s="18" t="str">
        <f>A1216 &amp; "-" &amp; VLOOKUP(A1216,[4]PROGRAMMES!$E$1:$F$7,2,FALSE)</f>
        <v>3-Expansion et réforme de l’ETFP</v>
      </c>
      <c r="AA1216" s="19" t="str">
        <f>B1216 &amp; "-" &amp; VLOOKUP(B1216,[4]SOUSPROGRAMMES!$E$1:$F$44,2,FALSE)</f>
        <v>36- Renforcement des capacités de pilotage et de gestion dans le cadre d’une gouvernance parteunariale multi niveaux</v>
      </c>
      <c r="AB1216" s="19" t="str">
        <f>C1216 &amp; "-" &amp; VLOOKUP(C1216,[4]RESULTATS!$E$1:$F$176,2,FALSE)</f>
        <v>369- Suivi et évaluation du programme reforme et expansion de l'ETFP est assuré</v>
      </c>
      <c r="AC1216" s="20" t="str">
        <f>D1216 &amp; "-" &amp; VLOOKUP(D1216,[4]STRATEGIES!$E$1:$F$504,2,FALSE)</f>
        <v xml:space="preserve">3691-Mise en place d'un cadre de suivi-évaluation
</v>
      </c>
      <c r="AD1216" s="21" t="str">
        <f t="shared" si="191"/>
        <v>36913-Partage des résultats des évaluations des performances de l'ETFP (à tous les niveaux)</v>
      </c>
    </row>
    <row r="1217" spans="1:30" s="22" customFormat="1" ht="60" hidden="1" customHeight="1" x14ac:dyDescent="0.8">
      <c r="A1217" s="14">
        <v>3</v>
      </c>
      <c r="B1217" s="15">
        <v>36</v>
      </c>
      <c r="C1217" s="15">
        <v>369</v>
      </c>
      <c r="D1217" s="15">
        <v>3691</v>
      </c>
      <c r="E1217" s="15">
        <v>36914</v>
      </c>
      <c r="F1217" s="16" t="s">
        <v>1593</v>
      </c>
      <c r="G1217" s="21" t="s">
        <v>298</v>
      </c>
      <c r="H1217" s="17" t="s">
        <v>66</v>
      </c>
      <c r="I1217" s="33">
        <v>0</v>
      </c>
      <c r="J1217" s="33">
        <f>10*5</f>
        <v>50</v>
      </c>
      <c r="K1217" s="33">
        <f>10*5</f>
        <v>50</v>
      </c>
      <c r="L1217" s="33">
        <f>10*5</f>
        <v>50</v>
      </c>
      <c r="M1217" s="33">
        <f t="shared" si="200"/>
        <v>150</v>
      </c>
      <c r="N1217" s="33">
        <f>IF(OR(H1217="",H1217="sif",H1217="PM"),0,VLOOKUP(H1217,[5]CU!$C$4:$H$255,6,FALSE))</f>
        <v>0.255</v>
      </c>
      <c r="O1217" s="33">
        <f t="shared" si="201"/>
        <v>0</v>
      </c>
      <c r="P1217" s="33">
        <f t="shared" si="201"/>
        <v>12.75</v>
      </c>
      <c r="Q1217" s="33">
        <f t="shared" si="201"/>
        <v>12.75</v>
      </c>
      <c r="R1217" s="33">
        <f t="shared" si="201"/>
        <v>12.75</v>
      </c>
      <c r="S1217" s="34">
        <f>SUM(O1217:R1217)</f>
        <v>38.25</v>
      </c>
      <c r="T1217" s="35" t="s">
        <v>56</v>
      </c>
      <c r="U1217" s="18" t="s">
        <v>1156</v>
      </c>
      <c r="V1217" s="18" t="str">
        <f>IF(OR($H1217="",$H1217="sif",$H1217="PM"),"",VLOOKUP($H1217,[5]CU!$C$5:$J$255,8,FALSE))</f>
        <v>3. Dépenses de fonctionnement</v>
      </c>
      <c r="W1217" s="18" t="s">
        <v>96</v>
      </c>
      <c r="X1217" s="19" t="s">
        <v>1589</v>
      </c>
      <c r="Y1217" s="18" t="s">
        <v>677</v>
      </c>
      <c r="Z1217" s="18" t="str">
        <f>A1217 &amp; "-" &amp; VLOOKUP(A1217,[4]PROGRAMMES!$E$1:$F$7,2,FALSE)</f>
        <v>3-Expansion et réforme de l’ETFP</v>
      </c>
      <c r="AA1217" s="19" t="str">
        <f>B1217 &amp; "-" &amp; VLOOKUP(B1217,[4]SOUSPROGRAMMES!$E$1:$F$44,2,FALSE)</f>
        <v>36- Renforcement des capacités de pilotage et de gestion dans le cadre d’une gouvernance parteunariale multi niveaux</v>
      </c>
      <c r="AB1217" s="19" t="str">
        <f>C1217 &amp; "-" &amp; VLOOKUP(C1217,[4]RESULTATS!$E$1:$F$176,2,FALSE)</f>
        <v>369- Suivi et évaluation du programme reforme et expansion de l'ETFP est assuré</v>
      </c>
      <c r="AC1217" s="20" t="str">
        <f>D1217 &amp; "-" &amp; VLOOKUP(D1217,[4]STRATEGIES!$E$1:$F$504,2,FALSE)</f>
        <v xml:space="preserve">3691-Mise en place d'un cadre de suivi-évaluation
</v>
      </c>
      <c r="AD1217" s="21" t="str">
        <f t="shared" si="191"/>
        <v>36914-Elaboration du rapport de performance de l'ETFP</v>
      </c>
    </row>
    <row r="1218" spans="1:30" s="22" customFormat="1" ht="60" hidden="1" customHeight="1" x14ac:dyDescent="0.8">
      <c r="A1218" s="14">
        <v>3</v>
      </c>
      <c r="B1218" s="15">
        <v>36</v>
      </c>
      <c r="C1218" s="15">
        <v>369</v>
      </c>
      <c r="D1218" s="15">
        <v>3691</v>
      </c>
      <c r="E1218" s="15">
        <v>36915</v>
      </c>
      <c r="F1218" s="16" t="s">
        <v>1594</v>
      </c>
      <c r="G1218" s="21" t="s">
        <v>298</v>
      </c>
      <c r="H1218" s="17" t="s">
        <v>38</v>
      </c>
      <c r="I1218" s="33">
        <v>0</v>
      </c>
      <c r="J1218" s="33">
        <f>60*1</f>
        <v>60</v>
      </c>
      <c r="K1218" s="33">
        <f>60*1</f>
        <v>60</v>
      </c>
      <c r="L1218" s="33">
        <f>60*1</f>
        <v>60</v>
      </c>
      <c r="M1218" s="33">
        <f t="shared" si="200"/>
        <v>180</v>
      </c>
      <c r="N1218" s="33">
        <f>IF(OR(H1218="",H1218="sif",H1218="PM"),0,VLOOKUP(H1218,[5]CU!$C$4:$H$255,6,FALSE))</f>
        <v>0.3133333333333333</v>
      </c>
      <c r="O1218" s="33">
        <f t="shared" si="201"/>
        <v>0</v>
      </c>
      <c r="P1218" s="33">
        <f t="shared" si="201"/>
        <v>18.799999999999997</v>
      </c>
      <c r="Q1218" s="33">
        <f t="shared" si="201"/>
        <v>18.799999999999997</v>
      </c>
      <c r="R1218" s="33">
        <f t="shared" si="201"/>
        <v>18.799999999999997</v>
      </c>
      <c r="S1218" s="34">
        <f>SUM(O1218:R1218)</f>
        <v>56.399999999999991</v>
      </c>
      <c r="T1218" s="35" t="s">
        <v>56</v>
      </c>
      <c r="U1218" s="18" t="s">
        <v>1156</v>
      </c>
      <c r="V1218" s="18" t="str">
        <f>IF(OR($H1218="",$H1218="sif",$H1218="PM"),"",VLOOKUP($H1218,[5]CU!$C$5:$J$255,8,FALSE))</f>
        <v>3. Formation</v>
      </c>
      <c r="W1218" s="18" t="s">
        <v>96</v>
      </c>
      <c r="X1218" s="19" t="s">
        <v>1589</v>
      </c>
      <c r="Y1218" s="18" t="s">
        <v>677</v>
      </c>
      <c r="Z1218" s="18" t="str">
        <f>A1218 &amp; "-" &amp; VLOOKUP(A1218,[4]PROGRAMMES!$E$1:$F$7,2,FALSE)</f>
        <v>3-Expansion et réforme de l’ETFP</v>
      </c>
      <c r="AA1218" s="19" t="str">
        <f>B1218 &amp; "-" &amp; VLOOKUP(B1218,[4]SOUSPROGRAMMES!$E$1:$F$44,2,FALSE)</f>
        <v>36- Renforcement des capacités de pilotage et de gestion dans le cadre d’une gouvernance parteunariale multi niveaux</v>
      </c>
      <c r="AB1218" s="19" t="str">
        <f>C1218 &amp; "-" &amp; VLOOKUP(C1218,[4]RESULTATS!$E$1:$F$176,2,FALSE)</f>
        <v>369- Suivi et évaluation du programme reforme et expansion de l'ETFP est assuré</v>
      </c>
      <c r="AC1218" s="20" t="str">
        <f>D1218 &amp; "-" &amp; VLOOKUP(D1218,[4]STRATEGIES!$E$1:$F$504,2,FALSE)</f>
        <v xml:space="preserve">3691-Mise en place d'un cadre de suivi-évaluation
</v>
      </c>
      <c r="AD1218" s="21" t="str">
        <f t="shared" si="191"/>
        <v>36915-Partage du rapport de performance</v>
      </c>
    </row>
    <row r="1219" spans="1:30" s="22" customFormat="1" ht="45" hidden="1" customHeight="1" x14ac:dyDescent="0.8">
      <c r="A1219" s="14">
        <v>4</v>
      </c>
      <c r="B1219" s="15">
        <v>4</v>
      </c>
      <c r="C1219" s="15">
        <v>4</v>
      </c>
      <c r="D1219" s="15">
        <v>4</v>
      </c>
      <c r="E1219" s="15">
        <v>4</v>
      </c>
      <c r="F1219" s="16" t="s">
        <v>1595</v>
      </c>
      <c r="G1219" s="17"/>
      <c r="H1219" s="17"/>
      <c r="I1219" s="33">
        <v>0</v>
      </c>
      <c r="J1219" s="33"/>
      <c r="K1219" s="33"/>
      <c r="L1219" s="33"/>
      <c r="M1219" s="33"/>
      <c r="N1219" s="33"/>
      <c r="O1219" s="33"/>
      <c r="P1219" s="33"/>
      <c r="Q1219" s="33"/>
      <c r="R1219" s="33"/>
      <c r="S1219" s="34"/>
      <c r="T1219" s="33"/>
      <c r="U1219" s="18"/>
      <c r="V1219" s="18"/>
      <c r="W1219" s="18"/>
      <c r="X1219" s="18"/>
      <c r="Y1219" s="18" t="s">
        <v>679</v>
      </c>
      <c r="Z1219" s="18" t="str">
        <f>A1219 &amp; "-" &amp; VLOOKUP(A1219,[4]PROGRAMMES!$E$1:$F$7,2,FALSE)</f>
        <v>4-Réforme de l’enseignement supérieur et la recherche scientifique et de l'innovation</v>
      </c>
      <c r="AA1219" s="19" t="str">
        <f>B1219 &amp; "-" &amp; VLOOKUP(B1219,[4]SOUSPROGRAMMES!$E$1:$F$44,2,FALSE)</f>
        <v>4-Réforme de l’enseignement supérieur et la recherche scientifique et de l'innovation</v>
      </c>
      <c r="AB1219" s="19" t="str">
        <f>C1219 &amp; "-" &amp; VLOOKUP(C1219,[4]RESULTATS!$E$1:$F$176,2,FALSE)</f>
        <v>4-Réforme de l’enseignement supérieur et la recherche scientifique et de l'innovation</v>
      </c>
      <c r="AC1219" s="20" t="str">
        <f>D1219 &amp; "-" &amp; VLOOKUP(D1219,[4]STRATEGIES!$E$1:$F$504,2,FALSE)</f>
        <v>4-Réforme de l’enseignement supérieur et la recherche scientifique et de l'innovation</v>
      </c>
      <c r="AD1219" s="21" t="str">
        <f t="shared" si="191"/>
        <v>4-Réforme de l’enseignement supérieur et la recherche scientifique et de l'innovation</v>
      </c>
    </row>
    <row r="1220" spans="1:30" s="22" customFormat="1" ht="45" hidden="1" customHeight="1" x14ac:dyDescent="0.8">
      <c r="A1220" s="14">
        <v>4</v>
      </c>
      <c r="B1220" s="15">
        <v>41</v>
      </c>
      <c r="C1220" s="15">
        <v>41</v>
      </c>
      <c r="D1220" s="15">
        <v>41</v>
      </c>
      <c r="E1220" s="15">
        <v>41</v>
      </c>
      <c r="F1220" s="16" t="s">
        <v>1596</v>
      </c>
      <c r="G1220" s="17"/>
      <c r="H1220" s="17"/>
      <c r="I1220" s="33">
        <v>0</v>
      </c>
      <c r="J1220" s="33"/>
      <c r="K1220" s="33"/>
      <c r="L1220" s="33"/>
      <c r="M1220" s="33"/>
      <c r="N1220" s="33"/>
      <c r="O1220" s="33"/>
      <c r="P1220" s="33"/>
      <c r="Q1220" s="33"/>
      <c r="R1220" s="33"/>
      <c r="S1220" s="34"/>
      <c r="T1220" s="33"/>
      <c r="U1220" s="18"/>
      <c r="V1220" s="18"/>
      <c r="W1220" s="18"/>
      <c r="X1220" s="18"/>
      <c r="Y1220" s="18" t="s">
        <v>679</v>
      </c>
      <c r="Z1220" s="18" t="str">
        <f>A1220 &amp; "-" &amp; VLOOKUP(A1220,[4]PROGRAMMES!$E$1:$F$7,2,FALSE)</f>
        <v>4-Réforme de l’enseignement supérieur et la recherche scientifique et de l'innovation</v>
      </c>
      <c r="AA1220" s="19" t="str">
        <f>B1220 &amp; "-" &amp; VLOOKUP(B1220,[4]SOUSPROGRAMMES!$E$1:$F$44,2,FALSE)</f>
        <v>41- Gouvernance et pilotage de l’enseignement supérieur et de la recherche scientifique</v>
      </c>
      <c r="AB1220" s="19" t="str">
        <f>C1220 &amp; "-" &amp; VLOOKUP(C1220,[4]RESULTATS!$E$1:$F$176,2,FALSE)</f>
        <v>41- Gouvernance et pilotage de l’enseignement supérieur et de la recherche scientifique</v>
      </c>
      <c r="AC1220" s="20" t="str">
        <f>D1220 &amp; "-" &amp; VLOOKUP(D1220,[4]STRATEGIES!$E$1:$F$504,2,FALSE)</f>
        <v>41- Gouvernance et pilotage de l’enseignement supérieur et de la recherche scientifique</v>
      </c>
      <c r="AD1220" s="21" t="str">
        <f t="shared" ref="AD1220:AD1283" si="202">E1220 &amp; "-" &amp; F1220</f>
        <v>41- Gouvernance et pilotage de l’enseignement supérieur et de la recherche scientifique</v>
      </c>
    </row>
    <row r="1221" spans="1:30" s="22" customFormat="1" ht="60" hidden="1" customHeight="1" x14ac:dyDescent="0.8">
      <c r="A1221" s="14">
        <v>4</v>
      </c>
      <c r="B1221" s="15">
        <v>41</v>
      </c>
      <c r="C1221" s="15">
        <v>411</v>
      </c>
      <c r="D1221" s="15">
        <v>411</v>
      </c>
      <c r="E1221" s="15">
        <v>411</v>
      </c>
      <c r="F1221" s="16" t="s">
        <v>1597</v>
      </c>
      <c r="G1221" s="17"/>
      <c r="H1221" s="17"/>
      <c r="I1221" s="33">
        <v>0</v>
      </c>
      <c r="J1221" s="33"/>
      <c r="K1221" s="33"/>
      <c r="L1221" s="33"/>
      <c r="M1221" s="33"/>
      <c r="N1221" s="33"/>
      <c r="O1221" s="33"/>
      <c r="P1221" s="33"/>
      <c r="Q1221" s="33"/>
      <c r="R1221" s="33"/>
      <c r="S1221" s="34"/>
      <c r="T1221" s="33"/>
      <c r="U1221" s="18"/>
      <c r="V1221" s="18"/>
      <c r="W1221" s="18"/>
      <c r="X1221" s="18"/>
      <c r="Y1221" s="18" t="s">
        <v>679</v>
      </c>
      <c r="Z1221" s="18" t="str">
        <f>A1221 &amp; "-" &amp; VLOOKUP(A1221,[4]PROGRAMMES!$E$1:$F$7,2,FALSE)</f>
        <v>4-Réforme de l’enseignement supérieur et la recherche scientifique et de l'innovation</v>
      </c>
      <c r="AA1221" s="19" t="str">
        <f>B1221 &amp; "-" &amp; VLOOKUP(B1221,[4]SOUSPROGRAMMES!$E$1:$F$44,2,FALSE)</f>
        <v>41- Gouvernance et pilotage de l’enseignement supérieur et de la recherche scientifique</v>
      </c>
      <c r="AB1221" s="19" t="str">
        <f>C1221 &amp; "-" &amp; VLOOKUP(C1221,[4]RESULTATS!$E$1:$F$176,2,FALSE)</f>
        <v xml:space="preserve">411- Les textes sont produits/révisés, les manuels de procédure de gestion sont élaborés afin de mieux situer les rôles et les responsabilités. </v>
      </c>
      <c r="AC1221" s="20" t="str">
        <f>D1221 &amp; "-" &amp; VLOOKUP(D1221,[4]STRATEGIES!$E$1:$F$504,2,FALSE)</f>
        <v xml:space="preserve">411- Les textes sont produits/révisés, les manuels de procédure de gestion sont élaborés afin de mieux situer les rôles et les responsabilités. </v>
      </c>
      <c r="AD1221" s="21" t="str">
        <f t="shared" si="202"/>
        <v xml:space="preserve">411- Les textes sont produits/révisés, les manuels de procédure de gestion sont élaborés aFin de mieux situer les rôles et les responsabilités. </v>
      </c>
    </row>
    <row r="1222" spans="1:30" s="22" customFormat="1" ht="60" hidden="1" customHeight="1" x14ac:dyDescent="0.8">
      <c r="A1222" s="14">
        <v>4</v>
      </c>
      <c r="B1222" s="15">
        <v>41</v>
      </c>
      <c r="C1222" s="15">
        <v>411</v>
      </c>
      <c r="D1222" s="15">
        <v>4111</v>
      </c>
      <c r="E1222" s="15">
        <v>4111</v>
      </c>
      <c r="F1222" s="16" t="s">
        <v>1598</v>
      </c>
      <c r="G1222" s="17"/>
      <c r="H1222" s="17"/>
      <c r="I1222" s="33">
        <v>0</v>
      </c>
      <c r="J1222" s="33"/>
      <c r="K1222" s="33"/>
      <c r="L1222" s="33"/>
      <c r="M1222" s="33"/>
      <c r="N1222" s="33"/>
      <c r="O1222" s="33"/>
      <c r="P1222" s="33"/>
      <c r="Q1222" s="33"/>
      <c r="R1222" s="33"/>
      <c r="S1222" s="34"/>
      <c r="T1222" s="33"/>
      <c r="U1222" s="18"/>
      <c r="V1222" s="18"/>
      <c r="W1222" s="18"/>
      <c r="X1222" s="18"/>
      <c r="Y1222" s="18" t="s">
        <v>679</v>
      </c>
      <c r="Z1222" s="18" t="str">
        <f>A1222 &amp; "-" &amp; VLOOKUP(A1222,[4]PROGRAMMES!$E$1:$F$7,2,FALSE)</f>
        <v>4-Réforme de l’enseignement supérieur et la recherche scientifique et de l'innovation</v>
      </c>
      <c r="AA1222" s="19" t="str">
        <f>B1222 &amp; "-" &amp; VLOOKUP(B1222,[4]SOUSPROGRAMMES!$E$1:$F$44,2,FALSE)</f>
        <v>41- Gouvernance et pilotage de l’enseignement supérieur et de la recherche scientifique</v>
      </c>
      <c r="AB1222" s="19" t="str">
        <f>C1222 &amp; "-" &amp; VLOOKUP(C1222,[4]RESULTATS!$E$1:$F$176,2,FALSE)</f>
        <v xml:space="preserve">411- Les textes sont produits/révisés, les manuels de procédure de gestion sont élaborés afin de mieux situer les rôles et les responsabilités. </v>
      </c>
      <c r="AC1222" s="20" t="str">
        <f>D1222 &amp; "-" &amp; VLOOKUP(D1222,[4]STRATEGIES!$E$1:$F$504,2,FALSE)</f>
        <v>4111-Production/révision des textes et de manuels de procédure</v>
      </c>
      <c r="AD1222" s="21" t="str">
        <f t="shared" si="202"/>
        <v>4111-Production/révision des textes et de manuels de procédure</v>
      </c>
    </row>
    <row r="1223" spans="1:30" s="22" customFormat="1" ht="60" hidden="1" customHeight="1" x14ac:dyDescent="0.8">
      <c r="A1223" s="14">
        <v>4</v>
      </c>
      <c r="B1223" s="15">
        <v>41</v>
      </c>
      <c r="C1223" s="15">
        <v>411</v>
      </c>
      <c r="D1223" s="15">
        <v>4111</v>
      </c>
      <c r="E1223" s="15">
        <v>41111</v>
      </c>
      <c r="F1223" s="16" t="s">
        <v>1599</v>
      </c>
      <c r="G1223" s="21" t="s">
        <v>88</v>
      </c>
      <c r="H1223" s="17" t="s">
        <v>55</v>
      </c>
      <c r="I1223" s="33">
        <v>0</v>
      </c>
      <c r="J1223" s="33">
        <v>1</v>
      </c>
      <c r="K1223" s="33">
        <v>1</v>
      </c>
      <c r="L1223" s="33">
        <v>1</v>
      </c>
      <c r="M1223" s="33">
        <f t="shared" si="200"/>
        <v>3</v>
      </c>
      <c r="N1223" s="33">
        <f>IF(OR(H1223="",H1223="sif",H1223="PM"),0,VLOOKUP(H1223,[5]CU!$C$4:$H$255,6,FALSE))</f>
        <v>0</v>
      </c>
      <c r="O1223" s="33">
        <f t="shared" si="201"/>
        <v>0</v>
      </c>
      <c r="P1223" s="33">
        <f t="shared" si="201"/>
        <v>0</v>
      </c>
      <c r="Q1223" s="33">
        <f t="shared" si="201"/>
        <v>0</v>
      </c>
      <c r="R1223" s="33">
        <f t="shared" si="201"/>
        <v>0</v>
      </c>
      <c r="S1223" s="34"/>
      <c r="T1223" s="35" t="s">
        <v>1304</v>
      </c>
      <c r="U1223" s="18" t="s">
        <v>1600</v>
      </c>
      <c r="V1223" s="18" t="str">
        <f>IF(OR($H1223="",$H1223="sif",$H1223="PM"),"",VLOOKUP($H1223,[5]CU!$C$5:$J$255,8,FALSE))</f>
        <v/>
      </c>
      <c r="W1223" s="18" t="s">
        <v>255</v>
      </c>
      <c r="X1223" s="18" t="s">
        <v>1601</v>
      </c>
      <c r="Y1223" s="18" t="s">
        <v>679</v>
      </c>
      <c r="Z1223" s="18" t="str">
        <f>A1223 &amp; "-" &amp; VLOOKUP(A1223,[4]PROGRAMMES!$E$1:$F$7,2,FALSE)</f>
        <v>4-Réforme de l’enseignement supérieur et la recherche scientifique et de l'innovation</v>
      </c>
      <c r="AA1223" s="19" t="str">
        <f>B1223 &amp; "-" &amp; VLOOKUP(B1223,[4]SOUSPROGRAMMES!$E$1:$F$44,2,FALSE)</f>
        <v>41- Gouvernance et pilotage de l’enseignement supérieur et de la recherche scientifique</v>
      </c>
      <c r="AB1223" s="19" t="str">
        <f>C1223 &amp; "-" &amp; VLOOKUP(C1223,[4]RESULTATS!$E$1:$F$176,2,FALSE)</f>
        <v xml:space="preserve">411- Les textes sont produits/révisés, les manuels de procédure de gestion sont élaborés afin de mieux situer les rôles et les responsabilités. </v>
      </c>
      <c r="AC1223" s="20" t="str">
        <f>D1223 &amp; "-" &amp; VLOOKUP(D1223,[4]STRATEGIES!$E$1:$F$504,2,FALSE)</f>
        <v>4111-Production/révision des textes et de manuels de procédure</v>
      </c>
      <c r="AD1223" s="21" t="str">
        <f t="shared" si="202"/>
        <v>41111-Identification des textes à réviser/produire et constitution des commissions</v>
      </c>
    </row>
    <row r="1224" spans="1:30" s="22" customFormat="1" ht="60" hidden="1" customHeight="1" x14ac:dyDescent="0.8">
      <c r="A1224" s="14">
        <v>4</v>
      </c>
      <c r="B1224" s="15">
        <v>41</v>
      </c>
      <c r="C1224" s="15">
        <v>411</v>
      </c>
      <c r="D1224" s="15">
        <v>4111</v>
      </c>
      <c r="E1224" s="15">
        <v>41112</v>
      </c>
      <c r="F1224" s="16" t="s">
        <v>1602</v>
      </c>
      <c r="G1224" s="21" t="s">
        <v>298</v>
      </c>
      <c r="H1224" s="17" t="s">
        <v>66</v>
      </c>
      <c r="I1224" s="33">
        <v>0</v>
      </c>
      <c r="J1224" s="33">
        <f>30*5*3</f>
        <v>450</v>
      </c>
      <c r="K1224" s="33"/>
      <c r="L1224" s="33"/>
      <c r="M1224" s="33">
        <f t="shared" si="200"/>
        <v>450</v>
      </c>
      <c r="N1224" s="33">
        <f>IF(OR(H1224="",H1224="sif",H1224="PM"),0,VLOOKUP(H1224,[5]CU!$C$4:$H$255,6,FALSE))</f>
        <v>0.255</v>
      </c>
      <c r="O1224" s="33">
        <f t="shared" si="201"/>
        <v>0</v>
      </c>
      <c r="P1224" s="33">
        <f t="shared" si="201"/>
        <v>114.75</v>
      </c>
      <c r="Q1224" s="33">
        <f t="shared" si="201"/>
        <v>0</v>
      </c>
      <c r="R1224" s="33">
        <f t="shared" si="201"/>
        <v>0</v>
      </c>
      <c r="S1224" s="34">
        <f>SUM(O1224:R1224)</f>
        <v>114.75</v>
      </c>
      <c r="T1224" s="35" t="s">
        <v>1304</v>
      </c>
      <c r="U1224" s="19" t="s">
        <v>1600</v>
      </c>
      <c r="V1224" s="19" t="str">
        <f>IF(OR($H1224="",$H1224="sif",$H1224="PM"),"",VLOOKUP($H1224,[5]CU!$C$5:$J$255,8,FALSE))</f>
        <v>3. Dépenses de fonctionnement</v>
      </c>
      <c r="W1224" s="19" t="s">
        <v>255</v>
      </c>
      <c r="X1224" s="19" t="s">
        <v>255</v>
      </c>
      <c r="Y1224" s="18" t="s">
        <v>679</v>
      </c>
      <c r="Z1224" s="18" t="str">
        <f>A1224 &amp; "-" &amp; VLOOKUP(A1224,[4]PROGRAMMES!$E$1:$F$7,2,FALSE)</f>
        <v>4-Réforme de l’enseignement supérieur et la recherche scientifique et de l'innovation</v>
      </c>
      <c r="AA1224" s="19" t="str">
        <f>B1224 &amp; "-" &amp; VLOOKUP(B1224,[4]SOUSPROGRAMMES!$E$1:$F$44,2,FALSE)</f>
        <v>41- Gouvernance et pilotage de l’enseignement supérieur et de la recherche scientifique</v>
      </c>
      <c r="AB1224" s="19" t="str">
        <f>C1224 &amp; "-" &amp; VLOOKUP(C1224,[4]RESULTATS!$E$1:$F$176,2,FALSE)</f>
        <v xml:space="preserve">411- Les textes sont produits/révisés, les manuels de procédure de gestion sont élaborés afin de mieux situer les rôles et les responsabilités. </v>
      </c>
      <c r="AC1224" s="20" t="str">
        <f>D1224 &amp; "-" &amp; VLOOKUP(D1224,[4]STRATEGIES!$E$1:$F$504,2,FALSE)</f>
        <v>4111-Production/révision des textes et de manuels de procédure</v>
      </c>
      <c r="AD1224" s="21" t="str">
        <f t="shared" si="202"/>
        <v>41112-Travaux des commissions pour la révision/production des textes (y compris l'obligation de publication de comptes Financiers)</v>
      </c>
    </row>
    <row r="1225" spans="1:30" s="22" customFormat="1" ht="60" hidden="1" customHeight="1" x14ac:dyDescent="0.8">
      <c r="A1225" s="14">
        <v>4</v>
      </c>
      <c r="B1225" s="15">
        <v>41</v>
      </c>
      <c r="C1225" s="15">
        <v>411</v>
      </c>
      <c r="D1225" s="15">
        <v>4111</v>
      </c>
      <c r="E1225" s="15">
        <v>41113</v>
      </c>
      <c r="F1225" s="16" t="s">
        <v>1603</v>
      </c>
      <c r="G1225" s="21" t="s">
        <v>167</v>
      </c>
      <c r="H1225" s="17" t="s">
        <v>101</v>
      </c>
      <c r="I1225" s="33">
        <v>0</v>
      </c>
      <c r="J1225" s="33">
        <f>2*30</f>
        <v>60</v>
      </c>
      <c r="K1225" s="33">
        <f>2*30</f>
        <v>60</v>
      </c>
      <c r="L1225" s="33">
        <f>3*30*1</f>
        <v>90</v>
      </c>
      <c r="M1225" s="33">
        <f t="shared" si="200"/>
        <v>210</v>
      </c>
      <c r="N1225" s="33">
        <f>IF(OR(H1225="",H1225="sif",H1225="PM"),0,VLOOKUP(H1225,[5]CU!$C$4:$H$255,6,FALSE))</f>
        <v>2.651545</v>
      </c>
      <c r="O1225" s="33">
        <f t="shared" si="201"/>
        <v>0</v>
      </c>
      <c r="P1225" s="33">
        <f t="shared" si="201"/>
        <v>159.09270000000001</v>
      </c>
      <c r="Q1225" s="33">
        <f t="shared" si="201"/>
        <v>159.09270000000001</v>
      </c>
      <c r="R1225" s="33">
        <f t="shared" si="201"/>
        <v>238.63905</v>
      </c>
      <c r="S1225" s="34">
        <f>SUM(O1225:R1225)</f>
        <v>556.82445000000007</v>
      </c>
      <c r="T1225" s="35" t="s">
        <v>1304</v>
      </c>
      <c r="U1225" s="19" t="s">
        <v>1600</v>
      </c>
      <c r="V1225" s="19" t="str">
        <f>IF(OR($H1225="",$H1225="sif",$H1225="PM"),"",VLOOKUP($H1225,[5]CU!$C$5:$J$255,8,FALSE))</f>
        <v>3. Dépenses de fonctionnement</v>
      </c>
      <c r="W1225" s="19" t="s">
        <v>255</v>
      </c>
      <c r="X1225" s="19" t="s">
        <v>96</v>
      </c>
      <c r="Y1225" s="18" t="s">
        <v>679</v>
      </c>
      <c r="Z1225" s="18" t="str">
        <f>A1225 &amp; "-" &amp; VLOOKUP(A1225,[4]PROGRAMMES!$E$1:$F$7,2,FALSE)</f>
        <v>4-Réforme de l’enseignement supérieur et la recherche scientifique et de l'innovation</v>
      </c>
      <c r="AA1225" s="19" t="str">
        <f>B1225 &amp; "-" &amp; VLOOKUP(B1225,[4]SOUSPROGRAMMES!$E$1:$F$44,2,FALSE)</f>
        <v>41- Gouvernance et pilotage de l’enseignement supérieur et de la recherche scientifique</v>
      </c>
      <c r="AB1225" s="19" t="str">
        <f>C1225 &amp; "-" &amp; VLOOKUP(C1225,[4]RESULTATS!$E$1:$F$176,2,FALSE)</f>
        <v xml:space="preserve">411- Les textes sont produits/révisés, les manuels de procédure de gestion sont élaborés afin de mieux situer les rôles et les responsabilités. </v>
      </c>
      <c r="AC1225" s="20" t="str">
        <f>D1225 &amp; "-" &amp; VLOOKUP(D1225,[4]STRATEGIES!$E$1:$F$504,2,FALSE)</f>
        <v>4111-Production/révision des textes et de manuels de procédure</v>
      </c>
      <c r="AD1225" s="21" t="str">
        <f t="shared" si="202"/>
        <v>41113-Recrutement des consultants pour l'élaboration des manuels de procédures</v>
      </c>
    </row>
    <row r="1226" spans="1:30" s="22" customFormat="1" ht="45" hidden="1" customHeight="1" x14ac:dyDescent="0.8">
      <c r="A1226" s="14">
        <v>4</v>
      </c>
      <c r="B1226" s="15">
        <v>41</v>
      </c>
      <c r="C1226" s="15">
        <v>412</v>
      </c>
      <c r="D1226" s="15">
        <v>412</v>
      </c>
      <c r="E1226" s="15">
        <v>412</v>
      </c>
      <c r="F1226" s="16" t="s">
        <v>1604</v>
      </c>
      <c r="G1226" s="17"/>
      <c r="H1226" s="17"/>
      <c r="I1226" s="33">
        <v>0</v>
      </c>
      <c r="J1226" s="33"/>
      <c r="K1226" s="33"/>
      <c r="L1226" s="33"/>
      <c r="M1226" s="33"/>
      <c r="N1226" s="33"/>
      <c r="O1226" s="33"/>
      <c r="P1226" s="33"/>
      <c r="Q1226" s="33"/>
      <c r="R1226" s="33"/>
      <c r="S1226" s="34"/>
      <c r="T1226" s="33"/>
      <c r="U1226" s="18"/>
      <c r="V1226" s="18"/>
      <c r="W1226" s="18"/>
      <c r="X1226" s="18"/>
      <c r="Y1226" s="18" t="s">
        <v>679</v>
      </c>
      <c r="Z1226" s="18" t="str">
        <f>A1226 &amp; "-" &amp; VLOOKUP(A1226,[4]PROGRAMMES!$E$1:$F$7,2,FALSE)</f>
        <v>4-Réforme de l’enseignement supérieur et la recherche scientifique et de l'innovation</v>
      </c>
      <c r="AA1226" s="19" t="str">
        <f>B1226 &amp; "-" &amp; VLOOKUP(B1226,[4]SOUSPROGRAMMES!$E$1:$F$44,2,FALSE)</f>
        <v>41- Gouvernance et pilotage de l’enseignement supérieur et de la recherche scientifique</v>
      </c>
      <c r="AB1226" s="19" t="str">
        <f>C1226 &amp; "-" &amp; VLOOKUP(C1226,[4]RESULTATS!$E$1:$F$176,2,FALSE)</f>
        <v>412- Les ateliers de partage des documents sont tenus</v>
      </c>
      <c r="AC1226" s="20" t="str">
        <f>D1226 &amp; "-" &amp; VLOOKUP(D1226,[4]STRATEGIES!$E$1:$F$504,2,FALSE)</f>
        <v>412- Les ateliers de partage des documents sont tenus</v>
      </c>
      <c r="AD1226" s="21" t="str">
        <f t="shared" si="202"/>
        <v>412- Les ateliers de partage des documents sont tenus</v>
      </c>
    </row>
    <row r="1227" spans="1:30" s="22" customFormat="1" ht="45" hidden="1" customHeight="1" x14ac:dyDescent="0.8">
      <c r="A1227" s="14">
        <v>4</v>
      </c>
      <c r="B1227" s="15">
        <v>41</v>
      </c>
      <c r="C1227" s="15">
        <v>412</v>
      </c>
      <c r="D1227" s="15">
        <v>4121</v>
      </c>
      <c r="E1227" s="15">
        <v>4121</v>
      </c>
      <c r="F1227" s="16" t="s">
        <v>1605</v>
      </c>
      <c r="G1227" s="17"/>
      <c r="H1227" s="17"/>
      <c r="I1227" s="33">
        <v>0</v>
      </c>
      <c r="J1227" s="33"/>
      <c r="K1227" s="33"/>
      <c r="L1227" s="33"/>
      <c r="M1227" s="33"/>
      <c r="N1227" s="33"/>
      <c r="O1227" s="33"/>
      <c r="P1227" s="33"/>
      <c r="Q1227" s="33"/>
      <c r="R1227" s="33"/>
      <c r="S1227" s="34"/>
      <c r="T1227" s="33"/>
      <c r="U1227" s="18"/>
      <c r="V1227" s="18"/>
      <c r="W1227" s="18"/>
      <c r="X1227" s="18"/>
      <c r="Y1227" s="18" t="s">
        <v>679</v>
      </c>
      <c r="Z1227" s="18" t="str">
        <f>A1227 &amp; "-" &amp; VLOOKUP(A1227,[4]PROGRAMMES!$E$1:$F$7,2,FALSE)</f>
        <v>4-Réforme de l’enseignement supérieur et la recherche scientifique et de l'innovation</v>
      </c>
      <c r="AA1227" s="19" t="str">
        <f>B1227 &amp; "-" &amp; VLOOKUP(B1227,[4]SOUSPROGRAMMES!$E$1:$F$44,2,FALSE)</f>
        <v>41- Gouvernance et pilotage de l’enseignement supérieur et de la recherche scientifique</v>
      </c>
      <c r="AB1227" s="19" t="str">
        <f>C1227 &amp; "-" &amp; VLOOKUP(C1227,[4]RESULTATS!$E$1:$F$176,2,FALSE)</f>
        <v>412- Les ateliers de partage des documents sont tenus</v>
      </c>
      <c r="AC1227" s="20" t="str">
        <f>D1227 &amp; "-" &amp; VLOOKUP(D1227,[4]STRATEGIES!$E$1:$F$504,2,FALSE)</f>
        <v>4121-Diffusion et partage des documents</v>
      </c>
      <c r="AD1227" s="21" t="str">
        <f t="shared" si="202"/>
        <v>4121-Diffusion et partage des documents</v>
      </c>
    </row>
    <row r="1228" spans="1:30" s="22" customFormat="1" ht="45" hidden="1" customHeight="1" x14ac:dyDescent="0.8">
      <c r="A1228" s="14">
        <v>4</v>
      </c>
      <c r="B1228" s="15">
        <v>41</v>
      </c>
      <c r="C1228" s="15">
        <v>412</v>
      </c>
      <c r="D1228" s="15">
        <v>4121</v>
      </c>
      <c r="E1228" s="15">
        <v>41211</v>
      </c>
      <c r="F1228" s="16" t="s">
        <v>1606</v>
      </c>
      <c r="G1228" s="21" t="s">
        <v>37</v>
      </c>
      <c r="H1228" s="17" t="s">
        <v>38</v>
      </c>
      <c r="I1228" s="33">
        <v>0</v>
      </c>
      <c r="J1228" s="33">
        <f>30*2*7</f>
        <v>420</v>
      </c>
      <c r="K1228" s="33">
        <f>30*2*7</f>
        <v>420</v>
      </c>
      <c r="L1228" s="33">
        <f>30*2*7</f>
        <v>420</v>
      </c>
      <c r="M1228" s="33">
        <f t="shared" si="200"/>
        <v>1260</v>
      </c>
      <c r="N1228" s="33">
        <f>IF(OR(H1228="",H1228="sif",H1228="PM"),0,VLOOKUP(H1228,[5]CU!$C$4:$H$255,6,FALSE))</f>
        <v>0.3133333333333333</v>
      </c>
      <c r="O1228" s="33">
        <f t="shared" si="201"/>
        <v>0</v>
      </c>
      <c r="P1228" s="33">
        <f t="shared" si="201"/>
        <v>131.6</v>
      </c>
      <c r="Q1228" s="33">
        <f t="shared" si="201"/>
        <v>131.6</v>
      </c>
      <c r="R1228" s="33">
        <f t="shared" si="201"/>
        <v>131.6</v>
      </c>
      <c r="S1228" s="34">
        <f>SUM(O1228:R1228)</f>
        <v>394.79999999999995</v>
      </c>
      <c r="T1228" s="35" t="s">
        <v>1304</v>
      </c>
      <c r="U1228" s="19" t="s">
        <v>1600</v>
      </c>
      <c r="V1228" s="19" t="str">
        <f>IF(OR($H1228="",$H1228="sif",$H1228="PM"),"",VLOOKUP($H1228,[5]CU!$C$5:$J$255,8,FALSE))</f>
        <v>3. Formation</v>
      </c>
      <c r="W1228" s="19" t="s">
        <v>255</v>
      </c>
      <c r="X1228" s="19" t="s">
        <v>1607</v>
      </c>
      <c r="Y1228" s="18" t="s">
        <v>679</v>
      </c>
      <c r="Z1228" s="18" t="str">
        <f>A1228 &amp; "-" &amp; VLOOKUP(A1228,[4]PROGRAMMES!$E$1:$F$7,2,FALSE)</f>
        <v>4-Réforme de l’enseignement supérieur et la recherche scientifique et de l'innovation</v>
      </c>
      <c r="AA1228" s="19" t="str">
        <f>B1228 &amp; "-" &amp; VLOOKUP(B1228,[4]SOUSPROGRAMMES!$E$1:$F$44,2,FALSE)</f>
        <v>41- Gouvernance et pilotage de l’enseignement supérieur et de la recherche scientifique</v>
      </c>
      <c r="AB1228" s="19" t="str">
        <f>C1228 &amp; "-" &amp; VLOOKUP(C1228,[4]RESULTATS!$E$1:$F$176,2,FALSE)</f>
        <v>412- Les ateliers de partage des documents sont tenus</v>
      </c>
      <c r="AC1228" s="20" t="str">
        <f>D1228 &amp; "-" &amp; VLOOKUP(D1228,[4]STRATEGIES!$E$1:$F$504,2,FALSE)</f>
        <v>4121-Diffusion et partage des documents</v>
      </c>
      <c r="AD1228" s="21" t="str">
        <f t="shared" si="202"/>
        <v>41211-Validation et partage des documents</v>
      </c>
    </row>
    <row r="1229" spans="1:30" s="22" customFormat="1" ht="45" hidden="1" customHeight="1" x14ac:dyDescent="0.8">
      <c r="A1229" s="14">
        <v>4</v>
      </c>
      <c r="B1229" s="15">
        <v>41</v>
      </c>
      <c r="C1229" s="15">
        <v>412</v>
      </c>
      <c r="D1229" s="15">
        <v>4121</v>
      </c>
      <c r="E1229" s="15">
        <v>41212</v>
      </c>
      <c r="F1229" s="16" t="s">
        <v>1608</v>
      </c>
      <c r="G1229" s="21" t="s">
        <v>44</v>
      </c>
      <c r="H1229" s="17" t="s">
        <v>816</v>
      </c>
      <c r="I1229" s="33">
        <v>0</v>
      </c>
      <c r="J1229" s="33">
        <f>1*7*50</f>
        <v>350</v>
      </c>
      <c r="K1229" s="33">
        <f>1*7*50</f>
        <v>350</v>
      </c>
      <c r="L1229" s="33">
        <f>1*7*50</f>
        <v>350</v>
      </c>
      <c r="M1229" s="33">
        <f t="shared" si="200"/>
        <v>1050</v>
      </c>
      <c r="N1229" s="33">
        <f>IF(OR(H1229="",H1229="sif",H1229="PM"),0,VLOOKUP(H1229,[5]CU!$C$4:$H$255,6,FALSE))</f>
        <v>7.4999999999999997E-3</v>
      </c>
      <c r="O1229" s="33">
        <f t="shared" si="201"/>
        <v>0</v>
      </c>
      <c r="P1229" s="33">
        <f t="shared" si="201"/>
        <v>2.625</v>
      </c>
      <c r="Q1229" s="33">
        <f t="shared" si="201"/>
        <v>2.625</v>
      </c>
      <c r="R1229" s="33">
        <f t="shared" si="201"/>
        <v>2.625</v>
      </c>
      <c r="S1229" s="34">
        <f>SUM(O1229:R1229)</f>
        <v>7.875</v>
      </c>
      <c r="T1229" s="35" t="s">
        <v>1304</v>
      </c>
      <c r="U1229" s="19" t="s">
        <v>1600</v>
      </c>
      <c r="V1229" s="19" t="str">
        <f>IF(OR($H1229="",$H1229="sif",$H1229="PM"),"",VLOOKUP($H1229,[5]CU!$C$5:$J$255,8,FALSE))</f>
        <v>3. Dépenses de fonctionnement</v>
      </c>
      <c r="W1229" s="19" t="s">
        <v>255</v>
      </c>
      <c r="X1229" s="19" t="s">
        <v>521</v>
      </c>
      <c r="Y1229" s="18" t="s">
        <v>679</v>
      </c>
      <c r="Z1229" s="18" t="str">
        <f>A1229 &amp; "-" &amp; VLOOKUP(A1229,[4]PROGRAMMES!$E$1:$F$7,2,FALSE)</f>
        <v>4-Réforme de l’enseignement supérieur et la recherche scientifique et de l'innovation</v>
      </c>
      <c r="AA1229" s="19" t="str">
        <f>B1229 &amp; "-" &amp; VLOOKUP(B1229,[4]SOUSPROGRAMMES!$E$1:$F$44,2,FALSE)</f>
        <v>41- Gouvernance et pilotage de l’enseignement supérieur et de la recherche scientifique</v>
      </c>
      <c r="AB1229" s="19" t="str">
        <f>C1229 &amp; "-" &amp; VLOOKUP(C1229,[4]RESULTATS!$E$1:$F$176,2,FALSE)</f>
        <v>412- Les ateliers de partage des documents sont tenus</v>
      </c>
      <c r="AC1229" s="20" t="str">
        <f>D1229 &amp; "-" &amp; VLOOKUP(D1229,[4]STRATEGIES!$E$1:$F$504,2,FALSE)</f>
        <v>4121-Diffusion et partage des documents</v>
      </c>
      <c r="AD1229" s="21" t="str">
        <f t="shared" si="202"/>
        <v>41212-Reproduction et diffusion</v>
      </c>
    </row>
    <row r="1230" spans="1:30" s="22" customFormat="1" ht="60" hidden="1" customHeight="1" x14ac:dyDescent="0.8">
      <c r="A1230" s="14">
        <v>4</v>
      </c>
      <c r="B1230" s="15">
        <v>41</v>
      </c>
      <c r="C1230" s="15">
        <v>413</v>
      </c>
      <c r="D1230" s="15">
        <v>413</v>
      </c>
      <c r="E1230" s="15">
        <v>413</v>
      </c>
      <c r="F1230" s="16" t="s">
        <v>1609</v>
      </c>
      <c r="G1230" s="17"/>
      <c r="H1230" s="17"/>
      <c r="I1230" s="33">
        <v>0</v>
      </c>
      <c r="J1230" s="33"/>
      <c r="K1230" s="33"/>
      <c r="L1230" s="33"/>
      <c r="M1230" s="33"/>
      <c r="N1230" s="33"/>
      <c r="O1230" s="33"/>
      <c r="P1230" s="33"/>
      <c r="Q1230" s="33"/>
      <c r="R1230" s="33"/>
      <c r="S1230" s="34"/>
      <c r="T1230" s="33"/>
      <c r="U1230" s="18"/>
      <c r="V1230" s="18"/>
      <c r="W1230" s="18"/>
      <c r="X1230" s="18"/>
      <c r="Y1230" s="18" t="s">
        <v>679</v>
      </c>
      <c r="Z1230" s="18" t="str">
        <f>A1230 &amp; "-" &amp; VLOOKUP(A1230,[4]PROGRAMMES!$E$1:$F$7,2,FALSE)</f>
        <v>4-Réforme de l’enseignement supérieur et la recherche scientifique et de l'innovation</v>
      </c>
      <c r="AA1230" s="19" t="str">
        <f>B1230 &amp; "-" &amp; VLOOKUP(B1230,[4]SOUSPROGRAMMES!$E$1:$F$44,2,FALSE)</f>
        <v>41- Gouvernance et pilotage de l’enseignement supérieur et de la recherche scientifique</v>
      </c>
      <c r="AB1230" s="19" t="str">
        <f>C1230 &amp; "-" &amp; VLOOKUP(C1230,[4]RESULTATS!$E$1:$F$176,2,FALSE)</f>
        <v>413- Un système d’information efficace et performant est mis en œuvre  afin de favoriser le reporting et la reddition des comptes</v>
      </c>
      <c r="AC1230" s="20" t="str">
        <f>D1230 &amp; "-" &amp; VLOOKUP(D1230,[4]STRATEGIES!$E$1:$F$504,2,FALSE)</f>
        <v>413- Un système d’information efficace et performant est mis en œuvre  afin de favoriser le reporting et la reddition des comptes</v>
      </c>
      <c r="AD1230" s="21" t="str">
        <f t="shared" si="202"/>
        <v>413- Un système d’information efficace et performant est mis en œuvre  aFin de favoriser le reporting et la reddition des comptes</v>
      </c>
    </row>
    <row r="1231" spans="1:30" s="22" customFormat="1" ht="60" hidden="1" customHeight="1" x14ac:dyDescent="0.8">
      <c r="A1231" s="14">
        <v>4</v>
      </c>
      <c r="B1231" s="15">
        <v>41</v>
      </c>
      <c r="C1231" s="15">
        <v>413</v>
      </c>
      <c r="D1231" s="15">
        <v>4131</v>
      </c>
      <c r="E1231" s="15">
        <v>4131</v>
      </c>
      <c r="F1231" s="16" t="s">
        <v>1610</v>
      </c>
      <c r="G1231" s="17"/>
      <c r="H1231" s="17"/>
      <c r="I1231" s="33">
        <v>0</v>
      </c>
      <c r="J1231" s="33"/>
      <c r="K1231" s="33"/>
      <c r="L1231" s="33"/>
      <c r="M1231" s="33"/>
      <c r="N1231" s="33"/>
      <c r="O1231" s="33"/>
      <c r="P1231" s="33"/>
      <c r="Q1231" s="33"/>
      <c r="R1231" s="33"/>
      <c r="S1231" s="34"/>
      <c r="T1231" s="33"/>
      <c r="U1231" s="18"/>
      <c r="V1231" s="18"/>
      <c r="W1231" s="18"/>
      <c r="X1231" s="18"/>
      <c r="Y1231" s="18" t="s">
        <v>679</v>
      </c>
      <c r="Z1231" s="18" t="str">
        <f>A1231 &amp; "-" &amp; VLOOKUP(A1231,[4]PROGRAMMES!$E$1:$F$7,2,FALSE)</f>
        <v>4-Réforme de l’enseignement supérieur et la recherche scientifique et de l'innovation</v>
      </c>
      <c r="AA1231" s="19" t="str">
        <f>B1231 &amp; "-" &amp; VLOOKUP(B1231,[4]SOUSPROGRAMMES!$E$1:$F$44,2,FALSE)</f>
        <v>41- Gouvernance et pilotage de l’enseignement supérieur et de la recherche scientifique</v>
      </c>
      <c r="AB1231" s="19" t="str">
        <f>C1231 &amp; "-" &amp; VLOOKUP(C1231,[4]RESULTATS!$E$1:$F$176,2,FALSE)</f>
        <v>413- Un système d’information efficace et performant est mis en œuvre  afin de favoriser le reporting et la reddition des comptes</v>
      </c>
      <c r="AC1231" s="20" t="str">
        <f>D1231 &amp; "-" &amp; VLOOKUP(D1231,[4]STRATEGIES!$E$1:$F$504,2,FALSE)</f>
        <v>4131-Diffusion des rapports financiers à l’interne et à l’externe</v>
      </c>
      <c r="AD1231" s="21" t="str">
        <f t="shared" si="202"/>
        <v>4131-Diffusion des rapports Financiers à l’interne et à l’externe</v>
      </c>
    </row>
    <row r="1232" spans="1:30" s="22" customFormat="1" ht="60" hidden="1" customHeight="1" x14ac:dyDescent="0.8">
      <c r="A1232" s="14">
        <v>4</v>
      </c>
      <c r="B1232" s="15">
        <v>41</v>
      </c>
      <c r="C1232" s="15">
        <v>413</v>
      </c>
      <c r="D1232" s="15">
        <v>4131</v>
      </c>
      <c r="E1232" s="15">
        <v>41311</v>
      </c>
      <c r="F1232" s="16" t="s">
        <v>1611</v>
      </c>
      <c r="G1232" s="21" t="s">
        <v>88</v>
      </c>
      <c r="H1232" s="17" t="s">
        <v>55</v>
      </c>
      <c r="I1232" s="33">
        <v>0</v>
      </c>
      <c r="J1232" s="33">
        <v>1</v>
      </c>
      <c r="K1232" s="33">
        <v>1</v>
      </c>
      <c r="L1232" s="33">
        <v>1</v>
      </c>
      <c r="M1232" s="33">
        <f t="shared" si="200"/>
        <v>3</v>
      </c>
      <c r="N1232" s="33">
        <f>IF(OR(H1232="",H1232="sif",H1232="PM"),0,VLOOKUP(H1232,[5]CU!$C$4:$H$255,6,FALSE))</f>
        <v>0</v>
      </c>
      <c r="O1232" s="33">
        <f t="shared" si="201"/>
        <v>0</v>
      </c>
      <c r="P1232" s="33">
        <f t="shared" si="201"/>
        <v>0</v>
      </c>
      <c r="Q1232" s="33">
        <f t="shared" si="201"/>
        <v>0</v>
      </c>
      <c r="R1232" s="33">
        <f t="shared" si="201"/>
        <v>0</v>
      </c>
      <c r="S1232" s="34"/>
      <c r="T1232" s="35" t="s">
        <v>56</v>
      </c>
      <c r="U1232" s="18" t="s">
        <v>1600</v>
      </c>
      <c r="V1232" s="18" t="str">
        <f>IF(OR($H1232="",$H1232="sif",$H1232="PM"),"",VLOOKUP($H1232,[5]CU!$C$5:$J$255,8,FALSE))</f>
        <v/>
      </c>
      <c r="W1232" s="18" t="s">
        <v>254</v>
      </c>
      <c r="X1232" s="18" t="s">
        <v>1612</v>
      </c>
      <c r="Y1232" s="18" t="s">
        <v>679</v>
      </c>
      <c r="Z1232" s="18" t="str">
        <f>A1232 &amp; "-" &amp; VLOOKUP(A1232,[4]PROGRAMMES!$E$1:$F$7,2,FALSE)</f>
        <v>4-Réforme de l’enseignement supérieur et la recherche scientifique et de l'innovation</v>
      </c>
      <c r="AA1232" s="19" t="str">
        <f>B1232 &amp; "-" &amp; VLOOKUP(B1232,[4]SOUSPROGRAMMES!$E$1:$F$44,2,FALSE)</f>
        <v>41- Gouvernance et pilotage de l’enseignement supérieur et de la recherche scientifique</v>
      </c>
      <c r="AB1232" s="19" t="str">
        <f>C1232 &amp; "-" &amp; VLOOKUP(C1232,[4]RESULTATS!$E$1:$F$176,2,FALSE)</f>
        <v>413- Un système d’information efficace et performant est mis en œuvre  afin de favoriser le reporting et la reddition des comptes</v>
      </c>
      <c r="AC1232" s="20" t="str">
        <f>D1232 &amp; "-" &amp; VLOOKUP(D1232,[4]STRATEGIES!$E$1:$F$504,2,FALSE)</f>
        <v>4131-Diffusion des rapports financiers à l’interne et à l’externe</v>
      </c>
      <c r="AD1232" s="21" t="str">
        <f t="shared" si="202"/>
        <v>41311-Mise en ligne de rapports Financiers des IES &amp; IRS</v>
      </c>
    </row>
    <row r="1233" spans="1:30" s="22" customFormat="1" ht="60" hidden="1" customHeight="1" x14ac:dyDescent="0.8">
      <c r="A1233" s="14">
        <v>4</v>
      </c>
      <c r="B1233" s="15">
        <v>41</v>
      </c>
      <c r="C1233" s="15">
        <v>413</v>
      </c>
      <c r="D1233" s="15">
        <v>4132</v>
      </c>
      <c r="E1233" s="15">
        <v>4132</v>
      </c>
      <c r="F1233" s="16" t="s">
        <v>1613</v>
      </c>
      <c r="G1233" s="17"/>
      <c r="H1233" s="17"/>
      <c r="I1233" s="33">
        <v>0</v>
      </c>
      <c r="J1233" s="33"/>
      <c r="K1233" s="33"/>
      <c r="L1233" s="33"/>
      <c r="M1233" s="33"/>
      <c r="N1233" s="33"/>
      <c r="O1233" s="33"/>
      <c r="P1233" s="33"/>
      <c r="Q1233" s="33"/>
      <c r="R1233" s="33"/>
      <c r="S1233" s="34"/>
      <c r="T1233" s="33"/>
      <c r="U1233" s="18"/>
      <c r="V1233" s="18"/>
      <c r="W1233" s="18"/>
      <c r="X1233" s="18"/>
      <c r="Y1233" s="18" t="s">
        <v>679</v>
      </c>
      <c r="Z1233" s="18" t="str">
        <f>A1233 &amp; "-" &amp; VLOOKUP(A1233,[4]PROGRAMMES!$E$1:$F$7,2,FALSE)</f>
        <v>4-Réforme de l’enseignement supérieur et la recherche scientifique et de l'innovation</v>
      </c>
      <c r="AA1233" s="19" t="str">
        <f>B1233 &amp; "-" &amp; VLOOKUP(B1233,[4]SOUSPROGRAMMES!$E$1:$F$44,2,FALSE)</f>
        <v>41- Gouvernance et pilotage de l’enseignement supérieur et de la recherche scientifique</v>
      </c>
      <c r="AB1233" s="19" t="str">
        <f>C1233 &amp; "-" &amp; VLOOKUP(C1233,[4]RESULTATS!$E$1:$F$176,2,FALSE)</f>
        <v>413- Un système d’information efficace et performant est mis en œuvre  afin de favoriser le reporting et la reddition des comptes</v>
      </c>
      <c r="AC1233" s="20" t="str">
        <f>D1233 &amp; "-" &amp; VLOOKUP(D1233,[4]STRATEGIES!$E$1:$F$504,2,FALSE)</f>
        <v>4132-Introduction et généralisation de la GAR</v>
      </c>
      <c r="AD1233" s="21" t="str">
        <f t="shared" si="202"/>
        <v>4132-Introduction et généralisation de la GAR</v>
      </c>
    </row>
    <row r="1234" spans="1:30" s="22" customFormat="1" ht="60" hidden="1" customHeight="1" x14ac:dyDescent="0.8">
      <c r="A1234" s="14">
        <v>4</v>
      </c>
      <c r="B1234" s="15">
        <v>41</v>
      </c>
      <c r="C1234" s="15">
        <v>413</v>
      </c>
      <c r="D1234" s="15">
        <v>4132</v>
      </c>
      <c r="E1234" s="15">
        <v>41321</v>
      </c>
      <c r="F1234" s="16" t="s">
        <v>1614</v>
      </c>
      <c r="G1234" s="21"/>
      <c r="H1234" s="17" t="s">
        <v>55</v>
      </c>
      <c r="I1234" s="33">
        <v>0</v>
      </c>
      <c r="J1234" s="33">
        <v>1</v>
      </c>
      <c r="K1234" s="33"/>
      <c r="L1234" s="33"/>
      <c r="M1234" s="33">
        <f t="shared" si="200"/>
        <v>1</v>
      </c>
      <c r="N1234" s="33">
        <f>IF(OR(H1234="",H1234="sif",H1234="PM"),0,VLOOKUP(H1234,[5]CU!$C$4:$H$255,6,FALSE))</f>
        <v>0</v>
      </c>
      <c r="O1234" s="33">
        <f t="shared" si="201"/>
        <v>0</v>
      </c>
      <c r="P1234" s="33">
        <f t="shared" si="201"/>
        <v>0</v>
      </c>
      <c r="Q1234" s="33">
        <f t="shared" si="201"/>
        <v>0</v>
      </c>
      <c r="R1234" s="33">
        <f t="shared" si="201"/>
        <v>0</v>
      </c>
      <c r="S1234" s="34"/>
      <c r="T1234" s="35" t="s">
        <v>56</v>
      </c>
      <c r="U1234" s="18" t="s">
        <v>1600</v>
      </c>
      <c r="V1234" s="18" t="str">
        <f>IF(OR($H1234="",$H1234="sif",$H1234="PM"),"",VLOOKUP($H1234,[5]CU!$C$5:$J$255,8,FALSE))</f>
        <v/>
      </c>
      <c r="W1234" s="18" t="s">
        <v>96</v>
      </c>
      <c r="X1234" s="18" t="s">
        <v>1607</v>
      </c>
      <c r="Y1234" s="18" t="s">
        <v>679</v>
      </c>
      <c r="Z1234" s="18" t="str">
        <f>A1234 &amp; "-" &amp; VLOOKUP(A1234,[4]PROGRAMMES!$E$1:$F$7,2,FALSE)</f>
        <v>4-Réforme de l’enseignement supérieur et la recherche scientifique et de l'innovation</v>
      </c>
      <c r="AA1234" s="19" t="str">
        <f>B1234 &amp; "-" &amp; VLOOKUP(B1234,[4]SOUSPROGRAMMES!$E$1:$F$44,2,FALSE)</f>
        <v>41- Gouvernance et pilotage de l’enseignement supérieur et de la recherche scientifique</v>
      </c>
      <c r="AB1234" s="19" t="str">
        <f>C1234 &amp; "-" &amp; VLOOKUP(C1234,[4]RESULTATS!$E$1:$F$176,2,FALSE)</f>
        <v>413- Un système d’information efficace et performant est mis en œuvre  afin de favoriser le reporting et la reddition des comptes</v>
      </c>
      <c r="AC1234" s="20" t="str">
        <f>D1234 &amp; "-" &amp; VLOOKUP(D1234,[4]STRATEGIES!$E$1:$F$504,2,FALSE)</f>
        <v>4132-Introduction et généralisation de la GAR</v>
      </c>
      <c r="AD1234" s="21" t="str">
        <f t="shared" si="202"/>
        <v>41321-Adoption des textes introduisant la GAR (voir activité 41112)</v>
      </c>
    </row>
    <row r="1235" spans="1:30" s="22" customFormat="1" ht="60" hidden="1" customHeight="1" x14ac:dyDescent="0.8">
      <c r="A1235" s="14">
        <v>4</v>
      </c>
      <c r="B1235" s="15">
        <v>41</v>
      </c>
      <c r="C1235" s="15">
        <v>413</v>
      </c>
      <c r="D1235" s="15">
        <v>4132</v>
      </c>
      <c r="E1235" s="15">
        <v>41322</v>
      </c>
      <c r="F1235" s="16" t="s">
        <v>1615</v>
      </c>
      <c r="G1235" s="21" t="s">
        <v>167</v>
      </c>
      <c r="H1235" s="17" t="s">
        <v>662</v>
      </c>
      <c r="I1235" s="33">
        <v>0</v>
      </c>
      <c r="J1235" s="33">
        <v>8</v>
      </c>
      <c r="K1235" s="33"/>
      <c r="L1235" s="33"/>
      <c r="M1235" s="33">
        <f t="shared" si="200"/>
        <v>8</v>
      </c>
      <c r="N1235" s="33">
        <f>IF(OR(H1235="",H1235="sif",H1235="PM"),0,VLOOKUP(H1235,[5]CU!$C$4:$H$255,6,FALSE))</f>
        <v>219.54797350000001</v>
      </c>
      <c r="O1235" s="33">
        <f t="shared" si="201"/>
        <v>0</v>
      </c>
      <c r="P1235" s="33">
        <f t="shared" si="201"/>
        <v>1756.3837880000001</v>
      </c>
      <c r="Q1235" s="33">
        <f t="shared" si="201"/>
        <v>0</v>
      </c>
      <c r="R1235" s="33">
        <f t="shared" si="201"/>
        <v>0</v>
      </c>
      <c r="S1235" s="34">
        <f t="shared" ref="S1235:S1241" si="203">SUM(O1235:R1235)</f>
        <v>1756.3837880000001</v>
      </c>
      <c r="T1235" s="35" t="s">
        <v>56</v>
      </c>
      <c r="U1235" s="19" t="s">
        <v>1600</v>
      </c>
      <c r="V1235" s="19" t="str">
        <f>IF(OR($H1235="",$H1235="sif",$H1235="PM"),"",VLOOKUP($H1235,[5]CU!$C$5:$J$255,8,FALSE))</f>
        <v>3. Dépenses de fonctionnement</v>
      </c>
      <c r="W1235" s="19" t="s">
        <v>96</v>
      </c>
      <c r="X1235" s="19" t="s">
        <v>750</v>
      </c>
      <c r="Y1235" s="18" t="s">
        <v>679</v>
      </c>
      <c r="Z1235" s="18" t="str">
        <f>A1235 &amp; "-" &amp; VLOOKUP(A1235,[4]PROGRAMMES!$E$1:$F$7,2,FALSE)</f>
        <v>4-Réforme de l’enseignement supérieur et la recherche scientifique et de l'innovation</v>
      </c>
      <c r="AA1235" s="19" t="str">
        <f>B1235 &amp; "-" &amp; VLOOKUP(B1235,[4]SOUSPROGRAMMES!$E$1:$F$44,2,FALSE)</f>
        <v>41- Gouvernance et pilotage de l’enseignement supérieur et de la recherche scientifique</v>
      </c>
      <c r="AB1235" s="19" t="str">
        <f>C1235 &amp; "-" &amp; VLOOKUP(C1235,[4]RESULTATS!$E$1:$F$176,2,FALSE)</f>
        <v>413- Un système d’information efficace et performant est mis en œuvre  afin de favoriser le reporting et la reddition des comptes</v>
      </c>
      <c r="AC1235" s="20" t="str">
        <f>D1235 &amp; "-" &amp; VLOOKUP(D1235,[4]STRATEGIES!$E$1:$F$504,2,FALSE)</f>
        <v>4132-Introduction et généralisation de la GAR</v>
      </c>
      <c r="AD1235" s="21" t="str">
        <f t="shared" si="202"/>
        <v>41322-Recrutement d'un cabinet de formation pour la production de support de formation</v>
      </c>
    </row>
    <row r="1236" spans="1:30" s="22" customFormat="1" ht="60" hidden="1" customHeight="1" x14ac:dyDescent="0.8">
      <c r="A1236" s="14">
        <v>4</v>
      </c>
      <c r="B1236" s="15">
        <v>41</v>
      </c>
      <c r="C1236" s="15">
        <v>413</v>
      </c>
      <c r="D1236" s="15">
        <v>4132</v>
      </c>
      <c r="E1236" s="15">
        <v>41323</v>
      </c>
      <c r="F1236" s="16" t="s">
        <v>1616</v>
      </c>
      <c r="G1236" s="21" t="s">
        <v>37</v>
      </c>
      <c r="H1236" s="17" t="s">
        <v>301</v>
      </c>
      <c r="I1236" s="33">
        <v>0</v>
      </c>
      <c r="J1236" s="33">
        <f>140*5*1</f>
        <v>700</v>
      </c>
      <c r="K1236" s="33">
        <f>60*5</f>
        <v>300</v>
      </c>
      <c r="L1236" s="33"/>
      <c r="M1236" s="33">
        <f t="shared" si="200"/>
        <v>1000</v>
      </c>
      <c r="N1236" s="33">
        <f>IF(OR(H1236="",H1236="sif",H1236="PM"),0,VLOOKUP(H1236,[5]CU!$C$4:$H$255,6,FALSE))</f>
        <v>0.67666666666666664</v>
      </c>
      <c r="O1236" s="33">
        <f t="shared" si="201"/>
        <v>0</v>
      </c>
      <c r="P1236" s="33">
        <f t="shared" si="201"/>
        <v>473.66666666666663</v>
      </c>
      <c r="Q1236" s="33">
        <f t="shared" si="201"/>
        <v>203</v>
      </c>
      <c r="R1236" s="33">
        <f t="shared" si="201"/>
        <v>0</v>
      </c>
      <c r="S1236" s="34">
        <f t="shared" si="203"/>
        <v>676.66666666666663</v>
      </c>
      <c r="T1236" s="35" t="s">
        <v>56</v>
      </c>
      <c r="U1236" s="19" t="s">
        <v>1600</v>
      </c>
      <c r="V1236" s="19" t="str">
        <f>IF(OR($H1236="",$H1236="sif",$H1236="PM"),"",VLOOKUP($H1236,[5]CU!$C$5:$J$255,8,FALSE))</f>
        <v>3. Formation</v>
      </c>
      <c r="W1236" s="19" t="s">
        <v>96</v>
      </c>
      <c r="X1236" s="19" t="s">
        <v>1607</v>
      </c>
      <c r="Y1236" s="18" t="s">
        <v>679</v>
      </c>
      <c r="Z1236" s="18" t="str">
        <f>A1236 &amp; "-" &amp; VLOOKUP(A1236,[4]PROGRAMMES!$E$1:$F$7,2,FALSE)</f>
        <v>4-Réforme de l’enseignement supérieur et la recherche scientifique et de l'innovation</v>
      </c>
      <c r="AA1236" s="19" t="str">
        <f>B1236 &amp; "-" &amp; VLOOKUP(B1236,[4]SOUSPROGRAMMES!$E$1:$F$44,2,FALSE)</f>
        <v>41- Gouvernance et pilotage de l’enseignement supérieur et de la recherche scientifique</v>
      </c>
      <c r="AB1236" s="19" t="str">
        <f>C1236 &amp; "-" &amp; VLOOKUP(C1236,[4]RESULTATS!$E$1:$F$176,2,FALSE)</f>
        <v>413- Un système d’information efficace et performant est mis en œuvre  afin de favoriser le reporting et la reddition des comptes</v>
      </c>
      <c r="AC1236" s="20" t="str">
        <f>D1236 &amp; "-" &amp; VLOOKUP(D1236,[4]STRATEGIES!$E$1:$F$504,2,FALSE)</f>
        <v>4132-Introduction et généralisation de la GAR</v>
      </c>
      <c r="AD1236" s="21" t="str">
        <f t="shared" si="202"/>
        <v>41323-Formation du personnel à la GAR</v>
      </c>
    </row>
    <row r="1237" spans="1:30" s="22" customFormat="1" ht="60" hidden="1" customHeight="1" x14ac:dyDescent="0.8">
      <c r="A1237" s="14">
        <v>4</v>
      </c>
      <c r="B1237" s="15">
        <v>41</v>
      </c>
      <c r="C1237" s="15">
        <v>413</v>
      </c>
      <c r="D1237" s="15">
        <v>4133</v>
      </c>
      <c r="E1237" s="15">
        <v>4133</v>
      </c>
      <c r="F1237" s="16" t="s">
        <v>1617</v>
      </c>
      <c r="G1237" s="17"/>
      <c r="H1237" s="17"/>
      <c r="I1237" s="33">
        <v>0</v>
      </c>
      <c r="J1237" s="33"/>
      <c r="K1237" s="33"/>
      <c r="L1237" s="33"/>
      <c r="M1237" s="33"/>
      <c r="N1237" s="33"/>
      <c r="O1237" s="33"/>
      <c r="P1237" s="33"/>
      <c r="Q1237" s="33"/>
      <c r="R1237" s="33"/>
      <c r="S1237" s="34"/>
      <c r="T1237" s="33"/>
      <c r="U1237" s="18"/>
      <c r="V1237" s="18"/>
      <c r="W1237" s="18"/>
      <c r="X1237" s="18"/>
      <c r="Y1237" s="18" t="s">
        <v>679</v>
      </c>
      <c r="Z1237" s="18" t="str">
        <f>A1237 &amp; "-" &amp; VLOOKUP(A1237,[4]PROGRAMMES!$E$1:$F$7,2,FALSE)</f>
        <v>4-Réforme de l’enseignement supérieur et la recherche scientifique et de l'innovation</v>
      </c>
      <c r="AA1237" s="19" t="str">
        <f>B1237 &amp; "-" &amp; VLOOKUP(B1237,[4]SOUSPROGRAMMES!$E$1:$F$44,2,FALSE)</f>
        <v>41- Gouvernance et pilotage de l’enseignement supérieur et de la recherche scientifique</v>
      </c>
      <c r="AB1237" s="19" t="str">
        <f>C1237 &amp; "-" &amp; VLOOKUP(C1237,[4]RESULTATS!$E$1:$F$176,2,FALSE)</f>
        <v>413- Un système d’information efficace et performant est mis en œuvre  afin de favoriser le reporting et la reddition des comptes</v>
      </c>
      <c r="AC1237" s="20" t="str">
        <f>D1237 &amp; "-" &amp; VLOOKUP(D1237,[4]STRATEGIES!$E$1:$F$504,2,FALSE)</f>
        <v>4133-Renforcement et modernisation de la production des données statistiques pour la gestion et le pilotage</v>
      </c>
      <c r="AD1237" s="21" t="str">
        <f t="shared" si="202"/>
        <v>4133-Renforcement et modernisation de la production des données statistiques pour la gestion et le pilotage</v>
      </c>
    </row>
    <row r="1238" spans="1:30" s="22" customFormat="1" ht="60" hidden="1" customHeight="1" x14ac:dyDescent="0.8">
      <c r="A1238" s="14">
        <v>4</v>
      </c>
      <c r="B1238" s="15">
        <v>41</v>
      </c>
      <c r="C1238" s="15">
        <v>413</v>
      </c>
      <c r="D1238" s="15">
        <v>4133</v>
      </c>
      <c r="E1238" s="15">
        <v>41331</v>
      </c>
      <c r="F1238" s="16" t="s">
        <v>1618</v>
      </c>
      <c r="G1238" s="21" t="s">
        <v>1619</v>
      </c>
      <c r="H1238" s="17" t="s">
        <v>1620</v>
      </c>
      <c r="I1238" s="33">
        <v>0</v>
      </c>
      <c r="J1238" s="33">
        <v>30</v>
      </c>
      <c r="K1238" s="33">
        <v>40</v>
      </c>
      <c r="L1238" s="33"/>
      <c r="M1238" s="33">
        <f t="shared" si="200"/>
        <v>70</v>
      </c>
      <c r="N1238" s="33">
        <f>IF(OR(H1238="",H1238="sif",H1238="PM"),0,VLOOKUP(H1238,[5]CU!$C$4:$H$255,6,FALSE))</f>
        <v>10.034934666666667</v>
      </c>
      <c r="O1238" s="33">
        <f t="shared" si="201"/>
        <v>0</v>
      </c>
      <c r="P1238" s="33">
        <f t="shared" si="201"/>
        <v>301.04804000000001</v>
      </c>
      <c r="Q1238" s="33">
        <f t="shared" si="201"/>
        <v>401.39738666666665</v>
      </c>
      <c r="R1238" s="33">
        <f t="shared" si="201"/>
        <v>0</v>
      </c>
      <c r="S1238" s="34">
        <f t="shared" si="203"/>
        <v>702.44542666666666</v>
      </c>
      <c r="T1238" s="35" t="s">
        <v>56</v>
      </c>
      <c r="U1238" s="18" t="s">
        <v>1600</v>
      </c>
      <c r="V1238" s="18" t="str">
        <f>IF(OR($H1238="",$H1238="sif",$H1238="PM"),"",VLOOKUP($H1238,[5]CU!$C$5:$J$255,8,FALSE))</f>
        <v>5. Investissement</v>
      </c>
      <c r="W1238" s="18" t="s">
        <v>96</v>
      </c>
      <c r="X1238" s="18" t="s">
        <v>521</v>
      </c>
      <c r="Y1238" s="18" t="s">
        <v>679</v>
      </c>
      <c r="Z1238" s="18" t="str">
        <f>A1238 &amp; "-" &amp; VLOOKUP(A1238,[4]PROGRAMMES!$E$1:$F$7,2,FALSE)</f>
        <v>4-Réforme de l’enseignement supérieur et la recherche scientifique et de l'innovation</v>
      </c>
      <c r="AA1238" s="19" t="str">
        <f>B1238 &amp; "-" &amp; VLOOKUP(B1238,[4]SOUSPROGRAMMES!$E$1:$F$44,2,FALSE)</f>
        <v>41- Gouvernance et pilotage de l’enseignement supérieur et de la recherche scientifique</v>
      </c>
      <c r="AB1238" s="19" t="str">
        <f>C1238 &amp; "-" &amp; VLOOKUP(C1238,[4]RESULTATS!$E$1:$F$176,2,FALSE)</f>
        <v>413- Un système d’information efficace et performant est mis en œuvre  afin de favoriser le reporting et la reddition des comptes</v>
      </c>
      <c r="AC1238" s="20" t="str">
        <f>D1238 &amp; "-" &amp; VLOOKUP(D1238,[4]STRATEGIES!$E$1:$F$504,2,FALSE)</f>
        <v>4133-Renforcement et modernisation de la production des données statistiques pour la gestion et le pilotage</v>
      </c>
      <c r="AD1238" s="21" t="str">
        <f t="shared" si="202"/>
        <v>41331-Acquisition du matériel informatique (ordinateurs de bureau)</v>
      </c>
    </row>
    <row r="1239" spans="1:30" s="22" customFormat="1" ht="60" hidden="1" customHeight="1" x14ac:dyDescent="0.8">
      <c r="A1239" s="14">
        <v>4</v>
      </c>
      <c r="B1239" s="15">
        <v>41</v>
      </c>
      <c r="C1239" s="15">
        <v>413</v>
      </c>
      <c r="D1239" s="15">
        <v>4133</v>
      </c>
      <c r="E1239" s="15">
        <v>41332</v>
      </c>
      <c r="F1239" s="16" t="s">
        <v>1621</v>
      </c>
      <c r="G1239" s="21" t="s">
        <v>1619</v>
      </c>
      <c r="H1239" s="17" t="s">
        <v>974</v>
      </c>
      <c r="I1239" s="33">
        <v>0</v>
      </c>
      <c r="J1239" s="33">
        <v>0</v>
      </c>
      <c r="K1239" s="33">
        <v>20</v>
      </c>
      <c r="L1239" s="33">
        <v>20</v>
      </c>
      <c r="M1239" s="33">
        <f t="shared" si="200"/>
        <v>40</v>
      </c>
      <c r="N1239" s="33">
        <f>IF(OR(H1239="",H1239="sif",H1239="PM"),0,VLOOKUP(H1239,[5]CU!$C$4:$H$255,6,FALSE))</f>
        <v>6.333333333333333</v>
      </c>
      <c r="O1239" s="33">
        <f t="shared" si="201"/>
        <v>0</v>
      </c>
      <c r="P1239" s="33">
        <f t="shared" si="201"/>
        <v>0</v>
      </c>
      <c r="Q1239" s="33">
        <f t="shared" si="201"/>
        <v>126.66666666666666</v>
      </c>
      <c r="R1239" s="33">
        <f t="shared" si="201"/>
        <v>126.66666666666666</v>
      </c>
      <c r="S1239" s="34">
        <f t="shared" si="203"/>
        <v>253.33333333333331</v>
      </c>
      <c r="T1239" s="35" t="s">
        <v>169</v>
      </c>
      <c r="U1239" s="18" t="s">
        <v>1600</v>
      </c>
      <c r="V1239" s="18" t="str">
        <f>IF(OR($H1239="",$H1239="sif",$H1239="PM"),"",VLOOKUP($H1239,[5]CU!$C$5:$J$255,8,FALSE))</f>
        <v>5. Investissement</v>
      </c>
      <c r="W1239" s="18" t="s">
        <v>96</v>
      </c>
      <c r="X1239" s="18" t="s">
        <v>521</v>
      </c>
      <c r="Y1239" s="18" t="s">
        <v>679</v>
      </c>
      <c r="Z1239" s="18" t="str">
        <f>A1239 &amp; "-" &amp; VLOOKUP(A1239,[4]PROGRAMMES!$E$1:$F$7,2,FALSE)</f>
        <v>4-Réforme de l’enseignement supérieur et la recherche scientifique et de l'innovation</v>
      </c>
      <c r="AA1239" s="19" t="str">
        <f>B1239 &amp; "-" &amp; VLOOKUP(B1239,[4]SOUSPROGRAMMES!$E$1:$F$44,2,FALSE)</f>
        <v>41- Gouvernance et pilotage de l’enseignement supérieur et de la recherche scientifique</v>
      </c>
      <c r="AB1239" s="19" t="str">
        <f>C1239 &amp; "-" &amp; VLOOKUP(C1239,[4]RESULTATS!$E$1:$F$176,2,FALSE)</f>
        <v>413- Un système d’information efficace et performant est mis en œuvre  afin de favoriser le reporting et la reddition des comptes</v>
      </c>
      <c r="AC1239" s="20" t="str">
        <f>D1239 &amp; "-" &amp; VLOOKUP(D1239,[4]STRATEGIES!$E$1:$F$504,2,FALSE)</f>
        <v>4133-Renforcement et modernisation de la production des données statistiques pour la gestion et le pilotage</v>
      </c>
      <c r="AD1239" s="21" t="str">
        <f t="shared" si="202"/>
        <v>41332-Acquisition du matériel informatique (portables)</v>
      </c>
    </row>
    <row r="1240" spans="1:30" s="22" customFormat="1" ht="60" hidden="1" customHeight="1" x14ac:dyDescent="0.8">
      <c r="A1240" s="14">
        <v>4</v>
      </c>
      <c r="B1240" s="15">
        <v>41</v>
      </c>
      <c r="C1240" s="15">
        <v>413</v>
      </c>
      <c r="D1240" s="15">
        <v>4133</v>
      </c>
      <c r="E1240" s="15">
        <v>41333</v>
      </c>
      <c r="F1240" s="16" t="s">
        <v>1622</v>
      </c>
      <c r="G1240" s="21" t="s">
        <v>167</v>
      </c>
      <c r="H1240" s="17" t="s">
        <v>101</v>
      </c>
      <c r="I1240" s="33">
        <v>0</v>
      </c>
      <c r="J1240" s="33">
        <v>60</v>
      </c>
      <c r="K1240" s="33"/>
      <c r="L1240" s="33"/>
      <c r="M1240" s="33">
        <f t="shared" si="200"/>
        <v>60</v>
      </c>
      <c r="N1240" s="33">
        <f>IF(OR(H1240="",H1240="sif",H1240="PM"),0,VLOOKUP(H1240,[5]CU!$C$4:$H$255,6,FALSE))</f>
        <v>2.651545</v>
      </c>
      <c r="O1240" s="33">
        <f t="shared" si="201"/>
        <v>0</v>
      </c>
      <c r="P1240" s="33">
        <f t="shared" si="201"/>
        <v>159.09270000000001</v>
      </c>
      <c r="Q1240" s="33">
        <f t="shared" si="201"/>
        <v>0</v>
      </c>
      <c r="R1240" s="33">
        <f t="shared" si="201"/>
        <v>0</v>
      </c>
      <c r="S1240" s="34">
        <f t="shared" si="203"/>
        <v>159.09270000000001</v>
      </c>
      <c r="T1240" s="35" t="s">
        <v>56</v>
      </c>
      <c r="U1240" s="18" t="s">
        <v>1600</v>
      </c>
      <c r="V1240" s="18" t="str">
        <f>IF(OR($H1240="",$H1240="sif",$H1240="PM"),"",VLOOKUP($H1240,[5]CU!$C$5:$J$255,8,FALSE))</f>
        <v>3. Dépenses de fonctionnement</v>
      </c>
      <c r="W1240" s="18" t="s">
        <v>96</v>
      </c>
      <c r="X1240" s="18" t="s">
        <v>750</v>
      </c>
      <c r="Y1240" s="18" t="s">
        <v>679</v>
      </c>
      <c r="Z1240" s="18" t="str">
        <f>A1240 &amp; "-" &amp; VLOOKUP(A1240,[4]PROGRAMMES!$E$1:$F$7,2,FALSE)</f>
        <v>4-Réforme de l’enseignement supérieur et la recherche scientifique et de l'innovation</v>
      </c>
      <c r="AA1240" s="19" t="str">
        <f>B1240 &amp; "-" &amp; VLOOKUP(B1240,[4]SOUSPROGRAMMES!$E$1:$F$44,2,FALSE)</f>
        <v>41- Gouvernance et pilotage de l’enseignement supérieur et de la recherche scientifique</v>
      </c>
      <c r="AB1240" s="19" t="str">
        <f>C1240 &amp; "-" &amp; VLOOKUP(C1240,[4]RESULTATS!$E$1:$F$176,2,FALSE)</f>
        <v>413- Un système d’information efficace et performant est mis en œuvre  afin de favoriser le reporting et la reddition des comptes</v>
      </c>
      <c r="AC1240" s="20" t="str">
        <f>D1240 &amp; "-" &amp; VLOOKUP(D1240,[4]STRATEGIES!$E$1:$F$504,2,FALSE)</f>
        <v>4133-Renforcement et modernisation de la production des données statistiques pour la gestion et le pilotage</v>
      </c>
      <c r="AD1240" s="21" t="str">
        <f t="shared" si="202"/>
        <v>41333-Développement d'une application pour la collecte et le traitement des données avec des interfaces dans les institutions</v>
      </c>
    </row>
    <row r="1241" spans="1:30" s="22" customFormat="1" ht="60" hidden="1" customHeight="1" x14ac:dyDescent="0.8">
      <c r="A1241" s="14">
        <v>4</v>
      </c>
      <c r="B1241" s="15">
        <v>41</v>
      </c>
      <c r="C1241" s="15">
        <v>413</v>
      </c>
      <c r="D1241" s="15">
        <v>4133</v>
      </c>
      <c r="E1241" s="15">
        <v>41334</v>
      </c>
      <c r="F1241" s="16" t="s">
        <v>1623</v>
      </c>
      <c r="G1241" s="21" t="s">
        <v>1619</v>
      </c>
      <c r="H1241" s="17" t="s">
        <v>1624</v>
      </c>
      <c r="I1241" s="33">
        <v>0</v>
      </c>
      <c r="J1241" s="33">
        <v>1</v>
      </c>
      <c r="K1241" s="33">
        <v>0</v>
      </c>
      <c r="L1241" s="33">
        <v>0</v>
      </c>
      <c r="M1241" s="33">
        <f t="shared" si="200"/>
        <v>1</v>
      </c>
      <c r="N1241" s="33">
        <f>IF(OR(H1241="",H1241="sif",H1241="PM"),0,VLOOKUP(H1241,[5]CU!$C$4:$H$255,6,FALSE))</f>
        <v>30</v>
      </c>
      <c r="O1241" s="33">
        <f t="shared" si="201"/>
        <v>0</v>
      </c>
      <c r="P1241" s="33">
        <f t="shared" si="201"/>
        <v>30</v>
      </c>
      <c r="Q1241" s="33">
        <f t="shared" si="201"/>
        <v>0</v>
      </c>
      <c r="R1241" s="33">
        <f t="shared" si="201"/>
        <v>0</v>
      </c>
      <c r="S1241" s="34">
        <f t="shared" si="203"/>
        <v>30</v>
      </c>
      <c r="T1241" s="35" t="s">
        <v>56</v>
      </c>
      <c r="U1241" s="19" t="s">
        <v>1600</v>
      </c>
      <c r="V1241" s="19" t="str">
        <f>IF(OR($H1241="",$H1241="sif",$H1241="PM"),"",VLOOKUP($H1241,[5]CU!$C$5:$J$255,8,FALSE))</f>
        <v>5. Investissement</v>
      </c>
      <c r="W1241" s="19" t="s">
        <v>96</v>
      </c>
      <c r="X1241" s="19" t="s">
        <v>521</v>
      </c>
      <c r="Y1241" s="18" t="s">
        <v>679</v>
      </c>
      <c r="Z1241" s="18" t="str">
        <f>A1241 &amp; "-" &amp; VLOOKUP(A1241,[4]PROGRAMMES!$E$1:$F$7,2,FALSE)</f>
        <v>4-Réforme de l’enseignement supérieur et la recherche scientifique et de l'innovation</v>
      </c>
      <c r="AA1241" s="19" t="str">
        <f>B1241 &amp; "-" &amp; VLOOKUP(B1241,[4]SOUSPROGRAMMES!$E$1:$F$44,2,FALSE)</f>
        <v>41- Gouvernance et pilotage de l’enseignement supérieur et de la recherche scientifique</v>
      </c>
      <c r="AB1241" s="19" t="str">
        <f>C1241 &amp; "-" &amp; VLOOKUP(C1241,[4]RESULTATS!$E$1:$F$176,2,FALSE)</f>
        <v>413- Un système d’information efficace et performant est mis en œuvre  afin de favoriser le reporting et la reddition des comptes</v>
      </c>
      <c r="AC1241" s="20" t="str">
        <f>D1241 &amp; "-" &amp; VLOOKUP(D1241,[4]STRATEGIES!$E$1:$F$504,2,FALSE)</f>
        <v>4133-Renforcement et modernisation de la production des données statistiques pour la gestion et le pilotage</v>
      </c>
      <c r="AD1241" s="21" t="str">
        <f t="shared" si="202"/>
        <v>41334-Acquisition du matériel informatique (serveur)</v>
      </c>
    </row>
    <row r="1242" spans="1:30" s="22" customFormat="1" ht="60" hidden="1" customHeight="1" x14ac:dyDescent="0.8">
      <c r="A1242" s="14">
        <v>4</v>
      </c>
      <c r="B1242" s="15">
        <v>41</v>
      </c>
      <c r="C1242" s="15">
        <v>413</v>
      </c>
      <c r="D1242" s="15">
        <v>4133</v>
      </c>
      <c r="E1242" s="15">
        <v>41335</v>
      </c>
      <c r="F1242" s="16" t="s">
        <v>1625</v>
      </c>
      <c r="G1242" s="21" t="s">
        <v>92</v>
      </c>
      <c r="H1242" s="17" t="s">
        <v>55</v>
      </c>
      <c r="I1242" s="33">
        <v>0</v>
      </c>
      <c r="J1242" s="33">
        <v>1</v>
      </c>
      <c r="K1242" s="33"/>
      <c r="L1242" s="33"/>
      <c r="M1242" s="33">
        <f t="shared" si="200"/>
        <v>1</v>
      </c>
      <c r="N1242" s="33">
        <f>IF(OR(H1242="",H1242="sif",H1242="PM"),0,VLOOKUP(H1242,[5]CU!$C$4:$H$255,6,FALSE))</f>
        <v>0</v>
      </c>
      <c r="O1242" s="33">
        <f t="shared" si="201"/>
        <v>0</v>
      </c>
      <c r="P1242" s="33">
        <f t="shared" si="201"/>
        <v>0</v>
      </c>
      <c r="Q1242" s="33">
        <f t="shared" si="201"/>
        <v>0</v>
      </c>
      <c r="R1242" s="33">
        <f t="shared" si="201"/>
        <v>0</v>
      </c>
      <c r="S1242" s="34"/>
      <c r="T1242" s="35" t="s">
        <v>56</v>
      </c>
      <c r="U1242" s="18" t="s">
        <v>1600</v>
      </c>
      <c r="V1242" s="18" t="str">
        <f>IF(OR($H1242="",$H1242="sif",$H1242="PM"),"",VLOOKUP($H1242,[5]CU!$C$5:$J$255,8,FALSE))</f>
        <v/>
      </c>
      <c r="W1242" s="18" t="s">
        <v>96</v>
      </c>
      <c r="X1242" s="18" t="s">
        <v>750</v>
      </c>
      <c r="Y1242" s="18" t="s">
        <v>679</v>
      </c>
      <c r="Z1242" s="18" t="str">
        <f>A1242 &amp; "-" &amp; VLOOKUP(A1242,[4]PROGRAMMES!$E$1:$F$7,2,FALSE)</f>
        <v>4-Réforme de l’enseignement supérieur et la recherche scientifique et de l'innovation</v>
      </c>
      <c r="AA1242" s="19" t="str">
        <f>B1242 &amp; "-" &amp; VLOOKUP(B1242,[4]SOUSPROGRAMMES!$E$1:$F$44,2,FALSE)</f>
        <v>41- Gouvernance et pilotage de l’enseignement supérieur et de la recherche scientifique</v>
      </c>
      <c r="AB1242" s="19" t="str">
        <f>C1242 &amp; "-" &amp; VLOOKUP(C1242,[4]RESULTATS!$E$1:$F$176,2,FALSE)</f>
        <v>413- Un système d’information efficace et performant est mis en œuvre  afin de favoriser le reporting et la reddition des comptes</v>
      </c>
      <c r="AC1242" s="20" t="str">
        <f>D1242 &amp; "-" &amp; VLOOKUP(D1242,[4]STRATEGIES!$E$1:$F$504,2,FALSE)</f>
        <v>4133-Renforcement et modernisation de la production des données statistiques pour la gestion et le pilotage</v>
      </c>
      <c r="AD1242" s="21" t="str">
        <f t="shared" si="202"/>
        <v>41335-Recrutement de consultants pour la modernisation des outils de collecte de données (pris en compte dans 41333)</v>
      </c>
    </row>
    <row r="1243" spans="1:30" s="22" customFormat="1" ht="60" hidden="1" customHeight="1" x14ac:dyDescent="0.8">
      <c r="A1243" s="14">
        <v>4</v>
      </c>
      <c r="B1243" s="15">
        <v>41</v>
      </c>
      <c r="C1243" s="15">
        <v>413</v>
      </c>
      <c r="D1243" s="15">
        <v>4133</v>
      </c>
      <c r="E1243" s="15">
        <v>41336</v>
      </c>
      <c r="F1243" s="16" t="s">
        <v>1626</v>
      </c>
      <c r="G1243" s="21" t="s">
        <v>37</v>
      </c>
      <c r="H1243" s="17" t="s">
        <v>301</v>
      </c>
      <c r="I1243" s="33">
        <v>0</v>
      </c>
      <c r="J1243" s="33">
        <f>(40+30)*3*1</f>
        <v>210</v>
      </c>
      <c r="K1243" s="33"/>
      <c r="L1243" s="33"/>
      <c r="M1243" s="33">
        <f t="shared" si="200"/>
        <v>210</v>
      </c>
      <c r="N1243" s="33">
        <f>IF(OR(H1243="",H1243="sif",H1243="PM"),0,VLOOKUP(H1243,[5]CU!$C$4:$H$255,6,FALSE))</f>
        <v>0.67666666666666664</v>
      </c>
      <c r="O1243" s="33">
        <f t="shared" si="201"/>
        <v>0</v>
      </c>
      <c r="P1243" s="33">
        <f t="shared" si="201"/>
        <v>142.1</v>
      </c>
      <c r="Q1243" s="33">
        <f t="shared" si="201"/>
        <v>0</v>
      </c>
      <c r="R1243" s="33">
        <f t="shared" si="201"/>
        <v>0</v>
      </c>
      <c r="S1243" s="34">
        <f>SUM(O1243:R1243)</f>
        <v>142.1</v>
      </c>
      <c r="T1243" s="35" t="s">
        <v>56</v>
      </c>
      <c r="U1243" s="18" t="s">
        <v>1600</v>
      </c>
      <c r="V1243" s="18" t="str">
        <f>IF(OR($H1243="",$H1243="sif",$H1243="PM"),"",VLOOKUP($H1243,[5]CU!$C$5:$J$255,8,FALSE))</f>
        <v>3. Formation</v>
      </c>
      <c r="W1243" s="18" t="s">
        <v>96</v>
      </c>
      <c r="X1243" s="18" t="s">
        <v>750</v>
      </c>
      <c r="Y1243" s="18" t="s">
        <v>679</v>
      </c>
      <c r="Z1243" s="18" t="str">
        <f>A1243 &amp; "-" &amp; VLOOKUP(A1243,[4]PROGRAMMES!$E$1:$F$7,2,FALSE)</f>
        <v>4-Réforme de l’enseignement supérieur et la recherche scientifique et de l'innovation</v>
      </c>
      <c r="AA1243" s="19" t="str">
        <f>B1243 &amp; "-" &amp; VLOOKUP(B1243,[4]SOUSPROGRAMMES!$E$1:$F$44,2,FALSE)</f>
        <v>41- Gouvernance et pilotage de l’enseignement supérieur et de la recherche scientifique</v>
      </c>
      <c r="AB1243" s="19" t="str">
        <f>C1243 &amp; "-" &amp; VLOOKUP(C1243,[4]RESULTATS!$E$1:$F$176,2,FALSE)</f>
        <v>413- Un système d’information efficace et performant est mis en œuvre  afin de favoriser le reporting et la reddition des comptes</v>
      </c>
      <c r="AC1243" s="20" t="str">
        <f>D1243 &amp; "-" &amp; VLOOKUP(D1243,[4]STRATEGIES!$E$1:$F$504,2,FALSE)</f>
        <v>4133-Renforcement et modernisation de la production des données statistiques pour la gestion et le pilotage</v>
      </c>
      <c r="AD1243" s="21" t="str">
        <f t="shared" si="202"/>
        <v>41336-Formation du personnel</v>
      </c>
    </row>
    <row r="1244" spans="1:30" s="22" customFormat="1" ht="45" hidden="1" customHeight="1" x14ac:dyDescent="0.8">
      <c r="A1244" s="14">
        <v>4</v>
      </c>
      <c r="B1244" s="15">
        <v>41</v>
      </c>
      <c r="C1244" s="15">
        <v>414</v>
      </c>
      <c r="D1244" s="15">
        <v>414</v>
      </c>
      <c r="E1244" s="15">
        <v>414</v>
      </c>
      <c r="F1244" s="16" t="s">
        <v>1627</v>
      </c>
      <c r="G1244" s="17"/>
      <c r="H1244" s="17"/>
      <c r="I1244" s="33">
        <v>0</v>
      </c>
      <c r="J1244" s="33"/>
      <c r="K1244" s="33"/>
      <c r="L1244" s="33"/>
      <c r="M1244" s="33"/>
      <c r="N1244" s="33"/>
      <c r="O1244" s="33"/>
      <c r="P1244" s="33"/>
      <c r="Q1244" s="33"/>
      <c r="R1244" s="33"/>
      <c r="S1244" s="34"/>
      <c r="T1244" s="33"/>
      <c r="U1244" s="18"/>
      <c r="V1244" s="18"/>
      <c r="W1244" s="18"/>
      <c r="X1244" s="18"/>
      <c r="Y1244" s="18" t="s">
        <v>679</v>
      </c>
      <c r="Z1244" s="18" t="str">
        <f>A1244 &amp; "-" &amp; VLOOKUP(A1244,[4]PROGRAMMES!$E$1:$F$7,2,FALSE)</f>
        <v>4-Réforme de l’enseignement supérieur et la recherche scientifique et de l'innovation</v>
      </c>
      <c r="AA1244" s="19" t="str">
        <f>B1244 &amp; "-" &amp; VLOOKUP(B1244,[4]SOUSPROGRAMMES!$E$1:$F$44,2,FALSE)</f>
        <v>41- Gouvernance et pilotage de l’enseignement supérieur et de la recherche scientifique</v>
      </c>
      <c r="AB1244" s="19" t="str">
        <f>C1244 &amp; "-" &amp; VLOOKUP(C1244,[4]RESULTATS!$E$1:$F$176,2,FALSE)</f>
        <v>414- Les capacités des personnels administratifs et d’appui sont renforcées</v>
      </c>
      <c r="AC1244" s="20" t="str">
        <f>D1244 &amp; "-" &amp; VLOOKUP(D1244,[4]STRATEGIES!$E$1:$F$504,2,FALSE)</f>
        <v>414- Les capacités des personnels administratifs et d’appui sont renforcées</v>
      </c>
      <c r="AD1244" s="21" t="str">
        <f t="shared" si="202"/>
        <v>414- Les capacités des personnels administratifs et d’appui sont renforcées</v>
      </c>
    </row>
    <row r="1245" spans="1:30" s="22" customFormat="1" ht="45" hidden="1" customHeight="1" x14ac:dyDescent="0.8">
      <c r="A1245" s="14">
        <v>4</v>
      </c>
      <c r="B1245" s="15">
        <v>41</v>
      </c>
      <c r="C1245" s="15">
        <v>414</v>
      </c>
      <c r="D1245" s="15">
        <v>4141</v>
      </c>
      <c r="E1245" s="15">
        <v>4141</v>
      </c>
      <c r="F1245" s="16" t="s">
        <v>1628</v>
      </c>
      <c r="G1245" s="17"/>
      <c r="H1245" s="17"/>
      <c r="I1245" s="33">
        <v>0</v>
      </c>
      <c r="J1245" s="33"/>
      <c r="K1245" s="33"/>
      <c r="L1245" s="33"/>
      <c r="M1245" s="33"/>
      <c r="N1245" s="33"/>
      <c r="O1245" s="33"/>
      <c r="P1245" s="33"/>
      <c r="Q1245" s="33"/>
      <c r="R1245" s="33"/>
      <c r="S1245" s="34"/>
      <c r="T1245" s="33"/>
      <c r="U1245" s="18"/>
      <c r="V1245" s="18"/>
      <c r="W1245" s="18"/>
      <c r="X1245" s="18"/>
      <c r="Y1245" s="18" t="s">
        <v>679</v>
      </c>
      <c r="Z1245" s="18" t="str">
        <f>A1245 &amp; "-" &amp; VLOOKUP(A1245,[4]PROGRAMMES!$E$1:$F$7,2,FALSE)</f>
        <v>4-Réforme de l’enseignement supérieur et la recherche scientifique et de l'innovation</v>
      </c>
      <c r="AA1245" s="19" t="str">
        <f>B1245 &amp; "-" &amp; VLOOKUP(B1245,[4]SOUSPROGRAMMES!$E$1:$F$44,2,FALSE)</f>
        <v>41- Gouvernance et pilotage de l’enseignement supérieur et de la recherche scientifique</v>
      </c>
      <c r="AB1245" s="19" t="str">
        <f>C1245 &amp; "-" &amp; VLOOKUP(C1245,[4]RESULTATS!$E$1:$F$176,2,FALSE)</f>
        <v>414- Les capacités des personnels administratifs et d’appui sont renforcées</v>
      </c>
      <c r="AC1245" s="20" t="str">
        <f>D1245 &amp; "-" &amp; VLOOKUP(D1245,[4]STRATEGIES!$E$1:$F$504,2,FALSE)</f>
        <v>4141-Renforcement des capacités des personnels à tous les niveaux du système dans des domaines pertinents</v>
      </c>
      <c r="AD1245" s="21" t="str">
        <f t="shared" si="202"/>
        <v>4141-Renforcement des capacités des personnels à tous les niveaux du système dans des domaines pertinents</v>
      </c>
    </row>
    <row r="1246" spans="1:30" s="22" customFormat="1" ht="45" hidden="1" customHeight="1" x14ac:dyDescent="0.8">
      <c r="A1246" s="14">
        <v>4</v>
      </c>
      <c r="B1246" s="15">
        <v>41</v>
      </c>
      <c r="C1246" s="15">
        <v>414</v>
      </c>
      <c r="D1246" s="15">
        <v>4141</v>
      </c>
      <c r="E1246" s="15">
        <v>41411</v>
      </c>
      <c r="F1246" s="16" t="s">
        <v>1629</v>
      </c>
      <c r="G1246" s="21" t="s">
        <v>88</v>
      </c>
      <c r="H1246" s="17" t="s">
        <v>55</v>
      </c>
      <c r="I1246" s="33">
        <v>0</v>
      </c>
      <c r="J1246" s="33">
        <v>1</v>
      </c>
      <c r="K1246" s="33"/>
      <c r="L1246" s="33"/>
      <c r="M1246" s="33">
        <f t="shared" si="200"/>
        <v>1</v>
      </c>
      <c r="N1246" s="33">
        <f>IF(OR(H1246="",H1246="sif",H1246="PM"),0,VLOOKUP(H1246,[5]CU!$C$4:$H$255,6,FALSE))</f>
        <v>0</v>
      </c>
      <c r="O1246" s="33">
        <f t="shared" si="201"/>
        <v>0</v>
      </c>
      <c r="P1246" s="33">
        <f t="shared" si="201"/>
        <v>0</v>
      </c>
      <c r="Q1246" s="33">
        <f t="shared" si="201"/>
        <v>0</v>
      </c>
      <c r="R1246" s="33">
        <f t="shared" si="201"/>
        <v>0</v>
      </c>
      <c r="S1246" s="34"/>
      <c r="T1246" s="35" t="s">
        <v>56</v>
      </c>
      <c r="U1246" s="18" t="s">
        <v>1600</v>
      </c>
      <c r="V1246" s="18" t="str">
        <f>IF(OR($H1246="",$H1246="sif",$H1246="PM"),"",VLOOKUP($H1246,[5]CU!$C$5:$J$255,8,FALSE))</f>
        <v/>
      </c>
      <c r="W1246" s="18" t="s">
        <v>142</v>
      </c>
      <c r="X1246" s="18" t="s">
        <v>1607</v>
      </c>
      <c r="Y1246" s="18" t="s">
        <v>679</v>
      </c>
      <c r="Z1246" s="18" t="str">
        <f>A1246 &amp; "-" &amp; VLOOKUP(A1246,[4]PROGRAMMES!$E$1:$F$7,2,FALSE)</f>
        <v>4-Réforme de l’enseignement supérieur et la recherche scientifique et de l'innovation</v>
      </c>
      <c r="AA1246" s="19" t="str">
        <f>B1246 &amp; "-" &amp; VLOOKUP(B1246,[4]SOUSPROGRAMMES!$E$1:$F$44,2,FALSE)</f>
        <v>41- Gouvernance et pilotage de l’enseignement supérieur et de la recherche scientifique</v>
      </c>
      <c r="AB1246" s="19" t="str">
        <f>C1246 &amp; "-" &amp; VLOOKUP(C1246,[4]RESULTATS!$E$1:$F$176,2,FALSE)</f>
        <v>414- Les capacités des personnels administratifs et d’appui sont renforcées</v>
      </c>
      <c r="AC1246" s="20" t="str">
        <f>D1246 &amp; "-" &amp; VLOOKUP(D1246,[4]STRATEGIES!$E$1:$F$504,2,FALSE)</f>
        <v>4141-Renforcement des capacités des personnels à tous les niveaux du système dans des domaines pertinents</v>
      </c>
      <c r="AD1246" s="21" t="str">
        <f t="shared" si="202"/>
        <v>41411-Identification de besoins de formation</v>
      </c>
    </row>
    <row r="1247" spans="1:30" s="22" customFormat="1" ht="45" hidden="1" customHeight="1" x14ac:dyDescent="0.8">
      <c r="A1247" s="14">
        <v>4</v>
      </c>
      <c r="B1247" s="15">
        <v>41</v>
      </c>
      <c r="C1247" s="15">
        <v>414</v>
      </c>
      <c r="D1247" s="15">
        <v>4141</v>
      </c>
      <c r="E1247" s="15">
        <v>41412</v>
      </c>
      <c r="F1247" s="16" t="s">
        <v>1630</v>
      </c>
      <c r="G1247" s="21" t="s">
        <v>167</v>
      </c>
      <c r="H1247" s="17" t="s">
        <v>101</v>
      </c>
      <c r="I1247" s="33">
        <v>0</v>
      </c>
      <c r="J1247" s="33">
        <f>2*15</f>
        <v>30</v>
      </c>
      <c r="K1247" s="33"/>
      <c r="L1247" s="33"/>
      <c r="M1247" s="33">
        <f t="shared" si="200"/>
        <v>30</v>
      </c>
      <c r="N1247" s="33">
        <f>IF(OR(H1247="",H1247="sif",H1247="PM"),0,VLOOKUP(H1247,[5]CU!$C$4:$H$255,6,FALSE))</f>
        <v>2.651545</v>
      </c>
      <c r="O1247" s="33">
        <f t="shared" si="201"/>
        <v>0</v>
      </c>
      <c r="P1247" s="33">
        <f t="shared" si="201"/>
        <v>79.546350000000004</v>
      </c>
      <c r="Q1247" s="33">
        <f t="shared" si="201"/>
        <v>0</v>
      </c>
      <c r="R1247" s="33">
        <f t="shared" si="201"/>
        <v>0</v>
      </c>
      <c r="S1247" s="34">
        <f>SUM(O1247:R1247)</f>
        <v>79.546350000000004</v>
      </c>
      <c r="T1247" s="35" t="s">
        <v>56</v>
      </c>
      <c r="U1247" s="18" t="s">
        <v>1600</v>
      </c>
      <c r="V1247" s="18" t="str">
        <f>IF(OR($H1247="",$H1247="sif",$H1247="PM"),"",VLOOKUP($H1247,[5]CU!$C$5:$J$255,8,FALSE))</f>
        <v>3. Dépenses de fonctionnement</v>
      </c>
      <c r="W1247" s="18" t="s">
        <v>142</v>
      </c>
      <c r="X1247" s="18" t="s">
        <v>750</v>
      </c>
      <c r="Y1247" s="18" t="s">
        <v>679</v>
      </c>
      <c r="Z1247" s="18" t="str">
        <f>A1247 &amp; "-" &amp; VLOOKUP(A1247,[4]PROGRAMMES!$E$1:$F$7,2,FALSE)</f>
        <v>4-Réforme de l’enseignement supérieur et la recherche scientifique et de l'innovation</v>
      </c>
      <c r="AA1247" s="19" t="str">
        <f>B1247 &amp; "-" &amp; VLOOKUP(B1247,[4]SOUSPROGRAMMES!$E$1:$F$44,2,FALSE)</f>
        <v>41- Gouvernance et pilotage de l’enseignement supérieur et de la recherche scientifique</v>
      </c>
      <c r="AB1247" s="19" t="str">
        <f>C1247 &amp; "-" &amp; VLOOKUP(C1247,[4]RESULTATS!$E$1:$F$176,2,FALSE)</f>
        <v>414- Les capacités des personnels administratifs et d’appui sont renforcées</v>
      </c>
      <c r="AC1247" s="20" t="str">
        <f>D1247 &amp; "-" &amp; VLOOKUP(D1247,[4]STRATEGIES!$E$1:$F$504,2,FALSE)</f>
        <v>4141-Renforcement des capacités des personnels à tous les niveaux du système dans des domaines pertinents</v>
      </c>
      <c r="AD1247" s="21" t="str">
        <f t="shared" si="202"/>
        <v>41412-Production de support de formation</v>
      </c>
    </row>
    <row r="1248" spans="1:30" s="22" customFormat="1" ht="45" hidden="1" customHeight="1" x14ac:dyDescent="0.8">
      <c r="A1248" s="14">
        <v>4</v>
      </c>
      <c r="B1248" s="15">
        <v>41</v>
      </c>
      <c r="C1248" s="15">
        <v>414</v>
      </c>
      <c r="D1248" s="15">
        <v>4141</v>
      </c>
      <c r="E1248" s="15">
        <v>41413</v>
      </c>
      <c r="F1248" s="16" t="s">
        <v>51</v>
      </c>
      <c r="G1248" s="21" t="s">
        <v>37</v>
      </c>
      <c r="H1248" s="17" t="s">
        <v>301</v>
      </c>
      <c r="I1248" s="33">
        <v>0</v>
      </c>
      <c r="J1248" s="33"/>
      <c r="K1248" s="33">
        <f>70*5*10</f>
        <v>3500</v>
      </c>
      <c r="L1248" s="33"/>
      <c r="M1248" s="33">
        <f t="shared" si="200"/>
        <v>3500</v>
      </c>
      <c r="N1248" s="33">
        <f>IF(OR(H1248="",H1248="sif",H1248="PM"),0,VLOOKUP(H1248,[5]CU!$C$4:$H$255,6,FALSE))</f>
        <v>0.67666666666666664</v>
      </c>
      <c r="O1248" s="33">
        <f t="shared" si="201"/>
        <v>0</v>
      </c>
      <c r="P1248" s="33">
        <f t="shared" si="201"/>
        <v>0</v>
      </c>
      <c r="Q1248" s="33">
        <f t="shared" si="201"/>
        <v>2368.333333333333</v>
      </c>
      <c r="R1248" s="33">
        <f t="shared" si="201"/>
        <v>0</v>
      </c>
      <c r="S1248" s="34">
        <f>SUM(O1248:R1248)</f>
        <v>2368.333333333333</v>
      </c>
      <c r="T1248" s="35" t="s">
        <v>169</v>
      </c>
      <c r="U1248" s="18" t="s">
        <v>1600</v>
      </c>
      <c r="V1248" s="18" t="str">
        <f>IF(OR($H1248="",$H1248="sif",$H1248="PM"),"",VLOOKUP($H1248,[5]CU!$C$5:$J$255,8,FALSE))</f>
        <v>3. Formation</v>
      </c>
      <c r="W1248" s="18" t="s">
        <v>142</v>
      </c>
      <c r="X1248" s="18" t="s">
        <v>750</v>
      </c>
      <c r="Y1248" s="18" t="s">
        <v>679</v>
      </c>
      <c r="Z1248" s="18" t="str">
        <f>A1248 &amp; "-" &amp; VLOOKUP(A1248,[4]PROGRAMMES!$E$1:$F$7,2,FALSE)</f>
        <v>4-Réforme de l’enseignement supérieur et la recherche scientifique et de l'innovation</v>
      </c>
      <c r="AA1248" s="19" t="str">
        <f>B1248 &amp; "-" &amp; VLOOKUP(B1248,[4]SOUSPROGRAMMES!$E$1:$F$44,2,FALSE)</f>
        <v>41- Gouvernance et pilotage de l’enseignement supérieur et de la recherche scientifique</v>
      </c>
      <c r="AB1248" s="19" t="str">
        <f>C1248 &amp; "-" &amp; VLOOKUP(C1248,[4]RESULTATS!$E$1:$F$176,2,FALSE)</f>
        <v>414- Les capacités des personnels administratifs et d’appui sont renforcées</v>
      </c>
      <c r="AC1248" s="20" t="str">
        <f>D1248 &amp; "-" &amp; VLOOKUP(D1248,[4]STRATEGIES!$E$1:$F$504,2,FALSE)</f>
        <v>4141-Renforcement des capacités des personnels à tous les niveaux du système dans des domaines pertinents</v>
      </c>
      <c r="AD1248" s="21" t="str">
        <f t="shared" si="202"/>
        <v>41413-Formation</v>
      </c>
    </row>
    <row r="1249" spans="1:30" s="22" customFormat="1" ht="45" hidden="1" customHeight="1" x14ac:dyDescent="0.8">
      <c r="A1249" s="14">
        <v>4</v>
      </c>
      <c r="B1249" s="15">
        <v>41</v>
      </c>
      <c r="C1249" s="15">
        <v>415</v>
      </c>
      <c r="D1249" s="15">
        <v>415</v>
      </c>
      <c r="E1249" s="15">
        <v>415</v>
      </c>
      <c r="F1249" s="16" t="s">
        <v>1631</v>
      </c>
      <c r="G1249" s="17"/>
      <c r="H1249" s="17"/>
      <c r="I1249" s="33">
        <v>0</v>
      </c>
      <c r="J1249" s="33"/>
      <c r="K1249" s="33"/>
      <c r="L1249" s="33"/>
      <c r="M1249" s="33"/>
      <c r="N1249" s="33"/>
      <c r="O1249" s="33"/>
      <c r="P1249" s="33"/>
      <c r="Q1249" s="33"/>
      <c r="R1249" s="33"/>
      <c r="S1249" s="34"/>
      <c r="T1249" s="33"/>
      <c r="U1249" s="18"/>
      <c r="V1249" s="18"/>
      <c r="W1249" s="18"/>
      <c r="X1249" s="18"/>
      <c r="Y1249" s="18" t="s">
        <v>679</v>
      </c>
      <c r="Z1249" s="18" t="str">
        <f>A1249 &amp; "-" &amp; VLOOKUP(A1249,[4]PROGRAMMES!$E$1:$F$7,2,FALSE)</f>
        <v>4-Réforme de l’enseignement supérieur et la recherche scientifique et de l'innovation</v>
      </c>
      <c r="AA1249" s="19" t="str">
        <f>B1249 &amp; "-" &amp; VLOOKUP(B1249,[4]SOUSPROGRAMMES!$E$1:$F$44,2,FALSE)</f>
        <v>41- Gouvernance et pilotage de l’enseignement supérieur et de la recherche scientifique</v>
      </c>
      <c r="AB1249" s="19" t="str">
        <f>C1249 &amp; "-" &amp; VLOOKUP(C1249,[4]RESULTATS!$E$1:$F$176,2,FALSE)</f>
        <v>415- L’évolution quantitative de l’enseignement supérieur est maitrisée</v>
      </c>
      <c r="AC1249" s="20" t="str">
        <f>D1249 &amp; "-" &amp; VLOOKUP(D1249,[4]STRATEGIES!$E$1:$F$504,2,FALSE)</f>
        <v>415- L’évolution quantitative de l’enseignement supérieur est maitrisée</v>
      </c>
      <c r="AD1249" s="21" t="str">
        <f t="shared" si="202"/>
        <v>415- L’évolution quantitative de l’enseignement supérieur est maitrisée</v>
      </c>
    </row>
    <row r="1250" spans="1:30" s="22" customFormat="1" ht="45" hidden="1" customHeight="1" x14ac:dyDescent="0.8">
      <c r="A1250" s="14">
        <v>4</v>
      </c>
      <c r="B1250" s="15">
        <v>41</v>
      </c>
      <c r="C1250" s="15">
        <v>415</v>
      </c>
      <c r="D1250" s="15">
        <v>4151</v>
      </c>
      <c r="E1250" s="15">
        <v>4151</v>
      </c>
      <c r="F1250" s="16" t="s">
        <v>1632</v>
      </c>
      <c r="G1250" s="17"/>
      <c r="H1250" s="17"/>
      <c r="I1250" s="33">
        <v>0</v>
      </c>
      <c r="J1250" s="33"/>
      <c r="K1250" s="33"/>
      <c r="L1250" s="33"/>
      <c r="M1250" s="33"/>
      <c r="N1250" s="33"/>
      <c r="O1250" s="33"/>
      <c r="P1250" s="33"/>
      <c r="Q1250" s="33"/>
      <c r="R1250" s="33"/>
      <c r="S1250" s="34"/>
      <c r="T1250" s="33"/>
      <c r="U1250" s="18"/>
      <c r="V1250" s="18"/>
      <c r="W1250" s="18"/>
      <c r="X1250" s="18"/>
      <c r="Y1250" s="18" t="s">
        <v>679</v>
      </c>
      <c r="Z1250" s="18" t="str">
        <f>A1250 &amp; "-" &amp; VLOOKUP(A1250,[4]PROGRAMMES!$E$1:$F$7,2,FALSE)</f>
        <v>4-Réforme de l’enseignement supérieur et la recherche scientifique et de l'innovation</v>
      </c>
      <c r="AA1250" s="19" t="str">
        <f>B1250 &amp; "-" &amp; VLOOKUP(B1250,[4]SOUSPROGRAMMES!$E$1:$F$44,2,FALSE)</f>
        <v>41- Gouvernance et pilotage de l’enseignement supérieur et de la recherche scientifique</v>
      </c>
      <c r="AB1250" s="19" t="str">
        <f>C1250 &amp; "-" &amp; VLOOKUP(C1250,[4]RESULTATS!$E$1:$F$176,2,FALSE)</f>
        <v>415- L’évolution quantitative de l’enseignement supérieur est maitrisée</v>
      </c>
      <c r="AC1250" s="20" t="str">
        <f>D1250 &amp; "-" &amp; VLOOKUP(D1250,[4]STRATEGIES!$E$1:$F$504,2,FALSE)</f>
        <v>4151-Recensement biométrique des étudiants</v>
      </c>
      <c r="AD1250" s="21" t="str">
        <f t="shared" si="202"/>
        <v>4151-Recensement biométrique des étudiants</v>
      </c>
    </row>
    <row r="1251" spans="1:30" s="22" customFormat="1" ht="45" hidden="1" customHeight="1" x14ac:dyDescent="0.8">
      <c r="A1251" s="14">
        <v>4</v>
      </c>
      <c r="B1251" s="15">
        <v>41</v>
      </c>
      <c r="C1251" s="15">
        <v>415</v>
      </c>
      <c r="D1251" s="15">
        <v>4151</v>
      </c>
      <c r="E1251" s="15">
        <v>41511</v>
      </c>
      <c r="F1251" s="16" t="s">
        <v>1633</v>
      </c>
      <c r="G1251" s="21" t="s">
        <v>159</v>
      </c>
      <c r="H1251" s="17"/>
      <c r="I1251" s="33">
        <v>0</v>
      </c>
      <c r="J1251" s="33"/>
      <c r="K1251" s="33"/>
      <c r="L1251" s="33"/>
      <c r="M1251" s="33">
        <f t="shared" si="200"/>
        <v>0</v>
      </c>
      <c r="N1251" s="33">
        <f>IF(OR(H1251="",H1251="sif",H1251="PM"),0,VLOOKUP(H1251,[5]CU!$C$4:$H$255,6,FALSE))</f>
        <v>0</v>
      </c>
      <c r="O1251" s="33">
        <f t="shared" si="201"/>
        <v>0</v>
      </c>
      <c r="P1251" s="33">
        <f t="shared" si="201"/>
        <v>0</v>
      </c>
      <c r="Q1251" s="33">
        <f t="shared" si="201"/>
        <v>0</v>
      </c>
      <c r="R1251" s="33">
        <f t="shared" si="201"/>
        <v>0</v>
      </c>
      <c r="S1251" s="34"/>
      <c r="T1251" s="35" t="s">
        <v>56</v>
      </c>
      <c r="U1251" s="18" t="s">
        <v>1600</v>
      </c>
      <c r="V1251" s="18" t="str">
        <f>IF(OR($H1251="",$H1251="sif",$H1251="PM"),"",VLOOKUP($H1251,[5]CU!$C$5:$J$255,8,FALSE))</f>
        <v/>
      </c>
      <c r="W1251" s="18" t="s">
        <v>254</v>
      </c>
      <c r="X1251" s="18" t="s">
        <v>1634</v>
      </c>
      <c r="Y1251" s="18" t="s">
        <v>679</v>
      </c>
      <c r="Z1251" s="18" t="str">
        <f>A1251 &amp; "-" &amp; VLOOKUP(A1251,[4]PROGRAMMES!$E$1:$F$7,2,FALSE)</f>
        <v>4-Réforme de l’enseignement supérieur et la recherche scientifique et de l'innovation</v>
      </c>
      <c r="AA1251" s="19" t="str">
        <f>B1251 &amp; "-" &amp; VLOOKUP(B1251,[4]SOUSPROGRAMMES!$E$1:$F$44,2,FALSE)</f>
        <v>41- Gouvernance et pilotage de l’enseignement supérieur et de la recherche scientifique</v>
      </c>
      <c r="AB1251" s="19" t="str">
        <f>C1251 &amp; "-" &amp; VLOOKUP(C1251,[4]RESULTATS!$E$1:$F$176,2,FALSE)</f>
        <v>415- L’évolution quantitative de l’enseignement supérieur est maitrisée</v>
      </c>
      <c r="AC1251" s="20" t="str">
        <f>D1251 &amp; "-" &amp; VLOOKUP(D1251,[4]STRATEGIES!$E$1:$F$504,2,FALSE)</f>
        <v>4151-Recensement biométrique des étudiants</v>
      </c>
      <c r="AD1251" s="21" t="str">
        <f t="shared" si="202"/>
        <v>41511-Constitution d'une commission chargée du recensement biométrique des étudiants</v>
      </c>
    </row>
    <row r="1252" spans="1:30" s="22" customFormat="1" ht="45" hidden="1" customHeight="1" x14ac:dyDescent="0.8">
      <c r="A1252" s="14">
        <v>4</v>
      </c>
      <c r="B1252" s="15">
        <v>41</v>
      </c>
      <c r="C1252" s="15">
        <v>415</v>
      </c>
      <c r="D1252" s="15">
        <v>4151</v>
      </c>
      <c r="E1252" s="15">
        <v>41512</v>
      </c>
      <c r="F1252" s="16" t="s">
        <v>1635</v>
      </c>
      <c r="G1252" s="21" t="s">
        <v>1636</v>
      </c>
      <c r="H1252" s="17" t="s">
        <v>1636</v>
      </c>
      <c r="I1252" s="33">
        <v>0</v>
      </c>
      <c r="J1252" s="33"/>
      <c r="K1252" s="33"/>
      <c r="L1252" s="33"/>
      <c r="M1252" s="33">
        <f t="shared" si="200"/>
        <v>0</v>
      </c>
      <c r="N1252" s="33">
        <f>IF(OR(H1252="",H1252="sif",H1252="PM"),0,VLOOKUP(H1252,[5]CU!$C$4:$H$255,6,FALSE))</f>
        <v>3</v>
      </c>
      <c r="O1252" s="33">
        <f t="shared" si="201"/>
        <v>0</v>
      </c>
      <c r="P1252" s="33">
        <f t="shared" si="201"/>
        <v>0</v>
      </c>
      <c r="Q1252" s="33">
        <f t="shared" si="201"/>
        <v>0</v>
      </c>
      <c r="R1252" s="33">
        <f t="shared" si="201"/>
        <v>0</v>
      </c>
      <c r="S1252" s="34">
        <f>SUM(O1252:R1252)</f>
        <v>0</v>
      </c>
      <c r="T1252" s="35" t="s">
        <v>56</v>
      </c>
      <c r="U1252" s="19" t="s">
        <v>1600</v>
      </c>
      <c r="V1252" s="19" t="str">
        <f>IF(OR($H1252="",$H1252="sif",$H1252="PM"),"",VLOOKUP($H1252,[5]CU!$C$5:$J$255,8,FALSE))</f>
        <v>5. Investissement</v>
      </c>
      <c r="W1252" s="19" t="s">
        <v>254</v>
      </c>
      <c r="X1252" s="19" t="s">
        <v>521</v>
      </c>
      <c r="Y1252" s="18" t="s">
        <v>679</v>
      </c>
      <c r="Z1252" s="18" t="str">
        <f>A1252 &amp; "-" &amp; VLOOKUP(A1252,[4]PROGRAMMES!$E$1:$F$7,2,FALSE)</f>
        <v>4-Réforme de l’enseignement supérieur et la recherche scientifique et de l'innovation</v>
      </c>
      <c r="AA1252" s="19" t="str">
        <f>B1252 &amp; "-" &amp; VLOOKUP(B1252,[4]SOUSPROGRAMMES!$E$1:$F$44,2,FALSE)</f>
        <v>41- Gouvernance et pilotage de l’enseignement supérieur et de la recherche scientifique</v>
      </c>
      <c r="AB1252" s="19" t="str">
        <f>C1252 &amp; "-" &amp; VLOOKUP(C1252,[4]RESULTATS!$E$1:$F$176,2,FALSE)</f>
        <v>415- L’évolution quantitative de l’enseignement supérieur est maitrisée</v>
      </c>
      <c r="AC1252" s="20" t="str">
        <f>D1252 &amp; "-" &amp; VLOOKUP(D1252,[4]STRATEGIES!$E$1:$F$504,2,FALSE)</f>
        <v>4151-Recensement biométrique des étudiants</v>
      </c>
      <c r="AD1252" s="21" t="str">
        <f t="shared" si="202"/>
        <v>41512-Acquisition de matériel informatique pour la collecte des données biométriques des étudiants</v>
      </c>
    </row>
    <row r="1253" spans="1:30" s="22" customFormat="1" ht="45" hidden="1" customHeight="1" x14ac:dyDescent="0.8">
      <c r="A1253" s="14">
        <v>4</v>
      </c>
      <c r="B1253" s="15">
        <v>41</v>
      </c>
      <c r="C1253" s="15">
        <v>415</v>
      </c>
      <c r="D1253" s="15">
        <v>4151</v>
      </c>
      <c r="E1253" s="15">
        <v>41513</v>
      </c>
      <c r="F1253" s="16" t="s">
        <v>1637</v>
      </c>
      <c r="G1253" s="21" t="s">
        <v>1638</v>
      </c>
      <c r="H1253" s="17" t="s">
        <v>1639</v>
      </c>
      <c r="I1253" s="33">
        <v>0</v>
      </c>
      <c r="J1253" s="33"/>
      <c r="K1253" s="33"/>
      <c r="L1253" s="33"/>
      <c r="M1253" s="33">
        <f t="shared" si="200"/>
        <v>0</v>
      </c>
      <c r="N1253" s="33">
        <f>IF(OR(H1253="",H1253="sif",H1253="PM"),0,VLOOKUP(H1253,[5]CU!$C$4:$H$255,6,FALSE))</f>
        <v>0.47249999999999998</v>
      </c>
      <c r="O1253" s="33">
        <f t="shared" si="201"/>
        <v>0</v>
      </c>
      <c r="P1253" s="33">
        <f t="shared" si="201"/>
        <v>0</v>
      </c>
      <c r="Q1253" s="33">
        <f t="shared" si="201"/>
        <v>0</v>
      </c>
      <c r="R1253" s="33">
        <f t="shared" si="201"/>
        <v>0</v>
      </c>
      <c r="S1253" s="34">
        <f>SUM(O1253:R1253)</f>
        <v>0</v>
      </c>
      <c r="T1253" s="35" t="s">
        <v>56</v>
      </c>
      <c r="U1253" s="19" t="s">
        <v>1600</v>
      </c>
      <c r="V1253" s="19" t="str">
        <f>IF(OR($H1253="",$H1253="sif",$H1253="PM"),"",VLOOKUP($H1253,[5]CU!$C$5:$J$255,8,FALSE))</f>
        <v>5. Investissement</v>
      </c>
      <c r="W1253" s="19"/>
      <c r="X1253" s="19"/>
      <c r="Y1253" s="18" t="s">
        <v>679</v>
      </c>
      <c r="Z1253" s="18" t="str">
        <f>A1253 &amp; "-" &amp; VLOOKUP(A1253,[4]PROGRAMMES!$E$1:$F$7,2,FALSE)</f>
        <v>4-Réforme de l’enseignement supérieur et la recherche scientifique et de l'innovation</v>
      </c>
      <c r="AA1253" s="19" t="str">
        <f>B1253 &amp; "-" &amp; VLOOKUP(B1253,[4]SOUSPROGRAMMES!$E$1:$F$44,2,FALSE)</f>
        <v>41- Gouvernance et pilotage de l’enseignement supérieur et de la recherche scientifique</v>
      </c>
      <c r="AB1253" s="19" t="str">
        <f>C1253 &amp; "-" &amp; VLOOKUP(C1253,[4]RESULTATS!$E$1:$F$176,2,FALSE)</f>
        <v>415- L’évolution quantitative de l’enseignement supérieur est maitrisée</v>
      </c>
      <c r="AC1253" s="20" t="str">
        <f>D1253 &amp; "-" &amp; VLOOKUP(D1253,[4]STRATEGIES!$E$1:$F$504,2,FALSE)</f>
        <v>4151-Recensement biométrique des étudiants</v>
      </c>
      <c r="AD1253" s="21" t="str">
        <f t="shared" si="202"/>
        <v xml:space="preserve">41513-Acquisition de lecteur d'empreintes </v>
      </c>
    </row>
    <row r="1254" spans="1:30" s="22" customFormat="1" ht="45" hidden="1" customHeight="1" x14ac:dyDescent="0.8">
      <c r="A1254" s="14">
        <v>4</v>
      </c>
      <c r="B1254" s="15">
        <v>41</v>
      </c>
      <c r="C1254" s="15">
        <v>415</v>
      </c>
      <c r="D1254" s="15">
        <v>4151</v>
      </c>
      <c r="E1254" s="15">
        <v>41514</v>
      </c>
      <c r="F1254" s="16" t="s">
        <v>1640</v>
      </c>
      <c r="G1254" s="21" t="s">
        <v>58</v>
      </c>
      <c r="H1254" s="17" t="s">
        <v>59</v>
      </c>
      <c r="I1254" s="33">
        <v>0</v>
      </c>
      <c r="J1254" s="33"/>
      <c r="K1254" s="33">
        <f>10*2*18*10</f>
        <v>3600</v>
      </c>
      <c r="L1254" s="33">
        <f>5*2*10*5</f>
        <v>500</v>
      </c>
      <c r="M1254" s="33">
        <f t="shared" si="200"/>
        <v>4100</v>
      </c>
      <c r="N1254" s="33">
        <f>IF(OR(H1254="",H1254="sif",H1254="PM"),0,VLOOKUP(H1254,[5]CU!$C$4:$H$255,6,FALSE))</f>
        <v>0.8177777777777776</v>
      </c>
      <c r="O1254" s="33">
        <f t="shared" si="201"/>
        <v>0</v>
      </c>
      <c r="P1254" s="33">
        <f t="shared" si="201"/>
        <v>0</v>
      </c>
      <c r="Q1254" s="33">
        <f t="shared" si="201"/>
        <v>2943.9999999999995</v>
      </c>
      <c r="R1254" s="33">
        <f t="shared" si="201"/>
        <v>408.8888888888888</v>
      </c>
      <c r="S1254" s="34">
        <f>SUM(O1254:R1254)</f>
        <v>3352.8888888888882</v>
      </c>
      <c r="T1254" s="35" t="s">
        <v>169</v>
      </c>
      <c r="U1254" s="18" t="s">
        <v>1600</v>
      </c>
      <c r="V1254" s="18" t="str">
        <f>IF(OR($H1254="",$H1254="sif",$H1254="PM"),"",VLOOKUP($H1254,[5]CU!$C$5:$J$255,8,FALSE))</f>
        <v>3. Dépenses de fonctionnement</v>
      </c>
      <c r="W1254" s="18" t="s">
        <v>254</v>
      </c>
      <c r="X1254" s="18" t="s">
        <v>1641</v>
      </c>
      <c r="Y1254" s="18" t="s">
        <v>679</v>
      </c>
      <c r="Z1254" s="18" t="str">
        <f>A1254 &amp; "-" &amp; VLOOKUP(A1254,[4]PROGRAMMES!$E$1:$F$7,2,FALSE)</f>
        <v>4-Réforme de l’enseignement supérieur et la recherche scientifique et de l'innovation</v>
      </c>
      <c r="AA1254" s="19" t="str">
        <f>B1254 &amp; "-" &amp; VLOOKUP(B1254,[4]SOUSPROGRAMMES!$E$1:$F$44,2,FALSE)</f>
        <v>41- Gouvernance et pilotage de l’enseignement supérieur et de la recherche scientifique</v>
      </c>
      <c r="AB1254" s="19" t="str">
        <f>C1254 &amp; "-" &amp; VLOOKUP(C1254,[4]RESULTATS!$E$1:$F$176,2,FALSE)</f>
        <v>415- L’évolution quantitative de l’enseignement supérieur est maitrisée</v>
      </c>
      <c r="AC1254" s="20" t="str">
        <f>D1254 &amp; "-" &amp; VLOOKUP(D1254,[4]STRATEGIES!$E$1:$F$504,2,FALSE)</f>
        <v>4151-Recensement biométrique des étudiants</v>
      </c>
      <c r="AD1254" s="21" t="str">
        <f t="shared" si="202"/>
        <v>41514-Mission de terrain</v>
      </c>
    </row>
    <row r="1255" spans="1:30" s="22" customFormat="1" ht="45" hidden="1" customHeight="1" x14ac:dyDescent="0.8">
      <c r="A1255" s="14">
        <v>4</v>
      </c>
      <c r="B1255" s="15">
        <v>41</v>
      </c>
      <c r="C1255" s="15">
        <v>415</v>
      </c>
      <c r="D1255" s="15">
        <v>4152</v>
      </c>
      <c r="E1255" s="15">
        <v>4152</v>
      </c>
      <c r="F1255" s="16" t="s">
        <v>1642</v>
      </c>
      <c r="G1255" s="17"/>
      <c r="H1255" s="17"/>
      <c r="I1255" s="33">
        <v>0</v>
      </c>
      <c r="J1255" s="33"/>
      <c r="K1255" s="33"/>
      <c r="L1255" s="33"/>
      <c r="M1255" s="33"/>
      <c r="N1255" s="33"/>
      <c r="O1255" s="33"/>
      <c r="P1255" s="33"/>
      <c r="Q1255" s="33"/>
      <c r="R1255" s="33"/>
      <c r="S1255" s="34"/>
      <c r="T1255" s="33"/>
      <c r="U1255" s="18"/>
      <c r="V1255" s="18"/>
      <c r="W1255" s="18"/>
      <c r="X1255" s="18"/>
      <c r="Y1255" s="18" t="s">
        <v>679</v>
      </c>
      <c r="Z1255" s="18" t="str">
        <f>A1255 &amp; "-" &amp; VLOOKUP(A1255,[4]PROGRAMMES!$E$1:$F$7,2,FALSE)</f>
        <v>4-Réforme de l’enseignement supérieur et la recherche scientifique et de l'innovation</v>
      </c>
      <c r="AA1255" s="19" t="str">
        <f>B1255 &amp; "-" &amp; VLOOKUP(B1255,[4]SOUSPROGRAMMES!$E$1:$F$44,2,FALSE)</f>
        <v>41- Gouvernance et pilotage de l’enseignement supérieur et de la recherche scientifique</v>
      </c>
      <c r="AB1255" s="19" t="str">
        <f>C1255 &amp; "-" &amp; VLOOKUP(C1255,[4]RESULTATS!$E$1:$F$176,2,FALSE)</f>
        <v>415- L’évolution quantitative de l’enseignement supérieur est maitrisée</v>
      </c>
      <c r="AC1255" s="20" t="str">
        <f>D1255 &amp; "-" &amp; VLOOKUP(D1255,[4]STRATEGIES!$E$1:$F$504,2,FALSE)</f>
        <v>4152-Pérennisation de l’orientation en ligne des bacheliers, à travers la plateforme « GUPOL »</v>
      </c>
      <c r="AD1255" s="21" t="str">
        <f t="shared" si="202"/>
        <v>4152-Pérennisation de l’orientation en ligne des bacheliers, à travers la plateforme « GUPOL »</v>
      </c>
    </row>
    <row r="1256" spans="1:30" s="22" customFormat="1" ht="45" hidden="1" customHeight="1" x14ac:dyDescent="0.8">
      <c r="A1256" s="14">
        <v>4</v>
      </c>
      <c r="B1256" s="15">
        <v>41</v>
      </c>
      <c r="C1256" s="15">
        <v>415</v>
      </c>
      <c r="D1256" s="15">
        <v>4152</v>
      </c>
      <c r="E1256" s="15">
        <v>41521</v>
      </c>
      <c r="F1256" s="16" t="s">
        <v>1643</v>
      </c>
      <c r="G1256" s="21" t="s">
        <v>167</v>
      </c>
      <c r="H1256" s="17" t="s">
        <v>101</v>
      </c>
      <c r="I1256" s="33">
        <v>0</v>
      </c>
      <c r="J1256" s="33"/>
      <c r="K1256" s="33"/>
      <c r="L1256" s="33"/>
      <c r="M1256" s="33">
        <f t="shared" si="200"/>
        <v>0</v>
      </c>
      <c r="N1256" s="33">
        <f>IF(OR(H1256="",H1256="sif",H1256="PM"),0,VLOOKUP(H1256,[5]CU!$C$4:$H$255,6,FALSE))</f>
        <v>2.651545</v>
      </c>
      <c r="O1256" s="33">
        <f t="shared" si="201"/>
        <v>0</v>
      </c>
      <c r="P1256" s="33">
        <f t="shared" si="201"/>
        <v>0</v>
      </c>
      <c r="Q1256" s="33">
        <f t="shared" si="201"/>
        <v>0</v>
      </c>
      <c r="R1256" s="33">
        <f t="shared" si="201"/>
        <v>0</v>
      </c>
      <c r="S1256" s="34">
        <f>SUM(O1256:R1256)</f>
        <v>0</v>
      </c>
      <c r="T1256" s="35" t="s">
        <v>56</v>
      </c>
      <c r="U1256" s="18" t="s">
        <v>1600</v>
      </c>
      <c r="V1256" s="18" t="str">
        <f>IF(OR($H1256="",$H1256="sif",$H1256="PM"),"",VLOOKUP($H1256,[5]CU!$C$5:$J$255,8,FALSE))</f>
        <v>3. Dépenses de fonctionnement</v>
      </c>
      <c r="W1256" s="18" t="s">
        <v>254</v>
      </c>
      <c r="X1256" s="18" t="s">
        <v>1641</v>
      </c>
      <c r="Y1256" s="18" t="s">
        <v>679</v>
      </c>
      <c r="Z1256" s="18" t="str">
        <f>A1256 &amp; "-" &amp; VLOOKUP(A1256,[4]PROGRAMMES!$E$1:$F$7,2,FALSE)</f>
        <v>4-Réforme de l’enseignement supérieur et la recherche scientifique et de l'innovation</v>
      </c>
      <c r="AA1256" s="19" t="str">
        <f>B1256 &amp; "-" &amp; VLOOKUP(B1256,[4]SOUSPROGRAMMES!$E$1:$F$44,2,FALSE)</f>
        <v>41- Gouvernance et pilotage de l’enseignement supérieur et de la recherche scientifique</v>
      </c>
      <c r="AB1256" s="19" t="str">
        <f>C1256 &amp; "-" &amp; VLOOKUP(C1256,[4]RESULTATS!$E$1:$F$176,2,FALSE)</f>
        <v>415- L’évolution quantitative de l’enseignement supérieur est maitrisée</v>
      </c>
      <c r="AC1256" s="20" t="str">
        <f>D1256 &amp; "-" &amp; VLOOKUP(D1256,[4]STRATEGIES!$E$1:$F$504,2,FALSE)</f>
        <v>4152-Pérennisation de l’orientation en ligne des bacheliers, à travers la plateforme « GUPOL »</v>
      </c>
      <c r="AD1256" s="21" t="str">
        <f t="shared" si="202"/>
        <v>41521-Amélioration de la plateforme GUPOL</v>
      </c>
    </row>
    <row r="1257" spans="1:30" s="22" customFormat="1" ht="45" hidden="1" customHeight="1" x14ac:dyDescent="0.8">
      <c r="A1257" s="14">
        <v>4</v>
      </c>
      <c r="B1257" s="15">
        <v>41</v>
      </c>
      <c r="C1257" s="15">
        <v>415</v>
      </c>
      <c r="D1257" s="15">
        <v>4152</v>
      </c>
      <c r="E1257" s="15">
        <v>41522</v>
      </c>
      <c r="F1257" s="16" t="s">
        <v>1644</v>
      </c>
      <c r="G1257" s="21" t="s">
        <v>1645</v>
      </c>
      <c r="H1257" s="17" t="s">
        <v>73</v>
      </c>
      <c r="I1257" s="33">
        <v>0</v>
      </c>
      <c r="J1257" s="33"/>
      <c r="K1257" s="33">
        <f>1*7*8</f>
        <v>56</v>
      </c>
      <c r="L1257" s="33">
        <f>1*7*7</f>
        <v>49</v>
      </c>
      <c r="M1257" s="33">
        <f t="shared" si="200"/>
        <v>105</v>
      </c>
      <c r="N1257" s="33">
        <f>IF(OR(H1257="",H1257="sif",H1257="PM"),0,VLOOKUP(H1257,[5]CU!$C$4:$H$255,6,FALSE))</f>
        <v>0.4</v>
      </c>
      <c r="O1257" s="33">
        <f t="shared" si="201"/>
        <v>0</v>
      </c>
      <c r="P1257" s="33">
        <f t="shared" si="201"/>
        <v>0</v>
      </c>
      <c r="Q1257" s="33">
        <f t="shared" si="201"/>
        <v>22.400000000000002</v>
      </c>
      <c r="R1257" s="33">
        <f t="shared" si="201"/>
        <v>19.600000000000001</v>
      </c>
      <c r="S1257" s="34">
        <f>SUM(O1257:R1257)</f>
        <v>42</v>
      </c>
      <c r="T1257" s="35" t="s">
        <v>169</v>
      </c>
      <c r="U1257" s="18" t="s">
        <v>1600</v>
      </c>
      <c r="V1257" s="18" t="str">
        <f>IF(OR($H1257="",$H1257="sif",$H1257="PM"),"",VLOOKUP($H1257,[5]CU!$C$5:$J$255,8,FALSE))</f>
        <v>3. Dépenses de fonctionnement</v>
      </c>
      <c r="W1257" s="18" t="s">
        <v>254</v>
      </c>
      <c r="X1257" s="18" t="s">
        <v>1612</v>
      </c>
      <c r="Y1257" s="18" t="s">
        <v>679</v>
      </c>
      <c r="Z1257" s="18" t="str">
        <f>A1257 &amp; "-" &amp; VLOOKUP(A1257,[4]PROGRAMMES!$E$1:$F$7,2,FALSE)</f>
        <v>4-Réforme de l’enseignement supérieur et la recherche scientifique et de l'innovation</v>
      </c>
      <c r="AA1257" s="19" t="str">
        <f>B1257 &amp; "-" &amp; VLOOKUP(B1257,[4]SOUSPROGRAMMES!$E$1:$F$44,2,FALSE)</f>
        <v>41- Gouvernance et pilotage de l’enseignement supérieur et de la recherche scientifique</v>
      </c>
      <c r="AB1257" s="19" t="str">
        <f>C1257 &amp; "-" &amp; VLOOKUP(C1257,[4]RESULTATS!$E$1:$F$176,2,FALSE)</f>
        <v>415- L’évolution quantitative de l’enseignement supérieur est maitrisée</v>
      </c>
      <c r="AC1257" s="20" t="str">
        <f>D1257 &amp; "-" &amp; VLOOKUP(D1257,[4]STRATEGIES!$E$1:$F$504,2,FALSE)</f>
        <v>4152-Pérennisation de l’orientation en ligne des bacheliers, à travers la plateforme « GUPOL »</v>
      </c>
      <c r="AD1257" s="21" t="str">
        <f t="shared" si="202"/>
        <v>41522-Campagnes de communication à destination de bacheliers</v>
      </c>
    </row>
    <row r="1258" spans="1:30" s="22" customFormat="1" ht="45" hidden="1" customHeight="1" x14ac:dyDescent="0.8">
      <c r="A1258" s="14">
        <v>4</v>
      </c>
      <c r="B1258" s="15">
        <v>41</v>
      </c>
      <c r="C1258" s="15">
        <v>415</v>
      </c>
      <c r="D1258" s="15">
        <v>4152</v>
      </c>
      <c r="E1258" s="15">
        <v>41523</v>
      </c>
      <c r="F1258" s="16" t="s">
        <v>1646</v>
      </c>
      <c r="G1258" s="21" t="s">
        <v>92</v>
      </c>
      <c r="H1258" s="17" t="s">
        <v>55</v>
      </c>
      <c r="I1258" s="33">
        <v>0</v>
      </c>
      <c r="J1258" s="33">
        <f>20*3*1</f>
        <v>60</v>
      </c>
      <c r="K1258" s="33">
        <f>20*3*1</f>
        <v>60</v>
      </c>
      <c r="L1258" s="33">
        <f>20*3*1</f>
        <v>60</v>
      </c>
      <c r="M1258" s="33">
        <f t="shared" si="200"/>
        <v>180</v>
      </c>
      <c r="N1258" s="33">
        <f>IF(OR(H1258="",H1258="sif",H1258="PM"),0,VLOOKUP(H1258,[5]CU!$C$4:$H$255,6,FALSE))</f>
        <v>0</v>
      </c>
      <c r="O1258" s="33">
        <f t="shared" si="201"/>
        <v>0</v>
      </c>
      <c r="P1258" s="33">
        <f t="shared" si="201"/>
        <v>0</v>
      </c>
      <c r="Q1258" s="33">
        <f t="shared" si="201"/>
        <v>0</v>
      </c>
      <c r="R1258" s="33">
        <f t="shared" si="201"/>
        <v>0</v>
      </c>
      <c r="S1258" s="34"/>
      <c r="T1258" s="35" t="s">
        <v>56</v>
      </c>
      <c r="U1258" s="18" t="s">
        <v>1600</v>
      </c>
      <c r="V1258" s="18" t="str">
        <f>IF(OR($H1258="",$H1258="sif",$H1258="PM"),"",VLOOKUP($H1258,[5]CU!$C$5:$J$255,8,FALSE))</f>
        <v/>
      </c>
      <c r="W1258" s="18" t="s">
        <v>255</v>
      </c>
      <c r="X1258" s="18" t="s">
        <v>1647</v>
      </c>
      <c r="Y1258" s="18" t="s">
        <v>679</v>
      </c>
      <c r="Z1258" s="18" t="str">
        <f>A1258 &amp; "-" &amp; VLOOKUP(A1258,[4]PROGRAMMES!$E$1:$F$7,2,FALSE)</f>
        <v>4-Réforme de l’enseignement supérieur et la recherche scientifique et de l'innovation</v>
      </c>
      <c r="AA1258" s="19" t="str">
        <f>B1258 &amp; "-" &amp; VLOOKUP(B1258,[4]SOUSPROGRAMMES!$E$1:$F$44,2,FALSE)</f>
        <v>41- Gouvernance et pilotage de l’enseignement supérieur et de la recherche scientifique</v>
      </c>
      <c r="AB1258" s="19" t="str">
        <f>C1258 &amp; "-" &amp; VLOOKUP(C1258,[4]RESULTATS!$E$1:$F$176,2,FALSE)</f>
        <v>415- L’évolution quantitative de l’enseignement supérieur est maitrisée</v>
      </c>
      <c r="AC1258" s="20" t="str">
        <f>D1258 &amp; "-" &amp; VLOOKUP(D1258,[4]STRATEGIES!$E$1:$F$504,2,FALSE)</f>
        <v>4152-Pérennisation de l’orientation en ligne des bacheliers, à travers la plateforme « GUPOL »</v>
      </c>
      <c r="AD1258" s="21" t="str">
        <f t="shared" si="202"/>
        <v>41523-Sessions de la commission d'orientation</v>
      </c>
    </row>
    <row r="1259" spans="1:30" s="22" customFormat="1" ht="45" hidden="1" customHeight="1" x14ac:dyDescent="0.8">
      <c r="A1259" s="14">
        <v>4</v>
      </c>
      <c r="B1259" s="15">
        <v>41</v>
      </c>
      <c r="C1259" s="15">
        <v>415</v>
      </c>
      <c r="D1259" s="15">
        <v>4153</v>
      </c>
      <c r="E1259" s="15">
        <v>4153</v>
      </c>
      <c r="F1259" s="16" t="s">
        <v>1648</v>
      </c>
      <c r="G1259" s="17"/>
      <c r="H1259" s="17"/>
      <c r="I1259" s="33">
        <v>0</v>
      </c>
      <c r="J1259" s="33"/>
      <c r="K1259" s="33"/>
      <c r="L1259" s="33"/>
      <c r="M1259" s="33"/>
      <c r="N1259" s="33"/>
      <c r="O1259" s="33"/>
      <c r="P1259" s="33"/>
      <c r="Q1259" s="33"/>
      <c r="R1259" s="33"/>
      <c r="S1259" s="34"/>
      <c r="T1259" s="33"/>
      <c r="U1259" s="18"/>
      <c r="V1259" s="18"/>
      <c r="W1259" s="18"/>
      <c r="X1259" s="18"/>
      <c r="Y1259" s="18" t="s">
        <v>679</v>
      </c>
      <c r="Z1259" s="18" t="str">
        <f>A1259 &amp; "-" &amp; VLOOKUP(A1259,[4]PROGRAMMES!$E$1:$F$7,2,FALSE)</f>
        <v>4-Réforme de l’enseignement supérieur et la recherche scientifique et de l'innovation</v>
      </c>
      <c r="AA1259" s="19" t="str">
        <f>B1259 &amp; "-" &amp; VLOOKUP(B1259,[4]SOUSPROGRAMMES!$E$1:$F$44,2,FALSE)</f>
        <v>41- Gouvernance et pilotage de l’enseignement supérieur et de la recherche scientifique</v>
      </c>
      <c r="AB1259" s="19" t="str">
        <f>C1259 &amp; "-" &amp; VLOOKUP(C1259,[4]RESULTATS!$E$1:$F$176,2,FALSE)</f>
        <v>415- L’évolution quantitative de l’enseignement supérieur est maitrisée</v>
      </c>
      <c r="AC1259" s="20" t="str">
        <f>D1259 &amp; "-" &amp; VLOOKUP(D1259,[4]STRATEGIES!$E$1:$F$504,2,FALSE)</f>
        <v>4153-Introduction de la politique d’octroi des bourses sur critères</v>
      </c>
      <c r="AD1259" s="21" t="str">
        <f t="shared" si="202"/>
        <v>4153-Introduction de la politique d’octroi des bourses sur critères</v>
      </c>
    </row>
    <row r="1260" spans="1:30" s="22" customFormat="1" ht="45" hidden="1" customHeight="1" x14ac:dyDescent="0.8">
      <c r="A1260" s="14">
        <v>4</v>
      </c>
      <c r="B1260" s="15">
        <v>41</v>
      </c>
      <c r="C1260" s="15">
        <v>415</v>
      </c>
      <c r="D1260" s="15">
        <v>4153</v>
      </c>
      <c r="E1260" s="15">
        <v>41531</v>
      </c>
      <c r="F1260" s="16" t="s">
        <v>1649</v>
      </c>
      <c r="G1260" s="21" t="s">
        <v>167</v>
      </c>
      <c r="H1260" s="17" t="s">
        <v>646</v>
      </c>
      <c r="I1260" s="33">
        <v>0</v>
      </c>
      <c r="J1260" s="33"/>
      <c r="K1260" s="33"/>
      <c r="L1260" s="33"/>
      <c r="M1260" s="33">
        <f t="shared" si="200"/>
        <v>0</v>
      </c>
      <c r="N1260" s="33">
        <f>IF(OR(H1260="",H1260="sif",H1260="PM"),0,VLOOKUP(H1260,[5]CU!$C$4:$H$255,6,FALSE))</f>
        <v>10.404797</v>
      </c>
      <c r="O1260" s="33">
        <f t="shared" si="201"/>
        <v>0</v>
      </c>
      <c r="P1260" s="33">
        <f t="shared" si="201"/>
        <v>0</v>
      </c>
      <c r="Q1260" s="33">
        <f t="shared" si="201"/>
        <v>0</v>
      </c>
      <c r="R1260" s="33">
        <f t="shared" si="201"/>
        <v>0</v>
      </c>
      <c r="S1260" s="34">
        <f>SUM(O1260:R1260)</f>
        <v>0</v>
      </c>
      <c r="T1260" s="35" t="s">
        <v>56</v>
      </c>
      <c r="U1260" s="18" t="s">
        <v>1600</v>
      </c>
      <c r="V1260" s="18" t="str">
        <f>IF(OR($H1260="",$H1260="sif",$H1260="PM"),"",VLOOKUP($H1260,[5]CU!$C$5:$J$255,8,FALSE))</f>
        <v>3. Dépenses de fonctionnement</v>
      </c>
      <c r="W1260" s="18" t="s">
        <v>255</v>
      </c>
      <c r="X1260" s="18" t="s">
        <v>1650</v>
      </c>
      <c r="Y1260" s="18" t="s">
        <v>679</v>
      </c>
      <c r="Z1260" s="18" t="str">
        <f>A1260 &amp; "-" &amp; VLOOKUP(A1260,[4]PROGRAMMES!$E$1:$F$7,2,FALSE)</f>
        <v>4-Réforme de l’enseignement supérieur et la recherche scientifique et de l'innovation</v>
      </c>
      <c r="AA1260" s="19" t="str">
        <f>B1260 &amp; "-" &amp; VLOOKUP(B1260,[4]SOUSPROGRAMMES!$E$1:$F$44,2,FALSE)</f>
        <v>41- Gouvernance et pilotage de l’enseignement supérieur et de la recherche scientifique</v>
      </c>
      <c r="AB1260" s="19" t="str">
        <f>C1260 &amp; "-" &amp; VLOOKUP(C1260,[4]RESULTATS!$E$1:$F$176,2,FALSE)</f>
        <v>415- L’évolution quantitative de l’enseignement supérieur est maitrisée</v>
      </c>
      <c r="AC1260" s="20" t="str">
        <f>D1260 &amp; "-" &amp; VLOOKUP(D1260,[4]STRATEGIES!$E$1:$F$504,2,FALSE)</f>
        <v>4153-Introduction de la politique d’octroi des bourses sur critères</v>
      </c>
      <c r="AD1260" s="21" t="str">
        <f t="shared" si="202"/>
        <v>41531-Réalisation d'une étude de faisabilité</v>
      </c>
    </row>
    <row r="1261" spans="1:30" s="22" customFormat="1" ht="45" hidden="1" customHeight="1" x14ac:dyDescent="0.8">
      <c r="A1261" s="14">
        <v>4</v>
      </c>
      <c r="B1261" s="15">
        <v>41</v>
      </c>
      <c r="C1261" s="15">
        <v>415</v>
      </c>
      <c r="D1261" s="15">
        <v>4153</v>
      </c>
      <c r="E1261" s="15">
        <v>41532</v>
      </c>
      <c r="F1261" s="16" t="s">
        <v>1651</v>
      </c>
      <c r="G1261" s="21" t="s">
        <v>88</v>
      </c>
      <c r="H1261" s="17" t="s">
        <v>55</v>
      </c>
      <c r="I1261" s="33">
        <v>0</v>
      </c>
      <c r="J1261" s="33">
        <v>1</v>
      </c>
      <c r="K1261" s="33"/>
      <c r="L1261" s="33"/>
      <c r="M1261" s="33">
        <f t="shared" si="200"/>
        <v>1</v>
      </c>
      <c r="N1261" s="33">
        <f>IF(OR(H1261="",H1261="sif",H1261="PM"),0,VLOOKUP(H1261,[5]CU!$C$4:$H$255,6,FALSE))</f>
        <v>0</v>
      </c>
      <c r="O1261" s="33">
        <f t="shared" si="201"/>
        <v>0</v>
      </c>
      <c r="P1261" s="33">
        <f t="shared" si="201"/>
        <v>0</v>
      </c>
      <c r="Q1261" s="33">
        <f t="shared" si="201"/>
        <v>0</v>
      </c>
      <c r="R1261" s="33">
        <f t="shared" si="201"/>
        <v>0</v>
      </c>
      <c r="S1261" s="34"/>
      <c r="T1261" s="35" t="s">
        <v>56</v>
      </c>
      <c r="U1261" s="18" t="s">
        <v>1600</v>
      </c>
      <c r="V1261" s="18" t="str">
        <f>IF(OR($H1261="",$H1261="sif",$H1261="PM"),"",VLOOKUP($H1261,[5]CU!$C$5:$J$255,8,FALSE))</f>
        <v/>
      </c>
      <c r="W1261" s="18" t="s">
        <v>255</v>
      </c>
      <c r="X1261" s="18" t="s">
        <v>1647</v>
      </c>
      <c r="Y1261" s="18" t="s">
        <v>679</v>
      </c>
      <c r="Z1261" s="18" t="str">
        <f>A1261 &amp; "-" &amp; VLOOKUP(A1261,[4]PROGRAMMES!$E$1:$F$7,2,FALSE)</f>
        <v>4-Réforme de l’enseignement supérieur et la recherche scientifique et de l'innovation</v>
      </c>
      <c r="AA1261" s="19" t="str">
        <f>B1261 &amp; "-" &amp; VLOOKUP(B1261,[4]SOUSPROGRAMMES!$E$1:$F$44,2,FALSE)</f>
        <v>41- Gouvernance et pilotage de l’enseignement supérieur et de la recherche scientifique</v>
      </c>
      <c r="AB1261" s="19" t="str">
        <f>C1261 &amp; "-" &amp; VLOOKUP(C1261,[4]RESULTATS!$E$1:$F$176,2,FALSE)</f>
        <v>415- L’évolution quantitative de l’enseignement supérieur est maitrisée</v>
      </c>
      <c r="AC1261" s="20" t="str">
        <f>D1261 &amp; "-" &amp; VLOOKUP(D1261,[4]STRATEGIES!$E$1:$F$504,2,FALSE)</f>
        <v>4153-Introduction de la politique d’octroi des bourses sur critères</v>
      </c>
      <c r="AD1261" s="21" t="str">
        <f t="shared" si="202"/>
        <v>41532-Adoption de la politique d'octroi des bourses sur critères</v>
      </c>
    </row>
    <row r="1262" spans="1:30" s="22" customFormat="1" ht="45" hidden="1" customHeight="1" x14ac:dyDescent="0.8">
      <c r="A1262" s="14">
        <v>4</v>
      </c>
      <c r="B1262" s="15">
        <v>41</v>
      </c>
      <c r="C1262" s="15">
        <v>415</v>
      </c>
      <c r="D1262" s="15">
        <v>4153</v>
      </c>
      <c r="E1262" s="15">
        <v>41533</v>
      </c>
      <c r="F1262" s="16" t="s">
        <v>1652</v>
      </c>
      <c r="G1262" s="21" t="s">
        <v>321</v>
      </c>
      <c r="H1262" s="17" t="s">
        <v>55</v>
      </c>
      <c r="I1262" s="33">
        <v>0</v>
      </c>
      <c r="J1262" s="33">
        <v>1</v>
      </c>
      <c r="K1262" s="33">
        <v>1</v>
      </c>
      <c r="L1262" s="33"/>
      <c r="M1262" s="33">
        <f t="shared" si="200"/>
        <v>2</v>
      </c>
      <c r="N1262" s="33">
        <f>IF(OR(H1262="",H1262="sif",H1262="PM"),0,VLOOKUP(H1262,[5]CU!$C$4:$H$255,6,FALSE))</f>
        <v>0</v>
      </c>
      <c r="O1262" s="33">
        <f t="shared" si="201"/>
        <v>0</v>
      </c>
      <c r="P1262" s="33">
        <f t="shared" si="201"/>
        <v>0</v>
      </c>
      <c r="Q1262" s="33">
        <f t="shared" si="201"/>
        <v>0</v>
      </c>
      <c r="R1262" s="33">
        <f t="shared" si="201"/>
        <v>0</v>
      </c>
      <c r="S1262" s="34"/>
      <c r="T1262" s="35" t="s">
        <v>56</v>
      </c>
      <c r="U1262" s="18" t="s">
        <v>1600</v>
      </c>
      <c r="V1262" s="18" t="str">
        <f>IF(OR($H1262="",$H1262="sif",$H1262="PM"),"",VLOOKUP($H1262,[5]CU!$C$5:$J$255,8,FALSE))</f>
        <v/>
      </c>
      <c r="W1262" s="18" t="s">
        <v>255</v>
      </c>
      <c r="X1262" s="18" t="s">
        <v>1647</v>
      </c>
      <c r="Y1262" s="18" t="s">
        <v>679</v>
      </c>
      <c r="Z1262" s="18" t="str">
        <f>A1262 &amp; "-" &amp; VLOOKUP(A1262,[4]PROGRAMMES!$E$1:$F$7,2,FALSE)</f>
        <v>4-Réforme de l’enseignement supérieur et la recherche scientifique et de l'innovation</v>
      </c>
      <c r="AA1262" s="19" t="str">
        <f>B1262 &amp; "-" &amp; VLOOKUP(B1262,[4]SOUSPROGRAMMES!$E$1:$F$44,2,FALSE)</f>
        <v>41- Gouvernance et pilotage de l’enseignement supérieur et de la recherche scientifique</v>
      </c>
      <c r="AB1262" s="19" t="str">
        <f>C1262 &amp; "-" &amp; VLOOKUP(C1262,[4]RESULTATS!$E$1:$F$176,2,FALSE)</f>
        <v>415- L’évolution quantitative de l’enseignement supérieur est maitrisée</v>
      </c>
      <c r="AC1262" s="20" t="str">
        <f>D1262 &amp; "-" &amp; VLOOKUP(D1262,[4]STRATEGIES!$E$1:$F$504,2,FALSE)</f>
        <v>4153-Introduction de la politique d’octroi des bourses sur critères</v>
      </c>
      <c r="AD1262" s="21" t="str">
        <f t="shared" si="202"/>
        <v>41533-Mise en place de la politique d'octroi des bourses sur critères au niveau national</v>
      </c>
    </row>
    <row r="1263" spans="1:30" s="22" customFormat="1" ht="45" hidden="1" customHeight="1" x14ac:dyDescent="0.8">
      <c r="A1263" s="14">
        <v>4</v>
      </c>
      <c r="B1263" s="15">
        <v>41</v>
      </c>
      <c r="C1263" s="15">
        <v>415</v>
      </c>
      <c r="D1263" s="15">
        <v>4153</v>
      </c>
      <c r="E1263" s="15">
        <v>41534</v>
      </c>
      <c r="F1263" s="16" t="s">
        <v>1653</v>
      </c>
      <c r="G1263" s="21" t="s">
        <v>321</v>
      </c>
      <c r="H1263" s="17" t="s">
        <v>55</v>
      </c>
      <c r="I1263" s="33">
        <v>0</v>
      </c>
      <c r="J1263" s="33">
        <v>1</v>
      </c>
      <c r="K1263" s="33">
        <v>1</v>
      </c>
      <c r="L1263" s="33"/>
      <c r="M1263" s="33">
        <f t="shared" si="200"/>
        <v>2</v>
      </c>
      <c r="N1263" s="33">
        <f>IF(OR(H1263="",H1263="sif",H1263="PM"),0,VLOOKUP(H1263,[5]CU!$C$4:$H$255,6,FALSE))</f>
        <v>0</v>
      </c>
      <c r="O1263" s="33">
        <f t="shared" si="201"/>
        <v>0</v>
      </c>
      <c r="P1263" s="33">
        <f t="shared" si="201"/>
        <v>0</v>
      </c>
      <c r="Q1263" s="33">
        <f t="shared" si="201"/>
        <v>0</v>
      </c>
      <c r="R1263" s="33">
        <f t="shared" si="201"/>
        <v>0</v>
      </c>
      <c r="S1263" s="34"/>
      <c r="T1263" s="35" t="s">
        <v>56</v>
      </c>
      <c r="U1263" s="18" t="s">
        <v>1600</v>
      </c>
      <c r="V1263" s="18" t="str">
        <f>IF(OR($H1263="",$H1263="sif",$H1263="PM"),"",VLOOKUP($H1263,[5]CU!$C$5:$J$255,8,FALSE))</f>
        <v/>
      </c>
      <c r="W1263" s="18" t="s">
        <v>255</v>
      </c>
      <c r="X1263" s="18" t="s">
        <v>1647</v>
      </c>
      <c r="Y1263" s="18" t="s">
        <v>679</v>
      </c>
      <c r="Z1263" s="18" t="str">
        <f>A1263 &amp; "-" &amp; VLOOKUP(A1263,[4]PROGRAMMES!$E$1:$F$7,2,FALSE)</f>
        <v>4-Réforme de l’enseignement supérieur et la recherche scientifique et de l'innovation</v>
      </c>
      <c r="AA1263" s="19" t="str">
        <f>B1263 &amp; "-" &amp; VLOOKUP(B1263,[4]SOUSPROGRAMMES!$E$1:$F$44,2,FALSE)</f>
        <v>41- Gouvernance et pilotage de l’enseignement supérieur et de la recherche scientifique</v>
      </c>
      <c r="AB1263" s="19" t="str">
        <f>C1263 &amp; "-" &amp; VLOOKUP(C1263,[4]RESULTATS!$E$1:$F$176,2,FALSE)</f>
        <v>415- L’évolution quantitative de l’enseignement supérieur est maitrisée</v>
      </c>
      <c r="AC1263" s="20" t="str">
        <f>D1263 &amp; "-" &amp; VLOOKUP(D1263,[4]STRATEGIES!$E$1:$F$504,2,FALSE)</f>
        <v>4153-Introduction de la politique d’octroi des bourses sur critères</v>
      </c>
      <c r="AD1263" s="21" t="str">
        <f t="shared" si="202"/>
        <v>41534-Mise en place de la politique d'octroi des bourses sur critères à l'étranger</v>
      </c>
    </row>
    <row r="1264" spans="1:30" s="22" customFormat="1" ht="45" hidden="1" customHeight="1" x14ac:dyDescent="0.8">
      <c r="A1264" s="14">
        <v>4</v>
      </c>
      <c r="B1264" s="15">
        <v>41</v>
      </c>
      <c r="C1264" s="15">
        <v>415</v>
      </c>
      <c r="D1264" s="15">
        <v>4153</v>
      </c>
      <c r="E1264" s="15">
        <v>41535</v>
      </c>
      <c r="F1264" s="16" t="s">
        <v>1654</v>
      </c>
      <c r="G1264" s="21" t="s">
        <v>1655</v>
      </c>
      <c r="H1264" s="17" t="s">
        <v>1656</v>
      </c>
      <c r="I1264" s="33">
        <v>0</v>
      </c>
      <c r="J1264" s="33">
        <v>0.819592066087932</v>
      </c>
      <c r="K1264" s="33">
        <v>0.86057166939232899</v>
      </c>
      <c r="L1264" s="33">
        <v>0.90360025286194501</v>
      </c>
      <c r="M1264" s="33">
        <f t="shared" si="200"/>
        <v>2.5837639883422061</v>
      </c>
      <c r="N1264" s="33">
        <f>IF(OR(H1264="",H1264="sif",H1264="PM"),0,VLOOKUP(H1264,[5]CU!$C$4:$H$255,6,FALSE))</f>
        <v>52229.201482749202</v>
      </c>
      <c r="O1264" s="33">
        <f t="shared" si="201"/>
        <v>0</v>
      </c>
      <c r="P1264" s="33">
        <f t="shared" si="201"/>
        <v>42806.639153369302</v>
      </c>
      <c r="Q1264" s="33">
        <f t="shared" si="201"/>
        <v>44946.971111037783</v>
      </c>
      <c r="R1264" s="33">
        <f t="shared" si="201"/>
        <v>47194.319666589654</v>
      </c>
      <c r="S1264" s="34">
        <f>SUM(O1264:R1264)</f>
        <v>134947.92993099673</v>
      </c>
      <c r="T1264" s="35" t="s">
        <v>56</v>
      </c>
      <c r="U1264" s="18" t="s">
        <v>1600</v>
      </c>
      <c r="V1264" s="18" t="str">
        <f>IF(OR($H1264="",$H1264="sif",$H1264="PM"),"",VLOOKUP($H1264,[5]CU!$C$5:$J$255,8,FALSE))</f>
        <v>4. Transferts et subventions</v>
      </c>
      <c r="W1264" s="18" t="s">
        <v>255</v>
      </c>
      <c r="X1264" s="18" t="s">
        <v>1647</v>
      </c>
      <c r="Y1264" s="18" t="s">
        <v>679</v>
      </c>
      <c r="Z1264" s="18" t="str">
        <f>A1264 &amp; "-" &amp; VLOOKUP(A1264,[4]PROGRAMMES!$E$1:$F$7,2,FALSE)</f>
        <v>4-Réforme de l’enseignement supérieur et la recherche scientifique et de l'innovation</v>
      </c>
      <c r="AA1264" s="19" t="str">
        <f>B1264 &amp; "-" &amp; VLOOKUP(B1264,[4]SOUSPROGRAMMES!$E$1:$F$44,2,FALSE)</f>
        <v>41- Gouvernance et pilotage de l’enseignement supérieur et de la recherche scientifique</v>
      </c>
      <c r="AB1264" s="19" t="str">
        <f>C1264 &amp; "-" &amp; VLOOKUP(C1264,[4]RESULTATS!$E$1:$F$176,2,FALSE)</f>
        <v>415- L’évolution quantitative de l’enseignement supérieur est maitrisée</v>
      </c>
      <c r="AC1264" s="20" t="str">
        <f>D1264 &amp; "-" &amp; VLOOKUP(D1264,[4]STRATEGIES!$E$1:$F$504,2,FALSE)</f>
        <v>4153-Introduction de la politique d’octroi des bourses sur critères</v>
      </c>
      <c r="AD1264" s="21" t="str">
        <f t="shared" si="202"/>
        <v xml:space="preserve">41535-Octroi des bourses nationales </v>
      </c>
    </row>
    <row r="1265" spans="1:30" s="22" customFormat="1" ht="45" hidden="1" customHeight="1" x14ac:dyDescent="0.8">
      <c r="A1265" s="14">
        <v>4</v>
      </c>
      <c r="B1265" s="15">
        <v>41</v>
      </c>
      <c r="C1265" s="15">
        <v>415</v>
      </c>
      <c r="D1265" s="15">
        <v>4153</v>
      </c>
      <c r="E1265" s="15">
        <v>41536</v>
      </c>
      <c r="F1265" s="16" t="s">
        <v>1657</v>
      </c>
      <c r="G1265" s="21" t="s">
        <v>1658</v>
      </c>
      <c r="H1265" s="17" t="s">
        <v>1659</v>
      </c>
      <c r="I1265" s="33">
        <v>0</v>
      </c>
      <c r="J1265" s="33">
        <v>1.0499955966152299</v>
      </c>
      <c r="K1265" s="33">
        <v>1.0392349721510801</v>
      </c>
      <c r="L1265" s="33">
        <v>1.0261856965719001</v>
      </c>
      <c r="M1265" s="33">
        <f t="shared" si="200"/>
        <v>3.1154162653382103</v>
      </c>
      <c r="N1265" s="33">
        <f>IF(OR(H1265="",H1265="sif",H1265="PM"),0,VLOOKUP(H1265,[5]CU!$C$4:$H$255,6,FALSE))</f>
        <v>61533.247835278897</v>
      </c>
      <c r="O1265" s="33">
        <f t="shared" si="201"/>
        <v>0</v>
      </c>
      <c r="P1265" s="33">
        <f t="shared" si="201"/>
        <v>64609.639272476466</v>
      </c>
      <c r="Q1265" s="33">
        <f t="shared" si="201"/>
        <v>63947.503100461574</v>
      </c>
      <c r="R1265" s="33">
        <f t="shared" si="201"/>
        <v>63144.538792177038</v>
      </c>
      <c r="S1265" s="34">
        <f>SUM(O1265:R1265)</f>
        <v>191701.68116511509</v>
      </c>
      <c r="T1265" s="35" t="s">
        <v>56</v>
      </c>
      <c r="U1265" s="18" t="s">
        <v>1600</v>
      </c>
      <c r="V1265" s="18" t="str">
        <f>IF(OR($H1265="",$H1265="sif",$H1265="PM"),"",VLOOKUP($H1265,[5]CU!$C$5:$J$255,8,FALSE))</f>
        <v>4. Transferts et subventions</v>
      </c>
      <c r="W1265" s="18" t="s">
        <v>255</v>
      </c>
      <c r="X1265" s="18" t="s">
        <v>1647</v>
      </c>
      <c r="Y1265" s="18" t="s">
        <v>679</v>
      </c>
      <c r="Z1265" s="18" t="str">
        <f>A1265 &amp; "-" &amp; VLOOKUP(A1265,[4]PROGRAMMES!$E$1:$F$7,2,FALSE)</f>
        <v>4-Réforme de l’enseignement supérieur et la recherche scientifique et de l'innovation</v>
      </c>
      <c r="AA1265" s="19" t="str">
        <f>B1265 &amp; "-" &amp; VLOOKUP(B1265,[4]SOUSPROGRAMMES!$E$1:$F$44,2,FALSE)</f>
        <v>41- Gouvernance et pilotage de l’enseignement supérieur et de la recherche scientifique</v>
      </c>
      <c r="AB1265" s="19" t="str">
        <f>C1265 &amp; "-" &amp; VLOOKUP(C1265,[4]RESULTATS!$E$1:$F$176,2,FALSE)</f>
        <v>415- L’évolution quantitative de l’enseignement supérieur est maitrisée</v>
      </c>
      <c r="AC1265" s="20" t="str">
        <f>D1265 &amp; "-" &amp; VLOOKUP(D1265,[4]STRATEGIES!$E$1:$F$504,2,FALSE)</f>
        <v>4153-Introduction de la politique d’octroi des bourses sur critères</v>
      </c>
      <c r="AD1265" s="21" t="str">
        <f t="shared" si="202"/>
        <v xml:space="preserve">41536-Octroi des bourses à l'étranger </v>
      </c>
    </row>
    <row r="1266" spans="1:30" s="22" customFormat="1" ht="45" hidden="1" customHeight="1" x14ac:dyDescent="0.8">
      <c r="A1266" s="14">
        <v>4</v>
      </c>
      <c r="B1266" s="15">
        <v>41</v>
      </c>
      <c r="C1266" s="15">
        <v>415</v>
      </c>
      <c r="D1266" s="15">
        <v>4153</v>
      </c>
      <c r="E1266" s="15">
        <v>41537</v>
      </c>
      <c r="F1266" s="16" t="s">
        <v>1660</v>
      </c>
      <c r="G1266" s="21" t="s">
        <v>1658</v>
      </c>
      <c r="H1266" s="17" t="s">
        <v>1661</v>
      </c>
      <c r="I1266" s="33">
        <v>0</v>
      </c>
      <c r="J1266" s="33">
        <v>0</v>
      </c>
      <c r="K1266" s="33">
        <v>0</v>
      </c>
      <c r="L1266" s="33">
        <v>0</v>
      </c>
      <c r="M1266" s="33">
        <f t="shared" si="200"/>
        <v>0</v>
      </c>
      <c r="N1266" s="33">
        <f>IF(OR(H1266="",H1266="sif",H1266="PM"),0,VLOOKUP(H1266,[5]CU!$C$4:$H$255,6,FALSE))</f>
        <v>91174.7</v>
      </c>
      <c r="O1266" s="33">
        <f t="shared" si="201"/>
        <v>0</v>
      </c>
      <c r="P1266" s="33">
        <f t="shared" si="201"/>
        <v>0</v>
      </c>
      <c r="Q1266" s="33">
        <f t="shared" si="201"/>
        <v>0</v>
      </c>
      <c r="R1266" s="33">
        <f t="shared" si="201"/>
        <v>0</v>
      </c>
      <c r="S1266" s="34">
        <f>SUM(O1266:R1266)</f>
        <v>0</v>
      </c>
      <c r="T1266" s="35" t="s">
        <v>56</v>
      </c>
      <c r="U1266" s="18" t="s">
        <v>1600</v>
      </c>
      <c r="V1266" s="18" t="str">
        <f>IF(OR($H1266="",$H1266="sif",$H1266="PM"),"",VLOOKUP($H1266,[5]CU!$C$5:$J$255,8,FALSE))</f>
        <v>4. Transferts et subventions</v>
      </c>
      <c r="W1266" s="18" t="s">
        <v>255</v>
      </c>
      <c r="X1266" s="18" t="s">
        <v>1647</v>
      </c>
      <c r="Y1266" s="18" t="s">
        <v>679</v>
      </c>
      <c r="Z1266" s="18" t="str">
        <f>A1266 &amp; "-" &amp; VLOOKUP(A1266,[4]PROGRAMMES!$E$1:$F$7,2,FALSE)</f>
        <v>4-Réforme de l’enseignement supérieur et la recherche scientifique et de l'innovation</v>
      </c>
      <c r="AA1266" s="19" t="str">
        <f>B1266 &amp; "-" &amp; VLOOKUP(B1266,[4]SOUSPROGRAMMES!$E$1:$F$44,2,FALSE)</f>
        <v>41- Gouvernance et pilotage de l’enseignement supérieur et de la recherche scientifique</v>
      </c>
      <c r="AB1266" s="19" t="str">
        <f>C1266 &amp; "-" &amp; VLOOKUP(C1266,[4]RESULTATS!$E$1:$F$176,2,FALSE)</f>
        <v>415- L’évolution quantitative de l’enseignement supérieur est maitrisée</v>
      </c>
      <c r="AC1266" s="20" t="str">
        <f>D1266 &amp; "-" &amp; VLOOKUP(D1266,[4]STRATEGIES!$E$1:$F$504,2,FALSE)</f>
        <v>4153-Introduction de la politique d’octroi des bourses sur critères</v>
      </c>
      <c r="AD1266" s="21" t="str">
        <f t="shared" si="202"/>
        <v>41537-Octroi des bourses pour les étudiants orientés dans les universités privés (Fin 2019)</v>
      </c>
    </row>
    <row r="1267" spans="1:30" s="22" customFormat="1" ht="45" hidden="1" customHeight="1" x14ac:dyDescent="0.8">
      <c r="A1267" s="14">
        <v>4</v>
      </c>
      <c r="B1267" s="15">
        <v>41</v>
      </c>
      <c r="C1267" s="15">
        <v>416</v>
      </c>
      <c r="D1267" s="15">
        <v>416</v>
      </c>
      <c r="E1267" s="15">
        <v>416</v>
      </c>
      <c r="F1267" s="16" t="s">
        <v>1662</v>
      </c>
      <c r="G1267" s="17"/>
      <c r="H1267" s="17"/>
      <c r="I1267" s="33">
        <v>0</v>
      </c>
      <c r="J1267" s="33"/>
      <c r="K1267" s="33"/>
      <c r="L1267" s="33"/>
      <c r="M1267" s="33"/>
      <c r="N1267" s="33"/>
      <c r="O1267" s="33"/>
      <c r="P1267" s="33"/>
      <c r="Q1267" s="33"/>
      <c r="R1267" s="33"/>
      <c r="S1267" s="34"/>
      <c r="T1267" s="33"/>
      <c r="U1267" s="18"/>
      <c r="V1267" s="18"/>
      <c r="W1267" s="18"/>
      <c r="X1267" s="18"/>
      <c r="Y1267" s="18" t="s">
        <v>679</v>
      </c>
      <c r="Z1267" s="18" t="str">
        <f>A1267 &amp; "-" &amp; VLOOKUP(A1267,[4]PROGRAMMES!$E$1:$F$7,2,FALSE)</f>
        <v>4-Réforme de l’enseignement supérieur et la recherche scientifique et de l'innovation</v>
      </c>
      <c r="AA1267" s="19" t="str">
        <f>B1267 &amp; "-" &amp; VLOOKUP(B1267,[4]SOUSPROGRAMMES!$E$1:$F$44,2,FALSE)</f>
        <v>41- Gouvernance et pilotage de l’enseignement supérieur et de la recherche scientifique</v>
      </c>
      <c r="AB1267" s="19" t="str">
        <f>C1267 &amp; "-" &amp; VLOOKUP(C1267,[4]RESULTATS!$E$1:$F$176,2,FALSE)</f>
        <v>416- Les organes de gouvernance sont fonctionnels</v>
      </c>
      <c r="AC1267" s="20" t="str">
        <f>D1267 &amp; "-" &amp; VLOOKUP(D1267,[4]STRATEGIES!$E$1:$F$504,2,FALSE)</f>
        <v>416- Les organes de gouvernance sont fonctionnels</v>
      </c>
      <c r="AD1267" s="21" t="str">
        <f t="shared" si="202"/>
        <v>416- Les organes de gouvernance sont fonctionnels</v>
      </c>
    </row>
    <row r="1268" spans="1:30" s="22" customFormat="1" ht="45" hidden="1" customHeight="1" x14ac:dyDescent="0.8">
      <c r="A1268" s="14">
        <v>4</v>
      </c>
      <c r="B1268" s="15">
        <v>41</v>
      </c>
      <c r="C1268" s="15">
        <v>416</v>
      </c>
      <c r="D1268" s="15">
        <v>4161</v>
      </c>
      <c r="E1268" s="15">
        <v>4161</v>
      </c>
      <c r="F1268" s="16" t="s">
        <v>1663</v>
      </c>
      <c r="G1268" s="17"/>
      <c r="H1268" s="17"/>
      <c r="I1268" s="33">
        <v>0</v>
      </c>
      <c r="J1268" s="33"/>
      <c r="K1268" s="33"/>
      <c r="L1268" s="33"/>
      <c r="M1268" s="33"/>
      <c r="N1268" s="33"/>
      <c r="O1268" s="33"/>
      <c r="P1268" s="33"/>
      <c r="Q1268" s="33"/>
      <c r="R1268" s="33"/>
      <c r="S1268" s="34"/>
      <c r="T1268" s="33"/>
      <c r="U1268" s="18"/>
      <c r="V1268" s="18"/>
      <c r="W1268" s="18"/>
      <c r="X1268" s="18"/>
      <c r="Y1268" s="18" t="s">
        <v>679</v>
      </c>
      <c r="Z1268" s="18" t="str">
        <f>A1268 &amp; "-" &amp; VLOOKUP(A1268,[4]PROGRAMMES!$E$1:$F$7,2,FALSE)</f>
        <v>4-Réforme de l’enseignement supérieur et la recherche scientifique et de l'innovation</v>
      </c>
      <c r="AA1268" s="19" t="str">
        <f>B1268 &amp; "-" &amp; VLOOKUP(B1268,[4]SOUSPROGRAMMES!$E$1:$F$44,2,FALSE)</f>
        <v>41- Gouvernance et pilotage de l’enseignement supérieur et de la recherche scientifique</v>
      </c>
      <c r="AB1268" s="19" t="str">
        <f>C1268 &amp; "-" &amp; VLOOKUP(C1268,[4]RESULTATS!$E$1:$F$176,2,FALSE)</f>
        <v>416- Les organes de gouvernance sont fonctionnels</v>
      </c>
      <c r="AC1268" s="20" t="str">
        <f>D1268 &amp; "-" &amp; VLOOKUP(D1268,[4]STRATEGIES!$E$1:$F$504,2,FALSE)</f>
        <v>4161-Organisation des Conseils/Comités</v>
      </c>
      <c r="AD1268" s="21" t="str">
        <f t="shared" si="202"/>
        <v>4161-Organisation des Conseils/Comités</v>
      </c>
    </row>
    <row r="1269" spans="1:30" s="22" customFormat="1" ht="45" hidden="1" customHeight="1" x14ac:dyDescent="0.8">
      <c r="A1269" s="14">
        <v>4</v>
      </c>
      <c r="B1269" s="15">
        <v>41</v>
      </c>
      <c r="C1269" s="15">
        <v>416</v>
      </c>
      <c r="D1269" s="15">
        <v>4161</v>
      </c>
      <c r="E1269" s="15">
        <v>41611</v>
      </c>
      <c r="F1269" s="16" t="s">
        <v>1664</v>
      </c>
      <c r="G1269" s="21" t="s">
        <v>92</v>
      </c>
      <c r="H1269" s="17" t="s">
        <v>55</v>
      </c>
      <c r="I1269" s="33">
        <v>0</v>
      </c>
      <c r="J1269" s="33"/>
      <c r="K1269" s="33">
        <v>1</v>
      </c>
      <c r="L1269" s="33">
        <v>1</v>
      </c>
      <c r="M1269" s="33">
        <f t="shared" si="200"/>
        <v>2</v>
      </c>
      <c r="N1269" s="33">
        <f>IF(OR(H1269="",H1269="sif",H1269="PM"),0,VLOOKUP(H1269,[5]CU!$C$4:$H$255,6,FALSE))</f>
        <v>0</v>
      </c>
      <c r="O1269" s="33">
        <f t="shared" si="201"/>
        <v>0</v>
      </c>
      <c r="P1269" s="33">
        <f t="shared" si="201"/>
        <v>0</v>
      </c>
      <c r="Q1269" s="33">
        <f t="shared" si="201"/>
        <v>0</v>
      </c>
      <c r="R1269" s="33">
        <f t="shared" si="201"/>
        <v>0</v>
      </c>
      <c r="S1269" s="34"/>
      <c r="T1269" s="35" t="s">
        <v>169</v>
      </c>
      <c r="U1269" s="18" t="s">
        <v>1600</v>
      </c>
      <c r="V1269" s="18" t="str">
        <f>IF(OR($H1269="",$H1269="sif",$H1269="PM"),"",VLOOKUP($H1269,[5]CU!$C$5:$J$255,8,FALSE))</f>
        <v/>
      </c>
      <c r="W1269" s="18" t="s">
        <v>255</v>
      </c>
      <c r="X1269" s="18" t="s">
        <v>1665</v>
      </c>
      <c r="Y1269" s="18" t="s">
        <v>679</v>
      </c>
      <c r="Z1269" s="18" t="str">
        <f>A1269 &amp; "-" &amp; VLOOKUP(A1269,[4]PROGRAMMES!$E$1:$F$7,2,FALSE)</f>
        <v>4-Réforme de l’enseignement supérieur et la recherche scientifique et de l'innovation</v>
      </c>
      <c r="AA1269" s="19" t="str">
        <f>B1269 &amp; "-" &amp; VLOOKUP(B1269,[4]SOUSPROGRAMMES!$E$1:$F$44,2,FALSE)</f>
        <v>41- Gouvernance et pilotage de l’enseignement supérieur et de la recherche scientifique</v>
      </c>
      <c r="AB1269" s="19" t="str">
        <f>C1269 &amp; "-" &amp; VLOOKUP(C1269,[4]RESULTATS!$E$1:$F$176,2,FALSE)</f>
        <v>416- Les organes de gouvernance sont fonctionnels</v>
      </c>
      <c r="AC1269" s="20" t="str">
        <f>D1269 &amp; "-" &amp; VLOOKUP(D1269,[4]STRATEGIES!$E$1:$F$504,2,FALSE)</f>
        <v>4161-Organisation des Conseils/Comités</v>
      </c>
      <c r="AD1269" s="21" t="str">
        <f t="shared" si="202"/>
        <v>41611-Tenue de conseils/comités (jetons de présence pris en charge dans les subventions des IES)</v>
      </c>
    </row>
    <row r="1270" spans="1:30" s="22" customFormat="1" ht="45" hidden="1" customHeight="1" x14ac:dyDescent="0.8">
      <c r="A1270" s="14">
        <v>4</v>
      </c>
      <c r="B1270" s="15">
        <v>41</v>
      </c>
      <c r="C1270" s="15">
        <v>416</v>
      </c>
      <c r="D1270" s="15">
        <v>4162</v>
      </c>
      <c r="E1270" s="15">
        <v>4162</v>
      </c>
      <c r="F1270" s="16" t="s">
        <v>1666</v>
      </c>
      <c r="G1270" s="17"/>
      <c r="H1270" s="17"/>
      <c r="I1270" s="33">
        <v>0</v>
      </c>
      <c r="J1270" s="33"/>
      <c r="K1270" s="33"/>
      <c r="L1270" s="33"/>
      <c r="M1270" s="33"/>
      <c r="N1270" s="33"/>
      <c r="O1270" s="33"/>
      <c r="P1270" s="33"/>
      <c r="Q1270" s="33"/>
      <c r="R1270" s="33"/>
      <c r="S1270" s="34"/>
      <c r="T1270" s="33"/>
      <c r="U1270" s="18"/>
      <c r="V1270" s="18"/>
      <c r="W1270" s="18"/>
      <c r="X1270" s="18"/>
      <c r="Y1270" s="18" t="s">
        <v>679</v>
      </c>
      <c r="Z1270" s="18" t="str">
        <f>A1270 &amp; "-" &amp; VLOOKUP(A1270,[4]PROGRAMMES!$E$1:$F$7,2,FALSE)</f>
        <v>4-Réforme de l’enseignement supérieur et la recherche scientifique et de l'innovation</v>
      </c>
      <c r="AA1270" s="19" t="str">
        <f>B1270 &amp; "-" &amp; VLOOKUP(B1270,[4]SOUSPROGRAMMES!$E$1:$F$44,2,FALSE)</f>
        <v>41- Gouvernance et pilotage de l’enseignement supérieur et de la recherche scientifique</v>
      </c>
      <c r="AB1270" s="19" t="str">
        <f>C1270 &amp; "-" &amp; VLOOKUP(C1270,[4]RESULTATS!$E$1:$F$176,2,FALSE)</f>
        <v>416- Les organes de gouvernance sont fonctionnels</v>
      </c>
      <c r="AC1270" s="20" t="str">
        <f>D1270 &amp; "-" &amp; VLOOKUP(D1270,[4]STRATEGIES!$E$1:$F$504,2,FALSE)</f>
        <v>4162-Mise en œuvre des textes de gouvernance</v>
      </c>
      <c r="AD1270" s="21" t="str">
        <f t="shared" si="202"/>
        <v>4162-Mise en œuvre des textes de gouvernance</v>
      </c>
    </row>
    <row r="1271" spans="1:30" s="22" customFormat="1" ht="45" hidden="1" customHeight="1" x14ac:dyDescent="0.8">
      <c r="A1271" s="14">
        <v>4</v>
      </c>
      <c r="B1271" s="15">
        <v>41</v>
      </c>
      <c r="C1271" s="15">
        <v>416</v>
      </c>
      <c r="D1271" s="15">
        <v>4162</v>
      </c>
      <c r="E1271" s="15">
        <v>41612</v>
      </c>
      <c r="F1271" s="16" t="s">
        <v>1667</v>
      </c>
      <c r="G1271" s="21" t="s">
        <v>321</v>
      </c>
      <c r="H1271" s="17" t="s">
        <v>55</v>
      </c>
      <c r="I1271" s="33">
        <v>0</v>
      </c>
      <c r="J1271" s="33">
        <v>1</v>
      </c>
      <c r="K1271" s="33">
        <v>1</v>
      </c>
      <c r="L1271" s="33">
        <v>1</v>
      </c>
      <c r="M1271" s="33"/>
      <c r="N1271" s="33">
        <f>IF(OR(H1271="",H1271="sif",H1271="PM"),0,VLOOKUP(H1271,[5]CU!$C$4:$H$255,6,FALSE))</f>
        <v>0</v>
      </c>
      <c r="O1271" s="33"/>
      <c r="P1271" s="33"/>
      <c r="Q1271" s="33"/>
      <c r="R1271" s="33"/>
      <c r="S1271" s="34"/>
      <c r="T1271" s="35" t="s">
        <v>56</v>
      </c>
      <c r="U1271" s="18" t="s">
        <v>1600</v>
      </c>
      <c r="V1271" s="18" t="str">
        <f>IF(OR($H1271="",$H1271="sif",$H1271="PM"),"",VLOOKUP($H1271,[5]CU!$C$5:$J$255,8,FALSE))</f>
        <v/>
      </c>
      <c r="W1271" s="18" t="s">
        <v>255</v>
      </c>
      <c r="X1271" s="18" t="s">
        <v>1665</v>
      </c>
      <c r="Y1271" s="18" t="s">
        <v>679</v>
      </c>
      <c r="Z1271" s="18" t="str">
        <f>A1271 &amp; "-" &amp; VLOOKUP(A1271,[4]PROGRAMMES!$E$1:$F$7,2,FALSE)</f>
        <v>4-Réforme de l’enseignement supérieur et la recherche scientifique et de l'innovation</v>
      </c>
      <c r="AA1271" s="19" t="str">
        <f>B1271 &amp; "-" &amp; VLOOKUP(B1271,[4]SOUSPROGRAMMES!$E$1:$F$44,2,FALSE)</f>
        <v>41- Gouvernance et pilotage de l’enseignement supérieur et de la recherche scientifique</v>
      </c>
      <c r="AB1271" s="19" t="str">
        <f>C1271 &amp; "-" &amp; VLOOKUP(C1271,[4]RESULTATS!$E$1:$F$176,2,FALSE)</f>
        <v>416- Les organes de gouvernance sont fonctionnels</v>
      </c>
      <c r="AC1271" s="20" t="str">
        <f>D1271 &amp; "-" &amp; VLOOKUP(D1271,[4]STRATEGIES!$E$1:$F$504,2,FALSE)</f>
        <v>4162-Mise en œuvre des textes de gouvernance</v>
      </c>
      <c r="AD1271" s="21" t="str">
        <f t="shared" si="202"/>
        <v xml:space="preserve">41612-Application des textes </v>
      </c>
    </row>
    <row r="1272" spans="1:30" s="22" customFormat="1" ht="45" hidden="1" customHeight="1" x14ac:dyDescent="0.8">
      <c r="A1272" s="14">
        <v>4</v>
      </c>
      <c r="B1272" s="15">
        <v>41</v>
      </c>
      <c r="C1272" s="15">
        <v>417</v>
      </c>
      <c r="D1272" s="15">
        <v>417</v>
      </c>
      <c r="E1272" s="15">
        <v>417</v>
      </c>
      <c r="F1272" s="16" t="s">
        <v>1668</v>
      </c>
      <c r="G1272" s="17"/>
      <c r="H1272" s="17"/>
      <c r="I1272" s="33">
        <v>0</v>
      </c>
      <c r="J1272" s="33"/>
      <c r="K1272" s="33"/>
      <c r="L1272" s="33"/>
      <c r="M1272" s="33"/>
      <c r="N1272" s="33"/>
      <c r="O1272" s="33"/>
      <c r="P1272" s="33"/>
      <c r="Q1272" s="33"/>
      <c r="R1272" s="33"/>
      <c r="S1272" s="34"/>
      <c r="T1272" s="33"/>
      <c r="U1272" s="18"/>
      <c r="V1272" s="18"/>
      <c r="W1272" s="18"/>
      <c r="X1272" s="18"/>
      <c r="Y1272" s="18" t="s">
        <v>679</v>
      </c>
      <c r="Z1272" s="18" t="str">
        <f>A1272 &amp; "-" &amp; VLOOKUP(A1272,[4]PROGRAMMES!$E$1:$F$7,2,FALSE)</f>
        <v>4-Réforme de l’enseignement supérieur et la recherche scientifique et de l'innovation</v>
      </c>
      <c r="AA1272" s="19" t="str">
        <f>B1272 &amp; "-" &amp; VLOOKUP(B1272,[4]SOUSPROGRAMMES!$E$1:$F$44,2,FALSE)</f>
        <v>41- Gouvernance et pilotage de l’enseignement supérieur et de la recherche scientifique</v>
      </c>
      <c r="AB1272" s="19" t="str">
        <f>C1272 &amp; "-" &amp; VLOOKUP(C1272,[4]RESULTATS!$E$1:$F$176,2,FALSE)</f>
        <v>417- L’autonomie des institutions est renforcée</v>
      </c>
      <c r="AC1272" s="20" t="str">
        <f>D1272 &amp; "-" &amp; VLOOKUP(D1272,[4]STRATEGIES!$E$1:$F$504,2,FALSE)</f>
        <v>417- L’autonomie des institutions est renforcée</v>
      </c>
      <c r="AD1272" s="21" t="str">
        <f t="shared" si="202"/>
        <v>417- L’autonomie des institutions est renforcée</v>
      </c>
    </row>
    <row r="1273" spans="1:30" s="22" customFormat="1" ht="45" hidden="1" customHeight="1" x14ac:dyDescent="0.8">
      <c r="A1273" s="14">
        <v>4</v>
      </c>
      <c r="B1273" s="15">
        <v>41</v>
      </c>
      <c r="C1273" s="15">
        <v>417</v>
      </c>
      <c r="D1273" s="15">
        <v>4171</v>
      </c>
      <c r="E1273" s="15">
        <v>4171</v>
      </c>
      <c r="F1273" s="16" t="s">
        <v>1669</v>
      </c>
      <c r="G1273" s="17"/>
      <c r="H1273" s="17"/>
      <c r="I1273" s="33">
        <v>0</v>
      </c>
      <c r="J1273" s="33"/>
      <c r="K1273" s="33"/>
      <c r="L1273" s="33"/>
      <c r="M1273" s="33"/>
      <c r="N1273" s="33"/>
      <c r="O1273" s="33"/>
      <c r="P1273" s="33"/>
      <c r="Q1273" s="33"/>
      <c r="R1273" s="33"/>
      <c r="S1273" s="34"/>
      <c r="T1273" s="33"/>
      <c r="U1273" s="18"/>
      <c r="V1273" s="18"/>
      <c r="W1273" s="18"/>
      <c r="X1273" s="18"/>
      <c r="Y1273" s="18" t="s">
        <v>679</v>
      </c>
      <c r="Z1273" s="18" t="str">
        <f>A1273 &amp; "-" &amp; VLOOKUP(A1273,[4]PROGRAMMES!$E$1:$F$7,2,FALSE)</f>
        <v>4-Réforme de l’enseignement supérieur et la recherche scientifique et de l'innovation</v>
      </c>
      <c r="AA1273" s="19" t="str">
        <f>B1273 &amp; "-" &amp; VLOOKUP(B1273,[4]SOUSPROGRAMMES!$E$1:$F$44,2,FALSE)</f>
        <v>41- Gouvernance et pilotage de l’enseignement supérieur et de la recherche scientifique</v>
      </c>
      <c r="AB1273" s="19" t="str">
        <f>C1273 &amp; "-" &amp; VLOOKUP(C1273,[4]RESULTATS!$E$1:$F$176,2,FALSE)</f>
        <v>417- L’autonomie des institutions est renforcée</v>
      </c>
      <c r="AC1273" s="20" t="str">
        <f>D1273 &amp; "-" &amp; VLOOKUP(D1273,[4]STRATEGIES!$E$1:$F$504,2,FALSE)</f>
        <v>4171-Renforcement des capacités en matière de gestion administrative et financière</v>
      </c>
      <c r="AD1273" s="21" t="str">
        <f t="shared" si="202"/>
        <v>4171-Renforcement des capacités en matière de gestion administrative et Financière</v>
      </c>
    </row>
    <row r="1274" spans="1:30" s="22" customFormat="1" ht="45" hidden="1" customHeight="1" x14ac:dyDescent="0.8">
      <c r="A1274" s="14">
        <v>4</v>
      </c>
      <c r="B1274" s="15">
        <v>41</v>
      </c>
      <c r="C1274" s="15">
        <v>417</v>
      </c>
      <c r="D1274" s="15">
        <v>4171</v>
      </c>
      <c r="E1274" s="15">
        <v>41711</v>
      </c>
      <c r="F1274" s="16" t="s">
        <v>1630</v>
      </c>
      <c r="G1274" s="21" t="s">
        <v>167</v>
      </c>
      <c r="H1274" s="17" t="s">
        <v>646</v>
      </c>
      <c r="I1274" s="33">
        <v>0</v>
      </c>
      <c r="J1274" s="33"/>
      <c r="K1274" s="33">
        <v>1000</v>
      </c>
      <c r="L1274" s="33">
        <v>400</v>
      </c>
      <c r="M1274" s="33">
        <f t="shared" ref="M1274:M1326" si="204">SUM(I1274:L1274)</f>
        <v>1400</v>
      </c>
      <c r="N1274" s="33">
        <f>IF(OR(H1274="",H1274="sif",H1274="PM"),0,VLOOKUP(H1274,[5]CU!$C$4:$H$255,6,FALSE))</f>
        <v>10.404797</v>
      </c>
      <c r="O1274" s="33">
        <f t="shared" ref="O1274:R1326" si="205">IFERROR($N1274*I1274,0)</f>
        <v>0</v>
      </c>
      <c r="P1274" s="33">
        <f t="shared" si="205"/>
        <v>0</v>
      </c>
      <c r="Q1274" s="33">
        <f t="shared" si="205"/>
        <v>10404.797</v>
      </c>
      <c r="R1274" s="33">
        <f t="shared" si="205"/>
        <v>4161.9188000000004</v>
      </c>
      <c r="S1274" s="34">
        <f t="shared" ref="S1274:S1285" si="206">SUM(O1274:R1274)</f>
        <v>14566.715800000002</v>
      </c>
      <c r="T1274" s="35" t="s">
        <v>169</v>
      </c>
      <c r="U1274" s="18" t="s">
        <v>1600</v>
      </c>
      <c r="V1274" s="18" t="str">
        <f>IF(OR($H1274="",$H1274="sif",$H1274="PM"),"",VLOOKUP($H1274,[5]CU!$C$5:$J$255,8,FALSE))</f>
        <v>3. Dépenses de fonctionnement</v>
      </c>
      <c r="W1274" s="18" t="s">
        <v>96</v>
      </c>
      <c r="X1274" s="18" t="s">
        <v>1650</v>
      </c>
      <c r="Y1274" s="18" t="s">
        <v>679</v>
      </c>
      <c r="Z1274" s="18" t="str">
        <f>A1274 &amp; "-" &amp; VLOOKUP(A1274,[4]PROGRAMMES!$E$1:$F$7,2,FALSE)</f>
        <v>4-Réforme de l’enseignement supérieur et la recherche scientifique et de l'innovation</v>
      </c>
      <c r="AA1274" s="19" t="str">
        <f>B1274 &amp; "-" &amp; VLOOKUP(B1274,[4]SOUSPROGRAMMES!$E$1:$F$44,2,FALSE)</f>
        <v>41- Gouvernance et pilotage de l’enseignement supérieur et de la recherche scientifique</v>
      </c>
      <c r="AB1274" s="19" t="str">
        <f>C1274 &amp; "-" &amp; VLOOKUP(C1274,[4]RESULTATS!$E$1:$F$176,2,FALSE)</f>
        <v>417- L’autonomie des institutions est renforcée</v>
      </c>
      <c r="AC1274" s="20" t="str">
        <f>D1274 &amp; "-" &amp; VLOOKUP(D1274,[4]STRATEGIES!$E$1:$F$504,2,FALSE)</f>
        <v>4171-Renforcement des capacités en matière de gestion administrative et financière</v>
      </c>
      <c r="AD1274" s="21" t="str">
        <f t="shared" si="202"/>
        <v>41711-Production de support de formation</v>
      </c>
    </row>
    <row r="1275" spans="1:30" s="22" customFormat="1" ht="45" hidden="1" customHeight="1" x14ac:dyDescent="0.8">
      <c r="A1275" s="14">
        <v>4</v>
      </c>
      <c r="B1275" s="15">
        <v>41</v>
      </c>
      <c r="C1275" s="15">
        <v>417</v>
      </c>
      <c r="D1275" s="15">
        <v>4171</v>
      </c>
      <c r="E1275" s="15">
        <v>41712</v>
      </c>
      <c r="F1275" s="16" t="s">
        <v>1670</v>
      </c>
      <c r="G1275" s="21" t="s">
        <v>37</v>
      </c>
      <c r="H1275" s="17" t="s">
        <v>301</v>
      </c>
      <c r="I1275" s="33">
        <v>0</v>
      </c>
      <c r="J1275" s="33"/>
      <c r="K1275" s="33">
        <f>50*5*5</f>
        <v>1250</v>
      </c>
      <c r="L1275" s="33">
        <f>45*5*5</f>
        <v>1125</v>
      </c>
      <c r="M1275" s="33">
        <f t="shared" si="204"/>
        <v>2375</v>
      </c>
      <c r="N1275" s="33">
        <f>IF(OR(H1275="",H1275="sif",H1275="PM"),0,VLOOKUP(H1275,[5]CU!$C$4:$H$255,6,FALSE))</f>
        <v>0.67666666666666664</v>
      </c>
      <c r="O1275" s="33">
        <f t="shared" si="205"/>
        <v>0</v>
      </c>
      <c r="P1275" s="33">
        <f t="shared" si="205"/>
        <v>0</v>
      </c>
      <c r="Q1275" s="33">
        <f t="shared" si="205"/>
        <v>845.83333333333326</v>
      </c>
      <c r="R1275" s="33">
        <f t="shared" si="205"/>
        <v>761.25</v>
      </c>
      <c r="S1275" s="34">
        <f t="shared" si="206"/>
        <v>1607.0833333333333</v>
      </c>
      <c r="T1275" s="35" t="s">
        <v>169</v>
      </c>
      <c r="U1275" s="19" t="s">
        <v>1600</v>
      </c>
      <c r="V1275" s="19" t="str">
        <f>IF(OR($H1275="",$H1275="sif",$H1275="PM"),"",VLOOKUP($H1275,[5]CU!$C$5:$J$255,8,FALSE))</f>
        <v>3. Formation</v>
      </c>
      <c r="W1275" s="19" t="s">
        <v>142</v>
      </c>
      <c r="X1275" s="19" t="s">
        <v>521</v>
      </c>
      <c r="Y1275" s="18" t="s">
        <v>679</v>
      </c>
      <c r="Z1275" s="18" t="str">
        <f>A1275 &amp; "-" &amp; VLOOKUP(A1275,[4]PROGRAMMES!$E$1:$F$7,2,FALSE)</f>
        <v>4-Réforme de l’enseignement supérieur et la recherche scientifique et de l'innovation</v>
      </c>
      <c r="AA1275" s="19" t="str">
        <f>B1275 &amp; "-" &amp; VLOOKUP(B1275,[4]SOUSPROGRAMMES!$E$1:$F$44,2,FALSE)</f>
        <v>41- Gouvernance et pilotage de l’enseignement supérieur et de la recherche scientifique</v>
      </c>
      <c r="AB1275" s="19" t="str">
        <f>C1275 &amp; "-" &amp; VLOOKUP(C1275,[4]RESULTATS!$E$1:$F$176,2,FALSE)</f>
        <v>417- L’autonomie des institutions est renforcée</v>
      </c>
      <c r="AC1275" s="20" t="str">
        <f>D1275 &amp; "-" &amp; VLOOKUP(D1275,[4]STRATEGIES!$E$1:$F$504,2,FALSE)</f>
        <v>4171-Renforcement des capacités en matière de gestion administrative et financière</v>
      </c>
      <c r="AD1275" s="21" t="str">
        <f t="shared" si="202"/>
        <v>41712-Formation du personnel en gestion administrative et Financière (GAF)</v>
      </c>
    </row>
    <row r="1276" spans="1:30" s="22" customFormat="1" ht="45" hidden="1" customHeight="1" x14ac:dyDescent="0.8">
      <c r="A1276" s="14">
        <v>4</v>
      </c>
      <c r="B1276" s="15">
        <v>41</v>
      </c>
      <c r="C1276" s="15">
        <v>418</v>
      </c>
      <c r="D1276" s="15">
        <v>418</v>
      </c>
      <c r="E1276" s="15">
        <v>418</v>
      </c>
      <c r="F1276" s="16" t="s">
        <v>1671</v>
      </c>
      <c r="G1276" s="17"/>
      <c r="H1276" s="17"/>
      <c r="I1276" s="33">
        <v>0</v>
      </c>
      <c r="J1276" s="33"/>
      <c r="K1276" s="33"/>
      <c r="L1276" s="33"/>
      <c r="M1276" s="33"/>
      <c r="N1276" s="33"/>
      <c r="O1276" s="33"/>
      <c r="P1276" s="33"/>
      <c r="Q1276" s="33"/>
      <c r="R1276" s="33"/>
      <c r="S1276" s="34"/>
      <c r="T1276" s="33"/>
      <c r="U1276" s="18"/>
      <c r="V1276" s="18"/>
      <c r="W1276" s="18"/>
      <c r="X1276" s="18"/>
      <c r="Y1276" s="18" t="s">
        <v>679</v>
      </c>
      <c r="Z1276" s="18" t="str">
        <f>A1276 &amp; "-" &amp; VLOOKUP(A1276,[4]PROGRAMMES!$E$1:$F$7,2,FALSE)</f>
        <v>4-Réforme de l’enseignement supérieur et la recherche scientifique et de l'innovation</v>
      </c>
      <c r="AA1276" s="19" t="str">
        <f>B1276 &amp; "-" &amp; VLOOKUP(B1276,[4]SOUSPROGRAMMES!$E$1:$F$44,2,FALSE)</f>
        <v>41- Gouvernance et pilotage de l’enseignement supérieur et de la recherche scientifique</v>
      </c>
      <c r="AB1276" s="19" t="str">
        <f>C1276 &amp; "-" &amp; VLOOKUP(C1276,[4]RESULTATS!$E$1:$F$176,2,FALSE)</f>
        <v>418- La mobilisation de ressources financières est accrue</v>
      </c>
      <c r="AC1276" s="20" t="str">
        <f>D1276 &amp; "-" &amp; VLOOKUP(D1276,[4]STRATEGIES!$E$1:$F$504,2,FALSE)</f>
        <v>418- La mobilisation de ressources financières est accrue</v>
      </c>
      <c r="AD1276" s="21" t="str">
        <f t="shared" si="202"/>
        <v>418- La mobilisation de ressources Financières est accrue</v>
      </c>
    </row>
    <row r="1277" spans="1:30" s="22" customFormat="1" ht="45" hidden="1" customHeight="1" x14ac:dyDescent="0.8">
      <c r="A1277" s="14">
        <v>4</v>
      </c>
      <c r="B1277" s="15">
        <v>41</v>
      </c>
      <c r="C1277" s="15">
        <v>418</v>
      </c>
      <c r="D1277" s="15">
        <v>4181</v>
      </c>
      <c r="E1277" s="15">
        <v>4181</v>
      </c>
      <c r="F1277" s="16" t="s">
        <v>1672</v>
      </c>
      <c r="G1277" s="17"/>
      <c r="H1277" s="17"/>
      <c r="I1277" s="33">
        <v>0</v>
      </c>
      <c r="J1277" s="33"/>
      <c r="K1277" s="33"/>
      <c r="L1277" s="33"/>
      <c r="M1277" s="33"/>
      <c r="N1277" s="33"/>
      <c r="O1277" s="33"/>
      <c r="P1277" s="33"/>
      <c r="Q1277" s="33"/>
      <c r="R1277" s="33"/>
      <c r="S1277" s="34"/>
      <c r="T1277" s="33"/>
      <c r="U1277" s="18"/>
      <c r="V1277" s="18"/>
      <c r="W1277" s="18"/>
      <c r="X1277" s="18"/>
      <c r="Y1277" s="18" t="s">
        <v>679</v>
      </c>
      <c r="Z1277" s="18" t="str">
        <f>A1277 &amp; "-" &amp; VLOOKUP(A1277,[4]PROGRAMMES!$E$1:$F$7,2,FALSE)</f>
        <v>4-Réforme de l’enseignement supérieur et la recherche scientifique et de l'innovation</v>
      </c>
      <c r="AA1277" s="19" t="str">
        <f>B1277 &amp; "-" &amp; VLOOKUP(B1277,[4]SOUSPROGRAMMES!$E$1:$F$44,2,FALSE)</f>
        <v>41- Gouvernance et pilotage de l’enseignement supérieur et de la recherche scientifique</v>
      </c>
      <c r="AB1277" s="19" t="str">
        <f>C1277 &amp; "-" &amp; VLOOKUP(C1277,[4]RESULTATS!$E$1:$F$176,2,FALSE)</f>
        <v>418- La mobilisation de ressources financières est accrue</v>
      </c>
      <c r="AC1277" s="20" t="str">
        <f>D1277 &amp; "-" &amp; VLOOKUP(D1277,[4]STRATEGIES!$E$1:$F$504,2,FALSE)</f>
        <v>4181-Développement de stratégies de coopération avec le secteur privé et à l’internationale pour mobiliser de ressources additionnelles</v>
      </c>
      <c r="AD1277" s="21" t="str">
        <f t="shared" si="202"/>
        <v>4181-Développement de stratégies de coopération avec le secteur privé et à l’internationale pour mobiliser de ressources additionnelles</v>
      </c>
    </row>
    <row r="1278" spans="1:30" s="22" customFormat="1" ht="45" hidden="1" customHeight="1" x14ac:dyDescent="0.8">
      <c r="A1278" s="14">
        <v>4</v>
      </c>
      <c r="B1278" s="15">
        <v>41</v>
      </c>
      <c r="C1278" s="15">
        <v>418</v>
      </c>
      <c r="D1278" s="15">
        <v>4181</v>
      </c>
      <c r="E1278" s="15">
        <v>41811</v>
      </c>
      <c r="F1278" s="16" t="s">
        <v>1673</v>
      </c>
      <c r="G1278" s="21" t="s">
        <v>167</v>
      </c>
      <c r="H1278" s="17" t="s">
        <v>646</v>
      </c>
      <c r="I1278" s="33">
        <v>0</v>
      </c>
      <c r="J1278" s="33">
        <f>1*30*1</f>
        <v>30</v>
      </c>
      <c r="K1278" s="33"/>
      <c r="L1278" s="33"/>
      <c r="M1278" s="33">
        <f t="shared" si="204"/>
        <v>30</v>
      </c>
      <c r="N1278" s="33">
        <f>IF(OR(H1278="",H1278="sif",H1278="PM"),0,VLOOKUP(H1278,[5]CU!$C$4:$H$255,6,FALSE))</f>
        <v>10.404797</v>
      </c>
      <c r="O1278" s="33">
        <f t="shared" si="205"/>
        <v>0</v>
      </c>
      <c r="P1278" s="33">
        <f t="shared" si="205"/>
        <v>312.14391000000001</v>
      </c>
      <c r="Q1278" s="33">
        <f t="shared" si="205"/>
        <v>0</v>
      </c>
      <c r="R1278" s="33">
        <f t="shared" si="205"/>
        <v>0</v>
      </c>
      <c r="S1278" s="34">
        <f t="shared" si="206"/>
        <v>312.14391000000001</v>
      </c>
      <c r="T1278" s="35" t="s">
        <v>56</v>
      </c>
      <c r="U1278" s="18" t="s">
        <v>1600</v>
      </c>
      <c r="V1278" s="18" t="str">
        <f>IF(OR($H1278="",$H1278="sif",$H1278="PM"),"",VLOOKUP($H1278,[5]CU!$C$5:$J$255,8,FALSE))</f>
        <v>3. Dépenses de fonctionnement</v>
      </c>
      <c r="W1278" s="18" t="s">
        <v>1665</v>
      </c>
      <c r="X1278" s="18" t="s">
        <v>1650</v>
      </c>
      <c r="Y1278" s="18" t="s">
        <v>679</v>
      </c>
      <c r="Z1278" s="18" t="str">
        <f>A1278 &amp; "-" &amp; VLOOKUP(A1278,[4]PROGRAMMES!$E$1:$F$7,2,FALSE)</f>
        <v>4-Réforme de l’enseignement supérieur et la recherche scientifique et de l'innovation</v>
      </c>
      <c r="AA1278" s="19" t="str">
        <f>B1278 &amp; "-" &amp; VLOOKUP(B1278,[4]SOUSPROGRAMMES!$E$1:$F$44,2,FALSE)</f>
        <v>41- Gouvernance et pilotage de l’enseignement supérieur et de la recherche scientifique</v>
      </c>
      <c r="AB1278" s="19" t="str">
        <f>C1278 &amp; "-" &amp; VLOOKUP(C1278,[4]RESULTATS!$E$1:$F$176,2,FALSE)</f>
        <v>418- La mobilisation de ressources financières est accrue</v>
      </c>
      <c r="AC1278" s="20" t="str">
        <f>D1278 &amp; "-" &amp; VLOOKUP(D1278,[4]STRATEGIES!$E$1:$F$504,2,FALSE)</f>
        <v>4181-Développement de stratégies de coopération avec le secteur privé et à l’internationale pour mobiliser de ressources additionnelles</v>
      </c>
      <c r="AD1278" s="21" t="str">
        <f t="shared" si="202"/>
        <v xml:space="preserve">41811-Elaboration d'une stratégie de mobilisation de ressources </v>
      </c>
    </row>
    <row r="1279" spans="1:30" s="22" customFormat="1" ht="60" hidden="1" customHeight="1" x14ac:dyDescent="0.8">
      <c r="A1279" s="14">
        <v>4</v>
      </c>
      <c r="B1279" s="15">
        <v>41</v>
      </c>
      <c r="C1279" s="15">
        <v>418</v>
      </c>
      <c r="D1279" s="15">
        <v>4181</v>
      </c>
      <c r="E1279" s="15">
        <v>41812</v>
      </c>
      <c r="F1279" s="16" t="s">
        <v>1674</v>
      </c>
      <c r="G1279" s="21" t="s">
        <v>1675</v>
      </c>
      <c r="H1279" s="17" t="s">
        <v>59</v>
      </c>
      <c r="I1279" s="33">
        <v>0</v>
      </c>
      <c r="J1279" s="33"/>
      <c r="K1279" s="33">
        <f>50*3*8</f>
        <v>1200</v>
      </c>
      <c r="L1279" s="33">
        <f>50*3*8</f>
        <v>1200</v>
      </c>
      <c r="M1279" s="33">
        <f t="shared" si="204"/>
        <v>2400</v>
      </c>
      <c r="N1279" s="33">
        <f>IF(OR(H1279="",H1279="sif",H1279="PM"),0,VLOOKUP(H1279,[5]CU!$C$4:$H$255,6,FALSE))</f>
        <v>0.8177777777777776</v>
      </c>
      <c r="O1279" s="33">
        <f t="shared" si="205"/>
        <v>0</v>
      </c>
      <c r="P1279" s="33">
        <f t="shared" si="205"/>
        <v>0</v>
      </c>
      <c r="Q1279" s="33">
        <f t="shared" si="205"/>
        <v>981.33333333333314</v>
      </c>
      <c r="R1279" s="33">
        <f t="shared" si="205"/>
        <v>981.33333333333314</v>
      </c>
      <c r="S1279" s="34">
        <f t="shared" si="206"/>
        <v>1962.6666666666663</v>
      </c>
      <c r="T1279" s="35" t="s">
        <v>169</v>
      </c>
      <c r="U1279" s="18" t="s">
        <v>1600</v>
      </c>
      <c r="V1279" s="18" t="str">
        <f>IF(OR($H1279="",$H1279="sif",$H1279="PM"),"",VLOOKUP($H1279,[5]CU!$C$5:$J$255,8,FALSE))</f>
        <v>3. Dépenses de fonctionnement</v>
      </c>
      <c r="W1279" s="18" t="s">
        <v>1665</v>
      </c>
      <c r="X1279" s="18" t="s">
        <v>1607</v>
      </c>
      <c r="Y1279" s="18" t="s">
        <v>679</v>
      </c>
      <c r="Z1279" s="18" t="str">
        <f>A1279 &amp; "-" &amp; VLOOKUP(A1279,[4]PROGRAMMES!$E$1:$F$7,2,FALSE)</f>
        <v>4-Réforme de l’enseignement supérieur et la recherche scientifique et de l'innovation</v>
      </c>
      <c r="AA1279" s="19" t="str">
        <f>B1279 &amp; "-" &amp; VLOOKUP(B1279,[4]SOUSPROGRAMMES!$E$1:$F$44,2,FALSE)</f>
        <v>41- Gouvernance et pilotage de l’enseignement supérieur et de la recherche scientifique</v>
      </c>
      <c r="AB1279" s="19" t="str">
        <f>C1279 &amp; "-" &amp; VLOOKUP(C1279,[4]RESULTATS!$E$1:$F$176,2,FALSE)</f>
        <v>418- La mobilisation de ressources financières est accrue</v>
      </c>
      <c r="AC1279" s="20" t="str">
        <f>D1279 &amp; "-" &amp; VLOOKUP(D1279,[4]STRATEGIES!$E$1:$F$504,2,FALSE)</f>
        <v>4181-Développement de stratégies de coopération avec le secteur privé et à l’internationale pour mobiliser de ressources additionnelles</v>
      </c>
      <c r="AD1279" s="21" t="str">
        <f t="shared" si="202"/>
        <v>41812-Diffusion de la stratégie de mobilisation de ressources</v>
      </c>
    </row>
    <row r="1280" spans="1:30" s="22" customFormat="1" ht="45" hidden="1" customHeight="1" x14ac:dyDescent="0.8">
      <c r="A1280" s="14">
        <v>4</v>
      </c>
      <c r="B1280" s="15">
        <v>41</v>
      </c>
      <c r="C1280" s="15">
        <v>418</v>
      </c>
      <c r="D1280" s="15">
        <v>4181</v>
      </c>
      <c r="E1280" s="15">
        <v>41813</v>
      </c>
      <c r="F1280" s="16" t="s">
        <v>1676</v>
      </c>
      <c r="G1280" s="21" t="s">
        <v>1677</v>
      </c>
      <c r="H1280" s="17" t="s">
        <v>295</v>
      </c>
      <c r="I1280" s="33">
        <v>0</v>
      </c>
      <c r="J1280" s="33"/>
      <c r="K1280" s="33">
        <f>5*6</f>
        <v>30</v>
      </c>
      <c r="L1280" s="33"/>
      <c r="M1280" s="33">
        <f t="shared" si="204"/>
        <v>30</v>
      </c>
      <c r="N1280" s="33">
        <f>IF(OR(H1280="",H1280="sif",H1280="PM"),0,VLOOKUP(H1280,[5]CU!$C$4:$H$255,6,FALSE))</f>
        <v>40.32</v>
      </c>
      <c r="O1280" s="33">
        <f t="shared" si="205"/>
        <v>0</v>
      </c>
      <c r="P1280" s="33">
        <f t="shared" si="205"/>
        <v>0</v>
      </c>
      <c r="Q1280" s="33">
        <f t="shared" si="205"/>
        <v>1209.5999999999999</v>
      </c>
      <c r="R1280" s="33">
        <f t="shared" si="205"/>
        <v>0</v>
      </c>
      <c r="S1280" s="34">
        <f t="shared" si="206"/>
        <v>1209.5999999999999</v>
      </c>
      <c r="T1280" s="35" t="s">
        <v>56</v>
      </c>
      <c r="U1280" s="18" t="s">
        <v>1600</v>
      </c>
      <c r="V1280" s="18" t="str">
        <f>IF(OR($H1280="",$H1280="sif",$H1280="PM"),"",VLOOKUP($H1280,[5]CU!$C$5:$J$255,8,FALSE))</f>
        <v>3. Formation</v>
      </c>
      <c r="W1280" s="18" t="s">
        <v>255</v>
      </c>
      <c r="X1280" s="18" t="s">
        <v>521</v>
      </c>
      <c r="Y1280" s="18" t="s">
        <v>679</v>
      </c>
      <c r="Z1280" s="18" t="str">
        <f>A1280 &amp; "-" &amp; VLOOKUP(A1280,[4]PROGRAMMES!$E$1:$F$7,2,FALSE)</f>
        <v>4-Réforme de l’enseignement supérieur et la recherche scientifique et de l'innovation</v>
      </c>
      <c r="AA1280" s="19" t="str">
        <f>B1280 &amp; "-" &amp; VLOOKUP(B1280,[4]SOUSPROGRAMMES!$E$1:$F$44,2,FALSE)</f>
        <v>41- Gouvernance et pilotage de l’enseignement supérieur et de la recherche scientifique</v>
      </c>
      <c r="AB1280" s="19" t="str">
        <f>C1280 &amp; "-" &amp; VLOOKUP(C1280,[4]RESULTATS!$E$1:$F$176,2,FALSE)</f>
        <v>418- La mobilisation de ressources financières est accrue</v>
      </c>
      <c r="AC1280" s="20" t="str">
        <f>D1280 &amp; "-" &amp; VLOOKUP(D1280,[4]STRATEGIES!$E$1:$F$504,2,FALSE)</f>
        <v>4181-Développement de stratégies de coopération avec le secteur privé et à l’internationale pour mobiliser de ressources additionnelles</v>
      </c>
      <c r="AD1280" s="21" t="str">
        <f t="shared" si="202"/>
        <v>41813-Mission pour la mobilisation de ressources</v>
      </c>
    </row>
    <row r="1281" spans="1:30" s="22" customFormat="1" ht="45" hidden="1" customHeight="1" x14ac:dyDescent="0.8">
      <c r="A1281" s="14">
        <v>4</v>
      </c>
      <c r="B1281" s="15">
        <v>41</v>
      </c>
      <c r="C1281" s="15">
        <v>419</v>
      </c>
      <c r="D1281" s="15">
        <v>419</v>
      </c>
      <c r="E1281" s="15">
        <v>419</v>
      </c>
      <c r="F1281" s="16" t="s">
        <v>1678</v>
      </c>
      <c r="G1281" s="17"/>
      <c r="H1281" s="17"/>
      <c r="I1281" s="33">
        <v>0</v>
      </c>
      <c r="J1281" s="33"/>
      <c r="K1281" s="33"/>
      <c r="L1281" s="33"/>
      <c r="M1281" s="33"/>
      <c r="N1281" s="33"/>
      <c r="O1281" s="33"/>
      <c r="P1281" s="33"/>
      <c r="Q1281" s="33"/>
      <c r="R1281" s="33"/>
      <c r="S1281" s="34"/>
      <c r="T1281" s="33"/>
      <c r="U1281" s="18"/>
      <c r="V1281" s="18"/>
      <c r="W1281" s="18"/>
      <c r="X1281" s="18"/>
      <c r="Y1281" s="18" t="s">
        <v>679</v>
      </c>
      <c r="Z1281" s="18" t="str">
        <f>A1281 &amp; "-" &amp; VLOOKUP(A1281,[4]PROGRAMMES!$E$1:$F$7,2,FALSE)</f>
        <v>4-Réforme de l’enseignement supérieur et la recherche scientifique et de l'innovation</v>
      </c>
      <c r="AA1281" s="19" t="str">
        <f>B1281 &amp; "-" &amp; VLOOKUP(B1281,[4]SOUSPROGRAMMES!$E$1:$F$44,2,FALSE)</f>
        <v>41- Gouvernance et pilotage de l’enseignement supérieur et de la recherche scientifique</v>
      </c>
      <c r="AB1281" s="19" t="str">
        <f>C1281 &amp; "-" &amp; VLOOKUP(C1281,[4]RESULTATS!$E$1:$F$176,2,FALSE)</f>
        <v>419- L’efficacité dans l’utilisation des fonds alloués aux institutions est améliorée</v>
      </c>
      <c r="AC1281" s="20" t="str">
        <f>D1281 &amp; "-" &amp; VLOOKUP(D1281,[4]STRATEGIES!$E$1:$F$504,2,FALSE)</f>
        <v>419- L’efficacité dans l’utilisation des fonds alloués aux institutions est améliorée</v>
      </c>
      <c r="AD1281" s="21" t="str">
        <f t="shared" si="202"/>
        <v>419- L’efficacité dans l’utilisation des fonds alloués aux institutions est améliorée</v>
      </c>
    </row>
    <row r="1282" spans="1:30" s="22" customFormat="1" ht="45" hidden="1" customHeight="1" x14ac:dyDescent="0.8">
      <c r="A1282" s="14">
        <v>4</v>
      </c>
      <c r="B1282" s="15">
        <v>41</v>
      </c>
      <c r="C1282" s="15">
        <v>419</v>
      </c>
      <c r="D1282" s="15">
        <v>4191</v>
      </c>
      <c r="E1282" s="15">
        <v>4191</v>
      </c>
      <c r="F1282" s="16" t="s">
        <v>1679</v>
      </c>
      <c r="G1282" s="17"/>
      <c r="H1282" s="17"/>
      <c r="I1282" s="33">
        <v>0</v>
      </c>
      <c r="J1282" s="33"/>
      <c r="K1282" s="33"/>
      <c r="L1282" s="33"/>
      <c r="M1282" s="33"/>
      <c r="N1282" s="33"/>
      <c r="O1282" s="33"/>
      <c r="P1282" s="33"/>
      <c r="Q1282" s="33"/>
      <c r="R1282" s="33"/>
      <c r="S1282" s="34"/>
      <c r="T1282" s="33"/>
      <c r="U1282" s="18"/>
      <c r="V1282" s="18"/>
      <c r="W1282" s="18"/>
      <c r="X1282" s="18"/>
      <c r="Y1282" s="18" t="s">
        <v>679</v>
      </c>
      <c r="Z1282" s="18" t="str">
        <f>A1282 &amp; "-" &amp; VLOOKUP(A1282,[4]PROGRAMMES!$E$1:$F$7,2,FALSE)</f>
        <v>4-Réforme de l’enseignement supérieur et la recherche scientifique et de l'innovation</v>
      </c>
      <c r="AA1282" s="19" t="str">
        <f>B1282 &amp; "-" &amp; VLOOKUP(B1282,[4]SOUSPROGRAMMES!$E$1:$F$44,2,FALSE)</f>
        <v>41- Gouvernance et pilotage de l’enseignement supérieur et de la recherche scientifique</v>
      </c>
      <c r="AB1282" s="19" t="str">
        <f>C1282 &amp; "-" &amp; VLOOKUP(C1282,[4]RESULTATS!$E$1:$F$176,2,FALSE)</f>
        <v>419- L’efficacité dans l’utilisation des fonds alloués aux institutions est améliorée</v>
      </c>
      <c r="AC1282" s="20" t="str">
        <f>D1282 &amp; "-" &amp; VLOOKUP(D1282,[4]STRATEGIES!$E$1:$F$504,2,FALSE)</f>
        <v>4191-Maîtrise de cycle de projets</v>
      </c>
      <c r="AD1282" s="21" t="str">
        <f t="shared" si="202"/>
        <v>4191-Maîtrise de cycle de projets</v>
      </c>
    </row>
    <row r="1283" spans="1:30" s="22" customFormat="1" ht="45" hidden="1" customHeight="1" x14ac:dyDescent="0.8">
      <c r="A1283" s="14">
        <v>4</v>
      </c>
      <c r="B1283" s="15">
        <v>41</v>
      </c>
      <c r="C1283" s="15">
        <v>419</v>
      </c>
      <c r="D1283" s="15">
        <v>4191</v>
      </c>
      <c r="E1283" s="15">
        <v>41911</v>
      </c>
      <c r="F1283" s="16" t="s">
        <v>1680</v>
      </c>
      <c r="G1283" s="21" t="s">
        <v>167</v>
      </c>
      <c r="H1283" s="17" t="s">
        <v>101</v>
      </c>
      <c r="I1283" s="33">
        <v>0</v>
      </c>
      <c r="J1283" s="33">
        <f>1*30*1</f>
        <v>30</v>
      </c>
      <c r="K1283" s="33"/>
      <c r="L1283" s="33"/>
      <c r="M1283" s="33">
        <f t="shared" si="204"/>
        <v>30</v>
      </c>
      <c r="N1283" s="33">
        <f>IF(OR(H1283="",H1283="sif",H1283="PM"),0,VLOOKUP(H1283,[5]CU!$C$4:$H$255,6,FALSE))</f>
        <v>2.651545</v>
      </c>
      <c r="O1283" s="33">
        <f t="shared" si="205"/>
        <v>0</v>
      </c>
      <c r="P1283" s="33">
        <f t="shared" si="205"/>
        <v>79.546350000000004</v>
      </c>
      <c r="Q1283" s="33">
        <f t="shared" si="205"/>
        <v>0</v>
      </c>
      <c r="R1283" s="33">
        <f t="shared" si="205"/>
        <v>0</v>
      </c>
      <c r="S1283" s="34">
        <f t="shared" si="206"/>
        <v>79.546350000000004</v>
      </c>
      <c r="T1283" s="35" t="s">
        <v>56</v>
      </c>
      <c r="U1283" s="18" t="s">
        <v>1600</v>
      </c>
      <c r="V1283" s="18" t="str">
        <f>IF(OR($H1283="",$H1283="sif",$H1283="PM"),"",VLOOKUP($H1283,[5]CU!$C$5:$J$255,8,FALSE))</f>
        <v>3. Dépenses de fonctionnement</v>
      </c>
      <c r="W1283" s="18" t="s">
        <v>96</v>
      </c>
      <c r="X1283" s="18" t="s">
        <v>1650</v>
      </c>
      <c r="Y1283" s="18" t="s">
        <v>679</v>
      </c>
      <c r="Z1283" s="18" t="str">
        <f>A1283 &amp; "-" &amp; VLOOKUP(A1283,[4]PROGRAMMES!$E$1:$F$7,2,FALSE)</f>
        <v>4-Réforme de l’enseignement supérieur et la recherche scientifique et de l'innovation</v>
      </c>
      <c r="AA1283" s="19" t="str">
        <f>B1283 &amp; "-" &amp; VLOOKUP(B1283,[4]SOUSPROGRAMMES!$E$1:$F$44,2,FALSE)</f>
        <v>41- Gouvernance et pilotage de l’enseignement supérieur et de la recherche scientifique</v>
      </c>
      <c r="AB1283" s="19" t="str">
        <f>C1283 &amp; "-" &amp; VLOOKUP(C1283,[4]RESULTATS!$E$1:$F$176,2,FALSE)</f>
        <v>419- L’efficacité dans l’utilisation des fonds alloués aux institutions est améliorée</v>
      </c>
      <c r="AC1283" s="20" t="str">
        <f>D1283 &amp; "-" &amp; VLOOKUP(D1283,[4]STRATEGIES!$E$1:$F$504,2,FALSE)</f>
        <v>4191-Maîtrise de cycle de projets</v>
      </c>
      <c r="AD1283" s="21" t="str">
        <f t="shared" si="202"/>
        <v>41911-Recrutement de consultant pour l'élaboration de support de formation et la formation</v>
      </c>
    </row>
    <row r="1284" spans="1:30" s="22" customFormat="1" ht="45" hidden="1" customHeight="1" x14ac:dyDescent="0.8">
      <c r="A1284" s="14">
        <v>4</v>
      </c>
      <c r="B1284" s="15">
        <v>41</v>
      </c>
      <c r="C1284" s="15">
        <v>419</v>
      </c>
      <c r="D1284" s="15">
        <v>4191</v>
      </c>
      <c r="E1284" s="15">
        <v>41912</v>
      </c>
      <c r="F1284" s="16" t="s">
        <v>1681</v>
      </c>
      <c r="G1284" s="21" t="s">
        <v>37</v>
      </c>
      <c r="H1284" s="17" t="s">
        <v>301</v>
      </c>
      <c r="I1284" s="33">
        <v>0</v>
      </c>
      <c r="J1284" s="33"/>
      <c r="K1284" s="33">
        <f>50*10*2</f>
        <v>1000</v>
      </c>
      <c r="L1284" s="33">
        <f>50*10*2</f>
        <v>1000</v>
      </c>
      <c r="M1284" s="33">
        <f t="shared" si="204"/>
        <v>2000</v>
      </c>
      <c r="N1284" s="33">
        <f>IF(OR(H1284="",H1284="sif",H1284="PM"),0,VLOOKUP(H1284,[5]CU!$C$4:$H$255,6,FALSE))</f>
        <v>0.67666666666666664</v>
      </c>
      <c r="O1284" s="33">
        <f t="shared" si="205"/>
        <v>0</v>
      </c>
      <c r="P1284" s="33">
        <f t="shared" si="205"/>
        <v>0</v>
      </c>
      <c r="Q1284" s="33">
        <f t="shared" si="205"/>
        <v>676.66666666666663</v>
      </c>
      <c r="R1284" s="33">
        <f t="shared" si="205"/>
        <v>676.66666666666663</v>
      </c>
      <c r="S1284" s="34">
        <f t="shared" si="206"/>
        <v>1353.3333333333333</v>
      </c>
      <c r="T1284" s="35" t="s">
        <v>169</v>
      </c>
      <c r="U1284" s="18" t="s">
        <v>1600</v>
      </c>
      <c r="V1284" s="18" t="str">
        <f>IF(OR($H1284="",$H1284="sif",$H1284="PM"),"",VLOOKUP($H1284,[5]CU!$C$5:$J$255,8,FALSE))</f>
        <v>3. Formation</v>
      </c>
      <c r="W1284" s="18" t="s">
        <v>142</v>
      </c>
      <c r="X1284" s="18" t="s">
        <v>1607</v>
      </c>
      <c r="Y1284" s="18" t="s">
        <v>679</v>
      </c>
      <c r="Z1284" s="18" t="str">
        <f>A1284 &amp; "-" &amp; VLOOKUP(A1284,[4]PROGRAMMES!$E$1:$F$7,2,FALSE)</f>
        <v>4-Réforme de l’enseignement supérieur et la recherche scientifique et de l'innovation</v>
      </c>
      <c r="AA1284" s="19" t="str">
        <f>B1284 &amp; "-" &amp; VLOOKUP(B1284,[4]SOUSPROGRAMMES!$E$1:$F$44,2,FALSE)</f>
        <v>41- Gouvernance et pilotage de l’enseignement supérieur et de la recherche scientifique</v>
      </c>
      <c r="AB1284" s="19" t="str">
        <f>C1284 &amp; "-" &amp; VLOOKUP(C1284,[4]RESULTATS!$E$1:$F$176,2,FALSE)</f>
        <v>419- L’efficacité dans l’utilisation des fonds alloués aux institutions est améliorée</v>
      </c>
      <c r="AC1284" s="20" t="str">
        <f>D1284 &amp; "-" &amp; VLOOKUP(D1284,[4]STRATEGIES!$E$1:$F$504,2,FALSE)</f>
        <v>4191-Maîtrise de cycle de projets</v>
      </c>
      <c r="AD1284" s="21" t="str">
        <f t="shared" ref="AD1284:AD1347" si="207">E1284 &amp; "-" &amp; F1284</f>
        <v>41912-Formation en conception et gestion de projet</v>
      </c>
    </row>
    <row r="1285" spans="1:30" s="22" customFormat="1" ht="45" hidden="1" customHeight="1" x14ac:dyDescent="0.8">
      <c r="A1285" s="14">
        <v>4</v>
      </c>
      <c r="B1285" s="15">
        <v>41</v>
      </c>
      <c r="C1285" s="15">
        <v>419</v>
      </c>
      <c r="D1285" s="15">
        <v>4191</v>
      </c>
      <c r="E1285" s="15">
        <v>41913</v>
      </c>
      <c r="F1285" s="16" t="s">
        <v>1682</v>
      </c>
      <c r="G1285" s="21" t="s">
        <v>167</v>
      </c>
      <c r="H1285" s="17" t="s">
        <v>662</v>
      </c>
      <c r="I1285" s="33">
        <v>0</v>
      </c>
      <c r="J1285" s="33"/>
      <c r="K1285" s="33">
        <v>10</v>
      </c>
      <c r="L1285" s="33">
        <v>10</v>
      </c>
      <c r="M1285" s="33">
        <f t="shared" si="204"/>
        <v>20</v>
      </c>
      <c r="N1285" s="33">
        <f>IF(OR(H1285="",H1285="sif",H1285="PM"),0,VLOOKUP(H1285,[5]CU!$C$4:$H$255,6,FALSE))</f>
        <v>219.54797350000001</v>
      </c>
      <c r="O1285" s="33">
        <f t="shared" si="205"/>
        <v>0</v>
      </c>
      <c r="P1285" s="33">
        <f t="shared" si="205"/>
        <v>0</v>
      </c>
      <c r="Q1285" s="33">
        <f t="shared" si="205"/>
        <v>2195.4797349999999</v>
      </c>
      <c r="R1285" s="33">
        <f t="shared" si="205"/>
        <v>2195.4797349999999</v>
      </c>
      <c r="S1285" s="34">
        <f t="shared" si="206"/>
        <v>4390.9594699999998</v>
      </c>
      <c r="T1285" s="35" t="s">
        <v>169</v>
      </c>
      <c r="U1285" s="18" t="s">
        <v>1600</v>
      </c>
      <c r="V1285" s="18" t="str">
        <f>IF(OR($H1285="",$H1285="sif",$H1285="PM"),"",VLOOKUP($H1285,[5]CU!$C$5:$J$255,8,FALSE))</f>
        <v>3. Dépenses de fonctionnement</v>
      </c>
      <c r="W1285" s="18" t="s">
        <v>96</v>
      </c>
      <c r="X1285" s="18" t="s">
        <v>750</v>
      </c>
      <c r="Y1285" s="18" t="s">
        <v>679</v>
      </c>
      <c r="Z1285" s="18" t="str">
        <f>A1285 &amp; "-" &amp; VLOOKUP(A1285,[4]PROGRAMMES!$E$1:$F$7,2,FALSE)</f>
        <v>4-Réforme de l’enseignement supérieur et la recherche scientifique et de l'innovation</v>
      </c>
      <c r="AA1285" s="19" t="str">
        <f>B1285 &amp; "-" &amp; VLOOKUP(B1285,[4]SOUSPROGRAMMES!$E$1:$F$44,2,FALSE)</f>
        <v>41- Gouvernance et pilotage de l’enseignement supérieur et de la recherche scientifique</v>
      </c>
      <c r="AB1285" s="19" t="str">
        <f>C1285 &amp; "-" &amp; VLOOKUP(C1285,[4]RESULTATS!$E$1:$F$176,2,FALSE)</f>
        <v>419- L’efficacité dans l’utilisation des fonds alloués aux institutions est améliorée</v>
      </c>
      <c r="AC1285" s="20" t="str">
        <f>D1285 &amp; "-" &amp; VLOOKUP(D1285,[4]STRATEGIES!$E$1:$F$504,2,FALSE)</f>
        <v>4191-Maîtrise de cycle de projets</v>
      </c>
      <c r="AD1285" s="21" t="str">
        <f t="shared" si="207"/>
        <v xml:space="preserve">41913-Appui technique aux institutions dans la conception et la gestion de projet </v>
      </c>
    </row>
    <row r="1286" spans="1:30" s="22" customFormat="1" ht="45" hidden="1" customHeight="1" x14ac:dyDescent="0.8">
      <c r="A1286" s="14">
        <v>4</v>
      </c>
      <c r="B1286" s="15">
        <v>41</v>
      </c>
      <c r="C1286" s="15">
        <v>419</v>
      </c>
      <c r="D1286" s="15">
        <v>4192</v>
      </c>
      <c r="E1286" s="15">
        <v>4192</v>
      </c>
      <c r="F1286" s="16" t="s">
        <v>1683</v>
      </c>
      <c r="G1286" s="17"/>
      <c r="H1286" s="17"/>
      <c r="I1286" s="33">
        <v>0</v>
      </c>
      <c r="J1286" s="33"/>
      <c r="K1286" s="33"/>
      <c r="L1286" s="33"/>
      <c r="M1286" s="33"/>
      <c r="N1286" s="33"/>
      <c r="O1286" s="33"/>
      <c r="P1286" s="33"/>
      <c r="Q1286" s="33"/>
      <c r="R1286" s="33"/>
      <c r="S1286" s="34"/>
      <c r="T1286" s="33"/>
      <c r="U1286" s="18"/>
      <c r="V1286" s="18"/>
      <c r="W1286" s="18"/>
      <c r="X1286" s="18"/>
      <c r="Y1286" s="18" t="s">
        <v>679</v>
      </c>
      <c r="Z1286" s="18" t="str">
        <f>A1286 &amp; "-" &amp; VLOOKUP(A1286,[4]PROGRAMMES!$E$1:$F$7,2,FALSE)</f>
        <v>4-Réforme de l’enseignement supérieur et la recherche scientifique et de l'innovation</v>
      </c>
      <c r="AA1286" s="19" t="str">
        <f>B1286 &amp; "-" &amp; VLOOKUP(B1286,[4]SOUSPROGRAMMES!$E$1:$F$44,2,FALSE)</f>
        <v>41- Gouvernance et pilotage de l’enseignement supérieur et de la recherche scientifique</v>
      </c>
      <c r="AB1286" s="19" t="str">
        <f>C1286 &amp; "-" &amp; VLOOKUP(C1286,[4]RESULTATS!$E$1:$F$176,2,FALSE)</f>
        <v>419- L’efficacité dans l’utilisation des fonds alloués aux institutions est améliorée</v>
      </c>
      <c r="AC1286" s="20" t="str">
        <f>D1286 &amp; "-" &amp; VLOOKUP(D1286,[4]STRATEGIES!$E$1:$F$504,2,FALSE)</f>
        <v>4192-Adoption de l'élaboration de projets d'établissements pluri-annuels</v>
      </c>
      <c r="AD1286" s="21" t="str">
        <f t="shared" si="207"/>
        <v>4192-Adoption de l'élaboration de projets d'établissements pluri-annuels</v>
      </c>
    </row>
    <row r="1287" spans="1:30" s="22" customFormat="1" ht="45" hidden="1" customHeight="1" x14ac:dyDescent="0.8">
      <c r="A1287" s="14">
        <v>4</v>
      </c>
      <c r="B1287" s="15">
        <v>41</v>
      </c>
      <c r="C1287" s="15">
        <v>419</v>
      </c>
      <c r="D1287" s="15">
        <v>4192</v>
      </c>
      <c r="E1287" s="15">
        <v>41921</v>
      </c>
      <c r="F1287" s="16" t="s">
        <v>1684</v>
      </c>
      <c r="G1287" s="21" t="s">
        <v>92</v>
      </c>
      <c r="H1287" s="17" t="s">
        <v>55</v>
      </c>
      <c r="I1287" s="33">
        <v>0</v>
      </c>
      <c r="J1287" s="33">
        <v>1</v>
      </c>
      <c r="K1287" s="33">
        <v>1</v>
      </c>
      <c r="L1287" s="33"/>
      <c r="M1287" s="33">
        <f t="shared" si="204"/>
        <v>2</v>
      </c>
      <c r="N1287" s="33">
        <f>IF(OR(H1287="",H1287="sif",H1287="PM"),0,VLOOKUP(H1287,[5]CU!$C$4:$H$255,6,FALSE))</f>
        <v>0</v>
      </c>
      <c r="O1287" s="33">
        <f t="shared" si="205"/>
        <v>0</v>
      </c>
      <c r="P1287" s="33">
        <f t="shared" si="205"/>
        <v>0</v>
      </c>
      <c r="Q1287" s="33">
        <f t="shared" si="205"/>
        <v>0</v>
      </c>
      <c r="R1287" s="33">
        <f t="shared" si="205"/>
        <v>0</v>
      </c>
      <c r="S1287" s="34"/>
      <c r="T1287" s="35" t="s">
        <v>56</v>
      </c>
      <c r="U1287" s="18" t="s">
        <v>1600</v>
      </c>
      <c r="V1287" s="18" t="str">
        <f>IF(OR($H1287="",$H1287="sif",$H1287="PM"),"",VLOOKUP($H1287,[5]CU!$C$5:$J$255,8,FALSE))</f>
        <v/>
      </c>
      <c r="W1287" s="18" t="s">
        <v>96</v>
      </c>
      <c r="X1287" s="18" t="s">
        <v>1650</v>
      </c>
      <c r="Y1287" s="18" t="s">
        <v>679</v>
      </c>
      <c r="Z1287" s="18" t="str">
        <f>A1287 &amp; "-" &amp; VLOOKUP(A1287,[4]PROGRAMMES!$E$1:$F$7,2,FALSE)</f>
        <v>4-Réforme de l’enseignement supérieur et la recherche scientifique et de l'innovation</v>
      </c>
      <c r="AA1287" s="19" t="str">
        <f>B1287 &amp; "-" &amp; VLOOKUP(B1287,[4]SOUSPROGRAMMES!$E$1:$F$44,2,FALSE)</f>
        <v>41- Gouvernance et pilotage de l’enseignement supérieur et de la recherche scientifique</v>
      </c>
      <c r="AB1287" s="19" t="str">
        <f>C1287 &amp; "-" &amp; VLOOKUP(C1287,[4]RESULTATS!$E$1:$F$176,2,FALSE)</f>
        <v>419- L’efficacité dans l’utilisation des fonds alloués aux institutions est améliorée</v>
      </c>
      <c r="AC1287" s="20" t="str">
        <f>D1287 &amp; "-" &amp; VLOOKUP(D1287,[4]STRATEGIES!$E$1:$F$504,2,FALSE)</f>
        <v>4192-Adoption de l'élaboration de projets d'établissements pluri-annuels</v>
      </c>
      <c r="AD1287" s="21" t="str">
        <f t="shared" si="207"/>
        <v>41921-Formations des institutions dans l'élaboration des projets d'établissement pris en compte dans activité 41913)</v>
      </c>
    </row>
    <row r="1288" spans="1:30" s="22" customFormat="1" ht="45" hidden="1" customHeight="1" x14ac:dyDescent="0.8">
      <c r="A1288" s="14">
        <v>4</v>
      </c>
      <c r="B1288" s="15">
        <v>41</v>
      </c>
      <c r="C1288" s="15">
        <v>419</v>
      </c>
      <c r="D1288" s="15">
        <v>4192</v>
      </c>
      <c r="E1288" s="15">
        <v>41922</v>
      </c>
      <c r="F1288" s="16" t="s">
        <v>1685</v>
      </c>
      <c r="G1288" s="21" t="s">
        <v>88</v>
      </c>
      <c r="H1288" s="17" t="s">
        <v>55</v>
      </c>
      <c r="I1288" s="33">
        <v>0</v>
      </c>
      <c r="J1288" s="33">
        <v>1</v>
      </c>
      <c r="K1288" s="33">
        <v>1</v>
      </c>
      <c r="L1288" s="33"/>
      <c r="M1288" s="33">
        <f t="shared" si="204"/>
        <v>2</v>
      </c>
      <c r="N1288" s="33">
        <f>IF(OR(H1288="",H1288="sif",H1288="PM"),0,VLOOKUP(H1288,[5]CU!$C$4:$H$255,6,FALSE))</f>
        <v>0</v>
      </c>
      <c r="O1288" s="33">
        <f t="shared" si="205"/>
        <v>0</v>
      </c>
      <c r="P1288" s="33">
        <f t="shared" si="205"/>
        <v>0</v>
      </c>
      <c r="Q1288" s="33">
        <f t="shared" si="205"/>
        <v>0</v>
      </c>
      <c r="R1288" s="33">
        <f t="shared" si="205"/>
        <v>0</v>
      </c>
      <c r="S1288" s="34"/>
      <c r="T1288" s="35" t="s">
        <v>56</v>
      </c>
      <c r="U1288" s="18" t="s">
        <v>1600</v>
      </c>
      <c r="V1288" s="18" t="str">
        <f>IF(OR($H1288="",$H1288="sif",$H1288="PM"),"",VLOOKUP($H1288,[5]CU!$C$5:$J$255,8,FALSE))</f>
        <v/>
      </c>
      <c r="W1288" s="18" t="s">
        <v>1607</v>
      </c>
      <c r="X1288" s="18" t="s">
        <v>1686</v>
      </c>
      <c r="Y1288" s="18" t="s">
        <v>679</v>
      </c>
      <c r="Z1288" s="18" t="str">
        <f>A1288 &amp; "-" &amp; VLOOKUP(A1288,[4]PROGRAMMES!$E$1:$F$7,2,FALSE)</f>
        <v>4-Réforme de l’enseignement supérieur et la recherche scientifique et de l'innovation</v>
      </c>
      <c r="AA1288" s="19" t="str">
        <f>B1288 &amp; "-" &amp; VLOOKUP(B1288,[4]SOUSPROGRAMMES!$E$1:$F$44,2,FALSE)</f>
        <v>41- Gouvernance et pilotage de l’enseignement supérieur et de la recherche scientifique</v>
      </c>
      <c r="AB1288" s="19" t="str">
        <f>C1288 &amp; "-" &amp; VLOOKUP(C1288,[4]RESULTATS!$E$1:$F$176,2,FALSE)</f>
        <v>419- L’efficacité dans l’utilisation des fonds alloués aux institutions est améliorée</v>
      </c>
      <c r="AC1288" s="20" t="str">
        <f>D1288 &amp; "-" &amp; VLOOKUP(D1288,[4]STRATEGIES!$E$1:$F$504,2,FALSE)</f>
        <v>4192-Adoption de l'élaboration de projets d'établissements pluri-annuels</v>
      </c>
      <c r="AD1288" s="21" t="str">
        <f t="shared" si="207"/>
        <v>41922-Elaboration et validation de projets d'établissement</v>
      </c>
    </row>
    <row r="1289" spans="1:30" s="22" customFormat="1" ht="60" hidden="1" customHeight="1" x14ac:dyDescent="0.8">
      <c r="A1289" s="14">
        <v>4</v>
      </c>
      <c r="B1289" s="15">
        <v>41</v>
      </c>
      <c r="C1289" s="15">
        <v>411</v>
      </c>
      <c r="D1289" s="15">
        <v>411</v>
      </c>
      <c r="E1289" s="15">
        <v>411</v>
      </c>
      <c r="F1289" s="16" t="s">
        <v>1597</v>
      </c>
      <c r="G1289" s="17"/>
      <c r="H1289" s="17"/>
      <c r="I1289" s="33">
        <v>0</v>
      </c>
      <c r="J1289" s="33"/>
      <c r="K1289" s="33"/>
      <c r="L1289" s="33"/>
      <c r="M1289" s="33"/>
      <c r="N1289" s="33"/>
      <c r="O1289" s="33"/>
      <c r="P1289" s="33"/>
      <c r="Q1289" s="33"/>
      <c r="R1289" s="33"/>
      <c r="S1289" s="34"/>
      <c r="T1289" s="33"/>
      <c r="U1289" s="18"/>
      <c r="V1289" s="18"/>
      <c r="W1289" s="18"/>
      <c r="X1289" s="18"/>
      <c r="Y1289" s="18" t="s">
        <v>679</v>
      </c>
      <c r="Z1289" s="18" t="str">
        <f>A1289 &amp; "-" &amp; VLOOKUP(A1289,[4]PROGRAMMES!$E$1:$F$7,2,FALSE)</f>
        <v>4-Réforme de l’enseignement supérieur et la recherche scientifique et de l'innovation</v>
      </c>
      <c r="AA1289" s="19" t="str">
        <f>B1289 &amp; "-" &amp; VLOOKUP(B1289,[4]SOUSPROGRAMMES!$E$1:$F$44,2,FALSE)</f>
        <v>41- Gouvernance et pilotage de l’enseignement supérieur et de la recherche scientifique</v>
      </c>
      <c r="AB1289" s="19" t="str">
        <f>C1289 &amp; "-" &amp; VLOOKUP(C1289,[4]RESULTATS!$E$1:$F$176,2,FALSE)</f>
        <v xml:space="preserve">411- Les textes sont produits/révisés, les manuels de procédure de gestion sont élaborés afin de mieux situer les rôles et les responsabilités. </v>
      </c>
      <c r="AC1289" s="20" t="str">
        <f>D1289 &amp; "-" &amp; VLOOKUP(D1289,[4]STRATEGIES!$E$1:$F$504,2,FALSE)</f>
        <v xml:space="preserve">411- Les textes sont produits/révisés, les manuels de procédure de gestion sont élaborés afin de mieux situer les rôles et les responsabilités. </v>
      </c>
      <c r="AD1289" s="21" t="str">
        <f t="shared" si="207"/>
        <v xml:space="preserve">411- Les textes sont produits/révisés, les manuels de procédure de gestion sont élaborés aFin de mieux situer les rôles et les responsabilités. </v>
      </c>
    </row>
    <row r="1290" spans="1:30" s="22" customFormat="1" ht="60" hidden="1" customHeight="1" x14ac:dyDescent="0.8">
      <c r="A1290" s="14">
        <v>4</v>
      </c>
      <c r="B1290" s="15">
        <v>41</v>
      </c>
      <c r="C1290" s="15">
        <v>411</v>
      </c>
      <c r="D1290" s="15">
        <v>4110</v>
      </c>
      <c r="E1290" s="15">
        <v>4110</v>
      </c>
      <c r="F1290" s="16" t="s">
        <v>1687</v>
      </c>
      <c r="G1290" s="17"/>
      <c r="H1290" s="17"/>
      <c r="I1290" s="33">
        <v>0</v>
      </c>
      <c r="J1290" s="33"/>
      <c r="K1290" s="33"/>
      <c r="L1290" s="33"/>
      <c r="M1290" s="33"/>
      <c r="N1290" s="33"/>
      <c r="O1290" s="33"/>
      <c r="P1290" s="33"/>
      <c r="Q1290" s="33"/>
      <c r="R1290" s="33"/>
      <c r="S1290" s="34"/>
      <c r="T1290" s="33"/>
      <c r="U1290" s="18"/>
      <c r="V1290" s="18"/>
      <c r="W1290" s="18"/>
      <c r="X1290" s="18"/>
      <c r="Y1290" s="18" t="s">
        <v>679</v>
      </c>
      <c r="Z1290" s="18" t="str">
        <f>A1290 &amp; "-" &amp; VLOOKUP(A1290,[4]PROGRAMMES!$E$1:$F$7,2,FALSE)</f>
        <v>4-Réforme de l’enseignement supérieur et la recherche scientifique et de l'innovation</v>
      </c>
      <c r="AA1290" s="19" t="str">
        <f>B1290 &amp; "-" &amp; VLOOKUP(B1290,[4]SOUSPROGRAMMES!$E$1:$F$44,2,FALSE)</f>
        <v>41- Gouvernance et pilotage de l’enseignement supérieur et de la recherche scientifique</v>
      </c>
      <c r="AB1290" s="19" t="str">
        <f>C1290 &amp; "-" &amp; VLOOKUP(C1290,[4]RESULTATS!$E$1:$F$176,2,FALSE)</f>
        <v xml:space="preserve">411- Les textes sont produits/révisés, les manuels de procédure de gestion sont élaborés afin de mieux situer les rôles et les responsabilités. </v>
      </c>
      <c r="AC1290" s="20" t="str">
        <f>D1290 &amp; "-" &amp; VLOOKUP(D1290,[4]STRATEGIES!$E$1:$F$504,2,FALSE)</f>
        <v>4110-Modernisation de l'administration</v>
      </c>
      <c r="AD1290" s="21" t="str">
        <f t="shared" si="207"/>
        <v>4110-Modernisation de l'administration</v>
      </c>
    </row>
    <row r="1291" spans="1:30" s="22" customFormat="1" ht="60" hidden="1" customHeight="1" x14ac:dyDescent="0.8">
      <c r="A1291" s="14">
        <v>4</v>
      </c>
      <c r="B1291" s="15">
        <v>41</v>
      </c>
      <c r="C1291" s="15">
        <v>411</v>
      </c>
      <c r="D1291" s="15">
        <v>4110</v>
      </c>
      <c r="E1291" s="15">
        <v>411011</v>
      </c>
      <c r="F1291" s="16" t="s">
        <v>1688</v>
      </c>
      <c r="G1291" s="21" t="s">
        <v>1689</v>
      </c>
      <c r="H1291" s="17" t="s">
        <v>1690</v>
      </c>
      <c r="I1291" s="33">
        <v>0</v>
      </c>
      <c r="J1291" s="33">
        <v>0.85321601597583097</v>
      </c>
      <c r="K1291" s="33">
        <v>0.91800764864125295</v>
      </c>
      <c r="L1291" s="33">
        <v>0.98693615820831004</v>
      </c>
      <c r="M1291" s="33">
        <f t="shared" si="204"/>
        <v>2.7581598228253941</v>
      </c>
      <c r="N1291" s="33">
        <f>IF(OR(H1291="",H1291="sif",H1291="PM"),0,VLOOKUP(H1291,[5]CU!$C$4:$H$255,6,FALSE))</f>
        <v>150012.51265991799</v>
      </c>
      <c r="O1291" s="33">
        <f t="shared" si="205"/>
        <v>0</v>
      </c>
      <c r="P1291" s="33">
        <f t="shared" si="205"/>
        <v>127993.07839821914</v>
      </c>
      <c r="Q1291" s="33">
        <f t="shared" si="205"/>
        <v>137712.6340136975</v>
      </c>
      <c r="R1291" s="33">
        <f t="shared" si="205"/>
        <v>148052.77292775494</v>
      </c>
      <c r="S1291" s="34">
        <f t="shared" ref="S1291:S1309" si="208">SUM(O1291:R1291)</f>
        <v>413758.48533967161</v>
      </c>
      <c r="T1291" s="35" t="s">
        <v>56</v>
      </c>
      <c r="U1291" s="18" t="s">
        <v>1600</v>
      </c>
      <c r="V1291" s="18" t="str">
        <f>IF(OR($H1291="",$H1291="sif",$H1291="PM"),"",VLOOKUP($H1291,[5]CU!$C$5:$J$255,8,FALSE))</f>
        <v>3. Dépenses de fonctionnement</v>
      </c>
      <c r="W1291" s="18"/>
      <c r="X1291" s="18"/>
      <c r="Y1291" s="18" t="s">
        <v>679</v>
      </c>
      <c r="Z1291" s="18" t="str">
        <f>A1291 &amp; "-" &amp; VLOOKUP(A1291,[4]PROGRAMMES!$E$1:$F$7,2,FALSE)</f>
        <v>4-Réforme de l’enseignement supérieur et la recherche scientifique et de l'innovation</v>
      </c>
      <c r="AA1291" s="19" t="str">
        <f>B1291 &amp; "-" &amp; VLOOKUP(B1291,[4]SOUSPROGRAMMES!$E$1:$F$44,2,FALSE)</f>
        <v>41- Gouvernance et pilotage de l’enseignement supérieur et de la recherche scientifique</v>
      </c>
      <c r="AB1291" s="19" t="str">
        <f>C1291 &amp; "-" &amp; VLOOKUP(C1291,[4]RESULTATS!$E$1:$F$176,2,FALSE)</f>
        <v xml:space="preserve">411- Les textes sont produits/révisés, les manuels de procédure de gestion sont élaborés afin de mieux situer les rôles et les responsabilités. </v>
      </c>
      <c r="AC1291" s="20" t="str">
        <f>D1291 &amp; "-" &amp; VLOOKUP(D1291,[4]STRATEGIES!$E$1:$F$504,2,FALSE)</f>
        <v>4110-Modernisation de l'administration</v>
      </c>
      <c r="AD1291" s="21" t="str">
        <f t="shared" si="207"/>
        <v>411011-Dotation des établissements en subvention de fonctionnement</v>
      </c>
    </row>
    <row r="1292" spans="1:30" s="22" customFormat="1" ht="45" hidden="1" customHeight="1" x14ac:dyDescent="0.8">
      <c r="A1292" s="14">
        <v>4</v>
      </c>
      <c r="B1292" s="15">
        <v>42</v>
      </c>
      <c r="C1292" s="15">
        <v>42</v>
      </c>
      <c r="D1292" s="15">
        <v>42</v>
      </c>
      <c r="E1292" s="15">
        <v>42</v>
      </c>
      <c r="F1292" s="16" t="s">
        <v>1691</v>
      </c>
      <c r="G1292" s="17"/>
      <c r="H1292" s="17"/>
      <c r="I1292" s="33">
        <v>0</v>
      </c>
      <c r="J1292" s="33"/>
      <c r="K1292" s="33"/>
      <c r="L1292" s="33"/>
      <c r="M1292" s="33"/>
      <c r="N1292" s="33"/>
      <c r="O1292" s="33"/>
      <c r="P1292" s="33"/>
      <c r="Q1292" s="33"/>
      <c r="R1292" s="33"/>
      <c r="S1292" s="34"/>
      <c r="T1292" s="33"/>
      <c r="U1292" s="18"/>
      <c r="V1292" s="18"/>
      <c r="W1292" s="18"/>
      <c r="X1292" s="18"/>
      <c r="Y1292" s="18" t="s">
        <v>679</v>
      </c>
      <c r="Z1292" s="18" t="str">
        <f>A1292 &amp; "-" &amp; VLOOKUP(A1292,[4]PROGRAMMES!$E$1:$F$7,2,FALSE)</f>
        <v>4-Réforme de l’enseignement supérieur et la recherche scientifique et de l'innovation</v>
      </c>
      <c r="AA1292" s="19" t="str">
        <f>B1292 &amp; "-" &amp; VLOOKUP(B1292,[4]SOUSPROGRAMMES!$E$1:$F$44,2,FALSE)</f>
        <v xml:space="preserve">42- Expansion de l’offre publique pour un système plus équitable en lien avec les priorités nationales </v>
      </c>
      <c r="AB1292" s="19" t="str">
        <f>C1292 &amp; "-" &amp; VLOOKUP(C1292,[4]RESULTATS!$E$1:$F$176,2,FALSE)</f>
        <v xml:space="preserve">42- Expansion de l’offre publique pour un système plus équitable en lien avec les priorités nationales </v>
      </c>
      <c r="AC1292" s="20" t="str">
        <f>D1292 &amp; "-" &amp; VLOOKUP(D1292,[4]STRATEGIES!$E$1:$F$504,2,FALSE)</f>
        <v xml:space="preserve">42- Expansion de l’offre publique pour un système plus équitable en lien avec les priorités nationales </v>
      </c>
      <c r="AD1292" s="21" t="str">
        <f t="shared" si="207"/>
        <v xml:space="preserve">42- Expansion de l’offre publique pour un système plus équitable en lien avec les priorités nationales </v>
      </c>
    </row>
    <row r="1293" spans="1:30" s="22" customFormat="1" ht="45" hidden="1" customHeight="1" x14ac:dyDescent="0.8">
      <c r="A1293" s="14">
        <v>4</v>
      </c>
      <c r="B1293" s="15">
        <v>42</v>
      </c>
      <c r="C1293" s="15">
        <v>421</v>
      </c>
      <c r="D1293" s="15">
        <v>421</v>
      </c>
      <c r="E1293" s="15">
        <v>421</v>
      </c>
      <c r="F1293" s="16" t="s">
        <v>1692</v>
      </c>
      <c r="G1293" s="17"/>
      <c r="H1293" s="17"/>
      <c r="I1293" s="33">
        <v>0</v>
      </c>
      <c r="J1293" s="33"/>
      <c r="K1293" s="33"/>
      <c r="L1293" s="33"/>
      <c r="M1293" s="33"/>
      <c r="N1293" s="33"/>
      <c r="O1293" s="33"/>
      <c r="P1293" s="33"/>
      <c r="Q1293" s="33"/>
      <c r="R1293" s="33"/>
      <c r="S1293" s="34"/>
      <c r="T1293" s="33"/>
      <c r="U1293" s="18"/>
      <c r="V1293" s="18"/>
      <c r="W1293" s="18"/>
      <c r="X1293" s="18"/>
      <c r="Y1293" s="18" t="s">
        <v>679</v>
      </c>
      <c r="Z1293" s="18" t="str">
        <f>A1293 &amp; "-" &amp; VLOOKUP(A1293,[4]PROGRAMMES!$E$1:$F$7,2,FALSE)</f>
        <v>4-Réforme de l’enseignement supérieur et la recherche scientifique et de l'innovation</v>
      </c>
      <c r="AA1293" s="19" t="str">
        <f>B1293 &amp; "-" &amp; VLOOKUP(B1293,[4]SOUSPROGRAMMES!$E$1:$F$44,2,FALSE)</f>
        <v xml:space="preserve">42- Expansion de l’offre publique pour un système plus équitable en lien avec les priorités nationales </v>
      </c>
      <c r="AB1293" s="19" t="str">
        <f>C1293 &amp; "-" &amp; VLOOKUP(C1293,[4]RESULTATS!$E$1:$F$176,2,FALSE)</f>
        <v>421- La capacité d’accueil en infrastructures, équipements et en enseignants des institutions est accrue</v>
      </c>
      <c r="AC1293" s="20" t="str">
        <f>D1293 &amp; "-" &amp; VLOOKUP(D1293,[4]STRATEGIES!$E$1:$F$504,2,FALSE)</f>
        <v>421- La capacité d’accueil en infrastructures, équipements et en enseignants des institutions est accrue</v>
      </c>
      <c r="AD1293" s="21" t="str">
        <f t="shared" si="207"/>
        <v>421- La capacité d’accueil en infrastructures, équipements et en enseignants des institutions est accrue</v>
      </c>
    </row>
    <row r="1294" spans="1:30" s="22" customFormat="1" ht="45" hidden="1" customHeight="1" x14ac:dyDescent="0.8">
      <c r="A1294" s="14">
        <v>4</v>
      </c>
      <c r="B1294" s="15">
        <v>42</v>
      </c>
      <c r="C1294" s="15">
        <v>421</v>
      </c>
      <c r="D1294" s="15">
        <v>4211</v>
      </c>
      <c r="E1294" s="15">
        <v>4211</v>
      </c>
      <c r="F1294" s="16" t="s">
        <v>1693</v>
      </c>
      <c r="G1294" s="17"/>
      <c r="H1294" s="17"/>
      <c r="I1294" s="33">
        <v>0</v>
      </c>
      <c r="J1294" s="33"/>
      <c r="K1294" s="33"/>
      <c r="L1294" s="33"/>
      <c r="M1294" s="33"/>
      <c r="N1294" s="33"/>
      <c r="O1294" s="33"/>
      <c r="P1294" s="33"/>
      <c r="Q1294" s="33"/>
      <c r="R1294" s="33"/>
      <c r="S1294" s="34"/>
      <c r="T1294" s="33"/>
      <c r="U1294" s="18"/>
      <c r="V1294" s="18"/>
      <c r="W1294" s="18"/>
      <c r="X1294" s="18"/>
      <c r="Y1294" s="18" t="s">
        <v>679</v>
      </c>
      <c r="Z1294" s="18" t="str">
        <f>A1294 &amp; "-" &amp; VLOOKUP(A1294,[4]PROGRAMMES!$E$1:$F$7,2,FALSE)</f>
        <v>4-Réforme de l’enseignement supérieur et la recherche scientifique et de l'innovation</v>
      </c>
      <c r="AA1294" s="19" t="str">
        <f>B1294 &amp; "-" &amp; VLOOKUP(B1294,[4]SOUSPROGRAMMES!$E$1:$F$44,2,FALSE)</f>
        <v xml:space="preserve">42- Expansion de l’offre publique pour un système plus équitable en lien avec les priorités nationales </v>
      </c>
      <c r="AB1294" s="19" t="str">
        <f>C1294 &amp; "-" &amp; VLOOKUP(C1294,[4]RESULTATS!$E$1:$F$176,2,FALSE)</f>
        <v>421- La capacité d’accueil en infrastructures, équipements et en enseignants des institutions est accrue</v>
      </c>
      <c r="AC1294" s="20" t="str">
        <f>D1294 &amp; "-" &amp; VLOOKUP(D1294,[4]STRATEGIES!$E$1:$F$504,2,FALSE)</f>
        <v>4211-Construction/rénovation et équipement de bâtiments administratifs, acquisition d'immobilisation et de matériels</v>
      </c>
      <c r="AD1294" s="21" t="str">
        <f t="shared" si="207"/>
        <v>4211-Construction/rénovation et équipement de bâtiments administratifs, acquisition d'immobilisation et de matériels</v>
      </c>
    </row>
    <row r="1295" spans="1:30" s="22" customFormat="1" ht="45" hidden="1" customHeight="1" x14ac:dyDescent="0.8">
      <c r="A1295" s="14">
        <v>4</v>
      </c>
      <c r="B1295" s="15">
        <v>42</v>
      </c>
      <c r="C1295" s="15">
        <v>421</v>
      </c>
      <c r="D1295" s="15">
        <v>4211</v>
      </c>
      <c r="E1295" s="15">
        <v>42111</v>
      </c>
      <c r="F1295" s="16" t="s">
        <v>1694</v>
      </c>
      <c r="G1295" s="21" t="s">
        <v>1282</v>
      </c>
      <c r="H1295" s="17" t="s">
        <v>1695</v>
      </c>
      <c r="I1295" s="33">
        <v>0</v>
      </c>
      <c r="J1295" s="33">
        <v>0.5</v>
      </c>
      <c r="K1295" s="33">
        <v>0.4</v>
      </c>
      <c r="L1295" s="33"/>
      <c r="M1295" s="33">
        <f t="shared" si="204"/>
        <v>0.9</v>
      </c>
      <c r="N1295" s="33">
        <f>IF(OR(H1295="",H1295="sif",H1295="PM"),0,VLOOKUP(H1295,[5]CU!$C$4:$H$255,6,FALSE))</f>
        <v>45000</v>
      </c>
      <c r="O1295" s="33">
        <f t="shared" si="205"/>
        <v>0</v>
      </c>
      <c r="P1295" s="33">
        <f t="shared" si="205"/>
        <v>22500</v>
      </c>
      <c r="Q1295" s="33">
        <f t="shared" si="205"/>
        <v>18000</v>
      </c>
      <c r="R1295" s="33">
        <f t="shared" si="205"/>
        <v>0</v>
      </c>
      <c r="S1295" s="34">
        <f t="shared" si="208"/>
        <v>40500</v>
      </c>
      <c r="T1295" s="35" t="s">
        <v>56</v>
      </c>
      <c r="U1295" s="18" t="s">
        <v>1696</v>
      </c>
      <c r="V1295" s="18" t="str">
        <f>IF(OR($H1295="",$H1295="sif",$H1295="PM"),"",VLOOKUP($H1295,[5]CU!$C$5:$J$255,8,FALSE))</f>
        <v>5. Investissement</v>
      </c>
      <c r="W1295" s="18" t="s">
        <v>254</v>
      </c>
      <c r="X1295" s="18" t="s">
        <v>521</v>
      </c>
      <c r="Y1295" s="18" t="s">
        <v>679</v>
      </c>
      <c r="Z1295" s="18" t="str">
        <f>A1295 &amp; "-" &amp; VLOOKUP(A1295,[4]PROGRAMMES!$E$1:$F$7,2,FALSE)</f>
        <v>4-Réforme de l’enseignement supérieur et la recherche scientifique et de l'innovation</v>
      </c>
      <c r="AA1295" s="19" t="str">
        <f>B1295 &amp; "-" &amp; VLOOKUP(B1295,[4]SOUSPROGRAMMES!$E$1:$F$44,2,FALSE)</f>
        <v xml:space="preserve">42- Expansion de l’offre publique pour un système plus équitable en lien avec les priorités nationales </v>
      </c>
      <c r="AB1295" s="19" t="str">
        <f>C1295 &amp; "-" &amp; VLOOKUP(C1295,[4]RESULTATS!$E$1:$F$176,2,FALSE)</f>
        <v>421- La capacité d’accueil en infrastructures, équipements et en enseignants des institutions est accrue</v>
      </c>
      <c r="AC1295" s="20" t="str">
        <f>D1295 &amp; "-" &amp; VLOOKUP(D1295,[4]STRATEGIES!$E$1:$F$504,2,FALSE)</f>
        <v>4211-Construction/rénovation et équipement de bâtiments administratifs, acquisition d'immobilisation et de matériels</v>
      </c>
      <c r="AD1295" s="21" t="str">
        <f t="shared" si="207"/>
        <v>42111-Construction de bâtiments à usage administratifs</v>
      </c>
    </row>
    <row r="1296" spans="1:30" s="22" customFormat="1" ht="45" hidden="1" customHeight="1" x14ac:dyDescent="0.8">
      <c r="A1296" s="14">
        <v>4</v>
      </c>
      <c r="B1296" s="15">
        <v>42</v>
      </c>
      <c r="C1296" s="15">
        <v>421</v>
      </c>
      <c r="D1296" s="15">
        <v>4211</v>
      </c>
      <c r="E1296" s="15">
        <v>42112</v>
      </c>
      <c r="F1296" s="16" t="s">
        <v>1697</v>
      </c>
      <c r="G1296" s="21" t="s">
        <v>1698</v>
      </c>
      <c r="H1296" s="17" t="s">
        <v>1699</v>
      </c>
      <c r="I1296" s="33">
        <v>0</v>
      </c>
      <c r="J1296" s="33">
        <v>0.6</v>
      </c>
      <c r="K1296" s="33"/>
      <c r="L1296" s="33"/>
      <c r="M1296" s="33">
        <f t="shared" si="204"/>
        <v>0.6</v>
      </c>
      <c r="N1296" s="33">
        <f>IF(OR(H1296="",H1296="sif",H1296="PM"),0,VLOOKUP(H1296,[5]CU!$C$4:$H$255,6,FALSE))</f>
        <v>51995.976000000002</v>
      </c>
      <c r="O1296" s="33">
        <f t="shared" si="205"/>
        <v>0</v>
      </c>
      <c r="P1296" s="33">
        <f t="shared" si="205"/>
        <v>31197.585599999999</v>
      </c>
      <c r="Q1296" s="33">
        <f t="shared" si="205"/>
        <v>0</v>
      </c>
      <c r="R1296" s="33">
        <f t="shared" si="205"/>
        <v>0</v>
      </c>
      <c r="S1296" s="34">
        <f t="shared" si="208"/>
        <v>31197.585599999999</v>
      </c>
      <c r="T1296" s="35" t="s">
        <v>56</v>
      </c>
      <c r="U1296" s="18" t="s">
        <v>1696</v>
      </c>
      <c r="V1296" s="18" t="str">
        <f>IF(OR($H1296="",$H1296="sif",$H1296="PM"),"",VLOOKUP($H1296,[5]CU!$C$5:$J$255,8,FALSE))</f>
        <v>5. Investissement</v>
      </c>
      <c r="W1296" s="18" t="s">
        <v>254</v>
      </c>
      <c r="X1296" s="18" t="s">
        <v>521</v>
      </c>
      <c r="Y1296" s="18" t="s">
        <v>679</v>
      </c>
      <c r="Z1296" s="18" t="str">
        <f>A1296 &amp; "-" &amp; VLOOKUP(A1296,[4]PROGRAMMES!$E$1:$F$7,2,FALSE)</f>
        <v>4-Réforme de l’enseignement supérieur et la recherche scientifique et de l'innovation</v>
      </c>
      <c r="AA1296" s="19" t="str">
        <f>B1296 &amp; "-" &amp; VLOOKUP(B1296,[4]SOUSPROGRAMMES!$E$1:$F$44,2,FALSE)</f>
        <v xml:space="preserve">42- Expansion de l’offre publique pour un système plus équitable en lien avec les priorités nationales </v>
      </c>
      <c r="AB1296" s="19" t="str">
        <f>C1296 &amp; "-" &amp; VLOOKUP(C1296,[4]RESULTATS!$E$1:$F$176,2,FALSE)</f>
        <v>421- La capacité d’accueil en infrastructures, équipements et en enseignants des institutions est accrue</v>
      </c>
      <c r="AC1296" s="20" t="str">
        <f>D1296 &amp; "-" &amp; VLOOKUP(D1296,[4]STRATEGIES!$E$1:$F$504,2,FALSE)</f>
        <v>4211-Construction/rénovation et équipement de bâtiments administratifs, acquisition d'immobilisation et de matériels</v>
      </c>
      <c r="AD1296" s="21" t="str">
        <f t="shared" si="207"/>
        <v>42112-acquisition de matériels transport (bus de transport pour étudiants)</v>
      </c>
    </row>
    <row r="1297" spans="1:30" s="22" customFormat="1" ht="45" hidden="1" customHeight="1" x14ac:dyDescent="0.8">
      <c r="A1297" s="14">
        <v>4</v>
      </c>
      <c r="B1297" s="15">
        <v>42</v>
      </c>
      <c r="C1297" s="15">
        <v>421</v>
      </c>
      <c r="D1297" s="15">
        <v>4211</v>
      </c>
      <c r="E1297" s="15">
        <v>42113</v>
      </c>
      <c r="F1297" s="16" t="s">
        <v>1700</v>
      </c>
      <c r="G1297" s="21" t="s">
        <v>1701</v>
      </c>
      <c r="H1297" s="17" t="s">
        <v>970</v>
      </c>
      <c r="I1297" s="33">
        <v>0</v>
      </c>
      <c r="J1297" s="33">
        <v>100</v>
      </c>
      <c r="K1297" s="33">
        <v>120</v>
      </c>
      <c r="L1297" s="33"/>
      <c r="M1297" s="33">
        <f t="shared" si="204"/>
        <v>220</v>
      </c>
      <c r="N1297" s="33">
        <f>IF(OR(H1297="",H1297="sif",H1297="PM"),0,VLOOKUP(H1297,[5]CU!$C$4:$H$255,6,FALSE))</f>
        <v>10.034934666666667</v>
      </c>
      <c r="O1297" s="33">
        <f t="shared" si="205"/>
        <v>0</v>
      </c>
      <c r="P1297" s="33">
        <f t="shared" si="205"/>
        <v>1003.4934666666667</v>
      </c>
      <c r="Q1297" s="33">
        <f t="shared" si="205"/>
        <v>1204.1921600000001</v>
      </c>
      <c r="R1297" s="33">
        <f t="shared" si="205"/>
        <v>0</v>
      </c>
      <c r="S1297" s="34">
        <f t="shared" si="208"/>
        <v>2207.6856266666668</v>
      </c>
      <c r="T1297" s="35" t="s">
        <v>56</v>
      </c>
      <c r="U1297" s="18" t="s">
        <v>1696</v>
      </c>
      <c r="V1297" s="18" t="str">
        <f>IF(OR($H1297="",$H1297="sif",$H1297="PM"),"",VLOOKUP($H1297,[5]CU!$C$5:$J$255,8,FALSE))</f>
        <v>5. Investissement</v>
      </c>
      <c r="W1297" s="18" t="s">
        <v>254</v>
      </c>
      <c r="X1297" s="18" t="s">
        <v>521</v>
      </c>
      <c r="Y1297" s="18" t="s">
        <v>679</v>
      </c>
      <c r="Z1297" s="18" t="str">
        <f>A1297 &amp; "-" &amp; VLOOKUP(A1297,[4]PROGRAMMES!$E$1:$F$7,2,FALSE)</f>
        <v>4-Réforme de l’enseignement supérieur et la recherche scientifique et de l'innovation</v>
      </c>
      <c r="AA1297" s="19" t="str">
        <f>B1297 &amp; "-" &amp; VLOOKUP(B1297,[4]SOUSPROGRAMMES!$E$1:$F$44,2,FALSE)</f>
        <v xml:space="preserve">42- Expansion de l’offre publique pour un système plus équitable en lien avec les priorités nationales </v>
      </c>
      <c r="AB1297" s="19" t="str">
        <f>C1297 &amp; "-" &amp; VLOOKUP(C1297,[4]RESULTATS!$E$1:$F$176,2,FALSE)</f>
        <v>421- La capacité d’accueil en infrastructures, équipements et en enseignants des institutions est accrue</v>
      </c>
      <c r="AC1297" s="20" t="str">
        <f>D1297 &amp; "-" &amp; VLOOKUP(D1297,[4]STRATEGIES!$E$1:$F$504,2,FALSE)</f>
        <v>4211-Construction/rénovation et équipement de bâtiments administratifs, acquisition d'immobilisation et de matériels</v>
      </c>
      <c r="AD1297" s="21" t="str">
        <f t="shared" si="207"/>
        <v>42113-acquisition de matériels informatique</v>
      </c>
    </row>
    <row r="1298" spans="1:30" s="22" customFormat="1" ht="60" hidden="1" customHeight="1" x14ac:dyDescent="0.8">
      <c r="A1298" s="14">
        <v>4</v>
      </c>
      <c r="B1298" s="15">
        <v>42</v>
      </c>
      <c r="C1298" s="15">
        <v>421</v>
      </c>
      <c r="D1298" s="15">
        <v>4212</v>
      </c>
      <c r="E1298" s="15">
        <v>4212</v>
      </c>
      <c r="F1298" s="16" t="s">
        <v>1702</v>
      </c>
      <c r="G1298" s="17"/>
      <c r="H1298" s="17"/>
      <c r="I1298" s="33">
        <v>0</v>
      </c>
      <c r="J1298" s="33"/>
      <c r="K1298" s="33"/>
      <c r="L1298" s="33"/>
      <c r="M1298" s="33"/>
      <c r="N1298" s="33"/>
      <c r="O1298" s="33"/>
      <c r="P1298" s="33"/>
      <c r="Q1298" s="33"/>
      <c r="R1298" s="33"/>
      <c r="S1298" s="34"/>
      <c r="T1298" s="33"/>
      <c r="U1298" s="18"/>
      <c r="V1298" s="18"/>
      <c r="W1298" s="18"/>
      <c r="X1298" s="18"/>
      <c r="Y1298" s="18" t="s">
        <v>679</v>
      </c>
      <c r="Z1298" s="18" t="str">
        <f>A1298 &amp; "-" &amp; VLOOKUP(A1298,[4]PROGRAMMES!$E$1:$F$7,2,FALSE)</f>
        <v>4-Réforme de l’enseignement supérieur et la recherche scientifique et de l'innovation</v>
      </c>
      <c r="AA1298" s="19" t="str">
        <f>B1298 &amp; "-" &amp; VLOOKUP(B1298,[4]SOUSPROGRAMMES!$E$1:$F$44,2,FALSE)</f>
        <v xml:space="preserve">42- Expansion de l’offre publique pour un système plus équitable en lien avec les priorités nationales </v>
      </c>
      <c r="AB1298" s="19" t="str">
        <f>C1298 &amp; "-" &amp; VLOOKUP(C1298,[4]RESULTATS!$E$1:$F$176,2,FALSE)</f>
        <v>421- La capacité d’accueil en infrastructures, équipements et en enseignants des institutions est accrue</v>
      </c>
      <c r="AC1298" s="20" t="str">
        <f>D1298 &amp; "-" &amp; VLOOKUP(D1298,[4]STRATEGIES!$E$1:$F$504,2,FALSE)</f>
        <v>4212-Construction/rénovation et équipement d’infrastructures à usage pédagogique, de recherche et œuvres universitaires, avec rampe d'accès et tenant compte de la prévention des catastrophes naturelles</v>
      </c>
      <c r="AD1298" s="21" t="str">
        <f t="shared" si="207"/>
        <v>4212-Construction/rénovation et équipement d’infrastructures à usage pédagogique, de recherche et œuvres universitaires, avec rampe d'accès et tenant compte de la prévention des catastrophes naturelles</v>
      </c>
    </row>
    <row r="1299" spans="1:30" s="22" customFormat="1" ht="45" hidden="1" customHeight="1" x14ac:dyDescent="0.8">
      <c r="A1299" s="14">
        <v>4</v>
      </c>
      <c r="B1299" s="15">
        <v>42</v>
      </c>
      <c r="C1299" s="15">
        <v>421</v>
      </c>
      <c r="D1299" s="15">
        <v>4212</v>
      </c>
      <c r="E1299" s="15">
        <v>42121</v>
      </c>
      <c r="F1299" s="16" t="s">
        <v>1703</v>
      </c>
      <c r="G1299" s="21" t="s">
        <v>167</v>
      </c>
      <c r="H1299" s="17" t="s">
        <v>1704</v>
      </c>
      <c r="I1299" s="33">
        <v>0</v>
      </c>
      <c r="J1299" s="33">
        <v>0.34585027321564399</v>
      </c>
      <c r="K1299" s="33">
        <v>0.34585027321564399</v>
      </c>
      <c r="L1299" s="33"/>
      <c r="M1299" s="33">
        <f t="shared" si="204"/>
        <v>0.69170054643128798</v>
      </c>
      <c r="N1299" s="33">
        <f>IF(OR(H1299="",H1299="sif",H1299="PM"),0,VLOOKUP(H1299,[5]CU!$C$4:$H$255,6,FALSE))</f>
        <v>10000</v>
      </c>
      <c r="O1299" s="33">
        <f t="shared" si="205"/>
        <v>0</v>
      </c>
      <c r="P1299" s="33">
        <f t="shared" si="205"/>
        <v>3458.5027321564398</v>
      </c>
      <c r="Q1299" s="33">
        <f t="shared" si="205"/>
        <v>3458.5027321564398</v>
      </c>
      <c r="R1299" s="33">
        <f t="shared" si="205"/>
        <v>0</v>
      </c>
      <c r="S1299" s="34">
        <f t="shared" si="208"/>
        <v>6917.0054643128797</v>
      </c>
      <c r="T1299" s="35" t="s">
        <v>56</v>
      </c>
      <c r="U1299" s="18" t="s">
        <v>1696</v>
      </c>
      <c r="V1299" s="18" t="str">
        <f>IF(OR($H1299="",$H1299="sif",$H1299="PM"),"",VLOOKUP($H1299,[5]CU!$C$5:$J$255,8,FALSE))</f>
        <v>5. Investissement</v>
      </c>
      <c r="W1299" s="18" t="s">
        <v>1705</v>
      </c>
      <c r="X1299" s="18" t="s">
        <v>750</v>
      </c>
      <c r="Y1299" s="18" t="s">
        <v>679</v>
      </c>
      <c r="Z1299" s="18" t="str">
        <f>A1299 &amp; "-" &amp; VLOOKUP(A1299,[4]PROGRAMMES!$E$1:$F$7,2,FALSE)</f>
        <v>4-Réforme de l’enseignement supérieur et la recherche scientifique et de l'innovation</v>
      </c>
      <c r="AA1299" s="19" t="str">
        <f>B1299 &amp; "-" &amp; VLOOKUP(B1299,[4]SOUSPROGRAMMES!$E$1:$F$44,2,FALSE)</f>
        <v xml:space="preserve">42- Expansion de l’offre publique pour un système plus équitable en lien avec les priorités nationales </v>
      </c>
      <c r="AB1299" s="19" t="str">
        <f>C1299 &amp; "-" &amp; VLOOKUP(C1299,[4]RESULTATS!$E$1:$F$176,2,FALSE)</f>
        <v>421- La capacité d’accueil en infrastructures, équipements et en enseignants des institutions est accrue</v>
      </c>
      <c r="AC1299" s="20" t="str">
        <f>D1299 &amp; "-" &amp; VLOOKUP(D1299,[4]STRATEGIES!$E$1:$F$504,2,FALSE)</f>
        <v>4212-Construction/rénovation et équipement d’infrastructures à usage pédagogique, de recherche et œuvres universitaires, avec rampe d'accès et tenant compte de la prévention des catastrophes naturelles</v>
      </c>
      <c r="AD1299" s="21" t="str">
        <f t="shared" si="207"/>
        <v>42121-Assistance validation des Etudes/Contrôle et supervision des travaux de réhabilitation et d'extension</v>
      </c>
    </row>
    <row r="1300" spans="1:30" s="22" customFormat="1" ht="45" hidden="1" customHeight="1" x14ac:dyDescent="0.8">
      <c r="A1300" s="14">
        <v>4</v>
      </c>
      <c r="B1300" s="15">
        <v>42</v>
      </c>
      <c r="C1300" s="15">
        <v>421</v>
      </c>
      <c r="D1300" s="15">
        <v>4212</v>
      </c>
      <c r="E1300" s="15">
        <v>42122</v>
      </c>
      <c r="F1300" s="16" t="s">
        <v>1706</v>
      </c>
      <c r="G1300" s="21" t="s">
        <v>1282</v>
      </c>
      <c r="H1300" s="17" t="s">
        <v>1707</v>
      </c>
      <c r="I1300" s="33">
        <v>0</v>
      </c>
      <c r="J1300" s="33">
        <v>4</v>
      </c>
      <c r="K1300" s="33">
        <v>4</v>
      </c>
      <c r="L1300" s="33">
        <v>4</v>
      </c>
      <c r="M1300" s="33">
        <f t="shared" si="204"/>
        <v>12</v>
      </c>
      <c r="N1300" s="33">
        <f>IF(OR(H1300="",H1300="sif",H1300="PM"),0,VLOOKUP(H1300,[5]CU!$C$4:$H$255,6,FALSE))</f>
        <v>10000</v>
      </c>
      <c r="O1300" s="33">
        <f t="shared" si="205"/>
        <v>0</v>
      </c>
      <c r="P1300" s="33">
        <f t="shared" si="205"/>
        <v>40000</v>
      </c>
      <c r="Q1300" s="33">
        <f t="shared" si="205"/>
        <v>40000</v>
      </c>
      <c r="R1300" s="33">
        <f t="shared" si="205"/>
        <v>40000</v>
      </c>
      <c r="S1300" s="34">
        <f t="shared" si="208"/>
        <v>120000</v>
      </c>
      <c r="T1300" s="35" t="s">
        <v>56</v>
      </c>
      <c r="U1300" s="18" t="s">
        <v>1696</v>
      </c>
      <c r="V1300" s="18" t="str">
        <f>IF(OR($H1300="",$H1300="sif",$H1300="PM"),"",VLOOKUP($H1300,[5]CU!$C$5:$J$255,8,FALSE))</f>
        <v>5. Investissement</v>
      </c>
      <c r="W1300" s="18" t="s">
        <v>1705</v>
      </c>
      <c r="X1300" s="18" t="s">
        <v>1705</v>
      </c>
      <c r="Y1300" s="18" t="s">
        <v>679</v>
      </c>
      <c r="Z1300" s="18" t="str">
        <f>A1300 &amp; "-" &amp; VLOOKUP(A1300,[4]PROGRAMMES!$E$1:$F$7,2,FALSE)</f>
        <v>4-Réforme de l’enseignement supérieur et la recherche scientifique et de l'innovation</v>
      </c>
      <c r="AA1300" s="19" t="str">
        <f>B1300 &amp; "-" &amp; VLOOKUP(B1300,[4]SOUSPROGRAMMES!$E$1:$F$44,2,FALSE)</f>
        <v xml:space="preserve">42- Expansion de l’offre publique pour un système plus équitable en lien avec les priorités nationales </v>
      </c>
      <c r="AB1300" s="19" t="str">
        <f>C1300 &amp; "-" &amp; VLOOKUP(C1300,[4]RESULTATS!$E$1:$F$176,2,FALSE)</f>
        <v>421- La capacité d’accueil en infrastructures, équipements et en enseignants des institutions est accrue</v>
      </c>
      <c r="AC1300" s="20" t="str">
        <f>D1300 &amp; "-" &amp; VLOOKUP(D1300,[4]STRATEGIES!$E$1:$F$504,2,FALSE)</f>
        <v>4212-Construction/rénovation et équipement d’infrastructures à usage pédagogique, de recherche et œuvres universitaires, avec rampe d'accès et tenant compte de la prévention des catastrophes naturelles</v>
      </c>
      <c r="AD1300" s="21" t="str">
        <f t="shared" si="207"/>
        <v>42122-Construction des amphis</v>
      </c>
    </row>
    <row r="1301" spans="1:30" s="22" customFormat="1" ht="45" hidden="1" customHeight="1" x14ac:dyDescent="0.8">
      <c r="A1301" s="14">
        <v>4</v>
      </c>
      <c r="B1301" s="15">
        <v>42</v>
      </c>
      <c r="C1301" s="15">
        <v>421</v>
      </c>
      <c r="D1301" s="15">
        <v>4212</v>
      </c>
      <c r="E1301" s="15">
        <v>42123</v>
      </c>
      <c r="F1301" s="16" t="s">
        <v>1708</v>
      </c>
      <c r="G1301" s="21" t="s">
        <v>1709</v>
      </c>
      <c r="H1301" s="17" t="s">
        <v>1710</v>
      </c>
      <c r="I1301" s="33">
        <v>0</v>
      </c>
      <c r="J1301" s="33">
        <v>0.40920889986346598</v>
      </c>
      <c r="K1301" s="33"/>
      <c r="L1301" s="33"/>
      <c r="M1301" s="33">
        <f t="shared" si="204"/>
        <v>0.40920889986346598</v>
      </c>
      <c r="N1301" s="33">
        <f>IF(OR(H1301="",H1301="sif",H1301="PM"),0,VLOOKUP(H1301,[5]CU!$C$4:$H$255,6,FALSE))</f>
        <v>47891</v>
      </c>
      <c r="O1301" s="33">
        <f t="shared" si="205"/>
        <v>0</v>
      </c>
      <c r="P1301" s="33">
        <f t="shared" si="205"/>
        <v>19597.423423361248</v>
      </c>
      <c r="Q1301" s="33">
        <f t="shared" si="205"/>
        <v>0</v>
      </c>
      <c r="R1301" s="33">
        <f t="shared" si="205"/>
        <v>0</v>
      </c>
      <c r="S1301" s="34">
        <f t="shared" si="208"/>
        <v>19597.423423361248</v>
      </c>
      <c r="T1301" s="35" t="s">
        <v>56</v>
      </c>
      <c r="U1301" s="18" t="s">
        <v>1696</v>
      </c>
      <c r="V1301" s="18" t="str">
        <f>IF(OR($H1301="",$H1301="sif",$H1301="PM"),"",VLOOKUP($H1301,[5]CU!$C$5:$J$255,8,FALSE))</f>
        <v>5. Investissement</v>
      </c>
      <c r="W1301" s="18" t="s">
        <v>1705</v>
      </c>
      <c r="X1301" s="18" t="s">
        <v>1711</v>
      </c>
      <c r="Y1301" s="18" t="s">
        <v>679</v>
      </c>
      <c r="Z1301" s="18" t="str">
        <f>A1301 &amp; "-" &amp; VLOOKUP(A1301,[4]PROGRAMMES!$E$1:$F$7,2,FALSE)</f>
        <v>4-Réforme de l’enseignement supérieur et la recherche scientifique et de l'innovation</v>
      </c>
      <c r="AA1301" s="19" t="str">
        <f>B1301 &amp; "-" &amp; VLOOKUP(B1301,[4]SOUSPROGRAMMES!$E$1:$F$44,2,FALSE)</f>
        <v xml:space="preserve">42- Expansion de l’offre publique pour un système plus équitable en lien avec les priorités nationales </v>
      </c>
      <c r="AB1301" s="19" t="str">
        <f>C1301 &amp; "-" &amp; VLOOKUP(C1301,[4]RESULTATS!$E$1:$F$176,2,FALSE)</f>
        <v>421- La capacité d’accueil en infrastructures, équipements et en enseignants des institutions est accrue</v>
      </c>
      <c r="AC1301" s="20" t="str">
        <f>D1301 &amp; "-" &amp; VLOOKUP(D1301,[4]STRATEGIES!$E$1:$F$504,2,FALSE)</f>
        <v>4212-Construction/rénovation et équipement d’infrastructures à usage pédagogique, de recherche et œuvres universitaires, avec rampe d'accès et tenant compte de la prévention des catastrophes naturelles</v>
      </c>
      <c r="AD1301" s="21" t="str">
        <f t="shared" si="207"/>
        <v>42123-Réhabilitation et équipement des infrastructures de l'UGAN Conakry</v>
      </c>
    </row>
    <row r="1302" spans="1:30" s="22" customFormat="1" ht="45" hidden="1" customHeight="1" x14ac:dyDescent="0.8">
      <c r="A1302" s="14">
        <v>4</v>
      </c>
      <c r="B1302" s="15">
        <v>42</v>
      </c>
      <c r="C1302" s="15">
        <v>421</v>
      </c>
      <c r="D1302" s="15">
        <v>4212</v>
      </c>
      <c r="E1302" s="15">
        <v>42124</v>
      </c>
      <c r="F1302" s="16" t="s">
        <v>1712</v>
      </c>
      <c r="G1302" s="21" t="s">
        <v>1713</v>
      </c>
      <c r="H1302" s="17" t="s">
        <v>1714</v>
      </c>
      <c r="I1302" s="33">
        <v>0</v>
      </c>
      <c r="J1302" s="33">
        <v>0.33333333333333298</v>
      </c>
      <c r="K1302" s="33">
        <v>0.33333333333333298</v>
      </c>
      <c r="L1302" s="33"/>
      <c r="M1302" s="33">
        <f t="shared" si="204"/>
        <v>0.66666666666666596</v>
      </c>
      <c r="N1302" s="33">
        <f>IF(OR(H1302="",H1302="sif",H1302="PM"),0,VLOOKUP(H1302,[5]CU!$C$4:$H$255,6,FALSE))</f>
        <v>7500</v>
      </c>
      <c r="O1302" s="33">
        <f t="shared" si="205"/>
        <v>0</v>
      </c>
      <c r="P1302" s="33">
        <f t="shared" si="205"/>
        <v>2499.9999999999973</v>
      </c>
      <c r="Q1302" s="33">
        <f t="shared" si="205"/>
        <v>2499.9999999999973</v>
      </c>
      <c r="R1302" s="33">
        <f t="shared" si="205"/>
        <v>0</v>
      </c>
      <c r="S1302" s="34">
        <f t="shared" si="208"/>
        <v>4999.9999999999945</v>
      </c>
      <c r="T1302" s="35" t="s">
        <v>56</v>
      </c>
      <c r="U1302" s="18" t="s">
        <v>1696</v>
      </c>
      <c r="V1302" s="18" t="str">
        <f>IF(OR($H1302="",$H1302="sif",$H1302="PM"),"",VLOOKUP($H1302,[5]CU!$C$5:$J$255,8,FALSE))</f>
        <v>5. Investissement</v>
      </c>
      <c r="W1302" s="18" t="s">
        <v>1705</v>
      </c>
      <c r="X1302" s="18" t="s">
        <v>521</v>
      </c>
      <c r="Y1302" s="18" t="s">
        <v>679</v>
      </c>
      <c r="Z1302" s="18" t="str">
        <f>A1302 &amp; "-" &amp; VLOOKUP(A1302,[4]PROGRAMMES!$E$1:$F$7,2,FALSE)</f>
        <v>4-Réforme de l’enseignement supérieur et la recherche scientifique et de l'innovation</v>
      </c>
      <c r="AA1302" s="19" t="str">
        <f>B1302 &amp; "-" &amp; VLOOKUP(B1302,[4]SOUSPROGRAMMES!$E$1:$F$44,2,FALSE)</f>
        <v xml:space="preserve">42- Expansion de l’offre publique pour un système plus équitable en lien avec les priorités nationales </v>
      </c>
      <c r="AB1302" s="19" t="str">
        <f>C1302 &amp; "-" &amp; VLOOKUP(C1302,[4]RESULTATS!$E$1:$F$176,2,FALSE)</f>
        <v>421- La capacité d’accueil en infrastructures, équipements et en enseignants des institutions est accrue</v>
      </c>
      <c r="AC1302" s="20" t="str">
        <f>D1302 &amp; "-" &amp; VLOOKUP(D1302,[4]STRATEGIES!$E$1:$F$504,2,FALSE)</f>
        <v>4212-Construction/rénovation et équipement d’infrastructures à usage pédagogique, de recherche et œuvres universitaires, avec rampe d'accès et tenant compte de la prévention des catastrophes naturelles</v>
      </c>
      <c r="AD1302" s="21" t="str">
        <f t="shared" si="207"/>
        <v>42124-Construction de l'annexe de Bordo de l'UJN/Kankan</v>
      </c>
    </row>
    <row r="1303" spans="1:30" s="22" customFormat="1" ht="45" hidden="1" customHeight="1" x14ac:dyDescent="0.8">
      <c r="A1303" s="14">
        <v>4</v>
      </c>
      <c r="B1303" s="15">
        <v>42</v>
      </c>
      <c r="C1303" s="15">
        <v>421</v>
      </c>
      <c r="D1303" s="15">
        <v>4212</v>
      </c>
      <c r="E1303" s="15">
        <v>42125</v>
      </c>
      <c r="F1303" s="16" t="s">
        <v>1715</v>
      </c>
      <c r="G1303" s="21" t="s">
        <v>103</v>
      </c>
      <c r="H1303" s="17" t="s">
        <v>1716</v>
      </c>
      <c r="I1303" s="33">
        <v>0</v>
      </c>
      <c r="J1303" s="33">
        <v>0.39999997236312401</v>
      </c>
      <c r="K1303" s="33">
        <v>0.39999997236312401</v>
      </c>
      <c r="L1303" s="33"/>
      <c r="M1303" s="33">
        <f t="shared" si="204"/>
        <v>0.79999994472624802</v>
      </c>
      <c r="N1303" s="33">
        <f>IF(OR(H1303="",H1303="sif",H1303="PM"),0,VLOOKUP(H1303,[5]CU!$C$4:$H$255,6,FALSE))</f>
        <v>361835</v>
      </c>
      <c r="O1303" s="33">
        <f t="shared" si="205"/>
        <v>0</v>
      </c>
      <c r="P1303" s="33">
        <f t="shared" si="205"/>
        <v>144733.99000001096</v>
      </c>
      <c r="Q1303" s="33">
        <f t="shared" si="205"/>
        <v>144733.99000001096</v>
      </c>
      <c r="R1303" s="33">
        <f t="shared" si="205"/>
        <v>0</v>
      </c>
      <c r="S1303" s="34">
        <f t="shared" si="208"/>
        <v>289467.98000002193</v>
      </c>
      <c r="T1303" s="35" t="s">
        <v>56</v>
      </c>
      <c r="U1303" s="18" t="s">
        <v>1696</v>
      </c>
      <c r="V1303" s="18" t="str">
        <f>IF(OR($H1303="",$H1303="sif",$H1303="PM"),"",VLOOKUP($H1303,[5]CU!$C$5:$J$255,8,FALSE))</f>
        <v>5. Investissement</v>
      </c>
      <c r="W1303" s="18" t="s">
        <v>1705</v>
      </c>
      <c r="X1303" s="18" t="s">
        <v>521</v>
      </c>
      <c r="Y1303" s="18" t="s">
        <v>679</v>
      </c>
      <c r="Z1303" s="18" t="str">
        <f>A1303 &amp; "-" &amp; VLOOKUP(A1303,[4]PROGRAMMES!$E$1:$F$7,2,FALSE)</f>
        <v>4-Réforme de l’enseignement supérieur et la recherche scientifique et de l'innovation</v>
      </c>
      <c r="AA1303" s="19" t="str">
        <f>B1303 &amp; "-" &amp; VLOOKUP(B1303,[4]SOUSPROGRAMMES!$E$1:$F$44,2,FALSE)</f>
        <v xml:space="preserve">42- Expansion de l’offre publique pour un système plus équitable en lien avec les priorités nationales </v>
      </c>
      <c r="AB1303" s="19" t="str">
        <f>C1303 &amp; "-" &amp; VLOOKUP(C1303,[4]RESULTATS!$E$1:$F$176,2,FALSE)</f>
        <v>421- La capacité d’accueil en infrastructures, équipements et en enseignants des institutions est accrue</v>
      </c>
      <c r="AC1303" s="20" t="str">
        <f>D1303 &amp; "-" &amp; VLOOKUP(D1303,[4]STRATEGIES!$E$1:$F$504,2,FALSE)</f>
        <v>4212-Construction/rénovation et équipement d’infrastructures à usage pédagogique, de recherche et œuvres universitaires, avec rampe d'accès et tenant compte de la prévention des catastrophes naturelles</v>
      </c>
      <c r="AD1303" s="21" t="str">
        <f t="shared" si="207"/>
        <v>42125-Réhabilitation et Extension des 4 universites</v>
      </c>
    </row>
    <row r="1304" spans="1:30" s="22" customFormat="1" ht="45" hidden="1" customHeight="1" x14ac:dyDescent="0.8">
      <c r="A1304" s="14">
        <v>4</v>
      </c>
      <c r="B1304" s="15">
        <v>42</v>
      </c>
      <c r="C1304" s="15">
        <v>421</v>
      </c>
      <c r="D1304" s="15">
        <v>4212</v>
      </c>
      <c r="E1304" s="15">
        <v>42126</v>
      </c>
      <c r="F1304" s="16" t="s">
        <v>1717</v>
      </c>
      <c r="G1304" s="21" t="s">
        <v>1282</v>
      </c>
      <c r="H1304" s="17" t="s">
        <v>1718</v>
      </c>
      <c r="I1304" s="33">
        <v>0</v>
      </c>
      <c r="J1304" s="33">
        <v>0.226638163058374</v>
      </c>
      <c r="K1304" s="33">
        <v>0.14243012163457</v>
      </c>
      <c r="L1304" s="33"/>
      <c r="M1304" s="33">
        <f t="shared" si="204"/>
        <v>0.369068284692944</v>
      </c>
      <c r="N1304" s="33">
        <f>IF(OR(H1304="",H1304="sif",H1304="PM"),0,VLOOKUP(H1304,[5]CU!$C$4:$H$255,6,FALSE))</f>
        <v>53078</v>
      </c>
      <c r="O1304" s="33">
        <f t="shared" si="205"/>
        <v>0</v>
      </c>
      <c r="P1304" s="33">
        <f t="shared" si="205"/>
        <v>12029.500418812375</v>
      </c>
      <c r="Q1304" s="33">
        <f t="shared" si="205"/>
        <v>7559.9059961197063</v>
      </c>
      <c r="R1304" s="33">
        <f t="shared" si="205"/>
        <v>0</v>
      </c>
      <c r="S1304" s="34">
        <f t="shared" si="208"/>
        <v>19589.40641493208</v>
      </c>
      <c r="T1304" s="35" t="s">
        <v>56</v>
      </c>
      <c r="U1304" s="18" t="s">
        <v>1696</v>
      </c>
      <c r="V1304" s="18" t="str">
        <f>IF(OR($H1304="",$H1304="sif",$H1304="PM"),"",VLOOKUP($H1304,[5]CU!$C$5:$J$255,8,FALSE))</f>
        <v>5. Investissement</v>
      </c>
      <c r="W1304" s="18"/>
      <c r="X1304" s="18"/>
      <c r="Y1304" s="18" t="s">
        <v>679</v>
      </c>
      <c r="Z1304" s="18" t="str">
        <f>A1304 &amp; "-" &amp; VLOOKUP(A1304,[4]PROGRAMMES!$E$1:$F$7,2,FALSE)</f>
        <v>4-Réforme de l’enseignement supérieur et la recherche scientifique et de l'innovation</v>
      </c>
      <c r="AA1304" s="19" t="str">
        <f>B1304 &amp; "-" &amp; VLOOKUP(B1304,[4]SOUSPROGRAMMES!$E$1:$F$44,2,FALSE)</f>
        <v xml:space="preserve">42- Expansion de l’offre publique pour un système plus équitable en lien avec les priorités nationales </v>
      </c>
      <c r="AB1304" s="19" t="str">
        <f>C1304 &amp; "-" &amp; VLOOKUP(C1304,[4]RESULTATS!$E$1:$F$176,2,FALSE)</f>
        <v>421- La capacité d’accueil en infrastructures, équipements et en enseignants des institutions est accrue</v>
      </c>
      <c r="AC1304" s="20" t="str">
        <f>D1304 &amp; "-" &amp; VLOOKUP(D1304,[4]STRATEGIES!$E$1:$F$504,2,FALSE)</f>
        <v>4212-Construction/rénovation et équipement d’infrastructures à usage pédagogique, de recherche et œuvres universitaires, avec rampe d'accès et tenant compte de la prévention des catastrophes naturelles</v>
      </c>
      <c r="AD1304" s="21" t="str">
        <f t="shared" si="207"/>
        <v>42126-Rehabilitation des ISAV-VGE/Faranah</v>
      </c>
    </row>
    <row r="1305" spans="1:30" s="22" customFormat="1" ht="45" hidden="1" customHeight="1" x14ac:dyDescent="0.8">
      <c r="A1305" s="14">
        <v>4</v>
      </c>
      <c r="B1305" s="15">
        <v>42</v>
      </c>
      <c r="C1305" s="15">
        <v>421</v>
      </c>
      <c r="D1305" s="15">
        <v>4213</v>
      </c>
      <c r="E1305" s="15">
        <v>4213</v>
      </c>
      <c r="F1305" s="16" t="s">
        <v>1719</v>
      </c>
      <c r="G1305" s="17"/>
      <c r="H1305" s="17"/>
      <c r="I1305" s="33">
        <v>0</v>
      </c>
      <c r="J1305" s="33"/>
      <c r="K1305" s="33"/>
      <c r="L1305" s="33"/>
      <c r="M1305" s="33"/>
      <c r="N1305" s="33"/>
      <c r="O1305" s="33"/>
      <c r="P1305" s="33"/>
      <c r="Q1305" s="33"/>
      <c r="R1305" s="33"/>
      <c r="S1305" s="34"/>
      <c r="T1305" s="33"/>
      <c r="U1305" s="18"/>
      <c r="V1305" s="18"/>
      <c r="W1305" s="18"/>
      <c r="X1305" s="18"/>
      <c r="Y1305" s="18" t="s">
        <v>679</v>
      </c>
      <c r="Z1305" s="18" t="str">
        <f>A1305 &amp; "-" &amp; VLOOKUP(A1305,[4]PROGRAMMES!$E$1:$F$7,2,FALSE)</f>
        <v>4-Réforme de l’enseignement supérieur et la recherche scientifique et de l'innovation</v>
      </c>
      <c r="AA1305" s="19" t="str">
        <f>B1305 &amp; "-" &amp; VLOOKUP(B1305,[4]SOUSPROGRAMMES!$E$1:$F$44,2,FALSE)</f>
        <v xml:space="preserve">42- Expansion de l’offre publique pour un système plus équitable en lien avec les priorités nationales </v>
      </c>
      <c r="AB1305" s="19" t="str">
        <f>C1305 &amp; "-" &amp; VLOOKUP(C1305,[4]RESULTATS!$E$1:$F$176,2,FALSE)</f>
        <v>421- La capacité d’accueil en infrastructures, équipements et en enseignants des institutions est accrue</v>
      </c>
      <c r="AC1305" s="20" t="str">
        <f>D1305 &amp; "-" &amp; VLOOKUP(D1305,[4]STRATEGIES!$E$1:$F$504,2,FALSE)</f>
        <v>4213-Recrutement de personnel enseignant en qualité suffisante</v>
      </c>
      <c r="AD1305" s="21" t="str">
        <f t="shared" si="207"/>
        <v>4213-Recrutement de personnel enseignant en qualité suffisante</v>
      </c>
    </row>
    <row r="1306" spans="1:30" s="22" customFormat="1" ht="60" hidden="1" customHeight="1" x14ac:dyDescent="0.8">
      <c r="A1306" s="14">
        <v>4</v>
      </c>
      <c r="B1306" s="15">
        <v>42</v>
      </c>
      <c r="C1306" s="15">
        <v>421</v>
      </c>
      <c r="D1306" s="15">
        <v>4213</v>
      </c>
      <c r="E1306" s="15">
        <v>42131</v>
      </c>
      <c r="F1306" s="16" t="s">
        <v>1720</v>
      </c>
      <c r="G1306" s="21" t="s">
        <v>1721</v>
      </c>
      <c r="H1306" s="17" t="s">
        <v>1722</v>
      </c>
      <c r="I1306" s="33">
        <v>0</v>
      </c>
      <c r="J1306" s="33">
        <v>0.88320448057453604</v>
      </c>
      <c r="K1306" s="33">
        <v>0.95865927517930405</v>
      </c>
      <c r="L1306" s="33">
        <v>1.0373675873190999</v>
      </c>
      <c r="M1306" s="33">
        <f t="shared" si="204"/>
        <v>2.8792313430729397</v>
      </c>
      <c r="N1306" s="33">
        <f>IF(OR(H1306="",H1306="sif",H1306="PM"),0,VLOOKUP(H1306,[5]CU!$C$4:$H$255,6,FALSE))</f>
        <v>255321.596485922</v>
      </c>
      <c r="O1306" s="33">
        <f t="shared" si="205"/>
        <v>0</v>
      </c>
      <c r="P1306" s="33">
        <f t="shared" si="205"/>
        <v>225501.17800381003</v>
      </c>
      <c r="Q1306" s="33">
        <f t="shared" si="205"/>
        <v>244766.41662481672</v>
      </c>
      <c r="R1306" s="33">
        <f t="shared" si="205"/>
        <v>264862.34853706171</v>
      </c>
      <c r="S1306" s="34">
        <f t="shared" si="208"/>
        <v>735129.94316568843</v>
      </c>
      <c r="T1306" s="35" t="s">
        <v>56</v>
      </c>
      <c r="U1306" s="18" t="s">
        <v>1696</v>
      </c>
      <c r="V1306" s="18" t="str">
        <f>IF(OR($H1306="",$H1306="sif",$H1306="PM"),"",VLOOKUP($H1306,[5]CU!$C$5:$J$255,8,FALSE))</f>
        <v>2. Personnel</v>
      </c>
      <c r="W1306" s="18" t="s">
        <v>1705</v>
      </c>
      <c r="X1306" s="18" t="s">
        <v>750</v>
      </c>
      <c r="Y1306" s="18" t="s">
        <v>679</v>
      </c>
      <c r="Z1306" s="18" t="str">
        <f>A1306 &amp; "-" &amp; VLOOKUP(A1306,[4]PROGRAMMES!$E$1:$F$7,2,FALSE)</f>
        <v>4-Réforme de l’enseignement supérieur et la recherche scientifique et de l'innovation</v>
      </c>
      <c r="AA1306" s="19" t="str">
        <f>B1306 &amp; "-" &amp; VLOOKUP(B1306,[4]SOUSPROGRAMMES!$E$1:$F$44,2,FALSE)</f>
        <v xml:space="preserve">42- Expansion de l’offre publique pour un système plus équitable en lien avec les priorités nationales </v>
      </c>
      <c r="AB1306" s="19" t="str">
        <f>C1306 &amp; "-" &amp; VLOOKUP(C1306,[4]RESULTATS!$E$1:$F$176,2,FALSE)</f>
        <v>421- La capacité d’accueil en infrastructures, équipements et en enseignants des institutions est accrue</v>
      </c>
      <c r="AC1306" s="20" t="str">
        <f>D1306 &amp; "-" &amp; VLOOKUP(D1306,[4]STRATEGIES!$E$1:$F$504,2,FALSE)</f>
        <v>4213-Recrutement de personnel enseignant en qualité suffisante</v>
      </c>
      <c r="AD1306" s="21" t="str">
        <f t="shared" si="207"/>
        <v>42131-Salaire du personnel des IES (enseignants et non enseignants)</v>
      </c>
    </row>
    <row r="1307" spans="1:30" s="22" customFormat="1" ht="60" hidden="1" customHeight="1" x14ac:dyDescent="0.8">
      <c r="A1307" s="14">
        <v>4</v>
      </c>
      <c r="B1307" s="15">
        <v>42</v>
      </c>
      <c r="C1307" s="15">
        <v>422</v>
      </c>
      <c r="D1307" s="15">
        <v>422</v>
      </c>
      <c r="E1307" s="15">
        <v>422</v>
      </c>
      <c r="F1307" s="16" t="s">
        <v>1723</v>
      </c>
      <c r="G1307" s="17"/>
      <c r="H1307" s="17"/>
      <c r="I1307" s="33">
        <v>0</v>
      </c>
      <c r="J1307" s="33"/>
      <c r="K1307" s="33"/>
      <c r="L1307" s="33"/>
      <c r="M1307" s="33"/>
      <c r="N1307" s="33"/>
      <c r="O1307" s="33"/>
      <c r="P1307" s="33"/>
      <c r="Q1307" s="33"/>
      <c r="R1307" s="33"/>
      <c r="S1307" s="34"/>
      <c r="T1307" s="33"/>
      <c r="U1307" s="18"/>
      <c r="V1307" s="18"/>
      <c r="W1307" s="18"/>
      <c r="X1307" s="18"/>
      <c r="Y1307" s="18" t="s">
        <v>679</v>
      </c>
      <c r="Z1307" s="18" t="str">
        <f>A1307 &amp; "-" &amp; VLOOKUP(A1307,[4]PROGRAMMES!$E$1:$F$7,2,FALSE)</f>
        <v>4-Réforme de l’enseignement supérieur et la recherche scientifique et de l'innovation</v>
      </c>
      <c r="AA1307" s="19" t="str">
        <f>B1307 &amp; "-" &amp; VLOOKUP(B1307,[4]SOUSPROGRAMMES!$E$1:$F$44,2,FALSE)</f>
        <v xml:space="preserve">42- Expansion de l’offre publique pour un système plus équitable en lien avec les priorités nationales </v>
      </c>
      <c r="AB1307" s="19" t="str">
        <f>C1307 &amp; "-" &amp; VLOOKUP(C1307,[4]RESULTATS!$E$1:$F$176,2,FALSE)</f>
        <v>422- Le nombre des effectifs orientés vers les filières techniques et scientifiques est considérablement augmenté</v>
      </c>
      <c r="AC1307" s="20" t="str">
        <f>D1307 &amp; "-" &amp; VLOOKUP(D1307,[4]STRATEGIES!$E$1:$F$504,2,FALSE)</f>
        <v>422- Le nombre des effectifs orientés vers les filières techniques et scientifiques est considérablement augmenté</v>
      </c>
      <c r="AD1307" s="21" t="str">
        <f t="shared" si="207"/>
        <v>422- Le nombre des effectifs orientés vers les filières techniques et scientifiques est considérablement augmenté</v>
      </c>
    </row>
    <row r="1308" spans="1:30" s="22" customFormat="1" ht="60" hidden="1" customHeight="1" x14ac:dyDescent="0.8">
      <c r="A1308" s="14">
        <v>4</v>
      </c>
      <c r="B1308" s="15">
        <v>42</v>
      </c>
      <c r="C1308" s="15">
        <v>422</v>
      </c>
      <c r="D1308" s="15">
        <v>4221</v>
      </c>
      <c r="E1308" s="15">
        <v>4221</v>
      </c>
      <c r="F1308" s="16" t="s">
        <v>1724</v>
      </c>
      <c r="G1308" s="17"/>
      <c r="H1308" s="17"/>
      <c r="I1308" s="33">
        <v>0</v>
      </c>
      <c r="J1308" s="33"/>
      <c r="K1308" s="33"/>
      <c r="L1308" s="33"/>
      <c r="M1308" s="33"/>
      <c r="N1308" s="33"/>
      <c r="O1308" s="33"/>
      <c r="P1308" s="33"/>
      <c r="Q1308" s="33"/>
      <c r="R1308" s="33"/>
      <c r="S1308" s="34"/>
      <c r="T1308" s="33"/>
      <c r="U1308" s="18"/>
      <c r="V1308" s="18"/>
      <c r="W1308" s="18"/>
      <c r="X1308" s="18"/>
      <c r="Y1308" s="18" t="s">
        <v>679</v>
      </c>
      <c r="Z1308" s="18" t="str">
        <f>A1308 &amp; "-" &amp; VLOOKUP(A1308,[4]PROGRAMMES!$E$1:$F$7,2,FALSE)</f>
        <v>4-Réforme de l’enseignement supérieur et la recherche scientifique et de l'innovation</v>
      </c>
      <c r="AA1308" s="19" t="str">
        <f>B1308 &amp; "-" &amp; VLOOKUP(B1308,[4]SOUSPROGRAMMES!$E$1:$F$44,2,FALSE)</f>
        <v xml:space="preserve">42- Expansion de l’offre publique pour un système plus équitable en lien avec les priorités nationales </v>
      </c>
      <c r="AB1308" s="19" t="str">
        <f>C1308 &amp; "-" &amp; VLOOKUP(C1308,[4]RESULTATS!$E$1:$F$176,2,FALSE)</f>
        <v>422- Le nombre des effectifs orientés vers les filières techniques et scientifiques est considérablement augmenté</v>
      </c>
      <c r="AC1308" s="20" t="str">
        <f>D1308 &amp; "-" &amp; VLOOKUP(D1308,[4]STRATEGIES!$E$1:$F$504,2,FALSE)</f>
        <v>4221-Renforcement de la formation binaire des enseignants du secondaire dans les sciences</v>
      </c>
      <c r="AD1308" s="21" t="str">
        <f t="shared" si="207"/>
        <v>4221-Renforcement de la formation binaire des enseignants du secondaire dans les sciences</v>
      </c>
    </row>
    <row r="1309" spans="1:30" s="22" customFormat="1" ht="60" hidden="1" customHeight="1" x14ac:dyDescent="0.8">
      <c r="A1309" s="14">
        <v>4</v>
      </c>
      <c r="B1309" s="15">
        <v>42</v>
      </c>
      <c r="C1309" s="15">
        <v>422</v>
      </c>
      <c r="D1309" s="15">
        <v>4221</v>
      </c>
      <c r="E1309" s="15">
        <v>42211</v>
      </c>
      <c r="F1309" s="16" t="s">
        <v>1725</v>
      </c>
      <c r="G1309" s="21" t="s">
        <v>167</v>
      </c>
      <c r="H1309" s="17" t="s">
        <v>646</v>
      </c>
      <c r="I1309" s="33">
        <v>0</v>
      </c>
      <c r="J1309" s="33"/>
      <c r="K1309" s="33">
        <f>25*10</f>
        <v>250</v>
      </c>
      <c r="L1309" s="33">
        <f>25*10</f>
        <v>250</v>
      </c>
      <c r="M1309" s="33">
        <f t="shared" si="204"/>
        <v>500</v>
      </c>
      <c r="N1309" s="33">
        <f>IF(OR(H1309="",H1309="sif",H1309="PM"),0,VLOOKUP(H1309,[5]CU!$C$4:$H$255,6,FALSE))</f>
        <v>10.404797</v>
      </c>
      <c r="O1309" s="33">
        <f t="shared" si="205"/>
        <v>0</v>
      </c>
      <c r="P1309" s="33">
        <f t="shared" si="205"/>
        <v>0</v>
      </c>
      <c r="Q1309" s="33">
        <f t="shared" si="205"/>
        <v>2601.1992500000001</v>
      </c>
      <c r="R1309" s="33">
        <f t="shared" si="205"/>
        <v>2601.1992500000001</v>
      </c>
      <c r="S1309" s="34">
        <f t="shared" si="208"/>
        <v>5202.3985000000002</v>
      </c>
      <c r="T1309" s="35" t="s">
        <v>169</v>
      </c>
      <c r="U1309" s="18" t="s">
        <v>1696</v>
      </c>
      <c r="V1309" s="18" t="str">
        <f>IF(OR($H1309="",$H1309="sif",$H1309="PM"),"",VLOOKUP($H1309,[5]CU!$C$5:$J$255,8,FALSE))</f>
        <v>3. Dépenses de fonctionnement</v>
      </c>
      <c r="W1309" s="18" t="s">
        <v>431</v>
      </c>
      <c r="X1309" s="18" t="s">
        <v>1650</v>
      </c>
      <c r="Y1309" s="18" t="s">
        <v>679</v>
      </c>
      <c r="Z1309" s="18" t="str">
        <f>A1309 &amp; "-" &amp; VLOOKUP(A1309,[4]PROGRAMMES!$E$1:$F$7,2,FALSE)</f>
        <v>4-Réforme de l’enseignement supérieur et la recherche scientifique et de l'innovation</v>
      </c>
      <c r="AA1309" s="19" t="str">
        <f>B1309 &amp; "-" &amp; VLOOKUP(B1309,[4]SOUSPROGRAMMES!$E$1:$F$44,2,FALSE)</f>
        <v xml:space="preserve">42- Expansion de l’offre publique pour un système plus équitable en lien avec les priorités nationales </v>
      </c>
      <c r="AB1309" s="19" t="str">
        <f>C1309 &amp; "-" &amp; VLOOKUP(C1309,[4]RESULTATS!$E$1:$F$176,2,FALSE)</f>
        <v>422- Le nombre des effectifs orientés vers les filières techniques et scientifiques est considérablement augmenté</v>
      </c>
      <c r="AC1309" s="20" t="str">
        <f>D1309 &amp; "-" &amp; VLOOKUP(D1309,[4]STRATEGIES!$E$1:$F$504,2,FALSE)</f>
        <v>4221-Renforcement de la formation binaire des enseignants du secondaire dans les sciences</v>
      </c>
      <c r="AD1309" s="21" t="str">
        <f t="shared" si="207"/>
        <v>42211-Révision de curricula pour renforcer les programmes de formation en sciences à l'ISSEG</v>
      </c>
    </row>
    <row r="1310" spans="1:30" s="22" customFormat="1" ht="60" hidden="1" customHeight="1" x14ac:dyDescent="0.8">
      <c r="A1310" s="14">
        <v>4</v>
      </c>
      <c r="B1310" s="15">
        <v>42</v>
      </c>
      <c r="C1310" s="15">
        <v>422</v>
      </c>
      <c r="D1310" s="15">
        <v>4222</v>
      </c>
      <c r="E1310" s="15">
        <v>4222</v>
      </c>
      <c r="F1310" s="16" t="s">
        <v>1726</v>
      </c>
      <c r="G1310" s="17"/>
      <c r="H1310" s="17"/>
      <c r="I1310" s="33">
        <v>0</v>
      </c>
      <c r="J1310" s="33"/>
      <c r="K1310" s="33"/>
      <c r="L1310" s="33"/>
      <c r="M1310" s="33"/>
      <c r="N1310" s="33"/>
      <c r="O1310" s="33"/>
      <c r="P1310" s="33"/>
      <c r="Q1310" s="33"/>
      <c r="R1310" s="33"/>
      <c r="S1310" s="34"/>
      <c r="T1310" s="33"/>
      <c r="U1310" s="18"/>
      <c r="V1310" s="18"/>
      <c r="W1310" s="18"/>
      <c r="X1310" s="18"/>
      <c r="Y1310" s="18" t="s">
        <v>679</v>
      </c>
      <c r="Z1310" s="18" t="str">
        <f>A1310 &amp; "-" &amp; VLOOKUP(A1310,[4]PROGRAMMES!$E$1:$F$7,2,FALSE)</f>
        <v>4-Réforme de l’enseignement supérieur et la recherche scientifique et de l'innovation</v>
      </c>
      <c r="AA1310" s="19" t="str">
        <f>B1310 &amp; "-" &amp; VLOOKUP(B1310,[4]SOUSPROGRAMMES!$E$1:$F$44,2,FALSE)</f>
        <v xml:space="preserve">42- Expansion de l’offre publique pour un système plus équitable en lien avec les priorités nationales </v>
      </c>
      <c r="AB1310" s="19" t="str">
        <f>C1310 &amp; "-" &amp; VLOOKUP(C1310,[4]RESULTATS!$E$1:$F$176,2,FALSE)</f>
        <v>422- Le nombre des effectifs orientés vers les filières techniques et scientifiques est considérablement augmenté</v>
      </c>
      <c r="AC1310" s="20" t="str">
        <f>D1310 &amp; "-" &amp; VLOOKUP(D1310,[4]STRATEGIES!$E$1:$F$504,2,FALSE)</f>
        <v>4222-Mise en place des mesures incitatives</v>
      </c>
      <c r="AD1310" s="21" t="str">
        <f t="shared" si="207"/>
        <v>4222-Mise en place des mesures incitatives</v>
      </c>
    </row>
    <row r="1311" spans="1:30" s="22" customFormat="1" ht="60" hidden="1" customHeight="1" x14ac:dyDescent="0.8">
      <c r="A1311" s="14">
        <v>4</v>
      </c>
      <c r="B1311" s="15">
        <v>42</v>
      </c>
      <c r="C1311" s="15">
        <v>422</v>
      </c>
      <c r="D1311" s="15">
        <v>4222</v>
      </c>
      <c r="E1311" s="15">
        <v>42221</v>
      </c>
      <c r="F1311" s="16" t="s">
        <v>1727</v>
      </c>
      <c r="G1311" s="21" t="s">
        <v>92</v>
      </c>
      <c r="H1311" s="17" t="s">
        <v>55</v>
      </c>
      <c r="I1311" s="33">
        <v>0</v>
      </c>
      <c r="J1311" s="33"/>
      <c r="K1311" s="33">
        <v>1</v>
      </c>
      <c r="L1311" s="33">
        <v>1</v>
      </c>
      <c r="M1311" s="33">
        <f t="shared" si="204"/>
        <v>2</v>
      </c>
      <c r="N1311" s="33">
        <f>IF(OR(H1311="",H1311="sif",H1311="PM"),0,VLOOKUP(H1311,[5]CU!$C$4:$H$255,6,FALSE))</f>
        <v>0</v>
      </c>
      <c r="O1311" s="33">
        <f t="shared" si="205"/>
        <v>0</v>
      </c>
      <c r="P1311" s="33">
        <f t="shared" si="205"/>
        <v>0</v>
      </c>
      <c r="Q1311" s="33">
        <f t="shared" si="205"/>
        <v>0</v>
      </c>
      <c r="R1311" s="33">
        <f t="shared" si="205"/>
        <v>0</v>
      </c>
      <c r="S1311" s="34"/>
      <c r="T1311" s="35" t="s">
        <v>56</v>
      </c>
      <c r="U1311" s="18" t="s">
        <v>1696</v>
      </c>
      <c r="V1311" s="18" t="str">
        <f>IF(OR($H1311="",$H1311="sif",$H1311="PM"),"",VLOOKUP($H1311,[5]CU!$C$5:$J$255,8,FALSE))</f>
        <v/>
      </c>
      <c r="W1311" s="18" t="s">
        <v>1728</v>
      </c>
      <c r="X1311" s="18" t="s">
        <v>521</v>
      </c>
      <c r="Y1311" s="18" t="s">
        <v>679</v>
      </c>
      <c r="Z1311" s="18" t="str">
        <f>A1311 &amp; "-" &amp; VLOOKUP(A1311,[4]PROGRAMMES!$E$1:$F$7,2,FALSE)</f>
        <v>4-Réforme de l’enseignement supérieur et la recherche scientifique et de l'innovation</v>
      </c>
      <c r="AA1311" s="19" t="str">
        <f>B1311 &amp; "-" &amp; VLOOKUP(B1311,[4]SOUSPROGRAMMES!$E$1:$F$44,2,FALSE)</f>
        <v xml:space="preserve">42- Expansion de l’offre publique pour un système plus équitable en lien avec les priorités nationales </v>
      </c>
      <c r="AB1311" s="19" t="str">
        <f>C1311 &amp; "-" &amp; VLOOKUP(C1311,[4]RESULTATS!$E$1:$F$176,2,FALSE)</f>
        <v>422- Le nombre des effectifs orientés vers les filières techniques et scientifiques est considérablement augmenté</v>
      </c>
      <c r="AC1311" s="20" t="str">
        <f>D1311 &amp; "-" &amp; VLOOKUP(D1311,[4]STRATEGIES!$E$1:$F$504,2,FALSE)</f>
        <v>4222-Mise en place des mesures incitatives</v>
      </c>
      <c r="AD1311" s="21" t="str">
        <f t="shared" si="207"/>
        <v>42221-Octroi de bourses incitatives (Pris en compte dans activité 41533)</v>
      </c>
    </row>
    <row r="1312" spans="1:30" s="22" customFormat="1" ht="60" hidden="1" customHeight="1" x14ac:dyDescent="0.8">
      <c r="A1312" s="14">
        <v>4</v>
      </c>
      <c r="B1312" s="15">
        <v>42</v>
      </c>
      <c r="C1312" s="15">
        <v>422</v>
      </c>
      <c r="D1312" s="15">
        <v>4222</v>
      </c>
      <c r="E1312" s="15">
        <v>42222</v>
      </c>
      <c r="F1312" s="16" t="s">
        <v>1729</v>
      </c>
      <c r="G1312" s="21" t="s">
        <v>54</v>
      </c>
      <c r="H1312" s="17" t="s">
        <v>55</v>
      </c>
      <c r="I1312" s="33">
        <v>0</v>
      </c>
      <c r="J1312" s="33">
        <v>1</v>
      </c>
      <c r="K1312" s="33"/>
      <c r="L1312" s="33"/>
      <c r="M1312" s="33">
        <f t="shared" si="204"/>
        <v>1</v>
      </c>
      <c r="N1312" s="33">
        <f>IF(OR(H1312="",H1312="sif",H1312="PM"),0,VLOOKUP(H1312,[5]CU!$C$4:$H$255,6,FALSE))</f>
        <v>0</v>
      </c>
      <c r="O1312" s="33">
        <f t="shared" si="205"/>
        <v>0</v>
      </c>
      <c r="P1312" s="33">
        <f t="shared" si="205"/>
        <v>0</v>
      </c>
      <c r="Q1312" s="33">
        <f t="shared" si="205"/>
        <v>0</v>
      </c>
      <c r="R1312" s="33">
        <f t="shared" si="205"/>
        <v>0</v>
      </c>
      <c r="S1312" s="34"/>
      <c r="T1312" s="35" t="s">
        <v>56</v>
      </c>
      <c r="U1312" s="18" t="s">
        <v>1696</v>
      </c>
      <c r="V1312" s="18" t="str">
        <f>IF(OR($H1312="",$H1312="sif",$H1312="PM"),"",VLOOKUP($H1312,[5]CU!$C$5:$J$255,8,FALSE))</f>
        <v/>
      </c>
      <c r="W1312" s="18" t="s">
        <v>255</v>
      </c>
      <c r="X1312" s="18" t="s">
        <v>142</v>
      </c>
      <c r="Y1312" s="18" t="s">
        <v>679</v>
      </c>
      <c r="Z1312" s="18" t="str">
        <f>A1312 &amp; "-" &amp; VLOOKUP(A1312,[4]PROGRAMMES!$E$1:$F$7,2,FALSE)</f>
        <v>4-Réforme de l’enseignement supérieur et la recherche scientifique et de l'innovation</v>
      </c>
      <c r="AA1312" s="19" t="str">
        <f>B1312 &amp; "-" &amp; VLOOKUP(B1312,[4]SOUSPROGRAMMES!$E$1:$F$44,2,FALSE)</f>
        <v xml:space="preserve">42- Expansion de l’offre publique pour un système plus équitable en lien avec les priorités nationales </v>
      </c>
      <c r="AB1312" s="19" t="str">
        <f>C1312 &amp; "-" &amp; VLOOKUP(C1312,[4]RESULTATS!$E$1:$F$176,2,FALSE)</f>
        <v>422- Le nombre des effectifs orientés vers les filières techniques et scientifiques est considérablement augmenté</v>
      </c>
      <c r="AC1312" s="20" t="str">
        <f>D1312 &amp; "-" &amp; VLOOKUP(D1312,[4]STRATEGIES!$E$1:$F$504,2,FALSE)</f>
        <v>4222-Mise en place des mesures incitatives</v>
      </c>
      <c r="AD1312" s="21" t="str">
        <f t="shared" si="207"/>
        <v>42222-Accès prioritaire aux logements universitaires</v>
      </c>
    </row>
    <row r="1313" spans="1:30" s="22" customFormat="1" ht="60" hidden="1" customHeight="1" x14ac:dyDescent="0.8">
      <c r="A1313" s="14">
        <v>4</v>
      </c>
      <c r="B1313" s="15">
        <v>42</v>
      </c>
      <c r="C1313" s="15">
        <v>422</v>
      </c>
      <c r="D1313" s="15">
        <v>4222</v>
      </c>
      <c r="E1313" s="15">
        <v>42223</v>
      </c>
      <c r="F1313" s="16" t="s">
        <v>1730</v>
      </c>
      <c r="G1313" s="21" t="s">
        <v>1731</v>
      </c>
      <c r="H1313" s="17" t="s">
        <v>1732</v>
      </c>
      <c r="I1313" s="33">
        <v>0</v>
      </c>
      <c r="J1313" s="33"/>
      <c r="K1313" s="33">
        <v>5000</v>
      </c>
      <c r="L1313" s="33">
        <v>5000</v>
      </c>
      <c r="M1313" s="33">
        <f t="shared" si="204"/>
        <v>10000</v>
      </c>
      <c r="N1313" s="33">
        <f>IF(OR(H1313="",H1313="sif",H1313="PM"),0,VLOOKUP(H1313,[5]CU!$C$4:$H$255,6,FALSE))</f>
        <v>0.3</v>
      </c>
      <c r="O1313" s="33">
        <f t="shared" si="205"/>
        <v>0</v>
      </c>
      <c r="P1313" s="33">
        <f t="shared" si="205"/>
        <v>0</v>
      </c>
      <c r="Q1313" s="33">
        <f t="shared" si="205"/>
        <v>1500</v>
      </c>
      <c r="R1313" s="33">
        <f t="shared" si="205"/>
        <v>1500</v>
      </c>
      <c r="S1313" s="34">
        <f>SUM(O1313:R1313)</f>
        <v>3000</v>
      </c>
      <c r="T1313" s="35" t="s">
        <v>169</v>
      </c>
      <c r="U1313" s="18" t="s">
        <v>1696</v>
      </c>
      <c r="V1313" s="18" t="str">
        <f>IF(OR($H1313="",$H1313="sif",$H1313="PM"),"",VLOOKUP($H1313,[5]CU!$C$5:$J$255,8,FALSE))</f>
        <v>4. Transferts et subventions</v>
      </c>
      <c r="W1313" s="18" t="s">
        <v>1733</v>
      </c>
      <c r="X1313" s="18" t="s">
        <v>1607</v>
      </c>
      <c r="Y1313" s="18" t="s">
        <v>679</v>
      </c>
      <c r="Z1313" s="18" t="str">
        <f>A1313 &amp; "-" &amp; VLOOKUP(A1313,[4]PROGRAMMES!$E$1:$F$7,2,FALSE)</f>
        <v>4-Réforme de l’enseignement supérieur et la recherche scientifique et de l'innovation</v>
      </c>
      <c r="AA1313" s="19" t="str">
        <f>B1313 &amp; "-" &amp; VLOOKUP(B1313,[4]SOUSPROGRAMMES!$E$1:$F$44,2,FALSE)</f>
        <v xml:space="preserve">42- Expansion de l’offre publique pour un système plus équitable en lien avec les priorités nationales </v>
      </c>
      <c r="AB1313" s="19" t="str">
        <f>C1313 &amp; "-" &amp; VLOOKUP(C1313,[4]RESULTATS!$E$1:$F$176,2,FALSE)</f>
        <v>422- Le nombre des effectifs orientés vers les filières techniques et scientifiques est considérablement augmenté</v>
      </c>
      <c r="AC1313" s="20" t="str">
        <f>D1313 &amp; "-" &amp; VLOOKUP(D1313,[4]STRATEGIES!$E$1:$F$504,2,FALSE)</f>
        <v>4222-Mise en place des mesures incitatives</v>
      </c>
      <c r="AD1313" s="21" t="str">
        <f t="shared" si="207"/>
        <v>42223-Appui à l'insertion (placement en stages)</v>
      </c>
    </row>
    <row r="1314" spans="1:30" s="22" customFormat="1" ht="60" hidden="1" customHeight="1" x14ac:dyDescent="0.8">
      <c r="A1314" s="14">
        <v>4</v>
      </c>
      <c r="B1314" s="15">
        <v>42</v>
      </c>
      <c r="C1314" s="15">
        <v>422</v>
      </c>
      <c r="D1314" s="15">
        <v>4223</v>
      </c>
      <c r="E1314" s="15">
        <v>4223</v>
      </c>
      <c r="F1314" s="16" t="s">
        <v>1734</v>
      </c>
      <c r="G1314" s="17"/>
      <c r="H1314" s="17"/>
      <c r="I1314" s="33">
        <v>0</v>
      </c>
      <c r="J1314" s="33"/>
      <c r="K1314" s="33"/>
      <c r="L1314" s="33"/>
      <c r="M1314" s="33"/>
      <c r="N1314" s="33"/>
      <c r="O1314" s="33"/>
      <c r="P1314" s="33"/>
      <c r="Q1314" s="33"/>
      <c r="R1314" s="33"/>
      <c r="S1314" s="34"/>
      <c r="T1314" s="33"/>
      <c r="U1314" s="18"/>
      <c r="V1314" s="18"/>
      <c r="W1314" s="18"/>
      <c r="X1314" s="18"/>
      <c r="Y1314" s="18" t="s">
        <v>679</v>
      </c>
      <c r="Z1314" s="18" t="str">
        <f>A1314 &amp; "-" &amp; VLOOKUP(A1314,[4]PROGRAMMES!$E$1:$F$7,2,FALSE)</f>
        <v>4-Réforme de l’enseignement supérieur et la recherche scientifique et de l'innovation</v>
      </c>
      <c r="AA1314" s="19" t="str">
        <f>B1314 &amp; "-" &amp; VLOOKUP(B1314,[4]SOUSPROGRAMMES!$E$1:$F$44,2,FALSE)</f>
        <v xml:space="preserve">42- Expansion de l’offre publique pour un système plus équitable en lien avec les priorités nationales </v>
      </c>
      <c r="AB1314" s="19" t="str">
        <f>C1314 &amp; "-" &amp; VLOOKUP(C1314,[4]RESULTATS!$E$1:$F$176,2,FALSE)</f>
        <v>422- Le nombre des effectifs orientés vers les filières techniques et scientifiques est considérablement augmenté</v>
      </c>
      <c r="AC1314" s="20" t="str">
        <f>D1314 &amp; "-" &amp; VLOOKUP(D1314,[4]STRATEGIES!$E$1:$F$504,2,FALSE)</f>
        <v>4223-Mise en place de classes préparatoires aux grandes écoles</v>
      </c>
      <c r="AD1314" s="21" t="str">
        <f t="shared" si="207"/>
        <v>4223-Mise en place de classes préparatoires aux grandes écoles</v>
      </c>
    </row>
    <row r="1315" spans="1:30" s="22" customFormat="1" ht="60" hidden="1" customHeight="1" x14ac:dyDescent="0.8">
      <c r="A1315" s="14">
        <v>4</v>
      </c>
      <c r="B1315" s="15">
        <v>42</v>
      </c>
      <c r="C1315" s="15">
        <v>422</v>
      </c>
      <c r="D1315" s="15">
        <v>4223</v>
      </c>
      <c r="E1315" s="15">
        <v>42231</v>
      </c>
      <c r="F1315" s="16" t="s">
        <v>1735</v>
      </c>
      <c r="G1315" s="21" t="s">
        <v>167</v>
      </c>
      <c r="H1315" s="17" t="s">
        <v>646</v>
      </c>
      <c r="I1315" s="33">
        <v>0</v>
      </c>
      <c r="J1315" s="33"/>
      <c r="K1315" s="33"/>
      <c r="L1315" s="33"/>
      <c r="M1315" s="33">
        <f t="shared" si="204"/>
        <v>0</v>
      </c>
      <c r="N1315" s="33">
        <f>IF(OR(H1315="",H1315="sif",H1315="PM"),0,VLOOKUP(H1315,[5]CU!$C$4:$H$255,6,FALSE))</f>
        <v>10.404797</v>
      </c>
      <c r="O1315" s="33">
        <f t="shared" si="205"/>
        <v>0</v>
      </c>
      <c r="P1315" s="33">
        <f t="shared" si="205"/>
        <v>0</v>
      </c>
      <c r="Q1315" s="33">
        <f t="shared" si="205"/>
        <v>0</v>
      </c>
      <c r="R1315" s="33">
        <f t="shared" si="205"/>
        <v>0</v>
      </c>
      <c r="S1315" s="34">
        <f>SUM(O1315:R1315)</f>
        <v>0</v>
      </c>
      <c r="T1315" s="35" t="s">
        <v>169</v>
      </c>
      <c r="U1315" s="18" t="s">
        <v>1696</v>
      </c>
      <c r="V1315" s="18" t="str">
        <f>IF(OR($H1315="",$H1315="sif",$H1315="PM"),"",VLOOKUP($H1315,[5]CU!$C$5:$J$255,8,FALSE))</f>
        <v>3. Dépenses de fonctionnement</v>
      </c>
      <c r="W1315" s="18" t="s">
        <v>254</v>
      </c>
      <c r="X1315" s="18" t="s">
        <v>1650</v>
      </c>
      <c r="Y1315" s="18" t="s">
        <v>679</v>
      </c>
      <c r="Z1315" s="18" t="str">
        <f>A1315 &amp; "-" &amp; VLOOKUP(A1315,[4]PROGRAMMES!$E$1:$F$7,2,FALSE)</f>
        <v>4-Réforme de l’enseignement supérieur et la recherche scientifique et de l'innovation</v>
      </c>
      <c r="AA1315" s="19" t="str">
        <f>B1315 &amp; "-" &amp; VLOOKUP(B1315,[4]SOUSPROGRAMMES!$E$1:$F$44,2,FALSE)</f>
        <v xml:space="preserve">42- Expansion de l’offre publique pour un système plus équitable en lien avec les priorités nationales </v>
      </c>
      <c r="AB1315" s="19" t="str">
        <f>C1315 &amp; "-" &amp; VLOOKUP(C1315,[4]RESULTATS!$E$1:$F$176,2,FALSE)</f>
        <v>422- Le nombre des effectifs orientés vers les filières techniques et scientifiques est considérablement augmenté</v>
      </c>
      <c r="AC1315" s="20" t="str">
        <f>D1315 &amp; "-" &amp; VLOOKUP(D1315,[4]STRATEGIES!$E$1:$F$504,2,FALSE)</f>
        <v>4223-Mise en place de classes préparatoires aux grandes écoles</v>
      </c>
      <c r="AD1315" s="21" t="str">
        <f t="shared" si="207"/>
        <v>42231-Recrutement d'une expertise technique pour l'étude globale sur la mise en place de classes préparatoires</v>
      </c>
    </row>
    <row r="1316" spans="1:30" s="22" customFormat="1" ht="45" hidden="1" customHeight="1" x14ac:dyDescent="0.8">
      <c r="A1316" s="14">
        <v>4</v>
      </c>
      <c r="B1316" s="15">
        <v>42</v>
      </c>
      <c r="C1316" s="15">
        <v>423</v>
      </c>
      <c r="D1316" s="15">
        <v>423</v>
      </c>
      <c r="E1316" s="15">
        <v>423</v>
      </c>
      <c r="F1316" s="16" t="s">
        <v>1736</v>
      </c>
      <c r="G1316" s="17"/>
      <c r="H1316" s="17"/>
      <c r="I1316" s="33">
        <v>0</v>
      </c>
      <c r="J1316" s="33"/>
      <c r="K1316" s="33"/>
      <c r="L1316" s="33"/>
      <c r="M1316" s="33"/>
      <c r="N1316" s="33"/>
      <c r="O1316" s="33"/>
      <c r="P1316" s="33"/>
      <c r="Q1316" s="33"/>
      <c r="R1316" s="33"/>
      <c r="S1316" s="34"/>
      <c r="T1316" s="33"/>
      <c r="U1316" s="18"/>
      <c r="V1316" s="18"/>
      <c r="W1316" s="18"/>
      <c r="X1316" s="18"/>
      <c r="Y1316" s="18" t="s">
        <v>679</v>
      </c>
      <c r="Z1316" s="18" t="str">
        <f>A1316 &amp; "-" &amp; VLOOKUP(A1316,[4]PROGRAMMES!$E$1:$F$7,2,FALSE)</f>
        <v>4-Réforme de l’enseignement supérieur et la recherche scientifique et de l'innovation</v>
      </c>
      <c r="AA1316" s="19" t="str">
        <f>B1316 &amp; "-" &amp; VLOOKUP(B1316,[4]SOUSPROGRAMMES!$E$1:$F$44,2,FALSE)</f>
        <v xml:space="preserve">42- Expansion de l’offre publique pour un système plus équitable en lien avec les priorités nationales </v>
      </c>
      <c r="AB1316" s="19" t="str">
        <f>C1316 &amp; "-" &amp; VLOOKUP(C1316,[4]RESULTATS!$E$1:$F$176,2,FALSE)</f>
        <v>423- La professionnalisation des filières est effective</v>
      </c>
      <c r="AC1316" s="20" t="str">
        <f>D1316 &amp; "-" &amp; VLOOKUP(D1316,[4]STRATEGIES!$E$1:$F$504,2,FALSE)</f>
        <v>423- La professionnalisation des filières est effective</v>
      </c>
      <c r="AD1316" s="21" t="str">
        <f t="shared" si="207"/>
        <v>423- La professionnalisation des filières est effective</v>
      </c>
    </row>
    <row r="1317" spans="1:30" s="22" customFormat="1" ht="45" hidden="1" customHeight="1" x14ac:dyDescent="0.8">
      <c r="A1317" s="14">
        <v>4</v>
      </c>
      <c r="B1317" s="15">
        <v>42</v>
      </c>
      <c r="C1317" s="15">
        <v>423</v>
      </c>
      <c r="D1317" s="15">
        <v>4231</v>
      </c>
      <c r="E1317" s="15">
        <v>4231</v>
      </c>
      <c r="F1317" s="16" t="s">
        <v>1737</v>
      </c>
      <c r="G1317" s="17"/>
      <c r="H1317" s="17"/>
      <c r="I1317" s="33">
        <v>0</v>
      </c>
      <c r="J1317" s="33"/>
      <c r="K1317" s="33"/>
      <c r="L1317" s="33"/>
      <c r="M1317" s="33"/>
      <c r="N1317" s="33"/>
      <c r="O1317" s="33"/>
      <c r="P1317" s="33"/>
      <c r="Q1317" s="33"/>
      <c r="R1317" s="33"/>
      <c r="S1317" s="34"/>
      <c r="T1317" s="33"/>
      <c r="U1317" s="18"/>
      <c r="V1317" s="18"/>
      <c r="W1317" s="18"/>
      <c r="X1317" s="18"/>
      <c r="Y1317" s="18" t="s">
        <v>679</v>
      </c>
      <c r="Z1317" s="18" t="str">
        <f>A1317 &amp; "-" &amp; VLOOKUP(A1317,[4]PROGRAMMES!$E$1:$F$7,2,FALSE)</f>
        <v>4-Réforme de l’enseignement supérieur et la recherche scientifique et de l'innovation</v>
      </c>
      <c r="AA1317" s="19" t="str">
        <f>B1317 &amp; "-" &amp; VLOOKUP(B1317,[4]SOUSPROGRAMMES!$E$1:$F$44,2,FALSE)</f>
        <v xml:space="preserve">42- Expansion de l’offre publique pour un système plus équitable en lien avec les priorités nationales </v>
      </c>
      <c r="AB1317" s="19" t="str">
        <f>C1317 &amp; "-" &amp; VLOOKUP(C1317,[4]RESULTATS!$E$1:$F$176,2,FALSE)</f>
        <v>423- La professionnalisation des filières est effective</v>
      </c>
      <c r="AC1317" s="20" t="str">
        <f>D1317 &amp; "-" &amp; VLOOKUP(D1317,[4]STRATEGIES!$E$1:$F$504,2,FALSE)</f>
        <v>4231-Révision et professionnalisation des programmes</v>
      </c>
      <c r="AD1317" s="21" t="str">
        <f t="shared" si="207"/>
        <v>4231-Révision et professionnalisation des programmes</v>
      </c>
    </row>
    <row r="1318" spans="1:30" s="22" customFormat="1" ht="45" hidden="1" customHeight="1" x14ac:dyDescent="0.8">
      <c r="A1318" s="14">
        <v>4</v>
      </c>
      <c r="B1318" s="15">
        <v>42</v>
      </c>
      <c r="C1318" s="15">
        <v>423</v>
      </c>
      <c r="D1318" s="15">
        <v>4231</v>
      </c>
      <c r="E1318" s="15">
        <v>42311</v>
      </c>
      <c r="F1318" s="16" t="s">
        <v>1738</v>
      </c>
      <c r="G1318" s="21" t="s">
        <v>1739</v>
      </c>
      <c r="H1318" s="17" t="s">
        <v>55</v>
      </c>
      <c r="I1318" s="33">
        <v>0</v>
      </c>
      <c r="J1318" s="33"/>
      <c r="K1318" s="33"/>
      <c r="L1318" s="33"/>
      <c r="M1318" s="33">
        <f t="shared" si="204"/>
        <v>0</v>
      </c>
      <c r="N1318" s="33">
        <f>IF(OR(H1318="",H1318="sif",H1318="PM"),0,VLOOKUP(H1318,[5]CU!$C$4:$H$255,6,FALSE))</f>
        <v>0</v>
      </c>
      <c r="O1318" s="33">
        <f t="shared" si="205"/>
        <v>0</v>
      </c>
      <c r="P1318" s="33">
        <f t="shared" si="205"/>
        <v>0</v>
      </c>
      <c r="Q1318" s="33">
        <f t="shared" si="205"/>
        <v>0</v>
      </c>
      <c r="R1318" s="33">
        <f t="shared" si="205"/>
        <v>0</v>
      </c>
      <c r="S1318" s="34"/>
      <c r="T1318" s="35" t="s">
        <v>169</v>
      </c>
      <c r="U1318" s="18" t="s">
        <v>1696</v>
      </c>
      <c r="V1318" s="18" t="str">
        <f>IF(OR($H1318="",$H1318="sif",$H1318="PM"),"",VLOOKUP($H1318,[5]CU!$C$5:$J$255,8,FALSE))</f>
        <v/>
      </c>
      <c r="W1318" s="18" t="s">
        <v>1647</v>
      </c>
      <c r="X1318" s="18" t="s">
        <v>1607</v>
      </c>
      <c r="Y1318" s="18" t="s">
        <v>679</v>
      </c>
      <c r="Z1318" s="18" t="str">
        <f>A1318 &amp; "-" &amp; VLOOKUP(A1318,[4]PROGRAMMES!$E$1:$F$7,2,FALSE)</f>
        <v>4-Réforme de l’enseignement supérieur et la recherche scientifique et de l'innovation</v>
      </c>
      <c r="AA1318" s="19" t="str">
        <f>B1318 &amp; "-" &amp; VLOOKUP(B1318,[4]SOUSPROGRAMMES!$E$1:$F$44,2,FALSE)</f>
        <v xml:space="preserve">42- Expansion de l’offre publique pour un système plus équitable en lien avec les priorités nationales </v>
      </c>
      <c r="AB1318" s="19" t="str">
        <f>C1318 &amp; "-" &amp; VLOOKUP(C1318,[4]RESULTATS!$E$1:$F$176,2,FALSE)</f>
        <v>423- La professionnalisation des filières est effective</v>
      </c>
      <c r="AC1318" s="20" t="str">
        <f>D1318 &amp; "-" &amp; VLOOKUP(D1318,[4]STRATEGIES!$E$1:$F$504,2,FALSE)</f>
        <v>4231-Révision et professionnalisation des programmes</v>
      </c>
      <c r="AD1318" s="21" t="str">
        <f t="shared" si="207"/>
        <v>42311-Identification des programmes à professionnaliser par les institutions</v>
      </c>
    </row>
    <row r="1319" spans="1:30" s="22" customFormat="1" ht="45" hidden="1" customHeight="1" x14ac:dyDescent="0.8">
      <c r="A1319" s="14">
        <v>4</v>
      </c>
      <c r="B1319" s="15">
        <v>42</v>
      </c>
      <c r="C1319" s="15">
        <v>423</v>
      </c>
      <c r="D1319" s="15">
        <v>4231</v>
      </c>
      <c r="E1319" s="15">
        <v>42312</v>
      </c>
      <c r="F1319" s="16" t="s">
        <v>1740</v>
      </c>
      <c r="G1319" s="21" t="s">
        <v>321</v>
      </c>
      <c r="H1319" s="17" t="s">
        <v>55</v>
      </c>
      <c r="I1319" s="33">
        <v>0</v>
      </c>
      <c r="J1319" s="33">
        <v>1</v>
      </c>
      <c r="K1319" s="33"/>
      <c r="L1319" s="33"/>
      <c r="M1319" s="33">
        <f t="shared" si="204"/>
        <v>1</v>
      </c>
      <c r="N1319" s="33">
        <f>IF(OR(H1319="",H1319="sif",H1319="PM"),0,VLOOKUP(H1319,[5]CU!$C$4:$H$255,6,FALSE))</f>
        <v>0</v>
      </c>
      <c r="O1319" s="33">
        <f t="shared" si="205"/>
        <v>0</v>
      </c>
      <c r="P1319" s="33">
        <f t="shared" si="205"/>
        <v>0</v>
      </c>
      <c r="Q1319" s="33">
        <f t="shared" si="205"/>
        <v>0</v>
      </c>
      <c r="R1319" s="33">
        <f t="shared" si="205"/>
        <v>0</v>
      </c>
      <c r="S1319" s="34"/>
      <c r="T1319" s="35" t="s">
        <v>56</v>
      </c>
      <c r="U1319" s="18" t="s">
        <v>1696</v>
      </c>
      <c r="V1319" s="18" t="str">
        <f>IF(OR($H1319="",$H1319="sif",$H1319="PM"),"",VLOOKUP($H1319,[5]CU!$C$5:$J$255,8,FALSE))</f>
        <v/>
      </c>
      <c r="W1319" s="18" t="s">
        <v>1647</v>
      </c>
      <c r="X1319" s="18" t="s">
        <v>1607</v>
      </c>
      <c r="Y1319" s="18" t="s">
        <v>679</v>
      </c>
      <c r="Z1319" s="18" t="str">
        <f>A1319 &amp; "-" &amp; VLOOKUP(A1319,[4]PROGRAMMES!$E$1:$F$7,2,FALSE)</f>
        <v>4-Réforme de l’enseignement supérieur et la recherche scientifique et de l'innovation</v>
      </c>
      <c r="AA1319" s="19" t="str">
        <f>B1319 &amp; "-" &amp; VLOOKUP(B1319,[4]SOUSPROGRAMMES!$E$1:$F$44,2,FALSE)</f>
        <v xml:space="preserve">42- Expansion de l’offre publique pour un système plus équitable en lien avec les priorités nationales </v>
      </c>
      <c r="AB1319" s="19" t="str">
        <f>C1319 &amp; "-" &amp; VLOOKUP(C1319,[4]RESULTATS!$E$1:$F$176,2,FALSE)</f>
        <v>423- La professionnalisation des filières est effective</v>
      </c>
      <c r="AC1319" s="20" t="str">
        <f>D1319 &amp; "-" &amp; VLOOKUP(D1319,[4]STRATEGIES!$E$1:$F$504,2,FALSE)</f>
        <v>4231-Révision et professionnalisation des programmes</v>
      </c>
      <c r="AD1319" s="21" t="str">
        <f t="shared" si="207"/>
        <v>42312-Constitution des commissions pour la révision/professionnalisation</v>
      </c>
    </row>
    <row r="1320" spans="1:30" s="22" customFormat="1" ht="60" hidden="1" customHeight="1" x14ac:dyDescent="0.8">
      <c r="A1320" s="14">
        <v>4</v>
      </c>
      <c r="B1320" s="15">
        <v>42</v>
      </c>
      <c r="C1320" s="15">
        <v>423</v>
      </c>
      <c r="D1320" s="15">
        <v>4231</v>
      </c>
      <c r="E1320" s="15">
        <v>42313</v>
      </c>
      <c r="F1320" s="16" t="s">
        <v>1741</v>
      </c>
      <c r="G1320" s="21" t="s">
        <v>1742</v>
      </c>
      <c r="H1320" s="17" t="s">
        <v>66</v>
      </c>
      <c r="I1320" s="33">
        <v>0</v>
      </c>
      <c r="J1320" s="33"/>
      <c r="K1320" s="33">
        <f>20*5*2</f>
        <v>200</v>
      </c>
      <c r="L1320" s="33"/>
      <c r="M1320" s="33">
        <f t="shared" si="204"/>
        <v>200</v>
      </c>
      <c r="N1320" s="33">
        <f>IF(OR(H1320="",H1320="sif",H1320="PM"),0,VLOOKUP(H1320,[5]CU!$C$4:$H$255,6,FALSE))</f>
        <v>0.255</v>
      </c>
      <c r="O1320" s="33">
        <f t="shared" si="205"/>
        <v>0</v>
      </c>
      <c r="P1320" s="33">
        <f t="shared" si="205"/>
        <v>0</v>
      </c>
      <c r="Q1320" s="33">
        <f t="shared" si="205"/>
        <v>51</v>
      </c>
      <c r="R1320" s="33">
        <f t="shared" si="205"/>
        <v>0</v>
      </c>
      <c r="S1320" s="34">
        <f>SUM(O1320:R1320)</f>
        <v>51</v>
      </c>
      <c r="T1320" s="35" t="s">
        <v>169</v>
      </c>
      <c r="U1320" s="18" t="s">
        <v>1696</v>
      </c>
      <c r="V1320" s="18" t="str">
        <f>IF(OR($H1320="",$H1320="sif",$H1320="PM"),"",VLOOKUP($H1320,[5]CU!$C$5:$J$255,8,FALSE))</f>
        <v>3. Dépenses de fonctionnement</v>
      </c>
      <c r="W1320" s="18" t="s">
        <v>1647</v>
      </c>
      <c r="X1320" s="18" t="s">
        <v>1607</v>
      </c>
      <c r="Y1320" s="18" t="s">
        <v>679</v>
      </c>
      <c r="Z1320" s="18" t="str">
        <f>A1320 &amp; "-" &amp; VLOOKUP(A1320,[4]PROGRAMMES!$E$1:$F$7,2,FALSE)</f>
        <v>4-Réforme de l’enseignement supérieur et la recherche scientifique et de l'innovation</v>
      </c>
      <c r="AA1320" s="19" t="str">
        <f>B1320 &amp; "-" &amp; VLOOKUP(B1320,[4]SOUSPROGRAMMES!$E$1:$F$44,2,FALSE)</f>
        <v xml:space="preserve">42- Expansion de l’offre publique pour un système plus équitable en lien avec les priorités nationales </v>
      </c>
      <c r="AB1320" s="19" t="str">
        <f>C1320 &amp; "-" &amp; VLOOKUP(C1320,[4]RESULTATS!$E$1:$F$176,2,FALSE)</f>
        <v>423- La professionnalisation des filières est effective</v>
      </c>
      <c r="AC1320" s="20" t="str">
        <f>D1320 &amp; "-" &amp; VLOOKUP(D1320,[4]STRATEGIES!$E$1:$F$504,2,FALSE)</f>
        <v>4231-Révision et professionnalisation des programmes</v>
      </c>
      <c r="AD1320" s="21" t="str">
        <f t="shared" si="207"/>
        <v>42313-Travaux de commissions</v>
      </c>
    </row>
    <row r="1321" spans="1:30" s="22" customFormat="1" ht="45" hidden="1" customHeight="1" x14ac:dyDescent="0.8">
      <c r="A1321" s="14">
        <v>4</v>
      </c>
      <c r="B1321" s="15">
        <v>42</v>
      </c>
      <c r="C1321" s="15">
        <v>423</v>
      </c>
      <c r="D1321" s="15">
        <v>4231</v>
      </c>
      <c r="E1321" s="15">
        <v>42314</v>
      </c>
      <c r="F1321" s="16" t="s">
        <v>1743</v>
      </c>
      <c r="G1321" s="21" t="s">
        <v>167</v>
      </c>
      <c r="H1321" s="17" t="s">
        <v>646</v>
      </c>
      <c r="I1321" s="33">
        <v>0</v>
      </c>
      <c r="J1321" s="33">
        <f>1*30*1</f>
        <v>30</v>
      </c>
      <c r="K1321" s="33"/>
      <c r="L1321" s="33"/>
      <c r="M1321" s="33">
        <f t="shared" si="204"/>
        <v>30</v>
      </c>
      <c r="N1321" s="33">
        <f>IF(OR(H1321="",H1321="sif",H1321="PM"),0,VLOOKUP(H1321,[5]CU!$C$4:$H$255,6,FALSE))</f>
        <v>10.404797</v>
      </c>
      <c r="O1321" s="33">
        <f t="shared" si="205"/>
        <v>0</v>
      </c>
      <c r="P1321" s="33">
        <f t="shared" si="205"/>
        <v>312.14391000000001</v>
      </c>
      <c r="Q1321" s="33">
        <f t="shared" si="205"/>
        <v>0</v>
      </c>
      <c r="R1321" s="33">
        <f t="shared" si="205"/>
        <v>0</v>
      </c>
      <c r="S1321" s="34">
        <f>SUM(O1321:R1321)</f>
        <v>312.14391000000001</v>
      </c>
      <c r="T1321" s="35" t="s">
        <v>56</v>
      </c>
      <c r="U1321" s="18" t="s">
        <v>1696</v>
      </c>
      <c r="V1321" s="18" t="str">
        <f>IF(OR($H1321="",$H1321="sif",$H1321="PM"),"",VLOOKUP($H1321,[5]CU!$C$5:$J$255,8,FALSE))</f>
        <v>3. Dépenses de fonctionnement</v>
      </c>
      <c r="W1321" s="18" t="s">
        <v>96</v>
      </c>
      <c r="X1321" s="18" t="s">
        <v>1650</v>
      </c>
      <c r="Y1321" s="18" t="s">
        <v>679</v>
      </c>
      <c r="Z1321" s="18" t="str">
        <f>A1321 &amp; "-" &amp; VLOOKUP(A1321,[4]PROGRAMMES!$E$1:$F$7,2,FALSE)</f>
        <v>4-Réforme de l’enseignement supérieur et la recherche scientifique et de l'innovation</v>
      </c>
      <c r="AA1321" s="19" t="str">
        <f>B1321 &amp; "-" &amp; VLOOKUP(B1321,[4]SOUSPROGRAMMES!$E$1:$F$44,2,FALSE)</f>
        <v xml:space="preserve">42- Expansion de l’offre publique pour un système plus équitable en lien avec les priorités nationales </v>
      </c>
      <c r="AB1321" s="19" t="str">
        <f>C1321 &amp; "-" &amp; VLOOKUP(C1321,[4]RESULTATS!$E$1:$F$176,2,FALSE)</f>
        <v>423- La professionnalisation des filières est effective</v>
      </c>
      <c r="AC1321" s="20" t="str">
        <f>D1321 &amp; "-" &amp; VLOOKUP(D1321,[4]STRATEGIES!$E$1:$F$504,2,FALSE)</f>
        <v>4231-Révision et professionnalisation des programmes</v>
      </c>
      <c r="AD1321" s="21" t="str">
        <f t="shared" si="207"/>
        <v>42314-Recrutement d'une expertise technique en ingénierie de la formation</v>
      </c>
    </row>
    <row r="1322" spans="1:30" s="22" customFormat="1" ht="75" hidden="1" customHeight="1" x14ac:dyDescent="0.8">
      <c r="A1322" s="14">
        <v>4</v>
      </c>
      <c r="B1322" s="15">
        <v>42</v>
      </c>
      <c r="C1322" s="15">
        <v>424</v>
      </c>
      <c r="D1322" s="15">
        <v>424</v>
      </c>
      <c r="E1322" s="15">
        <v>424</v>
      </c>
      <c r="F1322" s="16" t="s">
        <v>1744</v>
      </c>
      <c r="G1322" s="17"/>
      <c r="H1322" s="17"/>
      <c r="I1322" s="33">
        <v>0</v>
      </c>
      <c r="J1322" s="33"/>
      <c r="K1322" s="33"/>
      <c r="L1322" s="33"/>
      <c r="M1322" s="33"/>
      <c r="N1322" s="33"/>
      <c r="O1322" s="33"/>
      <c r="P1322" s="33"/>
      <c r="Q1322" s="33"/>
      <c r="R1322" s="33"/>
      <c r="S1322" s="34"/>
      <c r="T1322" s="33"/>
      <c r="U1322" s="18"/>
      <c r="V1322" s="18"/>
      <c r="W1322" s="18"/>
      <c r="X1322" s="18"/>
      <c r="Y1322" s="18" t="s">
        <v>679</v>
      </c>
      <c r="Z1322" s="18" t="str">
        <f>A1322 &amp; "-" &amp; VLOOKUP(A1322,[4]PROGRAMMES!$E$1:$F$7,2,FALSE)</f>
        <v>4-Réforme de l’enseignement supérieur et la recherche scientifique et de l'innovation</v>
      </c>
      <c r="AA1322" s="19" t="str">
        <f>B1322 &amp; "-" &amp; VLOOKUP(B1322,[4]SOUSPROGRAMMES!$E$1:$F$44,2,FALSE)</f>
        <v xml:space="preserve">42- Expansion de l’offre publique pour un système plus équitable en lien avec les priorités nationales </v>
      </c>
      <c r="AB1322" s="19" t="str">
        <f>C1322 &amp; "-" &amp; VLOOKUP(C1322,[4]RESULTATS!$E$1:$F$176,2,FALSE)</f>
        <v>424- Le nombre de filles, d’étudiants (es) handicapés (es) et ceux/celles issus (es) des couches défavorisées fréquentant les différentes formations est significativement augmenté</v>
      </c>
      <c r="AC1322" s="20" t="str">
        <f>D1322 &amp; "-" &amp; VLOOKUP(D1322,[4]STRATEGIES!$E$1:$F$504,2,FALSE)</f>
        <v>424- Le nombre de filles, d’étudiants (es) handicapés (es) et ceux/celles issus (es) des couches défavorisées fréquentant les différentes formations est significativement augmenté</v>
      </c>
      <c r="AD1322" s="21" t="str">
        <f t="shared" si="207"/>
        <v>424- Le nombre de filles, d’étudiants (es) handicapés (es) et ceux/celles issus (es) des couches défavorisées fréquentant les différentes formations est significativement augmenté</v>
      </c>
    </row>
    <row r="1323" spans="1:30" s="22" customFormat="1" ht="75" hidden="1" customHeight="1" x14ac:dyDescent="0.8">
      <c r="A1323" s="14">
        <v>4</v>
      </c>
      <c r="B1323" s="15">
        <v>42</v>
      </c>
      <c r="C1323" s="15">
        <v>424</v>
      </c>
      <c r="D1323" s="15">
        <v>4241</v>
      </c>
      <c r="E1323" s="15">
        <v>4241</v>
      </c>
      <c r="F1323" s="16" t="s">
        <v>1745</v>
      </c>
      <c r="G1323" s="17"/>
      <c r="H1323" s="17"/>
      <c r="I1323" s="33">
        <v>0</v>
      </c>
      <c r="J1323" s="33"/>
      <c r="K1323" s="33"/>
      <c r="L1323" s="33"/>
      <c r="M1323" s="33"/>
      <c r="N1323" s="33"/>
      <c r="O1323" s="33"/>
      <c r="P1323" s="33"/>
      <c r="Q1323" s="33"/>
      <c r="R1323" s="33"/>
      <c r="S1323" s="34"/>
      <c r="T1323" s="33"/>
      <c r="U1323" s="18"/>
      <c r="V1323" s="18"/>
      <c r="W1323" s="18"/>
      <c r="X1323" s="18"/>
      <c r="Y1323" s="18" t="s">
        <v>679</v>
      </c>
      <c r="Z1323" s="18" t="str">
        <f>A1323 &amp; "-" &amp; VLOOKUP(A1323,[4]PROGRAMMES!$E$1:$F$7,2,FALSE)</f>
        <v>4-Réforme de l’enseignement supérieur et la recherche scientifique et de l'innovation</v>
      </c>
      <c r="AA1323" s="19" t="str">
        <f>B1323 &amp; "-" &amp; VLOOKUP(B1323,[4]SOUSPROGRAMMES!$E$1:$F$44,2,FALSE)</f>
        <v xml:space="preserve">42- Expansion de l’offre publique pour un système plus équitable en lien avec les priorités nationales </v>
      </c>
      <c r="AB1323" s="19" t="str">
        <f>C1323 &amp; "-" &amp; VLOOKUP(C1323,[4]RESULTATS!$E$1:$F$176,2,FALSE)</f>
        <v>424- Le nombre de filles, d’étudiants (es) handicapés (es) et ceux/celles issus (es) des couches défavorisées fréquentant les différentes formations est significativement augmenté</v>
      </c>
      <c r="AC1323" s="20" t="str">
        <f>D1323 &amp; "-" &amp; VLOOKUP(D1323,[4]STRATEGIES!$E$1:$F$504,2,FALSE)</f>
        <v>4241-Mise en place d’un fonds pour la valorisation du rôle des étudiantes dans le supérieur</v>
      </c>
      <c r="AD1323" s="21" t="str">
        <f t="shared" si="207"/>
        <v>4241-Mise en place d’un fonds pour la valorisation du rôle des étudiantes dans le supérieur</v>
      </c>
    </row>
    <row r="1324" spans="1:30" s="22" customFormat="1" ht="75" hidden="1" customHeight="1" x14ac:dyDescent="0.8">
      <c r="A1324" s="14">
        <v>4</v>
      </c>
      <c r="B1324" s="15">
        <v>42</v>
      </c>
      <c r="C1324" s="15">
        <v>424</v>
      </c>
      <c r="D1324" s="15">
        <v>4241</v>
      </c>
      <c r="E1324" s="15">
        <v>42411</v>
      </c>
      <c r="F1324" s="16" t="s">
        <v>1746</v>
      </c>
      <c r="G1324" s="21" t="s">
        <v>826</v>
      </c>
      <c r="H1324" s="17" t="s">
        <v>55</v>
      </c>
      <c r="I1324" s="33">
        <v>0</v>
      </c>
      <c r="J1324" s="33"/>
      <c r="K1324" s="33"/>
      <c r="L1324" s="33"/>
      <c r="M1324" s="33">
        <f t="shared" si="204"/>
        <v>0</v>
      </c>
      <c r="N1324" s="33">
        <f>IF(OR(H1324="",H1324="sif",H1324="PM"),0,VLOOKUP(H1324,[5]CU!$C$4:$H$255,6,FALSE))</f>
        <v>0</v>
      </c>
      <c r="O1324" s="33">
        <f t="shared" si="205"/>
        <v>0</v>
      </c>
      <c r="P1324" s="33">
        <f t="shared" si="205"/>
        <v>0</v>
      </c>
      <c r="Q1324" s="33">
        <f t="shared" si="205"/>
        <v>0</v>
      </c>
      <c r="R1324" s="33">
        <f t="shared" si="205"/>
        <v>0</v>
      </c>
      <c r="S1324" s="34"/>
      <c r="T1324" s="35" t="s">
        <v>169</v>
      </c>
      <c r="U1324" s="18" t="s">
        <v>1696</v>
      </c>
      <c r="V1324" s="18" t="str">
        <f>IF(OR($H1324="",$H1324="sif",$H1324="PM"),"",VLOOKUP($H1324,[5]CU!$C$5:$J$255,8,FALSE))</f>
        <v/>
      </c>
      <c r="W1324" s="18" t="s">
        <v>255</v>
      </c>
      <c r="X1324" s="18" t="s">
        <v>173</v>
      </c>
      <c r="Y1324" s="18" t="s">
        <v>679</v>
      </c>
      <c r="Z1324" s="18" t="str">
        <f>A1324 &amp; "-" &amp; VLOOKUP(A1324,[4]PROGRAMMES!$E$1:$F$7,2,FALSE)</f>
        <v>4-Réforme de l’enseignement supérieur et la recherche scientifique et de l'innovation</v>
      </c>
      <c r="AA1324" s="19" t="str">
        <f>B1324 &amp; "-" &amp; VLOOKUP(B1324,[4]SOUSPROGRAMMES!$E$1:$F$44,2,FALSE)</f>
        <v xml:space="preserve">42- Expansion de l’offre publique pour un système plus équitable en lien avec les priorités nationales </v>
      </c>
      <c r="AB1324" s="19" t="str">
        <f>C1324 &amp; "-" &amp; VLOOKUP(C1324,[4]RESULTATS!$E$1:$F$176,2,FALSE)</f>
        <v>424- Le nombre de filles, d’étudiants (es) handicapés (es) et ceux/celles issus (es) des couches défavorisées fréquentant les différentes formations est significativement augmenté</v>
      </c>
      <c r="AC1324" s="20" t="str">
        <f>D1324 &amp; "-" &amp; VLOOKUP(D1324,[4]STRATEGIES!$E$1:$F$504,2,FALSE)</f>
        <v>4241-Mise en place d’un fonds pour la valorisation du rôle des étudiantes dans le supérieur</v>
      </c>
      <c r="AD1324" s="21" t="str">
        <f t="shared" si="207"/>
        <v>42411-Elaboration et adoption des textes / critères</v>
      </c>
    </row>
    <row r="1325" spans="1:30" s="22" customFormat="1" ht="75" hidden="1" customHeight="1" x14ac:dyDescent="0.8">
      <c r="A1325" s="14">
        <v>4</v>
      </c>
      <c r="B1325" s="15">
        <v>42</v>
      </c>
      <c r="C1325" s="15">
        <v>424</v>
      </c>
      <c r="D1325" s="15">
        <v>4241</v>
      </c>
      <c r="E1325" s="15">
        <v>42412</v>
      </c>
      <c r="F1325" s="16" t="s">
        <v>1747</v>
      </c>
      <c r="G1325" s="21" t="s">
        <v>321</v>
      </c>
      <c r="H1325" s="17" t="s">
        <v>55</v>
      </c>
      <c r="I1325" s="33">
        <v>0</v>
      </c>
      <c r="J1325" s="33">
        <v>1</v>
      </c>
      <c r="K1325" s="33"/>
      <c r="L1325" s="33"/>
      <c r="M1325" s="33">
        <f t="shared" si="204"/>
        <v>1</v>
      </c>
      <c r="N1325" s="33">
        <f>IF(OR(H1325="",H1325="sif",H1325="PM"),0,VLOOKUP(H1325,[5]CU!$C$4:$H$255,6,FALSE))</f>
        <v>0</v>
      </c>
      <c r="O1325" s="33">
        <f t="shared" si="205"/>
        <v>0</v>
      </c>
      <c r="P1325" s="33">
        <f t="shared" si="205"/>
        <v>0</v>
      </c>
      <c r="Q1325" s="33">
        <f t="shared" si="205"/>
        <v>0</v>
      </c>
      <c r="R1325" s="33">
        <f t="shared" si="205"/>
        <v>0</v>
      </c>
      <c r="S1325" s="34"/>
      <c r="T1325" s="35" t="s">
        <v>56</v>
      </c>
      <c r="U1325" s="18" t="s">
        <v>1696</v>
      </c>
      <c r="V1325" s="18" t="str">
        <f>IF(OR($H1325="",$H1325="sif",$H1325="PM"),"",VLOOKUP($H1325,[5]CU!$C$5:$J$255,8,FALSE))</f>
        <v/>
      </c>
      <c r="W1325" s="18" t="s">
        <v>173</v>
      </c>
      <c r="X1325" s="18" t="s">
        <v>521</v>
      </c>
      <c r="Y1325" s="18" t="s">
        <v>679</v>
      </c>
      <c r="Z1325" s="18" t="str">
        <f>A1325 &amp; "-" &amp; VLOOKUP(A1325,[4]PROGRAMMES!$E$1:$F$7,2,FALSE)</f>
        <v>4-Réforme de l’enseignement supérieur et la recherche scientifique et de l'innovation</v>
      </c>
      <c r="AA1325" s="19" t="str">
        <f>B1325 &amp; "-" &amp; VLOOKUP(B1325,[4]SOUSPROGRAMMES!$E$1:$F$44,2,FALSE)</f>
        <v xml:space="preserve">42- Expansion de l’offre publique pour un système plus équitable en lien avec les priorités nationales </v>
      </c>
      <c r="AB1325" s="19" t="str">
        <f>C1325 &amp; "-" &amp; VLOOKUP(C1325,[4]RESULTATS!$E$1:$F$176,2,FALSE)</f>
        <v>424- Le nombre de filles, d’étudiants (es) handicapés (es) et ceux/celles issus (es) des couches défavorisées fréquentant les différentes formations est significativement augmenté</v>
      </c>
      <c r="AC1325" s="20" t="str">
        <f>D1325 &amp; "-" &amp; VLOOKUP(D1325,[4]STRATEGIES!$E$1:$F$504,2,FALSE)</f>
        <v>4241-Mise en place d’un fonds pour la valorisation du rôle des étudiantes dans le supérieur</v>
      </c>
      <c r="AD1325" s="21" t="str">
        <f t="shared" si="207"/>
        <v>42412-Création d'un ligne budgétaire</v>
      </c>
    </row>
    <row r="1326" spans="1:30" s="22" customFormat="1" ht="75" hidden="1" customHeight="1" x14ac:dyDescent="0.8">
      <c r="A1326" s="14">
        <v>4</v>
      </c>
      <c r="B1326" s="15">
        <v>42</v>
      </c>
      <c r="C1326" s="15">
        <v>424</v>
      </c>
      <c r="D1326" s="15">
        <v>4241</v>
      </c>
      <c r="E1326" s="15">
        <v>42413</v>
      </c>
      <c r="F1326" s="16" t="s">
        <v>1748</v>
      </c>
      <c r="G1326" s="21" t="s">
        <v>321</v>
      </c>
      <c r="H1326" s="17" t="s">
        <v>1749</v>
      </c>
      <c r="I1326" s="33">
        <v>0</v>
      </c>
      <c r="J1326" s="33"/>
      <c r="K1326" s="33">
        <v>1</v>
      </c>
      <c r="L1326" s="33">
        <v>1</v>
      </c>
      <c r="M1326" s="33">
        <f t="shared" si="204"/>
        <v>2</v>
      </c>
      <c r="N1326" s="33">
        <f>IF(OR(H1326="",H1326="sif",H1326="PM"),0,VLOOKUP(H1326,[5]CU!$C$4:$H$255,6,FALSE))</f>
        <v>1000</v>
      </c>
      <c r="O1326" s="33">
        <f t="shared" si="205"/>
        <v>0</v>
      </c>
      <c r="P1326" s="33">
        <f t="shared" si="205"/>
        <v>0</v>
      </c>
      <c r="Q1326" s="33">
        <f t="shared" si="205"/>
        <v>1000</v>
      </c>
      <c r="R1326" s="33">
        <f t="shared" si="205"/>
        <v>1000</v>
      </c>
      <c r="S1326" s="34">
        <f>SUM(O1326:R1326)</f>
        <v>2000</v>
      </c>
      <c r="T1326" s="35" t="s">
        <v>56</v>
      </c>
      <c r="U1326" s="18" t="s">
        <v>1696</v>
      </c>
      <c r="V1326" s="18" t="str">
        <f>IF(OR($H1326="",$H1326="sif",$H1326="PM"),"",VLOOKUP($H1326,[5]CU!$C$5:$J$255,8,FALSE))</f>
        <v>4. Transferts et subventions</v>
      </c>
      <c r="W1326" s="18" t="s">
        <v>173</v>
      </c>
      <c r="X1326" s="18" t="s">
        <v>521</v>
      </c>
      <c r="Y1326" s="18" t="s">
        <v>679</v>
      </c>
      <c r="Z1326" s="18" t="str">
        <f>A1326 &amp; "-" &amp; VLOOKUP(A1326,[4]PROGRAMMES!$E$1:$F$7,2,FALSE)</f>
        <v>4-Réforme de l’enseignement supérieur et la recherche scientifique et de l'innovation</v>
      </c>
      <c r="AA1326" s="19" t="str">
        <f>B1326 &amp; "-" &amp; VLOOKUP(B1326,[4]SOUSPROGRAMMES!$E$1:$F$44,2,FALSE)</f>
        <v xml:space="preserve">42- Expansion de l’offre publique pour un système plus équitable en lien avec les priorités nationales </v>
      </c>
      <c r="AB1326" s="19" t="str">
        <f>C1326 &amp; "-" &amp; VLOOKUP(C1326,[4]RESULTATS!$E$1:$F$176,2,FALSE)</f>
        <v>424- Le nombre de filles, d’étudiants (es) handicapés (es) et ceux/celles issus (es) des couches défavorisées fréquentant les différentes formations est significativement augmenté</v>
      </c>
      <c r="AC1326" s="20" t="str">
        <f>D1326 &amp; "-" &amp; VLOOKUP(D1326,[4]STRATEGIES!$E$1:$F$504,2,FALSE)</f>
        <v>4241-Mise en place d’un fonds pour la valorisation du rôle des étudiantes dans le supérieur</v>
      </c>
      <c r="AD1326" s="21" t="str">
        <f t="shared" si="207"/>
        <v>42413-Mise en place de la ligne budgétaire</v>
      </c>
    </row>
    <row r="1327" spans="1:30" s="22" customFormat="1" ht="75" hidden="1" customHeight="1" x14ac:dyDescent="0.8">
      <c r="A1327" s="14">
        <v>4</v>
      </c>
      <c r="B1327" s="15">
        <v>42</v>
      </c>
      <c r="C1327" s="15">
        <v>424</v>
      </c>
      <c r="D1327" s="15">
        <v>4242</v>
      </c>
      <c r="E1327" s="15">
        <v>4242</v>
      </c>
      <c r="F1327" s="16" t="s">
        <v>1750</v>
      </c>
      <c r="G1327" s="17"/>
      <c r="H1327" s="17"/>
      <c r="I1327" s="33">
        <v>0</v>
      </c>
      <c r="J1327" s="33"/>
      <c r="K1327" s="33"/>
      <c r="L1327" s="33"/>
      <c r="M1327" s="33"/>
      <c r="N1327" s="33"/>
      <c r="O1327" s="33"/>
      <c r="P1327" s="33"/>
      <c r="Q1327" s="33"/>
      <c r="R1327" s="33"/>
      <c r="S1327" s="34"/>
      <c r="T1327" s="33"/>
      <c r="U1327" s="18"/>
      <c r="V1327" s="18"/>
      <c r="W1327" s="18"/>
      <c r="X1327" s="18"/>
      <c r="Y1327" s="18" t="s">
        <v>679</v>
      </c>
      <c r="Z1327" s="18" t="str">
        <f>A1327 &amp; "-" &amp; VLOOKUP(A1327,[4]PROGRAMMES!$E$1:$F$7,2,FALSE)</f>
        <v>4-Réforme de l’enseignement supérieur et la recherche scientifique et de l'innovation</v>
      </c>
      <c r="AA1327" s="19" t="str">
        <f>B1327 &amp; "-" &amp; VLOOKUP(B1327,[4]SOUSPROGRAMMES!$E$1:$F$44,2,FALSE)</f>
        <v xml:space="preserve">42- Expansion de l’offre publique pour un système plus équitable en lien avec les priorités nationales </v>
      </c>
      <c r="AB1327" s="19" t="str">
        <f>C1327 &amp; "-" &amp; VLOOKUP(C1327,[4]RESULTATS!$E$1:$F$176,2,FALSE)</f>
        <v>424- Le nombre de filles, d’étudiants (es) handicapés (es) et ceux/celles issus (es) des couches défavorisées fréquentant les différentes formations est significativement augmenté</v>
      </c>
      <c r="AC1327" s="20" t="str">
        <f>D1327 &amp; "-" &amp; VLOOKUP(D1327,[4]STRATEGIES!$E$1:$F$504,2,FALSE)</f>
        <v>4242-Mise en place d’infrastructures et équipements adaptés</v>
      </c>
      <c r="AD1327" s="21" t="str">
        <f t="shared" si="207"/>
        <v>4242-Mise en place d’infrastructures et équipements adaptés</v>
      </c>
    </row>
    <row r="1328" spans="1:30" s="22" customFormat="1" ht="75" hidden="1" customHeight="1" x14ac:dyDescent="0.8">
      <c r="A1328" s="14">
        <v>4</v>
      </c>
      <c r="B1328" s="15">
        <v>42</v>
      </c>
      <c r="C1328" s="15">
        <v>424</v>
      </c>
      <c r="D1328" s="15">
        <v>4242</v>
      </c>
      <c r="E1328" s="15">
        <v>42421</v>
      </c>
      <c r="F1328" s="16" t="s">
        <v>1751</v>
      </c>
      <c r="G1328" s="21" t="s">
        <v>92</v>
      </c>
      <c r="H1328" s="17" t="s">
        <v>55</v>
      </c>
      <c r="I1328" s="33">
        <v>0</v>
      </c>
      <c r="J1328" s="33"/>
      <c r="K1328" s="33"/>
      <c r="L1328" s="33"/>
      <c r="M1328" s="33"/>
      <c r="N1328" s="33">
        <f>IF(OR(H1328="",H1328="sif",H1328="PM"),0,VLOOKUP(H1328,[5]CU!$C$4:$H$255,6,FALSE))</f>
        <v>0</v>
      </c>
      <c r="O1328" s="33"/>
      <c r="P1328" s="33"/>
      <c r="Q1328" s="33"/>
      <c r="R1328" s="33"/>
      <c r="S1328" s="34"/>
      <c r="T1328" s="35" t="s">
        <v>56</v>
      </c>
      <c r="U1328" s="18" t="s">
        <v>1696</v>
      </c>
      <c r="V1328" s="18" t="str">
        <f>IF(OR($H1328="",$H1328="sif",$H1328="PM"),"",VLOOKUP($H1328,[5]CU!$C$5:$J$255,8,FALSE))</f>
        <v/>
      </c>
      <c r="W1328" s="18" t="s">
        <v>1705</v>
      </c>
      <c r="X1328" s="18" t="s">
        <v>521</v>
      </c>
      <c r="Y1328" s="18" t="s">
        <v>679</v>
      </c>
      <c r="Z1328" s="18" t="str">
        <f>A1328 &amp; "-" &amp; VLOOKUP(A1328,[4]PROGRAMMES!$E$1:$F$7,2,FALSE)</f>
        <v>4-Réforme de l’enseignement supérieur et la recherche scientifique et de l'innovation</v>
      </c>
      <c r="AA1328" s="19" t="str">
        <f>B1328 &amp; "-" &amp; VLOOKUP(B1328,[4]SOUSPROGRAMMES!$E$1:$F$44,2,FALSE)</f>
        <v xml:space="preserve">42- Expansion de l’offre publique pour un système plus équitable en lien avec les priorités nationales </v>
      </c>
      <c r="AB1328" s="19" t="str">
        <f>C1328 &amp; "-" &amp; VLOOKUP(C1328,[4]RESULTATS!$E$1:$F$176,2,FALSE)</f>
        <v>424- Le nombre de filles, d’étudiants (es) handicapés (es) et ceux/celles issus (es) des couches défavorisées fréquentant les différentes formations est significativement augmenté</v>
      </c>
      <c r="AC1328" s="20" t="str">
        <f>D1328 &amp; "-" &amp; VLOOKUP(D1328,[4]STRATEGIES!$E$1:$F$504,2,FALSE)</f>
        <v>4242-Mise en place d’infrastructures et équipements adaptés</v>
      </c>
      <c r="AD1328" s="21" t="str">
        <f t="shared" si="207"/>
        <v>42421-Construction de rampes d'accès (Pris en compte dans activités 52111 à 52116)</v>
      </c>
    </row>
    <row r="1329" spans="1:30" s="22" customFormat="1" ht="75" hidden="1" customHeight="1" x14ac:dyDescent="0.8">
      <c r="A1329" s="14">
        <v>4</v>
      </c>
      <c r="B1329" s="15">
        <v>42</v>
      </c>
      <c r="C1329" s="15">
        <v>424</v>
      </c>
      <c r="D1329" s="15">
        <v>4242</v>
      </c>
      <c r="E1329" s="15">
        <v>42422</v>
      </c>
      <c r="F1329" s="16" t="s">
        <v>1752</v>
      </c>
      <c r="G1329" s="21" t="s">
        <v>92</v>
      </c>
      <c r="H1329" s="17" t="s">
        <v>55</v>
      </c>
      <c r="I1329" s="33">
        <v>0</v>
      </c>
      <c r="J1329" s="33"/>
      <c r="K1329" s="33"/>
      <c r="L1329" s="33"/>
      <c r="M1329" s="33"/>
      <c r="N1329" s="33">
        <f>IF(OR(H1329="",H1329="sif",H1329="PM"),0,VLOOKUP(H1329,[5]CU!$C$4:$H$255,6,FALSE))</f>
        <v>0</v>
      </c>
      <c r="O1329" s="33"/>
      <c r="P1329" s="33"/>
      <c r="Q1329" s="33"/>
      <c r="R1329" s="33"/>
      <c r="S1329" s="34"/>
      <c r="T1329" s="35" t="s">
        <v>56</v>
      </c>
      <c r="U1329" s="18" t="s">
        <v>1696</v>
      </c>
      <c r="V1329" s="18" t="str">
        <f>IF(OR($H1329="",$H1329="sif",$H1329="PM"),"",VLOOKUP($H1329,[5]CU!$C$5:$J$255,8,FALSE))</f>
        <v/>
      </c>
      <c r="W1329" s="18" t="s">
        <v>1705</v>
      </c>
      <c r="X1329" s="18" t="s">
        <v>521</v>
      </c>
      <c r="Y1329" s="18" t="s">
        <v>679</v>
      </c>
      <c r="Z1329" s="18" t="str">
        <f>A1329 &amp; "-" &amp; VLOOKUP(A1329,[4]PROGRAMMES!$E$1:$F$7,2,FALSE)</f>
        <v>4-Réforme de l’enseignement supérieur et la recherche scientifique et de l'innovation</v>
      </c>
      <c r="AA1329" s="19" t="str">
        <f>B1329 &amp; "-" &amp; VLOOKUP(B1329,[4]SOUSPROGRAMMES!$E$1:$F$44,2,FALSE)</f>
        <v xml:space="preserve">42- Expansion de l’offre publique pour un système plus équitable en lien avec les priorités nationales </v>
      </c>
      <c r="AB1329" s="19" t="str">
        <f>C1329 &amp; "-" &amp; VLOOKUP(C1329,[4]RESULTATS!$E$1:$F$176,2,FALSE)</f>
        <v>424- Le nombre de filles, d’étudiants (es) handicapés (es) et ceux/celles issus (es) des couches défavorisées fréquentant les différentes formations est significativement augmenté</v>
      </c>
      <c r="AC1329" s="20" t="str">
        <f>D1329 &amp; "-" &amp; VLOOKUP(D1329,[4]STRATEGIES!$E$1:$F$504,2,FALSE)</f>
        <v>4242-Mise en place d’infrastructures et équipements adaptés</v>
      </c>
      <c r="AD1329" s="21" t="str">
        <f t="shared" si="207"/>
        <v>42422-Construction de toilettes adaptées (Pris en compte dans activités 52111 à 52116)</v>
      </c>
    </row>
    <row r="1330" spans="1:30" s="22" customFormat="1" ht="75" hidden="1" customHeight="1" x14ac:dyDescent="0.8">
      <c r="A1330" s="14">
        <v>4</v>
      </c>
      <c r="B1330" s="15">
        <v>42</v>
      </c>
      <c r="C1330" s="15">
        <v>424</v>
      </c>
      <c r="D1330" s="15">
        <v>4243</v>
      </c>
      <c r="E1330" s="15">
        <v>4243</v>
      </c>
      <c r="F1330" s="16" t="s">
        <v>1753</v>
      </c>
      <c r="G1330" s="17"/>
      <c r="H1330" s="17"/>
      <c r="I1330" s="33">
        <v>0</v>
      </c>
      <c r="J1330" s="33"/>
      <c r="K1330" s="33"/>
      <c r="L1330" s="33"/>
      <c r="M1330" s="33"/>
      <c r="N1330" s="33"/>
      <c r="O1330" s="33"/>
      <c r="P1330" s="33"/>
      <c r="Q1330" s="33"/>
      <c r="R1330" s="33"/>
      <c r="S1330" s="34"/>
      <c r="T1330" s="33"/>
      <c r="U1330" s="18"/>
      <c r="V1330" s="18"/>
      <c r="W1330" s="18"/>
      <c r="X1330" s="18"/>
      <c r="Y1330" s="18" t="s">
        <v>679</v>
      </c>
      <c r="Z1330" s="18" t="str">
        <f>A1330 &amp; "-" &amp; VLOOKUP(A1330,[4]PROGRAMMES!$E$1:$F$7,2,FALSE)</f>
        <v>4-Réforme de l’enseignement supérieur et la recherche scientifique et de l'innovation</v>
      </c>
      <c r="AA1330" s="19" t="str">
        <f>B1330 &amp; "-" &amp; VLOOKUP(B1330,[4]SOUSPROGRAMMES!$E$1:$F$44,2,FALSE)</f>
        <v xml:space="preserve">42- Expansion de l’offre publique pour un système plus équitable en lien avec les priorités nationales </v>
      </c>
      <c r="AB1330" s="19" t="str">
        <f>C1330 &amp; "-" &amp; VLOOKUP(C1330,[4]RESULTATS!$E$1:$F$176,2,FALSE)</f>
        <v>424- Le nombre de filles, d’étudiants (es) handicapés (es) et ceux/celles issus (es) des couches défavorisées fréquentant les différentes formations est significativement augmenté</v>
      </c>
      <c r="AC1330" s="20" t="str">
        <f>D1330 &amp; "-" &amp; VLOOKUP(D1330,[4]STRATEGIES!$E$1:$F$504,2,FALSE)</f>
        <v>4243-Instauration des mesures d’accompagnement</v>
      </c>
      <c r="AD1330" s="21" t="str">
        <f t="shared" si="207"/>
        <v>4243-Instauration des mesures d’accompagnement</v>
      </c>
    </row>
    <row r="1331" spans="1:30" s="22" customFormat="1" ht="75" hidden="1" customHeight="1" x14ac:dyDescent="0.8">
      <c r="A1331" s="14">
        <v>4</v>
      </c>
      <c r="B1331" s="15">
        <v>42</v>
      </c>
      <c r="C1331" s="15">
        <v>424</v>
      </c>
      <c r="D1331" s="15">
        <v>4243</v>
      </c>
      <c r="E1331" s="15">
        <v>42431</v>
      </c>
      <c r="F1331" s="16" t="s">
        <v>1754</v>
      </c>
      <c r="G1331" s="21" t="s">
        <v>92</v>
      </c>
      <c r="H1331" s="17" t="s">
        <v>55</v>
      </c>
      <c r="I1331" s="33">
        <v>0</v>
      </c>
      <c r="J1331" s="33">
        <v>1</v>
      </c>
      <c r="K1331" s="33"/>
      <c r="L1331" s="33"/>
      <c r="M1331" s="33">
        <f t="shared" ref="M1331:M1361" si="209">SUM(I1331:L1331)</f>
        <v>1</v>
      </c>
      <c r="N1331" s="33">
        <f>IF(OR(H1331="",H1331="sif",H1331="PM"),0,VLOOKUP(H1331,[5]CU!$C$4:$H$255,6,FALSE))</f>
        <v>0</v>
      </c>
      <c r="O1331" s="33">
        <f t="shared" ref="O1331:R1388" si="210">IFERROR($N1331*I1331,0)</f>
        <v>0</v>
      </c>
      <c r="P1331" s="33">
        <f t="shared" si="210"/>
        <v>0</v>
      </c>
      <c r="Q1331" s="33">
        <f t="shared" si="210"/>
        <v>0</v>
      </c>
      <c r="R1331" s="33">
        <f t="shared" si="210"/>
        <v>0</v>
      </c>
      <c r="S1331" s="34"/>
      <c r="T1331" s="35" t="s">
        <v>56</v>
      </c>
      <c r="U1331" s="18" t="s">
        <v>1696</v>
      </c>
      <c r="V1331" s="18" t="str">
        <f>IF(OR($H1331="",$H1331="sif",$H1331="PM"),"",VLOOKUP($H1331,[5]CU!$C$5:$J$255,8,FALSE))</f>
        <v/>
      </c>
      <c r="W1331" s="18" t="s">
        <v>173</v>
      </c>
      <c r="X1331" s="18" t="s">
        <v>1665</v>
      </c>
      <c r="Y1331" s="18" t="s">
        <v>679</v>
      </c>
      <c r="Z1331" s="18" t="str">
        <f>A1331 &amp; "-" &amp; VLOOKUP(A1331,[4]PROGRAMMES!$E$1:$F$7,2,FALSE)</f>
        <v>4-Réforme de l’enseignement supérieur et la recherche scientifique et de l'innovation</v>
      </c>
      <c r="AA1331" s="19" t="str">
        <f>B1331 &amp; "-" &amp; VLOOKUP(B1331,[4]SOUSPROGRAMMES!$E$1:$F$44,2,FALSE)</f>
        <v xml:space="preserve">42- Expansion de l’offre publique pour un système plus équitable en lien avec les priorités nationales </v>
      </c>
      <c r="AB1331" s="19" t="str">
        <f>C1331 &amp; "-" &amp; VLOOKUP(C1331,[4]RESULTATS!$E$1:$F$176,2,FALSE)</f>
        <v>424- Le nombre de filles, d’étudiants (es) handicapés (es) et ceux/celles issus (es) des couches défavorisées fréquentant les différentes formations est significativement augmenté</v>
      </c>
      <c r="AC1331" s="20" t="str">
        <f>D1331 &amp; "-" &amp; VLOOKUP(D1331,[4]STRATEGIES!$E$1:$F$504,2,FALSE)</f>
        <v>4243-Instauration des mesures d’accompagnement</v>
      </c>
      <c r="AD1331" s="21" t="str">
        <f t="shared" si="207"/>
        <v>42431-Elaboration et adoption des textes et des critères d'octroi des bourses pour les personnes avec handicap et les filles inscrites dans les STIM (pris en compte dans activité 41533)</v>
      </c>
    </row>
    <row r="1332" spans="1:30" s="22" customFormat="1" ht="75" hidden="1" customHeight="1" x14ac:dyDescent="0.8">
      <c r="A1332" s="14">
        <v>4</v>
      </c>
      <c r="B1332" s="15">
        <v>42</v>
      </c>
      <c r="C1332" s="15">
        <v>424</v>
      </c>
      <c r="D1332" s="15">
        <v>4243</v>
      </c>
      <c r="E1332" s="15">
        <v>42432</v>
      </c>
      <c r="F1332" s="16" t="s">
        <v>1755</v>
      </c>
      <c r="G1332" s="21" t="s">
        <v>92</v>
      </c>
      <c r="H1332" s="17" t="s">
        <v>55</v>
      </c>
      <c r="I1332" s="33">
        <v>0</v>
      </c>
      <c r="J1332" s="33"/>
      <c r="K1332" s="33">
        <v>1</v>
      </c>
      <c r="L1332" s="33">
        <v>1</v>
      </c>
      <c r="M1332" s="33">
        <f t="shared" si="209"/>
        <v>2</v>
      </c>
      <c r="N1332" s="33">
        <f>IF(OR(H1332="",H1332="sif",H1332="PM"),0,VLOOKUP(H1332,[5]CU!$C$4:$H$255,6,FALSE))</f>
        <v>0</v>
      </c>
      <c r="O1332" s="33">
        <f t="shared" si="210"/>
        <v>0</v>
      </c>
      <c r="P1332" s="33">
        <f t="shared" si="210"/>
        <v>0</v>
      </c>
      <c r="Q1332" s="33">
        <f t="shared" si="210"/>
        <v>0</v>
      </c>
      <c r="R1332" s="33">
        <f t="shared" si="210"/>
        <v>0</v>
      </c>
      <c r="S1332" s="34"/>
      <c r="T1332" s="35" t="s">
        <v>56</v>
      </c>
      <c r="U1332" s="18" t="s">
        <v>1696</v>
      </c>
      <c r="V1332" s="18" t="str">
        <f>IF(OR($H1332="",$H1332="sif",$H1332="PM"),"",VLOOKUP($H1332,[5]CU!$C$5:$J$255,8,FALSE))</f>
        <v/>
      </c>
      <c r="W1332" s="18" t="s">
        <v>255</v>
      </c>
      <c r="X1332" s="18" t="s">
        <v>142</v>
      </c>
      <c r="Y1332" s="18" t="s">
        <v>679</v>
      </c>
      <c r="Z1332" s="18" t="str">
        <f>A1332 &amp; "-" &amp; VLOOKUP(A1332,[4]PROGRAMMES!$E$1:$F$7,2,FALSE)</f>
        <v>4-Réforme de l’enseignement supérieur et la recherche scientifique et de l'innovation</v>
      </c>
      <c r="AA1332" s="19" t="str">
        <f>B1332 &amp; "-" &amp; VLOOKUP(B1332,[4]SOUSPROGRAMMES!$E$1:$F$44,2,FALSE)</f>
        <v xml:space="preserve">42- Expansion de l’offre publique pour un système plus équitable en lien avec les priorités nationales </v>
      </c>
      <c r="AB1332" s="19" t="str">
        <f>C1332 &amp; "-" &amp; VLOOKUP(C1332,[4]RESULTATS!$E$1:$F$176,2,FALSE)</f>
        <v>424- Le nombre de filles, d’étudiants (es) handicapés (es) et ceux/celles issus (es) des couches défavorisées fréquentant les différentes formations est significativement augmenté</v>
      </c>
      <c r="AC1332" s="20" t="str">
        <f>D1332 &amp; "-" &amp; VLOOKUP(D1332,[4]STRATEGIES!$E$1:$F$504,2,FALSE)</f>
        <v>4243-Instauration des mesures d’accompagnement</v>
      </c>
      <c r="AD1332" s="21" t="str">
        <f t="shared" si="207"/>
        <v>42432-Octroi des bourses (pris en compte dans activités 41533 et 41534)</v>
      </c>
    </row>
    <row r="1333" spans="1:30" s="22" customFormat="1" ht="45" hidden="1" customHeight="1" x14ac:dyDescent="0.8">
      <c r="A1333" s="14">
        <v>4</v>
      </c>
      <c r="B1333" s="15">
        <v>43</v>
      </c>
      <c r="C1333" s="15">
        <v>43</v>
      </c>
      <c r="D1333" s="15">
        <v>43</v>
      </c>
      <c r="E1333" s="15">
        <v>43</v>
      </c>
      <c r="F1333" s="16" t="s">
        <v>1756</v>
      </c>
      <c r="G1333" s="17"/>
      <c r="H1333" s="17"/>
      <c r="I1333" s="33">
        <v>0</v>
      </c>
      <c r="J1333" s="33"/>
      <c r="K1333" s="33"/>
      <c r="L1333" s="33"/>
      <c r="M1333" s="33"/>
      <c r="N1333" s="33"/>
      <c r="O1333" s="33"/>
      <c r="P1333" s="33"/>
      <c r="Q1333" s="33"/>
      <c r="R1333" s="33"/>
      <c r="S1333" s="34"/>
      <c r="T1333" s="33"/>
      <c r="U1333" s="18"/>
      <c r="V1333" s="18"/>
      <c r="W1333" s="18"/>
      <c r="X1333" s="18"/>
      <c r="Y1333" s="18" t="s">
        <v>679</v>
      </c>
      <c r="Z1333" s="18" t="str">
        <f>A1333 &amp; "-" &amp; VLOOKUP(A1333,[4]PROGRAMMES!$E$1:$F$7,2,FALSE)</f>
        <v>4-Réforme de l’enseignement supérieur et la recherche scientifique et de l'innovation</v>
      </c>
      <c r="AA1333" s="19" t="str">
        <f>B1333 &amp; "-" &amp; VLOOKUP(B1333,[4]SOUSPROGRAMMES!$E$1:$F$44,2,FALSE)</f>
        <v>43- Qualité de l’enseignement, de la formation et de la recherche scientifique</v>
      </c>
      <c r="AB1333" s="19" t="str">
        <f>C1333 &amp; "-" &amp; VLOOKUP(C1333,[4]RESULTATS!$E$1:$F$176,2,FALSE)</f>
        <v>43- Qualité de l’enseignement, de la formation et de la recherche scientifique</v>
      </c>
      <c r="AC1333" s="20" t="str">
        <f>D1333 &amp; "-" &amp; VLOOKUP(D1333,[4]STRATEGIES!$E$1:$F$504,2,FALSE)</f>
        <v>43- Qualité de l’enseignement, de la formation et de la recherche scientifique</v>
      </c>
      <c r="AD1333" s="21" t="str">
        <f t="shared" si="207"/>
        <v>43- Qualité de l’enseignement, de la formation et de la recherche scientifique</v>
      </c>
    </row>
    <row r="1334" spans="1:30" s="22" customFormat="1" ht="45" hidden="1" customHeight="1" x14ac:dyDescent="0.8">
      <c r="A1334" s="14">
        <v>4</v>
      </c>
      <c r="B1334" s="15">
        <v>43</v>
      </c>
      <c r="C1334" s="15">
        <v>431</v>
      </c>
      <c r="D1334" s="15">
        <v>431</v>
      </c>
      <c r="E1334" s="15">
        <v>431</v>
      </c>
      <c r="F1334" s="16" t="s">
        <v>1757</v>
      </c>
      <c r="G1334" s="17"/>
      <c r="H1334" s="17"/>
      <c r="I1334" s="33">
        <v>0</v>
      </c>
      <c r="J1334" s="33"/>
      <c r="K1334" s="33"/>
      <c r="L1334" s="33"/>
      <c r="M1334" s="33"/>
      <c r="N1334" s="33"/>
      <c r="O1334" s="33"/>
      <c r="P1334" s="33"/>
      <c r="Q1334" s="33"/>
      <c r="R1334" s="33"/>
      <c r="S1334" s="34"/>
      <c r="T1334" s="33"/>
      <c r="U1334" s="18"/>
      <c r="V1334" s="18"/>
      <c r="W1334" s="18"/>
      <c r="X1334" s="18"/>
      <c r="Y1334" s="18" t="s">
        <v>679</v>
      </c>
      <c r="Z1334" s="18" t="str">
        <f>A1334 &amp; "-" &amp; VLOOKUP(A1334,[4]PROGRAMMES!$E$1:$F$7,2,FALSE)</f>
        <v>4-Réforme de l’enseignement supérieur et la recherche scientifique et de l'innovation</v>
      </c>
      <c r="AA1334" s="19" t="str">
        <f>B1334 &amp; "-" &amp; VLOOKUP(B1334,[4]SOUSPROGRAMMES!$E$1:$F$44,2,FALSE)</f>
        <v>43- Qualité de l’enseignement, de la formation et de la recherche scientifique</v>
      </c>
      <c r="AB1334" s="19" t="str">
        <f>C1334 &amp; "-" &amp; VLOOKUP(C1334,[4]RESULTATS!$E$1:$F$176,2,FALSE)</f>
        <v>431- Le fonctionnement de l'ANAQ est renforcée</v>
      </c>
      <c r="AC1334" s="20" t="str">
        <f>D1334 &amp; "-" &amp; VLOOKUP(D1334,[4]STRATEGIES!$E$1:$F$504,2,FALSE)</f>
        <v>431- Le fonctionnement de l'ANAQ est renforcée</v>
      </c>
      <c r="AD1334" s="21" t="str">
        <f t="shared" si="207"/>
        <v>431- Le fonctionnement de l'ANAQ est renforcée</v>
      </c>
    </row>
    <row r="1335" spans="1:30" s="22" customFormat="1" ht="45" hidden="1" customHeight="1" x14ac:dyDescent="0.8">
      <c r="A1335" s="14">
        <v>4</v>
      </c>
      <c r="B1335" s="15">
        <v>43</v>
      </c>
      <c r="C1335" s="15">
        <v>431</v>
      </c>
      <c r="D1335" s="15">
        <v>4311</v>
      </c>
      <c r="E1335" s="15">
        <v>4311</v>
      </c>
      <c r="F1335" s="16" t="s">
        <v>1758</v>
      </c>
      <c r="G1335" s="17"/>
      <c r="H1335" s="17"/>
      <c r="I1335" s="33">
        <v>0</v>
      </c>
      <c r="J1335" s="33"/>
      <c r="K1335" s="33"/>
      <c r="L1335" s="33"/>
      <c r="M1335" s="33"/>
      <c r="N1335" s="33"/>
      <c r="O1335" s="33"/>
      <c r="P1335" s="33"/>
      <c r="Q1335" s="33"/>
      <c r="R1335" s="33"/>
      <c r="S1335" s="34"/>
      <c r="T1335" s="33"/>
      <c r="U1335" s="18"/>
      <c r="V1335" s="18"/>
      <c r="W1335" s="18"/>
      <c r="X1335" s="18"/>
      <c r="Y1335" s="18" t="s">
        <v>679</v>
      </c>
      <c r="Z1335" s="18" t="str">
        <f>A1335 &amp; "-" &amp; VLOOKUP(A1335,[4]PROGRAMMES!$E$1:$F$7,2,FALSE)</f>
        <v>4-Réforme de l’enseignement supérieur et la recherche scientifique et de l'innovation</v>
      </c>
      <c r="AA1335" s="19" t="str">
        <f>B1335 &amp; "-" &amp; VLOOKUP(B1335,[4]SOUSPROGRAMMES!$E$1:$F$44,2,FALSE)</f>
        <v>43- Qualité de l’enseignement, de la formation et de la recherche scientifique</v>
      </c>
      <c r="AB1335" s="19" t="str">
        <f>C1335 &amp; "-" &amp; VLOOKUP(C1335,[4]RESULTATS!$E$1:$F$176,2,FALSE)</f>
        <v>431- Le fonctionnement de l'ANAQ est renforcée</v>
      </c>
      <c r="AC1335" s="20" t="str">
        <f>D1335 &amp; "-" &amp; VLOOKUP(D1335,[4]STRATEGIES!$E$1:$F$504,2,FALSE)</f>
        <v>4311-Evaluation de la qualité de l’éducation et de la recherche dans les institutions d’enseignement supérieur et de recherche</v>
      </c>
      <c r="AD1335" s="21" t="str">
        <f t="shared" si="207"/>
        <v>4311-Evaluation de la qualité de l’éducation et de la recherche dans les institutions d’enseignement supérieur et de recherche</v>
      </c>
    </row>
    <row r="1336" spans="1:30" s="22" customFormat="1" ht="45" hidden="1" customHeight="1" x14ac:dyDescent="0.8">
      <c r="A1336" s="14">
        <v>4</v>
      </c>
      <c r="B1336" s="15">
        <v>43</v>
      </c>
      <c r="C1336" s="15">
        <v>431</v>
      </c>
      <c r="D1336" s="15">
        <v>4311</v>
      </c>
      <c r="E1336" s="15">
        <v>43111</v>
      </c>
      <c r="F1336" s="16" t="s">
        <v>1759</v>
      </c>
      <c r="G1336" s="21" t="s">
        <v>1035</v>
      </c>
      <c r="H1336" s="17" t="s">
        <v>1760</v>
      </c>
      <c r="I1336" s="33">
        <v>0</v>
      </c>
      <c r="J1336" s="33">
        <f>10*50%</f>
        <v>5</v>
      </c>
      <c r="K1336" s="33">
        <f>20*50%</f>
        <v>10</v>
      </c>
      <c r="L1336" s="33">
        <f>30*50%</f>
        <v>15</v>
      </c>
      <c r="M1336" s="33">
        <f>SUM(I1336:L1336)</f>
        <v>30</v>
      </c>
      <c r="N1336" s="33">
        <f>IF(OR(H1336="",H1336="sif",H1336="PM"),0,VLOOKUP(H1336,[5]CU!$C$4:$H$255,6,FALSE))</f>
        <v>57.6</v>
      </c>
      <c r="O1336" s="33">
        <f>IFERROR($N1336*I1336,0)</f>
        <v>0</v>
      </c>
      <c r="P1336" s="33">
        <f>IFERROR($N1336*J1336,0)</f>
        <v>288</v>
      </c>
      <c r="Q1336" s="33">
        <f>IFERROR($N1336*K1336,0)</f>
        <v>576</v>
      </c>
      <c r="R1336" s="33">
        <f>IFERROR($N1336*L1336,0)</f>
        <v>864</v>
      </c>
      <c r="S1336" s="34">
        <f t="shared" ref="S1336:S1342" si="211">SUM(O1336:R1336)</f>
        <v>1728</v>
      </c>
      <c r="T1336" s="35" t="s">
        <v>56</v>
      </c>
      <c r="U1336" s="19" t="s">
        <v>1696</v>
      </c>
      <c r="V1336" s="19" t="str">
        <f>IF(OR($H1336="",$H1336="sif",$H1336="PM"),"",VLOOKUP($H1336,[5]CU!$C$5:$J$255,8,FALSE))</f>
        <v>3. Dépenses de fonctionnement</v>
      </c>
      <c r="W1336" s="19" t="s">
        <v>1546</v>
      </c>
      <c r="X1336" s="19" t="s">
        <v>1650</v>
      </c>
      <c r="Y1336" s="18" t="s">
        <v>679</v>
      </c>
      <c r="Z1336" s="18" t="str">
        <f>A1336 &amp; "-" &amp; VLOOKUP(A1336,[4]PROGRAMMES!$E$1:$F$7,2,FALSE)</f>
        <v>4-Réforme de l’enseignement supérieur et la recherche scientifique et de l'innovation</v>
      </c>
      <c r="AA1336" s="19" t="str">
        <f>B1336 &amp; "-" &amp; VLOOKUP(B1336,[4]SOUSPROGRAMMES!$E$1:$F$44,2,FALSE)</f>
        <v>43- Qualité de l’enseignement, de la formation et de la recherche scientifique</v>
      </c>
      <c r="AB1336" s="19" t="str">
        <f>C1336 &amp; "-" &amp; VLOOKUP(C1336,[4]RESULTATS!$E$1:$F$176,2,FALSE)</f>
        <v>431- Le fonctionnement de l'ANAQ est renforcée</v>
      </c>
      <c r="AC1336" s="20" t="str">
        <f>D1336 &amp; "-" &amp; VLOOKUP(D1336,[4]STRATEGIES!$E$1:$F$504,2,FALSE)</f>
        <v>4311-Evaluation de la qualité de l’éducation et de la recherche dans les institutions d’enseignement supérieur et de recherche</v>
      </c>
      <c r="AD1336" s="21" t="str">
        <f t="shared" si="207"/>
        <v>43111-Accréditation de programmes par l'ANAQ</v>
      </c>
    </row>
    <row r="1337" spans="1:30" s="22" customFormat="1" ht="45" hidden="1" customHeight="1" x14ac:dyDescent="0.8">
      <c r="A1337" s="14">
        <v>4</v>
      </c>
      <c r="B1337" s="15">
        <v>43</v>
      </c>
      <c r="C1337" s="15">
        <v>431</v>
      </c>
      <c r="D1337" s="15">
        <v>4311</v>
      </c>
      <c r="E1337" s="15">
        <v>43111</v>
      </c>
      <c r="F1337" s="16" t="s">
        <v>1759</v>
      </c>
      <c r="G1337" s="21" t="s">
        <v>1035</v>
      </c>
      <c r="H1337" s="17" t="s">
        <v>1760</v>
      </c>
      <c r="I1337" s="33">
        <v>0</v>
      </c>
      <c r="J1337" s="33">
        <f>10*50%</f>
        <v>5</v>
      </c>
      <c r="K1337" s="33">
        <f>20*50%</f>
        <v>10</v>
      </c>
      <c r="L1337" s="33">
        <f>30*50%</f>
        <v>15</v>
      </c>
      <c r="M1337" s="33">
        <f t="shared" si="209"/>
        <v>30</v>
      </c>
      <c r="N1337" s="33">
        <f>IF(OR(H1337="",H1337="sif",H1337="PM"),0,VLOOKUP(H1337,[5]CU!$C$4:$H$255,6,FALSE))</f>
        <v>57.6</v>
      </c>
      <c r="O1337" s="33">
        <f t="shared" si="210"/>
        <v>0</v>
      </c>
      <c r="P1337" s="33">
        <f t="shared" si="210"/>
        <v>288</v>
      </c>
      <c r="Q1337" s="33">
        <f t="shared" si="210"/>
        <v>576</v>
      </c>
      <c r="R1337" s="33">
        <f t="shared" si="210"/>
        <v>864</v>
      </c>
      <c r="S1337" s="34">
        <f t="shared" si="211"/>
        <v>1728</v>
      </c>
      <c r="T1337" s="35" t="s">
        <v>39</v>
      </c>
      <c r="U1337" s="19" t="s">
        <v>1696</v>
      </c>
      <c r="V1337" s="19" t="str">
        <f>IF(OR($H1337="",$H1337="sif",$H1337="PM"),"",VLOOKUP($H1337,[5]CU!$C$5:$J$255,8,FALSE))</f>
        <v>3. Dépenses de fonctionnement</v>
      </c>
      <c r="W1337" s="19" t="s">
        <v>1546</v>
      </c>
      <c r="X1337" s="19" t="s">
        <v>1650</v>
      </c>
      <c r="Y1337" s="18" t="s">
        <v>679</v>
      </c>
      <c r="Z1337" s="18" t="str">
        <f>A1337 &amp; "-" &amp; VLOOKUP(A1337,[4]PROGRAMMES!$E$1:$F$7,2,FALSE)</f>
        <v>4-Réforme de l’enseignement supérieur et la recherche scientifique et de l'innovation</v>
      </c>
      <c r="AA1337" s="19" t="str">
        <f>B1337 &amp; "-" &amp; VLOOKUP(B1337,[4]SOUSPROGRAMMES!$E$1:$F$44,2,FALSE)</f>
        <v>43- Qualité de l’enseignement, de la formation et de la recherche scientifique</v>
      </c>
      <c r="AB1337" s="19" t="str">
        <f>C1337 &amp; "-" &amp; VLOOKUP(C1337,[4]RESULTATS!$E$1:$F$176,2,FALSE)</f>
        <v>431- Le fonctionnement de l'ANAQ est renforcée</v>
      </c>
      <c r="AC1337" s="20" t="str">
        <f>D1337 &amp; "-" &amp; VLOOKUP(D1337,[4]STRATEGIES!$E$1:$F$504,2,FALSE)</f>
        <v>4311-Evaluation de la qualité de l’éducation et de la recherche dans les institutions d’enseignement supérieur et de recherche</v>
      </c>
      <c r="AD1337" s="21" t="str">
        <f t="shared" si="207"/>
        <v>43111-Accréditation de programmes par l'ANAQ</v>
      </c>
    </row>
    <row r="1338" spans="1:30" s="22" customFormat="1" ht="45" hidden="1" customHeight="1" x14ac:dyDescent="0.8">
      <c r="A1338" s="14">
        <v>4</v>
      </c>
      <c r="B1338" s="15">
        <v>43</v>
      </c>
      <c r="C1338" s="15">
        <v>431</v>
      </c>
      <c r="D1338" s="15">
        <v>4311</v>
      </c>
      <c r="E1338" s="15">
        <v>43112</v>
      </c>
      <c r="F1338" s="16" t="s">
        <v>1761</v>
      </c>
      <c r="G1338" s="21" t="s">
        <v>167</v>
      </c>
      <c r="H1338" s="17" t="s">
        <v>646</v>
      </c>
      <c r="I1338" s="33">
        <v>0</v>
      </c>
      <c r="J1338" s="33">
        <f>(15*15)*70%</f>
        <v>157.5</v>
      </c>
      <c r="K1338" s="33"/>
      <c r="L1338" s="33"/>
      <c r="M1338" s="33">
        <f>SUM(I1338:L1338)</f>
        <v>157.5</v>
      </c>
      <c r="N1338" s="33">
        <f>IF(OR(H1338="",H1338="sif",H1338="PM"),0,VLOOKUP(H1338,[5]CU!$C$4:$H$255,6,FALSE))</f>
        <v>10.404797</v>
      </c>
      <c r="O1338" s="33">
        <f>IFERROR($N1338*I1338,0)</f>
        <v>0</v>
      </c>
      <c r="P1338" s="33">
        <f>IFERROR($N1338*J1338,0)</f>
        <v>1638.7555275</v>
      </c>
      <c r="Q1338" s="33">
        <f>IFERROR($N1338*K1338,0)</f>
        <v>0</v>
      </c>
      <c r="R1338" s="33">
        <f>IFERROR($N1338*L1338,0)</f>
        <v>0</v>
      </c>
      <c r="S1338" s="34">
        <f t="shared" si="211"/>
        <v>1638.7555275</v>
      </c>
      <c r="T1338" s="35" t="s">
        <v>1304</v>
      </c>
      <c r="U1338" s="19" t="s">
        <v>1696</v>
      </c>
      <c r="V1338" s="19" t="str">
        <f>IF(OR($H1338="",$H1338="sif",$H1338="PM"),"",VLOOKUP($H1338,[5]CU!$C$5:$J$255,8,FALSE))</f>
        <v>3. Dépenses de fonctionnement</v>
      </c>
      <c r="W1338" s="19" t="s">
        <v>1546</v>
      </c>
      <c r="X1338" s="19" t="s">
        <v>1650</v>
      </c>
      <c r="Y1338" s="18" t="s">
        <v>679</v>
      </c>
      <c r="Z1338" s="18" t="str">
        <f>A1338 &amp; "-" &amp; VLOOKUP(A1338,[4]PROGRAMMES!$E$1:$F$7,2,FALSE)</f>
        <v>4-Réforme de l’enseignement supérieur et la recherche scientifique et de l'innovation</v>
      </c>
      <c r="AA1338" s="19" t="str">
        <f>B1338 &amp; "-" &amp; VLOOKUP(B1338,[4]SOUSPROGRAMMES!$E$1:$F$44,2,FALSE)</f>
        <v>43- Qualité de l’enseignement, de la formation et de la recherche scientifique</v>
      </c>
      <c r="AB1338" s="19" t="str">
        <f>C1338 &amp; "-" &amp; VLOOKUP(C1338,[4]RESULTATS!$E$1:$F$176,2,FALSE)</f>
        <v>431- Le fonctionnement de l'ANAQ est renforcée</v>
      </c>
      <c r="AC1338" s="20" t="str">
        <f>D1338 &amp; "-" &amp; VLOOKUP(D1338,[4]STRATEGIES!$E$1:$F$504,2,FALSE)</f>
        <v>4311-Evaluation de la qualité de l’éducation et de la recherche dans les institutions d’enseignement supérieur et de recherche</v>
      </c>
      <c r="AD1338" s="21" t="str">
        <f t="shared" si="207"/>
        <v>43112-Recrutement par l'ANAQ de consultants pour l'évaluation des institutions</v>
      </c>
    </row>
    <row r="1339" spans="1:30" s="22" customFormat="1" ht="45" hidden="1" customHeight="1" x14ac:dyDescent="0.8">
      <c r="A1339" s="14">
        <v>4</v>
      </c>
      <c r="B1339" s="15">
        <v>43</v>
      </c>
      <c r="C1339" s="15">
        <v>431</v>
      </c>
      <c r="D1339" s="15">
        <v>4311</v>
      </c>
      <c r="E1339" s="15">
        <v>43112</v>
      </c>
      <c r="F1339" s="16" t="s">
        <v>1761</v>
      </c>
      <c r="G1339" s="21" t="s">
        <v>167</v>
      </c>
      <c r="H1339" s="17" t="s">
        <v>646</v>
      </c>
      <c r="I1339" s="33">
        <v>0</v>
      </c>
      <c r="J1339" s="33">
        <f>(15*15)*30%</f>
        <v>67.5</v>
      </c>
      <c r="K1339" s="33"/>
      <c r="L1339" s="33"/>
      <c r="M1339" s="33">
        <f t="shared" si="209"/>
        <v>67.5</v>
      </c>
      <c r="N1339" s="33">
        <f>IF(OR(H1339="",H1339="sif",H1339="PM"),0,VLOOKUP(H1339,[5]CU!$C$4:$H$255,6,FALSE))</f>
        <v>10.404797</v>
      </c>
      <c r="O1339" s="33">
        <f t="shared" si="210"/>
        <v>0</v>
      </c>
      <c r="P1339" s="33">
        <f t="shared" si="210"/>
        <v>702.32379750000007</v>
      </c>
      <c r="Q1339" s="33">
        <f t="shared" si="210"/>
        <v>0</v>
      </c>
      <c r="R1339" s="33">
        <f t="shared" si="210"/>
        <v>0</v>
      </c>
      <c r="S1339" s="34">
        <f t="shared" si="211"/>
        <v>702.32379750000007</v>
      </c>
      <c r="T1339" s="35" t="s">
        <v>118</v>
      </c>
      <c r="U1339" s="19" t="s">
        <v>1696</v>
      </c>
      <c r="V1339" s="19" t="str">
        <f>IF(OR($H1339="",$H1339="sif",$H1339="PM"),"",VLOOKUP($H1339,[5]CU!$C$5:$J$255,8,FALSE))</f>
        <v>3. Dépenses de fonctionnement</v>
      </c>
      <c r="W1339" s="19" t="s">
        <v>1546</v>
      </c>
      <c r="X1339" s="19" t="s">
        <v>1650</v>
      </c>
      <c r="Y1339" s="18" t="s">
        <v>679</v>
      </c>
      <c r="Z1339" s="18" t="str">
        <f>A1339 &amp; "-" &amp; VLOOKUP(A1339,[4]PROGRAMMES!$E$1:$F$7,2,FALSE)</f>
        <v>4-Réforme de l’enseignement supérieur et la recherche scientifique et de l'innovation</v>
      </c>
      <c r="AA1339" s="19" t="str">
        <f>B1339 &amp; "-" &amp; VLOOKUP(B1339,[4]SOUSPROGRAMMES!$E$1:$F$44,2,FALSE)</f>
        <v>43- Qualité de l’enseignement, de la formation et de la recherche scientifique</v>
      </c>
      <c r="AB1339" s="19" t="str">
        <f>C1339 &amp; "-" &amp; VLOOKUP(C1339,[4]RESULTATS!$E$1:$F$176,2,FALSE)</f>
        <v>431- Le fonctionnement de l'ANAQ est renforcée</v>
      </c>
      <c r="AC1339" s="20" t="str">
        <f>D1339 &amp; "-" &amp; VLOOKUP(D1339,[4]STRATEGIES!$E$1:$F$504,2,FALSE)</f>
        <v>4311-Evaluation de la qualité de l’éducation et de la recherche dans les institutions d’enseignement supérieur et de recherche</v>
      </c>
      <c r="AD1339" s="21" t="str">
        <f t="shared" si="207"/>
        <v>43112-Recrutement par l'ANAQ de consultants pour l'évaluation des institutions</v>
      </c>
    </row>
    <row r="1340" spans="1:30" s="22" customFormat="1" ht="45" hidden="1" customHeight="1" x14ac:dyDescent="0.8">
      <c r="A1340" s="14">
        <v>4</v>
      </c>
      <c r="B1340" s="15">
        <v>43</v>
      </c>
      <c r="C1340" s="15">
        <v>431</v>
      </c>
      <c r="D1340" s="15">
        <v>4311</v>
      </c>
      <c r="E1340" s="15">
        <v>43113</v>
      </c>
      <c r="F1340" s="16" t="s">
        <v>1762</v>
      </c>
      <c r="G1340" s="21" t="s">
        <v>1128</v>
      </c>
      <c r="H1340" s="17" t="s">
        <v>59</v>
      </c>
      <c r="I1340" s="33">
        <v>0</v>
      </c>
      <c r="J1340" s="33">
        <f>(2*5*2)*60%</f>
        <v>12</v>
      </c>
      <c r="K1340" s="33">
        <f>(3*3*5)*60%</f>
        <v>27</v>
      </c>
      <c r="L1340" s="33"/>
      <c r="M1340" s="33">
        <f>SUM(I1340:L1340)</f>
        <v>39</v>
      </c>
      <c r="N1340" s="33">
        <f>IF(OR(H1340="",H1340="sif",H1340="PM"),0,VLOOKUP(H1340,[5]CU!$C$4:$H$255,6,FALSE))</f>
        <v>0.8177777777777776</v>
      </c>
      <c r="O1340" s="33">
        <f>IFERROR($N1340*I1340,0)</f>
        <v>0</v>
      </c>
      <c r="P1340" s="33">
        <f>IFERROR($N1340*J1340,0)</f>
        <v>9.8133333333333308</v>
      </c>
      <c r="Q1340" s="33">
        <f>IFERROR($N1340*K1340,0)</f>
        <v>22.079999999999995</v>
      </c>
      <c r="R1340" s="33">
        <f>IFERROR($N1340*L1340,0)</f>
        <v>0</v>
      </c>
      <c r="S1340" s="34">
        <f t="shared" si="211"/>
        <v>31.893333333333324</v>
      </c>
      <c r="T1340" s="35" t="s">
        <v>56</v>
      </c>
      <c r="U1340" s="19" t="s">
        <v>1696</v>
      </c>
      <c r="V1340" s="19" t="str">
        <f>IF(OR($H1340="",$H1340="sif",$H1340="PM"),"",VLOOKUP($H1340,[5]CU!$C$5:$J$255,8,FALSE))</f>
        <v>3. Dépenses de fonctionnement</v>
      </c>
      <c r="W1340" s="19" t="s">
        <v>255</v>
      </c>
      <c r="X1340" s="19" t="s">
        <v>1546</v>
      </c>
      <c r="Y1340" s="18" t="s">
        <v>679</v>
      </c>
      <c r="Z1340" s="18" t="str">
        <f>A1340 &amp; "-" &amp; VLOOKUP(A1340,[4]PROGRAMMES!$E$1:$F$7,2,FALSE)</f>
        <v>4-Réforme de l’enseignement supérieur et la recherche scientifique et de l'innovation</v>
      </c>
      <c r="AA1340" s="19" t="str">
        <f>B1340 &amp; "-" &amp; VLOOKUP(B1340,[4]SOUSPROGRAMMES!$E$1:$F$44,2,FALSE)</f>
        <v>43- Qualité de l’enseignement, de la formation et de la recherche scientifique</v>
      </c>
      <c r="AB1340" s="19" t="str">
        <f>C1340 &amp; "-" &amp; VLOOKUP(C1340,[4]RESULTATS!$E$1:$F$176,2,FALSE)</f>
        <v>431- Le fonctionnement de l'ANAQ est renforcée</v>
      </c>
      <c r="AC1340" s="20" t="str">
        <f>D1340 &amp; "-" &amp; VLOOKUP(D1340,[4]STRATEGIES!$E$1:$F$504,2,FALSE)</f>
        <v>4311-Evaluation de la qualité de l’éducation et de la recherche dans les institutions d’enseignement supérieur et de recherche</v>
      </c>
      <c r="AD1340" s="21" t="str">
        <f t="shared" si="207"/>
        <v>43113-Réalisation de missions de sensibilisation sur l'assurance qualité</v>
      </c>
    </row>
    <row r="1341" spans="1:30" s="22" customFormat="1" ht="45" hidden="1" customHeight="1" x14ac:dyDescent="0.8">
      <c r="A1341" s="14">
        <v>4</v>
      </c>
      <c r="B1341" s="15">
        <v>43</v>
      </c>
      <c r="C1341" s="15">
        <v>431</v>
      </c>
      <c r="D1341" s="15">
        <v>4311</v>
      </c>
      <c r="E1341" s="15">
        <v>43113</v>
      </c>
      <c r="F1341" s="16" t="s">
        <v>1762</v>
      </c>
      <c r="G1341" s="21" t="s">
        <v>1128</v>
      </c>
      <c r="H1341" s="17" t="s">
        <v>59</v>
      </c>
      <c r="I1341" s="33">
        <v>0</v>
      </c>
      <c r="J1341" s="33">
        <f>(2*5*2)*40%</f>
        <v>8</v>
      </c>
      <c r="K1341" s="33">
        <f>(3*3*5)*40%</f>
        <v>18</v>
      </c>
      <c r="L1341" s="33"/>
      <c r="M1341" s="33">
        <f t="shared" si="209"/>
        <v>26</v>
      </c>
      <c r="N1341" s="33">
        <f>IF(OR(H1341="",H1341="sif",H1341="PM"),0,VLOOKUP(H1341,[5]CU!$C$4:$H$255,6,FALSE))</f>
        <v>0.8177777777777776</v>
      </c>
      <c r="O1341" s="33">
        <f t="shared" si="210"/>
        <v>0</v>
      </c>
      <c r="P1341" s="33">
        <f t="shared" si="210"/>
        <v>6.5422222222222208</v>
      </c>
      <c r="Q1341" s="33">
        <f t="shared" si="210"/>
        <v>14.719999999999997</v>
      </c>
      <c r="R1341" s="33">
        <f t="shared" si="210"/>
        <v>0</v>
      </c>
      <c r="S1341" s="34">
        <f t="shared" si="211"/>
        <v>21.262222222222217</v>
      </c>
      <c r="T1341" s="35" t="s">
        <v>39</v>
      </c>
      <c r="U1341" s="19" t="s">
        <v>1696</v>
      </c>
      <c r="V1341" s="19" t="str">
        <f>IF(OR($H1341="",$H1341="sif",$H1341="PM"),"",VLOOKUP($H1341,[5]CU!$C$5:$J$255,8,FALSE))</f>
        <v>3. Dépenses de fonctionnement</v>
      </c>
      <c r="W1341" s="19" t="s">
        <v>255</v>
      </c>
      <c r="X1341" s="19" t="s">
        <v>1546</v>
      </c>
      <c r="Y1341" s="18" t="s">
        <v>679</v>
      </c>
      <c r="Z1341" s="18" t="str">
        <f>A1341 &amp; "-" &amp; VLOOKUP(A1341,[4]PROGRAMMES!$E$1:$F$7,2,FALSE)</f>
        <v>4-Réforme de l’enseignement supérieur et la recherche scientifique et de l'innovation</v>
      </c>
      <c r="AA1341" s="19" t="str">
        <f>B1341 &amp; "-" &amp; VLOOKUP(B1341,[4]SOUSPROGRAMMES!$E$1:$F$44,2,FALSE)</f>
        <v>43- Qualité de l’enseignement, de la formation et de la recherche scientifique</v>
      </c>
      <c r="AB1341" s="19" t="str">
        <f>C1341 &amp; "-" &amp; VLOOKUP(C1341,[4]RESULTATS!$E$1:$F$176,2,FALSE)</f>
        <v>431- Le fonctionnement de l'ANAQ est renforcée</v>
      </c>
      <c r="AC1341" s="20" t="str">
        <f>D1341 &amp; "-" &amp; VLOOKUP(D1341,[4]STRATEGIES!$E$1:$F$504,2,FALSE)</f>
        <v>4311-Evaluation de la qualité de l’éducation et de la recherche dans les institutions d’enseignement supérieur et de recherche</v>
      </c>
      <c r="AD1341" s="21" t="str">
        <f t="shared" si="207"/>
        <v>43113-Réalisation de missions de sensibilisation sur l'assurance qualité</v>
      </c>
    </row>
    <row r="1342" spans="1:30" s="22" customFormat="1" ht="45" hidden="1" customHeight="1" x14ac:dyDescent="0.8">
      <c r="A1342" s="14">
        <v>4</v>
      </c>
      <c r="B1342" s="15">
        <v>43</v>
      </c>
      <c r="C1342" s="15">
        <v>431</v>
      </c>
      <c r="D1342" s="15">
        <v>4311</v>
      </c>
      <c r="E1342" s="15">
        <v>43114</v>
      </c>
      <c r="F1342" s="16" t="s">
        <v>1763</v>
      </c>
      <c r="G1342" s="21" t="s">
        <v>51</v>
      </c>
      <c r="H1342" s="17" t="s">
        <v>301</v>
      </c>
      <c r="I1342" s="33">
        <v>0</v>
      </c>
      <c r="J1342" s="33">
        <f>42*1*2</f>
        <v>84</v>
      </c>
      <c r="K1342" s="33"/>
      <c r="L1342" s="33"/>
      <c r="M1342" s="33">
        <f t="shared" si="209"/>
        <v>84</v>
      </c>
      <c r="N1342" s="33">
        <f>IF(OR(H1342="",H1342="sif",H1342="PM"),0,VLOOKUP(H1342,[5]CU!$C$4:$H$255,6,FALSE))</f>
        <v>0.67666666666666664</v>
      </c>
      <c r="O1342" s="33">
        <f t="shared" si="210"/>
        <v>0</v>
      </c>
      <c r="P1342" s="33">
        <f t="shared" si="210"/>
        <v>56.839999999999996</v>
      </c>
      <c r="Q1342" s="33">
        <f t="shared" si="210"/>
        <v>0</v>
      </c>
      <c r="R1342" s="33">
        <f t="shared" si="210"/>
        <v>0</v>
      </c>
      <c r="S1342" s="34">
        <f t="shared" si="211"/>
        <v>56.839999999999996</v>
      </c>
      <c r="T1342" s="35" t="s">
        <v>56</v>
      </c>
      <c r="U1342" s="19" t="s">
        <v>1696</v>
      </c>
      <c r="V1342" s="19" t="str">
        <f>IF(OR($H1342="",$H1342="sif",$H1342="PM"),"",VLOOKUP($H1342,[5]CU!$C$5:$J$255,8,FALSE))</f>
        <v>3. Formation</v>
      </c>
      <c r="W1342" s="19" t="s">
        <v>255</v>
      </c>
      <c r="X1342" s="19" t="s">
        <v>1546</v>
      </c>
      <c r="Y1342" s="18" t="s">
        <v>679</v>
      </c>
      <c r="Z1342" s="18" t="str">
        <f>A1342 &amp; "-" &amp; VLOOKUP(A1342,[4]PROGRAMMES!$E$1:$F$7,2,FALSE)</f>
        <v>4-Réforme de l’enseignement supérieur et la recherche scientifique et de l'innovation</v>
      </c>
      <c r="AA1342" s="19" t="str">
        <f>B1342 &amp; "-" &amp; VLOOKUP(B1342,[4]SOUSPROGRAMMES!$E$1:$F$44,2,FALSE)</f>
        <v>43- Qualité de l’enseignement, de la formation et de la recherche scientifique</v>
      </c>
      <c r="AB1342" s="19" t="str">
        <f>C1342 &amp; "-" &amp; VLOOKUP(C1342,[4]RESULTATS!$E$1:$F$176,2,FALSE)</f>
        <v>431- Le fonctionnement de l'ANAQ est renforcée</v>
      </c>
      <c r="AC1342" s="20" t="str">
        <f>D1342 &amp; "-" &amp; VLOOKUP(D1342,[4]STRATEGIES!$E$1:$F$504,2,FALSE)</f>
        <v>4311-Evaluation de la qualité de l’éducation et de la recherche dans les institutions d’enseignement supérieur et de recherche</v>
      </c>
      <c r="AD1342" s="21" t="str">
        <f t="shared" si="207"/>
        <v>43114-Formation des cadres des institutions en assurance qualité</v>
      </c>
    </row>
    <row r="1343" spans="1:30" s="22" customFormat="1" ht="45" hidden="1" customHeight="1" x14ac:dyDescent="0.8">
      <c r="A1343" s="14">
        <v>4</v>
      </c>
      <c r="B1343" s="15">
        <v>43</v>
      </c>
      <c r="C1343" s="15">
        <v>431</v>
      </c>
      <c r="D1343" s="15">
        <v>4312</v>
      </c>
      <c r="E1343" s="15">
        <v>4312</v>
      </c>
      <c r="F1343" s="16" t="s">
        <v>1764</v>
      </c>
      <c r="G1343" s="17"/>
      <c r="H1343" s="17"/>
      <c r="I1343" s="33">
        <v>0</v>
      </c>
      <c r="J1343" s="33"/>
      <c r="K1343" s="33"/>
      <c r="L1343" s="33"/>
      <c r="M1343" s="33"/>
      <c r="N1343" s="33"/>
      <c r="O1343" s="33"/>
      <c r="P1343" s="33"/>
      <c r="Q1343" s="33"/>
      <c r="R1343" s="33"/>
      <c r="S1343" s="34"/>
      <c r="T1343" s="33"/>
      <c r="U1343" s="18"/>
      <c r="V1343" s="18"/>
      <c r="W1343" s="18"/>
      <c r="X1343" s="18"/>
      <c r="Y1343" s="18" t="s">
        <v>679</v>
      </c>
      <c r="Z1343" s="18" t="str">
        <f>A1343 &amp; "-" &amp; VLOOKUP(A1343,[4]PROGRAMMES!$E$1:$F$7,2,FALSE)</f>
        <v>4-Réforme de l’enseignement supérieur et la recherche scientifique et de l'innovation</v>
      </c>
      <c r="AA1343" s="19" t="str">
        <f>B1343 &amp; "-" &amp; VLOOKUP(B1343,[4]SOUSPROGRAMMES!$E$1:$F$44,2,FALSE)</f>
        <v>43- Qualité de l’enseignement, de la formation et de la recherche scientifique</v>
      </c>
      <c r="AB1343" s="19" t="str">
        <f>C1343 &amp; "-" &amp; VLOOKUP(C1343,[4]RESULTATS!$E$1:$F$176,2,FALSE)</f>
        <v>431- Le fonctionnement de l'ANAQ est renforcée</v>
      </c>
      <c r="AC1343" s="20" t="str">
        <f>D1343 &amp; "-" &amp; VLOOKUP(D1343,[4]STRATEGIES!$E$1:$F$504,2,FALSE)</f>
        <v>4312-Accréditation des programmes de formation et des institutions</v>
      </c>
      <c r="AD1343" s="21" t="str">
        <f t="shared" si="207"/>
        <v>4312-Accréditation des programmes de formation et des institutions</v>
      </c>
    </row>
    <row r="1344" spans="1:30" s="22" customFormat="1" ht="45" hidden="1" customHeight="1" x14ac:dyDescent="0.8">
      <c r="A1344" s="14">
        <v>4</v>
      </c>
      <c r="B1344" s="15">
        <v>43</v>
      </c>
      <c r="C1344" s="15">
        <v>431</v>
      </c>
      <c r="D1344" s="15">
        <v>4312</v>
      </c>
      <c r="E1344" s="15">
        <v>43121</v>
      </c>
      <c r="F1344" s="16" t="s">
        <v>1765</v>
      </c>
      <c r="G1344" s="21" t="s">
        <v>167</v>
      </c>
      <c r="H1344" s="17" t="s">
        <v>646</v>
      </c>
      <c r="I1344" s="33">
        <v>0</v>
      </c>
      <c r="J1344" s="33">
        <v>150</v>
      </c>
      <c r="K1344" s="33"/>
      <c r="L1344" s="33">
        <f>10*20</f>
        <v>200</v>
      </c>
      <c r="M1344" s="33">
        <f t="shared" si="209"/>
        <v>350</v>
      </c>
      <c r="N1344" s="33">
        <f>IF(OR(H1344="",H1344="sif",H1344="PM"),0,VLOOKUP(H1344,[5]CU!$C$4:$H$255,6,FALSE))</f>
        <v>10.404797</v>
      </c>
      <c r="O1344" s="33">
        <f t="shared" si="210"/>
        <v>0</v>
      </c>
      <c r="P1344" s="33">
        <f t="shared" si="210"/>
        <v>1560.71955</v>
      </c>
      <c r="Q1344" s="33">
        <f t="shared" si="210"/>
        <v>0</v>
      </c>
      <c r="R1344" s="33">
        <f t="shared" si="210"/>
        <v>2080.9594000000002</v>
      </c>
      <c r="S1344" s="34">
        <f>SUM(O1344:R1344)</f>
        <v>3641.6789500000004</v>
      </c>
      <c r="T1344" s="35" t="s">
        <v>1304</v>
      </c>
      <c r="U1344" s="18" t="s">
        <v>1696</v>
      </c>
      <c r="V1344" s="18" t="str">
        <f>IF(OR($H1344="",$H1344="sif",$H1344="PM"),"",VLOOKUP($H1344,[5]CU!$C$5:$J$255,8,FALSE))</f>
        <v>3. Dépenses de fonctionnement</v>
      </c>
      <c r="W1344" s="18" t="s">
        <v>1546</v>
      </c>
      <c r="X1344" s="18" t="s">
        <v>521</v>
      </c>
      <c r="Y1344" s="18" t="s">
        <v>679</v>
      </c>
      <c r="Z1344" s="18" t="str">
        <f>A1344 &amp; "-" &amp; VLOOKUP(A1344,[4]PROGRAMMES!$E$1:$F$7,2,FALSE)</f>
        <v>4-Réforme de l’enseignement supérieur et la recherche scientifique et de l'innovation</v>
      </c>
      <c r="AA1344" s="19" t="str">
        <f>B1344 &amp; "-" &amp; VLOOKUP(B1344,[4]SOUSPROGRAMMES!$E$1:$F$44,2,FALSE)</f>
        <v>43- Qualité de l’enseignement, de la formation et de la recherche scientifique</v>
      </c>
      <c r="AB1344" s="19" t="str">
        <f>C1344 &amp; "-" &amp; VLOOKUP(C1344,[4]RESULTATS!$E$1:$F$176,2,FALSE)</f>
        <v>431- Le fonctionnement de l'ANAQ est renforcée</v>
      </c>
      <c r="AC1344" s="20" t="str">
        <f>D1344 &amp; "-" &amp; VLOOKUP(D1344,[4]STRATEGIES!$E$1:$F$504,2,FALSE)</f>
        <v>4312-Accréditation des programmes de formation et des institutions</v>
      </c>
      <c r="AD1344" s="21" t="str">
        <f t="shared" si="207"/>
        <v>43121-Recrutement par l'ANAQ de consultants pour l'accréditation des programmes</v>
      </c>
    </row>
    <row r="1345" spans="1:30" s="22" customFormat="1" ht="45" hidden="1" customHeight="1" x14ac:dyDescent="0.8">
      <c r="A1345" s="14">
        <v>4</v>
      </c>
      <c r="B1345" s="15">
        <v>43</v>
      </c>
      <c r="C1345" s="15">
        <v>432</v>
      </c>
      <c r="D1345" s="15">
        <v>432</v>
      </c>
      <c r="E1345" s="15">
        <v>432</v>
      </c>
      <c r="F1345" s="16" t="s">
        <v>1766</v>
      </c>
      <c r="G1345" s="17"/>
      <c r="H1345" s="17"/>
      <c r="I1345" s="33">
        <v>0</v>
      </c>
      <c r="J1345" s="33"/>
      <c r="K1345" s="33"/>
      <c r="L1345" s="33"/>
      <c r="M1345" s="33"/>
      <c r="N1345" s="33"/>
      <c r="O1345" s="33"/>
      <c r="P1345" s="33"/>
      <c r="Q1345" s="33"/>
      <c r="R1345" s="33"/>
      <c r="S1345" s="34"/>
      <c r="T1345" s="33"/>
      <c r="U1345" s="18"/>
      <c r="V1345" s="18"/>
      <c r="W1345" s="18"/>
      <c r="X1345" s="18"/>
      <c r="Y1345" s="18" t="s">
        <v>679</v>
      </c>
      <c r="Z1345" s="18" t="str">
        <f>A1345 &amp; "-" &amp; VLOOKUP(A1345,[4]PROGRAMMES!$E$1:$F$7,2,FALSE)</f>
        <v>4-Réforme de l’enseignement supérieur et la recherche scientifique et de l'innovation</v>
      </c>
      <c r="AA1345" s="19" t="str">
        <f>B1345 &amp; "-" &amp; VLOOKUP(B1345,[4]SOUSPROGRAMMES!$E$1:$F$44,2,FALSE)</f>
        <v>43- Qualité de l’enseignement, de la formation et de la recherche scientifique</v>
      </c>
      <c r="AB1345" s="19" t="str">
        <f>C1345 &amp; "-" &amp; VLOOKUP(C1345,[4]RESULTATS!$E$1:$F$176,2,FALSE)</f>
        <v>432- Les stages pour les étudiants sont renforcés et rendus obligatoires</v>
      </c>
      <c r="AC1345" s="20" t="str">
        <f>D1345 &amp; "-" &amp; VLOOKUP(D1345,[4]STRATEGIES!$E$1:$F$504,2,FALSE)</f>
        <v>432- Les stages pour les étudiants sont renforcés et rendus obligatoires</v>
      </c>
      <c r="AD1345" s="21" t="str">
        <f t="shared" si="207"/>
        <v>432- Les stages pour les étudiants sont renforcés et rendus obligatoires</v>
      </c>
    </row>
    <row r="1346" spans="1:30" s="22" customFormat="1" ht="45" hidden="1" customHeight="1" x14ac:dyDescent="0.8">
      <c r="A1346" s="14">
        <v>4</v>
      </c>
      <c r="B1346" s="15">
        <v>43</v>
      </c>
      <c r="C1346" s="15">
        <v>432</v>
      </c>
      <c r="D1346" s="15">
        <v>4321</v>
      </c>
      <c r="E1346" s="15">
        <v>4321</v>
      </c>
      <c r="F1346" s="16" t="s">
        <v>1767</v>
      </c>
      <c r="G1346" s="17"/>
      <c r="H1346" s="17"/>
      <c r="I1346" s="33">
        <v>0</v>
      </c>
      <c r="J1346" s="33"/>
      <c r="K1346" s="33"/>
      <c r="L1346" s="33"/>
      <c r="M1346" s="33"/>
      <c r="N1346" s="33"/>
      <c r="O1346" s="33"/>
      <c r="P1346" s="33"/>
      <c r="Q1346" s="33"/>
      <c r="R1346" s="33"/>
      <c r="S1346" s="34"/>
      <c r="T1346" s="33"/>
      <c r="U1346" s="18"/>
      <c r="V1346" s="18"/>
      <c r="W1346" s="18"/>
      <c r="X1346" s="18"/>
      <c r="Y1346" s="18" t="s">
        <v>679</v>
      </c>
      <c r="Z1346" s="18" t="str">
        <f>A1346 &amp; "-" &amp; VLOOKUP(A1346,[4]PROGRAMMES!$E$1:$F$7,2,FALSE)</f>
        <v>4-Réforme de l’enseignement supérieur et la recherche scientifique et de l'innovation</v>
      </c>
      <c r="AA1346" s="19" t="str">
        <f>B1346 &amp; "-" &amp; VLOOKUP(B1346,[4]SOUSPROGRAMMES!$E$1:$F$44,2,FALSE)</f>
        <v>43- Qualité de l’enseignement, de la formation et de la recherche scientifique</v>
      </c>
      <c r="AB1346" s="19" t="str">
        <f>C1346 &amp; "-" &amp; VLOOKUP(C1346,[4]RESULTATS!$E$1:$F$176,2,FALSE)</f>
        <v>432- Les stages pour les étudiants sont renforcés et rendus obligatoires</v>
      </c>
      <c r="AC1346" s="20" t="str">
        <f>D1346 &amp; "-" &amp; VLOOKUP(D1346,[4]STRATEGIES!$E$1:$F$504,2,FALSE)</f>
        <v>4321-Elaboration de plans de stages</v>
      </c>
      <c r="AD1346" s="21" t="str">
        <f t="shared" si="207"/>
        <v>4321-Elaboration de plans de stages</v>
      </c>
    </row>
    <row r="1347" spans="1:30" s="22" customFormat="1" ht="45" hidden="1" customHeight="1" x14ac:dyDescent="0.8">
      <c r="A1347" s="14">
        <v>4</v>
      </c>
      <c r="B1347" s="15">
        <v>43</v>
      </c>
      <c r="C1347" s="15">
        <v>432</v>
      </c>
      <c r="D1347" s="15">
        <v>4321</v>
      </c>
      <c r="E1347" s="15">
        <v>43211</v>
      </c>
      <c r="F1347" s="16" t="s">
        <v>1768</v>
      </c>
      <c r="G1347" s="21" t="s">
        <v>88</v>
      </c>
      <c r="H1347" s="17" t="s">
        <v>55</v>
      </c>
      <c r="I1347" s="33">
        <v>0</v>
      </c>
      <c r="J1347" s="33">
        <v>1</v>
      </c>
      <c r="K1347" s="33"/>
      <c r="L1347" s="33"/>
      <c r="M1347" s="33">
        <f t="shared" si="209"/>
        <v>1</v>
      </c>
      <c r="N1347" s="33">
        <f>IF(OR(H1347="",H1347="sif",H1347="PM"),0,VLOOKUP(H1347,[5]CU!$C$4:$H$255,6,FALSE))</f>
        <v>0</v>
      </c>
      <c r="O1347" s="33">
        <f t="shared" si="210"/>
        <v>0</v>
      </c>
      <c r="P1347" s="33">
        <f t="shared" si="210"/>
        <v>0</v>
      </c>
      <c r="Q1347" s="33">
        <f t="shared" si="210"/>
        <v>0</v>
      </c>
      <c r="R1347" s="33">
        <f t="shared" si="210"/>
        <v>0</v>
      </c>
      <c r="S1347" s="34"/>
      <c r="T1347" s="35" t="s">
        <v>56</v>
      </c>
      <c r="U1347" s="18" t="s">
        <v>1696</v>
      </c>
      <c r="V1347" s="18" t="str">
        <f>IF(OR($H1347="",$H1347="sif",$H1347="PM"),"",VLOOKUP($H1347,[5]CU!$C$5:$J$255,8,FALSE))</f>
        <v/>
      </c>
      <c r="W1347" s="18" t="s">
        <v>1546</v>
      </c>
      <c r="X1347" s="18" t="s">
        <v>1650</v>
      </c>
      <c r="Y1347" s="18" t="s">
        <v>679</v>
      </c>
      <c r="Z1347" s="18" t="str">
        <f>A1347 &amp; "-" &amp; VLOOKUP(A1347,[4]PROGRAMMES!$E$1:$F$7,2,FALSE)</f>
        <v>4-Réforme de l’enseignement supérieur et la recherche scientifique et de l'innovation</v>
      </c>
      <c r="AA1347" s="19" t="str">
        <f>B1347 &amp; "-" &amp; VLOOKUP(B1347,[4]SOUSPROGRAMMES!$E$1:$F$44,2,FALSE)</f>
        <v>43- Qualité de l’enseignement, de la formation et de la recherche scientifique</v>
      </c>
      <c r="AB1347" s="19" t="str">
        <f>C1347 &amp; "-" &amp; VLOOKUP(C1347,[4]RESULTATS!$E$1:$F$176,2,FALSE)</f>
        <v>432- Les stages pour les étudiants sont renforcés et rendus obligatoires</v>
      </c>
      <c r="AC1347" s="20" t="str">
        <f>D1347 &amp; "-" &amp; VLOOKUP(D1347,[4]STRATEGIES!$E$1:$F$504,2,FALSE)</f>
        <v>4321-Elaboration de plans de stages</v>
      </c>
      <c r="AD1347" s="21" t="str">
        <f t="shared" si="207"/>
        <v>43211-Identification des filières nécessitant des stages</v>
      </c>
    </row>
    <row r="1348" spans="1:30" s="22" customFormat="1" ht="45" hidden="1" customHeight="1" x14ac:dyDescent="0.8">
      <c r="A1348" s="14">
        <v>4</v>
      </c>
      <c r="B1348" s="15">
        <v>43</v>
      </c>
      <c r="C1348" s="15">
        <v>432</v>
      </c>
      <c r="D1348" s="15">
        <v>4322</v>
      </c>
      <c r="E1348" s="15">
        <v>4322</v>
      </c>
      <c r="F1348" s="16" t="s">
        <v>1769</v>
      </c>
      <c r="G1348" s="17"/>
      <c r="H1348" s="17"/>
      <c r="I1348" s="33">
        <v>0</v>
      </c>
      <c r="J1348" s="33"/>
      <c r="K1348" s="33"/>
      <c r="L1348" s="33"/>
      <c r="M1348" s="33"/>
      <c r="N1348" s="33"/>
      <c r="O1348" s="33"/>
      <c r="P1348" s="33"/>
      <c r="Q1348" s="33"/>
      <c r="R1348" s="33"/>
      <c r="S1348" s="34"/>
      <c r="T1348" s="33"/>
      <c r="U1348" s="18"/>
      <c r="V1348" s="18"/>
      <c r="W1348" s="18"/>
      <c r="X1348" s="18"/>
      <c r="Y1348" s="18" t="s">
        <v>679</v>
      </c>
      <c r="Z1348" s="18" t="str">
        <f>A1348 &amp; "-" &amp; VLOOKUP(A1348,[4]PROGRAMMES!$E$1:$F$7,2,FALSE)</f>
        <v>4-Réforme de l’enseignement supérieur et la recherche scientifique et de l'innovation</v>
      </c>
      <c r="AA1348" s="19" t="str">
        <f>B1348 &amp; "-" &amp; VLOOKUP(B1348,[4]SOUSPROGRAMMES!$E$1:$F$44,2,FALSE)</f>
        <v>43- Qualité de l’enseignement, de la formation et de la recherche scientifique</v>
      </c>
      <c r="AB1348" s="19" t="str">
        <f>C1348 &amp; "-" &amp; VLOOKUP(C1348,[4]RESULTATS!$E$1:$F$176,2,FALSE)</f>
        <v>432- Les stages pour les étudiants sont renforcés et rendus obligatoires</v>
      </c>
      <c r="AC1348" s="20" t="str">
        <f>D1348 &amp; "-" &amp; VLOOKUP(D1348,[4]STRATEGIES!$E$1:$F$504,2,FALSE)</f>
        <v>4322-Création des partenariats avec le secteur privé</v>
      </c>
      <c r="AD1348" s="21" t="str">
        <f t="shared" ref="AD1348:AD1411" si="212">E1348 &amp; "-" &amp; F1348</f>
        <v>4322-Création des partenariats avec le secteur privé</v>
      </c>
    </row>
    <row r="1349" spans="1:30" s="22" customFormat="1" ht="45" hidden="1" customHeight="1" x14ac:dyDescent="0.8">
      <c r="A1349" s="14">
        <v>4</v>
      </c>
      <c r="B1349" s="15">
        <v>43</v>
      </c>
      <c r="C1349" s="15">
        <v>432</v>
      </c>
      <c r="D1349" s="15">
        <v>4322</v>
      </c>
      <c r="E1349" s="15">
        <v>43221</v>
      </c>
      <c r="F1349" s="16" t="s">
        <v>1770</v>
      </c>
      <c r="G1349" s="21" t="s">
        <v>88</v>
      </c>
      <c r="H1349" s="17" t="s">
        <v>55</v>
      </c>
      <c r="I1349" s="33">
        <v>0</v>
      </c>
      <c r="J1349" s="33">
        <v>1</v>
      </c>
      <c r="K1349" s="33"/>
      <c r="L1349" s="33"/>
      <c r="M1349" s="33">
        <f t="shared" si="209"/>
        <v>1</v>
      </c>
      <c r="N1349" s="33">
        <f>IF(OR(H1349="",H1349="sif",H1349="PM"),0,VLOOKUP(H1349,[5]CU!$C$4:$H$255,6,FALSE))</f>
        <v>0</v>
      </c>
      <c r="O1349" s="33">
        <f t="shared" si="210"/>
        <v>0</v>
      </c>
      <c r="P1349" s="33">
        <f t="shared" si="210"/>
        <v>0</v>
      </c>
      <c r="Q1349" s="33">
        <f t="shared" si="210"/>
        <v>0</v>
      </c>
      <c r="R1349" s="33">
        <f t="shared" si="210"/>
        <v>0</v>
      </c>
      <c r="S1349" s="34"/>
      <c r="T1349" s="35" t="s">
        <v>56</v>
      </c>
      <c r="U1349" s="18" t="s">
        <v>1696</v>
      </c>
      <c r="V1349" s="18" t="str">
        <f>IF(OR($H1349="",$H1349="sif",$H1349="PM"),"",VLOOKUP($H1349,[5]CU!$C$5:$J$255,8,FALSE))</f>
        <v/>
      </c>
      <c r="W1349" s="18" t="s">
        <v>1665</v>
      </c>
      <c r="X1349" s="18" t="s">
        <v>1607</v>
      </c>
      <c r="Y1349" s="18" t="s">
        <v>679</v>
      </c>
      <c r="Z1349" s="18" t="str">
        <f>A1349 &amp; "-" &amp; VLOOKUP(A1349,[4]PROGRAMMES!$E$1:$F$7,2,FALSE)</f>
        <v>4-Réforme de l’enseignement supérieur et la recherche scientifique et de l'innovation</v>
      </c>
      <c r="AA1349" s="19" t="str">
        <f>B1349 &amp; "-" &amp; VLOOKUP(B1349,[4]SOUSPROGRAMMES!$E$1:$F$44,2,FALSE)</f>
        <v>43- Qualité de l’enseignement, de la formation et de la recherche scientifique</v>
      </c>
      <c r="AB1349" s="19" t="str">
        <f>C1349 &amp; "-" &amp; VLOOKUP(C1349,[4]RESULTATS!$E$1:$F$176,2,FALSE)</f>
        <v>432- Les stages pour les étudiants sont renforcés et rendus obligatoires</v>
      </c>
      <c r="AC1349" s="20" t="str">
        <f>D1349 &amp; "-" &amp; VLOOKUP(D1349,[4]STRATEGIES!$E$1:$F$504,2,FALSE)</f>
        <v>4322-Création des partenariats avec le secteur privé</v>
      </c>
      <c r="AD1349" s="21" t="str">
        <f t="shared" si="212"/>
        <v>43221-Identification des partenaires du secteur privé</v>
      </c>
    </row>
    <row r="1350" spans="1:30" s="22" customFormat="1" ht="45" hidden="1" customHeight="1" x14ac:dyDescent="0.8">
      <c r="A1350" s="14">
        <v>4</v>
      </c>
      <c r="B1350" s="15">
        <v>43</v>
      </c>
      <c r="C1350" s="15">
        <v>432</v>
      </c>
      <c r="D1350" s="15">
        <v>4322</v>
      </c>
      <c r="E1350" s="15">
        <v>43222</v>
      </c>
      <c r="F1350" s="16" t="s">
        <v>1771</v>
      </c>
      <c r="G1350" s="21" t="s">
        <v>1772</v>
      </c>
      <c r="H1350" s="17" t="s">
        <v>1773</v>
      </c>
      <c r="I1350" s="33">
        <v>0</v>
      </c>
      <c r="J1350" s="33">
        <v>15</v>
      </c>
      <c r="K1350" s="33">
        <v>20</v>
      </c>
      <c r="L1350" s="33">
        <v>20</v>
      </c>
      <c r="M1350" s="33">
        <f t="shared" si="209"/>
        <v>55</v>
      </c>
      <c r="N1350" s="33">
        <f>IF(OR(H1350="",H1350="sif",H1350="PM"),0,VLOOKUP(H1350,[5]CU!$C$4:$H$255,6,FALSE))</f>
        <v>50</v>
      </c>
      <c r="O1350" s="33">
        <f t="shared" si="210"/>
        <v>0</v>
      </c>
      <c r="P1350" s="33">
        <f t="shared" si="210"/>
        <v>750</v>
      </c>
      <c r="Q1350" s="33">
        <f t="shared" si="210"/>
        <v>1000</v>
      </c>
      <c r="R1350" s="33">
        <f t="shared" si="210"/>
        <v>1000</v>
      </c>
      <c r="S1350" s="34">
        <f>SUM(O1350:R1350)</f>
        <v>2750</v>
      </c>
      <c r="T1350" s="35" t="s">
        <v>56</v>
      </c>
      <c r="U1350" s="18" t="s">
        <v>1696</v>
      </c>
      <c r="V1350" s="18" t="str">
        <f>IF(OR($H1350="",$H1350="sif",$H1350="PM"),"",VLOOKUP($H1350,[5]CU!$C$5:$J$255,8,FALSE))</f>
        <v>3. Dépenses de fonctionnement</v>
      </c>
      <c r="W1350" s="18" t="s">
        <v>1665</v>
      </c>
      <c r="X1350" s="18" t="s">
        <v>1607</v>
      </c>
      <c r="Y1350" s="18" t="s">
        <v>679</v>
      </c>
      <c r="Z1350" s="18" t="str">
        <f>A1350 &amp; "-" &amp; VLOOKUP(A1350,[4]PROGRAMMES!$E$1:$F$7,2,FALSE)</f>
        <v>4-Réforme de l’enseignement supérieur et la recherche scientifique et de l'innovation</v>
      </c>
      <c r="AA1350" s="19" t="str">
        <f>B1350 &amp; "-" &amp; VLOOKUP(B1350,[4]SOUSPROGRAMMES!$E$1:$F$44,2,FALSE)</f>
        <v>43- Qualité de l’enseignement, de la formation et de la recherche scientifique</v>
      </c>
      <c r="AB1350" s="19" t="str">
        <f>C1350 &amp; "-" &amp; VLOOKUP(C1350,[4]RESULTATS!$E$1:$F$176,2,FALSE)</f>
        <v>432- Les stages pour les étudiants sont renforcés et rendus obligatoires</v>
      </c>
      <c r="AC1350" s="20" t="str">
        <f>D1350 &amp; "-" &amp; VLOOKUP(D1350,[4]STRATEGIES!$E$1:$F$504,2,FALSE)</f>
        <v>4322-Création des partenariats avec le secteur privé</v>
      </c>
      <c r="AD1350" s="21" t="str">
        <f t="shared" si="212"/>
        <v>43222-Mise en place de conventions avec les partenaires du secteur privé pour l'accompagnement des étudiants</v>
      </c>
    </row>
    <row r="1351" spans="1:30" s="22" customFormat="1" ht="90" hidden="1" customHeight="1" x14ac:dyDescent="0.8">
      <c r="A1351" s="14">
        <v>4</v>
      </c>
      <c r="B1351" s="15">
        <v>43</v>
      </c>
      <c r="C1351" s="15">
        <v>433</v>
      </c>
      <c r="D1351" s="15">
        <v>433</v>
      </c>
      <c r="E1351" s="15">
        <v>433</v>
      </c>
      <c r="F1351" s="16" t="s">
        <v>1774</v>
      </c>
      <c r="G1351" s="17"/>
      <c r="H1351" s="17"/>
      <c r="I1351" s="33">
        <v>0</v>
      </c>
      <c r="J1351" s="33"/>
      <c r="K1351" s="33"/>
      <c r="L1351" s="33"/>
      <c r="M1351" s="33"/>
      <c r="N1351" s="33"/>
      <c r="O1351" s="33"/>
      <c r="P1351" s="33"/>
      <c r="Q1351" s="33"/>
      <c r="R1351" s="33"/>
      <c r="S1351" s="34"/>
      <c r="T1351" s="33"/>
      <c r="U1351" s="18"/>
      <c r="V1351" s="18"/>
      <c r="W1351" s="18"/>
      <c r="X1351" s="18"/>
      <c r="Y1351" s="18" t="s">
        <v>679</v>
      </c>
      <c r="Z1351" s="18" t="str">
        <f>A1351 &amp; "-" &amp; VLOOKUP(A1351,[4]PROGRAMMES!$E$1:$F$7,2,FALSE)</f>
        <v>4-Réforme de l’enseignement supérieur et la recherche scientifique et de l'innovation</v>
      </c>
      <c r="AA1351" s="19" t="str">
        <f>B1351 &amp; "-" &amp; VLOOKUP(B1351,[4]SOUSPROGRAMMES!$E$1:$F$44,2,FALSE)</f>
        <v>43- Qualité de l’enseignement, de la formation et de la recherche scientifique</v>
      </c>
      <c r="AB1351" s="19" t="str">
        <f>C1351 &amp; "-" &amp; VLOOKUP(C1351,[4]RESULTATS!$E$1:$F$176,2,FALSE)</f>
        <v>433- La proportion des diplômés du supérieur ayant des compétences requises notamment en STIM (sciences, en technologies, en ingénierie et en mathématiques) est nettement augmentée</v>
      </c>
      <c r="AC1351" s="20" t="str">
        <f>D1351 &amp; "-" &amp; VLOOKUP(D1351,[4]STRATEGIES!$E$1:$F$504,2,FALSE)</f>
        <v>433- La proportion des diplômés du supérieur ayant des compétences requises notamment en STIM (sciences, en technologies, en ingénierie et en mathématiques) est nettement augmentée</v>
      </c>
      <c r="AD1351" s="21" t="str">
        <f t="shared" si="212"/>
        <v>433- La proportion des diplômés du supérieur ayant des compétences requises notamment en STIM (sciences, en technologies, en ingénierie et en mathématiques) est nettement augmentée</v>
      </c>
    </row>
    <row r="1352" spans="1:30" s="22" customFormat="1" ht="90" hidden="1" customHeight="1" x14ac:dyDescent="0.8">
      <c r="A1352" s="14">
        <v>4</v>
      </c>
      <c r="B1352" s="15">
        <v>43</v>
      </c>
      <c r="C1352" s="15">
        <v>433</v>
      </c>
      <c r="D1352" s="15">
        <v>4331</v>
      </c>
      <c r="E1352" s="15">
        <v>4331</v>
      </c>
      <c r="F1352" s="16" t="s">
        <v>1775</v>
      </c>
      <c r="G1352" s="17"/>
      <c r="H1352" s="17"/>
      <c r="I1352" s="33">
        <v>0</v>
      </c>
      <c r="J1352" s="33"/>
      <c r="K1352" s="33"/>
      <c r="L1352" s="33"/>
      <c r="M1352" s="33"/>
      <c r="N1352" s="33"/>
      <c r="O1352" s="33"/>
      <c r="P1352" s="33"/>
      <c r="Q1352" s="33"/>
      <c r="R1352" s="33"/>
      <c r="S1352" s="34"/>
      <c r="T1352" s="33"/>
      <c r="U1352" s="18"/>
      <c r="V1352" s="18"/>
      <c r="W1352" s="18"/>
      <c r="X1352" s="18"/>
      <c r="Y1352" s="18" t="s">
        <v>679</v>
      </c>
      <c r="Z1352" s="18" t="str">
        <f>A1352 &amp; "-" &amp; VLOOKUP(A1352,[4]PROGRAMMES!$E$1:$F$7,2,FALSE)</f>
        <v>4-Réforme de l’enseignement supérieur et la recherche scientifique et de l'innovation</v>
      </c>
      <c r="AA1352" s="19" t="str">
        <f>B1352 &amp; "-" &amp; VLOOKUP(B1352,[4]SOUSPROGRAMMES!$E$1:$F$44,2,FALSE)</f>
        <v>43- Qualité de l’enseignement, de la formation et de la recherche scientifique</v>
      </c>
      <c r="AB1352" s="19" t="str">
        <f>C1352 &amp; "-" &amp; VLOOKUP(C1352,[4]RESULTATS!$E$1:$F$176,2,FALSE)</f>
        <v>433- La proportion des diplômés du supérieur ayant des compétences requises notamment en STIM (sciences, en technologies, en ingénierie et en mathématiques) est nettement augmentée</v>
      </c>
      <c r="AC1352" s="20" t="str">
        <f>D1352 &amp; "-" &amp; VLOOKUP(D1352,[4]STRATEGIES!$E$1:$F$504,2,FALSE)</f>
        <v>4331-Réforme des formations en ingénierie</v>
      </c>
      <c r="AD1352" s="21" t="str">
        <f t="shared" si="212"/>
        <v>4331-Réforme des formations en ingénierie</v>
      </c>
    </row>
    <row r="1353" spans="1:30" s="22" customFormat="1" ht="90" hidden="1" customHeight="1" x14ac:dyDescent="0.8">
      <c r="A1353" s="14">
        <v>4</v>
      </c>
      <c r="B1353" s="15">
        <v>43</v>
      </c>
      <c r="C1353" s="15">
        <v>433</v>
      </c>
      <c r="D1353" s="15">
        <v>4331</v>
      </c>
      <c r="E1353" s="15">
        <v>43311</v>
      </c>
      <c r="F1353" s="16" t="s">
        <v>1776</v>
      </c>
      <c r="G1353" s="21" t="s">
        <v>88</v>
      </c>
      <c r="H1353" s="17" t="s">
        <v>55</v>
      </c>
      <c r="I1353" s="33">
        <v>0</v>
      </c>
      <c r="J1353" s="33"/>
      <c r="K1353" s="33">
        <v>1</v>
      </c>
      <c r="L1353" s="33"/>
      <c r="M1353" s="33">
        <f t="shared" si="209"/>
        <v>1</v>
      </c>
      <c r="N1353" s="33">
        <f>IF(OR(H1353="",H1353="sif",H1353="PM"),0,VLOOKUP(H1353,[5]CU!$C$4:$H$255,6,FALSE))</f>
        <v>0</v>
      </c>
      <c r="O1353" s="33">
        <f t="shared" si="210"/>
        <v>0</v>
      </c>
      <c r="P1353" s="33">
        <f t="shared" si="210"/>
        <v>0</v>
      </c>
      <c r="Q1353" s="33">
        <f t="shared" si="210"/>
        <v>0</v>
      </c>
      <c r="R1353" s="33">
        <f t="shared" si="210"/>
        <v>0</v>
      </c>
      <c r="S1353" s="34"/>
      <c r="T1353" s="35" t="s">
        <v>169</v>
      </c>
      <c r="U1353" s="18" t="s">
        <v>1696</v>
      </c>
      <c r="V1353" s="18" t="str">
        <f>IF(OR($H1353="",$H1353="sif",$H1353="PM"),"",VLOOKUP($H1353,[5]CU!$C$5:$J$255,8,FALSE))</f>
        <v/>
      </c>
      <c r="W1353" s="18" t="s">
        <v>1665</v>
      </c>
      <c r="X1353" s="18" t="s">
        <v>1607</v>
      </c>
      <c r="Y1353" s="18" t="s">
        <v>679</v>
      </c>
      <c r="Z1353" s="18" t="str">
        <f>A1353 &amp; "-" &amp; VLOOKUP(A1353,[4]PROGRAMMES!$E$1:$F$7,2,FALSE)</f>
        <v>4-Réforme de l’enseignement supérieur et la recherche scientifique et de l'innovation</v>
      </c>
      <c r="AA1353" s="19" t="str">
        <f>B1353 &amp; "-" &amp; VLOOKUP(B1353,[4]SOUSPROGRAMMES!$E$1:$F$44,2,FALSE)</f>
        <v>43- Qualité de l’enseignement, de la formation et de la recherche scientifique</v>
      </c>
      <c r="AB1353" s="19" t="str">
        <f>C1353 &amp; "-" &amp; VLOOKUP(C1353,[4]RESULTATS!$E$1:$F$176,2,FALSE)</f>
        <v>433- La proportion des diplômés du supérieur ayant des compétences requises notamment en STIM (sciences, en technologies, en ingénierie et en mathématiques) est nettement augmentée</v>
      </c>
      <c r="AC1353" s="20" t="str">
        <f>D1353 &amp; "-" &amp; VLOOKUP(D1353,[4]STRATEGIES!$E$1:$F$504,2,FALSE)</f>
        <v>4331-Réforme des formations en ingénierie</v>
      </c>
      <c r="AD1353" s="21" t="str">
        <f t="shared" si="212"/>
        <v>43311-Identification des programmes à réformer</v>
      </c>
    </row>
    <row r="1354" spans="1:30" s="22" customFormat="1" ht="90" hidden="1" customHeight="1" x14ac:dyDescent="0.8">
      <c r="A1354" s="14">
        <v>4</v>
      </c>
      <c r="B1354" s="15">
        <v>43</v>
      </c>
      <c r="C1354" s="15">
        <v>433</v>
      </c>
      <c r="D1354" s="15">
        <v>4331</v>
      </c>
      <c r="E1354" s="15">
        <v>43312</v>
      </c>
      <c r="F1354" s="16" t="s">
        <v>1777</v>
      </c>
      <c r="G1354" s="21" t="s">
        <v>321</v>
      </c>
      <c r="H1354" s="17" t="s">
        <v>55</v>
      </c>
      <c r="I1354" s="33">
        <v>0</v>
      </c>
      <c r="J1354" s="33"/>
      <c r="K1354" s="33">
        <v>1</v>
      </c>
      <c r="L1354" s="33"/>
      <c r="M1354" s="33">
        <f t="shared" si="209"/>
        <v>1</v>
      </c>
      <c r="N1354" s="33">
        <f>IF(OR(H1354="",H1354="sif",H1354="PM"),0,VLOOKUP(H1354,[5]CU!$C$4:$H$255,6,FALSE))</f>
        <v>0</v>
      </c>
      <c r="O1354" s="33">
        <f t="shared" si="210"/>
        <v>0</v>
      </c>
      <c r="P1354" s="33">
        <f t="shared" si="210"/>
        <v>0</v>
      </c>
      <c r="Q1354" s="33">
        <f t="shared" si="210"/>
        <v>0</v>
      </c>
      <c r="R1354" s="33">
        <f t="shared" si="210"/>
        <v>0</v>
      </c>
      <c r="S1354" s="34"/>
      <c r="T1354" s="35" t="s">
        <v>56</v>
      </c>
      <c r="U1354" s="18" t="s">
        <v>1696</v>
      </c>
      <c r="V1354" s="18" t="str">
        <f>IF(OR($H1354="",$H1354="sif",$H1354="PM"),"",VLOOKUP($H1354,[5]CU!$C$5:$J$255,8,FALSE))</f>
        <v/>
      </c>
      <c r="W1354" s="18" t="s">
        <v>1665</v>
      </c>
      <c r="X1354" s="18" t="s">
        <v>1607</v>
      </c>
      <c r="Y1354" s="18" t="s">
        <v>679</v>
      </c>
      <c r="Z1354" s="18" t="str">
        <f>A1354 &amp; "-" &amp; VLOOKUP(A1354,[4]PROGRAMMES!$E$1:$F$7,2,FALSE)</f>
        <v>4-Réforme de l’enseignement supérieur et la recherche scientifique et de l'innovation</v>
      </c>
      <c r="AA1354" s="19" t="str">
        <f>B1354 &amp; "-" &amp; VLOOKUP(B1354,[4]SOUSPROGRAMMES!$E$1:$F$44,2,FALSE)</f>
        <v>43- Qualité de l’enseignement, de la formation et de la recherche scientifique</v>
      </c>
      <c r="AB1354" s="19" t="str">
        <f>C1354 &amp; "-" &amp; VLOOKUP(C1354,[4]RESULTATS!$E$1:$F$176,2,FALSE)</f>
        <v>433- La proportion des diplômés du supérieur ayant des compétences requises notamment en STIM (sciences, en technologies, en ingénierie et en mathématiques) est nettement augmentée</v>
      </c>
      <c r="AC1354" s="20" t="str">
        <f>D1354 &amp; "-" &amp; VLOOKUP(D1354,[4]STRATEGIES!$E$1:$F$504,2,FALSE)</f>
        <v>4331-Réforme des formations en ingénierie</v>
      </c>
      <c r="AD1354" s="21" t="str">
        <f t="shared" si="212"/>
        <v>43312-Constitution des commissions pour la réforme</v>
      </c>
    </row>
    <row r="1355" spans="1:30" s="22" customFormat="1" ht="90" hidden="1" customHeight="1" x14ac:dyDescent="0.8">
      <c r="A1355" s="14">
        <v>4</v>
      </c>
      <c r="B1355" s="15">
        <v>43</v>
      </c>
      <c r="C1355" s="15">
        <v>433</v>
      </c>
      <c r="D1355" s="15">
        <v>4331</v>
      </c>
      <c r="E1355" s="15">
        <v>43313</v>
      </c>
      <c r="F1355" s="16" t="s">
        <v>1741</v>
      </c>
      <c r="G1355" s="21" t="s">
        <v>1778</v>
      </c>
      <c r="H1355" s="17" t="s">
        <v>66</v>
      </c>
      <c r="I1355" s="33">
        <v>0</v>
      </c>
      <c r="J1355" s="33"/>
      <c r="K1355" s="33">
        <f>40*7*1</f>
        <v>280</v>
      </c>
      <c r="L1355" s="33"/>
      <c r="M1355" s="33">
        <f t="shared" si="209"/>
        <v>280</v>
      </c>
      <c r="N1355" s="33">
        <f>IF(OR(H1355="",H1355="sif",H1355="PM"),0,VLOOKUP(H1355,[5]CU!$C$4:$H$255,6,FALSE))</f>
        <v>0.255</v>
      </c>
      <c r="O1355" s="33">
        <f t="shared" si="210"/>
        <v>0</v>
      </c>
      <c r="P1355" s="33">
        <f t="shared" si="210"/>
        <v>0</v>
      </c>
      <c r="Q1355" s="33">
        <f t="shared" si="210"/>
        <v>71.400000000000006</v>
      </c>
      <c r="R1355" s="33">
        <f t="shared" si="210"/>
        <v>0</v>
      </c>
      <c r="S1355" s="34">
        <f>SUM(O1355:R1355)</f>
        <v>71.400000000000006</v>
      </c>
      <c r="T1355" s="35" t="s">
        <v>169</v>
      </c>
      <c r="U1355" s="18" t="s">
        <v>1696</v>
      </c>
      <c r="V1355" s="18" t="str">
        <f>IF(OR($H1355="",$H1355="sif",$H1355="PM"),"",VLOOKUP($H1355,[5]CU!$C$5:$J$255,8,FALSE))</f>
        <v>3. Dépenses de fonctionnement</v>
      </c>
      <c r="W1355" s="18" t="s">
        <v>1665</v>
      </c>
      <c r="X1355" s="18" t="s">
        <v>521</v>
      </c>
      <c r="Y1355" s="18" t="s">
        <v>679</v>
      </c>
      <c r="Z1355" s="18" t="str">
        <f>A1355 &amp; "-" &amp; VLOOKUP(A1355,[4]PROGRAMMES!$E$1:$F$7,2,FALSE)</f>
        <v>4-Réforme de l’enseignement supérieur et la recherche scientifique et de l'innovation</v>
      </c>
      <c r="AA1355" s="19" t="str">
        <f>B1355 &amp; "-" &amp; VLOOKUP(B1355,[4]SOUSPROGRAMMES!$E$1:$F$44,2,FALSE)</f>
        <v>43- Qualité de l’enseignement, de la formation et de la recherche scientifique</v>
      </c>
      <c r="AB1355" s="19" t="str">
        <f>C1355 &amp; "-" &amp; VLOOKUP(C1355,[4]RESULTATS!$E$1:$F$176,2,FALSE)</f>
        <v>433- La proportion des diplômés du supérieur ayant des compétences requises notamment en STIM (sciences, en technologies, en ingénierie et en mathématiques) est nettement augmentée</v>
      </c>
      <c r="AC1355" s="20" t="str">
        <f>D1355 &amp; "-" &amp; VLOOKUP(D1355,[4]STRATEGIES!$E$1:$F$504,2,FALSE)</f>
        <v>4331-Réforme des formations en ingénierie</v>
      </c>
      <c r="AD1355" s="21" t="str">
        <f t="shared" si="212"/>
        <v>43313-Travaux de commissions</v>
      </c>
    </row>
    <row r="1356" spans="1:30" s="22" customFormat="1" ht="90" hidden="1" customHeight="1" x14ac:dyDescent="0.8">
      <c r="A1356" s="14">
        <v>4</v>
      </c>
      <c r="B1356" s="15">
        <v>43</v>
      </c>
      <c r="C1356" s="15">
        <v>433</v>
      </c>
      <c r="D1356" s="15">
        <v>4332</v>
      </c>
      <c r="E1356" s="15">
        <v>4332</v>
      </c>
      <c r="F1356" s="16" t="s">
        <v>1779</v>
      </c>
      <c r="G1356" s="17"/>
      <c r="H1356" s="17"/>
      <c r="I1356" s="33">
        <v>0</v>
      </c>
      <c r="J1356" s="33"/>
      <c r="K1356" s="33"/>
      <c r="L1356" s="33"/>
      <c r="M1356" s="33"/>
      <c r="N1356" s="33"/>
      <c r="O1356" s="33"/>
      <c r="P1356" s="33"/>
      <c r="Q1356" s="33"/>
      <c r="R1356" s="33"/>
      <c r="S1356" s="34"/>
      <c r="T1356" s="33"/>
      <c r="U1356" s="18"/>
      <c r="V1356" s="18"/>
      <c r="W1356" s="18"/>
      <c r="X1356" s="18"/>
      <c r="Y1356" s="18" t="s">
        <v>679</v>
      </c>
      <c r="Z1356" s="18" t="str">
        <f>A1356 &amp; "-" &amp; VLOOKUP(A1356,[4]PROGRAMMES!$E$1:$F$7,2,FALSE)</f>
        <v>4-Réforme de l’enseignement supérieur et la recherche scientifique et de l'innovation</v>
      </c>
      <c r="AA1356" s="19" t="str">
        <f>B1356 &amp; "-" &amp; VLOOKUP(B1356,[4]SOUSPROGRAMMES!$E$1:$F$44,2,FALSE)</f>
        <v>43- Qualité de l’enseignement, de la formation et de la recherche scientifique</v>
      </c>
      <c r="AB1356" s="19" t="str">
        <f>C1356 &amp; "-" &amp; VLOOKUP(C1356,[4]RESULTATS!$E$1:$F$176,2,FALSE)</f>
        <v>433- La proportion des diplômés du supérieur ayant des compétences requises notamment en STIM (sciences, en technologies, en ingénierie et en mathématiques) est nettement augmentée</v>
      </c>
      <c r="AC1356" s="20" t="str">
        <f>D1356 &amp; "-" &amp; VLOOKUP(D1356,[4]STRATEGIES!$E$1:$F$504,2,FALSE)</f>
        <v>4332-Rénovation et équipement de laboratoires et CDI</v>
      </c>
      <c r="AD1356" s="21" t="str">
        <f t="shared" si="212"/>
        <v>4332-Rénovation et équipement de laboratoires et CDI</v>
      </c>
    </row>
    <row r="1357" spans="1:30" s="22" customFormat="1" ht="90" hidden="1" customHeight="1" x14ac:dyDescent="0.8">
      <c r="A1357" s="14">
        <v>4</v>
      </c>
      <c r="B1357" s="15">
        <v>43</v>
      </c>
      <c r="C1357" s="15">
        <v>433</v>
      </c>
      <c r="D1357" s="15">
        <v>4332</v>
      </c>
      <c r="E1357" s="15">
        <v>43321</v>
      </c>
      <c r="F1357" s="16" t="s">
        <v>1780</v>
      </c>
      <c r="G1357" s="21" t="s">
        <v>88</v>
      </c>
      <c r="H1357" s="17" t="s">
        <v>55</v>
      </c>
      <c r="I1357" s="33">
        <v>0</v>
      </c>
      <c r="J1357" s="33">
        <v>1</v>
      </c>
      <c r="K1357" s="33"/>
      <c r="L1357" s="33"/>
      <c r="M1357" s="33">
        <f t="shared" si="209"/>
        <v>1</v>
      </c>
      <c r="N1357" s="33">
        <f>IF(OR(H1357="",H1357="sif",H1357="PM"),0,VLOOKUP(H1357,[5]CU!$C$4:$H$255,6,FALSE))</f>
        <v>0</v>
      </c>
      <c r="O1357" s="33">
        <f t="shared" si="210"/>
        <v>0</v>
      </c>
      <c r="P1357" s="33">
        <f t="shared" si="210"/>
        <v>0</v>
      </c>
      <c r="Q1357" s="33">
        <f t="shared" si="210"/>
        <v>0</v>
      </c>
      <c r="R1357" s="33">
        <f t="shared" si="210"/>
        <v>0</v>
      </c>
      <c r="S1357" s="34"/>
      <c r="T1357" s="35" t="s">
        <v>56</v>
      </c>
      <c r="U1357" s="18" t="s">
        <v>1696</v>
      </c>
      <c r="V1357" s="18" t="str">
        <f>IF(OR($H1357="",$H1357="sif",$H1357="PM"),"",VLOOKUP($H1357,[5]CU!$C$5:$J$255,8,FALSE))</f>
        <v/>
      </c>
      <c r="W1357" s="18" t="s">
        <v>1665</v>
      </c>
      <c r="X1357" s="18" t="s">
        <v>1607</v>
      </c>
      <c r="Y1357" s="18" t="s">
        <v>679</v>
      </c>
      <c r="Z1357" s="18" t="str">
        <f>A1357 &amp; "-" &amp; VLOOKUP(A1357,[4]PROGRAMMES!$E$1:$F$7,2,FALSE)</f>
        <v>4-Réforme de l’enseignement supérieur et la recherche scientifique et de l'innovation</v>
      </c>
      <c r="AA1357" s="19" t="str">
        <f>B1357 &amp; "-" &amp; VLOOKUP(B1357,[4]SOUSPROGRAMMES!$E$1:$F$44,2,FALSE)</f>
        <v>43- Qualité de l’enseignement, de la formation et de la recherche scientifique</v>
      </c>
      <c r="AB1357" s="19" t="str">
        <f>C1357 &amp; "-" &amp; VLOOKUP(C1357,[4]RESULTATS!$E$1:$F$176,2,FALSE)</f>
        <v>433- La proportion des diplômés du supérieur ayant des compétences requises notamment en STIM (sciences, en technologies, en ingénierie et en mathématiques) est nettement augmentée</v>
      </c>
      <c r="AC1357" s="20" t="str">
        <f>D1357 &amp; "-" &amp; VLOOKUP(D1357,[4]STRATEGIES!$E$1:$F$504,2,FALSE)</f>
        <v>4332-Rénovation et équipement de laboratoires et CDI</v>
      </c>
      <c r="AD1357" s="21" t="str">
        <f t="shared" si="212"/>
        <v>43321-Dénombrement des labos</v>
      </c>
    </row>
    <row r="1358" spans="1:30" s="22" customFormat="1" ht="90" hidden="1" customHeight="1" x14ac:dyDescent="0.8">
      <c r="A1358" s="14">
        <v>4</v>
      </c>
      <c r="B1358" s="15">
        <v>43</v>
      </c>
      <c r="C1358" s="15">
        <v>433</v>
      </c>
      <c r="D1358" s="15">
        <v>4332</v>
      </c>
      <c r="E1358" s="15">
        <v>43322</v>
      </c>
      <c r="F1358" s="16" t="s">
        <v>1781</v>
      </c>
      <c r="G1358" s="21" t="s">
        <v>92</v>
      </c>
      <c r="H1358" s="17" t="s">
        <v>55</v>
      </c>
      <c r="I1358" s="33">
        <v>0</v>
      </c>
      <c r="J1358" s="33">
        <v>1</v>
      </c>
      <c r="K1358" s="33">
        <v>1</v>
      </c>
      <c r="L1358" s="33"/>
      <c r="M1358" s="33">
        <f t="shared" si="209"/>
        <v>2</v>
      </c>
      <c r="N1358" s="33">
        <f>IF(OR(H1358="",H1358="sif",H1358="PM"),0,VLOOKUP(H1358,[5]CU!$C$4:$H$255,6,FALSE))</f>
        <v>0</v>
      </c>
      <c r="O1358" s="33">
        <f t="shared" si="210"/>
        <v>0</v>
      </c>
      <c r="P1358" s="33">
        <f t="shared" si="210"/>
        <v>0</v>
      </c>
      <c r="Q1358" s="33">
        <f t="shared" si="210"/>
        <v>0</v>
      </c>
      <c r="R1358" s="33">
        <f t="shared" si="210"/>
        <v>0</v>
      </c>
      <c r="S1358" s="34"/>
      <c r="T1358" s="35" t="s">
        <v>56</v>
      </c>
      <c r="U1358" s="18" t="s">
        <v>1696</v>
      </c>
      <c r="V1358" s="18" t="str">
        <f>IF(OR($H1358="",$H1358="sif",$H1358="PM"),"",VLOOKUP($H1358,[5]CU!$C$5:$J$255,8,FALSE))</f>
        <v/>
      </c>
      <c r="W1358" s="18" t="s">
        <v>1705</v>
      </c>
      <c r="X1358" s="18" t="s">
        <v>521</v>
      </c>
      <c r="Y1358" s="18" t="s">
        <v>679</v>
      </c>
      <c r="Z1358" s="18" t="str">
        <f>A1358 &amp; "-" &amp; VLOOKUP(A1358,[4]PROGRAMMES!$E$1:$F$7,2,FALSE)</f>
        <v>4-Réforme de l’enseignement supérieur et la recherche scientifique et de l'innovation</v>
      </c>
      <c r="AA1358" s="19" t="str">
        <f>B1358 &amp; "-" &amp; VLOOKUP(B1358,[4]SOUSPROGRAMMES!$E$1:$F$44,2,FALSE)</f>
        <v>43- Qualité de l’enseignement, de la formation et de la recherche scientifique</v>
      </c>
      <c r="AB1358" s="19" t="str">
        <f>C1358 &amp; "-" &amp; VLOOKUP(C1358,[4]RESULTATS!$E$1:$F$176,2,FALSE)</f>
        <v>433- La proportion des diplômés du supérieur ayant des compétences requises notamment en STIM (sciences, en technologies, en ingénierie et en mathématiques) est nettement augmentée</v>
      </c>
      <c r="AC1358" s="20" t="str">
        <f>D1358 &amp; "-" &amp; VLOOKUP(D1358,[4]STRATEGIES!$E$1:$F$504,2,FALSE)</f>
        <v>4332-Rénovation et équipement de laboratoires et CDI</v>
      </c>
      <c r="AD1358" s="21" t="str">
        <f t="shared" si="212"/>
        <v>43322-Rénovation et équipement des laboratoires (pris en compte dans activités 52112, 52113 52114 et 52116)</v>
      </c>
    </row>
    <row r="1359" spans="1:30" s="22" customFormat="1" ht="90" hidden="1" customHeight="1" x14ac:dyDescent="0.8">
      <c r="A1359" s="14">
        <v>4</v>
      </c>
      <c r="B1359" s="15">
        <v>43</v>
      </c>
      <c r="C1359" s="15">
        <v>433</v>
      </c>
      <c r="D1359" s="15">
        <v>4333</v>
      </c>
      <c r="E1359" s="15">
        <v>4333</v>
      </c>
      <c r="F1359" s="16" t="s">
        <v>1782</v>
      </c>
      <c r="G1359" s="17"/>
      <c r="H1359" s="17"/>
      <c r="I1359" s="33">
        <v>0</v>
      </c>
      <c r="J1359" s="33"/>
      <c r="K1359" s="33"/>
      <c r="L1359" s="33"/>
      <c r="M1359" s="33"/>
      <c r="N1359" s="33"/>
      <c r="O1359" s="33"/>
      <c r="P1359" s="33"/>
      <c r="Q1359" s="33"/>
      <c r="R1359" s="33"/>
      <c r="S1359" s="34"/>
      <c r="T1359" s="33"/>
      <c r="U1359" s="18"/>
      <c r="V1359" s="18"/>
      <c r="W1359" s="18"/>
      <c r="X1359" s="18"/>
      <c r="Y1359" s="18" t="s">
        <v>679</v>
      </c>
      <c r="Z1359" s="18" t="str">
        <f>A1359 &amp; "-" &amp; VLOOKUP(A1359,[4]PROGRAMMES!$E$1:$F$7,2,FALSE)</f>
        <v>4-Réforme de l’enseignement supérieur et la recherche scientifique et de l'innovation</v>
      </c>
      <c r="AA1359" s="19" t="str">
        <f>B1359 &amp; "-" &amp; VLOOKUP(B1359,[4]SOUSPROGRAMMES!$E$1:$F$44,2,FALSE)</f>
        <v>43- Qualité de l’enseignement, de la formation et de la recherche scientifique</v>
      </c>
      <c r="AB1359" s="19" t="str">
        <f>C1359 &amp; "-" &amp; VLOOKUP(C1359,[4]RESULTATS!$E$1:$F$176,2,FALSE)</f>
        <v>433- La proportion des diplômés du supérieur ayant des compétences requises notamment en STIM (sciences, en technologies, en ingénierie et en mathématiques) est nettement augmentée</v>
      </c>
      <c r="AC1359" s="20" t="str">
        <f>D1359 &amp; "-" &amp; VLOOKUP(D1359,[4]STRATEGIES!$E$1:$F$504,2,FALSE)</f>
        <v>4333-Mise en œuvre du projet stratégique « 1000 PhD et 5000 Masters »</v>
      </c>
      <c r="AD1359" s="21" t="str">
        <f t="shared" si="212"/>
        <v>4333-Mise en œuvre du projet stratégique « 1000 PhD et 5000 Masters »</v>
      </c>
    </row>
    <row r="1360" spans="1:30" s="22" customFormat="1" ht="90" hidden="1" customHeight="1" x14ac:dyDescent="0.8">
      <c r="A1360" s="14">
        <v>4</v>
      </c>
      <c r="B1360" s="15">
        <v>43</v>
      </c>
      <c r="C1360" s="15">
        <v>433</v>
      </c>
      <c r="D1360" s="15">
        <v>4333</v>
      </c>
      <c r="E1360" s="15">
        <v>43331</v>
      </c>
      <c r="F1360" s="16" t="s">
        <v>1783</v>
      </c>
      <c r="G1360" s="21" t="s">
        <v>88</v>
      </c>
      <c r="H1360" s="17" t="s">
        <v>55</v>
      </c>
      <c r="I1360" s="33">
        <v>0</v>
      </c>
      <c r="J1360" s="33">
        <v>1</v>
      </c>
      <c r="K1360" s="33">
        <v>1</v>
      </c>
      <c r="L1360" s="33">
        <v>1</v>
      </c>
      <c r="M1360" s="33">
        <f t="shared" si="209"/>
        <v>3</v>
      </c>
      <c r="N1360" s="33">
        <f>IF(OR(H1360="",H1360="sif",H1360="PM"),0,VLOOKUP(H1360,[5]CU!$C$4:$H$255,6,FALSE))</f>
        <v>0</v>
      </c>
      <c r="O1360" s="33">
        <f t="shared" si="210"/>
        <v>0</v>
      </c>
      <c r="P1360" s="33">
        <f t="shared" si="210"/>
        <v>0</v>
      </c>
      <c r="Q1360" s="33">
        <f t="shared" si="210"/>
        <v>0</v>
      </c>
      <c r="R1360" s="33">
        <f t="shared" si="210"/>
        <v>0</v>
      </c>
      <c r="S1360" s="34"/>
      <c r="T1360" s="35" t="s">
        <v>56</v>
      </c>
      <c r="U1360" s="18" t="s">
        <v>1696</v>
      </c>
      <c r="V1360" s="18" t="str">
        <f>IF(OR($H1360="",$H1360="sif",$H1360="PM"),"",VLOOKUP($H1360,[5]CU!$C$5:$J$255,8,FALSE))</f>
        <v/>
      </c>
      <c r="W1360" s="18" t="s">
        <v>255</v>
      </c>
      <c r="X1360" s="18" t="s">
        <v>1647</v>
      </c>
      <c r="Y1360" s="18" t="s">
        <v>679</v>
      </c>
      <c r="Z1360" s="18" t="str">
        <f>A1360 &amp; "-" &amp; VLOOKUP(A1360,[4]PROGRAMMES!$E$1:$F$7,2,FALSE)</f>
        <v>4-Réforme de l’enseignement supérieur et la recherche scientifique et de l'innovation</v>
      </c>
      <c r="AA1360" s="19" t="str">
        <f>B1360 &amp; "-" &amp; VLOOKUP(B1360,[4]SOUSPROGRAMMES!$E$1:$F$44,2,FALSE)</f>
        <v>43- Qualité de l’enseignement, de la formation et de la recherche scientifique</v>
      </c>
      <c r="AB1360" s="19" t="str">
        <f>C1360 &amp; "-" &amp; VLOOKUP(C1360,[4]RESULTATS!$E$1:$F$176,2,FALSE)</f>
        <v>433- La proportion des diplômés du supérieur ayant des compétences requises notamment en STIM (sciences, en technologies, en ingénierie et en mathématiques) est nettement augmentée</v>
      </c>
      <c r="AC1360" s="20" t="str">
        <f>D1360 &amp; "-" &amp; VLOOKUP(D1360,[4]STRATEGIES!$E$1:$F$504,2,FALSE)</f>
        <v>4333-Mise en œuvre du projet stratégique « 1000 PhD et 5000 Masters »</v>
      </c>
      <c r="AD1360" s="21" t="str">
        <f t="shared" si="212"/>
        <v>43331-Examen des dossiers des enseignants par la commission mise en place</v>
      </c>
    </row>
    <row r="1361" spans="1:30" s="22" customFormat="1" ht="90" hidden="1" customHeight="1" x14ac:dyDescent="0.8">
      <c r="A1361" s="14">
        <v>4</v>
      </c>
      <c r="B1361" s="15">
        <v>43</v>
      </c>
      <c r="C1361" s="15">
        <v>433</v>
      </c>
      <c r="D1361" s="15">
        <v>4333</v>
      </c>
      <c r="E1361" s="15">
        <v>43332</v>
      </c>
      <c r="F1361" s="16" t="s">
        <v>1784</v>
      </c>
      <c r="G1361" s="21" t="s">
        <v>92</v>
      </c>
      <c r="H1361" s="17" t="s">
        <v>55</v>
      </c>
      <c r="I1361" s="33">
        <v>0</v>
      </c>
      <c r="J1361" s="33">
        <v>400</v>
      </c>
      <c r="K1361" s="33">
        <v>400</v>
      </c>
      <c r="L1361" s="33">
        <v>500</v>
      </c>
      <c r="M1361" s="33">
        <f t="shared" si="209"/>
        <v>1300</v>
      </c>
      <c r="N1361" s="33">
        <f>IF(OR(H1361="",H1361="sif",H1361="PM"),0,VLOOKUP(H1361,[5]CU!$C$4:$H$255,6,FALSE))</f>
        <v>0</v>
      </c>
      <c r="O1361" s="33">
        <f t="shared" si="210"/>
        <v>0</v>
      </c>
      <c r="P1361" s="33">
        <f t="shared" si="210"/>
        <v>0</v>
      </c>
      <c r="Q1361" s="33">
        <f t="shared" si="210"/>
        <v>0</v>
      </c>
      <c r="R1361" s="33">
        <f t="shared" si="210"/>
        <v>0</v>
      </c>
      <c r="S1361" s="34"/>
      <c r="T1361" s="35" t="s">
        <v>56</v>
      </c>
      <c r="U1361" s="18" t="s">
        <v>1696</v>
      </c>
      <c r="V1361" s="18" t="str">
        <f>IF(OR($H1361="",$H1361="sif",$H1361="PM"),"",VLOOKUP($H1361,[5]CU!$C$5:$J$255,8,FALSE))</f>
        <v/>
      </c>
      <c r="W1361" s="18" t="s">
        <v>1665</v>
      </c>
      <c r="X1361" s="18" t="s">
        <v>521</v>
      </c>
      <c r="Y1361" s="18" t="s">
        <v>679</v>
      </c>
      <c r="Z1361" s="18" t="str">
        <f>A1361 &amp; "-" &amp; VLOOKUP(A1361,[4]PROGRAMMES!$E$1:$F$7,2,FALSE)</f>
        <v>4-Réforme de l’enseignement supérieur et la recherche scientifique et de l'innovation</v>
      </c>
      <c r="AA1361" s="19" t="str">
        <f>B1361 &amp; "-" &amp; VLOOKUP(B1361,[4]SOUSPROGRAMMES!$E$1:$F$44,2,FALSE)</f>
        <v>43- Qualité de l’enseignement, de la formation et de la recherche scientifique</v>
      </c>
      <c r="AB1361" s="19" t="str">
        <f>C1361 &amp; "-" &amp; VLOOKUP(C1361,[4]RESULTATS!$E$1:$F$176,2,FALSE)</f>
        <v>433- La proportion des diplômés du supérieur ayant des compétences requises notamment en STIM (sciences, en technologies, en ingénierie et en mathématiques) est nettement augmentée</v>
      </c>
      <c r="AC1361" s="20" t="str">
        <f>D1361 &amp; "-" &amp; VLOOKUP(D1361,[4]STRATEGIES!$E$1:$F$504,2,FALSE)</f>
        <v>4333-Mise en œuvre du projet stratégique « 1000 PhD et 5000 Masters »</v>
      </c>
      <c r="AD1361" s="21" t="str">
        <f t="shared" si="212"/>
        <v>43332-Financement des formations en master en Guinée (pris en compte dans subventions aux établissements)</v>
      </c>
    </row>
    <row r="1362" spans="1:30" s="22" customFormat="1" ht="90" hidden="1" customHeight="1" x14ac:dyDescent="0.8">
      <c r="A1362" s="14">
        <v>4</v>
      </c>
      <c r="B1362" s="15">
        <v>43</v>
      </c>
      <c r="C1362" s="15">
        <v>433</v>
      </c>
      <c r="D1362" s="15">
        <v>4333</v>
      </c>
      <c r="E1362" s="15">
        <v>43333</v>
      </c>
      <c r="F1362" s="16" t="s">
        <v>1785</v>
      </c>
      <c r="G1362" s="21" t="s">
        <v>92</v>
      </c>
      <c r="H1362" s="17" t="s">
        <v>55</v>
      </c>
      <c r="I1362" s="33">
        <v>0</v>
      </c>
      <c r="J1362" s="33">
        <v>50</v>
      </c>
      <c r="K1362" s="33">
        <v>100</v>
      </c>
      <c r="L1362" s="33">
        <v>100</v>
      </c>
      <c r="M1362" s="33">
        <v>150</v>
      </c>
      <c r="N1362" s="33">
        <f>IF(OR(H1362="",H1362="sif",H1362="PM"),0,VLOOKUP(H1362,[5]CU!$C$4:$H$255,6,FALSE))</f>
        <v>0</v>
      </c>
      <c r="O1362" s="33">
        <f t="shared" si="210"/>
        <v>0</v>
      </c>
      <c r="P1362" s="33">
        <f t="shared" si="210"/>
        <v>0</v>
      </c>
      <c r="Q1362" s="33">
        <f t="shared" si="210"/>
        <v>0</v>
      </c>
      <c r="R1362" s="33">
        <f t="shared" si="210"/>
        <v>0</v>
      </c>
      <c r="S1362" s="34"/>
      <c r="T1362" s="35" t="s">
        <v>56</v>
      </c>
      <c r="U1362" s="18" t="s">
        <v>1696</v>
      </c>
      <c r="V1362" s="18" t="str">
        <f>IF(OR($H1362="",$H1362="sif",$H1362="PM"),"",VLOOKUP($H1362,[5]CU!$C$5:$J$255,8,FALSE))</f>
        <v/>
      </c>
      <c r="W1362" s="18"/>
      <c r="X1362" s="18"/>
      <c r="Y1362" s="18" t="s">
        <v>679</v>
      </c>
      <c r="Z1362" s="18" t="str">
        <f>A1362 &amp; "-" &amp; VLOOKUP(A1362,[4]PROGRAMMES!$E$1:$F$7,2,FALSE)</f>
        <v>4-Réforme de l’enseignement supérieur et la recherche scientifique et de l'innovation</v>
      </c>
      <c r="AA1362" s="19" t="str">
        <f>B1362 &amp; "-" &amp; VLOOKUP(B1362,[4]SOUSPROGRAMMES!$E$1:$F$44,2,FALSE)</f>
        <v>43- Qualité de l’enseignement, de la formation et de la recherche scientifique</v>
      </c>
      <c r="AB1362" s="19" t="str">
        <f>C1362 &amp; "-" &amp; VLOOKUP(C1362,[4]RESULTATS!$E$1:$F$176,2,FALSE)</f>
        <v>433- La proportion des diplômés du supérieur ayant des compétences requises notamment en STIM (sciences, en technologies, en ingénierie et en mathématiques) est nettement augmentée</v>
      </c>
      <c r="AC1362" s="20" t="str">
        <f>D1362 &amp; "-" &amp; VLOOKUP(D1362,[4]STRATEGIES!$E$1:$F$504,2,FALSE)</f>
        <v>4333-Mise en œuvre du projet stratégique « 1000 PhD et 5000 Masters »</v>
      </c>
      <c r="AD1362" s="21" t="str">
        <f t="shared" si="212"/>
        <v>43333-Financement des formations en master à l'étranger (pris en compte dans activité 41536)</v>
      </c>
    </row>
    <row r="1363" spans="1:30" s="22" customFormat="1" ht="90" hidden="1" customHeight="1" x14ac:dyDescent="0.8">
      <c r="A1363" s="14">
        <v>4</v>
      </c>
      <c r="B1363" s="15">
        <v>43</v>
      </c>
      <c r="C1363" s="15">
        <v>433</v>
      </c>
      <c r="D1363" s="15">
        <v>4333</v>
      </c>
      <c r="E1363" s="15">
        <v>43334</v>
      </c>
      <c r="F1363" s="16" t="s">
        <v>1786</v>
      </c>
      <c r="G1363" s="21" t="s">
        <v>92</v>
      </c>
      <c r="H1363" s="17" t="s">
        <v>55</v>
      </c>
      <c r="I1363" s="33">
        <v>0</v>
      </c>
      <c r="J1363" s="33">
        <v>50</v>
      </c>
      <c r="K1363" s="33">
        <v>50</v>
      </c>
      <c r="L1363" s="33">
        <v>50</v>
      </c>
      <c r="M1363" s="33">
        <f t="shared" ref="M1363:M1388" si="213">SUM(I1363:L1363)</f>
        <v>150</v>
      </c>
      <c r="N1363" s="33">
        <f>IF(OR(H1363="",H1363="sif",H1363="PM"),0,VLOOKUP(H1363,[5]CU!$C$4:$H$255,6,FALSE))</f>
        <v>0</v>
      </c>
      <c r="O1363" s="33">
        <f t="shared" si="210"/>
        <v>0</v>
      </c>
      <c r="P1363" s="33">
        <f t="shared" si="210"/>
        <v>0</v>
      </c>
      <c r="Q1363" s="33">
        <f t="shared" si="210"/>
        <v>0</v>
      </c>
      <c r="R1363" s="33">
        <f t="shared" si="210"/>
        <v>0</v>
      </c>
      <c r="S1363" s="34"/>
      <c r="T1363" s="35" t="s">
        <v>56</v>
      </c>
      <c r="U1363" s="18" t="s">
        <v>1696</v>
      </c>
      <c r="V1363" s="18" t="str">
        <f>IF(OR($H1363="",$H1363="sif",$H1363="PM"),"",VLOOKUP($H1363,[5]CU!$C$5:$J$255,8,FALSE))</f>
        <v/>
      </c>
      <c r="W1363" s="18" t="s">
        <v>1665</v>
      </c>
      <c r="X1363" s="18" t="s">
        <v>521</v>
      </c>
      <c r="Y1363" s="18" t="s">
        <v>679</v>
      </c>
      <c r="Z1363" s="18" t="str">
        <f>A1363 &amp; "-" &amp; VLOOKUP(A1363,[4]PROGRAMMES!$E$1:$F$7,2,FALSE)</f>
        <v>4-Réforme de l’enseignement supérieur et la recherche scientifique et de l'innovation</v>
      </c>
      <c r="AA1363" s="19" t="str">
        <f>B1363 &amp; "-" &amp; VLOOKUP(B1363,[4]SOUSPROGRAMMES!$E$1:$F$44,2,FALSE)</f>
        <v>43- Qualité de l’enseignement, de la formation et de la recherche scientifique</v>
      </c>
      <c r="AB1363" s="19" t="str">
        <f>C1363 &amp; "-" &amp; VLOOKUP(C1363,[4]RESULTATS!$E$1:$F$176,2,FALSE)</f>
        <v>433- La proportion des diplômés du supérieur ayant des compétences requises notamment en STIM (sciences, en technologies, en ingénierie et en mathématiques) est nettement augmentée</v>
      </c>
      <c r="AC1363" s="20" t="str">
        <f>D1363 &amp; "-" &amp; VLOOKUP(D1363,[4]STRATEGIES!$E$1:$F$504,2,FALSE)</f>
        <v>4333-Mise en œuvre du projet stratégique « 1000 PhD et 5000 Masters »</v>
      </c>
      <c r="AD1363" s="21" t="str">
        <f t="shared" si="212"/>
        <v>43334-Financement des formations en Doctorat en Guinée (pris en compte dans subventions aux établissements)</v>
      </c>
    </row>
    <row r="1364" spans="1:30" s="22" customFormat="1" ht="90" hidden="1" customHeight="1" x14ac:dyDescent="0.8">
      <c r="A1364" s="14">
        <v>4</v>
      </c>
      <c r="B1364" s="15">
        <v>43</v>
      </c>
      <c r="C1364" s="15">
        <v>433</v>
      </c>
      <c r="D1364" s="15">
        <v>4333</v>
      </c>
      <c r="E1364" s="15">
        <v>43335</v>
      </c>
      <c r="F1364" s="16" t="s">
        <v>1787</v>
      </c>
      <c r="G1364" s="21" t="s">
        <v>436</v>
      </c>
      <c r="H1364" s="17" t="s">
        <v>1788</v>
      </c>
      <c r="I1364" s="33">
        <v>0</v>
      </c>
      <c r="J1364" s="33">
        <v>11</v>
      </c>
      <c r="K1364" s="33">
        <v>11</v>
      </c>
      <c r="L1364" s="33">
        <v>11</v>
      </c>
      <c r="M1364" s="33">
        <f t="shared" si="213"/>
        <v>33</v>
      </c>
      <c r="N1364" s="33">
        <f>IF(OR(H1364="",H1364="sif",H1364="PM"),0,VLOOKUP(H1364,[5]CU!$C$4:$H$255,6,FALSE))</f>
        <v>100</v>
      </c>
      <c r="O1364" s="33">
        <f t="shared" si="210"/>
        <v>0</v>
      </c>
      <c r="P1364" s="33">
        <f t="shared" si="210"/>
        <v>1100</v>
      </c>
      <c r="Q1364" s="33">
        <f t="shared" si="210"/>
        <v>1100</v>
      </c>
      <c r="R1364" s="33">
        <f t="shared" si="210"/>
        <v>1100</v>
      </c>
      <c r="S1364" s="34">
        <f>SUM(O1364:R1364)</f>
        <v>3300</v>
      </c>
      <c r="T1364" s="35" t="s">
        <v>56</v>
      </c>
      <c r="U1364" s="18" t="s">
        <v>1696</v>
      </c>
      <c r="V1364" s="18" t="str">
        <f>IF(OR($H1364="",$H1364="sif",$H1364="PM"),"",VLOOKUP($H1364,[5]CU!$C$5:$J$255,8,FALSE))</f>
        <v>3. Formation</v>
      </c>
      <c r="W1364" s="18"/>
      <c r="X1364" s="18"/>
      <c r="Y1364" s="18" t="s">
        <v>679</v>
      </c>
      <c r="Z1364" s="18" t="str">
        <f>A1364 &amp; "-" &amp; VLOOKUP(A1364,[4]PROGRAMMES!$E$1:$F$7,2,FALSE)</f>
        <v>4-Réforme de l’enseignement supérieur et la recherche scientifique et de l'innovation</v>
      </c>
      <c r="AA1364" s="19" t="str">
        <f>B1364 &amp; "-" &amp; VLOOKUP(B1364,[4]SOUSPROGRAMMES!$E$1:$F$44,2,FALSE)</f>
        <v>43- Qualité de l’enseignement, de la formation et de la recherche scientifique</v>
      </c>
      <c r="AB1364" s="19" t="str">
        <f>C1364 &amp; "-" &amp; VLOOKUP(C1364,[4]RESULTATS!$E$1:$F$176,2,FALSE)</f>
        <v>433- La proportion des diplômés du supérieur ayant des compétences requises notamment en STIM (sciences, en technologies, en ingénierie et en mathématiques) est nettement augmentée</v>
      </c>
      <c r="AC1364" s="20" t="str">
        <f>D1364 &amp; "-" &amp; VLOOKUP(D1364,[4]STRATEGIES!$E$1:$F$504,2,FALSE)</f>
        <v>4333-Mise en œuvre du projet stratégique « 1000 PhD et 5000 Masters »</v>
      </c>
      <c r="AD1364" s="21" t="str">
        <f t="shared" si="212"/>
        <v>43335-Financement des formations en Doctorat à l'étranger</v>
      </c>
    </row>
    <row r="1365" spans="1:30" s="22" customFormat="1" ht="90" hidden="1" customHeight="1" x14ac:dyDescent="0.8">
      <c r="A1365" s="14">
        <v>4</v>
      </c>
      <c r="B1365" s="15">
        <v>43</v>
      </c>
      <c r="C1365" s="15">
        <v>433</v>
      </c>
      <c r="D1365" s="15">
        <v>4334</v>
      </c>
      <c r="E1365" s="15">
        <v>4334</v>
      </c>
      <c r="F1365" s="16" t="s">
        <v>1789</v>
      </c>
      <c r="G1365" s="17"/>
      <c r="H1365" s="17"/>
      <c r="I1365" s="33">
        <v>0</v>
      </c>
      <c r="J1365" s="33"/>
      <c r="K1365" s="33"/>
      <c r="L1365" s="33"/>
      <c r="M1365" s="33"/>
      <c r="N1365" s="33"/>
      <c r="O1365" s="33"/>
      <c r="P1365" s="33"/>
      <c r="Q1365" s="33"/>
      <c r="R1365" s="33"/>
      <c r="S1365" s="34"/>
      <c r="T1365" s="33"/>
      <c r="U1365" s="18"/>
      <c r="V1365" s="18"/>
      <c r="W1365" s="18"/>
      <c r="X1365" s="18"/>
      <c r="Y1365" s="18" t="s">
        <v>679</v>
      </c>
      <c r="Z1365" s="18" t="str">
        <f>A1365 &amp; "-" &amp; VLOOKUP(A1365,[4]PROGRAMMES!$E$1:$F$7,2,FALSE)</f>
        <v>4-Réforme de l’enseignement supérieur et la recherche scientifique et de l'innovation</v>
      </c>
      <c r="AA1365" s="19" t="str">
        <f>B1365 &amp; "-" &amp; VLOOKUP(B1365,[4]SOUSPROGRAMMES!$E$1:$F$44,2,FALSE)</f>
        <v>43- Qualité de l’enseignement, de la formation et de la recherche scientifique</v>
      </c>
      <c r="AB1365" s="19" t="str">
        <f>C1365 &amp; "-" &amp; VLOOKUP(C1365,[4]RESULTATS!$E$1:$F$176,2,FALSE)</f>
        <v>433- La proportion des diplômés du supérieur ayant des compétences requises notamment en STIM (sciences, en technologies, en ingénierie et en mathématiques) est nettement augmentée</v>
      </c>
      <c r="AC1365" s="20" t="str">
        <f>D1365 &amp; "-" &amp; VLOOKUP(D1365,[4]STRATEGIES!$E$1:$F$504,2,FALSE)</f>
        <v>4334-Augmentation des publications de travaux de recherche</v>
      </c>
      <c r="AD1365" s="21" t="str">
        <f t="shared" si="212"/>
        <v>4334-Augmentation des publications de travaux de recherche</v>
      </c>
    </row>
    <row r="1366" spans="1:30" s="22" customFormat="1" ht="90" hidden="1" customHeight="1" x14ac:dyDescent="0.8">
      <c r="A1366" s="14">
        <v>4</v>
      </c>
      <c r="B1366" s="15">
        <v>43</v>
      </c>
      <c r="C1366" s="15">
        <v>433</v>
      </c>
      <c r="D1366" s="15">
        <v>4334</v>
      </c>
      <c r="E1366" s="15">
        <v>43341</v>
      </c>
      <c r="F1366" s="16" t="s">
        <v>1790</v>
      </c>
      <c r="G1366" s="21" t="s">
        <v>88</v>
      </c>
      <c r="H1366" s="17" t="s">
        <v>55</v>
      </c>
      <c r="I1366" s="33">
        <v>0</v>
      </c>
      <c r="J1366" s="33"/>
      <c r="K1366" s="33"/>
      <c r="L1366" s="33"/>
      <c r="M1366" s="33">
        <f t="shared" si="213"/>
        <v>0</v>
      </c>
      <c r="N1366" s="33">
        <f>IF(OR(H1366="",H1366="sif",H1366="PM"),0,VLOOKUP(H1366,[5]CU!$C$4:$H$255,6,FALSE))</f>
        <v>0</v>
      </c>
      <c r="O1366" s="33">
        <f t="shared" si="210"/>
        <v>0</v>
      </c>
      <c r="P1366" s="33">
        <f t="shared" si="210"/>
        <v>0</v>
      </c>
      <c r="Q1366" s="33">
        <f t="shared" si="210"/>
        <v>0</v>
      </c>
      <c r="R1366" s="33">
        <f t="shared" si="210"/>
        <v>0</v>
      </c>
      <c r="S1366" s="34"/>
      <c r="T1366" s="35" t="s">
        <v>169</v>
      </c>
      <c r="U1366" s="18" t="s">
        <v>1696</v>
      </c>
      <c r="V1366" s="18" t="str">
        <f>IF(OR($H1366="",$H1366="sif",$H1366="PM"),"",VLOOKUP($H1366,[5]CU!$C$5:$J$255,8,FALSE))</f>
        <v/>
      </c>
      <c r="W1366" s="18" t="s">
        <v>1791</v>
      </c>
      <c r="X1366" s="18" t="s">
        <v>521</v>
      </c>
      <c r="Y1366" s="18" t="s">
        <v>679</v>
      </c>
      <c r="Z1366" s="18" t="str">
        <f>A1366 &amp; "-" &amp; VLOOKUP(A1366,[4]PROGRAMMES!$E$1:$F$7,2,FALSE)</f>
        <v>4-Réforme de l’enseignement supérieur et la recherche scientifique et de l'innovation</v>
      </c>
      <c r="AA1366" s="19" t="str">
        <f>B1366 &amp; "-" &amp; VLOOKUP(B1366,[4]SOUSPROGRAMMES!$E$1:$F$44,2,FALSE)</f>
        <v>43- Qualité de l’enseignement, de la formation et de la recherche scientifique</v>
      </c>
      <c r="AB1366" s="19" t="str">
        <f>C1366 &amp; "-" &amp; VLOOKUP(C1366,[4]RESULTATS!$E$1:$F$176,2,FALSE)</f>
        <v>433- La proportion des diplômés du supérieur ayant des compétences requises notamment en STIM (sciences, en technologies, en ingénierie et en mathématiques) est nettement augmentée</v>
      </c>
      <c r="AC1366" s="20" t="str">
        <f>D1366 &amp; "-" &amp; VLOOKUP(D1366,[4]STRATEGIES!$E$1:$F$504,2,FALSE)</f>
        <v>4334-Augmentation des publications de travaux de recherche</v>
      </c>
      <c r="AD1366" s="21" t="str">
        <f t="shared" si="212"/>
        <v>43341-Elaboration des critères d'octroi des primes de recherche</v>
      </c>
    </row>
    <row r="1367" spans="1:30" s="22" customFormat="1" ht="90" hidden="1" customHeight="1" x14ac:dyDescent="0.8">
      <c r="A1367" s="14">
        <v>4</v>
      </c>
      <c r="B1367" s="15">
        <v>43</v>
      </c>
      <c r="C1367" s="15">
        <v>433</v>
      </c>
      <c r="D1367" s="15">
        <v>4334</v>
      </c>
      <c r="E1367" s="15">
        <v>43342</v>
      </c>
      <c r="F1367" s="16" t="s">
        <v>1792</v>
      </c>
      <c r="G1367" s="21" t="s">
        <v>88</v>
      </c>
      <c r="H1367" s="17" t="s">
        <v>55</v>
      </c>
      <c r="I1367" s="33">
        <v>0</v>
      </c>
      <c r="J1367" s="33">
        <v>1</v>
      </c>
      <c r="K1367" s="33">
        <v>1</v>
      </c>
      <c r="L1367" s="33">
        <v>1</v>
      </c>
      <c r="M1367" s="33">
        <f t="shared" si="213"/>
        <v>3</v>
      </c>
      <c r="N1367" s="33">
        <f>IF(OR(H1367="",H1367="sif",H1367="PM"),0,VLOOKUP(H1367,[5]CU!$C$4:$H$255,6,FALSE))</f>
        <v>0</v>
      </c>
      <c r="O1367" s="33">
        <f t="shared" si="210"/>
        <v>0</v>
      </c>
      <c r="P1367" s="33">
        <f t="shared" si="210"/>
        <v>0</v>
      </c>
      <c r="Q1367" s="33">
        <f t="shared" si="210"/>
        <v>0</v>
      </c>
      <c r="R1367" s="33">
        <f t="shared" si="210"/>
        <v>0</v>
      </c>
      <c r="S1367" s="34"/>
      <c r="T1367" s="35" t="s">
        <v>56</v>
      </c>
      <c r="U1367" s="18" t="s">
        <v>1696</v>
      </c>
      <c r="V1367" s="18" t="str">
        <f>IF(OR($H1367="",$H1367="sif",$H1367="PM"),"",VLOOKUP($H1367,[5]CU!$C$5:$J$255,8,FALSE))</f>
        <v/>
      </c>
      <c r="W1367" s="18" t="s">
        <v>1665</v>
      </c>
      <c r="X1367" s="18" t="s">
        <v>1607</v>
      </c>
      <c r="Y1367" s="18" t="s">
        <v>679</v>
      </c>
      <c r="Z1367" s="18" t="str">
        <f>A1367 &amp; "-" &amp; VLOOKUP(A1367,[4]PROGRAMMES!$E$1:$F$7,2,FALSE)</f>
        <v>4-Réforme de l’enseignement supérieur et la recherche scientifique et de l'innovation</v>
      </c>
      <c r="AA1367" s="19" t="str">
        <f>B1367 &amp; "-" &amp; VLOOKUP(B1367,[4]SOUSPROGRAMMES!$E$1:$F$44,2,FALSE)</f>
        <v>43- Qualité de l’enseignement, de la formation et de la recherche scientifique</v>
      </c>
      <c r="AB1367" s="19" t="str">
        <f>C1367 &amp; "-" &amp; VLOOKUP(C1367,[4]RESULTATS!$E$1:$F$176,2,FALSE)</f>
        <v>433- La proportion des diplômés du supérieur ayant des compétences requises notamment en STIM (sciences, en technologies, en ingénierie et en mathématiques) est nettement augmentée</v>
      </c>
      <c r="AC1367" s="20" t="str">
        <f>D1367 &amp; "-" &amp; VLOOKUP(D1367,[4]STRATEGIES!$E$1:$F$504,2,FALSE)</f>
        <v>4334-Augmentation des publications de travaux de recherche</v>
      </c>
      <c r="AD1367" s="21" t="str">
        <f t="shared" si="212"/>
        <v>43342-Elaboration d'un répertoire des publications</v>
      </c>
    </row>
    <row r="1368" spans="1:30" s="22" customFormat="1" ht="90" hidden="1" customHeight="1" x14ac:dyDescent="0.8">
      <c r="A1368" s="14">
        <v>4</v>
      </c>
      <c r="B1368" s="15">
        <v>43</v>
      </c>
      <c r="C1368" s="15">
        <v>433</v>
      </c>
      <c r="D1368" s="15">
        <v>4334</v>
      </c>
      <c r="E1368" s="15">
        <v>43343</v>
      </c>
      <c r="F1368" s="16" t="s">
        <v>1793</v>
      </c>
      <c r="G1368" s="21" t="s">
        <v>92</v>
      </c>
      <c r="H1368" s="17" t="s">
        <v>55</v>
      </c>
      <c r="I1368" s="33">
        <v>0</v>
      </c>
      <c r="J1368" s="33">
        <v>1</v>
      </c>
      <c r="K1368" s="33">
        <v>1</v>
      </c>
      <c r="L1368" s="33">
        <v>1</v>
      </c>
      <c r="M1368" s="33">
        <f t="shared" si="213"/>
        <v>3</v>
      </c>
      <c r="N1368" s="33">
        <f>IF(OR(H1368="",H1368="sif",H1368="PM"),0,VLOOKUP(H1368,[5]CU!$C$4:$H$255,6,FALSE))</f>
        <v>0</v>
      </c>
      <c r="O1368" s="33">
        <f t="shared" si="210"/>
        <v>0</v>
      </c>
      <c r="P1368" s="33">
        <f t="shared" si="210"/>
        <v>0</v>
      </c>
      <c r="Q1368" s="33">
        <f t="shared" si="210"/>
        <v>0</v>
      </c>
      <c r="R1368" s="33">
        <f t="shared" si="210"/>
        <v>0</v>
      </c>
      <c r="S1368" s="34"/>
      <c r="T1368" s="35" t="s">
        <v>56</v>
      </c>
      <c r="U1368" s="18" t="s">
        <v>1696</v>
      </c>
      <c r="V1368" s="18" t="str">
        <f>IF(OR($H1368="",$H1368="sif",$H1368="PM"),"",VLOOKUP($H1368,[5]CU!$C$5:$J$255,8,FALSE))</f>
        <v/>
      </c>
      <c r="W1368" s="18" t="s">
        <v>1665</v>
      </c>
      <c r="X1368" s="18" t="s">
        <v>521</v>
      </c>
      <c r="Y1368" s="18" t="s">
        <v>679</v>
      </c>
      <c r="Z1368" s="18" t="str">
        <f>A1368 &amp; "-" &amp; VLOOKUP(A1368,[4]PROGRAMMES!$E$1:$F$7,2,FALSE)</f>
        <v>4-Réforme de l’enseignement supérieur et la recherche scientifique et de l'innovation</v>
      </c>
      <c r="AA1368" s="19" t="str">
        <f>B1368 &amp; "-" &amp; VLOOKUP(B1368,[4]SOUSPROGRAMMES!$E$1:$F$44,2,FALSE)</f>
        <v>43- Qualité de l’enseignement, de la formation et de la recherche scientifique</v>
      </c>
      <c r="AB1368" s="19" t="str">
        <f>C1368 &amp; "-" &amp; VLOOKUP(C1368,[4]RESULTATS!$E$1:$F$176,2,FALSE)</f>
        <v>433- La proportion des diplômés du supérieur ayant des compétences requises notamment en STIM (sciences, en technologies, en ingénierie et en mathématiques) est nettement augmentée</v>
      </c>
      <c r="AC1368" s="20" t="str">
        <f>D1368 &amp; "-" &amp; VLOOKUP(D1368,[4]STRATEGIES!$E$1:$F$504,2,FALSE)</f>
        <v>4334-Augmentation des publications de travaux de recherche</v>
      </c>
      <c r="AD1368" s="21" t="str">
        <f t="shared" si="212"/>
        <v>43343-Paiement des primes de publications</v>
      </c>
    </row>
    <row r="1369" spans="1:30" s="22" customFormat="1" ht="90" hidden="1" customHeight="1" x14ac:dyDescent="0.8">
      <c r="A1369" s="14">
        <v>4</v>
      </c>
      <c r="B1369" s="15">
        <v>43</v>
      </c>
      <c r="C1369" s="15">
        <v>433</v>
      </c>
      <c r="D1369" s="15">
        <v>4335</v>
      </c>
      <c r="E1369" s="15">
        <v>4335</v>
      </c>
      <c r="F1369" s="16" t="s">
        <v>1794</v>
      </c>
      <c r="G1369" s="17"/>
      <c r="H1369" s="17"/>
      <c r="I1369" s="33">
        <v>0</v>
      </c>
      <c r="J1369" s="33"/>
      <c r="K1369" s="33"/>
      <c r="L1369" s="33"/>
      <c r="M1369" s="33"/>
      <c r="N1369" s="33"/>
      <c r="O1369" s="33"/>
      <c r="P1369" s="33"/>
      <c r="Q1369" s="33"/>
      <c r="R1369" s="33"/>
      <c r="S1369" s="34"/>
      <c r="T1369" s="33"/>
      <c r="U1369" s="18"/>
      <c r="V1369" s="18"/>
      <c r="W1369" s="18"/>
      <c r="X1369" s="18"/>
      <c r="Y1369" s="18" t="s">
        <v>679</v>
      </c>
      <c r="Z1369" s="18" t="str">
        <f>A1369 &amp; "-" &amp; VLOOKUP(A1369,[4]PROGRAMMES!$E$1:$F$7,2,FALSE)</f>
        <v>4-Réforme de l’enseignement supérieur et la recherche scientifique et de l'innovation</v>
      </c>
      <c r="AA1369" s="19" t="str">
        <f>B1369 &amp; "-" &amp; VLOOKUP(B1369,[4]SOUSPROGRAMMES!$E$1:$F$44,2,FALSE)</f>
        <v>43- Qualité de l’enseignement, de la formation et de la recherche scientifique</v>
      </c>
      <c r="AB1369" s="19" t="str">
        <f>C1369 &amp; "-" &amp; VLOOKUP(C1369,[4]RESULTATS!$E$1:$F$176,2,FALSE)</f>
        <v>433- La proportion des diplômés du supérieur ayant des compétences requises notamment en STIM (sciences, en technologies, en ingénierie et en mathématiques) est nettement augmentée</v>
      </c>
      <c r="AC1369" s="20" t="str">
        <f>D1369 &amp; "-" &amp; VLOOKUP(D1369,[4]STRATEGIES!$E$1:$F$504,2,FALSE)</f>
        <v>4335-Renforcement de l’encadrement des mémoires et thèses</v>
      </c>
      <c r="AD1369" s="21" t="str">
        <f t="shared" si="212"/>
        <v>4335-Renforcement de l’encadrement des mémoires et thèses</v>
      </c>
    </row>
    <row r="1370" spans="1:30" s="22" customFormat="1" ht="90" hidden="1" customHeight="1" x14ac:dyDescent="0.8">
      <c r="A1370" s="14">
        <v>4</v>
      </c>
      <c r="B1370" s="15">
        <v>43</v>
      </c>
      <c r="C1370" s="15">
        <v>433</v>
      </c>
      <c r="D1370" s="15">
        <v>4335</v>
      </c>
      <c r="E1370" s="15">
        <v>43351</v>
      </c>
      <c r="F1370" s="16" t="s">
        <v>1795</v>
      </c>
      <c r="G1370" s="21" t="s">
        <v>88</v>
      </c>
      <c r="H1370" s="17" t="s">
        <v>55</v>
      </c>
      <c r="I1370" s="33">
        <v>0</v>
      </c>
      <c r="J1370" s="33"/>
      <c r="K1370" s="33"/>
      <c r="L1370" s="33"/>
      <c r="M1370" s="33">
        <f t="shared" si="213"/>
        <v>0</v>
      </c>
      <c r="N1370" s="33">
        <f>IF(OR(H1370="",H1370="sif",H1370="PM"),0,VLOOKUP(H1370,[5]CU!$C$4:$H$255,6,FALSE))</f>
        <v>0</v>
      </c>
      <c r="O1370" s="33">
        <f t="shared" si="210"/>
        <v>0</v>
      </c>
      <c r="P1370" s="33">
        <f t="shared" si="210"/>
        <v>0</v>
      </c>
      <c r="Q1370" s="33">
        <f t="shared" si="210"/>
        <v>0</v>
      </c>
      <c r="R1370" s="33">
        <f t="shared" si="210"/>
        <v>0</v>
      </c>
      <c r="S1370" s="34"/>
      <c r="T1370" s="35" t="s">
        <v>56</v>
      </c>
      <c r="U1370" s="18" t="s">
        <v>1696</v>
      </c>
      <c r="V1370" s="18" t="str">
        <f>IF(OR($H1370="",$H1370="sif",$H1370="PM"),"",VLOOKUP($H1370,[5]CU!$C$5:$J$255,8,FALSE))</f>
        <v/>
      </c>
      <c r="W1370" s="18" t="s">
        <v>1647</v>
      </c>
      <c r="X1370" s="18" t="s">
        <v>521</v>
      </c>
      <c r="Y1370" s="18" t="s">
        <v>679</v>
      </c>
      <c r="Z1370" s="18" t="str">
        <f>A1370 &amp; "-" &amp; VLOOKUP(A1370,[4]PROGRAMMES!$E$1:$F$7,2,FALSE)</f>
        <v>4-Réforme de l’enseignement supérieur et la recherche scientifique et de l'innovation</v>
      </c>
      <c r="AA1370" s="19" t="str">
        <f>B1370 &amp; "-" &amp; VLOOKUP(B1370,[4]SOUSPROGRAMMES!$E$1:$F$44,2,FALSE)</f>
        <v>43- Qualité de l’enseignement, de la formation et de la recherche scientifique</v>
      </c>
      <c r="AB1370" s="19" t="str">
        <f>C1370 &amp; "-" &amp; VLOOKUP(C1370,[4]RESULTATS!$E$1:$F$176,2,FALSE)</f>
        <v>433- La proportion des diplômés du supérieur ayant des compétences requises notamment en STIM (sciences, en technologies, en ingénierie et en mathématiques) est nettement augmentée</v>
      </c>
      <c r="AC1370" s="20" t="str">
        <f>D1370 &amp; "-" &amp; VLOOKUP(D1370,[4]STRATEGIES!$E$1:$F$504,2,FALSE)</f>
        <v>4335-Renforcement de l’encadrement des mémoires et thèses</v>
      </c>
      <c r="AD1370" s="21" t="str">
        <f t="shared" si="212"/>
        <v>43351-Réactualisation des critères d'octroi des primes d'encadrement</v>
      </c>
    </row>
    <row r="1371" spans="1:30" s="22" customFormat="1" ht="90" hidden="1" customHeight="1" x14ac:dyDescent="0.8">
      <c r="A1371" s="14">
        <v>4</v>
      </c>
      <c r="B1371" s="15">
        <v>43</v>
      </c>
      <c r="C1371" s="15">
        <v>433</v>
      </c>
      <c r="D1371" s="15">
        <v>4335</v>
      </c>
      <c r="E1371" s="15">
        <v>43352</v>
      </c>
      <c r="F1371" s="16" t="s">
        <v>1796</v>
      </c>
      <c r="G1371" s="21" t="s">
        <v>88</v>
      </c>
      <c r="H1371" s="17" t="s">
        <v>55</v>
      </c>
      <c r="I1371" s="33">
        <v>0</v>
      </c>
      <c r="J1371" s="33">
        <v>1</v>
      </c>
      <c r="K1371" s="33">
        <v>1</v>
      </c>
      <c r="L1371" s="33">
        <v>1</v>
      </c>
      <c r="M1371" s="33">
        <f t="shared" si="213"/>
        <v>3</v>
      </c>
      <c r="N1371" s="33">
        <f>IF(OR(H1371="",H1371="sif",H1371="PM"),0,VLOOKUP(H1371,[5]CU!$C$4:$H$255,6,FALSE))</f>
        <v>0</v>
      </c>
      <c r="O1371" s="33">
        <f t="shared" si="210"/>
        <v>0</v>
      </c>
      <c r="P1371" s="33">
        <f t="shared" si="210"/>
        <v>0</v>
      </c>
      <c r="Q1371" s="33">
        <f t="shared" si="210"/>
        <v>0</v>
      </c>
      <c r="R1371" s="33">
        <f t="shared" si="210"/>
        <v>0</v>
      </c>
      <c r="S1371" s="34"/>
      <c r="T1371" s="35" t="s">
        <v>56</v>
      </c>
      <c r="U1371" s="18" t="s">
        <v>1696</v>
      </c>
      <c r="V1371" s="18" t="str">
        <f>IF(OR($H1371="",$H1371="sif",$H1371="PM"),"",VLOOKUP($H1371,[5]CU!$C$5:$J$255,8,FALSE))</f>
        <v/>
      </c>
      <c r="W1371" s="18" t="s">
        <v>1647</v>
      </c>
      <c r="X1371" s="18" t="s">
        <v>1607</v>
      </c>
      <c r="Y1371" s="18" t="s">
        <v>679</v>
      </c>
      <c r="Z1371" s="18" t="str">
        <f>A1371 &amp; "-" &amp; VLOOKUP(A1371,[4]PROGRAMMES!$E$1:$F$7,2,FALSE)</f>
        <v>4-Réforme de l’enseignement supérieur et la recherche scientifique et de l'innovation</v>
      </c>
      <c r="AA1371" s="19" t="str">
        <f>B1371 &amp; "-" &amp; VLOOKUP(B1371,[4]SOUSPROGRAMMES!$E$1:$F$44,2,FALSE)</f>
        <v>43- Qualité de l’enseignement, de la formation et de la recherche scientifique</v>
      </c>
      <c r="AB1371" s="19" t="str">
        <f>C1371 &amp; "-" &amp; VLOOKUP(C1371,[4]RESULTATS!$E$1:$F$176,2,FALSE)</f>
        <v>433- La proportion des diplômés du supérieur ayant des compétences requises notamment en STIM (sciences, en technologies, en ingénierie et en mathématiques) est nettement augmentée</v>
      </c>
      <c r="AC1371" s="20" t="str">
        <f>D1371 &amp; "-" &amp; VLOOKUP(D1371,[4]STRATEGIES!$E$1:$F$504,2,FALSE)</f>
        <v>4335-Renforcement de l’encadrement des mémoires et thèses</v>
      </c>
      <c r="AD1371" s="21" t="str">
        <f t="shared" si="212"/>
        <v xml:space="preserve">43352-Elaboration de la liste des mémoires et thèses par encadreur </v>
      </c>
    </row>
    <row r="1372" spans="1:30" s="22" customFormat="1" ht="90" hidden="1" customHeight="1" x14ac:dyDescent="0.8">
      <c r="A1372" s="14">
        <v>4</v>
      </c>
      <c r="B1372" s="15">
        <v>43</v>
      </c>
      <c r="C1372" s="15">
        <v>433</v>
      </c>
      <c r="D1372" s="15">
        <v>4335</v>
      </c>
      <c r="E1372" s="15">
        <v>43353</v>
      </c>
      <c r="F1372" s="16" t="s">
        <v>1797</v>
      </c>
      <c r="G1372" s="21" t="s">
        <v>92</v>
      </c>
      <c r="H1372" s="17" t="s">
        <v>55</v>
      </c>
      <c r="I1372" s="33">
        <v>0</v>
      </c>
      <c r="J1372" s="33">
        <v>1</v>
      </c>
      <c r="K1372" s="33">
        <v>1</v>
      </c>
      <c r="L1372" s="33">
        <v>1</v>
      </c>
      <c r="M1372" s="33">
        <f t="shared" si="213"/>
        <v>3</v>
      </c>
      <c r="N1372" s="33">
        <f>IF(OR(H1372="",H1372="sif",H1372="PM"),0,VLOOKUP(H1372,[5]CU!$C$4:$H$255,6,FALSE))</f>
        <v>0</v>
      </c>
      <c r="O1372" s="33">
        <f t="shared" si="210"/>
        <v>0</v>
      </c>
      <c r="P1372" s="33">
        <f t="shared" si="210"/>
        <v>0</v>
      </c>
      <c r="Q1372" s="33">
        <f t="shared" si="210"/>
        <v>0</v>
      </c>
      <c r="R1372" s="33">
        <f t="shared" si="210"/>
        <v>0</v>
      </c>
      <c r="S1372" s="34"/>
      <c r="T1372" s="35" t="s">
        <v>56</v>
      </c>
      <c r="U1372" s="18" t="s">
        <v>1696</v>
      </c>
      <c r="V1372" s="18" t="str">
        <f>IF(OR($H1372="",$H1372="sif",$H1372="PM"),"",VLOOKUP($H1372,[5]CU!$C$5:$J$255,8,FALSE))</f>
        <v/>
      </c>
      <c r="W1372" s="18" t="s">
        <v>1647</v>
      </c>
      <c r="X1372" s="18" t="s">
        <v>521</v>
      </c>
      <c r="Y1372" s="18" t="s">
        <v>679</v>
      </c>
      <c r="Z1372" s="18" t="str">
        <f>A1372 &amp; "-" &amp; VLOOKUP(A1372,[4]PROGRAMMES!$E$1:$F$7,2,FALSE)</f>
        <v>4-Réforme de l’enseignement supérieur et la recherche scientifique et de l'innovation</v>
      </c>
      <c r="AA1372" s="19" t="str">
        <f>B1372 &amp; "-" &amp; VLOOKUP(B1372,[4]SOUSPROGRAMMES!$E$1:$F$44,2,FALSE)</f>
        <v>43- Qualité de l’enseignement, de la formation et de la recherche scientifique</v>
      </c>
      <c r="AB1372" s="19" t="str">
        <f>C1372 &amp; "-" &amp; VLOOKUP(C1372,[4]RESULTATS!$E$1:$F$176,2,FALSE)</f>
        <v>433- La proportion des diplômés du supérieur ayant des compétences requises notamment en STIM (sciences, en technologies, en ingénierie et en mathématiques) est nettement augmentée</v>
      </c>
      <c r="AC1372" s="20" t="str">
        <f>D1372 &amp; "-" &amp; VLOOKUP(D1372,[4]STRATEGIES!$E$1:$F$504,2,FALSE)</f>
        <v>4335-Renforcement de l’encadrement des mémoires et thèses</v>
      </c>
      <c r="AD1372" s="21" t="str">
        <f t="shared" si="212"/>
        <v>43353-paiement des primes d'encadrement (pris en compte dans subvention des établissements)</v>
      </c>
    </row>
    <row r="1373" spans="1:30" s="22" customFormat="1" ht="45" hidden="1" customHeight="1" x14ac:dyDescent="0.8">
      <c r="A1373" s="14">
        <v>4</v>
      </c>
      <c r="B1373" s="15">
        <v>43</v>
      </c>
      <c r="C1373" s="15">
        <v>434</v>
      </c>
      <c r="D1373" s="15">
        <v>434</v>
      </c>
      <c r="E1373" s="15">
        <v>434</v>
      </c>
      <c r="F1373" s="16" t="s">
        <v>1798</v>
      </c>
      <c r="G1373" s="17"/>
      <c r="H1373" s="17"/>
      <c r="I1373" s="33">
        <v>0</v>
      </c>
      <c r="J1373" s="33"/>
      <c r="K1373" s="33"/>
      <c r="L1373" s="33"/>
      <c r="M1373" s="33"/>
      <c r="N1373" s="33"/>
      <c r="O1373" s="33"/>
      <c r="P1373" s="33"/>
      <c r="Q1373" s="33"/>
      <c r="R1373" s="33"/>
      <c r="S1373" s="34"/>
      <c r="T1373" s="33"/>
      <c r="U1373" s="18"/>
      <c r="V1373" s="18"/>
      <c r="W1373" s="18"/>
      <c r="X1373" s="18"/>
      <c r="Y1373" s="18" t="s">
        <v>679</v>
      </c>
      <c r="Z1373" s="18" t="str">
        <f>A1373 &amp; "-" &amp; VLOOKUP(A1373,[4]PROGRAMMES!$E$1:$F$7,2,FALSE)</f>
        <v>4-Réforme de l’enseignement supérieur et la recherche scientifique et de l'innovation</v>
      </c>
      <c r="AA1373" s="19" t="str">
        <f>B1373 &amp; "-" &amp; VLOOKUP(B1373,[4]SOUSPROGRAMMES!$E$1:$F$44,2,FALSE)</f>
        <v>43- Qualité de l’enseignement, de la formation et de la recherche scientifique</v>
      </c>
      <c r="AB1373" s="19" t="str">
        <f>C1373 &amp; "-" &amp; VLOOKUP(C1373,[4]RESULTATS!$E$1:$F$176,2,FALSE)</f>
        <v>434- Les structures d’accompagnement et de suivi des diplômés sur le marché du travail sont fonctionnelles</v>
      </c>
      <c r="AC1373" s="20" t="str">
        <f>D1373 &amp; "-" &amp; VLOOKUP(D1373,[4]STRATEGIES!$E$1:$F$504,2,FALSE)</f>
        <v>434- Les structures d’accompagnement et de suivi des diplômés sur le marché du travail sont fonctionnelles</v>
      </c>
      <c r="AD1373" s="21" t="str">
        <f t="shared" si="212"/>
        <v>434- Les structures d’accompagnement et de suivi des diplômés sur le marché du travail sont fonctionnelles</v>
      </c>
    </row>
    <row r="1374" spans="1:30" s="22" customFormat="1" ht="45" hidden="1" customHeight="1" x14ac:dyDescent="0.8">
      <c r="A1374" s="14">
        <v>4</v>
      </c>
      <c r="B1374" s="15">
        <v>43</v>
      </c>
      <c r="C1374" s="15">
        <v>434</v>
      </c>
      <c r="D1374" s="15">
        <v>4341</v>
      </c>
      <c r="E1374" s="15">
        <v>4341</v>
      </c>
      <c r="F1374" s="16" t="s">
        <v>1799</v>
      </c>
      <c r="G1374" s="17"/>
      <c r="H1374" s="17"/>
      <c r="I1374" s="33">
        <v>0</v>
      </c>
      <c r="J1374" s="33"/>
      <c r="K1374" s="33"/>
      <c r="L1374" s="33"/>
      <c r="M1374" s="33"/>
      <c r="N1374" s="33"/>
      <c r="O1374" s="33"/>
      <c r="P1374" s="33"/>
      <c r="Q1374" s="33"/>
      <c r="R1374" s="33"/>
      <c r="S1374" s="34"/>
      <c r="T1374" s="33"/>
      <c r="U1374" s="18"/>
      <c r="V1374" s="18"/>
      <c r="W1374" s="18"/>
      <c r="X1374" s="18"/>
      <c r="Y1374" s="18" t="s">
        <v>679</v>
      </c>
      <c r="Z1374" s="18" t="str">
        <f>A1374 &amp; "-" &amp; VLOOKUP(A1374,[4]PROGRAMMES!$E$1:$F$7,2,FALSE)</f>
        <v>4-Réforme de l’enseignement supérieur et la recherche scientifique et de l'innovation</v>
      </c>
      <c r="AA1374" s="19" t="str">
        <f>B1374 &amp; "-" &amp; VLOOKUP(B1374,[4]SOUSPROGRAMMES!$E$1:$F$44,2,FALSE)</f>
        <v>43- Qualité de l’enseignement, de la formation et de la recherche scientifique</v>
      </c>
      <c r="AB1374" s="19" t="str">
        <f>C1374 &amp; "-" &amp; VLOOKUP(C1374,[4]RESULTATS!$E$1:$F$176,2,FALSE)</f>
        <v>434- Les structures d’accompagnement et de suivi des diplômés sur le marché du travail sont fonctionnelles</v>
      </c>
      <c r="AC1374" s="20" t="str">
        <f>D1374 &amp; "-" &amp; VLOOKUP(D1374,[4]STRATEGIES!$E$1:$F$504,2,FALSE)</f>
        <v>4341-Création de structures d’accompagnement des étudiants diplômés</v>
      </c>
      <c r="AD1374" s="21" t="str">
        <f t="shared" si="212"/>
        <v>4341-Création de structures d’accompagnement des étudiants diplômés</v>
      </c>
    </row>
    <row r="1375" spans="1:30" s="22" customFormat="1" ht="45" hidden="1" customHeight="1" x14ac:dyDescent="0.8">
      <c r="A1375" s="14">
        <v>4</v>
      </c>
      <c r="B1375" s="15">
        <v>43</v>
      </c>
      <c r="C1375" s="15">
        <v>434</v>
      </c>
      <c r="D1375" s="15">
        <v>4341</v>
      </c>
      <c r="E1375" s="15">
        <v>43411</v>
      </c>
      <c r="F1375" s="16" t="s">
        <v>1800</v>
      </c>
      <c r="G1375" s="21" t="s">
        <v>88</v>
      </c>
      <c r="H1375" s="17" t="s">
        <v>55</v>
      </c>
      <c r="I1375" s="33">
        <v>0</v>
      </c>
      <c r="J1375" s="33">
        <v>1</v>
      </c>
      <c r="K1375" s="33"/>
      <c r="L1375" s="33"/>
      <c r="M1375" s="33">
        <f t="shared" si="213"/>
        <v>1</v>
      </c>
      <c r="N1375" s="33">
        <f>IF(OR(H1375="",H1375="sif",H1375="PM"),0,VLOOKUP(H1375,[5]CU!$C$4:$H$255,6,FALSE))</f>
        <v>0</v>
      </c>
      <c r="O1375" s="33">
        <f t="shared" si="210"/>
        <v>0</v>
      </c>
      <c r="P1375" s="33">
        <f t="shared" si="210"/>
        <v>0</v>
      </c>
      <c r="Q1375" s="33">
        <f t="shared" si="210"/>
        <v>0</v>
      </c>
      <c r="R1375" s="33">
        <f t="shared" si="210"/>
        <v>0</v>
      </c>
      <c r="S1375" s="34"/>
      <c r="T1375" s="35" t="s">
        <v>56</v>
      </c>
      <c r="U1375" s="18" t="s">
        <v>1696</v>
      </c>
      <c r="V1375" s="18" t="str">
        <f>IF(OR($H1375="",$H1375="sif",$H1375="PM"),"",VLOOKUP($H1375,[5]CU!$C$5:$J$255,8,FALSE))</f>
        <v/>
      </c>
      <c r="W1375" s="18" t="s">
        <v>255</v>
      </c>
      <c r="X1375" s="18" t="s">
        <v>1665</v>
      </c>
      <c r="Y1375" s="18" t="s">
        <v>679</v>
      </c>
      <c r="Z1375" s="18" t="str">
        <f>A1375 &amp; "-" &amp; VLOOKUP(A1375,[4]PROGRAMMES!$E$1:$F$7,2,FALSE)</f>
        <v>4-Réforme de l’enseignement supérieur et la recherche scientifique et de l'innovation</v>
      </c>
      <c r="AA1375" s="19" t="str">
        <f>B1375 &amp; "-" &amp; VLOOKUP(B1375,[4]SOUSPROGRAMMES!$E$1:$F$44,2,FALSE)</f>
        <v>43- Qualité de l’enseignement, de la formation et de la recherche scientifique</v>
      </c>
      <c r="AB1375" s="19" t="str">
        <f>C1375 &amp; "-" &amp; VLOOKUP(C1375,[4]RESULTATS!$E$1:$F$176,2,FALSE)</f>
        <v>434- Les structures d’accompagnement et de suivi des diplômés sur le marché du travail sont fonctionnelles</v>
      </c>
      <c r="AC1375" s="20" t="str">
        <f>D1375 &amp; "-" &amp; VLOOKUP(D1375,[4]STRATEGIES!$E$1:$F$504,2,FALSE)</f>
        <v>4341-Création de structures d’accompagnement des étudiants diplômés</v>
      </c>
      <c r="AD1375" s="21" t="str">
        <f t="shared" si="212"/>
        <v>43411-Elaboration/publication des actes de création des structures au niveau des institutions et au niveau central</v>
      </c>
    </row>
    <row r="1376" spans="1:30" s="22" customFormat="1" ht="45" hidden="1" customHeight="1" x14ac:dyDescent="0.8">
      <c r="A1376" s="14">
        <v>4</v>
      </c>
      <c r="B1376" s="15">
        <v>43</v>
      </c>
      <c r="C1376" s="15">
        <v>434</v>
      </c>
      <c r="D1376" s="15">
        <v>4341</v>
      </c>
      <c r="E1376" s="15">
        <v>43412</v>
      </c>
      <c r="F1376" s="16" t="s">
        <v>1801</v>
      </c>
      <c r="G1376" s="21" t="s">
        <v>321</v>
      </c>
      <c r="H1376" s="17" t="s">
        <v>55</v>
      </c>
      <c r="I1376" s="33">
        <v>0</v>
      </c>
      <c r="J1376" s="33">
        <v>1</v>
      </c>
      <c r="K1376" s="33"/>
      <c r="L1376" s="33"/>
      <c r="M1376" s="33">
        <f t="shared" si="213"/>
        <v>1</v>
      </c>
      <c r="N1376" s="33">
        <f>IF(OR(H1376="",H1376="sif",H1376="PM"),0,VLOOKUP(H1376,[5]CU!$C$4:$H$255,6,FALSE))</f>
        <v>0</v>
      </c>
      <c r="O1376" s="33">
        <f t="shared" si="210"/>
        <v>0</v>
      </c>
      <c r="P1376" s="33">
        <f t="shared" si="210"/>
        <v>0</v>
      </c>
      <c r="Q1376" s="33">
        <f t="shared" si="210"/>
        <v>0</v>
      </c>
      <c r="R1376" s="33">
        <f t="shared" si="210"/>
        <v>0</v>
      </c>
      <c r="S1376" s="34"/>
      <c r="T1376" s="35" t="s">
        <v>56</v>
      </c>
      <c r="U1376" s="18" t="s">
        <v>1696</v>
      </c>
      <c r="V1376" s="18" t="str">
        <f>IF(OR($H1376="",$H1376="sif",$H1376="PM"),"",VLOOKUP($H1376,[5]CU!$C$5:$J$255,8,FALSE))</f>
        <v/>
      </c>
      <c r="W1376" s="18" t="s">
        <v>255</v>
      </c>
      <c r="X1376" s="18" t="s">
        <v>142</v>
      </c>
      <c r="Y1376" s="18" t="s">
        <v>679</v>
      </c>
      <c r="Z1376" s="18" t="str">
        <f>A1376 &amp; "-" &amp; VLOOKUP(A1376,[4]PROGRAMMES!$E$1:$F$7,2,FALSE)</f>
        <v>4-Réforme de l’enseignement supérieur et la recherche scientifique et de l'innovation</v>
      </c>
      <c r="AA1376" s="19" t="str">
        <f>B1376 &amp; "-" &amp; VLOOKUP(B1376,[4]SOUSPROGRAMMES!$E$1:$F$44,2,FALSE)</f>
        <v>43- Qualité de l’enseignement, de la formation et de la recherche scientifique</v>
      </c>
      <c r="AB1376" s="19" t="str">
        <f>C1376 &amp; "-" &amp; VLOOKUP(C1376,[4]RESULTATS!$E$1:$F$176,2,FALSE)</f>
        <v>434- Les structures d’accompagnement et de suivi des diplômés sur le marché du travail sont fonctionnelles</v>
      </c>
      <c r="AC1376" s="20" t="str">
        <f>D1376 &amp; "-" &amp; VLOOKUP(D1376,[4]STRATEGIES!$E$1:$F$504,2,FALSE)</f>
        <v>4341-Création de structures d’accompagnement des étudiants diplômés</v>
      </c>
      <c r="AD1376" s="21" t="str">
        <f t="shared" si="212"/>
        <v>43412-Nomination des cadres dans les structures de suivi</v>
      </c>
    </row>
    <row r="1377" spans="1:30" s="22" customFormat="1" ht="45" hidden="1" customHeight="1" x14ac:dyDescent="0.8">
      <c r="A1377" s="14">
        <v>4</v>
      </c>
      <c r="B1377" s="15">
        <v>43</v>
      </c>
      <c r="C1377" s="15">
        <v>434</v>
      </c>
      <c r="D1377" s="15">
        <v>4341</v>
      </c>
      <c r="E1377" s="15">
        <v>43413</v>
      </c>
      <c r="F1377" s="16" t="s">
        <v>1802</v>
      </c>
      <c r="G1377" s="21" t="s">
        <v>92</v>
      </c>
      <c r="H1377" s="17" t="s">
        <v>55</v>
      </c>
      <c r="I1377" s="33">
        <v>0</v>
      </c>
      <c r="J1377" s="33"/>
      <c r="K1377" s="33">
        <v>1</v>
      </c>
      <c r="L1377" s="33">
        <v>1</v>
      </c>
      <c r="M1377" s="33">
        <f t="shared" si="213"/>
        <v>2</v>
      </c>
      <c r="N1377" s="33">
        <f>IF(OR(H1377="",H1377="sif",H1377="PM"),0,VLOOKUP(H1377,[5]CU!$C$4:$H$255,6,FALSE))</f>
        <v>0</v>
      </c>
      <c r="O1377" s="33">
        <f t="shared" si="210"/>
        <v>0</v>
      </c>
      <c r="P1377" s="33">
        <f t="shared" si="210"/>
        <v>0</v>
      </c>
      <c r="Q1377" s="33">
        <f t="shared" si="210"/>
        <v>0</v>
      </c>
      <c r="R1377" s="33">
        <f t="shared" si="210"/>
        <v>0</v>
      </c>
      <c r="S1377" s="34"/>
      <c r="T1377" s="35" t="s">
        <v>56</v>
      </c>
      <c r="U1377" s="18" t="s">
        <v>1696</v>
      </c>
      <c r="V1377" s="18" t="str">
        <f>IF(OR($H1377="",$H1377="sif",$H1377="PM"),"",VLOOKUP($H1377,[5]CU!$C$5:$J$255,8,FALSE))</f>
        <v/>
      </c>
      <c r="W1377" s="18" t="s">
        <v>1665</v>
      </c>
      <c r="X1377" s="18" t="s">
        <v>521</v>
      </c>
      <c r="Y1377" s="18" t="s">
        <v>679</v>
      </c>
      <c r="Z1377" s="18" t="str">
        <f>A1377 &amp; "-" &amp; VLOOKUP(A1377,[4]PROGRAMMES!$E$1:$F$7,2,FALSE)</f>
        <v>4-Réforme de l’enseignement supérieur et la recherche scientifique et de l'innovation</v>
      </c>
      <c r="AA1377" s="19" t="str">
        <f>B1377 &amp; "-" &amp; VLOOKUP(B1377,[4]SOUSPROGRAMMES!$E$1:$F$44,2,FALSE)</f>
        <v>43- Qualité de l’enseignement, de la formation et de la recherche scientifique</v>
      </c>
      <c r="AB1377" s="19" t="str">
        <f>C1377 &amp; "-" &amp; VLOOKUP(C1377,[4]RESULTATS!$E$1:$F$176,2,FALSE)</f>
        <v>434- Les structures d’accompagnement et de suivi des diplômés sur le marché du travail sont fonctionnelles</v>
      </c>
      <c r="AC1377" s="20" t="str">
        <f>D1377 &amp; "-" &amp; VLOOKUP(D1377,[4]STRATEGIES!$E$1:$F$504,2,FALSE)</f>
        <v>4341-Création de structures d’accompagnement des étudiants diplômés</v>
      </c>
      <c r="AD1377" s="21" t="str">
        <f t="shared" si="212"/>
        <v>43413-Opérationnalisation des structures (pris en compte dans les subventions des institutions)</v>
      </c>
    </row>
    <row r="1378" spans="1:30" s="22" customFormat="1" ht="45" hidden="1" customHeight="1" x14ac:dyDescent="0.8">
      <c r="A1378" s="14">
        <v>4</v>
      </c>
      <c r="B1378" s="15">
        <v>43</v>
      </c>
      <c r="C1378" s="15">
        <v>434</v>
      </c>
      <c r="D1378" s="15">
        <v>4342</v>
      </c>
      <c r="E1378" s="15">
        <v>4342</v>
      </c>
      <c r="F1378" s="16" t="s">
        <v>1803</v>
      </c>
      <c r="G1378" s="17"/>
      <c r="H1378" s="17"/>
      <c r="I1378" s="33">
        <v>0</v>
      </c>
      <c r="J1378" s="33"/>
      <c r="K1378" s="33"/>
      <c r="L1378" s="33"/>
      <c r="M1378" s="33"/>
      <c r="N1378" s="33"/>
      <c r="O1378" s="33"/>
      <c r="P1378" s="33"/>
      <c r="Q1378" s="33"/>
      <c r="R1378" s="33"/>
      <c r="S1378" s="34"/>
      <c r="T1378" s="33"/>
      <c r="U1378" s="18"/>
      <c r="V1378" s="18"/>
      <c r="W1378" s="18"/>
      <c r="X1378" s="18"/>
      <c r="Y1378" s="18" t="s">
        <v>679</v>
      </c>
      <c r="Z1378" s="18" t="str">
        <f>A1378 &amp; "-" &amp; VLOOKUP(A1378,[4]PROGRAMMES!$E$1:$F$7,2,FALSE)</f>
        <v>4-Réforme de l’enseignement supérieur et la recherche scientifique et de l'innovation</v>
      </c>
      <c r="AA1378" s="19" t="str">
        <f>B1378 &amp; "-" &amp; VLOOKUP(B1378,[4]SOUSPROGRAMMES!$E$1:$F$44,2,FALSE)</f>
        <v>43- Qualité de l’enseignement, de la formation et de la recherche scientifique</v>
      </c>
      <c r="AB1378" s="19" t="str">
        <f>C1378 &amp; "-" &amp; VLOOKUP(C1378,[4]RESULTATS!$E$1:$F$176,2,FALSE)</f>
        <v>434- Les structures d’accompagnement et de suivi des diplômés sur le marché du travail sont fonctionnelles</v>
      </c>
      <c r="AC1378" s="20" t="str">
        <f>D1378 &amp; "-" &amp; VLOOKUP(D1378,[4]STRATEGIES!$E$1:$F$504,2,FALSE)</f>
        <v>4342-Pérennisation du forum des étudiants de Guinée (FEG)</v>
      </c>
      <c r="AD1378" s="21" t="str">
        <f t="shared" si="212"/>
        <v>4342-Pérennisation du forum des étudiants de Guinée (FEG)</v>
      </c>
    </row>
    <row r="1379" spans="1:30" s="22" customFormat="1" ht="45" hidden="1" customHeight="1" x14ac:dyDescent="0.8">
      <c r="A1379" s="14">
        <v>4</v>
      </c>
      <c r="B1379" s="15">
        <v>43</v>
      </c>
      <c r="C1379" s="15">
        <v>434</v>
      </c>
      <c r="D1379" s="15">
        <v>4342</v>
      </c>
      <c r="E1379" s="15">
        <v>43421</v>
      </c>
      <c r="F1379" s="16" t="s">
        <v>1804</v>
      </c>
      <c r="G1379" s="21" t="s">
        <v>321</v>
      </c>
      <c r="H1379" s="17" t="s">
        <v>55</v>
      </c>
      <c r="I1379" s="33">
        <v>0</v>
      </c>
      <c r="J1379" s="33"/>
      <c r="K1379" s="33"/>
      <c r="L1379" s="33"/>
      <c r="M1379" s="33">
        <f t="shared" si="213"/>
        <v>0</v>
      </c>
      <c r="N1379" s="33">
        <f>IF(OR(H1379="",H1379="sif",H1379="PM"),0,VLOOKUP(H1379,[5]CU!$C$4:$H$255,6,FALSE))</f>
        <v>0</v>
      </c>
      <c r="O1379" s="33">
        <f t="shared" si="210"/>
        <v>0</v>
      </c>
      <c r="P1379" s="33">
        <f t="shared" si="210"/>
        <v>0</v>
      </c>
      <c r="Q1379" s="33">
        <f t="shared" si="210"/>
        <v>0</v>
      </c>
      <c r="R1379" s="33">
        <f t="shared" si="210"/>
        <v>0</v>
      </c>
      <c r="S1379" s="34"/>
      <c r="T1379" s="35" t="s">
        <v>56</v>
      </c>
      <c r="U1379" s="18" t="s">
        <v>1696</v>
      </c>
      <c r="V1379" s="18" t="str">
        <f>IF(OR($H1379="",$H1379="sif",$H1379="PM"),"",VLOOKUP($H1379,[5]CU!$C$5:$J$255,8,FALSE))</f>
        <v/>
      </c>
      <c r="W1379" s="18" t="s">
        <v>254</v>
      </c>
      <c r="X1379" s="18" t="s">
        <v>254</v>
      </c>
      <c r="Y1379" s="18" t="s">
        <v>679</v>
      </c>
      <c r="Z1379" s="18" t="str">
        <f>A1379 &amp; "-" &amp; VLOOKUP(A1379,[4]PROGRAMMES!$E$1:$F$7,2,FALSE)</f>
        <v>4-Réforme de l’enseignement supérieur et la recherche scientifique et de l'innovation</v>
      </c>
      <c r="AA1379" s="19" t="str">
        <f>B1379 &amp; "-" &amp; VLOOKUP(B1379,[4]SOUSPROGRAMMES!$E$1:$F$44,2,FALSE)</f>
        <v>43- Qualité de l’enseignement, de la formation et de la recherche scientifique</v>
      </c>
      <c r="AB1379" s="19" t="str">
        <f>C1379 &amp; "-" &amp; VLOOKUP(C1379,[4]RESULTATS!$E$1:$F$176,2,FALSE)</f>
        <v>434- Les structures d’accompagnement et de suivi des diplômés sur le marché du travail sont fonctionnelles</v>
      </c>
      <c r="AC1379" s="20" t="str">
        <f>D1379 &amp; "-" &amp; VLOOKUP(D1379,[4]STRATEGIES!$E$1:$F$504,2,FALSE)</f>
        <v>4342-Pérennisation du forum des étudiants de Guinée (FEG)</v>
      </c>
      <c r="AD1379" s="21" t="str">
        <f t="shared" si="212"/>
        <v>43421-Mise en place des cadres de concertations du FEG</v>
      </c>
    </row>
    <row r="1380" spans="1:30" s="22" customFormat="1" ht="45" hidden="1" customHeight="1" x14ac:dyDescent="0.8">
      <c r="A1380" s="14">
        <v>4</v>
      </c>
      <c r="B1380" s="15">
        <v>43</v>
      </c>
      <c r="C1380" s="15">
        <v>434</v>
      </c>
      <c r="D1380" s="15">
        <v>4342</v>
      </c>
      <c r="E1380" s="15">
        <v>43422</v>
      </c>
      <c r="F1380" s="16" t="s">
        <v>1805</v>
      </c>
      <c r="G1380" s="21" t="s">
        <v>1806</v>
      </c>
      <c r="H1380" s="17" t="s">
        <v>1807</v>
      </c>
      <c r="I1380" s="33">
        <v>0</v>
      </c>
      <c r="J1380" s="33">
        <v>1</v>
      </c>
      <c r="K1380" s="33">
        <v>1</v>
      </c>
      <c r="L1380" s="33">
        <v>1</v>
      </c>
      <c r="M1380" s="33">
        <f t="shared" si="213"/>
        <v>3</v>
      </c>
      <c r="N1380" s="33">
        <f>IF(OR(H1380="",H1380="sif",H1380="PM"),0,VLOOKUP(H1380,[5]CU!$C$4:$H$255,6,FALSE))</f>
        <v>500</v>
      </c>
      <c r="O1380" s="33">
        <f t="shared" si="210"/>
        <v>0</v>
      </c>
      <c r="P1380" s="33">
        <f t="shared" si="210"/>
        <v>500</v>
      </c>
      <c r="Q1380" s="33">
        <f t="shared" si="210"/>
        <v>500</v>
      </c>
      <c r="R1380" s="33">
        <f t="shared" si="210"/>
        <v>500</v>
      </c>
      <c r="S1380" s="34">
        <f>SUM(O1380:R1380)</f>
        <v>1500</v>
      </c>
      <c r="T1380" s="35" t="s">
        <v>56</v>
      </c>
      <c r="U1380" s="18" t="s">
        <v>1696</v>
      </c>
      <c r="V1380" s="18" t="str">
        <f>IF(OR($H1380="",$H1380="sif",$H1380="PM"),"",VLOOKUP($H1380,[5]CU!$C$5:$J$255,8,FALSE))</f>
        <v>3. Dépenses de fonctionnement</v>
      </c>
      <c r="W1380" s="18" t="s">
        <v>254</v>
      </c>
      <c r="X1380" s="18" t="s">
        <v>254</v>
      </c>
      <c r="Y1380" s="18" t="s">
        <v>679</v>
      </c>
      <c r="Z1380" s="18" t="str">
        <f>A1380 &amp; "-" &amp; VLOOKUP(A1380,[4]PROGRAMMES!$E$1:$F$7,2,FALSE)</f>
        <v>4-Réforme de l’enseignement supérieur et la recherche scientifique et de l'innovation</v>
      </c>
      <c r="AA1380" s="19" t="str">
        <f>B1380 &amp; "-" &amp; VLOOKUP(B1380,[4]SOUSPROGRAMMES!$E$1:$F$44,2,FALSE)</f>
        <v>43- Qualité de l’enseignement, de la formation et de la recherche scientifique</v>
      </c>
      <c r="AB1380" s="19" t="str">
        <f>C1380 &amp; "-" &amp; VLOOKUP(C1380,[4]RESULTATS!$E$1:$F$176,2,FALSE)</f>
        <v>434- Les structures d’accompagnement et de suivi des diplômés sur le marché du travail sont fonctionnelles</v>
      </c>
      <c r="AC1380" s="20" t="str">
        <f>D1380 &amp; "-" &amp; VLOOKUP(D1380,[4]STRATEGIES!$E$1:$F$504,2,FALSE)</f>
        <v>4342-Pérennisation du forum des étudiants de Guinée (FEG)</v>
      </c>
      <c r="AD1380" s="21" t="str">
        <f t="shared" si="212"/>
        <v>43422-Opérationnalisation des cadres de concertation</v>
      </c>
    </row>
    <row r="1381" spans="1:30" s="22" customFormat="1" ht="45" hidden="1" customHeight="1" x14ac:dyDescent="0.8">
      <c r="A1381" s="14">
        <v>4</v>
      </c>
      <c r="B1381" s="15">
        <v>43</v>
      </c>
      <c r="C1381" s="15">
        <v>434</v>
      </c>
      <c r="D1381" s="15">
        <v>4343</v>
      </c>
      <c r="E1381" s="15">
        <v>4343</v>
      </c>
      <c r="F1381" s="16" t="s">
        <v>1808</v>
      </c>
      <c r="G1381" s="17"/>
      <c r="H1381" s="17"/>
      <c r="I1381" s="33">
        <v>0</v>
      </c>
      <c r="J1381" s="33"/>
      <c r="K1381" s="33"/>
      <c r="L1381" s="33"/>
      <c r="M1381" s="33"/>
      <c r="N1381" s="33"/>
      <c r="O1381" s="33"/>
      <c r="P1381" s="33"/>
      <c r="Q1381" s="33"/>
      <c r="R1381" s="33"/>
      <c r="S1381" s="34"/>
      <c r="T1381" s="33"/>
      <c r="U1381" s="18"/>
      <c r="V1381" s="18"/>
      <c r="W1381" s="18"/>
      <c r="X1381" s="18"/>
      <c r="Y1381" s="18" t="s">
        <v>679</v>
      </c>
      <c r="Z1381" s="18" t="str">
        <f>A1381 &amp; "-" &amp; VLOOKUP(A1381,[4]PROGRAMMES!$E$1:$F$7,2,FALSE)</f>
        <v>4-Réforme de l’enseignement supérieur et la recherche scientifique et de l'innovation</v>
      </c>
      <c r="AA1381" s="19" t="str">
        <f>B1381 &amp; "-" &amp; VLOOKUP(B1381,[4]SOUSPROGRAMMES!$E$1:$F$44,2,FALSE)</f>
        <v>43- Qualité de l’enseignement, de la formation et de la recherche scientifique</v>
      </c>
      <c r="AB1381" s="19" t="str">
        <f>C1381 &amp; "-" &amp; VLOOKUP(C1381,[4]RESULTATS!$E$1:$F$176,2,FALSE)</f>
        <v>434- Les structures d’accompagnement et de suivi des diplômés sur le marché du travail sont fonctionnelles</v>
      </c>
      <c r="AC1381" s="20" t="str">
        <f>D1381 &amp; "-" &amp; VLOOKUP(D1381,[4]STRATEGIES!$E$1:$F$504,2,FALSE)</f>
        <v>4343-Création des incubateurs dans les institutions</v>
      </c>
      <c r="AD1381" s="21" t="str">
        <f t="shared" si="212"/>
        <v>4343-Création des incubateurs dans les institutions</v>
      </c>
    </row>
    <row r="1382" spans="1:30" s="22" customFormat="1" ht="45" hidden="1" customHeight="1" x14ac:dyDescent="0.8">
      <c r="A1382" s="14">
        <v>4</v>
      </c>
      <c r="B1382" s="15">
        <v>43</v>
      </c>
      <c r="C1382" s="15">
        <v>434</v>
      </c>
      <c r="D1382" s="15">
        <v>4343</v>
      </c>
      <c r="E1382" s="15">
        <v>43431</v>
      </c>
      <c r="F1382" s="16" t="s">
        <v>1809</v>
      </c>
      <c r="G1382" s="21" t="s">
        <v>167</v>
      </c>
      <c r="H1382" s="17" t="s">
        <v>646</v>
      </c>
      <c r="I1382" s="33">
        <v>0</v>
      </c>
      <c r="J1382" s="33">
        <f>2*15</f>
        <v>30</v>
      </c>
      <c r="K1382" s="33"/>
      <c r="L1382" s="33">
        <f>2*15</f>
        <v>30</v>
      </c>
      <c r="M1382" s="33">
        <f t="shared" si="213"/>
        <v>60</v>
      </c>
      <c r="N1382" s="33">
        <f>IF(OR(H1382="",H1382="sif",H1382="PM"),0,VLOOKUP(H1382,[5]CU!$C$4:$H$255,6,FALSE))</f>
        <v>10.404797</v>
      </c>
      <c r="O1382" s="33">
        <f t="shared" si="210"/>
        <v>0</v>
      </c>
      <c r="P1382" s="33">
        <f t="shared" si="210"/>
        <v>312.14391000000001</v>
      </c>
      <c r="Q1382" s="33">
        <f t="shared" si="210"/>
        <v>0</v>
      </c>
      <c r="R1382" s="33">
        <f t="shared" si="210"/>
        <v>312.14391000000001</v>
      </c>
      <c r="S1382" s="34">
        <f>SUM(O1382:R1382)</f>
        <v>624.28782000000001</v>
      </c>
      <c r="T1382" s="35" t="s">
        <v>56</v>
      </c>
      <c r="U1382" s="18" t="s">
        <v>1696</v>
      </c>
      <c r="V1382" s="18" t="str">
        <f>IF(OR($H1382="",$H1382="sif",$H1382="PM"),"",VLOOKUP($H1382,[5]CU!$C$5:$J$255,8,FALSE))</f>
        <v>3. Dépenses de fonctionnement</v>
      </c>
      <c r="W1382" s="18" t="s">
        <v>1665</v>
      </c>
      <c r="X1382" s="18" t="s">
        <v>1607</v>
      </c>
      <c r="Y1382" s="18" t="s">
        <v>679</v>
      </c>
      <c r="Z1382" s="18" t="str">
        <f>A1382 &amp; "-" &amp; VLOOKUP(A1382,[4]PROGRAMMES!$E$1:$F$7,2,FALSE)</f>
        <v>4-Réforme de l’enseignement supérieur et la recherche scientifique et de l'innovation</v>
      </c>
      <c r="AA1382" s="19" t="str">
        <f>B1382 &amp; "-" &amp; VLOOKUP(B1382,[4]SOUSPROGRAMMES!$E$1:$F$44,2,FALSE)</f>
        <v>43- Qualité de l’enseignement, de la formation et de la recherche scientifique</v>
      </c>
      <c r="AB1382" s="19" t="str">
        <f>C1382 &amp; "-" &amp; VLOOKUP(C1382,[4]RESULTATS!$E$1:$F$176,2,FALSE)</f>
        <v>434- Les structures d’accompagnement et de suivi des diplômés sur le marché du travail sont fonctionnelles</v>
      </c>
      <c r="AC1382" s="20" t="str">
        <f>D1382 &amp; "-" &amp; VLOOKUP(D1382,[4]STRATEGIES!$E$1:$F$504,2,FALSE)</f>
        <v>4343-Création des incubateurs dans les institutions</v>
      </c>
      <c r="AD1382" s="21" t="str">
        <f t="shared" si="212"/>
        <v>43431-Réalisation d'études de faisabilité pour la création d'incubateurs</v>
      </c>
    </row>
    <row r="1383" spans="1:30" s="22" customFormat="1" ht="45" hidden="1" customHeight="1" x14ac:dyDescent="0.8">
      <c r="A1383" s="14">
        <v>4</v>
      </c>
      <c r="B1383" s="15">
        <v>43</v>
      </c>
      <c r="C1383" s="15">
        <v>434</v>
      </c>
      <c r="D1383" s="15">
        <v>4343</v>
      </c>
      <c r="E1383" s="15">
        <v>43432</v>
      </c>
      <c r="F1383" s="16" t="s">
        <v>1810</v>
      </c>
      <c r="G1383" s="21" t="s">
        <v>1811</v>
      </c>
      <c r="H1383" s="17" t="s">
        <v>1812</v>
      </c>
      <c r="I1383" s="33">
        <v>0</v>
      </c>
      <c r="J1383" s="33"/>
      <c r="K1383" s="33">
        <v>1</v>
      </c>
      <c r="L1383" s="33">
        <v>1</v>
      </c>
      <c r="M1383" s="33">
        <f t="shared" si="213"/>
        <v>2</v>
      </c>
      <c r="N1383" s="33">
        <f>IF(OR(H1383="",H1383="sif",H1383="PM"),0,VLOOKUP(H1383,[5]CU!$C$4:$H$255,6,FALSE))</f>
        <v>1000</v>
      </c>
      <c r="O1383" s="33">
        <f t="shared" si="210"/>
        <v>0</v>
      </c>
      <c r="P1383" s="33">
        <f t="shared" si="210"/>
        <v>0</v>
      </c>
      <c r="Q1383" s="33">
        <f t="shared" si="210"/>
        <v>1000</v>
      </c>
      <c r="R1383" s="33">
        <f t="shared" si="210"/>
        <v>1000</v>
      </c>
      <c r="S1383" s="34">
        <f>SUM(O1383:R1383)</f>
        <v>2000</v>
      </c>
      <c r="T1383" s="35" t="s">
        <v>56</v>
      </c>
      <c r="U1383" s="18" t="s">
        <v>1696</v>
      </c>
      <c r="V1383" s="18" t="str">
        <f>IF(OR($H1383="",$H1383="sif",$H1383="PM"),"",VLOOKUP($H1383,[5]CU!$C$5:$J$255,8,FALSE))</f>
        <v>4. Transferts et subventions</v>
      </c>
      <c r="W1383" s="18" t="s">
        <v>96</v>
      </c>
      <c r="X1383" s="18" t="s">
        <v>521</v>
      </c>
      <c r="Y1383" s="18" t="s">
        <v>679</v>
      </c>
      <c r="Z1383" s="18" t="str">
        <f>A1383 &amp; "-" &amp; VLOOKUP(A1383,[4]PROGRAMMES!$E$1:$F$7,2,FALSE)</f>
        <v>4-Réforme de l’enseignement supérieur et la recherche scientifique et de l'innovation</v>
      </c>
      <c r="AA1383" s="19" t="str">
        <f>B1383 &amp; "-" &amp; VLOOKUP(B1383,[4]SOUSPROGRAMMES!$E$1:$F$44,2,FALSE)</f>
        <v>43- Qualité de l’enseignement, de la formation et de la recherche scientifique</v>
      </c>
      <c r="AB1383" s="19" t="str">
        <f>C1383 &amp; "-" &amp; VLOOKUP(C1383,[4]RESULTATS!$E$1:$F$176,2,FALSE)</f>
        <v>434- Les structures d’accompagnement et de suivi des diplômés sur le marché du travail sont fonctionnelles</v>
      </c>
      <c r="AC1383" s="20" t="str">
        <f>D1383 &amp; "-" &amp; VLOOKUP(D1383,[4]STRATEGIES!$E$1:$F$504,2,FALSE)</f>
        <v>4343-Création des incubateurs dans les institutions</v>
      </c>
      <c r="AD1383" s="21" t="str">
        <f t="shared" si="212"/>
        <v>43432-Création de projets</v>
      </c>
    </row>
    <row r="1384" spans="1:30" s="22" customFormat="1" ht="45" hidden="1" customHeight="1" x14ac:dyDescent="0.8">
      <c r="A1384" s="14">
        <v>4</v>
      </c>
      <c r="B1384" s="15">
        <v>43</v>
      </c>
      <c r="C1384" s="15">
        <v>435</v>
      </c>
      <c r="D1384" s="15">
        <v>435</v>
      </c>
      <c r="E1384" s="15">
        <v>435</v>
      </c>
      <c r="F1384" s="16" t="s">
        <v>1813</v>
      </c>
      <c r="G1384" s="17"/>
      <c r="H1384" s="17"/>
      <c r="I1384" s="33">
        <v>0</v>
      </c>
      <c r="J1384" s="33"/>
      <c r="K1384" s="33"/>
      <c r="L1384" s="33"/>
      <c r="M1384" s="33"/>
      <c r="N1384" s="33"/>
      <c r="O1384" s="33"/>
      <c r="P1384" s="33"/>
      <c r="Q1384" s="33"/>
      <c r="R1384" s="33"/>
      <c r="S1384" s="34"/>
      <c r="T1384" s="33"/>
      <c r="U1384" s="18"/>
      <c r="V1384" s="18"/>
      <c r="W1384" s="18"/>
      <c r="X1384" s="18"/>
      <c r="Y1384" s="18" t="s">
        <v>679</v>
      </c>
      <c r="Z1384" s="18" t="str">
        <f>A1384 &amp; "-" &amp; VLOOKUP(A1384,[4]PROGRAMMES!$E$1:$F$7,2,FALSE)</f>
        <v>4-Réforme de l’enseignement supérieur et la recherche scientifique et de l'innovation</v>
      </c>
      <c r="AA1384" s="19" t="str">
        <f>B1384 &amp; "-" &amp; VLOOKUP(B1384,[4]SOUSPROGRAMMES!$E$1:$F$44,2,FALSE)</f>
        <v>43- Qualité de l’enseignement, de la formation et de la recherche scientifique</v>
      </c>
      <c r="AB1384" s="19" t="str">
        <f>C1384 &amp; "-" &amp; VLOOKUP(C1384,[4]RESULTATS!$E$1:$F$176,2,FALSE)</f>
        <v>435- L’utilisation des TICE dans l’enseignement supérieur et la recherche scientifique est améliorée</v>
      </c>
      <c r="AC1384" s="20" t="str">
        <f>D1384 &amp; "-" &amp; VLOOKUP(D1384,[4]STRATEGIES!$E$1:$F$504,2,FALSE)</f>
        <v>435- L’utilisation des TICE dans l’enseignement supérieur et la recherche scientifique est améliorée</v>
      </c>
      <c r="AD1384" s="21" t="str">
        <f t="shared" si="212"/>
        <v>435- L’utilisation des TICE dans l’enseignement supérieur et la recherche scientifique est améliorée</v>
      </c>
    </row>
    <row r="1385" spans="1:30" s="22" customFormat="1" ht="45" hidden="1" customHeight="1" x14ac:dyDescent="0.8">
      <c r="A1385" s="14">
        <v>4</v>
      </c>
      <c r="B1385" s="15">
        <v>43</v>
      </c>
      <c r="C1385" s="15">
        <v>435</v>
      </c>
      <c r="D1385" s="15">
        <v>4351</v>
      </c>
      <c r="E1385" s="15">
        <v>4351</v>
      </c>
      <c r="F1385" s="16" t="s">
        <v>1814</v>
      </c>
      <c r="G1385" s="17"/>
      <c r="H1385" s="17"/>
      <c r="I1385" s="33">
        <v>0</v>
      </c>
      <c r="J1385" s="33"/>
      <c r="K1385" s="33"/>
      <c r="L1385" s="33"/>
      <c r="M1385" s="33"/>
      <c r="N1385" s="33"/>
      <c r="O1385" s="33"/>
      <c r="P1385" s="33"/>
      <c r="Q1385" s="33"/>
      <c r="R1385" s="33"/>
      <c r="S1385" s="34"/>
      <c r="T1385" s="33"/>
      <c r="U1385" s="18"/>
      <c r="V1385" s="18"/>
      <c r="W1385" s="18"/>
      <c r="X1385" s="18"/>
      <c r="Y1385" s="18" t="s">
        <v>679</v>
      </c>
      <c r="Z1385" s="18" t="str">
        <f>A1385 &amp; "-" &amp; VLOOKUP(A1385,[4]PROGRAMMES!$E$1:$F$7,2,FALSE)</f>
        <v>4-Réforme de l’enseignement supérieur et la recherche scientifique et de l'innovation</v>
      </c>
      <c r="AA1385" s="19" t="str">
        <f>B1385 &amp; "-" &amp; VLOOKUP(B1385,[4]SOUSPROGRAMMES!$E$1:$F$44,2,FALSE)</f>
        <v>43- Qualité de l’enseignement, de la formation et de la recherche scientifique</v>
      </c>
      <c r="AB1385" s="19" t="str">
        <f>C1385 &amp; "-" &amp; VLOOKUP(C1385,[4]RESULTATS!$E$1:$F$176,2,FALSE)</f>
        <v>435- L’utilisation des TICE dans l’enseignement supérieur et la recherche scientifique est améliorée</v>
      </c>
      <c r="AC1385" s="20" t="str">
        <f>D1385 &amp; "-" &amp; VLOOKUP(D1385,[4]STRATEGIES!$E$1:$F$504,2,FALSE)</f>
        <v>4351-Amélioration de la connectivité à internet (infrastructures de réseaux et bande passante) dans toutes les institutions</v>
      </c>
      <c r="AD1385" s="21" t="str">
        <f t="shared" si="212"/>
        <v>4351-Amélioration de la connectivité à internet (infrastructures de réseaux et bande passante) dans toutes les institutions</v>
      </c>
    </row>
    <row r="1386" spans="1:30" s="22" customFormat="1" ht="45" hidden="1" customHeight="1" x14ac:dyDescent="0.8">
      <c r="A1386" s="14">
        <v>4</v>
      </c>
      <c r="B1386" s="15">
        <v>43</v>
      </c>
      <c r="C1386" s="15">
        <v>435</v>
      </c>
      <c r="D1386" s="15">
        <v>4351</v>
      </c>
      <c r="E1386" s="15">
        <v>43511</v>
      </c>
      <c r="F1386" s="16" t="s">
        <v>1815</v>
      </c>
      <c r="G1386" s="21" t="s">
        <v>92</v>
      </c>
      <c r="H1386" s="17" t="s">
        <v>55</v>
      </c>
      <c r="I1386" s="33">
        <v>0</v>
      </c>
      <c r="J1386" s="33"/>
      <c r="K1386" s="33"/>
      <c r="L1386" s="33"/>
      <c r="M1386" s="33">
        <f t="shared" si="213"/>
        <v>0</v>
      </c>
      <c r="N1386" s="33">
        <f>IF(OR(H1386="",H1386="sif",H1386="PM"),0,VLOOKUP(H1386,[5]CU!$C$4:$H$255,6,FALSE))</f>
        <v>0</v>
      </c>
      <c r="O1386" s="33">
        <f t="shared" si="210"/>
        <v>0</v>
      </c>
      <c r="P1386" s="33">
        <f t="shared" si="210"/>
        <v>0</v>
      </c>
      <c r="Q1386" s="33">
        <f t="shared" si="210"/>
        <v>0</v>
      </c>
      <c r="R1386" s="33">
        <f t="shared" si="210"/>
        <v>0</v>
      </c>
      <c r="S1386" s="34"/>
      <c r="T1386" s="35" t="s">
        <v>56</v>
      </c>
      <c r="U1386" s="18" t="s">
        <v>1696</v>
      </c>
      <c r="V1386" s="18" t="str">
        <f>IF(OR($H1386="",$H1386="sif",$H1386="PM"),"",VLOOKUP($H1386,[5]CU!$C$5:$J$255,8,FALSE))</f>
        <v/>
      </c>
      <c r="W1386" s="18" t="s">
        <v>1816</v>
      </c>
      <c r="X1386" s="18" t="s">
        <v>1650</v>
      </c>
      <c r="Y1386" s="18" t="s">
        <v>679</v>
      </c>
      <c r="Z1386" s="18" t="str">
        <f>A1386 &amp; "-" &amp; VLOOKUP(A1386,[4]PROGRAMMES!$E$1:$F$7,2,FALSE)</f>
        <v>4-Réforme de l’enseignement supérieur et la recherche scientifique et de l'innovation</v>
      </c>
      <c r="AA1386" s="19" t="str">
        <f>B1386 &amp; "-" &amp; VLOOKUP(B1386,[4]SOUSPROGRAMMES!$E$1:$F$44,2,FALSE)</f>
        <v>43- Qualité de l’enseignement, de la formation et de la recherche scientifique</v>
      </c>
      <c r="AB1386" s="19" t="str">
        <f>C1386 &amp; "-" &amp; VLOOKUP(C1386,[4]RESULTATS!$E$1:$F$176,2,FALSE)</f>
        <v>435- L’utilisation des TICE dans l’enseignement supérieur et la recherche scientifique est améliorée</v>
      </c>
      <c r="AC1386" s="20" t="str">
        <f>D1386 &amp; "-" &amp; VLOOKUP(D1386,[4]STRATEGIES!$E$1:$F$504,2,FALSE)</f>
        <v>4351-Amélioration de la connectivité à internet (infrastructures de réseaux et bande passante) dans toutes les institutions</v>
      </c>
      <c r="AD1386" s="21" t="str">
        <f t="shared" si="212"/>
        <v>43511-Etude d'identification des besoins techniques (pris en compte dans étude sur le schéma directeur en cours)</v>
      </c>
    </row>
    <row r="1387" spans="1:30" s="22" customFormat="1" ht="45" hidden="1" customHeight="1" x14ac:dyDescent="0.8">
      <c r="A1387" s="14">
        <v>4</v>
      </c>
      <c r="B1387" s="15">
        <v>43</v>
      </c>
      <c r="C1387" s="15">
        <v>435</v>
      </c>
      <c r="D1387" s="15">
        <v>4351</v>
      </c>
      <c r="E1387" s="15">
        <v>43512</v>
      </c>
      <c r="F1387" s="16" t="s">
        <v>1817</v>
      </c>
      <c r="G1387" s="21" t="s">
        <v>1619</v>
      </c>
      <c r="H1387" s="17" t="s">
        <v>1818</v>
      </c>
      <c r="I1387" s="33">
        <v>0</v>
      </c>
      <c r="J1387" s="33">
        <f t="shared" ref="J1387:L1388" si="214">2*50%</f>
        <v>1</v>
      </c>
      <c r="K1387" s="33">
        <f t="shared" si="214"/>
        <v>1</v>
      </c>
      <c r="L1387" s="33">
        <f t="shared" si="214"/>
        <v>1</v>
      </c>
      <c r="M1387" s="33">
        <f>SUM(I1387:L1387)</f>
        <v>3</v>
      </c>
      <c r="N1387" s="33">
        <f>IF(OR(H1387="",H1387="sif",H1387="PM"),0,VLOOKUP(H1387,[5]CU!$C$4:$H$255,6,FALSE))</f>
        <v>400</v>
      </c>
      <c r="O1387" s="33">
        <f>IFERROR($N1387*I1387,0)</f>
        <v>0</v>
      </c>
      <c r="P1387" s="33">
        <f>IFERROR($N1387*J1387,0)</f>
        <v>400</v>
      </c>
      <c r="Q1387" s="33">
        <f>IFERROR($N1387*K1387,0)</f>
        <v>400</v>
      </c>
      <c r="R1387" s="33">
        <f>IFERROR($N1387*L1387,0)</f>
        <v>400</v>
      </c>
      <c r="S1387" s="34">
        <f>SUM(O1387:R1387)</f>
        <v>1200</v>
      </c>
      <c r="T1387" s="35" t="s">
        <v>56</v>
      </c>
      <c r="U1387" s="19" t="s">
        <v>1696</v>
      </c>
      <c r="V1387" s="19" t="str">
        <f>IF(OR($H1387="",$H1387="sif",$H1387="PM"),"",VLOOKUP($H1387,[5]CU!$C$5:$J$255,8,FALSE))</f>
        <v>5. Investissement</v>
      </c>
      <c r="W1387" s="19" t="s">
        <v>1819</v>
      </c>
      <c r="X1387" s="19" t="s">
        <v>521</v>
      </c>
      <c r="Y1387" s="18" t="s">
        <v>679</v>
      </c>
      <c r="Z1387" s="18" t="str">
        <f>A1387 &amp; "-" &amp; VLOOKUP(A1387,[4]PROGRAMMES!$E$1:$F$7,2,FALSE)</f>
        <v>4-Réforme de l’enseignement supérieur et la recherche scientifique et de l'innovation</v>
      </c>
      <c r="AA1387" s="19" t="str">
        <f>B1387 &amp; "-" &amp; VLOOKUP(B1387,[4]SOUSPROGRAMMES!$E$1:$F$44,2,FALSE)</f>
        <v>43- Qualité de l’enseignement, de la formation et de la recherche scientifique</v>
      </c>
      <c r="AB1387" s="19" t="str">
        <f>C1387 &amp; "-" &amp; VLOOKUP(C1387,[4]RESULTATS!$E$1:$F$176,2,FALSE)</f>
        <v>435- L’utilisation des TICE dans l’enseignement supérieur et la recherche scientifique est améliorée</v>
      </c>
      <c r="AC1387" s="20" t="str">
        <f>D1387 &amp; "-" &amp; VLOOKUP(D1387,[4]STRATEGIES!$E$1:$F$504,2,FALSE)</f>
        <v>4351-Amélioration de la connectivité à internet (infrastructures de réseaux et bande passante) dans toutes les institutions</v>
      </c>
      <c r="AD1387" s="21" t="str">
        <f t="shared" si="212"/>
        <v>43512-Acquisition d'équipement informatiques pour la mise en œuvre progressive du schéma directeur</v>
      </c>
    </row>
    <row r="1388" spans="1:30" s="22" customFormat="1" ht="45" hidden="1" customHeight="1" x14ac:dyDescent="0.8">
      <c r="A1388" s="14">
        <v>4</v>
      </c>
      <c r="B1388" s="15">
        <v>43</v>
      </c>
      <c r="C1388" s="15">
        <v>435</v>
      </c>
      <c r="D1388" s="15">
        <v>4351</v>
      </c>
      <c r="E1388" s="15">
        <v>43512</v>
      </c>
      <c r="F1388" s="16" t="s">
        <v>1817</v>
      </c>
      <c r="G1388" s="21" t="s">
        <v>1619</v>
      </c>
      <c r="H1388" s="17" t="s">
        <v>1818</v>
      </c>
      <c r="I1388" s="33">
        <v>0</v>
      </c>
      <c r="J1388" s="33">
        <f t="shared" si="214"/>
        <v>1</v>
      </c>
      <c r="K1388" s="33">
        <f t="shared" si="214"/>
        <v>1</v>
      </c>
      <c r="L1388" s="33">
        <f t="shared" si="214"/>
        <v>1</v>
      </c>
      <c r="M1388" s="33">
        <f t="shared" si="213"/>
        <v>3</v>
      </c>
      <c r="N1388" s="33">
        <f>IF(OR(H1388="",H1388="sif",H1388="PM"),0,VLOOKUP(H1388,[5]CU!$C$4:$H$255,6,FALSE))</f>
        <v>400</v>
      </c>
      <c r="O1388" s="33">
        <f t="shared" si="210"/>
        <v>0</v>
      </c>
      <c r="P1388" s="33">
        <f t="shared" si="210"/>
        <v>400</v>
      </c>
      <c r="Q1388" s="33">
        <f t="shared" si="210"/>
        <v>400</v>
      </c>
      <c r="R1388" s="33">
        <f t="shared" si="210"/>
        <v>400</v>
      </c>
      <c r="S1388" s="34">
        <f>SUM(O1388:R1388)</f>
        <v>1200</v>
      </c>
      <c r="T1388" s="35" t="s">
        <v>39</v>
      </c>
      <c r="U1388" s="19" t="s">
        <v>1696</v>
      </c>
      <c r="V1388" s="19" t="str">
        <f>IF(OR($H1388="",$H1388="sif",$H1388="PM"),"",VLOOKUP($H1388,[5]CU!$C$5:$J$255,8,FALSE))</f>
        <v>5. Investissement</v>
      </c>
      <c r="W1388" s="19" t="s">
        <v>1819</v>
      </c>
      <c r="X1388" s="19" t="s">
        <v>521</v>
      </c>
      <c r="Y1388" s="18" t="s">
        <v>679</v>
      </c>
      <c r="Z1388" s="18" t="str">
        <f>A1388 &amp; "-" &amp; VLOOKUP(A1388,[4]PROGRAMMES!$E$1:$F$7,2,FALSE)</f>
        <v>4-Réforme de l’enseignement supérieur et la recherche scientifique et de l'innovation</v>
      </c>
      <c r="AA1388" s="19" t="str">
        <f>B1388 &amp; "-" &amp; VLOOKUP(B1388,[4]SOUSPROGRAMMES!$E$1:$F$44,2,FALSE)</f>
        <v>43- Qualité de l’enseignement, de la formation et de la recherche scientifique</v>
      </c>
      <c r="AB1388" s="19" t="str">
        <f>C1388 &amp; "-" &amp; VLOOKUP(C1388,[4]RESULTATS!$E$1:$F$176,2,FALSE)</f>
        <v>435- L’utilisation des TICE dans l’enseignement supérieur et la recherche scientifique est améliorée</v>
      </c>
      <c r="AC1388" s="20" t="str">
        <f>D1388 &amp; "-" &amp; VLOOKUP(D1388,[4]STRATEGIES!$E$1:$F$504,2,FALSE)</f>
        <v>4351-Amélioration de la connectivité à internet (infrastructures de réseaux et bande passante) dans toutes les institutions</v>
      </c>
      <c r="AD1388" s="21" t="str">
        <f t="shared" si="212"/>
        <v>43512-Acquisition d'équipement informatiques pour la mise en œuvre progressive du schéma directeur</v>
      </c>
    </row>
    <row r="1389" spans="1:30" s="22" customFormat="1" ht="45" hidden="1" customHeight="1" x14ac:dyDescent="0.8">
      <c r="A1389" s="14">
        <v>4</v>
      </c>
      <c r="B1389" s="15">
        <v>43</v>
      </c>
      <c r="C1389" s="15">
        <v>435</v>
      </c>
      <c r="D1389" s="15">
        <v>4352</v>
      </c>
      <c r="E1389" s="15">
        <v>4352</v>
      </c>
      <c r="F1389" s="16" t="s">
        <v>1820</v>
      </c>
      <c r="G1389" s="17"/>
      <c r="H1389" s="17"/>
      <c r="I1389" s="33">
        <v>0</v>
      </c>
      <c r="J1389" s="33"/>
      <c r="K1389" s="33"/>
      <c r="L1389" s="33"/>
      <c r="M1389" s="33"/>
      <c r="N1389" s="33"/>
      <c r="O1389" s="33"/>
      <c r="P1389" s="33"/>
      <c r="Q1389" s="33"/>
      <c r="R1389" s="33"/>
      <c r="S1389" s="34"/>
      <c r="T1389" s="33"/>
      <c r="U1389" s="18"/>
      <c r="V1389" s="18"/>
      <c r="W1389" s="18"/>
      <c r="X1389" s="18"/>
      <c r="Y1389" s="18" t="s">
        <v>679</v>
      </c>
      <c r="Z1389" s="18" t="str">
        <f>A1389 &amp; "-" &amp; VLOOKUP(A1389,[4]PROGRAMMES!$E$1:$F$7,2,FALSE)</f>
        <v>4-Réforme de l’enseignement supérieur et la recherche scientifique et de l'innovation</v>
      </c>
      <c r="AA1389" s="19" t="str">
        <f>B1389 &amp; "-" &amp; VLOOKUP(B1389,[4]SOUSPROGRAMMES!$E$1:$F$44,2,FALSE)</f>
        <v>43- Qualité de l’enseignement, de la formation et de la recherche scientifique</v>
      </c>
      <c r="AB1389" s="19" t="str">
        <f>C1389 &amp; "-" &amp; VLOOKUP(C1389,[4]RESULTATS!$E$1:$F$176,2,FALSE)</f>
        <v>435- L’utilisation des TICE dans l’enseignement supérieur et la recherche scientifique est améliorée</v>
      </c>
      <c r="AC1389" s="20" t="str">
        <f>D1389 &amp; "-" &amp; VLOOKUP(D1389,[4]STRATEGIES!$E$1:$F$504,2,FALSE)</f>
        <v>4352-Renforcement des capacités des ressources humaines nécessaire pour prendre en charge l’utilisation des TICE</v>
      </c>
      <c r="AD1389" s="21" t="str">
        <f t="shared" si="212"/>
        <v>4352-Renforcement des capacités des ressources humaines nécessaire pour prendre en charge l’utilisation des TICE</v>
      </c>
    </row>
    <row r="1390" spans="1:30" s="22" customFormat="1" ht="45" hidden="1" customHeight="1" x14ac:dyDescent="0.8">
      <c r="A1390" s="14">
        <v>4</v>
      </c>
      <c r="B1390" s="15">
        <v>43</v>
      </c>
      <c r="C1390" s="15">
        <v>435</v>
      </c>
      <c r="D1390" s="15">
        <v>4352</v>
      </c>
      <c r="E1390" s="15">
        <v>43521</v>
      </c>
      <c r="F1390" s="16" t="s">
        <v>1821</v>
      </c>
      <c r="G1390" s="21" t="s">
        <v>321</v>
      </c>
      <c r="H1390" s="17" t="s">
        <v>55</v>
      </c>
      <c r="I1390" s="33">
        <v>0</v>
      </c>
      <c r="J1390" s="33"/>
      <c r="K1390" s="33"/>
      <c r="L1390" s="33"/>
      <c r="M1390" s="33"/>
      <c r="N1390" s="33">
        <f>IF(OR(H1390="",H1390="sif",H1390="PM"),0,VLOOKUP(H1390,[5]CU!$C$4:$H$255,6,FALSE))</f>
        <v>0</v>
      </c>
      <c r="O1390" s="33"/>
      <c r="P1390" s="33"/>
      <c r="Q1390" s="33"/>
      <c r="R1390" s="33"/>
      <c r="S1390" s="34"/>
      <c r="T1390" s="35" t="s">
        <v>56</v>
      </c>
      <c r="U1390" s="18" t="s">
        <v>1696</v>
      </c>
      <c r="V1390" s="18" t="str">
        <f>IF(OR($H1390="",$H1390="sif",$H1390="PM"),"",VLOOKUP($H1390,[5]CU!$C$5:$J$255,8,FALSE))</f>
        <v/>
      </c>
      <c r="W1390" s="18" t="s">
        <v>255</v>
      </c>
      <c r="X1390" s="18" t="s">
        <v>142</v>
      </c>
      <c r="Y1390" s="18" t="s">
        <v>679</v>
      </c>
      <c r="Z1390" s="18" t="str">
        <f>A1390 &amp; "-" &amp; VLOOKUP(A1390,[4]PROGRAMMES!$E$1:$F$7,2,FALSE)</f>
        <v>4-Réforme de l’enseignement supérieur et la recherche scientifique et de l'innovation</v>
      </c>
      <c r="AA1390" s="19" t="str">
        <f>B1390 &amp; "-" &amp; VLOOKUP(B1390,[4]SOUSPROGRAMMES!$E$1:$F$44,2,FALSE)</f>
        <v>43- Qualité de l’enseignement, de la formation et de la recherche scientifique</v>
      </c>
      <c r="AB1390" s="19" t="str">
        <f>C1390 &amp; "-" &amp; VLOOKUP(C1390,[4]RESULTATS!$E$1:$F$176,2,FALSE)</f>
        <v>435- L’utilisation des TICE dans l’enseignement supérieur et la recherche scientifique est améliorée</v>
      </c>
      <c r="AC1390" s="20" t="str">
        <f>D1390 &amp; "-" &amp; VLOOKUP(D1390,[4]STRATEGIES!$E$1:$F$504,2,FALSE)</f>
        <v>4352-Renforcement des capacités des ressources humaines nécessaire pour prendre en charge l’utilisation des TICE</v>
      </c>
      <c r="AD1390" s="21" t="str">
        <f t="shared" si="212"/>
        <v>43521-Nomination des cadres en charge des TICE</v>
      </c>
    </row>
    <row r="1391" spans="1:30" s="22" customFormat="1" ht="45" hidden="1" customHeight="1" x14ac:dyDescent="0.8">
      <c r="A1391" s="14">
        <v>4</v>
      </c>
      <c r="B1391" s="15">
        <v>43</v>
      </c>
      <c r="C1391" s="15">
        <v>435</v>
      </c>
      <c r="D1391" s="15">
        <v>4352</v>
      </c>
      <c r="E1391" s="15">
        <v>43522</v>
      </c>
      <c r="F1391" s="16" t="s">
        <v>1822</v>
      </c>
      <c r="G1391" s="21" t="s">
        <v>167</v>
      </c>
      <c r="H1391" s="17" t="s">
        <v>101</v>
      </c>
      <c r="I1391" s="33">
        <v>0</v>
      </c>
      <c r="J1391" s="33"/>
      <c r="K1391" s="33"/>
      <c r="L1391" s="33"/>
      <c r="M1391" s="33">
        <f t="shared" ref="M1391:M1453" si="215">SUM(I1391:L1391)</f>
        <v>0</v>
      </c>
      <c r="N1391" s="33">
        <f>IF(OR(H1391="",H1391="sif",H1391="PM"),0,VLOOKUP(H1391,[5]CU!$C$4:$H$255,6,FALSE))</f>
        <v>2.651545</v>
      </c>
      <c r="O1391" s="33">
        <f t="shared" ref="O1391:R1453" si="216">IFERROR($N1391*I1391,0)</f>
        <v>0</v>
      </c>
      <c r="P1391" s="33">
        <f t="shared" si="216"/>
        <v>0</v>
      </c>
      <c r="Q1391" s="33">
        <f t="shared" si="216"/>
        <v>0</v>
      </c>
      <c r="R1391" s="33">
        <f t="shared" si="216"/>
        <v>0</v>
      </c>
      <c r="S1391" s="34">
        <f>SUM(O1391:R1391)</f>
        <v>0</v>
      </c>
      <c r="T1391" s="35" t="s">
        <v>56</v>
      </c>
      <c r="U1391" s="18" t="s">
        <v>1696</v>
      </c>
      <c r="V1391" s="18" t="str">
        <f>IF(OR($H1391="",$H1391="sif",$H1391="PM"),"",VLOOKUP($H1391,[5]CU!$C$5:$J$255,8,FALSE))</f>
        <v>3. Dépenses de fonctionnement</v>
      </c>
      <c r="W1391" s="18" t="s">
        <v>1816</v>
      </c>
      <c r="X1391" s="18" t="s">
        <v>1650</v>
      </c>
      <c r="Y1391" s="18" t="s">
        <v>679</v>
      </c>
      <c r="Z1391" s="18" t="str">
        <f>A1391 &amp; "-" &amp; VLOOKUP(A1391,[4]PROGRAMMES!$E$1:$F$7,2,FALSE)</f>
        <v>4-Réforme de l’enseignement supérieur et la recherche scientifique et de l'innovation</v>
      </c>
      <c r="AA1391" s="19" t="str">
        <f>B1391 &amp; "-" &amp; VLOOKUP(B1391,[4]SOUSPROGRAMMES!$E$1:$F$44,2,FALSE)</f>
        <v>43- Qualité de l’enseignement, de la formation et de la recherche scientifique</v>
      </c>
      <c r="AB1391" s="19" t="str">
        <f>C1391 &amp; "-" &amp; VLOOKUP(C1391,[4]RESULTATS!$E$1:$F$176,2,FALSE)</f>
        <v>435- L’utilisation des TICE dans l’enseignement supérieur et la recherche scientifique est améliorée</v>
      </c>
      <c r="AC1391" s="20" t="str">
        <f>D1391 &amp; "-" &amp; VLOOKUP(D1391,[4]STRATEGIES!$E$1:$F$504,2,FALSE)</f>
        <v>4352-Renforcement des capacités des ressources humaines nécessaire pour prendre en charge l’utilisation des TICE</v>
      </c>
      <c r="AD1391" s="21" t="str">
        <f t="shared" si="212"/>
        <v>43522-Accompagnement des Institutions (formation)</v>
      </c>
    </row>
    <row r="1392" spans="1:30" s="22" customFormat="1" ht="45" hidden="1" customHeight="1" x14ac:dyDescent="0.8">
      <c r="A1392" s="14">
        <v>4</v>
      </c>
      <c r="B1392" s="15">
        <v>43</v>
      </c>
      <c r="C1392" s="15">
        <v>435</v>
      </c>
      <c r="D1392" s="15">
        <v>4352</v>
      </c>
      <c r="E1392" s="15">
        <v>43523</v>
      </c>
      <c r="F1392" s="16" t="s">
        <v>1823</v>
      </c>
      <c r="G1392" s="21" t="s">
        <v>167</v>
      </c>
      <c r="H1392" s="17" t="s">
        <v>101</v>
      </c>
      <c r="I1392" s="33">
        <v>0</v>
      </c>
      <c r="J1392" s="33"/>
      <c r="K1392" s="33"/>
      <c r="L1392" s="33">
        <f>1*30*1</f>
        <v>30</v>
      </c>
      <c r="M1392" s="33">
        <f t="shared" si="215"/>
        <v>30</v>
      </c>
      <c r="N1392" s="33">
        <f>IF(OR(H1392="",H1392="sif",H1392="PM"),0,VLOOKUP(H1392,[5]CU!$C$4:$H$255,6,FALSE))</f>
        <v>2.651545</v>
      </c>
      <c r="O1392" s="33">
        <f t="shared" si="216"/>
        <v>0</v>
      </c>
      <c r="P1392" s="33">
        <f t="shared" si="216"/>
        <v>0</v>
      </c>
      <c r="Q1392" s="33">
        <f t="shared" si="216"/>
        <v>0</v>
      </c>
      <c r="R1392" s="33">
        <f t="shared" si="216"/>
        <v>79.546350000000004</v>
      </c>
      <c r="S1392" s="34">
        <f>SUM(O1392:R1392)</f>
        <v>79.546350000000004</v>
      </c>
      <c r="T1392" s="35" t="s">
        <v>56</v>
      </c>
      <c r="U1392" s="18" t="s">
        <v>1696</v>
      </c>
      <c r="V1392" s="18" t="str">
        <f>IF(OR($H1392="",$H1392="sif",$H1392="PM"),"",VLOOKUP($H1392,[5]CU!$C$5:$J$255,8,FALSE))</f>
        <v>3. Dépenses de fonctionnement</v>
      </c>
      <c r="W1392" s="18" t="s">
        <v>1816</v>
      </c>
      <c r="X1392" s="18" t="s">
        <v>1650</v>
      </c>
      <c r="Y1392" s="18" t="s">
        <v>679</v>
      </c>
      <c r="Z1392" s="18" t="str">
        <f>A1392 &amp; "-" &amp; VLOOKUP(A1392,[4]PROGRAMMES!$E$1:$F$7,2,FALSE)</f>
        <v>4-Réforme de l’enseignement supérieur et la recherche scientifique et de l'innovation</v>
      </c>
      <c r="AA1392" s="19" t="str">
        <f>B1392 &amp; "-" &amp; VLOOKUP(B1392,[4]SOUSPROGRAMMES!$E$1:$F$44,2,FALSE)</f>
        <v>43- Qualité de l’enseignement, de la formation et de la recherche scientifique</v>
      </c>
      <c r="AB1392" s="19" t="str">
        <f>C1392 &amp; "-" &amp; VLOOKUP(C1392,[4]RESULTATS!$E$1:$F$176,2,FALSE)</f>
        <v>435- L’utilisation des TICE dans l’enseignement supérieur et la recherche scientifique est améliorée</v>
      </c>
      <c r="AC1392" s="20" t="str">
        <f>D1392 &amp; "-" &amp; VLOOKUP(D1392,[4]STRATEGIES!$E$1:$F$504,2,FALSE)</f>
        <v>4352-Renforcement des capacités des ressources humaines nécessaire pour prendre en charge l’utilisation des TICE</v>
      </c>
      <c r="AD1392" s="21" t="str">
        <f t="shared" si="212"/>
        <v>43523-Accompagnement des Institutions (maintenance)</v>
      </c>
    </row>
    <row r="1393" spans="1:30" s="22" customFormat="1" ht="45" hidden="1" customHeight="1" x14ac:dyDescent="0.8">
      <c r="A1393" s="14">
        <v>4</v>
      </c>
      <c r="B1393" s="15">
        <v>43</v>
      </c>
      <c r="C1393" s="15">
        <v>435</v>
      </c>
      <c r="D1393" s="15">
        <v>4353</v>
      </c>
      <c r="E1393" s="15">
        <v>4353</v>
      </c>
      <c r="F1393" s="16" t="s">
        <v>1824</v>
      </c>
      <c r="G1393" s="17"/>
      <c r="H1393" s="17"/>
      <c r="I1393" s="33">
        <v>0</v>
      </c>
      <c r="J1393" s="33"/>
      <c r="K1393" s="33"/>
      <c r="L1393" s="33"/>
      <c r="M1393" s="33"/>
      <c r="N1393" s="33"/>
      <c r="O1393" s="33"/>
      <c r="P1393" s="33"/>
      <c r="Q1393" s="33"/>
      <c r="R1393" s="33"/>
      <c r="S1393" s="34"/>
      <c r="T1393" s="33"/>
      <c r="U1393" s="18"/>
      <c r="V1393" s="18"/>
      <c r="W1393" s="18"/>
      <c r="X1393" s="18"/>
      <c r="Y1393" s="18" t="s">
        <v>679</v>
      </c>
      <c r="Z1393" s="18" t="str">
        <f>A1393 &amp; "-" &amp; VLOOKUP(A1393,[4]PROGRAMMES!$E$1:$F$7,2,FALSE)</f>
        <v>4-Réforme de l’enseignement supérieur et la recherche scientifique et de l'innovation</v>
      </c>
      <c r="AA1393" s="19" t="str">
        <f>B1393 &amp; "-" &amp; VLOOKUP(B1393,[4]SOUSPROGRAMMES!$E$1:$F$44,2,FALSE)</f>
        <v>43- Qualité de l’enseignement, de la formation et de la recherche scientifique</v>
      </c>
      <c r="AB1393" s="19" t="str">
        <f>C1393 &amp; "-" &amp; VLOOKUP(C1393,[4]RESULTATS!$E$1:$F$176,2,FALSE)</f>
        <v>435- L’utilisation des TICE dans l’enseignement supérieur et la recherche scientifique est améliorée</v>
      </c>
      <c r="AC1393" s="20" t="str">
        <f>D1393 &amp; "-" &amp; VLOOKUP(D1393,[4]STRATEGIES!$E$1:$F$504,2,FALSE)</f>
        <v>4353-Renforcement de l’usage pédagogique des applications informatiques et de l’Internet (formation à distance, espaces numériques, télé-enseignement)</v>
      </c>
      <c r="AD1393" s="21" t="str">
        <f t="shared" si="212"/>
        <v>4353-Renforcement de l’usage pédagogique des applications informatiques et de l’Internet (formation à distance, espaces numériques, télé-enseignement)</v>
      </c>
    </row>
    <row r="1394" spans="1:30" s="22" customFormat="1" ht="45" hidden="1" customHeight="1" x14ac:dyDescent="0.8">
      <c r="A1394" s="14">
        <v>4</v>
      </c>
      <c r="B1394" s="15">
        <v>43</v>
      </c>
      <c r="C1394" s="15">
        <v>435</v>
      </c>
      <c r="D1394" s="15">
        <v>4353</v>
      </c>
      <c r="E1394" s="15">
        <v>43531</v>
      </c>
      <c r="F1394" s="16" t="s">
        <v>1825</v>
      </c>
      <c r="G1394" s="21" t="s">
        <v>1619</v>
      </c>
      <c r="H1394" s="17" t="s">
        <v>974</v>
      </c>
      <c r="I1394" s="33">
        <v>0</v>
      </c>
      <c r="J1394" s="33">
        <f>5</f>
        <v>5</v>
      </c>
      <c r="K1394" s="33"/>
      <c r="L1394" s="33">
        <f>5</f>
        <v>5</v>
      </c>
      <c r="M1394" s="33">
        <f t="shared" si="215"/>
        <v>10</v>
      </c>
      <c r="N1394" s="33">
        <f>IF(OR(H1394="",H1394="sif",H1394="PM"),0,VLOOKUP(H1394,[5]CU!$C$4:$H$255,6,FALSE))</f>
        <v>6.333333333333333</v>
      </c>
      <c r="O1394" s="33">
        <f t="shared" si="216"/>
        <v>0</v>
      </c>
      <c r="P1394" s="33">
        <f t="shared" si="216"/>
        <v>31.666666666666664</v>
      </c>
      <c r="Q1394" s="33">
        <f t="shared" si="216"/>
        <v>0</v>
      </c>
      <c r="R1394" s="33">
        <f t="shared" si="216"/>
        <v>31.666666666666664</v>
      </c>
      <c r="S1394" s="34">
        <f>SUM(O1394:R1394)</f>
        <v>63.333333333333329</v>
      </c>
      <c r="T1394" s="35" t="s">
        <v>56</v>
      </c>
      <c r="U1394" s="18" t="s">
        <v>1696</v>
      </c>
      <c r="V1394" s="18" t="str">
        <f>IF(OR($H1394="",$H1394="sif",$H1394="PM"),"",VLOOKUP($H1394,[5]CU!$C$5:$J$255,8,FALSE))</f>
        <v>5. Investissement</v>
      </c>
      <c r="W1394" s="18" t="s">
        <v>1665</v>
      </c>
      <c r="X1394" s="18" t="s">
        <v>521</v>
      </c>
      <c r="Y1394" s="18" t="s">
        <v>679</v>
      </c>
      <c r="Z1394" s="18" t="str">
        <f>A1394 &amp; "-" &amp; VLOOKUP(A1394,[4]PROGRAMMES!$E$1:$F$7,2,FALSE)</f>
        <v>4-Réforme de l’enseignement supérieur et la recherche scientifique et de l'innovation</v>
      </c>
      <c r="AA1394" s="19" t="str">
        <f>B1394 &amp; "-" &amp; VLOOKUP(B1394,[4]SOUSPROGRAMMES!$E$1:$F$44,2,FALSE)</f>
        <v>43- Qualité de l’enseignement, de la formation et de la recherche scientifique</v>
      </c>
      <c r="AB1394" s="19" t="str">
        <f>C1394 &amp; "-" &amp; VLOOKUP(C1394,[4]RESULTATS!$E$1:$F$176,2,FALSE)</f>
        <v>435- L’utilisation des TICE dans l’enseignement supérieur et la recherche scientifique est améliorée</v>
      </c>
      <c r="AC1394" s="20" t="str">
        <f>D1394 &amp; "-" &amp; VLOOKUP(D1394,[4]STRATEGIES!$E$1:$F$504,2,FALSE)</f>
        <v>4353-Renforcement de l’usage pédagogique des applications informatiques et de l’Internet (formation à distance, espaces numériques, télé-enseignement)</v>
      </c>
      <c r="AD1394" s="21" t="str">
        <f t="shared" si="212"/>
        <v>43531-Dotation d'outils informatiques aux institutions</v>
      </c>
    </row>
    <row r="1395" spans="1:30" s="22" customFormat="1" ht="45" hidden="1" customHeight="1" x14ac:dyDescent="0.8">
      <c r="A1395" s="14">
        <v>4</v>
      </c>
      <c r="B1395" s="15">
        <v>43</v>
      </c>
      <c r="C1395" s="15">
        <v>435</v>
      </c>
      <c r="D1395" s="15">
        <v>4353</v>
      </c>
      <c r="E1395" s="15">
        <v>43532</v>
      </c>
      <c r="F1395" s="16" t="s">
        <v>1826</v>
      </c>
      <c r="G1395" s="21" t="s">
        <v>1619</v>
      </c>
      <c r="H1395" s="17" t="s">
        <v>1827</v>
      </c>
      <c r="I1395" s="33">
        <v>0</v>
      </c>
      <c r="J1395" s="33">
        <f>5*18</f>
        <v>90</v>
      </c>
      <c r="K1395" s="33"/>
      <c r="L1395" s="33">
        <f>5*18</f>
        <v>90</v>
      </c>
      <c r="M1395" s="33">
        <f t="shared" si="215"/>
        <v>180</v>
      </c>
      <c r="N1395" s="33">
        <f>IF(OR(H1395="",H1395="sif",H1395="PM"),0,VLOOKUP(H1395,[5]CU!$C$4:$H$255,6,FALSE))</f>
        <v>5.25</v>
      </c>
      <c r="O1395" s="33">
        <f t="shared" si="216"/>
        <v>0</v>
      </c>
      <c r="P1395" s="33">
        <f t="shared" si="216"/>
        <v>472.5</v>
      </c>
      <c r="Q1395" s="33">
        <f t="shared" si="216"/>
        <v>0</v>
      </c>
      <c r="R1395" s="33">
        <f t="shared" si="216"/>
        <v>472.5</v>
      </c>
      <c r="S1395" s="34">
        <f>SUM(O1395:R1395)</f>
        <v>945</v>
      </c>
      <c r="T1395" s="35" t="s">
        <v>56</v>
      </c>
      <c r="U1395" s="18" t="s">
        <v>1696</v>
      </c>
      <c r="V1395" s="18" t="str">
        <f>IF(OR($H1395="",$H1395="sif",$H1395="PM"),"",VLOOKUP($H1395,[5]CU!$C$5:$J$255,8,FALSE))</f>
        <v>5. Investissement</v>
      </c>
      <c r="W1395" s="18" t="s">
        <v>1665</v>
      </c>
      <c r="X1395" s="18" t="s">
        <v>521</v>
      </c>
      <c r="Y1395" s="18" t="s">
        <v>679</v>
      </c>
      <c r="Z1395" s="18" t="str">
        <f>A1395 &amp; "-" &amp; VLOOKUP(A1395,[4]PROGRAMMES!$E$1:$F$7,2,FALSE)</f>
        <v>4-Réforme de l’enseignement supérieur et la recherche scientifique et de l'innovation</v>
      </c>
      <c r="AA1395" s="19" t="str">
        <f>B1395 &amp; "-" &amp; VLOOKUP(B1395,[4]SOUSPROGRAMMES!$E$1:$F$44,2,FALSE)</f>
        <v>43- Qualité de l’enseignement, de la formation et de la recherche scientifique</v>
      </c>
      <c r="AB1395" s="19" t="str">
        <f>C1395 &amp; "-" &amp; VLOOKUP(C1395,[4]RESULTATS!$E$1:$F$176,2,FALSE)</f>
        <v>435- L’utilisation des TICE dans l’enseignement supérieur et la recherche scientifique est améliorée</v>
      </c>
      <c r="AC1395" s="20" t="str">
        <f>D1395 &amp; "-" &amp; VLOOKUP(D1395,[4]STRATEGIES!$E$1:$F$504,2,FALSE)</f>
        <v>4353-Renforcement de l’usage pédagogique des applications informatiques et de l’Internet (formation à distance, espaces numériques, télé-enseignement)</v>
      </c>
      <c r="AD1395" s="21" t="str">
        <f t="shared" si="212"/>
        <v>43532-Equipement de salles de classe en vidéo projecteurs</v>
      </c>
    </row>
    <row r="1396" spans="1:30" s="22" customFormat="1" ht="45" hidden="1" customHeight="1" x14ac:dyDescent="0.8">
      <c r="A1396" s="14">
        <v>4</v>
      </c>
      <c r="B1396" s="15">
        <v>43</v>
      </c>
      <c r="C1396" s="15">
        <v>435</v>
      </c>
      <c r="D1396" s="15">
        <v>4353</v>
      </c>
      <c r="E1396" s="15">
        <v>43533</v>
      </c>
      <c r="F1396" s="16" t="s">
        <v>1828</v>
      </c>
      <c r="G1396" s="21" t="s">
        <v>92</v>
      </c>
      <c r="H1396" s="17" t="s">
        <v>55</v>
      </c>
      <c r="I1396" s="33">
        <v>0</v>
      </c>
      <c r="J1396" s="33">
        <v>1</v>
      </c>
      <c r="K1396" s="33">
        <v>1</v>
      </c>
      <c r="L1396" s="33"/>
      <c r="M1396" s="33">
        <f t="shared" si="215"/>
        <v>2</v>
      </c>
      <c r="N1396" s="33">
        <f>IF(OR(H1396="",H1396="sif",H1396="PM"),0,VLOOKUP(H1396,[5]CU!$C$4:$H$255,6,FALSE))</f>
        <v>0</v>
      </c>
      <c r="O1396" s="33">
        <f t="shared" si="216"/>
        <v>0</v>
      </c>
      <c r="P1396" s="33">
        <f t="shared" si="216"/>
        <v>0</v>
      </c>
      <c r="Q1396" s="33">
        <f t="shared" si="216"/>
        <v>0</v>
      </c>
      <c r="R1396" s="33">
        <f t="shared" si="216"/>
        <v>0</v>
      </c>
      <c r="S1396" s="34"/>
      <c r="T1396" s="35" t="s">
        <v>56</v>
      </c>
      <c r="U1396" s="18" t="s">
        <v>1696</v>
      </c>
      <c r="V1396" s="18" t="str">
        <f>IF(OR($H1396="",$H1396="sif",$H1396="PM"),"",VLOOKUP($H1396,[5]CU!$C$5:$J$255,8,FALSE))</f>
        <v/>
      </c>
      <c r="W1396" s="18" t="s">
        <v>1705</v>
      </c>
      <c r="X1396" s="18" t="s">
        <v>521</v>
      </c>
      <c r="Y1396" s="18" t="s">
        <v>679</v>
      </c>
      <c r="Z1396" s="18" t="str">
        <f>A1396 &amp; "-" &amp; VLOOKUP(A1396,[4]PROGRAMMES!$E$1:$F$7,2,FALSE)</f>
        <v>4-Réforme de l’enseignement supérieur et la recherche scientifique et de l'innovation</v>
      </c>
      <c r="AA1396" s="19" t="str">
        <f>B1396 &amp; "-" &amp; VLOOKUP(B1396,[4]SOUSPROGRAMMES!$E$1:$F$44,2,FALSE)</f>
        <v>43- Qualité de l’enseignement, de la formation et de la recherche scientifique</v>
      </c>
      <c r="AB1396" s="19" t="str">
        <f>C1396 &amp; "-" &amp; VLOOKUP(C1396,[4]RESULTATS!$E$1:$F$176,2,FALSE)</f>
        <v>435- L’utilisation des TICE dans l’enseignement supérieur et la recherche scientifique est améliorée</v>
      </c>
      <c r="AC1396" s="20" t="str">
        <f>D1396 &amp; "-" &amp; VLOOKUP(D1396,[4]STRATEGIES!$E$1:$F$504,2,FALSE)</f>
        <v>4353-Renforcement de l’usage pédagogique des applications informatiques et de l’Internet (formation à distance, espaces numériques, télé-enseignement)</v>
      </c>
      <c r="AD1396" s="21" t="str">
        <f t="shared" si="212"/>
        <v>43533-Constructions de laboratoires informatiques (pris en compte dans activités 52112, 52113 52114 et 52116)</v>
      </c>
    </row>
    <row r="1397" spans="1:30" s="22" customFormat="1" ht="45" hidden="1" customHeight="1" x14ac:dyDescent="0.8">
      <c r="A1397" s="14">
        <v>4</v>
      </c>
      <c r="B1397" s="15">
        <v>43</v>
      </c>
      <c r="C1397" s="15">
        <v>435</v>
      </c>
      <c r="D1397" s="15">
        <v>4353</v>
      </c>
      <c r="E1397" s="15">
        <v>43534</v>
      </c>
      <c r="F1397" s="16" t="s">
        <v>1829</v>
      </c>
      <c r="G1397" s="21" t="s">
        <v>1701</v>
      </c>
      <c r="H1397" s="17" t="s">
        <v>972</v>
      </c>
      <c r="I1397" s="33">
        <v>0</v>
      </c>
      <c r="J1397" s="33">
        <f>25*18</f>
        <v>450</v>
      </c>
      <c r="K1397" s="33"/>
      <c r="L1397" s="33">
        <f>25*18</f>
        <v>450</v>
      </c>
      <c r="M1397" s="33">
        <f t="shared" si="215"/>
        <v>900</v>
      </c>
      <c r="N1397" s="33">
        <f>IF(OR(H1397="",H1397="sif",H1397="PM"),0,VLOOKUP(H1397,[5]CU!$C$4:$H$255,6,FALSE))</f>
        <v>5</v>
      </c>
      <c r="O1397" s="33">
        <f t="shared" si="216"/>
        <v>0</v>
      </c>
      <c r="P1397" s="33">
        <f t="shared" si="216"/>
        <v>2250</v>
      </c>
      <c r="Q1397" s="33">
        <f t="shared" si="216"/>
        <v>0</v>
      </c>
      <c r="R1397" s="33">
        <f t="shared" si="216"/>
        <v>2250</v>
      </c>
      <c r="S1397" s="34">
        <f>SUM(O1397:R1397)</f>
        <v>4500</v>
      </c>
      <c r="T1397" s="35" t="s">
        <v>56</v>
      </c>
      <c r="U1397" s="18" t="s">
        <v>1696</v>
      </c>
      <c r="V1397" s="18" t="str">
        <f>IF(OR($H1397="",$H1397="sif",$H1397="PM"),"",VLOOKUP($H1397,[5]CU!$C$5:$J$255,8,FALSE))</f>
        <v>5. Investissement</v>
      </c>
      <c r="W1397" s="18" t="s">
        <v>1830</v>
      </c>
      <c r="X1397" s="18" t="s">
        <v>521</v>
      </c>
      <c r="Y1397" s="18" t="s">
        <v>679</v>
      </c>
      <c r="Z1397" s="18" t="str">
        <f>A1397 &amp; "-" &amp; VLOOKUP(A1397,[4]PROGRAMMES!$E$1:$F$7,2,FALSE)</f>
        <v>4-Réforme de l’enseignement supérieur et la recherche scientifique et de l'innovation</v>
      </c>
      <c r="AA1397" s="19" t="str">
        <f>B1397 &amp; "-" &amp; VLOOKUP(B1397,[4]SOUSPROGRAMMES!$E$1:$F$44,2,FALSE)</f>
        <v>43- Qualité de l’enseignement, de la formation et de la recherche scientifique</v>
      </c>
      <c r="AB1397" s="19" t="str">
        <f>C1397 &amp; "-" &amp; VLOOKUP(C1397,[4]RESULTATS!$E$1:$F$176,2,FALSE)</f>
        <v>435- L’utilisation des TICE dans l’enseignement supérieur et la recherche scientifique est améliorée</v>
      </c>
      <c r="AC1397" s="20" t="str">
        <f>D1397 &amp; "-" &amp; VLOOKUP(D1397,[4]STRATEGIES!$E$1:$F$504,2,FALSE)</f>
        <v>4353-Renforcement de l’usage pédagogique des applications informatiques et de l’Internet (formation à distance, espaces numériques, télé-enseignement)</v>
      </c>
      <c r="AD1397" s="21" t="str">
        <f t="shared" si="212"/>
        <v>43534-Equipement de laboratoires informatiques</v>
      </c>
    </row>
    <row r="1398" spans="1:30" s="22" customFormat="1" ht="45" hidden="1" customHeight="1" x14ac:dyDescent="0.8">
      <c r="A1398" s="14">
        <v>4</v>
      </c>
      <c r="B1398" s="15">
        <v>43</v>
      </c>
      <c r="C1398" s="15">
        <v>435</v>
      </c>
      <c r="D1398" s="15">
        <v>4353</v>
      </c>
      <c r="E1398" s="15">
        <v>43535</v>
      </c>
      <c r="F1398" s="16" t="s">
        <v>1831</v>
      </c>
      <c r="G1398" s="21" t="s">
        <v>1832</v>
      </c>
      <c r="H1398" s="17" t="s">
        <v>1833</v>
      </c>
      <c r="I1398" s="33">
        <v>0</v>
      </c>
      <c r="J1398" s="33">
        <v>0.95409043386778303</v>
      </c>
      <c r="K1398" s="33">
        <v>0.99951934348543303</v>
      </c>
      <c r="L1398" s="33">
        <v>1.0463902226467801</v>
      </c>
      <c r="M1398" s="33">
        <f t="shared" si="215"/>
        <v>2.9999999999999964</v>
      </c>
      <c r="N1398" s="33">
        <f>IF(OR(H1398="",H1398="sif",H1398="PM"),0,VLOOKUP(H1398,[5]CU!$C$4:$H$255,6,FALSE))</f>
        <v>2273.9312719097802</v>
      </c>
      <c r="O1398" s="33">
        <f t="shared" si="216"/>
        <v>0</v>
      </c>
      <c r="P1398" s="33">
        <f t="shared" si="216"/>
        <v>2169.5360738019217</v>
      </c>
      <c r="Q1398" s="33">
        <f t="shared" si="216"/>
        <v>2272.8382920302593</v>
      </c>
      <c r="R1398" s="33">
        <f t="shared" si="216"/>
        <v>2379.4194498971506</v>
      </c>
      <c r="S1398" s="34">
        <f>SUM(O1398:R1398)</f>
        <v>6821.793815729332</v>
      </c>
      <c r="T1398" s="35" t="s">
        <v>56</v>
      </c>
      <c r="U1398" s="18" t="s">
        <v>1696</v>
      </c>
      <c r="V1398" s="18" t="str">
        <f>IF(OR($H1398="",$H1398="sif",$H1398="PM"),"",VLOOKUP($H1398,[5]CU!$C$5:$J$255,8,FALSE))</f>
        <v>3. Dépenses de fonctionnement</v>
      </c>
      <c r="W1398" s="18" t="s">
        <v>1830</v>
      </c>
      <c r="X1398" s="18" t="s">
        <v>521</v>
      </c>
      <c r="Y1398" s="18" t="s">
        <v>679</v>
      </c>
      <c r="Z1398" s="18" t="str">
        <f>A1398 &amp; "-" &amp; VLOOKUP(A1398,[4]PROGRAMMES!$E$1:$F$7,2,FALSE)</f>
        <v>4-Réforme de l’enseignement supérieur et la recherche scientifique et de l'innovation</v>
      </c>
      <c r="AA1398" s="19" t="str">
        <f>B1398 &amp; "-" &amp; VLOOKUP(B1398,[4]SOUSPROGRAMMES!$E$1:$F$44,2,FALSE)</f>
        <v>43- Qualité de l’enseignement, de la formation et de la recherche scientifique</v>
      </c>
      <c r="AB1398" s="19" t="str">
        <f>C1398 &amp; "-" &amp; VLOOKUP(C1398,[4]RESULTATS!$E$1:$F$176,2,FALSE)</f>
        <v>435- L’utilisation des TICE dans l’enseignement supérieur et la recherche scientifique est améliorée</v>
      </c>
      <c r="AC1398" s="20" t="str">
        <f>D1398 &amp; "-" &amp; VLOOKUP(D1398,[4]STRATEGIES!$E$1:$F$504,2,FALSE)</f>
        <v>4353-Renforcement de l’usage pédagogique des applications informatiques et de l’Internet (formation à distance, espaces numériques, télé-enseignement)</v>
      </c>
      <c r="AD1398" s="21" t="str">
        <f t="shared" si="212"/>
        <v>43535-Dotation pour le fonctionnement des formations à distance</v>
      </c>
    </row>
    <row r="1399" spans="1:30" s="22" customFormat="1" ht="45" hidden="1" customHeight="1" x14ac:dyDescent="0.8">
      <c r="A1399" s="14">
        <v>4</v>
      </c>
      <c r="B1399" s="15">
        <v>43</v>
      </c>
      <c r="C1399" s="15">
        <v>436</v>
      </c>
      <c r="D1399" s="15">
        <v>436</v>
      </c>
      <c r="E1399" s="15">
        <v>436</v>
      </c>
      <c r="F1399" s="16" t="s">
        <v>1834</v>
      </c>
      <c r="G1399" s="17"/>
      <c r="H1399" s="17"/>
      <c r="I1399" s="33">
        <v>0</v>
      </c>
      <c r="J1399" s="33"/>
      <c r="K1399" s="33"/>
      <c r="L1399" s="33"/>
      <c r="M1399" s="33"/>
      <c r="N1399" s="33"/>
      <c r="O1399" s="33"/>
      <c r="P1399" s="33"/>
      <c r="Q1399" s="33"/>
      <c r="R1399" s="33"/>
      <c r="S1399" s="34"/>
      <c r="T1399" s="33"/>
      <c r="U1399" s="18"/>
      <c r="V1399" s="18"/>
      <c r="W1399" s="18"/>
      <c r="X1399" s="18"/>
      <c r="Y1399" s="18" t="s">
        <v>679</v>
      </c>
      <c r="Z1399" s="18" t="str">
        <f>A1399 &amp; "-" &amp; VLOOKUP(A1399,[4]PROGRAMMES!$E$1:$F$7,2,FALSE)</f>
        <v>4-Réforme de l’enseignement supérieur et la recherche scientifique et de l'innovation</v>
      </c>
      <c r="AA1399" s="19" t="str">
        <f>B1399 &amp; "-" &amp; VLOOKUP(B1399,[4]SOUSPROGRAMMES!$E$1:$F$44,2,FALSE)</f>
        <v>43- Qualité de l’enseignement, de la formation et de la recherche scientifique</v>
      </c>
      <c r="AB1399" s="19" t="str">
        <f>C1399 &amp; "-" &amp; VLOOKUP(C1399,[4]RESULTATS!$E$1:$F$176,2,FALSE)</f>
        <v>436- Une politique nationale de la recherche scientifique et de l’innovation est adoptée</v>
      </c>
      <c r="AC1399" s="20" t="str">
        <f>D1399 &amp; "-" &amp; VLOOKUP(D1399,[4]STRATEGIES!$E$1:$F$504,2,FALSE)</f>
        <v>436- Une politique nationale de la recherche scientifique et de l’innovation est adoptée</v>
      </c>
      <c r="AD1399" s="21" t="str">
        <f t="shared" si="212"/>
        <v>436- Une politique nationale de la recherche scientifique et de l’innovation est adoptée</v>
      </c>
    </row>
    <row r="1400" spans="1:30" s="22" customFormat="1" ht="45" hidden="1" customHeight="1" x14ac:dyDescent="0.8">
      <c r="A1400" s="14">
        <v>4</v>
      </c>
      <c r="B1400" s="15">
        <v>43</v>
      </c>
      <c r="C1400" s="15">
        <v>436</v>
      </c>
      <c r="D1400" s="15">
        <v>4361</v>
      </c>
      <c r="E1400" s="15">
        <v>4361</v>
      </c>
      <c r="F1400" s="16" t="s">
        <v>1835</v>
      </c>
      <c r="G1400" s="17"/>
      <c r="H1400" s="17"/>
      <c r="I1400" s="33">
        <v>0</v>
      </c>
      <c r="J1400" s="33"/>
      <c r="K1400" s="33"/>
      <c r="L1400" s="33"/>
      <c r="M1400" s="33"/>
      <c r="N1400" s="33"/>
      <c r="O1400" s="33"/>
      <c r="P1400" s="33"/>
      <c r="Q1400" s="33"/>
      <c r="R1400" s="33"/>
      <c r="S1400" s="34"/>
      <c r="T1400" s="33"/>
      <c r="U1400" s="18"/>
      <c r="V1400" s="18"/>
      <c r="W1400" s="18"/>
      <c r="X1400" s="18"/>
      <c r="Y1400" s="18" t="s">
        <v>679</v>
      </c>
      <c r="Z1400" s="18" t="str">
        <f>A1400 &amp; "-" &amp; VLOOKUP(A1400,[4]PROGRAMMES!$E$1:$F$7,2,FALSE)</f>
        <v>4-Réforme de l’enseignement supérieur et la recherche scientifique et de l'innovation</v>
      </c>
      <c r="AA1400" s="19" t="str">
        <f>B1400 &amp; "-" &amp; VLOOKUP(B1400,[4]SOUSPROGRAMMES!$E$1:$F$44,2,FALSE)</f>
        <v>43- Qualité de l’enseignement, de la formation et de la recherche scientifique</v>
      </c>
      <c r="AB1400" s="19" t="str">
        <f>C1400 &amp; "-" &amp; VLOOKUP(C1400,[4]RESULTATS!$E$1:$F$176,2,FALSE)</f>
        <v>436- Une politique nationale de la recherche scientifique et de l’innovation est adoptée</v>
      </c>
      <c r="AC1400" s="20" t="str">
        <f>D1400 &amp; "-" &amp; VLOOKUP(D1400,[4]STRATEGIES!$E$1:$F$504,2,FALSE)</f>
        <v>4361-Elaboration et adoption de la politique nationale de la recherche et de l’innovation technologique </v>
      </c>
      <c r="AD1400" s="21" t="str">
        <f t="shared" si="212"/>
        <v>4361-Elaboration et adoption de la politique nationale de la recherche et de l’innovation technologique </v>
      </c>
    </row>
    <row r="1401" spans="1:30" s="22" customFormat="1" ht="45" hidden="1" customHeight="1" x14ac:dyDescent="0.8">
      <c r="A1401" s="14">
        <v>4</v>
      </c>
      <c r="B1401" s="15">
        <v>43</v>
      </c>
      <c r="C1401" s="15">
        <v>436</v>
      </c>
      <c r="D1401" s="15">
        <v>4361</v>
      </c>
      <c r="E1401" s="15">
        <v>43611</v>
      </c>
      <c r="F1401" s="16" t="s">
        <v>1836</v>
      </c>
      <c r="G1401" s="21" t="s">
        <v>88</v>
      </c>
      <c r="H1401" s="17" t="s">
        <v>55</v>
      </c>
      <c r="I1401" s="33">
        <v>0</v>
      </c>
      <c r="J1401" s="33"/>
      <c r="K1401" s="33"/>
      <c r="L1401" s="33"/>
      <c r="M1401" s="33">
        <f t="shared" si="215"/>
        <v>0</v>
      </c>
      <c r="N1401" s="33">
        <f>IF(OR(H1401="",H1401="sif",H1401="PM"),0,VLOOKUP(H1401,[5]CU!$C$4:$H$255,6,FALSE))</f>
        <v>0</v>
      </c>
      <c r="O1401" s="33">
        <f t="shared" si="216"/>
        <v>0</v>
      </c>
      <c r="P1401" s="33">
        <f t="shared" si="216"/>
        <v>0</v>
      </c>
      <c r="Q1401" s="33">
        <f t="shared" si="216"/>
        <v>0</v>
      </c>
      <c r="R1401" s="33">
        <f t="shared" si="216"/>
        <v>0</v>
      </c>
      <c r="S1401" s="34"/>
      <c r="T1401" s="35" t="s">
        <v>56</v>
      </c>
      <c r="U1401" s="18" t="s">
        <v>1696</v>
      </c>
      <c r="V1401" s="18" t="str">
        <f>IF(OR($H1401="",$H1401="sif",$H1401="PM"),"",VLOOKUP($H1401,[5]CU!$C$5:$J$255,8,FALSE))</f>
        <v/>
      </c>
      <c r="W1401" s="18" t="s">
        <v>255</v>
      </c>
      <c r="X1401" s="18" t="s">
        <v>1791</v>
      </c>
      <c r="Y1401" s="18" t="s">
        <v>679</v>
      </c>
      <c r="Z1401" s="18" t="str">
        <f>A1401 &amp; "-" &amp; VLOOKUP(A1401,[4]PROGRAMMES!$E$1:$F$7,2,FALSE)</f>
        <v>4-Réforme de l’enseignement supérieur et la recherche scientifique et de l'innovation</v>
      </c>
      <c r="AA1401" s="19" t="str">
        <f>B1401 &amp; "-" &amp; VLOOKUP(B1401,[4]SOUSPROGRAMMES!$E$1:$F$44,2,FALSE)</f>
        <v>43- Qualité de l’enseignement, de la formation et de la recherche scientifique</v>
      </c>
      <c r="AB1401" s="19" t="str">
        <f>C1401 &amp; "-" &amp; VLOOKUP(C1401,[4]RESULTATS!$E$1:$F$176,2,FALSE)</f>
        <v>436- Une politique nationale de la recherche scientifique et de l’innovation est adoptée</v>
      </c>
      <c r="AC1401" s="20" t="str">
        <f>D1401 &amp; "-" &amp; VLOOKUP(D1401,[4]STRATEGIES!$E$1:$F$504,2,FALSE)</f>
        <v>4361-Elaboration et adoption de la politique nationale de la recherche et de l’innovation technologique </v>
      </c>
      <c r="AD1401" s="21" t="str">
        <f t="shared" si="212"/>
        <v>43611-Rédaction du document de politique</v>
      </c>
    </row>
    <row r="1402" spans="1:30" s="22" customFormat="1" ht="45" hidden="1" customHeight="1" x14ac:dyDescent="0.8">
      <c r="A1402" s="14">
        <v>4</v>
      </c>
      <c r="B1402" s="15">
        <v>43</v>
      </c>
      <c r="C1402" s="15">
        <v>436</v>
      </c>
      <c r="D1402" s="15">
        <v>4361</v>
      </c>
      <c r="E1402" s="15">
        <v>43612</v>
      </c>
      <c r="F1402" s="16" t="s">
        <v>1837</v>
      </c>
      <c r="G1402" s="21" t="s">
        <v>37</v>
      </c>
      <c r="H1402" s="17" t="s">
        <v>38</v>
      </c>
      <c r="I1402" s="33">
        <v>0</v>
      </c>
      <c r="J1402" s="33"/>
      <c r="K1402" s="33"/>
      <c r="L1402" s="33"/>
      <c r="M1402" s="33">
        <f t="shared" si="215"/>
        <v>0</v>
      </c>
      <c r="N1402" s="33">
        <f>IF(OR(H1402="",H1402="sif",H1402="PM"),0,VLOOKUP(H1402,[5]CU!$C$4:$H$255,6,FALSE))</f>
        <v>0.3133333333333333</v>
      </c>
      <c r="O1402" s="33">
        <f t="shared" si="216"/>
        <v>0</v>
      </c>
      <c r="P1402" s="33">
        <f t="shared" si="216"/>
        <v>0</v>
      </c>
      <c r="Q1402" s="33">
        <f t="shared" si="216"/>
        <v>0</v>
      </c>
      <c r="R1402" s="33">
        <f t="shared" si="216"/>
        <v>0</v>
      </c>
      <c r="S1402" s="34">
        <f>SUM(O1402:R1402)</f>
        <v>0</v>
      </c>
      <c r="T1402" s="35" t="s">
        <v>56</v>
      </c>
      <c r="U1402" s="18" t="s">
        <v>1696</v>
      </c>
      <c r="V1402" s="18" t="str">
        <f>IF(OR($H1402="",$H1402="sif",$H1402="PM"),"",VLOOKUP($H1402,[5]CU!$C$5:$J$255,8,FALSE))</f>
        <v>3. Formation</v>
      </c>
      <c r="W1402" s="18" t="s">
        <v>255</v>
      </c>
      <c r="X1402" s="18" t="s">
        <v>1791</v>
      </c>
      <c r="Y1402" s="18" t="s">
        <v>679</v>
      </c>
      <c r="Z1402" s="18" t="str">
        <f>A1402 &amp; "-" &amp; VLOOKUP(A1402,[4]PROGRAMMES!$E$1:$F$7,2,FALSE)</f>
        <v>4-Réforme de l’enseignement supérieur et la recherche scientifique et de l'innovation</v>
      </c>
      <c r="AA1402" s="19" t="str">
        <f>B1402 &amp; "-" &amp; VLOOKUP(B1402,[4]SOUSPROGRAMMES!$E$1:$F$44,2,FALSE)</f>
        <v>43- Qualité de l’enseignement, de la formation et de la recherche scientifique</v>
      </c>
      <c r="AB1402" s="19" t="str">
        <f>C1402 &amp; "-" &amp; VLOOKUP(C1402,[4]RESULTATS!$E$1:$F$176,2,FALSE)</f>
        <v>436- Une politique nationale de la recherche scientifique et de l’innovation est adoptée</v>
      </c>
      <c r="AC1402" s="20" t="str">
        <f>D1402 &amp; "-" &amp; VLOOKUP(D1402,[4]STRATEGIES!$E$1:$F$504,2,FALSE)</f>
        <v>4361-Elaboration et adoption de la politique nationale de la recherche et de l’innovation technologique </v>
      </c>
      <c r="AD1402" s="21" t="str">
        <f t="shared" si="212"/>
        <v>43612-Partage et validation du document de politique</v>
      </c>
    </row>
    <row r="1403" spans="1:30" s="22" customFormat="1" ht="45" hidden="1" customHeight="1" x14ac:dyDescent="0.8">
      <c r="A1403" s="14">
        <v>4</v>
      </c>
      <c r="B1403" s="15">
        <v>43</v>
      </c>
      <c r="C1403" s="15">
        <v>436</v>
      </c>
      <c r="D1403" s="15">
        <v>4361</v>
      </c>
      <c r="E1403" s="15">
        <v>43613</v>
      </c>
      <c r="F1403" s="16" t="s">
        <v>1838</v>
      </c>
      <c r="G1403" s="21" t="s">
        <v>1839</v>
      </c>
      <c r="H1403" s="17" t="s">
        <v>1840</v>
      </c>
      <c r="I1403" s="33">
        <v>0</v>
      </c>
      <c r="J1403" s="33">
        <v>0.94</v>
      </c>
      <c r="K1403" s="33">
        <v>1.08</v>
      </c>
      <c r="L1403" s="33">
        <v>1.24</v>
      </c>
      <c r="M1403" s="33">
        <f t="shared" si="215"/>
        <v>3.26</v>
      </c>
      <c r="N1403" s="33">
        <f>IF(OR(H1403="",H1403="sif",H1403="PM"),0,VLOOKUP(H1403,[5]CU!$C$4:$H$255,6,FALSE))</f>
        <v>50737.009102769</v>
      </c>
      <c r="O1403" s="33">
        <f t="shared" si="216"/>
        <v>0</v>
      </c>
      <c r="P1403" s="33">
        <f t="shared" si="216"/>
        <v>47692.788556602856</v>
      </c>
      <c r="Q1403" s="33">
        <f t="shared" si="216"/>
        <v>54795.969830990522</v>
      </c>
      <c r="R1403" s="33">
        <f t="shared" si="216"/>
        <v>62913.891287433558</v>
      </c>
      <c r="S1403" s="34">
        <f>SUM(O1403:R1403)</f>
        <v>165402.64967502694</v>
      </c>
      <c r="T1403" s="35" t="s">
        <v>56</v>
      </c>
      <c r="U1403" s="18" t="s">
        <v>1696</v>
      </c>
      <c r="V1403" s="18" t="str">
        <f>IF(OR($H1403="",$H1403="sif",$H1403="PM"),"",VLOOKUP($H1403,[5]CU!$C$5:$J$255,8,FALSE))</f>
        <v>3. Dépenses de fonctionnement</v>
      </c>
      <c r="W1403" s="18" t="s">
        <v>1647</v>
      </c>
      <c r="X1403" s="18" t="s">
        <v>1728</v>
      </c>
      <c r="Y1403" s="18" t="s">
        <v>679</v>
      </c>
      <c r="Z1403" s="18" t="str">
        <f>A1403 &amp; "-" &amp; VLOOKUP(A1403,[4]PROGRAMMES!$E$1:$F$7,2,FALSE)</f>
        <v>4-Réforme de l’enseignement supérieur et la recherche scientifique et de l'innovation</v>
      </c>
      <c r="AA1403" s="19" t="str">
        <f>B1403 &amp; "-" &amp; VLOOKUP(B1403,[4]SOUSPROGRAMMES!$E$1:$F$44,2,FALSE)</f>
        <v>43- Qualité de l’enseignement, de la formation et de la recherche scientifique</v>
      </c>
      <c r="AB1403" s="19" t="str">
        <f>C1403 &amp; "-" &amp; VLOOKUP(C1403,[4]RESULTATS!$E$1:$F$176,2,FALSE)</f>
        <v>436- Une politique nationale de la recherche scientifique et de l’innovation est adoptée</v>
      </c>
      <c r="AC1403" s="20" t="str">
        <f>D1403 &amp; "-" &amp; VLOOKUP(D1403,[4]STRATEGIES!$E$1:$F$504,2,FALSE)</f>
        <v>4361-Elaboration et adoption de la politique nationale de la recherche et de l’innovation technologique </v>
      </c>
      <c r="AD1403" s="21" t="str">
        <f t="shared" si="212"/>
        <v xml:space="preserve">43613-Mise en œuvre des activités de recherche scientifiques dans les IES </v>
      </c>
    </row>
    <row r="1404" spans="1:30" s="22" customFormat="1" ht="45" hidden="1" customHeight="1" x14ac:dyDescent="0.8">
      <c r="A1404" s="14">
        <v>4</v>
      </c>
      <c r="B1404" s="15">
        <v>43</v>
      </c>
      <c r="C1404" s="15">
        <v>437</v>
      </c>
      <c r="D1404" s="15">
        <v>437</v>
      </c>
      <c r="E1404" s="15">
        <v>437</v>
      </c>
      <c r="F1404" s="16" t="s">
        <v>1841</v>
      </c>
      <c r="G1404" s="17"/>
      <c r="H1404" s="17"/>
      <c r="I1404" s="33">
        <v>0</v>
      </c>
      <c r="J1404" s="33"/>
      <c r="K1404" s="33"/>
      <c r="L1404" s="33"/>
      <c r="M1404" s="33"/>
      <c r="N1404" s="33"/>
      <c r="O1404" s="33"/>
      <c r="P1404" s="33"/>
      <c r="Q1404" s="33"/>
      <c r="R1404" s="33"/>
      <c r="S1404" s="34"/>
      <c r="T1404" s="33"/>
      <c r="U1404" s="18"/>
      <c r="V1404" s="18"/>
      <c r="W1404" s="18"/>
      <c r="X1404" s="18"/>
      <c r="Y1404" s="18" t="s">
        <v>679</v>
      </c>
      <c r="Z1404" s="18" t="str">
        <f>A1404 &amp; "-" &amp; VLOOKUP(A1404,[4]PROGRAMMES!$E$1:$F$7,2,FALSE)</f>
        <v>4-Réforme de l’enseignement supérieur et la recherche scientifique et de l'innovation</v>
      </c>
      <c r="AA1404" s="19" t="str">
        <f>B1404 &amp; "-" &amp; VLOOKUP(B1404,[4]SOUSPROGRAMMES!$E$1:$F$44,2,FALSE)</f>
        <v>43- Qualité de l’enseignement, de la formation et de la recherche scientifique</v>
      </c>
      <c r="AB1404" s="19" t="str">
        <f>C1404 &amp; "-" &amp; VLOOKUP(C1404,[4]RESULTATS!$E$1:$F$176,2,FALSE)</f>
        <v>437- Des financements adéquats sont alloués au programme de recherche scientifique et de l’innovation</v>
      </c>
      <c r="AC1404" s="20" t="str">
        <f>D1404 &amp; "-" &amp; VLOOKUP(D1404,[4]STRATEGIES!$E$1:$F$504,2,FALSE)</f>
        <v>437- Des financements adéquats sont alloués au programme de recherche scientifique et de l’innovation</v>
      </c>
      <c r="AD1404" s="21" t="str">
        <f t="shared" si="212"/>
        <v>437- Des Financements adéquats sont alloués au programme de recherche scientifique et de l’innovation</v>
      </c>
    </row>
    <row r="1405" spans="1:30" s="22" customFormat="1" ht="45" hidden="1" customHeight="1" x14ac:dyDescent="0.8">
      <c r="A1405" s="14">
        <v>4</v>
      </c>
      <c r="B1405" s="15">
        <v>43</v>
      </c>
      <c r="C1405" s="15">
        <v>437</v>
      </c>
      <c r="D1405" s="15">
        <v>4371</v>
      </c>
      <c r="E1405" s="15">
        <v>4371</v>
      </c>
      <c r="F1405" s="16" t="s">
        <v>1842</v>
      </c>
      <c r="G1405" s="17"/>
      <c r="H1405" s="17"/>
      <c r="I1405" s="33">
        <v>0</v>
      </c>
      <c r="J1405" s="33"/>
      <c r="K1405" s="33"/>
      <c r="L1405" s="33"/>
      <c r="M1405" s="33"/>
      <c r="N1405" s="33"/>
      <c r="O1405" s="33"/>
      <c r="P1405" s="33"/>
      <c r="Q1405" s="33"/>
      <c r="R1405" s="33"/>
      <c r="S1405" s="34"/>
      <c r="T1405" s="33"/>
      <c r="U1405" s="18"/>
      <c r="V1405" s="18"/>
      <c r="W1405" s="18"/>
      <c r="X1405" s="18"/>
      <c r="Y1405" s="18" t="s">
        <v>679</v>
      </c>
      <c r="Z1405" s="18" t="str">
        <f>A1405 &amp; "-" &amp; VLOOKUP(A1405,[4]PROGRAMMES!$E$1:$F$7,2,FALSE)</f>
        <v>4-Réforme de l’enseignement supérieur et la recherche scientifique et de l'innovation</v>
      </c>
      <c r="AA1405" s="19" t="str">
        <f>B1405 &amp; "-" &amp; VLOOKUP(B1405,[4]SOUSPROGRAMMES!$E$1:$F$44,2,FALSE)</f>
        <v>43- Qualité de l’enseignement, de la formation et de la recherche scientifique</v>
      </c>
      <c r="AB1405" s="19" t="str">
        <f>C1405 &amp; "-" &amp; VLOOKUP(C1405,[4]RESULTATS!$E$1:$F$176,2,FALSE)</f>
        <v>437- Des financements adéquats sont alloués au programme de recherche scientifique et de l’innovation</v>
      </c>
      <c r="AC1405" s="20" t="str">
        <f>D1405 &amp; "-" &amp; VLOOKUP(D1405,[4]STRATEGIES!$E$1:$F$504,2,FALSE)</f>
        <v>4371-Création d’un fonds de recherche et d’innovation technologique en partenariat avec le secteur privé</v>
      </c>
      <c r="AD1405" s="21" t="str">
        <f t="shared" si="212"/>
        <v>4371-Création d’un fonds de recherche et d’innovation technologique en partenariat avec le secteur privé</v>
      </c>
    </row>
    <row r="1406" spans="1:30" s="22" customFormat="1" ht="45" hidden="1" customHeight="1" x14ac:dyDescent="0.8">
      <c r="A1406" s="14">
        <v>4</v>
      </c>
      <c r="B1406" s="15">
        <v>43</v>
      </c>
      <c r="C1406" s="15">
        <v>437</v>
      </c>
      <c r="D1406" s="15">
        <v>4371</v>
      </c>
      <c r="E1406" s="15">
        <v>43711</v>
      </c>
      <c r="F1406" s="16" t="s">
        <v>1843</v>
      </c>
      <c r="G1406" s="21" t="s">
        <v>826</v>
      </c>
      <c r="H1406" s="17" t="s">
        <v>55</v>
      </c>
      <c r="I1406" s="33">
        <v>0</v>
      </c>
      <c r="J1406" s="33">
        <v>1</v>
      </c>
      <c r="K1406" s="33"/>
      <c r="L1406" s="33"/>
      <c r="M1406" s="33">
        <f t="shared" si="215"/>
        <v>1</v>
      </c>
      <c r="N1406" s="33">
        <f>IF(OR(H1406="",H1406="sif",H1406="PM"),0,VLOOKUP(H1406,[5]CU!$C$4:$H$255,6,FALSE))</f>
        <v>0</v>
      </c>
      <c r="O1406" s="33">
        <f t="shared" si="216"/>
        <v>0</v>
      </c>
      <c r="P1406" s="33">
        <f t="shared" si="216"/>
        <v>0</v>
      </c>
      <c r="Q1406" s="33">
        <f t="shared" si="216"/>
        <v>0</v>
      </c>
      <c r="R1406" s="33">
        <f t="shared" si="216"/>
        <v>0</v>
      </c>
      <c r="S1406" s="34"/>
      <c r="T1406" s="35" t="s">
        <v>56</v>
      </c>
      <c r="U1406" s="18" t="s">
        <v>1696</v>
      </c>
      <c r="V1406" s="18" t="str">
        <f>IF(OR($H1406="",$H1406="sif",$H1406="PM"),"",VLOOKUP($H1406,[5]CU!$C$5:$J$255,8,FALSE))</f>
        <v/>
      </c>
      <c r="W1406" s="18" t="s">
        <v>1791</v>
      </c>
      <c r="X1406" s="18" t="s">
        <v>1844</v>
      </c>
      <c r="Y1406" s="18" t="s">
        <v>679</v>
      </c>
      <c r="Z1406" s="18" t="str">
        <f>A1406 &amp; "-" &amp; VLOOKUP(A1406,[4]PROGRAMMES!$E$1:$F$7,2,FALSE)</f>
        <v>4-Réforme de l’enseignement supérieur et la recherche scientifique et de l'innovation</v>
      </c>
      <c r="AA1406" s="19" t="str">
        <f>B1406 &amp; "-" &amp; VLOOKUP(B1406,[4]SOUSPROGRAMMES!$E$1:$F$44,2,FALSE)</f>
        <v>43- Qualité de l’enseignement, de la formation et de la recherche scientifique</v>
      </c>
      <c r="AB1406" s="19" t="str">
        <f>C1406 &amp; "-" &amp; VLOOKUP(C1406,[4]RESULTATS!$E$1:$F$176,2,FALSE)</f>
        <v>437- Des financements adéquats sont alloués au programme de recherche scientifique et de l’innovation</v>
      </c>
      <c r="AC1406" s="20" t="str">
        <f>D1406 &amp; "-" &amp; VLOOKUP(D1406,[4]STRATEGIES!$E$1:$F$504,2,FALSE)</f>
        <v>4371-Création d’un fonds de recherche et d’innovation technologique en partenariat avec le secteur privé</v>
      </c>
      <c r="AD1406" s="21" t="str">
        <f t="shared" si="212"/>
        <v>43711-Elaboration et adoption des textes relatifs au fonds</v>
      </c>
    </row>
    <row r="1407" spans="1:30" s="22" customFormat="1" ht="45" hidden="1" customHeight="1" x14ac:dyDescent="0.8">
      <c r="A1407" s="14">
        <v>4</v>
      </c>
      <c r="B1407" s="15">
        <v>43</v>
      </c>
      <c r="C1407" s="15">
        <v>437</v>
      </c>
      <c r="D1407" s="15">
        <v>4371</v>
      </c>
      <c r="E1407" s="15">
        <v>43712</v>
      </c>
      <c r="F1407" s="16" t="s">
        <v>1845</v>
      </c>
      <c r="G1407" s="21" t="s">
        <v>159</v>
      </c>
      <c r="H1407" s="17" t="s">
        <v>55</v>
      </c>
      <c r="I1407" s="33">
        <v>0</v>
      </c>
      <c r="J1407" s="33"/>
      <c r="K1407" s="33">
        <v>1</v>
      </c>
      <c r="L1407" s="33">
        <v>1</v>
      </c>
      <c r="M1407" s="33">
        <f t="shared" si="215"/>
        <v>2</v>
      </c>
      <c r="N1407" s="33">
        <f>IF(OR(H1407="",H1407="sif",H1407="PM"),0,VLOOKUP(H1407,[5]CU!$C$4:$H$255,6,FALSE))</f>
        <v>0</v>
      </c>
      <c r="O1407" s="33">
        <f t="shared" si="216"/>
        <v>0</v>
      </c>
      <c r="P1407" s="33">
        <f t="shared" si="216"/>
        <v>0</v>
      </c>
      <c r="Q1407" s="33">
        <f t="shared" si="216"/>
        <v>0</v>
      </c>
      <c r="R1407" s="33">
        <f t="shared" si="216"/>
        <v>0</v>
      </c>
      <c r="S1407" s="34"/>
      <c r="T1407" s="35" t="s">
        <v>56</v>
      </c>
      <c r="U1407" s="18" t="s">
        <v>1696</v>
      </c>
      <c r="V1407" s="18" t="str">
        <f>IF(OR($H1407="",$H1407="sif",$H1407="PM"),"",VLOOKUP($H1407,[5]CU!$C$5:$J$255,8,FALSE))</f>
        <v/>
      </c>
      <c r="W1407" s="18" t="s">
        <v>1791</v>
      </c>
      <c r="X1407" s="18" t="s">
        <v>521</v>
      </c>
      <c r="Y1407" s="18" t="s">
        <v>679</v>
      </c>
      <c r="Z1407" s="18" t="str">
        <f>A1407 &amp; "-" &amp; VLOOKUP(A1407,[4]PROGRAMMES!$E$1:$F$7,2,FALSE)</f>
        <v>4-Réforme de l’enseignement supérieur et la recherche scientifique et de l'innovation</v>
      </c>
      <c r="AA1407" s="19" t="str">
        <f>B1407 &amp; "-" &amp; VLOOKUP(B1407,[4]SOUSPROGRAMMES!$E$1:$F$44,2,FALSE)</f>
        <v>43- Qualité de l’enseignement, de la formation et de la recherche scientifique</v>
      </c>
      <c r="AB1407" s="19" t="str">
        <f>C1407 &amp; "-" &amp; VLOOKUP(C1407,[4]RESULTATS!$E$1:$F$176,2,FALSE)</f>
        <v>437- Des financements adéquats sont alloués au programme de recherche scientifique et de l’innovation</v>
      </c>
      <c r="AC1407" s="20" t="str">
        <f>D1407 &amp; "-" &amp; VLOOKUP(D1407,[4]STRATEGIES!$E$1:$F$504,2,FALSE)</f>
        <v>4371-Création d’un fonds de recherche et d’innovation technologique en partenariat avec le secteur privé</v>
      </c>
      <c r="AD1407" s="21" t="str">
        <f t="shared" si="212"/>
        <v>43712-Financement du fonds (Fonds privés)</v>
      </c>
    </row>
    <row r="1408" spans="1:30" s="22" customFormat="1" ht="75" hidden="1" customHeight="1" x14ac:dyDescent="0.8">
      <c r="A1408" s="14">
        <v>4</v>
      </c>
      <c r="B1408" s="15">
        <v>43</v>
      </c>
      <c r="C1408" s="15">
        <v>438</v>
      </c>
      <c r="D1408" s="15">
        <v>438</v>
      </c>
      <c r="E1408" s="15">
        <v>438</v>
      </c>
      <c r="F1408" s="16" t="s">
        <v>1846</v>
      </c>
      <c r="G1408" s="17"/>
      <c r="H1408" s="17"/>
      <c r="I1408" s="33">
        <v>0</v>
      </c>
      <c r="J1408" s="33"/>
      <c r="K1408" s="33"/>
      <c r="L1408" s="33"/>
      <c r="M1408" s="33"/>
      <c r="N1408" s="33"/>
      <c r="O1408" s="33"/>
      <c r="P1408" s="33"/>
      <c r="Q1408" s="33"/>
      <c r="R1408" s="33"/>
      <c r="S1408" s="34"/>
      <c r="T1408" s="33"/>
      <c r="U1408" s="18"/>
      <c r="V1408" s="18"/>
      <c r="W1408" s="18"/>
      <c r="X1408" s="18"/>
      <c r="Y1408" s="18" t="s">
        <v>679</v>
      </c>
      <c r="Z1408" s="18" t="str">
        <f>A1408 &amp; "-" &amp; VLOOKUP(A1408,[4]PROGRAMMES!$E$1:$F$7,2,FALSE)</f>
        <v>4-Réforme de l’enseignement supérieur et la recherche scientifique et de l'innovation</v>
      </c>
      <c r="AA1408" s="19" t="str">
        <f>B1408 &amp; "-" &amp; VLOOKUP(B1408,[4]SOUSPROGRAMMES!$E$1:$F$44,2,FALSE)</f>
        <v>43- Qualité de l’enseignement, de la formation et de la recherche scientifique</v>
      </c>
      <c r="AB1408" s="19" t="str">
        <f>C1408 &amp; "-" &amp; VLOOKUP(C1408,[4]RESULTATS!$E$1:$F$176,2,FALSE)</f>
        <v>438- Le niveau de productions scientifiques en quantité et qualité est amélioré et les résultats de la recherche scientifique et de l’innovation sont mieux capitalisés et valorisés</v>
      </c>
      <c r="AC1408" s="20" t="str">
        <f>D1408 &amp; "-" &amp; VLOOKUP(D1408,[4]STRATEGIES!$E$1:$F$504,2,FALSE)</f>
        <v>438- Le niveau de productions scientifiques en quantité et qualité est amélioré et les résultats de la recherche scientifique et de l’innovation sont mieux capitalisés et valorisés</v>
      </c>
      <c r="AD1408" s="21" t="str">
        <f t="shared" si="212"/>
        <v>438- Le niveau de productions scientifiques en quantité et qualité est amélioré et les résultats de la recherche scientifique et de l’innovation sont mieux capitalisés et valorisés</v>
      </c>
    </row>
    <row r="1409" spans="1:30" s="22" customFormat="1" ht="75" hidden="1" customHeight="1" x14ac:dyDescent="0.8">
      <c r="A1409" s="14">
        <v>4</v>
      </c>
      <c r="B1409" s="15">
        <v>43</v>
      </c>
      <c r="C1409" s="15">
        <v>438</v>
      </c>
      <c r="D1409" s="15">
        <v>4381</v>
      </c>
      <c r="E1409" s="15">
        <v>4381</v>
      </c>
      <c r="F1409" s="16" t="s">
        <v>1847</v>
      </c>
      <c r="G1409" s="17"/>
      <c r="H1409" s="17"/>
      <c r="I1409" s="33">
        <v>0</v>
      </c>
      <c r="J1409" s="33"/>
      <c r="K1409" s="33"/>
      <c r="L1409" s="33"/>
      <c r="M1409" s="33"/>
      <c r="N1409" s="33"/>
      <c r="O1409" s="33"/>
      <c r="P1409" s="33"/>
      <c r="Q1409" s="33"/>
      <c r="R1409" s="33"/>
      <c r="S1409" s="34"/>
      <c r="T1409" s="33"/>
      <c r="U1409" s="18"/>
      <c r="V1409" s="18"/>
      <c r="W1409" s="18"/>
      <c r="X1409" s="18"/>
      <c r="Y1409" s="18" t="s">
        <v>679</v>
      </c>
      <c r="Z1409" s="18" t="str">
        <f>A1409 &amp; "-" &amp; VLOOKUP(A1409,[4]PROGRAMMES!$E$1:$F$7,2,FALSE)</f>
        <v>4-Réforme de l’enseignement supérieur et la recherche scientifique et de l'innovation</v>
      </c>
      <c r="AA1409" s="19" t="str">
        <f>B1409 &amp; "-" &amp; VLOOKUP(B1409,[4]SOUSPROGRAMMES!$E$1:$F$44,2,FALSE)</f>
        <v>43- Qualité de l’enseignement, de la formation et de la recherche scientifique</v>
      </c>
      <c r="AB1409" s="19" t="str">
        <f>C1409 &amp; "-" &amp; VLOOKUP(C1409,[4]RESULTATS!$E$1:$F$176,2,FALSE)</f>
        <v>438- Le niveau de productions scientifiques en quantité et qualité est amélioré et les résultats de la recherche scientifique et de l’innovation sont mieux capitalisés et valorisés</v>
      </c>
      <c r="AC1409" s="20" t="str">
        <f>D1409 &amp; "-" &amp; VLOOKUP(D1409,[4]STRATEGIES!$E$1:$F$504,2,FALSE)</f>
        <v>4381-Création de l’académie des sciences de Guinée</v>
      </c>
      <c r="AD1409" s="21" t="str">
        <f t="shared" si="212"/>
        <v>4381-Création de l’académie des sciences de Guinée</v>
      </c>
    </row>
    <row r="1410" spans="1:30" s="22" customFormat="1" ht="75" hidden="1" customHeight="1" x14ac:dyDescent="0.8">
      <c r="A1410" s="14">
        <v>4</v>
      </c>
      <c r="B1410" s="15">
        <v>43</v>
      </c>
      <c r="C1410" s="15">
        <v>438</v>
      </c>
      <c r="D1410" s="15">
        <v>4381</v>
      </c>
      <c r="E1410" s="15">
        <v>43811</v>
      </c>
      <c r="F1410" s="16" t="s">
        <v>1848</v>
      </c>
      <c r="G1410" s="21" t="s">
        <v>826</v>
      </c>
      <c r="H1410" s="17" t="s">
        <v>55</v>
      </c>
      <c r="I1410" s="33">
        <v>0</v>
      </c>
      <c r="J1410" s="33">
        <v>1</v>
      </c>
      <c r="K1410" s="33"/>
      <c r="L1410" s="33"/>
      <c r="M1410" s="33">
        <f t="shared" si="215"/>
        <v>1</v>
      </c>
      <c r="N1410" s="33">
        <f>IF(OR(H1410="",H1410="sif",H1410="PM"),0,VLOOKUP(H1410,[5]CU!$C$4:$H$255,6,FALSE))</f>
        <v>0</v>
      </c>
      <c r="O1410" s="33">
        <f t="shared" si="216"/>
        <v>0</v>
      </c>
      <c r="P1410" s="33">
        <f t="shared" si="216"/>
        <v>0</v>
      </c>
      <c r="Q1410" s="33">
        <f t="shared" si="216"/>
        <v>0</v>
      </c>
      <c r="R1410" s="33">
        <f t="shared" si="216"/>
        <v>0</v>
      </c>
      <c r="S1410" s="34"/>
      <c r="T1410" s="35" t="s">
        <v>56</v>
      </c>
      <c r="U1410" s="18" t="s">
        <v>1696</v>
      </c>
      <c r="V1410" s="18" t="str">
        <f>IF(OR($H1410="",$H1410="sif",$H1410="PM"),"",VLOOKUP($H1410,[5]CU!$C$5:$J$255,8,FALSE))</f>
        <v/>
      </c>
      <c r="W1410" s="18" t="s">
        <v>255</v>
      </c>
      <c r="X1410" s="18" t="s">
        <v>1791</v>
      </c>
      <c r="Y1410" s="18" t="s">
        <v>679</v>
      </c>
      <c r="Z1410" s="18" t="str">
        <f>A1410 &amp; "-" &amp; VLOOKUP(A1410,[4]PROGRAMMES!$E$1:$F$7,2,FALSE)</f>
        <v>4-Réforme de l’enseignement supérieur et la recherche scientifique et de l'innovation</v>
      </c>
      <c r="AA1410" s="19" t="str">
        <f>B1410 &amp; "-" &amp; VLOOKUP(B1410,[4]SOUSPROGRAMMES!$E$1:$F$44,2,FALSE)</f>
        <v>43- Qualité de l’enseignement, de la formation et de la recherche scientifique</v>
      </c>
      <c r="AB1410" s="19" t="str">
        <f>C1410 &amp; "-" &amp; VLOOKUP(C1410,[4]RESULTATS!$E$1:$F$176,2,FALSE)</f>
        <v>438- Le niveau de productions scientifiques en quantité et qualité est amélioré et les résultats de la recherche scientifique et de l’innovation sont mieux capitalisés et valorisés</v>
      </c>
      <c r="AC1410" s="20" t="str">
        <f>D1410 &amp; "-" &amp; VLOOKUP(D1410,[4]STRATEGIES!$E$1:$F$504,2,FALSE)</f>
        <v>4381-Création de l’académie des sciences de Guinée</v>
      </c>
      <c r="AD1410" s="21" t="str">
        <f t="shared" si="212"/>
        <v>43811-Elaboration des textes</v>
      </c>
    </row>
    <row r="1411" spans="1:30" s="22" customFormat="1" ht="75" hidden="1" customHeight="1" x14ac:dyDescent="0.8">
      <c r="A1411" s="14">
        <v>4</v>
      </c>
      <c r="B1411" s="15">
        <v>43</v>
      </c>
      <c r="C1411" s="15">
        <v>438</v>
      </c>
      <c r="D1411" s="15">
        <v>4381</v>
      </c>
      <c r="E1411" s="15">
        <v>43812</v>
      </c>
      <c r="F1411" s="16" t="s">
        <v>1849</v>
      </c>
      <c r="G1411" s="21" t="s">
        <v>298</v>
      </c>
      <c r="H1411" s="17" t="s">
        <v>38</v>
      </c>
      <c r="I1411" s="33">
        <v>0</v>
      </c>
      <c r="J1411" s="33">
        <f>50*3*1</f>
        <v>150</v>
      </c>
      <c r="K1411" s="33"/>
      <c r="L1411" s="33"/>
      <c r="M1411" s="33">
        <f t="shared" si="215"/>
        <v>150</v>
      </c>
      <c r="N1411" s="33">
        <f>IF(OR(H1411="",H1411="sif",H1411="PM"),0,VLOOKUP(H1411,[5]CU!$C$4:$H$255,6,FALSE))</f>
        <v>0.3133333333333333</v>
      </c>
      <c r="O1411" s="33">
        <f t="shared" si="216"/>
        <v>0</v>
      </c>
      <c r="P1411" s="33">
        <f t="shared" si="216"/>
        <v>46.999999999999993</v>
      </c>
      <c r="Q1411" s="33">
        <f t="shared" si="216"/>
        <v>0</v>
      </c>
      <c r="R1411" s="33">
        <f t="shared" si="216"/>
        <v>0</v>
      </c>
      <c r="S1411" s="34">
        <f>SUM(O1411:R1411)</f>
        <v>46.999999999999993</v>
      </c>
      <c r="T1411" s="35" t="s">
        <v>56</v>
      </c>
      <c r="U1411" s="18" t="s">
        <v>1696</v>
      </c>
      <c r="V1411" s="18" t="str">
        <f>IF(OR($H1411="",$H1411="sif",$H1411="PM"),"",VLOOKUP($H1411,[5]CU!$C$5:$J$255,8,FALSE))</f>
        <v>3. Formation</v>
      </c>
      <c r="W1411" s="18" t="s">
        <v>255</v>
      </c>
      <c r="X1411" s="18" t="s">
        <v>1791</v>
      </c>
      <c r="Y1411" s="18" t="s">
        <v>679</v>
      </c>
      <c r="Z1411" s="18" t="str">
        <f>A1411 &amp; "-" &amp; VLOOKUP(A1411,[4]PROGRAMMES!$E$1:$F$7,2,FALSE)</f>
        <v>4-Réforme de l’enseignement supérieur et la recherche scientifique et de l'innovation</v>
      </c>
      <c r="AA1411" s="19" t="str">
        <f>B1411 &amp; "-" &amp; VLOOKUP(B1411,[4]SOUSPROGRAMMES!$E$1:$F$44,2,FALSE)</f>
        <v>43- Qualité de l’enseignement, de la formation et de la recherche scientifique</v>
      </c>
      <c r="AB1411" s="19" t="str">
        <f>C1411 &amp; "-" &amp; VLOOKUP(C1411,[4]RESULTATS!$E$1:$F$176,2,FALSE)</f>
        <v>438- Le niveau de productions scientifiques en quantité et qualité est amélioré et les résultats de la recherche scientifique et de l’innovation sont mieux capitalisés et valorisés</v>
      </c>
      <c r="AC1411" s="20" t="str">
        <f>D1411 &amp; "-" &amp; VLOOKUP(D1411,[4]STRATEGIES!$E$1:$F$504,2,FALSE)</f>
        <v>4381-Création de l’académie des sciences de Guinée</v>
      </c>
      <c r="AD1411" s="21" t="str">
        <f t="shared" si="212"/>
        <v>43812-Validation et adoption des textes</v>
      </c>
    </row>
    <row r="1412" spans="1:30" s="22" customFormat="1" ht="75" hidden="1" customHeight="1" x14ac:dyDescent="0.8">
      <c r="A1412" s="14">
        <v>4</v>
      </c>
      <c r="B1412" s="15">
        <v>43</v>
      </c>
      <c r="C1412" s="15">
        <v>438</v>
      </c>
      <c r="D1412" s="15">
        <v>4382</v>
      </c>
      <c r="E1412" s="15">
        <v>4382</v>
      </c>
      <c r="F1412" s="16" t="s">
        <v>1850</v>
      </c>
      <c r="G1412" s="17"/>
      <c r="H1412" s="17"/>
      <c r="I1412" s="33">
        <v>0</v>
      </c>
      <c r="J1412" s="33"/>
      <c r="K1412" s="33"/>
      <c r="L1412" s="33"/>
      <c r="M1412" s="33"/>
      <c r="N1412" s="33"/>
      <c r="O1412" s="33"/>
      <c r="P1412" s="33"/>
      <c r="Q1412" s="33"/>
      <c r="R1412" s="33"/>
      <c r="S1412" s="34"/>
      <c r="T1412" s="33"/>
      <c r="U1412" s="18"/>
      <c r="V1412" s="18"/>
      <c r="W1412" s="18"/>
      <c r="X1412" s="18"/>
      <c r="Y1412" s="18" t="s">
        <v>679</v>
      </c>
      <c r="Z1412" s="18" t="str">
        <f>A1412 &amp; "-" &amp; VLOOKUP(A1412,[4]PROGRAMMES!$E$1:$F$7,2,FALSE)</f>
        <v>4-Réforme de l’enseignement supérieur et la recherche scientifique et de l'innovation</v>
      </c>
      <c r="AA1412" s="19" t="str">
        <f>B1412 &amp; "-" &amp; VLOOKUP(B1412,[4]SOUSPROGRAMMES!$E$1:$F$44,2,FALSE)</f>
        <v>43- Qualité de l’enseignement, de la formation et de la recherche scientifique</v>
      </c>
      <c r="AB1412" s="19" t="str">
        <f>C1412 &amp; "-" &amp; VLOOKUP(C1412,[4]RESULTATS!$E$1:$F$176,2,FALSE)</f>
        <v>438- Le niveau de productions scientifiques en quantité et qualité est amélioré et les résultats de la recherche scientifique et de l’innovation sont mieux capitalisés et valorisés</v>
      </c>
      <c r="AC1412" s="20" t="str">
        <f>D1412 &amp; "-" &amp; VLOOKUP(D1412,[4]STRATEGIES!$E$1:$F$504,2,FALSE)</f>
        <v>4382-Organisation des journées scientifiques dans les institutions</v>
      </c>
      <c r="AD1412" s="21" t="str">
        <f t="shared" ref="AD1412:AD1475" si="217">E1412 &amp; "-" &amp; F1412</f>
        <v>4382-Organisation des journées scientifiques dans les institutions</v>
      </c>
    </row>
    <row r="1413" spans="1:30" s="22" customFormat="1" ht="75" hidden="1" customHeight="1" x14ac:dyDescent="0.8">
      <c r="A1413" s="14">
        <v>4</v>
      </c>
      <c r="B1413" s="15">
        <v>43</v>
      </c>
      <c r="C1413" s="15">
        <v>438</v>
      </c>
      <c r="D1413" s="15">
        <v>4382</v>
      </c>
      <c r="E1413" s="15">
        <v>43821</v>
      </c>
      <c r="F1413" s="16" t="s">
        <v>1851</v>
      </c>
      <c r="G1413" s="21" t="s">
        <v>88</v>
      </c>
      <c r="H1413" s="17" t="s">
        <v>55</v>
      </c>
      <c r="I1413" s="33">
        <v>0</v>
      </c>
      <c r="J1413" s="33"/>
      <c r="K1413" s="33">
        <v>1</v>
      </c>
      <c r="L1413" s="33">
        <v>1</v>
      </c>
      <c r="M1413" s="33">
        <f t="shared" si="215"/>
        <v>2</v>
      </c>
      <c r="N1413" s="33">
        <f>IF(OR(H1413="",H1413="sif",H1413="PM"),0,VLOOKUP(H1413,[5]CU!$C$4:$H$255,6,FALSE))</f>
        <v>0</v>
      </c>
      <c r="O1413" s="33">
        <f t="shared" si="216"/>
        <v>0</v>
      </c>
      <c r="P1413" s="33">
        <f t="shared" si="216"/>
        <v>0</v>
      </c>
      <c r="Q1413" s="33">
        <f t="shared" si="216"/>
        <v>0</v>
      </c>
      <c r="R1413" s="33">
        <f t="shared" si="216"/>
        <v>0</v>
      </c>
      <c r="S1413" s="34"/>
      <c r="T1413" s="35" t="s">
        <v>56</v>
      </c>
      <c r="U1413" s="18" t="s">
        <v>1696</v>
      </c>
      <c r="V1413" s="18" t="str">
        <f>IF(OR($H1413="",$H1413="sif",$H1413="PM"),"",VLOOKUP($H1413,[5]CU!$C$5:$J$255,8,FALSE))</f>
        <v/>
      </c>
      <c r="W1413" s="18" t="s">
        <v>1852</v>
      </c>
      <c r="X1413" s="18" t="s">
        <v>1607</v>
      </c>
      <c r="Y1413" s="18" t="s">
        <v>679</v>
      </c>
      <c r="Z1413" s="18" t="str">
        <f>A1413 &amp; "-" &amp; VLOOKUP(A1413,[4]PROGRAMMES!$E$1:$F$7,2,FALSE)</f>
        <v>4-Réforme de l’enseignement supérieur et la recherche scientifique et de l'innovation</v>
      </c>
      <c r="AA1413" s="19" t="str">
        <f>B1413 &amp; "-" &amp; VLOOKUP(B1413,[4]SOUSPROGRAMMES!$E$1:$F$44,2,FALSE)</f>
        <v>43- Qualité de l’enseignement, de la formation et de la recherche scientifique</v>
      </c>
      <c r="AB1413" s="19" t="str">
        <f>C1413 &amp; "-" &amp; VLOOKUP(C1413,[4]RESULTATS!$E$1:$F$176,2,FALSE)</f>
        <v>438- Le niveau de productions scientifiques en quantité et qualité est amélioré et les résultats de la recherche scientifique et de l’innovation sont mieux capitalisés et valorisés</v>
      </c>
      <c r="AC1413" s="20" t="str">
        <f>D1413 &amp; "-" &amp; VLOOKUP(D1413,[4]STRATEGIES!$E$1:$F$504,2,FALSE)</f>
        <v>4382-Organisation des journées scientifiques dans les institutions</v>
      </c>
      <c r="AD1413" s="21" t="str">
        <f t="shared" si="217"/>
        <v>43821-Planification des activités des journées scientifiques dans les institutions</v>
      </c>
    </row>
    <row r="1414" spans="1:30" s="22" customFormat="1" ht="75" hidden="1" customHeight="1" x14ac:dyDescent="0.8">
      <c r="A1414" s="14">
        <v>4</v>
      </c>
      <c r="B1414" s="15">
        <v>43</v>
      </c>
      <c r="C1414" s="15">
        <v>438</v>
      </c>
      <c r="D1414" s="15">
        <v>4382</v>
      </c>
      <c r="E1414" s="15">
        <v>43822</v>
      </c>
      <c r="F1414" s="16" t="s">
        <v>1853</v>
      </c>
      <c r="G1414" s="21" t="s">
        <v>1854</v>
      </c>
      <c r="H1414" s="17" t="s">
        <v>55</v>
      </c>
      <c r="I1414" s="33">
        <v>0</v>
      </c>
      <c r="J1414" s="33"/>
      <c r="K1414" s="33">
        <v>1</v>
      </c>
      <c r="L1414" s="33">
        <v>1</v>
      </c>
      <c r="M1414" s="33">
        <f t="shared" si="215"/>
        <v>2</v>
      </c>
      <c r="N1414" s="33">
        <f>IF(OR(H1414="",H1414="sif",H1414="PM"),0,VLOOKUP(H1414,[5]CU!$C$4:$H$255,6,FALSE))</f>
        <v>0</v>
      </c>
      <c r="O1414" s="33">
        <f t="shared" si="216"/>
        <v>0</v>
      </c>
      <c r="P1414" s="33">
        <f t="shared" si="216"/>
        <v>0</v>
      </c>
      <c r="Q1414" s="33">
        <f t="shared" si="216"/>
        <v>0</v>
      </c>
      <c r="R1414" s="33">
        <f t="shared" si="216"/>
        <v>0</v>
      </c>
      <c r="S1414" s="34"/>
      <c r="T1414" s="35" t="s">
        <v>56</v>
      </c>
      <c r="U1414" s="18" t="s">
        <v>1696</v>
      </c>
      <c r="V1414" s="18" t="str">
        <f>IF(OR($H1414="",$H1414="sif",$H1414="PM"),"",VLOOKUP($H1414,[5]CU!$C$5:$J$255,8,FALSE))</f>
        <v/>
      </c>
      <c r="W1414" s="18" t="s">
        <v>1665</v>
      </c>
      <c r="X1414" s="18" t="s">
        <v>521</v>
      </c>
      <c r="Y1414" s="18" t="s">
        <v>679</v>
      </c>
      <c r="Z1414" s="18" t="str">
        <f>A1414 &amp; "-" &amp; VLOOKUP(A1414,[4]PROGRAMMES!$E$1:$F$7,2,FALSE)</f>
        <v>4-Réforme de l’enseignement supérieur et la recherche scientifique et de l'innovation</v>
      </c>
      <c r="AA1414" s="19" t="str">
        <f>B1414 &amp; "-" &amp; VLOOKUP(B1414,[4]SOUSPROGRAMMES!$E$1:$F$44,2,FALSE)</f>
        <v>43- Qualité de l’enseignement, de la formation et de la recherche scientifique</v>
      </c>
      <c r="AB1414" s="19" t="str">
        <f>C1414 &amp; "-" &amp; VLOOKUP(C1414,[4]RESULTATS!$E$1:$F$176,2,FALSE)</f>
        <v>438- Le niveau de productions scientifiques en quantité et qualité est amélioré et les résultats de la recherche scientifique et de l’innovation sont mieux capitalisés et valorisés</v>
      </c>
      <c r="AC1414" s="20" t="str">
        <f>D1414 &amp; "-" &amp; VLOOKUP(D1414,[4]STRATEGIES!$E$1:$F$504,2,FALSE)</f>
        <v>4382-Organisation des journées scientifiques dans les institutions</v>
      </c>
      <c r="AD1414" s="21" t="str">
        <f t="shared" si="217"/>
        <v>43822-Financement des activités (Fin privé)</v>
      </c>
    </row>
    <row r="1415" spans="1:30" s="22" customFormat="1" ht="75" hidden="1" customHeight="1" x14ac:dyDescent="0.8">
      <c r="A1415" s="14">
        <v>4</v>
      </c>
      <c r="B1415" s="15">
        <v>43</v>
      </c>
      <c r="C1415" s="15">
        <v>438</v>
      </c>
      <c r="D1415" s="15">
        <v>4383</v>
      </c>
      <c r="E1415" s="15">
        <v>4383</v>
      </c>
      <c r="F1415" s="16" t="s">
        <v>1855</v>
      </c>
      <c r="G1415" s="17"/>
      <c r="H1415" s="17"/>
      <c r="I1415" s="33">
        <v>0</v>
      </c>
      <c r="J1415" s="33"/>
      <c r="K1415" s="33"/>
      <c r="L1415" s="33"/>
      <c r="M1415" s="33"/>
      <c r="N1415" s="33"/>
      <c r="O1415" s="33"/>
      <c r="P1415" s="33"/>
      <c r="Q1415" s="33"/>
      <c r="R1415" s="33"/>
      <c r="S1415" s="34"/>
      <c r="T1415" s="33"/>
      <c r="U1415" s="18"/>
      <c r="V1415" s="18"/>
      <c r="W1415" s="18"/>
      <c r="X1415" s="18"/>
      <c r="Y1415" s="18" t="s">
        <v>679</v>
      </c>
      <c r="Z1415" s="18" t="str">
        <f>A1415 &amp; "-" &amp; VLOOKUP(A1415,[4]PROGRAMMES!$E$1:$F$7,2,FALSE)</f>
        <v>4-Réforme de l’enseignement supérieur et la recherche scientifique et de l'innovation</v>
      </c>
      <c r="AA1415" s="19" t="str">
        <f>B1415 &amp; "-" &amp; VLOOKUP(B1415,[4]SOUSPROGRAMMES!$E$1:$F$44,2,FALSE)</f>
        <v>43- Qualité de l’enseignement, de la formation et de la recherche scientifique</v>
      </c>
      <c r="AB1415" s="19" t="str">
        <f>C1415 &amp; "-" &amp; VLOOKUP(C1415,[4]RESULTATS!$E$1:$F$176,2,FALSE)</f>
        <v>438- Le niveau de productions scientifiques en quantité et qualité est amélioré et les résultats de la recherche scientifique et de l’innovation sont mieux capitalisés et valorisés</v>
      </c>
      <c r="AC1415" s="20" t="str">
        <f>D1415 &amp; "-" &amp; VLOOKUP(D1415,[4]STRATEGIES!$E$1:$F$504,2,FALSE)</f>
        <v>4383-Renforcement des capacités du personnel</v>
      </c>
      <c r="AD1415" s="21" t="str">
        <f t="shared" si="217"/>
        <v>4383-Renforcement des capacités du personnel</v>
      </c>
    </row>
    <row r="1416" spans="1:30" s="22" customFormat="1" ht="75" hidden="1" customHeight="1" x14ac:dyDescent="0.8">
      <c r="A1416" s="14">
        <v>4</v>
      </c>
      <c r="B1416" s="15">
        <v>43</v>
      </c>
      <c r="C1416" s="15">
        <v>438</v>
      </c>
      <c r="D1416" s="15">
        <v>4383</v>
      </c>
      <c r="E1416" s="15">
        <v>43831</v>
      </c>
      <c r="F1416" s="16" t="s">
        <v>1856</v>
      </c>
      <c r="G1416" s="21" t="s">
        <v>88</v>
      </c>
      <c r="H1416" s="17" t="s">
        <v>55</v>
      </c>
      <c r="I1416" s="33">
        <v>0</v>
      </c>
      <c r="J1416" s="33">
        <v>1</v>
      </c>
      <c r="K1416" s="33">
        <v>1</v>
      </c>
      <c r="L1416" s="33">
        <v>1</v>
      </c>
      <c r="M1416" s="33">
        <f t="shared" si="215"/>
        <v>3</v>
      </c>
      <c r="N1416" s="33">
        <f>IF(OR(H1416="",H1416="sif",H1416="PM"),0,VLOOKUP(H1416,[5]CU!$C$4:$H$255,6,FALSE))</f>
        <v>0</v>
      </c>
      <c r="O1416" s="33">
        <f t="shared" si="216"/>
        <v>0</v>
      </c>
      <c r="P1416" s="33">
        <f t="shared" si="216"/>
        <v>0</v>
      </c>
      <c r="Q1416" s="33">
        <f t="shared" si="216"/>
        <v>0</v>
      </c>
      <c r="R1416" s="33">
        <f t="shared" si="216"/>
        <v>0</v>
      </c>
      <c r="S1416" s="34"/>
      <c r="T1416" s="35" t="s">
        <v>56</v>
      </c>
      <c r="U1416" s="18" t="s">
        <v>1696</v>
      </c>
      <c r="V1416" s="18" t="str">
        <f>IF(OR($H1416="",$H1416="sif",$H1416="PM"),"",VLOOKUP($H1416,[5]CU!$C$5:$J$255,8,FALSE))</f>
        <v/>
      </c>
      <c r="W1416" s="18" t="s">
        <v>1665</v>
      </c>
      <c r="X1416" s="18" t="s">
        <v>1607</v>
      </c>
      <c r="Y1416" s="18" t="s">
        <v>679</v>
      </c>
      <c r="Z1416" s="18" t="str">
        <f>A1416 &amp; "-" &amp; VLOOKUP(A1416,[4]PROGRAMMES!$E$1:$F$7,2,FALSE)</f>
        <v>4-Réforme de l’enseignement supérieur et la recherche scientifique et de l'innovation</v>
      </c>
      <c r="AA1416" s="19" t="str">
        <f>B1416 &amp; "-" &amp; VLOOKUP(B1416,[4]SOUSPROGRAMMES!$E$1:$F$44,2,FALSE)</f>
        <v>43- Qualité de l’enseignement, de la formation et de la recherche scientifique</v>
      </c>
      <c r="AB1416" s="19" t="str">
        <f>C1416 &amp; "-" &amp; VLOOKUP(C1416,[4]RESULTATS!$E$1:$F$176,2,FALSE)</f>
        <v>438- Le niveau de productions scientifiques en quantité et qualité est amélioré et les résultats de la recherche scientifique et de l’innovation sont mieux capitalisés et valorisés</v>
      </c>
      <c r="AC1416" s="20" t="str">
        <f>D1416 &amp; "-" &amp; VLOOKUP(D1416,[4]STRATEGIES!$E$1:$F$504,2,FALSE)</f>
        <v>4383-Renforcement des capacités du personnel</v>
      </c>
      <c r="AD1416" s="21" t="str">
        <f t="shared" si="217"/>
        <v>43831-Identification des personnels à former</v>
      </c>
    </row>
    <row r="1417" spans="1:30" s="22" customFormat="1" ht="75" hidden="1" customHeight="1" x14ac:dyDescent="0.8">
      <c r="A1417" s="14">
        <v>4</v>
      </c>
      <c r="B1417" s="15">
        <v>43</v>
      </c>
      <c r="C1417" s="15">
        <v>438</v>
      </c>
      <c r="D1417" s="15">
        <v>4383</v>
      </c>
      <c r="E1417" s="15">
        <v>43832</v>
      </c>
      <c r="F1417" s="16" t="s">
        <v>1857</v>
      </c>
      <c r="G1417" s="21" t="s">
        <v>37</v>
      </c>
      <c r="H1417" s="17" t="s">
        <v>301</v>
      </c>
      <c r="I1417" s="33">
        <v>0</v>
      </c>
      <c r="J1417" s="33">
        <f>50*3*1</f>
        <v>150</v>
      </c>
      <c r="K1417" s="33">
        <f>50*3*1</f>
        <v>150</v>
      </c>
      <c r="L1417" s="33">
        <f>50*3*1</f>
        <v>150</v>
      </c>
      <c r="M1417" s="33">
        <f t="shared" si="215"/>
        <v>450</v>
      </c>
      <c r="N1417" s="33">
        <f>IF(OR(H1417="",H1417="sif",H1417="PM"),0,VLOOKUP(H1417,[5]CU!$C$4:$H$255,6,FALSE))</f>
        <v>0.67666666666666664</v>
      </c>
      <c r="O1417" s="33">
        <f t="shared" si="216"/>
        <v>0</v>
      </c>
      <c r="P1417" s="33">
        <f t="shared" si="216"/>
        <v>101.5</v>
      </c>
      <c r="Q1417" s="33">
        <f t="shared" si="216"/>
        <v>101.5</v>
      </c>
      <c r="R1417" s="33">
        <f t="shared" si="216"/>
        <v>101.5</v>
      </c>
      <c r="S1417" s="34">
        <f>SUM(O1417:R1417)</f>
        <v>304.5</v>
      </c>
      <c r="T1417" s="35" t="s">
        <v>56</v>
      </c>
      <c r="U1417" s="18" t="s">
        <v>1696</v>
      </c>
      <c r="V1417" s="18" t="str">
        <f>IF(OR($H1417="",$H1417="sif",$H1417="PM"),"",VLOOKUP($H1417,[5]CU!$C$5:$J$255,8,FALSE))</f>
        <v>3. Formation</v>
      </c>
      <c r="W1417" s="18" t="s">
        <v>1665</v>
      </c>
      <c r="X1417" s="18" t="s">
        <v>1607</v>
      </c>
      <c r="Y1417" s="18" t="s">
        <v>679</v>
      </c>
      <c r="Z1417" s="18" t="str">
        <f>A1417 &amp; "-" &amp; VLOOKUP(A1417,[4]PROGRAMMES!$E$1:$F$7,2,FALSE)</f>
        <v>4-Réforme de l’enseignement supérieur et la recherche scientifique et de l'innovation</v>
      </c>
      <c r="AA1417" s="19" t="str">
        <f>B1417 &amp; "-" &amp; VLOOKUP(B1417,[4]SOUSPROGRAMMES!$E$1:$F$44,2,FALSE)</f>
        <v>43- Qualité de l’enseignement, de la formation et de la recherche scientifique</v>
      </c>
      <c r="AB1417" s="19" t="str">
        <f>C1417 &amp; "-" &amp; VLOOKUP(C1417,[4]RESULTATS!$E$1:$F$176,2,FALSE)</f>
        <v>438- Le niveau de productions scientifiques en quantité et qualité est amélioré et les résultats de la recherche scientifique et de l’innovation sont mieux capitalisés et valorisés</v>
      </c>
      <c r="AC1417" s="20" t="str">
        <f>D1417 &amp; "-" &amp; VLOOKUP(D1417,[4]STRATEGIES!$E$1:$F$504,2,FALSE)</f>
        <v>4383-Renforcement des capacités du personnel</v>
      </c>
      <c r="AD1417" s="21" t="str">
        <f t="shared" si="217"/>
        <v>43832-Organisation des formations</v>
      </c>
    </row>
    <row r="1418" spans="1:30" s="22" customFormat="1" ht="75" hidden="1" customHeight="1" x14ac:dyDescent="0.8">
      <c r="A1418" s="14">
        <v>4</v>
      </c>
      <c r="B1418" s="15">
        <v>43</v>
      </c>
      <c r="C1418" s="15">
        <v>438</v>
      </c>
      <c r="D1418" s="15">
        <v>4384</v>
      </c>
      <c r="E1418" s="15">
        <v>4384</v>
      </c>
      <c r="F1418" s="16" t="s">
        <v>1858</v>
      </c>
      <c r="G1418" s="17"/>
      <c r="H1418" s="17"/>
      <c r="I1418" s="33">
        <v>0</v>
      </c>
      <c r="J1418" s="33"/>
      <c r="K1418" s="33"/>
      <c r="L1418" s="33"/>
      <c r="M1418" s="33"/>
      <c r="N1418" s="33"/>
      <c r="O1418" s="33"/>
      <c r="P1418" s="33"/>
      <c r="Q1418" s="33"/>
      <c r="R1418" s="33"/>
      <c r="S1418" s="34"/>
      <c r="T1418" s="33"/>
      <c r="U1418" s="18"/>
      <c r="V1418" s="18"/>
      <c r="W1418" s="18"/>
      <c r="X1418" s="18"/>
      <c r="Y1418" s="18" t="s">
        <v>679</v>
      </c>
      <c r="Z1418" s="18" t="str">
        <f>A1418 &amp; "-" &amp; VLOOKUP(A1418,[4]PROGRAMMES!$E$1:$F$7,2,FALSE)</f>
        <v>4-Réforme de l’enseignement supérieur et la recherche scientifique et de l'innovation</v>
      </c>
      <c r="AA1418" s="19" t="str">
        <f>B1418 &amp; "-" &amp; VLOOKUP(B1418,[4]SOUSPROGRAMMES!$E$1:$F$44,2,FALSE)</f>
        <v>43- Qualité de l’enseignement, de la formation et de la recherche scientifique</v>
      </c>
      <c r="AB1418" s="19" t="str">
        <f>C1418 &amp; "-" &amp; VLOOKUP(C1418,[4]RESULTATS!$E$1:$F$176,2,FALSE)</f>
        <v>438- Le niveau de productions scientifiques en quantité et qualité est amélioré et les résultats de la recherche scientifique et de l’innovation sont mieux capitalisés et valorisés</v>
      </c>
      <c r="AC1418" s="20" t="str">
        <f>D1418 &amp; "-" &amp; VLOOKUP(D1418,[4]STRATEGIES!$E$1:$F$504,2,FALSE)</f>
        <v>4384-Renforcement des moyens mis à la disposition des instituts de recherche</v>
      </c>
      <c r="AD1418" s="21" t="str">
        <f t="shared" si="217"/>
        <v>4384-Renforcement des moyens mis à la disposition des instituts de recherche</v>
      </c>
    </row>
    <row r="1419" spans="1:30" s="22" customFormat="1" ht="75" hidden="1" customHeight="1" x14ac:dyDescent="0.8">
      <c r="A1419" s="14">
        <v>4</v>
      </c>
      <c r="B1419" s="15">
        <v>43</v>
      </c>
      <c r="C1419" s="15">
        <v>438</v>
      </c>
      <c r="D1419" s="15">
        <v>4384</v>
      </c>
      <c r="E1419" s="15">
        <v>43841</v>
      </c>
      <c r="F1419" s="16" t="s">
        <v>1859</v>
      </c>
      <c r="G1419" s="21" t="s">
        <v>1860</v>
      </c>
      <c r="H1419" s="17" t="s">
        <v>1840</v>
      </c>
      <c r="I1419" s="33">
        <v>0</v>
      </c>
      <c r="J1419" s="33">
        <v>0.95046241647964902</v>
      </c>
      <c r="K1419" s="33">
        <v>1.0930317789516</v>
      </c>
      <c r="L1419" s="33">
        <v>1.2569865457943401</v>
      </c>
      <c r="M1419" s="33">
        <f t="shared" si="215"/>
        <v>3.3004807412255888</v>
      </c>
      <c r="N1419" s="33">
        <f>IF(OR(H1419="",H1419="sif",H1419="PM"),0,VLOOKUP(H1419,[5]CU!$C$4:$H$255,6,FALSE))</f>
        <v>50737.009102769</v>
      </c>
      <c r="O1419" s="33">
        <f t="shared" si="216"/>
        <v>0</v>
      </c>
      <c r="P1419" s="33">
        <f t="shared" si="216"/>
        <v>48223.620276767775</v>
      </c>
      <c r="Q1419" s="33">
        <f t="shared" si="216"/>
        <v>55457.163318283121</v>
      </c>
      <c r="R1419" s="33">
        <f t="shared" si="216"/>
        <v>63775.737816025598</v>
      </c>
      <c r="S1419" s="34">
        <f>SUM(O1419:R1419)</f>
        <v>167456.52141107648</v>
      </c>
      <c r="T1419" s="35" t="s">
        <v>56</v>
      </c>
      <c r="U1419" s="18" t="s">
        <v>1696</v>
      </c>
      <c r="V1419" s="18" t="str">
        <f>IF(OR($H1419="",$H1419="sif",$H1419="PM"),"",VLOOKUP($H1419,[5]CU!$C$5:$J$255,8,FALSE))</f>
        <v>3. Dépenses de fonctionnement</v>
      </c>
      <c r="W1419" s="18" t="s">
        <v>1665</v>
      </c>
      <c r="X1419" s="18" t="s">
        <v>1607</v>
      </c>
      <c r="Y1419" s="18" t="s">
        <v>679</v>
      </c>
      <c r="Z1419" s="18" t="str">
        <f>A1419 &amp; "-" &amp; VLOOKUP(A1419,[4]PROGRAMMES!$E$1:$F$7,2,FALSE)</f>
        <v>4-Réforme de l’enseignement supérieur et la recherche scientifique et de l'innovation</v>
      </c>
      <c r="AA1419" s="19" t="str">
        <f>B1419 &amp; "-" &amp; VLOOKUP(B1419,[4]SOUSPROGRAMMES!$E$1:$F$44,2,FALSE)</f>
        <v>43- Qualité de l’enseignement, de la formation et de la recherche scientifique</v>
      </c>
      <c r="AB1419" s="19" t="str">
        <f>C1419 &amp; "-" &amp; VLOOKUP(C1419,[4]RESULTATS!$E$1:$F$176,2,FALSE)</f>
        <v>438- Le niveau de productions scientifiques en quantité et qualité est amélioré et les résultats de la recherche scientifique et de l’innovation sont mieux capitalisés et valorisés</v>
      </c>
      <c r="AC1419" s="20" t="str">
        <f>D1419 &amp; "-" &amp; VLOOKUP(D1419,[4]STRATEGIES!$E$1:$F$504,2,FALSE)</f>
        <v>4384-Renforcement des moyens mis à la disposition des instituts de recherche</v>
      </c>
      <c r="AD1419" s="21" t="str">
        <f t="shared" si="217"/>
        <v>43841-Dotation des IRS en moyens adéquats</v>
      </c>
    </row>
    <row r="1420" spans="1:30" s="22" customFormat="1" ht="45" hidden="1" customHeight="1" x14ac:dyDescent="0.8">
      <c r="A1420" s="14">
        <v>4</v>
      </c>
      <c r="B1420" s="15">
        <v>44</v>
      </c>
      <c r="C1420" s="15">
        <v>44</v>
      </c>
      <c r="D1420" s="15">
        <v>44</v>
      </c>
      <c r="E1420" s="15">
        <v>44</v>
      </c>
      <c r="F1420" s="16" t="s">
        <v>1861</v>
      </c>
      <c r="G1420" s="17"/>
      <c r="H1420" s="17"/>
      <c r="I1420" s="33">
        <v>0</v>
      </c>
      <c r="J1420" s="33"/>
      <c r="K1420" s="33"/>
      <c r="L1420" s="33"/>
      <c r="M1420" s="33"/>
      <c r="N1420" s="33"/>
      <c r="O1420" s="33"/>
      <c r="P1420" s="33"/>
      <c r="Q1420" s="33"/>
      <c r="R1420" s="33"/>
      <c r="S1420" s="34"/>
      <c r="T1420" s="33"/>
      <c r="U1420" s="18"/>
      <c r="V1420" s="18"/>
      <c r="W1420" s="18"/>
      <c r="X1420" s="18"/>
      <c r="Y1420" s="18" t="s">
        <v>679</v>
      </c>
      <c r="Z1420" s="18" t="str">
        <f>A1420 &amp; "-" &amp; VLOOKUP(A1420,[4]PROGRAMMES!$E$1:$F$7,2,FALSE)</f>
        <v>4-Réforme de l’enseignement supérieur et la recherche scientifique et de l'innovation</v>
      </c>
      <c r="AA1420" s="19" t="str">
        <f>B1420 &amp; "-" &amp; VLOOKUP(B1420,[4]SOUSPROGRAMMES!$E$1:$F$44,2,FALSE)</f>
        <v>44- Conditions de vie du personnel enseignant et de recherche (à reporter dans le programme gouvernance)</v>
      </c>
      <c r="AB1420" s="19" t="str">
        <f>C1420 &amp; "-" &amp; VLOOKUP(C1420,[4]RESULTATS!$E$1:$F$176,2,FALSE)</f>
        <v>44- Conditions de vie du personnel enseignant et de recherche (à reporter dans le programme gouvernance)</v>
      </c>
      <c r="AC1420" s="20" t="str">
        <f>D1420 &amp; "-" &amp; VLOOKUP(D1420,[4]STRATEGIES!$E$1:$F$504,2,FALSE)</f>
        <v>44- Conditions de vie du personnel enseignant et de recherche (à reporter dans le programme gouvernance)</v>
      </c>
      <c r="AD1420" s="21" t="str">
        <f t="shared" si="217"/>
        <v>44- Conditions de vie du personnel enseignant et de recherche (à reporter dans le programme gouvernance)</v>
      </c>
    </row>
    <row r="1421" spans="1:30" s="22" customFormat="1" ht="45" hidden="1" customHeight="1" x14ac:dyDescent="0.8">
      <c r="A1421" s="14">
        <v>4</v>
      </c>
      <c r="B1421" s="15">
        <v>44</v>
      </c>
      <c r="C1421" s="15">
        <v>441</v>
      </c>
      <c r="D1421" s="15">
        <v>441</v>
      </c>
      <c r="E1421" s="15">
        <v>441</v>
      </c>
      <c r="F1421" s="16" t="s">
        <v>1862</v>
      </c>
      <c r="G1421" s="17"/>
      <c r="H1421" s="17"/>
      <c r="I1421" s="33">
        <v>0</v>
      </c>
      <c r="J1421" s="33"/>
      <c r="K1421" s="33"/>
      <c r="L1421" s="33"/>
      <c r="M1421" s="33"/>
      <c r="N1421" s="33"/>
      <c r="O1421" s="33"/>
      <c r="P1421" s="33"/>
      <c r="Q1421" s="33"/>
      <c r="R1421" s="33"/>
      <c r="S1421" s="34"/>
      <c r="T1421" s="33"/>
      <c r="U1421" s="18"/>
      <c r="V1421" s="18"/>
      <c r="W1421" s="18"/>
      <c r="X1421" s="18"/>
      <c r="Y1421" s="18" t="s">
        <v>679</v>
      </c>
      <c r="Z1421" s="18" t="str">
        <f>A1421 &amp; "-" &amp; VLOOKUP(A1421,[4]PROGRAMMES!$E$1:$F$7,2,FALSE)</f>
        <v>4-Réforme de l’enseignement supérieur et la recherche scientifique et de l'innovation</v>
      </c>
      <c r="AA1421" s="19" t="str">
        <f>B1421 &amp; "-" &amp; VLOOKUP(B1421,[4]SOUSPROGRAMMES!$E$1:$F$44,2,FALSE)</f>
        <v>44- Conditions de vie du personnel enseignant et de recherche (à reporter dans le programme gouvernance)</v>
      </c>
      <c r="AB1421" s="19" t="str">
        <f>C1421 &amp; "-" &amp; VLOOKUP(C1421,[4]RESULTATS!$E$1:$F$176,2,FALSE)</f>
        <v>441- L’attractivité du métier d’enseignant-chercheur est relevée</v>
      </c>
      <c r="AC1421" s="20" t="str">
        <f>D1421 &amp; "-" &amp; VLOOKUP(D1421,[4]STRATEGIES!$E$1:$F$504,2,FALSE)</f>
        <v>441- L’attractivité du métier d’enseignant-chercheur est relevée</v>
      </c>
      <c r="AD1421" s="21" t="str">
        <f t="shared" si="217"/>
        <v>441- L’attractivité du métier d’enseignant-chercheur est relevée</v>
      </c>
    </row>
    <row r="1422" spans="1:30" s="22" customFormat="1" ht="45" hidden="1" customHeight="1" x14ac:dyDescent="0.8">
      <c r="A1422" s="14">
        <v>4</v>
      </c>
      <c r="B1422" s="15">
        <v>44</v>
      </c>
      <c r="C1422" s="15">
        <v>441</v>
      </c>
      <c r="D1422" s="15">
        <v>4411</v>
      </c>
      <c r="E1422" s="15">
        <v>4411</v>
      </c>
      <c r="F1422" s="16" t="s">
        <v>1863</v>
      </c>
      <c r="G1422" s="17"/>
      <c r="H1422" s="17"/>
      <c r="I1422" s="33">
        <v>0</v>
      </c>
      <c r="J1422" s="33"/>
      <c r="K1422" s="33"/>
      <c r="L1422" s="33"/>
      <c r="M1422" s="33"/>
      <c r="N1422" s="33"/>
      <c r="O1422" s="33"/>
      <c r="P1422" s="33"/>
      <c r="Q1422" s="33"/>
      <c r="R1422" s="33"/>
      <c r="S1422" s="34"/>
      <c r="T1422" s="33"/>
      <c r="U1422" s="18"/>
      <c r="V1422" s="18"/>
      <c r="W1422" s="18"/>
      <c r="X1422" s="18"/>
      <c r="Y1422" s="18" t="s">
        <v>679</v>
      </c>
      <c r="Z1422" s="18" t="str">
        <f>A1422 &amp; "-" &amp; VLOOKUP(A1422,[4]PROGRAMMES!$E$1:$F$7,2,FALSE)</f>
        <v>4-Réforme de l’enseignement supérieur et la recherche scientifique et de l'innovation</v>
      </c>
      <c r="AA1422" s="19" t="str">
        <f>B1422 &amp; "-" &amp; VLOOKUP(B1422,[4]SOUSPROGRAMMES!$E$1:$F$44,2,FALSE)</f>
        <v>44- Conditions de vie du personnel enseignant et de recherche (à reporter dans le programme gouvernance)</v>
      </c>
      <c r="AB1422" s="19" t="str">
        <f>C1422 &amp; "-" &amp; VLOOKUP(C1422,[4]RESULTATS!$E$1:$F$176,2,FALSE)</f>
        <v>441- L’attractivité du métier d’enseignant-chercheur est relevée</v>
      </c>
      <c r="AC1422" s="20" t="str">
        <f>D1422 &amp; "-" &amp; VLOOKUP(D1422,[4]STRATEGIES!$E$1:$F$504,2,FALSE)</f>
        <v>4411-Augmentation des primes allouées aux grades académiques</v>
      </c>
      <c r="AD1422" s="21" t="str">
        <f t="shared" si="217"/>
        <v>4411-Augmentation des primes allouées aux grades académiques</v>
      </c>
    </row>
    <row r="1423" spans="1:30" s="22" customFormat="1" ht="45" hidden="1" customHeight="1" x14ac:dyDescent="0.8">
      <c r="A1423" s="14">
        <v>4</v>
      </c>
      <c r="B1423" s="15">
        <v>44</v>
      </c>
      <c r="C1423" s="15">
        <v>441</v>
      </c>
      <c r="D1423" s="15">
        <v>4411</v>
      </c>
      <c r="E1423" s="15">
        <v>44111</v>
      </c>
      <c r="F1423" s="16" t="s">
        <v>1864</v>
      </c>
      <c r="G1423" s="21" t="s">
        <v>92</v>
      </c>
      <c r="H1423" s="17" t="s">
        <v>55</v>
      </c>
      <c r="I1423" s="33">
        <v>0</v>
      </c>
      <c r="J1423" s="33"/>
      <c r="K1423" s="33">
        <v>1</v>
      </c>
      <c r="L1423" s="33"/>
      <c r="M1423" s="33">
        <f t="shared" si="215"/>
        <v>1</v>
      </c>
      <c r="N1423" s="33">
        <f>IF(OR(H1423="",H1423="sif",H1423="PM"),0,VLOOKUP(H1423,[5]CU!$C$4:$H$255,6,FALSE))</f>
        <v>0</v>
      </c>
      <c r="O1423" s="33">
        <f t="shared" si="216"/>
        <v>0</v>
      </c>
      <c r="P1423" s="33">
        <f t="shared" si="216"/>
        <v>0</v>
      </c>
      <c r="Q1423" s="33">
        <f t="shared" si="216"/>
        <v>0</v>
      </c>
      <c r="R1423" s="33">
        <f t="shared" si="216"/>
        <v>0</v>
      </c>
      <c r="S1423" s="34"/>
      <c r="T1423" s="35" t="s">
        <v>56</v>
      </c>
      <c r="U1423" s="18" t="s">
        <v>1600</v>
      </c>
      <c r="V1423" s="18" t="str">
        <f>IF(OR($H1423="",$H1423="sif",$H1423="PM"),"",VLOOKUP($H1423,[5]CU!$C$5:$J$255,8,FALSE))</f>
        <v/>
      </c>
      <c r="W1423" s="18"/>
      <c r="X1423" s="18"/>
      <c r="Y1423" s="18" t="s">
        <v>679</v>
      </c>
      <c r="Z1423" s="18" t="str">
        <f>A1423 &amp; "-" &amp; VLOOKUP(A1423,[4]PROGRAMMES!$E$1:$F$7,2,FALSE)</f>
        <v>4-Réforme de l’enseignement supérieur et la recherche scientifique et de l'innovation</v>
      </c>
      <c r="AA1423" s="19" t="str">
        <f>B1423 &amp; "-" &amp; VLOOKUP(B1423,[4]SOUSPROGRAMMES!$E$1:$F$44,2,FALSE)</f>
        <v>44- Conditions de vie du personnel enseignant et de recherche (à reporter dans le programme gouvernance)</v>
      </c>
      <c r="AB1423" s="19" t="str">
        <f>C1423 &amp; "-" &amp; VLOOKUP(C1423,[4]RESULTATS!$E$1:$F$176,2,FALSE)</f>
        <v>441- L’attractivité du métier d’enseignant-chercheur est relevée</v>
      </c>
      <c r="AC1423" s="20" t="str">
        <f>D1423 &amp; "-" &amp; VLOOKUP(D1423,[4]STRATEGIES!$E$1:$F$504,2,FALSE)</f>
        <v>4411-Augmentation des primes allouées aux grades académiques</v>
      </c>
      <c r="AD1423" s="21" t="str">
        <f t="shared" si="217"/>
        <v>44111-Octroi de primes aux Professeurs/DR (dans salaires enseignants supérieur)</v>
      </c>
    </row>
    <row r="1424" spans="1:30" s="22" customFormat="1" ht="45" hidden="1" customHeight="1" x14ac:dyDescent="0.8">
      <c r="A1424" s="14">
        <v>4</v>
      </c>
      <c r="B1424" s="15">
        <v>44</v>
      </c>
      <c r="C1424" s="15">
        <v>441</v>
      </c>
      <c r="D1424" s="15">
        <v>4411</v>
      </c>
      <c r="E1424" s="15">
        <v>44112</v>
      </c>
      <c r="F1424" s="16" t="s">
        <v>1865</v>
      </c>
      <c r="G1424" s="21" t="s">
        <v>92</v>
      </c>
      <c r="H1424" s="17" t="s">
        <v>55</v>
      </c>
      <c r="I1424" s="33">
        <v>0</v>
      </c>
      <c r="J1424" s="33"/>
      <c r="K1424" s="33">
        <v>1</v>
      </c>
      <c r="L1424" s="33"/>
      <c r="M1424" s="33">
        <f t="shared" si="215"/>
        <v>1</v>
      </c>
      <c r="N1424" s="33">
        <f>IF(OR(H1424="",H1424="sif",H1424="PM"),0,VLOOKUP(H1424,[5]CU!$C$4:$H$255,6,FALSE))</f>
        <v>0</v>
      </c>
      <c r="O1424" s="33">
        <f t="shared" si="216"/>
        <v>0</v>
      </c>
      <c r="P1424" s="33">
        <f t="shared" si="216"/>
        <v>0</v>
      </c>
      <c r="Q1424" s="33">
        <f t="shared" si="216"/>
        <v>0</v>
      </c>
      <c r="R1424" s="33">
        <f t="shared" si="216"/>
        <v>0</v>
      </c>
      <c r="S1424" s="34"/>
      <c r="T1424" s="35" t="s">
        <v>56</v>
      </c>
      <c r="U1424" s="18" t="s">
        <v>1600</v>
      </c>
      <c r="V1424" s="18" t="str">
        <f>IF(OR($H1424="",$H1424="sif",$H1424="PM"),"",VLOOKUP($H1424,[5]CU!$C$5:$J$255,8,FALSE))</f>
        <v/>
      </c>
      <c r="W1424" s="18"/>
      <c r="X1424" s="18"/>
      <c r="Y1424" s="18" t="s">
        <v>679</v>
      </c>
      <c r="Z1424" s="18" t="str">
        <f>A1424 &amp; "-" &amp; VLOOKUP(A1424,[4]PROGRAMMES!$E$1:$F$7,2,FALSE)</f>
        <v>4-Réforme de l’enseignement supérieur et la recherche scientifique et de l'innovation</v>
      </c>
      <c r="AA1424" s="19" t="str">
        <f>B1424 &amp; "-" &amp; VLOOKUP(B1424,[4]SOUSPROGRAMMES!$E$1:$F$44,2,FALSE)</f>
        <v>44- Conditions de vie du personnel enseignant et de recherche (à reporter dans le programme gouvernance)</v>
      </c>
      <c r="AB1424" s="19" t="str">
        <f>C1424 &amp; "-" &amp; VLOOKUP(C1424,[4]RESULTATS!$E$1:$F$176,2,FALSE)</f>
        <v>441- L’attractivité du métier d’enseignant-chercheur est relevée</v>
      </c>
      <c r="AC1424" s="20" t="str">
        <f>D1424 &amp; "-" &amp; VLOOKUP(D1424,[4]STRATEGIES!$E$1:$F$504,2,FALSE)</f>
        <v>4411-Augmentation des primes allouées aux grades académiques</v>
      </c>
      <c r="AD1424" s="21" t="str">
        <f t="shared" si="217"/>
        <v>44112-Octroi de primes aux Maitres de conférence/MR (dans salaires enseignants supérieur)</v>
      </c>
    </row>
    <row r="1425" spans="1:30" s="22" customFormat="1" ht="45" hidden="1" customHeight="1" x14ac:dyDescent="0.8">
      <c r="A1425" s="14">
        <v>4</v>
      </c>
      <c r="B1425" s="15">
        <v>44</v>
      </c>
      <c r="C1425" s="15">
        <v>441</v>
      </c>
      <c r="D1425" s="15">
        <v>4411</v>
      </c>
      <c r="E1425" s="15">
        <v>44113</v>
      </c>
      <c r="F1425" s="16" t="s">
        <v>1866</v>
      </c>
      <c r="G1425" s="21" t="s">
        <v>92</v>
      </c>
      <c r="H1425" s="17" t="s">
        <v>55</v>
      </c>
      <c r="I1425" s="33">
        <v>0</v>
      </c>
      <c r="J1425" s="33"/>
      <c r="K1425" s="33">
        <v>1</v>
      </c>
      <c r="L1425" s="33"/>
      <c r="M1425" s="33">
        <f t="shared" si="215"/>
        <v>1</v>
      </c>
      <c r="N1425" s="33">
        <f>IF(OR(H1425="",H1425="sif",H1425="PM"),0,VLOOKUP(H1425,[5]CU!$C$4:$H$255,6,FALSE))</f>
        <v>0</v>
      </c>
      <c r="O1425" s="33">
        <f t="shared" si="216"/>
        <v>0</v>
      </c>
      <c r="P1425" s="33">
        <f t="shared" si="216"/>
        <v>0</v>
      </c>
      <c r="Q1425" s="33">
        <f t="shared" si="216"/>
        <v>0</v>
      </c>
      <c r="R1425" s="33">
        <f t="shared" si="216"/>
        <v>0</v>
      </c>
      <c r="S1425" s="34"/>
      <c r="T1425" s="35" t="s">
        <v>56</v>
      </c>
      <c r="U1425" s="18" t="s">
        <v>1600</v>
      </c>
      <c r="V1425" s="18" t="str">
        <f>IF(OR($H1425="",$H1425="sif",$H1425="PM"),"",VLOOKUP($H1425,[5]CU!$C$5:$J$255,8,FALSE))</f>
        <v/>
      </c>
      <c r="W1425" s="18"/>
      <c r="X1425" s="18"/>
      <c r="Y1425" s="18" t="s">
        <v>679</v>
      </c>
      <c r="Z1425" s="18" t="str">
        <f>A1425 &amp; "-" &amp; VLOOKUP(A1425,[4]PROGRAMMES!$E$1:$F$7,2,FALSE)</f>
        <v>4-Réforme de l’enseignement supérieur et la recherche scientifique et de l'innovation</v>
      </c>
      <c r="AA1425" s="19" t="str">
        <f>B1425 &amp; "-" &amp; VLOOKUP(B1425,[4]SOUSPROGRAMMES!$E$1:$F$44,2,FALSE)</f>
        <v>44- Conditions de vie du personnel enseignant et de recherche (à reporter dans le programme gouvernance)</v>
      </c>
      <c r="AB1425" s="19" t="str">
        <f>C1425 &amp; "-" &amp; VLOOKUP(C1425,[4]RESULTATS!$E$1:$F$176,2,FALSE)</f>
        <v>441- L’attractivité du métier d’enseignant-chercheur est relevée</v>
      </c>
      <c r="AC1425" s="20" t="str">
        <f>D1425 &amp; "-" &amp; VLOOKUP(D1425,[4]STRATEGIES!$E$1:$F$504,2,FALSE)</f>
        <v>4411-Augmentation des primes allouées aux grades académiques</v>
      </c>
      <c r="AD1425" s="21" t="str">
        <f t="shared" si="217"/>
        <v>44113-Octroi de primes aux maitres assistants/AR(dans salaires enseignants supérieur)</v>
      </c>
    </row>
    <row r="1426" spans="1:30" s="22" customFormat="1" ht="45" hidden="1" customHeight="1" x14ac:dyDescent="0.8">
      <c r="A1426" s="14">
        <v>4</v>
      </c>
      <c r="B1426" s="15">
        <v>44</v>
      </c>
      <c r="C1426" s="15">
        <v>441</v>
      </c>
      <c r="D1426" s="15">
        <v>4411</v>
      </c>
      <c r="E1426" s="15">
        <v>44114</v>
      </c>
      <c r="F1426" s="16" t="s">
        <v>1867</v>
      </c>
      <c r="G1426" s="21" t="s">
        <v>92</v>
      </c>
      <c r="H1426" s="17" t="s">
        <v>55</v>
      </c>
      <c r="I1426" s="33">
        <v>0</v>
      </c>
      <c r="J1426" s="33"/>
      <c r="K1426" s="33">
        <v>1</v>
      </c>
      <c r="L1426" s="33"/>
      <c r="M1426" s="33">
        <f t="shared" si="215"/>
        <v>1</v>
      </c>
      <c r="N1426" s="33">
        <f>IF(OR(H1426="",H1426="sif",H1426="PM"),0,VLOOKUP(H1426,[5]CU!$C$4:$H$255,6,FALSE))</f>
        <v>0</v>
      </c>
      <c r="O1426" s="33">
        <f t="shared" si="216"/>
        <v>0</v>
      </c>
      <c r="P1426" s="33">
        <f t="shared" si="216"/>
        <v>0</v>
      </c>
      <c r="Q1426" s="33">
        <f t="shared" si="216"/>
        <v>0</v>
      </c>
      <c r="R1426" s="33">
        <f t="shared" si="216"/>
        <v>0</v>
      </c>
      <c r="S1426" s="34"/>
      <c r="T1426" s="35" t="s">
        <v>56</v>
      </c>
      <c r="U1426" s="18" t="s">
        <v>1600</v>
      </c>
      <c r="V1426" s="18" t="str">
        <f>IF(OR($H1426="",$H1426="sif",$H1426="PM"),"",VLOOKUP($H1426,[5]CU!$C$5:$J$255,8,FALSE))</f>
        <v/>
      </c>
      <c r="W1426" s="18"/>
      <c r="X1426" s="18"/>
      <c r="Y1426" s="18" t="s">
        <v>679</v>
      </c>
      <c r="Z1426" s="18" t="str">
        <f>A1426 &amp; "-" &amp; VLOOKUP(A1426,[4]PROGRAMMES!$E$1:$F$7,2,FALSE)</f>
        <v>4-Réforme de l’enseignement supérieur et la recherche scientifique et de l'innovation</v>
      </c>
      <c r="AA1426" s="19" t="str">
        <f>B1426 &amp; "-" &amp; VLOOKUP(B1426,[4]SOUSPROGRAMMES!$E$1:$F$44,2,FALSE)</f>
        <v>44- Conditions de vie du personnel enseignant et de recherche (à reporter dans le programme gouvernance)</v>
      </c>
      <c r="AB1426" s="19" t="str">
        <f>C1426 &amp; "-" &amp; VLOOKUP(C1426,[4]RESULTATS!$E$1:$F$176,2,FALSE)</f>
        <v>441- L’attractivité du métier d’enseignant-chercheur est relevée</v>
      </c>
      <c r="AC1426" s="20" t="str">
        <f>D1426 &amp; "-" &amp; VLOOKUP(D1426,[4]STRATEGIES!$E$1:$F$504,2,FALSE)</f>
        <v>4411-Augmentation des primes allouées aux grades académiques</v>
      </c>
      <c r="AD1426" s="21" t="str">
        <f t="shared" si="217"/>
        <v>44114-Octroi de primes aux assistants/CR(dans salaires enseignants supérieur)</v>
      </c>
    </row>
    <row r="1427" spans="1:30" s="22" customFormat="1" ht="15" hidden="1" customHeight="1" x14ac:dyDescent="0.8">
      <c r="A1427" s="14">
        <v>5</v>
      </c>
      <c r="B1427" s="15">
        <v>5</v>
      </c>
      <c r="C1427" s="15">
        <v>5</v>
      </c>
      <c r="D1427" s="15">
        <v>5</v>
      </c>
      <c r="E1427" s="15">
        <v>5</v>
      </c>
      <c r="F1427" s="16" t="s">
        <v>1868</v>
      </c>
      <c r="G1427" s="17"/>
      <c r="H1427" s="17"/>
      <c r="I1427" s="33">
        <v>0</v>
      </c>
      <c r="J1427" s="33"/>
      <c r="K1427" s="33"/>
      <c r="L1427" s="33"/>
      <c r="M1427" s="33"/>
      <c r="N1427" s="33"/>
      <c r="O1427" s="33"/>
      <c r="P1427" s="33"/>
      <c r="Q1427" s="33"/>
      <c r="R1427" s="33"/>
      <c r="S1427" s="34"/>
      <c r="T1427" s="33"/>
      <c r="U1427" s="18"/>
      <c r="V1427" s="18"/>
      <c r="W1427" s="18"/>
      <c r="X1427" s="18"/>
      <c r="Y1427" s="18"/>
      <c r="Z1427" s="18" t="str">
        <f>A1427 &amp; "-" &amp; VLOOKUP(A1427,[4]PROGRAMMES!$E$1:$F$7,2,FALSE)</f>
        <v>5-Gouvernance et pilotage du secteur</v>
      </c>
      <c r="AA1427" s="19" t="str">
        <f>B1427 &amp; "-" &amp; VLOOKUP(B1427,[4]SOUSPROGRAMMES!$E$1:$F$44,2,FALSE)</f>
        <v>5-Gouvernance et pilotage du secteur</v>
      </c>
      <c r="AB1427" s="19" t="str">
        <f>C1427 &amp; "-" &amp; VLOOKUP(C1427,[4]RESULTATS!$E$1:$F$176,2,FALSE)</f>
        <v>5-Gouvernance et pilotage du secteur</v>
      </c>
      <c r="AC1427" s="20" t="str">
        <f>D1427 &amp; "-" &amp; VLOOKUP(D1427,[4]STRATEGIES!$E$1:$F$504,2,FALSE)</f>
        <v>5-Gouvernance et pilotage du secteur</v>
      </c>
      <c r="AD1427" s="21" t="str">
        <f t="shared" si="217"/>
        <v>5-Gouvernance et pilotage du secteur</v>
      </c>
    </row>
    <row r="1428" spans="1:30" s="22" customFormat="1" ht="30" hidden="1" customHeight="1" x14ac:dyDescent="0.8">
      <c r="A1428" s="14">
        <v>5</v>
      </c>
      <c r="B1428" s="15">
        <v>51</v>
      </c>
      <c r="C1428" s="15">
        <v>51</v>
      </c>
      <c r="D1428" s="15">
        <v>51</v>
      </c>
      <c r="E1428" s="15">
        <v>51</v>
      </c>
      <c r="F1428" s="16" t="s">
        <v>1869</v>
      </c>
      <c r="G1428" s="17"/>
      <c r="H1428" s="17"/>
      <c r="I1428" s="33">
        <v>0</v>
      </c>
      <c r="J1428" s="33"/>
      <c r="K1428" s="33"/>
      <c r="L1428" s="33"/>
      <c r="M1428" s="33"/>
      <c r="N1428" s="33"/>
      <c r="O1428" s="33"/>
      <c r="P1428" s="33"/>
      <c r="Q1428" s="33"/>
      <c r="R1428" s="33"/>
      <c r="S1428" s="34"/>
      <c r="T1428" s="33"/>
      <c r="U1428" s="18"/>
      <c r="V1428" s="18"/>
      <c r="W1428" s="18"/>
      <c r="X1428" s="18"/>
      <c r="Y1428" s="18"/>
      <c r="Z1428" s="18" t="str">
        <f>A1428 &amp; "-" &amp; VLOOKUP(A1428,[4]PROGRAMMES!$E$1:$F$7,2,FALSE)</f>
        <v>5-Gouvernance et pilotage du secteur</v>
      </c>
      <c r="AA1428" s="19" t="str">
        <f>B1428 &amp; "-" &amp; VLOOKUP(B1428,[4]SOUSPROGRAMMES!$E$1:$F$44,2,FALSE)</f>
        <v>51-Gestion des flux (mécanismes, orientations, et passerelles)</v>
      </c>
      <c r="AB1428" s="19" t="str">
        <f>C1428 &amp; "-" &amp; VLOOKUP(C1428,[4]RESULTATS!$E$1:$F$176,2,FALSE)</f>
        <v>51-Gestion des flux (mécanismes, orientations, et passerelles)</v>
      </c>
      <c r="AC1428" s="20" t="str">
        <f>D1428 &amp; "-" &amp; VLOOKUP(D1428,[4]STRATEGIES!$E$1:$F$504,2,FALSE)</f>
        <v>51-Gestion des flux (mécanismes, orientations, et passerelles)</v>
      </c>
      <c r="AD1428" s="21" t="str">
        <f t="shared" si="217"/>
        <v>51-Gestion des flux (mécanismes, orientations, et passerelles)</v>
      </c>
    </row>
    <row r="1429" spans="1:30" s="22" customFormat="1" ht="45" hidden="1" customHeight="1" x14ac:dyDescent="0.8">
      <c r="A1429" s="14">
        <v>5</v>
      </c>
      <c r="B1429" s="15">
        <v>51</v>
      </c>
      <c r="C1429" s="15">
        <v>511</v>
      </c>
      <c r="D1429" s="15">
        <v>511</v>
      </c>
      <c r="E1429" s="15">
        <v>511</v>
      </c>
      <c r="F1429" s="16" t="s">
        <v>1870</v>
      </c>
      <c r="G1429" s="17"/>
      <c r="H1429" s="17"/>
      <c r="I1429" s="33">
        <v>0</v>
      </c>
      <c r="J1429" s="33"/>
      <c r="K1429" s="33"/>
      <c r="L1429" s="33"/>
      <c r="M1429" s="33"/>
      <c r="N1429" s="33"/>
      <c r="O1429" s="33"/>
      <c r="P1429" s="33"/>
      <c r="Q1429" s="33"/>
      <c r="R1429" s="33"/>
      <c r="S1429" s="34"/>
      <c r="T1429" s="33"/>
      <c r="U1429" s="18"/>
      <c r="V1429" s="18"/>
      <c r="W1429" s="18"/>
      <c r="X1429" s="18"/>
      <c r="Y1429" s="18"/>
      <c r="Z1429" s="18" t="str">
        <f>A1429 &amp; "-" &amp; VLOOKUP(A1429,[4]PROGRAMMES!$E$1:$F$7,2,FALSE)</f>
        <v>5-Gouvernance et pilotage du secteur</v>
      </c>
      <c r="AA1429" s="19" t="str">
        <f>B1429 &amp; "-" &amp; VLOOKUP(B1429,[4]SOUSPROGRAMMES!$E$1:$F$44,2,FALSE)</f>
        <v>51-Gestion des flux (mécanismes, orientations, et passerelles)</v>
      </c>
      <c r="AB1429" s="19" t="str">
        <f>C1429 &amp; "-" &amp; VLOOKUP(C1429,[4]RESULTATS!$E$1:$F$176,2,FALSE)</f>
        <v>511-Les acteurs se sont appropriés les textes règlementaires et les manuels de procédure définissant la gestion des flux</v>
      </c>
      <c r="AC1429" s="20" t="str">
        <f>D1429 &amp; "-" &amp; VLOOKUP(D1429,[4]STRATEGIES!$E$1:$F$504,2,FALSE)</f>
        <v>511-Les acteurs se sont appropriés les textes règlementaires et les manuels de procédure définissant la gestion des flux</v>
      </c>
      <c r="AD1429" s="21" t="str">
        <f t="shared" si="217"/>
        <v>511-Les acteurs se sont appropriés les textes règlementaires et les manuels de procédure définissant la gestion des flux</v>
      </c>
    </row>
    <row r="1430" spans="1:30" s="22" customFormat="1" ht="45" hidden="1" customHeight="1" x14ac:dyDescent="0.8">
      <c r="A1430" s="14">
        <v>5</v>
      </c>
      <c r="B1430" s="15">
        <v>51</v>
      </c>
      <c r="C1430" s="15">
        <v>511</v>
      </c>
      <c r="D1430" s="15">
        <v>5111</v>
      </c>
      <c r="E1430" s="15">
        <v>5111</v>
      </c>
      <c r="F1430" s="16" t="s">
        <v>1871</v>
      </c>
      <c r="G1430" s="17"/>
      <c r="H1430" s="17"/>
      <c r="I1430" s="33">
        <v>0</v>
      </c>
      <c r="J1430" s="33"/>
      <c r="K1430" s="33"/>
      <c r="L1430" s="33"/>
      <c r="M1430" s="33"/>
      <c r="N1430" s="33"/>
      <c r="O1430" s="33"/>
      <c r="P1430" s="33"/>
      <c r="Q1430" s="33"/>
      <c r="R1430" s="33"/>
      <c r="S1430" s="34"/>
      <c r="T1430" s="33"/>
      <c r="U1430" s="18"/>
      <c r="V1430" s="18"/>
      <c r="W1430" s="18"/>
      <c r="X1430" s="18"/>
      <c r="Y1430" s="18"/>
      <c r="Z1430" s="18" t="str">
        <f>A1430 &amp; "-" &amp; VLOOKUP(A1430,[4]PROGRAMMES!$E$1:$F$7,2,FALSE)</f>
        <v>5-Gouvernance et pilotage du secteur</v>
      </c>
      <c r="AA1430" s="19" t="str">
        <f>B1430 &amp; "-" &amp; VLOOKUP(B1430,[4]SOUSPROGRAMMES!$E$1:$F$44,2,FALSE)</f>
        <v>51-Gestion des flux (mécanismes, orientations, et passerelles)</v>
      </c>
      <c r="AB1430" s="19" t="str">
        <f>C1430 &amp; "-" &amp; VLOOKUP(C1430,[4]RESULTATS!$E$1:$F$176,2,FALSE)</f>
        <v>511-Les acteurs se sont appropriés les textes règlementaires et les manuels de procédure définissant la gestion des flux</v>
      </c>
      <c r="AC1430" s="20" t="str">
        <f>D1430 &amp; "-" &amp; VLOOKUP(D1430,[4]STRATEGIES!$E$1:$F$504,2,FALSE)</f>
        <v>5111-Élaboration et validation des textes et des manuels de procédures</v>
      </c>
      <c r="AD1430" s="21" t="str">
        <f t="shared" si="217"/>
        <v>5111-Élaboration et validation des textes et des manuels de procédures</v>
      </c>
    </row>
    <row r="1431" spans="1:30" s="22" customFormat="1" ht="45" hidden="1" customHeight="1" x14ac:dyDescent="0.8">
      <c r="A1431" s="14">
        <v>5</v>
      </c>
      <c r="B1431" s="15">
        <v>51</v>
      </c>
      <c r="C1431" s="15">
        <v>511</v>
      </c>
      <c r="D1431" s="15">
        <v>5111</v>
      </c>
      <c r="E1431" s="15">
        <v>51111</v>
      </c>
      <c r="F1431" s="16" t="s">
        <v>1872</v>
      </c>
      <c r="G1431" s="21" t="s">
        <v>88</v>
      </c>
      <c r="H1431" s="17" t="s">
        <v>55</v>
      </c>
      <c r="I1431" s="33">
        <v>0</v>
      </c>
      <c r="J1431" s="33">
        <v>1</v>
      </c>
      <c r="K1431" s="33">
        <v>0</v>
      </c>
      <c r="L1431" s="33">
        <v>0</v>
      </c>
      <c r="M1431" s="33">
        <f t="shared" si="215"/>
        <v>1</v>
      </c>
      <c r="N1431" s="33">
        <f>IF(OR(H1431="",H1431="sif",H1431="PM"),0,VLOOKUP(H1431,[5]CU!$C$4:$H$255,6,FALSE))</f>
        <v>0</v>
      </c>
      <c r="O1431" s="33">
        <f t="shared" si="216"/>
        <v>0</v>
      </c>
      <c r="P1431" s="33">
        <f t="shared" si="216"/>
        <v>0</v>
      </c>
      <c r="Q1431" s="33">
        <f t="shared" si="216"/>
        <v>0</v>
      </c>
      <c r="R1431" s="33">
        <f t="shared" si="216"/>
        <v>0</v>
      </c>
      <c r="S1431" s="34"/>
      <c r="T1431" s="35" t="s">
        <v>56</v>
      </c>
      <c r="U1431" s="18" t="s">
        <v>1873</v>
      </c>
      <c r="V1431" s="18" t="str">
        <f>IF(OR($H1431="",$H1431="sif",$H1431="PM"),"",VLOOKUP($H1431,[5]CU!$C$5:$J$255,8,FALSE))</f>
        <v/>
      </c>
      <c r="W1431" s="18" t="s">
        <v>1874</v>
      </c>
      <c r="X1431" s="18" t="s">
        <v>1875</v>
      </c>
      <c r="Y1431" s="19" t="s">
        <v>32</v>
      </c>
      <c r="Z1431" s="18" t="str">
        <f>A1431 &amp; "-" &amp; VLOOKUP(A1431,[4]PROGRAMMES!$E$1:$F$7,2,FALSE)</f>
        <v>5-Gouvernance et pilotage du secteur</v>
      </c>
      <c r="AA1431" s="19" t="str">
        <f>B1431 &amp; "-" &amp; VLOOKUP(B1431,[4]SOUSPROGRAMMES!$E$1:$F$44,2,FALSE)</f>
        <v>51-Gestion des flux (mécanismes, orientations, et passerelles)</v>
      </c>
      <c r="AB1431" s="19" t="str">
        <f>C1431 &amp; "-" &amp; VLOOKUP(C1431,[4]RESULTATS!$E$1:$F$176,2,FALSE)</f>
        <v>511-Les acteurs se sont appropriés les textes règlementaires et les manuels de procédure définissant la gestion des flux</v>
      </c>
      <c r="AC1431" s="20" t="str">
        <f>D1431 &amp; "-" &amp; VLOOKUP(D1431,[4]STRATEGIES!$E$1:$F$504,2,FALSE)</f>
        <v>5111-Élaboration et validation des textes et des manuels de procédures</v>
      </c>
      <c r="AD1431" s="21" t="str">
        <f t="shared" si="217"/>
        <v>51111-Constitution d'une commission nationale chargée de réviser les textes</v>
      </c>
    </row>
    <row r="1432" spans="1:30" s="22" customFormat="1" ht="45" hidden="1" customHeight="1" x14ac:dyDescent="0.8">
      <c r="A1432" s="14">
        <v>5</v>
      </c>
      <c r="B1432" s="15">
        <v>51</v>
      </c>
      <c r="C1432" s="15">
        <v>511</v>
      </c>
      <c r="D1432" s="15">
        <v>5111</v>
      </c>
      <c r="E1432" s="15">
        <v>51112</v>
      </c>
      <c r="F1432" s="16" t="s">
        <v>1876</v>
      </c>
      <c r="G1432" s="21" t="s">
        <v>447</v>
      </c>
      <c r="H1432" s="17" t="s">
        <v>66</v>
      </c>
      <c r="I1432" s="33">
        <v>0</v>
      </c>
      <c r="J1432" s="33">
        <f>20*7*1</f>
        <v>140</v>
      </c>
      <c r="K1432" s="33">
        <f>0*35*7</f>
        <v>0</v>
      </c>
      <c r="L1432" s="33">
        <f>0*35*7</f>
        <v>0</v>
      </c>
      <c r="M1432" s="33">
        <f t="shared" si="215"/>
        <v>140</v>
      </c>
      <c r="N1432" s="33">
        <f>IF(OR(H1432="",H1432="sif",H1432="PM"),0,VLOOKUP(H1432,[5]CU!$C$4:$H$255,6,FALSE))</f>
        <v>0.255</v>
      </c>
      <c r="O1432" s="33">
        <f t="shared" si="216"/>
        <v>0</v>
      </c>
      <c r="P1432" s="33">
        <f t="shared" si="216"/>
        <v>35.700000000000003</v>
      </c>
      <c r="Q1432" s="33">
        <f t="shared" si="216"/>
        <v>0</v>
      </c>
      <c r="R1432" s="33">
        <f t="shared" si="216"/>
        <v>0</v>
      </c>
      <c r="S1432" s="34">
        <f>SUM(O1432:R1432)</f>
        <v>35.700000000000003</v>
      </c>
      <c r="T1432" s="35" t="s">
        <v>56</v>
      </c>
      <c r="U1432" s="18" t="s">
        <v>1873</v>
      </c>
      <c r="V1432" s="18" t="str">
        <f>IF(OR($H1432="",$H1432="sif",$H1432="PM"),"",VLOOKUP($H1432,[5]CU!$C$5:$J$255,8,FALSE))</f>
        <v>3. Dépenses de fonctionnement</v>
      </c>
      <c r="W1432" s="18" t="s">
        <v>1877</v>
      </c>
      <c r="X1432" s="18" t="s">
        <v>1091</v>
      </c>
      <c r="Y1432" s="19" t="s">
        <v>32</v>
      </c>
      <c r="Z1432" s="18" t="str">
        <f>A1432 &amp; "-" &amp; VLOOKUP(A1432,[4]PROGRAMMES!$E$1:$F$7,2,FALSE)</f>
        <v>5-Gouvernance et pilotage du secteur</v>
      </c>
      <c r="AA1432" s="19" t="str">
        <f>B1432 &amp; "-" &amp; VLOOKUP(B1432,[4]SOUSPROGRAMMES!$E$1:$F$44,2,FALSE)</f>
        <v>51-Gestion des flux (mécanismes, orientations, et passerelles)</v>
      </c>
      <c r="AB1432" s="19" t="str">
        <f>C1432 &amp; "-" &amp; VLOOKUP(C1432,[4]RESULTATS!$E$1:$F$176,2,FALSE)</f>
        <v>511-Les acteurs se sont appropriés les textes règlementaires et les manuels de procédure définissant la gestion des flux</v>
      </c>
      <c r="AC1432" s="20" t="str">
        <f>D1432 &amp; "-" &amp; VLOOKUP(D1432,[4]STRATEGIES!$E$1:$F$504,2,FALSE)</f>
        <v>5111-Élaboration et validation des textes et des manuels de procédures</v>
      </c>
      <c r="AD1432" s="21" t="str">
        <f t="shared" si="217"/>
        <v xml:space="preserve">51112-Organisation d'un atelier pour l'élaboration des projets de textes </v>
      </c>
    </row>
    <row r="1433" spans="1:30" s="22" customFormat="1" ht="45" hidden="1" customHeight="1" x14ac:dyDescent="0.8">
      <c r="A1433" s="14">
        <v>5</v>
      </c>
      <c r="B1433" s="15">
        <v>51</v>
      </c>
      <c r="C1433" s="15">
        <v>511</v>
      </c>
      <c r="D1433" s="15">
        <v>5111</v>
      </c>
      <c r="E1433" s="15">
        <v>51113</v>
      </c>
      <c r="F1433" s="16" t="s">
        <v>1584</v>
      </c>
      <c r="G1433" s="21" t="s">
        <v>37</v>
      </c>
      <c r="H1433" s="17" t="s">
        <v>38</v>
      </c>
      <c r="I1433" s="33">
        <v>0</v>
      </c>
      <c r="J1433" s="33">
        <f>60*1*1</f>
        <v>60</v>
      </c>
      <c r="K1433" s="33">
        <f>0*3*60</f>
        <v>0</v>
      </c>
      <c r="L1433" s="33">
        <f>0*3*60</f>
        <v>0</v>
      </c>
      <c r="M1433" s="33">
        <f t="shared" si="215"/>
        <v>60</v>
      </c>
      <c r="N1433" s="33">
        <f>IF(OR(H1433="",H1433="sif",H1433="PM"),0,VLOOKUP(H1433,[5]CU!$C$4:$H$255,6,FALSE))</f>
        <v>0.3133333333333333</v>
      </c>
      <c r="O1433" s="33">
        <f t="shared" si="216"/>
        <v>0</v>
      </c>
      <c r="P1433" s="33">
        <f t="shared" si="216"/>
        <v>18.799999999999997</v>
      </c>
      <c r="Q1433" s="33">
        <f t="shared" si="216"/>
        <v>0</v>
      </c>
      <c r="R1433" s="33">
        <f t="shared" si="216"/>
        <v>0</v>
      </c>
      <c r="S1433" s="34">
        <f>SUM(O1433:R1433)</f>
        <v>18.799999999999997</v>
      </c>
      <c r="T1433" s="35" t="s">
        <v>56</v>
      </c>
      <c r="U1433" s="18" t="s">
        <v>1873</v>
      </c>
      <c r="V1433" s="18" t="str">
        <f>IF(OR($H1433="",$H1433="sif",$H1433="PM"),"",VLOOKUP($H1433,[5]CU!$C$5:$J$255,8,FALSE))</f>
        <v>3. Formation</v>
      </c>
      <c r="W1433" s="18" t="s">
        <v>255</v>
      </c>
      <c r="X1433" s="18" t="s">
        <v>1091</v>
      </c>
      <c r="Y1433" s="19" t="s">
        <v>32</v>
      </c>
      <c r="Z1433" s="18" t="str">
        <f>A1433 &amp; "-" &amp; VLOOKUP(A1433,[4]PROGRAMMES!$E$1:$F$7,2,FALSE)</f>
        <v>5-Gouvernance et pilotage du secteur</v>
      </c>
      <c r="AA1433" s="19" t="str">
        <f>B1433 &amp; "-" &amp; VLOOKUP(B1433,[4]SOUSPROGRAMMES!$E$1:$F$44,2,FALSE)</f>
        <v>51-Gestion des flux (mécanismes, orientations, et passerelles)</v>
      </c>
      <c r="AB1433" s="19" t="str">
        <f>C1433 &amp; "-" &amp; VLOOKUP(C1433,[4]RESULTATS!$E$1:$F$176,2,FALSE)</f>
        <v>511-Les acteurs se sont appropriés les textes règlementaires et les manuels de procédure définissant la gestion des flux</v>
      </c>
      <c r="AC1433" s="20" t="str">
        <f>D1433 &amp; "-" &amp; VLOOKUP(D1433,[4]STRATEGIES!$E$1:$F$504,2,FALSE)</f>
        <v>5111-Élaboration et validation des textes et des manuels de procédures</v>
      </c>
      <c r="AD1433" s="21" t="str">
        <f t="shared" si="217"/>
        <v>51113-Validation des textes</v>
      </c>
    </row>
    <row r="1434" spans="1:30" s="22" customFormat="1" ht="45" hidden="1" customHeight="1" x14ac:dyDescent="0.8">
      <c r="A1434" s="14">
        <v>5</v>
      </c>
      <c r="B1434" s="15">
        <v>51</v>
      </c>
      <c r="C1434" s="15">
        <v>511</v>
      </c>
      <c r="D1434" s="15">
        <v>5111</v>
      </c>
      <c r="E1434" s="15">
        <v>51114</v>
      </c>
      <c r="F1434" s="16" t="s">
        <v>1878</v>
      </c>
      <c r="G1434" s="21" t="s">
        <v>1879</v>
      </c>
      <c r="H1434" s="17" t="s">
        <v>55</v>
      </c>
      <c r="I1434" s="33">
        <v>0</v>
      </c>
      <c r="J1434" s="33">
        <v>1</v>
      </c>
      <c r="K1434" s="33">
        <v>0</v>
      </c>
      <c r="L1434" s="33">
        <v>0</v>
      </c>
      <c r="M1434" s="33">
        <f t="shared" si="215"/>
        <v>1</v>
      </c>
      <c r="N1434" s="33">
        <f>IF(OR(H1434="",H1434="sif",H1434="PM"),0,VLOOKUP(H1434,[5]CU!$C$4:$H$255,6,FALSE))</f>
        <v>0</v>
      </c>
      <c r="O1434" s="33">
        <f t="shared" si="216"/>
        <v>0</v>
      </c>
      <c r="P1434" s="33">
        <f t="shared" si="216"/>
        <v>0</v>
      </c>
      <c r="Q1434" s="33">
        <f t="shared" si="216"/>
        <v>0</v>
      </c>
      <c r="R1434" s="33">
        <f t="shared" si="216"/>
        <v>0</v>
      </c>
      <c r="S1434" s="34"/>
      <c r="T1434" s="35" t="s">
        <v>56</v>
      </c>
      <c r="U1434" s="18" t="s">
        <v>1873</v>
      </c>
      <c r="V1434" s="18" t="str">
        <f>IF(OR($H1434="",$H1434="sif",$H1434="PM"),"",VLOOKUP($H1434,[5]CU!$C$5:$J$255,8,FALSE))</f>
        <v/>
      </c>
      <c r="W1434" s="18" t="s">
        <v>255</v>
      </c>
      <c r="X1434" s="18" t="s">
        <v>1091</v>
      </c>
      <c r="Y1434" s="19" t="s">
        <v>32</v>
      </c>
      <c r="Z1434" s="18" t="str">
        <f>A1434 &amp; "-" &amp; VLOOKUP(A1434,[4]PROGRAMMES!$E$1:$F$7,2,FALSE)</f>
        <v>5-Gouvernance et pilotage du secteur</v>
      </c>
      <c r="AA1434" s="19" t="str">
        <f>B1434 &amp; "-" &amp; VLOOKUP(B1434,[4]SOUSPROGRAMMES!$E$1:$F$44,2,FALSE)</f>
        <v>51-Gestion des flux (mécanismes, orientations, et passerelles)</v>
      </c>
      <c r="AB1434" s="19" t="str">
        <f>C1434 &amp; "-" &amp; VLOOKUP(C1434,[4]RESULTATS!$E$1:$F$176,2,FALSE)</f>
        <v>511-Les acteurs se sont appropriés les textes règlementaires et les manuels de procédure définissant la gestion des flux</v>
      </c>
      <c r="AC1434" s="20" t="str">
        <f>D1434 &amp; "-" &amp; VLOOKUP(D1434,[4]STRATEGIES!$E$1:$F$504,2,FALSE)</f>
        <v>5111-Élaboration et validation des textes et des manuels de procédures</v>
      </c>
      <c r="AD1434" s="21" t="str">
        <f t="shared" si="217"/>
        <v>51114-Adoption des textes</v>
      </c>
    </row>
    <row r="1435" spans="1:30" s="22" customFormat="1" ht="45" hidden="1" customHeight="1" x14ac:dyDescent="0.8">
      <c r="A1435" s="14">
        <v>5</v>
      </c>
      <c r="B1435" s="15">
        <v>51</v>
      </c>
      <c r="C1435" s="15">
        <v>511</v>
      </c>
      <c r="D1435" s="15">
        <v>5112</v>
      </c>
      <c r="E1435" s="15">
        <v>5112</v>
      </c>
      <c r="F1435" s="16" t="s">
        <v>1880</v>
      </c>
      <c r="G1435" s="17"/>
      <c r="H1435" s="17"/>
      <c r="I1435" s="33">
        <v>0</v>
      </c>
      <c r="J1435" s="33"/>
      <c r="K1435" s="33"/>
      <c r="L1435" s="33"/>
      <c r="M1435" s="33"/>
      <c r="N1435" s="33"/>
      <c r="O1435" s="33"/>
      <c r="P1435" s="33"/>
      <c r="Q1435" s="33"/>
      <c r="R1435" s="33"/>
      <c r="S1435" s="34"/>
      <c r="T1435" s="33"/>
      <c r="U1435" s="18"/>
      <c r="V1435" s="18"/>
      <c r="W1435" s="18"/>
      <c r="X1435" s="18"/>
      <c r="Y1435" s="18"/>
      <c r="Z1435" s="18" t="str">
        <f>A1435 &amp; "-" &amp; VLOOKUP(A1435,[4]PROGRAMMES!$E$1:$F$7,2,FALSE)</f>
        <v>5-Gouvernance et pilotage du secteur</v>
      </c>
      <c r="AA1435" s="19" t="str">
        <f>B1435 &amp; "-" &amp; VLOOKUP(B1435,[4]SOUSPROGRAMMES!$E$1:$F$44,2,FALSE)</f>
        <v>51-Gestion des flux (mécanismes, orientations, et passerelles)</v>
      </c>
      <c r="AB1435" s="19" t="str">
        <f>C1435 &amp; "-" &amp; VLOOKUP(C1435,[4]RESULTATS!$E$1:$F$176,2,FALSE)</f>
        <v>511-Les acteurs se sont appropriés les textes règlementaires et les manuels de procédure définissant la gestion des flux</v>
      </c>
      <c r="AC1435" s="20" t="str">
        <f>D1435 &amp; "-" &amp; VLOOKUP(D1435,[4]STRATEGIES!$E$1:$F$504,2,FALSE)</f>
        <v>5112-Formation des acteurs de mise en œuvre des textes et des manuels de procédures</v>
      </c>
      <c r="AD1435" s="21" t="str">
        <f t="shared" si="217"/>
        <v>5112-Formation des acteurs de mise en œuvre des textes et des manuels de procédures</v>
      </c>
    </row>
    <row r="1436" spans="1:30" s="22" customFormat="1" ht="45" hidden="1" customHeight="1" x14ac:dyDescent="0.8">
      <c r="A1436" s="14">
        <v>5</v>
      </c>
      <c r="B1436" s="15">
        <v>51</v>
      </c>
      <c r="C1436" s="15">
        <v>511</v>
      </c>
      <c r="D1436" s="15">
        <v>5112</v>
      </c>
      <c r="E1436" s="15">
        <v>51121</v>
      </c>
      <c r="F1436" s="16" t="s">
        <v>1881</v>
      </c>
      <c r="G1436" s="21" t="s">
        <v>37</v>
      </c>
      <c r="H1436" s="17" t="s">
        <v>301</v>
      </c>
      <c r="I1436" s="33">
        <v>0</v>
      </c>
      <c r="J1436" s="33"/>
      <c r="K1436" s="33">
        <f>50*3*8</f>
        <v>1200</v>
      </c>
      <c r="L1436" s="33"/>
      <c r="M1436" s="33">
        <f t="shared" si="215"/>
        <v>1200</v>
      </c>
      <c r="N1436" s="33">
        <f>IF(OR(H1436="",H1436="sif",H1436="PM"),0,VLOOKUP(H1436,[5]CU!$C$4:$H$255,6,FALSE))</f>
        <v>0.67666666666666664</v>
      </c>
      <c r="O1436" s="33">
        <f t="shared" si="216"/>
        <v>0</v>
      </c>
      <c r="P1436" s="33">
        <f t="shared" si="216"/>
        <v>0</v>
      </c>
      <c r="Q1436" s="33">
        <f t="shared" si="216"/>
        <v>812</v>
      </c>
      <c r="R1436" s="33">
        <f t="shared" si="216"/>
        <v>0</v>
      </c>
      <c r="S1436" s="34">
        <f>SUM(O1436:R1436)</f>
        <v>812</v>
      </c>
      <c r="T1436" s="35" t="s">
        <v>56</v>
      </c>
      <c r="U1436" s="18" t="s">
        <v>1873</v>
      </c>
      <c r="V1436" s="18" t="str">
        <f>IF(OR($H1436="",$H1436="sif",$H1436="PM"),"",VLOOKUP($H1436,[5]CU!$C$5:$J$255,8,FALSE))</f>
        <v>3. Formation</v>
      </c>
      <c r="W1436" s="18" t="s">
        <v>1091</v>
      </c>
      <c r="X1436" s="18" t="s">
        <v>1091</v>
      </c>
      <c r="Y1436" s="19" t="s">
        <v>32</v>
      </c>
      <c r="Z1436" s="18" t="str">
        <f>A1436 &amp; "-" &amp; VLOOKUP(A1436,[4]PROGRAMMES!$E$1:$F$7,2,FALSE)</f>
        <v>5-Gouvernance et pilotage du secteur</v>
      </c>
      <c r="AA1436" s="19" t="str">
        <f>B1436 &amp; "-" &amp; VLOOKUP(B1436,[4]SOUSPROGRAMMES!$E$1:$F$44,2,FALSE)</f>
        <v>51-Gestion des flux (mécanismes, orientations, et passerelles)</v>
      </c>
      <c r="AB1436" s="19" t="str">
        <f>C1436 &amp; "-" &amp; VLOOKUP(C1436,[4]RESULTATS!$E$1:$F$176,2,FALSE)</f>
        <v>511-Les acteurs se sont appropriés les textes règlementaires et les manuels de procédure définissant la gestion des flux</v>
      </c>
      <c r="AC1436" s="20" t="str">
        <f>D1436 &amp; "-" &amp; VLOOKUP(D1436,[4]STRATEGIES!$E$1:$F$504,2,FALSE)</f>
        <v>5112-Formation des acteurs de mise en œuvre des textes et des manuels de procédures</v>
      </c>
      <c r="AD1436" s="21" t="str">
        <f t="shared" si="217"/>
        <v>51121-Organisation de sessions de formations des acteurs de mise en œuvre et diffusion des nouveaux textes (SNECSO, IRE, DPE/DCE/Etablissements)</v>
      </c>
    </row>
    <row r="1437" spans="1:30" s="22" customFormat="1" ht="45" hidden="1" customHeight="1" x14ac:dyDescent="0.8">
      <c r="A1437" s="14">
        <v>5</v>
      </c>
      <c r="B1437" s="15">
        <v>51</v>
      </c>
      <c r="C1437" s="15">
        <v>511</v>
      </c>
      <c r="D1437" s="15">
        <v>5113</v>
      </c>
      <c r="E1437" s="15">
        <v>5113</v>
      </c>
      <c r="F1437" s="16" t="s">
        <v>1882</v>
      </c>
      <c r="G1437" s="17"/>
      <c r="H1437" s="17"/>
      <c r="I1437" s="33">
        <v>0</v>
      </c>
      <c r="J1437" s="33"/>
      <c r="K1437" s="33"/>
      <c r="L1437" s="33"/>
      <c r="M1437" s="33"/>
      <c r="N1437" s="33"/>
      <c r="O1437" s="33"/>
      <c r="P1437" s="33"/>
      <c r="Q1437" s="33"/>
      <c r="R1437" s="33"/>
      <c r="S1437" s="34"/>
      <c r="T1437" s="33"/>
      <c r="U1437" s="18"/>
      <c r="V1437" s="18"/>
      <c r="W1437" s="18"/>
      <c r="X1437" s="18"/>
      <c r="Y1437" s="18"/>
      <c r="Z1437" s="18" t="str">
        <f>A1437 &amp; "-" &amp; VLOOKUP(A1437,[4]PROGRAMMES!$E$1:$F$7,2,FALSE)</f>
        <v>5-Gouvernance et pilotage du secteur</v>
      </c>
      <c r="AA1437" s="19" t="str">
        <f>B1437 &amp; "-" &amp; VLOOKUP(B1437,[4]SOUSPROGRAMMES!$E$1:$F$44,2,FALSE)</f>
        <v>51-Gestion des flux (mécanismes, orientations, et passerelles)</v>
      </c>
      <c r="AB1437" s="19" t="str">
        <f>C1437 &amp; "-" &amp; VLOOKUP(C1437,[4]RESULTATS!$E$1:$F$176,2,FALSE)</f>
        <v>511-Les acteurs se sont appropriés les textes règlementaires et les manuels de procédure définissant la gestion des flux</v>
      </c>
      <c r="AC1437" s="20" t="str">
        <f>D1437 &amp; "-" &amp; VLOOKUP(D1437,[4]STRATEGIES!$E$1:$F$504,2,FALSE)</f>
        <v>5113-Suivi de la mise en œuvre des textes et manuels de procédures</v>
      </c>
      <c r="AD1437" s="21" t="str">
        <f t="shared" si="217"/>
        <v>5113-Suivi de la mise en œuvre des textes et manuels de procédures</v>
      </c>
    </row>
    <row r="1438" spans="1:30" s="22" customFormat="1" ht="45" hidden="1" customHeight="1" x14ac:dyDescent="0.8">
      <c r="A1438" s="14">
        <v>5</v>
      </c>
      <c r="B1438" s="15">
        <v>51</v>
      </c>
      <c r="C1438" s="15">
        <v>511</v>
      </c>
      <c r="D1438" s="15">
        <v>5113</v>
      </c>
      <c r="E1438" s="15">
        <v>51131</v>
      </c>
      <c r="F1438" s="16" t="s">
        <v>1883</v>
      </c>
      <c r="G1438" s="21" t="s">
        <v>321</v>
      </c>
      <c r="H1438" s="17" t="s">
        <v>55</v>
      </c>
      <c r="I1438" s="33">
        <v>0</v>
      </c>
      <c r="J1438" s="33">
        <v>0</v>
      </c>
      <c r="K1438" s="33">
        <v>1</v>
      </c>
      <c r="L1438" s="33">
        <v>0</v>
      </c>
      <c r="M1438" s="33">
        <f t="shared" si="215"/>
        <v>1</v>
      </c>
      <c r="N1438" s="33">
        <f>IF(OR(H1438="",H1438="sif",H1438="PM"),0,VLOOKUP(H1438,[5]CU!$C$4:$H$255,6,FALSE))</f>
        <v>0</v>
      </c>
      <c r="O1438" s="33">
        <f t="shared" si="216"/>
        <v>0</v>
      </c>
      <c r="P1438" s="33">
        <f t="shared" si="216"/>
        <v>0</v>
      </c>
      <c r="Q1438" s="33">
        <f t="shared" si="216"/>
        <v>0</v>
      </c>
      <c r="R1438" s="33">
        <f t="shared" si="216"/>
        <v>0</v>
      </c>
      <c r="S1438" s="34"/>
      <c r="T1438" s="35" t="s">
        <v>56</v>
      </c>
      <c r="U1438" s="18" t="s">
        <v>1873</v>
      </c>
      <c r="V1438" s="18" t="str">
        <f>IF(OR($H1438="",$H1438="sif",$H1438="PM"),"",VLOOKUP($H1438,[5]CU!$C$5:$J$255,8,FALSE))</f>
        <v/>
      </c>
      <c r="W1438" s="18" t="s">
        <v>254</v>
      </c>
      <c r="X1438" s="18" t="s">
        <v>255</v>
      </c>
      <c r="Y1438" s="19" t="s">
        <v>32</v>
      </c>
      <c r="Z1438" s="18" t="str">
        <f>A1438 &amp; "-" &amp; VLOOKUP(A1438,[4]PROGRAMMES!$E$1:$F$7,2,FALSE)</f>
        <v>5-Gouvernance et pilotage du secteur</v>
      </c>
      <c r="AA1438" s="19" t="str">
        <f>B1438 &amp; "-" &amp; VLOOKUP(B1438,[4]SOUSPROGRAMMES!$E$1:$F$44,2,FALSE)</f>
        <v>51-Gestion des flux (mécanismes, orientations, et passerelles)</v>
      </c>
      <c r="AB1438" s="19" t="str">
        <f>C1438 &amp; "-" &amp; VLOOKUP(C1438,[4]RESULTATS!$E$1:$F$176,2,FALSE)</f>
        <v>511-Les acteurs se sont appropriés les textes règlementaires et les manuels de procédure définissant la gestion des flux</v>
      </c>
      <c r="AC1438" s="20" t="str">
        <f>D1438 &amp; "-" &amp; VLOOKUP(D1438,[4]STRATEGIES!$E$1:$F$504,2,FALSE)</f>
        <v>5113-Suivi de la mise en œuvre des textes et manuels de procédures</v>
      </c>
      <c r="AD1438" s="21" t="str">
        <f t="shared" si="217"/>
        <v>51131-Mise en place d'une commission nationale d'orientation</v>
      </c>
    </row>
    <row r="1439" spans="1:30" s="22" customFormat="1" ht="45" hidden="1" customHeight="1" x14ac:dyDescent="0.8">
      <c r="A1439" s="14">
        <v>5</v>
      </c>
      <c r="B1439" s="15">
        <v>51</v>
      </c>
      <c r="C1439" s="15">
        <v>511</v>
      </c>
      <c r="D1439" s="15">
        <v>5113</v>
      </c>
      <c r="E1439" s="15">
        <v>51132</v>
      </c>
      <c r="F1439" s="16" t="s">
        <v>1884</v>
      </c>
      <c r="G1439" s="21" t="s">
        <v>37</v>
      </c>
      <c r="H1439" s="17" t="s">
        <v>66</v>
      </c>
      <c r="I1439" s="33">
        <v>0</v>
      </c>
      <c r="J1439" s="33">
        <f t="shared" ref="J1439:L1441" si="218">20*3</f>
        <v>60</v>
      </c>
      <c r="K1439" s="33">
        <f t="shared" si="218"/>
        <v>60</v>
      </c>
      <c r="L1439" s="33">
        <f t="shared" si="218"/>
        <v>60</v>
      </c>
      <c r="M1439" s="33">
        <f t="shared" si="215"/>
        <v>180</v>
      </c>
      <c r="N1439" s="33">
        <f>IF(OR(H1439="",H1439="sif",H1439="PM"),0,VLOOKUP(H1439,[5]CU!$C$4:$H$255,6,FALSE))</f>
        <v>0.255</v>
      </c>
      <c r="O1439" s="33">
        <f t="shared" si="216"/>
        <v>0</v>
      </c>
      <c r="P1439" s="33">
        <f t="shared" si="216"/>
        <v>15.3</v>
      </c>
      <c r="Q1439" s="33">
        <f t="shared" si="216"/>
        <v>15.3</v>
      </c>
      <c r="R1439" s="33">
        <f t="shared" si="216"/>
        <v>15.3</v>
      </c>
      <c r="S1439" s="34">
        <f>SUM(O1439:R1439)</f>
        <v>45.900000000000006</v>
      </c>
      <c r="T1439" s="35" t="s">
        <v>56</v>
      </c>
      <c r="U1439" s="18" t="s">
        <v>1873</v>
      </c>
      <c r="V1439" s="18" t="str">
        <f>IF(OR($H1439="",$H1439="sif",$H1439="PM"),"",VLOOKUP($H1439,[5]CU!$C$5:$J$255,8,FALSE))</f>
        <v>3. Dépenses de fonctionnement</v>
      </c>
      <c r="W1439" s="18" t="s">
        <v>255</v>
      </c>
      <c r="X1439" s="18" t="s">
        <v>1091</v>
      </c>
      <c r="Y1439" s="19" t="s">
        <v>32</v>
      </c>
      <c r="Z1439" s="18" t="str">
        <f>A1439 &amp; "-" &amp; VLOOKUP(A1439,[4]PROGRAMMES!$E$1:$F$7,2,FALSE)</f>
        <v>5-Gouvernance et pilotage du secteur</v>
      </c>
      <c r="AA1439" s="19" t="str">
        <f>B1439 &amp; "-" &amp; VLOOKUP(B1439,[4]SOUSPROGRAMMES!$E$1:$F$44,2,FALSE)</f>
        <v>51-Gestion des flux (mécanismes, orientations, et passerelles)</v>
      </c>
      <c r="AB1439" s="19" t="str">
        <f>C1439 &amp; "-" &amp; VLOOKUP(C1439,[4]RESULTATS!$E$1:$F$176,2,FALSE)</f>
        <v>511-Les acteurs se sont appropriés les textes règlementaires et les manuels de procédure définissant la gestion des flux</v>
      </c>
      <c r="AC1439" s="20" t="str">
        <f>D1439 &amp; "-" &amp; VLOOKUP(D1439,[4]STRATEGIES!$E$1:$F$504,2,FALSE)</f>
        <v>5113-Suivi de la mise en œuvre des textes et manuels de procédures</v>
      </c>
      <c r="AD1439" s="21" t="str">
        <f t="shared" si="217"/>
        <v>51132-Mise en œuvre des nouveaux textes (organisation des réunions de la sous-commission d'orientation du MENA)</v>
      </c>
    </row>
    <row r="1440" spans="1:30" s="22" customFormat="1" ht="45" hidden="1" customHeight="1" x14ac:dyDescent="0.8">
      <c r="A1440" s="14">
        <v>5</v>
      </c>
      <c r="B1440" s="15">
        <v>51</v>
      </c>
      <c r="C1440" s="15">
        <v>511</v>
      </c>
      <c r="D1440" s="15">
        <v>5113</v>
      </c>
      <c r="E1440" s="15">
        <v>51133</v>
      </c>
      <c r="F1440" s="16" t="s">
        <v>1885</v>
      </c>
      <c r="G1440" s="21" t="s">
        <v>37</v>
      </c>
      <c r="H1440" s="17" t="s">
        <v>66</v>
      </c>
      <c r="I1440" s="33">
        <v>0</v>
      </c>
      <c r="J1440" s="33">
        <f t="shared" si="218"/>
        <v>60</v>
      </c>
      <c r="K1440" s="33">
        <f t="shared" si="218"/>
        <v>60</v>
      </c>
      <c r="L1440" s="33">
        <f t="shared" si="218"/>
        <v>60</v>
      </c>
      <c r="M1440" s="33">
        <f t="shared" si="215"/>
        <v>180</v>
      </c>
      <c r="N1440" s="33">
        <f>IF(OR(H1440="",H1440="sif",H1440="PM"),0,VLOOKUP(H1440,[5]CU!$C$4:$H$255,6,FALSE))</f>
        <v>0.255</v>
      </c>
      <c r="O1440" s="33">
        <f t="shared" si="216"/>
        <v>0</v>
      </c>
      <c r="P1440" s="33">
        <f t="shared" si="216"/>
        <v>15.3</v>
      </c>
      <c r="Q1440" s="33">
        <f t="shared" si="216"/>
        <v>15.3</v>
      </c>
      <c r="R1440" s="33">
        <f t="shared" si="216"/>
        <v>15.3</v>
      </c>
      <c r="S1440" s="34">
        <f>SUM(O1440:R1440)</f>
        <v>45.900000000000006</v>
      </c>
      <c r="T1440" s="35" t="s">
        <v>56</v>
      </c>
      <c r="U1440" s="18" t="s">
        <v>1873</v>
      </c>
      <c r="V1440" s="18" t="str">
        <f>IF(OR($H1440="",$H1440="sif",$H1440="PM"),"",VLOOKUP($H1440,[5]CU!$C$5:$J$255,8,FALSE))</f>
        <v>3. Dépenses de fonctionnement</v>
      </c>
      <c r="W1440" s="18" t="s">
        <v>255</v>
      </c>
      <c r="X1440" s="18" t="s">
        <v>255</v>
      </c>
      <c r="Y1440" s="18" t="s">
        <v>679</v>
      </c>
      <c r="Z1440" s="18" t="str">
        <f>A1440 &amp; "-" &amp; VLOOKUP(A1440,[4]PROGRAMMES!$E$1:$F$7,2,FALSE)</f>
        <v>5-Gouvernance et pilotage du secteur</v>
      </c>
      <c r="AA1440" s="19" t="str">
        <f>B1440 &amp; "-" &amp; VLOOKUP(B1440,[4]SOUSPROGRAMMES!$E$1:$F$44,2,FALSE)</f>
        <v>51-Gestion des flux (mécanismes, orientations, et passerelles)</v>
      </c>
      <c r="AB1440" s="19" t="str">
        <f>C1440 &amp; "-" &amp; VLOOKUP(C1440,[4]RESULTATS!$E$1:$F$176,2,FALSE)</f>
        <v>511-Les acteurs se sont appropriés les textes règlementaires et les manuels de procédure définissant la gestion des flux</v>
      </c>
      <c r="AC1440" s="20" t="str">
        <f>D1440 &amp; "-" &amp; VLOOKUP(D1440,[4]STRATEGIES!$E$1:$F$504,2,FALSE)</f>
        <v>5113-Suivi de la mise en œuvre des textes et manuels de procédures</v>
      </c>
      <c r="AD1440" s="21" t="str">
        <f t="shared" si="217"/>
        <v>51133-Mise en œuvre des nouveaux textes (organisation des réunions de la sous-commission d'orientation du MESRS)</v>
      </c>
    </row>
    <row r="1441" spans="1:30" s="22" customFormat="1" ht="45" hidden="1" customHeight="1" x14ac:dyDescent="0.8">
      <c r="A1441" s="14">
        <v>5</v>
      </c>
      <c r="B1441" s="15">
        <v>51</v>
      </c>
      <c r="C1441" s="15">
        <v>511</v>
      </c>
      <c r="D1441" s="15">
        <v>5113</v>
      </c>
      <c r="E1441" s="15">
        <v>51134</v>
      </c>
      <c r="F1441" s="16" t="s">
        <v>1886</v>
      </c>
      <c r="G1441" s="21" t="s">
        <v>37</v>
      </c>
      <c r="H1441" s="17" t="s">
        <v>66</v>
      </c>
      <c r="I1441" s="33">
        <v>0</v>
      </c>
      <c r="J1441" s="33">
        <f t="shared" si="218"/>
        <v>60</v>
      </c>
      <c r="K1441" s="33">
        <f t="shared" si="218"/>
        <v>60</v>
      </c>
      <c r="L1441" s="33">
        <f t="shared" si="218"/>
        <v>60</v>
      </c>
      <c r="M1441" s="33">
        <f t="shared" si="215"/>
        <v>180</v>
      </c>
      <c r="N1441" s="33">
        <f>IF(OR(H1441="",H1441="sif",H1441="PM"),0,VLOOKUP(H1441,[5]CU!$C$4:$H$255,6,FALSE))</f>
        <v>0.255</v>
      </c>
      <c r="O1441" s="33">
        <f t="shared" si="216"/>
        <v>0</v>
      </c>
      <c r="P1441" s="33">
        <f t="shared" si="216"/>
        <v>15.3</v>
      </c>
      <c r="Q1441" s="33">
        <f t="shared" si="216"/>
        <v>15.3</v>
      </c>
      <c r="R1441" s="33">
        <f t="shared" si="216"/>
        <v>15.3</v>
      </c>
      <c r="S1441" s="34">
        <f>SUM(O1441:R1441)</f>
        <v>45.900000000000006</v>
      </c>
      <c r="T1441" s="35" t="s">
        <v>56</v>
      </c>
      <c r="U1441" s="18" t="s">
        <v>1873</v>
      </c>
      <c r="V1441" s="18" t="str">
        <f>IF(OR($H1441="",$H1441="sif",$H1441="PM"),"",VLOOKUP($H1441,[5]CU!$C$5:$J$255,8,FALSE))</f>
        <v>3. Dépenses de fonctionnement</v>
      </c>
      <c r="W1441" s="18" t="s">
        <v>255</v>
      </c>
      <c r="X1441" s="18" t="s">
        <v>1887</v>
      </c>
      <c r="Y1441" s="18" t="s">
        <v>677</v>
      </c>
      <c r="Z1441" s="18" t="str">
        <f>A1441 &amp; "-" &amp; VLOOKUP(A1441,[4]PROGRAMMES!$E$1:$F$7,2,FALSE)</f>
        <v>5-Gouvernance et pilotage du secteur</v>
      </c>
      <c r="AA1441" s="19" t="str">
        <f>B1441 &amp; "-" &amp; VLOOKUP(B1441,[4]SOUSPROGRAMMES!$E$1:$F$44,2,FALSE)</f>
        <v>51-Gestion des flux (mécanismes, orientations, et passerelles)</v>
      </c>
      <c r="AB1441" s="19" t="str">
        <f>C1441 &amp; "-" &amp; VLOOKUP(C1441,[4]RESULTATS!$E$1:$F$176,2,FALSE)</f>
        <v>511-Les acteurs se sont appropriés les textes règlementaires et les manuels de procédure définissant la gestion des flux</v>
      </c>
      <c r="AC1441" s="20" t="str">
        <f>D1441 &amp; "-" &amp; VLOOKUP(D1441,[4]STRATEGIES!$E$1:$F$504,2,FALSE)</f>
        <v>5113-Suivi de la mise en œuvre des textes et manuels de procédures</v>
      </c>
      <c r="AD1441" s="21" t="str">
        <f t="shared" si="217"/>
        <v>51134-Mise en œuvre des nouveaux textes (organisation des réunions de la sous-commission d'orientation du METFP)</v>
      </c>
    </row>
    <row r="1442" spans="1:30" s="22" customFormat="1" ht="45" hidden="1" customHeight="1" x14ac:dyDescent="0.8">
      <c r="A1442" s="14">
        <v>5</v>
      </c>
      <c r="B1442" s="15">
        <v>51</v>
      </c>
      <c r="C1442" s="15">
        <v>511</v>
      </c>
      <c r="D1442" s="15">
        <v>5113</v>
      </c>
      <c r="E1442" s="15">
        <v>51135</v>
      </c>
      <c r="F1442" s="16" t="s">
        <v>1888</v>
      </c>
      <c r="G1442" s="21" t="s">
        <v>321</v>
      </c>
      <c r="H1442" s="17" t="s">
        <v>55</v>
      </c>
      <c r="I1442" s="33">
        <v>0</v>
      </c>
      <c r="J1442" s="33">
        <v>0</v>
      </c>
      <c r="K1442" s="33"/>
      <c r="L1442" s="33">
        <f>15*3*2</f>
        <v>90</v>
      </c>
      <c r="M1442" s="33">
        <f t="shared" si="215"/>
        <v>90</v>
      </c>
      <c r="N1442" s="33">
        <f>IF(OR(H1442="",H1442="sif",H1442="PM"),0,VLOOKUP(H1442,[5]CU!$C$4:$H$255,6,FALSE))</f>
        <v>0</v>
      </c>
      <c r="O1442" s="33">
        <f t="shared" si="216"/>
        <v>0</v>
      </c>
      <c r="P1442" s="33">
        <f t="shared" si="216"/>
        <v>0</v>
      </c>
      <c r="Q1442" s="33">
        <f t="shared" si="216"/>
        <v>0</v>
      </c>
      <c r="R1442" s="33">
        <f t="shared" si="216"/>
        <v>0</v>
      </c>
      <c r="S1442" s="34"/>
      <c r="T1442" s="35" t="s">
        <v>56</v>
      </c>
      <c r="U1442" s="18" t="s">
        <v>1873</v>
      </c>
      <c r="V1442" s="18" t="str">
        <f>IF(OR($H1442="",$H1442="sif",$H1442="PM"),"",VLOOKUP($H1442,[5]CU!$C$5:$J$255,8,FALSE))</f>
        <v/>
      </c>
      <c r="W1442" s="18" t="s">
        <v>1889</v>
      </c>
      <c r="X1442" s="18" t="s">
        <v>1890</v>
      </c>
      <c r="Y1442" s="19" t="s">
        <v>32</v>
      </c>
      <c r="Z1442" s="18" t="str">
        <f>A1442 &amp; "-" &amp; VLOOKUP(A1442,[4]PROGRAMMES!$E$1:$F$7,2,FALSE)</f>
        <v>5-Gouvernance et pilotage du secteur</v>
      </c>
      <c r="AA1442" s="19" t="str">
        <f>B1442 &amp; "-" &amp; VLOOKUP(B1442,[4]SOUSPROGRAMMES!$E$1:$F$44,2,FALSE)</f>
        <v>51-Gestion des flux (mécanismes, orientations, et passerelles)</v>
      </c>
      <c r="AB1442" s="19" t="str">
        <f>C1442 &amp; "-" &amp; VLOOKUP(C1442,[4]RESULTATS!$E$1:$F$176,2,FALSE)</f>
        <v>511-Les acteurs se sont appropriés les textes règlementaires et les manuels de procédure définissant la gestion des flux</v>
      </c>
      <c r="AC1442" s="20" t="str">
        <f>D1442 &amp; "-" &amp; VLOOKUP(D1442,[4]STRATEGIES!$E$1:$F$504,2,FALSE)</f>
        <v>5113-Suivi de la mise en œuvre des textes et manuels de procédures</v>
      </c>
      <c r="AD1442" s="21" t="str">
        <f t="shared" si="217"/>
        <v>51135-Organisation des sessions de la commission nationale d'orientation (CNO)</v>
      </c>
    </row>
    <row r="1443" spans="1:30" s="22" customFormat="1" ht="60" hidden="1" customHeight="1" x14ac:dyDescent="0.8">
      <c r="A1443" s="14">
        <v>5</v>
      </c>
      <c r="B1443" s="15">
        <v>51</v>
      </c>
      <c r="C1443" s="15">
        <v>512</v>
      </c>
      <c r="D1443" s="15">
        <v>512</v>
      </c>
      <c r="E1443" s="15">
        <v>512</v>
      </c>
      <c r="F1443" s="16" t="s">
        <v>1891</v>
      </c>
      <c r="G1443" s="17"/>
      <c r="H1443" s="17"/>
      <c r="I1443" s="33">
        <v>0</v>
      </c>
      <c r="J1443" s="33"/>
      <c r="K1443" s="33"/>
      <c r="L1443" s="33"/>
      <c r="M1443" s="33"/>
      <c r="N1443" s="33"/>
      <c r="O1443" s="33"/>
      <c r="P1443" s="33"/>
      <c r="Q1443" s="33"/>
      <c r="R1443" s="33"/>
      <c r="S1443" s="34"/>
      <c r="T1443" s="33"/>
      <c r="U1443" s="18"/>
      <c r="V1443" s="18"/>
      <c r="W1443" s="18"/>
      <c r="X1443" s="18"/>
      <c r="Y1443" s="18"/>
      <c r="Z1443" s="18" t="str">
        <f>A1443 &amp; "-" &amp; VLOOKUP(A1443,[4]PROGRAMMES!$E$1:$F$7,2,FALSE)</f>
        <v>5-Gouvernance et pilotage du secteur</v>
      </c>
      <c r="AA1443" s="19" t="str">
        <f>B1443 &amp; "-" &amp; VLOOKUP(B1443,[4]SOUSPROGRAMMES!$E$1:$F$44,2,FALSE)</f>
        <v>51-Gestion des flux (mécanismes, orientations, et passerelles)</v>
      </c>
      <c r="AB1443" s="19" t="str">
        <f>C1443 &amp; "-" &amp; VLOOKUP(C1443,[4]RESULTATS!$E$1:$F$176,2,FALSE)</f>
        <v>512-Les acteurs concernés (conseillers et enseignants, parents et communautés) contribuent au respect des normes d'orientation</v>
      </c>
      <c r="AC1443" s="20" t="str">
        <f>D1443 &amp; "-" &amp; VLOOKUP(D1443,[4]STRATEGIES!$E$1:$F$504,2,FALSE)</f>
        <v>512-Les acteurs concernés (conseillers et enseignants, parents et communautés) contribuent au respect des normes d'orientation</v>
      </c>
      <c r="AD1443" s="21" t="str">
        <f t="shared" si="217"/>
        <v>512-Les acteurs concernés (conseillers et enseignants, parents et communautés) contribuent au respect des normes d'orientation</v>
      </c>
    </row>
    <row r="1444" spans="1:30" s="22" customFormat="1" ht="60" hidden="1" customHeight="1" x14ac:dyDescent="0.8">
      <c r="A1444" s="14">
        <v>5</v>
      </c>
      <c r="B1444" s="15">
        <v>51</v>
      </c>
      <c r="C1444" s="15">
        <v>512</v>
      </c>
      <c r="D1444" s="15">
        <v>5121</v>
      </c>
      <c r="E1444" s="15">
        <v>5121</v>
      </c>
      <c r="F1444" s="16" t="s">
        <v>1892</v>
      </c>
      <c r="G1444" s="17"/>
      <c r="H1444" s="17"/>
      <c r="I1444" s="33">
        <v>0</v>
      </c>
      <c r="J1444" s="33"/>
      <c r="K1444" s="33"/>
      <c r="L1444" s="33"/>
      <c r="M1444" s="33"/>
      <c r="N1444" s="33"/>
      <c r="O1444" s="33"/>
      <c r="P1444" s="33"/>
      <c r="Q1444" s="33"/>
      <c r="R1444" s="33"/>
      <c r="S1444" s="34"/>
      <c r="T1444" s="33"/>
      <c r="U1444" s="18"/>
      <c r="V1444" s="18"/>
      <c r="W1444" s="18"/>
      <c r="X1444" s="18"/>
      <c r="Y1444" s="18"/>
      <c r="Z1444" s="18" t="str">
        <f>A1444 &amp; "-" &amp; VLOOKUP(A1444,[4]PROGRAMMES!$E$1:$F$7,2,FALSE)</f>
        <v>5-Gouvernance et pilotage du secteur</v>
      </c>
      <c r="AA1444" s="19" t="str">
        <f>B1444 &amp; "-" &amp; VLOOKUP(B1444,[4]SOUSPROGRAMMES!$E$1:$F$44,2,FALSE)</f>
        <v>51-Gestion des flux (mécanismes, orientations, et passerelles)</v>
      </c>
      <c r="AB1444" s="19" t="str">
        <f>C1444 &amp; "-" &amp; VLOOKUP(C1444,[4]RESULTATS!$E$1:$F$176,2,FALSE)</f>
        <v>512-Les acteurs concernés (conseillers et enseignants, parents et communautés) contribuent au respect des normes d'orientation</v>
      </c>
      <c r="AC1444" s="20" t="str">
        <f>D1444 &amp; "-" &amp; VLOOKUP(D1444,[4]STRATEGIES!$E$1:$F$504,2,FALSE)</f>
        <v>5121-Evaluation des compétences des conseillers à l’orientation</v>
      </c>
      <c r="AD1444" s="21" t="str">
        <f t="shared" si="217"/>
        <v>5121-Evaluation des compétences des conseillers à l’orientation</v>
      </c>
    </row>
    <row r="1445" spans="1:30" s="22" customFormat="1" ht="60" hidden="1" customHeight="1" x14ac:dyDescent="0.8">
      <c r="A1445" s="14">
        <v>5</v>
      </c>
      <c r="B1445" s="15">
        <v>51</v>
      </c>
      <c r="C1445" s="15">
        <v>512</v>
      </c>
      <c r="D1445" s="15">
        <v>5121</v>
      </c>
      <c r="E1445" s="15">
        <v>51211</v>
      </c>
      <c r="F1445" s="16" t="s">
        <v>1893</v>
      </c>
      <c r="G1445" s="21" t="s">
        <v>37</v>
      </c>
      <c r="H1445" s="17" t="s">
        <v>38</v>
      </c>
      <c r="I1445" s="33">
        <v>0</v>
      </c>
      <c r="J1445" s="33"/>
      <c r="K1445" s="33">
        <f>30*3</f>
        <v>90</v>
      </c>
      <c r="L1445" s="33">
        <v>0</v>
      </c>
      <c r="M1445" s="33">
        <f t="shared" si="215"/>
        <v>90</v>
      </c>
      <c r="N1445" s="33">
        <f>IF(OR(H1445="",H1445="sif",H1445="PM"),0,VLOOKUP(H1445,[5]CU!$C$4:$H$255,6,FALSE))</f>
        <v>0.3133333333333333</v>
      </c>
      <c r="O1445" s="33">
        <f t="shared" si="216"/>
        <v>0</v>
      </c>
      <c r="P1445" s="33">
        <f t="shared" si="216"/>
        <v>0</v>
      </c>
      <c r="Q1445" s="33">
        <f t="shared" si="216"/>
        <v>28.199999999999996</v>
      </c>
      <c r="R1445" s="33">
        <f t="shared" si="216"/>
        <v>0</v>
      </c>
      <c r="S1445" s="34">
        <f>SUM(O1445:R1445)</f>
        <v>28.199999999999996</v>
      </c>
      <c r="T1445" s="35" t="s">
        <v>56</v>
      </c>
      <c r="U1445" s="18" t="s">
        <v>1873</v>
      </c>
      <c r="V1445" s="18" t="str">
        <f>IF(OR($H1445="",$H1445="sif",$H1445="PM"),"",VLOOKUP($H1445,[5]CU!$C$5:$J$255,8,FALSE))</f>
        <v>3. Formation</v>
      </c>
      <c r="W1445" s="18" t="s">
        <v>255</v>
      </c>
      <c r="X1445" s="18" t="s">
        <v>1894</v>
      </c>
      <c r="Y1445" s="19" t="s">
        <v>32</v>
      </c>
      <c r="Z1445" s="18" t="str">
        <f>A1445 &amp; "-" &amp; VLOOKUP(A1445,[4]PROGRAMMES!$E$1:$F$7,2,FALSE)</f>
        <v>5-Gouvernance et pilotage du secteur</v>
      </c>
      <c r="AA1445" s="19" t="str">
        <f>B1445 &amp; "-" &amp; VLOOKUP(B1445,[4]SOUSPROGRAMMES!$E$1:$F$44,2,FALSE)</f>
        <v>51-Gestion des flux (mécanismes, orientations, et passerelles)</v>
      </c>
      <c r="AB1445" s="19" t="str">
        <f>C1445 &amp; "-" &amp; VLOOKUP(C1445,[4]RESULTATS!$E$1:$F$176,2,FALSE)</f>
        <v>512-Les acteurs concernés (conseillers et enseignants, parents et communautés) contribuent au respect des normes d'orientation</v>
      </c>
      <c r="AC1445" s="20" t="str">
        <f>D1445 &amp; "-" &amp; VLOOKUP(D1445,[4]STRATEGIES!$E$1:$F$504,2,FALSE)</f>
        <v>5121-Evaluation des compétences des conseillers à l’orientation</v>
      </c>
      <c r="AD1445" s="21" t="str">
        <f t="shared" si="217"/>
        <v>51211-Elaboration des guides et matériels pour l'orientation</v>
      </c>
    </row>
    <row r="1446" spans="1:30" s="22" customFormat="1" ht="60" hidden="1" customHeight="1" x14ac:dyDescent="0.8">
      <c r="A1446" s="14">
        <v>5</v>
      </c>
      <c r="B1446" s="15">
        <v>51</v>
      </c>
      <c r="C1446" s="15">
        <v>512</v>
      </c>
      <c r="D1446" s="15">
        <v>5121</v>
      </c>
      <c r="E1446" s="15">
        <v>51212</v>
      </c>
      <c r="F1446" s="16" t="s">
        <v>1895</v>
      </c>
      <c r="G1446" s="21" t="s">
        <v>44</v>
      </c>
      <c r="H1446" s="17" t="s">
        <v>452</v>
      </c>
      <c r="I1446" s="33">
        <v>0</v>
      </c>
      <c r="J1446" s="33">
        <f>(1800*3)*1.1</f>
        <v>5940.0000000000009</v>
      </c>
      <c r="K1446" s="33">
        <f>J1446*0.2</f>
        <v>1188.0000000000002</v>
      </c>
      <c r="L1446" s="33">
        <f>J1446*0.15</f>
        <v>891.00000000000011</v>
      </c>
      <c r="M1446" s="33">
        <f t="shared" si="215"/>
        <v>8019.0000000000009</v>
      </c>
      <c r="N1446" s="33">
        <f>IF(OR(H1446="",H1446="sif",H1446="PM"),0,VLOOKUP(H1446,[5]CU!$C$4:$H$255,6,FALSE))</f>
        <v>7.4999999999999997E-3</v>
      </c>
      <c r="O1446" s="33">
        <f t="shared" si="216"/>
        <v>0</v>
      </c>
      <c r="P1446" s="33">
        <f t="shared" si="216"/>
        <v>44.550000000000004</v>
      </c>
      <c r="Q1446" s="33">
        <f t="shared" si="216"/>
        <v>8.9100000000000019</v>
      </c>
      <c r="R1446" s="33">
        <f t="shared" si="216"/>
        <v>6.682500000000001</v>
      </c>
      <c r="S1446" s="34">
        <f>SUM(O1446:R1446)</f>
        <v>60.142500000000013</v>
      </c>
      <c r="T1446" s="35" t="s">
        <v>56</v>
      </c>
      <c r="U1446" s="18" t="s">
        <v>1873</v>
      </c>
      <c r="V1446" s="18" t="str">
        <f>IF(OR($H1446="",$H1446="sif",$H1446="PM"),"",VLOOKUP($H1446,[5]CU!$C$5:$J$255,8,FALSE))</f>
        <v>3. Dépenses de fonctionnement</v>
      </c>
      <c r="W1446" s="18" t="s">
        <v>398</v>
      </c>
      <c r="X1446" s="18" t="s">
        <v>398</v>
      </c>
      <c r="Y1446" s="19" t="s">
        <v>32</v>
      </c>
      <c r="Z1446" s="18" t="str">
        <f>A1446 &amp; "-" &amp; VLOOKUP(A1446,[4]PROGRAMMES!$E$1:$F$7,2,FALSE)</f>
        <v>5-Gouvernance et pilotage du secteur</v>
      </c>
      <c r="AA1446" s="19" t="str">
        <f>B1446 &amp; "-" &amp; VLOOKUP(B1446,[4]SOUSPROGRAMMES!$E$1:$F$44,2,FALSE)</f>
        <v>51-Gestion des flux (mécanismes, orientations, et passerelles)</v>
      </c>
      <c r="AB1446" s="19" t="str">
        <f>C1446 &amp; "-" &amp; VLOOKUP(C1446,[4]RESULTATS!$E$1:$F$176,2,FALSE)</f>
        <v>512-Les acteurs concernés (conseillers et enseignants, parents et communautés) contribuent au respect des normes d'orientation</v>
      </c>
      <c r="AC1446" s="20" t="str">
        <f>D1446 &amp; "-" &amp; VLOOKUP(D1446,[4]STRATEGIES!$E$1:$F$504,2,FALSE)</f>
        <v>5121-Evaluation des compétences des conseillers à l’orientation</v>
      </c>
      <c r="AD1446" s="21" t="str">
        <f t="shared" si="217"/>
        <v>51212-Reproduction des guides et matériels</v>
      </c>
    </row>
    <row r="1447" spans="1:30" s="22" customFormat="1" ht="60" hidden="1" customHeight="1" x14ac:dyDescent="0.8">
      <c r="A1447" s="14">
        <v>5</v>
      </c>
      <c r="B1447" s="15">
        <v>51</v>
      </c>
      <c r="C1447" s="15">
        <v>512</v>
      </c>
      <c r="D1447" s="15">
        <v>5121</v>
      </c>
      <c r="E1447" s="15">
        <v>51213</v>
      </c>
      <c r="F1447" s="16" t="s">
        <v>1896</v>
      </c>
      <c r="G1447" s="21" t="s">
        <v>37</v>
      </c>
      <c r="H1447" s="17" t="s">
        <v>301</v>
      </c>
      <c r="I1447" s="33">
        <v>0</v>
      </c>
      <c r="J1447" s="33"/>
      <c r="K1447" s="33">
        <f>(1800)/4*2</f>
        <v>900</v>
      </c>
      <c r="L1447" s="33">
        <f>(1800)/4*2</f>
        <v>900</v>
      </c>
      <c r="M1447" s="33">
        <f t="shared" si="215"/>
        <v>1800</v>
      </c>
      <c r="N1447" s="33">
        <f>IF(OR(H1447="",H1447="sif",H1447="PM"),0,VLOOKUP(H1447,[5]CU!$C$4:$H$255,6,FALSE))</f>
        <v>0.67666666666666664</v>
      </c>
      <c r="O1447" s="33">
        <f t="shared" si="216"/>
        <v>0</v>
      </c>
      <c r="P1447" s="33">
        <f t="shared" si="216"/>
        <v>0</v>
      </c>
      <c r="Q1447" s="33">
        <f t="shared" si="216"/>
        <v>609</v>
      </c>
      <c r="R1447" s="33">
        <f t="shared" si="216"/>
        <v>609</v>
      </c>
      <c r="S1447" s="34">
        <f>SUM(O1447:R1447)</f>
        <v>1218</v>
      </c>
      <c r="T1447" s="35" t="s">
        <v>56</v>
      </c>
      <c r="U1447" s="18" t="s">
        <v>1873</v>
      </c>
      <c r="V1447" s="18" t="str">
        <f>IF(OR($H1447="",$H1447="sif",$H1447="PM"),"",VLOOKUP($H1447,[5]CU!$C$5:$J$255,8,FALSE))</f>
        <v>3. Formation</v>
      </c>
      <c r="W1447" s="18" t="s">
        <v>398</v>
      </c>
      <c r="X1447" s="18" t="s">
        <v>398</v>
      </c>
      <c r="Y1447" s="19" t="s">
        <v>32</v>
      </c>
      <c r="Z1447" s="18" t="str">
        <f>A1447 &amp; "-" &amp; VLOOKUP(A1447,[4]PROGRAMMES!$E$1:$F$7,2,FALSE)</f>
        <v>5-Gouvernance et pilotage du secteur</v>
      </c>
      <c r="AA1447" s="19" t="str">
        <f>B1447 &amp; "-" &amp; VLOOKUP(B1447,[4]SOUSPROGRAMMES!$E$1:$F$44,2,FALSE)</f>
        <v>51-Gestion des flux (mécanismes, orientations, et passerelles)</v>
      </c>
      <c r="AB1447" s="19" t="str">
        <f>C1447 &amp; "-" &amp; VLOOKUP(C1447,[4]RESULTATS!$E$1:$F$176,2,FALSE)</f>
        <v>512-Les acteurs concernés (conseillers et enseignants, parents et communautés) contribuent au respect des normes d'orientation</v>
      </c>
      <c r="AC1447" s="20" t="str">
        <f>D1447 &amp; "-" &amp; VLOOKUP(D1447,[4]STRATEGIES!$E$1:$F$504,2,FALSE)</f>
        <v>5121-Evaluation des compétences des conseillers à l’orientation</v>
      </c>
      <c r="AD1447" s="21" t="str">
        <f t="shared" si="217"/>
        <v>51213-Formation des conseillers à l'orientions à l'utilisation des guides et matériels (y compris la mise à disposition des guides et matériels)</v>
      </c>
    </row>
    <row r="1448" spans="1:30" s="22" customFormat="1" ht="60" hidden="1" customHeight="1" x14ac:dyDescent="0.8">
      <c r="A1448" s="14">
        <v>5</v>
      </c>
      <c r="B1448" s="15">
        <v>51</v>
      </c>
      <c r="C1448" s="15">
        <v>512</v>
      </c>
      <c r="D1448" s="15">
        <v>5121</v>
      </c>
      <c r="E1448" s="15">
        <v>51214</v>
      </c>
      <c r="F1448" s="16" t="s">
        <v>1897</v>
      </c>
      <c r="G1448" s="21" t="s">
        <v>92</v>
      </c>
      <c r="H1448" s="17" t="s">
        <v>55</v>
      </c>
      <c r="I1448" s="33">
        <v>0</v>
      </c>
      <c r="J1448" s="33">
        <v>1</v>
      </c>
      <c r="K1448" s="33">
        <v>1</v>
      </c>
      <c r="L1448" s="33">
        <v>1</v>
      </c>
      <c r="M1448" s="33">
        <f t="shared" si="215"/>
        <v>3</v>
      </c>
      <c r="N1448" s="33">
        <f>IF(OR(H1448="",H1448="sif",H1448="PM"),0,VLOOKUP(H1448,[5]CU!$C$4:$H$255,6,FALSE))</f>
        <v>0</v>
      </c>
      <c r="O1448" s="33">
        <f t="shared" si="216"/>
        <v>0</v>
      </c>
      <c r="P1448" s="33">
        <f t="shared" si="216"/>
        <v>0</v>
      </c>
      <c r="Q1448" s="33">
        <f t="shared" si="216"/>
        <v>0</v>
      </c>
      <c r="R1448" s="33">
        <f t="shared" si="216"/>
        <v>0</v>
      </c>
      <c r="S1448" s="34"/>
      <c r="T1448" s="35" t="s">
        <v>56</v>
      </c>
      <c r="U1448" s="18" t="s">
        <v>1873</v>
      </c>
      <c r="V1448" s="18" t="str">
        <f>IF(OR($H1448="",$H1448="sif",$H1448="PM"),"",VLOOKUP($H1448,[5]CU!$C$5:$J$255,8,FALSE))</f>
        <v/>
      </c>
      <c r="W1448" s="18" t="s">
        <v>273</v>
      </c>
      <c r="X1448" s="18" t="s">
        <v>179</v>
      </c>
      <c r="Y1448" s="19" t="s">
        <v>32</v>
      </c>
      <c r="Z1448" s="18" t="str">
        <f>A1448 &amp; "-" &amp; VLOOKUP(A1448,[4]PROGRAMMES!$E$1:$F$7,2,FALSE)</f>
        <v>5-Gouvernance et pilotage du secteur</v>
      </c>
      <c r="AA1448" s="19" t="str">
        <f>B1448 &amp; "-" &amp; VLOOKUP(B1448,[4]SOUSPROGRAMMES!$E$1:$F$44,2,FALSE)</f>
        <v>51-Gestion des flux (mécanismes, orientations, et passerelles)</v>
      </c>
      <c r="AB1448" s="19" t="str">
        <f>C1448 &amp; "-" &amp; VLOOKUP(C1448,[4]RESULTATS!$E$1:$F$176,2,FALSE)</f>
        <v>512-Les acteurs concernés (conseillers et enseignants, parents et communautés) contribuent au respect des normes d'orientation</v>
      </c>
      <c r="AC1448" s="20" t="str">
        <f>D1448 &amp; "-" &amp; VLOOKUP(D1448,[4]STRATEGIES!$E$1:$F$504,2,FALSE)</f>
        <v>5121-Evaluation des compétences des conseillers à l’orientation</v>
      </c>
      <c r="AD1448" s="21" t="str">
        <f t="shared" si="217"/>
        <v>51214-Suivi de l'application des textes d'orientation (pris en compte dans les activités des inspections)</v>
      </c>
    </row>
    <row r="1449" spans="1:30" s="22" customFormat="1" ht="30" hidden="1" customHeight="1" x14ac:dyDescent="0.8">
      <c r="A1449" s="14">
        <v>5</v>
      </c>
      <c r="B1449" s="15">
        <v>51</v>
      </c>
      <c r="C1449" s="15">
        <v>513</v>
      </c>
      <c r="D1449" s="15">
        <v>513</v>
      </c>
      <c r="E1449" s="15">
        <v>513</v>
      </c>
      <c r="F1449" s="16" t="s">
        <v>1898</v>
      </c>
      <c r="G1449" s="17"/>
      <c r="H1449" s="17"/>
      <c r="I1449" s="33">
        <v>0</v>
      </c>
      <c r="J1449" s="33"/>
      <c r="K1449" s="33"/>
      <c r="L1449" s="33"/>
      <c r="M1449" s="33"/>
      <c r="N1449" s="33"/>
      <c r="O1449" s="33"/>
      <c r="P1449" s="33"/>
      <c r="Q1449" s="33"/>
      <c r="R1449" s="33"/>
      <c r="S1449" s="34"/>
      <c r="T1449" s="33"/>
      <c r="U1449" s="18"/>
      <c r="V1449" s="18"/>
      <c r="W1449" s="18"/>
      <c r="X1449" s="18"/>
      <c r="Y1449" s="18"/>
      <c r="Z1449" s="18" t="str">
        <f>A1449 &amp; "-" &amp; VLOOKUP(A1449,[4]PROGRAMMES!$E$1:$F$7,2,FALSE)</f>
        <v>5-Gouvernance et pilotage du secteur</v>
      </c>
      <c r="AA1449" s="19" t="str">
        <f>B1449 &amp; "-" &amp; VLOOKUP(B1449,[4]SOUSPROGRAMMES!$E$1:$F$44,2,FALSE)</f>
        <v>51-Gestion des flux (mécanismes, orientations, et passerelles)</v>
      </c>
      <c r="AB1449" s="19" t="str">
        <f>C1449 &amp; "-" &amp; VLOOKUP(C1449,[4]RESULTATS!$E$1:$F$176,2,FALSE)</f>
        <v>513- Le logiciel d'immatriculation et de suivi des élèves est amélioré et utilisé</v>
      </c>
      <c r="AC1449" s="20" t="str">
        <f>D1449 &amp; "-" &amp; VLOOKUP(D1449,[4]STRATEGIES!$E$1:$F$504,2,FALSE)</f>
        <v>513- Le logiciel d'immatriculation et de suivi des élèves est amélioré et utilisé</v>
      </c>
      <c r="AD1449" s="21" t="str">
        <f t="shared" si="217"/>
        <v>513- Le logiciel d'immatriculation et de suivi des élèves est amélioré et utilisé</v>
      </c>
    </row>
    <row r="1450" spans="1:30" s="22" customFormat="1" ht="30" hidden="1" customHeight="1" x14ac:dyDescent="0.8">
      <c r="A1450" s="14">
        <v>5</v>
      </c>
      <c r="B1450" s="15">
        <v>51</v>
      </c>
      <c r="C1450" s="15">
        <v>513</v>
      </c>
      <c r="D1450" s="15">
        <v>5131</v>
      </c>
      <c r="E1450" s="15">
        <v>5131</v>
      </c>
      <c r="F1450" s="16" t="s">
        <v>1899</v>
      </c>
      <c r="G1450" s="17"/>
      <c r="H1450" s="17"/>
      <c r="I1450" s="33">
        <v>0</v>
      </c>
      <c r="J1450" s="33"/>
      <c r="K1450" s="33"/>
      <c r="L1450" s="33"/>
      <c r="M1450" s="33"/>
      <c r="N1450" s="33"/>
      <c r="O1450" s="33"/>
      <c r="P1450" s="33"/>
      <c r="Q1450" s="33"/>
      <c r="R1450" s="33"/>
      <c r="S1450" s="34"/>
      <c r="T1450" s="33"/>
      <c r="U1450" s="18"/>
      <c r="V1450" s="18"/>
      <c r="W1450" s="18"/>
      <c r="X1450" s="18"/>
      <c r="Y1450" s="18"/>
      <c r="Z1450" s="18" t="str">
        <f>A1450 &amp; "-" &amp; VLOOKUP(A1450,[4]PROGRAMMES!$E$1:$F$7,2,FALSE)</f>
        <v>5-Gouvernance et pilotage du secteur</v>
      </c>
      <c r="AA1450" s="19" t="str">
        <f>B1450 &amp; "-" &amp; VLOOKUP(B1450,[4]SOUSPROGRAMMES!$E$1:$F$44,2,FALSE)</f>
        <v>51-Gestion des flux (mécanismes, orientations, et passerelles)</v>
      </c>
      <c r="AB1450" s="19" t="str">
        <f>C1450 &amp; "-" &amp; VLOOKUP(C1450,[4]RESULTATS!$E$1:$F$176,2,FALSE)</f>
        <v>513- Le logiciel d'immatriculation et de suivi des élèves est amélioré et utilisé</v>
      </c>
      <c r="AC1450" s="20" t="str">
        <f>D1450 &amp; "-" &amp; VLOOKUP(D1450,[4]STRATEGIES!$E$1:$F$504,2,FALSE)</f>
        <v>5131-Amélioration du logiciel d'immatriculation et de suivi des élèves</v>
      </c>
      <c r="AD1450" s="21" t="str">
        <f t="shared" si="217"/>
        <v>5131-Amélioration du logiciel d'immatriculation et de suivi des élèves</v>
      </c>
    </row>
    <row r="1451" spans="1:30" s="22" customFormat="1" ht="30" hidden="1" customHeight="1" x14ac:dyDescent="0.8">
      <c r="A1451" s="14">
        <v>5</v>
      </c>
      <c r="B1451" s="15">
        <v>51</v>
      </c>
      <c r="C1451" s="15">
        <v>513</v>
      </c>
      <c r="D1451" s="15">
        <v>5131</v>
      </c>
      <c r="E1451" s="15">
        <v>51311</v>
      </c>
      <c r="F1451" s="16" t="s">
        <v>1900</v>
      </c>
      <c r="G1451" s="21" t="s">
        <v>37</v>
      </c>
      <c r="H1451" s="17" t="s">
        <v>66</v>
      </c>
      <c r="I1451" s="33">
        <v>0</v>
      </c>
      <c r="J1451" s="33"/>
      <c r="K1451" s="33"/>
      <c r="L1451" s="33"/>
      <c r="M1451" s="33">
        <f t="shared" si="215"/>
        <v>0</v>
      </c>
      <c r="N1451" s="33">
        <f>IF(OR(H1451="",H1451="sif",H1451="PM"),0,VLOOKUP(H1451,[5]CU!$C$4:$H$255,6,FALSE))</f>
        <v>0.255</v>
      </c>
      <c r="O1451" s="33">
        <f t="shared" si="216"/>
        <v>0</v>
      </c>
      <c r="P1451" s="33">
        <f t="shared" si="216"/>
        <v>0</v>
      </c>
      <c r="Q1451" s="33">
        <f t="shared" si="216"/>
        <v>0</v>
      </c>
      <c r="R1451" s="33">
        <f t="shared" si="216"/>
        <v>0</v>
      </c>
      <c r="S1451" s="34">
        <f>SUM(O1451:R1451)</f>
        <v>0</v>
      </c>
      <c r="T1451" s="35" t="s">
        <v>118</v>
      </c>
      <c r="U1451" s="18" t="s">
        <v>1873</v>
      </c>
      <c r="V1451" s="18" t="str">
        <f>IF(OR($H1451="",$H1451="sif",$H1451="PM"),"",VLOOKUP($H1451,[5]CU!$C$5:$J$255,8,FALSE))</f>
        <v>3. Dépenses de fonctionnement</v>
      </c>
      <c r="W1451" s="18" t="s">
        <v>398</v>
      </c>
      <c r="X1451" s="18" t="s">
        <v>398</v>
      </c>
      <c r="Y1451" s="19" t="s">
        <v>32</v>
      </c>
      <c r="Z1451" s="18" t="str">
        <f>A1451 &amp; "-" &amp; VLOOKUP(A1451,[4]PROGRAMMES!$E$1:$F$7,2,FALSE)</f>
        <v>5-Gouvernance et pilotage du secteur</v>
      </c>
      <c r="AA1451" s="19" t="str">
        <f>B1451 &amp; "-" &amp; VLOOKUP(B1451,[4]SOUSPROGRAMMES!$E$1:$F$44,2,FALSE)</f>
        <v>51-Gestion des flux (mécanismes, orientations, et passerelles)</v>
      </c>
      <c r="AB1451" s="19" t="str">
        <f>C1451 &amp; "-" &amp; VLOOKUP(C1451,[4]RESULTATS!$E$1:$F$176,2,FALSE)</f>
        <v>513- Le logiciel d'immatriculation et de suivi des élèves est amélioré et utilisé</v>
      </c>
      <c r="AC1451" s="20" t="str">
        <f>D1451 &amp; "-" &amp; VLOOKUP(D1451,[4]STRATEGIES!$E$1:$F$504,2,FALSE)</f>
        <v>5131-Amélioration du logiciel d'immatriculation et de suivi des élèves</v>
      </c>
      <c r="AD1451" s="21" t="str">
        <f t="shared" si="217"/>
        <v>51311-Actualisation des outils d'immatriculation et de suivi des élèves</v>
      </c>
    </row>
    <row r="1452" spans="1:30" s="22" customFormat="1" ht="30" hidden="1" customHeight="1" x14ac:dyDescent="0.8">
      <c r="A1452" s="14">
        <v>5</v>
      </c>
      <c r="B1452" s="15">
        <v>51</v>
      </c>
      <c r="C1452" s="15">
        <v>513</v>
      </c>
      <c r="D1452" s="15">
        <v>5131</v>
      </c>
      <c r="E1452" s="15">
        <v>51312</v>
      </c>
      <c r="F1452" s="16" t="s">
        <v>1901</v>
      </c>
      <c r="G1452" s="21" t="s">
        <v>37</v>
      </c>
      <c r="H1452" s="17" t="s">
        <v>38</v>
      </c>
      <c r="I1452" s="33">
        <v>0</v>
      </c>
      <c r="J1452" s="33">
        <f>50*2*1</f>
        <v>100</v>
      </c>
      <c r="K1452" s="33"/>
      <c r="L1452" s="33"/>
      <c r="M1452" s="33">
        <f t="shared" si="215"/>
        <v>100</v>
      </c>
      <c r="N1452" s="33">
        <f>IF(OR(H1452="",H1452="sif",H1452="PM"),0,VLOOKUP(H1452,[5]CU!$C$4:$H$255,6,FALSE))</f>
        <v>0.3133333333333333</v>
      </c>
      <c r="O1452" s="33">
        <f t="shared" si="216"/>
        <v>0</v>
      </c>
      <c r="P1452" s="33">
        <f t="shared" si="216"/>
        <v>31.333333333333329</v>
      </c>
      <c r="Q1452" s="33">
        <f t="shared" si="216"/>
        <v>0</v>
      </c>
      <c r="R1452" s="33">
        <f t="shared" si="216"/>
        <v>0</v>
      </c>
      <c r="S1452" s="34">
        <f>SUM(O1452:R1452)</f>
        <v>31.333333333333329</v>
      </c>
      <c r="T1452" s="35" t="s">
        <v>118</v>
      </c>
      <c r="U1452" s="18" t="s">
        <v>1873</v>
      </c>
      <c r="V1452" s="18" t="str">
        <f>IF(OR($H1452="",$H1452="sif",$H1452="PM"),"",VLOOKUP($H1452,[5]CU!$C$5:$J$255,8,FALSE))</f>
        <v>3. Formation</v>
      </c>
      <c r="W1452" s="18" t="s">
        <v>398</v>
      </c>
      <c r="X1452" s="18" t="s">
        <v>398</v>
      </c>
      <c r="Y1452" s="19" t="s">
        <v>32</v>
      </c>
      <c r="Z1452" s="18" t="str">
        <f>A1452 &amp; "-" &amp; VLOOKUP(A1452,[4]PROGRAMMES!$E$1:$F$7,2,FALSE)</f>
        <v>5-Gouvernance et pilotage du secteur</v>
      </c>
      <c r="AA1452" s="19" t="str">
        <f>B1452 &amp; "-" &amp; VLOOKUP(B1452,[4]SOUSPROGRAMMES!$E$1:$F$44,2,FALSE)</f>
        <v>51-Gestion des flux (mécanismes, orientations, et passerelles)</v>
      </c>
      <c r="AB1452" s="19" t="str">
        <f>C1452 &amp; "-" &amp; VLOOKUP(C1452,[4]RESULTATS!$E$1:$F$176,2,FALSE)</f>
        <v>513- Le logiciel d'immatriculation et de suivi des élèves est amélioré et utilisé</v>
      </c>
      <c r="AC1452" s="20" t="str">
        <f>D1452 &amp; "-" &amp; VLOOKUP(D1452,[4]STRATEGIES!$E$1:$F$504,2,FALSE)</f>
        <v>5131-Amélioration du logiciel d'immatriculation et de suivi des élèves</v>
      </c>
      <c r="AD1452" s="21" t="str">
        <f t="shared" si="217"/>
        <v>51312-Validation des outils d'immatriculation et de suivi des élèves</v>
      </c>
    </row>
    <row r="1453" spans="1:30" s="22" customFormat="1" ht="30" hidden="1" customHeight="1" x14ac:dyDescent="0.8">
      <c r="A1453" s="14">
        <v>5</v>
      </c>
      <c r="B1453" s="15">
        <v>51</v>
      </c>
      <c r="C1453" s="15">
        <v>513</v>
      </c>
      <c r="D1453" s="15">
        <v>5131</v>
      </c>
      <c r="E1453" s="15">
        <v>51313</v>
      </c>
      <c r="F1453" s="16" t="s">
        <v>1902</v>
      </c>
      <c r="G1453" s="21" t="s">
        <v>37</v>
      </c>
      <c r="H1453" s="17" t="s">
        <v>38</v>
      </c>
      <c r="I1453" s="33">
        <v>0</v>
      </c>
      <c r="J1453" s="33">
        <f>25*4*8</f>
        <v>800</v>
      </c>
      <c r="K1453" s="33"/>
      <c r="L1453" s="33"/>
      <c r="M1453" s="33">
        <f t="shared" si="215"/>
        <v>800</v>
      </c>
      <c r="N1453" s="33">
        <f>IF(OR(H1453="",H1453="sif",H1453="PM"),0,VLOOKUP(H1453,[5]CU!$C$4:$H$255,6,FALSE))</f>
        <v>0.3133333333333333</v>
      </c>
      <c r="O1453" s="33">
        <f t="shared" si="216"/>
        <v>0</v>
      </c>
      <c r="P1453" s="33">
        <f t="shared" si="216"/>
        <v>250.66666666666663</v>
      </c>
      <c r="Q1453" s="33">
        <f t="shared" si="216"/>
        <v>0</v>
      </c>
      <c r="R1453" s="33">
        <f t="shared" si="216"/>
        <v>0</v>
      </c>
      <c r="S1453" s="34">
        <f>SUM(O1453:R1453)</f>
        <v>250.66666666666663</v>
      </c>
      <c r="T1453" s="35" t="s">
        <v>118</v>
      </c>
      <c r="U1453" s="18" t="s">
        <v>1873</v>
      </c>
      <c r="V1453" s="18" t="str">
        <f>IF(OR($H1453="",$H1453="sif",$H1453="PM"),"",VLOOKUP($H1453,[5]CU!$C$5:$J$255,8,FALSE))</f>
        <v>3. Formation</v>
      </c>
      <c r="W1453" s="18" t="s">
        <v>398</v>
      </c>
      <c r="X1453" s="18" t="s">
        <v>398</v>
      </c>
      <c r="Y1453" s="19" t="s">
        <v>32</v>
      </c>
      <c r="Z1453" s="18" t="str">
        <f>A1453 &amp; "-" &amp; VLOOKUP(A1453,[4]PROGRAMMES!$E$1:$F$7,2,FALSE)</f>
        <v>5-Gouvernance et pilotage du secteur</v>
      </c>
      <c r="AA1453" s="19" t="str">
        <f>B1453 &amp; "-" &amp; VLOOKUP(B1453,[4]SOUSPROGRAMMES!$E$1:$F$44,2,FALSE)</f>
        <v>51-Gestion des flux (mécanismes, orientations, et passerelles)</v>
      </c>
      <c r="AB1453" s="19" t="str">
        <f>C1453 &amp; "-" &amp; VLOOKUP(C1453,[4]RESULTATS!$E$1:$F$176,2,FALSE)</f>
        <v>513- Le logiciel d'immatriculation et de suivi des élèves est amélioré et utilisé</v>
      </c>
      <c r="AC1453" s="20" t="str">
        <f>D1453 &amp; "-" &amp; VLOOKUP(D1453,[4]STRATEGIES!$E$1:$F$504,2,FALSE)</f>
        <v>5131-Amélioration du logiciel d'immatriculation et de suivi des élèves</v>
      </c>
      <c r="AD1453" s="21" t="str">
        <f t="shared" si="217"/>
        <v>51313-Formation des cadres des structures déconcentrées à l'utilisation des outils d'immatriculation et de suivi des élèves</v>
      </c>
    </row>
    <row r="1454" spans="1:30" s="22" customFormat="1" ht="45" hidden="1" customHeight="1" x14ac:dyDescent="0.8">
      <c r="A1454" s="14">
        <v>5</v>
      </c>
      <c r="B1454" s="15">
        <v>51</v>
      </c>
      <c r="C1454" s="15">
        <v>513</v>
      </c>
      <c r="D1454" s="15">
        <v>5131</v>
      </c>
      <c r="E1454" s="15">
        <v>51314</v>
      </c>
      <c r="F1454" s="16" t="s">
        <v>1903</v>
      </c>
      <c r="G1454" s="21" t="s">
        <v>92</v>
      </c>
      <c r="H1454" s="17" t="s">
        <v>55</v>
      </c>
      <c r="I1454" s="33">
        <v>0</v>
      </c>
      <c r="J1454" s="33"/>
      <c r="K1454" s="33"/>
      <c r="L1454" s="33"/>
      <c r="M1454" s="33"/>
      <c r="N1454" s="33">
        <f>IF(OR(H1454="",H1454="sif",H1454="PM"),0,VLOOKUP(H1454,[5]CU!$C$4:$H$255,6,FALSE))</f>
        <v>0</v>
      </c>
      <c r="O1454" s="33"/>
      <c r="P1454" s="33"/>
      <c r="Q1454" s="33"/>
      <c r="R1454" s="33"/>
      <c r="S1454" s="34"/>
      <c r="T1454" s="35" t="s">
        <v>56</v>
      </c>
      <c r="U1454" s="18" t="s">
        <v>1873</v>
      </c>
      <c r="V1454" s="18" t="str">
        <f>IF(OR($H1454="",$H1454="sif",$H1454="PM"),"",VLOOKUP($H1454,[5]CU!$C$5:$J$255,8,FALSE))</f>
        <v/>
      </c>
      <c r="W1454" s="18" t="s">
        <v>398</v>
      </c>
      <c r="X1454" s="18" t="s">
        <v>398</v>
      </c>
      <c r="Y1454" s="19" t="s">
        <v>32</v>
      </c>
      <c r="Z1454" s="18" t="str">
        <f>A1454 &amp; "-" &amp; VLOOKUP(A1454,[4]PROGRAMMES!$E$1:$F$7,2,FALSE)</f>
        <v>5-Gouvernance et pilotage du secteur</v>
      </c>
      <c r="AA1454" s="19" t="str">
        <f>B1454 &amp; "-" &amp; VLOOKUP(B1454,[4]SOUSPROGRAMMES!$E$1:$F$44,2,FALSE)</f>
        <v>51-Gestion des flux (mécanismes, orientations, et passerelles)</v>
      </c>
      <c r="AB1454" s="19" t="str">
        <f>C1454 &amp; "-" &amp; VLOOKUP(C1454,[4]RESULTATS!$E$1:$F$176,2,FALSE)</f>
        <v>513- Le logiciel d'immatriculation et de suivi des élèves est amélioré et utilisé</v>
      </c>
      <c r="AC1454" s="20" t="str">
        <f>D1454 &amp; "-" &amp; VLOOKUP(D1454,[4]STRATEGIES!$E$1:$F$504,2,FALSE)</f>
        <v>5131-Amélioration du logiciel d'immatriculation et de suivi des élèves</v>
      </c>
      <c r="AD1454" s="21" t="str">
        <f t="shared" si="217"/>
        <v>51314-Installation de la base de données d'immatriculation des élèves au niveau des établissements (pris en charge dans les budgets des DPE/DCE)</v>
      </c>
    </row>
    <row r="1455" spans="1:30" s="22" customFormat="1" ht="30" hidden="1" customHeight="1" x14ac:dyDescent="0.8">
      <c r="A1455" s="14">
        <v>5</v>
      </c>
      <c r="B1455" s="15">
        <v>51</v>
      </c>
      <c r="C1455" s="15">
        <v>513</v>
      </c>
      <c r="D1455" s="15">
        <v>5131</v>
      </c>
      <c r="E1455" s="15">
        <v>51315</v>
      </c>
      <c r="F1455" s="16" t="s">
        <v>1904</v>
      </c>
      <c r="G1455" s="21" t="s">
        <v>1905</v>
      </c>
      <c r="H1455" s="17" t="s">
        <v>1906</v>
      </c>
      <c r="I1455" s="33">
        <v>0</v>
      </c>
      <c r="J1455" s="33">
        <f>750000/50</f>
        <v>15000</v>
      </c>
      <c r="K1455" s="33">
        <f>(J1455/3)*1.05</f>
        <v>5250</v>
      </c>
      <c r="L1455" s="33">
        <f>(K1455)*1.05</f>
        <v>5512.5</v>
      </c>
      <c r="M1455" s="33">
        <f t="shared" ref="M1455:M1500" si="219">SUM(I1455:L1455)</f>
        <v>25762.5</v>
      </c>
      <c r="N1455" s="33">
        <f>IF(OR(H1455="",H1455="sif",H1455="PM"),0,VLOOKUP(H1455,[5]CU!$C$4:$H$255,6,FALSE))</f>
        <v>0.01</v>
      </c>
      <c r="O1455" s="33">
        <f t="shared" ref="O1455:R1491" si="220">IFERROR($N1455*I1455,0)</f>
        <v>0</v>
      </c>
      <c r="P1455" s="33">
        <f t="shared" si="220"/>
        <v>150</v>
      </c>
      <c r="Q1455" s="33">
        <f t="shared" si="220"/>
        <v>52.5</v>
      </c>
      <c r="R1455" s="33">
        <f t="shared" si="220"/>
        <v>55.125</v>
      </c>
      <c r="S1455" s="34">
        <f>SUM(O1455:R1455)</f>
        <v>257.625</v>
      </c>
      <c r="T1455" s="35" t="s">
        <v>118</v>
      </c>
      <c r="U1455" s="18" t="s">
        <v>1873</v>
      </c>
      <c r="V1455" s="18" t="str">
        <f>IF(OR($H1455="",$H1455="sif",$H1455="PM"),"",VLOOKUP($H1455,[5]CU!$C$5:$J$255,8,FALSE))</f>
        <v>3. Dépenses de fonctionnement</v>
      </c>
      <c r="W1455" s="18" t="s">
        <v>398</v>
      </c>
      <c r="X1455" s="18" t="s">
        <v>398</v>
      </c>
      <c r="Y1455" s="19" t="s">
        <v>32</v>
      </c>
      <c r="Z1455" s="18" t="str">
        <f>A1455 &amp; "-" &amp; VLOOKUP(A1455,[4]PROGRAMMES!$E$1:$F$7,2,FALSE)</f>
        <v>5-Gouvernance et pilotage du secteur</v>
      </c>
      <c r="AA1455" s="19" t="str">
        <f>B1455 &amp; "-" &amp; VLOOKUP(B1455,[4]SOUSPROGRAMMES!$E$1:$F$44,2,FALSE)</f>
        <v>51-Gestion des flux (mécanismes, orientations, et passerelles)</v>
      </c>
      <c r="AB1455" s="19" t="str">
        <f>C1455 &amp; "-" &amp; VLOOKUP(C1455,[4]RESULTATS!$E$1:$F$176,2,FALSE)</f>
        <v>513- Le logiciel d'immatriculation et de suivi des élèves est amélioré et utilisé</v>
      </c>
      <c r="AC1455" s="20" t="str">
        <f>D1455 &amp; "-" &amp; VLOOKUP(D1455,[4]STRATEGIES!$E$1:$F$504,2,FALSE)</f>
        <v>5131-Amélioration du logiciel d'immatriculation et de suivi des élèves</v>
      </c>
      <c r="AD1455" s="21" t="str">
        <f t="shared" si="217"/>
        <v>51315-Saisie de la liste des élèves à immatriculer (par classe de 50 élèves en moyenne)</v>
      </c>
    </row>
    <row r="1456" spans="1:30" s="22" customFormat="1" ht="30" hidden="1" customHeight="1" x14ac:dyDescent="0.8">
      <c r="A1456" s="14">
        <v>5</v>
      </c>
      <c r="B1456" s="15">
        <v>51</v>
      </c>
      <c r="C1456" s="15">
        <v>513</v>
      </c>
      <c r="D1456" s="15">
        <v>5131</v>
      </c>
      <c r="E1456" s="15">
        <v>51316</v>
      </c>
      <c r="F1456" s="16" t="s">
        <v>1907</v>
      </c>
      <c r="G1456" s="21" t="s">
        <v>92</v>
      </c>
      <c r="H1456" s="17" t="s">
        <v>55</v>
      </c>
      <c r="I1456" s="33">
        <v>0</v>
      </c>
      <c r="J1456" s="33">
        <v>1</v>
      </c>
      <c r="K1456" s="33">
        <v>1</v>
      </c>
      <c r="L1456" s="33">
        <v>1</v>
      </c>
      <c r="M1456" s="33">
        <f t="shared" si="219"/>
        <v>3</v>
      </c>
      <c r="N1456" s="33">
        <f>IF(OR(H1456="",H1456="sif",H1456="PM"),0,VLOOKUP(H1456,[5]CU!$C$4:$H$255,6,FALSE))</f>
        <v>0</v>
      </c>
      <c r="O1456" s="33">
        <f t="shared" si="220"/>
        <v>0</v>
      </c>
      <c r="P1456" s="33">
        <f t="shared" si="220"/>
        <v>0</v>
      </c>
      <c r="Q1456" s="33">
        <f t="shared" si="220"/>
        <v>0</v>
      </c>
      <c r="R1456" s="33">
        <f t="shared" si="220"/>
        <v>0</v>
      </c>
      <c r="S1456" s="34"/>
      <c r="T1456" s="35" t="s">
        <v>56</v>
      </c>
      <c r="U1456" s="18" t="s">
        <v>1873</v>
      </c>
      <c r="V1456" s="18" t="str">
        <f>IF(OR($H1456="",$H1456="sif",$H1456="PM"),"",VLOOKUP($H1456,[5]CU!$C$5:$J$255,8,FALSE))</f>
        <v/>
      </c>
      <c r="W1456" s="18" t="s">
        <v>398</v>
      </c>
      <c r="X1456" s="18" t="s">
        <v>398</v>
      </c>
      <c r="Y1456" s="19" t="s">
        <v>32</v>
      </c>
      <c r="Z1456" s="18" t="str">
        <f>A1456 &amp; "-" &amp; VLOOKUP(A1456,[4]PROGRAMMES!$E$1:$F$7,2,FALSE)</f>
        <v>5-Gouvernance et pilotage du secteur</v>
      </c>
      <c r="AA1456" s="19" t="str">
        <f>B1456 &amp; "-" &amp; VLOOKUP(B1456,[4]SOUSPROGRAMMES!$E$1:$F$44,2,FALSE)</f>
        <v>51-Gestion des flux (mécanismes, orientations, et passerelles)</v>
      </c>
      <c r="AB1456" s="19" t="str">
        <f>C1456 &amp; "-" &amp; VLOOKUP(C1456,[4]RESULTATS!$E$1:$F$176,2,FALSE)</f>
        <v>513- Le logiciel d'immatriculation et de suivi des élèves est amélioré et utilisé</v>
      </c>
      <c r="AC1456" s="20" t="str">
        <f>D1456 &amp; "-" &amp; VLOOKUP(D1456,[4]STRATEGIES!$E$1:$F$504,2,FALSE)</f>
        <v>5131-Amélioration du logiciel d'immatriculation et de suivi des élèves</v>
      </c>
      <c r="AD1456" s="21" t="str">
        <f t="shared" si="217"/>
        <v>51316-Consolidation des bases de données d'immatriculation des élèves au niveau des DPE/DCE et IRE</v>
      </c>
    </row>
    <row r="1457" spans="1:30" s="22" customFormat="1" ht="30" hidden="1" customHeight="1" x14ac:dyDescent="0.8">
      <c r="A1457" s="14">
        <v>5</v>
      </c>
      <c r="B1457" s="15">
        <v>51</v>
      </c>
      <c r="C1457" s="15">
        <v>513</v>
      </c>
      <c r="D1457" s="15">
        <v>5131</v>
      </c>
      <c r="E1457" s="15">
        <v>51317</v>
      </c>
      <c r="F1457" s="16" t="s">
        <v>1908</v>
      </c>
      <c r="G1457" s="21" t="s">
        <v>92</v>
      </c>
      <c r="H1457" s="17" t="s">
        <v>55</v>
      </c>
      <c r="I1457" s="33">
        <v>0</v>
      </c>
      <c r="J1457" s="33">
        <v>1</v>
      </c>
      <c r="K1457" s="33">
        <v>1</v>
      </c>
      <c r="L1457" s="33">
        <v>1</v>
      </c>
      <c r="M1457" s="33">
        <f t="shared" si="219"/>
        <v>3</v>
      </c>
      <c r="N1457" s="33">
        <f>IF(OR(H1457="",H1457="sif",H1457="PM"),0,VLOOKUP(H1457,[5]CU!$C$4:$H$255,6,FALSE))</f>
        <v>0</v>
      </c>
      <c r="O1457" s="33">
        <f t="shared" si="220"/>
        <v>0</v>
      </c>
      <c r="P1457" s="33">
        <f t="shared" si="220"/>
        <v>0</v>
      </c>
      <c r="Q1457" s="33">
        <f t="shared" si="220"/>
        <v>0</v>
      </c>
      <c r="R1457" s="33">
        <f t="shared" si="220"/>
        <v>0</v>
      </c>
      <c r="S1457" s="34"/>
      <c r="T1457" s="35" t="s">
        <v>56</v>
      </c>
      <c r="U1457" s="18" t="s">
        <v>1873</v>
      </c>
      <c r="V1457" s="18" t="str">
        <f>IF(OR($H1457="",$H1457="sif",$H1457="PM"),"",VLOOKUP($H1457,[5]CU!$C$5:$J$255,8,FALSE))</f>
        <v/>
      </c>
      <c r="W1457" s="18" t="s">
        <v>398</v>
      </c>
      <c r="X1457" s="18" t="s">
        <v>398</v>
      </c>
      <c r="Y1457" s="19" t="s">
        <v>32</v>
      </c>
      <c r="Z1457" s="18" t="str">
        <f>A1457 &amp; "-" &amp; VLOOKUP(A1457,[4]PROGRAMMES!$E$1:$F$7,2,FALSE)</f>
        <v>5-Gouvernance et pilotage du secteur</v>
      </c>
      <c r="AA1457" s="19" t="str">
        <f>B1457 &amp; "-" &amp; VLOOKUP(B1457,[4]SOUSPROGRAMMES!$E$1:$F$44,2,FALSE)</f>
        <v>51-Gestion des flux (mécanismes, orientations, et passerelles)</v>
      </c>
      <c r="AB1457" s="19" t="str">
        <f>C1457 &amp; "-" &amp; VLOOKUP(C1457,[4]RESULTATS!$E$1:$F$176,2,FALSE)</f>
        <v>513- Le logiciel d'immatriculation et de suivi des élèves est amélioré et utilisé</v>
      </c>
      <c r="AC1457" s="20" t="str">
        <f>D1457 &amp; "-" &amp; VLOOKUP(D1457,[4]STRATEGIES!$E$1:$F$504,2,FALSE)</f>
        <v>5131-Amélioration du logiciel d'immatriculation et de suivi des élèves</v>
      </c>
      <c r="AD1457" s="21" t="str">
        <f t="shared" si="217"/>
        <v>51317-Consolidation des bases de données d'immatriculation des élèves au niveau national</v>
      </c>
    </row>
    <row r="1458" spans="1:30" s="22" customFormat="1" ht="30" hidden="1" customHeight="1" x14ac:dyDescent="0.8">
      <c r="A1458" s="14">
        <v>5</v>
      </c>
      <c r="B1458" s="15">
        <v>51</v>
      </c>
      <c r="C1458" s="15">
        <v>513</v>
      </c>
      <c r="D1458" s="15">
        <v>5131</v>
      </c>
      <c r="E1458" s="15">
        <v>51318</v>
      </c>
      <c r="F1458" s="16" t="s">
        <v>1909</v>
      </c>
      <c r="G1458" s="21" t="s">
        <v>92</v>
      </c>
      <c r="H1458" s="17" t="s">
        <v>55</v>
      </c>
      <c r="I1458" s="33">
        <v>0</v>
      </c>
      <c r="J1458" s="33">
        <v>1</v>
      </c>
      <c r="K1458" s="33">
        <v>1</v>
      </c>
      <c r="L1458" s="33">
        <v>1</v>
      </c>
      <c r="M1458" s="33">
        <f t="shared" si="219"/>
        <v>3</v>
      </c>
      <c r="N1458" s="33">
        <f>IF(OR(H1458="",H1458="sif",H1458="PM"),0,VLOOKUP(H1458,[5]CU!$C$4:$H$255,6,FALSE))</f>
        <v>0</v>
      </c>
      <c r="O1458" s="33">
        <f t="shared" si="220"/>
        <v>0</v>
      </c>
      <c r="P1458" s="33">
        <f t="shared" si="220"/>
        <v>0</v>
      </c>
      <c r="Q1458" s="33">
        <f t="shared" si="220"/>
        <v>0</v>
      </c>
      <c r="R1458" s="33">
        <f t="shared" si="220"/>
        <v>0</v>
      </c>
      <c r="S1458" s="34"/>
      <c r="T1458" s="35" t="s">
        <v>56</v>
      </c>
      <c r="U1458" s="18" t="s">
        <v>1873</v>
      </c>
      <c r="V1458" s="18" t="str">
        <f>IF(OR($H1458="",$H1458="sif",$H1458="PM"),"",VLOOKUP($H1458,[5]CU!$C$5:$J$255,8,FALSE))</f>
        <v/>
      </c>
      <c r="W1458" s="18" t="s">
        <v>398</v>
      </c>
      <c r="X1458" s="18" t="s">
        <v>398</v>
      </c>
      <c r="Y1458" s="19" t="s">
        <v>32</v>
      </c>
      <c r="Z1458" s="18" t="str">
        <f>A1458 &amp; "-" &amp; VLOOKUP(A1458,[4]PROGRAMMES!$E$1:$F$7,2,FALSE)</f>
        <v>5-Gouvernance et pilotage du secteur</v>
      </c>
      <c r="AA1458" s="19" t="str">
        <f>B1458 &amp; "-" &amp; VLOOKUP(B1458,[4]SOUSPROGRAMMES!$E$1:$F$44,2,FALSE)</f>
        <v>51-Gestion des flux (mécanismes, orientations, et passerelles)</v>
      </c>
      <c r="AB1458" s="19" t="str">
        <f>C1458 &amp; "-" &amp; VLOOKUP(C1458,[4]RESULTATS!$E$1:$F$176,2,FALSE)</f>
        <v>513- Le logiciel d'immatriculation et de suivi des élèves est amélioré et utilisé</v>
      </c>
      <c r="AC1458" s="20" t="str">
        <f>D1458 &amp; "-" &amp; VLOOKUP(D1458,[4]STRATEGIES!$E$1:$F$504,2,FALSE)</f>
        <v>5131-Amélioration du logiciel d'immatriculation et de suivi des élèves</v>
      </c>
      <c r="AD1458" s="21" t="str">
        <f t="shared" si="217"/>
        <v>51318-Génération des matricules au niveau national</v>
      </c>
    </row>
    <row r="1459" spans="1:30" s="22" customFormat="1" ht="30" hidden="1" customHeight="1" x14ac:dyDescent="0.8">
      <c r="A1459" s="14">
        <v>5</v>
      </c>
      <c r="B1459" s="15">
        <v>51</v>
      </c>
      <c r="C1459" s="15">
        <v>513</v>
      </c>
      <c r="D1459" s="15">
        <v>5131</v>
      </c>
      <c r="E1459" s="15">
        <v>51319</v>
      </c>
      <c r="F1459" s="16" t="s">
        <v>1910</v>
      </c>
      <c r="G1459" s="21" t="s">
        <v>92</v>
      </c>
      <c r="H1459" s="17" t="s">
        <v>55</v>
      </c>
      <c r="I1459" s="33">
        <v>0</v>
      </c>
      <c r="J1459" s="33">
        <v>1</v>
      </c>
      <c r="K1459" s="33">
        <v>1</v>
      </c>
      <c r="L1459" s="33">
        <v>1</v>
      </c>
      <c r="M1459" s="33">
        <f t="shared" si="219"/>
        <v>3</v>
      </c>
      <c r="N1459" s="33">
        <f>IF(OR(H1459="",H1459="sif",H1459="PM"),0,VLOOKUP(H1459,[5]CU!$C$4:$H$255,6,FALSE))</f>
        <v>0</v>
      </c>
      <c r="O1459" s="33">
        <f t="shared" si="220"/>
        <v>0</v>
      </c>
      <c r="P1459" s="33">
        <f t="shared" si="220"/>
        <v>0</v>
      </c>
      <c r="Q1459" s="33">
        <f t="shared" si="220"/>
        <v>0</v>
      </c>
      <c r="R1459" s="33">
        <f t="shared" si="220"/>
        <v>0</v>
      </c>
      <c r="S1459" s="34"/>
      <c r="T1459" s="35" t="s">
        <v>56</v>
      </c>
      <c r="U1459" s="18" t="s">
        <v>1873</v>
      </c>
      <c r="V1459" s="18" t="str">
        <f>IF(OR($H1459="",$H1459="sif",$H1459="PM"),"",VLOOKUP($H1459,[5]CU!$C$5:$J$255,8,FALSE))</f>
        <v/>
      </c>
      <c r="W1459" s="18" t="s">
        <v>398</v>
      </c>
      <c r="X1459" s="18" t="s">
        <v>398</v>
      </c>
      <c r="Y1459" s="19" t="s">
        <v>32</v>
      </c>
      <c r="Z1459" s="18" t="str">
        <f>A1459 &amp; "-" &amp; VLOOKUP(A1459,[4]PROGRAMMES!$E$1:$F$7,2,FALSE)</f>
        <v>5-Gouvernance et pilotage du secteur</v>
      </c>
      <c r="AA1459" s="19" t="str">
        <f>B1459 &amp; "-" &amp; VLOOKUP(B1459,[4]SOUSPROGRAMMES!$E$1:$F$44,2,FALSE)</f>
        <v>51-Gestion des flux (mécanismes, orientations, et passerelles)</v>
      </c>
      <c r="AB1459" s="19" t="str">
        <f>C1459 &amp; "-" &amp; VLOOKUP(C1459,[4]RESULTATS!$E$1:$F$176,2,FALSE)</f>
        <v>513- Le logiciel d'immatriculation et de suivi des élèves est amélioré et utilisé</v>
      </c>
      <c r="AC1459" s="20" t="str">
        <f>D1459 &amp; "-" &amp; VLOOKUP(D1459,[4]STRATEGIES!$E$1:$F$504,2,FALSE)</f>
        <v>5131-Amélioration du logiciel d'immatriculation et de suivi des élèves</v>
      </c>
      <c r="AD1459" s="21" t="str">
        <f t="shared" si="217"/>
        <v>51319-Transmission des matricules aux IRE, DPE/DCE et établissements</v>
      </c>
    </row>
    <row r="1460" spans="1:30" s="22" customFormat="1" ht="30" hidden="1" customHeight="1" x14ac:dyDescent="0.8">
      <c r="A1460" s="14">
        <v>5</v>
      </c>
      <c r="B1460" s="15">
        <v>51</v>
      </c>
      <c r="C1460" s="15">
        <v>513</v>
      </c>
      <c r="D1460" s="15">
        <v>5131</v>
      </c>
      <c r="E1460" s="15">
        <v>513110</v>
      </c>
      <c r="F1460" s="16" t="s">
        <v>1911</v>
      </c>
      <c r="G1460" s="21" t="s">
        <v>92</v>
      </c>
      <c r="H1460" s="17" t="s">
        <v>55</v>
      </c>
      <c r="I1460" s="33">
        <v>0</v>
      </c>
      <c r="J1460" s="33">
        <v>1</v>
      </c>
      <c r="K1460" s="33">
        <v>1</v>
      </c>
      <c r="L1460" s="33">
        <v>1</v>
      </c>
      <c r="M1460" s="33">
        <f t="shared" si="219"/>
        <v>3</v>
      </c>
      <c r="N1460" s="33">
        <f>IF(OR(H1460="",H1460="sif",H1460="PM"),0,VLOOKUP(H1460,[5]CU!$C$4:$H$255,6,FALSE))</f>
        <v>0</v>
      </c>
      <c r="O1460" s="33">
        <f t="shared" si="220"/>
        <v>0</v>
      </c>
      <c r="P1460" s="33">
        <f t="shared" si="220"/>
        <v>0</v>
      </c>
      <c r="Q1460" s="33">
        <f t="shared" si="220"/>
        <v>0</v>
      </c>
      <c r="R1460" s="33">
        <f t="shared" si="220"/>
        <v>0</v>
      </c>
      <c r="S1460" s="34"/>
      <c r="T1460" s="35" t="s">
        <v>56</v>
      </c>
      <c r="U1460" s="18" t="s">
        <v>1873</v>
      </c>
      <c r="V1460" s="18" t="str">
        <f>IF(OR($H1460="",$H1460="sif",$H1460="PM"),"",VLOOKUP($H1460,[5]CU!$C$5:$J$255,8,FALSE))</f>
        <v/>
      </c>
      <c r="W1460" s="18" t="s">
        <v>398</v>
      </c>
      <c r="X1460" s="18" t="s">
        <v>398</v>
      </c>
      <c r="Y1460" s="19" t="s">
        <v>32</v>
      </c>
      <c r="Z1460" s="18" t="str">
        <f>A1460 &amp; "-" &amp; VLOOKUP(A1460,[4]PROGRAMMES!$E$1:$F$7,2,FALSE)</f>
        <v>5-Gouvernance et pilotage du secteur</v>
      </c>
      <c r="AA1460" s="19" t="str">
        <f>B1460 &amp; "-" &amp; VLOOKUP(B1460,[4]SOUSPROGRAMMES!$E$1:$F$44,2,FALSE)</f>
        <v>51-Gestion des flux (mécanismes, orientations, et passerelles)</v>
      </c>
      <c r="AB1460" s="19" t="str">
        <f>C1460 &amp; "-" &amp; VLOOKUP(C1460,[4]RESULTATS!$E$1:$F$176,2,FALSE)</f>
        <v>513- Le logiciel d'immatriculation et de suivi des élèves est amélioré et utilisé</v>
      </c>
      <c r="AC1460" s="20" t="str">
        <f>D1460 &amp; "-" &amp; VLOOKUP(D1460,[4]STRATEGIES!$E$1:$F$504,2,FALSE)</f>
        <v>5131-Amélioration du logiciel d'immatriculation et de suivi des élèves</v>
      </c>
      <c r="AD1460" s="21" t="str">
        <f t="shared" si="217"/>
        <v>513110-Impression et affichages des matricules des élèves (pris en charge dans les budgets des établissements)</v>
      </c>
    </row>
    <row r="1461" spans="1:30" s="22" customFormat="1" ht="30" hidden="1" customHeight="1" x14ac:dyDescent="0.8">
      <c r="A1461" s="14">
        <v>5</v>
      </c>
      <c r="B1461" s="15">
        <v>51</v>
      </c>
      <c r="C1461" s="15">
        <v>513</v>
      </c>
      <c r="D1461" s="15">
        <v>5132</v>
      </c>
      <c r="E1461" s="15">
        <v>5132</v>
      </c>
      <c r="F1461" s="16" t="s">
        <v>1912</v>
      </c>
      <c r="G1461" s="17"/>
      <c r="H1461" s="17"/>
      <c r="I1461" s="33">
        <v>0</v>
      </c>
      <c r="J1461" s="33"/>
      <c r="K1461" s="33"/>
      <c r="L1461" s="33"/>
      <c r="M1461" s="33"/>
      <c r="N1461" s="33"/>
      <c r="O1461" s="33"/>
      <c r="P1461" s="33"/>
      <c r="Q1461" s="33"/>
      <c r="R1461" s="33"/>
      <c r="S1461" s="34"/>
      <c r="T1461" s="33"/>
      <c r="U1461" s="18"/>
      <c r="V1461" s="18"/>
      <c r="W1461" s="18"/>
      <c r="X1461" s="18"/>
      <c r="Y1461" s="18"/>
      <c r="Z1461" s="18" t="str">
        <f>A1461 &amp; "-" &amp; VLOOKUP(A1461,[4]PROGRAMMES!$E$1:$F$7,2,FALSE)</f>
        <v>5-Gouvernance et pilotage du secteur</v>
      </c>
      <c r="AA1461" s="19" t="str">
        <f>B1461 &amp; "-" &amp; VLOOKUP(B1461,[4]SOUSPROGRAMMES!$E$1:$F$44,2,FALSE)</f>
        <v>51-Gestion des flux (mécanismes, orientations, et passerelles)</v>
      </c>
      <c r="AB1461" s="19" t="str">
        <f>C1461 &amp; "-" &amp; VLOOKUP(C1461,[4]RESULTATS!$E$1:$F$176,2,FALSE)</f>
        <v>513- Le logiciel d'immatriculation et de suivi des élèves est amélioré et utilisé</v>
      </c>
      <c r="AC1461" s="20" t="str">
        <f>D1461 &amp; "-" &amp; VLOOKUP(D1461,[4]STRATEGIES!$E$1:$F$504,2,FALSE)</f>
        <v>5132-Sensibilisation des élèves, des parents et de la communauté sur l'importance de l’ETFP</v>
      </c>
      <c r="AD1461" s="21" t="str">
        <f t="shared" si="217"/>
        <v>5132-Sensibilisation des élèves, des parents et de la communauté sur l'importance de l’ETFP</v>
      </c>
    </row>
    <row r="1462" spans="1:30" s="22" customFormat="1" ht="30" hidden="1" customHeight="1" x14ac:dyDescent="0.8">
      <c r="A1462" s="14">
        <v>5</v>
      </c>
      <c r="B1462" s="15">
        <v>51</v>
      </c>
      <c r="C1462" s="15">
        <v>513</v>
      </c>
      <c r="D1462" s="15">
        <v>5132</v>
      </c>
      <c r="E1462" s="15">
        <v>51321</v>
      </c>
      <c r="F1462" s="16" t="s">
        <v>1913</v>
      </c>
      <c r="G1462" s="21" t="s">
        <v>37</v>
      </c>
      <c r="H1462" s="17" t="s">
        <v>66</v>
      </c>
      <c r="I1462" s="33">
        <v>0</v>
      </c>
      <c r="J1462" s="33">
        <f>25*5</f>
        <v>125</v>
      </c>
      <c r="K1462" s="33">
        <v>0</v>
      </c>
      <c r="L1462" s="33">
        <v>0</v>
      </c>
      <c r="M1462" s="33">
        <f t="shared" si="219"/>
        <v>125</v>
      </c>
      <c r="N1462" s="33">
        <f>IF(OR(H1462="",H1462="sif",H1462="PM"),0,VLOOKUP(H1462,[5]CU!$C$4:$H$255,6,FALSE))</f>
        <v>0.255</v>
      </c>
      <c r="O1462" s="33">
        <f t="shared" si="220"/>
        <v>0</v>
      </c>
      <c r="P1462" s="33">
        <f t="shared" si="220"/>
        <v>31.875</v>
      </c>
      <c r="Q1462" s="33">
        <f t="shared" si="220"/>
        <v>0</v>
      </c>
      <c r="R1462" s="33">
        <f t="shared" si="220"/>
        <v>0</v>
      </c>
      <c r="S1462" s="34">
        <f>SUM(O1462:R1462)</f>
        <v>31.875</v>
      </c>
      <c r="T1462" s="35" t="s">
        <v>118</v>
      </c>
      <c r="U1462" s="18" t="s">
        <v>1873</v>
      </c>
      <c r="V1462" s="18" t="str">
        <f>IF(OR($H1462="",$H1462="sif",$H1462="PM"),"",VLOOKUP($H1462,[5]CU!$C$5:$J$255,8,FALSE))</f>
        <v>3. Dépenses de fonctionnement</v>
      </c>
      <c r="W1462" s="18" t="s">
        <v>1914</v>
      </c>
      <c r="X1462" s="18" t="s">
        <v>1914</v>
      </c>
      <c r="Y1462" s="19" t="s">
        <v>32</v>
      </c>
      <c r="Z1462" s="18" t="str">
        <f>A1462 &amp; "-" &amp; VLOOKUP(A1462,[4]PROGRAMMES!$E$1:$F$7,2,FALSE)</f>
        <v>5-Gouvernance et pilotage du secteur</v>
      </c>
      <c r="AA1462" s="19" t="str">
        <f>B1462 &amp; "-" &amp; VLOOKUP(B1462,[4]SOUSPROGRAMMES!$E$1:$F$44,2,FALSE)</f>
        <v>51-Gestion des flux (mécanismes, orientations, et passerelles)</v>
      </c>
      <c r="AB1462" s="19" t="str">
        <f>C1462 &amp; "-" &amp; VLOOKUP(C1462,[4]RESULTATS!$E$1:$F$176,2,FALSE)</f>
        <v>513- Le logiciel d'immatriculation et de suivi des élèves est amélioré et utilisé</v>
      </c>
      <c r="AC1462" s="20" t="str">
        <f>D1462 &amp; "-" &amp; VLOOKUP(D1462,[4]STRATEGIES!$E$1:$F$504,2,FALSE)</f>
        <v>5132-Sensibilisation des élèves, des parents et de la communauté sur l'importance de l’ETFP</v>
      </c>
      <c r="AD1462" s="21" t="str">
        <f t="shared" si="217"/>
        <v>51321-Elaboration d'une stratégie de sensibilisation</v>
      </c>
    </row>
    <row r="1463" spans="1:30" s="22" customFormat="1" ht="60" hidden="1" customHeight="1" x14ac:dyDescent="0.8">
      <c r="A1463" s="14">
        <v>5</v>
      </c>
      <c r="B1463" s="15">
        <v>51</v>
      </c>
      <c r="C1463" s="15">
        <v>513</v>
      </c>
      <c r="D1463" s="15">
        <v>5132</v>
      </c>
      <c r="E1463" s="15">
        <v>51322</v>
      </c>
      <c r="F1463" s="16" t="s">
        <v>1915</v>
      </c>
      <c r="G1463" s="21" t="s">
        <v>1916</v>
      </c>
      <c r="H1463" s="17" t="s">
        <v>76</v>
      </c>
      <c r="I1463" s="33">
        <v>0</v>
      </c>
      <c r="J1463" s="33">
        <v>2</v>
      </c>
      <c r="K1463" s="33">
        <v>2</v>
      </c>
      <c r="L1463" s="33">
        <v>2</v>
      </c>
      <c r="M1463" s="33">
        <f t="shared" si="219"/>
        <v>6</v>
      </c>
      <c r="N1463" s="33">
        <f>IF(OR(H1463="",H1463="sif",H1463="PM"),0,VLOOKUP(H1463,[5]CU!$C$4:$H$255,6,FALSE))</f>
        <v>45.936799999999998</v>
      </c>
      <c r="O1463" s="33">
        <f t="shared" si="220"/>
        <v>0</v>
      </c>
      <c r="P1463" s="33">
        <f t="shared" si="220"/>
        <v>91.873599999999996</v>
      </c>
      <c r="Q1463" s="33">
        <f t="shared" si="220"/>
        <v>91.873599999999996</v>
      </c>
      <c r="R1463" s="33">
        <f t="shared" si="220"/>
        <v>91.873599999999996</v>
      </c>
      <c r="S1463" s="34">
        <f>SUM(O1463:R1463)</f>
        <v>275.62079999999997</v>
      </c>
      <c r="T1463" s="35" t="s">
        <v>118</v>
      </c>
      <c r="U1463" s="18" t="s">
        <v>1873</v>
      </c>
      <c r="V1463" s="18" t="str">
        <f>IF(OR($H1463="",$H1463="sif",$H1463="PM"),"",VLOOKUP($H1463,[5]CU!$C$5:$J$255,8,FALSE))</f>
        <v>3. Dépenses de fonctionnement</v>
      </c>
      <c r="W1463" s="18" t="s">
        <v>1914</v>
      </c>
      <c r="X1463" s="18" t="s">
        <v>1914</v>
      </c>
      <c r="Y1463" s="19" t="s">
        <v>32</v>
      </c>
      <c r="Z1463" s="18" t="str">
        <f>A1463 &amp; "-" &amp; VLOOKUP(A1463,[4]PROGRAMMES!$E$1:$F$7,2,FALSE)</f>
        <v>5-Gouvernance et pilotage du secteur</v>
      </c>
      <c r="AA1463" s="19" t="str">
        <f>B1463 &amp; "-" &amp; VLOOKUP(B1463,[4]SOUSPROGRAMMES!$E$1:$F$44,2,FALSE)</f>
        <v>51-Gestion des flux (mécanismes, orientations, et passerelles)</v>
      </c>
      <c r="AB1463" s="19" t="str">
        <f>C1463 &amp; "-" &amp; VLOOKUP(C1463,[4]RESULTATS!$E$1:$F$176,2,FALSE)</f>
        <v>513- Le logiciel d'immatriculation et de suivi des élèves est amélioré et utilisé</v>
      </c>
      <c r="AC1463" s="20" t="str">
        <f>D1463 &amp; "-" &amp; VLOOKUP(D1463,[4]STRATEGIES!$E$1:$F$504,2,FALSE)</f>
        <v>5132-Sensibilisation des élèves, des parents et de la communauté sur l'importance de l’ETFP</v>
      </c>
      <c r="AD1463" s="21" t="str">
        <f t="shared" si="217"/>
        <v>51322-Campagnes de sensibilisation des enseignants</v>
      </c>
    </row>
    <row r="1464" spans="1:30" s="22" customFormat="1" ht="30" hidden="1" customHeight="1" x14ac:dyDescent="0.8">
      <c r="A1464" s="14">
        <v>5</v>
      </c>
      <c r="B1464" s="15">
        <v>51</v>
      </c>
      <c r="C1464" s="15">
        <v>513</v>
      </c>
      <c r="D1464" s="15">
        <v>5132</v>
      </c>
      <c r="E1464" s="15">
        <v>51323</v>
      </c>
      <c r="F1464" s="16" t="s">
        <v>1917</v>
      </c>
      <c r="G1464" s="21" t="s">
        <v>1918</v>
      </c>
      <c r="H1464" s="17" t="s">
        <v>1919</v>
      </c>
      <c r="I1464" s="33">
        <v>0</v>
      </c>
      <c r="J1464" s="33">
        <f>(1*12)+(1*12)</f>
        <v>24</v>
      </c>
      <c r="K1464" s="33">
        <v>12</v>
      </c>
      <c r="L1464" s="33">
        <v>12</v>
      </c>
      <c r="M1464" s="33">
        <f t="shared" si="219"/>
        <v>48</v>
      </c>
      <c r="N1464" s="33">
        <f>IF(OR(H1464="",H1464="sif",H1464="PM"),0,VLOOKUP(H1464,[5]CU!$C$4:$H$255,6,FALSE))</f>
        <v>1.5</v>
      </c>
      <c r="O1464" s="33">
        <f t="shared" si="220"/>
        <v>0</v>
      </c>
      <c r="P1464" s="33">
        <f t="shared" si="220"/>
        <v>36</v>
      </c>
      <c r="Q1464" s="33">
        <f t="shared" si="220"/>
        <v>18</v>
      </c>
      <c r="R1464" s="33">
        <f t="shared" si="220"/>
        <v>18</v>
      </c>
      <c r="S1464" s="34">
        <f>SUM(O1464:R1464)</f>
        <v>72</v>
      </c>
      <c r="T1464" s="35" t="s">
        <v>118</v>
      </c>
      <c r="U1464" s="18" t="s">
        <v>1873</v>
      </c>
      <c r="V1464" s="18" t="str">
        <f>IF(OR($H1464="",$H1464="sif",$H1464="PM"),"",VLOOKUP($H1464,[5]CU!$C$5:$J$255,8,FALSE))</f>
        <v>3. Dépenses de fonctionnement</v>
      </c>
      <c r="W1464" s="18" t="s">
        <v>1914</v>
      </c>
      <c r="X1464" s="18" t="s">
        <v>1920</v>
      </c>
      <c r="Y1464" s="19" t="s">
        <v>32</v>
      </c>
      <c r="Z1464" s="18" t="str">
        <f>A1464 &amp; "-" &amp; VLOOKUP(A1464,[4]PROGRAMMES!$E$1:$F$7,2,FALSE)</f>
        <v>5-Gouvernance et pilotage du secteur</v>
      </c>
      <c r="AA1464" s="19" t="str">
        <f>B1464 &amp; "-" &amp; VLOOKUP(B1464,[4]SOUSPROGRAMMES!$E$1:$F$44,2,FALSE)</f>
        <v>51-Gestion des flux (mécanismes, orientations, et passerelles)</v>
      </c>
      <c r="AB1464" s="19" t="str">
        <f>C1464 &amp; "-" &amp; VLOOKUP(C1464,[4]RESULTATS!$E$1:$F$176,2,FALSE)</f>
        <v>513- Le logiciel d'immatriculation et de suivi des élèves est amélioré et utilisé</v>
      </c>
      <c r="AC1464" s="20" t="str">
        <f>D1464 &amp; "-" &amp; VLOOKUP(D1464,[4]STRATEGIES!$E$1:$F$504,2,FALSE)</f>
        <v>5132-Sensibilisation des élèves, des parents et de la communauté sur l'importance de l’ETFP</v>
      </c>
      <c r="AD1464" s="21" t="str">
        <f t="shared" si="217"/>
        <v>51323-Emissions à la radio et à la télé</v>
      </c>
    </row>
    <row r="1465" spans="1:30" s="22" customFormat="1" ht="30" hidden="1" customHeight="1" x14ac:dyDescent="0.8">
      <c r="A1465" s="14">
        <v>5</v>
      </c>
      <c r="B1465" s="15">
        <v>51</v>
      </c>
      <c r="C1465" s="15">
        <v>513</v>
      </c>
      <c r="D1465" s="15">
        <v>5132</v>
      </c>
      <c r="E1465" s="15">
        <v>51324</v>
      </c>
      <c r="F1465" s="16" t="s">
        <v>1921</v>
      </c>
      <c r="G1465" s="21" t="s">
        <v>1922</v>
      </c>
      <c r="H1465" s="17" t="s">
        <v>73</v>
      </c>
      <c r="I1465" s="33">
        <v>0</v>
      </c>
      <c r="J1465" s="33">
        <f>38*2*15</f>
        <v>1140</v>
      </c>
      <c r="K1465" s="33">
        <f>38*2*15</f>
        <v>1140</v>
      </c>
      <c r="L1465" s="33">
        <f>38*2*15</f>
        <v>1140</v>
      </c>
      <c r="M1465" s="33">
        <f t="shared" si="219"/>
        <v>3420</v>
      </c>
      <c r="N1465" s="33">
        <f>IF(OR(H1465="",H1465="sif",H1465="PM"),0,VLOOKUP(H1465,[5]CU!$C$4:$H$255,6,FALSE))</f>
        <v>0.4</v>
      </c>
      <c r="O1465" s="33">
        <f t="shared" si="220"/>
        <v>0</v>
      </c>
      <c r="P1465" s="33">
        <f t="shared" si="220"/>
        <v>456</v>
      </c>
      <c r="Q1465" s="33">
        <f t="shared" si="220"/>
        <v>456</v>
      </c>
      <c r="R1465" s="33">
        <f t="shared" si="220"/>
        <v>456</v>
      </c>
      <c r="S1465" s="34">
        <f>SUM(O1465:R1465)</f>
        <v>1368</v>
      </c>
      <c r="T1465" s="35" t="s">
        <v>118</v>
      </c>
      <c r="U1465" s="18" t="s">
        <v>1873</v>
      </c>
      <c r="V1465" s="18" t="str">
        <f>IF(OR($H1465="",$H1465="sif",$H1465="PM"),"",VLOOKUP($H1465,[5]CU!$C$5:$J$255,8,FALSE))</f>
        <v>3. Dépenses de fonctionnement</v>
      </c>
      <c r="W1465" s="18" t="s">
        <v>1914</v>
      </c>
      <c r="X1465" s="18" t="s">
        <v>1920</v>
      </c>
      <c r="Y1465" s="19" t="s">
        <v>32</v>
      </c>
      <c r="Z1465" s="18" t="str">
        <f>A1465 &amp; "-" &amp; VLOOKUP(A1465,[4]PROGRAMMES!$E$1:$F$7,2,FALSE)</f>
        <v>5-Gouvernance et pilotage du secteur</v>
      </c>
      <c r="AA1465" s="19" t="str">
        <f>B1465 &amp; "-" &amp; VLOOKUP(B1465,[4]SOUSPROGRAMMES!$E$1:$F$44,2,FALSE)</f>
        <v>51-Gestion des flux (mécanismes, orientations, et passerelles)</v>
      </c>
      <c r="AB1465" s="19" t="str">
        <f>C1465 &amp; "-" &amp; VLOOKUP(C1465,[4]RESULTATS!$E$1:$F$176,2,FALSE)</f>
        <v>513- Le logiciel d'immatriculation et de suivi des élèves est amélioré et utilisé</v>
      </c>
      <c r="AC1465" s="20" t="str">
        <f>D1465 &amp; "-" &amp; VLOOKUP(D1465,[4]STRATEGIES!$E$1:$F$504,2,FALSE)</f>
        <v>5132-Sensibilisation des élèves, des parents et de la communauté sur l'importance de l’ETFP</v>
      </c>
      <c r="AD1465" s="21" t="str">
        <f t="shared" si="217"/>
        <v>51324-sensibilisation à l'importance de l'ETFP</v>
      </c>
    </row>
    <row r="1466" spans="1:30" s="22" customFormat="1" ht="60" hidden="1" customHeight="1" x14ac:dyDescent="0.8">
      <c r="A1466" s="14">
        <v>5</v>
      </c>
      <c r="B1466" s="15">
        <v>52</v>
      </c>
      <c r="C1466" s="15">
        <v>52</v>
      </c>
      <c r="D1466" s="15">
        <v>52</v>
      </c>
      <c r="E1466" s="15">
        <v>52</v>
      </c>
      <c r="F1466" s="16" t="s">
        <v>1923</v>
      </c>
      <c r="G1466" s="17"/>
      <c r="H1466" s="17"/>
      <c r="I1466" s="33">
        <v>0</v>
      </c>
      <c r="J1466" s="33"/>
      <c r="K1466" s="33"/>
      <c r="L1466" s="33"/>
      <c r="M1466" s="33"/>
      <c r="N1466" s="33"/>
      <c r="O1466" s="33"/>
      <c r="P1466" s="33"/>
      <c r="Q1466" s="33"/>
      <c r="R1466" s="33"/>
      <c r="S1466" s="34"/>
      <c r="T1466" s="33"/>
      <c r="U1466" s="18"/>
      <c r="V1466" s="18"/>
      <c r="W1466" s="18"/>
      <c r="X1466" s="18"/>
      <c r="Y1466" s="18"/>
      <c r="Z1466" s="18" t="str">
        <f>A1466 &amp; "-" &amp; VLOOKUP(A1466,[4]PROGRAMMES!$E$1:$F$7,2,FALSE)</f>
        <v>5-Gouvernance et pilotage du secteur</v>
      </c>
      <c r="AA1466" s="19" t="str">
        <f>B1466 &amp; "-" &amp; VLOOKUP(B1466,[4]SOUSPROGRAMMES!$E$1:$F$44,2,FALSE)</f>
        <v>52-Déconcentration, décentralisation, et partenariats (implication des communautés et des autres parties prenantes)</v>
      </c>
      <c r="AB1466" s="19" t="str">
        <f>C1466 &amp; "-" &amp; VLOOKUP(C1466,[4]RESULTATS!$E$1:$F$176,2,FALSE)</f>
        <v>52-Déconcentration, décentralisation, et partenariats (implication des communautés et des autres parties prenantes)</v>
      </c>
      <c r="AC1466" s="20" t="str">
        <f>D1466 &amp; "-" &amp; VLOOKUP(D1466,[4]STRATEGIES!$E$1:$F$504,2,FALSE)</f>
        <v>52-Déconcentration, décentralisation, et partenariats (implication des communautés et des autres parties prenantes)</v>
      </c>
      <c r="AD1466" s="21" t="str">
        <f t="shared" si="217"/>
        <v>52-Déconcentration, décentralisation, et partenariats (implication des communautés et des autres parties prenantes)</v>
      </c>
    </row>
    <row r="1467" spans="1:30" s="22" customFormat="1" ht="60" hidden="1" customHeight="1" x14ac:dyDescent="0.8">
      <c r="A1467" s="14">
        <v>5</v>
      </c>
      <c r="B1467" s="15">
        <v>52</v>
      </c>
      <c r="C1467" s="15">
        <v>521</v>
      </c>
      <c r="D1467" s="15">
        <v>521</v>
      </c>
      <c r="E1467" s="15">
        <v>521</v>
      </c>
      <c r="F1467" s="16" t="s">
        <v>1924</v>
      </c>
      <c r="G1467" s="17"/>
      <c r="H1467" s="17"/>
      <c r="I1467" s="33">
        <v>0</v>
      </c>
      <c r="J1467" s="33"/>
      <c r="K1467" s="33"/>
      <c r="L1467" s="33"/>
      <c r="M1467" s="33"/>
      <c r="N1467" s="33"/>
      <c r="O1467" s="33"/>
      <c r="P1467" s="33"/>
      <c r="Q1467" s="33"/>
      <c r="R1467" s="33"/>
      <c r="S1467" s="34"/>
      <c r="T1467" s="33"/>
      <c r="U1467" s="18"/>
      <c r="V1467" s="18"/>
      <c r="W1467" s="18"/>
      <c r="X1467" s="18"/>
      <c r="Y1467" s="18"/>
      <c r="Z1467" s="18" t="str">
        <f>A1467 &amp; "-" &amp; VLOOKUP(A1467,[4]PROGRAMMES!$E$1:$F$7,2,FALSE)</f>
        <v>5-Gouvernance et pilotage du secteur</v>
      </c>
      <c r="AA1467" s="19" t="str">
        <f>B1467 &amp; "-" &amp; VLOOKUP(B1467,[4]SOUSPROGRAMMES!$E$1:$F$44,2,FALSE)</f>
        <v>52-Déconcentration, décentralisation, et partenariats (implication des communautés et des autres parties prenantes)</v>
      </c>
      <c r="AB1467" s="19" t="str">
        <f>C1467 &amp; "-" &amp; VLOOKUP(C1467,[4]RESULTATS!$E$1:$F$176,2,FALSE)</f>
        <v>521-Les rôles et responsabilités des acteurs sont clairement définis</v>
      </c>
      <c r="AC1467" s="20" t="str">
        <f>D1467 &amp; "-" &amp; VLOOKUP(D1467,[4]STRATEGIES!$E$1:$F$504,2,FALSE)</f>
        <v>521-Les rôles et responsabilités des acteurs sont clairement définis</v>
      </c>
      <c r="AD1467" s="21" t="str">
        <f t="shared" si="217"/>
        <v>521-Les rôles et responsabilités des acteurs sont clairement déFinis</v>
      </c>
    </row>
    <row r="1468" spans="1:30" s="22" customFormat="1" ht="60" hidden="1" customHeight="1" x14ac:dyDescent="0.8">
      <c r="A1468" s="14">
        <v>5</v>
      </c>
      <c r="B1468" s="15">
        <v>52</v>
      </c>
      <c r="C1468" s="15">
        <v>521</v>
      </c>
      <c r="D1468" s="15">
        <v>5211</v>
      </c>
      <c r="E1468" s="15">
        <v>5211</v>
      </c>
      <c r="F1468" s="16" t="s">
        <v>1925</v>
      </c>
      <c r="G1468" s="17"/>
      <c r="H1468" s="17"/>
      <c r="I1468" s="33">
        <v>0</v>
      </c>
      <c r="J1468" s="33"/>
      <c r="K1468" s="33"/>
      <c r="L1468" s="33"/>
      <c r="M1468" s="33"/>
      <c r="N1468" s="33"/>
      <c r="O1468" s="33"/>
      <c r="P1468" s="33"/>
      <c r="Q1468" s="33"/>
      <c r="R1468" s="33"/>
      <c r="S1468" s="34"/>
      <c r="T1468" s="33"/>
      <c r="U1468" s="18"/>
      <c r="V1468" s="18"/>
      <c r="W1468" s="18"/>
      <c r="X1468" s="18"/>
      <c r="Y1468" s="18"/>
      <c r="Z1468" s="18" t="str">
        <f>A1468 &amp; "-" &amp; VLOOKUP(A1468,[4]PROGRAMMES!$E$1:$F$7,2,FALSE)</f>
        <v>5-Gouvernance et pilotage du secteur</v>
      </c>
      <c r="AA1468" s="19" t="str">
        <f>B1468 &amp; "-" &amp; VLOOKUP(B1468,[4]SOUSPROGRAMMES!$E$1:$F$44,2,FALSE)</f>
        <v>52-Déconcentration, décentralisation, et partenariats (implication des communautés et des autres parties prenantes)</v>
      </c>
      <c r="AB1468" s="19" t="str">
        <f>C1468 &amp; "-" &amp; VLOOKUP(C1468,[4]RESULTATS!$E$1:$F$176,2,FALSE)</f>
        <v>521-Les rôles et responsabilités des acteurs sont clairement définis</v>
      </c>
      <c r="AC1468" s="20" t="str">
        <f>D1468 &amp; "-" &amp; VLOOKUP(D1468,[4]STRATEGIES!$E$1:$F$504,2,FALSE)</f>
        <v>5211-Production de manuels de procédures pour les différents acteurs (rôles et responsabilités)</v>
      </c>
      <c r="AD1468" s="21" t="str">
        <f t="shared" si="217"/>
        <v>5211-Production de manuels de procédures pour les différents acteurs (rôles et responsabilités)</v>
      </c>
    </row>
    <row r="1469" spans="1:30" s="22" customFormat="1" ht="60" hidden="1" customHeight="1" x14ac:dyDescent="0.8">
      <c r="A1469" s="14">
        <v>5</v>
      </c>
      <c r="B1469" s="15">
        <v>52</v>
      </c>
      <c r="C1469" s="15">
        <v>521</v>
      </c>
      <c r="D1469" s="15">
        <v>5211</v>
      </c>
      <c r="E1469" s="15">
        <v>52111</v>
      </c>
      <c r="F1469" s="16" t="s">
        <v>1926</v>
      </c>
      <c r="G1469" s="21" t="s">
        <v>88</v>
      </c>
      <c r="H1469" s="17" t="s">
        <v>55</v>
      </c>
      <c r="I1469" s="33">
        <v>0</v>
      </c>
      <c r="J1469" s="33">
        <v>1</v>
      </c>
      <c r="K1469" s="33">
        <v>0</v>
      </c>
      <c r="L1469" s="33">
        <v>0</v>
      </c>
      <c r="M1469" s="33">
        <f t="shared" si="219"/>
        <v>1</v>
      </c>
      <c r="N1469" s="33">
        <f>IF(OR(H1469="",H1469="sif",H1469="PM"),0,VLOOKUP(H1469,[5]CU!$C$4:$H$255,6,FALSE))</f>
        <v>0</v>
      </c>
      <c r="O1469" s="33">
        <f t="shared" si="220"/>
        <v>0</v>
      </c>
      <c r="P1469" s="33">
        <f t="shared" si="220"/>
        <v>0</v>
      </c>
      <c r="Q1469" s="33">
        <f t="shared" si="220"/>
        <v>0</v>
      </c>
      <c r="R1469" s="33">
        <f t="shared" si="220"/>
        <v>0</v>
      </c>
      <c r="S1469" s="34"/>
      <c r="T1469" s="35" t="s">
        <v>56</v>
      </c>
      <c r="U1469" s="18" t="s">
        <v>1873</v>
      </c>
      <c r="V1469" s="18" t="str">
        <f>IF(OR($H1469="",$H1469="sif",$H1469="PM"),"",VLOOKUP($H1469,[5]CU!$C$5:$J$255,8,FALSE))</f>
        <v/>
      </c>
      <c r="W1469" s="18" t="s">
        <v>255</v>
      </c>
      <c r="X1469" s="18" t="s">
        <v>192</v>
      </c>
      <c r="Y1469" s="19" t="s">
        <v>32</v>
      </c>
      <c r="Z1469" s="18" t="str">
        <f>A1469 &amp; "-" &amp; VLOOKUP(A1469,[4]PROGRAMMES!$E$1:$F$7,2,FALSE)</f>
        <v>5-Gouvernance et pilotage du secteur</v>
      </c>
      <c r="AA1469" s="19" t="str">
        <f>B1469 &amp; "-" &amp; VLOOKUP(B1469,[4]SOUSPROGRAMMES!$E$1:$F$44,2,FALSE)</f>
        <v>52-Déconcentration, décentralisation, et partenariats (implication des communautés et des autres parties prenantes)</v>
      </c>
      <c r="AB1469" s="19" t="str">
        <f>C1469 &amp; "-" &amp; VLOOKUP(C1469,[4]RESULTATS!$E$1:$F$176,2,FALSE)</f>
        <v>521-Les rôles et responsabilités des acteurs sont clairement définis</v>
      </c>
      <c r="AC1469" s="20" t="str">
        <f>D1469 &amp; "-" &amp; VLOOKUP(D1469,[4]STRATEGIES!$E$1:$F$504,2,FALSE)</f>
        <v>5211-Production de manuels de procédures pour les différents acteurs (rôles et responsabilités)</v>
      </c>
      <c r="AD1469" s="21" t="str">
        <f t="shared" si="217"/>
        <v>52111-Mise en place d'une équipe chargée d'élaborer une feuille de route sur la décentralisation de l'éducation</v>
      </c>
    </row>
    <row r="1470" spans="1:30" s="22" customFormat="1" ht="60" hidden="1" customHeight="1" x14ac:dyDescent="0.8">
      <c r="A1470" s="14">
        <v>5</v>
      </c>
      <c r="B1470" s="15">
        <v>52</v>
      </c>
      <c r="C1470" s="15">
        <v>521</v>
      </c>
      <c r="D1470" s="15">
        <v>5211</v>
      </c>
      <c r="E1470" s="15">
        <v>52112</v>
      </c>
      <c r="F1470" s="16" t="s">
        <v>1927</v>
      </c>
      <c r="G1470" s="21" t="s">
        <v>1928</v>
      </c>
      <c r="H1470" s="17" t="s">
        <v>55</v>
      </c>
      <c r="I1470" s="33">
        <v>0</v>
      </c>
      <c r="J1470" s="33">
        <v>1</v>
      </c>
      <c r="K1470" s="33">
        <v>0</v>
      </c>
      <c r="L1470" s="33">
        <v>0</v>
      </c>
      <c r="M1470" s="33">
        <f t="shared" si="219"/>
        <v>1</v>
      </c>
      <c r="N1470" s="33">
        <f>IF(OR(H1470="",H1470="sif",H1470="PM"),0,VLOOKUP(H1470,[5]CU!$C$4:$H$255,6,FALSE))</f>
        <v>0</v>
      </c>
      <c r="O1470" s="33">
        <f t="shared" si="220"/>
        <v>0</v>
      </c>
      <c r="P1470" s="33">
        <f t="shared" si="220"/>
        <v>0</v>
      </c>
      <c r="Q1470" s="33">
        <f t="shared" si="220"/>
        <v>0</v>
      </c>
      <c r="R1470" s="33">
        <f t="shared" si="220"/>
        <v>0</v>
      </c>
      <c r="S1470" s="34"/>
      <c r="T1470" s="35" t="s">
        <v>56</v>
      </c>
      <c r="U1470" s="18" t="s">
        <v>1873</v>
      </c>
      <c r="V1470" s="18" t="str">
        <f>IF(OR($H1470="",$H1470="sif",$H1470="PM"),"",VLOOKUP($H1470,[5]CU!$C$5:$J$255,8,FALSE))</f>
        <v/>
      </c>
      <c r="W1470" s="18" t="s">
        <v>255</v>
      </c>
      <c r="X1470" s="18" t="s">
        <v>192</v>
      </c>
      <c r="Y1470" s="19" t="s">
        <v>32</v>
      </c>
      <c r="Z1470" s="18" t="str">
        <f>A1470 &amp; "-" &amp; VLOOKUP(A1470,[4]PROGRAMMES!$E$1:$F$7,2,FALSE)</f>
        <v>5-Gouvernance et pilotage du secteur</v>
      </c>
      <c r="AA1470" s="19" t="str">
        <f>B1470 &amp; "-" &amp; VLOOKUP(B1470,[4]SOUSPROGRAMMES!$E$1:$F$44,2,FALSE)</f>
        <v>52-Déconcentration, décentralisation, et partenariats (implication des communautés et des autres parties prenantes)</v>
      </c>
      <c r="AB1470" s="19" t="str">
        <f>C1470 &amp; "-" &amp; VLOOKUP(C1470,[4]RESULTATS!$E$1:$F$176,2,FALSE)</f>
        <v>521-Les rôles et responsabilités des acteurs sont clairement définis</v>
      </c>
      <c r="AC1470" s="20" t="str">
        <f>D1470 &amp; "-" &amp; VLOOKUP(D1470,[4]STRATEGIES!$E$1:$F$504,2,FALSE)</f>
        <v>5211-Production de manuels de procédures pour les différents acteurs (rôles et responsabilités)</v>
      </c>
      <c r="AD1470" s="21" t="str">
        <f t="shared" si="217"/>
        <v xml:space="preserve">52112-Indentification des rôles et responsabilités des services déconcentrés de l'éducation en lien avec le code des collectivités territoriales </v>
      </c>
    </row>
    <row r="1471" spans="1:30" s="22" customFormat="1" ht="60" hidden="1" customHeight="1" x14ac:dyDescent="0.8">
      <c r="A1471" s="14">
        <v>5</v>
      </c>
      <c r="B1471" s="15">
        <v>52</v>
      </c>
      <c r="C1471" s="15">
        <v>521</v>
      </c>
      <c r="D1471" s="15">
        <v>5211</v>
      </c>
      <c r="E1471" s="15">
        <v>52113</v>
      </c>
      <c r="F1471" s="16" t="s">
        <v>1929</v>
      </c>
      <c r="G1471" s="21" t="s">
        <v>1930</v>
      </c>
      <c r="H1471" s="17" t="s">
        <v>66</v>
      </c>
      <c r="I1471" s="33">
        <v>0</v>
      </c>
      <c r="J1471" s="33">
        <f>15*3</f>
        <v>45</v>
      </c>
      <c r="K1471" s="33">
        <v>0</v>
      </c>
      <c r="L1471" s="33">
        <v>0</v>
      </c>
      <c r="M1471" s="33">
        <f t="shared" si="219"/>
        <v>45</v>
      </c>
      <c r="N1471" s="33">
        <f>IF(OR(H1471="",H1471="sif",H1471="PM"),0,VLOOKUP(H1471,[5]CU!$C$4:$H$255,6,FALSE))</f>
        <v>0.255</v>
      </c>
      <c r="O1471" s="33">
        <f t="shared" si="220"/>
        <v>0</v>
      </c>
      <c r="P1471" s="33">
        <f t="shared" si="220"/>
        <v>11.475</v>
      </c>
      <c r="Q1471" s="33">
        <f t="shared" si="220"/>
        <v>0</v>
      </c>
      <c r="R1471" s="33">
        <f t="shared" si="220"/>
        <v>0</v>
      </c>
      <c r="S1471" s="34">
        <f>SUM(O1471:R1471)</f>
        <v>11.475</v>
      </c>
      <c r="T1471" s="35" t="s">
        <v>118</v>
      </c>
      <c r="U1471" s="18" t="s">
        <v>1873</v>
      </c>
      <c r="V1471" s="18" t="str">
        <f>IF(OR($H1471="",$H1471="sif",$H1471="PM"),"",VLOOKUP($H1471,[5]CU!$C$5:$J$255,8,FALSE))</f>
        <v>3. Dépenses de fonctionnement</v>
      </c>
      <c r="W1471" s="18" t="s">
        <v>192</v>
      </c>
      <c r="X1471" s="18" t="s">
        <v>192</v>
      </c>
      <c r="Y1471" s="19" t="s">
        <v>32</v>
      </c>
      <c r="Z1471" s="18" t="str">
        <f>A1471 &amp; "-" &amp; VLOOKUP(A1471,[4]PROGRAMMES!$E$1:$F$7,2,FALSE)</f>
        <v>5-Gouvernance et pilotage du secteur</v>
      </c>
      <c r="AA1471" s="19" t="str">
        <f>B1471 &amp; "-" &amp; VLOOKUP(B1471,[4]SOUSPROGRAMMES!$E$1:$F$44,2,FALSE)</f>
        <v>52-Déconcentration, décentralisation, et partenariats (implication des communautés et des autres parties prenantes)</v>
      </c>
      <c r="AB1471" s="19" t="str">
        <f>C1471 &amp; "-" &amp; VLOOKUP(C1471,[4]RESULTATS!$E$1:$F$176,2,FALSE)</f>
        <v>521-Les rôles et responsabilités des acteurs sont clairement définis</v>
      </c>
      <c r="AC1471" s="20" t="str">
        <f>D1471 &amp; "-" &amp; VLOOKUP(D1471,[4]STRATEGIES!$E$1:$F$504,2,FALSE)</f>
        <v>5211-Production de manuels de procédures pour les différents acteurs (rôles et responsabilités)</v>
      </c>
      <c r="AD1471" s="21" t="str">
        <f t="shared" si="217"/>
        <v>52113-Elaboration de manuels sur les rôles et responsabilités des structures déconcentrées et les rapports avec les collectivités territoriales</v>
      </c>
    </row>
    <row r="1472" spans="1:30" s="22" customFormat="1" ht="60" hidden="1" customHeight="1" x14ac:dyDescent="0.8">
      <c r="A1472" s="14">
        <v>5</v>
      </c>
      <c r="B1472" s="15">
        <v>52</v>
      </c>
      <c r="C1472" s="15">
        <v>521</v>
      </c>
      <c r="D1472" s="15">
        <v>5211</v>
      </c>
      <c r="E1472" s="15">
        <v>52114</v>
      </c>
      <c r="F1472" s="16" t="s">
        <v>1931</v>
      </c>
      <c r="G1472" s="21" t="s">
        <v>44</v>
      </c>
      <c r="H1472" s="17" t="s">
        <v>452</v>
      </c>
      <c r="I1472" s="33">
        <v>0</v>
      </c>
      <c r="J1472" s="33">
        <f>((8*8)+(38*7)+427)*1.05</f>
        <v>794.85</v>
      </c>
      <c r="K1472" s="33"/>
      <c r="L1472" s="33">
        <f>J1472*0.1</f>
        <v>79.485000000000014</v>
      </c>
      <c r="M1472" s="33">
        <f t="shared" si="219"/>
        <v>874.33500000000004</v>
      </c>
      <c r="N1472" s="33">
        <f>IF(OR(H1472="",H1472="sif",H1472="PM"),0,VLOOKUP(H1472,[5]CU!$C$4:$H$255,6,FALSE))</f>
        <v>7.4999999999999997E-3</v>
      </c>
      <c r="O1472" s="33">
        <f t="shared" si="220"/>
        <v>0</v>
      </c>
      <c r="P1472" s="33">
        <f t="shared" si="220"/>
        <v>5.9613750000000003</v>
      </c>
      <c r="Q1472" s="33">
        <f t="shared" si="220"/>
        <v>0</v>
      </c>
      <c r="R1472" s="33">
        <f t="shared" si="220"/>
        <v>0.5961375000000001</v>
      </c>
      <c r="S1472" s="34">
        <f>SUM(O1472:R1472)</f>
        <v>6.5575125000000005</v>
      </c>
      <c r="T1472" s="35" t="s">
        <v>118</v>
      </c>
      <c r="U1472" s="18" t="s">
        <v>1873</v>
      </c>
      <c r="V1472" s="18" t="str">
        <f>IF(OR($H1472="",$H1472="sif",$H1472="PM"),"",VLOOKUP($H1472,[5]CU!$C$5:$J$255,8,FALSE))</f>
        <v>3. Dépenses de fonctionnement</v>
      </c>
      <c r="W1472" s="18" t="s">
        <v>192</v>
      </c>
      <c r="X1472" s="18" t="s">
        <v>192</v>
      </c>
      <c r="Y1472" s="19" t="s">
        <v>32</v>
      </c>
      <c r="Z1472" s="18" t="str">
        <f>A1472 &amp; "-" &amp; VLOOKUP(A1472,[4]PROGRAMMES!$E$1:$F$7,2,FALSE)</f>
        <v>5-Gouvernance et pilotage du secteur</v>
      </c>
      <c r="AA1472" s="19" t="str">
        <f>B1472 &amp; "-" &amp; VLOOKUP(B1472,[4]SOUSPROGRAMMES!$E$1:$F$44,2,FALSE)</f>
        <v>52-Déconcentration, décentralisation, et partenariats (implication des communautés et des autres parties prenantes)</v>
      </c>
      <c r="AB1472" s="19" t="str">
        <f>C1472 &amp; "-" &amp; VLOOKUP(C1472,[4]RESULTATS!$E$1:$F$176,2,FALSE)</f>
        <v>521-Les rôles et responsabilités des acteurs sont clairement définis</v>
      </c>
      <c r="AC1472" s="20" t="str">
        <f>D1472 &amp; "-" &amp; VLOOKUP(D1472,[4]STRATEGIES!$E$1:$F$504,2,FALSE)</f>
        <v>5211-Production de manuels de procédures pour les différents acteurs (rôles et responsabilités)</v>
      </c>
      <c r="AD1472" s="21" t="str">
        <f t="shared" si="217"/>
        <v>52114-Reproduction des manuels sur les rôles et responsabilités des structures déconcentrées</v>
      </c>
    </row>
    <row r="1473" spans="1:30" s="22" customFormat="1" ht="60" hidden="1" customHeight="1" x14ac:dyDescent="0.8">
      <c r="A1473" s="14">
        <v>5</v>
      </c>
      <c r="B1473" s="15">
        <v>52</v>
      </c>
      <c r="C1473" s="15">
        <v>521</v>
      </c>
      <c r="D1473" s="15">
        <v>5211</v>
      </c>
      <c r="E1473" s="15">
        <v>52115</v>
      </c>
      <c r="F1473" s="16" t="s">
        <v>1932</v>
      </c>
      <c r="G1473" s="21" t="s">
        <v>37</v>
      </c>
      <c r="H1473" s="17" t="s">
        <v>301</v>
      </c>
      <c r="I1473" s="33">
        <v>0</v>
      </c>
      <c r="J1473" s="33"/>
      <c r="K1473" s="33">
        <f>30*3*9</f>
        <v>810</v>
      </c>
      <c r="L1473" s="33"/>
      <c r="M1473" s="33">
        <f t="shared" si="219"/>
        <v>810</v>
      </c>
      <c r="N1473" s="33">
        <f>IF(OR(H1473="",H1473="sif",H1473="PM"),0,VLOOKUP(H1473,[5]CU!$C$4:$H$255,6,FALSE))</f>
        <v>0.67666666666666664</v>
      </c>
      <c r="O1473" s="33">
        <f t="shared" si="220"/>
        <v>0</v>
      </c>
      <c r="P1473" s="33">
        <f t="shared" si="220"/>
        <v>0</v>
      </c>
      <c r="Q1473" s="33">
        <f t="shared" si="220"/>
        <v>548.1</v>
      </c>
      <c r="R1473" s="33">
        <f t="shared" si="220"/>
        <v>0</v>
      </c>
      <c r="S1473" s="34">
        <f>SUM(O1473:R1473)</f>
        <v>548.1</v>
      </c>
      <c r="T1473" s="35" t="s">
        <v>118</v>
      </c>
      <c r="U1473" s="18" t="s">
        <v>1873</v>
      </c>
      <c r="V1473" s="18" t="str">
        <f>IF(OR($H1473="",$H1473="sif",$H1473="PM"),"",VLOOKUP($H1473,[5]CU!$C$5:$J$255,8,FALSE))</f>
        <v>3. Formation</v>
      </c>
      <c r="W1473" s="18" t="s">
        <v>192</v>
      </c>
      <c r="X1473" s="18" t="s">
        <v>192</v>
      </c>
      <c r="Y1473" s="19" t="s">
        <v>32</v>
      </c>
      <c r="Z1473" s="18" t="str">
        <f>A1473 &amp; "-" &amp; VLOOKUP(A1473,[4]PROGRAMMES!$E$1:$F$7,2,FALSE)</f>
        <v>5-Gouvernance et pilotage du secteur</v>
      </c>
      <c r="AA1473" s="19" t="str">
        <f>B1473 &amp; "-" &amp; VLOOKUP(B1473,[4]SOUSPROGRAMMES!$E$1:$F$44,2,FALSE)</f>
        <v>52-Déconcentration, décentralisation, et partenariats (implication des communautés et des autres parties prenantes)</v>
      </c>
      <c r="AB1473" s="19" t="str">
        <f>C1473 &amp; "-" &amp; VLOOKUP(C1473,[4]RESULTATS!$E$1:$F$176,2,FALSE)</f>
        <v>521-Les rôles et responsabilités des acteurs sont clairement définis</v>
      </c>
      <c r="AC1473" s="20" t="str">
        <f>D1473 &amp; "-" &amp; VLOOKUP(D1473,[4]STRATEGIES!$E$1:$F$504,2,FALSE)</f>
        <v>5211-Production de manuels de procédures pour les différents acteurs (rôles et responsabilités)</v>
      </c>
      <c r="AD1473" s="21" t="str">
        <f t="shared" si="217"/>
        <v>52115-Formation des acteurs et diffusion des manuels</v>
      </c>
    </row>
    <row r="1474" spans="1:30" s="22" customFormat="1" ht="60" hidden="1" customHeight="1" x14ac:dyDescent="0.8">
      <c r="A1474" s="14">
        <v>5</v>
      </c>
      <c r="B1474" s="15">
        <v>52</v>
      </c>
      <c r="C1474" s="15">
        <v>522</v>
      </c>
      <c r="D1474" s="15">
        <v>522</v>
      </c>
      <c r="E1474" s="15">
        <v>522</v>
      </c>
      <c r="F1474" s="16" t="s">
        <v>1933</v>
      </c>
      <c r="G1474" s="17"/>
      <c r="H1474" s="17"/>
      <c r="I1474" s="33">
        <v>0</v>
      </c>
      <c r="J1474" s="33"/>
      <c r="K1474" s="33"/>
      <c r="L1474" s="33"/>
      <c r="M1474" s="33"/>
      <c r="N1474" s="33"/>
      <c r="O1474" s="33"/>
      <c r="P1474" s="33"/>
      <c r="Q1474" s="33"/>
      <c r="R1474" s="33"/>
      <c r="S1474" s="34"/>
      <c r="T1474" s="33"/>
      <c r="U1474" s="18"/>
      <c r="V1474" s="18"/>
      <c r="W1474" s="18"/>
      <c r="X1474" s="18"/>
      <c r="Y1474" s="18"/>
      <c r="Z1474" s="18" t="str">
        <f>A1474 &amp; "-" &amp; VLOOKUP(A1474,[4]PROGRAMMES!$E$1:$F$7,2,FALSE)</f>
        <v>5-Gouvernance et pilotage du secteur</v>
      </c>
      <c r="AA1474" s="19" t="str">
        <f>B1474 &amp; "-" &amp; VLOOKUP(B1474,[4]SOUSPROGRAMMES!$E$1:$F$44,2,FALSE)</f>
        <v>52-Déconcentration, décentralisation, et partenariats (implication des communautés et des autres parties prenantes)</v>
      </c>
      <c r="AB1474" s="19" t="str">
        <f>C1474 &amp; "-" &amp; VLOOKUP(C1474,[4]RESULTATS!$E$1:$F$176,2,FALSE)</f>
        <v>522-Les acteurs ont les compétences et les ressources nécessaires pour exercer leurs missions</v>
      </c>
      <c r="AC1474" s="20" t="str">
        <f>D1474 &amp; "-" &amp; VLOOKUP(D1474,[4]STRATEGIES!$E$1:$F$504,2,FALSE)</f>
        <v>522-Les acteurs ont les compétences et les ressources nécessaires pour exercer leurs missions</v>
      </c>
      <c r="AD1474" s="21" t="str">
        <f t="shared" si="217"/>
        <v>522-Les acteurs ont les compétences et les ressources nécessaires pour exercer leurs missions</v>
      </c>
    </row>
    <row r="1475" spans="1:30" s="22" customFormat="1" ht="60" hidden="1" customHeight="1" x14ac:dyDescent="0.8">
      <c r="A1475" s="14">
        <v>5</v>
      </c>
      <c r="B1475" s="15">
        <v>52</v>
      </c>
      <c r="C1475" s="15">
        <v>522</v>
      </c>
      <c r="D1475" s="15">
        <v>5221</v>
      </c>
      <c r="E1475" s="15">
        <v>5221</v>
      </c>
      <c r="F1475" s="16" t="s">
        <v>1934</v>
      </c>
      <c r="G1475" s="17"/>
      <c r="H1475" s="17"/>
      <c r="I1475" s="33">
        <v>0</v>
      </c>
      <c r="J1475" s="33"/>
      <c r="K1475" s="33"/>
      <c r="L1475" s="33"/>
      <c r="M1475" s="33"/>
      <c r="N1475" s="33"/>
      <c r="O1475" s="33"/>
      <c r="P1475" s="33"/>
      <c r="Q1475" s="33"/>
      <c r="R1475" s="33"/>
      <c r="S1475" s="34"/>
      <c r="T1475" s="33"/>
      <c r="U1475" s="18"/>
      <c r="V1475" s="18"/>
      <c r="W1475" s="18"/>
      <c r="X1475" s="18"/>
      <c r="Y1475" s="18"/>
      <c r="Z1475" s="18" t="str">
        <f>A1475 &amp; "-" &amp; VLOOKUP(A1475,[4]PROGRAMMES!$E$1:$F$7,2,FALSE)</f>
        <v>5-Gouvernance et pilotage du secteur</v>
      </c>
      <c r="AA1475" s="19" t="str">
        <f>B1475 &amp; "-" &amp; VLOOKUP(B1475,[4]SOUSPROGRAMMES!$E$1:$F$44,2,FALSE)</f>
        <v>52-Déconcentration, décentralisation, et partenariats (implication des communautés et des autres parties prenantes)</v>
      </c>
      <c r="AB1475" s="19" t="str">
        <f>C1475 &amp; "-" &amp; VLOOKUP(C1475,[4]RESULTATS!$E$1:$F$176,2,FALSE)</f>
        <v>522-Les acteurs ont les compétences et les ressources nécessaires pour exercer leurs missions</v>
      </c>
      <c r="AC1475" s="20" t="str">
        <f>D1475 &amp; "-" &amp; VLOOKUP(D1475,[4]STRATEGIES!$E$1:$F$504,2,FALSE)</f>
        <v>5221-Renforcement des compétences des structures aux différents niveaux sur la programmation, planification et l’exécution budgétaire (formation, outils, guide, suivi régulier…)</v>
      </c>
      <c r="AD1475" s="21" t="str">
        <f t="shared" si="217"/>
        <v>5221-Renforcement des compétences des structures aux différents niveaux sur la programmation, planification et l’exécution budgétaire (formation, outils, guide, suivi régulier…)</v>
      </c>
    </row>
    <row r="1476" spans="1:30" s="22" customFormat="1" ht="75" hidden="1" customHeight="1" x14ac:dyDescent="0.8">
      <c r="A1476" s="14">
        <v>5</v>
      </c>
      <c r="B1476" s="15">
        <v>52</v>
      </c>
      <c r="C1476" s="15">
        <v>522</v>
      </c>
      <c r="D1476" s="15">
        <v>5221</v>
      </c>
      <c r="E1476" s="15">
        <v>52211</v>
      </c>
      <c r="F1476" s="16" t="s">
        <v>1935</v>
      </c>
      <c r="G1476" s="21" t="s">
        <v>321</v>
      </c>
      <c r="H1476" s="17" t="s">
        <v>55</v>
      </c>
      <c r="I1476" s="33">
        <v>0</v>
      </c>
      <c r="J1476" s="33">
        <v>1</v>
      </c>
      <c r="K1476" s="33">
        <v>0</v>
      </c>
      <c r="L1476" s="33">
        <v>0</v>
      </c>
      <c r="M1476" s="33">
        <f t="shared" si="219"/>
        <v>1</v>
      </c>
      <c r="N1476" s="33">
        <f>IF(OR(H1476="",H1476="sif",H1476="PM"),0,VLOOKUP(H1476,[5]CU!$C$4:$H$255,6,FALSE))</f>
        <v>0</v>
      </c>
      <c r="O1476" s="33">
        <f t="shared" si="220"/>
        <v>0</v>
      </c>
      <c r="P1476" s="33">
        <f t="shared" si="220"/>
        <v>0</v>
      </c>
      <c r="Q1476" s="33">
        <f t="shared" si="220"/>
        <v>0</v>
      </c>
      <c r="R1476" s="33">
        <f t="shared" si="220"/>
        <v>0</v>
      </c>
      <c r="S1476" s="34"/>
      <c r="T1476" s="35" t="s">
        <v>56</v>
      </c>
      <c r="U1476" s="18" t="s">
        <v>1873</v>
      </c>
      <c r="V1476" s="18" t="str">
        <f>IF(OR($H1476="",$H1476="sif",$H1476="PM"),"",VLOOKUP($H1476,[5]CU!$C$5:$J$255,8,FALSE))</f>
        <v/>
      </c>
      <c r="W1476" s="18" t="s">
        <v>1936</v>
      </c>
      <c r="X1476" s="18" t="s">
        <v>1936</v>
      </c>
      <c r="Y1476" s="19" t="s">
        <v>32</v>
      </c>
      <c r="Z1476" s="18" t="str">
        <f>A1476 &amp; "-" &amp; VLOOKUP(A1476,[4]PROGRAMMES!$E$1:$F$7,2,FALSE)</f>
        <v>5-Gouvernance et pilotage du secteur</v>
      </c>
      <c r="AA1476" s="19" t="str">
        <f>B1476 &amp; "-" &amp; VLOOKUP(B1476,[4]SOUSPROGRAMMES!$E$1:$F$44,2,FALSE)</f>
        <v>52-Déconcentration, décentralisation, et partenariats (implication des communautés et des autres parties prenantes)</v>
      </c>
      <c r="AB1476" s="19" t="str">
        <f>C1476 &amp; "-" &amp; VLOOKUP(C1476,[4]RESULTATS!$E$1:$F$176,2,FALSE)</f>
        <v>522-Les acteurs ont les compétences et les ressources nécessaires pour exercer leurs missions</v>
      </c>
      <c r="AC1476" s="20" t="str">
        <f>D1476 &amp; "-" &amp; VLOOKUP(D1476,[4]STRATEGIES!$E$1:$F$504,2,FALSE)</f>
        <v>5221-Renforcement des compétences des structures aux différents niveaux sur la programmation, planification et l’exécution budgétaire (formation, outils, guide, suivi régulier…)</v>
      </c>
      <c r="AD1476" s="21" t="str">
        <f t="shared" ref="AD1476:AD1539" si="221">E1476 &amp; "-" &amp; F1476</f>
        <v>52211-Mise en place d'un dispositif de renforcement des capacités des structures en charge de la programmation, planification et exécution budgétaire en collaboration avec les services du Ministère des Finances (élaboration d'outils de formation, de guides et organisation des formations)</v>
      </c>
    </row>
    <row r="1477" spans="1:30" s="22" customFormat="1" ht="60" hidden="1" customHeight="1" x14ac:dyDescent="0.8">
      <c r="A1477" s="14">
        <v>5</v>
      </c>
      <c r="B1477" s="15">
        <v>52</v>
      </c>
      <c r="C1477" s="15">
        <v>522</v>
      </c>
      <c r="D1477" s="15">
        <v>5221</v>
      </c>
      <c r="E1477" s="15">
        <v>52212</v>
      </c>
      <c r="F1477" s="16" t="s">
        <v>1937</v>
      </c>
      <c r="G1477" s="21" t="s">
        <v>315</v>
      </c>
      <c r="H1477" s="17" t="s">
        <v>66</v>
      </c>
      <c r="I1477" s="33">
        <v>0</v>
      </c>
      <c r="J1477" s="33">
        <f>15*5</f>
        <v>75</v>
      </c>
      <c r="K1477" s="33">
        <v>0</v>
      </c>
      <c r="L1477" s="33">
        <v>0</v>
      </c>
      <c r="M1477" s="33">
        <f t="shared" si="219"/>
        <v>75</v>
      </c>
      <c r="N1477" s="33">
        <f>IF(OR(H1477="",H1477="sif",H1477="PM"),0,VLOOKUP(H1477,[5]CU!$C$4:$H$255,6,FALSE))</f>
        <v>0.255</v>
      </c>
      <c r="O1477" s="33">
        <f t="shared" si="220"/>
        <v>0</v>
      </c>
      <c r="P1477" s="33">
        <f t="shared" si="220"/>
        <v>19.125</v>
      </c>
      <c r="Q1477" s="33">
        <f t="shared" si="220"/>
        <v>0</v>
      </c>
      <c r="R1477" s="33">
        <f t="shared" si="220"/>
        <v>0</v>
      </c>
      <c r="S1477" s="34">
        <f t="shared" ref="S1477:S1484" si="222">SUM(O1477:R1477)</f>
        <v>19.125</v>
      </c>
      <c r="T1477" s="35" t="s">
        <v>118</v>
      </c>
      <c r="U1477" s="18" t="s">
        <v>1873</v>
      </c>
      <c r="V1477" s="18" t="str">
        <f>IF(OR($H1477="",$H1477="sif",$H1477="PM"),"",VLOOKUP($H1477,[5]CU!$C$5:$J$255,8,FALSE))</f>
        <v>3. Dépenses de fonctionnement</v>
      </c>
      <c r="W1477" s="18" t="s">
        <v>1936</v>
      </c>
      <c r="X1477" s="18" t="s">
        <v>1936</v>
      </c>
      <c r="Y1477" s="19" t="s">
        <v>32</v>
      </c>
      <c r="Z1477" s="18" t="str">
        <f>A1477 &amp; "-" &amp; VLOOKUP(A1477,[4]PROGRAMMES!$E$1:$F$7,2,FALSE)</f>
        <v>5-Gouvernance et pilotage du secteur</v>
      </c>
      <c r="AA1477" s="19" t="str">
        <f>B1477 &amp; "-" &amp; VLOOKUP(B1477,[4]SOUSPROGRAMMES!$E$1:$F$44,2,FALSE)</f>
        <v>52-Déconcentration, décentralisation, et partenariats (implication des communautés et des autres parties prenantes)</v>
      </c>
      <c r="AB1477" s="19" t="str">
        <f>C1477 &amp; "-" &amp; VLOOKUP(C1477,[4]RESULTATS!$E$1:$F$176,2,FALSE)</f>
        <v>522-Les acteurs ont les compétences et les ressources nécessaires pour exercer leurs missions</v>
      </c>
      <c r="AC1477" s="20" t="str">
        <f>D1477 &amp; "-" &amp; VLOOKUP(D1477,[4]STRATEGIES!$E$1:$F$504,2,FALSE)</f>
        <v>5221-Renforcement des compétences des structures aux différents niveaux sur la programmation, planification et l’exécution budgétaire (formation, outils, guide, suivi régulier…)</v>
      </c>
      <c r="AD1477" s="21" t="str">
        <f t="shared" si="221"/>
        <v xml:space="preserve">52212-Elaboration des guides d'utilisation des outils de planification et de programmation budgétaire </v>
      </c>
    </row>
    <row r="1478" spans="1:30" s="22" customFormat="1" ht="60" hidden="1" customHeight="1" x14ac:dyDescent="0.8">
      <c r="A1478" s="14">
        <v>5</v>
      </c>
      <c r="B1478" s="15">
        <v>52</v>
      </c>
      <c r="C1478" s="15">
        <v>522</v>
      </c>
      <c r="D1478" s="15">
        <v>5221</v>
      </c>
      <c r="E1478" s="15">
        <v>52213</v>
      </c>
      <c r="F1478" s="16" t="s">
        <v>1938</v>
      </c>
      <c r="G1478" s="21" t="s">
        <v>315</v>
      </c>
      <c r="H1478" s="17" t="s">
        <v>66</v>
      </c>
      <c r="I1478" s="33">
        <v>0</v>
      </c>
      <c r="J1478" s="33"/>
      <c r="K1478" s="33"/>
      <c r="L1478" s="33"/>
      <c r="M1478" s="33">
        <f>SUM(I1478:L1478)</f>
        <v>0</v>
      </c>
      <c r="N1478" s="33">
        <f>IF(OR(H1478="",H1478="sif",H1478="PM"),0,VLOOKUP(H1478,[5]CU!$C$4:$H$255,6,FALSE))</f>
        <v>0.255</v>
      </c>
      <c r="O1478" s="33">
        <f>IFERROR($N1478*I1478,0)</f>
        <v>0</v>
      </c>
      <c r="P1478" s="33">
        <f>IFERROR($N1478*J1478,0)</f>
        <v>0</v>
      </c>
      <c r="Q1478" s="33">
        <f>IFERROR($N1478*K1478,0)</f>
        <v>0</v>
      </c>
      <c r="R1478" s="33">
        <f>IFERROR($N1478*L1478,0)</f>
        <v>0</v>
      </c>
      <c r="S1478" s="34">
        <f>SUM(O1478:R1478)</f>
        <v>0</v>
      </c>
      <c r="T1478" s="35" t="s">
        <v>178</v>
      </c>
      <c r="U1478" s="18" t="s">
        <v>1873</v>
      </c>
      <c r="V1478" s="18" t="str">
        <f>IF(OR($H1478="",$H1478="sif",$H1478="PM"),"",VLOOKUP($H1478,[5]CU!$C$5:$J$255,8,FALSE))</f>
        <v>3. Dépenses de fonctionnement</v>
      </c>
      <c r="W1478" s="19" t="s">
        <v>1939</v>
      </c>
      <c r="X1478" s="19" t="s">
        <v>1939</v>
      </c>
      <c r="Y1478" s="19" t="s">
        <v>32</v>
      </c>
      <c r="Z1478" s="18" t="str">
        <f>A1478 &amp; "-" &amp; VLOOKUP(A1478,[4]PROGRAMMES!$E$1:$F$7,2,FALSE)</f>
        <v>5-Gouvernance et pilotage du secteur</v>
      </c>
      <c r="AA1478" s="19" t="str">
        <f>B1478 &amp; "-" &amp; VLOOKUP(B1478,[4]SOUSPROGRAMMES!$E$1:$F$44,2,FALSE)</f>
        <v>52-Déconcentration, décentralisation, et partenariats (implication des communautés et des autres parties prenantes)</v>
      </c>
      <c r="AB1478" s="19" t="str">
        <f>C1478 &amp; "-" &amp; VLOOKUP(C1478,[4]RESULTATS!$E$1:$F$176,2,FALSE)</f>
        <v>522-Les acteurs ont les compétences et les ressources nécessaires pour exercer leurs missions</v>
      </c>
      <c r="AC1478" s="20" t="str">
        <f>D1478 &amp; "-" &amp; VLOOKUP(D1478,[4]STRATEGIES!$E$1:$F$504,2,FALSE)</f>
        <v>5221-Renforcement des compétences des structures aux différents niveaux sur la programmation, planification et l’exécution budgétaire (formation, outils, guide, suivi régulier…)</v>
      </c>
      <c r="AD1478" s="21" t="str">
        <f t="shared" si="221"/>
        <v>52213-Formation action sur la planification et l'exécution budgétaire</v>
      </c>
    </row>
    <row r="1479" spans="1:30" ht="60" hidden="1" customHeight="1" x14ac:dyDescent="0.8">
      <c r="A1479" s="25">
        <v>5</v>
      </c>
      <c r="B1479" s="16">
        <v>52</v>
      </c>
      <c r="C1479" s="16">
        <v>522</v>
      </c>
      <c r="D1479" s="16">
        <v>5221</v>
      </c>
      <c r="E1479" s="16">
        <v>52213</v>
      </c>
      <c r="F1479" s="16" t="s">
        <v>1940</v>
      </c>
      <c r="G1479" s="21" t="s">
        <v>315</v>
      </c>
      <c r="H1479" s="21" t="s">
        <v>66</v>
      </c>
      <c r="I1479" s="36">
        <v>0</v>
      </c>
      <c r="J1479" s="36">
        <f>(15+8+38)*3</f>
        <v>183</v>
      </c>
      <c r="K1479" s="36"/>
      <c r="L1479" s="36"/>
      <c r="M1479" s="36">
        <f t="shared" si="219"/>
        <v>183</v>
      </c>
      <c r="N1479" s="36">
        <f>IF(OR(H1479="",H1479="sif",H1479="PM"),0,VLOOKUP(H1479,[5]CU!$C$4:$H$255,6,FALSE))</f>
        <v>0.255</v>
      </c>
      <c r="O1479" s="36">
        <f t="shared" si="220"/>
        <v>0</v>
      </c>
      <c r="P1479" s="36">
        <f t="shared" si="220"/>
        <v>46.664999999999999</v>
      </c>
      <c r="Q1479" s="36">
        <f t="shared" si="220"/>
        <v>0</v>
      </c>
      <c r="R1479" s="36">
        <f t="shared" si="220"/>
        <v>0</v>
      </c>
      <c r="S1479" s="37">
        <f t="shared" si="222"/>
        <v>46.664999999999999</v>
      </c>
      <c r="T1479" s="38" t="s">
        <v>56</v>
      </c>
      <c r="U1479" s="19" t="s">
        <v>1873</v>
      </c>
      <c r="V1479" s="19" t="str">
        <f>IF(OR($H1479="",$H1479="sif",$H1479="PM"),"",VLOOKUP($H1479,[5]CU!$C$5:$J$255,8,FALSE))</f>
        <v>3. Dépenses de fonctionnement</v>
      </c>
      <c r="W1479" s="19" t="s">
        <v>1939</v>
      </c>
      <c r="X1479" s="19" t="s">
        <v>1939</v>
      </c>
      <c r="Y1479" s="19" t="s">
        <v>32</v>
      </c>
      <c r="Z1479" s="19" t="str">
        <f>A1479 &amp; "-" &amp; VLOOKUP(A1479,[4]PROGRAMMES!$E$1:$F$7,2,FALSE)</f>
        <v>5-Gouvernance et pilotage du secteur</v>
      </c>
      <c r="AA1479" s="19" t="str">
        <f>B1479 &amp; "-" &amp; VLOOKUP(B1479,[4]SOUSPROGRAMMES!$E$1:$F$44,2,FALSE)</f>
        <v>52-Déconcentration, décentralisation, et partenariats (implication des communautés et des autres parties prenantes)</v>
      </c>
      <c r="AB1479" s="19" t="str">
        <f>C1479 &amp; "-" &amp; VLOOKUP(C1479,[4]RESULTATS!$E$1:$F$176,2,FALSE)</f>
        <v>522-Les acteurs ont les compétences et les ressources nécessaires pour exercer leurs missions</v>
      </c>
      <c r="AC1479" s="20" t="str">
        <f>D1479 &amp; "-" &amp; VLOOKUP(D1479,[4]STRATEGIES!$E$1:$F$504,2,FALSE)</f>
        <v>5221-Renforcement des compétences des structures aux différents niveaux sur la programmation, planification et l’exécution budgétaire (formation, outils, guide, suivi régulier…)</v>
      </c>
      <c r="AD1479" s="21" t="str">
        <f t="shared" si="221"/>
        <v>52213-Formation action sur la programation et l'exécution budgétaire</v>
      </c>
    </row>
    <row r="1480" spans="1:30" s="22" customFormat="1" ht="60" hidden="1" customHeight="1" x14ac:dyDescent="0.8">
      <c r="A1480" s="14">
        <v>5</v>
      </c>
      <c r="B1480" s="15">
        <v>52</v>
      </c>
      <c r="C1480" s="15">
        <v>522</v>
      </c>
      <c r="D1480" s="15">
        <v>5221</v>
      </c>
      <c r="E1480" s="15">
        <v>52214</v>
      </c>
      <c r="F1480" s="16" t="s">
        <v>1941</v>
      </c>
      <c r="G1480" s="21" t="s">
        <v>1942</v>
      </c>
      <c r="H1480" s="17" t="s">
        <v>452</v>
      </c>
      <c r="I1480" s="33">
        <v>0</v>
      </c>
      <c r="J1480" s="33">
        <f>(46*4)*1.1</f>
        <v>202.4</v>
      </c>
      <c r="K1480" s="33">
        <v>0</v>
      </c>
      <c r="L1480" s="33">
        <v>0</v>
      </c>
      <c r="M1480" s="33">
        <f t="shared" si="219"/>
        <v>202.4</v>
      </c>
      <c r="N1480" s="33">
        <f>IF(OR(H1480="",H1480="sif",H1480="PM"),0,VLOOKUP(H1480,[5]CU!$C$4:$H$255,6,FALSE))</f>
        <v>7.4999999999999997E-3</v>
      </c>
      <c r="O1480" s="33">
        <f t="shared" si="220"/>
        <v>0</v>
      </c>
      <c r="P1480" s="33">
        <f t="shared" si="220"/>
        <v>1.518</v>
      </c>
      <c r="Q1480" s="33">
        <f t="shared" si="220"/>
        <v>0</v>
      </c>
      <c r="R1480" s="33">
        <f t="shared" si="220"/>
        <v>0</v>
      </c>
      <c r="S1480" s="34">
        <f t="shared" si="222"/>
        <v>1.518</v>
      </c>
      <c r="T1480" s="35" t="s">
        <v>56</v>
      </c>
      <c r="U1480" s="18" t="s">
        <v>1873</v>
      </c>
      <c r="V1480" s="18" t="str">
        <f>IF(OR($H1480="",$H1480="sif",$H1480="PM"),"",VLOOKUP($H1480,[5]CU!$C$5:$J$255,8,FALSE))</f>
        <v>3. Dépenses de fonctionnement</v>
      </c>
      <c r="W1480" s="19" t="s">
        <v>1939</v>
      </c>
      <c r="X1480" s="19" t="s">
        <v>1939</v>
      </c>
      <c r="Y1480" s="19" t="s">
        <v>32</v>
      </c>
      <c r="Z1480" s="18" t="str">
        <f>A1480 &amp; "-" &amp; VLOOKUP(A1480,[4]PROGRAMMES!$E$1:$F$7,2,FALSE)</f>
        <v>5-Gouvernance et pilotage du secteur</v>
      </c>
      <c r="AA1480" s="19" t="str">
        <f>B1480 &amp; "-" &amp; VLOOKUP(B1480,[4]SOUSPROGRAMMES!$E$1:$F$44,2,FALSE)</f>
        <v>52-Déconcentration, décentralisation, et partenariats (implication des communautés et des autres parties prenantes)</v>
      </c>
      <c r="AB1480" s="19" t="str">
        <f>C1480 &amp; "-" &amp; VLOOKUP(C1480,[4]RESULTATS!$E$1:$F$176,2,FALSE)</f>
        <v>522-Les acteurs ont les compétences et les ressources nécessaires pour exercer leurs missions</v>
      </c>
      <c r="AC1480" s="20" t="str">
        <f>D1480 &amp; "-" &amp; VLOOKUP(D1480,[4]STRATEGIES!$E$1:$F$504,2,FALSE)</f>
        <v>5221-Renforcement des compétences des structures aux différents niveaux sur la programmation, planification et l’exécution budgétaire (formation, outils, guide, suivi régulier…)</v>
      </c>
      <c r="AD1480" s="21" t="str">
        <f t="shared" si="221"/>
        <v>52214-Reproduction des guides d'utilisation des outils de planification et de programmation budgétaire</v>
      </c>
    </row>
    <row r="1481" spans="1:30" s="22" customFormat="1" ht="60" hidden="1" customHeight="1" x14ac:dyDescent="0.8">
      <c r="A1481" s="14">
        <v>5</v>
      </c>
      <c r="B1481" s="15">
        <v>52</v>
      </c>
      <c r="C1481" s="15">
        <v>522</v>
      </c>
      <c r="D1481" s="15">
        <v>5221</v>
      </c>
      <c r="E1481" s="15">
        <v>52215</v>
      </c>
      <c r="F1481" s="16" t="s">
        <v>1943</v>
      </c>
      <c r="G1481" s="21" t="s">
        <v>1017</v>
      </c>
      <c r="H1481" s="17" t="s">
        <v>59</v>
      </c>
      <c r="I1481" s="33">
        <v>0</v>
      </c>
      <c r="J1481" s="33">
        <f>4*9*5</f>
        <v>180</v>
      </c>
      <c r="K1481" s="33">
        <f>4*9*5</f>
        <v>180</v>
      </c>
      <c r="L1481" s="33">
        <f>4*9*5</f>
        <v>180</v>
      </c>
      <c r="M1481" s="33">
        <f t="shared" si="219"/>
        <v>540</v>
      </c>
      <c r="N1481" s="33">
        <f>IF(OR(H1481="",H1481="sif",H1481="PM"),0,VLOOKUP(H1481,[5]CU!$C$4:$H$255,6,FALSE))</f>
        <v>0.8177777777777776</v>
      </c>
      <c r="O1481" s="33">
        <f t="shared" si="220"/>
        <v>0</v>
      </c>
      <c r="P1481" s="33">
        <f t="shared" si="220"/>
        <v>147.19999999999996</v>
      </c>
      <c r="Q1481" s="33">
        <f t="shared" si="220"/>
        <v>147.19999999999996</v>
      </c>
      <c r="R1481" s="33">
        <f t="shared" si="220"/>
        <v>147.19999999999996</v>
      </c>
      <c r="S1481" s="34">
        <f t="shared" si="222"/>
        <v>441.59999999999991</v>
      </c>
      <c r="T1481" s="35" t="s">
        <v>56</v>
      </c>
      <c r="U1481" s="18" t="s">
        <v>1873</v>
      </c>
      <c r="V1481" s="18" t="str">
        <f>IF(OR($H1481="",$H1481="sif",$H1481="PM"),"",VLOOKUP($H1481,[5]CU!$C$5:$J$255,8,FALSE))</f>
        <v>3. Dépenses de fonctionnement</v>
      </c>
      <c r="W1481" s="19" t="s">
        <v>1939</v>
      </c>
      <c r="X1481" s="19" t="s">
        <v>1939</v>
      </c>
      <c r="Y1481" s="19" t="s">
        <v>32</v>
      </c>
      <c r="Z1481" s="18" t="str">
        <f>A1481 &amp; "-" &amp; VLOOKUP(A1481,[4]PROGRAMMES!$E$1:$F$7,2,FALSE)</f>
        <v>5-Gouvernance et pilotage du secteur</v>
      </c>
      <c r="AA1481" s="19" t="str">
        <f>B1481 &amp; "-" &amp; VLOOKUP(B1481,[4]SOUSPROGRAMMES!$E$1:$F$44,2,FALSE)</f>
        <v>52-Déconcentration, décentralisation, et partenariats (implication des communautés et des autres parties prenantes)</v>
      </c>
      <c r="AB1481" s="19" t="str">
        <f>C1481 &amp; "-" &amp; VLOOKUP(C1481,[4]RESULTATS!$E$1:$F$176,2,FALSE)</f>
        <v>522-Les acteurs ont les compétences et les ressources nécessaires pour exercer leurs missions</v>
      </c>
      <c r="AC1481" s="20" t="str">
        <f>D1481 &amp; "-" &amp; VLOOKUP(D1481,[4]STRATEGIES!$E$1:$F$504,2,FALSE)</f>
        <v>5221-Renforcement des compétences des structures aux différents niveaux sur la programmation, planification et l’exécution budgétaire (formation, outils, guide, suivi régulier…)</v>
      </c>
      <c r="AD1481" s="21" t="str">
        <f t="shared" si="221"/>
        <v>52215-Suivi de l'utilisation des guides de planification et de programmation budgétaire</v>
      </c>
    </row>
    <row r="1482" spans="1:30" s="22" customFormat="1" ht="60" hidden="1" customHeight="1" x14ac:dyDescent="0.8">
      <c r="A1482" s="14">
        <v>5</v>
      </c>
      <c r="B1482" s="15">
        <v>52</v>
      </c>
      <c r="C1482" s="15">
        <v>522</v>
      </c>
      <c r="D1482" s="15">
        <v>5222</v>
      </c>
      <c r="E1482" s="15">
        <v>5222</v>
      </c>
      <c r="F1482" s="16" t="s">
        <v>1944</v>
      </c>
      <c r="G1482" s="17"/>
      <c r="H1482" s="17"/>
      <c r="I1482" s="33">
        <v>0</v>
      </c>
      <c r="J1482" s="33"/>
      <c r="K1482" s="33"/>
      <c r="L1482" s="33"/>
      <c r="M1482" s="33"/>
      <c r="N1482" s="33"/>
      <c r="O1482" s="33"/>
      <c r="P1482" s="33"/>
      <c r="Q1482" s="33"/>
      <c r="R1482" s="33"/>
      <c r="S1482" s="34"/>
      <c r="T1482" s="33"/>
      <c r="U1482" s="18"/>
      <c r="V1482" s="18" t="s">
        <v>1945</v>
      </c>
      <c r="W1482" s="19" t="s">
        <v>1939</v>
      </c>
      <c r="X1482" s="19" t="s">
        <v>1939</v>
      </c>
      <c r="Y1482" s="18"/>
      <c r="Z1482" s="18" t="str">
        <f>A1482 &amp; "-" &amp; VLOOKUP(A1482,[4]PROGRAMMES!$E$1:$F$7,2,FALSE)</f>
        <v>5-Gouvernance et pilotage du secteur</v>
      </c>
      <c r="AA1482" s="19" t="str">
        <f>B1482 &amp; "-" &amp; VLOOKUP(B1482,[4]SOUSPROGRAMMES!$E$1:$F$44,2,FALSE)</f>
        <v>52-Déconcentration, décentralisation, et partenariats (implication des communautés et des autres parties prenantes)</v>
      </c>
      <c r="AB1482" s="19" t="str">
        <f>C1482 &amp; "-" &amp; VLOOKUP(C1482,[4]RESULTATS!$E$1:$F$176,2,FALSE)</f>
        <v>522-Les acteurs ont les compétences et les ressources nécessaires pour exercer leurs missions</v>
      </c>
      <c r="AC1482" s="20" t="str">
        <f>D1482 &amp; "-" &amp; VLOOKUP(D1482,[4]STRATEGIES!$E$1:$F$504,2,FALSE)</f>
        <v>5222-Renforcement des rôles des structures déconcentrées dans la préparation du budget de l’état pour l’éducation</v>
      </c>
      <c r="AD1482" s="21" t="str">
        <f t="shared" si="221"/>
        <v>5222-Renforcement des rôles des structures déconcentrées dans la préparation du budget de l’état pour l’éducation</v>
      </c>
    </row>
    <row r="1483" spans="1:30" s="22" customFormat="1" ht="60" hidden="1" customHeight="1" x14ac:dyDescent="0.8">
      <c r="A1483" s="14">
        <v>5</v>
      </c>
      <c r="B1483" s="15">
        <v>52</v>
      </c>
      <c r="C1483" s="15">
        <v>522</v>
      </c>
      <c r="D1483" s="15">
        <v>5222</v>
      </c>
      <c r="E1483" s="15">
        <v>52221</v>
      </c>
      <c r="F1483" s="16" t="s">
        <v>1946</v>
      </c>
      <c r="G1483" s="21" t="s">
        <v>315</v>
      </c>
      <c r="H1483" s="17" t="s">
        <v>66</v>
      </c>
      <c r="I1483" s="33">
        <v>0</v>
      </c>
      <c r="J1483" s="33">
        <f>4*2*96</f>
        <v>768</v>
      </c>
      <c r="K1483" s="33">
        <f>4*2*96</f>
        <v>768</v>
      </c>
      <c r="L1483" s="33">
        <f>4*2*98</f>
        <v>784</v>
      </c>
      <c r="M1483" s="33">
        <f>SUM(I1483:L1483)</f>
        <v>2320</v>
      </c>
      <c r="N1483" s="33">
        <f>IF(OR(H1483="",H1483="sif",H1483="PM"),0,VLOOKUP(H1483,[5]CU!$C$4:$H$255,6,FALSE))</f>
        <v>0.255</v>
      </c>
      <c r="O1483" s="33">
        <f>IFERROR($N1483*I1483,0)</f>
        <v>0</v>
      </c>
      <c r="P1483" s="33">
        <f>IFERROR($N1483*J1483,0)</f>
        <v>195.84</v>
      </c>
      <c r="Q1483" s="33">
        <f>IFERROR($N1483*K1483,0)</f>
        <v>195.84</v>
      </c>
      <c r="R1483" s="33">
        <f>IFERROR($N1483*L1483,0)</f>
        <v>199.92000000000002</v>
      </c>
      <c r="S1483" s="34">
        <f t="shared" si="222"/>
        <v>591.6</v>
      </c>
      <c r="T1483" s="35" t="s">
        <v>67</v>
      </c>
      <c r="U1483" s="18" t="s">
        <v>1873</v>
      </c>
      <c r="V1483" s="18" t="str">
        <f>IF(OR($H1483="",$H1483="sif",$H1483="PM"),"",VLOOKUP($H1483,[5]CU!$C$5:$J$255,8,FALSE))</f>
        <v>3. Dépenses de fonctionnement</v>
      </c>
      <c r="W1483" s="18" t="s">
        <v>96</v>
      </c>
      <c r="X1483" s="18" t="s">
        <v>193</v>
      </c>
      <c r="Y1483" s="19" t="s">
        <v>32</v>
      </c>
      <c r="Z1483" s="18" t="str">
        <f>A1483 &amp; "-" &amp; VLOOKUP(A1483,[4]PROGRAMMES!$E$1:$F$7,2,FALSE)</f>
        <v>5-Gouvernance et pilotage du secteur</v>
      </c>
      <c r="AA1483" s="19" t="str">
        <f>B1483 &amp; "-" &amp; VLOOKUP(B1483,[4]SOUSPROGRAMMES!$E$1:$F$44,2,FALSE)</f>
        <v>52-Déconcentration, décentralisation, et partenariats (implication des communautés et des autres parties prenantes)</v>
      </c>
      <c r="AB1483" s="19" t="str">
        <f>C1483 &amp; "-" &amp; VLOOKUP(C1483,[4]RESULTATS!$E$1:$F$176,2,FALSE)</f>
        <v>522-Les acteurs ont les compétences et les ressources nécessaires pour exercer leurs missions</v>
      </c>
      <c r="AC1483" s="20" t="str">
        <f>D1483 &amp; "-" &amp; VLOOKUP(D1483,[4]STRATEGIES!$E$1:$F$504,2,FALSE)</f>
        <v>5222-Renforcement des rôles des structures déconcentrées dans la préparation du budget de l’état pour l’éducation</v>
      </c>
      <c r="AD1483" s="21" t="str">
        <f t="shared" si="221"/>
        <v xml:space="preserve">52221-Appui à l'organisation des sessions sous préfectorales de préparation du budget </v>
      </c>
    </row>
    <row r="1484" spans="1:30" s="22" customFormat="1" ht="60" hidden="1" customHeight="1" x14ac:dyDescent="0.8">
      <c r="A1484" s="14">
        <v>5</v>
      </c>
      <c r="B1484" s="15">
        <v>52</v>
      </c>
      <c r="C1484" s="15">
        <v>522</v>
      </c>
      <c r="D1484" s="15">
        <v>5222</v>
      </c>
      <c r="E1484" s="15">
        <v>52221</v>
      </c>
      <c r="F1484" s="16" t="s">
        <v>1946</v>
      </c>
      <c r="G1484" s="21" t="s">
        <v>315</v>
      </c>
      <c r="H1484" s="17" t="s">
        <v>66</v>
      </c>
      <c r="I1484" s="33">
        <v>0</v>
      </c>
      <c r="J1484" s="33">
        <f>4*2*426-J1483</f>
        <v>2640</v>
      </c>
      <c r="K1484" s="33">
        <f>4*2*426-K1483</f>
        <v>2640</v>
      </c>
      <c r="L1484" s="33">
        <f>4*2*426-L1483</f>
        <v>2624</v>
      </c>
      <c r="M1484" s="33">
        <f t="shared" si="219"/>
        <v>7904</v>
      </c>
      <c r="N1484" s="33">
        <f>IF(OR(H1484="",H1484="sif",H1484="PM"),0,VLOOKUP(H1484,[5]CU!$C$4:$H$255,6,FALSE))</f>
        <v>0.255</v>
      </c>
      <c r="O1484" s="33">
        <f t="shared" si="220"/>
        <v>0</v>
      </c>
      <c r="P1484" s="33">
        <f t="shared" si="220"/>
        <v>673.2</v>
      </c>
      <c r="Q1484" s="33">
        <f t="shared" si="220"/>
        <v>673.2</v>
      </c>
      <c r="R1484" s="33">
        <f t="shared" si="220"/>
        <v>669.12</v>
      </c>
      <c r="S1484" s="34">
        <f t="shared" si="222"/>
        <v>2015.52</v>
      </c>
      <c r="T1484" s="35" t="s">
        <v>56</v>
      </c>
      <c r="U1484" s="18" t="s">
        <v>1873</v>
      </c>
      <c r="V1484" s="18" t="str">
        <f>IF(OR($H1484="",$H1484="sif",$H1484="PM"),"",VLOOKUP($H1484,[5]CU!$C$5:$J$255,8,FALSE))</f>
        <v>3. Dépenses de fonctionnement</v>
      </c>
      <c r="W1484" s="18" t="s">
        <v>96</v>
      </c>
      <c r="X1484" s="18" t="s">
        <v>193</v>
      </c>
      <c r="Y1484" s="19" t="s">
        <v>32</v>
      </c>
      <c r="Z1484" s="18" t="str">
        <f>A1484 &amp; "-" &amp; VLOOKUP(A1484,[4]PROGRAMMES!$E$1:$F$7,2,FALSE)</f>
        <v>5-Gouvernance et pilotage du secteur</v>
      </c>
      <c r="AA1484" s="19" t="str">
        <f>B1484 &amp; "-" &amp; VLOOKUP(B1484,[4]SOUSPROGRAMMES!$E$1:$F$44,2,FALSE)</f>
        <v>52-Déconcentration, décentralisation, et partenariats (implication des communautés et des autres parties prenantes)</v>
      </c>
      <c r="AB1484" s="19" t="str">
        <f>C1484 &amp; "-" &amp; VLOOKUP(C1484,[4]RESULTATS!$E$1:$F$176,2,FALSE)</f>
        <v>522-Les acteurs ont les compétences et les ressources nécessaires pour exercer leurs missions</v>
      </c>
      <c r="AC1484" s="20" t="str">
        <f>D1484 &amp; "-" &amp; VLOOKUP(D1484,[4]STRATEGIES!$E$1:$F$504,2,FALSE)</f>
        <v>5222-Renforcement des rôles des structures déconcentrées dans la préparation du budget de l’état pour l’éducation</v>
      </c>
      <c r="AD1484" s="21" t="str">
        <f t="shared" si="221"/>
        <v xml:space="preserve">52221-Appui à l'organisation des sessions sous préfectorales de préparation du budget </v>
      </c>
    </row>
    <row r="1485" spans="1:30" s="22" customFormat="1" ht="60" hidden="1" customHeight="1" x14ac:dyDescent="0.8">
      <c r="A1485" s="14">
        <v>5</v>
      </c>
      <c r="B1485" s="15">
        <v>52</v>
      </c>
      <c r="C1485" s="15">
        <v>522</v>
      </c>
      <c r="D1485" s="15">
        <v>5222</v>
      </c>
      <c r="E1485" s="15">
        <v>52222</v>
      </c>
      <c r="F1485" s="16" t="s">
        <v>1947</v>
      </c>
      <c r="G1485" s="21" t="s">
        <v>92</v>
      </c>
      <c r="H1485" s="17" t="s">
        <v>55</v>
      </c>
      <c r="I1485" s="33">
        <v>0</v>
      </c>
      <c r="J1485" s="33"/>
      <c r="K1485" s="33">
        <v>1</v>
      </c>
      <c r="L1485" s="33">
        <v>1</v>
      </c>
      <c r="M1485" s="33">
        <f t="shared" si="219"/>
        <v>2</v>
      </c>
      <c r="N1485" s="33">
        <f>IF(OR(H1485="",H1485="sif",H1485="PM"),0,VLOOKUP(H1485,[5]CU!$C$4:$H$255,6,FALSE))</f>
        <v>0</v>
      </c>
      <c r="O1485" s="33">
        <f t="shared" si="220"/>
        <v>0</v>
      </c>
      <c r="P1485" s="33">
        <f t="shared" si="220"/>
        <v>0</v>
      </c>
      <c r="Q1485" s="33">
        <f t="shared" si="220"/>
        <v>0</v>
      </c>
      <c r="R1485" s="33">
        <f t="shared" si="220"/>
        <v>0</v>
      </c>
      <c r="S1485" s="34"/>
      <c r="T1485" s="35" t="s">
        <v>56</v>
      </c>
      <c r="U1485" s="18" t="s">
        <v>1873</v>
      </c>
      <c r="V1485" s="18" t="s">
        <v>1945</v>
      </c>
      <c r="W1485" s="18" t="s">
        <v>96</v>
      </c>
      <c r="X1485" s="18" t="s">
        <v>193</v>
      </c>
      <c r="Y1485" s="19" t="s">
        <v>32</v>
      </c>
      <c r="Z1485" s="18" t="str">
        <f>A1485 &amp; "-" &amp; VLOOKUP(A1485,[4]PROGRAMMES!$E$1:$F$7,2,FALSE)</f>
        <v>5-Gouvernance et pilotage du secteur</v>
      </c>
      <c r="AA1485" s="19" t="str">
        <f>B1485 &amp; "-" &amp; VLOOKUP(B1485,[4]SOUSPROGRAMMES!$E$1:$F$44,2,FALSE)</f>
        <v>52-Déconcentration, décentralisation, et partenariats (implication des communautés et des autres parties prenantes)</v>
      </c>
      <c r="AB1485" s="19" t="str">
        <f>C1485 &amp; "-" &amp; VLOOKUP(C1485,[4]RESULTATS!$E$1:$F$176,2,FALSE)</f>
        <v>522-Les acteurs ont les compétences et les ressources nécessaires pour exercer leurs missions</v>
      </c>
      <c r="AC1485" s="20" t="str">
        <f>D1485 &amp; "-" &amp; VLOOKUP(D1485,[4]STRATEGIES!$E$1:$F$504,2,FALSE)</f>
        <v>5222-Renforcement des rôles des structures déconcentrées dans la préparation du budget de l’état pour l’éducation</v>
      </c>
      <c r="AD1485" s="21" t="str">
        <f t="shared" si="221"/>
        <v>52222-Organisation des sessions sous préfectorales de préparation du budget (pris en compte dans budget DSEE)</v>
      </c>
    </row>
    <row r="1486" spans="1:30" s="22" customFormat="1" ht="60" hidden="1" customHeight="1" x14ac:dyDescent="0.8">
      <c r="A1486" s="14">
        <v>5</v>
      </c>
      <c r="B1486" s="15">
        <v>52</v>
      </c>
      <c r="C1486" s="15">
        <v>522</v>
      </c>
      <c r="D1486" s="15">
        <v>5222</v>
      </c>
      <c r="E1486" s="15">
        <v>52223</v>
      </c>
      <c r="F1486" s="16" t="s">
        <v>1948</v>
      </c>
      <c r="G1486" s="21" t="s">
        <v>92</v>
      </c>
      <c r="H1486" s="17" t="s">
        <v>55</v>
      </c>
      <c r="I1486" s="33">
        <v>0</v>
      </c>
      <c r="J1486" s="33">
        <v>1</v>
      </c>
      <c r="K1486" s="33">
        <v>1</v>
      </c>
      <c r="L1486" s="33">
        <v>1</v>
      </c>
      <c r="M1486" s="33">
        <f t="shared" si="219"/>
        <v>3</v>
      </c>
      <c r="N1486" s="33">
        <f>IF(OR(H1486="",H1486="sif",H1486="PM"),0,VLOOKUP(H1486,[5]CU!$C$4:$H$255,6,FALSE))</f>
        <v>0</v>
      </c>
      <c r="O1486" s="33">
        <f t="shared" si="220"/>
        <v>0</v>
      </c>
      <c r="P1486" s="33">
        <f t="shared" si="220"/>
        <v>0</v>
      </c>
      <c r="Q1486" s="33">
        <f t="shared" si="220"/>
        <v>0</v>
      </c>
      <c r="R1486" s="33">
        <f t="shared" si="220"/>
        <v>0</v>
      </c>
      <c r="S1486" s="34"/>
      <c r="T1486" s="35" t="s">
        <v>56</v>
      </c>
      <c r="U1486" s="18" t="s">
        <v>1873</v>
      </c>
      <c r="V1486" s="18" t="str">
        <f>IF(OR($H1486="",$H1486="sif",$H1486="PM"),"",VLOOKUP($H1486,[5]CU!$C$5:$J$255,8,FALSE))</f>
        <v/>
      </c>
      <c r="W1486" s="18" t="s">
        <v>96</v>
      </c>
      <c r="X1486" s="18" t="s">
        <v>1949</v>
      </c>
      <c r="Y1486" s="19" t="s">
        <v>32</v>
      </c>
      <c r="Z1486" s="18" t="str">
        <f>A1486 &amp; "-" &amp; VLOOKUP(A1486,[4]PROGRAMMES!$E$1:$F$7,2,FALSE)</f>
        <v>5-Gouvernance et pilotage du secteur</v>
      </c>
      <c r="AA1486" s="19" t="str">
        <f>B1486 &amp; "-" &amp; VLOOKUP(B1486,[4]SOUSPROGRAMMES!$E$1:$F$44,2,FALSE)</f>
        <v>52-Déconcentration, décentralisation, et partenariats (implication des communautés et des autres parties prenantes)</v>
      </c>
      <c r="AB1486" s="19" t="str">
        <f>C1486 &amp; "-" &amp; VLOOKUP(C1486,[4]RESULTATS!$E$1:$F$176,2,FALSE)</f>
        <v>522-Les acteurs ont les compétences et les ressources nécessaires pour exercer leurs missions</v>
      </c>
      <c r="AC1486" s="20" t="str">
        <f>D1486 &amp; "-" &amp; VLOOKUP(D1486,[4]STRATEGIES!$E$1:$F$504,2,FALSE)</f>
        <v>5222-Renforcement des rôles des structures déconcentrées dans la préparation du budget de l’état pour l’éducation</v>
      </c>
      <c r="AD1486" s="21" t="str">
        <f t="shared" si="221"/>
        <v>52223-Organisation des sessions préfectorales sur la préparation du budget (pris en compte dans budget DPE/DCE)</v>
      </c>
    </row>
    <row r="1487" spans="1:30" s="22" customFormat="1" ht="60" hidden="1" customHeight="1" x14ac:dyDescent="0.8">
      <c r="A1487" s="14">
        <v>5</v>
      </c>
      <c r="B1487" s="15">
        <v>52</v>
      </c>
      <c r="C1487" s="15">
        <v>522</v>
      </c>
      <c r="D1487" s="15">
        <v>5222</v>
      </c>
      <c r="E1487" s="15">
        <v>52224</v>
      </c>
      <c r="F1487" s="16" t="s">
        <v>1950</v>
      </c>
      <c r="G1487" s="21" t="s">
        <v>92</v>
      </c>
      <c r="H1487" s="17" t="s">
        <v>55</v>
      </c>
      <c r="I1487" s="33">
        <v>0</v>
      </c>
      <c r="J1487" s="33">
        <v>1</v>
      </c>
      <c r="K1487" s="33">
        <v>1</v>
      </c>
      <c r="L1487" s="33">
        <v>1</v>
      </c>
      <c r="M1487" s="33">
        <f t="shared" si="219"/>
        <v>3</v>
      </c>
      <c r="N1487" s="33">
        <f>IF(OR(H1487="",H1487="sif",H1487="PM"),0,VLOOKUP(H1487,[5]CU!$C$4:$H$255,6,FALSE))</f>
        <v>0</v>
      </c>
      <c r="O1487" s="33">
        <f t="shared" si="220"/>
        <v>0</v>
      </c>
      <c r="P1487" s="33">
        <f t="shared" si="220"/>
        <v>0</v>
      </c>
      <c r="Q1487" s="33">
        <f t="shared" si="220"/>
        <v>0</v>
      </c>
      <c r="R1487" s="33">
        <f t="shared" si="220"/>
        <v>0</v>
      </c>
      <c r="S1487" s="34"/>
      <c r="T1487" s="35" t="s">
        <v>56</v>
      </c>
      <c r="U1487" s="18" t="s">
        <v>1873</v>
      </c>
      <c r="V1487" s="18" t="s">
        <v>1945</v>
      </c>
      <c r="W1487" s="18" t="s">
        <v>96</v>
      </c>
      <c r="X1487" s="18" t="s">
        <v>282</v>
      </c>
      <c r="Y1487" s="19" t="s">
        <v>32</v>
      </c>
      <c r="Z1487" s="18" t="str">
        <f>A1487 &amp; "-" &amp; VLOOKUP(A1487,[4]PROGRAMMES!$E$1:$F$7,2,FALSE)</f>
        <v>5-Gouvernance et pilotage du secteur</v>
      </c>
      <c r="AA1487" s="19" t="str">
        <f>B1487 &amp; "-" &amp; VLOOKUP(B1487,[4]SOUSPROGRAMMES!$E$1:$F$44,2,FALSE)</f>
        <v>52-Déconcentration, décentralisation, et partenariats (implication des communautés et des autres parties prenantes)</v>
      </c>
      <c r="AB1487" s="19" t="str">
        <f>C1487 &amp; "-" &amp; VLOOKUP(C1487,[4]RESULTATS!$E$1:$F$176,2,FALSE)</f>
        <v>522-Les acteurs ont les compétences et les ressources nécessaires pour exercer leurs missions</v>
      </c>
      <c r="AC1487" s="20" t="str">
        <f>D1487 &amp; "-" &amp; VLOOKUP(D1487,[4]STRATEGIES!$E$1:$F$504,2,FALSE)</f>
        <v>5222-Renforcement des rôles des structures déconcentrées dans la préparation du budget de l’état pour l’éducation</v>
      </c>
      <c r="AD1487" s="21" t="str">
        <f t="shared" si="221"/>
        <v>52224-Organisation des sessions régionales sur la préparation du budget (pris en compte dans budget IRE)</v>
      </c>
    </row>
    <row r="1488" spans="1:30" s="22" customFormat="1" ht="60" hidden="1" customHeight="1" x14ac:dyDescent="0.8">
      <c r="A1488" s="14">
        <v>5</v>
      </c>
      <c r="B1488" s="15">
        <v>52</v>
      </c>
      <c r="C1488" s="15">
        <v>522</v>
      </c>
      <c r="D1488" s="15">
        <v>5222</v>
      </c>
      <c r="E1488" s="15">
        <v>52225</v>
      </c>
      <c r="F1488" s="16" t="s">
        <v>1951</v>
      </c>
      <c r="G1488" s="21" t="s">
        <v>92</v>
      </c>
      <c r="H1488" s="17" t="s">
        <v>55</v>
      </c>
      <c r="I1488" s="33">
        <v>0</v>
      </c>
      <c r="J1488" s="33">
        <v>1</v>
      </c>
      <c r="K1488" s="33">
        <v>1</v>
      </c>
      <c r="L1488" s="33">
        <v>1</v>
      </c>
      <c r="M1488" s="33">
        <f t="shared" si="219"/>
        <v>3</v>
      </c>
      <c r="N1488" s="33">
        <f>IF(OR(H1488="",H1488="sif",H1488="PM"),0,VLOOKUP(H1488,[5]CU!$C$4:$H$255,6,FALSE))</f>
        <v>0</v>
      </c>
      <c r="O1488" s="33">
        <f t="shared" si="220"/>
        <v>0</v>
      </c>
      <c r="P1488" s="33">
        <f t="shared" si="220"/>
        <v>0</v>
      </c>
      <c r="Q1488" s="33">
        <f t="shared" si="220"/>
        <v>0</v>
      </c>
      <c r="R1488" s="33">
        <f t="shared" si="220"/>
        <v>0</v>
      </c>
      <c r="S1488" s="34"/>
      <c r="T1488" s="35" t="s">
        <v>56</v>
      </c>
      <c r="U1488" s="18" t="s">
        <v>1873</v>
      </c>
      <c r="V1488" s="18" t="s">
        <v>1945</v>
      </c>
      <c r="W1488" s="18" t="s">
        <v>96</v>
      </c>
      <c r="X1488" s="18" t="s">
        <v>1952</v>
      </c>
      <c r="Y1488" s="19" t="s">
        <v>32</v>
      </c>
      <c r="Z1488" s="18" t="str">
        <f>A1488 &amp; "-" &amp; VLOOKUP(A1488,[4]PROGRAMMES!$E$1:$F$7,2,FALSE)</f>
        <v>5-Gouvernance et pilotage du secteur</v>
      </c>
      <c r="AA1488" s="19" t="str">
        <f>B1488 &amp; "-" &amp; VLOOKUP(B1488,[4]SOUSPROGRAMMES!$E$1:$F$44,2,FALSE)</f>
        <v>52-Déconcentration, décentralisation, et partenariats (implication des communautés et des autres parties prenantes)</v>
      </c>
      <c r="AB1488" s="19" t="str">
        <f>C1488 &amp; "-" &amp; VLOOKUP(C1488,[4]RESULTATS!$E$1:$F$176,2,FALSE)</f>
        <v>522-Les acteurs ont les compétences et les ressources nécessaires pour exercer leurs missions</v>
      </c>
      <c r="AC1488" s="20" t="str">
        <f>D1488 &amp; "-" &amp; VLOOKUP(D1488,[4]STRATEGIES!$E$1:$F$504,2,FALSE)</f>
        <v>5222-Renforcement des rôles des structures déconcentrées dans la préparation du budget de l’état pour l’éducation</v>
      </c>
      <c r="AD1488" s="21" t="str">
        <f t="shared" si="221"/>
        <v>52225-Organisation des sessions nationale de préparation du budget (pris en compte dans budget DAF)</v>
      </c>
    </row>
    <row r="1489" spans="1:30" s="22" customFormat="1" ht="60" hidden="1" customHeight="1" x14ac:dyDescent="0.8">
      <c r="A1489" s="14">
        <v>5</v>
      </c>
      <c r="B1489" s="15">
        <v>52</v>
      </c>
      <c r="C1489" s="15">
        <v>522</v>
      </c>
      <c r="D1489" s="15">
        <v>5223</v>
      </c>
      <c r="E1489" s="15">
        <v>5223</v>
      </c>
      <c r="F1489" s="16" t="s">
        <v>1953</v>
      </c>
      <c r="G1489" s="17"/>
      <c r="H1489" s="17"/>
      <c r="I1489" s="33">
        <v>0</v>
      </c>
      <c r="J1489" s="33"/>
      <c r="K1489" s="33"/>
      <c r="L1489" s="33"/>
      <c r="M1489" s="33"/>
      <c r="N1489" s="33"/>
      <c r="O1489" s="33"/>
      <c r="P1489" s="33"/>
      <c r="Q1489" s="33"/>
      <c r="R1489" s="33"/>
      <c r="S1489" s="34"/>
      <c r="T1489" s="33"/>
      <c r="U1489" s="18"/>
      <c r="V1489" s="18" t="s">
        <v>1945</v>
      </c>
      <c r="W1489" s="18"/>
      <c r="X1489" s="18"/>
      <c r="Y1489" s="18"/>
      <c r="Z1489" s="18" t="str">
        <f>A1489 &amp; "-" &amp; VLOOKUP(A1489,[4]PROGRAMMES!$E$1:$F$7,2,FALSE)</f>
        <v>5-Gouvernance et pilotage du secteur</v>
      </c>
      <c r="AA1489" s="19" t="str">
        <f>B1489 &amp; "-" &amp; VLOOKUP(B1489,[4]SOUSPROGRAMMES!$E$1:$F$44,2,FALSE)</f>
        <v>52-Déconcentration, décentralisation, et partenariats (implication des communautés et des autres parties prenantes)</v>
      </c>
      <c r="AB1489" s="19" t="str">
        <f>C1489 &amp; "-" &amp; VLOOKUP(C1489,[4]RESULTATS!$E$1:$F$176,2,FALSE)</f>
        <v>522-Les acteurs ont les compétences et les ressources nécessaires pour exercer leurs missions</v>
      </c>
      <c r="AC1489" s="20" t="str">
        <f>D1489 &amp; "-" &amp; VLOOKUP(D1489,[4]STRATEGIES!$E$1:$F$504,2,FALSE)</f>
        <v>5223-Suivi régulier de l’application des textes et procédures d’exécution budgétaire</v>
      </c>
      <c r="AD1489" s="21" t="str">
        <f t="shared" si="221"/>
        <v>5223-Suivi régulier de l’application des textes et procédures d’exécution budgétaire</v>
      </c>
    </row>
    <row r="1490" spans="1:30" s="22" customFormat="1" ht="60" hidden="1" customHeight="1" x14ac:dyDescent="0.8">
      <c r="A1490" s="14">
        <v>5</v>
      </c>
      <c r="B1490" s="15">
        <v>52</v>
      </c>
      <c r="C1490" s="15">
        <v>522</v>
      </c>
      <c r="D1490" s="15">
        <v>5223</v>
      </c>
      <c r="E1490" s="15">
        <v>52231</v>
      </c>
      <c r="F1490" s="16" t="s">
        <v>1954</v>
      </c>
      <c r="G1490" s="21" t="s">
        <v>1017</v>
      </c>
      <c r="H1490" s="17" t="s">
        <v>59</v>
      </c>
      <c r="I1490" s="33">
        <v>0</v>
      </c>
      <c r="J1490" s="33">
        <f>4*9*5</f>
        <v>180</v>
      </c>
      <c r="K1490" s="33">
        <f>4*9*5</f>
        <v>180</v>
      </c>
      <c r="L1490" s="33">
        <f>4*9*5</f>
        <v>180</v>
      </c>
      <c r="M1490" s="33">
        <f t="shared" si="219"/>
        <v>540</v>
      </c>
      <c r="N1490" s="33">
        <f>IF(OR(H1490="",H1490="sif",H1490="PM"),0,VLOOKUP(H1490,[5]CU!$C$4:$H$255,6,FALSE))</f>
        <v>0.8177777777777776</v>
      </c>
      <c r="O1490" s="33">
        <f t="shared" si="220"/>
        <v>0</v>
      </c>
      <c r="P1490" s="33">
        <f t="shared" si="220"/>
        <v>147.19999999999996</v>
      </c>
      <c r="Q1490" s="33">
        <f t="shared" si="220"/>
        <v>147.19999999999996</v>
      </c>
      <c r="R1490" s="33">
        <f t="shared" si="220"/>
        <v>147.19999999999996</v>
      </c>
      <c r="S1490" s="34">
        <f>SUM(O1490:R1490)</f>
        <v>441.59999999999991</v>
      </c>
      <c r="T1490" s="35" t="s">
        <v>118</v>
      </c>
      <c r="U1490" s="18" t="s">
        <v>1873</v>
      </c>
      <c r="V1490" s="18" t="s">
        <v>1945</v>
      </c>
      <c r="W1490" s="18" t="s">
        <v>1955</v>
      </c>
      <c r="X1490" s="18" t="s">
        <v>1955</v>
      </c>
      <c r="Y1490" s="19" t="s">
        <v>32</v>
      </c>
      <c r="Z1490" s="18" t="str">
        <f>A1490 &amp; "-" &amp; VLOOKUP(A1490,[4]PROGRAMMES!$E$1:$F$7,2,FALSE)</f>
        <v>5-Gouvernance et pilotage du secteur</v>
      </c>
      <c r="AA1490" s="19" t="str">
        <f>B1490 &amp; "-" &amp; VLOOKUP(B1490,[4]SOUSPROGRAMMES!$E$1:$F$44,2,FALSE)</f>
        <v>52-Déconcentration, décentralisation, et partenariats (implication des communautés et des autres parties prenantes)</v>
      </c>
      <c r="AB1490" s="19" t="str">
        <f>C1490 &amp; "-" &amp; VLOOKUP(C1490,[4]RESULTATS!$E$1:$F$176,2,FALSE)</f>
        <v>522-Les acteurs ont les compétences et les ressources nécessaires pour exercer leurs missions</v>
      </c>
      <c r="AC1490" s="20" t="str">
        <f>D1490 &amp; "-" &amp; VLOOKUP(D1490,[4]STRATEGIES!$E$1:$F$504,2,FALSE)</f>
        <v>5223-Suivi régulier de l’application des textes et procédures d’exécution budgétaire</v>
      </c>
      <c r="AD1490" s="21" t="str">
        <f t="shared" si="221"/>
        <v>52231-Organisation de missions d'audit des ressources mises à la disposition des structures déconcentrées</v>
      </c>
    </row>
    <row r="1491" spans="1:30" s="22" customFormat="1" ht="45" hidden="1" customHeight="1" x14ac:dyDescent="0.8">
      <c r="A1491" s="14">
        <v>5</v>
      </c>
      <c r="B1491" s="15">
        <v>52</v>
      </c>
      <c r="C1491" s="15">
        <v>522</v>
      </c>
      <c r="D1491" s="15">
        <v>5223</v>
      </c>
      <c r="E1491" s="15">
        <v>52232</v>
      </c>
      <c r="F1491" s="16" t="s">
        <v>1956</v>
      </c>
      <c r="G1491" s="21" t="s">
        <v>88</v>
      </c>
      <c r="H1491" s="17" t="s">
        <v>55</v>
      </c>
      <c r="I1491" s="33">
        <v>0</v>
      </c>
      <c r="J1491" s="33">
        <v>1</v>
      </c>
      <c r="K1491" s="33">
        <v>1</v>
      </c>
      <c r="L1491" s="33">
        <v>1</v>
      </c>
      <c r="M1491" s="33">
        <f t="shared" si="219"/>
        <v>3</v>
      </c>
      <c r="N1491" s="33">
        <f>IF(OR(H1491="",H1491="sif",H1491="PM"),0,VLOOKUP(H1491,[5]CU!$C$4:$H$255,6,FALSE))</f>
        <v>0</v>
      </c>
      <c r="O1491" s="33">
        <f t="shared" si="220"/>
        <v>0</v>
      </c>
      <c r="P1491" s="33">
        <f t="shared" si="220"/>
        <v>0</v>
      </c>
      <c r="Q1491" s="33">
        <f t="shared" si="220"/>
        <v>0</v>
      </c>
      <c r="R1491" s="33">
        <f t="shared" si="220"/>
        <v>0</v>
      </c>
      <c r="S1491" s="34"/>
      <c r="T1491" s="35" t="s">
        <v>56</v>
      </c>
      <c r="U1491" s="18" t="s">
        <v>1873</v>
      </c>
      <c r="V1491" s="18" t="s">
        <v>1945</v>
      </c>
      <c r="W1491" s="18" t="s">
        <v>1955</v>
      </c>
      <c r="X1491" s="18" t="s">
        <v>1955</v>
      </c>
      <c r="Y1491" s="19" t="s">
        <v>32</v>
      </c>
      <c r="Z1491" s="18" t="str">
        <f>A1491 &amp; "-" &amp; VLOOKUP(A1491,[4]PROGRAMMES!$E$1:$F$7,2,FALSE)</f>
        <v>5-Gouvernance et pilotage du secteur</v>
      </c>
      <c r="AA1491" s="18" t="str">
        <f>B1491 &amp; "-" &amp; VLOOKUP(B1491,[4]SOUSPROGRAMMES!$E$1:$F$44,2,FALSE)</f>
        <v>52-Déconcentration, décentralisation, et partenariats (implication des communautés et des autres parties prenantes)</v>
      </c>
      <c r="AB1491" s="19" t="str">
        <f>C1491 &amp; "-" &amp; VLOOKUP(C1491,[4]RESULTATS!$E$1:$F$176,2,FALSE)</f>
        <v>522-Les acteurs ont les compétences et les ressources nécessaires pour exercer leurs missions</v>
      </c>
      <c r="AC1491" s="20" t="str">
        <f>D1491 &amp; "-" &amp; VLOOKUP(D1491,[4]STRATEGIES!$E$1:$F$504,2,FALSE)</f>
        <v>5223-Suivi régulier de l’application des textes et procédures d’exécution budgétaire</v>
      </c>
      <c r="AD1491" s="21" t="str">
        <f t="shared" si="221"/>
        <v>52232-Mise en œuvre des recommandations issues des missions d'audit</v>
      </c>
    </row>
    <row r="1492" spans="1:30" ht="45" hidden="1" customHeight="1" x14ac:dyDescent="0.8">
      <c r="A1492" s="25">
        <v>5</v>
      </c>
      <c r="B1492" s="16">
        <v>53</v>
      </c>
      <c r="C1492" s="16">
        <v>53</v>
      </c>
      <c r="D1492" s="16">
        <v>53</v>
      </c>
      <c r="E1492" s="16">
        <v>53</v>
      </c>
      <c r="F1492" s="16" t="s">
        <v>1957</v>
      </c>
      <c r="G1492" s="21"/>
      <c r="H1492" s="21"/>
      <c r="I1492" s="36">
        <v>0</v>
      </c>
      <c r="J1492" s="36"/>
      <c r="K1492" s="36"/>
      <c r="L1492" s="36"/>
      <c r="M1492" s="36"/>
      <c r="N1492" s="36"/>
      <c r="O1492" s="36"/>
      <c r="P1492" s="36"/>
      <c r="Q1492" s="36"/>
      <c r="R1492" s="36"/>
      <c r="S1492" s="37"/>
      <c r="T1492" s="36"/>
      <c r="U1492" s="19"/>
      <c r="V1492" s="19" t="s">
        <v>1945</v>
      </c>
      <c r="W1492" s="19"/>
      <c r="X1492" s="19"/>
      <c r="Y1492" s="19"/>
      <c r="Z1492" s="19" t="str">
        <f>A1492 &amp; "-" &amp; VLOOKUP(A1492,[4]PROGRAMMES!$E$1:$F$7,2,FALSE)</f>
        <v>5-Gouvernance et pilotage du secteur</v>
      </c>
      <c r="AA1492" s="19" t="str">
        <f>B1492 &amp; "-" &amp; VLOOKUP(B1492,[4]SOUSPROGRAMMES!$E$1:$F$44,2,FALSE)</f>
        <v xml:space="preserve">53- Systèmes d’information pour la gestion de l'éducation (collecte, analyse, diffusion, et utilisation des informations) </v>
      </c>
      <c r="AB1492" s="19" t="str">
        <f>C1492 &amp; "-" &amp; VLOOKUP(C1492,[4]RESULTATS!$E$1:$F$176,2,FALSE)</f>
        <v xml:space="preserve">53- Systèmes d’information pour la gestion de l'éducation (collecte, analyse, diffusion, et utilisation des informations) </v>
      </c>
      <c r="AC1492" s="20" t="str">
        <f>D1492 &amp; "-" &amp; VLOOKUP(D1492,[4]STRATEGIES!$E$1:$F$504,2,FALSE)</f>
        <v xml:space="preserve">53- Systèmes d’information pour la gestion de l'éducation (collecte, analyse, diffusion, et utilisation des informations) </v>
      </c>
      <c r="AD1492" s="21" t="str">
        <f t="shared" si="221"/>
        <v xml:space="preserve">53- Systèmes d’information pour la gestion de l'éducation (collecte, analyse, diffusion, et utilisation des informations) </v>
      </c>
    </row>
    <row r="1493" spans="1:30" ht="60" hidden="1" customHeight="1" x14ac:dyDescent="0.8">
      <c r="A1493" s="25">
        <v>5</v>
      </c>
      <c r="B1493" s="16">
        <v>53</v>
      </c>
      <c r="C1493" s="16">
        <v>531</v>
      </c>
      <c r="D1493" s="16">
        <v>531</v>
      </c>
      <c r="E1493" s="16">
        <v>531</v>
      </c>
      <c r="F1493" s="16" t="s">
        <v>1958</v>
      </c>
      <c r="G1493" s="21"/>
      <c r="H1493" s="21"/>
      <c r="I1493" s="36">
        <v>0</v>
      </c>
      <c r="J1493" s="36"/>
      <c r="K1493" s="36"/>
      <c r="L1493" s="36"/>
      <c r="M1493" s="36"/>
      <c r="N1493" s="36"/>
      <c r="O1493" s="36"/>
      <c r="P1493" s="36"/>
      <c r="Q1493" s="36"/>
      <c r="R1493" s="36"/>
      <c r="S1493" s="37"/>
      <c r="T1493" s="36"/>
      <c r="U1493" s="19"/>
      <c r="V1493" s="19" t="s">
        <v>1945</v>
      </c>
      <c r="W1493" s="19"/>
      <c r="X1493" s="19"/>
      <c r="Y1493" s="19"/>
      <c r="Z1493" s="19" t="str">
        <f>A1493 &amp; "-" &amp; VLOOKUP(A1493,[4]PROGRAMMES!$E$1:$F$7,2,FALSE)</f>
        <v>5-Gouvernance et pilotage du secteur</v>
      </c>
      <c r="AA1493" s="19" t="str">
        <f>B1493 &amp; "-" &amp; VLOOKUP(B1493,[4]SOUSPROGRAMMES!$E$1:$F$44,2,FALSE)</f>
        <v xml:space="preserve">53- Systèmes d’information pour la gestion de l'éducation (collecte, analyse, diffusion, et utilisation des informations) </v>
      </c>
      <c r="AB1493" s="19" t="str">
        <f>C1493 &amp; "-" &amp; VLOOKUP(C1493,[4]RESULTATS!$E$1:$F$176,2,FALSE)</f>
        <v>531- La production des données permet d’offrir aux différents acteurs et utilisateurs à tous les niveaux l’information dont ils ont besoin</v>
      </c>
      <c r="AC1493" s="20" t="str">
        <f>D1493 &amp; "-" &amp; VLOOKUP(D1493,[4]STRATEGIES!$E$1:$F$504,2,FALSE)</f>
        <v>531- La production des données permet d’offrir aux différents acteurs et utilisateurs à tous les niveaux l’information dont ils ont besoin</v>
      </c>
      <c r="AD1493" s="21" t="str">
        <f t="shared" si="221"/>
        <v>531- La production des données permet d’offrir aux différents acteurs et utilisateurs à tous les niveaux l’information dont ils ont besoin</v>
      </c>
    </row>
    <row r="1494" spans="1:30" ht="60" hidden="1" customHeight="1" x14ac:dyDescent="0.8">
      <c r="A1494" s="25">
        <v>5</v>
      </c>
      <c r="B1494" s="16">
        <v>53</v>
      </c>
      <c r="C1494" s="16">
        <v>531</v>
      </c>
      <c r="D1494" s="16">
        <v>5311</v>
      </c>
      <c r="E1494" s="16">
        <v>5311</v>
      </c>
      <c r="F1494" s="16" t="s">
        <v>1959</v>
      </c>
      <c r="G1494" s="21"/>
      <c r="H1494" s="21"/>
      <c r="I1494" s="36">
        <v>0</v>
      </c>
      <c r="J1494" s="36"/>
      <c r="K1494" s="36"/>
      <c r="L1494" s="36"/>
      <c r="M1494" s="36"/>
      <c r="N1494" s="36"/>
      <c r="O1494" s="36"/>
      <c r="P1494" s="36"/>
      <c r="Q1494" s="36"/>
      <c r="R1494" s="36"/>
      <c r="S1494" s="37"/>
      <c r="T1494" s="36"/>
      <c r="U1494" s="19"/>
      <c r="V1494" s="19" t="s">
        <v>1945</v>
      </c>
      <c r="W1494" s="19"/>
      <c r="X1494" s="19"/>
      <c r="Y1494" s="19"/>
      <c r="Z1494" s="19" t="str">
        <f>A1494 &amp; "-" &amp; VLOOKUP(A1494,[4]PROGRAMMES!$E$1:$F$7,2,FALSE)</f>
        <v>5-Gouvernance et pilotage du secteur</v>
      </c>
      <c r="AA1494" s="19" t="str">
        <f>B1494 &amp; "-" &amp; VLOOKUP(B1494,[4]SOUSPROGRAMMES!$E$1:$F$44,2,FALSE)</f>
        <v xml:space="preserve">53- Systèmes d’information pour la gestion de l'éducation (collecte, analyse, diffusion, et utilisation des informations) </v>
      </c>
      <c r="AB1494" s="19" t="str">
        <f>C1494 &amp; "-" &amp; VLOOKUP(C1494,[4]RESULTATS!$E$1:$F$176,2,FALSE)</f>
        <v>531- La production des données permet d’offrir aux différents acteurs et utilisateurs à tous les niveaux l’information dont ils ont besoin</v>
      </c>
      <c r="AC1494" s="20" t="str">
        <f>D1494 &amp; "-" &amp; VLOOKUP(D1494,[4]STRATEGIES!$E$1:$F$504,2,FALSE)</f>
        <v>5311-Organisation de la collecte classique</v>
      </c>
      <c r="AD1494" s="21" t="str">
        <f t="shared" si="221"/>
        <v>5311-Organisation de la collecte classique</v>
      </c>
    </row>
    <row r="1495" spans="1:30" ht="60" hidden="1" customHeight="1" x14ac:dyDescent="0.8">
      <c r="A1495" s="25">
        <v>5</v>
      </c>
      <c r="B1495" s="16">
        <v>53</v>
      </c>
      <c r="C1495" s="16">
        <v>531</v>
      </c>
      <c r="D1495" s="16">
        <v>5311</v>
      </c>
      <c r="E1495" s="16">
        <v>53111</v>
      </c>
      <c r="F1495" s="16" t="s">
        <v>1960</v>
      </c>
      <c r="G1495" s="21" t="s">
        <v>88</v>
      </c>
      <c r="H1495" s="21" t="s">
        <v>55</v>
      </c>
      <c r="I1495" s="36">
        <v>0</v>
      </c>
      <c r="J1495" s="36">
        <v>0</v>
      </c>
      <c r="K1495" s="36">
        <v>0</v>
      </c>
      <c r="L1495" s="36">
        <v>0</v>
      </c>
      <c r="M1495" s="36">
        <f t="shared" si="219"/>
        <v>0</v>
      </c>
      <c r="N1495" s="36">
        <f>IF(OR(H1495="",H1495="sif",H1495="PM"),0,VLOOKUP(H1495,[5]CU!$C$4:$H$255,6,FALSE))</f>
        <v>0</v>
      </c>
      <c r="O1495" s="36"/>
      <c r="P1495" s="36"/>
      <c r="Q1495" s="36"/>
      <c r="R1495" s="36"/>
      <c r="S1495" s="37"/>
      <c r="T1495" s="38" t="s">
        <v>56</v>
      </c>
      <c r="U1495" s="19" t="s">
        <v>1873</v>
      </c>
      <c r="V1495" s="19" t="s">
        <v>1945</v>
      </c>
      <c r="W1495" s="19" t="s">
        <v>96</v>
      </c>
      <c r="X1495" s="19" t="s">
        <v>96</v>
      </c>
      <c r="Y1495" s="19" t="s">
        <v>32</v>
      </c>
      <c r="Z1495" s="19" t="str">
        <f>A1495 &amp; "-" &amp; VLOOKUP(A1495,[4]PROGRAMMES!$E$1:$F$7,2,FALSE)</f>
        <v>5-Gouvernance et pilotage du secteur</v>
      </c>
      <c r="AA1495" s="19" t="str">
        <f>B1495 &amp; "-" &amp; VLOOKUP(B1495,[4]SOUSPROGRAMMES!$E$1:$F$44,2,FALSE)</f>
        <v xml:space="preserve">53- Systèmes d’information pour la gestion de l'éducation (collecte, analyse, diffusion, et utilisation des informations) </v>
      </c>
      <c r="AB1495" s="19" t="str">
        <f>C1495 &amp; "-" &amp; VLOOKUP(C1495,[4]RESULTATS!$E$1:$F$176,2,FALSE)</f>
        <v>531- La production des données permet d’offrir aux différents acteurs et utilisateurs à tous les niveaux l’information dont ils ont besoin</v>
      </c>
      <c r="AC1495" s="20" t="str">
        <f>D1495 &amp; "-" &amp; VLOOKUP(D1495,[4]STRATEGIES!$E$1:$F$504,2,FALSE)</f>
        <v>5311-Organisation de la collecte classique</v>
      </c>
      <c r="AD1495" s="21" t="str">
        <f t="shared" si="221"/>
        <v>53111-Révision des outils de collecte en tenant compte de l'éducation inclusive, les catastrophes naturelles/crises, santé sexuelle, enseignement coranique etc……</v>
      </c>
    </row>
    <row r="1496" spans="1:30" ht="60" hidden="1" customHeight="1" x14ac:dyDescent="0.8">
      <c r="A1496" s="25">
        <v>5</v>
      </c>
      <c r="B1496" s="16">
        <v>53</v>
      </c>
      <c r="C1496" s="16">
        <v>531</v>
      </c>
      <c r="D1496" s="16">
        <v>5311</v>
      </c>
      <c r="E1496" s="16">
        <v>53112</v>
      </c>
      <c r="F1496" s="16" t="s">
        <v>1960</v>
      </c>
      <c r="G1496" s="21" t="s">
        <v>88</v>
      </c>
      <c r="H1496" s="21" t="s">
        <v>55</v>
      </c>
      <c r="I1496" s="36">
        <v>0</v>
      </c>
      <c r="J1496" s="36">
        <v>0</v>
      </c>
      <c r="K1496" s="36">
        <v>0</v>
      </c>
      <c r="L1496" s="36">
        <v>0</v>
      </c>
      <c r="M1496" s="36">
        <f t="shared" si="219"/>
        <v>0</v>
      </c>
      <c r="N1496" s="36">
        <f>IF(OR(H1496="",H1496="sif",H1496="PM"),0,VLOOKUP(H1496,[5]CU!$C$4:$H$255,6,FALSE))</f>
        <v>0</v>
      </c>
      <c r="O1496" s="36"/>
      <c r="P1496" s="36"/>
      <c r="Q1496" s="36"/>
      <c r="R1496" s="36"/>
      <c r="S1496" s="37"/>
      <c r="T1496" s="38" t="s">
        <v>56</v>
      </c>
      <c r="U1496" s="19" t="s">
        <v>1873</v>
      </c>
      <c r="V1496" s="19" t="s">
        <v>1945</v>
      </c>
      <c r="W1496" s="19" t="s">
        <v>96</v>
      </c>
      <c r="X1496" s="19" t="s">
        <v>96</v>
      </c>
      <c r="Y1496" s="19" t="s">
        <v>679</v>
      </c>
      <c r="Z1496" s="19" t="str">
        <f>A1496 &amp; "-" &amp; VLOOKUP(A1496,[4]PROGRAMMES!$E$1:$F$7,2,FALSE)</f>
        <v>5-Gouvernance et pilotage du secteur</v>
      </c>
      <c r="AA1496" s="19" t="str">
        <f>B1496 &amp; "-" &amp; VLOOKUP(B1496,[4]SOUSPROGRAMMES!$E$1:$F$44,2,FALSE)</f>
        <v xml:space="preserve">53- Systèmes d’information pour la gestion de l'éducation (collecte, analyse, diffusion, et utilisation des informations) </v>
      </c>
      <c r="AB1496" s="19" t="str">
        <f>C1496 &amp; "-" &amp; VLOOKUP(C1496,[4]RESULTATS!$E$1:$F$176,2,FALSE)</f>
        <v>531- La production des données permet d’offrir aux différents acteurs et utilisateurs à tous les niveaux l’information dont ils ont besoin</v>
      </c>
      <c r="AC1496" s="20" t="str">
        <f>D1496 &amp; "-" &amp; VLOOKUP(D1496,[4]STRATEGIES!$E$1:$F$504,2,FALSE)</f>
        <v>5311-Organisation de la collecte classique</v>
      </c>
      <c r="AD1496" s="21" t="str">
        <f t="shared" si="221"/>
        <v>53112-Révision des outils de collecte en tenant compte de l'éducation inclusive, les catastrophes naturelles/crises, santé sexuelle, enseignement coranique etc……</v>
      </c>
    </row>
    <row r="1497" spans="1:30" ht="60" hidden="1" customHeight="1" x14ac:dyDescent="0.8">
      <c r="A1497" s="25">
        <v>5</v>
      </c>
      <c r="B1497" s="16">
        <v>53</v>
      </c>
      <c r="C1497" s="16">
        <v>531</v>
      </c>
      <c r="D1497" s="16">
        <v>5311</v>
      </c>
      <c r="E1497" s="16">
        <v>53113</v>
      </c>
      <c r="F1497" s="16" t="s">
        <v>1960</v>
      </c>
      <c r="G1497" s="21" t="s">
        <v>88</v>
      </c>
      <c r="H1497" s="17" t="s">
        <v>55</v>
      </c>
      <c r="I1497" s="36">
        <v>0</v>
      </c>
      <c r="J1497" s="36">
        <v>0</v>
      </c>
      <c r="K1497" s="36">
        <v>0</v>
      </c>
      <c r="L1497" s="36">
        <v>0</v>
      </c>
      <c r="M1497" s="36">
        <f t="shared" si="219"/>
        <v>0</v>
      </c>
      <c r="N1497" s="36">
        <f>IF(OR(H1497="",H1497="sif",H1497="PM"),0,VLOOKUP(H1497,[5]CU!$C$4:$H$255,6,FALSE))</f>
        <v>0</v>
      </c>
      <c r="O1497" s="36">
        <f t="shared" ref="O1497:R1532" si="223">IFERROR($N1497*I1497,0)</f>
        <v>0</v>
      </c>
      <c r="P1497" s="36">
        <f t="shared" si="223"/>
        <v>0</v>
      </c>
      <c r="Q1497" s="36">
        <f t="shared" si="223"/>
        <v>0</v>
      </c>
      <c r="R1497" s="36">
        <f t="shared" si="223"/>
        <v>0</v>
      </c>
      <c r="S1497" s="37"/>
      <c r="T1497" s="38" t="s">
        <v>56</v>
      </c>
      <c r="U1497" s="19" t="s">
        <v>1873</v>
      </c>
      <c r="V1497" s="19" t="s">
        <v>1945</v>
      </c>
      <c r="W1497" s="19" t="s">
        <v>96</v>
      </c>
      <c r="X1497" s="19" t="s">
        <v>96</v>
      </c>
      <c r="Y1497" s="19" t="s">
        <v>677</v>
      </c>
      <c r="Z1497" s="19" t="str">
        <f>A1497 &amp; "-" &amp; VLOOKUP(A1497,[4]PROGRAMMES!$E$1:$F$7,2,FALSE)</f>
        <v>5-Gouvernance et pilotage du secteur</v>
      </c>
      <c r="AA1497" s="19" t="str">
        <f>B1497 &amp; "-" &amp; VLOOKUP(B1497,[4]SOUSPROGRAMMES!$E$1:$F$44,2,FALSE)</f>
        <v xml:space="preserve">53- Systèmes d’information pour la gestion de l'éducation (collecte, analyse, diffusion, et utilisation des informations) </v>
      </c>
      <c r="AB1497" s="19" t="str">
        <f>C1497 &amp; "-" &amp; VLOOKUP(C1497,[4]RESULTATS!$E$1:$F$176,2,FALSE)</f>
        <v>531- La production des données permet d’offrir aux différents acteurs et utilisateurs à tous les niveaux l’information dont ils ont besoin</v>
      </c>
      <c r="AC1497" s="20" t="str">
        <f>D1497 &amp; "-" &amp; VLOOKUP(D1497,[4]STRATEGIES!$E$1:$F$504,2,FALSE)</f>
        <v>5311-Organisation de la collecte classique</v>
      </c>
      <c r="AD1497" s="21" t="str">
        <f t="shared" si="221"/>
        <v>53113-Révision des outils de collecte en tenant compte de l'éducation inclusive, les catastrophes naturelles/crises, santé sexuelle, enseignement coranique etc……</v>
      </c>
    </row>
    <row r="1498" spans="1:30" ht="60" hidden="1" customHeight="1" x14ac:dyDescent="0.8">
      <c r="A1498" s="25">
        <v>5</v>
      </c>
      <c r="B1498" s="16">
        <v>53</v>
      </c>
      <c r="C1498" s="16">
        <v>531</v>
      </c>
      <c r="D1498" s="16">
        <v>5311</v>
      </c>
      <c r="E1498" s="16">
        <v>53114</v>
      </c>
      <c r="F1498" s="16" t="s">
        <v>1961</v>
      </c>
      <c r="G1498" s="21" t="s">
        <v>1962</v>
      </c>
      <c r="H1498" s="21" t="s">
        <v>452</v>
      </c>
      <c r="I1498" s="36">
        <v>0</v>
      </c>
      <c r="J1498" s="36">
        <f>(ROUND(I1498*(1+5%),0))*76.8%</f>
        <v>0</v>
      </c>
      <c r="K1498" s="36">
        <f>(ROUND(J1498*(1+5%),0))*76.8%</f>
        <v>0</v>
      </c>
      <c r="L1498" s="36">
        <f>(ROUND(K1498*(1+5%),0))*76.8%</f>
        <v>0</v>
      </c>
      <c r="M1498" s="36">
        <f>SUM(I1498:L1498)</f>
        <v>0</v>
      </c>
      <c r="N1498" s="36">
        <f>IF(OR(H1498="",H1498="sif",H1498="PM"),0,VLOOKUP(H1498,[5]CU!$C$4:$H$255,6,FALSE))</f>
        <v>7.4999999999999997E-3</v>
      </c>
      <c r="O1498" s="36">
        <f>IFERROR($N1498*I1498,0)</f>
        <v>0</v>
      </c>
      <c r="P1498" s="36">
        <f>IFERROR($N1498*J1498,0)</f>
        <v>0</v>
      </c>
      <c r="Q1498" s="36">
        <f>IFERROR($N1498*K1498,0)</f>
        <v>0</v>
      </c>
      <c r="R1498" s="36">
        <f>IFERROR($N1498*L1498,0)</f>
        <v>0</v>
      </c>
      <c r="S1498" s="37">
        <f>SUM(O1498:R1498)</f>
        <v>0</v>
      </c>
      <c r="T1498" s="38" t="s">
        <v>56</v>
      </c>
      <c r="U1498" s="19" t="s">
        <v>1873</v>
      </c>
      <c r="V1498" s="19" t="str">
        <f>IF(OR($H1498="",$H1498="sif",$H1498="PM"),"",VLOOKUP($H1498,[5]CU!$C$5:$J$255,8,FALSE))</f>
        <v>3. Dépenses de fonctionnement</v>
      </c>
      <c r="W1498" s="19" t="s">
        <v>96</v>
      </c>
      <c r="X1498" s="19" t="s">
        <v>1963</v>
      </c>
      <c r="Y1498" s="19" t="s">
        <v>32</v>
      </c>
      <c r="Z1498" s="19" t="str">
        <f>A1498 &amp; "-" &amp; VLOOKUP(A1498,[4]PROGRAMMES!$E$1:$F$7,2,FALSE)</f>
        <v>5-Gouvernance et pilotage du secteur</v>
      </c>
      <c r="AA1498" s="19" t="str">
        <f>B1498 &amp; "-" &amp; VLOOKUP(B1498,[4]SOUSPROGRAMMES!$E$1:$F$44,2,FALSE)</f>
        <v xml:space="preserve">53- Systèmes d’information pour la gestion de l'éducation (collecte, analyse, diffusion, et utilisation des informations) </v>
      </c>
      <c r="AB1498" s="19" t="str">
        <f>C1498 &amp; "-" &amp; VLOOKUP(C1498,[4]RESULTATS!$E$1:$F$176,2,FALSE)</f>
        <v>531- La production des données permet d’offrir aux différents acteurs et utilisateurs à tous les niveaux l’information dont ils ont besoin</v>
      </c>
      <c r="AC1498" s="20" t="str">
        <f>D1498 &amp; "-" &amp; VLOOKUP(D1498,[4]STRATEGIES!$E$1:$F$504,2,FALSE)</f>
        <v>5311-Organisation de la collecte classique</v>
      </c>
      <c r="AD1498" s="21" t="str">
        <f t="shared" si="221"/>
        <v>53114-Impression des fiches de collecte (MENA)</v>
      </c>
    </row>
    <row r="1499" spans="1:30" ht="60" hidden="1" customHeight="1" x14ac:dyDescent="0.8">
      <c r="A1499" s="25">
        <v>5</v>
      </c>
      <c r="B1499" s="16">
        <v>53</v>
      </c>
      <c r="C1499" s="16">
        <v>531</v>
      </c>
      <c r="D1499" s="16">
        <v>5311</v>
      </c>
      <c r="E1499" s="16">
        <v>53114</v>
      </c>
      <c r="F1499" s="16" t="s">
        <v>1961</v>
      </c>
      <c r="G1499" s="21" t="s">
        <v>1962</v>
      </c>
      <c r="H1499" s="21" t="s">
        <v>452</v>
      </c>
      <c r="I1499" s="36">
        <v>0</v>
      </c>
      <c r="J1499" s="36">
        <f>(ROUND(I1498*(1+5%),0))*23.2%</f>
        <v>0</v>
      </c>
      <c r="K1499" s="36">
        <f>(ROUND(J1498*(1+5%),0))*23.2%</f>
        <v>0</v>
      </c>
      <c r="L1499" s="36">
        <f>(ROUND(K1498*(1+5%),0))*23.2%</f>
        <v>0</v>
      </c>
      <c r="M1499" s="36">
        <f t="shared" si="219"/>
        <v>0</v>
      </c>
      <c r="N1499" s="36">
        <f>IF(OR(H1499="",H1499="sif",H1499="PM"),0,VLOOKUP(H1499,[5]CU!$C$4:$H$255,6,FALSE))</f>
        <v>7.4999999999999997E-3</v>
      </c>
      <c r="O1499" s="36">
        <f t="shared" si="223"/>
        <v>0</v>
      </c>
      <c r="P1499" s="36">
        <f t="shared" si="223"/>
        <v>0</v>
      </c>
      <c r="Q1499" s="36">
        <f t="shared" si="223"/>
        <v>0</v>
      </c>
      <c r="R1499" s="36">
        <f t="shared" si="223"/>
        <v>0</v>
      </c>
      <c r="S1499" s="37">
        <f t="shared" ref="S1499:S1532" si="224">SUM(O1499:R1499)</f>
        <v>0</v>
      </c>
      <c r="T1499" s="38" t="s">
        <v>118</v>
      </c>
      <c r="U1499" s="19" t="s">
        <v>1873</v>
      </c>
      <c r="V1499" s="19" t="str">
        <f>IF(OR($H1499="",$H1499="sif",$H1499="PM"),"",VLOOKUP($H1499,[5]CU!$C$5:$J$255,8,FALSE))</f>
        <v>3. Dépenses de fonctionnement</v>
      </c>
      <c r="W1499" s="19" t="s">
        <v>96</v>
      </c>
      <c r="X1499" s="19" t="s">
        <v>1963</v>
      </c>
      <c r="Y1499" s="19" t="s">
        <v>32</v>
      </c>
      <c r="Z1499" s="19" t="str">
        <f>A1499 &amp; "-" &amp; VLOOKUP(A1499,[4]PROGRAMMES!$E$1:$F$7,2,FALSE)</f>
        <v>5-Gouvernance et pilotage du secteur</v>
      </c>
      <c r="AA1499" s="19" t="str">
        <f>B1499 &amp; "-" &amp; VLOOKUP(B1499,[4]SOUSPROGRAMMES!$E$1:$F$44,2,FALSE)</f>
        <v xml:space="preserve">53- Systèmes d’information pour la gestion de l'éducation (collecte, analyse, diffusion, et utilisation des informations) </v>
      </c>
      <c r="AB1499" s="19" t="str">
        <f>C1499 &amp; "-" &amp; VLOOKUP(C1499,[4]RESULTATS!$E$1:$F$176,2,FALSE)</f>
        <v>531- La production des données permet d’offrir aux différents acteurs et utilisateurs à tous les niveaux l’information dont ils ont besoin</v>
      </c>
      <c r="AC1499" s="20" t="str">
        <f>D1499 &amp; "-" &amp; VLOOKUP(D1499,[4]STRATEGIES!$E$1:$F$504,2,FALSE)</f>
        <v>5311-Organisation de la collecte classique</v>
      </c>
      <c r="AD1499" s="21" t="str">
        <f t="shared" si="221"/>
        <v>53114-Impression des fiches de collecte (MENA)</v>
      </c>
    </row>
    <row r="1500" spans="1:30" s="22" customFormat="1" ht="60" hidden="1" customHeight="1" x14ac:dyDescent="0.8">
      <c r="A1500" s="14">
        <v>5</v>
      </c>
      <c r="B1500" s="15">
        <v>53</v>
      </c>
      <c r="C1500" s="15">
        <v>531</v>
      </c>
      <c r="D1500" s="15">
        <v>5311</v>
      </c>
      <c r="E1500" s="15">
        <v>53115</v>
      </c>
      <c r="F1500" s="16" t="s">
        <v>1964</v>
      </c>
      <c r="G1500" s="21" t="s">
        <v>1962</v>
      </c>
      <c r="H1500" s="17" t="s">
        <v>452</v>
      </c>
      <c r="I1500" s="33">
        <v>0</v>
      </c>
      <c r="J1500" s="33">
        <f>(400/2)*2</f>
        <v>400</v>
      </c>
      <c r="K1500" s="33">
        <f>(400/2)*2</f>
        <v>400</v>
      </c>
      <c r="L1500" s="33">
        <f>(400/2)*2</f>
        <v>400</v>
      </c>
      <c r="M1500" s="33">
        <f t="shared" si="219"/>
        <v>1200</v>
      </c>
      <c r="N1500" s="33">
        <f>IF(OR(H1500="",H1500="sif",H1500="PM"),0,VLOOKUP(H1500,[5]CU!$C$4:$H$255,6,FALSE))</f>
        <v>7.4999999999999997E-3</v>
      </c>
      <c r="O1500" s="33">
        <f t="shared" si="223"/>
        <v>0</v>
      </c>
      <c r="P1500" s="33">
        <f t="shared" si="223"/>
        <v>3</v>
      </c>
      <c r="Q1500" s="33">
        <f t="shared" si="223"/>
        <v>3</v>
      </c>
      <c r="R1500" s="33">
        <f t="shared" si="223"/>
        <v>3</v>
      </c>
      <c r="S1500" s="34">
        <f t="shared" si="224"/>
        <v>9</v>
      </c>
      <c r="T1500" s="35" t="s">
        <v>56</v>
      </c>
      <c r="U1500" s="18" t="s">
        <v>1873</v>
      </c>
      <c r="V1500" s="18" t="str">
        <f>IF(OR($H1500="",$H1500="sif",$H1500="PM"),"",VLOOKUP($H1500,[5]CU!$C$5:$J$255,8,FALSE))</f>
        <v>3. Dépenses de fonctionnement</v>
      </c>
      <c r="W1500" s="18" t="s">
        <v>96</v>
      </c>
      <c r="X1500" s="18" t="s">
        <v>1963</v>
      </c>
      <c r="Y1500" s="18" t="s">
        <v>679</v>
      </c>
      <c r="Z1500" s="18" t="str">
        <f>A1500 &amp; "-" &amp; VLOOKUP(A1500,[4]PROGRAMMES!$E$1:$F$7,2,FALSE)</f>
        <v>5-Gouvernance et pilotage du secteur</v>
      </c>
      <c r="AA1500" s="19" t="str">
        <f>B1500 &amp; "-" &amp; VLOOKUP(B1500,[4]SOUSPROGRAMMES!$E$1:$F$44,2,FALSE)</f>
        <v xml:space="preserve">53- Systèmes d’information pour la gestion de l'éducation (collecte, analyse, diffusion, et utilisation des informations) </v>
      </c>
      <c r="AB1500" s="19" t="str">
        <f>C1500 &amp; "-" &amp; VLOOKUP(C1500,[4]RESULTATS!$E$1:$F$176,2,FALSE)</f>
        <v>531- La production des données permet d’offrir aux différents acteurs et utilisateurs à tous les niveaux l’information dont ils ont besoin</v>
      </c>
      <c r="AC1500" s="20" t="str">
        <f>D1500 &amp; "-" &amp; VLOOKUP(D1500,[4]STRATEGIES!$E$1:$F$504,2,FALSE)</f>
        <v>5311-Organisation de la collecte classique</v>
      </c>
      <c r="AD1500" s="21" t="str">
        <f t="shared" si="221"/>
        <v>53115-Impression des fiches de collecte (MESRS)</v>
      </c>
    </row>
    <row r="1501" spans="1:30" s="22" customFormat="1" ht="60" hidden="1" customHeight="1" x14ac:dyDescent="0.8">
      <c r="A1501" s="14">
        <v>5</v>
      </c>
      <c r="B1501" s="15">
        <v>53</v>
      </c>
      <c r="C1501" s="15">
        <v>531</v>
      </c>
      <c r="D1501" s="15">
        <v>5311</v>
      </c>
      <c r="E1501" s="15">
        <v>53116</v>
      </c>
      <c r="F1501" s="16" t="s">
        <v>1965</v>
      </c>
      <c r="G1501" s="21" t="s">
        <v>1962</v>
      </c>
      <c r="H1501" s="17" t="s">
        <v>452</v>
      </c>
      <c r="I1501" s="33">
        <v>0</v>
      </c>
      <c r="J1501" s="33">
        <f>(150/2)*2</f>
        <v>150</v>
      </c>
      <c r="K1501" s="33">
        <f>(150/2)*2</f>
        <v>150</v>
      </c>
      <c r="L1501" s="33">
        <f>(150/2)*2</f>
        <v>150</v>
      </c>
      <c r="M1501" s="33">
        <f t="shared" ref="M1501:M1532" si="225">SUM(I1501:L1501)</f>
        <v>450</v>
      </c>
      <c r="N1501" s="33">
        <f>IF(OR(H1501="",H1501="sif",H1501="PM"),0,VLOOKUP(H1501,[5]CU!$C$4:$H$255,6,FALSE))</f>
        <v>7.4999999999999997E-3</v>
      </c>
      <c r="O1501" s="33">
        <f t="shared" si="223"/>
        <v>0</v>
      </c>
      <c r="P1501" s="33">
        <f t="shared" si="223"/>
        <v>1.125</v>
      </c>
      <c r="Q1501" s="33">
        <f t="shared" si="223"/>
        <v>1.125</v>
      </c>
      <c r="R1501" s="33">
        <f t="shared" si="223"/>
        <v>1.125</v>
      </c>
      <c r="S1501" s="34">
        <f t="shared" si="224"/>
        <v>3.375</v>
      </c>
      <c r="T1501" s="35" t="s">
        <v>56</v>
      </c>
      <c r="U1501" s="18" t="s">
        <v>1873</v>
      </c>
      <c r="V1501" s="18" t="str">
        <f>IF(OR($H1501="",$H1501="sif",$H1501="PM"),"",VLOOKUP($H1501,[5]CU!$C$5:$J$255,8,FALSE))</f>
        <v>3. Dépenses de fonctionnement</v>
      </c>
      <c r="W1501" s="18" t="s">
        <v>96</v>
      </c>
      <c r="X1501" s="18" t="s">
        <v>1963</v>
      </c>
      <c r="Y1501" s="18" t="s">
        <v>677</v>
      </c>
      <c r="Z1501" s="18" t="str">
        <f>A1501 &amp; "-" &amp; VLOOKUP(A1501,[4]PROGRAMMES!$E$1:$F$7,2,FALSE)</f>
        <v>5-Gouvernance et pilotage du secteur</v>
      </c>
      <c r="AA1501" s="19" t="str">
        <f>B1501 &amp; "-" &amp; VLOOKUP(B1501,[4]SOUSPROGRAMMES!$E$1:$F$44,2,FALSE)</f>
        <v xml:space="preserve">53- Systèmes d’information pour la gestion de l'éducation (collecte, analyse, diffusion, et utilisation des informations) </v>
      </c>
      <c r="AB1501" s="19" t="str">
        <f>C1501 &amp; "-" &amp; VLOOKUP(C1501,[4]RESULTATS!$E$1:$F$176,2,FALSE)</f>
        <v>531- La production des données permet d’offrir aux différents acteurs et utilisateurs à tous les niveaux l’information dont ils ont besoin</v>
      </c>
      <c r="AC1501" s="20" t="str">
        <f>D1501 &amp; "-" &amp; VLOOKUP(D1501,[4]STRATEGIES!$E$1:$F$504,2,FALSE)</f>
        <v>5311-Organisation de la collecte classique</v>
      </c>
      <c r="AD1501" s="21" t="str">
        <f t="shared" si="221"/>
        <v>53116-Impression des fiches de collecte (METFP)</v>
      </c>
    </row>
    <row r="1502" spans="1:30" s="22" customFormat="1" ht="60" hidden="1" customHeight="1" x14ac:dyDescent="0.8">
      <c r="A1502" s="14">
        <v>5</v>
      </c>
      <c r="B1502" s="15">
        <v>53</v>
      </c>
      <c r="C1502" s="15">
        <v>531</v>
      </c>
      <c r="D1502" s="15">
        <v>5311</v>
      </c>
      <c r="E1502" s="15">
        <v>53117</v>
      </c>
      <c r="F1502" s="16" t="s">
        <v>1966</v>
      </c>
      <c r="G1502" s="21" t="s">
        <v>315</v>
      </c>
      <c r="H1502" s="17" t="s">
        <v>301</v>
      </c>
      <c r="I1502" s="33">
        <v>0</v>
      </c>
      <c r="J1502" s="33">
        <f>((2*46+8)*2)*75%</f>
        <v>150</v>
      </c>
      <c r="K1502" s="33">
        <f>((2*46+8)*2)*75%</f>
        <v>150</v>
      </c>
      <c r="L1502" s="33">
        <f>((2*46+8)*2)*75%</f>
        <v>150</v>
      </c>
      <c r="M1502" s="33">
        <f>SUM(I1502:L1502)</f>
        <v>450</v>
      </c>
      <c r="N1502" s="33">
        <f>IF(OR(H1502="",H1502="sif",H1502="PM"),0,VLOOKUP(H1502,[5]CU!$C$4:$H$255,6,FALSE))</f>
        <v>0.67666666666666664</v>
      </c>
      <c r="O1502" s="33">
        <f>IFERROR($N1502*I1502,0)</f>
        <v>0</v>
      </c>
      <c r="P1502" s="33">
        <f>IFERROR($N1502*J1502,0)</f>
        <v>101.5</v>
      </c>
      <c r="Q1502" s="33">
        <f>IFERROR($N1502*K1502,0)</f>
        <v>101.5</v>
      </c>
      <c r="R1502" s="33">
        <f>IFERROR($N1502*L1502,0)</f>
        <v>101.5</v>
      </c>
      <c r="S1502" s="34">
        <f>SUM(O1502:R1502)</f>
        <v>304.5</v>
      </c>
      <c r="T1502" s="35" t="s">
        <v>56</v>
      </c>
      <c r="U1502" s="18" t="s">
        <v>1873</v>
      </c>
      <c r="V1502" s="18" t="str">
        <f>IF(OR($H1502="",$H1502="sif",$H1502="PM"),"",VLOOKUP($H1502,[5]CU!$C$5:$J$255,8,FALSE))</f>
        <v>3. Formation</v>
      </c>
      <c r="W1502" s="18" t="s">
        <v>96</v>
      </c>
      <c r="X1502" s="18" t="s">
        <v>96</v>
      </c>
      <c r="Y1502" s="19" t="s">
        <v>32</v>
      </c>
      <c r="Z1502" s="18" t="str">
        <f>A1502 &amp; "-" &amp; VLOOKUP(A1502,[4]PROGRAMMES!$E$1:$F$7,2,FALSE)</f>
        <v>5-Gouvernance et pilotage du secteur</v>
      </c>
      <c r="AA1502" s="19" t="str">
        <f>B1502 &amp; "-" &amp; VLOOKUP(B1502,[4]SOUSPROGRAMMES!$E$1:$F$44,2,FALSE)</f>
        <v xml:space="preserve">53- Systèmes d’information pour la gestion de l'éducation (collecte, analyse, diffusion, et utilisation des informations) </v>
      </c>
      <c r="AB1502" s="19" t="str">
        <f>C1502 &amp; "-" &amp; VLOOKUP(C1502,[4]RESULTATS!$E$1:$F$176,2,FALSE)</f>
        <v>531- La production des données permet d’offrir aux différents acteurs et utilisateurs à tous les niveaux l’information dont ils ont besoin</v>
      </c>
      <c r="AC1502" s="20" t="str">
        <f>D1502 &amp; "-" &amp; VLOOKUP(D1502,[4]STRATEGIES!$E$1:$F$504,2,FALSE)</f>
        <v>5311-Organisation de la collecte classique</v>
      </c>
      <c r="AD1502" s="21" t="str">
        <f t="shared" si="221"/>
        <v>53117-Lancement de la campagne de la collecte et distribution des fiches de collecte</v>
      </c>
    </row>
    <row r="1503" spans="1:30" s="22" customFormat="1" ht="60" hidden="1" customHeight="1" x14ac:dyDescent="0.8">
      <c r="A1503" s="14">
        <v>5</v>
      </c>
      <c r="B1503" s="15">
        <v>53</v>
      </c>
      <c r="C1503" s="15">
        <v>531</v>
      </c>
      <c r="D1503" s="15">
        <v>5311</v>
      </c>
      <c r="E1503" s="15">
        <v>53117</v>
      </c>
      <c r="F1503" s="16" t="s">
        <v>1966</v>
      </c>
      <c r="G1503" s="21" t="s">
        <v>315</v>
      </c>
      <c r="H1503" s="17" t="s">
        <v>301</v>
      </c>
      <c r="I1503" s="33">
        <v>0</v>
      </c>
      <c r="J1503" s="33">
        <f>((2*46+8)*2)*25%</f>
        <v>50</v>
      </c>
      <c r="K1503" s="33">
        <f>((2*46+8)*2)*25%</f>
        <v>50</v>
      </c>
      <c r="L1503" s="33">
        <f>((2*46+8)*2)*25%</f>
        <v>50</v>
      </c>
      <c r="M1503" s="33">
        <f t="shared" si="225"/>
        <v>150</v>
      </c>
      <c r="N1503" s="33">
        <f>IF(OR(H1503="",H1503="sif",H1503="PM"),0,VLOOKUP(H1503,[5]CU!$C$4:$H$255,6,FALSE))</f>
        <v>0.67666666666666664</v>
      </c>
      <c r="O1503" s="33">
        <f t="shared" si="223"/>
        <v>0</v>
      </c>
      <c r="P1503" s="33">
        <f t="shared" si="223"/>
        <v>33.833333333333329</v>
      </c>
      <c r="Q1503" s="33">
        <f t="shared" si="223"/>
        <v>33.833333333333329</v>
      </c>
      <c r="R1503" s="33">
        <f t="shared" si="223"/>
        <v>33.833333333333329</v>
      </c>
      <c r="S1503" s="34">
        <f t="shared" si="224"/>
        <v>101.49999999999999</v>
      </c>
      <c r="T1503" s="35" t="s">
        <v>118</v>
      </c>
      <c r="U1503" s="18" t="s">
        <v>1873</v>
      </c>
      <c r="V1503" s="18" t="str">
        <f>IF(OR($H1503="",$H1503="sif",$H1503="PM"),"",VLOOKUP($H1503,[5]CU!$C$5:$J$255,8,FALSE))</f>
        <v>3. Formation</v>
      </c>
      <c r="W1503" s="18" t="s">
        <v>96</v>
      </c>
      <c r="X1503" s="18" t="s">
        <v>96</v>
      </c>
      <c r="Y1503" s="19" t="s">
        <v>32</v>
      </c>
      <c r="Z1503" s="18" t="str">
        <f>A1503 &amp; "-" &amp; VLOOKUP(A1503,[4]PROGRAMMES!$E$1:$F$7,2,FALSE)</f>
        <v>5-Gouvernance et pilotage du secteur</v>
      </c>
      <c r="AA1503" s="19" t="str">
        <f>B1503 &amp; "-" &amp; VLOOKUP(B1503,[4]SOUSPROGRAMMES!$E$1:$F$44,2,FALSE)</f>
        <v xml:space="preserve">53- Systèmes d’information pour la gestion de l'éducation (collecte, analyse, diffusion, et utilisation des informations) </v>
      </c>
      <c r="AB1503" s="19" t="str">
        <f>C1503 &amp; "-" &amp; VLOOKUP(C1503,[4]RESULTATS!$E$1:$F$176,2,FALSE)</f>
        <v>531- La production des données permet d’offrir aux différents acteurs et utilisateurs à tous les niveaux l’information dont ils ont besoin</v>
      </c>
      <c r="AC1503" s="20" t="str">
        <f>D1503 &amp; "-" &amp; VLOOKUP(D1503,[4]STRATEGIES!$E$1:$F$504,2,FALSE)</f>
        <v>5311-Organisation de la collecte classique</v>
      </c>
      <c r="AD1503" s="21" t="str">
        <f t="shared" si="221"/>
        <v>53117-Lancement de la campagne de la collecte et distribution des fiches de collecte</v>
      </c>
    </row>
    <row r="1504" spans="1:30" s="22" customFormat="1" ht="60" hidden="1" customHeight="1" x14ac:dyDescent="0.8">
      <c r="A1504" s="14">
        <v>5</v>
      </c>
      <c r="B1504" s="15">
        <v>53</v>
      </c>
      <c r="C1504" s="15">
        <v>531</v>
      </c>
      <c r="D1504" s="15">
        <v>5311</v>
      </c>
      <c r="E1504" s="15">
        <v>53118</v>
      </c>
      <c r="F1504" s="16" t="s">
        <v>1966</v>
      </c>
      <c r="G1504" s="21" t="s">
        <v>315</v>
      </c>
      <c r="H1504" s="17" t="s">
        <v>38</v>
      </c>
      <c r="I1504" s="33">
        <v>0</v>
      </c>
      <c r="J1504" s="33">
        <f>(50*1)*75%</f>
        <v>37.5</v>
      </c>
      <c r="K1504" s="33">
        <f>(50*1)*75%</f>
        <v>37.5</v>
      </c>
      <c r="L1504" s="33">
        <f>(50*1)*75%</f>
        <v>37.5</v>
      </c>
      <c r="M1504" s="33">
        <f>SUM(I1504:L1504)</f>
        <v>112.5</v>
      </c>
      <c r="N1504" s="33">
        <f>IF(OR(H1504="",H1504="sif",H1504="PM"),0,VLOOKUP(H1504,[5]CU!$C$4:$H$255,6,FALSE))</f>
        <v>0.3133333333333333</v>
      </c>
      <c r="O1504" s="33">
        <f>IFERROR($N1504*I1504,0)</f>
        <v>0</v>
      </c>
      <c r="P1504" s="33">
        <f>IFERROR($N1504*J1504,0)</f>
        <v>11.749999999999998</v>
      </c>
      <c r="Q1504" s="33">
        <f>IFERROR($N1504*K1504,0)</f>
        <v>11.749999999999998</v>
      </c>
      <c r="R1504" s="33">
        <f>IFERROR($N1504*L1504,0)</f>
        <v>11.749999999999998</v>
      </c>
      <c r="S1504" s="34">
        <f>SUM(O1504:R1504)</f>
        <v>35.249999999999993</v>
      </c>
      <c r="T1504" s="35" t="s">
        <v>56</v>
      </c>
      <c r="U1504" s="18" t="s">
        <v>1873</v>
      </c>
      <c r="V1504" s="18" t="str">
        <f>IF(OR($H1504="",$H1504="sif",$H1504="PM"),"",VLOOKUP($H1504,[5]CU!$C$5:$J$255,8,FALSE))</f>
        <v>3. Formation</v>
      </c>
      <c r="W1504" s="18" t="s">
        <v>96</v>
      </c>
      <c r="X1504" s="18" t="s">
        <v>96</v>
      </c>
      <c r="Y1504" s="18" t="s">
        <v>679</v>
      </c>
      <c r="Z1504" s="18" t="str">
        <f>A1504 &amp; "-" &amp; VLOOKUP(A1504,[4]PROGRAMMES!$E$1:$F$7,2,FALSE)</f>
        <v>5-Gouvernance et pilotage du secteur</v>
      </c>
      <c r="AA1504" s="19" t="str">
        <f>B1504 &amp; "-" &amp; VLOOKUP(B1504,[4]SOUSPROGRAMMES!$E$1:$F$44,2,FALSE)</f>
        <v xml:space="preserve">53- Systèmes d’information pour la gestion de l'éducation (collecte, analyse, diffusion, et utilisation des informations) </v>
      </c>
      <c r="AB1504" s="19" t="str">
        <f>C1504 &amp; "-" &amp; VLOOKUP(C1504,[4]RESULTATS!$E$1:$F$176,2,FALSE)</f>
        <v>531- La production des données permet d’offrir aux différents acteurs et utilisateurs à tous les niveaux l’information dont ils ont besoin</v>
      </c>
      <c r="AC1504" s="20" t="str">
        <f>D1504 &amp; "-" &amp; VLOOKUP(D1504,[4]STRATEGIES!$E$1:$F$504,2,FALSE)</f>
        <v>5311-Organisation de la collecte classique</v>
      </c>
      <c r="AD1504" s="21" t="str">
        <f t="shared" si="221"/>
        <v>53118-Lancement de la campagne de la collecte et distribution des fiches de collecte</v>
      </c>
    </row>
    <row r="1505" spans="1:30" s="22" customFormat="1" ht="60" hidden="1" customHeight="1" x14ac:dyDescent="0.8">
      <c r="A1505" s="14">
        <v>5</v>
      </c>
      <c r="B1505" s="15">
        <v>53</v>
      </c>
      <c r="C1505" s="15">
        <v>531</v>
      </c>
      <c r="D1505" s="15">
        <v>5311</v>
      </c>
      <c r="E1505" s="15">
        <v>53118</v>
      </c>
      <c r="F1505" s="16" t="s">
        <v>1966</v>
      </c>
      <c r="G1505" s="21" t="s">
        <v>315</v>
      </c>
      <c r="H1505" s="17" t="s">
        <v>38</v>
      </c>
      <c r="I1505" s="33">
        <v>0</v>
      </c>
      <c r="J1505" s="33">
        <f>(50*1)*25%</f>
        <v>12.5</v>
      </c>
      <c r="K1505" s="33">
        <f>(50*1)*25%</f>
        <v>12.5</v>
      </c>
      <c r="L1505" s="33">
        <f>(50*1)*25%</f>
        <v>12.5</v>
      </c>
      <c r="M1505" s="33">
        <f t="shared" si="225"/>
        <v>37.5</v>
      </c>
      <c r="N1505" s="33">
        <f>IF(OR(H1505="",H1505="sif",H1505="PM"),0,VLOOKUP(H1505,[5]CU!$C$4:$H$255,6,FALSE))</f>
        <v>0.3133333333333333</v>
      </c>
      <c r="O1505" s="33">
        <f t="shared" si="223"/>
        <v>0</v>
      </c>
      <c r="P1505" s="33">
        <f t="shared" si="223"/>
        <v>3.9166666666666661</v>
      </c>
      <c r="Q1505" s="33">
        <f t="shared" si="223"/>
        <v>3.9166666666666661</v>
      </c>
      <c r="R1505" s="33">
        <f t="shared" si="223"/>
        <v>3.9166666666666661</v>
      </c>
      <c r="S1505" s="34">
        <f t="shared" si="224"/>
        <v>11.749999999999998</v>
      </c>
      <c r="T1505" s="35" t="s">
        <v>118</v>
      </c>
      <c r="U1505" s="18" t="s">
        <v>1873</v>
      </c>
      <c r="V1505" s="18" t="str">
        <f>IF(OR($H1505="",$H1505="sif",$H1505="PM"),"",VLOOKUP($H1505,[5]CU!$C$5:$J$255,8,FALSE))</f>
        <v>3. Formation</v>
      </c>
      <c r="W1505" s="18" t="s">
        <v>96</v>
      </c>
      <c r="X1505" s="18" t="s">
        <v>96</v>
      </c>
      <c r="Y1505" s="18" t="s">
        <v>679</v>
      </c>
      <c r="Z1505" s="18" t="str">
        <f>A1505 &amp; "-" &amp; VLOOKUP(A1505,[4]PROGRAMMES!$E$1:$F$7,2,FALSE)</f>
        <v>5-Gouvernance et pilotage du secteur</v>
      </c>
      <c r="AA1505" s="19" t="str">
        <f>B1505 &amp; "-" &amp; VLOOKUP(B1505,[4]SOUSPROGRAMMES!$E$1:$F$44,2,FALSE)</f>
        <v xml:space="preserve">53- Systèmes d’information pour la gestion de l'éducation (collecte, analyse, diffusion, et utilisation des informations) </v>
      </c>
      <c r="AB1505" s="19" t="str">
        <f>C1505 &amp; "-" &amp; VLOOKUP(C1505,[4]RESULTATS!$E$1:$F$176,2,FALSE)</f>
        <v>531- La production des données permet d’offrir aux différents acteurs et utilisateurs à tous les niveaux l’information dont ils ont besoin</v>
      </c>
      <c r="AC1505" s="20" t="str">
        <f>D1505 &amp; "-" &amp; VLOOKUP(D1505,[4]STRATEGIES!$E$1:$F$504,2,FALSE)</f>
        <v>5311-Organisation de la collecte classique</v>
      </c>
      <c r="AD1505" s="21" t="str">
        <f t="shared" si="221"/>
        <v>53118-Lancement de la campagne de la collecte et distribution des fiches de collecte</v>
      </c>
    </row>
    <row r="1506" spans="1:30" s="22" customFormat="1" ht="60" hidden="1" customHeight="1" x14ac:dyDescent="0.8">
      <c r="A1506" s="14">
        <v>5</v>
      </c>
      <c r="B1506" s="15">
        <v>53</v>
      </c>
      <c r="C1506" s="15">
        <v>531</v>
      </c>
      <c r="D1506" s="15">
        <v>5311</v>
      </c>
      <c r="E1506" s="15">
        <v>53119</v>
      </c>
      <c r="F1506" s="16" t="s">
        <v>1966</v>
      </c>
      <c r="G1506" s="21" t="s">
        <v>315</v>
      </c>
      <c r="H1506" s="17" t="s">
        <v>38</v>
      </c>
      <c r="I1506" s="33">
        <v>0</v>
      </c>
      <c r="J1506" s="33">
        <f>(50*1)*75%</f>
        <v>37.5</v>
      </c>
      <c r="K1506" s="33">
        <f>(50*1)*75%</f>
        <v>37.5</v>
      </c>
      <c r="L1506" s="33">
        <f>(50*1)*75%</f>
        <v>37.5</v>
      </c>
      <c r="M1506" s="33">
        <f>SUM(I1506:L1506)</f>
        <v>112.5</v>
      </c>
      <c r="N1506" s="33">
        <f>IF(OR(H1506="",H1506="sif",H1506="PM"),0,VLOOKUP(H1506,[5]CU!$C$4:$H$255,6,FALSE))</f>
        <v>0.3133333333333333</v>
      </c>
      <c r="O1506" s="33">
        <f>IFERROR($N1506*I1506,0)</f>
        <v>0</v>
      </c>
      <c r="P1506" s="33">
        <f>IFERROR($N1506*J1506,0)</f>
        <v>11.749999999999998</v>
      </c>
      <c r="Q1506" s="33">
        <f>IFERROR($N1506*K1506,0)</f>
        <v>11.749999999999998</v>
      </c>
      <c r="R1506" s="33">
        <f>IFERROR($N1506*L1506,0)</f>
        <v>11.749999999999998</v>
      </c>
      <c r="S1506" s="34">
        <f>SUM(O1506:R1506)</f>
        <v>35.249999999999993</v>
      </c>
      <c r="T1506" s="35" t="s">
        <v>56</v>
      </c>
      <c r="U1506" s="18" t="s">
        <v>1873</v>
      </c>
      <c r="V1506" s="18" t="str">
        <f>IF(OR($H1506="",$H1506="sif",$H1506="PM"),"",VLOOKUP($H1506,[5]CU!$C$5:$J$255,8,FALSE))</f>
        <v>3. Formation</v>
      </c>
      <c r="W1506" s="18" t="s">
        <v>96</v>
      </c>
      <c r="X1506" s="18" t="s">
        <v>96</v>
      </c>
      <c r="Y1506" s="18" t="s">
        <v>677</v>
      </c>
      <c r="Z1506" s="18" t="str">
        <f>A1506 &amp; "-" &amp; VLOOKUP(A1506,[4]PROGRAMMES!$E$1:$F$7,2,FALSE)</f>
        <v>5-Gouvernance et pilotage du secteur</v>
      </c>
      <c r="AA1506" s="19" t="str">
        <f>B1506 &amp; "-" &amp; VLOOKUP(B1506,[4]SOUSPROGRAMMES!$E$1:$F$44,2,FALSE)</f>
        <v xml:space="preserve">53- Systèmes d’information pour la gestion de l'éducation (collecte, analyse, diffusion, et utilisation des informations) </v>
      </c>
      <c r="AB1506" s="19" t="str">
        <f>C1506 &amp; "-" &amp; VLOOKUP(C1506,[4]RESULTATS!$E$1:$F$176,2,FALSE)</f>
        <v>531- La production des données permet d’offrir aux différents acteurs et utilisateurs à tous les niveaux l’information dont ils ont besoin</v>
      </c>
      <c r="AC1506" s="20" t="str">
        <f>D1506 &amp; "-" &amp; VLOOKUP(D1506,[4]STRATEGIES!$E$1:$F$504,2,FALSE)</f>
        <v>5311-Organisation de la collecte classique</v>
      </c>
      <c r="AD1506" s="21" t="str">
        <f t="shared" si="221"/>
        <v>53119-Lancement de la campagne de la collecte et distribution des fiches de collecte</v>
      </c>
    </row>
    <row r="1507" spans="1:30" s="22" customFormat="1" ht="60" hidden="1" customHeight="1" x14ac:dyDescent="0.8">
      <c r="A1507" s="14">
        <v>5</v>
      </c>
      <c r="B1507" s="15">
        <v>53</v>
      </c>
      <c r="C1507" s="15">
        <v>531</v>
      </c>
      <c r="D1507" s="15">
        <v>5311</v>
      </c>
      <c r="E1507" s="15">
        <v>53119</v>
      </c>
      <c r="F1507" s="16" t="s">
        <v>1966</v>
      </c>
      <c r="G1507" s="21" t="s">
        <v>315</v>
      </c>
      <c r="H1507" s="17" t="s">
        <v>38</v>
      </c>
      <c r="I1507" s="33">
        <v>0</v>
      </c>
      <c r="J1507" s="33">
        <f>(50*1)*25%</f>
        <v>12.5</v>
      </c>
      <c r="K1507" s="33">
        <f>(50*1)*25%</f>
        <v>12.5</v>
      </c>
      <c r="L1507" s="33">
        <f>(50*1)*25%</f>
        <v>12.5</v>
      </c>
      <c r="M1507" s="33">
        <f t="shared" si="225"/>
        <v>37.5</v>
      </c>
      <c r="N1507" s="33">
        <f>IF(OR(H1507="",H1507="sif",H1507="PM"),0,VLOOKUP(H1507,[5]CU!$C$4:$H$255,6,FALSE))</f>
        <v>0.3133333333333333</v>
      </c>
      <c r="O1507" s="33">
        <f t="shared" si="223"/>
        <v>0</v>
      </c>
      <c r="P1507" s="33">
        <f t="shared" si="223"/>
        <v>3.9166666666666661</v>
      </c>
      <c r="Q1507" s="33">
        <f t="shared" si="223"/>
        <v>3.9166666666666661</v>
      </c>
      <c r="R1507" s="33">
        <f t="shared" si="223"/>
        <v>3.9166666666666661</v>
      </c>
      <c r="S1507" s="34">
        <f t="shared" si="224"/>
        <v>11.749999999999998</v>
      </c>
      <c r="T1507" s="35" t="s">
        <v>118</v>
      </c>
      <c r="U1507" s="18" t="s">
        <v>1873</v>
      </c>
      <c r="V1507" s="18" t="str">
        <f>IF(OR($H1507="",$H1507="sif",$H1507="PM"),"",VLOOKUP($H1507,[5]CU!$C$5:$J$255,8,FALSE))</f>
        <v>3. Formation</v>
      </c>
      <c r="W1507" s="18" t="s">
        <v>96</v>
      </c>
      <c r="X1507" s="18" t="s">
        <v>96</v>
      </c>
      <c r="Y1507" s="18" t="s">
        <v>677</v>
      </c>
      <c r="Z1507" s="18" t="str">
        <f>A1507 &amp; "-" &amp; VLOOKUP(A1507,[4]PROGRAMMES!$E$1:$F$7,2,FALSE)</f>
        <v>5-Gouvernance et pilotage du secteur</v>
      </c>
      <c r="AA1507" s="19" t="str">
        <f>B1507 &amp; "-" &amp; VLOOKUP(B1507,[4]SOUSPROGRAMMES!$E$1:$F$44,2,FALSE)</f>
        <v xml:space="preserve">53- Systèmes d’information pour la gestion de l'éducation (collecte, analyse, diffusion, et utilisation des informations) </v>
      </c>
      <c r="AB1507" s="19" t="str">
        <f>C1507 &amp; "-" &amp; VLOOKUP(C1507,[4]RESULTATS!$E$1:$F$176,2,FALSE)</f>
        <v>531- La production des données permet d’offrir aux différents acteurs et utilisateurs à tous les niveaux l’information dont ils ont besoin</v>
      </c>
      <c r="AC1507" s="20" t="str">
        <f>D1507 &amp; "-" &amp; VLOOKUP(D1507,[4]STRATEGIES!$E$1:$F$504,2,FALSE)</f>
        <v>5311-Organisation de la collecte classique</v>
      </c>
      <c r="AD1507" s="21" t="str">
        <f t="shared" si="221"/>
        <v>53119-Lancement de la campagne de la collecte et distribution des fiches de collecte</v>
      </c>
    </row>
    <row r="1508" spans="1:30" s="22" customFormat="1" ht="60" hidden="1" customHeight="1" x14ac:dyDescent="0.8">
      <c r="A1508" s="14">
        <v>5</v>
      </c>
      <c r="B1508" s="15">
        <v>53</v>
      </c>
      <c r="C1508" s="15">
        <v>531</v>
      </c>
      <c r="D1508" s="15">
        <v>5311</v>
      </c>
      <c r="E1508" s="15">
        <v>531110</v>
      </c>
      <c r="F1508" s="16" t="s">
        <v>1967</v>
      </c>
      <c r="G1508" s="21" t="s">
        <v>1968</v>
      </c>
      <c r="H1508" s="17" t="s">
        <v>1969</v>
      </c>
      <c r="I1508" s="33">
        <v>0</v>
      </c>
      <c r="J1508" s="33">
        <f>(J1498)</f>
        <v>0</v>
      </c>
      <c r="K1508" s="33">
        <f>(K1498)</f>
        <v>0</v>
      </c>
      <c r="L1508" s="33">
        <f>(L1498)*111.04%</f>
        <v>0</v>
      </c>
      <c r="M1508" s="33">
        <f t="shared" si="225"/>
        <v>0</v>
      </c>
      <c r="N1508" s="33">
        <f>IF(OR(H1508="",H1508="sif",H1508="PM"),0,VLOOKUP(H1508,[5]CU!$C$4:$H$255,6,FALSE))</f>
        <v>9.4999999999999998E-3</v>
      </c>
      <c r="O1508" s="33">
        <f t="shared" si="223"/>
        <v>0</v>
      </c>
      <c r="P1508" s="33">
        <f t="shared" si="223"/>
        <v>0</v>
      </c>
      <c r="Q1508" s="33">
        <f t="shared" si="223"/>
        <v>0</v>
      </c>
      <c r="R1508" s="33">
        <f t="shared" si="223"/>
        <v>0</v>
      </c>
      <c r="S1508" s="34">
        <f t="shared" si="224"/>
        <v>0</v>
      </c>
      <c r="T1508" s="35" t="s">
        <v>118</v>
      </c>
      <c r="U1508" s="18" t="s">
        <v>1873</v>
      </c>
      <c r="V1508" s="18" t="str">
        <f>IF(OR($H1508="",$H1508="sif",$H1508="PM"),"",VLOOKUP($H1508,[5]CU!$C$5:$J$255,8,FALSE))</f>
        <v>3. Dépenses de fonctionnement</v>
      </c>
      <c r="W1508" s="18" t="s">
        <v>96</v>
      </c>
      <c r="X1508" s="18" t="s">
        <v>96</v>
      </c>
      <c r="Y1508" s="19" t="s">
        <v>32</v>
      </c>
      <c r="Z1508" s="18" t="str">
        <f>A1508 &amp; "-" &amp; VLOOKUP(A1508,[4]PROGRAMMES!$E$1:$F$7,2,FALSE)</f>
        <v>5-Gouvernance et pilotage du secteur</v>
      </c>
      <c r="AA1508" s="19" t="str">
        <f>B1508 &amp; "-" &amp; VLOOKUP(B1508,[4]SOUSPROGRAMMES!$E$1:$F$44,2,FALSE)</f>
        <v xml:space="preserve">53- Systèmes d’information pour la gestion de l'éducation (collecte, analyse, diffusion, et utilisation des informations) </v>
      </c>
      <c r="AB1508" s="19" t="str">
        <f>C1508 &amp; "-" &amp; VLOOKUP(C1508,[4]RESULTATS!$E$1:$F$176,2,FALSE)</f>
        <v>531- La production des données permet d’offrir aux différents acteurs et utilisateurs à tous les niveaux l’information dont ils ont besoin</v>
      </c>
      <c r="AC1508" s="20" t="str">
        <f>D1508 &amp; "-" &amp; VLOOKUP(D1508,[4]STRATEGIES!$E$1:$F$504,2,FALSE)</f>
        <v>5311-Organisation de la collecte classique</v>
      </c>
      <c r="AD1508" s="21" t="str">
        <f t="shared" si="221"/>
        <v>531110-Collecte de données</v>
      </c>
    </row>
    <row r="1509" spans="1:30" s="22" customFormat="1" ht="60" hidden="1" customHeight="1" x14ac:dyDescent="0.8">
      <c r="A1509" s="14">
        <v>5</v>
      </c>
      <c r="B1509" s="15">
        <v>53</v>
      </c>
      <c r="C1509" s="15">
        <v>531</v>
      </c>
      <c r="D1509" s="15">
        <v>5311</v>
      </c>
      <c r="E1509" s="15">
        <v>531111</v>
      </c>
      <c r="F1509" s="16" t="s">
        <v>1967</v>
      </c>
      <c r="G1509" s="21" t="s">
        <v>1970</v>
      </c>
      <c r="H1509" s="17" t="s">
        <v>59</v>
      </c>
      <c r="I1509" s="33">
        <v>0</v>
      </c>
      <c r="J1509" s="33">
        <f>(2*10*12)*75%</f>
        <v>180</v>
      </c>
      <c r="K1509" s="33">
        <f>(2*10*12)*75%</f>
        <v>180</v>
      </c>
      <c r="L1509" s="33">
        <f>(2*10*12)*75%</f>
        <v>180</v>
      </c>
      <c r="M1509" s="33">
        <f>SUM(I1509:L1509)</f>
        <v>540</v>
      </c>
      <c r="N1509" s="33">
        <f>IF(OR(H1509="",H1509="sif",H1509="PM"),0,VLOOKUP(H1509,[5]CU!$C$4:$H$255,6,FALSE))</f>
        <v>0.8177777777777776</v>
      </c>
      <c r="O1509" s="33">
        <f>IFERROR($N1509*I1509,0)</f>
        <v>0</v>
      </c>
      <c r="P1509" s="33">
        <f>IFERROR($N1509*J1509,0)</f>
        <v>147.19999999999996</v>
      </c>
      <c r="Q1509" s="33">
        <f>IFERROR($N1509*K1509,0)</f>
        <v>147.19999999999996</v>
      </c>
      <c r="R1509" s="33">
        <f>IFERROR($N1509*L1509,0)</f>
        <v>147.19999999999996</v>
      </c>
      <c r="S1509" s="34">
        <f>SUM(O1509:R1509)</f>
        <v>441.59999999999991</v>
      </c>
      <c r="T1509" s="35" t="s">
        <v>56</v>
      </c>
      <c r="U1509" s="18" t="s">
        <v>1873</v>
      </c>
      <c r="V1509" s="18" t="str">
        <f>IF(OR($H1509="",$H1509="sif",$H1509="PM"),"",VLOOKUP($H1509,[5]CU!$C$5:$J$255,8,FALSE))</f>
        <v>3. Dépenses de fonctionnement</v>
      </c>
      <c r="W1509" s="18" t="s">
        <v>96</v>
      </c>
      <c r="X1509" s="18" t="s">
        <v>96</v>
      </c>
      <c r="Y1509" s="18" t="s">
        <v>679</v>
      </c>
      <c r="Z1509" s="18" t="str">
        <f>A1509 &amp; "-" &amp; VLOOKUP(A1509,[4]PROGRAMMES!$E$1:$F$7,2,FALSE)</f>
        <v>5-Gouvernance et pilotage du secteur</v>
      </c>
      <c r="AA1509" s="19" t="str">
        <f>B1509 &amp; "-" &amp; VLOOKUP(B1509,[4]SOUSPROGRAMMES!$E$1:$F$44,2,FALSE)</f>
        <v xml:space="preserve">53- Systèmes d’information pour la gestion de l'éducation (collecte, analyse, diffusion, et utilisation des informations) </v>
      </c>
      <c r="AB1509" s="19" t="str">
        <f>C1509 &amp; "-" &amp; VLOOKUP(C1509,[4]RESULTATS!$E$1:$F$176,2,FALSE)</f>
        <v>531- La production des données permet d’offrir aux différents acteurs et utilisateurs à tous les niveaux l’information dont ils ont besoin</v>
      </c>
      <c r="AC1509" s="20" t="str">
        <f>D1509 &amp; "-" &amp; VLOOKUP(D1509,[4]STRATEGIES!$E$1:$F$504,2,FALSE)</f>
        <v>5311-Organisation de la collecte classique</v>
      </c>
      <c r="AD1509" s="21" t="str">
        <f t="shared" si="221"/>
        <v>531111-Collecte de données</v>
      </c>
    </row>
    <row r="1510" spans="1:30" s="22" customFormat="1" ht="60" hidden="1" customHeight="1" x14ac:dyDescent="0.8">
      <c r="A1510" s="14">
        <v>5</v>
      </c>
      <c r="B1510" s="15">
        <v>53</v>
      </c>
      <c r="C1510" s="15">
        <v>531</v>
      </c>
      <c r="D1510" s="15">
        <v>5311</v>
      </c>
      <c r="E1510" s="15">
        <v>531111</v>
      </c>
      <c r="F1510" s="16" t="s">
        <v>1967</v>
      </c>
      <c r="G1510" s="21" t="s">
        <v>1970</v>
      </c>
      <c r="H1510" s="17" t="s">
        <v>59</v>
      </c>
      <c r="I1510" s="33">
        <v>0</v>
      </c>
      <c r="J1510" s="33">
        <f>(2*10*12)*25%</f>
        <v>60</v>
      </c>
      <c r="K1510" s="33">
        <f>(2*10*12)*25%</f>
        <v>60</v>
      </c>
      <c r="L1510" s="33">
        <f>(2*10*12)*25%</f>
        <v>60</v>
      </c>
      <c r="M1510" s="33">
        <f t="shared" si="225"/>
        <v>180</v>
      </c>
      <c r="N1510" s="33">
        <f>IF(OR(H1510="",H1510="sif",H1510="PM"),0,VLOOKUP(H1510,[5]CU!$C$4:$H$255,6,FALSE))</f>
        <v>0.8177777777777776</v>
      </c>
      <c r="O1510" s="33">
        <f t="shared" si="223"/>
        <v>0</v>
      </c>
      <c r="P1510" s="33">
        <f t="shared" si="223"/>
        <v>49.066666666666656</v>
      </c>
      <c r="Q1510" s="33">
        <f t="shared" si="223"/>
        <v>49.066666666666656</v>
      </c>
      <c r="R1510" s="33">
        <f t="shared" si="223"/>
        <v>49.066666666666656</v>
      </c>
      <c r="S1510" s="34">
        <f t="shared" si="224"/>
        <v>147.19999999999996</v>
      </c>
      <c r="T1510" s="35" t="s">
        <v>118</v>
      </c>
      <c r="U1510" s="18" t="s">
        <v>1873</v>
      </c>
      <c r="V1510" s="18" t="str">
        <f>IF(OR($H1510="",$H1510="sif",$H1510="PM"),"",VLOOKUP($H1510,[5]CU!$C$5:$J$255,8,FALSE))</f>
        <v>3. Dépenses de fonctionnement</v>
      </c>
      <c r="W1510" s="18" t="s">
        <v>96</v>
      </c>
      <c r="X1510" s="18" t="s">
        <v>96</v>
      </c>
      <c r="Y1510" s="18" t="s">
        <v>679</v>
      </c>
      <c r="Z1510" s="18" t="str">
        <f>A1510 &amp; "-" &amp; VLOOKUP(A1510,[4]PROGRAMMES!$E$1:$F$7,2,FALSE)</f>
        <v>5-Gouvernance et pilotage du secteur</v>
      </c>
      <c r="AA1510" s="19" t="str">
        <f>B1510 &amp; "-" &amp; VLOOKUP(B1510,[4]SOUSPROGRAMMES!$E$1:$F$44,2,FALSE)</f>
        <v xml:space="preserve">53- Systèmes d’information pour la gestion de l'éducation (collecte, analyse, diffusion, et utilisation des informations) </v>
      </c>
      <c r="AB1510" s="19" t="str">
        <f>C1510 &amp; "-" &amp; VLOOKUP(C1510,[4]RESULTATS!$E$1:$F$176,2,FALSE)</f>
        <v>531- La production des données permet d’offrir aux différents acteurs et utilisateurs à tous les niveaux l’information dont ils ont besoin</v>
      </c>
      <c r="AC1510" s="20" t="str">
        <f>D1510 &amp; "-" &amp; VLOOKUP(D1510,[4]STRATEGIES!$E$1:$F$504,2,FALSE)</f>
        <v>5311-Organisation de la collecte classique</v>
      </c>
      <c r="AD1510" s="21" t="str">
        <f t="shared" si="221"/>
        <v>531111-Collecte de données</v>
      </c>
    </row>
    <row r="1511" spans="1:30" s="22" customFormat="1" ht="45" hidden="1" customHeight="1" x14ac:dyDescent="0.8">
      <c r="A1511" s="14">
        <v>5</v>
      </c>
      <c r="B1511" s="15">
        <v>53</v>
      </c>
      <c r="C1511" s="15">
        <v>53</v>
      </c>
      <c r="D1511" s="15">
        <v>53</v>
      </c>
      <c r="E1511" s="15">
        <v>53</v>
      </c>
      <c r="F1511" s="16" t="s">
        <v>1957</v>
      </c>
      <c r="G1511" s="17"/>
      <c r="H1511" s="17"/>
      <c r="I1511" s="33">
        <v>0</v>
      </c>
      <c r="J1511" s="33"/>
      <c r="K1511" s="33"/>
      <c r="L1511" s="33"/>
      <c r="M1511" s="33"/>
      <c r="N1511" s="33"/>
      <c r="O1511" s="33"/>
      <c r="P1511" s="33"/>
      <c r="Q1511" s="33"/>
      <c r="R1511" s="33"/>
      <c r="S1511" s="34"/>
      <c r="T1511" s="33"/>
      <c r="U1511" s="18"/>
      <c r="V1511" s="18"/>
      <c r="W1511" s="18"/>
      <c r="X1511" s="18"/>
      <c r="Y1511" s="18"/>
      <c r="Z1511" s="18" t="str">
        <f>A1511 &amp; "-" &amp; VLOOKUP(A1511,[4]PROGRAMMES!$E$1:$F$7,2,FALSE)</f>
        <v>5-Gouvernance et pilotage du secteur</v>
      </c>
      <c r="AA1511" s="19" t="str">
        <f>B1511 &amp; "-" &amp; VLOOKUP(B1511,[4]SOUSPROGRAMMES!$E$1:$F$44,2,FALSE)</f>
        <v xml:space="preserve">53- Systèmes d’information pour la gestion de l'éducation (collecte, analyse, diffusion, et utilisation des informations) </v>
      </c>
      <c r="AB1511" s="19" t="str">
        <f>C1511 &amp; "-" &amp; VLOOKUP(C1511,[4]RESULTATS!$E$1:$F$176,2,FALSE)</f>
        <v xml:space="preserve">53- Systèmes d’information pour la gestion de l'éducation (collecte, analyse, diffusion, et utilisation des informations) </v>
      </c>
      <c r="AC1511" s="20" t="str">
        <f>D1511 &amp; "-" &amp; VLOOKUP(D1511,[4]STRATEGIES!$E$1:$F$504,2,FALSE)</f>
        <v xml:space="preserve">53- Systèmes d’information pour la gestion de l'éducation (collecte, analyse, diffusion, et utilisation des informations) </v>
      </c>
      <c r="AD1511" s="21" t="str">
        <f t="shared" si="221"/>
        <v xml:space="preserve">53- Systèmes d’information pour la gestion de l'éducation (collecte, analyse, diffusion, et utilisation des informations) </v>
      </c>
    </row>
    <row r="1512" spans="1:30" s="22" customFormat="1" ht="60" hidden="1" customHeight="1" x14ac:dyDescent="0.8">
      <c r="A1512" s="14">
        <v>5</v>
      </c>
      <c r="B1512" s="15">
        <v>53</v>
      </c>
      <c r="C1512" s="15">
        <v>531</v>
      </c>
      <c r="D1512" s="15">
        <v>531</v>
      </c>
      <c r="E1512" s="15">
        <v>531</v>
      </c>
      <c r="F1512" s="16" t="s">
        <v>1958</v>
      </c>
      <c r="G1512" s="17"/>
      <c r="H1512" s="17"/>
      <c r="I1512" s="33">
        <v>0</v>
      </c>
      <c r="J1512" s="33"/>
      <c r="K1512" s="33"/>
      <c r="L1512" s="33"/>
      <c r="M1512" s="33"/>
      <c r="N1512" s="33"/>
      <c r="O1512" s="33"/>
      <c r="P1512" s="33"/>
      <c r="Q1512" s="33"/>
      <c r="R1512" s="33"/>
      <c r="S1512" s="34"/>
      <c r="T1512" s="33"/>
      <c r="U1512" s="18"/>
      <c r="V1512" s="18"/>
      <c r="W1512" s="18"/>
      <c r="X1512" s="18"/>
      <c r="Y1512" s="18"/>
      <c r="Z1512" s="18" t="str">
        <f>A1512 &amp; "-" &amp; VLOOKUP(A1512,[4]PROGRAMMES!$E$1:$F$7,2,FALSE)</f>
        <v>5-Gouvernance et pilotage du secteur</v>
      </c>
      <c r="AA1512" s="19" t="str">
        <f>B1512 &amp; "-" &amp; VLOOKUP(B1512,[4]SOUSPROGRAMMES!$E$1:$F$44,2,FALSE)</f>
        <v xml:space="preserve">53- Systèmes d’information pour la gestion de l'éducation (collecte, analyse, diffusion, et utilisation des informations) </v>
      </c>
      <c r="AB1512" s="19" t="str">
        <f>C1512 &amp; "-" &amp; VLOOKUP(C1512,[4]RESULTATS!$E$1:$F$176,2,FALSE)</f>
        <v>531- La production des données permet d’offrir aux différents acteurs et utilisateurs à tous les niveaux l’information dont ils ont besoin</v>
      </c>
      <c r="AC1512" s="20" t="str">
        <f>D1512 &amp; "-" &amp; VLOOKUP(D1512,[4]STRATEGIES!$E$1:$F$504,2,FALSE)</f>
        <v>531- La production des données permet d’offrir aux différents acteurs et utilisateurs à tous les niveaux l’information dont ils ont besoin</v>
      </c>
      <c r="AD1512" s="21" t="str">
        <f t="shared" si="221"/>
        <v>531- La production des données permet d’offrir aux différents acteurs et utilisateurs à tous les niveaux l’information dont ils ont besoin</v>
      </c>
    </row>
    <row r="1513" spans="1:30" s="22" customFormat="1" ht="60" hidden="1" customHeight="1" x14ac:dyDescent="0.8">
      <c r="A1513" s="14">
        <v>5</v>
      </c>
      <c r="B1513" s="15">
        <v>53</v>
      </c>
      <c r="C1513" s="15">
        <v>531</v>
      </c>
      <c r="D1513" s="15">
        <v>5311</v>
      </c>
      <c r="E1513" s="15">
        <v>5311</v>
      </c>
      <c r="F1513" s="16" t="s">
        <v>1959</v>
      </c>
      <c r="G1513" s="17"/>
      <c r="H1513" s="17"/>
      <c r="I1513" s="33">
        <v>0</v>
      </c>
      <c r="J1513" s="33"/>
      <c r="K1513" s="33"/>
      <c r="L1513" s="33"/>
      <c r="M1513" s="33"/>
      <c r="N1513" s="33"/>
      <c r="O1513" s="33"/>
      <c r="P1513" s="33"/>
      <c r="Q1513" s="33"/>
      <c r="R1513" s="33"/>
      <c r="S1513" s="34"/>
      <c r="T1513" s="33"/>
      <c r="U1513" s="18"/>
      <c r="V1513" s="18"/>
      <c r="W1513" s="18"/>
      <c r="X1513" s="18"/>
      <c r="Y1513" s="18"/>
      <c r="Z1513" s="18" t="str">
        <f>A1513 &amp; "-" &amp; VLOOKUP(A1513,[4]PROGRAMMES!$E$1:$F$7,2,FALSE)</f>
        <v>5-Gouvernance et pilotage du secteur</v>
      </c>
      <c r="AA1513" s="19" t="str">
        <f>B1513 &amp; "-" &amp; VLOOKUP(B1513,[4]SOUSPROGRAMMES!$E$1:$F$44,2,FALSE)</f>
        <v xml:space="preserve">53- Systèmes d’information pour la gestion de l'éducation (collecte, analyse, diffusion, et utilisation des informations) </v>
      </c>
      <c r="AB1513" s="19" t="str">
        <f>C1513 &amp; "-" &amp; VLOOKUP(C1513,[4]RESULTATS!$E$1:$F$176,2,FALSE)</f>
        <v>531- La production des données permet d’offrir aux différents acteurs et utilisateurs à tous les niveaux l’information dont ils ont besoin</v>
      </c>
      <c r="AC1513" s="20" t="str">
        <f>D1513 &amp; "-" &amp; VLOOKUP(D1513,[4]STRATEGIES!$E$1:$F$504,2,FALSE)</f>
        <v>5311-Organisation de la collecte classique</v>
      </c>
      <c r="AD1513" s="21" t="str">
        <f t="shared" si="221"/>
        <v>5311-Organisation de la collecte classique</v>
      </c>
    </row>
    <row r="1514" spans="1:30" s="22" customFormat="1" ht="60" hidden="1" customHeight="1" x14ac:dyDescent="0.8">
      <c r="A1514" s="14">
        <v>5</v>
      </c>
      <c r="B1514" s="15">
        <v>53</v>
      </c>
      <c r="C1514" s="15">
        <v>531</v>
      </c>
      <c r="D1514" s="15">
        <v>5311</v>
      </c>
      <c r="E1514" s="15">
        <v>531112</v>
      </c>
      <c r="F1514" s="16" t="s">
        <v>1967</v>
      </c>
      <c r="G1514" s="21" t="s">
        <v>1970</v>
      </c>
      <c r="H1514" s="17" t="s">
        <v>59</v>
      </c>
      <c r="I1514" s="33">
        <v>0</v>
      </c>
      <c r="J1514" s="33"/>
      <c r="K1514" s="33"/>
      <c r="L1514" s="33"/>
      <c r="M1514" s="33">
        <f>SUM(I1514:L1514)</f>
        <v>0</v>
      </c>
      <c r="N1514" s="33">
        <f>IF(OR(H1514="",H1514="sif",H1514="PM"),0,VLOOKUP(H1514,[5]CU!$C$4:$H$255,6,FALSE))</f>
        <v>0.8177777777777776</v>
      </c>
      <c r="O1514" s="33">
        <f>IFERROR($N1514*I1514,0)</f>
        <v>0</v>
      </c>
      <c r="P1514" s="33">
        <f>IFERROR($N1514*J1514,0)</f>
        <v>0</v>
      </c>
      <c r="Q1514" s="33">
        <f>IFERROR($N1514*K1514,0)</f>
        <v>0</v>
      </c>
      <c r="R1514" s="33">
        <f>IFERROR($N1514*L1514,0)</f>
        <v>0</v>
      </c>
      <c r="S1514" s="34">
        <f>SUM(O1514:R1514)</f>
        <v>0</v>
      </c>
      <c r="T1514" s="35" t="s">
        <v>1971</v>
      </c>
      <c r="U1514" s="18" t="s">
        <v>1873</v>
      </c>
      <c r="V1514" s="18" t="str">
        <f>IF(OR($H1514="",$H1514="sif",$H1514="PM"),"",VLOOKUP($H1514,[5]CU!$C$5:$J$255,8,FALSE))</f>
        <v>3. Dépenses de fonctionnement</v>
      </c>
      <c r="W1514" s="18" t="s">
        <v>96</v>
      </c>
      <c r="X1514" s="18" t="s">
        <v>96</v>
      </c>
      <c r="Y1514" s="18" t="s">
        <v>677</v>
      </c>
      <c r="Z1514" s="18" t="str">
        <f>A1514 &amp; "-" &amp; VLOOKUP(A1514,[4]PROGRAMMES!$E$1:$F$7,2,FALSE)</f>
        <v>5-Gouvernance et pilotage du secteur</v>
      </c>
      <c r="AA1514" s="19" t="str">
        <f>B1514 &amp; "-" &amp; VLOOKUP(B1514,[4]SOUSPROGRAMMES!$E$1:$F$44,2,FALSE)</f>
        <v xml:space="preserve">53- Systèmes d’information pour la gestion de l'éducation (collecte, analyse, diffusion, et utilisation des informations) </v>
      </c>
      <c r="AB1514" s="19" t="str">
        <f>C1514 &amp; "-" &amp; VLOOKUP(C1514,[4]RESULTATS!$E$1:$F$176,2,FALSE)</f>
        <v>531- La production des données permet d’offrir aux différents acteurs et utilisateurs à tous les niveaux l’information dont ils ont besoin</v>
      </c>
      <c r="AC1514" s="20" t="str">
        <f>D1514 &amp; "-" &amp; VLOOKUP(D1514,[4]STRATEGIES!$E$1:$F$504,2,FALSE)</f>
        <v>5311-Organisation de la collecte classique</v>
      </c>
      <c r="AD1514" s="21" t="str">
        <f t="shared" si="221"/>
        <v>531112-Collecte de données</v>
      </c>
    </row>
    <row r="1515" spans="1:30" ht="60" hidden="1" customHeight="1" x14ac:dyDescent="0.8">
      <c r="A1515" s="25">
        <v>5</v>
      </c>
      <c r="B1515" s="16">
        <v>53</v>
      </c>
      <c r="C1515" s="16">
        <v>531</v>
      </c>
      <c r="D1515" s="16">
        <v>5311</v>
      </c>
      <c r="E1515" s="16">
        <v>531112</v>
      </c>
      <c r="F1515" s="16" t="s">
        <v>1967</v>
      </c>
      <c r="G1515" s="21" t="s">
        <v>1970</v>
      </c>
      <c r="H1515" s="21" t="s">
        <v>59</v>
      </c>
      <c r="I1515" s="36">
        <v>0</v>
      </c>
      <c r="J1515" s="36">
        <f>2*10*6</f>
        <v>120</v>
      </c>
      <c r="K1515" s="36">
        <f>2*10*6</f>
        <v>120</v>
      </c>
      <c r="L1515" s="36">
        <f>2*10*6</f>
        <v>120</v>
      </c>
      <c r="M1515" s="36">
        <f t="shared" si="225"/>
        <v>360</v>
      </c>
      <c r="N1515" s="36">
        <f>IF(OR(H1515="",H1515="sif",H1515="PM"),0,VLOOKUP(H1515,[5]CU!$C$4:$H$255,6,FALSE))</f>
        <v>0.8177777777777776</v>
      </c>
      <c r="O1515" s="36">
        <f t="shared" si="223"/>
        <v>0</v>
      </c>
      <c r="P1515" s="36">
        <f t="shared" si="223"/>
        <v>98.133333333333312</v>
      </c>
      <c r="Q1515" s="36">
        <f t="shared" si="223"/>
        <v>98.133333333333312</v>
      </c>
      <c r="R1515" s="36">
        <f t="shared" si="223"/>
        <v>98.133333333333312</v>
      </c>
      <c r="S1515" s="37">
        <f t="shared" si="224"/>
        <v>294.39999999999992</v>
      </c>
      <c r="T1515" s="38" t="s">
        <v>169</v>
      </c>
      <c r="U1515" s="19" t="s">
        <v>1873</v>
      </c>
      <c r="V1515" s="19" t="str">
        <f>IF(OR($H1515="",$H1515="sif",$H1515="PM"),"",VLOOKUP($H1515,[5]CU!$C$5:$J$255,8,FALSE))</f>
        <v>3. Dépenses de fonctionnement</v>
      </c>
      <c r="W1515" s="19" t="s">
        <v>96</v>
      </c>
      <c r="X1515" s="19" t="s">
        <v>96</v>
      </c>
      <c r="Y1515" s="19" t="s">
        <v>677</v>
      </c>
      <c r="Z1515" s="19" t="str">
        <f>A1515 &amp; "-" &amp; VLOOKUP(A1515,[4]PROGRAMMES!$E$1:$F$7,2,FALSE)</f>
        <v>5-Gouvernance et pilotage du secteur</v>
      </c>
      <c r="AA1515" s="19" t="str">
        <f>B1515 &amp; "-" &amp; VLOOKUP(B1515,[4]SOUSPROGRAMMES!$E$1:$F$44,2,FALSE)</f>
        <v xml:space="preserve">53- Systèmes d’information pour la gestion de l'éducation (collecte, analyse, diffusion, et utilisation des informations) </v>
      </c>
      <c r="AB1515" s="19" t="str">
        <f>C1515 &amp; "-" &amp; VLOOKUP(C1515,[4]RESULTATS!$E$1:$F$176,2,FALSE)</f>
        <v>531- La production des données permet d’offrir aux différents acteurs et utilisateurs à tous les niveaux l’information dont ils ont besoin</v>
      </c>
      <c r="AC1515" s="20" t="str">
        <f>D1515 &amp; "-" &amp; VLOOKUP(D1515,[4]STRATEGIES!$E$1:$F$504,2,FALSE)</f>
        <v>5311-Organisation de la collecte classique</v>
      </c>
      <c r="AD1515" s="21" t="str">
        <f t="shared" si="221"/>
        <v>531112-Collecte de données</v>
      </c>
    </row>
    <row r="1516" spans="1:30" s="22" customFormat="1" ht="60" hidden="1" customHeight="1" x14ac:dyDescent="0.8">
      <c r="A1516" s="14">
        <v>5</v>
      </c>
      <c r="B1516" s="15">
        <v>53</v>
      </c>
      <c r="C1516" s="15">
        <v>531</v>
      </c>
      <c r="D1516" s="15">
        <v>5311</v>
      </c>
      <c r="E1516" s="15">
        <v>531113</v>
      </c>
      <c r="F1516" s="16" t="s">
        <v>1972</v>
      </c>
      <c r="G1516" s="21" t="s">
        <v>1973</v>
      </c>
      <c r="H1516" s="17" t="s">
        <v>1974</v>
      </c>
      <c r="I1516" s="33">
        <v>0</v>
      </c>
      <c r="J1516" s="33">
        <f>1*46</f>
        <v>46</v>
      </c>
      <c r="K1516" s="33">
        <f>K1517</f>
        <v>0</v>
      </c>
      <c r="L1516" s="33">
        <f>L1517</f>
        <v>0</v>
      </c>
      <c r="M1516" s="33">
        <f t="shared" si="225"/>
        <v>46</v>
      </c>
      <c r="N1516" s="33">
        <f>IF(OR(H1516="",H1516="sif",H1516="PM"),0,VLOOKUP(H1516,[5]CU!$C$4:$H$255,6,FALSE))</f>
        <v>57</v>
      </c>
      <c r="O1516" s="33">
        <f t="shared" si="223"/>
        <v>0</v>
      </c>
      <c r="P1516" s="33">
        <f t="shared" si="223"/>
        <v>2622</v>
      </c>
      <c r="Q1516" s="33">
        <f t="shared" si="223"/>
        <v>0</v>
      </c>
      <c r="R1516" s="33">
        <f t="shared" si="223"/>
        <v>0</v>
      </c>
      <c r="S1516" s="34">
        <f t="shared" si="224"/>
        <v>2622</v>
      </c>
      <c r="T1516" s="35" t="s">
        <v>56</v>
      </c>
      <c r="U1516" s="18" t="s">
        <v>1873</v>
      </c>
      <c r="V1516" s="18" t="str">
        <f>IF(OR($H1516="",$H1516="sif",$H1516="PM"),"",VLOOKUP($H1516,[5]CU!$C$5:$J$255,8,FALSE))</f>
        <v>5. Investissement</v>
      </c>
      <c r="W1516" s="18" t="s">
        <v>96</v>
      </c>
      <c r="X1516" s="18" t="s">
        <v>521</v>
      </c>
      <c r="Y1516" s="19" t="s">
        <v>32</v>
      </c>
      <c r="Z1516" s="18" t="str">
        <f>A1516 &amp; "-" &amp; VLOOKUP(A1516,[4]PROGRAMMES!$E$1:$F$7,2,FALSE)</f>
        <v>5-Gouvernance et pilotage du secteur</v>
      </c>
      <c r="AA1516" s="19" t="str">
        <f>B1516 &amp; "-" &amp; VLOOKUP(B1516,[4]SOUSPROGRAMMES!$E$1:$F$44,2,FALSE)</f>
        <v xml:space="preserve">53- Systèmes d’information pour la gestion de l'éducation (collecte, analyse, diffusion, et utilisation des informations) </v>
      </c>
      <c r="AB1516" s="19" t="str">
        <f>C1516 &amp; "-" &amp; VLOOKUP(C1516,[4]RESULTATS!$E$1:$F$176,2,FALSE)</f>
        <v>531- La production des données permet d’offrir aux différents acteurs et utilisateurs à tous les niveaux l’information dont ils ont besoin</v>
      </c>
      <c r="AC1516" s="20" t="str">
        <f>D1516 &amp; "-" &amp; VLOOKUP(D1516,[4]STRATEGIES!$E$1:$F$504,2,FALSE)</f>
        <v>5311-Organisation de la collecte classique</v>
      </c>
      <c r="AD1516" s="21" t="str">
        <f t="shared" si="221"/>
        <v>531113-Mise en place d'installation en ennergie solaire dans les IRE et DPE/DCE</v>
      </c>
    </row>
    <row r="1517" spans="1:30" s="22" customFormat="1" ht="60" hidden="1" customHeight="1" x14ac:dyDescent="0.8">
      <c r="A1517" s="14">
        <v>5</v>
      </c>
      <c r="B1517" s="15">
        <v>53</v>
      </c>
      <c r="C1517" s="15">
        <v>531</v>
      </c>
      <c r="D1517" s="15">
        <v>5311</v>
      </c>
      <c r="E1517" s="15">
        <v>531114</v>
      </c>
      <c r="F1517" s="16" t="s">
        <v>1975</v>
      </c>
      <c r="G1517" s="21" t="s">
        <v>1239</v>
      </c>
      <c r="H1517" s="17" t="s">
        <v>974</v>
      </c>
      <c r="I1517" s="33">
        <v>0</v>
      </c>
      <c r="J1517" s="33">
        <f>38+8+10</f>
        <v>56</v>
      </c>
      <c r="K1517" s="33">
        <v>0</v>
      </c>
      <c r="L1517" s="33">
        <v>0</v>
      </c>
      <c r="M1517" s="33">
        <f t="shared" si="225"/>
        <v>56</v>
      </c>
      <c r="N1517" s="33">
        <f>IF(OR(H1517="",H1517="sif",H1517="PM"),0,VLOOKUP(H1517,[5]CU!$C$4:$H$255,6,FALSE))</f>
        <v>6.333333333333333</v>
      </c>
      <c r="O1517" s="33">
        <f t="shared" si="223"/>
        <v>0</v>
      </c>
      <c r="P1517" s="33">
        <f t="shared" si="223"/>
        <v>354.66666666666663</v>
      </c>
      <c r="Q1517" s="33">
        <f t="shared" si="223"/>
        <v>0</v>
      </c>
      <c r="R1517" s="33">
        <f t="shared" si="223"/>
        <v>0</v>
      </c>
      <c r="S1517" s="34">
        <f t="shared" si="224"/>
        <v>354.66666666666663</v>
      </c>
      <c r="T1517" s="35" t="s">
        <v>39</v>
      </c>
      <c r="U1517" s="19" t="s">
        <v>1873</v>
      </c>
      <c r="V1517" s="19" t="str">
        <f>IF(OR($H1517="",$H1517="sif",$H1517="PM"),"",VLOOKUP($H1517,[5]CU!$C$5:$J$255,8,FALSE))</f>
        <v>5. Investissement</v>
      </c>
      <c r="W1517" s="19" t="s">
        <v>96</v>
      </c>
      <c r="X1517" s="19" t="s">
        <v>1976</v>
      </c>
      <c r="Y1517" s="19" t="s">
        <v>32</v>
      </c>
      <c r="Z1517" s="18" t="str">
        <f>A1517 &amp; "-" &amp; VLOOKUP(A1517,[4]PROGRAMMES!$E$1:$F$7,2,FALSE)</f>
        <v>5-Gouvernance et pilotage du secteur</v>
      </c>
      <c r="AA1517" s="19" t="str">
        <f>B1517 &amp; "-" &amp; VLOOKUP(B1517,[4]SOUSPROGRAMMES!$E$1:$F$44,2,FALSE)</f>
        <v xml:space="preserve">53- Systèmes d’information pour la gestion de l'éducation (collecte, analyse, diffusion, et utilisation des informations) </v>
      </c>
      <c r="AB1517" s="19" t="str">
        <f>C1517 &amp; "-" &amp; VLOOKUP(C1517,[4]RESULTATS!$E$1:$F$176,2,FALSE)</f>
        <v>531- La production des données permet d’offrir aux différents acteurs et utilisateurs à tous les niveaux l’information dont ils ont besoin</v>
      </c>
      <c r="AC1517" s="20" t="str">
        <f>D1517 &amp; "-" &amp; VLOOKUP(D1517,[4]STRATEGIES!$E$1:$F$504,2,FALSE)</f>
        <v>5311-Organisation de la collecte classique</v>
      </c>
      <c r="AD1517" s="21" t="str">
        <f t="shared" si="221"/>
        <v>531114-Acquisition d'ordinateurs</v>
      </c>
    </row>
    <row r="1518" spans="1:30" s="22" customFormat="1" ht="60" hidden="1" customHeight="1" x14ac:dyDescent="0.8">
      <c r="A1518" s="14">
        <v>5</v>
      </c>
      <c r="B1518" s="15">
        <v>53</v>
      </c>
      <c r="C1518" s="15">
        <v>531</v>
      </c>
      <c r="D1518" s="15">
        <v>5311</v>
      </c>
      <c r="E1518" s="15">
        <v>531115</v>
      </c>
      <c r="F1518" s="16" t="s">
        <v>1977</v>
      </c>
      <c r="G1518" s="21" t="s">
        <v>1905</v>
      </c>
      <c r="H1518" s="17" t="s">
        <v>1906</v>
      </c>
      <c r="I1518" s="33">
        <v>0</v>
      </c>
      <c r="J1518" s="33">
        <f>I1518*1.05</f>
        <v>0</v>
      </c>
      <c r="K1518" s="33">
        <f>J1518*1.05</f>
        <v>0</v>
      </c>
      <c r="L1518" s="33">
        <f>K1518*1.05</f>
        <v>0</v>
      </c>
      <c r="M1518" s="33">
        <f t="shared" si="225"/>
        <v>0</v>
      </c>
      <c r="N1518" s="33">
        <f>IF(OR(H1518="",H1518="sif",H1518="PM"),0,VLOOKUP(H1518,[5]CU!$C$4:$H$255,6,FALSE))</f>
        <v>0.01</v>
      </c>
      <c r="O1518" s="33">
        <f t="shared" si="223"/>
        <v>0</v>
      </c>
      <c r="P1518" s="33">
        <f t="shared" si="223"/>
        <v>0</v>
      </c>
      <c r="Q1518" s="33">
        <f t="shared" si="223"/>
        <v>0</v>
      </c>
      <c r="R1518" s="33">
        <f t="shared" si="223"/>
        <v>0</v>
      </c>
      <c r="S1518" s="34">
        <f t="shared" si="224"/>
        <v>0</v>
      </c>
      <c r="T1518" s="35" t="s">
        <v>67</v>
      </c>
      <c r="U1518" s="18" t="s">
        <v>1873</v>
      </c>
      <c r="V1518" s="18" t="str">
        <f>IF(OR($H1518="",$H1518="sif",$H1518="PM"),"",VLOOKUP($H1518,[5]CU!$C$5:$J$255,8,FALSE))</f>
        <v>3. Dépenses de fonctionnement</v>
      </c>
      <c r="W1518" s="18" t="s">
        <v>96</v>
      </c>
      <c r="X1518" s="18" t="s">
        <v>96</v>
      </c>
      <c r="Y1518" s="19" t="s">
        <v>32</v>
      </c>
      <c r="Z1518" s="18" t="str">
        <f>A1518 &amp; "-" &amp; VLOOKUP(A1518,[4]PROGRAMMES!$E$1:$F$7,2,FALSE)</f>
        <v>5-Gouvernance et pilotage du secteur</v>
      </c>
      <c r="AA1518" s="19" t="str">
        <f>B1518 &amp; "-" &amp; VLOOKUP(B1518,[4]SOUSPROGRAMMES!$E$1:$F$44,2,FALSE)</f>
        <v xml:space="preserve">53- Systèmes d’information pour la gestion de l'éducation (collecte, analyse, diffusion, et utilisation des informations) </v>
      </c>
      <c r="AB1518" s="19" t="str">
        <f>C1518 &amp; "-" &amp; VLOOKUP(C1518,[4]RESULTATS!$E$1:$F$176,2,FALSE)</f>
        <v>531- La production des données permet d’offrir aux différents acteurs et utilisateurs à tous les niveaux l’information dont ils ont besoin</v>
      </c>
      <c r="AC1518" s="20" t="str">
        <f>D1518 &amp; "-" &amp; VLOOKUP(D1518,[4]STRATEGIES!$E$1:$F$504,2,FALSE)</f>
        <v>5311-Organisation de la collecte classique</v>
      </c>
      <c r="AD1518" s="21" t="str">
        <f t="shared" si="221"/>
        <v>531115-Saisie de données (pour le préscolaire et les NAFA et l'alpha)</v>
      </c>
    </row>
    <row r="1519" spans="1:30" s="22" customFormat="1" ht="60" hidden="1" customHeight="1" x14ac:dyDescent="0.8">
      <c r="A1519" s="14">
        <v>5</v>
      </c>
      <c r="B1519" s="15">
        <v>53</v>
      </c>
      <c r="C1519" s="15">
        <v>531</v>
      </c>
      <c r="D1519" s="15">
        <v>5311</v>
      </c>
      <c r="E1519" s="15">
        <v>531116</v>
      </c>
      <c r="F1519" s="16" t="s">
        <v>1978</v>
      </c>
      <c r="G1519" s="21" t="s">
        <v>1979</v>
      </c>
      <c r="H1519" s="17" t="s">
        <v>66</v>
      </c>
      <c r="I1519" s="33">
        <v>0</v>
      </c>
      <c r="J1519" s="33">
        <f>(25*10)*75%</f>
        <v>187.5</v>
      </c>
      <c r="K1519" s="33">
        <f>(25*10)*75%</f>
        <v>187.5</v>
      </c>
      <c r="L1519" s="33">
        <f>(25*10)*75%</f>
        <v>187.5</v>
      </c>
      <c r="M1519" s="33">
        <f>SUM(I1519:L1519)</f>
        <v>562.5</v>
      </c>
      <c r="N1519" s="33">
        <f>IF(OR(H1519="",H1519="sif",H1519="PM"),0,VLOOKUP(H1519,[5]CU!$C$4:$H$255,6,FALSE))</f>
        <v>0.255</v>
      </c>
      <c r="O1519" s="33">
        <f>IFERROR($N1519*I1519,0)</f>
        <v>0</v>
      </c>
      <c r="P1519" s="33">
        <f>IFERROR($N1519*J1519,0)</f>
        <v>47.8125</v>
      </c>
      <c r="Q1519" s="33">
        <f>IFERROR($N1519*K1519,0)</f>
        <v>47.8125</v>
      </c>
      <c r="R1519" s="33">
        <f>IFERROR($N1519*L1519,0)</f>
        <v>47.8125</v>
      </c>
      <c r="S1519" s="34">
        <f>SUM(O1519:R1519)</f>
        <v>143.4375</v>
      </c>
      <c r="T1519" s="35" t="s">
        <v>56</v>
      </c>
      <c r="U1519" s="18" t="s">
        <v>1873</v>
      </c>
      <c r="V1519" s="18" t="str">
        <f>IF(OR($H1519="",$H1519="sif",$H1519="PM"),"",VLOOKUP($H1519,[5]CU!$C$5:$J$255,8,FALSE))</f>
        <v>3. Dépenses de fonctionnement</v>
      </c>
      <c r="W1519" s="18" t="s">
        <v>96</v>
      </c>
      <c r="X1519" s="18" t="s">
        <v>96</v>
      </c>
      <c r="Y1519" s="18" t="s">
        <v>679</v>
      </c>
      <c r="Z1519" s="18" t="str">
        <f>A1519 &amp; "-" &amp; VLOOKUP(A1519,[4]PROGRAMMES!$E$1:$F$7,2,FALSE)</f>
        <v>5-Gouvernance et pilotage du secteur</v>
      </c>
      <c r="AA1519" s="19" t="str">
        <f>B1519 &amp; "-" &amp; VLOOKUP(B1519,[4]SOUSPROGRAMMES!$E$1:$F$44,2,FALSE)</f>
        <v xml:space="preserve">53- Systèmes d’information pour la gestion de l'éducation (collecte, analyse, diffusion, et utilisation des informations) </v>
      </c>
      <c r="AB1519" s="19" t="str">
        <f>C1519 &amp; "-" &amp; VLOOKUP(C1519,[4]RESULTATS!$E$1:$F$176,2,FALSE)</f>
        <v>531- La production des données permet d’offrir aux différents acteurs et utilisateurs à tous les niveaux l’information dont ils ont besoin</v>
      </c>
      <c r="AC1519" s="20" t="str">
        <f>D1519 &amp; "-" &amp; VLOOKUP(D1519,[4]STRATEGIES!$E$1:$F$504,2,FALSE)</f>
        <v>5311-Organisation de la collecte classique</v>
      </c>
      <c r="AD1519" s="21" t="str">
        <f t="shared" si="221"/>
        <v>531116-Saisie de données du supérieur</v>
      </c>
    </row>
    <row r="1520" spans="1:30" s="22" customFormat="1" ht="60" hidden="1" customHeight="1" x14ac:dyDescent="0.8">
      <c r="A1520" s="14">
        <v>5</v>
      </c>
      <c r="B1520" s="15">
        <v>53</v>
      </c>
      <c r="C1520" s="15">
        <v>531</v>
      </c>
      <c r="D1520" s="15">
        <v>5311</v>
      </c>
      <c r="E1520" s="15">
        <v>531116</v>
      </c>
      <c r="F1520" s="16" t="s">
        <v>1978</v>
      </c>
      <c r="G1520" s="21" t="s">
        <v>1979</v>
      </c>
      <c r="H1520" s="17" t="s">
        <v>66</v>
      </c>
      <c r="I1520" s="33">
        <v>0</v>
      </c>
      <c r="J1520" s="33">
        <f>(25*10)*25%</f>
        <v>62.5</v>
      </c>
      <c r="K1520" s="33">
        <f>(25*10)*25%</f>
        <v>62.5</v>
      </c>
      <c r="L1520" s="33">
        <f>(25*10)*25%</f>
        <v>62.5</v>
      </c>
      <c r="M1520" s="33">
        <f t="shared" si="225"/>
        <v>187.5</v>
      </c>
      <c r="N1520" s="33">
        <f>IF(OR(H1520="",H1520="sif",H1520="PM"),0,VLOOKUP(H1520,[5]CU!$C$4:$H$255,6,FALSE))</f>
        <v>0.255</v>
      </c>
      <c r="O1520" s="33">
        <f t="shared" si="223"/>
        <v>0</v>
      </c>
      <c r="P1520" s="33">
        <f t="shared" si="223"/>
        <v>15.9375</v>
      </c>
      <c r="Q1520" s="33">
        <f t="shared" si="223"/>
        <v>15.9375</v>
      </c>
      <c r="R1520" s="33">
        <f t="shared" si="223"/>
        <v>15.9375</v>
      </c>
      <c r="S1520" s="34">
        <f t="shared" si="224"/>
        <v>47.8125</v>
      </c>
      <c r="T1520" s="35" t="s">
        <v>118</v>
      </c>
      <c r="U1520" s="18" t="s">
        <v>1873</v>
      </c>
      <c r="V1520" s="18" t="str">
        <f>IF(OR($H1520="",$H1520="sif",$H1520="PM"),"",VLOOKUP($H1520,[5]CU!$C$5:$J$255,8,FALSE))</f>
        <v>3. Dépenses de fonctionnement</v>
      </c>
      <c r="W1520" s="18" t="s">
        <v>96</v>
      </c>
      <c r="X1520" s="18" t="s">
        <v>96</v>
      </c>
      <c r="Y1520" s="18" t="s">
        <v>679</v>
      </c>
      <c r="Z1520" s="18" t="str">
        <f>A1520 &amp; "-" &amp; VLOOKUP(A1520,[4]PROGRAMMES!$E$1:$F$7,2,FALSE)</f>
        <v>5-Gouvernance et pilotage du secteur</v>
      </c>
      <c r="AA1520" s="19" t="str">
        <f>B1520 &amp; "-" &amp; VLOOKUP(B1520,[4]SOUSPROGRAMMES!$E$1:$F$44,2,FALSE)</f>
        <v xml:space="preserve">53- Systèmes d’information pour la gestion de l'éducation (collecte, analyse, diffusion, et utilisation des informations) </v>
      </c>
      <c r="AB1520" s="19" t="str">
        <f>C1520 &amp; "-" &amp; VLOOKUP(C1520,[4]RESULTATS!$E$1:$F$176,2,FALSE)</f>
        <v>531- La production des données permet d’offrir aux différents acteurs et utilisateurs à tous les niveaux l’information dont ils ont besoin</v>
      </c>
      <c r="AC1520" s="20" t="str">
        <f>D1520 &amp; "-" &amp; VLOOKUP(D1520,[4]STRATEGIES!$E$1:$F$504,2,FALSE)</f>
        <v>5311-Organisation de la collecte classique</v>
      </c>
      <c r="AD1520" s="21" t="str">
        <f t="shared" si="221"/>
        <v>531116-Saisie de données du supérieur</v>
      </c>
    </row>
    <row r="1521" spans="1:30" s="22" customFormat="1" ht="60" hidden="1" customHeight="1" x14ac:dyDescent="0.8">
      <c r="A1521" s="14">
        <v>5</v>
      </c>
      <c r="B1521" s="15">
        <v>53</v>
      </c>
      <c r="C1521" s="15">
        <v>531</v>
      </c>
      <c r="D1521" s="15">
        <v>5311</v>
      </c>
      <c r="E1521" s="15">
        <v>531117</v>
      </c>
      <c r="F1521" s="16" t="s">
        <v>1980</v>
      </c>
      <c r="G1521" s="21" t="s">
        <v>1979</v>
      </c>
      <c r="H1521" s="17" t="s">
        <v>66</v>
      </c>
      <c r="I1521" s="33">
        <v>0</v>
      </c>
      <c r="J1521" s="33">
        <f>(15*10)*75%</f>
        <v>112.5</v>
      </c>
      <c r="K1521" s="33">
        <f>(15*10)*75%</f>
        <v>112.5</v>
      </c>
      <c r="L1521" s="33">
        <f>(15*10)*75%</f>
        <v>112.5</v>
      </c>
      <c r="M1521" s="33">
        <f>SUM(I1521:L1521)</f>
        <v>337.5</v>
      </c>
      <c r="N1521" s="33">
        <f>IF(OR(H1521="",H1521="sif",H1521="PM"),0,VLOOKUP(H1521,[5]CU!$C$4:$H$255,6,FALSE))</f>
        <v>0.255</v>
      </c>
      <c r="O1521" s="33">
        <f>IFERROR($N1521*I1521,0)</f>
        <v>0</v>
      </c>
      <c r="P1521" s="33">
        <f>IFERROR($N1521*J1521,0)</f>
        <v>28.6875</v>
      </c>
      <c r="Q1521" s="33">
        <f>IFERROR($N1521*K1521,0)</f>
        <v>28.6875</v>
      </c>
      <c r="R1521" s="33">
        <f>IFERROR($N1521*L1521,0)</f>
        <v>28.6875</v>
      </c>
      <c r="S1521" s="34">
        <f>SUM(O1521:R1521)</f>
        <v>86.0625</v>
      </c>
      <c r="T1521" s="35" t="s">
        <v>56</v>
      </c>
      <c r="U1521" s="18" t="s">
        <v>1873</v>
      </c>
      <c r="V1521" s="18" t="str">
        <f>IF(OR($H1521="",$H1521="sif",$H1521="PM"),"",VLOOKUP($H1521,[5]CU!$C$5:$J$255,8,FALSE))</f>
        <v>3. Dépenses de fonctionnement</v>
      </c>
      <c r="W1521" s="18" t="s">
        <v>96</v>
      </c>
      <c r="X1521" s="18" t="s">
        <v>96</v>
      </c>
      <c r="Y1521" s="18" t="s">
        <v>677</v>
      </c>
      <c r="Z1521" s="18" t="str">
        <f>A1521 &amp; "-" &amp; VLOOKUP(A1521,[4]PROGRAMMES!$E$1:$F$7,2,FALSE)</f>
        <v>5-Gouvernance et pilotage du secteur</v>
      </c>
      <c r="AA1521" s="19" t="str">
        <f>B1521 &amp; "-" &amp; VLOOKUP(B1521,[4]SOUSPROGRAMMES!$E$1:$F$44,2,FALSE)</f>
        <v xml:space="preserve">53- Systèmes d’information pour la gestion de l'éducation (collecte, analyse, diffusion, et utilisation des informations) </v>
      </c>
      <c r="AB1521" s="19" t="str">
        <f>C1521 &amp; "-" &amp; VLOOKUP(C1521,[4]RESULTATS!$E$1:$F$176,2,FALSE)</f>
        <v>531- La production des données permet d’offrir aux différents acteurs et utilisateurs à tous les niveaux l’information dont ils ont besoin</v>
      </c>
      <c r="AC1521" s="20" t="str">
        <f>D1521 &amp; "-" &amp; VLOOKUP(D1521,[4]STRATEGIES!$E$1:$F$504,2,FALSE)</f>
        <v>5311-Organisation de la collecte classique</v>
      </c>
      <c r="AD1521" s="21" t="str">
        <f t="shared" si="221"/>
        <v>531117-Saisie de données de l'ETFP</v>
      </c>
    </row>
    <row r="1522" spans="1:30" s="22" customFormat="1" ht="60" hidden="1" customHeight="1" x14ac:dyDescent="0.8">
      <c r="A1522" s="14">
        <v>5</v>
      </c>
      <c r="B1522" s="15">
        <v>53</v>
      </c>
      <c r="C1522" s="15">
        <v>531</v>
      </c>
      <c r="D1522" s="15">
        <v>5311</v>
      </c>
      <c r="E1522" s="15">
        <v>531117</v>
      </c>
      <c r="F1522" s="16" t="s">
        <v>1980</v>
      </c>
      <c r="G1522" s="21" t="s">
        <v>1979</v>
      </c>
      <c r="H1522" s="17" t="s">
        <v>66</v>
      </c>
      <c r="I1522" s="33">
        <v>0</v>
      </c>
      <c r="J1522" s="33">
        <f>(15*10)*25%</f>
        <v>37.5</v>
      </c>
      <c r="K1522" s="33">
        <f>(15*10)*25%</f>
        <v>37.5</v>
      </c>
      <c r="L1522" s="33">
        <f>(15*10)*25%</f>
        <v>37.5</v>
      </c>
      <c r="M1522" s="33">
        <f t="shared" si="225"/>
        <v>112.5</v>
      </c>
      <c r="N1522" s="33">
        <f>IF(OR(H1522="",H1522="sif",H1522="PM"),0,VLOOKUP(H1522,[5]CU!$C$4:$H$255,6,FALSE))</f>
        <v>0.255</v>
      </c>
      <c r="O1522" s="33">
        <f t="shared" si="223"/>
        <v>0</v>
      </c>
      <c r="P1522" s="33">
        <f t="shared" si="223"/>
        <v>9.5625</v>
      </c>
      <c r="Q1522" s="33">
        <f t="shared" si="223"/>
        <v>9.5625</v>
      </c>
      <c r="R1522" s="33">
        <f t="shared" si="223"/>
        <v>9.5625</v>
      </c>
      <c r="S1522" s="34">
        <f t="shared" si="224"/>
        <v>28.6875</v>
      </c>
      <c r="T1522" s="35" t="s">
        <v>118</v>
      </c>
      <c r="U1522" s="18" t="s">
        <v>1873</v>
      </c>
      <c r="V1522" s="18" t="str">
        <f>IF(OR($H1522="",$H1522="sif",$H1522="PM"),"",VLOOKUP($H1522,[5]CU!$C$5:$J$255,8,FALSE))</f>
        <v>3. Dépenses de fonctionnement</v>
      </c>
      <c r="W1522" s="18" t="s">
        <v>96</v>
      </c>
      <c r="X1522" s="18" t="s">
        <v>96</v>
      </c>
      <c r="Y1522" s="18" t="s">
        <v>677</v>
      </c>
      <c r="Z1522" s="18" t="str">
        <f>A1522 &amp; "-" &amp; VLOOKUP(A1522,[4]PROGRAMMES!$E$1:$F$7,2,FALSE)</f>
        <v>5-Gouvernance et pilotage du secteur</v>
      </c>
      <c r="AA1522" s="19" t="str">
        <f>B1522 &amp; "-" &amp; VLOOKUP(B1522,[4]SOUSPROGRAMMES!$E$1:$F$44,2,FALSE)</f>
        <v xml:space="preserve">53- Systèmes d’information pour la gestion de l'éducation (collecte, analyse, diffusion, et utilisation des informations) </v>
      </c>
      <c r="AB1522" s="19" t="str">
        <f>C1522 &amp; "-" &amp; VLOOKUP(C1522,[4]RESULTATS!$E$1:$F$176,2,FALSE)</f>
        <v>531- La production des données permet d’offrir aux différents acteurs et utilisateurs à tous les niveaux l’information dont ils ont besoin</v>
      </c>
      <c r="AC1522" s="20" t="str">
        <f>D1522 &amp; "-" &amp; VLOOKUP(D1522,[4]STRATEGIES!$E$1:$F$504,2,FALSE)</f>
        <v>5311-Organisation de la collecte classique</v>
      </c>
      <c r="AD1522" s="21" t="str">
        <f t="shared" si="221"/>
        <v>531117-Saisie de données de l'ETFP</v>
      </c>
    </row>
    <row r="1523" spans="1:30" s="22" customFormat="1" ht="60" hidden="1" customHeight="1" x14ac:dyDescent="0.8">
      <c r="A1523" s="14">
        <v>5</v>
      </c>
      <c r="B1523" s="15">
        <v>53</v>
      </c>
      <c r="C1523" s="15">
        <v>531</v>
      </c>
      <c r="D1523" s="15">
        <v>5311</v>
      </c>
      <c r="E1523" s="15">
        <v>531118</v>
      </c>
      <c r="F1523" s="16" t="s">
        <v>1981</v>
      </c>
      <c r="G1523" s="21" t="s">
        <v>1017</v>
      </c>
      <c r="H1523" s="17" t="s">
        <v>59</v>
      </c>
      <c r="I1523" s="33">
        <v>0</v>
      </c>
      <c r="J1523" s="33"/>
      <c r="K1523" s="33"/>
      <c r="L1523" s="33"/>
      <c r="M1523" s="33">
        <f>SUM(I1523:L1523)</f>
        <v>0</v>
      </c>
      <c r="N1523" s="33">
        <f>IF(OR(H1523="",H1523="sif",H1523="PM"),0,VLOOKUP(H1523,[5]CU!$C$4:$H$255,6,FALSE))</f>
        <v>0.8177777777777776</v>
      </c>
      <c r="O1523" s="33">
        <f>IFERROR($N1523*I1523,0)</f>
        <v>0</v>
      </c>
      <c r="P1523" s="33">
        <f>IFERROR($N1523*J1523,0)</f>
        <v>0</v>
      </c>
      <c r="Q1523" s="33">
        <f>IFERROR($N1523*K1523,0)</f>
        <v>0</v>
      </c>
      <c r="R1523" s="33">
        <f>IFERROR($N1523*L1523,0)</f>
        <v>0</v>
      </c>
      <c r="S1523" s="34">
        <f>SUM(O1523:R1523)</f>
        <v>0</v>
      </c>
      <c r="T1523" s="35" t="s">
        <v>118</v>
      </c>
      <c r="U1523" s="18" t="s">
        <v>1873</v>
      </c>
      <c r="V1523" s="18" t="str">
        <f>IF(OR($H1523="",$H1523="sif",$H1523="PM"),"",VLOOKUP($H1523,[5]CU!$C$5:$J$255,8,FALSE))</f>
        <v>3. Dépenses de fonctionnement</v>
      </c>
      <c r="W1523" s="18" t="s">
        <v>96</v>
      </c>
      <c r="X1523" s="18" t="s">
        <v>96</v>
      </c>
      <c r="Y1523" s="19" t="s">
        <v>32</v>
      </c>
      <c r="Z1523" s="18" t="str">
        <f>A1523 &amp; "-" &amp; VLOOKUP(A1523,[4]PROGRAMMES!$E$1:$F$7,2,FALSE)</f>
        <v>5-Gouvernance et pilotage du secteur</v>
      </c>
      <c r="AA1523" s="19" t="str">
        <f>B1523 &amp; "-" &amp; VLOOKUP(B1523,[4]SOUSPROGRAMMES!$E$1:$F$44,2,FALSE)</f>
        <v xml:space="preserve">53- Systèmes d’information pour la gestion de l'éducation (collecte, analyse, diffusion, et utilisation des informations) </v>
      </c>
      <c r="AB1523" s="19" t="str">
        <f>C1523 &amp; "-" &amp; VLOOKUP(C1523,[4]RESULTATS!$E$1:$F$176,2,FALSE)</f>
        <v>531- La production des données permet d’offrir aux différents acteurs et utilisateurs à tous les niveaux l’information dont ils ont besoin</v>
      </c>
      <c r="AC1523" s="20" t="str">
        <f>D1523 &amp; "-" &amp; VLOOKUP(D1523,[4]STRATEGIES!$E$1:$F$504,2,FALSE)</f>
        <v>5311-Organisation de la collecte classique</v>
      </c>
      <c r="AD1523" s="21" t="str">
        <f t="shared" si="221"/>
        <v>531118-Suivi et contrôle de la collecte</v>
      </c>
    </row>
    <row r="1524" spans="1:30" ht="60" hidden="1" customHeight="1" x14ac:dyDescent="0.8">
      <c r="A1524" s="25">
        <v>5</v>
      </c>
      <c r="B1524" s="16">
        <v>53</v>
      </c>
      <c r="C1524" s="16">
        <v>531</v>
      </c>
      <c r="D1524" s="16">
        <v>5311</v>
      </c>
      <c r="E1524" s="16">
        <v>531118</v>
      </c>
      <c r="F1524" s="16" t="s">
        <v>1981</v>
      </c>
      <c r="G1524" s="21" t="s">
        <v>1017</v>
      </c>
      <c r="H1524" s="21" t="s">
        <v>59</v>
      </c>
      <c r="I1524" s="36">
        <v>0</v>
      </c>
      <c r="J1524" s="36">
        <f>(4*10)*4</f>
        <v>160</v>
      </c>
      <c r="K1524" s="36">
        <f>(4*10)*4</f>
        <v>160</v>
      </c>
      <c r="L1524" s="36">
        <f>(4*10)*4</f>
        <v>160</v>
      </c>
      <c r="M1524" s="36">
        <f t="shared" si="225"/>
        <v>480</v>
      </c>
      <c r="N1524" s="36">
        <f>IF(OR(H1524="",H1524="sif",H1524="PM"),0,VLOOKUP(H1524,[5]CU!$C$4:$H$255,6,FALSE))</f>
        <v>0.8177777777777776</v>
      </c>
      <c r="O1524" s="36">
        <f t="shared" si="223"/>
        <v>0</v>
      </c>
      <c r="P1524" s="36">
        <f t="shared" si="223"/>
        <v>130.84444444444441</v>
      </c>
      <c r="Q1524" s="36">
        <f t="shared" si="223"/>
        <v>130.84444444444441</v>
      </c>
      <c r="R1524" s="36">
        <f t="shared" si="223"/>
        <v>130.84444444444441</v>
      </c>
      <c r="S1524" s="37">
        <f t="shared" si="224"/>
        <v>392.53333333333319</v>
      </c>
      <c r="T1524" s="38" t="s">
        <v>169</v>
      </c>
      <c r="U1524" s="19" t="s">
        <v>1873</v>
      </c>
      <c r="V1524" s="19" t="str">
        <f>IF(OR($H1524="",$H1524="sif",$H1524="PM"),"",VLOOKUP($H1524,[5]CU!$C$5:$J$255,8,FALSE))</f>
        <v>3. Dépenses de fonctionnement</v>
      </c>
      <c r="W1524" s="19" t="s">
        <v>96</v>
      </c>
      <c r="X1524" s="19" t="s">
        <v>96</v>
      </c>
      <c r="Y1524" s="19" t="s">
        <v>32</v>
      </c>
      <c r="Z1524" s="19" t="str">
        <f>A1524 &amp; "-" &amp; VLOOKUP(A1524,[4]PROGRAMMES!$E$1:$F$7,2,FALSE)</f>
        <v>5-Gouvernance et pilotage du secteur</v>
      </c>
      <c r="AA1524" s="19" t="str">
        <f>B1524 &amp; "-" &amp; VLOOKUP(B1524,[4]SOUSPROGRAMMES!$E$1:$F$44,2,FALSE)</f>
        <v xml:space="preserve">53- Systèmes d’information pour la gestion de l'éducation (collecte, analyse, diffusion, et utilisation des informations) </v>
      </c>
      <c r="AB1524" s="19" t="str">
        <f>C1524 &amp; "-" &amp; VLOOKUP(C1524,[4]RESULTATS!$E$1:$F$176,2,FALSE)</f>
        <v>531- La production des données permet d’offrir aux différents acteurs et utilisateurs à tous les niveaux l’information dont ils ont besoin</v>
      </c>
      <c r="AC1524" s="20" t="str">
        <f>D1524 &amp; "-" &amp; VLOOKUP(D1524,[4]STRATEGIES!$E$1:$F$504,2,FALSE)</f>
        <v>5311-Organisation de la collecte classique</v>
      </c>
      <c r="AD1524" s="21" t="str">
        <f t="shared" si="221"/>
        <v>531118-Suivi et contrôle de la collecte</v>
      </c>
    </row>
    <row r="1525" spans="1:30" s="22" customFormat="1" ht="60" hidden="1" customHeight="1" x14ac:dyDescent="0.8">
      <c r="A1525" s="14">
        <v>5</v>
      </c>
      <c r="B1525" s="15">
        <v>53</v>
      </c>
      <c r="C1525" s="15">
        <v>531</v>
      </c>
      <c r="D1525" s="15">
        <v>5311</v>
      </c>
      <c r="E1525" s="15">
        <v>531119</v>
      </c>
      <c r="F1525" s="16" t="s">
        <v>1981</v>
      </c>
      <c r="G1525" s="21" t="s">
        <v>1017</v>
      </c>
      <c r="H1525" s="17" t="s">
        <v>59</v>
      </c>
      <c r="I1525" s="33">
        <v>0</v>
      </c>
      <c r="J1525" s="33">
        <f>(4*10)</f>
        <v>40</v>
      </c>
      <c r="K1525" s="33">
        <f>(4*10)</f>
        <v>40</v>
      </c>
      <c r="L1525" s="33">
        <f>(4*10)</f>
        <v>40</v>
      </c>
      <c r="M1525" s="33">
        <f t="shared" si="225"/>
        <v>120</v>
      </c>
      <c r="N1525" s="33">
        <f>IF(OR(H1525="",H1525="sif",H1525="PM"),0,VLOOKUP(H1525,[5]CU!$C$4:$H$255,6,FALSE))</f>
        <v>0.8177777777777776</v>
      </c>
      <c r="O1525" s="33">
        <f t="shared" si="223"/>
        <v>0</v>
      </c>
      <c r="P1525" s="33">
        <f t="shared" si="223"/>
        <v>32.711111111111101</v>
      </c>
      <c r="Q1525" s="33">
        <f t="shared" si="223"/>
        <v>32.711111111111101</v>
      </c>
      <c r="R1525" s="33">
        <f t="shared" si="223"/>
        <v>32.711111111111101</v>
      </c>
      <c r="S1525" s="34">
        <f t="shared" si="224"/>
        <v>98.133333333333297</v>
      </c>
      <c r="T1525" s="35" t="s">
        <v>56</v>
      </c>
      <c r="U1525" s="18" t="s">
        <v>1873</v>
      </c>
      <c r="V1525" s="18" t="str">
        <f>IF(OR($H1525="",$H1525="sif",$H1525="PM"),"",VLOOKUP($H1525,[5]CU!$C$5:$J$255,8,FALSE))</f>
        <v>3. Dépenses de fonctionnement</v>
      </c>
      <c r="W1525" s="18" t="s">
        <v>96</v>
      </c>
      <c r="X1525" s="18" t="s">
        <v>96</v>
      </c>
      <c r="Y1525" s="18" t="s">
        <v>679</v>
      </c>
      <c r="Z1525" s="18" t="str">
        <f>A1525 &amp; "-" &amp; VLOOKUP(A1525,[4]PROGRAMMES!$E$1:$F$7,2,FALSE)</f>
        <v>5-Gouvernance et pilotage du secteur</v>
      </c>
      <c r="AA1525" s="19" t="str">
        <f>B1525 &amp; "-" &amp; VLOOKUP(B1525,[4]SOUSPROGRAMMES!$E$1:$F$44,2,FALSE)</f>
        <v xml:space="preserve">53- Systèmes d’information pour la gestion de l'éducation (collecte, analyse, diffusion, et utilisation des informations) </v>
      </c>
      <c r="AB1525" s="19" t="str">
        <f>C1525 &amp; "-" &amp; VLOOKUP(C1525,[4]RESULTATS!$E$1:$F$176,2,FALSE)</f>
        <v>531- La production des données permet d’offrir aux différents acteurs et utilisateurs à tous les niveaux l’information dont ils ont besoin</v>
      </c>
      <c r="AC1525" s="20" t="str">
        <f>D1525 &amp; "-" &amp; VLOOKUP(D1525,[4]STRATEGIES!$E$1:$F$504,2,FALSE)</f>
        <v>5311-Organisation de la collecte classique</v>
      </c>
      <c r="AD1525" s="21" t="str">
        <f t="shared" si="221"/>
        <v>531119-Suivi et contrôle de la collecte</v>
      </c>
    </row>
    <row r="1526" spans="1:30" s="22" customFormat="1" ht="60" hidden="1" customHeight="1" x14ac:dyDescent="0.8">
      <c r="A1526" s="14">
        <v>5</v>
      </c>
      <c r="B1526" s="15">
        <v>53</v>
      </c>
      <c r="C1526" s="15">
        <v>531</v>
      </c>
      <c r="D1526" s="15">
        <v>5311</v>
      </c>
      <c r="E1526" s="15">
        <v>531120</v>
      </c>
      <c r="F1526" s="16" t="s">
        <v>1981</v>
      </c>
      <c r="G1526" s="21" t="s">
        <v>1017</v>
      </c>
      <c r="H1526" s="17" t="s">
        <v>59</v>
      </c>
      <c r="I1526" s="33">
        <v>0</v>
      </c>
      <c r="J1526" s="33">
        <f>(4*7)*4</f>
        <v>112</v>
      </c>
      <c r="K1526" s="33">
        <f>(4*7)*4</f>
        <v>112</v>
      </c>
      <c r="L1526" s="33">
        <f>(4*7)*4</f>
        <v>112</v>
      </c>
      <c r="M1526" s="33">
        <f t="shared" si="225"/>
        <v>336</v>
      </c>
      <c r="N1526" s="33">
        <f>IF(OR(H1526="",H1526="sif",H1526="PM"),0,VLOOKUP(H1526,[5]CU!$C$4:$H$255,6,FALSE))</f>
        <v>0.8177777777777776</v>
      </c>
      <c r="O1526" s="33">
        <f t="shared" si="223"/>
        <v>0</v>
      </c>
      <c r="P1526" s="33">
        <f t="shared" si="223"/>
        <v>91.59111111111109</v>
      </c>
      <c r="Q1526" s="33">
        <f t="shared" si="223"/>
        <v>91.59111111111109</v>
      </c>
      <c r="R1526" s="33">
        <f t="shared" si="223"/>
        <v>91.59111111111109</v>
      </c>
      <c r="S1526" s="34">
        <f t="shared" si="224"/>
        <v>274.77333333333326</v>
      </c>
      <c r="T1526" s="35" t="s">
        <v>56</v>
      </c>
      <c r="U1526" s="18" t="s">
        <v>1873</v>
      </c>
      <c r="V1526" s="18" t="str">
        <f>IF(OR($H1526="",$H1526="sif",$H1526="PM"),"",VLOOKUP($H1526,[5]CU!$C$5:$J$255,8,FALSE))</f>
        <v>3. Dépenses de fonctionnement</v>
      </c>
      <c r="W1526" s="18" t="s">
        <v>96</v>
      </c>
      <c r="X1526" s="18" t="s">
        <v>96</v>
      </c>
      <c r="Y1526" s="18" t="s">
        <v>677</v>
      </c>
      <c r="Z1526" s="18" t="str">
        <f>A1526 &amp; "-" &amp; VLOOKUP(A1526,[4]PROGRAMMES!$E$1:$F$7,2,FALSE)</f>
        <v>5-Gouvernance et pilotage du secteur</v>
      </c>
      <c r="AA1526" s="19" t="str">
        <f>B1526 &amp; "-" &amp; VLOOKUP(B1526,[4]SOUSPROGRAMMES!$E$1:$F$44,2,FALSE)</f>
        <v xml:space="preserve">53- Systèmes d’information pour la gestion de l'éducation (collecte, analyse, diffusion, et utilisation des informations) </v>
      </c>
      <c r="AB1526" s="19" t="str">
        <f>C1526 &amp; "-" &amp; VLOOKUP(C1526,[4]RESULTATS!$E$1:$F$176,2,FALSE)</f>
        <v>531- La production des données permet d’offrir aux différents acteurs et utilisateurs à tous les niveaux l’information dont ils ont besoin</v>
      </c>
      <c r="AC1526" s="20" t="str">
        <f>D1526 &amp; "-" &amp; VLOOKUP(D1526,[4]STRATEGIES!$E$1:$F$504,2,FALSE)</f>
        <v>5311-Organisation de la collecte classique</v>
      </c>
      <c r="AD1526" s="21" t="str">
        <f t="shared" si="221"/>
        <v>531120-Suivi et contrôle de la collecte</v>
      </c>
    </row>
    <row r="1527" spans="1:30" s="22" customFormat="1" ht="60" hidden="1" customHeight="1" x14ac:dyDescent="0.8">
      <c r="A1527" s="14">
        <v>5</v>
      </c>
      <c r="B1527" s="15">
        <v>53</v>
      </c>
      <c r="C1527" s="15">
        <v>531</v>
      </c>
      <c r="D1527" s="15">
        <v>5311</v>
      </c>
      <c r="E1527" s="15">
        <v>531121</v>
      </c>
      <c r="F1527" s="16" t="s">
        <v>1982</v>
      </c>
      <c r="G1527" s="21" t="s">
        <v>315</v>
      </c>
      <c r="H1527" s="17" t="s">
        <v>66</v>
      </c>
      <c r="I1527" s="33">
        <v>0</v>
      </c>
      <c r="J1527" s="33"/>
      <c r="K1527" s="33"/>
      <c r="L1527" s="33"/>
      <c r="M1527" s="33">
        <f>SUM(I1527:L1527)</f>
        <v>0</v>
      </c>
      <c r="N1527" s="33">
        <f>IF(OR(H1527="",H1527="sif",H1527="PM"),0,VLOOKUP(H1527,[5]CU!$C$4:$H$255,6,FALSE))</f>
        <v>0.255</v>
      </c>
      <c r="O1527" s="33">
        <f>IFERROR($N1527*I1527,0)</f>
        <v>0</v>
      </c>
      <c r="P1527" s="33">
        <f>IFERROR($N1527*J1527,0)</f>
        <v>0</v>
      </c>
      <c r="Q1527" s="33">
        <f>IFERROR($N1527*K1527,0)</f>
        <v>0</v>
      </c>
      <c r="R1527" s="33">
        <f>IFERROR($N1527*L1527,0)</f>
        <v>0</v>
      </c>
      <c r="S1527" s="34">
        <f>SUM(O1527:R1527)</f>
        <v>0</v>
      </c>
      <c r="T1527" s="35" t="s">
        <v>118</v>
      </c>
      <c r="U1527" s="18" t="s">
        <v>1873</v>
      </c>
      <c r="V1527" s="18" t="str">
        <f>IF(OR($H1527="",$H1527="sif",$H1527="PM"),"",VLOOKUP($H1527,[5]CU!$C$5:$J$255,8,FALSE))</f>
        <v>3. Dépenses de fonctionnement</v>
      </c>
      <c r="W1527" s="18" t="s">
        <v>96</v>
      </c>
      <c r="X1527" s="18" t="s">
        <v>96</v>
      </c>
      <c r="Y1527" s="19" t="s">
        <v>32</v>
      </c>
      <c r="Z1527" s="18" t="str">
        <f>A1527 &amp; "-" &amp; VLOOKUP(A1527,[4]PROGRAMMES!$E$1:$F$7,2,FALSE)</f>
        <v>5-Gouvernance et pilotage du secteur</v>
      </c>
      <c r="AA1527" s="19" t="str">
        <f>B1527 &amp; "-" &amp; VLOOKUP(B1527,[4]SOUSPROGRAMMES!$E$1:$F$44,2,FALSE)</f>
        <v xml:space="preserve">53- Systèmes d’information pour la gestion de l'éducation (collecte, analyse, diffusion, et utilisation des informations) </v>
      </c>
      <c r="AB1527" s="19" t="str">
        <f>C1527 &amp; "-" &amp; VLOOKUP(C1527,[4]RESULTATS!$E$1:$F$176,2,FALSE)</f>
        <v>531- La production des données permet d’offrir aux différents acteurs et utilisateurs à tous les niveaux l’information dont ils ont besoin</v>
      </c>
      <c r="AC1527" s="20" t="str">
        <f>D1527 &amp; "-" &amp; VLOOKUP(D1527,[4]STRATEGIES!$E$1:$F$504,2,FALSE)</f>
        <v>5311-Organisation de la collecte classique</v>
      </c>
      <c r="AD1527" s="21" t="str">
        <f t="shared" si="221"/>
        <v>531121-Ateliers régionaux d'apurement, validation et fusion</v>
      </c>
    </row>
    <row r="1528" spans="1:30" ht="60" hidden="1" customHeight="1" x14ac:dyDescent="0.8">
      <c r="A1528" s="25">
        <v>5</v>
      </c>
      <c r="B1528" s="16">
        <v>53</v>
      </c>
      <c r="C1528" s="16">
        <v>531</v>
      </c>
      <c r="D1528" s="16">
        <v>5311</v>
      </c>
      <c r="E1528" s="16">
        <v>531121</v>
      </c>
      <c r="F1528" s="16" t="s">
        <v>1982</v>
      </c>
      <c r="G1528" s="21" t="s">
        <v>315</v>
      </c>
      <c r="H1528" s="21" t="s">
        <v>66</v>
      </c>
      <c r="I1528" s="36">
        <v>0</v>
      </c>
      <c r="J1528" s="36">
        <f>(46*2+15)*3</f>
        <v>321</v>
      </c>
      <c r="K1528" s="36">
        <f t="shared" ref="K1528:L1528" si="226">(46*2+15)*3</f>
        <v>321</v>
      </c>
      <c r="L1528" s="36">
        <f t="shared" si="226"/>
        <v>321</v>
      </c>
      <c r="M1528" s="36">
        <f t="shared" si="225"/>
        <v>963</v>
      </c>
      <c r="N1528" s="36">
        <f>IF(OR(H1528="",H1528="sif",H1528="PM"),0,VLOOKUP(H1528,[5]CU!$C$4:$H$255,6,FALSE))</f>
        <v>0.255</v>
      </c>
      <c r="O1528" s="36">
        <f t="shared" si="223"/>
        <v>0</v>
      </c>
      <c r="P1528" s="36">
        <f t="shared" si="223"/>
        <v>81.855000000000004</v>
      </c>
      <c r="Q1528" s="36">
        <f t="shared" si="223"/>
        <v>81.855000000000004</v>
      </c>
      <c r="R1528" s="36">
        <f t="shared" si="223"/>
        <v>81.855000000000004</v>
      </c>
      <c r="S1528" s="37">
        <f t="shared" si="224"/>
        <v>245.565</v>
      </c>
      <c r="T1528" s="38" t="s">
        <v>169</v>
      </c>
      <c r="U1528" s="19" t="s">
        <v>1873</v>
      </c>
      <c r="V1528" s="19" t="str">
        <f>IF(OR($H1528="",$H1528="sif",$H1528="PM"),"",VLOOKUP($H1528,[5]CU!$C$5:$J$255,8,FALSE))</f>
        <v>3. Dépenses de fonctionnement</v>
      </c>
      <c r="W1528" s="19" t="s">
        <v>96</v>
      </c>
      <c r="X1528" s="19" t="s">
        <v>96</v>
      </c>
      <c r="Y1528" s="19" t="s">
        <v>32</v>
      </c>
      <c r="Z1528" s="19" t="str">
        <f>A1528 &amp; "-" &amp; VLOOKUP(A1528,[4]PROGRAMMES!$E$1:$F$7,2,FALSE)</f>
        <v>5-Gouvernance et pilotage du secteur</v>
      </c>
      <c r="AA1528" s="19" t="str">
        <f>B1528 &amp; "-" &amp; VLOOKUP(B1528,[4]SOUSPROGRAMMES!$E$1:$F$44,2,FALSE)</f>
        <v xml:space="preserve">53- Systèmes d’information pour la gestion de l'éducation (collecte, analyse, diffusion, et utilisation des informations) </v>
      </c>
      <c r="AB1528" s="19" t="str">
        <f>C1528 &amp; "-" &amp; VLOOKUP(C1528,[4]RESULTATS!$E$1:$F$176,2,FALSE)</f>
        <v>531- La production des données permet d’offrir aux différents acteurs et utilisateurs à tous les niveaux l’information dont ils ont besoin</v>
      </c>
      <c r="AC1528" s="20" t="str">
        <f>D1528 &amp; "-" &amp; VLOOKUP(D1528,[4]STRATEGIES!$E$1:$F$504,2,FALSE)</f>
        <v>5311-Organisation de la collecte classique</v>
      </c>
      <c r="AD1528" s="21" t="str">
        <f t="shared" si="221"/>
        <v>531121-Ateliers régionaux d'apurement, validation et fusion</v>
      </c>
    </row>
    <row r="1529" spans="1:30" s="22" customFormat="1" ht="60" hidden="1" customHeight="1" x14ac:dyDescent="0.8">
      <c r="A1529" s="14">
        <v>5</v>
      </c>
      <c r="B1529" s="15">
        <v>53</v>
      </c>
      <c r="C1529" s="15">
        <v>531</v>
      </c>
      <c r="D1529" s="15">
        <v>5311</v>
      </c>
      <c r="E1529" s="15">
        <v>531122</v>
      </c>
      <c r="F1529" s="16" t="s">
        <v>1983</v>
      </c>
      <c r="G1529" s="21" t="s">
        <v>315</v>
      </c>
      <c r="H1529" s="17" t="s">
        <v>66</v>
      </c>
      <c r="I1529" s="33">
        <v>0</v>
      </c>
      <c r="J1529" s="33"/>
      <c r="K1529" s="33"/>
      <c r="L1529" s="33"/>
      <c r="M1529" s="33">
        <f>SUM(I1529:L1529)</f>
        <v>0</v>
      </c>
      <c r="N1529" s="33">
        <f>IF(OR(H1529="",H1529="sif",H1529="PM"),0,VLOOKUP(H1529,[5]CU!$C$4:$H$255,6,FALSE))</f>
        <v>0.255</v>
      </c>
      <c r="O1529" s="33">
        <f>IFERROR($N1529*I1529,0)</f>
        <v>0</v>
      </c>
      <c r="P1529" s="33">
        <f>IFERROR($N1529*J1529,0)</f>
        <v>0</v>
      </c>
      <c r="Q1529" s="33">
        <f>IFERROR($N1529*K1529,0)</f>
        <v>0</v>
      </c>
      <c r="R1529" s="33">
        <f>IFERROR($N1529*L1529,0)</f>
        <v>0</v>
      </c>
      <c r="S1529" s="34">
        <f>SUM(O1529:R1529)</f>
        <v>0</v>
      </c>
      <c r="T1529" s="35" t="s">
        <v>118</v>
      </c>
      <c r="U1529" s="18" t="s">
        <v>1873</v>
      </c>
      <c r="V1529" s="18" t="str">
        <f>IF(OR($H1529="",$H1529="sif",$H1529="PM"),"",VLOOKUP($H1529,[5]CU!$C$5:$J$255,8,FALSE))</f>
        <v>3. Dépenses de fonctionnement</v>
      </c>
      <c r="W1529" s="18" t="s">
        <v>96</v>
      </c>
      <c r="X1529" s="18" t="s">
        <v>96</v>
      </c>
      <c r="Y1529" s="19" t="s">
        <v>32</v>
      </c>
      <c r="Z1529" s="18" t="str">
        <f>A1529 &amp; "-" &amp; VLOOKUP(A1529,[4]PROGRAMMES!$E$1:$F$7,2,FALSE)</f>
        <v>5-Gouvernance et pilotage du secteur</v>
      </c>
      <c r="AA1529" s="19" t="str">
        <f>B1529 &amp; "-" &amp; VLOOKUP(B1529,[4]SOUSPROGRAMMES!$E$1:$F$44,2,FALSE)</f>
        <v xml:space="preserve">53- Systèmes d’information pour la gestion de l'éducation (collecte, analyse, diffusion, et utilisation des informations) </v>
      </c>
      <c r="AB1529" s="19" t="str">
        <f>C1529 &amp; "-" &amp; VLOOKUP(C1529,[4]RESULTATS!$E$1:$F$176,2,FALSE)</f>
        <v>531- La production des données permet d’offrir aux différents acteurs et utilisateurs à tous les niveaux l’information dont ils ont besoin</v>
      </c>
      <c r="AC1529" s="20" t="str">
        <f>D1529 &amp; "-" &amp; VLOOKUP(D1529,[4]STRATEGIES!$E$1:$F$504,2,FALSE)</f>
        <v>5311-Organisation de la collecte classique</v>
      </c>
      <c r="AD1529" s="21" t="str">
        <f t="shared" si="221"/>
        <v>531122-Elaboration des rapports d'analyse et dépliants au niveau national (MENA)</v>
      </c>
    </row>
    <row r="1530" spans="1:30" ht="60" hidden="1" customHeight="1" x14ac:dyDescent="0.8">
      <c r="A1530" s="25">
        <v>5</v>
      </c>
      <c r="B1530" s="16">
        <v>53</v>
      </c>
      <c r="C1530" s="16">
        <v>531</v>
      </c>
      <c r="D1530" s="16">
        <v>5311</v>
      </c>
      <c r="E1530" s="16">
        <v>531122</v>
      </c>
      <c r="F1530" s="16" t="s">
        <v>1983</v>
      </c>
      <c r="G1530" s="21" t="s">
        <v>315</v>
      </c>
      <c r="H1530" s="21" t="s">
        <v>66</v>
      </c>
      <c r="I1530" s="36">
        <v>0</v>
      </c>
      <c r="J1530" s="36">
        <f t="shared" ref="J1530:K1532" si="227">20*5</f>
        <v>100</v>
      </c>
      <c r="K1530" s="36">
        <f t="shared" si="227"/>
        <v>100</v>
      </c>
      <c r="L1530" s="36">
        <f>20*5</f>
        <v>100</v>
      </c>
      <c r="M1530" s="36">
        <f t="shared" si="225"/>
        <v>300</v>
      </c>
      <c r="N1530" s="36">
        <f>IF(OR(H1530="",H1530="sif",H1530="PM"),0,VLOOKUP(H1530,[5]CU!$C$4:$H$255,6,FALSE))</f>
        <v>0.255</v>
      </c>
      <c r="O1530" s="36">
        <f t="shared" si="223"/>
        <v>0</v>
      </c>
      <c r="P1530" s="36">
        <f t="shared" si="223"/>
        <v>25.5</v>
      </c>
      <c r="Q1530" s="36">
        <f t="shared" si="223"/>
        <v>25.5</v>
      </c>
      <c r="R1530" s="36">
        <f t="shared" si="223"/>
        <v>25.5</v>
      </c>
      <c r="S1530" s="37">
        <f t="shared" si="224"/>
        <v>76.5</v>
      </c>
      <c r="T1530" s="38" t="s">
        <v>169</v>
      </c>
      <c r="U1530" s="19" t="s">
        <v>1873</v>
      </c>
      <c r="V1530" s="19" t="str">
        <f>IF(OR($H1530="",$H1530="sif",$H1530="PM"),"",VLOOKUP($H1530,[5]CU!$C$5:$J$255,8,FALSE))</f>
        <v>3. Dépenses de fonctionnement</v>
      </c>
      <c r="W1530" s="19" t="s">
        <v>96</v>
      </c>
      <c r="X1530" s="19" t="s">
        <v>96</v>
      </c>
      <c r="Y1530" s="19" t="s">
        <v>32</v>
      </c>
      <c r="Z1530" s="19" t="str">
        <f>A1530 &amp; "-" &amp; VLOOKUP(A1530,[4]PROGRAMMES!$E$1:$F$7,2,FALSE)</f>
        <v>5-Gouvernance et pilotage du secteur</v>
      </c>
      <c r="AA1530" s="19" t="str">
        <f>B1530 &amp; "-" &amp; VLOOKUP(B1530,[4]SOUSPROGRAMMES!$E$1:$F$44,2,FALSE)</f>
        <v xml:space="preserve">53- Systèmes d’information pour la gestion de l'éducation (collecte, analyse, diffusion, et utilisation des informations) </v>
      </c>
      <c r="AB1530" s="19" t="str">
        <f>C1530 &amp; "-" &amp; VLOOKUP(C1530,[4]RESULTATS!$E$1:$F$176,2,FALSE)</f>
        <v>531- La production des données permet d’offrir aux différents acteurs et utilisateurs à tous les niveaux l’information dont ils ont besoin</v>
      </c>
      <c r="AC1530" s="20" t="str">
        <f>D1530 &amp; "-" &amp; VLOOKUP(D1530,[4]STRATEGIES!$E$1:$F$504,2,FALSE)</f>
        <v>5311-Organisation de la collecte classique</v>
      </c>
      <c r="AD1530" s="21" t="str">
        <f t="shared" si="221"/>
        <v>531122-Elaboration des rapports d'analyse et dépliants au niveau national (MENA)</v>
      </c>
    </row>
    <row r="1531" spans="1:30" s="22" customFormat="1" ht="60" hidden="1" customHeight="1" x14ac:dyDescent="0.8">
      <c r="A1531" s="14">
        <v>5</v>
      </c>
      <c r="B1531" s="15">
        <v>53</v>
      </c>
      <c r="C1531" s="15">
        <v>531</v>
      </c>
      <c r="D1531" s="15">
        <v>5311</v>
      </c>
      <c r="E1531" s="15">
        <v>531123</v>
      </c>
      <c r="F1531" s="16" t="s">
        <v>1984</v>
      </c>
      <c r="G1531" s="21" t="s">
        <v>315</v>
      </c>
      <c r="H1531" s="17" t="s">
        <v>66</v>
      </c>
      <c r="I1531" s="33">
        <v>0</v>
      </c>
      <c r="J1531" s="33">
        <f t="shared" si="227"/>
        <v>100</v>
      </c>
      <c r="K1531" s="33">
        <f t="shared" si="227"/>
        <v>100</v>
      </c>
      <c r="L1531" s="33">
        <f>20*5</f>
        <v>100</v>
      </c>
      <c r="M1531" s="33">
        <f t="shared" si="225"/>
        <v>300</v>
      </c>
      <c r="N1531" s="33">
        <f>IF(OR(H1531="",H1531="sif",H1531="PM"),0,VLOOKUP(H1531,[5]CU!$C$4:$H$255,6,FALSE))</f>
        <v>0.255</v>
      </c>
      <c r="O1531" s="33">
        <f t="shared" si="223"/>
        <v>0</v>
      </c>
      <c r="P1531" s="33">
        <f t="shared" si="223"/>
        <v>25.5</v>
      </c>
      <c r="Q1531" s="33">
        <f t="shared" si="223"/>
        <v>25.5</v>
      </c>
      <c r="R1531" s="33">
        <f t="shared" si="223"/>
        <v>25.5</v>
      </c>
      <c r="S1531" s="34">
        <f t="shared" si="224"/>
        <v>76.5</v>
      </c>
      <c r="T1531" s="35" t="s">
        <v>56</v>
      </c>
      <c r="U1531" s="18" t="s">
        <v>1873</v>
      </c>
      <c r="V1531" s="18" t="str">
        <f>IF(OR($H1531="",$H1531="sif",$H1531="PM"),"",VLOOKUP($H1531,[5]CU!$C$5:$J$255,8,FALSE))</f>
        <v>3. Dépenses de fonctionnement</v>
      </c>
      <c r="W1531" s="18" t="s">
        <v>96</v>
      </c>
      <c r="X1531" s="18" t="s">
        <v>96</v>
      </c>
      <c r="Y1531" s="18" t="s">
        <v>679</v>
      </c>
      <c r="Z1531" s="18" t="str">
        <f>A1531 &amp; "-" &amp; VLOOKUP(A1531,[4]PROGRAMMES!$E$1:$F$7,2,FALSE)</f>
        <v>5-Gouvernance et pilotage du secteur</v>
      </c>
      <c r="AA1531" s="19" t="str">
        <f>B1531 &amp; "-" &amp; VLOOKUP(B1531,[4]SOUSPROGRAMMES!$E$1:$F$44,2,FALSE)</f>
        <v xml:space="preserve">53- Systèmes d’information pour la gestion de l'éducation (collecte, analyse, diffusion, et utilisation des informations) </v>
      </c>
      <c r="AB1531" s="19" t="str">
        <f>C1531 &amp; "-" &amp; VLOOKUP(C1531,[4]RESULTATS!$E$1:$F$176,2,FALSE)</f>
        <v>531- La production des données permet d’offrir aux différents acteurs et utilisateurs à tous les niveaux l’information dont ils ont besoin</v>
      </c>
      <c r="AC1531" s="20" t="str">
        <f>D1531 &amp; "-" &amp; VLOOKUP(D1531,[4]STRATEGIES!$E$1:$F$504,2,FALSE)</f>
        <v>5311-Organisation de la collecte classique</v>
      </c>
      <c r="AD1531" s="21" t="str">
        <f t="shared" si="221"/>
        <v>531123-Elaboration des rapports d'analyse et dépliants au niveau national (METFP)</v>
      </c>
    </row>
    <row r="1532" spans="1:30" s="22" customFormat="1" ht="60" hidden="1" customHeight="1" x14ac:dyDescent="0.8">
      <c r="A1532" s="14">
        <v>5</v>
      </c>
      <c r="B1532" s="15">
        <v>53</v>
      </c>
      <c r="C1532" s="15">
        <v>531</v>
      </c>
      <c r="D1532" s="15">
        <v>5311</v>
      </c>
      <c r="E1532" s="15">
        <v>531124</v>
      </c>
      <c r="F1532" s="16" t="s">
        <v>1985</v>
      </c>
      <c r="G1532" s="21" t="s">
        <v>315</v>
      </c>
      <c r="H1532" s="17" t="s">
        <v>66</v>
      </c>
      <c r="I1532" s="33">
        <v>0</v>
      </c>
      <c r="J1532" s="33">
        <f t="shared" si="227"/>
        <v>100</v>
      </c>
      <c r="K1532" s="33">
        <f t="shared" si="227"/>
        <v>100</v>
      </c>
      <c r="L1532" s="33">
        <f>20*5</f>
        <v>100</v>
      </c>
      <c r="M1532" s="33">
        <f t="shared" si="225"/>
        <v>300</v>
      </c>
      <c r="N1532" s="33">
        <f>IF(OR(H1532="",H1532="sif",H1532="PM"),0,VLOOKUP(H1532,[5]CU!$C$4:$H$255,6,FALSE))</f>
        <v>0.255</v>
      </c>
      <c r="O1532" s="33">
        <f t="shared" si="223"/>
        <v>0</v>
      </c>
      <c r="P1532" s="33">
        <f t="shared" si="223"/>
        <v>25.5</v>
      </c>
      <c r="Q1532" s="33">
        <f t="shared" si="223"/>
        <v>25.5</v>
      </c>
      <c r="R1532" s="33">
        <f t="shared" si="223"/>
        <v>25.5</v>
      </c>
      <c r="S1532" s="34">
        <f t="shared" si="224"/>
        <v>76.5</v>
      </c>
      <c r="T1532" s="35" t="s">
        <v>56</v>
      </c>
      <c r="U1532" s="18" t="s">
        <v>1873</v>
      </c>
      <c r="V1532" s="18" t="str">
        <f>IF(OR($H1532="",$H1532="sif",$H1532="PM"),"",VLOOKUP($H1532,[5]CU!$C$5:$J$255,8,FALSE))</f>
        <v>3. Dépenses de fonctionnement</v>
      </c>
      <c r="W1532" s="18" t="s">
        <v>96</v>
      </c>
      <c r="X1532" s="18" t="s">
        <v>96</v>
      </c>
      <c r="Y1532" s="18" t="s">
        <v>677</v>
      </c>
      <c r="Z1532" s="18" t="str">
        <f>A1532 &amp; "-" &amp; VLOOKUP(A1532,[4]PROGRAMMES!$E$1:$F$7,2,FALSE)</f>
        <v>5-Gouvernance et pilotage du secteur</v>
      </c>
      <c r="AA1532" s="19" t="str">
        <f>B1532 &amp; "-" &amp; VLOOKUP(B1532,[4]SOUSPROGRAMMES!$E$1:$F$44,2,FALSE)</f>
        <v xml:space="preserve">53- Systèmes d’information pour la gestion de l'éducation (collecte, analyse, diffusion, et utilisation des informations) </v>
      </c>
      <c r="AB1532" s="19" t="str">
        <f>C1532 &amp; "-" &amp; VLOOKUP(C1532,[4]RESULTATS!$E$1:$F$176,2,FALSE)</f>
        <v>531- La production des données permet d’offrir aux différents acteurs et utilisateurs à tous les niveaux l’information dont ils ont besoin</v>
      </c>
      <c r="AC1532" s="20" t="str">
        <f>D1532 &amp; "-" &amp; VLOOKUP(D1532,[4]STRATEGIES!$E$1:$F$504,2,FALSE)</f>
        <v>5311-Organisation de la collecte classique</v>
      </c>
      <c r="AD1532" s="21" t="str">
        <f t="shared" si="221"/>
        <v>531124-Elaboration des rapports d'analyse et dépliants au niveau national (MESRS)</v>
      </c>
    </row>
    <row r="1533" spans="1:30" s="22" customFormat="1" ht="60" hidden="1" customHeight="1" x14ac:dyDescent="0.8">
      <c r="A1533" s="14">
        <v>5</v>
      </c>
      <c r="B1533" s="15">
        <v>53</v>
      </c>
      <c r="C1533" s="15">
        <v>531</v>
      </c>
      <c r="D1533" s="15">
        <v>5311</v>
      </c>
      <c r="E1533" s="15">
        <v>531125</v>
      </c>
      <c r="F1533" s="16" t="s">
        <v>1986</v>
      </c>
      <c r="G1533" s="21" t="s">
        <v>159</v>
      </c>
      <c r="H1533" s="17" t="s">
        <v>55</v>
      </c>
      <c r="I1533" s="33">
        <v>0</v>
      </c>
      <c r="J1533" s="33"/>
      <c r="K1533" s="33"/>
      <c r="L1533" s="33"/>
      <c r="M1533" s="33"/>
      <c r="N1533" s="33">
        <f>IF(OR(H1533="",H1533="sif",H1533="PM"),0,VLOOKUP(H1533,[5]CU!$C$4:$H$255,6,FALSE))</f>
        <v>0</v>
      </c>
      <c r="O1533" s="33"/>
      <c r="P1533" s="33"/>
      <c r="Q1533" s="33"/>
      <c r="R1533" s="33"/>
      <c r="S1533" s="34"/>
      <c r="T1533" s="35" t="s">
        <v>56</v>
      </c>
      <c r="U1533" s="18" t="s">
        <v>1873</v>
      </c>
      <c r="V1533" s="18" t="str">
        <f>IF(OR($H1533="",$H1533="sif",$H1533="PM"),"",VLOOKUP($H1533,[5]CU!$C$5:$J$255,8,FALSE))</f>
        <v/>
      </c>
      <c r="W1533" s="18" t="s">
        <v>96</v>
      </c>
      <c r="X1533" s="18" t="s">
        <v>96</v>
      </c>
      <c r="Y1533" s="19" t="s">
        <v>32</v>
      </c>
      <c r="Z1533" s="18" t="str">
        <f>A1533 &amp; "-" &amp; VLOOKUP(A1533,[4]PROGRAMMES!$E$1:$F$7,2,FALSE)</f>
        <v>5-Gouvernance et pilotage du secteur</v>
      </c>
      <c r="AA1533" s="19" t="str">
        <f>B1533 &amp; "-" &amp; VLOOKUP(B1533,[4]SOUSPROGRAMMES!$E$1:$F$44,2,FALSE)</f>
        <v xml:space="preserve">53- Systèmes d’information pour la gestion de l'éducation (collecte, analyse, diffusion, et utilisation des informations) </v>
      </c>
      <c r="AB1533" s="19" t="str">
        <f>C1533 &amp; "-" &amp; VLOOKUP(C1533,[4]RESULTATS!$E$1:$F$176,2,FALSE)</f>
        <v>531- La production des données permet d’offrir aux différents acteurs et utilisateurs à tous les niveaux l’information dont ils ont besoin</v>
      </c>
      <c r="AC1533" s="20" t="str">
        <f>D1533 &amp; "-" &amp; VLOOKUP(D1533,[4]STRATEGIES!$E$1:$F$504,2,FALSE)</f>
        <v>5311-Organisation de la collecte classique</v>
      </c>
      <c r="AD1533" s="21" t="str">
        <f t="shared" si="221"/>
        <v>531125-Elaboration des rapports d'analyse et dépliants au niveau déconcentré (pris en charge dans les subventions)</v>
      </c>
    </row>
    <row r="1534" spans="1:30" s="22" customFormat="1" ht="60" hidden="1" customHeight="1" x14ac:dyDescent="0.8">
      <c r="A1534" s="14">
        <v>5</v>
      </c>
      <c r="B1534" s="15">
        <v>53</v>
      </c>
      <c r="C1534" s="15">
        <v>531</v>
      </c>
      <c r="D1534" s="15">
        <v>5312</v>
      </c>
      <c r="E1534" s="15">
        <v>5312</v>
      </c>
      <c r="F1534" s="16" t="s">
        <v>1987</v>
      </c>
      <c r="G1534" s="17"/>
      <c r="H1534" s="17"/>
      <c r="I1534" s="33">
        <v>0</v>
      </c>
      <c r="J1534" s="33"/>
      <c r="K1534" s="33"/>
      <c r="L1534" s="33"/>
      <c r="M1534" s="33"/>
      <c r="N1534" s="33"/>
      <c r="O1534" s="33"/>
      <c r="P1534" s="33"/>
      <c r="Q1534" s="33"/>
      <c r="R1534" s="33"/>
      <c r="S1534" s="34"/>
      <c r="T1534" s="33"/>
      <c r="U1534" s="18"/>
      <c r="V1534" s="18"/>
      <c r="W1534" s="18"/>
      <c r="X1534" s="18"/>
      <c r="Y1534" s="18"/>
      <c r="Z1534" s="18" t="str">
        <f>A1534 &amp; "-" &amp; VLOOKUP(A1534,[4]PROGRAMMES!$E$1:$F$7,2,FALSE)</f>
        <v>5-Gouvernance et pilotage du secteur</v>
      </c>
      <c r="AA1534" s="19" t="str">
        <f>B1534 &amp; "-" &amp; VLOOKUP(B1534,[4]SOUSPROGRAMMES!$E$1:$F$44,2,FALSE)</f>
        <v xml:space="preserve">53- Systèmes d’information pour la gestion de l'éducation (collecte, analyse, diffusion, et utilisation des informations) </v>
      </c>
      <c r="AB1534" s="19" t="str">
        <f>C1534 &amp; "-" &amp; VLOOKUP(C1534,[4]RESULTATS!$E$1:$F$176,2,FALSE)</f>
        <v>531- La production des données permet d’offrir aux différents acteurs et utilisateurs à tous les niveaux l’information dont ils ont besoin</v>
      </c>
      <c r="AC1534" s="20" t="str">
        <f>D1534 &amp; "-" &amp; VLOOKUP(D1534,[4]STRATEGIES!$E$1:$F$504,2,FALSE)</f>
        <v>5312-Mise à l’échelle de la numérisation de la collecte de données</v>
      </c>
      <c r="AD1534" s="21" t="str">
        <f t="shared" si="221"/>
        <v>5312-Mise à l’échelle de la numérisation de la collecte de données</v>
      </c>
    </row>
    <row r="1535" spans="1:30" s="22" customFormat="1" ht="60" hidden="1" customHeight="1" x14ac:dyDescent="0.8">
      <c r="A1535" s="14">
        <v>5</v>
      </c>
      <c r="B1535" s="15">
        <v>53</v>
      </c>
      <c r="C1535" s="15">
        <v>531</v>
      </c>
      <c r="D1535" s="15">
        <v>5312</v>
      </c>
      <c r="E1535" s="15">
        <v>53121</v>
      </c>
      <c r="F1535" s="16" t="s">
        <v>1988</v>
      </c>
      <c r="G1535" s="21" t="s">
        <v>167</v>
      </c>
      <c r="H1535" s="17" t="s">
        <v>101</v>
      </c>
      <c r="I1535" s="33">
        <v>0</v>
      </c>
      <c r="J1535" s="33">
        <f>(1*45)*79.62%</f>
        <v>35.829000000000001</v>
      </c>
      <c r="K1535" s="33">
        <f>0*79.62%</f>
        <v>0</v>
      </c>
      <c r="L1535" s="33">
        <f>0*79.62%</f>
        <v>0</v>
      </c>
      <c r="M1535" s="33">
        <f>SUM(I1535:L1535)</f>
        <v>35.829000000000001</v>
      </c>
      <c r="N1535" s="33">
        <f>IF(OR(H1535="",H1535="sif",H1535="PM"),0,VLOOKUP(H1535,[5]CU!$C$4:$H$255,6,FALSE))</f>
        <v>2.651545</v>
      </c>
      <c r="O1535" s="33">
        <f>IFERROR($N1535*I1535,0)</f>
        <v>0</v>
      </c>
      <c r="P1535" s="33">
        <f>IFERROR($N1535*J1535,0)</f>
        <v>95.002205805000003</v>
      </c>
      <c r="Q1535" s="33">
        <f>IFERROR($N1535*K1535,0)</f>
        <v>0</v>
      </c>
      <c r="R1535" s="33">
        <f>IFERROR($N1535*L1535,0)</f>
        <v>0</v>
      </c>
      <c r="S1535" s="34">
        <f>SUM(O1535:R1535)</f>
        <v>95.002205805000003</v>
      </c>
      <c r="T1535" s="35" t="s">
        <v>67</v>
      </c>
      <c r="U1535" s="18" t="s">
        <v>1873</v>
      </c>
      <c r="V1535" s="18" t="str">
        <f>IF(OR($H1535="",$H1535="sif",$H1535="PM"),"",VLOOKUP($H1535,[5]CU!$C$5:$J$255,8,FALSE))</f>
        <v>3. Dépenses de fonctionnement</v>
      </c>
      <c r="W1535" s="18" t="s">
        <v>96</v>
      </c>
      <c r="X1535" s="18" t="s">
        <v>96</v>
      </c>
      <c r="Y1535" s="19" t="s">
        <v>32</v>
      </c>
      <c r="Z1535" s="18" t="str">
        <f>A1535 &amp; "-" &amp; VLOOKUP(A1535,[4]PROGRAMMES!$E$1:$F$7,2,FALSE)</f>
        <v>5-Gouvernance et pilotage du secteur</v>
      </c>
      <c r="AA1535" s="19" t="str">
        <f>B1535 &amp; "-" &amp; VLOOKUP(B1535,[4]SOUSPROGRAMMES!$E$1:$F$44,2,FALSE)</f>
        <v xml:space="preserve">53- Systèmes d’information pour la gestion de l'éducation (collecte, analyse, diffusion, et utilisation des informations) </v>
      </c>
      <c r="AB1535" s="19" t="str">
        <f>C1535 &amp; "-" &amp; VLOOKUP(C1535,[4]RESULTATS!$E$1:$F$176,2,FALSE)</f>
        <v>531- La production des données permet d’offrir aux différents acteurs et utilisateurs à tous les niveaux l’information dont ils ont besoin</v>
      </c>
      <c r="AC1535" s="20" t="str">
        <f>D1535 &amp; "-" &amp; VLOOKUP(D1535,[4]STRATEGIES!$E$1:$F$504,2,FALSE)</f>
        <v>5312-Mise à l’échelle de la numérisation de la collecte de données</v>
      </c>
      <c r="AD1535" s="21" t="str">
        <f t="shared" si="221"/>
        <v>53121-Recrutement d'une expertise technique pour développer le logiciel de collecte numérique</v>
      </c>
    </row>
    <row r="1536" spans="1:30" s="22" customFormat="1" ht="60" hidden="1" customHeight="1" x14ac:dyDescent="0.8">
      <c r="A1536" s="14">
        <v>5</v>
      </c>
      <c r="B1536" s="15">
        <v>53</v>
      </c>
      <c r="C1536" s="15">
        <v>531</v>
      </c>
      <c r="D1536" s="15">
        <v>5312</v>
      </c>
      <c r="E1536" s="15">
        <v>53121</v>
      </c>
      <c r="F1536" s="16" t="s">
        <v>1988</v>
      </c>
      <c r="G1536" s="21" t="s">
        <v>167</v>
      </c>
      <c r="H1536" s="17" t="s">
        <v>101</v>
      </c>
      <c r="I1536" s="33">
        <v>0</v>
      </c>
      <c r="J1536" s="33">
        <f>(1*45)*20.38%</f>
        <v>9.1709999999999994</v>
      </c>
      <c r="K1536" s="33">
        <f>0*20.38%</f>
        <v>0</v>
      </c>
      <c r="L1536" s="33">
        <f>0*20.38%</f>
        <v>0</v>
      </c>
      <c r="M1536" s="33">
        <f t="shared" ref="M1536:M1543" si="228">SUM(I1536:L1536)</f>
        <v>9.1709999999999994</v>
      </c>
      <c r="N1536" s="33">
        <f>IF(OR(H1536="",H1536="sif",H1536="PM"),0,VLOOKUP(H1536,[5]CU!$C$4:$H$255,6,FALSE))</f>
        <v>2.651545</v>
      </c>
      <c r="O1536" s="33">
        <f t="shared" ref="O1536:R1562" si="229">IFERROR($N1536*I1536,0)</f>
        <v>0</v>
      </c>
      <c r="P1536" s="33">
        <f t="shared" si="229"/>
        <v>24.317319195</v>
      </c>
      <c r="Q1536" s="33">
        <f t="shared" si="229"/>
        <v>0</v>
      </c>
      <c r="R1536" s="33">
        <f t="shared" si="229"/>
        <v>0</v>
      </c>
      <c r="S1536" s="34">
        <f t="shared" ref="S1536:S1562" si="230">SUM(O1536:R1536)</f>
        <v>24.317319195</v>
      </c>
      <c r="T1536" s="35" t="s">
        <v>118</v>
      </c>
      <c r="U1536" s="18" t="s">
        <v>1873</v>
      </c>
      <c r="V1536" s="18" t="str">
        <f>IF(OR($H1536="",$H1536="sif",$H1536="PM"),"",VLOOKUP($H1536,[5]CU!$C$5:$J$255,8,FALSE))</f>
        <v>3. Dépenses de fonctionnement</v>
      </c>
      <c r="W1536" s="18" t="s">
        <v>96</v>
      </c>
      <c r="X1536" s="18" t="s">
        <v>96</v>
      </c>
      <c r="Y1536" s="19" t="s">
        <v>32</v>
      </c>
      <c r="Z1536" s="18" t="str">
        <f>A1536 &amp; "-" &amp; VLOOKUP(A1536,[4]PROGRAMMES!$E$1:$F$7,2,FALSE)</f>
        <v>5-Gouvernance et pilotage du secteur</v>
      </c>
      <c r="AA1536" s="19" t="str">
        <f>B1536 &amp; "-" &amp; VLOOKUP(B1536,[4]SOUSPROGRAMMES!$E$1:$F$44,2,FALSE)</f>
        <v xml:space="preserve">53- Systèmes d’information pour la gestion de l'éducation (collecte, analyse, diffusion, et utilisation des informations) </v>
      </c>
      <c r="AB1536" s="19" t="str">
        <f>C1536 &amp; "-" &amp; VLOOKUP(C1536,[4]RESULTATS!$E$1:$F$176,2,FALSE)</f>
        <v>531- La production des données permet d’offrir aux différents acteurs et utilisateurs à tous les niveaux l’information dont ils ont besoin</v>
      </c>
      <c r="AC1536" s="20" t="str">
        <f>D1536 &amp; "-" &amp; VLOOKUP(D1536,[4]STRATEGIES!$E$1:$F$504,2,FALSE)</f>
        <v>5312-Mise à l’échelle de la numérisation de la collecte de données</v>
      </c>
      <c r="AD1536" s="21" t="str">
        <f t="shared" si="221"/>
        <v>53121-Recrutement d'une expertise technique pour développer le logiciel de collecte numérique</v>
      </c>
    </row>
    <row r="1537" spans="1:30" s="22" customFormat="1" ht="60" hidden="1" customHeight="1" x14ac:dyDescent="0.8">
      <c r="A1537" s="14">
        <v>5</v>
      </c>
      <c r="B1537" s="15">
        <v>53</v>
      </c>
      <c r="C1537" s="15">
        <v>531</v>
      </c>
      <c r="D1537" s="15">
        <v>5312</v>
      </c>
      <c r="E1537" s="15">
        <v>53122</v>
      </c>
      <c r="F1537" s="16" t="s">
        <v>1989</v>
      </c>
      <c r="G1537" s="21" t="s">
        <v>1239</v>
      </c>
      <c r="H1537" s="17" t="s">
        <v>1636</v>
      </c>
      <c r="I1537" s="33">
        <v>0</v>
      </c>
      <c r="J1537" s="33">
        <f>1*8000+1*20+423*1.5</f>
        <v>8654.5</v>
      </c>
      <c r="K1537" s="33">
        <v>0</v>
      </c>
      <c r="L1537" s="33">
        <v>0</v>
      </c>
      <c r="M1537" s="33">
        <f t="shared" si="228"/>
        <v>8654.5</v>
      </c>
      <c r="N1537" s="33">
        <f>IF(OR(H1537="",H1537="sif",H1537="PM"),0,VLOOKUP(H1537,[5]CU!$C$4:$H$255,6,FALSE))</f>
        <v>3</v>
      </c>
      <c r="O1537" s="33">
        <f t="shared" si="229"/>
        <v>0</v>
      </c>
      <c r="P1537" s="33">
        <f t="shared" si="229"/>
        <v>25963.5</v>
      </c>
      <c r="Q1537" s="33">
        <f t="shared" si="229"/>
        <v>0</v>
      </c>
      <c r="R1537" s="33">
        <f t="shared" si="229"/>
        <v>0</v>
      </c>
      <c r="S1537" s="34">
        <f t="shared" si="230"/>
        <v>25963.5</v>
      </c>
      <c r="T1537" s="35" t="s">
        <v>39</v>
      </c>
      <c r="U1537" s="19" t="s">
        <v>1873</v>
      </c>
      <c r="V1537" s="19" t="str">
        <f>IF(OR($H1537="",$H1537="sif",$H1537="PM"),"",VLOOKUP($H1537,[5]CU!$C$5:$J$255,8,FALSE))</f>
        <v>5. Investissement</v>
      </c>
      <c r="W1537" s="19" t="s">
        <v>96</v>
      </c>
      <c r="X1537" s="19" t="s">
        <v>1976</v>
      </c>
      <c r="Y1537" s="19" t="s">
        <v>32</v>
      </c>
      <c r="Z1537" s="18" t="str">
        <f>A1537 &amp; "-" &amp; VLOOKUP(A1537,[4]PROGRAMMES!$E$1:$F$7,2,FALSE)</f>
        <v>5-Gouvernance et pilotage du secteur</v>
      </c>
      <c r="AA1537" s="19" t="str">
        <f>B1537 &amp; "-" &amp; VLOOKUP(B1537,[4]SOUSPROGRAMMES!$E$1:$F$44,2,FALSE)</f>
        <v xml:space="preserve">53- Systèmes d’information pour la gestion de l'éducation (collecte, analyse, diffusion, et utilisation des informations) </v>
      </c>
      <c r="AB1537" s="19" t="str">
        <f>C1537 &amp; "-" &amp; VLOOKUP(C1537,[4]RESULTATS!$E$1:$F$176,2,FALSE)</f>
        <v>531- La production des données permet d’offrir aux différents acteurs et utilisateurs à tous les niveaux l’information dont ils ont besoin</v>
      </c>
      <c r="AC1537" s="20" t="str">
        <f>D1537 &amp; "-" &amp; VLOOKUP(D1537,[4]STRATEGIES!$E$1:$F$504,2,FALSE)</f>
        <v>5312-Mise à l’échelle de la numérisation de la collecte de données</v>
      </c>
      <c r="AD1537" s="21" t="str">
        <f t="shared" si="221"/>
        <v>53122-Acquisition de tablettes pour la collecte</v>
      </c>
    </row>
    <row r="1538" spans="1:30" s="22" customFormat="1" ht="60" hidden="1" customHeight="1" x14ac:dyDescent="0.8">
      <c r="A1538" s="14">
        <v>5</v>
      </c>
      <c r="B1538" s="15">
        <v>53</v>
      </c>
      <c r="C1538" s="15">
        <v>531</v>
      </c>
      <c r="D1538" s="15">
        <v>5312</v>
      </c>
      <c r="E1538" s="15">
        <v>53123</v>
      </c>
      <c r="F1538" s="16" t="s">
        <v>1990</v>
      </c>
      <c r="G1538" s="21" t="s">
        <v>1991</v>
      </c>
      <c r="H1538" s="17" t="s">
        <v>1992</v>
      </c>
      <c r="I1538" s="33">
        <v>0</v>
      </c>
      <c r="J1538" s="33">
        <f>J1537</f>
        <v>8654.5</v>
      </c>
      <c r="K1538" s="33">
        <f>K1537</f>
        <v>0</v>
      </c>
      <c r="L1538" s="33">
        <f>L1537</f>
        <v>0</v>
      </c>
      <c r="M1538" s="33">
        <f t="shared" si="228"/>
        <v>8654.5</v>
      </c>
      <c r="N1538" s="33">
        <f>IF(OR(H1538="",H1538="sif",H1538="PM"),0,VLOOKUP(H1538,[5]CU!$C$4:$H$255,6,FALSE))</f>
        <v>0.52500000000000002</v>
      </c>
      <c r="O1538" s="33">
        <f t="shared" si="229"/>
        <v>0</v>
      </c>
      <c r="P1538" s="33">
        <f t="shared" si="229"/>
        <v>4543.6125000000002</v>
      </c>
      <c r="Q1538" s="33">
        <f t="shared" si="229"/>
        <v>0</v>
      </c>
      <c r="R1538" s="33">
        <f t="shared" si="229"/>
        <v>0</v>
      </c>
      <c r="S1538" s="34">
        <f t="shared" si="230"/>
        <v>4543.6125000000002</v>
      </c>
      <c r="T1538" s="35" t="s">
        <v>39</v>
      </c>
      <c r="U1538" s="19" t="s">
        <v>1873</v>
      </c>
      <c r="V1538" s="19" t="str">
        <f>IF(OR($H1538="",$H1538="sif",$H1538="PM"),"",VLOOKUP($H1538,[5]CU!$C$5:$J$255,8,FALSE))</f>
        <v>3. Dépenses de fonctionnement</v>
      </c>
      <c r="W1538" s="19" t="s">
        <v>96</v>
      </c>
      <c r="X1538" s="19" t="s">
        <v>521</v>
      </c>
      <c r="Y1538" s="19" t="s">
        <v>32</v>
      </c>
      <c r="Z1538" s="18" t="str">
        <f>A1538 &amp; "-" &amp; VLOOKUP(A1538,[4]PROGRAMMES!$E$1:$F$7,2,FALSE)</f>
        <v>5-Gouvernance et pilotage du secteur</v>
      </c>
      <c r="AA1538" s="19" t="str">
        <f>B1538 &amp; "-" &amp; VLOOKUP(B1538,[4]SOUSPROGRAMMES!$E$1:$F$44,2,FALSE)</f>
        <v xml:space="preserve">53- Systèmes d’information pour la gestion de l'éducation (collecte, analyse, diffusion, et utilisation des informations) </v>
      </c>
      <c r="AB1538" s="19" t="str">
        <f>C1538 &amp; "-" &amp; VLOOKUP(C1538,[4]RESULTATS!$E$1:$F$176,2,FALSE)</f>
        <v>531- La production des données permet d’offrir aux différents acteurs et utilisateurs à tous les niveaux l’information dont ils ont besoin</v>
      </c>
      <c r="AC1538" s="20" t="str">
        <f>D1538 &amp; "-" &amp; VLOOKUP(D1538,[4]STRATEGIES!$E$1:$F$504,2,FALSE)</f>
        <v>5312-Mise à l’échelle de la numérisation de la collecte de données</v>
      </c>
      <c r="AD1538" s="21" t="str">
        <f t="shared" si="221"/>
        <v>53123-Acquisition de chargeurs solaires</v>
      </c>
    </row>
    <row r="1539" spans="1:30" s="22" customFormat="1" ht="60" hidden="1" customHeight="1" x14ac:dyDescent="0.8">
      <c r="A1539" s="14">
        <v>5</v>
      </c>
      <c r="B1539" s="15">
        <v>53</v>
      </c>
      <c r="C1539" s="15">
        <v>531</v>
      </c>
      <c r="D1539" s="15">
        <v>5312</v>
      </c>
      <c r="E1539" s="15">
        <v>53124</v>
      </c>
      <c r="F1539" s="16" t="s">
        <v>1993</v>
      </c>
      <c r="G1539" s="21" t="s">
        <v>1239</v>
      </c>
      <c r="H1539" s="17" t="s">
        <v>1994</v>
      </c>
      <c r="I1539" s="33">
        <v>0</v>
      </c>
      <c r="J1539" s="33">
        <v>1</v>
      </c>
      <c r="K1539" s="33">
        <v>1</v>
      </c>
      <c r="L1539" s="33">
        <v>1</v>
      </c>
      <c r="M1539" s="33">
        <f t="shared" si="228"/>
        <v>3</v>
      </c>
      <c r="N1539" s="33">
        <f>IF(OR(H1539="",H1539="sif",H1539="PM"),0,VLOOKUP(H1539,[5]CU!$C$4:$H$255,6,FALSE))</f>
        <v>40</v>
      </c>
      <c r="O1539" s="33">
        <f t="shared" si="229"/>
        <v>0</v>
      </c>
      <c r="P1539" s="33">
        <f t="shared" si="229"/>
        <v>40</v>
      </c>
      <c r="Q1539" s="33">
        <f t="shared" si="229"/>
        <v>40</v>
      </c>
      <c r="R1539" s="33">
        <f t="shared" si="229"/>
        <v>40</v>
      </c>
      <c r="S1539" s="34">
        <f t="shared" si="230"/>
        <v>120</v>
      </c>
      <c r="T1539" s="35" t="s">
        <v>56</v>
      </c>
      <c r="U1539" s="18" t="s">
        <v>1873</v>
      </c>
      <c r="V1539" s="18" t="str">
        <f>IF(OR($H1539="",$H1539="sif",$H1539="PM"),"",VLOOKUP($H1539,[5]CU!$C$5:$J$255,8,FALSE))</f>
        <v>3. Dépenses de fonctionnement</v>
      </c>
      <c r="W1539" s="18" t="s">
        <v>96</v>
      </c>
      <c r="X1539" s="18" t="s">
        <v>521</v>
      </c>
      <c r="Y1539" s="19" t="s">
        <v>32</v>
      </c>
      <c r="Z1539" s="18" t="str">
        <f>A1539 &amp; "-" &amp; VLOOKUP(A1539,[4]PROGRAMMES!$E$1:$F$7,2,FALSE)</f>
        <v>5-Gouvernance et pilotage du secteur</v>
      </c>
      <c r="AA1539" s="19" t="str">
        <f>B1539 &amp; "-" &amp; VLOOKUP(B1539,[4]SOUSPROGRAMMES!$E$1:$F$44,2,FALSE)</f>
        <v xml:space="preserve">53- Systèmes d’information pour la gestion de l'éducation (collecte, analyse, diffusion, et utilisation des informations) </v>
      </c>
      <c r="AB1539" s="19" t="str">
        <f>C1539 &amp; "-" &amp; VLOOKUP(C1539,[4]RESULTATS!$E$1:$F$176,2,FALSE)</f>
        <v>531- La production des données permet d’offrir aux différents acteurs et utilisateurs à tous les niveaux l’information dont ils ont besoin</v>
      </c>
      <c r="AC1539" s="20" t="str">
        <f>D1539 &amp; "-" &amp; VLOOKUP(D1539,[4]STRATEGIES!$E$1:$F$504,2,FALSE)</f>
        <v>5312-Mise à l’échelle de la numérisation de la collecte de données</v>
      </c>
      <c r="AD1539" s="21" t="str">
        <f t="shared" si="221"/>
        <v>53124-Hébergement du site du BSD</v>
      </c>
    </row>
    <row r="1540" spans="1:30" s="22" customFormat="1" ht="60" hidden="1" customHeight="1" x14ac:dyDescent="0.8">
      <c r="A1540" s="14">
        <v>5</v>
      </c>
      <c r="B1540" s="15">
        <v>53</v>
      </c>
      <c r="C1540" s="15">
        <v>531</v>
      </c>
      <c r="D1540" s="15">
        <v>5312</v>
      </c>
      <c r="E1540" s="15">
        <v>53125</v>
      </c>
      <c r="F1540" s="16" t="s">
        <v>1995</v>
      </c>
      <c r="G1540" s="21" t="s">
        <v>1996</v>
      </c>
      <c r="H1540" s="17" t="s">
        <v>1997</v>
      </c>
      <c r="I1540" s="33">
        <v>0</v>
      </c>
      <c r="J1540" s="33">
        <v>1</v>
      </c>
      <c r="K1540" s="33">
        <f>J1540</f>
        <v>1</v>
      </c>
      <c r="L1540" s="33">
        <f>K1540</f>
        <v>1</v>
      </c>
      <c r="M1540" s="33">
        <f t="shared" si="228"/>
        <v>3</v>
      </c>
      <c r="N1540" s="33">
        <f>IF(OR(H1540="",H1540="sif",H1540="PM"),0,VLOOKUP(H1540,[5]CU!$C$4:$H$255,6,FALSE))</f>
        <v>24</v>
      </c>
      <c r="O1540" s="33">
        <f t="shared" si="229"/>
        <v>0</v>
      </c>
      <c r="P1540" s="33">
        <f t="shared" si="229"/>
        <v>24</v>
      </c>
      <c r="Q1540" s="33">
        <f t="shared" si="229"/>
        <v>24</v>
      </c>
      <c r="R1540" s="33">
        <f t="shared" si="229"/>
        <v>24</v>
      </c>
      <c r="S1540" s="34">
        <f t="shared" si="230"/>
        <v>72</v>
      </c>
      <c r="T1540" s="35" t="s">
        <v>56</v>
      </c>
      <c r="U1540" s="18" t="s">
        <v>1873</v>
      </c>
      <c r="V1540" s="18" t="str">
        <f>IF(OR($H1540="",$H1540="sif",$H1540="PM"),"",VLOOKUP($H1540,[5]CU!$C$5:$J$255,8,FALSE))</f>
        <v>3. Dépenses de fonctionnement</v>
      </c>
      <c r="W1540" s="18" t="s">
        <v>96</v>
      </c>
      <c r="X1540" s="18" t="s">
        <v>521</v>
      </c>
      <c r="Y1540" s="19" t="s">
        <v>32</v>
      </c>
      <c r="Z1540" s="18" t="str">
        <f>A1540 &amp; "-" &amp; VLOOKUP(A1540,[4]PROGRAMMES!$E$1:$F$7,2,FALSE)</f>
        <v>5-Gouvernance et pilotage du secteur</v>
      </c>
      <c r="AA1540" s="19" t="str">
        <f>B1540 &amp; "-" &amp; VLOOKUP(B1540,[4]SOUSPROGRAMMES!$E$1:$F$44,2,FALSE)</f>
        <v xml:space="preserve">53- Systèmes d’information pour la gestion de l'éducation (collecte, analyse, diffusion, et utilisation des informations) </v>
      </c>
      <c r="AB1540" s="19" t="str">
        <f>C1540 &amp; "-" &amp; VLOOKUP(C1540,[4]RESULTATS!$E$1:$F$176,2,FALSE)</f>
        <v>531- La production des données permet d’offrir aux différents acteurs et utilisateurs à tous les niveaux l’information dont ils ont besoin</v>
      </c>
      <c r="AC1540" s="20" t="str">
        <f>D1540 &amp; "-" &amp; VLOOKUP(D1540,[4]STRATEGIES!$E$1:$F$504,2,FALSE)</f>
        <v>5312-Mise à l’échelle de la numérisation de la collecte de données</v>
      </c>
      <c r="AD1540" s="21" t="str">
        <f t="shared" ref="AD1540:AD1603" si="231">E1540 &amp; "-" &amp; F1540</f>
        <v>53125-Abonnement internet pour le BSD</v>
      </c>
    </row>
    <row r="1541" spans="1:30" s="22" customFormat="1" ht="60" hidden="1" customHeight="1" x14ac:dyDescent="0.8">
      <c r="A1541" s="14">
        <v>5</v>
      </c>
      <c r="B1541" s="15">
        <v>53</v>
      </c>
      <c r="C1541" s="15">
        <v>531</v>
      </c>
      <c r="D1541" s="15">
        <v>5312</v>
      </c>
      <c r="E1541" s="15">
        <v>53126</v>
      </c>
      <c r="F1541" s="16" t="s">
        <v>1998</v>
      </c>
      <c r="G1541" s="21" t="s">
        <v>1239</v>
      </c>
      <c r="H1541" s="17" t="s">
        <v>1624</v>
      </c>
      <c r="I1541" s="33">
        <v>0</v>
      </c>
      <c r="J1541" s="33">
        <v>1</v>
      </c>
      <c r="K1541" s="33">
        <v>0</v>
      </c>
      <c r="L1541" s="33">
        <v>0</v>
      </c>
      <c r="M1541" s="33">
        <f t="shared" si="228"/>
        <v>1</v>
      </c>
      <c r="N1541" s="33">
        <f>IF(OR(H1541="",H1541="sif",H1541="PM"),0,VLOOKUP(H1541,[5]CU!$C$4:$H$255,6,FALSE))</f>
        <v>30</v>
      </c>
      <c r="O1541" s="33">
        <f t="shared" si="229"/>
        <v>0</v>
      </c>
      <c r="P1541" s="33">
        <f t="shared" si="229"/>
        <v>30</v>
      </c>
      <c r="Q1541" s="33">
        <f t="shared" si="229"/>
        <v>0</v>
      </c>
      <c r="R1541" s="33">
        <f t="shared" si="229"/>
        <v>0</v>
      </c>
      <c r="S1541" s="34">
        <f t="shared" si="230"/>
        <v>30</v>
      </c>
      <c r="T1541" s="35" t="s">
        <v>39</v>
      </c>
      <c r="U1541" s="19" t="s">
        <v>1873</v>
      </c>
      <c r="V1541" s="19" t="str">
        <f>IF(OR($H1541="",$H1541="sif",$H1541="PM"),"",VLOOKUP($H1541,[5]CU!$C$5:$J$255,8,FALSE))</f>
        <v>5. Investissement</v>
      </c>
      <c r="W1541" s="19" t="s">
        <v>96</v>
      </c>
      <c r="X1541" s="19" t="s">
        <v>521</v>
      </c>
      <c r="Y1541" s="19" t="s">
        <v>32</v>
      </c>
      <c r="Z1541" s="18" t="str">
        <f>A1541 &amp; "-" &amp; VLOOKUP(A1541,[4]PROGRAMMES!$E$1:$F$7,2,FALSE)</f>
        <v>5-Gouvernance et pilotage du secteur</v>
      </c>
      <c r="AA1541" s="19" t="str">
        <f>B1541 &amp; "-" &amp; VLOOKUP(B1541,[4]SOUSPROGRAMMES!$E$1:$F$44,2,FALSE)</f>
        <v xml:space="preserve">53- Systèmes d’information pour la gestion de l'éducation (collecte, analyse, diffusion, et utilisation des informations) </v>
      </c>
      <c r="AB1541" s="19" t="str">
        <f>C1541 &amp; "-" &amp; VLOOKUP(C1541,[4]RESULTATS!$E$1:$F$176,2,FALSE)</f>
        <v>531- La production des données permet d’offrir aux différents acteurs et utilisateurs à tous les niveaux l’information dont ils ont besoin</v>
      </c>
      <c r="AC1541" s="20" t="str">
        <f>D1541 &amp; "-" &amp; VLOOKUP(D1541,[4]STRATEGIES!$E$1:$F$504,2,FALSE)</f>
        <v>5312-Mise à l’échelle de la numérisation de la collecte de données</v>
      </c>
      <c r="AD1541" s="21" t="str">
        <f t="shared" si="231"/>
        <v>53126-Acquisition d'un serveur pour le stockage des données du BSD</v>
      </c>
    </row>
    <row r="1542" spans="1:30" s="22" customFormat="1" ht="60" hidden="1" customHeight="1" x14ac:dyDescent="0.8">
      <c r="A1542" s="14">
        <v>5</v>
      </c>
      <c r="B1542" s="15">
        <v>53</v>
      </c>
      <c r="C1542" s="15">
        <v>531</v>
      </c>
      <c r="D1542" s="15">
        <v>5312</v>
      </c>
      <c r="E1542" s="15">
        <v>53127</v>
      </c>
      <c r="F1542" s="16" t="s">
        <v>1999</v>
      </c>
      <c r="G1542" s="21" t="s">
        <v>1239</v>
      </c>
      <c r="H1542" s="17" t="s">
        <v>1997</v>
      </c>
      <c r="I1542" s="33">
        <v>0</v>
      </c>
      <c r="J1542" s="33">
        <v>8</v>
      </c>
      <c r="K1542" s="33">
        <v>38</v>
      </c>
      <c r="L1542" s="33">
        <v>46</v>
      </c>
      <c r="M1542" s="33">
        <f t="shared" si="228"/>
        <v>92</v>
      </c>
      <c r="N1542" s="33">
        <f>IF(OR(H1542="",H1542="sif",H1542="PM"),0,VLOOKUP(H1542,[5]CU!$C$4:$H$255,6,FALSE))</f>
        <v>24</v>
      </c>
      <c r="O1542" s="33">
        <f t="shared" si="229"/>
        <v>0</v>
      </c>
      <c r="P1542" s="33">
        <f t="shared" si="229"/>
        <v>192</v>
      </c>
      <c r="Q1542" s="33">
        <f t="shared" si="229"/>
        <v>912</v>
      </c>
      <c r="R1542" s="33">
        <f t="shared" si="229"/>
        <v>1104</v>
      </c>
      <c r="S1542" s="34">
        <f t="shared" si="230"/>
        <v>2208</v>
      </c>
      <c r="T1542" s="35" t="s">
        <v>56</v>
      </c>
      <c r="U1542" s="18" t="s">
        <v>1873</v>
      </c>
      <c r="V1542" s="18" t="str">
        <f>IF(OR($H1542="",$H1542="sif",$H1542="PM"),"",VLOOKUP($H1542,[5]CU!$C$5:$J$255,8,FALSE))</f>
        <v>3. Dépenses de fonctionnement</v>
      </c>
      <c r="W1542" s="18" t="s">
        <v>96</v>
      </c>
      <c r="X1542" s="18" t="s">
        <v>521</v>
      </c>
      <c r="Y1542" s="19" t="s">
        <v>32</v>
      </c>
      <c r="Z1542" s="18" t="str">
        <f>A1542 &amp; "-" &amp; VLOOKUP(A1542,[4]PROGRAMMES!$E$1:$F$7,2,FALSE)</f>
        <v>5-Gouvernance et pilotage du secteur</v>
      </c>
      <c r="AA1542" s="19" t="str">
        <f>B1542 &amp; "-" &amp; VLOOKUP(B1542,[4]SOUSPROGRAMMES!$E$1:$F$44,2,FALSE)</f>
        <v xml:space="preserve">53- Systèmes d’information pour la gestion de l'éducation (collecte, analyse, diffusion, et utilisation des informations) </v>
      </c>
      <c r="AB1542" s="19" t="str">
        <f>C1542 &amp; "-" &amp; VLOOKUP(C1542,[4]RESULTATS!$E$1:$F$176,2,FALSE)</f>
        <v>531- La production des données permet d’offrir aux différents acteurs et utilisateurs à tous les niveaux l’information dont ils ont besoin</v>
      </c>
      <c r="AC1542" s="20" t="str">
        <f>D1542 &amp; "-" &amp; VLOOKUP(D1542,[4]STRATEGIES!$E$1:$F$504,2,FALSE)</f>
        <v>5312-Mise à l’échelle de la numérisation de la collecte de données</v>
      </c>
      <c r="AD1542" s="21" t="str">
        <f t="shared" si="231"/>
        <v xml:space="preserve">53127-Forfait internet pour le IRE, DPE/DCE et </v>
      </c>
    </row>
    <row r="1543" spans="1:30" s="22" customFormat="1" ht="60" hidden="1" customHeight="1" x14ac:dyDescent="0.8">
      <c r="A1543" s="14">
        <v>5</v>
      </c>
      <c r="B1543" s="15">
        <v>53</v>
      </c>
      <c r="C1543" s="15">
        <v>531</v>
      </c>
      <c r="D1543" s="15">
        <v>5312</v>
      </c>
      <c r="E1543" s="15">
        <v>53128</v>
      </c>
      <c r="F1543" s="16" t="s">
        <v>2000</v>
      </c>
      <c r="G1543" s="21" t="s">
        <v>1017</v>
      </c>
      <c r="H1543" s="17" t="s">
        <v>59</v>
      </c>
      <c r="I1543" s="33">
        <v>0</v>
      </c>
      <c r="J1543" s="33">
        <f>1*10*10</f>
        <v>100</v>
      </c>
      <c r="K1543" s="33">
        <v>0</v>
      </c>
      <c r="L1543" s="33">
        <v>0</v>
      </c>
      <c r="M1543" s="33">
        <f t="shared" si="228"/>
        <v>100</v>
      </c>
      <c r="N1543" s="33">
        <f>IF(OR(H1543="",H1543="sif",H1543="PM"),0,VLOOKUP(H1543,[5]CU!$C$4:$H$255,6,FALSE))</f>
        <v>0.8177777777777776</v>
      </c>
      <c r="O1543" s="33">
        <f t="shared" si="229"/>
        <v>0</v>
      </c>
      <c r="P1543" s="33">
        <f t="shared" si="229"/>
        <v>81.777777777777757</v>
      </c>
      <c r="Q1543" s="33">
        <f t="shared" si="229"/>
        <v>0</v>
      </c>
      <c r="R1543" s="33">
        <f t="shared" si="229"/>
        <v>0</v>
      </c>
      <c r="S1543" s="34">
        <f t="shared" si="230"/>
        <v>81.777777777777757</v>
      </c>
      <c r="T1543" s="35" t="s">
        <v>39</v>
      </c>
      <c r="U1543" s="19" t="s">
        <v>1873</v>
      </c>
      <c r="V1543" s="19" t="str">
        <f>IF(OR($H1543="",$H1543="sif",$H1543="PM"),"",VLOOKUP($H1543,[5]CU!$C$5:$J$255,8,FALSE))</f>
        <v>3. Dépenses de fonctionnement</v>
      </c>
      <c r="W1543" s="19" t="s">
        <v>96</v>
      </c>
      <c r="X1543" s="19" t="s">
        <v>96</v>
      </c>
      <c r="Y1543" s="19" t="s">
        <v>32</v>
      </c>
      <c r="Z1543" s="18" t="str">
        <f>A1543 &amp; "-" &amp; VLOOKUP(A1543,[4]PROGRAMMES!$E$1:$F$7,2,FALSE)</f>
        <v>5-Gouvernance et pilotage du secteur</v>
      </c>
      <c r="AA1543" s="19" t="str">
        <f>B1543 &amp; "-" &amp; VLOOKUP(B1543,[4]SOUSPROGRAMMES!$E$1:$F$44,2,FALSE)</f>
        <v xml:space="preserve">53- Systèmes d’information pour la gestion de l'éducation (collecte, analyse, diffusion, et utilisation des informations) </v>
      </c>
      <c r="AB1543" s="19" t="str">
        <f>C1543 &amp; "-" &amp; VLOOKUP(C1543,[4]RESULTATS!$E$1:$F$176,2,FALSE)</f>
        <v>531- La production des données permet d’offrir aux différents acteurs et utilisateurs à tous les niveaux l’information dont ils ont besoin</v>
      </c>
      <c r="AC1543" s="20" t="str">
        <f>D1543 &amp; "-" &amp; VLOOKUP(D1543,[4]STRATEGIES!$E$1:$F$504,2,FALSE)</f>
        <v>5312-Mise à l’échelle de la numérisation de la collecte de données</v>
      </c>
      <c r="AD1543" s="21" t="str">
        <f t="shared" si="231"/>
        <v>53128-Test des outils de collecte</v>
      </c>
    </row>
    <row r="1544" spans="1:30" s="22" customFormat="1" ht="60" hidden="1" customHeight="1" x14ac:dyDescent="0.8">
      <c r="A1544" s="14">
        <v>5</v>
      </c>
      <c r="B1544" s="15">
        <v>53</v>
      </c>
      <c r="C1544" s="15">
        <v>531</v>
      </c>
      <c r="D1544" s="15">
        <v>5312</v>
      </c>
      <c r="E1544" s="15">
        <v>53129</v>
      </c>
      <c r="F1544" s="16" t="s">
        <v>2001</v>
      </c>
      <c r="G1544" s="21" t="s">
        <v>37</v>
      </c>
      <c r="H1544" s="17" t="s">
        <v>38</v>
      </c>
      <c r="I1544" s="33">
        <v>0</v>
      </c>
      <c r="J1544" s="33"/>
      <c r="K1544" s="33"/>
      <c r="L1544" s="33"/>
      <c r="M1544" s="33">
        <f>SUM(I1544:L1544)</f>
        <v>0</v>
      </c>
      <c r="N1544" s="33">
        <f>IF(OR(H1544="",H1544="sif",H1544="PM"),0,VLOOKUP(H1544,[5]CU!$C$4:$H$255,6,FALSE))</f>
        <v>0.3133333333333333</v>
      </c>
      <c r="O1544" s="33">
        <f>IFERROR($N1544*I1544,0)</f>
        <v>0</v>
      </c>
      <c r="P1544" s="33">
        <f>IFERROR($N1544*J1544,0)</f>
        <v>0</v>
      </c>
      <c r="Q1544" s="33">
        <f>IFERROR($N1544*K1544,0)</f>
        <v>0</v>
      </c>
      <c r="R1544" s="33">
        <f>IFERROR($N1544*L1544,0)</f>
        <v>0</v>
      </c>
      <c r="S1544" s="34">
        <f>SUM(O1544:R1544)</f>
        <v>0</v>
      </c>
      <c r="T1544" s="35" t="s">
        <v>118</v>
      </c>
      <c r="U1544" s="19" t="s">
        <v>1873</v>
      </c>
      <c r="V1544" s="19" t="str">
        <f>IF(OR($H1544="",$H1544="sif",$H1544="PM"),"",VLOOKUP($H1544,[5]CU!$C$5:$J$255,8,FALSE))</f>
        <v>3. Formation</v>
      </c>
      <c r="W1544" s="19" t="s">
        <v>96</v>
      </c>
      <c r="X1544" s="19" t="s">
        <v>96</v>
      </c>
      <c r="Y1544" s="19" t="s">
        <v>32</v>
      </c>
      <c r="Z1544" s="18" t="str">
        <f>A1544 &amp; "-" &amp; VLOOKUP(A1544,[4]PROGRAMMES!$E$1:$F$7,2,FALSE)</f>
        <v>5-Gouvernance et pilotage du secteur</v>
      </c>
      <c r="AA1544" s="19" t="str">
        <f>B1544 &amp; "-" &amp; VLOOKUP(B1544,[4]SOUSPROGRAMMES!$E$1:$F$44,2,FALSE)</f>
        <v xml:space="preserve">53- Systèmes d’information pour la gestion de l'éducation (collecte, analyse, diffusion, et utilisation des informations) </v>
      </c>
      <c r="AB1544" s="19" t="str">
        <f>C1544 &amp; "-" &amp; VLOOKUP(C1544,[4]RESULTATS!$E$1:$F$176,2,FALSE)</f>
        <v>531- La production des données permet d’offrir aux différents acteurs et utilisateurs à tous les niveaux l’information dont ils ont besoin</v>
      </c>
      <c r="AC1544" s="20" t="str">
        <f>D1544 &amp; "-" &amp; VLOOKUP(D1544,[4]STRATEGIES!$E$1:$F$504,2,FALSE)</f>
        <v>5312-Mise à l’échelle de la numérisation de la collecte de données</v>
      </c>
      <c r="AD1544" s="21" t="str">
        <f t="shared" si="231"/>
        <v>53129-Initiation des cadres du BSD au niveau déconcentré à l'utilisation de l'application de collecte numérique</v>
      </c>
    </row>
    <row r="1545" spans="1:30" ht="60" hidden="1" customHeight="1" x14ac:dyDescent="0.8">
      <c r="A1545" s="25">
        <v>5</v>
      </c>
      <c r="B1545" s="16">
        <v>53</v>
      </c>
      <c r="C1545" s="16">
        <v>531</v>
      </c>
      <c r="D1545" s="16">
        <v>5312</v>
      </c>
      <c r="E1545" s="16">
        <v>53129</v>
      </c>
      <c r="F1545" s="16" t="s">
        <v>2001</v>
      </c>
      <c r="G1545" s="21" t="s">
        <v>37</v>
      </c>
      <c r="H1545" s="21" t="s">
        <v>38</v>
      </c>
      <c r="I1545" s="36">
        <v>0</v>
      </c>
      <c r="J1545" s="36">
        <f>(46+8)*3*1</f>
        <v>162</v>
      </c>
      <c r="K1545" s="36">
        <f>(46+8)*3*1</f>
        <v>162</v>
      </c>
      <c r="L1545" s="36">
        <f>(46+8)*3*1</f>
        <v>162</v>
      </c>
      <c r="M1545" s="36">
        <f>SUM(I1545:L1545)</f>
        <v>486</v>
      </c>
      <c r="N1545" s="36">
        <f>IF(OR(H1545="",H1545="sif",H1545="PM"),0,VLOOKUP(H1545,[5]CU!$C$4:$H$255,6,FALSE))</f>
        <v>0.3133333333333333</v>
      </c>
      <c r="O1545" s="36">
        <f t="shared" si="229"/>
        <v>0</v>
      </c>
      <c r="P1545" s="36">
        <f t="shared" si="229"/>
        <v>50.759999999999991</v>
      </c>
      <c r="Q1545" s="36">
        <f t="shared" si="229"/>
        <v>50.759999999999991</v>
      </c>
      <c r="R1545" s="36">
        <f t="shared" si="229"/>
        <v>50.759999999999991</v>
      </c>
      <c r="S1545" s="37">
        <f t="shared" si="230"/>
        <v>152.27999999999997</v>
      </c>
      <c r="T1545" s="38" t="s">
        <v>56</v>
      </c>
      <c r="U1545" s="19" t="s">
        <v>1873</v>
      </c>
      <c r="V1545" s="19" t="str">
        <f>IF(OR($H1545="",$H1545="sif",$H1545="PM"),"",VLOOKUP($H1545,[5]CU!$C$5:$J$255,8,FALSE))</f>
        <v>3. Formation</v>
      </c>
      <c r="W1545" s="19" t="s">
        <v>96</v>
      </c>
      <c r="X1545" s="19" t="s">
        <v>96</v>
      </c>
      <c r="Y1545" s="19" t="s">
        <v>32</v>
      </c>
      <c r="Z1545" s="19" t="str">
        <f>A1545 &amp; "-" &amp; VLOOKUP(A1545,[4]PROGRAMMES!$E$1:$F$7,2,FALSE)</f>
        <v>5-Gouvernance et pilotage du secteur</v>
      </c>
      <c r="AA1545" s="19" t="str">
        <f>B1545 &amp; "-" &amp; VLOOKUP(B1545,[4]SOUSPROGRAMMES!$E$1:$F$44,2,FALSE)</f>
        <v xml:space="preserve">53- Systèmes d’information pour la gestion de l'éducation (collecte, analyse, diffusion, et utilisation des informations) </v>
      </c>
      <c r="AB1545" s="19" t="str">
        <f>C1545 &amp; "-" &amp; VLOOKUP(C1545,[4]RESULTATS!$E$1:$F$176,2,FALSE)</f>
        <v>531- La production des données permet d’offrir aux différents acteurs et utilisateurs à tous les niveaux l’information dont ils ont besoin</v>
      </c>
      <c r="AC1545" s="20" t="str">
        <f>D1545 &amp; "-" &amp; VLOOKUP(D1545,[4]STRATEGIES!$E$1:$F$504,2,FALSE)</f>
        <v>5312-Mise à l’échelle de la numérisation de la collecte de données</v>
      </c>
      <c r="AD1545" s="21" t="str">
        <f t="shared" si="231"/>
        <v>53129-Initiation des cadres du BSD au niveau déconcentré à l'utilisation de l'application de collecte numérique</v>
      </c>
    </row>
    <row r="1546" spans="1:30" s="22" customFormat="1" ht="60" hidden="1" customHeight="1" x14ac:dyDescent="0.8">
      <c r="A1546" s="14">
        <v>5</v>
      </c>
      <c r="B1546" s="15">
        <v>53</v>
      </c>
      <c r="C1546" s="15">
        <v>531</v>
      </c>
      <c r="D1546" s="15">
        <v>5312</v>
      </c>
      <c r="E1546" s="15">
        <v>531210</v>
      </c>
      <c r="F1546" s="16" t="s">
        <v>2002</v>
      </c>
      <c r="G1546" s="21" t="s">
        <v>436</v>
      </c>
      <c r="H1546" s="17" t="s">
        <v>52</v>
      </c>
      <c r="I1546" s="33">
        <v>0</v>
      </c>
      <c r="J1546" s="33">
        <f>((427+8655)*1)*50%</f>
        <v>4541</v>
      </c>
      <c r="K1546" s="33">
        <f>((427+8655)*10%)*50%</f>
        <v>454.1</v>
      </c>
      <c r="L1546" s="33">
        <f>((427+8655)*10%)*50%</f>
        <v>454.1</v>
      </c>
      <c r="M1546" s="33">
        <f>SUM(I1546:L1546)</f>
        <v>5449.2000000000007</v>
      </c>
      <c r="N1546" s="33">
        <f>IF(OR(H1546="",H1546="sif",H1546="PM"),0,VLOOKUP(H1546,[5]CU!$C$4:$H$255,6,FALSE))</f>
        <v>1.5</v>
      </c>
      <c r="O1546" s="33">
        <f>IFERROR($N1546*I1546,0)</f>
        <v>0</v>
      </c>
      <c r="P1546" s="33">
        <f>IFERROR($N1546*J1546,0)</f>
        <v>6811.5</v>
      </c>
      <c r="Q1546" s="33">
        <f>IFERROR($N1546*K1546,0)</f>
        <v>681.15000000000009</v>
      </c>
      <c r="R1546" s="33">
        <f>IFERROR($N1546*L1546,0)</f>
        <v>681.15000000000009</v>
      </c>
      <c r="S1546" s="34">
        <f>SUM(O1546:R1546)</f>
        <v>8173.7999999999993</v>
      </c>
      <c r="T1546" s="35" t="s">
        <v>39</v>
      </c>
      <c r="U1546" s="19" t="s">
        <v>1873</v>
      </c>
      <c r="V1546" s="19" t="str">
        <f>IF(OR($H1546="",$H1546="sif",$H1546="PM"),"",VLOOKUP($H1546,[5]CU!$C$5:$J$255,8,FALSE))</f>
        <v>3. Formation</v>
      </c>
      <c r="W1546" s="19" t="s">
        <v>96</v>
      </c>
      <c r="X1546" s="19" t="s">
        <v>96</v>
      </c>
      <c r="Y1546" s="19" t="s">
        <v>32</v>
      </c>
      <c r="Z1546" s="18" t="str">
        <f>A1546 &amp; "-" &amp; VLOOKUP(A1546,[4]PROGRAMMES!$E$1:$F$7,2,FALSE)</f>
        <v>5-Gouvernance et pilotage du secteur</v>
      </c>
      <c r="AA1546" s="19" t="str">
        <f>B1546 &amp; "-" &amp; VLOOKUP(B1546,[4]SOUSPROGRAMMES!$E$1:$F$44,2,FALSE)</f>
        <v xml:space="preserve">53- Systèmes d’information pour la gestion de l'éducation (collecte, analyse, diffusion, et utilisation des informations) </v>
      </c>
      <c r="AB1546" s="19" t="str">
        <f>C1546 &amp; "-" &amp; VLOOKUP(C1546,[4]RESULTATS!$E$1:$F$176,2,FALSE)</f>
        <v>531- La production des données permet d’offrir aux différents acteurs et utilisateurs à tous les niveaux l’information dont ils ont besoin</v>
      </c>
      <c r="AC1546" s="20" t="str">
        <f>D1546 &amp; "-" &amp; VLOOKUP(D1546,[4]STRATEGIES!$E$1:$F$504,2,FALSE)</f>
        <v>5312-Mise à l’échelle de la numérisation de la collecte de données</v>
      </c>
      <c r="AD1546" s="21" t="str">
        <f t="shared" si="231"/>
        <v>531210-Initiation des DSEE et DE à l'utilisation de l'application de collecte numérique</v>
      </c>
    </row>
    <row r="1547" spans="1:30" s="22" customFormat="1" ht="60" hidden="1" customHeight="1" x14ac:dyDescent="0.8">
      <c r="A1547" s="14">
        <v>5</v>
      </c>
      <c r="B1547" s="15">
        <v>53</v>
      </c>
      <c r="C1547" s="15">
        <v>531</v>
      </c>
      <c r="D1547" s="15">
        <v>5312</v>
      </c>
      <c r="E1547" s="15">
        <v>531210</v>
      </c>
      <c r="F1547" s="16" t="s">
        <v>2002</v>
      </c>
      <c r="G1547" s="21" t="s">
        <v>436</v>
      </c>
      <c r="H1547" s="17" t="s">
        <v>52</v>
      </c>
      <c r="I1547" s="33">
        <v>0</v>
      </c>
      <c r="J1547" s="33">
        <f>((427+8655)*1)*50%</f>
        <v>4541</v>
      </c>
      <c r="K1547" s="33">
        <f>((427+8655)*10%)*50%</f>
        <v>454.1</v>
      </c>
      <c r="L1547" s="33">
        <f>((427+8655)*10%)*50%</f>
        <v>454.1</v>
      </c>
      <c r="M1547" s="33">
        <f t="shared" ref="M1547:M1562" si="232">SUM(I1547:L1547)</f>
        <v>5449.2000000000007</v>
      </c>
      <c r="N1547" s="33">
        <f>IF(OR(H1547="",H1547="sif",H1547="PM"),0,VLOOKUP(H1547,[5]CU!$C$4:$H$255,6,FALSE))</f>
        <v>1.5</v>
      </c>
      <c r="O1547" s="33">
        <f t="shared" si="229"/>
        <v>0</v>
      </c>
      <c r="P1547" s="33">
        <f t="shared" si="229"/>
        <v>6811.5</v>
      </c>
      <c r="Q1547" s="33">
        <f t="shared" si="229"/>
        <v>681.15000000000009</v>
      </c>
      <c r="R1547" s="33">
        <f t="shared" si="229"/>
        <v>681.15000000000009</v>
      </c>
      <c r="S1547" s="34">
        <f t="shared" si="230"/>
        <v>8173.7999999999993</v>
      </c>
      <c r="T1547" s="35" t="s">
        <v>118</v>
      </c>
      <c r="U1547" s="19" t="s">
        <v>1873</v>
      </c>
      <c r="V1547" s="19" t="str">
        <f>IF(OR($H1547="",$H1547="sif",$H1547="PM"),"",VLOOKUP($H1547,[5]CU!$C$5:$J$255,8,FALSE))</f>
        <v>3. Formation</v>
      </c>
      <c r="W1547" s="19" t="s">
        <v>96</v>
      </c>
      <c r="X1547" s="19" t="s">
        <v>96</v>
      </c>
      <c r="Y1547" s="19" t="s">
        <v>32</v>
      </c>
      <c r="Z1547" s="18" t="str">
        <f>A1547 &amp; "-" &amp; VLOOKUP(A1547,[4]PROGRAMMES!$E$1:$F$7,2,FALSE)</f>
        <v>5-Gouvernance et pilotage du secteur</v>
      </c>
      <c r="AA1547" s="19" t="str">
        <f>B1547 &amp; "-" &amp; VLOOKUP(B1547,[4]SOUSPROGRAMMES!$E$1:$F$44,2,FALSE)</f>
        <v xml:space="preserve">53- Systèmes d’information pour la gestion de l'éducation (collecte, analyse, diffusion, et utilisation des informations) </v>
      </c>
      <c r="AB1547" s="19" t="str">
        <f>C1547 &amp; "-" &amp; VLOOKUP(C1547,[4]RESULTATS!$E$1:$F$176,2,FALSE)</f>
        <v>531- La production des données permet d’offrir aux différents acteurs et utilisateurs à tous les niveaux l’information dont ils ont besoin</v>
      </c>
      <c r="AC1547" s="20" t="str">
        <f>D1547 &amp; "-" &amp; VLOOKUP(D1547,[4]STRATEGIES!$E$1:$F$504,2,FALSE)</f>
        <v>5312-Mise à l’échelle de la numérisation de la collecte de données</v>
      </c>
      <c r="AD1547" s="21" t="str">
        <f t="shared" si="231"/>
        <v>531210-Initiation des DSEE et DE à l'utilisation de l'application de collecte numérique</v>
      </c>
    </row>
    <row r="1548" spans="1:30" s="22" customFormat="1" ht="60" hidden="1" customHeight="1" x14ac:dyDescent="0.8">
      <c r="A1548" s="14">
        <v>5</v>
      </c>
      <c r="B1548" s="15">
        <v>53</v>
      </c>
      <c r="C1548" s="15">
        <v>531</v>
      </c>
      <c r="D1548" s="15">
        <v>5312</v>
      </c>
      <c r="E1548" s="15">
        <v>531211</v>
      </c>
      <c r="F1548" s="16" t="s">
        <v>2003</v>
      </c>
      <c r="G1548" s="21" t="s">
        <v>1017</v>
      </c>
      <c r="H1548" s="17" t="s">
        <v>59</v>
      </c>
      <c r="I1548" s="33">
        <v>0</v>
      </c>
      <c r="J1548" s="33">
        <f>1*20*10</f>
        <v>200</v>
      </c>
      <c r="K1548" s="33">
        <f>1*20*10</f>
        <v>200</v>
      </c>
      <c r="L1548" s="33">
        <f>1*20*10</f>
        <v>200</v>
      </c>
      <c r="M1548" s="33">
        <f t="shared" si="232"/>
        <v>600</v>
      </c>
      <c r="N1548" s="33">
        <f>IF(OR(H1548="",H1548="sif",H1548="PM"),0,VLOOKUP(H1548,[5]CU!$C$4:$H$255,6,FALSE))</f>
        <v>0.8177777777777776</v>
      </c>
      <c r="O1548" s="33">
        <f t="shared" si="229"/>
        <v>0</v>
      </c>
      <c r="P1548" s="33">
        <f t="shared" si="229"/>
        <v>163.55555555555551</v>
      </c>
      <c r="Q1548" s="33">
        <f t="shared" si="229"/>
        <v>163.55555555555551</v>
      </c>
      <c r="R1548" s="33">
        <f t="shared" si="229"/>
        <v>163.55555555555551</v>
      </c>
      <c r="S1548" s="34">
        <f t="shared" si="230"/>
        <v>490.66666666666652</v>
      </c>
      <c r="T1548" s="35" t="s">
        <v>39</v>
      </c>
      <c r="U1548" s="19" t="s">
        <v>1873</v>
      </c>
      <c r="V1548" s="19" t="str">
        <f>IF(OR($H1548="",$H1548="sif",$H1548="PM"),"",VLOOKUP($H1548,[5]CU!$C$5:$J$255,8,FALSE))</f>
        <v>3. Dépenses de fonctionnement</v>
      </c>
      <c r="W1548" s="19" t="s">
        <v>96</v>
      </c>
      <c r="X1548" s="19" t="s">
        <v>96</v>
      </c>
      <c r="Y1548" s="19" t="s">
        <v>32</v>
      </c>
      <c r="Z1548" s="18" t="str">
        <f>A1548 &amp; "-" &amp; VLOOKUP(A1548,[4]PROGRAMMES!$E$1:$F$7,2,FALSE)</f>
        <v>5-Gouvernance et pilotage du secteur</v>
      </c>
      <c r="AA1548" s="19" t="str">
        <f>B1548 &amp; "-" &amp; VLOOKUP(B1548,[4]SOUSPROGRAMMES!$E$1:$F$44,2,FALSE)</f>
        <v xml:space="preserve">53- Systèmes d’information pour la gestion de l'éducation (collecte, analyse, diffusion, et utilisation des informations) </v>
      </c>
      <c r="AB1548" s="19" t="str">
        <f>C1548 &amp; "-" &amp; VLOOKUP(C1548,[4]RESULTATS!$E$1:$F$176,2,FALSE)</f>
        <v>531- La production des données permet d’offrir aux différents acteurs et utilisateurs à tous les niveaux l’information dont ils ont besoin</v>
      </c>
      <c r="AC1548" s="20" t="str">
        <f>D1548 &amp; "-" &amp; VLOOKUP(D1548,[4]STRATEGIES!$E$1:$F$504,2,FALSE)</f>
        <v>5312-Mise à l’échelle de la numérisation de la collecte de données</v>
      </c>
      <c r="AD1548" s="21" t="str">
        <f t="shared" si="231"/>
        <v xml:space="preserve">531211-Organisation de la supervision de la collecte des données </v>
      </c>
    </row>
    <row r="1549" spans="1:30" s="22" customFormat="1" ht="60" hidden="1" customHeight="1" x14ac:dyDescent="0.8">
      <c r="A1549" s="14">
        <v>5</v>
      </c>
      <c r="B1549" s="15">
        <v>53</v>
      </c>
      <c r="C1549" s="15">
        <v>531</v>
      </c>
      <c r="D1549" s="15">
        <v>5312</v>
      </c>
      <c r="E1549" s="15">
        <v>531212</v>
      </c>
      <c r="F1549" s="16" t="s">
        <v>2004</v>
      </c>
      <c r="G1549" s="21" t="s">
        <v>315</v>
      </c>
      <c r="H1549" s="17" t="s">
        <v>66</v>
      </c>
      <c r="I1549" s="33">
        <v>0</v>
      </c>
      <c r="J1549" s="33">
        <f>1*J1545*5</f>
        <v>810</v>
      </c>
      <c r="K1549" s="33">
        <f>1*K1545*5</f>
        <v>810</v>
      </c>
      <c r="L1549" s="33">
        <f>1*L1545*5</f>
        <v>810</v>
      </c>
      <c r="M1549" s="33">
        <f t="shared" si="232"/>
        <v>2430</v>
      </c>
      <c r="N1549" s="33">
        <f>IF(OR(H1549="",H1549="sif",H1549="PM"),0,VLOOKUP(H1549,[5]CU!$C$4:$H$255,6,FALSE))</f>
        <v>0.255</v>
      </c>
      <c r="O1549" s="33">
        <f t="shared" si="229"/>
        <v>0</v>
      </c>
      <c r="P1549" s="33">
        <f t="shared" si="229"/>
        <v>206.55</v>
      </c>
      <c r="Q1549" s="33">
        <f t="shared" si="229"/>
        <v>206.55</v>
      </c>
      <c r="R1549" s="33">
        <f t="shared" si="229"/>
        <v>206.55</v>
      </c>
      <c r="S1549" s="34">
        <f t="shared" si="230"/>
        <v>619.65000000000009</v>
      </c>
      <c r="T1549" s="35" t="s">
        <v>39</v>
      </c>
      <c r="U1549" s="19" t="s">
        <v>1873</v>
      </c>
      <c r="V1549" s="19" t="str">
        <f>IF(OR($H1549="",$H1549="sif",$H1549="PM"),"",VLOOKUP($H1549,[5]CU!$C$5:$J$255,8,FALSE))</f>
        <v>3. Dépenses de fonctionnement</v>
      </c>
      <c r="W1549" s="19" t="s">
        <v>96</v>
      </c>
      <c r="X1549" s="19" t="s">
        <v>96</v>
      </c>
      <c r="Y1549" s="19" t="s">
        <v>32</v>
      </c>
      <c r="Z1549" s="18" t="str">
        <f>A1549 &amp; "-" &amp; VLOOKUP(A1549,[4]PROGRAMMES!$E$1:$F$7,2,FALSE)</f>
        <v>5-Gouvernance et pilotage du secteur</v>
      </c>
      <c r="AA1549" s="19" t="str">
        <f>B1549 &amp; "-" &amp; VLOOKUP(B1549,[4]SOUSPROGRAMMES!$E$1:$F$44,2,FALSE)</f>
        <v xml:space="preserve">53- Systèmes d’information pour la gestion de l'éducation (collecte, analyse, diffusion, et utilisation des informations) </v>
      </c>
      <c r="AB1549" s="19" t="str">
        <f>C1549 &amp; "-" &amp; VLOOKUP(C1549,[4]RESULTATS!$E$1:$F$176,2,FALSE)</f>
        <v>531- La production des données permet d’offrir aux différents acteurs et utilisateurs à tous les niveaux l’information dont ils ont besoin</v>
      </c>
      <c r="AC1549" s="20" t="str">
        <f>D1549 &amp; "-" &amp; VLOOKUP(D1549,[4]STRATEGIES!$E$1:$F$504,2,FALSE)</f>
        <v>5312-Mise à l’échelle de la numérisation de la collecte de données</v>
      </c>
      <c r="AD1549" s="21" t="str">
        <f t="shared" si="231"/>
        <v xml:space="preserve">531212-Apurement et migration des données collectées et saisies dans accès </v>
      </c>
    </row>
    <row r="1550" spans="1:30" s="22" customFormat="1" ht="60" hidden="1" customHeight="1" x14ac:dyDescent="0.8">
      <c r="A1550" s="14">
        <v>5</v>
      </c>
      <c r="B1550" s="15">
        <v>53</v>
      </c>
      <c r="C1550" s="15">
        <v>531</v>
      </c>
      <c r="D1550" s="15">
        <v>5313</v>
      </c>
      <c r="E1550" s="15">
        <v>5313</v>
      </c>
      <c r="F1550" s="16" t="s">
        <v>2005</v>
      </c>
      <c r="G1550" s="17"/>
      <c r="H1550" s="17"/>
      <c r="I1550" s="33">
        <v>0</v>
      </c>
      <c r="J1550" s="33"/>
      <c r="K1550" s="33"/>
      <c r="L1550" s="33"/>
      <c r="M1550" s="33"/>
      <c r="N1550" s="33"/>
      <c r="O1550" s="33"/>
      <c r="P1550" s="33"/>
      <c r="Q1550" s="33"/>
      <c r="R1550" s="33"/>
      <c r="S1550" s="34"/>
      <c r="T1550" s="33"/>
      <c r="U1550" s="18"/>
      <c r="V1550" s="18"/>
      <c r="W1550" s="18"/>
      <c r="X1550" s="18"/>
      <c r="Y1550" s="18"/>
      <c r="Z1550" s="18" t="str">
        <f>A1550 &amp; "-" &amp; VLOOKUP(A1550,[4]PROGRAMMES!$E$1:$F$7,2,FALSE)</f>
        <v>5-Gouvernance et pilotage du secteur</v>
      </c>
      <c r="AA1550" s="19" t="str">
        <f>B1550 &amp; "-" &amp; VLOOKUP(B1550,[4]SOUSPROGRAMMES!$E$1:$F$44,2,FALSE)</f>
        <v xml:space="preserve">53- Systèmes d’information pour la gestion de l'éducation (collecte, analyse, diffusion, et utilisation des informations) </v>
      </c>
      <c r="AB1550" s="19" t="str">
        <f>C1550 &amp; "-" &amp; VLOOKUP(C1550,[4]RESULTATS!$E$1:$F$176,2,FALSE)</f>
        <v>531- La production des données permet d’offrir aux différents acteurs et utilisateurs à tous les niveaux l’information dont ils ont besoin</v>
      </c>
      <c r="AC1550" s="20" t="str">
        <f>D1550 &amp; "-" &amp; VLOOKUP(D1550,[4]STRATEGIES!$E$1:$F$504,2,FALSE)</f>
        <v>5313-Promotion de l’utilisation des données par les acteurs y compris les bénéficiaires concernés (dépliants, réunions d’échange, …)</v>
      </c>
      <c r="AD1550" s="21" t="str">
        <f t="shared" si="231"/>
        <v>5313-Promotion de l’utilisation des données par les acteurs y compris les bénéficiaires concernés (dépliants, réunions d’échange, …)</v>
      </c>
    </row>
    <row r="1551" spans="1:30" s="22" customFormat="1" ht="60" hidden="1" customHeight="1" x14ac:dyDescent="0.8">
      <c r="A1551" s="14">
        <v>5</v>
      </c>
      <c r="B1551" s="15">
        <v>53</v>
      </c>
      <c r="C1551" s="15">
        <v>531</v>
      </c>
      <c r="D1551" s="15">
        <v>5313</v>
      </c>
      <c r="E1551" s="15">
        <v>53131</v>
      </c>
      <c r="F1551" s="16" t="s">
        <v>2006</v>
      </c>
      <c r="G1551" s="21" t="s">
        <v>44</v>
      </c>
      <c r="H1551" s="17" t="s">
        <v>2007</v>
      </c>
      <c r="I1551" s="33">
        <v>0</v>
      </c>
      <c r="J1551" s="33"/>
      <c r="K1551" s="33"/>
      <c r="L1551" s="33"/>
      <c r="M1551" s="33">
        <f>SUM(I1551:L1551)</f>
        <v>0</v>
      </c>
      <c r="N1551" s="33">
        <f>IF(OR(H1551="",H1551="sif",H1551="PM"),0,VLOOKUP(H1551,[5]CU!$C$4:$H$255,6,FALSE))</f>
        <v>0.38500000000000001</v>
      </c>
      <c r="O1551" s="33">
        <f>IFERROR($N1551*I1551,0)</f>
        <v>0</v>
      </c>
      <c r="P1551" s="33">
        <f>IFERROR($N1551*J1551,0)</f>
        <v>0</v>
      </c>
      <c r="Q1551" s="33">
        <f>IFERROR($N1551*K1551,0)</f>
        <v>0</v>
      </c>
      <c r="R1551" s="33">
        <f>IFERROR($N1551*L1551,0)</f>
        <v>0</v>
      </c>
      <c r="S1551" s="34">
        <f>SUM(O1551:R1551)</f>
        <v>0</v>
      </c>
      <c r="T1551" s="35" t="s">
        <v>178</v>
      </c>
      <c r="U1551" s="18" t="s">
        <v>1873</v>
      </c>
      <c r="V1551" s="18" t="str">
        <f>IF(OR($H1551="",$H1551="sif",$H1551="PM"),"",VLOOKUP($H1551,[5]CU!$C$5:$J$255,8,FALSE))</f>
        <v>3. Dépenses de fonctionnement</v>
      </c>
      <c r="W1551" s="18" t="s">
        <v>96</v>
      </c>
      <c r="X1551" s="18" t="s">
        <v>1963</v>
      </c>
      <c r="Y1551" s="19" t="s">
        <v>32</v>
      </c>
      <c r="Z1551" s="18" t="str">
        <f>A1551 &amp; "-" &amp; VLOOKUP(A1551,[4]PROGRAMMES!$E$1:$F$7,2,FALSE)</f>
        <v>5-Gouvernance et pilotage du secteur</v>
      </c>
      <c r="AA1551" s="19" t="str">
        <f>B1551 &amp; "-" &amp; VLOOKUP(B1551,[4]SOUSPROGRAMMES!$E$1:$F$44,2,FALSE)</f>
        <v xml:space="preserve">53- Systèmes d’information pour la gestion de l'éducation (collecte, analyse, diffusion, et utilisation des informations) </v>
      </c>
      <c r="AB1551" s="19" t="str">
        <f>C1551 &amp; "-" &amp; VLOOKUP(C1551,[4]RESULTATS!$E$1:$F$176,2,FALSE)</f>
        <v>531- La production des données permet d’offrir aux différents acteurs et utilisateurs à tous les niveaux l’information dont ils ont besoin</v>
      </c>
      <c r="AC1551" s="20" t="str">
        <f>D1551 &amp; "-" &amp; VLOOKUP(D1551,[4]STRATEGIES!$E$1:$F$504,2,FALSE)</f>
        <v>5313-Promotion de l’utilisation des données par les acteurs y compris les bénéficiaires concernés (dépliants, réunions d’échange, …)</v>
      </c>
      <c r="AD1551" s="21" t="str">
        <f t="shared" si="231"/>
        <v>53131-Impression des annuaires statistiques et dépliants (niveau central et déconcentré)</v>
      </c>
    </row>
    <row r="1552" spans="1:30" s="22" customFormat="1" ht="60" hidden="1" customHeight="1" x14ac:dyDescent="0.8">
      <c r="A1552" s="14">
        <v>5</v>
      </c>
      <c r="B1552" s="15">
        <v>53</v>
      </c>
      <c r="C1552" s="15">
        <v>531</v>
      </c>
      <c r="D1552" s="15">
        <v>5313</v>
      </c>
      <c r="E1552" s="15">
        <v>53131</v>
      </c>
      <c r="F1552" s="16" t="s">
        <v>2006</v>
      </c>
      <c r="G1552" s="21" t="s">
        <v>44</v>
      </c>
      <c r="H1552" s="17" t="s">
        <v>2007</v>
      </c>
      <c r="I1552" s="33">
        <v>0</v>
      </c>
      <c r="J1552" s="33">
        <v>100</v>
      </c>
      <c r="K1552" s="33">
        <v>100</v>
      </c>
      <c r="L1552" s="33">
        <v>100</v>
      </c>
      <c r="M1552" s="33">
        <f t="shared" si="232"/>
        <v>300</v>
      </c>
      <c r="N1552" s="33">
        <f>IF(OR(H1552="",H1552="sif",H1552="PM"),0,VLOOKUP(H1552,[5]CU!$C$4:$H$255,6,FALSE))</f>
        <v>0.38500000000000001</v>
      </c>
      <c r="O1552" s="33">
        <f t="shared" si="229"/>
        <v>0</v>
      </c>
      <c r="P1552" s="33">
        <f t="shared" si="229"/>
        <v>38.5</v>
      </c>
      <c r="Q1552" s="33">
        <f t="shared" si="229"/>
        <v>38.5</v>
      </c>
      <c r="R1552" s="33">
        <f t="shared" si="229"/>
        <v>38.5</v>
      </c>
      <c r="S1552" s="34">
        <f t="shared" si="230"/>
        <v>115.5</v>
      </c>
      <c r="T1552" s="35" t="s">
        <v>56</v>
      </c>
      <c r="U1552" s="18" t="s">
        <v>1873</v>
      </c>
      <c r="V1552" s="18" t="str">
        <f>IF(OR($H1552="",$H1552="sif",$H1552="PM"),"",VLOOKUP($H1552,[5]CU!$C$5:$J$255,8,FALSE))</f>
        <v>3. Dépenses de fonctionnement</v>
      </c>
      <c r="W1552" s="18" t="s">
        <v>96</v>
      </c>
      <c r="X1552" s="18" t="s">
        <v>1963</v>
      </c>
      <c r="Y1552" s="19" t="s">
        <v>32</v>
      </c>
      <c r="Z1552" s="18" t="str">
        <f>A1552 &amp; "-" &amp; VLOOKUP(A1552,[4]PROGRAMMES!$E$1:$F$7,2,FALSE)</f>
        <v>5-Gouvernance et pilotage du secteur</v>
      </c>
      <c r="AA1552" s="19" t="str">
        <f>B1552 &amp; "-" &amp; VLOOKUP(B1552,[4]SOUSPROGRAMMES!$E$1:$F$44,2,FALSE)</f>
        <v xml:space="preserve">53- Systèmes d’information pour la gestion de l'éducation (collecte, analyse, diffusion, et utilisation des informations) </v>
      </c>
      <c r="AB1552" s="19" t="str">
        <f>C1552 &amp; "-" &amp; VLOOKUP(C1552,[4]RESULTATS!$E$1:$F$176,2,FALSE)</f>
        <v>531- La production des données permet d’offrir aux différents acteurs et utilisateurs à tous les niveaux l’information dont ils ont besoin</v>
      </c>
      <c r="AC1552" s="20" t="str">
        <f>D1552 &amp; "-" &amp; VLOOKUP(D1552,[4]STRATEGIES!$E$1:$F$504,2,FALSE)</f>
        <v>5313-Promotion de l’utilisation des données par les acteurs y compris les bénéficiaires concernés (dépliants, réunions d’échange, …)</v>
      </c>
      <c r="AD1552" s="21" t="str">
        <f t="shared" si="231"/>
        <v>53131-Impression des annuaires statistiques et dépliants (niveau central et déconcentré)</v>
      </c>
    </row>
    <row r="1553" spans="1:30" s="22" customFormat="1" ht="60" hidden="1" customHeight="1" x14ac:dyDescent="0.8">
      <c r="A1553" s="14">
        <v>5</v>
      </c>
      <c r="B1553" s="15">
        <v>53</v>
      </c>
      <c r="C1553" s="15">
        <v>531</v>
      </c>
      <c r="D1553" s="15">
        <v>5313</v>
      </c>
      <c r="E1553" s="15">
        <v>53132</v>
      </c>
      <c r="F1553" s="16" t="s">
        <v>2008</v>
      </c>
      <c r="G1553" s="21" t="s">
        <v>44</v>
      </c>
      <c r="H1553" s="17" t="s">
        <v>2007</v>
      </c>
      <c r="I1553" s="33">
        <v>0</v>
      </c>
      <c r="J1553" s="33"/>
      <c r="K1553" s="33"/>
      <c r="L1553" s="33"/>
      <c r="M1553" s="33">
        <f>SUM(I1553:L1553)</f>
        <v>0</v>
      </c>
      <c r="N1553" s="33">
        <f>IF(OR(H1553="",H1553="sif",H1553="PM"),0,VLOOKUP(H1553,[5]CU!$C$4:$H$255,6,FALSE))</f>
        <v>0.38500000000000001</v>
      </c>
      <c r="O1553" s="33">
        <f>IFERROR($N1553*I1553,0)</f>
        <v>0</v>
      </c>
      <c r="P1553" s="33">
        <f>IFERROR($N1553*J1553,0)</f>
        <v>0</v>
      </c>
      <c r="Q1553" s="33">
        <f>IFERROR($N1553*K1553,0)</f>
        <v>0</v>
      </c>
      <c r="R1553" s="33">
        <f>IFERROR($N1553*L1553,0)</f>
        <v>0</v>
      </c>
      <c r="S1553" s="34">
        <f>SUM(O1553:R1553)</f>
        <v>0</v>
      </c>
      <c r="T1553" s="35" t="s">
        <v>178</v>
      </c>
      <c r="U1553" s="18" t="s">
        <v>1873</v>
      </c>
      <c r="V1553" s="18" t="str">
        <f>IF(OR($H1553="",$H1553="sif",$H1553="PM"),"",VLOOKUP($H1553,[5]CU!$C$5:$J$255,8,FALSE))</f>
        <v>3. Dépenses de fonctionnement</v>
      </c>
      <c r="W1553" s="18" t="s">
        <v>96</v>
      </c>
      <c r="X1553" s="18" t="s">
        <v>1963</v>
      </c>
      <c r="Y1553" s="18" t="s">
        <v>679</v>
      </c>
      <c r="Z1553" s="18" t="str">
        <f>A1553 &amp; "-" &amp; VLOOKUP(A1553,[4]PROGRAMMES!$E$1:$F$7,2,FALSE)</f>
        <v>5-Gouvernance et pilotage du secteur</v>
      </c>
      <c r="AA1553" s="19" t="str">
        <f>B1553 &amp; "-" &amp; VLOOKUP(B1553,[4]SOUSPROGRAMMES!$E$1:$F$44,2,FALSE)</f>
        <v xml:space="preserve">53- Systèmes d’information pour la gestion de l'éducation (collecte, analyse, diffusion, et utilisation des informations) </v>
      </c>
      <c r="AB1553" s="19" t="str">
        <f>C1553 &amp; "-" &amp; VLOOKUP(C1553,[4]RESULTATS!$E$1:$F$176,2,FALSE)</f>
        <v>531- La production des données permet d’offrir aux différents acteurs et utilisateurs à tous les niveaux l’information dont ils ont besoin</v>
      </c>
      <c r="AC1553" s="20" t="str">
        <f>D1553 &amp; "-" &amp; VLOOKUP(D1553,[4]STRATEGIES!$E$1:$F$504,2,FALSE)</f>
        <v>5313-Promotion de l’utilisation des données par les acteurs y compris les bénéficiaires concernés (dépliants, réunions d’échange, …)</v>
      </c>
      <c r="AD1553" s="21" t="str">
        <f t="shared" si="231"/>
        <v>53132-Impression des annuaires statistiques et dépliants (Supérieur)</v>
      </c>
    </row>
    <row r="1554" spans="1:30" s="22" customFormat="1" ht="60" hidden="1" customHeight="1" x14ac:dyDescent="0.8">
      <c r="A1554" s="14">
        <v>5</v>
      </c>
      <c r="B1554" s="15">
        <v>53</v>
      </c>
      <c r="C1554" s="15">
        <v>531</v>
      </c>
      <c r="D1554" s="15">
        <v>5313</v>
      </c>
      <c r="E1554" s="15">
        <v>53132</v>
      </c>
      <c r="F1554" s="16" t="s">
        <v>2008</v>
      </c>
      <c r="G1554" s="21" t="s">
        <v>44</v>
      </c>
      <c r="H1554" s="17" t="s">
        <v>2007</v>
      </c>
      <c r="I1554" s="33">
        <v>0</v>
      </c>
      <c r="J1554" s="33">
        <v>100</v>
      </c>
      <c r="K1554" s="33">
        <v>100</v>
      </c>
      <c r="L1554" s="33">
        <v>100</v>
      </c>
      <c r="M1554" s="33">
        <f t="shared" si="232"/>
        <v>300</v>
      </c>
      <c r="N1554" s="33">
        <f>IF(OR(H1554="",H1554="sif",H1554="PM"),0,VLOOKUP(H1554,[5]CU!$C$4:$H$255,6,FALSE))</f>
        <v>0.38500000000000001</v>
      </c>
      <c r="O1554" s="33">
        <f t="shared" si="229"/>
        <v>0</v>
      </c>
      <c r="P1554" s="33">
        <f t="shared" si="229"/>
        <v>38.5</v>
      </c>
      <c r="Q1554" s="33">
        <f t="shared" si="229"/>
        <v>38.5</v>
      </c>
      <c r="R1554" s="33">
        <f t="shared" si="229"/>
        <v>38.5</v>
      </c>
      <c r="S1554" s="34">
        <f t="shared" si="230"/>
        <v>115.5</v>
      </c>
      <c r="T1554" s="35" t="s">
        <v>56</v>
      </c>
      <c r="U1554" s="18" t="s">
        <v>1873</v>
      </c>
      <c r="V1554" s="18" t="str">
        <f>IF(OR($H1554="",$H1554="sif",$H1554="PM"),"",VLOOKUP($H1554,[5]CU!$C$5:$J$255,8,FALSE))</f>
        <v>3. Dépenses de fonctionnement</v>
      </c>
      <c r="W1554" s="18" t="s">
        <v>96</v>
      </c>
      <c r="X1554" s="18" t="s">
        <v>1963</v>
      </c>
      <c r="Y1554" s="18" t="s">
        <v>679</v>
      </c>
      <c r="Z1554" s="18" t="str">
        <f>A1554 &amp; "-" &amp; VLOOKUP(A1554,[4]PROGRAMMES!$E$1:$F$7,2,FALSE)</f>
        <v>5-Gouvernance et pilotage du secteur</v>
      </c>
      <c r="AA1554" s="19" t="str">
        <f>B1554 &amp; "-" &amp; VLOOKUP(B1554,[4]SOUSPROGRAMMES!$E$1:$F$44,2,FALSE)</f>
        <v xml:space="preserve">53- Systèmes d’information pour la gestion de l'éducation (collecte, analyse, diffusion, et utilisation des informations) </v>
      </c>
      <c r="AB1554" s="19" t="str">
        <f>C1554 &amp; "-" &amp; VLOOKUP(C1554,[4]RESULTATS!$E$1:$F$176,2,FALSE)</f>
        <v>531- La production des données permet d’offrir aux différents acteurs et utilisateurs à tous les niveaux l’information dont ils ont besoin</v>
      </c>
      <c r="AC1554" s="20" t="str">
        <f>D1554 &amp; "-" &amp; VLOOKUP(D1554,[4]STRATEGIES!$E$1:$F$504,2,FALSE)</f>
        <v>5313-Promotion de l’utilisation des données par les acteurs y compris les bénéficiaires concernés (dépliants, réunions d’échange, …)</v>
      </c>
      <c r="AD1554" s="21" t="str">
        <f t="shared" si="231"/>
        <v>53132-Impression des annuaires statistiques et dépliants (Supérieur)</v>
      </c>
    </row>
    <row r="1555" spans="1:30" s="22" customFormat="1" ht="60" hidden="1" customHeight="1" x14ac:dyDescent="0.8">
      <c r="A1555" s="14">
        <v>5</v>
      </c>
      <c r="B1555" s="15">
        <v>53</v>
      </c>
      <c r="C1555" s="15">
        <v>531</v>
      </c>
      <c r="D1555" s="15">
        <v>5313</v>
      </c>
      <c r="E1555" s="15">
        <v>53133</v>
      </c>
      <c r="F1555" s="16" t="s">
        <v>2009</v>
      </c>
      <c r="G1555" s="21" t="s">
        <v>44</v>
      </c>
      <c r="H1555" s="17" t="s">
        <v>2007</v>
      </c>
      <c r="I1555" s="33">
        <v>0</v>
      </c>
      <c r="J1555" s="33"/>
      <c r="K1555" s="33"/>
      <c r="L1555" s="33"/>
      <c r="M1555" s="33">
        <f>SUM(I1555:L1555)</f>
        <v>0</v>
      </c>
      <c r="N1555" s="33">
        <f>IF(OR(H1555="",H1555="sif",H1555="PM"),0,VLOOKUP(H1555,[5]CU!$C$4:$H$255,6,FALSE))</f>
        <v>0.38500000000000001</v>
      </c>
      <c r="O1555" s="33">
        <f>IFERROR($N1555*I1555,0)</f>
        <v>0</v>
      </c>
      <c r="P1555" s="33">
        <f>IFERROR($N1555*J1555,0)</f>
        <v>0</v>
      </c>
      <c r="Q1555" s="33">
        <f>IFERROR($N1555*K1555,0)</f>
        <v>0</v>
      </c>
      <c r="R1555" s="33">
        <f>IFERROR($N1555*L1555,0)</f>
        <v>0</v>
      </c>
      <c r="S1555" s="34">
        <f>SUM(O1555:R1555)</f>
        <v>0</v>
      </c>
      <c r="T1555" s="35" t="s">
        <v>178</v>
      </c>
      <c r="U1555" s="18" t="s">
        <v>1873</v>
      </c>
      <c r="V1555" s="18" t="str">
        <f>IF(OR($H1555="",$H1555="sif",$H1555="PM"),"",VLOOKUP($H1555,[5]CU!$C$5:$J$255,8,FALSE))</f>
        <v>3. Dépenses de fonctionnement</v>
      </c>
      <c r="W1555" s="18" t="s">
        <v>96</v>
      </c>
      <c r="X1555" s="18" t="s">
        <v>1963</v>
      </c>
      <c r="Y1555" s="18" t="s">
        <v>677</v>
      </c>
      <c r="Z1555" s="18" t="str">
        <f>A1555 &amp; "-" &amp; VLOOKUP(A1555,[4]PROGRAMMES!$E$1:$F$7,2,FALSE)</f>
        <v>5-Gouvernance et pilotage du secteur</v>
      </c>
      <c r="AA1555" s="19" t="str">
        <f>B1555 &amp; "-" &amp; VLOOKUP(B1555,[4]SOUSPROGRAMMES!$E$1:$F$44,2,FALSE)</f>
        <v xml:space="preserve">53- Systèmes d’information pour la gestion de l'éducation (collecte, analyse, diffusion, et utilisation des informations) </v>
      </c>
      <c r="AB1555" s="19" t="str">
        <f>C1555 &amp; "-" &amp; VLOOKUP(C1555,[4]RESULTATS!$E$1:$F$176,2,FALSE)</f>
        <v>531- La production des données permet d’offrir aux différents acteurs et utilisateurs à tous les niveaux l’information dont ils ont besoin</v>
      </c>
      <c r="AC1555" s="20" t="str">
        <f>D1555 &amp; "-" &amp; VLOOKUP(D1555,[4]STRATEGIES!$E$1:$F$504,2,FALSE)</f>
        <v>5313-Promotion de l’utilisation des données par les acteurs y compris les bénéficiaires concernés (dépliants, réunions d’échange, …)</v>
      </c>
      <c r="AD1555" s="21" t="str">
        <f t="shared" si="231"/>
        <v>53133-Impression des annuaires statistiques et dépliants (niveau central et déconcentré ETFP)</v>
      </c>
    </row>
    <row r="1556" spans="1:30" s="22" customFormat="1" ht="60" hidden="1" customHeight="1" x14ac:dyDescent="0.8">
      <c r="A1556" s="14">
        <v>5</v>
      </c>
      <c r="B1556" s="15">
        <v>53</v>
      </c>
      <c r="C1556" s="15">
        <v>531</v>
      </c>
      <c r="D1556" s="15">
        <v>5313</v>
      </c>
      <c r="E1556" s="15">
        <v>53133</v>
      </c>
      <c r="F1556" s="16" t="s">
        <v>2009</v>
      </c>
      <c r="G1556" s="21" t="s">
        <v>44</v>
      </c>
      <c r="H1556" s="17" t="s">
        <v>2007</v>
      </c>
      <c r="I1556" s="33">
        <v>0</v>
      </c>
      <c r="J1556" s="33">
        <v>100</v>
      </c>
      <c r="K1556" s="33">
        <v>100</v>
      </c>
      <c r="L1556" s="33">
        <v>100</v>
      </c>
      <c r="M1556" s="33">
        <f t="shared" si="232"/>
        <v>300</v>
      </c>
      <c r="N1556" s="33">
        <f>IF(OR(H1556="",H1556="sif",H1556="PM"),0,VLOOKUP(H1556,[5]CU!$C$4:$H$255,6,FALSE))</f>
        <v>0.38500000000000001</v>
      </c>
      <c r="O1556" s="33">
        <f t="shared" si="229"/>
        <v>0</v>
      </c>
      <c r="P1556" s="33">
        <f t="shared" si="229"/>
        <v>38.5</v>
      </c>
      <c r="Q1556" s="33">
        <f t="shared" si="229"/>
        <v>38.5</v>
      </c>
      <c r="R1556" s="33">
        <f t="shared" si="229"/>
        <v>38.5</v>
      </c>
      <c r="S1556" s="34">
        <f t="shared" si="230"/>
        <v>115.5</v>
      </c>
      <c r="T1556" s="35" t="s">
        <v>56</v>
      </c>
      <c r="U1556" s="18" t="s">
        <v>1873</v>
      </c>
      <c r="V1556" s="18" t="str">
        <f>IF(OR($H1556="",$H1556="sif",$H1556="PM"),"",VLOOKUP($H1556,[5]CU!$C$5:$J$255,8,FALSE))</f>
        <v>3. Dépenses de fonctionnement</v>
      </c>
      <c r="W1556" s="18" t="s">
        <v>96</v>
      </c>
      <c r="X1556" s="18" t="s">
        <v>1963</v>
      </c>
      <c r="Y1556" s="18" t="s">
        <v>677</v>
      </c>
      <c r="Z1556" s="18" t="str">
        <f>A1556 &amp; "-" &amp; VLOOKUP(A1556,[4]PROGRAMMES!$E$1:$F$7,2,FALSE)</f>
        <v>5-Gouvernance et pilotage du secteur</v>
      </c>
      <c r="AA1556" s="19" t="str">
        <f>B1556 &amp; "-" &amp; VLOOKUP(B1556,[4]SOUSPROGRAMMES!$E$1:$F$44,2,FALSE)</f>
        <v xml:space="preserve">53- Systèmes d’information pour la gestion de l'éducation (collecte, analyse, diffusion, et utilisation des informations) </v>
      </c>
      <c r="AB1556" s="19" t="str">
        <f>C1556 &amp; "-" &amp; VLOOKUP(C1556,[4]RESULTATS!$E$1:$F$176,2,FALSE)</f>
        <v>531- La production des données permet d’offrir aux différents acteurs et utilisateurs à tous les niveaux l’information dont ils ont besoin</v>
      </c>
      <c r="AC1556" s="20" t="str">
        <f>D1556 &amp; "-" &amp; VLOOKUP(D1556,[4]STRATEGIES!$E$1:$F$504,2,FALSE)</f>
        <v>5313-Promotion de l’utilisation des données par les acteurs y compris les bénéficiaires concernés (dépliants, réunions d’échange, …)</v>
      </c>
      <c r="AD1556" s="21" t="str">
        <f t="shared" si="231"/>
        <v>53133-Impression des annuaires statistiques et dépliants (niveau central et déconcentré ETFP)</v>
      </c>
    </row>
    <row r="1557" spans="1:30" s="22" customFormat="1" ht="60" hidden="1" customHeight="1" x14ac:dyDescent="0.8">
      <c r="A1557" s="14">
        <v>5</v>
      </c>
      <c r="B1557" s="15">
        <v>53</v>
      </c>
      <c r="C1557" s="15">
        <v>531</v>
      </c>
      <c r="D1557" s="15">
        <v>5313</v>
      </c>
      <c r="E1557" s="15">
        <v>53134</v>
      </c>
      <c r="F1557" s="16" t="s">
        <v>2010</v>
      </c>
      <c r="G1557" s="21" t="s">
        <v>315</v>
      </c>
      <c r="H1557" s="17" t="s">
        <v>38</v>
      </c>
      <c r="I1557" s="33">
        <v>0</v>
      </c>
      <c r="J1557" s="33"/>
      <c r="K1557" s="33"/>
      <c r="L1557" s="33"/>
      <c r="M1557" s="33">
        <f>SUM(I1557:L1557)</f>
        <v>0</v>
      </c>
      <c r="N1557" s="33">
        <f>IF(OR(H1557="",H1557="sif",H1557="PM"),0,VLOOKUP(H1557,[5]CU!$C$4:$H$255,6,FALSE))</f>
        <v>0.3133333333333333</v>
      </c>
      <c r="O1557" s="33">
        <f>IFERROR($N1557*I1557,0)</f>
        <v>0</v>
      </c>
      <c r="P1557" s="33">
        <f>IFERROR($N1557*J1557,0)</f>
        <v>0</v>
      </c>
      <c r="Q1557" s="33">
        <f>IFERROR($N1557*K1557,0)</f>
        <v>0</v>
      </c>
      <c r="R1557" s="33">
        <f>IFERROR($N1557*L1557,0)</f>
        <v>0</v>
      </c>
      <c r="S1557" s="34">
        <f>SUM(O1557:R1557)</f>
        <v>0</v>
      </c>
      <c r="T1557" s="35" t="s">
        <v>178</v>
      </c>
      <c r="U1557" s="18" t="s">
        <v>1873</v>
      </c>
      <c r="V1557" s="18" t="str">
        <f>IF(OR($H1557="",$H1557="sif",$H1557="PM"),"",VLOOKUP($H1557,[5]CU!$C$5:$J$255,8,FALSE))</f>
        <v>3. Formation</v>
      </c>
      <c r="W1557" s="18" t="s">
        <v>96</v>
      </c>
      <c r="X1557" s="18" t="s">
        <v>96</v>
      </c>
      <c r="Y1557" s="19" t="s">
        <v>32</v>
      </c>
      <c r="Z1557" s="18" t="str">
        <f>A1557 &amp; "-" &amp; VLOOKUP(A1557,[4]PROGRAMMES!$E$1:$F$7,2,FALSE)</f>
        <v>5-Gouvernance et pilotage du secteur</v>
      </c>
      <c r="AA1557" s="19" t="str">
        <f>B1557 &amp; "-" &amp; VLOOKUP(B1557,[4]SOUSPROGRAMMES!$E$1:$F$44,2,FALSE)</f>
        <v xml:space="preserve">53- Systèmes d’information pour la gestion de l'éducation (collecte, analyse, diffusion, et utilisation des informations) </v>
      </c>
      <c r="AB1557" s="19" t="str">
        <f>C1557 &amp; "-" &amp; VLOOKUP(C1557,[4]RESULTATS!$E$1:$F$176,2,FALSE)</f>
        <v>531- La production des données permet d’offrir aux différents acteurs et utilisateurs à tous les niveaux l’information dont ils ont besoin</v>
      </c>
      <c r="AC1557" s="20" t="str">
        <f>D1557 &amp; "-" &amp; VLOOKUP(D1557,[4]STRATEGIES!$E$1:$F$504,2,FALSE)</f>
        <v>5313-Promotion de l’utilisation des données par les acteurs y compris les bénéficiaires concernés (dépliants, réunions d’échange, …)</v>
      </c>
      <c r="AD1557" s="21" t="str">
        <f t="shared" si="231"/>
        <v>53134-Partage des données avec les acteurs et partenaires du MENA</v>
      </c>
    </row>
    <row r="1558" spans="1:30" s="22" customFormat="1" ht="60" hidden="1" customHeight="1" x14ac:dyDescent="0.8">
      <c r="A1558" s="14">
        <v>5</v>
      </c>
      <c r="B1558" s="15">
        <v>53</v>
      </c>
      <c r="C1558" s="15">
        <v>531</v>
      </c>
      <c r="D1558" s="15">
        <v>5313</v>
      </c>
      <c r="E1558" s="15">
        <v>53134</v>
      </c>
      <c r="F1558" s="16" t="s">
        <v>2010</v>
      </c>
      <c r="G1558" s="21" t="s">
        <v>315</v>
      </c>
      <c r="H1558" s="17" t="s">
        <v>38</v>
      </c>
      <c r="I1558" s="33">
        <v>0</v>
      </c>
      <c r="J1558" s="33">
        <f t="shared" ref="J1558:L1561" si="233">50*1</f>
        <v>50</v>
      </c>
      <c r="K1558" s="33">
        <f t="shared" si="233"/>
        <v>50</v>
      </c>
      <c r="L1558" s="33">
        <f t="shared" si="233"/>
        <v>50</v>
      </c>
      <c r="M1558" s="33">
        <f t="shared" si="232"/>
        <v>150</v>
      </c>
      <c r="N1558" s="33">
        <f>IF(OR(H1558="",H1558="sif",H1558="PM"),0,VLOOKUP(H1558,[5]CU!$C$4:$H$255,6,FALSE))</f>
        <v>0.3133333333333333</v>
      </c>
      <c r="O1558" s="33">
        <f t="shared" si="229"/>
        <v>0</v>
      </c>
      <c r="P1558" s="33">
        <f t="shared" si="229"/>
        <v>15.666666666666664</v>
      </c>
      <c r="Q1558" s="33">
        <f t="shared" si="229"/>
        <v>15.666666666666664</v>
      </c>
      <c r="R1558" s="33">
        <f t="shared" si="229"/>
        <v>15.666666666666664</v>
      </c>
      <c r="S1558" s="34">
        <f t="shared" si="230"/>
        <v>46.999999999999993</v>
      </c>
      <c r="T1558" s="35" t="s">
        <v>56</v>
      </c>
      <c r="U1558" s="18" t="s">
        <v>1873</v>
      </c>
      <c r="V1558" s="18" t="str">
        <f>IF(OR($H1558="",$H1558="sif",$H1558="PM"),"",VLOOKUP($H1558,[5]CU!$C$5:$J$255,8,FALSE))</f>
        <v>3. Formation</v>
      </c>
      <c r="W1558" s="18" t="s">
        <v>96</v>
      </c>
      <c r="X1558" s="18" t="s">
        <v>96</v>
      </c>
      <c r="Y1558" s="19" t="s">
        <v>32</v>
      </c>
      <c r="Z1558" s="18" t="str">
        <f>A1558 &amp; "-" &amp; VLOOKUP(A1558,[4]PROGRAMMES!$E$1:$F$7,2,FALSE)</f>
        <v>5-Gouvernance et pilotage du secteur</v>
      </c>
      <c r="AA1558" s="19" t="str">
        <f>B1558 &amp; "-" &amp; VLOOKUP(B1558,[4]SOUSPROGRAMMES!$E$1:$F$44,2,FALSE)</f>
        <v xml:space="preserve">53- Systèmes d’information pour la gestion de l'éducation (collecte, analyse, diffusion, et utilisation des informations) </v>
      </c>
      <c r="AB1558" s="19" t="str">
        <f>C1558 &amp; "-" &amp; VLOOKUP(C1558,[4]RESULTATS!$E$1:$F$176,2,FALSE)</f>
        <v>531- La production des données permet d’offrir aux différents acteurs et utilisateurs à tous les niveaux l’information dont ils ont besoin</v>
      </c>
      <c r="AC1558" s="20" t="str">
        <f>D1558 &amp; "-" &amp; VLOOKUP(D1558,[4]STRATEGIES!$E$1:$F$504,2,FALSE)</f>
        <v>5313-Promotion de l’utilisation des données par les acteurs y compris les bénéficiaires concernés (dépliants, réunions d’échange, …)</v>
      </c>
      <c r="AD1558" s="21" t="str">
        <f t="shared" si="231"/>
        <v>53134-Partage des données avec les acteurs et partenaires du MENA</v>
      </c>
    </row>
    <row r="1559" spans="1:30" s="22" customFormat="1" ht="60" hidden="1" customHeight="1" x14ac:dyDescent="0.8">
      <c r="A1559" s="14">
        <v>5</v>
      </c>
      <c r="B1559" s="15">
        <v>53</v>
      </c>
      <c r="C1559" s="15">
        <v>531</v>
      </c>
      <c r="D1559" s="15">
        <v>5313</v>
      </c>
      <c r="E1559" s="15">
        <v>53135</v>
      </c>
      <c r="F1559" s="16" t="s">
        <v>2011</v>
      </c>
      <c r="G1559" s="21" t="s">
        <v>315</v>
      </c>
      <c r="H1559" s="17" t="s">
        <v>38</v>
      </c>
      <c r="I1559" s="33">
        <v>0</v>
      </c>
      <c r="J1559" s="33"/>
      <c r="K1559" s="33"/>
      <c r="L1559" s="33"/>
      <c r="M1559" s="33">
        <f>SUM(I1559:L1559)</f>
        <v>0</v>
      </c>
      <c r="N1559" s="33">
        <f>IF(OR(H1559="",H1559="sif",H1559="PM"),0,VLOOKUP(H1559,[5]CU!$C$4:$H$255,6,FALSE))</f>
        <v>0.3133333333333333</v>
      </c>
      <c r="O1559" s="33">
        <f>IFERROR($N1559*I1559,0)</f>
        <v>0</v>
      </c>
      <c r="P1559" s="33">
        <f>IFERROR($N1559*J1559,0)</f>
        <v>0</v>
      </c>
      <c r="Q1559" s="33">
        <f>IFERROR($N1559*K1559,0)</f>
        <v>0</v>
      </c>
      <c r="R1559" s="33">
        <f>IFERROR($N1559*L1559,0)</f>
        <v>0</v>
      </c>
      <c r="S1559" s="34">
        <f>SUM(O1559:R1559)</f>
        <v>0</v>
      </c>
      <c r="T1559" s="35" t="s">
        <v>178</v>
      </c>
      <c r="U1559" s="18" t="s">
        <v>1873</v>
      </c>
      <c r="V1559" s="18" t="str">
        <f>IF(OR($H1559="",$H1559="sif",$H1559="PM"),"",VLOOKUP($H1559,[5]CU!$C$5:$J$255,8,FALSE))</f>
        <v>3. Formation</v>
      </c>
      <c r="W1559" s="18" t="s">
        <v>96</v>
      </c>
      <c r="X1559" s="18" t="s">
        <v>96</v>
      </c>
      <c r="Y1559" s="18" t="s">
        <v>679</v>
      </c>
      <c r="Z1559" s="18" t="str">
        <f>A1559 &amp; "-" &amp; VLOOKUP(A1559,[4]PROGRAMMES!$E$1:$F$7,2,FALSE)</f>
        <v>5-Gouvernance et pilotage du secteur</v>
      </c>
      <c r="AA1559" s="19" t="str">
        <f>B1559 &amp; "-" &amp; VLOOKUP(B1559,[4]SOUSPROGRAMMES!$E$1:$F$44,2,FALSE)</f>
        <v xml:space="preserve">53- Systèmes d’information pour la gestion de l'éducation (collecte, analyse, diffusion, et utilisation des informations) </v>
      </c>
      <c r="AB1559" s="19" t="str">
        <f>C1559 &amp; "-" &amp; VLOOKUP(C1559,[4]RESULTATS!$E$1:$F$176,2,FALSE)</f>
        <v>531- La production des données permet d’offrir aux différents acteurs et utilisateurs à tous les niveaux l’information dont ils ont besoin</v>
      </c>
      <c r="AC1559" s="20" t="str">
        <f>D1559 &amp; "-" &amp; VLOOKUP(D1559,[4]STRATEGIES!$E$1:$F$504,2,FALSE)</f>
        <v>5313-Promotion de l’utilisation des données par les acteurs y compris les bénéficiaires concernés (dépliants, réunions d’échange, …)</v>
      </c>
      <c r="AD1559" s="21" t="str">
        <f t="shared" si="231"/>
        <v>53135-Partage des données avec les acteurs et partenaires du MESRS</v>
      </c>
    </row>
    <row r="1560" spans="1:30" s="22" customFormat="1" ht="60" hidden="1" customHeight="1" x14ac:dyDescent="0.8">
      <c r="A1560" s="14">
        <v>5</v>
      </c>
      <c r="B1560" s="15">
        <v>53</v>
      </c>
      <c r="C1560" s="15">
        <v>531</v>
      </c>
      <c r="D1560" s="15">
        <v>5313</v>
      </c>
      <c r="E1560" s="15">
        <v>53135</v>
      </c>
      <c r="F1560" s="16" t="s">
        <v>2011</v>
      </c>
      <c r="G1560" s="21" t="s">
        <v>315</v>
      </c>
      <c r="H1560" s="17" t="s">
        <v>38</v>
      </c>
      <c r="I1560" s="33">
        <v>0</v>
      </c>
      <c r="J1560" s="33">
        <f t="shared" si="233"/>
        <v>50</v>
      </c>
      <c r="K1560" s="33">
        <f t="shared" si="233"/>
        <v>50</v>
      </c>
      <c r="L1560" s="33">
        <f t="shared" si="233"/>
        <v>50</v>
      </c>
      <c r="M1560" s="33">
        <f t="shared" si="232"/>
        <v>150</v>
      </c>
      <c r="N1560" s="33">
        <f>IF(OR(H1560="",H1560="sif",H1560="PM"),0,VLOOKUP(H1560,[5]CU!$C$4:$H$255,6,FALSE))</f>
        <v>0.3133333333333333</v>
      </c>
      <c r="O1560" s="33">
        <f t="shared" si="229"/>
        <v>0</v>
      </c>
      <c r="P1560" s="33">
        <f t="shared" si="229"/>
        <v>15.666666666666664</v>
      </c>
      <c r="Q1560" s="33">
        <f t="shared" si="229"/>
        <v>15.666666666666664</v>
      </c>
      <c r="R1560" s="33">
        <f t="shared" si="229"/>
        <v>15.666666666666664</v>
      </c>
      <c r="S1560" s="34">
        <f t="shared" si="230"/>
        <v>46.999999999999993</v>
      </c>
      <c r="T1560" s="35" t="s">
        <v>56</v>
      </c>
      <c r="U1560" s="18" t="s">
        <v>1873</v>
      </c>
      <c r="V1560" s="18" t="str">
        <f>IF(OR($H1560="",$H1560="sif",$H1560="PM"),"",VLOOKUP($H1560,[5]CU!$C$5:$J$255,8,FALSE))</f>
        <v>3. Formation</v>
      </c>
      <c r="W1560" s="18" t="s">
        <v>96</v>
      </c>
      <c r="X1560" s="18" t="s">
        <v>96</v>
      </c>
      <c r="Y1560" s="18" t="s">
        <v>679</v>
      </c>
      <c r="Z1560" s="18" t="str">
        <f>A1560 &amp; "-" &amp; VLOOKUP(A1560,[4]PROGRAMMES!$E$1:$F$7,2,FALSE)</f>
        <v>5-Gouvernance et pilotage du secteur</v>
      </c>
      <c r="AA1560" s="19" t="str">
        <f>B1560 &amp; "-" &amp; VLOOKUP(B1560,[4]SOUSPROGRAMMES!$E$1:$F$44,2,FALSE)</f>
        <v xml:space="preserve">53- Systèmes d’information pour la gestion de l'éducation (collecte, analyse, diffusion, et utilisation des informations) </v>
      </c>
      <c r="AB1560" s="19" t="str">
        <f>C1560 &amp; "-" &amp; VLOOKUP(C1560,[4]RESULTATS!$E$1:$F$176,2,FALSE)</f>
        <v>531- La production des données permet d’offrir aux différents acteurs et utilisateurs à tous les niveaux l’information dont ils ont besoin</v>
      </c>
      <c r="AC1560" s="20" t="str">
        <f>D1560 &amp; "-" &amp; VLOOKUP(D1560,[4]STRATEGIES!$E$1:$F$504,2,FALSE)</f>
        <v>5313-Promotion de l’utilisation des données par les acteurs y compris les bénéficiaires concernés (dépliants, réunions d’échange, …)</v>
      </c>
      <c r="AD1560" s="21" t="str">
        <f t="shared" si="231"/>
        <v>53135-Partage des données avec les acteurs et partenaires du MESRS</v>
      </c>
    </row>
    <row r="1561" spans="1:30" s="22" customFormat="1" ht="60" hidden="1" customHeight="1" x14ac:dyDescent="0.8">
      <c r="A1561" s="14">
        <v>5</v>
      </c>
      <c r="B1561" s="15">
        <v>53</v>
      </c>
      <c r="C1561" s="15">
        <v>531</v>
      </c>
      <c r="D1561" s="15">
        <v>5313</v>
      </c>
      <c r="E1561" s="15">
        <v>53136</v>
      </c>
      <c r="F1561" s="16" t="s">
        <v>2012</v>
      </c>
      <c r="G1561" s="21" t="s">
        <v>315</v>
      </c>
      <c r="H1561" s="17" t="s">
        <v>38</v>
      </c>
      <c r="I1561" s="33">
        <v>0</v>
      </c>
      <c r="J1561" s="33">
        <f t="shared" si="233"/>
        <v>50</v>
      </c>
      <c r="K1561" s="33">
        <f t="shared" si="233"/>
        <v>50</v>
      </c>
      <c r="L1561" s="33">
        <f t="shared" si="233"/>
        <v>50</v>
      </c>
      <c r="M1561" s="33">
        <f>SUM(I1561:L1561)</f>
        <v>150</v>
      </c>
      <c r="N1561" s="33">
        <f>IF(OR(H1561="",H1561="sif",H1561="PM"),0,VLOOKUP(H1561,[5]CU!$C$4:$H$255,6,FALSE))</f>
        <v>0.3133333333333333</v>
      </c>
      <c r="O1561" s="33">
        <f>IFERROR($N1561*I1561,0)</f>
        <v>0</v>
      </c>
      <c r="P1561" s="33">
        <f>IFERROR($N1561*J1561,0)</f>
        <v>15.666666666666664</v>
      </c>
      <c r="Q1561" s="33">
        <f>IFERROR($N1561*K1561,0)</f>
        <v>15.666666666666664</v>
      </c>
      <c r="R1561" s="33">
        <f>IFERROR($N1561*L1561,0)</f>
        <v>15.666666666666664</v>
      </c>
      <c r="S1561" s="34">
        <f>SUM(O1561:R1561)</f>
        <v>46.999999999999993</v>
      </c>
      <c r="T1561" s="35" t="s">
        <v>56</v>
      </c>
      <c r="U1561" s="18" t="s">
        <v>1873</v>
      </c>
      <c r="V1561" s="18" t="str">
        <f>IF(OR($H1561="",$H1561="sif",$H1561="PM"),"",VLOOKUP($H1561,[5]CU!$C$5:$J$255,8,FALSE))</f>
        <v>3. Formation</v>
      </c>
      <c r="W1561" s="18" t="s">
        <v>96</v>
      </c>
      <c r="X1561" s="18" t="s">
        <v>96</v>
      </c>
      <c r="Y1561" s="18" t="s">
        <v>677</v>
      </c>
      <c r="Z1561" s="18" t="str">
        <f>A1561 &amp; "-" &amp; VLOOKUP(A1561,[4]PROGRAMMES!$E$1:$F$7,2,FALSE)</f>
        <v>5-Gouvernance et pilotage du secteur</v>
      </c>
      <c r="AA1561" s="19" t="str">
        <f>B1561 &amp; "-" &amp; VLOOKUP(B1561,[4]SOUSPROGRAMMES!$E$1:$F$44,2,FALSE)</f>
        <v xml:space="preserve">53- Systèmes d’information pour la gestion de l'éducation (collecte, analyse, diffusion, et utilisation des informations) </v>
      </c>
      <c r="AB1561" s="19" t="str">
        <f>C1561 &amp; "-" &amp; VLOOKUP(C1561,[4]RESULTATS!$E$1:$F$176,2,FALSE)</f>
        <v>531- La production des données permet d’offrir aux différents acteurs et utilisateurs à tous les niveaux l’information dont ils ont besoin</v>
      </c>
      <c r="AC1561" s="20" t="str">
        <f>D1561 &amp; "-" &amp; VLOOKUP(D1561,[4]STRATEGIES!$E$1:$F$504,2,FALSE)</f>
        <v>5313-Promotion de l’utilisation des données par les acteurs y compris les bénéficiaires concernés (dépliants, réunions d’échange, …)</v>
      </c>
      <c r="AD1561" s="21" t="str">
        <f t="shared" si="231"/>
        <v>53136-Partage des données avec les acteurs et partenaires du METFP</v>
      </c>
    </row>
    <row r="1562" spans="1:30" s="22" customFormat="1" ht="60" hidden="1" customHeight="1" x14ac:dyDescent="0.8">
      <c r="A1562" s="14">
        <v>5</v>
      </c>
      <c r="B1562" s="15">
        <v>53</v>
      </c>
      <c r="C1562" s="15">
        <v>531</v>
      </c>
      <c r="D1562" s="15">
        <v>5313</v>
      </c>
      <c r="E1562" s="15">
        <v>53136</v>
      </c>
      <c r="F1562" s="16" t="s">
        <v>2012</v>
      </c>
      <c r="G1562" s="21" t="s">
        <v>315</v>
      </c>
      <c r="H1562" s="17" t="s">
        <v>38</v>
      </c>
      <c r="I1562" s="33">
        <v>0</v>
      </c>
      <c r="J1562" s="33"/>
      <c r="K1562" s="33"/>
      <c r="L1562" s="33"/>
      <c r="M1562" s="33">
        <f t="shared" si="232"/>
        <v>0</v>
      </c>
      <c r="N1562" s="33">
        <f>IF(OR(H1562="",H1562="sif",H1562="PM"),0,VLOOKUP(H1562,[5]CU!$C$4:$H$255,6,FALSE))</f>
        <v>0.3133333333333333</v>
      </c>
      <c r="O1562" s="33">
        <f t="shared" si="229"/>
        <v>0</v>
      </c>
      <c r="P1562" s="33">
        <f t="shared" si="229"/>
        <v>0</v>
      </c>
      <c r="Q1562" s="33">
        <f t="shared" si="229"/>
        <v>0</v>
      </c>
      <c r="R1562" s="33">
        <f t="shared" si="229"/>
        <v>0</v>
      </c>
      <c r="S1562" s="34">
        <f t="shared" si="230"/>
        <v>0</v>
      </c>
      <c r="T1562" s="35" t="s">
        <v>178</v>
      </c>
      <c r="U1562" s="18" t="s">
        <v>1873</v>
      </c>
      <c r="V1562" s="18" t="str">
        <f>IF(OR($H1562="",$H1562="sif",$H1562="PM"),"",VLOOKUP($H1562,[5]CU!$C$5:$J$255,8,FALSE))</f>
        <v>3. Formation</v>
      </c>
      <c r="W1562" s="18" t="s">
        <v>96</v>
      </c>
      <c r="X1562" s="18" t="s">
        <v>96</v>
      </c>
      <c r="Y1562" s="18" t="s">
        <v>677</v>
      </c>
      <c r="Z1562" s="18" t="str">
        <f>A1562 &amp; "-" &amp; VLOOKUP(A1562,[4]PROGRAMMES!$E$1:$F$7,2,FALSE)</f>
        <v>5-Gouvernance et pilotage du secteur</v>
      </c>
      <c r="AA1562" s="19" t="str">
        <f>B1562 &amp; "-" &amp; VLOOKUP(B1562,[4]SOUSPROGRAMMES!$E$1:$F$44,2,FALSE)</f>
        <v xml:space="preserve">53- Systèmes d’information pour la gestion de l'éducation (collecte, analyse, diffusion, et utilisation des informations) </v>
      </c>
      <c r="AB1562" s="19" t="str">
        <f>C1562 &amp; "-" &amp; VLOOKUP(C1562,[4]RESULTATS!$E$1:$F$176,2,FALSE)</f>
        <v>531- La production des données permet d’offrir aux différents acteurs et utilisateurs à tous les niveaux l’information dont ils ont besoin</v>
      </c>
      <c r="AC1562" s="20" t="str">
        <f>D1562 &amp; "-" &amp; VLOOKUP(D1562,[4]STRATEGIES!$E$1:$F$504,2,FALSE)</f>
        <v>5313-Promotion de l’utilisation des données par les acteurs y compris les bénéficiaires concernés (dépliants, réunions d’échange, …)</v>
      </c>
      <c r="AD1562" s="21" t="str">
        <f t="shared" si="231"/>
        <v>53136-Partage des données avec les acteurs et partenaires du METFP</v>
      </c>
    </row>
    <row r="1563" spans="1:30" s="22" customFormat="1" ht="60" hidden="1" customHeight="1" x14ac:dyDescent="0.8">
      <c r="A1563" s="14">
        <v>5</v>
      </c>
      <c r="B1563" s="15">
        <v>53</v>
      </c>
      <c r="C1563" s="15">
        <v>531</v>
      </c>
      <c r="D1563" s="15">
        <v>5313</v>
      </c>
      <c r="E1563" s="15">
        <v>53137</v>
      </c>
      <c r="F1563" s="16" t="s">
        <v>2013</v>
      </c>
      <c r="G1563" s="21" t="s">
        <v>88</v>
      </c>
      <c r="H1563" s="17" t="s">
        <v>55</v>
      </c>
      <c r="I1563" s="33">
        <v>0</v>
      </c>
      <c r="J1563" s="33">
        <v>0</v>
      </c>
      <c r="K1563" s="33">
        <v>0</v>
      </c>
      <c r="L1563" s="33">
        <v>0</v>
      </c>
      <c r="M1563" s="33"/>
      <c r="N1563" s="33">
        <f>IF(OR(H1563="",H1563="sif",H1563="PM"),0,VLOOKUP(H1563,[5]CU!$C$4:$H$255,6,FALSE))</f>
        <v>0</v>
      </c>
      <c r="O1563" s="33"/>
      <c r="P1563" s="33"/>
      <c r="Q1563" s="33"/>
      <c r="R1563" s="33"/>
      <c r="S1563" s="34"/>
      <c r="T1563" s="35" t="s">
        <v>56</v>
      </c>
      <c r="U1563" s="18" t="s">
        <v>1873</v>
      </c>
      <c r="V1563" s="18" t="str">
        <f>IF(OR($H1563="",$H1563="sif",$H1563="PM"),"",VLOOKUP($H1563,[5]CU!$C$5:$J$255,8,FALSE))</f>
        <v/>
      </c>
      <c r="W1563" s="18" t="s">
        <v>96</v>
      </c>
      <c r="X1563" s="18" t="s">
        <v>96</v>
      </c>
      <c r="Y1563" s="19" t="s">
        <v>32</v>
      </c>
      <c r="Z1563" s="18" t="str">
        <f>A1563 &amp; "-" &amp; VLOOKUP(A1563,[4]PROGRAMMES!$E$1:$F$7,2,FALSE)</f>
        <v>5-Gouvernance et pilotage du secteur</v>
      </c>
      <c r="AA1563" s="19" t="str">
        <f>B1563 &amp; "-" &amp; VLOOKUP(B1563,[4]SOUSPROGRAMMES!$E$1:$F$44,2,FALSE)</f>
        <v xml:space="preserve">53- Systèmes d’information pour la gestion de l'éducation (collecte, analyse, diffusion, et utilisation des informations) </v>
      </c>
      <c r="AB1563" s="19" t="str">
        <f>C1563 &amp; "-" &amp; VLOOKUP(C1563,[4]RESULTATS!$E$1:$F$176,2,FALSE)</f>
        <v>531- La production des données permet d’offrir aux différents acteurs et utilisateurs à tous les niveaux l’information dont ils ont besoin</v>
      </c>
      <c r="AC1563" s="20" t="str">
        <f>D1563 &amp; "-" &amp; VLOOKUP(D1563,[4]STRATEGIES!$E$1:$F$504,2,FALSE)</f>
        <v>5313-Promotion de l’utilisation des données par les acteurs y compris les bénéficiaires concernés (dépliants, réunions d’échange, …)</v>
      </c>
      <c r="AD1563" s="21" t="str">
        <f t="shared" si="231"/>
        <v>53137-Partage des annuaires, rapports d'analyse et dépliants sur le site web du MENA</v>
      </c>
    </row>
    <row r="1564" spans="1:30" s="22" customFormat="1" ht="60" hidden="1" customHeight="1" x14ac:dyDescent="0.8">
      <c r="A1564" s="14">
        <v>5</v>
      </c>
      <c r="B1564" s="15">
        <v>53</v>
      </c>
      <c r="C1564" s="15">
        <v>531</v>
      </c>
      <c r="D1564" s="15">
        <v>5313</v>
      </c>
      <c r="E1564" s="15">
        <v>53138</v>
      </c>
      <c r="F1564" s="16" t="s">
        <v>2014</v>
      </c>
      <c r="G1564" s="21" t="s">
        <v>88</v>
      </c>
      <c r="H1564" s="17" t="s">
        <v>55</v>
      </c>
      <c r="I1564" s="33">
        <v>0</v>
      </c>
      <c r="J1564" s="33">
        <v>0</v>
      </c>
      <c r="K1564" s="33">
        <v>0</v>
      </c>
      <c r="L1564" s="33">
        <v>0</v>
      </c>
      <c r="M1564" s="33"/>
      <c r="N1564" s="33">
        <f>IF(OR(H1564="",H1564="sif",H1564="PM"),0,VLOOKUP(H1564,[5]CU!$C$4:$H$255,6,FALSE))</f>
        <v>0</v>
      </c>
      <c r="O1564" s="33"/>
      <c r="P1564" s="33"/>
      <c r="Q1564" s="33"/>
      <c r="R1564" s="33"/>
      <c r="S1564" s="34"/>
      <c r="T1564" s="35" t="s">
        <v>56</v>
      </c>
      <c r="U1564" s="18" t="s">
        <v>1873</v>
      </c>
      <c r="V1564" s="18" t="str">
        <f>IF(OR($H1564="",$H1564="sif",$H1564="PM"),"",VLOOKUP($H1564,[5]CU!$C$5:$J$255,8,FALSE))</f>
        <v/>
      </c>
      <c r="W1564" s="18" t="s">
        <v>96</v>
      </c>
      <c r="X1564" s="18" t="s">
        <v>96</v>
      </c>
      <c r="Y1564" s="18" t="s">
        <v>679</v>
      </c>
      <c r="Z1564" s="18" t="str">
        <f>A1564 &amp; "-" &amp; VLOOKUP(A1564,[4]PROGRAMMES!$E$1:$F$7,2,FALSE)</f>
        <v>5-Gouvernance et pilotage du secteur</v>
      </c>
      <c r="AA1564" s="19" t="str">
        <f>B1564 &amp; "-" &amp; VLOOKUP(B1564,[4]SOUSPROGRAMMES!$E$1:$F$44,2,FALSE)</f>
        <v xml:space="preserve">53- Systèmes d’information pour la gestion de l'éducation (collecte, analyse, diffusion, et utilisation des informations) </v>
      </c>
      <c r="AB1564" s="19" t="str">
        <f>C1564 &amp; "-" &amp; VLOOKUP(C1564,[4]RESULTATS!$E$1:$F$176,2,FALSE)</f>
        <v>531- La production des données permet d’offrir aux différents acteurs et utilisateurs à tous les niveaux l’information dont ils ont besoin</v>
      </c>
      <c r="AC1564" s="20" t="str">
        <f>D1564 &amp; "-" &amp; VLOOKUP(D1564,[4]STRATEGIES!$E$1:$F$504,2,FALSE)</f>
        <v>5313-Promotion de l’utilisation des données par les acteurs y compris les bénéficiaires concernés (dépliants, réunions d’échange, …)</v>
      </c>
      <c r="AD1564" s="21" t="str">
        <f t="shared" si="231"/>
        <v>53138-Partage des annuaires, rapports d'analyse et dépliants sur le site web du MESRS</v>
      </c>
    </row>
    <row r="1565" spans="1:30" s="22" customFormat="1" ht="60" hidden="1" customHeight="1" x14ac:dyDescent="0.8">
      <c r="A1565" s="14">
        <v>5</v>
      </c>
      <c r="B1565" s="15">
        <v>53</v>
      </c>
      <c r="C1565" s="15">
        <v>531</v>
      </c>
      <c r="D1565" s="15">
        <v>5313</v>
      </c>
      <c r="E1565" s="15">
        <v>53139</v>
      </c>
      <c r="F1565" s="16" t="s">
        <v>2015</v>
      </c>
      <c r="G1565" s="21" t="s">
        <v>88</v>
      </c>
      <c r="H1565" s="17" t="s">
        <v>55</v>
      </c>
      <c r="I1565" s="33">
        <v>0</v>
      </c>
      <c r="J1565" s="33">
        <v>0</v>
      </c>
      <c r="K1565" s="33">
        <v>0</v>
      </c>
      <c r="L1565" s="33">
        <v>0</v>
      </c>
      <c r="M1565" s="33"/>
      <c r="N1565" s="33">
        <f>IF(OR(H1565="",H1565="sif",H1565="PM"),0,VLOOKUP(H1565,[5]CU!$C$4:$H$255,6,FALSE))</f>
        <v>0</v>
      </c>
      <c r="O1565" s="33"/>
      <c r="P1565" s="33"/>
      <c r="Q1565" s="33"/>
      <c r="R1565" s="33"/>
      <c r="S1565" s="34"/>
      <c r="T1565" s="35" t="s">
        <v>56</v>
      </c>
      <c r="U1565" s="18" t="s">
        <v>1873</v>
      </c>
      <c r="V1565" s="18" t="str">
        <f>IF(OR($H1565="",$H1565="sif",$H1565="PM"),"",VLOOKUP($H1565,[5]CU!$C$5:$J$255,8,FALSE))</f>
        <v/>
      </c>
      <c r="W1565" s="18" t="s">
        <v>96</v>
      </c>
      <c r="X1565" s="18" t="s">
        <v>96</v>
      </c>
      <c r="Y1565" s="18" t="s">
        <v>677</v>
      </c>
      <c r="Z1565" s="18" t="str">
        <f>A1565 &amp; "-" &amp; VLOOKUP(A1565,[4]PROGRAMMES!$E$1:$F$7,2,FALSE)</f>
        <v>5-Gouvernance et pilotage du secteur</v>
      </c>
      <c r="AA1565" s="19" t="str">
        <f>B1565 &amp; "-" &amp; VLOOKUP(B1565,[4]SOUSPROGRAMMES!$E$1:$F$44,2,FALSE)</f>
        <v xml:space="preserve">53- Systèmes d’information pour la gestion de l'éducation (collecte, analyse, diffusion, et utilisation des informations) </v>
      </c>
      <c r="AB1565" s="19" t="str">
        <f>C1565 &amp; "-" &amp; VLOOKUP(C1565,[4]RESULTATS!$E$1:$F$176,2,FALSE)</f>
        <v>531- La production des données permet d’offrir aux différents acteurs et utilisateurs à tous les niveaux l’information dont ils ont besoin</v>
      </c>
      <c r="AC1565" s="20" t="str">
        <f>D1565 &amp; "-" &amp; VLOOKUP(D1565,[4]STRATEGIES!$E$1:$F$504,2,FALSE)</f>
        <v>5313-Promotion de l’utilisation des données par les acteurs y compris les bénéficiaires concernés (dépliants, réunions d’échange, …)</v>
      </c>
      <c r="AD1565" s="21" t="str">
        <f t="shared" si="231"/>
        <v>53139-Partage des annuaires, rapports d'analyse et dépliants sur le site web du METFP</v>
      </c>
    </row>
    <row r="1566" spans="1:30" s="22" customFormat="1" ht="60" hidden="1" customHeight="1" x14ac:dyDescent="0.8">
      <c r="A1566" s="14">
        <v>5</v>
      </c>
      <c r="B1566" s="15">
        <v>53</v>
      </c>
      <c r="C1566" s="15">
        <v>531</v>
      </c>
      <c r="D1566" s="15">
        <v>5313</v>
      </c>
      <c r="E1566" s="15">
        <v>531310</v>
      </c>
      <c r="F1566" s="16" t="s">
        <v>2016</v>
      </c>
      <c r="G1566" s="21" t="s">
        <v>88</v>
      </c>
      <c r="H1566" s="17" t="s">
        <v>55</v>
      </c>
      <c r="I1566" s="33">
        <v>0</v>
      </c>
      <c r="J1566" s="33">
        <v>0</v>
      </c>
      <c r="K1566" s="33">
        <v>0</v>
      </c>
      <c r="L1566" s="33">
        <v>0</v>
      </c>
      <c r="M1566" s="33"/>
      <c r="N1566" s="33">
        <f>IF(OR(H1566="",H1566="sif",H1566="PM"),0,VLOOKUP(H1566,[5]CU!$C$4:$H$255,6,FALSE))</f>
        <v>0</v>
      </c>
      <c r="O1566" s="33"/>
      <c r="P1566" s="33"/>
      <c r="Q1566" s="33"/>
      <c r="R1566" s="33"/>
      <c r="S1566" s="34"/>
      <c r="T1566" s="35" t="s">
        <v>56</v>
      </c>
      <c r="U1566" s="18" t="s">
        <v>1873</v>
      </c>
      <c r="V1566" s="18" t="str">
        <f>IF(OR($H1566="",$H1566="sif",$H1566="PM"),"",VLOOKUP($H1566,[5]CU!$C$5:$J$255,8,FALSE))</f>
        <v/>
      </c>
      <c r="W1566" s="18" t="s">
        <v>96</v>
      </c>
      <c r="X1566" s="18" t="s">
        <v>96</v>
      </c>
      <c r="Y1566" s="19" t="s">
        <v>32</v>
      </c>
      <c r="Z1566" s="18" t="str">
        <f>A1566 &amp; "-" &amp; VLOOKUP(A1566,[4]PROGRAMMES!$E$1:$F$7,2,FALSE)</f>
        <v>5-Gouvernance et pilotage du secteur</v>
      </c>
      <c r="AA1566" s="19" t="str">
        <f>B1566 &amp; "-" &amp; VLOOKUP(B1566,[4]SOUSPROGRAMMES!$E$1:$F$44,2,FALSE)</f>
        <v xml:space="preserve">53- Systèmes d’information pour la gestion de l'éducation (collecte, analyse, diffusion, et utilisation des informations) </v>
      </c>
      <c r="AB1566" s="19" t="str">
        <f>C1566 &amp; "-" &amp; VLOOKUP(C1566,[4]RESULTATS!$E$1:$F$176,2,FALSE)</f>
        <v>531- La production des données permet d’offrir aux différents acteurs et utilisateurs à tous les niveaux l’information dont ils ont besoin</v>
      </c>
      <c r="AC1566" s="20" t="str">
        <f>D1566 &amp; "-" &amp; VLOOKUP(D1566,[4]STRATEGIES!$E$1:$F$504,2,FALSE)</f>
        <v>5313-Promotion de l’utilisation des données par les acteurs y compris les bénéficiaires concernés (dépliants, réunions d’échange, …)</v>
      </c>
      <c r="AD1566" s="21" t="str">
        <f t="shared" si="231"/>
        <v>531310-Mise à jour des questionnaires internationaux (ISU, UNESCO, ISESCO, …)</v>
      </c>
    </row>
    <row r="1567" spans="1:30" s="22" customFormat="1" ht="60" hidden="1" customHeight="1" x14ac:dyDescent="0.8">
      <c r="A1567" s="14">
        <v>5</v>
      </c>
      <c r="B1567" s="15">
        <v>53</v>
      </c>
      <c r="C1567" s="15">
        <v>531</v>
      </c>
      <c r="D1567" s="15">
        <v>5313</v>
      </c>
      <c r="E1567" s="15">
        <v>531311</v>
      </c>
      <c r="F1567" s="16" t="s">
        <v>2017</v>
      </c>
      <c r="G1567" s="21" t="s">
        <v>88</v>
      </c>
      <c r="H1567" s="17" t="s">
        <v>55</v>
      </c>
      <c r="I1567" s="33">
        <v>0</v>
      </c>
      <c r="J1567" s="33">
        <v>0</v>
      </c>
      <c r="K1567" s="33">
        <v>0</v>
      </c>
      <c r="L1567" s="33">
        <v>0</v>
      </c>
      <c r="M1567" s="33"/>
      <c r="N1567" s="33">
        <f>IF(OR(H1567="",H1567="sif",H1567="PM"),0,VLOOKUP(H1567,[5]CU!$C$4:$H$255,6,FALSE))</f>
        <v>0</v>
      </c>
      <c r="O1567" s="33"/>
      <c r="P1567" s="33"/>
      <c r="Q1567" s="33"/>
      <c r="R1567" s="33"/>
      <c r="S1567" s="34"/>
      <c r="T1567" s="35" t="s">
        <v>56</v>
      </c>
      <c r="U1567" s="18" t="s">
        <v>1873</v>
      </c>
      <c r="V1567" s="18" t="str">
        <f>IF(OR($H1567="",$H1567="sif",$H1567="PM"),"",VLOOKUP($H1567,[5]CU!$C$5:$J$255,8,FALSE))</f>
        <v/>
      </c>
      <c r="W1567" s="18" t="s">
        <v>96</v>
      </c>
      <c r="X1567" s="18" t="s">
        <v>96</v>
      </c>
      <c r="Y1567" s="18" t="s">
        <v>679</v>
      </c>
      <c r="Z1567" s="18" t="str">
        <f>A1567 &amp; "-" &amp; VLOOKUP(A1567,[4]PROGRAMMES!$E$1:$F$7,2,FALSE)</f>
        <v>5-Gouvernance et pilotage du secteur</v>
      </c>
      <c r="AA1567" s="19" t="str">
        <f>B1567 &amp; "-" &amp; VLOOKUP(B1567,[4]SOUSPROGRAMMES!$E$1:$F$44,2,FALSE)</f>
        <v xml:space="preserve">53- Systèmes d’information pour la gestion de l'éducation (collecte, analyse, diffusion, et utilisation des informations) </v>
      </c>
      <c r="AB1567" s="19" t="str">
        <f>C1567 &amp; "-" &amp; VLOOKUP(C1567,[4]RESULTATS!$E$1:$F$176,2,FALSE)</f>
        <v>531- La production des données permet d’offrir aux différents acteurs et utilisateurs à tous les niveaux l’information dont ils ont besoin</v>
      </c>
      <c r="AC1567" s="20" t="str">
        <f>D1567 &amp; "-" &amp; VLOOKUP(D1567,[4]STRATEGIES!$E$1:$F$504,2,FALSE)</f>
        <v>5313-Promotion de l’utilisation des données par les acteurs y compris les bénéficiaires concernés (dépliants, réunions d’échange, …)</v>
      </c>
      <c r="AD1567" s="21" t="str">
        <f t="shared" si="231"/>
        <v>531311-Mise à jour des questionnaires internationaux (ISU, UNESCO, ISESCO,)</v>
      </c>
    </row>
    <row r="1568" spans="1:30" s="22" customFormat="1" ht="60" hidden="1" customHeight="1" x14ac:dyDescent="0.8">
      <c r="A1568" s="14">
        <v>5</v>
      </c>
      <c r="B1568" s="15">
        <v>53</v>
      </c>
      <c r="C1568" s="15">
        <v>531</v>
      </c>
      <c r="D1568" s="15">
        <v>5313</v>
      </c>
      <c r="E1568" s="15">
        <v>531312</v>
      </c>
      <c r="F1568" s="16" t="s">
        <v>2017</v>
      </c>
      <c r="G1568" s="21" t="s">
        <v>88</v>
      </c>
      <c r="H1568" s="17" t="s">
        <v>55</v>
      </c>
      <c r="I1568" s="33">
        <v>0</v>
      </c>
      <c r="J1568" s="33">
        <v>0</v>
      </c>
      <c r="K1568" s="33">
        <v>0</v>
      </c>
      <c r="L1568" s="33">
        <v>0</v>
      </c>
      <c r="M1568" s="33"/>
      <c r="N1568" s="33">
        <f>IF(OR(H1568="",H1568="sif",H1568="PM"),0,VLOOKUP(H1568,[5]CU!$C$4:$H$255,6,FALSE))</f>
        <v>0</v>
      </c>
      <c r="O1568" s="33"/>
      <c r="P1568" s="33"/>
      <c r="Q1568" s="33"/>
      <c r="R1568" s="33"/>
      <c r="S1568" s="34"/>
      <c r="T1568" s="35" t="s">
        <v>56</v>
      </c>
      <c r="U1568" s="18" t="s">
        <v>1873</v>
      </c>
      <c r="V1568" s="18" t="str">
        <f>IF(OR($H1568="",$H1568="sif",$H1568="PM"),"",VLOOKUP($H1568,[5]CU!$C$5:$J$255,8,FALSE))</f>
        <v/>
      </c>
      <c r="W1568" s="18" t="s">
        <v>96</v>
      </c>
      <c r="X1568" s="18" t="s">
        <v>96</v>
      </c>
      <c r="Y1568" s="18" t="s">
        <v>677</v>
      </c>
      <c r="Z1568" s="18" t="str">
        <f>A1568 &amp; "-" &amp; VLOOKUP(A1568,[4]PROGRAMMES!$E$1:$F$7,2,FALSE)</f>
        <v>5-Gouvernance et pilotage du secteur</v>
      </c>
      <c r="AA1568" s="19" t="str">
        <f>B1568 &amp; "-" &amp; VLOOKUP(B1568,[4]SOUSPROGRAMMES!$E$1:$F$44,2,FALSE)</f>
        <v xml:space="preserve">53- Systèmes d’information pour la gestion de l'éducation (collecte, analyse, diffusion, et utilisation des informations) </v>
      </c>
      <c r="AB1568" s="19" t="str">
        <f>C1568 &amp; "-" &amp; VLOOKUP(C1568,[4]RESULTATS!$E$1:$F$176,2,FALSE)</f>
        <v>531- La production des données permet d’offrir aux différents acteurs et utilisateurs à tous les niveaux l’information dont ils ont besoin</v>
      </c>
      <c r="AC1568" s="20" t="str">
        <f>D1568 &amp; "-" &amp; VLOOKUP(D1568,[4]STRATEGIES!$E$1:$F$504,2,FALSE)</f>
        <v>5313-Promotion de l’utilisation des données par les acteurs y compris les bénéficiaires concernés (dépliants, réunions d’échange, …)</v>
      </c>
      <c r="AD1568" s="21" t="str">
        <f t="shared" si="231"/>
        <v>531312-Mise à jour des questionnaires internationaux (ISU, UNESCO, ISESCO,)</v>
      </c>
    </row>
    <row r="1569" spans="1:30" s="22" customFormat="1" ht="60" hidden="1" customHeight="1" x14ac:dyDescent="0.8">
      <c r="A1569" s="14">
        <v>5</v>
      </c>
      <c r="B1569" s="15">
        <v>53</v>
      </c>
      <c r="C1569" s="15">
        <v>531</v>
      </c>
      <c r="D1569" s="15">
        <v>5313</v>
      </c>
      <c r="E1569" s="15">
        <v>531313</v>
      </c>
      <c r="F1569" s="16" t="s">
        <v>2018</v>
      </c>
      <c r="G1569" s="21" t="s">
        <v>436</v>
      </c>
      <c r="H1569" s="17" t="s">
        <v>52</v>
      </c>
      <c r="I1569" s="33">
        <v>0</v>
      </c>
      <c r="J1569" s="33">
        <v>72</v>
      </c>
      <c r="K1569" s="33">
        <v>72</v>
      </c>
      <c r="L1569" s="33">
        <v>78</v>
      </c>
      <c r="M1569" s="33">
        <f>SUM(I1569:L1569)</f>
        <v>222</v>
      </c>
      <c r="N1569" s="33">
        <f>IF(OR(H1569="",H1569="sif",H1569="PM"),0,VLOOKUP(H1569,[5]CU!$C$4:$H$255,6,FALSE))</f>
        <v>1.5</v>
      </c>
      <c r="O1569" s="33">
        <f t="shared" ref="O1569:R1570" si="234">IFERROR($N1569*I1569,0)</f>
        <v>0</v>
      </c>
      <c r="P1569" s="33">
        <f t="shared" si="234"/>
        <v>108</v>
      </c>
      <c r="Q1569" s="33">
        <f t="shared" si="234"/>
        <v>108</v>
      </c>
      <c r="R1569" s="33">
        <f t="shared" si="234"/>
        <v>117</v>
      </c>
      <c r="S1569" s="34">
        <f>SUM(O1569:R1569)</f>
        <v>333</v>
      </c>
      <c r="T1569" s="35" t="s">
        <v>67</v>
      </c>
      <c r="U1569" s="19" t="s">
        <v>1873</v>
      </c>
      <c r="V1569" s="19" t="str">
        <f>IF(OR($H1569="",$H1569="sif",$H1569="PM"),"",VLOOKUP($H1569,[5]CU!$C$5:$J$255,8,FALSE))</f>
        <v>3. Formation</v>
      </c>
      <c r="W1569" s="19" t="s">
        <v>96</v>
      </c>
      <c r="X1569" s="19" t="s">
        <v>96</v>
      </c>
      <c r="Y1569" s="19" t="s">
        <v>32</v>
      </c>
      <c r="Z1569" s="18" t="str">
        <f>A1569 &amp; "-" &amp; VLOOKUP(A1569,[4]PROGRAMMES!$E$1:$F$7,2,FALSE)</f>
        <v>5-Gouvernance et pilotage du secteur</v>
      </c>
      <c r="AA1569" s="19" t="str">
        <f>B1569 &amp; "-" &amp; VLOOKUP(B1569,[4]SOUSPROGRAMMES!$E$1:$F$44,2,FALSE)</f>
        <v xml:space="preserve">53- Systèmes d’information pour la gestion de l'éducation (collecte, analyse, diffusion, et utilisation des informations) </v>
      </c>
      <c r="AB1569" s="19" t="str">
        <f>C1569 &amp; "-" &amp; VLOOKUP(C1569,[4]RESULTATS!$E$1:$F$176,2,FALSE)</f>
        <v>531- La production des données permet d’offrir aux différents acteurs et utilisateurs à tous les niveaux l’information dont ils ont besoin</v>
      </c>
      <c r="AC1569" s="20" t="str">
        <f>D1569 &amp; "-" &amp; VLOOKUP(D1569,[4]STRATEGIES!$E$1:$F$504,2,FALSE)</f>
        <v>5313-Promotion de l’utilisation des données par les acteurs y compris les bénéficiaires concernés (dépliants, réunions d’échange, …)</v>
      </c>
      <c r="AD1569" s="21" t="str">
        <f t="shared" si="231"/>
        <v>531313-Appui à l'utilisation des données par les écoles pour le suivi et monitoring des indicateurs</v>
      </c>
    </row>
    <row r="1570" spans="1:30" s="22" customFormat="1" ht="60" hidden="1" customHeight="1" x14ac:dyDescent="0.8">
      <c r="A1570" s="14">
        <v>5</v>
      </c>
      <c r="B1570" s="15">
        <v>53</v>
      </c>
      <c r="C1570" s="15">
        <v>531</v>
      </c>
      <c r="D1570" s="15">
        <v>5313</v>
      </c>
      <c r="E1570" s="15">
        <v>531313</v>
      </c>
      <c r="F1570" s="16" t="s">
        <v>2018</v>
      </c>
      <c r="G1570" s="21" t="s">
        <v>436</v>
      </c>
      <c r="H1570" s="17" t="s">
        <v>52</v>
      </c>
      <c r="I1570" s="33">
        <v>0</v>
      </c>
      <c r="J1570" s="33">
        <f>100*5-J1569</f>
        <v>428</v>
      </c>
      <c r="K1570" s="33">
        <f>150*6-K1569</f>
        <v>828</v>
      </c>
      <c r="L1570" s="33">
        <f>200*6-L1569</f>
        <v>1122</v>
      </c>
      <c r="M1570" s="33">
        <f>SUM(I1570:L1570)</f>
        <v>2378</v>
      </c>
      <c r="N1570" s="33">
        <f>IF(OR(H1570="",H1570="sif",H1570="PM"),0,VLOOKUP(H1570,[5]CU!$C$4:$H$255,6,FALSE))</f>
        <v>1.5</v>
      </c>
      <c r="O1570" s="33">
        <f t="shared" si="234"/>
        <v>0</v>
      </c>
      <c r="P1570" s="33">
        <f t="shared" si="234"/>
        <v>642</v>
      </c>
      <c r="Q1570" s="33">
        <f t="shared" si="234"/>
        <v>1242</v>
      </c>
      <c r="R1570" s="33">
        <f t="shared" si="234"/>
        <v>1683</v>
      </c>
      <c r="S1570" s="34">
        <f>SUM(O1570:R1570)</f>
        <v>3567</v>
      </c>
      <c r="T1570" s="35" t="s">
        <v>39</v>
      </c>
      <c r="U1570" s="19" t="s">
        <v>1873</v>
      </c>
      <c r="V1570" s="19" t="str">
        <f>IF(OR($H1570="",$H1570="sif",$H1570="PM"),"",VLOOKUP($H1570,[5]CU!$C$5:$J$255,8,FALSE))</f>
        <v>3. Formation</v>
      </c>
      <c r="W1570" s="19" t="s">
        <v>96</v>
      </c>
      <c r="X1570" s="19" t="s">
        <v>96</v>
      </c>
      <c r="Y1570" s="19" t="s">
        <v>677</v>
      </c>
      <c r="Z1570" s="18" t="str">
        <f>A1570 &amp; "-" &amp; VLOOKUP(A1570,[4]PROGRAMMES!$E$1:$F$7,2,FALSE)</f>
        <v>5-Gouvernance et pilotage du secteur</v>
      </c>
      <c r="AA1570" s="19" t="str">
        <f>B1570 &amp; "-" &amp; VLOOKUP(B1570,[4]SOUSPROGRAMMES!$E$1:$F$44,2,FALSE)</f>
        <v xml:space="preserve">53- Systèmes d’information pour la gestion de l'éducation (collecte, analyse, diffusion, et utilisation des informations) </v>
      </c>
      <c r="AB1570" s="19" t="str">
        <f>C1570 &amp; "-" &amp; VLOOKUP(C1570,[4]RESULTATS!$E$1:$F$176,2,FALSE)</f>
        <v>531- La production des données permet d’offrir aux différents acteurs et utilisateurs à tous les niveaux l’information dont ils ont besoin</v>
      </c>
      <c r="AC1570" s="20" t="str">
        <f>D1570 &amp; "-" &amp; VLOOKUP(D1570,[4]STRATEGIES!$E$1:$F$504,2,FALSE)</f>
        <v>5313-Promotion de l’utilisation des données par les acteurs y compris les bénéficiaires concernés (dépliants, réunions d’échange, …)</v>
      </c>
      <c r="AD1570" s="21" t="str">
        <f t="shared" si="231"/>
        <v>531313-Appui à l'utilisation des données par les écoles pour le suivi et monitoring des indicateurs</v>
      </c>
    </row>
    <row r="1571" spans="1:30" s="22" customFormat="1" ht="45" hidden="1" customHeight="1" x14ac:dyDescent="0.8">
      <c r="A1571" s="14">
        <v>5</v>
      </c>
      <c r="B1571" s="15">
        <v>53</v>
      </c>
      <c r="C1571" s="15">
        <v>532</v>
      </c>
      <c r="D1571" s="15">
        <v>532</v>
      </c>
      <c r="E1571" s="15">
        <v>532</v>
      </c>
      <c r="F1571" s="16" t="s">
        <v>2019</v>
      </c>
      <c r="G1571" s="17"/>
      <c r="H1571" s="17"/>
      <c r="I1571" s="33">
        <v>0</v>
      </c>
      <c r="J1571" s="33"/>
      <c r="K1571" s="33"/>
      <c r="L1571" s="33"/>
      <c r="M1571" s="33"/>
      <c r="N1571" s="33"/>
      <c r="O1571" s="33"/>
      <c r="P1571" s="33"/>
      <c r="Q1571" s="33"/>
      <c r="R1571" s="33"/>
      <c r="S1571" s="34"/>
      <c r="T1571" s="33"/>
      <c r="U1571" s="18"/>
      <c r="V1571" s="18"/>
      <c r="W1571" s="18"/>
      <c r="X1571" s="18"/>
      <c r="Y1571" s="18"/>
      <c r="Z1571" s="18" t="str">
        <f>A1571 &amp; "-" &amp; VLOOKUP(A1571,[4]PROGRAMMES!$E$1:$F$7,2,FALSE)</f>
        <v>5-Gouvernance et pilotage du secteur</v>
      </c>
      <c r="AA1571" s="19" t="str">
        <f>B1571 &amp; "-" &amp; VLOOKUP(B1571,[4]SOUSPROGRAMMES!$E$1:$F$44,2,FALSE)</f>
        <v xml:space="preserve">53- Systèmes d’information pour la gestion de l'éducation (collecte, analyse, diffusion, et utilisation des informations) </v>
      </c>
      <c r="AB1571" s="19" t="str">
        <f>C1571 &amp; "-" &amp; VLOOKUP(C1571,[4]RESULTATS!$E$1:$F$176,2,FALSE)</f>
        <v>532- Le Système d'Informations et de Gestion de l'Education est intégré et est utilisé pour la prise de décision</v>
      </c>
      <c r="AC1571" s="20" t="str">
        <f>D1571 &amp; "-" &amp; VLOOKUP(D1571,[4]STRATEGIES!$E$1:$F$504,2,FALSE)</f>
        <v>532- Le Système d'Informations et de Gestion de l'Education est intégré et est utilisé pour la prise de décision</v>
      </c>
      <c r="AD1571" s="21" t="str">
        <f t="shared" si="231"/>
        <v>532- Le Système d'Informations et de Gestion de l'Education est intégré et est utilisé pour la prise de décision</v>
      </c>
    </row>
    <row r="1572" spans="1:30" s="22" customFormat="1" ht="45" hidden="1" customHeight="1" x14ac:dyDescent="0.8">
      <c r="A1572" s="14">
        <v>5</v>
      </c>
      <c r="B1572" s="15">
        <v>53</v>
      </c>
      <c r="C1572" s="15">
        <v>532</v>
      </c>
      <c r="D1572" s="15">
        <v>5321</v>
      </c>
      <c r="E1572" s="15">
        <v>5321</v>
      </c>
      <c r="F1572" s="16" t="s">
        <v>2020</v>
      </c>
      <c r="G1572" s="17"/>
      <c r="H1572" s="17"/>
      <c r="I1572" s="33">
        <v>0</v>
      </c>
      <c r="J1572" s="33"/>
      <c r="K1572" s="33"/>
      <c r="L1572" s="33"/>
      <c r="M1572" s="33"/>
      <c r="N1572" s="33"/>
      <c r="O1572" s="33"/>
      <c r="P1572" s="33"/>
      <c r="Q1572" s="33"/>
      <c r="R1572" s="33"/>
      <c r="S1572" s="34"/>
      <c r="T1572" s="33"/>
      <c r="U1572" s="18"/>
      <c r="V1572" s="18"/>
      <c r="W1572" s="18"/>
      <c r="X1572" s="18"/>
      <c r="Y1572" s="18"/>
      <c r="Z1572" s="18" t="str">
        <f>A1572 &amp; "-" &amp; VLOOKUP(A1572,[4]PROGRAMMES!$E$1:$F$7,2,FALSE)</f>
        <v>5-Gouvernance et pilotage du secteur</v>
      </c>
      <c r="AA1572" s="19" t="str">
        <f>B1572 &amp; "-" &amp; VLOOKUP(B1572,[4]SOUSPROGRAMMES!$E$1:$F$44,2,FALSE)</f>
        <v xml:space="preserve">53- Systèmes d’information pour la gestion de l'éducation (collecte, analyse, diffusion, et utilisation des informations) </v>
      </c>
      <c r="AB1572" s="19" t="str">
        <f>C1572 &amp; "-" &amp; VLOOKUP(C1572,[4]RESULTATS!$E$1:$F$176,2,FALSE)</f>
        <v>532- Le Système d'Informations et de Gestion de l'Education est intégré et est utilisé pour la prise de décision</v>
      </c>
      <c r="AC1572" s="20" t="str">
        <f>D1572 &amp; "-" &amp; VLOOKUP(D1572,[4]STRATEGIES!$E$1:$F$504,2,FALSE)</f>
        <v>5321-Intégration des Systèmes d'Informations et de Gestion de l'Education</v>
      </c>
      <c r="AD1572" s="21" t="str">
        <f t="shared" si="231"/>
        <v>5321-Intégration des Systèmes d'Informations et de Gestion de l'Education</v>
      </c>
    </row>
    <row r="1573" spans="1:30" s="22" customFormat="1" ht="45" hidden="1" customHeight="1" x14ac:dyDescent="0.8">
      <c r="A1573" s="14">
        <v>5</v>
      </c>
      <c r="B1573" s="15">
        <v>53</v>
      </c>
      <c r="C1573" s="15">
        <v>532</v>
      </c>
      <c r="D1573" s="15">
        <v>5321</v>
      </c>
      <c r="E1573" s="15">
        <v>53211</v>
      </c>
      <c r="F1573" s="16" t="s">
        <v>2021</v>
      </c>
      <c r="G1573" s="21" t="s">
        <v>88</v>
      </c>
      <c r="H1573" s="17" t="s">
        <v>55</v>
      </c>
      <c r="I1573" s="33">
        <v>0</v>
      </c>
      <c r="J1573" s="33">
        <v>1</v>
      </c>
      <c r="K1573" s="33">
        <v>0</v>
      </c>
      <c r="L1573" s="33">
        <v>0</v>
      </c>
      <c r="M1573" s="33">
        <f t="shared" ref="M1573:M1584" si="235">SUM(I1573:L1573)</f>
        <v>1</v>
      </c>
      <c r="N1573" s="33">
        <f>IF(OR(H1573="",H1573="sif",H1573="PM"),0,VLOOKUP(H1573,[5]CU!$C$4:$H$255,6,FALSE))</f>
        <v>0</v>
      </c>
      <c r="O1573" s="33">
        <f t="shared" ref="O1573:R1584" si="236">IFERROR($N1573*I1573,0)</f>
        <v>0</v>
      </c>
      <c r="P1573" s="33">
        <f t="shared" si="236"/>
        <v>0</v>
      </c>
      <c r="Q1573" s="33">
        <f t="shared" si="236"/>
        <v>0</v>
      </c>
      <c r="R1573" s="33">
        <f t="shared" si="236"/>
        <v>0</v>
      </c>
      <c r="S1573" s="34"/>
      <c r="T1573" s="35" t="s">
        <v>56</v>
      </c>
      <c r="U1573" s="18" t="s">
        <v>1873</v>
      </c>
      <c r="V1573" s="18" t="str">
        <f>IF(OR($H1573="",$H1573="sif",$H1573="PM"),"",VLOOKUP($H1573,[5]CU!$C$5:$J$255,8,FALSE))</f>
        <v/>
      </c>
      <c r="W1573" s="18" t="s">
        <v>96</v>
      </c>
      <c r="X1573" s="18" t="s">
        <v>96</v>
      </c>
      <c r="Y1573" s="19" t="s">
        <v>32</v>
      </c>
      <c r="Z1573" s="18" t="str">
        <f>A1573 &amp; "-" &amp; VLOOKUP(A1573,[4]PROGRAMMES!$E$1:$F$7,2,FALSE)</f>
        <v>5-Gouvernance et pilotage du secteur</v>
      </c>
      <c r="AA1573" s="19" t="str">
        <f>B1573 &amp; "-" &amp; VLOOKUP(B1573,[4]SOUSPROGRAMMES!$E$1:$F$44,2,FALSE)</f>
        <v xml:space="preserve">53- Systèmes d’information pour la gestion de l'éducation (collecte, analyse, diffusion, et utilisation des informations) </v>
      </c>
      <c r="AB1573" s="19" t="str">
        <f>C1573 &amp; "-" &amp; VLOOKUP(C1573,[4]RESULTATS!$E$1:$F$176,2,FALSE)</f>
        <v>532- Le Système d'Informations et de Gestion de l'Education est intégré et est utilisé pour la prise de décision</v>
      </c>
      <c r="AC1573" s="20" t="str">
        <f>D1573 &amp; "-" &amp; VLOOKUP(D1573,[4]STRATEGIES!$E$1:$F$504,2,FALSE)</f>
        <v>5321-Intégration des Systèmes d'Informations et de Gestion de l'Education</v>
      </c>
      <c r="AD1573" s="21" t="str">
        <f t="shared" si="231"/>
        <v xml:space="preserve">53211-Elaboration des TDR pour l'élaboration du schéma directeur du SIGE </v>
      </c>
    </row>
    <row r="1574" spans="1:30" s="22" customFormat="1" ht="60" hidden="1" customHeight="1" x14ac:dyDescent="0.8">
      <c r="A1574" s="14">
        <v>5</v>
      </c>
      <c r="B1574" s="15">
        <v>53</v>
      </c>
      <c r="C1574" s="15">
        <v>532</v>
      </c>
      <c r="D1574" s="15">
        <v>5321</v>
      </c>
      <c r="E1574" s="15">
        <v>53212</v>
      </c>
      <c r="F1574" s="16" t="s">
        <v>2022</v>
      </c>
      <c r="G1574" s="21" t="s">
        <v>92</v>
      </c>
      <c r="H1574" s="17" t="s">
        <v>55</v>
      </c>
      <c r="I1574" s="33">
        <v>0</v>
      </c>
      <c r="J1574" s="33">
        <v>1</v>
      </c>
      <c r="K1574" s="33">
        <v>1</v>
      </c>
      <c r="L1574" s="33">
        <v>0</v>
      </c>
      <c r="M1574" s="33">
        <f t="shared" si="235"/>
        <v>2</v>
      </c>
      <c r="N1574" s="33">
        <f>IF(OR(H1574="",H1574="sif",H1574="PM"),0,VLOOKUP(H1574,[5]CU!$C$4:$H$255,6,FALSE))</f>
        <v>0</v>
      </c>
      <c r="O1574" s="33">
        <f t="shared" si="236"/>
        <v>0</v>
      </c>
      <c r="P1574" s="33">
        <f t="shared" si="236"/>
        <v>0</v>
      </c>
      <c r="Q1574" s="33">
        <f t="shared" si="236"/>
        <v>0</v>
      </c>
      <c r="R1574" s="33">
        <f t="shared" si="236"/>
        <v>0</v>
      </c>
      <c r="S1574" s="34"/>
      <c r="T1574" s="35" t="s">
        <v>56</v>
      </c>
      <c r="U1574" s="18" t="s">
        <v>1873</v>
      </c>
      <c r="V1574" s="18" t="str">
        <f>IF(OR($H1574="",$H1574="sif",$H1574="PM"),"",VLOOKUP($H1574,[5]CU!$C$5:$J$255,8,FALSE))</f>
        <v/>
      </c>
      <c r="W1574" s="18" t="s">
        <v>96</v>
      </c>
      <c r="X1574" s="18" t="s">
        <v>1976</v>
      </c>
      <c r="Y1574" s="19" t="s">
        <v>32</v>
      </c>
      <c r="Z1574" s="18" t="str">
        <f>A1574 &amp; "-" &amp; VLOOKUP(A1574,[4]PROGRAMMES!$E$1:$F$7,2,FALSE)</f>
        <v>5-Gouvernance et pilotage du secteur</v>
      </c>
      <c r="AA1574" s="19" t="str">
        <f>B1574 &amp; "-" &amp; VLOOKUP(B1574,[4]SOUSPROGRAMMES!$E$1:$F$44,2,FALSE)</f>
        <v xml:space="preserve">53- Systèmes d’information pour la gestion de l'éducation (collecte, analyse, diffusion, et utilisation des informations) </v>
      </c>
      <c r="AB1574" s="19" t="str">
        <f>C1574 &amp; "-" &amp; VLOOKUP(C1574,[4]RESULTATS!$E$1:$F$176,2,FALSE)</f>
        <v>532- Le Système d'Informations et de Gestion de l'Education est intégré et est utilisé pour la prise de décision</v>
      </c>
      <c r="AC1574" s="20" t="str">
        <f>D1574 &amp; "-" &amp; VLOOKUP(D1574,[4]STRATEGIES!$E$1:$F$504,2,FALSE)</f>
        <v>5321-Intégration des Systèmes d'Informations et de Gestion de l'Education</v>
      </c>
      <c r="AD1574" s="21" t="str">
        <f t="shared" si="231"/>
        <v>53212-Appui à l'identification des besoins, élaboration d'un cahier de charges et déFinition d'un schéma directeur pour la collecte numérique (pris en compte par l'assistance technique activité 541212)</v>
      </c>
    </row>
    <row r="1575" spans="1:30" s="22" customFormat="1" ht="45" hidden="1" customHeight="1" x14ac:dyDescent="0.8">
      <c r="A1575" s="14">
        <v>5</v>
      </c>
      <c r="B1575" s="15">
        <v>53</v>
      </c>
      <c r="C1575" s="15">
        <v>532</v>
      </c>
      <c r="D1575" s="15">
        <v>5321</v>
      </c>
      <c r="E1575" s="15">
        <v>53213</v>
      </c>
      <c r="F1575" s="16" t="s">
        <v>2023</v>
      </c>
      <c r="G1575" s="21" t="s">
        <v>298</v>
      </c>
      <c r="H1575" s="17" t="s">
        <v>38</v>
      </c>
      <c r="I1575" s="33">
        <v>0</v>
      </c>
      <c r="J1575" s="33">
        <f>25*1</f>
        <v>25</v>
      </c>
      <c r="K1575" s="33"/>
      <c r="L1575" s="33"/>
      <c r="M1575" s="33">
        <f t="shared" si="235"/>
        <v>25</v>
      </c>
      <c r="N1575" s="33">
        <f>IF(OR(H1575="",H1575="sif",H1575="PM"),0,VLOOKUP(H1575,[5]CU!$C$4:$H$255,6,FALSE))</f>
        <v>0.3133333333333333</v>
      </c>
      <c r="O1575" s="33">
        <f t="shared" si="236"/>
        <v>0</v>
      </c>
      <c r="P1575" s="33">
        <f t="shared" si="236"/>
        <v>7.8333333333333321</v>
      </c>
      <c r="Q1575" s="33">
        <f t="shared" si="236"/>
        <v>0</v>
      </c>
      <c r="R1575" s="33">
        <f t="shared" si="236"/>
        <v>0</v>
      </c>
      <c r="S1575" s="34">
        <f>SUM(O1575:R1575)</f>
        <v>7.8333333333333321</v>
      </c>
      <c r="T1575" s="35" t="s">
        <v>39</v>
      </c>
      <c r="U1575" s="19" t="s">
        <v>1873</v>
      </c>
      <c r="V1575" s="19" t="str">
        <f>IF(OR($H1575="",$H1575="sif",$H1575="PM"),"",VLOOKUP($H1575,[5]CU!$C$5:$J$255,8,FALSE))</f>
        <v>3. Formation</v>
      </c>
      <c r="W1575" s="19" t="s">
        <v>96</v>
      </c>
      <c r="X1575" s="19" t="s">
        <v>1976</v>
      </c>
      <c r="Y1575" s="19" t="s">
        <v>32</v>
      </c>
      <c r="Z1575" s="18" t="str">
        <f>A1575 &amp; "-" &amp; VLOOKUP(A1575,[4]PROGRAMMES!$E$1:$F$7,2,FALSE)</f>
        <v>5-Gouvernance et pilotage du secteur</v>
      </c>
      <c r="AA1575" s="19" t="str">
        <f>B1575 &amp; "-" &amp; VLOOKUP(B1575,[4]SOUSPROGRAMMES!$E$1:$F$44,2,FALSE)</f>
        <v xml:space="preserve">53- Systèmes d’information pour la gestion de l'éducation (collecte, analyse, diffusion, et utilisation des informations) </v>
      </c>
      <c r="AB1575" s="19" t="str">
        <f>C1575 &amp; "-" &amp; VLOOKUP(C1575,[4]RESULTATS!$E$1:$F$176,2,FALSE)</f>
        <v>532- Le Système d'Informations et de Gestion de l'Education est intégré et est utilisé pour la prise de décision</v>
      </c>
      <c r="AC1575" s="20" t="str">
        <f>D1575 &amp; "-" &amp; VLOOKUP(D1575,[4]STRATEGIES!$E$1:$F$504,2,FALSE)</f>
        <v>5321-Intégration des Systèmes d'Informations et de Gestion de l'Education</v>
      </c>
      <c r="AD1575" s="21" t="str">
        <f t="shared" si="231"/>
        <v>53213-Validation du schéma directeur</v>
      </c>
    </row>
    <row r="1576" spans="1:30" s="22" customFormat="1" ht="60" hidden="1" customHeight="1" x14ac:dyDescent="0.8">
      <c r="A1576" s="14">
        <v>5</v>
      </c>
      <c r="B1576" s="15">
        <v>53</v>
      </c>
      <c r="C1576" s="15">
        <v>532</v>
      </c>
      <c r="D1576" s="15">
        <v>5321</v>
      </c>
      <c r="E1576" s="15">
        <v>53214</v>
      </c>
      <c r="F1576" s="16" t="s">
        <v>2024</v>
      </c>
      <c r="G1576" s="21" t="s">
        <v>92</v>
      </c>
      <c r="H1576" s="17" t="s">
        <v>55</v>
      </c>
      <c r="I1576" s="33">
        <v>0</v>
      </c>
      <c r="J1576" s="33"/>
      <c r="K1576" s="33">
        <v>1</v>
      </c>
      <c r="L1576" s="33">
        <v>1</v>
      </c>
      <c r="M1576" s="33">
        <f t="shared" si="235"/>
        <v>2</v>
      </c>
      <c r="N1576" s="33">
        <f>IF(OR(H1576="",H1576="sif",H1576="PM"),0,VLOOKUP(H1576,[5]CU!$C$4:$H$255,6,FALSE))</f>
        <v>0</v>
      </c>
      <c r="O1576" s="33">
        <f t="shared" si="236"/>
        <v>0</v>
      </c>
      <c r="P1576" s="33">
        <f t="shared" si="236"/>
        <v>0</v>
      </c>
      <c r="Q1576" s="33">
        <f t="shared" si="236"/>
        <v>0</v>
      </c>
      <c r="R1576" s="33">
        <f t="shared" si="236"/>
        <v>0</v>
      </c>
      <c r="S1576" s="34"/>
      <c r="T1576" s="35" t="s">
        <v>56</v>
      </c>
      <c r="U1576" s="18" t="s">
        <v>1873</v>
      </c>
      <c r="V1576" s="18" t="str">
        <f>IF(OR($H1576="",$H1576="sif",$H1576="PM"),"",VLOOKUP($H1576,[5]CU!$C$5:$J$255,8,FALSE))</f>
        <v/>
      </c>
      <c r="W1576" s="18" t="s">
        <v>96</v>
      </c>
      <c r="X1576" s="18" t="s">
        <v>96</v>
      </c>
      <c r="Y1576" s="19" t="s">
        <v>32</v>
      </c>
      <c r="Z1576" s="18" t="str">
        <f>A1576 &amp; "-" &amp; VLOOKUP(A1576,[4]PROGRAMMES!$E$1:$F$7,2,FALSE)</f>
        <v>5-Gouvernance et pilotage du secteur</v>
      </c>
      <c r="AA1576" s="19" t="str">
        <f>B1576 &amp; "-" &amp; VLOOKUP(B1576,[4]SOUSPROGRAMMES!$E$1:$F$44,2,FALSE)</f>
        <v xml:space="preserve">53- Systèmes d’information pour la gestion de l'éducation (collecte, analyse, diffusion, et utilisation des informations) </v>
      </c>
      <c r="AB1576" s="19" t="str">
        <f>C1576 &amp; "-" &amp; VLOOKUP(C1576,[4]RESULTATS!$E$1:$F$176,2,FALSE)</f>
        <v>532- Le Système d'Informations et de Gestion de l'Education est intégré et est utilisé pour la prise de décision</v>
      </c>
      <c r="AC1576" s="20" t="str">
        <f>D1576 &amp; "-" &amp; VLOOKUP(D1576,[4]STRATEGIES!$E$1:$F$504,2,FALSE)</f>
        <v>5321-Intégration des Systèmes d'Informations et de Gestion de l'Education</v>
      </c>
      <c r="AD1576" s="21" t="str">
        <f t="shared" si="231"/>
        <v>53214-Mise en œuvre du schéma directeur (analyse de la structure des bases de données, développement de la nouvelle architecture et migration des données vers la nouvelle plateforme) (pris en compte par l'assistance technique activité 541212)</v>
      </c>
    </row>
    <row r="1577" spans="1:30" s="22" customFormat="1" ht="45" hidden="1" customHeight="1" x14ac:dyDescent="0.8">
      <c r="A1577" s="14">
        <v>5</v>
      </c>
      <c r="B1577" s="15">
        <v>53</v>
      </c>
      <c r="C1577" s="15">
        <v>532</v>
      </c>
      <c r="D1577" s="15">
        <v>5321</v>
      </c>
      <c r="E1577" s="15">
        <v>53215</v>
      </c>
      <c r="F1577" s="16" t="s">
        <v>2025</v>
      </c>
      <c r="G1577" s="21" t="s">
        <v>298</v>
      </c>
      <c r="H1577" s="17" t="s">
        <v>66</v>
      </c>
      <c r="I1577" s="33">
        <v>0</v>
      </c>
      <c r="J1577" s="33">
        <f>12*10</f>
        <v>120</v>
      </c>
      <c r="K1577" s="33"/>
      <c r="L1577" s="33"/>
      <c r="M1577" s="33">
        <f t="shared" si="235"/>
        <v>120</v>
      </c>
      <c r="N1577" s="33">
        <f>IF(OR(H1577="",H1577="sif",H1577="PM"),0,VLOOKUP(H1577,[5]CU!$C$4:$H$255,6,FALSE))</f>
        <v>0.255</v>
      </c>
      <c r="O1577" s="33">
        <f t="shared" si="236"/>
        <v>0</v>
      </c>
      <c r="P1577" s="33">
        <f t="shared" si="236"/>
        <v>30.6</v>
      </c>
      <c r="Q1577" s="33">
        <f t="shared" si="236"/>
        <v>0</v>
      </c>
      <c r="R1577" s="33">
        <f t="shared" si="236"/>
        <v>0</v>
      </c>
      <c r="S1577" s="34">
        <f>SUM(O1577:R1577)</f>
        <v>30.6</v>
      </c>
      <c r="T1577" s="35" t="s">
        <v>39</v>
      </c>
      <c r="U1577" s="19" t="s">
        <v>1873</v>
      </c>
      <c r="V1577" s="19" t="str">
        <f>IF(OR($H1577="",$H1577="sif",$H1577="PM"),"",VLOOKUP($H1577,[5]CU!$C$5:$J$255,8,FALSE))</f>
        <v>3. Dépenses de fonctionnement</v>
      </c>
      <c r="W1577" s="19" t="s">
        <v>142</v>
      </c>
      <c r="X1577" s="19" t="s">
        <v>142</v>
      </c>
      <c r="Y1577" s="19" t="s">
        <v>32</v>
      </c>
      <c r="Z1577" s="18" t="str">
        <f>A1577 &amp; "-" &amp; VLOOKUP(A1577,[4]PROGRAMMES!$E$1:$F$7,2,FALSE)</f>
        <v>5-Gouvernance et pilotage du secteur</v>
      </c>
      <c r="AA1577" s="19" t="str">
        <f>B1577 &amp; "-" &amp; VLOOKUP(B1577,[4]SOUSPROGRAMMES!$E$1:$F$44,2,FALSE)</f>
        <v xml:space="preserve">53- Systèmes d’information pour la gestion de l'éducation (collecte, analyse, diffusion, et utilisation des informations) </v>
      </c>
      <c r="AB1577" s="19" t="str">
        <f>C1577 &amp; "-" &amp; VLOOKUP(C1577,[4]RESULTATS!$E$1:$F$176,2,FALSE)</f>
        <v>532- Le Système d'Informations et de Gestion de l'Education est intégré et est utilisé pour la prise de décision</v>
      </c>
      <c r="AC1577" s="20" t="str">
        <f>D1577 &amp; "-" &amp; VLOOKUP(D1577,[4]STRATEGIES!$E$1:$F$504,2,FALSE)</f>
        <v>5321-Intégration des Systèmes d'Informations et de Gestion de l'Education</v>
      </c>
      <c r="AD1577" s="21" t="str">
        <f t="shared" si="231"/>
        <v xml:space="preserve">53215-Identification et correction des incohérences sur les données du BSD et de la GRH </v>
      </c>
    </row>
    <row r="1578" spans="1:30" s="22" customFormat="1" ht="45" hidden="1" customHeight="1" x14ac:dyDescent="0.8">
      <c r="A1578" s="14">
        <v>5</v>
      </c>
      <c r="B1578" s="15">
        <v>53</v>
      </c>
      <c r="C1578" s="15">
        <v>532</v>
      </c>
      <c r="D1578" s="15">
        <v>5321</v>
      </c>
      <c r="E1578" s="15">
        <v>53216</v>
      </c>
      <c r="F1578" s="16" t="s">
        <v>2026</v>
      </c>
      <c r="G1578" s="21" t="s">
        <v>92</v>
      </c>
      <c r="H1578" s="17" t="s">
        <v>55</v>
      </c>
      <c r="I1578" s="33">
        <v>0</v>
      </c>
      <c r="J1578" s="33">
        <v>1</v>
      </c>
      <c r="K1578" s="33"/>
      <c r="L1578" s="33"/>
      <c r="M1578" s="33">
        <f t="shared" si="235"/>
        <v>1</v>
      </c>
      <c r="N1578" s="33">
        <f>IF(OR(H1578="",H1578="sif",H1578="PM"),0,VLOOKUP(H1578,[5]CU!$C$4:$H$255,6,FALSE))</f>
        <v>0</v>
      </c>
      <c r="O1578" s="33">
        <f t="shared" si="236"/>
        <v>0</v>
      </c>
      <c r="P1578" s="33">
        <f t="shared" si="236"/>
        <v>0</v>
      </c>
      <c r="Q1578" s="33">
        <f t="shared" si="236"/>
        <v>0</v>
      </c>
      <c r="R1578" s="33">
        <f t="shared" si="236"/>
        <v>0</v>
      </c>
      <c r="S1578" s="34"/>
      <c r="T1578" s="35" t="s">
        <v>56</v>
      </c>
      <c r="U1578" s="18" t="s">
        <v>1873</v>
      </c>
      <c r="V1578" s="18" t="str">
        <f>IF(OR($H1578="",$H1578="sif",$H1578="PM"),"",VLOOKUP($H1578,[5]CU!$C$5:$J$255,8,FALSE))</f>
        <v/>
      </c>
      <c r="W1578" s="18" t="s">
        <v>142</v>
      </c>
      <c r="X1578" s="18" t="s">
        <v>142</v>
      </c>
      <c r="Y1578" s="19" t="s">
        <v>32</v>
      </c>
      <c r="Z1578" s="18" t="str">
        <f>A1578 &amp; "-" &amp; VLOOKUP(A1578,[4]PROGRAMMES!$E$1:$F$7,2,FALSE)</f>
        <v>5-Gouvernance et pilotage du secteur</v>
      </c>
      <c r="AA1578" s="19" t="str">
        <f>B1578 &amp; "-" &amp; VLOOKUP(B1578,[4]SOUSPROGRAMMES!$E$1:$F$44,2,FALSE)</f>
        <v xml:space="preserve">53- Systèmes d’information pour la gestion de l'éducation (collecte, analyse, diffusion, et utilisation des informations) </v>
      </c>
      <c r="AB1578" s="19" t="str">
        <f>C1578 &amp; "-" &amp; VLOOKUP(C1578,[4]RESULTATS!$E$1:$F$176,2,FALSE)</f>
        <v>532- Le Système d'Informations et de Gestion de l'Education est intégré et est utilisé pour la prise de décision</v>
      </c>
      <c r="AC1578" s="20" t="str">
        <f>D1578 &amp; "-" &amp; VLOOKUP(D1578,[4]STRATEGIES!$E$1:$F$504,2,FALSE)</f>
        <v>5321-Intégration des Systèmes d'Informations et de Gestion de l'Education</v>
      </c>
      <c r="AD1578" s="21" t="str">
        <f t="shared" si="231"/>
        <v>53216-Collecte et intégration des données complémentaires (voir sous-programme GRH)</v>
      </c>
    </row>
    <row r="1579" spans="1:30" s="22" customFormat="1" ht="45" hidden="1" customHeight="1" x14ac:dyDescent="0.8">
      <c r="A1579" s="14">
        <v>5</v>
      </c>
      <c r="B1579" s="15">
        <v>53</v>
      </c>
      <c r="C1579" s="15">
        <v>532</v>
      </c>
      <c r="D1579" s="15">
        <v>5322</v>
      </c>
      <c r="E1579" s="15">
        <v>5322</v>
      </c>
      <c r="F1579" s="16" t="s">
        <v>2027</v>
      </c>
      <c r="G1579" s="17"/>
      <c r="H1579" s="17"/>
      <c r="I1579" s="33">
        <v>0</v>
      </c>
      <c r="J1579" s="33"/>
      <c r="K1579" s="33"/>
      <c r="L1579" s="33"/>
      <c r="M1579" s="33"/>
      <c r="N1579" s="33"/>
      <c r="O1579" s="33"/>
      <c r="P1579" s="33"/>
      <c r="Q1579" s="33"/>
      <c r="R1579" s="33"/>
      <c r="S1579" s="34"/>
      <c r="T1579" s="33"/>
      <c r="U1579" s="18"/>
      <c r="V1579" s="18"/>
      <c r="W1579" s="18"/>
      <c r="X1579" s="18"/>
      <c r="Y1579" s="18"/>
      <c r="Z1579" s="18" t="str">
        <f>A1579 &amp; "-" &amp; VLOOKUP(A1579,[4]PROGRAMMES!$E$1:$F$7,2,FALSE)</f>
        <v>5-Gouvernance et pilotage du secteur</v>
      </c>
      <c r="AA1579" s="19" t="str">
        <f>B1579 &amp; "-" &amp; VLOOKUP(B1579,[4]SOUSPROGRAMMES!$E$1:$F$44,2,FALSE)</f>
        <v xml:space="preserve">53- Systèmes d’information pour la gestion de l'éducation (collecte, analyse, diffusion, et utilisation des informations) </v>
      </c>
      <c r="AB1579" s="19" t="str">
        <f>C1579 &amp; "-" &amp; VLOOKUP(C1579,[4]RESULTATS!$E$1:$F$176,2,FALSE)</f>
        <v>532- Le Système d'Informations et de Gestion de l'Education est intégré et est utilisé pour la prise de décision</v>
      </c>
      <c r="AC1579" s="20" t="str">
        <f>D1579 &amp; "-" &amp; VLOOKUP(D1579,[4]STRATEGIES!$E$1:$F$504,2,FALSE)</f>
        <v>5322-Mise en place et actualisation d’un site web pour chaque Département ministériel</v>
      </c>
      <c r="AD1579" s="21" t="str">
        <f t="shared" si="231"/>
        <v>5322-Mise en place et actualisation d’un site web pour chaque Département ministériel</v>
      </c>
    </row>
    <row r="1580" spans="1:30" s="22" customFormat="1" ht="45" hidden="1" customHeight="1" x14ac:dyDescent="0.8">
      <c r="A1580" s="14">
        <v>5</v>
      </c>
      <c r="B1580" s="15">
        <v>53</v>
      </c>
      <c r="C1580" s="15">
        <v>532</v>
      </c>
      <c r="D1580" s="15">
        <v>5322</v>
      </c>
      <c r="E1580" s="15">
        <v>53221</v>
      </c>
      <c r="F1580" s="16" t="s">
        <v>2028</v>
      </c>
      <c r="G1580" s="21" t="s">
        <v>167</v>
      </c>
      <c r="H1580" s="17" t="s">
        <v>101</v>
      </c>
      <c r="I1580" s="33">
        <v>0</v>
      </c>
      <c r="J1580" s="33">
        <f>1*45</f>
        <v>45</v>
      </c>
      <c r="K1580" s="33">
        <v>0</v>
      </c>
      <c r="L1580" s="33">
        <v>0</v>
      </c>
      <c r="M1580" s="33">
        <f t="shared" si="235"/>
        <v>45</v>
      </c>
      <c r="N1580" s="33">
        <f>IF(OR(H1580="",H1580="sif",H1580="PM"),0,VLOOKUP(H1580,[5]CU!$C$4:$H$255,6,FALSE))</f>
        <v>2.651545</v>
      </c>
      <c r="O1580" s="33">
        <f t="shared" si="236"/>
        <v>0</v>
      </c>
      <c r="P1580" s="33">
        <f t="shared" si="236"/>
        <v>119.319525</v>
      </c>
      <c r="Q1580" s="33">
        <f t="shared" si="236"/>
        <v>0</v>
      </c>
      <c r="R1580" s="33">
        <f t="shared" si="236"/>
        <v>0</v>
      </c>
      <c r="S1580" s="34">
        <f>SUM(O1580:R1580)</f>
        <v>119.319525</v>
      </c>
      <c r="T1580" s="35" t="s">
        <v>39</v>
      </c>
      <c r="U1580" s="19" t="s">
        <v>1873</v>
      </c>
      <c r="V1580" s="19" t="str">
        <f>IF(OR($H1580="",$H1580="sif",$H1580="PM"),"",VLOOKUP($H1580,[5]CU!$C$5:$J$255,8,FALSE))</f>
        <v>3. Dépenses de fonctionnement</v>
      </c>
      <c r="W1580" s="19" t="s">
        <v>2029</v>
      </c>
      <c r="X1580" s="19" t="s">
        <v>2029</v>
      </c>
      <c r="Y1580" s="19" t="s">
        <v>32</v>
      </c>
      <c r="Z1580" s="18" t="str">
        <f>A1580 &amp; "-" &amp; VLOOKUP(A1580,[4]PROGRAMMES!$E$1:$F$7,2,FALSE)</f>
        <v>5-Gouvernance et pilotage du secteur</v>
      </c>
      <c r="AA1580" s="19" t="str">
        <f>B1580 &amp; "-" &amp; VLOOKUP(B1580,[4]SOUSPROGRAMMES!$E$1:$F$44,2,FALSE)</f>
        <v xml:space="preserve">53- Systèmes d’information pour la gestion de l'éducation (collecte, analyse, diffusion, et utilisation des informations) </v>
      </c>
      <c r="AB1580" s="19" t="str">
        <f>C1580 &amp; "-" &amp; VLOOKUP(C1580,[4]RESULTATS!$E$1:$F$176,2,FALSE)</f>
        <v>532- Le Système d'Informations et de Gestion de l'Education est intégré et est utilisé pour la prise de décision</v>
      </c>
      <c r="AC1580" s="20" t="str">
        <f>D1580 &amp; "-" &amp; VLOOKUP(D1580,[4]STRATEGIES!$E$1:$F$504,2,FALSE)</f>
        <v>5322-Mise en place et actualisation d’un site web pour chaque Département ministériel</v>
      </c>
      <c r="AD1580" s="21" t="str">
        <f t="shared" si="231"/>
        <v>53221-Développement d'un site web du MENA</v>
      </c>
    </row>
    <row r="1581" spans="1:30" s="22" customFormat="1" ht="45" hidden="1" customHeight="1" x14ac:dyDescent="0.8">
      <c r="A1581" s="14">
        <v>5</v>
      </c>
      <c r="B1581" s="15">
        <v>53</v>
      </c>
      <c r="C1581" s="15">
        <v>532</v>
      </c>
      <c r="D1581" s="15">
        <v>5322</v>
      </c>
      <c r="E1581" s="15">
        <v>53222</v>
      </c>
      <c r="F1581" s="16" t="s">
        <v>2030</v>
      </c>
      <c r="G1581" s="21" t="s">
        <v>37</v>
      </c>
      <c r="H1581" s="17" t="s">
        <v>38</v>
      </c>
      <c r="I1581" s="33">
        <v>0</v>
      </c>
      <c r="J1581" s="33">
        <f>15*5</f>
        <v>75</v>
      </c>
      <c r="K1581" s="33"/>
      <c r="L1581" s="33">
        <f>1*45</f>
        <v>45</v>
      </c>
      <c r="M1581" s="33">
        <f t="shared" si="235"/>
        <v>120</v>
      </c>
      <c r="N1581" s="33">
        <f>IF(OR(H1581="",H1581="sif",H1581="PM"),0,VLOOKUP(H1581,[5]CU!$C$4:$H$255,6,FALSE))</f>
        <v>0.3133333333333333</v>
      </c>
      <c r="O1581" s="33">
        <f t="shared" si="236"/>
        <v>0</v>
      </c>
      <c r="P1581" s="33">
        <f t="shared" si="236"/>
        <v>23.499999999999996</v>
      </c>
      <c r="Q1581" s="33">
        <f t="shared" si="236"/>
        <v>0</v>
      </c>
      <c r="R1581" s="33">
        <f t="shared" si="236"/>
        <v>14.099999999999998</v>
      </c>
      <c r="S1581" s="34">
        <f>SUM(O1581:R1581)</f>
        <v>37.599999999999994</v>
      </c>
      <c r="T1581" s="35" t="s">
        <v>39</v>
      </c>
      <c r="U1581" s="19" t="s">
        <v>1873</v>
      </c>
      <c r="V1581" s="19" t="str">
        <f>IF(OR($H1581="",$H1581="sif",$H1581="PM"),"",VLOOKUP($H1581,[5]CU!$C$5:$J$255,8,FALSE))</f>
        <v>3. Formation</v>
      </c>
      <c r="W1581" s="19" t="s">
        <v>2029</v>
      </c>
      <c r="X1581" s="19" t="s">
        <v>2029</v>
      </c>
      <c r="Y1581" s="19" t="s">
        <v>32</v>
      </c>
      <c r="Z1581" s="18" t="str">
        <f>A1581 &amp; "-" &amp; VLOOKUP(A1581,[4]PROGRAMMES!$E$1:$F$7,2,FALSE)</f>
        <v>5-Gouvernance et pilotage du secteur</v>
      </c>
      <c r="AA1581" s="19" t="str">
        <f>B1581 &amp; "-" &amp; VLOOKUP(B1581,[4]SOUSPROGRAMMES!$E$1:$F$44,2,FALSE)</f>
        <v xml:space="preserve">53- Systèmes d’information pour la gestion de l'éducation (collecte, analyse, diffusion, et utilisation des informations) </v>
      </c>
      <c r="AB1581" s="19" t="str">
        <f>C1581 &amp; "-" &amp; VLOOKUP(C1581,[4]RESULTATS!$E$1:$F$176,2,FALSE)</f>
        <v>532- Le Système d'Informations et de Gestion de l'Education est intégré et est utilisé pour la prise de décision</v>
      </c>
      <c r="AC1581" s="20" t="str">
        <f>D1581 &amp; "-" &amp; VLOOKUP(D1581,[4]STRATEGIES!$E$1:$F$504,2,FALSE)</f>
        <v>5322-Mise en place et actualisation d’un site web pour chaque Département ministériel</v>
      </c>
      <c r="AD1581" s="21" t="str">
        <f t="shared" si="231"/>
        <v>53222-Formation des cadres du BSD/MENA à l'administration du site web</v>
      </c>
    </row>
    <row r="1582" spans="1:30" s="22" customFormat="1" ht="45" hidden="1" customHeight="1" x14ac:dyDescent="0.8">
      <c r="A1582" s="14">
        <v>5</v>
      </c>
      <c r="B1582" s="15">
        <v>53</v>
      </c>
      <c r="C1582" s="15">
        <v>532</v>
      </c>
      <c r="D1582" s="15">
        <v>5322</v>
      </c>
      <c r="E1582" s="15">
        <v>53223</v>
      </c>
      <c r="F1582" s="16" t="s">
        <v>2031</v>
      </c>
      <c r="G1582" s="21" t="s">
        <v>88</v>
      </c>
      <c r="H1582" s="17" t="s">
        <v>55</v>
      </c>
      <c r="I1582" s="33">
        <v>0</v>
      </c>
      <c r="J1582" s="33">
        <v>1</v>
      </c>
      <c r="K1582" s="33">
        <v>1</v>
      </c>
      <c r="L1582" s="33">
        <v>1</v>
      </c>
      <c r="M1582" s="33">
        <f t="shared" si="235"/>
        <v>3</v>
      </c>
      <c r="N1582" s="33">
        <f>IF(OR(H1582="",H1582="sif",H1582="PM"),0,VLOOKUP(H1582,[5]CU!$C$4:$H$255,6,FALSE))</f>
        <v>0</v>
      </c>
      <c r="O1582" s="33">
        <f t="shared" si="236"/>
        <v>0</v>
      </c>
      <c r="P1582" s="33">
        <f t="shared" si="236"/>
        <v>0</v>
      </c>
      <c r="Q1582" s="33">
        <f t="shared" si="236"/>
        <v>0</v>
      </c>
      <c r="R1582" s="33">
        <f t="shared" si="236"/>
        <v>0</v>
      </c>
      <c r="S1582" s="34"/>
      <c r="T1582" s="35" t="s">
        <v>56</v>
      </c>
      <c r="U1582" s="18" t="s">
        <v>1873</v>
      </c>
      <c r="V1582" s="18" t="str">
        <f>IF(OR($H1582="",$H1582="sif",$H1582="PM"),"",VLOOKUP($H1582,[5]CU!$C$5:$J$255,8,FALSE))</f>
        <v/>
      </c>
      <c r="W1582" s="18" t="s">
        <v>2029</v>
      </c>
      <c r="X1582" s="18" t="s">
        <v>2029</v>
      </c>
      <c r="Y1582" s="19" t="s">
        <v>32</v>
      </c>
      <c r="Z1582" s="18" t="str">
        <f>A1582 &amp; "-" &amp; VLOOKUP(A1582,[4]PROGRAMMES!$E$1:$F$7,2,FALSE)</f>
        <v>5-Gouvernance et pilotage du secteur</v>
      </c>
      <c r="AA1582" s="19" t="str">
        <f>B1582 &amp; "-" &amp; VLOOKUP(B1582,[4]SOUSPROGRAMMES!$E$1:$F$44,2,FALSE)</f>
        <v xml:space="preserve">53- Systèmes d’information pour la gestion de l'éducation (collecte, analyse, diffusion, et utilisation des informations) </v>
      </c>
      <c r="AB1582" s="19" t="str">
        <f>C1582 &amp; "-" &amp; VLOOKUP(C1582,[4]RESULTATS!$E$1:$F$176,2,FALSE)</f>
        <v>532- Le Système d'Informations et de Gestion de l'Education est intégré et est utilisé pour la prise de décision</v>
      </c>
      <c r="AC1582" s="20" t="str">
        <f>D1582 &amp; "-" &amp; VLOOKUP(D1582,[4]STRATEGIES!$E$1:$F$504,2,FALSE)</f>
        <v>5322-Mise en place et actualisation d’un site web pour chaque Département ministériel</v>
      </c>
      <c r="AD1582" s="21" t="str">
        <f t="shared" si="231"/>
        <v>53223-Mise à jour du sites web du MENA</v>
      </c>
    </row>
    <row r="1583" spans="1:30" s="22" customFormat="1" ht="45" hidden="1" customHeight="1" x14ac:dyDescent="0.8">
      <c r="A1583" s="14">
        <v>5</v>
      </c>
      <c r="B1583" s="15">
        <v>53</v>
      </c>
      <c r="C1583" s="15">
        <v>532</v>
      </c>
      <c r="D1583" s="15">
        <v>5322</v>
      </c>
      <c r="E1583" s="15">
        <v>53224</v>
      </c>
      <c r="F1583" s="16" t="s">
        <v>2032</v>
      </c>
      <c r="G1583" s="21" t="s">
        <v>88</v>
      </c>
      <c r="H1583" s="17" t="s">
        <v>55</v>
      </c>
      <c r="I1583" s="33">
        <v>0</v>
      </c>
      <c r="J1583" s="33">
        <v>1</v>
      </c>
      <c r="K1583" s="33">
        <v>1</v>
      </c>
      <c r="L1583" s="33">
        <v>1</v>
      </c>
      <c r="M1583" s="33">
        <f t="shared" si="235"/>
        <v>3</v>
      </c>
      <c r="N1583" s="33">
        <f>IF(OR(H1583="",H1583="sif",H1583="PM"),0,VLOOKUP(H1583,[5]CU!$C$4:$H$255,6,FALSE))</f>
        <v>0</v>
      </c>
      <c r="O1583" s="33">
        <f t="shared" si="236"/>
        <v>0</v>
      </c>
      <c r="P1583" s="33">
        <f t="shared" si="236"/>
        <v>0</v>
      </c>
      <c r="Q1583" s="33">
        <f t="shared" si="236"/>
        <v>0</v>
      </c>
      <c r="R1583" s="33">
        <f t="shared" si="236"/>
        <v>0</v>
      </c>
      <c r="S1583" s="34"/>
      <c r="T1583" s="35" t="s">
        <v>56</v>
      </c>
      <c r="U1583" s="18" t="s">
        <v>1873</v>
      </c>
      <c r="V1583" s="18" t="str">
        <f>IF(OR($H1583="",$H1583="sif",$H1583="PM"),"",VLOOKUP($H1583,[5]CU!$C$5:$J$255,8,FALSE))</f>
        <v/>
      </c>
      <c r="W1583" s="18" t="s">
        <v>2029</v>
      </c>
      <c r="X1583" s="18" t="s">
        <v>2029</v>
      </c>
      <c r="Y1583" s="18" t="s">
        <v>679</v>
      </c>
      <c r="Z1583" s="18" t="str">
        <f>A1583 &amp; "-" &amp; VLOOKUP(A1583,[4]PROGRAMMES!$E$1:$F$7,2,FALSE)</f>
        <v>5-Gouvernance et pilotage du secteur</v>
      </c>
      <c r="AA1583" s="19" t="str">
        <f>B1583 &amp; "-" &amp; VLOOKUP(B1583,[4]SOUSPROGRAMMES!$E$1:$F$44,2,FALSE)</f>
        <v xml:space="preserve">53- Systèmes d’information pour la gestion de l'éducation (collecte, analyse, diffusion, et utilisation des informations) </v>
      </c>
      <c r="AB1583" s="19" t="str">
        <f>C1583 &amp; "-" &amp; VLOOKUP(C1583,[4]RESULTATS!$E$1:$F$176,2,FALSE)</f>
        <v>532- Le Système d'Informations et de Gestion de l'Education est intégré et est utilisé pour la prise de décision</v>
      </c>
      <c r="AC1583" s="20" t="str">
        <f>D1583 &amp; "-" &amp; VLOOKUP(D1583,[4]STRATEGIES!$E$1:$F$504,2,FALSE)</f>
        <v>5322-Mise en place et actualisation d’un site web pour chaque Département ministériel</v>
      </c>
      <c r="AD1583" s="21" t="str">
        <f t="shared" si="231"/>
        <v>53224-Mise à jour du sites web du MESRS</v>
      </c>
    </row>
    <row r="1584" spans="1:30" s="22" customFormat="1" ht="45" hidden="1" customHeight="1" x14ac:dyDescent="0.8">
      <c r="A1584" s="14">
        <v>5</v>
      </c>
      <c r="B1584" s="15">
        <v>53</v>
      </c>
      <c r="C1584" s="15">
        <v>532</v>
      </c>
      <c r="D1584" s="15">
        <v>5322</v>
      </c>
      <c r="E1584" s="15">
        <v>53225</v>
      </c>
      <c r="F1584" s="16" t="s">
        <v>2033</v>
      </c>
      <c r="G1584" s="21" t="s">
        <v>88</v>
      </c>
      <c r="H1584" s="17" t="s">
        <v>55</v>
      </c>
      <c r="I1584" s="33">
        <v>0</v>
      </c>
      <c r="J1584" s="33">
        <v>1</v>
      </c>
      <c r="K1584" s="33">
        <v>1</v>
      </c>
      <c r="L1584" s="33">
        <v>1</v>
      </c>
      <c r="M1584" s="33">
        <f t="shared" si="235"/>
        <v>3</v>
      </c>
      <c r="N1584" s="33">
        <f>IF(OR(H1584="",H1584="sif",H1584="PM"),0,VLOOKUP(H1584,[5]CU!$C$4:$H$255,6,FALSE))</f>
        <v>0</v>
      </c>
      <c r="O1584" s="33">
        <f t="shared" si="236"/>
        <v>0</v>
      </c>
      <c r="P1584" s="33">
        <f t="shared" si="236"/>
        <v>0</v>
      </c>
      <c r="Q1584" s="33">
        <f t="shared" si="236"/>
        <v>0</v>
      </c>
      <c r="R1584" s="33">
        <f t="shared" si="236"/>
        <v>0</v>
      </c>
      <c r="S1584" s="34"/>
      <c r="T1584" s="35" t="s">
        <v>56</v>
      </c>
      <c r="U1584" s="18" t="s">
        <v>1873</v>
      </c>
      <c r="V1584" s="18" t="str">
        <f>IF(OR($H1584="",$H1584="sif",$H1584="PM"),"",VLOOKUP($H1584,[5]CU!$C$5:$J$255,8,FALSE))</f>
        <v/>
      </c>
      <c r="W1584" s="18" t="s">
        <v>2029</v>
      </c>
      <c r="X1584" s="18" t="s">
        <v>2029</v>
      </c>
      <c r="Y1584" s="18" t="s">
        <v>677</v>
      </c>
      <c r="Z1584" s="18" t="str">
        <f>A1584 &amp; "-" &amp; VLOOKUP(A1584,[4]PROGRAMMES!$E$1:$F$7,2,FALSE)</f>
        <v>5-Gouvernance et pilotage du secteur</v>
      </c>
      <c r="AA1584" s="19" t="str">
        <f>B1584 &amp; "-" &amp; VLOOKUP(B1584,[4]SOUSPROGRAMMES!$E$1:$F$44,2,FALSE)</f>
        <v xml:space="preserve">53- Systèmes d’information pour la gestion de l'éducation (collecte, analyse, diffusion, et utilisation des informations) </v>
      </c>
      <c r="AB1584" s="19" t="str">
        <f>C1584 &amp; "-" &amp; VLOOKUP(C1584,[4]RESULTATS!$E$1:$F$176,2,FALSE)</f>
        <v>532- Le Système d'Informations et de Gestion de l'Education est intégré et est utilisé pour la prise de décision</v>
      </c>
      <c r="AC1584" s="20" t="str">
        <f>D1584 &amp; "-" &amp; VLOOKUP(D1584,[4]STRATEGIES!$E$1:$F$504,2,FALSE)</f>
        <v>5322-Mise en place et actualisation d’un site web pour chaque Département ministériel</v>
      </c>
      <c r="AD1584" s="21" t="str">
        <f t="shared" si="231"/>
        <v>53225-Mise à jour du sites web du METFP</v>
      </c>
    </row>
    <row r="1585" spans="1:30" s="22" customFormat="1" ht="60" hidden="1" customHeight="1" x14ac:dyDescent="0.8">
      <c r="A1585" s="14">
        <v>5</v>
      </c>
      <c r="B1585" s="15">
        <v>53</v>
      </c>
      <c r="C1585" s="15">
        <v>532</v>
      </c>
      <c r="D1585" s="15">
        <v>5323</v>
      </c>
      <c r="E1585" s="15">
        <v>5323</v>
      </c>
      <c r="F1585" s="16" t="s">
        <v>2034</v>
      </c>
      <c r="G1585" s="17"/>
      <c r="H1585" s="17"/>
      <c r="I1585" s="33">
        <v>0</v>
      </c>
      <c r="J1585" s="33"/>
      <c r="K1585" s="33"/>
      <c r="L1585" s="33"/>
      <c r="M1585" s="33"/>
      <c r="N1585" s="33"/>
      <c r="O1585" s="33"/>
      <c r="P1585" s="33"/>
      <c r="Q1585" s="33"/>
      <c r="R1585" s="33"/>
      <c r="S1585" s="34"/>
      <c r="T1585" s="33"/>
      <c r="U1585" s="18"/>
      <c r="V1585" s="18"/>
      <c r="W1585" s="18"/>
      <c r="X1585" s="18"/>
      <c r="Y1585" s="18"/>
      <c r="Z1585" s="18" t="str">
        <f>A1585 &amp; "-" &amp; VLOOKUP(A1585,[4]PROGRAMMES!$E$1:$F$7,2,FALSE)</f>
        <v>5-Gouvernance et pilotage du secteur</v>
      </c>
      <c r="AA1585" s="19" t="str">
        <f>B1585 &amp; "-" &amp; VLOOKUP(B1585,[4]SOUSPROGRAMMES!$E$1:$F$44,2,FALSE)</f>
        <v xml:space="preserve">53- Systèmes d’information pour la gestion de l'éducation (collecte, analyse, diffusion, et utilisation des informations) </v>
      </c>
      <c r="AB1585" s="19" t="str">
        <f>C1585 &amp; "-" &amp; VLOOKUP(C1585,[4]RESULTATS!$E$1:$F$176,2,FALSE)</f>
        <v>532- Le Système d'Informations et de Gestion de l'Education est intégré et est utilisé pour la prise de décision</v>
      </c>
      <c r="AC1585" s="20" t="str">
        <f>D1585 &amp; "-" &amp; VLOOKUP(D1585,[4]STRATEGIES!$E$1:$F$504,2,FALSE)</f>
        <v>5323-Renforcement des capacités des structures du secteur de l’éducation aux techniques de production des données, à l’exploitation des bases de données ; et aux techniques d’élaboration d’un rapport d’analyse</v>
      </c>
      <c r="AD1585" s="21" t="str">
        <f t="shared" si="231"/>
        <v>5323-Renforcement des capacités des structures du secteur de l’éducation aux techniques de production des données, à l’exploitation des bases de données ; et aux techniques d’élaboration d’un rapport d’analyse</v>
      </c>
    </row>
    <row r="1586" spans="1:30" s="22" customFormat="1" ht="45" hidden="1" customHeight="1" x14ac:dyDescent="0.8">
      <c r="A1586" s="14">
        <v>5</v>
      </c>
      <c r="B1586" s="15">
        <v>53</v>
      </c>
      <c r="C1586" s="15">
        <v>532</v>
      </c>
      <c r="D1586" s="15">
        <v>5323</v>
      </c>
      <c r="E1586" s="15">
        <v>53231</v>
      </c>
      <c r="F1586" s="16" t="s">
        <v>2035</v>
      </c>
      <c r="G1586" s="21" t="s">
        <v>92</v>
      </c>
      <c r="H1586" s="17" t="s">
        <v>55</v>
      </c>
      <c r="I1586" s="33">
        <v>0</v>
      </c>
      <c r="J1586" s="33"/>
      <c r="K1586" s="33"/>
      <c r="L1586" s="33"/>
      <c r="M1586" s="33"/>
      <c r="N1586" s="33">
        <f>IF(OR(H1586="",H1586="sif",H1586="PM"),0,VLOOKUP(H1586,[5]CU!$C$4:$H$255,6,FALSE))</f>
        <v>0</v>
      </c>
      <c r="O1586" s="33"/>
      <c r="P1586" s="33"/>
      <c r="Q1586" s="33"/>
      <c r="R1586" s="33"/>
      <c r="S1586" s="34"/>
      <c r="T1586" s="35" t="s">
        <v>56</v>
      </c>
      <c r="U1586" s="18" t="s">
        <v>1873</v>
      </c>
      <c r="V1586" s="18" t="str">
        <f>IF(OR($H1586="",$H1586="sif",$H1586="PM"),"",VLOOKUP($H1586,[5]CU!$C$5:$J$255,8,FALSE))</f>
        <v/>
      </c>
      <c r="W1586" s="18" t="s">
        <v>521</v>
      </c>
      <c r="X1586" s="18" t="s">
        <v>521</v>
      </c>
      <c r="Y1586" s="19" t="s">
        <v>32</v>
      </c>
      <c r="Z1586" s="18" t="str">
        <f>A1586 &amp; "-" &amp; VLOOKUP(A1586,[4]PROGRAMMES!$E$1:$F$7,2,FALSE)</f>
        <v>5-Gouvernance et pilotage du secteur</v>
      </c>
      <c r="AA1586" s="19" t="str">
        <f>B1586 &amp; "-" &amp; VLOOKUP(B1586,[4]SOUSPROGRAMMES!$E$1:$F$44,2,FALSE)</f>
        <v xml:space="preserve">53- Systèmes d’information pour la gestion de l'éducation (collecte, analyse, diffusion, et utilisation des informations) </v>
      </c>
      <c r="AB1586" s="19" t="str">
        <f>C1586 &amp; "-" &amp; VLOOKUP(C1586,[4]RESULTATS!$E$1:$F$176,2,FALSE)</f>
        <v>532- Le Système d'Informations et de Gestion de l'Education est intégré et est utilisé pour la prise de décision</v>
      </c>
      <c r="AC1586" s="20" t="str">
        <f>D1586 &amp; "-" &amp; VLOOKUP(D1586,[4]STRATEGIES!$E$1:$F$504,2,FALSE)</f>
        <v>5323-Renforcement des capacités des structures du secteur de l’éducation aux techniques de production des données, à l’exploitation des bases de données ; et aux techniques d’élaboration d’un rapport d’analyse</v>
      </c>
      <c r="AD1586" s="21" t="str">
        <f t="shared" si="231"/>
        <v>53231-Acquisition de matériels roulants pour la collecte des données (voir activité 56226 et 57315)</v>
      </c>
    </row>
    <row r="1587" spans="1:30" s="22" customFormat="1" ht="45" hidden="1" customHeight="1" x14ac:dyDescent="0.8">
      <c r="A1587" s="14">
        <v>5</v>
      </c>
      <c r="B1587" s="15">
        <v>53</v>
      </c>
      <c r="C1587" s="15">
        <v>532</v>
      </c>
      <c r="D1587" s="15">
        <v>5323</v>
      </c>
      <c r="E1587" s="15">
        <v>53232</v>
      </c>
      <c r="F1587" s="16" t="s">
        <v>2036</v>
      </c>
      <c r="G1587" s="21" t="s">
        <v>92</v>
      </c>
      <c r="H1587" s="17" t="s">
        <v>55</v>
      </c>
      <c r="I1587" s="33">
        <v>0</v>
      </c>
      <c r="J1587" s="33"/>
      <c r="K1587" s="33">
        <v>0</v>
      </c>
      <c r="L1587" s="33">
        <v>0</v>
      </c>
      <c r="M1587" s="33">
        <f t="shared" ref="M1587:M1603" si="237">SUM(I1587:L1587)</f>
        <v>0</v>
      </c>
      <c r="N1587" s="33">
        <f>IF(OR(H1587="",H1587="sif",H1587="PM"),0,VLOOKUP(H1587,[5]CU!$C$4:$H$255,6,FALSE))</f>
        <v>0</v>
      </c>
      <c r="O1587" s="33"/>
      <c r="P1587" s="33"/>
      <c r="Q1587" s="33"/>
      <c r="R1587" s="33"/>
      <c r="S1587" s="34"/>
      <c r="T1587" s="35" t="s">
        <v>56</v>
      </c>
      <c r="U1587" s="18" t="s">
        <v>1873</v>
      </c>
      <c r="V1587" s="18" t="str">
        <f>IF(OR($H1587="",$H1587="sif",$H1587="PM"),"",VLOOKUP($H1587,[5]CU!$C$5:$J$255,8,FALSE))</f>
        <v/>
      </c>
      <c r="W1587" s="18" t="s">
        <v>521</v>
      </c>
      <c r="X1587" s="18" t="s">
        <v>521</v>
      </c>
      <c r="Y1587" s="19" t="s">
        <v>32</v>
      </c>
      <c r="Z1587" s="18" t="str">
        <f>A1587 &amp; "-" &amp; VLOOKUP(A1587,[4]PROGRAMMES!$E$1:$F$7,2,FALSE)</f>
        <v>5-Gouvernance et pilotage du secteur</v>
      </c>
      <c r="AA1587" s="19" t="str">
        <f>B1587 &amp; "-" &amp; VLOOKUP(B1587,[4]SOUSPROGRAMMES!$E$1:$F$44,2,FALSE)</f>
        <v xml:space="preserve">53- Systèmes d’information pour la gestion de l'éducation (collecte, analyse, diffusion, et utilisation des informations) </v>
      </c>
      <c r="AB1587" s="19" t="str">
        <f>C1587 &amp; "-" &amp; VLOOKUP(C1587,[4]RESULTATS!$E$1:$F$176,2,FALSE)</f>
        <v>532- Le Système d'Informations et de Gestion de l'Education est intégré et est utilisé pour la prise de décision</v>
      </c>
      <c r="AC1587" s="20" t="str">
        <f>D1587 &amp; "-" &amp; VLOOKUP(D1587,[4]STRATEGIES!$E$1:$F$504,2,FALSE)</f>
        <v>5323-Renforcement des capacités des structures du secteur de l’éducation aux techniques de production des données, à l’exploitation des bases de données ; et aux techniques d’élaboration d’un rapport d’analyse</v>
      </c>
      <c r="AD1587" s="21" t="str">
        <f t="shared" si="231"/>
        <v>53232-Acquisition de matériels roulants pour la supervision de la collecte (voir 57314)</v>
      </c>
    </row>
    <row r="1588" spans="1:30" s="22" customFormat="1" ht="45" hidden="1" customHeight="1" x14ac:dyDescent="0.8">
      <c r="A1588" s="14">
        <v>5</v>
      </c>
      <c r="B1588" s="15">
        <v>53</v>
      </c>
      <c r="C1588" s="15">
        <v>532</v>
      </c>
      <c r="D1588" s="15">
        <v>5323</v>
      </c>
      <c r="E1588" s="15">
        <v>53233</v>
      </c>
      <c r="F1588" s="16" t="s">
        <v>2037</v>
      </c>
      <c r="G1588" s="21" t="s">
        <v>315</v>
      </c>
      <c r="H1588" s="17" t="s">
        <v>301</v>
      </c>
      <c r="I1588" s="33">
        <v>0</v>
      </c>
      <c r="J1588" s="33">
        <f>((92+20)*3)*33.34%</f>
        <v>112.0224</v>
      </c>
      <c r="K1588" s="33">
        <f>((92+20)*3)*33.34%</f>
        <v>112.0224</v>
      </c>
      <c r="L1588" s="33">
        <f>((92+20)*3)*33.34%</f>
        <v>112.0224</v>
      </c>
      <c r="M1588" s="33">
        <f>SUM(I1588:L1588)</f>
        <v>336.06720000000001</v>
      </c>
      <c r="N1588" s="33">
        <f>IF(OR(H1588="",H1588="sif",H1588="PM"),0,VLOOKUP(H1588,[5]CU!$C$4:$H$255,6,FALSE))</f>
        <v>0.67666666666666664</v>
      </c>
      <c r="O1588" s="33">
        <f>IFERROR($N1588*I1588,0)</f>
        <v>0</v>
      </c>
      <c r="P1588" s="33">
        <f>IFERROR($N1588*J1588,0)</f>
        <v>75.801823999999996</v>
      </c>
      <c r="Q1588" s="33">
        <f>IFERROR($N1588*K1588,0)</f>
        <v>75.801823999999996</v>
      </c>
      <c r="R1588" s="33">
        <f>IFERROR($N1588*L1588,0)</f>
        <v>75.801823999999996</v>
      </c>
      <c r="S1588" s="33">
        <f>SUM(O1588:R1588)</f>
        <v>227.40547199999997</v>
      </c>
      <c r="T1588" s="35" t="s">
        <v>39</v>
      </c>
      <c r="U1588" s="19" t="s">
        <v>1873</v>
      </c>
      <c r="V1588" s="19" t="str">
        <f>IF(OR($H1588="",$H1588="sif",$H1588="PM"),"",VLOOKUP($H1588,[5]CU!$C$5:$J$255,8,FALSE))</f>
        <v>3. Formation</v>
      </c>
      <c r="W1588" s="19" t="s">
        <v>96</v>
      </c>
      <c r="X1588" s="19" t="s">
        <v>96</v>
      </c>
      <c r="Y1588" s="19" t="s">
        <v>32</v>
      </c>
      <c r="Z1588" s="18" t="str">
        <f>A1588 &amp; "-" &amp; VLOOKUP(A1588,[4]PROGRAMMES!$E$1:$F$7,2,FALSE)</f>
        <v>5-Gouvernance et pilotage du secteur</v>
      </c>
      <c r="AA1588" s="19" t="str">
        <f>B1588 &amp; "-" &amp; VLOOKUP(B1588,[4]SOUSPROGRAMMES!$E$1:$F$44,2,FALSE)</f>
        <v xml:space="preserve">53- Systèmes d’information pour la gestion de l'éducation (collecte, analyse, diffusion, et utilisation des informations) </v>
      </c>
      <c r="AB1588" s="19" t="str">
        <f>C1588 &amp; "-" &amp; VLOOKUP(C1588,[4]RESULTATS!$E$1:$F$176,2,FALSE)</f>
        <v>532- Le Système d'Informations et de Gestion de l'Education est intégré et est utilisé pour la prise de décision</v>
      </c>
      <c r="AC1588" s="20" t="str">
        <f>D1588 &amp; "-" &amp; VLOOKUP(D1588,[4]STRATEGIES!$E$1:$F$504,2,FALSE)</f>
        <v>5323-Renforcement des capacités des structures du secteur de l’éducation aux techniques de production des données, à l’exploitation des bases de données ; et aux techniques d’élaboration d’un rapport d’analyse</v>
      </c>
      <c r="AD1588" s="21" t="str">
        <f t="shared" si="231"/>
        <v>53233-Organisation de sessions de formation des cadres chargés de la collecte et du traitement des données des structures centrales et déconcentrées</v>
      </c>
    </row>
    <row r="1589" spans="1:30" s="22" customFormat="1" ht="45" hidden="1" customHeight="1" x14ac:dyDescent="0.8">
      <c r="A1589" s="14">
        <v>5</v>
      </c>
      <c r="B1589" s="15">
        <v>53</v>
      </c>
      <c r="C1589" s="15">
        <v>532</v>
      </c>
      <c r="D1589" s="15">
        <v>5323</v>
      </c>
      <c r="E1589" s="15">
        <v>53233</v>
      </c>
      <c r="F1589" s="16" t="s">
        <v>2037</v>
      </c>
      <c r="G1589" s="21" t="s">
        <v>315</v>
      </c>
      <c r="H1589" s="17" t="s">
        <v>301</v>
      </c>
      <c r="I1589" s="33">
        <v>0</v>
      </c>
      <c r="J1589" s="33">
        <f>((92+20)*3)*66.66%</f>
        <v>223.9776</v>
      </c>
      <c r="K1589" s="33">
        <f>((92+20)*3)*66.66%</f>
        <v>223.9776</v>
      </c>
      <c r="L1589" s="33">
        <f>((92+20)*3)*66.66%</f>
        <v>223.9776</v>
      </c>
      <c r="M1589" s="33">
        <f>SUM(I1589:L1589)</f>
        <v>671.93280000000004</v>
      </c>
      <c r="N1589" s="33">
        <f>IF(OR(H1589="",H1589="sif",H1589="PM"),0,VLOOKUP(H1589,[5]CU!$C$4:$H$255,6,FALSE))</f>
        <v>0.67666666666666664</v>
      </c>
      <c r="O1589" s="33">
        <f t="shared" ref="O1589:R1603" si="238">IFERROR($N1589*I1589,0)</f>
        <v>0</v>
      </c>
      <c r="P1589" s="33">
        <f t="shared" si="238"/>
        <v>151.558176</v>
      </c>
      <c r="Q1589" s="33">
        <f t="shared" si="238"/>
        <v>151.558176</v>
      </c>
      <c r="R1589" s="33">
        <f t="shared" si="238"/>
        <v>151.558176</v>
      </c>
      <c r="S1589" s="33">
        <f>SUM(O1589:R1589)</f>
        <v>454.67452800000001</v>
      </c>
      <c r="T1589" s="35" t="s">
        <v>118</v>
      </c>
      <c r="U1589" s="19" t="s">
        <v>1873</v>
      </c>
      <c r="V1589" s="19" t="str">
        <f>IF(OR($H1589="",$H1589="sif",$H1589="PM"),"",VLOOKUP($H1589,[5]CU!$C$5:$J$255,8,FALSE))</f>
        <v>3. Formation</v>
      </c>
      <c r="W1589" s="19" t="s">
        <v>96</v>
      </c>
      <c r="X1589" s="19" t="s">
        <v>96</v>
      </c>
      <c r="Y1589" s="19" t="s">
        <v>32</v>
      </c>
      <c r="Z1589" s="18" t="str">
        <f>A1589 &amp; "-" &amp; VLOOKUP(A1589,[4]PROGRAMMES!$E$1:$F$7,2,FALSE)</f>
        <v>5-Gouvernance et pilotage du secteur</v>
      </c>
      <c r="AA1589" s="19" t="str">
        <f>B1589 &amp; "-" &amp; VLOOKUP(B1589,[4]SOUSPROGRAMMES!$E$1:$F$44,2,FALSE)</f>
        <v xml:space="preserve">53- Systèmes d’information pour la gestion de l'éducation (collecte, analyse, diffusion, et utilisation des informations) </v>
      </c>
      <c r="AB1589" s="19" t="str">
        <f>C1589 &amp; "-" &amp; VLOOKUP(C1589,[4]RESULTATS!$E$1:$F$176,2,FALSE)</f>
        <v>532- Le Système d'Informations et de Gestion de l'Education est intégré et est utilisé pour la prise de décision</v>
      </c>
      <c r="AC1589" s="20" t="str">
        <f>D1589 &amp; "-" &amp; VLOOKUP(D1589,[4]STRATEGIES!$E$1:$F$504,2,FALSE)</f>
        <v>5323-Renforcement des capacités des structures du secteur de l’éducation aux techniques de production des données, à l’exploitation des bases de données ; et aux techniques d’élaboration d’un rapport d’analyse</v>
      </c>
      <c r="AD1589" s="21" t="str">
        <f t="shared" si="231"/>
        <v>53233-Organisation de sessions de formation des cadres chargés de la collecte et du traitement des données des structures centrales et déconcentrées</v>
      </c>
    </row>
    <row r="1590" spans="1:30" s="22" customFormat="1" ht="45" hidden="1" customHeight="1" x14ac:dyDescent="0.8">
      <c r="A1590" s="14">
        <v>5</v>
      </c>
      <c r="B1590" s="15">
        <v>53</v>
      </c>
      <c r="C1590" s="15">
        <v>532</v>
      </c>
      <c r="D1590" s="15">
        <v>5323</v>
      </c>
      <c r="E1590" s="15">
        <v>53234</v>
      </c>
      <c r="F1590" s="16" t="s">
        <v>2038</v>
      </c>
      <c r="G1590" s="21" t="s">
        <v>1239</v>
      </c>
      <c r="H1590" s="17" t="s">
        <v>970</v>
      </c>
      <c r="I1590" s="33">
        <v>0</v>
      </c>
      <c r="J1590" s="33">
        <f>270/3</f>
        <v>90</v>
      </c>
      <c r="K1590" s="33"/>
      <c r="L1590" s="33"/>
      <c r="M1590" s="33">
        <f>SUM(I1590:L1590)</f>
        <v>90</v>
      </c>
      <c r="N1590" s="33">
        <f>IF(OR(H1590="",H1590="sif",H1590="PM"),0,VLOOKUP(H1590,[5]CU!$C$4:$H$255,6,FALSE))</f>
        <v>10.034934666666667</v>
      </c>
      <c r="O1590" s="33">
        <f t="shared" si="238"/>
        <v>0</v>
      </c>
      <c r="P1590" s="33">
        <f t="shared" si="238"/>
        <v>903.14412000000004</v>
      </c>
      <c r="Q1590" s="33">
        <f t="shared" si="238"/>
        <v>0</v>
      </c>
      <c r="R1590" s="33">
        <f t="shared" si="238"/>
        <v>0</v>
      </c>
      <c r="S1590" s="33">
        <f>SUM(O1590:R1590)</f>
        <v>903.14412000000004</v>
      </c>
      <c r="T1590" s="35" t="s">
        <v>39</v>
      </c>
      <c r="U1590" s="19" t="s">
        <v>1873</v>
      </c>
      <c r="V1590" s="19" t="str">
        <f>IF(OR($H1590="",$H1590="sif",$H1590="PM"),"",VLOOKUP($H1590,[5]CU!$C$5:$J$255,8,FALSE))</f>
        <v>5. Investissement</v>
      </c>
      <c r="W1590" s="19" t="s">
        <v>521</v>
      </c>
      <c r="X1590" s="19" t="s">
        <v>521</v>
      </c>
      <c r="Y1590" s="19" t="s">
        <v>32</v>
      </c>
      <c r="Z1590" s="18" t="str">
        <f>A1590 &amp; "-" &amp; VLOOKUP(A1590,[4]PROGRAMMES!$E$1:$F$7,2,FALSE)</f>
        <v>5-Gouvernance et pilotage du secteur</v>
      </c>
      <c r="AA1590" s="19" t="str">
        <f>B1590 &amp; "-" &amp; VLOOKUP(B1590,[4]SOUSPROGRAMMES!$E$1:$F$44,2,FALSE)</f>
        <v xml:space="preserve">53- Systèmes d’information pour la gestion de l'éducation (collecte, analyse, diffusion, et utilisation des informations) </v>
      </c>
      <c r="AB1590" s="19" t="str">
        <f>C1590 &amp; "-" &amp; VLOOKUP(C1590,[4]RESULTATS!$E$1:$F$176,2,FALSE)</f>
        <v>532- Le Système d'Informations et de Gestion de l'Education est intégré et est utilisé pour la prise de décision</v>
      </c>
      <c r="AC1590" s="20" t="str">
        <f>D1590 &amp; "-" &amp; VLOOKUP(D1590,[4]STRATEGIES!$E$1:$F$504,2,FALSE)</f>
        <v>5323-Renforcement des capacités des structures du secteur de l’éducation aux techniques de production des données, à l’exploitation des bases de données ; et aux techniques d’élaboration d’un rapport d’analyse</v>
      </c>
      <c r="AD1590" s="21" t="str">
        <f t="shared" si="231"/>
        <v>53234-Acquisition de matériels informatiques et accessoires (ordinateurs fixes)</v>
      </c>
    </row>
    <row r="1591" spans="1:30" ht="45" hidden="1" customHeight="1" x14ac:dyDescent="0.8">
      <c r="A1591" s="25">
        <v>5</v>
      </c>
      <c r="B1591" s="16">
        <v>53</v>
      </c>
      <c r="C1591" s="16">
        <v>532</v>
      </c>
      <c r="D1591" s="16">
        <v>5323</v>
      </c>
      <c r="E1591" s="16">
        <v>53234</v>
      </c>
      <c r="F1591" s="16" t="s">
        <v>2038</v>
      </c>
      <c r="G1591" s="21" t="s">
        <v>1239</v>
      </c>
      <c r="H1591" s="21" t="s">
        <v>970</v>
      </c>
      <c r="I1591" s="36">
        <v>0</v>
      </c>
      <c r="J1591" s="36">
        <v>50</v>
      </c>
      <c r="K1591" s="36"/>
      <c r="L1591" s="36"/>
      <c r="M1591" s="36">
        <f>SUM(I1591:L1591)</f>
        <v>50</v>
      </c>
      <c r="N1591" s="36">
        <f>IF(OR(H1591="",H1591="sif",H1591="PM"),0,VLOOKUP(H1591,[5]CU!$C$4:$H$255,6,FALSE))</f>
        <v>10.034934666666667</v>
      </c>
      <c r="O1591" s="36">
        <f t="shared" si="238"/>
        <v>0</v>
      </c>
      <c r="P1591" s="36">
        <f t="shared" si="238"/>
        <v>501.74673333333334</v>
      </c>
      <c r="Q1591" s="36">
        <f t="shared" si="238"/>
        <v>0</v>
      </c>
      <c r="R1591" s="36">
        <f t="shared" si="238"/>
        <v>0</v>
      </c>
      <c r="S1591" s="36">
        <f>SUM(O1591:R1591)</f>
        <v>501.74673333333334</v>
      </c>
      <c r="T1591" s="38" t="s">
        <v>56</v>
      </c>
      <c r="U1591" s="19" t="s">
        <v>1873</v>
      </c>
      <c r="V1591" s="19" t="str">
        <f>IF(OR($H1591="",$H1591="sif",$H1591="PM"),"",VLOOKUP($H1591,[5]CU!$C$5:$J$255,8,FALSE))</f>
        <v>5. Investissement</v>
      </c>
      <c r="W1591" s="19" t="s">
        <v>521</v>
      </c>
      <c r="X1591" s="19" t="s">
        <v>521</v>
      </c>
      <c r="Y1591" s="19" t="s">
        <v>32</v>
      </c>
      <c r="Z1591" s="19" t="str">
        <f>A1591 &amp; "-" &amp; VLOOKUP(A1591,[4]PROGRAMMES!$E$1:$F$7,2,FALSE)</f>
        <v>5-Gouvernance et pilotage du secteur</v>
      </c>
      <c r="AA1591" s="19" t="str">
        <f>B1591 &amp; "-" &amp; VLOOKUP(B1591,[4]SOUSPROGRAMMES!$E$1:$F$44,2,FALSE)</f>
        <v xml:space="preserve">53- Systèmes d’information pour la gestion de l'éducation (collecte, analyse, diffusion, et utilisation des informations) </v>
      </c>
      <c r="AB1591" s="19" t="str">
        <f>C1591 &amp; "-" &amp; VLOOKUP(C1591,[4]RESULTATS!$E$1:$F$176,2,FALSE)</f>
        <v>532- Le Système d'Informations et de Gestion de l'Education est intégré et est utilisé pour la prise de décision</v>
      </c>
      <c r="AC1591" s="20" t="str">
        <f>D1591 &amp; "-" &amp; VLOOKUP(D1591,[4]STRATEGIES!$E$1:$F$504,2,FALSE)</f>
        <v>5323-Renforcement des capacités des structures du secteur de l’éducation aux techniques de production des données, à l’exploitation des bases de données ; et aux techniques d’élaboration d’un rapport d’analyse</v>
      </c>
      <c r="AD1591" s="21" t="str">
        <f t="shared" si="231"/>
        <v>53234-Acquisition de matériels informatiques et accessoires (ordinateurs fixes)</v>
      </c>
    </row>
    <row r="1592" spans="1:30" s="22" customFormat="1" ht="45" hidden="1" customHeight="1" x14ac:dyDescent="0.8">
      <c r="A1592" s="14">
        <v>5</v>
      </c>
      <c r="B1592" s="15">
        <v>53</v>
      </c>
      <c r="C1592" s="15">
        <v>532</v>
      </c>
      <c r="D1592" s="15">
        <v>5323</v>
      </c>
      <c r="E1592" s="15">
        <v>53235</v>
      </c>
      <c r="F1592" s="16" t="s">
        <v>2039</v>
      </c>
      <c r="G1592" s="21" t="s">
        <v>1239</v>
      </c>
      <c r="H1592" s="17" t="s">
        <v>974</v>
      </c>
      <c r="I1592" s="33">
        <v>0</v>
      </c>
      <c r="J1592" s="33">
        <f>366/3</f>
        <v>122</v>
      </c>
      <c r="K1592" s="33"/>
      <c r="L1592" s="33"/>
      <c r="M1592" s="33">
        <f>SUM(I1592:L1592)</f>
        <v>122</v>
      </c>
      <c r="N1592" s="33">
        <f>IF(OR(H1592="",H1592="sif",H1592="PM"),0,VLOOKUP(H1592,[5]CU!$C$4:$H$255,6,FALSE))</f>
        <v>6.333333333333333</v>
      </c>
      <c r="O1592" s="33">
        <f t="shared" si="238"/>
        <v>0</v>
      </c>
      <c r="P1592" s="33">
        <f t="shared" si="238"/>
        <v>772.66666666666663</v>
      </c>
      <c r="Q1592" s="33">
        <f t="shared" si="238"/>
        <v>0</v>
      </c>
      <c r="R1592" s="33">
        <f t="shared" si="238"/>
        <v>0</v>
      </c>
      <c r="S1592" s="33">
        <f>SUM(O1592:R1592)</f>
        <v>772.66666666666663</v>
      </c>
      <c r="T1592" s="35" t="s">
        <v>39</v>
      </c>
      <c r="U1592" s="19" t="s">
        <v>1873</v>
      </c>
      <c r="V1592" s="19" t="str">
        <f>IF(OR($H1592="",$H1592="sif",$H1592="PM"),"",VLOOKUP($H1592,[5]CU!$C$5:$J$255,8,FALSE))</f>
        <v>5. Investissement</v>
      </c>
      <c r="W1592" s="19" t="s">
        <v>521</v>
      </c>
      <c r="X1592" s="19" t="s">
        <v>521</v>
      </c>
      <c r="Y1592" s="19" t="s">
        <v>32</v>
      </c>
      <c r="Z1592" s="18" t="str">
        <f>A1592 &amp; "-" &amp; VLOOKUP(A1592,[4]PROGRAMMES!$E$1:$F$7,2,FALSE)</f>
        <v>5-Gouvernance et pilotage du secteur</v>
      </c>
      <c r="AA1592" s="19" t="str">
        <f>B1592 &amp; "-" &amp; VLOOKUP(B1592,[4]SOUSPROGRAMMES!$E$1:$F$44,2,FALSE)</f>
        <v xml:space="preserve">53- Systèmes d’information pour la gestion de l'éducation (collecte, analyse, diffusion, et utilisation des informations) </v>
      </c>
      <c r="AB1592" s="19" t="str">
        <f>C1592 &amp; "-" &amp; VLOOKUP(C1592,[4]RESULTATS!$E$1:$F$176,2,FALSE)</f>
        <v>532- Le Système d'Informations et de Gestion de l'Education est intégré et est utilisé pour la prise de décision</v>
      </c>
      <c r="AC1592" s="20" t="str">
        <f>D1592 &amp; "-" &amp; VLOOKUP(D1592,[4]STRATEGIES!$E$1:$F$504,2,FALSE)</f>
        <v>5323-Renforcement des capacités des structures du secteur de l’éducation aux techniques de production des données, à l’exploitation des bases de données ; et aux techniques d’élaboration d’un rapport d’analyse</v>
      </c>
      <c r="AD1592" s="21" t="str">
        <f t="shared" si="231"/>
        <v>53235-Acquisition de matériels informatiques et accessoires (ordinateurs portables)</v>
      </c>
    </row>
    <row r="1593" spans="1:30" ht="45" hidden="1" customHeight="1" x14ac:dyDescent="0.8">
      <c r="A1593" s="25">
        <v>5</v>
      </c>
      <c r="B1593" s="16">
        <v>53</v>
      </c>
      <c r="C1593" s="16">
        <v>532</v>
      </c>
      <c r="D1593" s="16">
        <v>5323</v>
      </c>
      <c r="E1593" s="16">
        <v>53235</v>
      </c>
      <c r="F1593" s="16" t="s">
        <v>2039</v>
      </c>
      <c r="G1593" s="21" t="s">
        <v>1239</v>
      </c>
      <c r="H1593" s="21" t="s">
        <v>974</v>
      </c>
      <c r="I1593" s="36">
        <v>0</v>
      </c>
      <c r="J1593" s="36">
        <v>50</v>
      </c>
      <c r="K1593" s="36"/>
      <c r="L1593" s="36"/>
      <c r="M1593" s="36">
        <f t="shared" si="237"/>
        <v>50</v>
      </c>
      <c r="N1593" s="36">
        <f>IF(OR(H1593="",H1593="sif",H1593="PM"),0,VLOOKUP(H1593,[5]CU!$C$4:$H$255,6,FALSE))</f>
        <v>6.333333333333333</v>
      </c>
      <c r="O1593" s="36">
        <f t="shared" si="238"/>
        <v>0</v>
      </c>
      <c r="P1593" s="36">
        <f t="shared" si="238"/>
        <v>316.66666666666663</v>
      </c>
      <c r="Q1593" s="36">
        <f t="shared" si="238"/>
        <v>0</v>
      </c>
      <c r="R1593" s="36">
        <f t="shared" si="238"/>
        <v>0</v>
      </c>
      <c r="S1593" s="36">
        <f t="shared" ref="S1593:S1602" si="239">SUM(O1593:R1593)</f>
        <v>316.66666666666663</v>
      </c>
      <c r="T1593" s="38" t="s">
        <v>169</v>
      </c>
      <c r="U1593" s="19" t="s">
        <v>1873</v>
      </c>
      <c r="V1593" s="19" t="str">
        <f>IF(OR($H1593="",$H1593="sif",$H1593="PM"),"",VLOOKUP($H1593,[5]CU!$C$5:$J$255,8,FALSE))</f>
        <v>5. Investissement</v>
      </c>
      <c r="W1593" s="19" t="s">
        <v>521</v>
      </c>
      <c r="X1593" s="19" t="s">
        <v>521</v>
      </c>
      <c r="Y1593" s="19" t="s">
        <v>32</v>
      </c>
      <c r="Z1593" s="19" t="str">
        <f>A1593 &amp; "-" &amp; VLOOKUP(A1593,[4]PROGRAMMES!$E$1:$F$7,2,FALSE)</f>
        <v>5-Gouvernance et pilotage du secteur</v>
      </c>
      <c r="AA1593" s="19" t="str">
        <f>B1593 &amp; "-" &amp; VLOOKUP(B1593,[4]SOUSPROGRAMMES!$E$1:$F$44,2,FALSE)</f>
        <v xml:space="preserve">53- Systèmes d’information pour la gestion de l'éducation (collecte, analyse, diffusion, et utilisation des informations) </v>
      </c>
      <c r="AB1593" s="19" t="str">
        <f>C1593 &amp; "-" &amp; VLOOKUP(C1593,[4]RESULTATS!$E$1:$F$176,2,FALSE)</f>
        <v>532- Le Système d'Informations et de Gestion de l'Education est intégré et est utilisé pour la prise de décision</v>
      </c>
      <c r="AC1593" s="20" t="str">
        <f>D1593 &amp; "-" &amp; VLOOKUP(D1593,[4]STRATEGIES!$E$1:$F$504,2,FALSE)</f>
        <v>5323-Renforcement des capacités des structures du secteur de l’éducation aux techniques de production des données, à l’exploitation des bases de données ; et aux techniques d’élaboration d’un rapport d’analyse</v>
      </c>
      <c r="AD1593" s="21" t="str">
        <f t="shared" si="231"/>
        <v>53235-Acquisition de matériels informatiques et accessoires (ordinateurs portables)</v>
      </c>
    </row>
    <row r="1594" spans="1:30" s="22" customFormat="1" ht="45" hidden="1" customHeight="1" x14ac:dyDescent="0.8">
      <c r="A1594" s="14">
        <v>5</v>
      </c>
      <c r="B1594" s="15">
        <v>53</v>
      </c>
      <c r="C1594" s="15">
        <v>532</v>
      </c>
      <c r="D1594" s="15">
        <v>5323</v>
      </c>
      <c r="E1594" s="15">
        <v>53236</v>
      </c>
      <c r="F1594" s="16" t="s">
        <v>2040</v>
      </c>
      <c r="G1594" s="21" t="s">
        <v>315</v>
      </c>
      <c r="H1594" s="17" t="s">
        <v>301</v>
      </c>
      <c r="I1594" s="33">
        <v>0</v>
      </c>
      <c r="J1594" s="33"/>
      <c r="K1594" s="33">
        <f>20*6*1</f>
        <v>120</v>
      </c>
      <c r="L1594" s="33"/>
      <c r="M1594" s="33">
        <f t="shared" si="237"/>
        <v>120</v>
      </c>
      <c r="N1594" s="33">
        <f>IF(OR(H1594="",H1594="sif",H1594="PM"),0,VLOOKUP(H1594,[5]CU!$C$4:$H$255,6,FALSE))</f>
        <v>0.67666666666666664</v>
      </c>
      <c r="O1594" s="33">
        <f t="shared" si="238"/>
        <v>0</v>
      </c>
      <c r="P1594" s="33">
        <f t="shared" si="238"/>
        <v>0</v>
      </c>
      <c r="Q1594" s="33">
        <f t="shared" si="238"/>
        <v>81.2</v>
      </c>
      <c r="R1594" s="33">
        <f t="shared" si="238"/>
        <v>0</v>
      </c>
      <c r="S1594" s="33">
        <f t="shared" si="239"/>
        <v>81.2</v>
      </c>
      <c r="T1594" s="35" t="s">
        <v>39</v>
      </c>
      <c r="U1594" s="19" t="s">
        <v>1873</v>
      </c>
      <c r="V1594" s="19" t="str">
        <f>IF(OR($H1594="",$H1594="sif",$H1594="PM"),"",VLOOKUP($H1594,[5]CU!$C$5:$J$255,8,FALSE))</f>
        <v>3. Formation</v>
      </c>
      <c r="W1594" s="19" t="s">
        <v>96</v>
      </c>
      <c r="X1594" s="19" t="s">
        <v>2041</v>
      </c>
      <c r="Y1594" s="19" t="s">
        <v>32</v>
      </c>
      <c r="Z1594" s="18" t="str">
        <f>A1594 &amp; "-" &amp; VLOOKUP(A1594,[4]PROGRAMMES!$E$1:$F$7,2,FALSE)</f>
        <v>5-Gouvernance et pilotage du secteur</v>
      </c>
      <c r="AA1594" s="19" t="str">
        <f>B1594 &amp; "-" &amp; VLOOKUP(B1594,[4]SOUSPROGRAMMES!$E$1:$F$44,2,FALSE)</f>
        <v xml:space="preserve">53- Systèmes d’information pour la gestion de l'éducation (collecte, analyse, diffusion, et utilisation des informations) </v>
      </c>
      <c r="AB1594" s="19" t="str">
        <f>C1594 &amp; "-" &amp; VLOOKUP(C1594,[4]RESULTATS!$E$1:$F$176,2,FALSE)</f>
        <v>532- Le Système d'Informations et de Gestion de l'Education est intégré et est utilisé pour la prise de décision</v>
      </c>
      <c r="AC1594" s="20" t="str">
        <f>D1594 &amp; "-" &amp; VLOOKUP(D1594,[4]STRATEGIES!$E$1:$F$504,2,FALSE)</f>
        <v>5323-Renforcement des capacités des structures du secteur de l’éducation aux techniques de production des données, à l’exploitation des bases de données ; et aux techniques d’élaboration d’un rapport d’analyse</v>
      </c>
      <c r="AD1594" s="21" t="str">
        <f t="shared" si="231"/>
        <v xml:space="preserve">53236-Formation des formateurs à l'exploitation des données intégrées (gestionnaires des ressources humaines et cadres du BSD) </v>
      </c>
    </row>
    <row r="1595" spans="1:30" s="22" customFormat="1" ht="45" hidden="1" customHeight="1" x14ac:dyDescent="0.8">
      <c r="A1595" s="14">
        <v>5</v>
      </c>
      <c r="B1595" s="15">
        <v>53</v>
      </c>
      <c r="C1595" s="15">
        <v>532</v>
      </c>
      <c r="D1595" s="15">
        <v>5323</v>
      </c>
      <c r="E1595" s="15">
        <v>53237</v>
      </c>
      <c r="F1595" s="16" t="s">
        <v>2042</v>
      </c>
      <c r="G1595" s="21" t="s">
        <v>315</v>
      </c>
      <c r="H1595" s="17" t="s">
        <v>301</v>
      </c>
      <c r="I1595" s="33">
        <v>0</v>
      </c>
      <c r="J1595" s="33"/>
      <c r="K1595" s="33"/>
      <c r="L1595" s="33">
        <f>25*5*8</f>
        <v>1000</v>
      </c>
      <c r="M1595" s="33">
        <f t="shared" si="237"/>
        <v>1000</v>
      </c>
      <c r="N1595" s="33">
        <f>IF(OR(H1595="",H1595="sif",H1595="PM"),0,VLOOKUP(H1595,[5]CU!$C$4:$H$255,6,FALSE))</f>
        <v>0.67666666666666664</v>
      </c>
      <c r="O1595" s="33">
        <f t="shared" si="238"/>
        <v>0</v>
      </c>
      <c r="P1595" s="33">
        <f t="shared" si="238"/>
        <v>0</v>
      </c>
      <c r="Q1595" s="33">
        <f t="shared" si="238"/>
        <v>0</v>
      </c>
      <c r="R1595" s="33">
        <f t="shared" si="238"/>
        <v>676.66666666666663</v>
      </c>
      <c r="S1595" s="33">
        <f t="shared" si="239"/>
        <v>676.66666666666663</v>
      </c>
      <c r="T1595" s="35" t="s">
        <v>39</v>
      </c>
      <c r="U1595" s="19" t="s">
        <v>1873</v>
      </c>
      <c r="V1595" s="19" t="str">
        <f>IF(OR($H1595="",$H1595="sif",$H1595="PM"),"",VLOOKUP($H1595,[5]CU!$C$5:$J$255,8,FALSE))</f>
        <v>3. Formation</v>
      </c>
      <c r="W1595" s="19" t="s">
        <v>96</v>
      </c>
      <c r="X1595" s="19" t="s">
        <v>2041</v>
      </c>
      <c r="Y1595" s="19" t="s">
        <v>32</v>
      </c>
      <c r="Z1595" s="18" t="str">
        <f>A1595 &amp; "-" &amp; VLOOKUP(A1595,[4]PROGRAMMES!$E$1:$F$7,2,FALSE)</f>
        <v>5-Gouvernance et pilotage du secteur</v>
      </c>
      <c r="AA1595" s="19" t="str">
        <f>B1595 &amp; "-" &amp; VLOOKUP(B1595,[4]SOUSPROGRAMMES!$E$1:$F$44,2,FALSE)</f>
        <v xml:space="preserve">53- Systèmes d’information pour la gestion de l'éducation (collecte, analyse, diffusion, et utilisation des informations) </v>
      </c>
      <c r="AB1595" s="19" t="str">
        <f>C1595 &amp; "-" &amp; VLOOKUP(C1595,[4]RESULTATS!$E$1:$F$176,2,FALSE)</f>
        <v>532- Le Système d'Informations et de Gestion de l'Education est intégré et est utilisé pour la prise de décision</v>
      </c>
      <c r="AC1595" s="20" t="str">
        <f>D1595 &amp; "-" &amp; VLOOKUP(D1595,[4]STRATEGIES!$E$1:$F$504,2,FALSE)</f>
        <v>5323-Renforcement des capacités des structures du secteur de l’éducation aux techniques de production des données, à l’exploitation des bases de données ; et aux techniques d’élaboration d’un rapport d’analyse</v>
      </c>
      <c r="AD1595" s="21" t="str">
        <f t="shared" si="231"/>
        <v>53237-Formation des gestionnaires des ressources humaines et des cadres du BSD à l'exploitation des données intégrées (IRE et DPE/DCE)</v>
      </c>
    </row>
    <row r="1596" spans="1:30" s="22" customFormat="1" ht="75" hidden="1" customHeight="1" x14ac:dyDescent="0.8">
      <c r="A1596" s="14">
        <v>5</v>
      </c>
      <c r="B1596" s="15">
        <v>53</v>
      </c>
      <c r="C1596" s="15">
        <v>533</v>
      </c>
      <c r="D1596" s="15">
        <v>533</v>
      </c>
      <c r="E1596" s="15">
        <v>533</v>
      </c>
      <c r="F1596" s="16" t="s">
        <v>2043</v>
      </c>
      <c r="G1596" s="17"/>
      <c r="H1596" s="17"/>
      <c r="I1596" s="33">
        <v>0</v>
      </c>
      <c r="J1596" s="33"/>
      <c r="K1596" s="33"/>
      <c r="L1596" s="33"/>
      <c r="M1596" s="33"/>
      <c r="N1596" s="33"/>
      <c r="O1596" s="33"/>
      <c r="P1596" s="33"/>
      <c r="Q1596" s="33"/>
      <c r="R1596" s="33"/>
      <c r="S1596" s="33"/>
      <c r="T1596" s="33"/>
      <c r="U1596" s="18"/>
      <c r="V1596" s="18"/>
      <c r="W1596" s="18"/>
      <c r="X1596" s="18"/>
      <c r="Y1596" s="18"/>
      <c r="Z1596" s="18" t="str">
        <f>A1596 &amp; "-" &amp; VLOOKUP(A1596,[4]PROGRAMMES!$E$1:$F$7,2,FALSE)</f>
        <v>5-Gouvernance et pilotage du secteur</v>
      </c>
      <c r="AA1596" s="19" t="str">
        <f>B1596 &amp; "-" &amp; VLOOKUP(B1596,[4]SOUSPROGRAMMES!$E$1:$F$44,2,FALSE)</f>
        <v xml:space="preserve">53- Systèmes d’information pour la gestion de l'éducation (collecte, analyse, diffusion, et utilisation des informations) </v>
      </c>
      <c r="AB1596" s="19" t="str">
        <f>C1596 &amp; "-" &amp; VLOOKUP(C1596,[4]RESULTATS!$E$1:$F$176,2,FALSE)</f>
        <v>533- Le développement de la carte scolaire permet une meilleure planification et gestion du réseau des écoles, établissements/institutions  et de réduire les disparités</v>
      </c>
      <c r="AC1596" s="20" t="str">
        <f>D1596 &amp; "-" &amp; VLOOKUP(D1596,[4]STRATEGIES!$E$1:$F$504,2,FALSE)</f>
        <v>533- Le développement de la carte scolaire permet une meilleure planification et gestion du réseau des écoles, établissements/institutions  et de réduire les disparités</v>
      </c>
      <c r="AD1596" s="21" t="str">
        <f t="shared" si="231"/>
        <v>533- Le développement de la carte scolaire permet une meilleure planification et gestion du réseau des écoles, établissements/institutions  et de réduire les disparités</v>
      </c>
    </row>
    <row r="1597" spans="1:30" s="22" customFormat="1" ht="75" hidden="1" customHeight="1" x14ac:dyDescent="0.8">
      <c r="A1597" s="14">
        <v>5</v>
      </c>
      <c r="B1597" s="15">
        <v>53</v>
      </c>
      <c r="C1597" s="15">
        <v>533</v>
      </c>
      <c r="D1597" s="15">
        <v>5331</v>
      </c>
      <c r="E1597" s="15">
        <v>5331</v>
      </c>
      <c r="F1597" s="16" t="s">
        <v>2044</v>
      </c>
      <c r="G1597" s="17"/>
      <c r="H1597" s="17"/>
      <c r="I1597" s="33">
        <v>0</v>
      </c>
      <c r="J1597" s="33"/>
      <c r="K1597" s="33"/>
      <c r="L1597" s="33"/>
      <c r="M1597" s="33"/>
      <c r="N1597" s="33"/>
      <c r="O1597" s="33"/>
      <c r="P1597" s="33"/>
      <c r="Q1597" s="33"/>
      <c r="R1597" s="33"/>
      <c r="S1597" s="33"/>
      <c r="T1597" s="33"/>
      <c r="U1597" s="18"/>
      <c r="V1597" s="18"/>
      <c r="W1597" s="18"/>
      <c r="X1597" s="18"/>
      <c r="Y1597" s="18"/>
      <c r="Z1597" s="18" t="str">
        <f>A1597 &amp; "-" &amp; VLOOKUP(A1597,[4]PROGRAMMES!$E$1:$F$7,2,FALSE)</f>
        <v>5-Gouvernance et pilotage du secteur</v>
      </c>
      <c r="AA1597" s="19" t="str">
        <f>B1597 &amp; "-" &amp; VLOOKUP(B1597,[4]SOUSPROGRAMMES!$E$1:$F$44,2,FALSE)</f>
        <v xml:space="preserve">53- Systèmes d’information pour la gestion de l'éducation (collecte, analyse, diffusion, et utilisation des informations) </v>
      </c>
      <c r="AB1597" s="19" t="str">
        <f>C1597 &amp; "-" &amp; VLOOKUP(C1597,[4]RESULTATS!$E$1:$F$176,2,FALSE)</f>
        <v>533- Le développement de la carte scolaire permet une meilleure planification et gestion du réseau des écoles, établissements/institutions  et de réduire les disparités</v>
      </c>
      <c r="AC1597" s="20" t="str">
        <f>D1597 &amp; "-" &amp; VLOOKUP(D1597,[4]STRATEGIES!$E$1:$F$504,2,FALSE)</f>
        <v>5331-Géoréférencement des écoles, établissements, et institutions, et des localités sans école</v>
      </c>
      <c r="AD1597" s="21" t="str">
        <f t="shared" si="231"/>
        <v>5331-Géoréférencement des écoles, établissements, et institutions, et des localités sans école</v>
      </c>
    </row>
    <row r="1598" spans="1:30" s="22" customFormat="1" ht="75" hidden="1" customHeight="1" x14ac:dyDescent="0.8">
      <c r="A1598" s="14">
        <v>5</v>
      </c>
      <c r="B1598" s="15">
        <v>53</v>
      </c>
      <c r="C1598" s="15">
        <v>533</v>
      </c>
      <c r="D1598" s="15">
        <v>5331</v>
      </c>
      <c r="E1598" s="15">
        <v>53311</v>
      </c>
      <c r="F1598" s="16" t="s">
        <v>2045</v>
      </c>
      <c r="G1598" s="21" t="s">
        <v>1017</v>
      </c>
      <c r="H1598" s="17" t="s">
        <v>59</v>
      </c>
      <c r="I1598" s="33">
        <v>0</v>
      </c>
      <c r="J1598" s="33">
        <f>2*46*5</f>
        <v>460</v>
      </c>
      <c r="K1598" s="33">
        <f>2*46*5</f>
        <v>460</v>
      </c>
      <c r="L1598" s="33">
        <f>2*46*5</f>
        <v>460</v>
      </c>
      <c r="M1598" s="33">
        <f t="shared" si="237"/>
        <v>1380</v>
      </c>
      <c r="N1598" s="33">
        <f>IF(OR(H1598="",H1598="sif",H1598="PM"),0,VLOOKUP(H1598,[5]CU!$C$4:$H$255,6,FALSE))</f>
        <v>0.8177777777777776</v>
      </c>
      <c r="O1598" s="33">
        <f t="shared" si="238"/>
        <v>0</v>
      </c>
      <c r="P1598" s="33">
        <f t="shared" si="238"/>
        <v>376.17777777777769</v>
      </c>
      <c r="Q1598" s="33">
        <f t="shared" si="238"/>
        <v>376.17777777777769</v>
      </c>
      <c r="R1598" s="33">
        <f t="shared" si="238"/>
        <v>376.17777777777769</v>
      </c>
      <c r="S1598" s="33">
        <f t="shared" si="239"/>
        <v>1128.5333333333331</v>
      </c>
      <c r="T1598" s="35" t="s">
        <v>39</v>
      </c>
      <c r="U1598" s="19" t="s">
        <v>1873</v>
      </c>
      <c r="V1598" s="19" t="str">
        <f>IF(OR($H1598="",$H1598="sif",$H1598="PM"),"",VLOOKUP($H1598,[5]CU!$C$5:$J$255,8,FALSE))</f>
        <v>3. Dépenses de fonctionnement</v>
      </c>
      <c r="W1598" s="19" t="s">
        <v>96</v>
      </c>
      <c r="X1598" s="19" t="s">
        <v>96</v>
      </c>
      <c r="Y1598" s="19" t="s">
        <v>32</v>
      </c>
      <c r="Z1598" s="18" t="str">
        <f>A1598 &amp; "-" &amp; VLOOKUP(A1598,[4]PROGRAMMES!$E$1:$F$7,2,FALSE)</f>
        <v>5-Gouvernance et pilotage du secteur</v>
      </c>
      <c r="AA1598" s="19" t="str">
        <f>B1598 &amp; "-" &amp; VLOOKUP(B1598,[4]SOUSPROGRAMMES!$E$1:$F$44,2,FALSE)</f>
        <v xml:space="preserve">53- Systèmes d’information pour la gestion de l'éducation (collecte, analyse, diffusion, et utilisation des informations) </v>
      </c>
      <c r="AB1598" s="19" t="str">
        <f>C1598 &amp; "-" &amp; VLOOKUP(C1598,[4]RESULTATS!$E$1:$F$176,2,FALSE)</f>
        <v>533- Le développement de la carte scolaire permet une meilleure planification et gestion du réseau des écoles, établissements/institutions  et de réduire les disparités</v>
      </c>
      <c r="AC1598" s="20" t="str">
        <f>D1598 &amp; "-" &amp; VLOOKUP(D1598,[4]STRATEGIES!$E$1:$F$504,2,FALSE)</f>
        <v>5331-Géoréférencement des écoles, établissements, et institutions, et des localités sans école</v>
      </c>
      <c r="AD1598" s="21" t="str">
        <f t="shared" si="231"/>
        <v>53311-Géo référencement des nouvelles écoles et leur environnement</v>
      </c>
    </row>
    <row r="1599" spans="1:30" s="22" customFormat="1" ht="75" hidden="1" customHeight="1" x14ac:dyDescent="0.8">
      <c r="A1599" s="14">
        <v>5</v>
      </c>
      <c r="B1599" s="15">
        <v>53</v>
      </c>
      <c r="C1599" s="15">
        <v>533</v>
      </c>
      <c r="D1599" s="15">
        <v>5331</v>
      </c>
      <c r="E1599" s="15">
        <v>53312</v>
      </c>
      <c r="F1599" s="16" t="s">
        <v>2046</v>
      </c>
      <c r="G1599" s="21" t="s">
        <v>315</v>
      </c>
      <c r="H1599" s="17" t="s">
        <v>301</v>
      </c>
      <c r="I1599" s="33">
        <v>0</v>
      </c>
      <c r="J1599" s="33"/>
      <c r="K1599" s="33"/>
      <c r="L1599" s="33"/>
      <c r="M1599" s="33">
        <f>SUM(I1599:L1599)</f>
        <v>0</v>
      </c>
      <c r="N1599" s="33">
        <f>IF(OR(H1599="",H1599="sif",H1599="PM"),0,VLOOKUP(H1599,[5]CU!$C$4:$H$255,6,FALSE))</f>
        <v>0.67666666666666664</v>
      </c>
      <c r="O1599" s="33">
        <f>IFERROR($N1599*I1599,0)</f>
        <v>0</v>
      </c>
      <c r="P1599" s="33">
        <f>IFERROR($N1599*J1599,0)</f>
        <v>0</v>
      </c>
      <c r="Q1599" s="33">
        <f>IFERROR($N1599*K1599,0)</f>
        <v>0</v>
      </c>
      <c r="R1599" s="33">
        <f>IFERROR($N1599*L1599,0)</f>
        <v>0</v>
      </c>
      <c r="S1599" s="33">
        <f>SUM(O1599:R1599)</f>
        <v>0</v>
      </c>
      <c r="T1599" s="35" t="s">
        <v>178</v>
      </c>
      <c r="U1599" s="19" t="s">
        <v>1873</v>
      </c>
      <c r="V1599" s="19" t="str">
        <f>IF(OR($H1599="",$H1599="sif",$H1599="PM"),"",VLOOKUP($H1599,[5]CU!$C$5:$J$255,8,FALSE))</f>
        <v>3. Formation</v>
      </c>
      <c r="W1599" s="19" t="s">
        <v>96</v>
      </c>
      <c r="X1599" s="19" t="s">
        <v>96</v>
      </c>
      <c r="Y1599" s="19" t="s">
        <v>32</v>
      </c>
      <c r="Z1599" s="18" t="str">
        <f>A1599 &amp; "-" &amp; VLOOKUP(A1599,[4]PROGRAMMES!$E$1:$F$7,2,FALSE)</f>
        <v>5-Gouvernance et pilotage du secteur</v>
      </c>
      <c r="AA1599" s="19" t="str">
        <f>B1599 &amp; "-" &amp; VLOOKUP(B1599,[4]SOUSPROGRAMMES!$E$1:$F$44,2,FALSE)</f>
        <v xml:space="preserve">53- Systèmes d’information pour la gestion de l'éducation (collecte, analyse, diffusion, et utilisation des informations) </v>
      </c>
      <c r="AB1599" s="19" t="str">
        <f>C1599 &amp; "-" &amp; VLOOKUP(C1599,[4]RESULTATS!$E$1:$F$176,2,FALSE)</f>
        <v>533- Le développement de la carte scolaire permet une meilleure planification et gestion du réseau des écoles, établissements/institutions  et de réduire les disparités</v>
      </c>
      <c r="AC1599" s="20" t="str">
        <f>D1599 &amp; "-" &amp; VLOOKUP(D1599,[4]STRATEGIES!$E$1:$F$504,2,FALSE)</f>
        <v>5331-Géoréférencement des écoles, établissements, et institutions, et des localités sans école</v>
      </c>
      <c r="AD1599" s="21" t="str">
        <f t="shared" si="231"/>
        <v>53312-Organisation de la formation des cadres des structures centrales et déconcentrées en utilisation en données géo référencées</v>
      </c>
    </row>
    <row r="1600" spans="1:30" s="22" customFormat="1" ht="75" hidden="1" customHeight="1" x14ac:dyDescent="0.8">
      <c r="A1600" s="14">
        <v>5</v>
      </c>
      <c r="B1600" s="15">
        <v>53</v>
      </c>
      <c r="C1600" s="15">
        <v>533</v>
      </c>
      <c r="D1600" s="15">
        <v>5331</v>
      </c>
      <c r="E1600" s="15">
        <v>53312</v>
      </c>
      <c r="F1600" s="16" t="s">
        <v>2046</v>
      </c>
      <c r="G1600" s="21" t="s">
        <v>315</v>
      </c>
      <c r="H1600" s="17" t="s">
        <v>301</v>
      </c>
      <c r="I1600" s="33">
        <v>0</v>
      </c>
      <c r="J1600" s="33">
        <f>(2*46+10)*5</f>
        <v>510</v>
      </c>
      <c r="K1600" s="33">
        <f>(2*46+10)*5</f>
        <v>510</v>
      </c>
      <c r="L1600" s="33">
        <f>(2*46+10)*5</f>
        <v>510</v>
      </c>
      <c r="M1600" s="33">
        <f t="shared" si="237"/>
        <v>1530</v>
      </c>
      <c r="N1600" s="33">
        <f>IF(OR(H1600="",H1600="sif",H1600="PM"),0,VLOOKUP(H1600,[5]CU!$C$4:$H$255,6,FALSE))</f>
        <v>0.67666666666666664</v>
      </c>
      <c r="O1600" s="33">
        <f t="shared" si="238"/>
        <v>0</v>
      </c>
      <c r="P1600" s="33">
        <f t="shared" si="238"/>
        <v>345.09999999999997</v>
      </c>
      <c r="Q1600" s="33">
        <f t="shared" si="238"/>
        <v>345.09999999999997</v>
      </c>
      <c r="R1600" s="33">
        <f t="shared" si="238"/>
        <v>345.09999999999997</v>
      </c>
      <c r="S1600" s="33">
        <f t="shared" si="239"/>
        <v>1035.3</v>
      </c>
      <c r="T1600" s="35" t="s">
        <v>39</v>
      </c>
      <c r="U1600" s="19" t="s">
        <v>1873</v>
      </c>
      <c r="V1600" s="19" t="str">
        <f>IF(OR($H1600="",$H1600="sif",$H1600="PM"),"",VLOOKUP($H1600,[5]CU!$C$5:$J$255,8,FALSE))</f>
        <v>3. Formation</v>
      </c>
      <c r="W1600" s="19" t="s">
        <v>96</v>
      </c>
      <c r="X1600" s="19" t="s">
        <v>96</v>
      </c>
      <c r="Y1600" s="19" t="s">
        <v>32</v>
      </c>
      <c r="Z1600" s="18" t="str">
        <f>A1600 &amp; "-" &amp; VLOOKUP(A1600,[4]PROGRAMMES!$E$1:$F$7,2,FALSE)</f>
        <v>5-Gouvernance et pilotage du secteur</v>
      </c>
      <c r="AA1600" s="19" t="str">
        <f>B1600 &amp; "-" &amp; VLOOKUP(B1600,[4]SOUSPROGRAMMES!$E$1:$F$44,2,FALSE)</f>
        <v xml:space="preserve">53- Systèmes d’information pour la gestion de l'éducation (collecte, analyse, diffusion, et utilisation des informations) </v>
      </c>
      <c r="AB1600" s="19" t="str">
        <f>C1600 &amp; "-" &amp; VLOOKUP(C1600,[4]RESULTATS!$E$1:$F$176,2,FALSE)</f>
        <v>533- Le développement de la carte scolaire permet une meilleure planification et gestion du réseau des écoles, établissements/institutions  et de réduire les disparités</v>
      </c>
      <c r="AC1600" s="20" t="str">
        <f>D1600 &amp; "-" &amp; VLOOKUP(D1600,[4]STRATEGIES!$E$1:$F$504,2,FALSE)</f>
        <v>5331-Géoréférencement des écoles, établissements, et institutions, et des localités sans école</v>
      </c>
      <c r="AD1600" s="21" t="str">
        <f t="shared" si="231"/>
        <v>53312-Organisation de la formation des cadres des structures centrales et déconcentrées en utilisation en données géo référencées</v>
      </c>
    </row>
    <row r="1601" spans="1:30" s="22" customFormat="1" ht="75" hidden="1" customHeight="1" x14ac:dyDescent="0.8">
      <c r="A1601" s="14">
        <v>5</v>
      </c>
      <c r="B1601" s="15">
        <v>53</v>
      </c>
      <c r="C1601" s="15">
        <v>533</v>
      </c>
      <c r="D1601" s="15">
        <v>5332</v>
      </c>
      <c r="E1601" s="15">
        <v>5332</v>
      </c>
      <c r="F1601" s="16" t="s">
        <v>2047</v>
      </c>
      <c r="G1601" s="17"/>
      <c r="H1601" s="17"/>
      <c r="I1601" s="33">
        <v>0</v>
      </c>
      <c r="J1601" s="33"/>
      <c r="K1601" s="33"/>
      <c r="L1601" s="33"/>
      <c r="M1601" s="33"/>
      <c r="N1601" s="33"/>
      <c r="O1601" s="33"/>
      <c r="P1601" s="33"/>
      <c r="Q1601" s="33"/>
      <c r="R1601" s="33"/>
      <c r="S1601" s="33"/>
      <c r="T1601" s="33"/>
      <c r="U1601" s="18"/>
      <c r="V1601" s="18"/>
      <c r="W1601" s="18"/>
      <c r="X1601" s="18"/>
      <c r="Y1601" s="18"/>
      <c r="Z1601" s="18" t="str">
        <f>A1601 &amp; "-" &amp; VLOOKUP(A1601,[4]PROGRAMMES!$E$1:$F$7,2,FALSE)</f>
        <v>5-Gouvernance et pilotage du secteur</v>
      </c>
      <c r="AA1601" s="19" t="str">
        <f>B1601 &amp; "-" &amp; VLOOKUP(B1601,[4]SOUSPROGRAMMES!$E$1:$F$44,2,FALSE)</f>
        <v xml:space="preserve">53- Systèmes d’information pour la gestion de l'éducation (collecte, analyse, diffusion, et utilisation des informations) </v>
      </c>
      <c r="AB1601" s="19" t="str">
        <f>C1601 &amp; "-" &amp; VLOOKUP(C1601,[4]RESULTATS!$E$1:$F$176,2,FALSE)</f>
        <v>533- Le développement de la carte scolaire permet une meilleure planification et gestion du réseau des écoles, établissements/institutions  et de réduire les disparités</v>
      </c>
      <c r="AC1601" s="20" t="str">
        <f>D1601 &amp; "-" &amp; VLOOKUP(D1601,[4]STRATEGIES!$E$1:$F$504,2,FALSE)</f>
        <v>5332-Identification des sites de construction scolaire</v>
      </c>
      <c r="AD1601" s="21" t="str">
        <f t="shared" si="231"/>
        <v>5332-Identification des sites de construction scolaire</v>
      </c>
    </row>
    <row r="1602" spans="1:30" s="22" customFormat="1" ht="75" hidden="1" customHeight="1" x14ac:dyDescent="0.8">
      <c r="A1602" s="14">
        <v>5</v>
      </c>
      <c r="B1602" s="15">
        <v>53</v>
      </c>
      <c r="C1602" s="15">
        <v>533</v>
      </c>
      <c r="D1602" s="15">
        <v>5332</v>
      </c>
      <c r="E1602" s="15">
        <v>53321</v>
      </c>
      <c r="F1602" s="16" t="s">
        <v>2048</v>
      </c>
      <c r="G1602" s="21" t="s">
        <v>315</v>
      </c>
      <c r="H1602" s="17" t="s">
        <v>38</v>
      </c>
      <c r="I1602" s="33">
        <v>0</v>
      </c>
      <c r="J1602" s="33">
        <f>30*3*1</f>
        <v>90</v>
      </c>
      <c r="K1602" s="33"/>
      <c r="L1602" s="33"/>
      <c r="M1602" s="33">
        <f t="shared" si="237"/>
        <v>90</v>
      </c>
      <c r="N1602" s="33">
        <f>IF(OR(H1602="",H1602="sif",H1602="PM"),0,VLOOKUP(H1602,[5]CU!$C$4:$H$255,6,FALSE))</f>
        <v>0.3133333333333333</v>
      </c>
      <c r="O1602" s="33">
        <f t="shared" si="238"/>
        <v>0</v>
      </c>
      <c r="P1602" s="33">
        <f t="shared" si="238"/>
        <v>28.199999999999996</v>
      </c>
      <c r="Q1602" s="33">
        <f t="shared" si="238"/>
        <v>0</v>
      </c>
      <c r="R1602" s="33">
        <f t="shared" si="238"/>
        <v>0</v>
      </c>
      <c r="S1602" s="33">
        <f t="shared" si="239"/>
        <v>28.199999999999996</v>
      </c>
      <c r="T1602" s="35" t="s">
        <v>39</v>
      </c>
      <c r="U1602" s="19" t="s">
        <v>1873</v>
      </c>
      <c r="V1602" s="19" t="str">
        <f>IF(OR($H1602="",$H1602="sif",$H1602="PM"),"",VLOOKUP($H1602,[5]CU!$C$5:$J$255,8,FALSE))</f>
        <v>3. Formation</v>
      </c>
      <c r="W1602" s="19" t="s">
        <v>96</v>
      </c>
      <c r="X1602" s="19" t="s">
        <v>96</v>
      </c>
      <c r="Y1602" s="19" t="s">
        <v>32</v>
      </c>
      <c r="Z1602" s="18" t="str">
        <f>A1602 &amp; "-" &amp; VLOOKUP(A1602,[4]PROGRAMMES!$E$1:$F$7,2,FALSE)</f>
        <v>5-Gouvernance et pilotage du secteur</v>
      </c>
      <c r="AA1602" s="19" t="str">
        <f>B1602 &amp; "-" &amp; VLOOKUP(B1602,[4]SOUSPROGRAMMES!$E$1:$F$44,2,FALSE)</f>
        <v xml:space="preserve">53- Systèmes d’information pour la gestion de l'éducation (collecte, analyse, diffusion, et utilisation des informations) </v>
      </c>
      <c r="AB1602" s="19" t="str">
        <f>C1602 &amp; "-" &amp; VLOOKUP(C1602,[4]RESULTATS!$E$1:$F$176,2,FALSE)</f>
        <v>533- Le développement de la carte scolaire permet une meilleure planification et gestion du réseau des écoles, établissements/institutions  et de réduire les disparités</v>
      </c>
      <c r="AC1602" s="20" t="str">
        <f>D1602 &amp; "-" &amp; VLOOKUP(D1602,[4]STRATEGIES!$E$1:$F$504,2,FALSE)</f>
        <v>5332-Identification des sites de construction scolaire</v>
      </c>
      <c r="AD1602" s="21" t="str">
        <f t="shared" si="231"/>
        <v>53321-RedéFinition des critères de la carte scolaire</v>
      </c>
    </row>
    <row r="1603" spans="1:30" s="22" customFormat="1" ht="75" hidden="1" customHeight="1" x14ac:dyDescent="0.8">
      <c r="A1603" s="14">
        <v>5</v>
      </c>
      <c r="B1603" s="15">
        <v>53</v>
      </c>
      <c r="C1603" s="15">
        <v>533</v>
      </c>
      <c r="D1603" s="15">
        <v>5332</v>
      </c>
      <c r="E1603" s="15">
        <v>53322</v>
      </c>
      <c r="F1603" s="16" t="s">
        <v>2049</v>
      </c>
      <c r="G1603" s="21" t="s">
        <v>2050</v>
      </c>
      <c r="H1603" s="17" t="s">
        <v>55</v>
      </c>
      <c r="I1603" s="33">
        <v>0</v>
      </c>
      <c r="J1603" s="33">
        <v>1</v>
      </c>
      <c r="K1603" s="33">
        <v>1</v>
      </c>
      <c r="L1603" s="33">
        <v>1</v>
      </c>
      <c r="M1603" s="33">
        <f t="shared" si="237"/>
        <v>3</v>
      </c>
      <c r="N1603" s="33">
        <f>IF(OR(H1603="",H1603="sif",H1603="PM"),0,VLOOKUP(H1603,[5]CU!$C$4:$H$255,6,FALSE))</f>
        <v>0</v>
      </c>
      <c r="O1603" s="33">
        <f t="shared" si="238"/>
        <v>0</v>
      </c>
      <c r="P1603" s="33">
        <f t="shared" si="238"/>
        <v>0</v>
      </c>
      <c r="Q1603" s="33">
        <f t="shared" si="238"/>
        <v>0</v>
      </c>
      <c r="R1603" s="33">
        <f t="shared" si="238"/>
        <v>0</v>
      </c>
      <c r="S1603" s="33"/>
      <c r="T1603" s="35" t="s">
        <v>56</v>
      </c>
      <c r="U1603" s="18" t="s">
        <v>1873</v>
      </c>
      <c r="V1603" s="18" t="str">
        <f>IF(OR($H1603="",$H1603="sif",$H1603="PM"),"",VLOOKUP($H1603,[5]CU!$C$5:$J$255,8,FALSE))</f>
        <v/>
      </c>
      <c r="W1603" s="18" t="s">
        <v>96</v>
      </c>
      <c r="X1603" s="18" t="s">
        <v>96</v>
      </c>
      <c r="Y1603" s="19" t="s">
        <v>32</v>
      </c>
      <c r="Z1603" s="18" t="str">
        <f>A1603 &amp; "-" &amp; VLOOKUP(A1603,[4]PROGRAMMES!$E$1:$F$7,2,FALSE)</f>
        <v>5-Gouvernance et pilotage du secteur</v>
      </c>
      <c r="AA1603" s="19" t="str">
        <f>B1603 &amp; "-" &amp; VLOOKUP(B1603,[4]SOUSPROGRAMMES!$E$1:$F$44,2,FALSE)</f>
        <v xml:space="preserve">53- Systèmes d’information pour la gestion de l'éducation (collecte, analyse, diffusion, et utilisation des informations) </v>
      </c>
      <c r="AB1603" s="19" t="str">
        <f>C1603 &amp; "-" &amp; VLOOKUP(C1603,[4]RESULTATS!$E$1:$F$176,2,FALSE)</f>
        <v>533- Le développement de la carte scolaire permet une meilleure planification et gestion du réseau des écoles, établissements/institutions  et de réduire les disparités</v>
      </c>
      <c r="AC1603" s="20" t="str">
        <f>D1603 &amp; "-" &amp; VLOOKUP(D1603,[4]STRATEGIES!$E$1:$F$504,2,FALSE)</f>
        <v>5332-Identification des sites de construction scolaire</v>
      </c>
      <c r="AD1603" s="21" t="str">
        <f t="shared" si="231"/>
        <v>53322-Constitution et actualisation d'une base de données des sites de construction</v>
      </c>
    </row>
    <row r="1604" spans="1:30" s="22" customFormat="1" ht="60" hidden="1" customHeight="1" x14ac:dyDescent="0.8">
      <c r="A1604" s="14">
        <v>5</v>
      </c>
      <c r="B1604" s="15">
        <v>53</v>
      </c>
      <c r="C1604" s="15">
        <v>534</v>
      </c>
      <c r="D1604" s="15">
        <v>534</v>
      </c>
      <c r="E1604" s="15">
        <v>534</v>
      </c>
      <c r="F1604" s="16" t="s">
        <v>2051</v>
      </c>
      <c r="G1604" s="17"/>
      <c r="H1604" s="17"/>
      <c r="I1604" s="33">
        <v>0</v>
      </c>
      <c r="J1604" s="33"/>
      <c r="K1604" s="33"/>
      <c r="L1604" s="33"/>
      <c r="M1604" s="33"/>
      <c r="N1604" s="33"/>
      <c r="O1604" s="33"/>
      <c r="P1604" s="33"/>
      <c r="Q1604" s="33"/>
      <c r="R1604" s="33"/>
      <c r="S1604" s="33"/>
      <c r="T1604" s="33"/>
      <c r="U1604" s="18"/>
      <c r="V1604" s="18"/>
      <c r="W1604" s="18"/>
      <c r="X1604" s="18"/>
      <c r="Y1604" s="18"/>
      <c r="Z1604" s="18" t="str">
        <f>A1604 &amp; "-" &amp; VLOOKUP(A1604,[4]PROGRAMMES!$E$1:$F$7,2,FALSE)</f>
        <v>5-Gouvernance et pilotage du secteur</v>
      </c>
      <c r="AA1604" s="19" t="str">
        <f>B1604 &amp; "-" &amp; VLOOKUP(B1604,[4]SOUSPROGRAMMES!$E$1:$F$44,2,FALSE)</f>
        <v xml:space="preserve">53- Systèmes d’information pour la gestion de l'éducation (collecte, analyse, diffusion, et utilisation des informations) </v>
      </c>
      <c r="AB1604" s="19" t="str">
        <f>C1604 &amp; "-" &amp; VLOOKUP(C1604,[4]RESULTATS!$E$1:$F$176,2,FALSE)</f>
        <v>534- Les données sont utilisées pour un meilleur pilotage du système/ les activités sont planifiées sur la base d’indicateurs de performance</v>
      </c>
      <c r="AC1604" s="20" t="str">
        <f>D1604 &amp; "-" &amp; VLOOKUP(D1604,[4]STRATEGIES!$E$1:$F$504,2,FALSE)</f>
        <v>534- Les données sont utilisées pour un meilleur pilotage du système/ les activités sont planifiées sur la base d’indicateurs de performance</v>
      </c>
      <c r="AD1604" s="21" t="str">
        <f t="shared" ref="AD1604:AD1667" si="240">E1604 &amp; "-" &amp; F1604</f>
        <v>534- Les données sont utilisées pour un meilleur pilotage du système/ les activités sont planifiées sur la base d’indicateurs de performance</v>
      </c>
    </row>
    <row r="1605" spans="1:30" s="22" customFormat="1" ht="60" hidden="1" customHeight="1" x14ac:dyDescent="0.8">
      <c r="A1605" s="14">
        <v>5</v>
      </c>
      <c r="B1605" s="15">
        <v>53</v>
      </c>
      <c r="C1605" s="15">
        <v>534</v>
      </c>
      <c r="D1605" s="15">
        <v>5341</v>
      </c>
      <c r="E1605" s="15">
        <v>5341</v>
      </c>
      <c r="F1605" s="16" t="s">
        <v>2052</v>
      </c>
      <c r="G1605" s="17"/>
      <c r="H1605" s="17"/>
      <c r="I1605" s="33">
        <v>0</v>
      </c>
      <c r="J1605" s="33"/>
      <c r="K1605" s="33"/>
      <c r="L1605" s="33"/>
      <c r="M1605" s="33"/>
      <c r="N1605" s="33"/>
      <c r="O1605" s="33"/>
      <c r="P1605" s="33"/>
      <c r="Q1605" s="33"/>
      <c r="R1605" s="33"/>
      <c r="S1605" s="33"/>
      <c r="T1605" s="33"/>
      <c r="U1605" s="18"/>
      <c r="V1605" s="18"/>
      <c r="W1605" s="18"/>
      <c r="X1605" s="18"/>
      <c r="Y1605" s="18"/>
      <c r="Z1605" s="18" t="str">
        <f>A1605 &amp; "-" &amp; VLOOKUP(A1605,[4]PROGRAMMES!$E$1:$F$7,2,FALSE)</f>
        <v>5-Gouvernance et pilotage du secteur</v>
      </c>
      <c r="AA1605" s="19" t="str">
        <f>B1605 &amp; "-" &amp; VLOOKUP(B1605,[4]SOUSPROGRAMMES!$E$1:$F$44,2,FALSE)</f>
        <v xml:space="preserve">53- Systèmes d’information pour la gestion de l'éducation (collecte, analyse, diffusion, et utilisation des informations) </v>
      </c>
      <c r="AB1605" s="19" t="str">
        <f>C1605 &amp; "-" &amp; VLOOKUP(C1605,[4]RESULTATS!$E$1:$F$176,2,FALSE)</f>
        <v>534- Les données sont utilisées pour un meilleur pilotage du système/ les activités sont planifiées sur la base d’indicateurs de performance</v>
      </c>
      <c r="AC1605" s="20" t="str">
        <f>D1605 &amp; "-" &amp; VLOOKUP(D1605,[4]STRATEGIES!$E$1:$F$504,2,FALSE)</f>
        <v>5341-Appui aux sessions de pilotage et suivi de la mise en œuvre des recommandations</v>
      </c>
      <c r="AD1605" s="21" t="str">
        <f t="shared" si="240"/>
        <v>5341-Appui aux sessions de pilotage et suivi de la mise en œuvre des recommandations</v>
      </c>
    </row>
    <row r="1606" spans="1:30" s="22" customFormat="1" ht="60" hidden="1" customHeight="1" x14ac:dyDescent="0.8">
      <c r="A1606" s="14">
        <v>5</v>
      </c>
      <c r="B1606" s="15">
        <v>53</v>
      </c>
      <c r="C1606" s="15">
        <v>534</v>
      </c>
      <c r="D1606" s="15">
        <v>5341</v>
      </c>
      <c r="E1606" s="15">
        <v>53411</v>
      </c>
      <c r="F1606" s="16" t="s">
        <v>2053</v>
      </c>
      <c r="G1606" s="21" t="s">
        <v>88</v>
      </c>
      <c r="H1606" s="17" t="s">
        <v>55</v>
      </c>
      <c r="I1606" s="33">
        <v>0</v>
      </c>
      <c r="J1606" s="33">
        <v>0</v>
      </c>
      <c r="K1606" s="33">
        <v>0</v>
      </c>
      <c r="L1606" s="33">
        <v>0</v>
      </c>
      <c r="M1606" s="33"/>
      <c r="N1606" s="33">
        <f>IF(OR(H1606="",H1606="sif",H1606="PM"),0,VLOOKUP(H1606,[5]CU!$C$4:$H$255,6,FALSE))</f>
        <v>0</v>
      </c>
      <c r="O1606" s="33"/>
      <c r="P1606" s="33"/>
      <c r="Q1606" s="33"/>
      <c r="R1606" s="33"/>
      <c r="S1606" s="33"/>
      <c r="T1606" s="35" t="s">
        <v>56</v>
      </c>
      <c r="U1606" s="18" t="s">
        <v>1873</v>
      </c>
      <c r="V1606" s="18" t="str">
        <f>IF(OR($H1606="",$H1606="sif",$H1606="PM"),"",VLOOKUP($H1606,[5]CU!$C$5:$J$255,8,FALSE))</f>
        <v/>
      </c>
      <c r="W1606" s="18" t="s">
        <v>96</v>
      </c>
      <c r="X1606" s="18" t="s">
        <v>96</v>
      </c>
      <c r="Y1606" s="19" t="s">
        <v>32</v>
      </c>
      <c r="Z1606" s="18" t="str">
        <f>A1606 &amp; "-" &amp; VLOOKUP(A1606,[4]PROGRAMMES!$E$1:$F$7,2,FALSE)</f>
        <v>5-Gouvernance et pilotage du secteur</v>
      </c>
      <c r="AA1606" s="19" t="str">
        <f>B1606 &amp; "-" &amp; VLOOKUP(B1606,[4]SOUSPROGRAMMES!$E$1:$F$44,2,FALSE)</f>
        <v xml:space="preserve">53- Systèmes d’information pour la gestion de l'éducation (collecte, analyse, diffusion, et utilisation des informations) </v>
      </c>
      <c r="AB1606" s="19" t="str">
        <f>C1606 &amp; "-" &amp; VLOOKUP(C1606,[4]RESULTATS!$E$1:$F$176,2,FALSE)</f>
        <v>534- Les données sont utilisées pour un meilleur pilotage du système/ les activités sont planifiées sur la base d’indicateurs de performance</v>
      </c>
      <c r="AC1606" s="20" t="str">
        <f>D1606 &amp; "-" &amp; VLOOKUP(D1606,[4]STRATEGIES!$E$1:$F$504,2,FALSE)</f>
        <v>5341-Appui aux sessions de pilotage et suivi de la mise en œuvre des recommandations</v>
      </c>
      <c r="AD1606" s="21" t="str">
        <f t="shared" si="240"/>
        <v>53411-Mise à disposition de chaque structure du MENA de données statistiques pour son pilotage</v>
      </c>
    </row>
    <row r="1607" spans="1:30" s="22" customFormat="1" ht="60" hidden="1" customHeight="1" x14ac:dyDescent="0.8">
      <c r="A1607" s="14">
        <v>5</v>
      </c>
      <c r="B1607" s="15">
        <v>53</v>
      </c>
      <c r="C1607" s="15">
        <v>534</v>
      </c>
      <c r="D1607" s="15">
        <v>5341</v>
      </c>
      <c r="E1607" s="15">
        <v>53412</v>
      </c>
      <c r="F1607" s="16" t="s">
        <v>2054</v>
      </c>
      <c r="G1607" s="21" t="s">
        <v>88</v>
      </c>
      <c r="H1607" s="17" t="s">
        <v>55</v>
      </c>
      <c r="I1607" s="33">
        <v>0</v>
      </c>
      <c r="J1607" s="33">
        <v>0</v>
      </c>
      <c r="K1607" s="33">
        <v>0</v>
      </c>
      <c r="L1607" s="33">
        <v>0</v>
      </c>
      <c r="M1607" s="33"/>
      <c r="N1607" s="33">
        <f>IF(OR(H1607="",H1607="sif",H1607="PM"),0,VLOOKUP(H1607,[5]CU!$C$4:$H$255,6,FALSE))</f>
        <v>0</v>
      </c>
      <c r="O1607" s="33"/>
      <c r="P1607" s="33"/>
      <c r="Q1607" s="33"/>
      <c r="R1607" s="33"/>
      <c r="S1607" s="33"/>
      <c r="T1607" s="35" t="s">
        <v>56</v>
      </c>
      <c r="U1607" s="18" t="s">
        <v>1873</v>
      </c>
      <c r="V1607" s="18" t="str">
        <f>IF(OR($H1607="",$H1607="sif",$H1607="PM"),"",VLOOKUP($H1607,[5]CU!$C$5:$J$255,8,FALSE))</f>
        <v/>
      </c>
      <c r="W1607" s="18" t="s">
        <v>96</v>
      </c>
      <c r="X1607" s="18" t="s">
        <v>96</v>
      </c>
      <c r="Y1607" s="18" t="s">
        <v>677</v>
      </c>
      <c r="Z1607" s="18" t="str">
        <f>A1607 &amp; "-" &amp; VLOOKUP(A1607,[4]PROGRAMMES!$E$1:$F$7,2,FALSE)</f>
        <v>5-Gouvernance et pilotage du secteur</v>
      </c>
      <c r="AA1607" s="19" t="str">
        <f>B1607 &amp; "-" &amp; VLOOKUP(B1607,[4]SOUSPROGRAMMES!$E$1:$F$44,2,FALSE)</f>
        <v xml:space="preserve">53- Systèmes d’information pour la gestion de l'éducation (collecte, analyse, diffusion, et utilisation des informations) </v>
      </c>
      <c r="AB1607" s="19" t="str">
        <f>C1607 &amp; "-" &amp; VLOOKUP(C1607,[4]RESULTATS!$E$1:$F$176,2,FALSE)</f>
        <v>534- Les données sont utilisées pour un meilleur pilotage du système/ les activités sont planifiées sur la base d’indicateurs de performance</v>
      </c>
      <c r="AC1607" s="20" t="str">
        <f>D1607 &amp; "-" &amp; VLOOKUP(D1607,[4]STRATEGIES!$E$1:$F$504,2,FALSE)</f>
        <v>5341-Appui aux sessions de pilotage et suivi de la mise en œuvre des recommandations</v>
      </c>
      <c r="AD1607" s="21" t="str">
        <f t="shared" si="240"/>
        <v>53412-Mise à disposition de chaque structure du METFP de données statistiques pour son pilotage</v>
      </c>
    </row>
    <row r="1608" spans="1:30" s="22" customFormat="1" ht="60" hidden="1" customHeight="1" x14ac:dyDescent="0.8">
      <c r="A1608" s="14">
        <v>5</v>
      </c>
      <c r="B1608" s="15">
        <v>53</v>
      </c>
      <c r="C1608" s="15">
        <v>534</v>
      </c>
      <c r="D1608" s="15">
        <v>5341</v>
      </c>
      <c r="E1608" s="15">
        <v>53414</v>
      </c>
      <c r="F1608" s="16" t="s">
        <v>2055</v>
      </c>
      <c r="G1608" s="21" t="s">
        <v>2056</v>
      </c>
      <c r="H1608" s="17" t="s">
        <v>73</v>
      </c>
      <c r="I1608" s="33">
        <v>0</v>
      </c>
      <c r="J1608" s="33">
        <f t="shared" ref="J1608:L1609" si="241">3*3</f>
        <v>9</v>
      </c>
      <c r="K1608" s="33">
        <f t="shared" si="241"/>
        <v>9</v>
      </c>
      <c r="L1608" s="33">
        <f t="shared" si="241"/>
        <v>9</v>
      </c>
      <c r="M1608" s="33">
        <f>SUM(I1608:L1608)</f>
        <v>27</v>
      </c>
      <c r="N1608" s="33">
        <f>IF(OR(H1608="",H1608="sif",H1608="PM"),0,VLOOKUP(H1608,[5]CU!$C$4:$H$255,6,FALSE))</f>
        <v>0.4</v>
      </c>
      <c r="O1608" s="33">
        <f t="shared" ref="O1608:R1616" si="242">IFERROR($N1608*I1608,0)</f>
        <v>0</v>
      </c>
      <c r="P1608" s="33">
        <f t="shared" si="242"/>
        <v>3.6</v>
      </c>
      <c r="Q1608" s="33">
        <f t="shared" si="242"/>
        <v>3.6</v>
      </c>
      <c r="R1608" s="33">
        <f t="shared" si="242"/>
        <v>3.6</v>
      </c>
      <c r="S1608" s="33">
        <f t="shared" ref="S1608:S1616" si="243">SUM(O1608:R1608)</f>
        <v>10.8</v>
      </c>
      <c r="T1608" s="35" t="s">
        <v>118</v>
      </c>
      <c r="U1608" s="18" t="s">
        <v>1873</v>
      </c>
      <c r="V1608" s="18" t="str">
        <f>IF(OR($H1608="",$H1608="sif",$H1608="PM"),"",VLOOKUP($H1608,[5]CU!$C$5:$J$255,8,FALSE))</f>
        <v>3. Dépenses de fonctionnement</v>
      </c>
      <c r="W1608" s="18" t="s">
        <v>96</v>
      </c>
      <c r="X1608" s="18" t="s">
        <v>2057</v>
      </c>
      <c r="Y1608" s="19" t="s">
        <v>32</v>
      </c>
      <c r="Z1608" s="18" t="str">
        <f>A1608 &amp; "-" &amp; VLOOKUP(A1608,[4]PROGRAMMES!$E$1:$F$7,2,FALSE)</f>
        <v>5-Gouvernance et pilotage du secteur</v>
      </c>
      <c r="AA1608" s="19" t="str">
        <f>B1608 &amp; "-" &amp; VLOOKUP(B1608,[4]SOUSPROGRAMMES!$E$1:$F$44,2,FALSE)</f>
        <v xml:space="preserve">53- Systèmes d’information pour la gestion de l'éducation (collecte, analyse, diffusion, et utilisation des informations) </v>
      </c>
      <c r="AB1608" s="19" t="str">
        <f>C1608 &amp; "-" &amp; VLOOKUP(C1608,[4]RESULTATS!$E$1:$F$176,2,FALSE)</f>
        <v>534- Les données sont utilisées pour un meilleur pilotage du système/ les activités sont planifiées sur la base d’indicateurs de performance</v>
      </c>
      <c r="AC1608" s="20" t="str">
        <f>D1608 &amp; "-" &amp; VLOOKUP(D1608,[4]STRATEGIES!$E$1:$F$504,2,FALSE)</f>
        <v>5341-Appui aux sessions de pilotage et suivi de la mise en œuvre des recommandations</v>
      </c>
      <c r="AD1608" s="21" t="str">
        <f t="shared" si="240"/>
        <v>53414-Diffusion des recommandations par des canaux de communication (radio, TV, Meeting, etc.</v>
      </c>
    </row>
    <row r="1609" spans="1:30" s="22" customFormat="1" ht="60" hidden="1" customHeight="1" x14ac:dyDescent="0.8">
      <c r="A1609" s="14">
        <v>5</v>
      </c>
      <c r="B1609" s="15">
        <v>53</v>
      </c>
      <c r="C1609" s="15">
        <v>534</v>
      </c>
      <c r="D1609" s="15">
        <v>5341</v>
      </c>
      <c r="E1609" s="15">
        <v>53415</v>
      </c>
      <c r="F1609" s="16" t="s">
        <v>2055</v>
      </c>
      <c r="G1609" s="21" t="s">
        <v>2056</v>
      </c>
      <c r="H1609" s="17" t="s">
        <v>73</v>
      </c>
      <c r="I1609" s="33">
        <v>0</v>
      </c>
      <c r="J1609" s="33">
        <f t="shared" si="241"/>
        <v>9</v>
      </c>
      <c r="K1609" s="33">
        <f t="shared" si="241"/>
        <v>9</v>
      </c>
      <c r="L1609" s="33">
        <f t="shared" si="241"/>
        <v>9</v>
      </c>
      <c r="M1609" s="33">
        <f>SUM(I1609:L1609)</f>
        <v>27</v>
      </c>
      <c r="N1609" s="33">
        <f>IF(OR(H1609="",H1609="sif",H1609="PM"),0,VLOOKUP(H1609,[5]CU!$C$4:$H$255,6,FALSE))</f>
        <v>0.4</v>
      </c>
      <c r="O1609" s="33">
        <f t="shared" si="242"/>
        <v>0</v>
      </c>
      <c r="P1609" s="33">
        <f t="shared" si="242"/>
        <v>3.6</v>
      </c>
      <c r="Q1609" s="33">
        <f t="shared" si="242"/>
        <v>3.6</v>
      </c>
      <c r="R1609" s="33">
        <f t="shared" si="242"/>
        <v>3.6</v>
      </c>
      <c r="S1609" s="33">
        <f t="shared" si="243"/>
        <v>10.8</v>
      </c>
      <c r="T1609" s="35" t="s">
        <v>39</v>
      </c>
      <c r="U1609" s="19" t="s">
        <v>1873</v>
      </c>
      <c r="V1609" s="19" t="str">
        <f>IF(OR($H1609="",$H1609="sif",$H1609="PM"),"",VLOOKUP($H1609,[5]CU!$C$5:$J$255,8,FALSE))</f>
        <v>3. Dépenses de fonctionnement</v>
      </c>
      <c r="W1609" s="19" t="s">
        <v>96</v>
      </c>
      <c r="X1609" s="19" t="s">
        <v>2057</v>
      </c>
      <c r="Y1609" s="19" t="s">
        <v>677</v>
      </c>
      <c r="Z1609" s="18" t="str">
        <f>A1609 &amp; "-" &amp; VLOOKUP(A1609,[4]PROGRAMMES!$E$1:$F$7,2,FALSE)</f>
        <v>5-Gouvernance et pilotage du secteur</v>
      </c>
      <c r="AA1609" s="19" t="str">
        <f>B1609 &amp; "-" &amp; VLOOKUP(B1609,[4]SOUSPROGRAMMES!$E$1:$F$44,2,FALSE)</f>
        <v xml:space="preserve">53- Systèmes d’information pour la gestion de l'éducation (collecte, analyse, diffusion, et utilisation des informations) </v>
      </c>
      <c r="AB1609" s="19" t="str">
        <f>C1609 &amp; "-" &amp; VLOOKUP(C1609,[4]RESULTATS!$E$1:$F$176,2,FALSE)</f>
        <v>534- Les données sont utilisées pour un meilleur pilotage du système/ les activités sont planifiées sur la base d’indicateurs de performance</v>
      </c>
      <c r="AC1609" s="20" t="str">
        <f>D1609 &amp; "-" &amp; VLOOKUP(D1609,[4]STRATEGIES!$E$1:$F$504,2,FALSE)</f>
        <v>5341-Appui aux sessions de pilotage et suivi de la mise en œuvre des recommandations</v>
      </c>
      <c r="AD1609" s="21" t="str">
        <f t="shared" si="240"/>
        <v>53415-Diffusion des recommandations par des canaux de communication (radio, TV, Meeting, etc.</v>
      </c>
    </row>
    <row r="1610" spans="1:30" s="22" customFormat="1" ht="60" hidden="1" customHeight="1" x14ac:dyDescent="0.8">
      <c r="A1610" s="14">
        <v>5</v>
      </c>
      <c r="B1610" s="15">
        <v>53</v>
      </c>
      <c r="C1610" s="15">
        <v>534</v>
      </c>
      <c r="D1610" s="15">
        <v>5341</v>
      </c>
      <c r="E1610" s="15">
        <v>53417</v>
      </c>
      <c r="F1610" s="16" t="s">
        <v>2058</v>
      </c>
      <c r="G1610" s="21" t="s">
        <v>1017</v>
      </c>
      <c r="H1610" s="17" t="s">
        <v>59</v>
      </c>
      <c r="I1610" s="33">
        <v>0</v>
      </c>
      <c r="J1610" s="33">
        <f>2*8*5</f>
        <v>80</v>
      </c>
      <c r="K1610" s="33">
        <f>2*8*5</f>
        <v>80</v>
      </c>
      <c r="L1610" s="33">
        <f>2*8*5</f>
        <v>80</v>
      </c>
      <c r="M1610" s="33">
        <f>SUM(I1610:L1610)</f>
        <v>240</v>
      </c>
      <c r="N1610" s="33">
        <f>IF(OR(H1610="",H1610="sif",H1610="PM"),0,VLOOKUP(H1610,[5]CU!$C$4:$H$255,6,FALSE))</f>
        <v>0.8177777777777776</v>
      </c>
      <c r="O1610" s="33">
        <f t="shared" si="242"/>
        <v>0</v>
      </c>
      <c r="P1610" s="33">
        <f t="shared" si="242"/>
        <v>65.422222222222203</v>
      </c>
      <c r="Q1610" s="33">
        <f t="shared" si="242"/>
        <v>65.422222222222203</v>
      </c>
      <c r="R1610" s="33">
        <f t="shared" si="242"/>
        <v>65.422222222222203</v>
      </c>
      <c r="S1610" s="33">
        <f t="shared" si="243"/>
        <v>196.26666666666659</v>
      </c>
      <c r="T1610" s="35" t="s">
        <v>39</v>
      </c>
      <c r="U1610" s="19" t="s">
        <v>1873</v>
      </c>
      <c r="V1610" s="19" t="str">
        <f>IF(OR($H1610="",$H1610="sif",$H1610="PM"),"",VLOOKUP($H1610,[5]CU!$C$5:$J$255,8,FALSE))</f>
        <v>3. Dépenses de fonctionnement</v>
      </c>
      <c r="W1610" s="19" t="s">
        <v>273</v>
      </c>
      <c r="X1610" s="19" t="s">
        <v>273</v>
      </c>
      <c r="Y1610" s="19" t="s">
        <v>32</v>
      </c>
      <c r="Z1610" s="18" t="str">
        <f>A1610 &amp; "-" &amp; VLOOKUP(A1610,[4]PROGRAMMES!$E$1:$F$7,2,FALSE)</f>
        <v>5-Gouvernance et pilotage du secteur</v>
      </c>
      <c r="AA1610" s="19" t="str">
        <f>B1610 &amp; "-" &amp; VLOOKUP(B1610,[4]SOUSPROGRAMMES!$E$1:$F$44,2,FALSE)</f>
        <v xml:space="preserve">53- Systèmes d’information pour la gestion de l'éducation (collecte, analyse, diffusion, et utilisation des informations) </v>
      </c>
      <c r="AB1610" s="19" t="str">
        <f>C1610 &amp; "-" &amp; VLOOKUP(C1610,[4]RESULTATS!$E$1:$F$176,2,FALSE)</f>
        <v>534- Les données sont utilisées pour un meilleur pilotage du système/ les activités sont planifiées sur la base d’indicateurs de performance</v>
      </c>
      <c r="AC1610" s="20" t="str">
        <f>D1610 &amp; "-" &amp; VLOOKUP(D1610,[4]STRATEGIES!$E$1:$F$504,2,FALSE)</f>
        <v>5341-Appui aux sessions de pilotage et suivi de la mise en œuvre des recommandations</v>
      </c>
      <c r="AD1610" s="21" t="str">
        <f t="shared" si="240"/>
        <v>53417-Evaluation de la mise en œuvre des recommandations des sessions de pilotage aux différents niveaux (IRE, DPE/DCE, DSEE)</v>
      </c>
    </row>
    <row r="1611" spans="1:30" s="22" customFormat="1" ht="60" hidden="1" customHeight="1" x14ac:dyDescent="0.8">
      <c r="A1611" s="14">
        <v>5</v>
      </c>
      <c r="B1611" s="15">
        <v>53</v>
      </c>
      <c r="C1611" s="15">
        <v>534</v>
      </c>
      <c r="D1611" s="15">
        <v>5341</v>
      </c>
      <c r="E1611" s="15">
        <v>53418</v>
      </c>
      <c r="F1611" s="16" t="s">
        <v>2059</v>
      </c>
      <c r="G1611" s="21" t="s">
        <v>1017</v>
      </c>
      <c r="H1611" s="17" t="s">
        <v>59</v>
      </c>
      <c r="I1611" s="33">
        <v>0</v>
      </c>
      <c r="J1611" s="33">
        <f>2*10</f>
        <v>20</v>
      </c>
      <c r="K1611" s="33">
        <f>2*10</f>
        <v>20</v>
      </c>
      <c r="L1611" s="33">
        <f>2*10</f>
        <v>20</v>
      </c>
      <c r="M1611" s="33">
        <f>2*10</f>
        <v>20</v>
      </c>
      <c r="N1611" s="33">
        <f>IF(OR(H1611="",H1611="sif",H1611="PM"),0,VLOOKUP(H1611,[5]CU!$C$4:$H$255,6,FALSE))</f>
        <v>0.8177777777777776</v>
      </c>
      <c r="O1611" s="33">
        <f t="shared" si="242"/>
        <v>0</v>
      </c>
      <c r="P1611" s="33">
        <f t="shared" si="242"/>
        <v>16.355555555555551</v>
      </c>
      <c r="Q1611" s="33">
        <f t="shared" si="242"/>
        <v>16.355555555555551</v>
      </c>
      <c r="R1611" s="33">
        <f t="shared" si="242"/>
        <v>16.355555555555551</v>
      </c>
      <c r="S1611" s="33">
        <f t="shared" si="243"/>
        <v>49.066666666666649</v>
      </c>
      <c r="T1611" s="35" t="s">
        <v>39</v>
      </c>
      <c r="U1611" s="19" t="s">
        <v>1873</v>
      </c>
      <c r="V1611" s="19" t="str">
        <f>IF(OR($H1611="",$H1611="sif",$H1611="PM"),"",VLOOKUP($H1611,[5]CU!$C$5:$J$255,8,FALSE))</f>
        <v>3. Dépenses de fonctionnement</v>
      </c>
      <c r="W1611" s="19" t="s">
        <v>273</v>
      </c>
      <c r="X1611" s="19" t="s">
        <v>273</v>
      </c>
      <c r="Y1611" s="19" t="s">
        <v>679</v>
      </c>
      <c r="Z1611" s="18" t="str">
        <f>A1611 &amp; "-" &amp; VLOOKUP(A1611,[4]PROGRAMMES!$E$1:$F$7,2,FALSE)</f>
        <v>5-Gouvernance et pilotage du secteur</v>
      </c>
      <c r="AA1611" s="19" t="str">
        <f>B1611 &amp; "-" &amp; VLOOKUP(B1611,[4]SOUSPROGRAMMES!$E$1:$F$44,2,FALSE)</f>
        <v xml:space="preserve">53- Systèmes d’information pour la gestion de l'éducation (collecte, analyse, diffusion, et utilisation des informations) </v>
      </c>
      <c r="AB1611" s="19" t="str">
        <f>C1611 &amp; "-" &amp; VLOOKUP(C1611,[4]RESULTATS!$E$1:$F$176,2,FALSE)</f>
        <v>534- Les données sont utilisées pour un meilleur pilotage du système/ les activités sont planifiées sur la base d’indicateurs de performance</v>
      </c>
      <c r="AC1611" s="20" t="str">
        <f>D1611 &amp; "-" &amp; VLOOKUP(D1611,[4]STRATEGIES!$E$1:$F$504,2,FALSE)</f>
        <v>5341-Appui aux sessions de pilotage et suivi de la mise en œuvre des recommandations</v>
      </c>
      <c r="AD1611" s="21" t="str">
        <f t="shared" si="240"/>
        <v xml:space="preserve">53418-Evaluation de la mise en œuvre des recommandations des sessions de pilotage aux différents niveaux </v>
      </c>
    </row>
    <row r="1612" spans="1:30" s="22" customFormat="1" ht="60" hidden="1" customHeight="1" x14ac:dyDescent="0.8">
      <c r="A1612" s="14">
        <v>5</v>
      </c>
      <c r="B1612" s="15">
        <v>53</v>
      </c>
      <c r="C1612" s="15">
        <v>534</v>
      </c>
      <c r="D1612" s="15">
        <v>5341</v>
      </c>
      <c r="E1612" s="15">
        <v>53419</v>
      </c>
      <c r="F1612" s="16" t="s">
        <v>2059</v>
      </c>
      <c r="G1612" s="21" t="s">
        <v>1017</v>
      </c>
      <c r="H1612" s="17" t="s">
        <v>59</v>
      </c>
      <c r="I1612" s="33">
        <v>0</v>
      </c>
      <c r="J1612" s="33">
        <f>2*5*5</f>
        <v>50</v>
      </c>
      <c r="K1612" s="33">
        <f>2*5*5</f>
        <v>50</v>
      </c>
      <c r="L1612" s="33">
        <f>2*5*5</f>
        <v>50</v>
      </c>
      <c r="M1612" s="33">
        <f>2*5*5</f>
        <v>50</v>
      </c>
      <c r="N1612" s="33">
        <f>IF(OR(H1612="",H1612="sif",H1612="PM"),0,VLOOKUP(H1612,[5]CU!$C$4:$H$255,6,FALSE))</f>
        <v>0.8177777777777776</v>
      </c>
      <c r="O1612" s="33">
        <f t="shared" si="242"/>
        <v>0</v>
      </c>
      <c r="P1612" s="33">
        <f t="shared" si="242"/>
        <v>40.888888888888879</v>
      </c>
      <c r="Q1612" s="33">
        <f t="shared" si="242"/>
        <v>40.888888888888879</v>
      </c>
      <c r="R1612" s="33">
        <f t="shared" si="242"/>
        <v>40.888888888888879</v>
      </c>
      <c r="S1612" s="33">
        <f t="shared" si="243"/>
        <v>122.66666666666663</v>
      </c>
      <c r="T1612" s="35" t="s">
        <v>39</v>
      </c>
      <c r="U1612" s="19" t="s">
        <v>1873</v>
      </c>
      <c r="V1612" s="19" t="str">
        <f>IF(OR($H1612="",$H1612="sif",$H1612="PM"),"",VLOOKUP($H1612,[5]CU!$C$5:$J$255,8,FALSE))</f>
        <v>3. Dépenses de fonctionnement</v>
      </c>
      <c r="W1612" s="19" t="s">
        <v>273</v>
      </c>
      <c r="X1612" s="19" t="s">
        <v>273</v>
      </c>
      <c r="Y1612" s="19" t="s">
        <v>677</v>
      </c>
      <c r="Z1612" s="18" t="str">
        <f>A1612 &amp; "-" &amp; VLOOKUP(A1612,[4]PROGRAMMES!$E$1:$F$7,2,FALSE)</f>
        <v>5-Gouvernance et pilotage du secteur</v>
      </c>
      <c r="AA1612" s="19" t="str">
        <f>B1612 &amp; "-" &amp; VLOOKUP(B1612,[4]SOUSPROGRAMMES!$E$1:$F$44,2,FALSE)</f>
        <v xml:space="preserve">53- Systèmes d’information pour la gestion de l'éducation (collecte, analyse, diffusion, et utilisation des informations) </v>
      </c>
      <c r="AB1612" s="19" t="str">
        <f>C1612 &amp; "-" &amp; VLOOKUP(C1612,[4]RESULTATS!$E$1:$F$176,2,FALSE)</f>
        <v>534- Les données sont utilisées pour un meilleur pilotage du système/ les activités sont planifiées sur la base d’indicateurs de performance</v>
      </c>
      <c r="AC1612" s="20" t="str">
        <f>D1612 &amp; "-" &amp; VLOOKUP(D1612,[4]STRATEGIES!$E$1:$F$504,2,FALSE)</f>
        <v>5341-Appui aux sessions de pilotage et suivi de la mise en œuvre des recommandations</v>
      </c>
      <c r="AD1612" s="21" t="str">
        <f t="shared" si="240"/>
        <v xml:space="preserve">53419-Evaluation de la mise en œuvre des recommandations des sessions de pilotage aux différents niveaux </v>
      </c>
    </row>
    <row r="1613" spans="1:30" s="22" customFormat="1" ht="30" hidden="1" customHeight="1" x14ac:dyDescent="0.8">
      <c r="A1613" s="14">
        <v>5</v>
      </c>
      <c r="B1613" s="15">
        <v>54</v>
      </c>
      <c r="C1613" s="15">
        <v>54</v>
      </c>
      <c r="D1613" s="15">
        <v>54</v>
      </c>
      <c r="E1613" s="15">
        <v>54</v>
      </c>
      <c r="F1613" s="16" t="s">
        <v>2060</v>
      </c>
      <c r="G1613" s="17"/>
      <c r="H1613" s="17"/>
      <c r="I1613" s="33">
        <v>0</v>
      </c>
      <c r="J1613" s="33"/>
      <c r="K1613" s="33"/>
      <c r="L1613" s="33"/>
      <c r="M1613" s="33"/>
      <c r="N1613" s="33"/>
      <c r="O1613" s="33"/>
      <c r="P1613" s="33"/>
      <c r="Q1613" s="33"/>
      <c r="R1613" s="33"/>
      <c r="S1613" s="33"/>
      <c r="T1613" s="33"/>
      <c r="U1613" s="18"/>
      <c r="V1613" s="18"/>
      <c r="W1613" s="18"/>
      <c r="X1613" s="18"/>
      <c r="Y1613" s="18"/>
      <c r="Z1613" s="18" t="str">
        <f>A1613 &amp; "-" &amp; VLOOKUP(A1613,[4]PROGRAMMES!$E$1:$F$7,2,FALSE)</f>
        <v>5-Gouvernance et pilotage du secteur</v>
      </c>
      <c r="AA1613" s="19" t="str">
        <f>B1613 &amp; "-" &amp; VLOOKUP(B1613,[4]SOUSPROGRAMMES!$E$1:$F$44,2,FALSE)</f>
        <v>54- Conception de plans de développement et gestion de projets</v>
      </c>
      <c r="AB1613" s="19" t="str">
        <f>C1613 &amp; "-" &amp; VLOOKUP(C1613,[4]RESULTATS!$E$1:$F$176,2,FALSE)</f>
        <v>54- Conception de plans de développement et gestion de projets</v>
      </c>
      <c r="AC1613" s="20" t="str">
        <f>D1613 &amp; "-" &amp; VLOOKUP(D1613,[4]STRATEGIES!$E$1:$F$504,2,FALSE)</f>
        <v>54- Conception de plans de développement et gestion de projets</v>
      </c>
      <c r="AD1613" s="21" t="str">
        <f t="shared" si="240"/>
        <v>54- Conception de plans de développement et gestion de projets</v>
      </c>
    </row>
    <row r="1614" spans="1:30" s="22" customFormat="1" ht="60" hidden="1" customHeight="1" x14ac:dyDescent="0.8">
      <c r="A1614" s="14">
        <v>5</v>
      </c>
      <c r="B1614" s="15">
        <v>54</v>
      </c>
      <c r="C1614" s="15">
        <v>541</v>
      </c>
      <c r="D1614" s="15">
        <v>541</v>
      </c>
      <c r="E1614" s="15">
        <v>541</v>
      </c>
      <c r="F1614" s="16" t="s">
        <v>2061</v>
      </c>
      <c r="G1614" s="17"/>
      <c r="H1614" s="17"/>
      <c r="I1614" s="33">
        <v>0</v>
      </c>
      <c r="J1614" s="33"/>
      <c r="K1614" s="33"/>
      <c r="L1614" s="33"/>
      <c r="M1614" s="33"/>
      <c r="N1614" s="33"/>
      <c r="O1614" s="33"/>
      <c r="P1614" s="33"/>
      <c r="Q1614" s="33"/>
      <c r="R1614" s="33"/>
      <c r="S1614" s="33"/>
      <c r="T1614" s="33"/>
      <c r="U1614" s="18"/>
      <c r="V1614" s="18"/>
      <c r="W1614" s="18"/>
      <c r="X1614" s="18"/>
      <c r="Y1614" s="18"/>
      <c r="Z1614" s="18" t="str">
        <f>A1614 &amp; "-" &amp; VLOOKUP(A1614,[4]PROGRAMMES!$E$1:$F$7,2,FALSE)</f>
        <v>5-Gouvernance et pilotage du secteur</v>
      </c>
      <c r="AA1614" s="19" t="str">
        <f>B1614 &amp; "-" &amp; VLOOKUP(B1614,[4]SOUSPROGRAMMES!$E$1:$F$44,2,FALSE)</f>
        <v>54- Conception de plans de développement et gestion de projets</v>
      </c>
      <c r="AB1614" s="19" t="str">
        <f>C1614 &amp; "-" &amp; VLOOKUP(C1614,[4]RESULTATS!$E$1:$F$176,2,FALSE)</f>
        <v>541- Les BSD ont les compétences nécessaires à la conception, l’élaboration, le suivi et l’évaluation des projets et plans de dévéloppement</v>
      </c>
      <c r="AC1614" s="20" t="str">
        <f>D1614 &amp; "-" &amp; VLOOKUP(D1614,[4]STRATEGIES!$E$1:$F$504,2,FALSE)</f>
        <v>541- Les BSD ont les compétences nécessaires à la conception, l’élaboration, le suivi et l’évaluation des projets et plans de dévéloppement</v>
      </c>
      <c r="AD1614" s="21" t="str">
        <f t="shared" si="240"/>
        <v>541- Les BSD ont les compétences nécessaires à la conception, l’élaboration, le suivi et l’évaluation des projets et plans de dévéloppement</v>
      </c>
    </row>
    <row r="1615" spans="1:30" s="22" customFormat="1" ht="60" hidden="1" customHeight="1" x14ac:dyDescent="0.8">
      <c r="A1615" s="14">
        <v>5</v>
      </c>
      <c r="B1615" s="15">
        <v>54</v>
      </c>
      <c r="C1615" s="15">
        <v>541</v>
      </c>
      <c r="D1615" s="15">
        <v>5411</v>
      </c>
      <c r="E1615" s="15">
        <v>5411</v>
      </c>
      <c r="F1615" s="16" t="s">
        <v>2062</v>
      </c>
      <c r="G1615" s="17"/>
      <c r="H1615" s="17"/>
      <c r="I1615" s="33">
        <v>0</v>
      </c>
      <c r="J1615" s="33"/>
      <c r="K1615" s="33"/>
      <c r="L1615" s="33"/>
      <c r="M1615" s="33"/>
      <c r="N1615" s="33"/>
      <c r="O1615" s="33"/>
      <c r="P1615" s="33"/>
      <c r="Q1615" s="33"/>
      <c r="R1615" s="33"/>
      <c r="S1615" s="33"/>
      <c r="T1615" s="33"/>
      <c r="U1615" s="18"/>
      <c r="V1615" s="18"/>
      <c r="W1615" s="18"/>
      <c r="X1615" s="18"/>
      <c r="Y1615" s="18"/>
      <c r="Z1615" s="18" t="str">
        <f>A1615 &amp; "-" &amp; VLOOKUP(A1615,[4]PROGRAMMES!$E$1:$F$7,2,FALSE)</f>
        <v>5-Gouvernance et pilotage du secteur</v>
      </c>
      <c r="AA1615" s="19" t="str">
        <f>B1615 &amp; "-" &amp; VLOOKUP(B1615,[4]SOUSPROGRAMMES!$E$1:$F$44,2,FALSE)</f>
        <v>54- Conception de plans de développement et gestion de projets</v>
      </c>
      <c r="AB1615" s="19" t="str">
        <f>C1615 &amp; "-" &amp; VLOOKUP(C1615,[4]RESULTATS!$E$1:$F$176,2,FALSE)</f>
        <v>541- Les BSD ont les compétences nécessaires à la conception, l’élaboration, le suivi et l’évaluation des projets et plans de dévéloppement</v>
      </c>
      <c r="AC1615" s="20" t="str">
        <f>D1615 &amp; "-" &amp; VLOOKUP(D1615,[4]STRATEGIES!$E$1:$F$504,2,FALSE)</f>
        <v>5411-Analyse du fonctionnement et des résultats des BSD dans ce domaine</v>
      </c>
      <c r="AD1615" s="21" t="str">
        <f t="shared" si="240"/>
        <v>5411-Analyse du fonctionnement et des résultats des BSD dans ce domaine</v>
      </c>
    </row>
    <row r="1616" spans="1:30" s="22" customFormat="1" ht="60" hidden="1" customHeight="1" x14ac:dyDescent="0.8">
      <c r="A1616" s="14">
        <v>5</v>
      </c>
      <c r="B1616" s="15">
        <v>54</v>
      </c>
      <c r="C1616" s="15">
        <v>541</v>
      </c>
      <c r="D1616" s="15">
        <v>5411</v>
      </c>
      <c r="E1616" s="15">
        <v>54111</v>
      </c>
      <c r="F1616" s="16" t="s">
        <v>2063</v>
      </c>
      <c r="G1616" s="21" t="s">
        <v>100</v>
      </c>
      <c r="H1616" s="17" t="s">
        <v>646</v>
      </c>
      <c r="I1616" s="33">
        <v>0</v>
      </c>
      <c r="J1616" s="33">
        <f>2*15*3</f>
        <v>90</v>
      </c>
      <c r="K1616" s="33"/>
      <c r="L1616" s="33"/>
      <c r="M1616" s="33">
        <f>SUM(I1616:L1616)</f>
        <v>90</v>
      </c>
      <c r="N1616" s="33">
        <f>IF(OR(H1616="",H1616="sif",H1616="PM"),0,VLOOKUP(H1616,[5]CU!$C$4:$H$255,6,FALSE))</f>
        <v>10.404797</v>
      </c>
      <c r="O1616" s="33">
        <f t="shared" si="242"/>
        <v>0</v>
      </c>
      <c r="P1616" s="33">
        <f t="shared" si="242"/>
        <v>936.43173000000002</v>
      </c>
      <c r="Q1616" s="33">
        <f t="shared" si="242"/>
        <v>0</v>
      </c>
      <c r="R1616" s="33">
        <f t="shared" si="242"/>
        <v>0</v>
      </c>
      <c r="S1616" s="33">
        <f t="shared" si="243"/>
        <v>936.43173000000002</v>
      </c>
      <c r="T1616" s="35" t="s">
        <v>39</v>
      </c>
      <c r="U1616" s="19" t="s">
        <v>1873</v>
      </c>
      <c r="V1616" s="19" t="str">
        <f>IF(OR($H1616="",$H1616="sif",$H1616="PM"),"",VLOOKUP($H1616,[5]CU!$C$5:$J$255,8,FALSE))</f>
        <v>3. Dépenses de fonctionnement</v>
      </c>
      <c r="W1616" s="19" t="s">
        <v>96</v>
      </c>
      <c r="X1616" s="19" t="s">
        <v>96</v>
      </c>
      <c r="Y1616" s="19" t="s">
        <v>32</v>
      </c>
      <c r="Z1616" s="18" t="str">
        <f>A1616 &amp; "-" &amp; VLOOKUP(A1616,[4]PROGRAMMES!$E$1:$F$7,2,FALSE)</f>
        <v>5-Gouvernance et pilotage du secteur</v>
      </c>
      <c r="AA1616" s="19" t="str">
        <f>B1616 &amp; "-" &amp; VLOOKUP(B1616,[4]SOUSPROGRAMMES!$E$1:$F$44,2,FALSE)</f>
        <v>54- Conception de plans de développement et gestion de projets</v>
      </c>
      <c r="AB1616" s="19" t="str">
        <f>C1616 &amp; "-" &amp; VLOOKUP(C1616,[4]RESULTATS!$E$1:$F$176,2,FALSE)</f>
        <v>541- Les BSD ont les compétences nécessaires à la conception, l’élaboration, le suivi et l’évaluation des projets et plans de dévéloppement</v>
      </c>
      <c r="AC1616" s="20" t="str">
        <f>D1616 &amp; "-" &amp; VLOOKUP(D1616,[4]STRATEGIES!$E$1:$F$504,2,FALSE)</f>
        <v>5411-Analyse du fonctionnement et des résultats des BSD dans ce domaine</v>
      </c>
      <c r="AD1616" s="21" t="str">
        <f t="shared" si="240"/>
        <v>54111-DéFinition des tâches et des profils des BSD et de l'adéquation des profils disponibles aux missions (BSD MENA, MESRS, METFP)</v>
      </c>
    </row>
    <row r="1617" spans="1:30" s="22" customFormat="1" ht="60" hidden="1" customHeight="1" x14ac:dyDescent="0.8">
      <c r="A1617" s="14">
        <v>5</v>
      </c>
      <c r="B1617" s="15">
        <v>54</v>
      </c>
      <c r="C1617" s="15">
        <v>541</v>
      </c>
      <c r="D1617" s="15">
        <v>5411</v>
      </c>
      <c r="E1617" s="15">
        <v>54112</v>
      </c>
      <c r="F1617" s="16" t="s">
        <v>2064</v>
      </c>
      <c r="G1617" s="21" t="s">
        <v>2065</v>
      </c>
      <c r="H1617" s="17" t="s">
        <v>55</v>
      </c>
      <c r="I1617" s="33">
        <v>0</v>
      </c>
      <c r="J1617" s="33"/>
      <c r="K1617" s="33"/>
      <c r="L1617" s="33"/>
      <c r="M1617" s="33"/>
      <c r="N1617" s="33">
        <f>IF(OR(H1617="",H1617="sif",H1617="PM"),0,VLOOKUP(H1617,[5]CU!$C$4:$H$255,6,FALSE))</f>
        <v>0</v>
      </c>
      <c r="O1617" s="33"/>
      <c r="P1617" s="33"/>
      <c r="Q1617" s="33"/>
      <c r="R1617" s="33"/>
      <c r="S1617" s="33"/>
      <c r="T1617" s="35" t="s">
        <v>56</v>
      </c>
      <c r="U1617" s="18" t="s">
        <v>1873</v>
      </c>
      <c r="V1617" s="18" t="str">
        <f>IF(OR($H1617="",$H1617="sif",$H1617="PM"),"",VLOOKUP($H1617,[5]CU!$C$5:$J$255,8,FALSE))</f>
        <v/>
      </c>
      <c r="W1617" s="18" t="s">
        <v>96</v>
      </c>
      <c r="X1617" s="18" t="s">
        <v>96</v>
      </c>
      <c r="Y1617" s="18" t="s">
        <v>2066</v>
      </c>
      <c r="Z1617" s="18" t="str">
        <f>A1617 &amp; "-" &amp; VLOOKUP(A1617,[4]PROGRAMMES!$E$1:$F$7,2,FALSE)</f>
        <v>5-Gouvernance et pilotage du secteur</v>
      </c>
      <c r="AA1617" s="19" t="str">
        <f>B1617 &amp; "-" &amp; VLOOKUP(B1617,[4]SOUSPROGRAMMES!$E$1:$F$44,2,FALSE)</f>
        <v>54- Conception de plans de développement et gestion de projets</v>
      </c>
      <c r="AB1617" s="19" t="str">
        <f>C1617 &amp; "-" &amp; VLOOKUP(C1617,[4]RESULTATS!$E$1:$F$176,2,FALSE)</f>
        <v>541- Les BSD ont les compétences nécessaires à la conception, l’élaboration, le suivi et l’évaluation des projets et plans de dévéloppement</v>
      </c>
      <c r="AC1617" s="20" t="str">
        <f>D1617 &amp; "-" &amp; VLOOKUP(D1617,[4]STRATEGIES!$E$1:$F$504,2,FALSE)</f>
        <v>5411-Analyse du fonctionnement et des résultats des BSD dans ce domaine</v>
      </c>
      <c r="AD1617" s="21" t="str">
        <f t="shared" si="240"/>
        <v>54112-Elaboration d'un plan de renforcement des capacités et d'un plan de recrutement ou de redéploiement pour les 3 BSD (pris en compte dans activité 54111)</v>
      </c>
    </row>
    <row r="1618" spans="1:30" s="22" customFormat="1" ht="60" hidden="1" customHeight="1" x14ac:dyDescent="0.8">
      <c r="A1618" s="14">
        <v>5</v>
      </c>
      <c r="B1618" s="15">
        <v>54</v>
      </c>
      <c r="C1618" s="15">
        <v>541</v>
      </c>
      <c r="D1618" s="15">
        <v>5411</v>
      </c>
      <c r="E1618" s="15">
        <v>54113</v>
      </c>
      <c r="F1618" s="16" t="s">
        <v>2067</v>
      </c>
      <c r="G1618" s="21" t="s">
        <v>92</v>
      </c>
      <c r="H1618" s="17" t="s">
        <v>55</v>
      </c>
      <c r="I1618" s="33">
        <v>0</v>
      </c>
      <c r="J1618" s="33"/>
      <c r="K1618" s="33"/>
      <c r="L1618" s="33"/>
      <c r="M1618" s="33"/>
      <c r="N1618" s="33">
        <f>IF(OR(H1618="",H1618="sif",H1618="PM"),0,VLOOKUP(H1618,[5]CU!$C$4:$H$255,6,FALSE))</f>
        <v>0</v>
      </c>
      <c r="O1618" s="33"/>
      <c r="P1618" s="33"/>
      <c r="Q1618" s="33"/>
      <c r="R1618" s="33"/>
      <c r="S1618" s="33"/>
      <c r="T1618" s="35" t="s">
        <v>56</v>
      </c>
      <c r="U1618" s="18" t="s">
        <v>1873</v>
      </c>
      <c r="V1618" s="18" t="str">
        <f>IF(OR($H1618="",$H1618="sif",$H1618="PM"),"",VLOOKUP($H1618,[5]CU!$C$5:$J$255,8,FALSE))</f>
        <v/>
      </c>
      <c r="W1618" s="18" t="s">
        <v>96</v>
      </c>
      <c r="X1618" s="18" t="s">
        <v>96</v>
      </c>
      <c r="Y1618" s="19" t="s">
        <v>32</v>
      </c>
      <c r="Z1618" s="18" t="str">
        <f>A1618 &amp; "-" &amp; VLOOKUP(A1618,[4]PROGRAMMES!$E$1:$F$7,2,FALSE)</f>
        <v>5-Gouvernance et pilotage du secteur</v>
      </c>
      <c r="AA1618" s="19" t="str">
        <f>B1618 &amp; "-" &amp; VLOOKUP(B1618,[4]SOUSPROGRAMMES!$E$1:$F$44,2,FALSE)</f>
        <v>54- Conception de plans de développement et gestion de projets</v>
      </c>
      <c r="AB1618" s="19" t="str">
        <f>C1618 &amp; "-" &amp; VLOOKUP(C1618,[4]RESULTATS!$E$1:$F$176,2,FALSE)</f>
        <v>541- Les BSD ont les compétences nécessaires à la conception, l’élaboration, le suivi et l’évaluation des projets et plans de dévéloppement</v>
      </c>
      <c r="AC1618" s="20" t="str">
        <f>D1618 &amp; "-" &amp; VLOOKUP(D1618,[4]STRATEGIES!$E$1:$F$504,2,FALSE)</f>
        <v>5411-Analyse du fonctionnement et des résultats des BSD dans ce domaine</v>
      </c>
      <c r="AD1618" s="21" t="str">
        <f t="shared" si="240"/>
        <v>54113-Elaboration d'un manuel de procédures et d'un guide décrivant la mise en œuvre des tâches par service des 3 BSD (divisions, sections, etc.) (pris en compte dans activité 54111)</v>
      </c>
    </row>
    <row r="1619" spans="1:30" s="22" customFormat="1" ht="60" hidden="1" customHeight="1" x14ac:dyDescent="0.8">
      <c r="A1619" s="14">
        <v>5</v>
      </c>
      <c r="B1619" s="15">
        <v>54</v>
      </c>
      <c r="C1619" s="15">
        <v>541</v>
      </c>
      <c r="D1619" s="15">
        <v>5412</v>
      </c>
      <c r="E1619" s="15">
        <v>5412</v>
      </c>
      <c r="F1619" s="16" t="s">
        <v>2068</v>
      </c>
      <c r="G1619" s="17"/>
      <c r="H1619" s="17"/>
      <c r="I1619" s="33">
        <v>0</v>
      </c>
      <c r="J1619" s="33"/>
      <c r="K1619" s="33"/>
      <c r="L1619" s="33"/>
      <c r="M1619" s="33"/>
      <c r="N1619" s="33"/>
      <c r="O1619" s="33"/>
      <c r="P1619" s="33"/>
      <c r="Q1619" s="33"/>
      <c r="R1619" s="33"/>
      <c r="S1619" s="33"/>
      <c r="T1619" s="33"/>
      <c r="U1619" s="18"/>
      <c r="V1619" s="18"/>
      <c r="W1619" s="18"/>
      <c r="X1619" s="18"/>
      <c r="Y1619" s="18"/>
      <c r="Z1619" s="18" t="str">
        <f>A1619 &amp; "-" &amp; VLOOKUP(A1619,[4]PROGRAMMES!$E$1:$F$7,2,FALSE)</f>
        <v>5-Gouvernance et pilotage du secteur</v>
      </c>
      <c r="AA1619" s="19" t="str">
        <f>B1619 &amp; "-" &amp; VLOOKUP(B1619,[4]SOUSPROGRAMMES!$E$1:$F$44,2,FALSE)</f>
        <v>54- Conception de plans de développement et gestion de projets</v>
      </c>
      <c r="AB1619" s="19" t="str">
        <f>C1619 &amp; "-" &amp; VLOOKUP(C1619,[4]RESULTATS!$E$1:$F$176,2,FALSE)</f>
        <v>541- Les BSD ont les compétences nécessaires à la conception, l’élaboration, le suivi et l’évaluation des projets et plans de dévéloppement</v>
      </c>
      <c r="AC1619" s="20" t="str">
        <f>D1619 &amp; "-" &amp; VLOOKUP(D1619,[4]STRATEGIES!$E$1:$F$504,2,FALSE)</f>
        <v>5412-Renforcement des capacités des BSD</v>
      </c>
      <c r="AD1619" s="21" t="str">
        <f t="shared" si="240"/>
        <v>5412-Renforcement des capacités des BSD</v>
      </c>
    </row>
    <row r="1620" spans="1:30" s="22" customFormat="1" ht="60" hidden="1" customHeight="1" x14ac:dyDescent="0.8">
      <c r="A1620" s="14">
        <v>5</v>
      </c>
      <c r="B1620" s="15">
        <v>54</v>
      </c>
      <c r="C1620" s="15">
        <v>541</v>
      </c>
      <c r="D1620" s="15">
        <v>5412</v>
      </c>
      <c r="E1620" s="15">
        <v>54121</v>
      </c>
      <c r="F1620" s="16" t="s">
        <v>2069</v>
      </c>
      <c r="G1620" s="21" t="s">
        <v>2070</v>
      </c>
      <c r="H1620" s="17" t="s">
        <v>2071</v>
      </c>
      <c r="I1620" s="33">
        <v>0</v>
      </c>
      <c r="J1620" s="33">
        <f>(5*2)*33.34%</f>
        <v>3.3340000000000005</v>
      </c>
      <c r="K1620" s="33"/>
      <c r="L1620" s="33"/>
      <c r="M1620" s="33">
        <f>SUM(I1620:L1620)</f>
        <v>3.3340000000000005</v>
      </c>
      <c r="N1620" s="33">
        <f>IF(OR(H1620="",H1620="sif",H1620="PM"),0,VLOOKUP(H1620,[5]CU!$C$4:$H$255,6,FALSE))</f>
        <v>40.32</v>
      </c>
      <c r="O1620" s="33">
        <f>IFERROR($N1620*I1620,0)</f>
        <v>0</v>
      </c>
      <c r="P1620" s="33">
        <f>IFERROR($N1620*J1620,0)</f>
        <v>134.42688000000001</v>
      </c>
      <c r="Q1620" s="33">
        <f>IFERROR($N1620*K1620,0)</f>
        <v>0</v>
      </c>
      <c r="R1620" s="33">
        <f>IFERROR($N1620*L1620,0)</f>
        <v>0</v>
      </c>
      <c r="S1620" s="33">
        <f>SUM(O1620:R1620)</f>
        <v>134.42688000000001</v>
      </c>
      <c r="T1620" s="35" t="s">
        <v>39</v>
      </c>
      <c r="U1620" s="19" t="s">
        <v>1873</v>
      </c>
      <c r="V1620" s="19" t="str">
        <f>IF(OR($H1620="",$H1620="sif",$H1620="PM"),"",VLOOKUP($H1620,[5]CU!$C$5:$J$255,8,FALSE))</f>
        <v>3. Formation</v>
      </c>
      <c r="W1620" s="19" t="s">
        <v>96</v>
      </c>
      <c r="X1620" s="19" t="s">
        <v>96</v>
      </c>
      <c r="Y1620" s="19" t="s">
        <v>32</v>
      </c>
      <c r="Z1620" s="18" t="str">
        <f>A1620 &amp; "-" &amp; VLOOKUP(A1620,[4]PROGRAMMES!$E$1:$F$7,2,FALSE)</f>
        <v>5-Gouvernance et pilotage du secteur</v>
      </c>
      <c r="AA1620" s="19" t="str">
        <f>B1620 &amp; "-" &amp; VLOOKUP(B1620,[4]SOUSPROGRAMMES!$E$1:$F$44,2,FALSE)</f>
        <v>54- Conception de plans de développement et gestion de projets</v>
      </c>
      <c r="AB1620" s="19" t="str">
        <f>C1620 &amp; "-" &amp; VLOOKUP(C1620,[4]RESULTATS!$E$1:$F$176,2,FALSE)</f>
        <v>541- Les BSD ont les compétences nécessaires à la conception, l’élaboration, le suivi et l’évaluation des projets et plans de dévéloppement</v>
      </c>
      <c r="AC1620" s="20" t="str">
        <f>D1620 &amp; "-" &amp; VLOOKUP(D1620,[4]STRATEGIES!$E$1:$F$504,2,FALSE)</f>
        <v>5412-Renforcement des capacités des BSD</v>
      </c>
      <c r="AD1620" s="21" t="str">
        <f t="shared" si="240"/>
        <v>54121-Partage d'expérience avec des services de planification de la sous-région (MENA, MESRS, METFP)</v>
      </c>
    </row>
    <row r="1621" spans="1:30" s="22" customFormat="1" ht="60" hidden="1" customHeight="1" x14ac:dyDescent="0.8">
      <c r="A1621" s="14">
        <v>5</v>
      </c>
      <c r="B1621" s="15">
        <v>54</v>
      </c>
      <c r="C1621" s="15">
        <v>541</v>
      </c>
      <c r="D1621" s="15">
        <v>5412</v>
      </c>
      <c r="E1621" s="15">
        <v>54121</v>
      </c>
      <c r="F1621" s="16" t="s">
        <v>2069</v>
      </c>
      <c r="G1621" s="21" t="s">
        <v>2070</v>
      </c>
      <c r="H1621" s="17" t="s">
        <v>2071</v>
      </c>
      <c r="I1621" s="33">
        <v>0</v>
      </c>
      <c r="J1621" s="33">
        <f>(5*2)*66.66%</f>
        <v>6.6659999999999995</v>
      </c>
      <c r="K1621" s="33"/>
      <c r="L1621" s="33"/>
      <c r="M1621" s="33">
        <f t="shared" ref="M1621:M1633" si="244">SUM(I1621:L1621)</f>
        <v>6.6659999999999995</v>
      </c>
      <c r="N1621" s="33">
        <f>IF(OR(H1621="",H1621="sif",H1621="PM"),0,VLOOKUP(H1621,[5]CU!$C$4:$H$255,6,FALSE))</f>
        <v>40.32</v>
      </c>
      <c r="O1621" s="33">
        <f t="shared" ref="O1621:R1633" si="245">IFERROR($N1621*I1621,0)</f>
        <v>0</v>
      </c>
      <c r="P1621" s="33">
        <f t="shared" si="245"/>
        <v>268.77312000000001</v>
      </c>
      <c r="Q1621" s="33">
        <f t="shared" si="245"/>
        <v>0</v>
      </c>
      <c r="R1621" s="33">
        <f t="shared" si="245"/>
        <v>0</v>
      </c>
      <c r="S1621" s="33">
        <f t="shared" ref="S1621:S1633" si="246">SUM(O1621:R1621)</f>
        <v>268.77312000000001</v>
      </c>
      <c r="T1621" s="35" t="s">
        <v>118</v>
      </c>
      <c r="U1621" s="19" t="s">
        <v>1873</v>
      </c>
      <c r="V1621" s="19" t="str">
        <f>IF(OR($H1621="",$H1621="sif",$H1621="PM"),"",VLOOKUP($H1621,[5]CU!$C$5:$J$255,8,FALSE))</f>
        <v>3. Formation</v>
      </c>
      <c r="W1621" s="19" t="s">
        <v>96</v>
      </c>
      <c r="X1621" s="19" t="s">
        <v>96</v>
      </c>
      <c r="Y1621" s="19" t="s">
        <v>32</v>
      </c>
      <c r="Z1621" s="18" t="str">
        <f>A1621 &amp; "-" &amp; VLOOKUP(A1621,[4]PROGRAMMES!$E$1:$F$7,2,FALSE)</f>
        <v>5-Gouvernance et pilotage du secteur</v>
      </c>
      <c r="AA1621" s="19" t="str">
        <f>B1621 &amp; "-" &amp; VLOOKUP(B1621,[4]SOUSPROGRAMMES!$E$1:$F$44,2,FALSE)</f>
        <v>54- Conception de plans de développement et gestion de projets</v>
      </c>
      <c r="AB1621" s="19" t="str">
        <f>C1621 &amp; "-" &amp; VLOOKUP(C1621,[4]RESULTATS!$E$1:$F$176,2,FALSE)</f>
        <v>541- Les BSD ont les compétences nécessaires à la conception, l’élaboration, le suivi et l’évaluation des projets et plans de dévéloppement</v>
      </c>
      <c r="AC1621" s="20" t="str">
        <f>D1621 &amp; "-" &amp; VLOOKUP(D1621,[4]STRATEGIES!$E$1:$F$504,2,FALSE)</f>
        <v>5412-Renforcement des capacités des BSD</v>
      </c>
      <c r="AD1621" s="21" t="str">
        <f t="shared" si="240"/>
        <v>54121-Partage d'expérience avec des services de planification de la sous-région (MENA, MESRS, METFP)</v>
      </c>
    </row>
    <row r="1622" spans="1:30" s="22" customFormat="1" ht="60" hidden="1" customHeight="1" x14ac:dyDescent="0.8">
      <c r="A1622" s="14">
        <v>5</v>
      </c>
      <c r="B1622" s="15">
        <v>54</v>
      </c>
      <c r="C1622" s="15">
        <v>541</v>
      </c>
      <c r="D1622" s="15">
        <v>5412</v>
      </c>
      <c r="E1622" s="15">
        <v>54122</v>
      </c>
      <c r="F1622" s="16" t="s">
        <v>2072</v>
      </c>
      <c r="G1622" s="21" t="s">
        <v>2073</v>
      </c>
      <c r="H1622" s="17" t="s">
        <v>2074</v>
      </c>
      <c r="I1622" s="33">
        <v>0</v>
      </c>
      <c r="J1622" s="33">
        <f>10</f>
        <v>10</v>
      </c>
      <c r="K1622" s="33">
        <v>8</v>
      </c>
      <c r="L1622" s="33">
        <v>38</v>
      </c>
      <c r="M1622" s="33">
        <f t="shared" si="244"/>
        <v>56</v>
      </c>
      <c r="N1622" s="33">
        <f>IF(OR(H1622="",H1622="sif",H1622="PM"),0,VLOOKUP(H1622,[5]CU!$C$4:$H$255,6,FALSE))</f>
        <v>10.5</v>
      </c>
      <c r="O1622" s="33">
        <f t="shared" si="245"/>
        <v>0</v>
      </c>
      <c r="P1622" s="33">
        <f t="shared" si="245"/>
        <v>105</v>
      </c>
      <c r="Q1622" s="33">
        <f t="shared" si="245"/>
        <v>84</v>
      </c>
      <c r="R1622" s="33">
        <f t="shared" si="245"/>
        <v>399</v>
      </c>
      <c r="S1622" s="33">
        <f t="shared" si="246"/>
        <v>588</v>
      </c>
      <c r="T1622" s="35" t="s">
        <v>118</v>
      </c>
      <c r="U1622" s="18" t="s">
        <v>1873</v>
      </c>
      <c r="V1622" s="18" t="str">
        <f>IF(OR($H1622="",$H1622="sif",$H1622="PM"),"",VLOOKUP($H1622,[5]CU!$C$5:$J$255,8,FALSE))</f>
        <v>5. Investissement</v>
      </c>
      <c r="W1622" s="18" t="s">
        <v>96</v>
      </c>
      <c r="X1622" s="18" t="s">
        <v>96</v>
      </c>
      <c r="Y1622" s="19" t="s">
        <v>32</v>
      </c>
      <c r="Z1622" s="18" t="str">
        <f>A1622 &amp; "-" &amp; VLOOKUP(A1622,[4]PROGRAMMES!$E$1:$F$7,2,FALSE)</f>
        <v>5-Gouvernance et pilotage du secteur</v>
      </c>
      <c r="AA1622" s="19" t="str">
        <f>B1622 &amp; "-" &amp; VLOOKUP(B1622,[4]SOUSPROGRAMMES!$E$1:$F$44,2,FALSE)</f>
        <v>54- Conception de plans de développement et gestion de projets</v>
      </c>
      <c r="AB1622" s="19" t="str">
        <f>C1622 &amp; "-" &amp; VLOOKUP(C1622,[4]RESULTATS!$E$1:$F$176,2,FALSE)</f>
        <v>541- Les BSD ont les compétences nécessaires à la conception, l’élaboration, le suivi et l’évaluation des projets et plans de dévéloppement</v>
      </c>
      <c r="AC1622" s="20" t="str">
        <f>D1622 &amp; "-" &amp; VLOOKUP(D1622,[4]STRATEGIES!$E$1:$F$504,2,FALSE)</f>
        <v>5412-Renforcement des capacités des BSD</v>
      </c>
      <c r="AD1622" s="21" t="str">
        <f t="shared" si="240"/>
        <v>54122-Dotation du BSD MENA en logiciels de gestion de projets</v>
      </c>
    </row>
    <row r="1623" spans="1:30" s="22" customFormat="1" ht="60" hidden="1" customHeight="1" x14ac:dyDescent="0.8">
      <c r="A1623" s="14">
        <v>5</v>
      </c>
      <c r="B1623" s="15">
        <v>54</v>
      </c>
      <c r="C1623" s="15">
        <v>541</v>
      </c>
      <c r="D1623" s="15">
        <v>5412</v>
      </c>
      <c r="E1623" s="15">
        <v>54123</v>
      </c>
      <c r="F1623" s="16" t="s">
        <v>2075</v>
      </c>
      <c r="G1623" s="21" t="s">
        <v>2073</v>
      </c>
      <c r="H1623" s="17" t="s">
        <v>2074</v>
      </c>
      <c r="I1623" s="33">
        <v>0</v>
      </c>
      <c r="J1623" s="33">
        <f>10</f>
        <v>10</v>
      </c>
      <c r="K1623" s="33"/>
      <c r="L1623" s="33"/>
      <c r="M1623" s="33">
        <f t="shared" si="244"/>
        <v>10</v>
      </c>
      <c r="N1623" s="33">
        <f>IF(OR(H1623="",H1623="sif",H1623="PM"),0,VLOOKUP(H1623,[5]CU!$C$4:$H$255,6,FALSE))</f>
        <v>10.5</v>
      </c>
      <c r="O1623" s="33">
        <f t="shared" si="245"/>
        <v>0</v>
      </c>
      <c r="P1623" s="33">
        <f t="shared" si="245"/>
        <v>105</v>
      </c>
      <c r="Q1623" s="33">
        <f t="shared" si="245"/>
        <v>0</v>
      </c>
      <c r="R1623" s="33">
        <f t="shared" si="245"/>
        <v>0</v>
      </c>
      <c r="S1623" s="33">
        <f t="shared" si="246"/>
        <v>105</v>
      </c>
      <c r="T1623" s="35" t="s">
        <v>39</v>
      </c>
      <c r="U1623" s="19" t="s">
        <v>1873</v>
      </c>
      <c r="V1623" s="19" t="str">
        <f>IF(OR($H1623="",$H1623="sif",$H1623="PM"),"",VLOOKUP($H1623,[5]CU!$C$5:$J$255,8,FALSE))</f>
        <v>5. Investissement</v>
      </c>
      <c r="W1623" s="19" t="s">
        <v>96</v>
      </c>
      <c r="X1623" s="19" t="s">
        <v>96</v>
      </c>
      <c r="Y1623" s="19" t="s">
        <v>679</v>
      </c>
      <c r="Z1623" s="18" t="str">
        <f>A1623 &amp; "-" &amp; VLOOKUP(A1623,[4]PROGRAMMES!$E$1:$F$7,2,FALSE)</f>
        <v>5-Gouvernance et pilotage du secteur</v>
      </c>
      <c r="AA1623" s="19" t="str">
        <f>B1623 &amp; "-" &amp; VLOOKUP(B1623,[4]SOUSPROGRAMMES!$E$1:$F$44,2,FALSE)</f>
        <v>54- Conception de plans de développement et gestion de projets</v>
      </c>
      <c r="AB1623" s="19" t="str">
        <f>C1623 &amp; "-" &amp; VLOOKUP(C1623,[4]RESULTATS!$E$1:$F$176,2,FALSE)</f>
        <v>541- Les BSD ont les compétences nécessaires à la conception, l’élaboration, le suivi et l’évaluation des projets et plans de dévéloppement</v>
      </c>
      <c r="AC1623" s="20" t="str">
        <f>D1623 &amp; "-" &amp; VLOOKUP(D1623,[4]STRATEGIES!$E$1:$F$504,2,FALSE)</f>
        <v>5412-Renforcement des capacités des BSD</v>
      </c>
      <c r="AD1623" s="21" t="str">
        <f t="shared" si="240"/>
        <v>54123-Dotation du BSD MESRS en logiciels de gestion de projets</v>
      </c>
    </row>
    <row r="1624" spans="1:30" s="22" customFormat="1" ht="60" hidden="1" customHeight="1" x14ac:dyDescent="0.8">
      <c r="A1624" s="14">
        <v>5</v>
      </c>
      <c r="B1624" s="15">
        <v>54</v>
      </c>
      <c r="C1624" s="15">
        <v>541</v>
      </c>
      <c r="D1624" s="15">
        <v>5412</v>
      </c>
      <c r="E1624" s="15">
        <v>54124</v>
      </c>
      <c r="F1624" s="16" t="s">
        <v>2076</v>
      </c>
      <c r="G1624" s="21" t="s">
        <v>2073</v>
      </c>
      <c r="H1624" s="17" t="s">
        <v>2074</v>
      </c>
      <c r="I1624" s="33">
        <v>0</v>
      </c>
      <c r="J1624" s="33">
        <f>10</f>
        <v>10</v>
      </c>
      <c r="K1624" s="33">
        <v>8</v>
      </c>
      <c r="L1624" s="33"/>
      <c r="M1624" s="33">
        <f t="shared" si="244"/>
        <v>18</v>
      </c>
      <c r="N1624" s="33">
        <f>IF(OR(H1624="",H1624="sif",H1624="PM"),0,VLOOKUP(H1624,[5]CU!$C$4:$H$255,6,FALSE))</f>
        <v>10.5</v>
      </c>
      <c r="O1624" s="33">
        <f t="shared" si="245"/>
        <v>0</v>
      </c>
      <c r="P1624" s="33">
        <f t="shared" si="245"/>
        <v>105</v>
      </c>
      <c r="Q1624" s="33">
        <f t="shared" si="245"/>
        <v>84</v>
      </c>
      <c r="R1624" s="33">
        <f t="shared" si="245"/>
        <v>0</v>
      </c>
      <c r="S1624" s="33">
        <f t="shared" si="246"/>
        <v>189</v>
      </c>
      <c r="T1624" s="35" t="s">
        <v>39</v>
      </c>
      <c r="U1624" s="19" t="s">
        <v>1873</v>
      </c>
      <c r="V1624" s="19" t="str">
        <f>IF(OR($H1624="",$H1624="sif",$H1624="PM"),"",VLOOKUP($H1624,[5]CU!$C$5:$J$255,8,FALSE))</f>
        <v>5. Investissement</v>
      </c>
      <c r="W1624" s="19" t="s">
        <v>96</v>
      </c>
      <c r="X1624" s="19" t="s">
        <v>96</v>
      </c>
      <c r="Y1624" s="19" t="s">
        <v>677</v>
      </c>
      <c r="Z1624" s="18" t="str">
        <f>A1624 &amp; "-" &amp; VLOOKUP(A1624,[4]PROGRAMMES!$E$1:$F$7,2,FALSE)</f>
        <v>5-Gouvernance et pilotage du secteur</v>
      </c>
      <c r="AA1624" s="19" t="str">
        <f>B1624 &amp; "-" &amp; VLOOKUP(B1624,[4]SOUSPROGRAMMES!$E$1:$F$44,2,FALSE)</f>
        <v>54- Conception de plans de développement et gestion de projets</v>
      </c>
      <c r="AB1624" s="19" t="str">
        <f>C1624 &amp; "-" &amp; VLOOKUP(C1624,[4]RESULTATS!$E$1:$F$176,2,FALSE)</f>
        <v>541- Les BSD ont les compétences nécessaires à la conception, l’élaboration, le suivi et l’évaluation des projets et plans de dévéloppement</v>
      </c>
      <c r="AC1624" s="20" t="str">
        <f>D1624 &amp; "-" &amp; VLOOKUP(D1624,[4]STRATEGIES!$E$1:$F$504,2,FALSE)</f>
        <v>5412-Renforcement des capacités des BSD</v>
      </c>
      <c r="AD1624" s="21" t="str">
        <f t="shared" si="240"/>
        <v>54124-Dotation du BSD METFP en logiciels de gestion de projets</v>
      </c>
    </row>
    <row r="1625" spans="1:30" s="22" customFormat="1" ht="60" hidden="1" customHeight="1" x14ac:dyDescent="0.8">
      <c r="A1625" s="14">
        <v>5</v>
      </c>
      <c r="B1625" s="15">
        <v>54</v>
      </c>
      <c r="C1625" s="15">
        <v>541</v>
      </c>
      <c r="D1625" s="15">
        <v>5412</v>
      </c>
      <c r="E1625" s="15">
        <v>54125</v>
      </c>
      <c r="F1625" s="16" t="s">
        <v>2077</v>
      </c>
      <c r="G1625" s="21" t="s">
        <v>315</v>
      </c>
      <c r="H1625" s="17" t="s">
        <v>301</v>
      </c>
      <c r="I1625" s="33">
        <v>0</v>
      </c>
      <c r="J1625" s="33">
        <f>30*5</f>
        <v>150</v>
      </c>
      <c r="K1625" s="33">
        <f>15*5</f>
        <v>75</v>
      </c>
      <c r="L1625" s="33">
        <f>15*5</f>
        <v>75</v>
      </c>
      <c r="M1625" s="33">
        <f t="shared" si="244"/>
        <v>300</v>
      </c>
      <c r="N1625" s="33">
        <f>IF(OR(H1625="",H1625="sif",H1625="PM"),0,VLOOKUP(H1625,[5]CU!$C$4:$H$255,6,FALSE))</f>
        <v>0.67666666666666664</v>
      </c>
      <c r="O1625" s="33">
        <f t="shared" si="245"/>
        <v>0</v>
      </c>
      <c r="P1625" s="33">
        <f t="shared" si="245"/>
        <v>101.5</v>
      </c>
      <c r="Q1625" s="33">
        <f t="shared" si="245"/>
        <v>50.75</v>
      </c>
      <c r="R1625" s="33">
        <f t="shared" si="245"/>
        <v>50.75</v>
      </c>
      <c r="S1625" s="33">
        <f t="shared" si="246"/>
        <v>203</v>
      </c>
      <c r="T1625" s="35" t="s">
        <v>39</v>
      </c>
      <c r="U1625" s="19" t="s">
        <v>1873</v>
      </c>
      <c r="V1625" s="19" t="str">
        <f>IF(OR($H1625="",$H1625="sif",$H1625="PM"),"",VLOOKUP($H1625,[5]CU!$C$5:$J$255,8,FALSE))</f>
        <v>3. Formation</v>
      </c>
      <c r="W1625" s="19" t="s">
        <v>96</v>
      </c>
      <c r="X1625" s="19" t="s">
        <v>96</v>
      </c>
      <c r="Y1625" s="19" t="s">
        <v>32</v>
      </c>
      <c r="Z1625" s="18" t="str">
        <f>A1625 &amp; "-" &amp; VLOOKUP(A1625,[4]PROGRAMMES!$E$1:$F$7,2,FALSE)</f>
        <v>5-Gouvernance et pilotage du secteur</v>
      </c>
      <c r="AA1625" s="19" t="str">
        <f>B1625 &amp; "-" &amp; VLOOKUP(B1625,[4]SOUSPROGRAMMES!$E$1:$F$44,2,FALSE)</f>
        <v>54- Conception de plans de développement et gestion de projets</v>
      </c>
      <c r="AB1625" s="19" t="str">
        <f>C1625 &amp; "-" &amp; VLOOKUP(C1625,[4]RESULTATS!$E$1:$F$176,2,FALSE)</f>
        <v>541- Les BSD ont les compétences nécessaires à la conception, l’élaboration, le suivi et l’évaluation des projets et plans de dévéloppement</v>
      </c>
      <c r="AC1625" s="20" t="str">
        <f>D1625 &amp; "-" &amp; VLOOKUP(D1625,[4]STRATEGIES!$E$1:$F$504,2,FALSE)</f>
        <v>5412-Renforcement des capacités des BSD</v>
      </c>
      <c r="AD1625" s="21" t="str">
        <f t="shared" si="240"/>
        <v>54125-Mise en œuvre progressive du plan de formation des BSD (Formation des BSD et démembrements sur les logiciels de gestion des Projets éducatifs y compris BSD MESRS et METFP°</v>
      </c>
    </row>
    <row r="1626" spans="1:30" s="22" customFormat="1" ht="60" hidden="1" customHeight="1" x14ac:dyDescent="0.8">
      <c r="A1626" s="14">
        <v>5</v>
      </c>
      <c r="B1626" s="15">
        <v>54</v>
      </c>
      <c r="C1626" s="15">
        <v>541</v>
      </c>
      <c r="D1626" s="15">
        <v>5412</v>
      </c>
      <c r="E1626" s="15">
        <v>54126</v>
      </c>
      <c r="F1626" s="16" t="s">
        <v>2078</v>
      </c>
      <c r="G1626" s="21" t="s">
        <v>315</v>
      </c>
      <c r="H1626" s="17" t="s">
        <v>301</v>
      </c>
      <c r="I1626" s="33">
        <v>0</v>
      </c>
      <c r="J1626" s="33">
        <f>((2*46+20)*5)*50%</f>
        <v>280</v>
      </c>
      <c r="K1626" s="33">
        <f>((2*46+20)*5)*50%</f>
        <v>280</v>
      </c>
      <c r="L1626" s="33"/>
      <c r="M1626" s="33">
        <f>SUM(I1626:L1626)</f>
        <v>560</v>
      </c>
      <c r="N1626" s="33">
        <f>IF(OR(H1626="",H1626="sif",H1626="PM"),0,VLOOKUP(H1626,[5]CU!$C$4:$H$255,6,FALSE))</f>
        <v>0.67666666666666664</v>
      </c>
      <c r="O1626" s="33">
        <f>IFERROR($N1626*I1626,0)</f>
        <v>0</v>
      </c>
      <c r="P1626" s="33">
        <f>IFERROR($N1626*J1626,0)</f>
        <v>189.46666666666667</v>
      </c>
      <c r="Q1626" s="33">
        <f>IFERROR($N1626*K1626,0)</f>
        <v>189.46666666666667</v>
      </c>
      <c r="R1626" s="33">
        <f>IFERROR($N1626*L1626,0)</f>
        <v>0</v>
      </c>
      <c r="S1626" s="33">
        <f>SUM(O1626:R1626)</f>
        <v>378.93333333333334</v>
      </c>
      <c r="T1626" s="35" t="s">
        <v>39</v>
      </c>
      <c r="U1626" s="19" t="s">
        <v>1873</v>
      </c>
      <c r="V1626" s="19" t="str">
        <f>IF(OR($H1626="",$H1626="sif",$H1626="PM"),"",VLOOKUP($H1626,[5]CU!$C$5:$J$255,8,FALSE))</f>
        <v>3. Formation</v>
      </c>
      <c r="W1626" s="19" t="s">
        <v>96</v>
      </c>
      <c r="X1626" s="19" t="s">
        <v>96</v>
      </c>
      <c r="Y1626" s="19" t="s">
        <v>32</v>
      </c>
      <c r="Z1626" s="18" t="str">
        <f>A1626 &amp; "-" &amp; VLOOKUP(A1626,[4]PROGRAMMES!$E$1:$F$7,2,FALSE)</f>
        <v>5-Gouvernance et pilotage du secteur</v>
      </c>
      <c r="AA1626" s="19" t="str">
        <f>B1626 &amp; "-" &amp; VLOOKUP(B1626,[4]SOUSPROGRAMMES!$E$1:$F$44,2,FALSE)</f>
        <v>54- Conception de plans de développement et gestion de projets</v>
      </c>
      <c r="AB1626" s="19" t="str">
        <f>C1626 &amp; "-" &amp; VLOOKUP(C1626,[4]RESULTATS!$E$1:$F$176,2,FALSE)</f>
        <v>541- Les BSD ont les compétences nécessaires à la conception, l’élaboration, le suivi et l’évaluation des projets et plans de dévéloppement</v>
      </c>
      <c r="AC1626" s="20" t="str">
        <f>D1626 &amp; "-" &amp; VLOOKUP(D1626,[4]STRATEGIES!$E$1:$F$504,2,FALSE)</f>
        <v>5412-Renforcement des capacités des BSD</v>
      </c>
      <c r="AD1626" s="21" t="str">
        <f t="shared" si="240"/>
        <v>54126-Mise en œuvre progressive du plan de formation des BSD (Formation des BSD à l'exploitation des bases de données à l'aide requêtes (niveau central et déconcentré) y compris BSD MESRS et METFP</v>
      </c>
    </row>
    <row r="1627" spans="1:30" s="22" customFormat="1" ht="60" hidden="1" customHeight="1" x14ac:dyDescent="0.8">
      <c r="A1627" s="14">
        <v>5</v>
      </c>
      <c r="B1627" s="15">
        <v>54</v>
      </c>
      <c r="C1627" s="15">
        <v>541</v>
      </c>
      <c r="D1627" s="15">
        <v>5412</v>
      </c>
      <c r="E1627" s="15">
        <v>54126</v>
      </c>
      <c r="F1627" s="16" t="s">
        <v>2078</v>
      </c>
      <c r="G1627" s="21" t="s">
        <v>315</v>
      </c>
      <c r="H1627" s="17" t="s">
        <v>301</v>
      </c>
      <c r="I1627" s="33">
        <v>0</v>
      </c>
      <c r="J1627" s="33">
        <f>((2*46+20)*5)*50%</f>
        <v>280</v>
      </c>
      <c r="K1627" s="33">
        <f>((2*46+20)*5)*50%</f>
        <v>280</v>
      </c>
      <c r="L1627" s="33"/>
      <c r="M1627" s="33">
        <f t="shared" si="244"/>
        <v>560</v>
      </c>
      <c r="N1627" s="33">
        <f>IF(OR(H1627="",H1627="sif",H1627="PM"),0,VLOOKUP(H1627,[5]CU!$C$4:$H$255,6,FALSE))</f>
        <v>0.67666666666666664</v>
      </c>
      <c r="O1627" s="33">
        <f t="shared" si="245"/>
        <v>0</v>
      </c>
      <c r="P1627" s="33">
        <f t="shared" si="245"/>
        <v>189.46666666666667</v>
      </c>
      <c r="Q1627" s="33">
        <f t="shared" si="245"/>
        <v>189.46666666666667</v>
      </c>
      <c r="R1627" s="33">
        <f t="shared" si="245"/>
        <v>0</v>
      </c>
      <c r="S1627" s="33">
        <f t="shared" si="246"/>
        <v>378.93333333333334</v>
      </c>
      <c r="T1627" s="35" t="s">
        <v>118</v>
      </c>
      <c r="U1627" s="19" t="s">
        <v>1873</v>
      </c>
      <c r="V1627" s="19" t="str">
        <f>IF(OR($H1627="",$H1627="sif",$H1627="PM"),"",VLOOKUP($H1627,[5]CU!$C$5:$J$255,8,FALSE))</f>
        <v>3. Formation</v>
      </c>
      <c r="W1627" s="19" t="s">
        <v>96</v>
      </c>
      <c r="X1627" s="19" t="s">
        <v>96</v>
      </c>
      <c r="Y1627" s="19" t="s">
        <v>32</v>
      </c>
      <c r="Z1627" s="18" t="str">
        <f>A1627 &amp; "-" &amp; VLOOKUP(A1627,[4]PROGRAMMES!$E$1:$F$7,2,FALSE)</f>
        <v>5-Gouvernance et pilotage du secteur</v>
      </c>
      <c r="AA1627" s="19" t="str">
        <f>B1627 &amp; "-" &amp; VLOOKUP(B1627,[4]SOUSPROGRAMMES!$E$1:$F$44,2,FALSE)</f>
        <v>54- Conception de plans de développement et gestion de projets</v>
      </c>
      <c r="AB1627" s="19" t="str">
        <f>C1627 &amp; "-" &amp; VLOOKUP(C1627,[4]RESULTATS!$E$1:$F$176,2,FALSE)</f>
        <v>541- Les BSD ont les compétences nécessaires à la conception, l’élaboration, le suivi et l’évaluation des projets et plans de dévéloppement</v>
      </c>
      <c r="AC1627" s="20" t="str">
        <f>D1627 &amp; "-" &amp; VLOOKUP(D1627,[4]STRATEGIES!$E$1:$F$504,2,FALSE)</f>
        <v>5412-Renforcement des capacités des BSD</v>
      </c>
      <c r="AD1627" s="21" t="str">
        <f t="shared" si="240"/>
        <v>54126-Mise en œuvre progressive du plan de formation des BSD (Formation des BSD à l'exploitation des bases de données à l'aide requêtes (niveau central et déconcentré) y compris BSD MESRS et METFP</v>
      </c>
    </row>
    <row r="1628" spans="1:30" s="22" customFormat="1" ht="60" hidden="1" customHeight="1" x14ac:dyDescent="0.8">
      <c r="A1628" s="14">
        <v>5</v>
      </c>
      <c r="B1628" s="15">
        <v>54</v>
      </c>
      <c r="C1628" s="15">
        <v>541</v>
      </c>
      <c r="D1628" s="15">
        <v>5412</v>
      </c>
      <c r="E1628" s="15">
        <v>54127</v>
      </c>
      <c r="F1628" s="16" t="s">
        <v>2079</v>
      </c>
      <c r="G1628" s="21" t="s">
        <v>315</v>
      </c>
      <c r="H1628" s="17" t="s">
        <v>301</v>
      </c>
      <c r="I1628" s="33">
        <v>0</v>
      </c>
      <c r="J1628" s="33">
        <f>((2*46+10)*5)*50%</f>
        <v>255</v>
      </c>
      <c r="K1628" s="33">
        <f>((2*46+10)*5)*50%</f>
        <v>255</v>
      </c>
      <c r="L1628" s="33"/>
      <c r="M1628" s="33">
        <f>SUM(I1628:L1628)</f>
        <v>510</v>
      </c>
      <c r="N1628" s="33">
        <f>IF(OR(H1628="",H1628="sif",H1628="PM"),0,VLOOKUP(H1628,[5]CU!$C$4:$H$255,6,FALSE))</f>
        <v>0.67666666666666664</v>
      </c>
      <c r="O1628" s="33">
        <f>IFERROR($N1628*I1628,0)</f>
        <v>0</v>
      </c>
      <c r="P1628" s="33">
        <f>IFERROR($N1628*J1628,0)</f>
        <v>172.54999999999998</v>
      </c>
      <c r="Q1628" s="33">
        <f>IFERROR($N1628*K1628,0)</f>
        <v>172.54999999999998</v>
      </c>
      <c r="R1628" s="33">
        <f>IFERROR($N1628*L1628,0)</f>
        <v>0</v>
      </c>
      <c r="S1628" s="33">
        <f>SUM(O1628:R1628)</f>
        <v>345.09999999999997</v>
      </c>
      <c r="T1628" s="35" t="s">
        <v>39</v>
      </c>
      <c r="U1628" s="19" t="s">
        <v>1873</v>
      </c>
      <c r="V1628" s="19" t="str">
        <f>IF(OR($H1628="",$H1628="sif",$H1628="PM"),"",VLOOKUP($H1628,[5]CU!$C$5:$J$255,8,FALSE))</f>
        <v>3. Formation</v>
      </c>
      <c r="W1628" s="19" t="s">
        <v>96</v>
      </c>
      <c r="X1628" s="19" t="s">
        <v>96</v>
      </c>
      <c r="Y1628" s="19" t="s">
        <v>32</v>
      </c>
      <c r="Z1628" s="18" t="str">
        <f>A1628 &amp; "-" &amp; VLOOKUP(A1628,[4]PROGRAMMES!$E$1:$F$7,2,FALSE)</f>
        <v>5-Gouvernance et pilotage du secteur</v>
      </c>
      <c r="AA1628" s="19" t="str">
        <f>B1628 &amp; "-" &amp; VLOOKUP(B1628,[4]SOUSPROGRAMMES!$E$1:$F$44,2,FALSE)</f>
        <v>54- Conception de plans de développement et gestion de projets</v>
      </c>
      <c r="AB1628" s="19" t="str">
        <f>C1628 &amp; "-" &amp; VLOOKUP(C1628,[4]RESULTATS!$E$1:$F$176,2,FALSE)</f>
        <v>541- Les BSD ont les compétences nécessaires à la conception, l’élaboration, le suivi et l’évaluation des projets et plans de dévéloppement</v>
      </c>
      <c r="AC1628" s="20" t="str">
        <f>D1628 &amp; "-" &amp; VLOOKUP(D1628,[4]STRATEGIES!$E$1:$F$504,2,FALSE)</f>
        <v>5412-Renforcement des capacités des BSD</v>
      </c>
      <c r="AD1628" s="21" t="str">
        <f t="shared" si="240"/>
        <v>54127-Mise en œuvre progressive du plan de formation des BSD (Formation des BSD à l'utilisation des outils d'analyse multidimensionnels (niveau central et déconcentré)</v>
      </c>
    </row>
    <row r="1629" spans="1:30" s="22" customFormat="1" ht="60" hidden="1" customHeight="1" x14ac:dyDescent="0.8">
      <c r="A1629" s="14">
        <v>5</v>
      </c>
      <c r="B1629" s="15">
        <v>54</v>
      </c>
      <c r="C1629" s="15">
        <v>541</v>
      </c>
      <c r="D1629" s="15">
        <v>5412</v>
      </c>
      <c r="E1629" s="15">
        <v>54127</v>
      </c>
      <c r="F1629" s="16" t="s">
        <v>2079</v>
      </c>
      <c r="G1629" s="21" t="s">
        <v>315</v>
      </c>
      <c r="H1629" s="17" t="s">
        <v>301</v>
      </c>
      <c r="I1629" s="33">
        <v>0</v>
      </c>
      <c r="J1629" s="33">
        <f>((2*46+10)*5)*50%</f>
        <v>255</v>
      </c>
      <c r="K1629" s="33">
        <f>((2*46+10)*5)*50%</f>
        <v>255</v>
      </c>
      <c r="L1629" s="33"/>
      <c r="M1629" s="33">
        <f t="shared" si="244"/>
        <v>510</v>
      </c>
      <c r="N1629" s="33">
        <f>IF(OR(H1629="",H1629="sif",H1629="PM"),0,VLOOKUP(H1629,[5]CU!$C$4:$H$255,6,FALSE))</f>
        <v>0.67666666666666664</v>
      </c>
      <c r="O1629" s="33">
        <f t="shared" si="245"/>
        <v>0</v>
      </c>
      <c r="P1629" s="33">
        <f t="shared" si="245"/>
        <v>172.54999999999998</v>
      </c>
      <c r="Q1629" s="33">
        <f t="shared" si="245"/>
        <v>172.54999999999998</v>
      </c>
      <c r="R1629" s="33">
        <f t="shared" si="245"/>
        <v>0</v>
      </c>
      <c r="S1629" s="33">
        <f t="shared" si="246"/>
        <v>345.09999999999997</v>
      </c>
      <c r="T1629" s="35" t="s">
        <v>118</v>
      </c>
      <c r="U1629" s="19" t="s">
        <v>1873</v>
      </c>
      <c r="V1629" s="19" t="str">
        <f>IF(OR($H1629="",$H1629="sif",$H1629="PM"),"",VLOOKUP($H1629,[5]CU!$C$5:$J$255,8,FALSE))</f>
        <v>3. Formation</v>
      </c>
      <c r="W1629" s="19" t="s">
        <v>96</v>
      </c>
      <c r="X1629" s="19" t="s">
        <v>96</v>
      </c>
      <c r="Y1629" s="19" t="s">
        <v>32</v>
      </c>
      <c r="Z1629" s="18" t="str">
        <f>A1629 &amp; "-" &amp; VLOOKUP(A1629,[4]PROGRAMMES!$E$1:$F$7,2,FALSE)</f>
        <v>5-Gouvernance et pilotage du secteur</v>
      </c>
      <c r="AA1629" s="19" t="str">
        <f>B1629 &amp; "-" &amp; VLOOKUP(B1629,[4]SOUSPROGRAMMES!$E$1:$F$44,2,FALSE)</f>
        <v>54- Conception de plans de développement et gestion de projets</v>
      </c>
      <c r="AB1629" s="19" t="str">
        <f>C1629 &amp; "-" &amp; VLOOKUP(C1629,[4]RESULTATS!$E$1:$F$176,2,FALSE)</f>
        <v>541- Les BSD ont les compétences nécessaires à la conception, l’élaboration, le suivi et l’évaluation des projets et plans de dévéloppement</v>
      </c>
      <c r="AC1629" s="20" t="str">
        <f>D1629 &amp; "-" &amp; VLOOKUP(D1629,[4]STRATEGIES!$E$1:$F$504,2,FALSE)</f>
        <v>5412-Renforcement des capacités des BSD</v>
      </c>
      <c r="AD1629" s="21" t="str">
        <f t="shared" si="240"/>
        <v>54127-Mise en œuvre progressive du plan de formation des BSD (Formation des BSD à l'utilisation des outils d'analyse multidimensionnels (niveau central et déconcentré)</v>
      </c>
    </row>
    <row r="1630" spans="1:30" s="22" customFormat="1" ht="60" hidden="1" customHeight="1" x14ac:dyDescent="0.8">
      <c r="A1630" s="14">
        <v>5</v>
      </c>
      <c r="B1630" s="15">
        <v>54</v>
      </c>
      <c r="C1630" s="15">
        <v>541</v>
      </c>
      <c r="D1630" s="15">
        <v>5412</v>
      </c>
      <c r="E1630" s="15">
        <v>54128</v>
      </c>
      <c r="F1630" s="16" t="s">
        <v>2080</v>
      </c>
      <c r="G1630" s="21" t="s">
        <v>315</v>
      </c>
      <c r="H1630" s="17" t="s">
        <v>301</v>
      </c>
      <c r="I1630" s="33">
        <v>0</v>
      </c>
      <c r="J1630" s="33">
        <f>(30*10)*50%</f>
        <v>150</v>
      </c>
      <c r="K1630" s="33">
        <f>(46*10)*50%</f>
        <v>230</v>
      </c>
      <c r="L1630" s="33"/>
      <c r="M1630" s="33">
        <f>SUM(I1630:L1630)</f>
        <v>380</v>
      </c>
      <c r="N1630" s="33">
        <f>IF(OR(H1630="",H1630="sif",H1630="PM"),0,VLOOKUP(H1630,[5]CU!$C$4:$H$255,6,FALSE))</f>
        <v>0.67666666666666664</v>
      </c>
      <c r="O1630" s="33">
        <f>IFERROR($N1630*I1630,0)</f>
        <v>0</v>
      </c>
      <c r="P1630" s="33">
        <f>IFERROR($N1630*J1630,0)</f>
        <v>101.5</v>
      </c>
      <c r="Q1630" s="33">
        <f>IFERROR($N1630*K1630,0)</f>
        <v>155.63333333333333</v>
      </c>
      <c r="R1630" s="33">
        <f>IFERROR($N1630*L1630,0)</f>
        <v>0</v>
      </c>
      <c r="S1630" s="33">
        <f>SUM(O1630:R1630)</f>
        <v>257.13333333333333</v>
      </c>
      <c r="T1630" s="35" t="s">
        <v>39</v>
      </c>
      <c r="U1630" s="19" t="s">
        <v>1873</v>
      </c>
      <c r="V1630" s="19" t="str">
        <f>IF(OR($H1630="",$H1630="sif",$H1630="PM"),"",VLOOKUP($H1630,[5]CU!$C$5:$J$255,8,FALSE))</f>
        <v>3. Formation</v>
      </c>
      <c r="W1630" s="19" t="s">
        <v>96</v>
      </c>
      <c r="X1630" s="19" t="s">
        <v>764</v>
      </c>
      <c r="Y1630" s="19" t="s">
        <v>32</v>
      </c>
      <c r="Z1630" s="18" t="str">
        <f>A1630 &amp; "-" &amp; VLOOKUP(A1630,[4]PROGRAMMES!$E$1:$F$7,2,FALSE)</f>
        <v>5-Gouvernance et pilotage du secteur</v>
      </c>
      <c r="AA1630" s="19" t="str">
        <f>B1630 &amp; "-" &amp; VLOOKUP(B1630,[4]SOUSPROGRAMMES!$E$1:$F$44,2,FALSE)</f>
        <v>54- Conception de plans de développement et gestion de projets</v>
      </c>
      <c r="AB1630" s="19" t="str">
        <f>C1630 &amp; "-" &amp; VLOOKUP(C1630,[4]RESULTATS!$E$1:$F$176,2,FALSE)</f>
        <v>541- Les BSD ont les compétences nécessaires à la conception, l’élaboration, le suivi et l’évaluation des projets et plans de dévéloppement</v>
      </c>
      <c r="AC1630" s="20" t="str">
        <f>D1630 &amp; "-" &amp; VLOOKUP(D1630,[4]STRATEGIES!$E$1:$F$504,2,FALSE)</f>
        <v>5412-Renforcement des capacités des BSD</v>
      </c>
      <c r="AD1630" s="21" t="str">
        <f t="shared" si="240"/>
        <v>54128-Mise en œuvre progressive du plan de formation des BSD (Formation des BSD à aux logiciels d'analyse statistique (SPSS, STATA, CS Pro) y compris BSD MESRS et METFP</v>
      </c>
    </row>
    <row r="1631" spans="1:30" s="22" customFormat="1" ht="60" hidden="1" customHeight="1" x14ac:dyDescent="0.8">
      <c r="A1631" s="14">
        <v>5</v>
      </c>
      <c r="B1631" s="15">
        <v>54</v>
      </c>
      <c r="C1631" s="15">
        <v>541</v>
      </c>
      <c r="D1631" s="15">
        <v>5412</v>
      </c>
      <c r="E1631" s="15">
        <v>54128</v>
      </c>
      <c r="F1631" s="16" t="s">
        <v>2080</v>
      </c>
      <c r="G1631" s="21" t="s">
        <v>315</v>
      </c>
      <c r="H1631" s="17" t="s">
        <v>301</v>
      </c>
      <c r="I1631" s="33">
        <v>0</v>
      </c>
      <c r="J1631" s="33">
        <f>(30*10)*50%</f>
        <v>150</v>
      </c>
      <c r="K1631" s="33">
        <f>(46*10)*50%</f>
        <v>230</v>
      </c>
      <c r="L1631" s="33"/>
      <c r="M1631" s="33">
        <f t="shared" si="244"/>
        <v>380</v>
      </c>
      <c r="N1631" s="33">
        <f>IF(OR(H1631="",H1631="sif",H1631="PM"),0,VLOOKUP(H1631,[5]CU!$C$4:$H$255,6,FALSE))</f>
        <v>0.67666666666666664</v>
      </c>
      <c r="O1631" s="33">
        <f t="shared" si="245"/>
        <v>0</v>
      </c>
      <c r="P1631" s="33">
        <f t="shared" si="245"/>
        <v>101.5</v>
      </c>
      <c r="Q1631" s="33">
        <f t="shared" si="245"/>
        <v>155.63333333333333</v>
      </c>
      <c r="R1631" s="33">
        <f t="shared" si="245"/>
        <v>0</v>
      </c>
      <c r="S1631" s="33">
        <f t="shared" si="246"/>
        <v>257.13333333333333</v>
      </c>
      <c r="T1631" s="35" t="s">
        <v>118</v>
      </c>
      <c r="U1631" s="19" t="s">
        <v>1873</v>
      </c>
      <c r="V1631" s="19" t="str">
        <f>IF(OR($H1631="",$H1631="sif",$H1631="PM"),"",VLOOKUP($H1631,[5]CU!$C$5:$J$255,8,FALSE))</f>
        <v>3. Formation</v>
      </c>
      <c r="W1631" s="19" t="s">
        <v>96</v>
      </c>
      <c r="X1631" s="19" t="s">
        <v>764</v>
      </c>
      <c r="Y1631" s="19" t="s">
        <v>32</v>
      </c>
      <c r="Z1631" s="18" t="str">
        <f>A1631 &amp; "-" &amp; VLOOKUP(A1631,[4]PROGRAMMES!$E$1:$F$7,2,FALSE)</f>
        <v>5-Gouvernance et pilotage du secteur</v>
      </c>
      <c r="AA1631" s="19" t="str">
        <f>B1631 &amp; "-" &amp; VLOOKUP(B1631,[4]SOUSPROGRAMMES!$E$1:$F$44,2,FALSE)</f>
        <v>54- Conception de plans de développement et gestion de projets</v>
      </c>
      <c r="AB1631" s="19" t="str">
        <f>C1631 &amp; "-" &amp; VLOOKUP(C1631,[4]RESULTATS!$E$1:$F$176,2,FALSE)</f>
        <v>541- Les BSD ont les compétences nécessaires à la conception, l’élaboration, le suivi et l’évaluation des projets et plans de dévéloppement</v>
      </c>
      <c r="AC1631" s="20" t="str">
        <f>D1631 &amp; "-" &amp; VLOOKUP(D1631,[4]STRATEGIES!$E$1:$F$504,2,FALSE)</f>
        <v>5412-Renforcement des capacités des BSD</v>
      </c>
      <c r="AD1631" s="21" t="str">
        <f t="shared" si="240"/>
        <v>54128-Mise en œuvre progressive du plan de formation des BSD (Formation des BSD à aux logiciels d'analyse statistique (SPSS, STATA, CS Pro) y compris BSD MESRS et METFP</v>
      </c>
    </row>
    <row r="1632" spans="1:30" s="22" customFormat="1" ht="60" hidden="1" customHeight="1" x14ac:dyDescent="0.8">
      <c r="A1632" s="14">
        <v>5</v>
      </c>
      <c r="B1632" s="15">
        <v>54</v>
      </c>
      <c r="C1632" s="15">
        <v>541</v>
      </c>
      <c r="D1632" s="15">
        <v>5412</v>
      </c>
      <c r="E1632" s="15">
        <v>54129</v>
      </c>
      <c r="F1632" s="16" t="s">
        <v>2081</v>
      </c>
      <c r="G1632" s="21" t="s">
        <v>1067</v>
      </c>
      <c r="H1632" s="17" t="s">
        <v>1068</v>
      </c>
      <c r="I1632" s="33">
        <v>0</v>
      </c>
      <c r="J1632" s="33">
        <f t="shared" ref="J1632:L1633" si="247">6*50%</f>
        <v>3</v>
      </c>
      <c r="K1632" s="33">
        <f t="shared" si="247"/>
        <v>3</v>
      </c>
      <c r="L1632" s="33">
        <f t="shared" si="247"/>
        <v>3</v>
      </c>
      <c r="M1632" s="33">
        <f>SUM(I1632:L1632)</f>
        <v>9</v>
      </c>
      <c r="N1632" s="33">
        <f>IF(OR(H1632="",H1632="sif",H1632="PM"),0,VLOOKUP(H1632,[5]CU!$C$4:$H$255,6,FALSE))</f>
        <v>107.95</v>
      </c>
      <c r="O1632" s="33">
        <f>IFERROR($N1632*I1632,0)</f>
        <v>0</v>
      </c>
      <c r="P1632" s="33">
        <f>IFERROR($N1632*J1632,0)</f>
        <v>323.85000000000002</v>
      </c>
      <c r="Q1632" s="33">
        <f>IFERROR($N1632*K1632,0)</f>
        <v>323.85000000000002</v>
      </c>
      <c r="R1632" s="33">
        <f>IFERROR($N1632*L1632,0)</f>
        <v>323.85000000000002</v>
      </c>
      <c r="S1632" s="33">
        <f>SUM(O1632:R1632)</f>
        <v>971.55000000000007</v>
      </c>
      <c r="T1632" s="35" t="s">
        <v>39</v>
      </c>
      <c r="U1632" s="19" t="s">
        <v>1873</v>
      </c>
      <c r="V1632" s="19" t="str">
        <f>IF(OR($H1632="",$H1632="sif",$H1632="PM"),"",VLOOKUP($H1632,[5]CU!$C$5:$J$255,8,FALSE))</f>
        <v>3. Formation</v>
      </c>
      <c r="W1632" s="19" t="s">
        <v>96</v>
      </c>
      <c r="X1632" s="19" t="s">
        <v>2082</v>
      </c>
      <c r="Y1632" s="19" t="s">
        <v>32</v>
      </c>
      <c r="Z1632" s="18" t="str">
        <f>A1632 &amp; "-" &amp; VLOOKUP(A1632,[4]PROGRAMMES!$E$1:$F$7,2,FALSE)</f>
        <v>5-Gouvernance et pilotage du secteur</v>
      </c>
      <c r="AA1632" s="19" t="str">
        <f>B1632 &amp; "-" &amp; VLOOKUP(B1632,[4]SOUSPROGRAMMES!$E$1:$F$44,2,FALSE)</f>
        <v>54- Conception de plans de développement et gestion de projets</v>
      </c>
      <c r="AB1632" s="19" t="str">
        <f>C1632 &amp; "-" &amp; VLOOKUP(C1632,[4]RESULTATS!$E$1:$F$176,2,FALSE)</f>
        <v>541- Les BSD ont les compétences nécessaires à la conception, l’élaboration, le suivi et l’évaluation des projets et plans de dévéloppement</v>
      </c>
      <c r="AC1632" s="20" t="str">
        <f>D1632 &amp; "-" &amp; VLOOKUP(D1632,[4]STRATEGIES!$E$1:$F$504,2,FALSE)</f>
        <v>5412-Renforcement des capacités des BSD</v>
      </c>
      <c r="AD1632" s="21" t="str">
        <f t="shared" si="240"/>
        <v>54129-Mise en œuvre progressive du plan de formation des BSD (Formation des cadres des BSD en Planification et gestion des politiques éducatives y compris BSD MESRS et METFP</v>
      </c>
    </row>
    <row r="1633" spans="1:30" s="22" customFormat="1" ht="60" hidden="1" customHeight="1" x14ac:dyDescent="0.8">
      <c r="A1633" s="14">
        <v>5</v>
      </c>
      <c r="B1633" s="15">
        <v>54</v>
      </c>
      <c r="C1633" s="15">
        <v>541</v>
      </c>
      <c r="D1633" s="15">
        <v>5412</v>
      </c>
      <c r="E1633" s="15">
        <v>54129</v>
      </c>
      <c r="F1633" s="16" t="s">
        <v>2081</v>
      </c>
      <c r="G1633" s="21" t="s">
        <v>1067</v>
      </c>
      <c r="H1633" s="17" t="s">
        <v>1068</v>
      </c>
      <c r="I1633" s="33">
        <v>0</v>
      </c>
      <c r="J1633" s="33">
        <f t="shared" si="247"/>
        <v>3</v>
      </c>
      <c r="K1633" s="33">
        <f t="shared" si="247"/>
        <v>3</v>
      </c>
      <c r="L1633" s="33">
        <f t="shared" si="247"/>
        <v>3</v>
      </c>
      <c r="M1633" s="33">
        <f t="shared" si="244"/>
        <v>9</v>
      </c>
      <c r="N1633" s="33">
        <f>IF(OR(H1633="",H1633="sif",H1633="PM"),0,VLOOKUP(H1633,[5]CU!$C$4:$H$255,6,FALSE))</f>
        <v>107.95</v>
      </c>
      <c r="O1633" s="33">
        <f t="shared" si="245"/>
        <v>0</v>
      </c>
      <c r="P1633" s="33">
        <f t="shared" si="245"/>
        <v>323.85000000000002</v>
      </c>
      <c r="Q1633" s="33">
        <f t="shared" si="245"/>
        <v>323.85000000000002</v>
      </c>
      <c r="R1633" s="33">
        <f t="shared" si="245"/>
        <v>323.85000000000002</v>
      </c>
      <c r="S1633" s="33">
        <f t="shared" si="246"/>
        <v>971.55000000000007</v>
      </c>
      <c r="T1633" s="35" t="s">
        <v>118</v>
      </c>
      <c r="U1633" s="19" t="s">
        <v>1873</v>
      </c>
      <c r="V1633" s="19" t="str">
        <f>IF(OR($H1633="",$H1633="sif",$H1633="PM"),"",VLOOKUP($H1633,[5]CU!$C$5:$J$255,8,FALSE))</f>
        <v>3. Formation</v>
      </c>
      <c r="W1633" s="19" t="s">
        <v>96</v>
      </c>
      <c r="X1633" s="19" t="s">
        <v>2082</v>
      </c>
      <c r="Y1633" s="19" t="s">
        <v>32</v>
      </c>
      <c r="Z1633" s="18" t="str">
        <f>A1633 &amp; "-" &amp; VLOOKUP(A1633,[4]PROGRAMMES!$E$1:$F$7,2,FALSE)</f>
        <v>5-Gouvernance et pilotage du secteur</v>
      </c>
      <c r="AA1633" s="19" t="str">
        <f>B1633 &amp; "-" &amp; VLOOKUP(B1633,[4]SOUSPROGRAMMES!$E$1:$F$44,2,FALSE)</f>
        <v>54- Conception de plans de développement et gestion de projets</v>
      </c>
      <c r="AB1633" s="19" t="str">
        <f>C1633 &amp; "-" &amp; VLOOKUP(C1633,[4]RESULTATS!$E$1:$F$176,2,FALSE)</f>
        <v>541- Les BSD ont les compétences nécessaires à la conception, l’élaboration, le suivi et l’évaluation des projets et plans de dévéloppement</v>
      </c>
      <c r="AC1633" s="20" t="str">
        <f>D1633 &amp; "-" &amp; VLOOKUP(D1633,[4]STRATEGIES!$E$1:$F$504,2,FALSE)</f>
        <v>5412-Renforcement des capacités des BSD</v>
      </c>
      <c r="AD1633" s="21" t="str">
        <f t="shared" si="240"/>
        <v>54129-Mise en œuvre progressive du plan de formation des BSD (Formation des cadres des BSD en Planification et gestion des politiques éducatives y compris BSD MESRS et METFP</v>
      </c>
    </row>
    <row r="1634" spans="1:30" s="22" customFormat="1" ht="60" hidden="1" customHeight="1" x14ac:dyDescent="0.8">
      <c r="A1634" s="14">
        <v>5</v>
      </c>
      <c r="B1634" s="15">
        <v>54</v>
      </c>
      <c r="C1634" s="15">
        <v>541</v>
      </c>
      <c r="D1634" s="15">
        <v>5412</v>
      </c>
      <c r="E1634" s="15">
        <v>541210</v>
      </c>
      <c r="F1634" s="16" t="s">
        <v>2083</v>
      </c>
      <c r="G1634" s="21" t="s">
        <v>321</v>
      </c>
      <c r="H1634" s="17" t="s">
        <v>55</v>
      </c>
      <c r="I1634" s="33">
        <v>0</v>
      </c>
      <c r="J1634" s="33"/>
      <c r="K1634" s="33"/>
      <c r="L1634" s="33"/>
      <c r="M1634" s="33"/>
      <c r="N1634" s="33">
        <f>IF(OR(H1634="",H1634="sif",H1634="PM"),0,VLOOKUP(H1634,[5]CU!$C$4:$H$255,6,FALSE))</f>
        <v>0</v>
      </c>
      <c r="O1634" s="33"/>
      <c r="P1634" s="33"/>
      <c r="Q1634" s="33"/>
      <c r="R1634" s="33"/>
      <c r="S1634" s="33"/>
      <c r="T1634" s="35" t="s">
        <v>56</v>
      </c>
      <c r="U1634" s="18" t="s">
        <v>1873</v>
      </c>
      <c r="V1634" s="18" t="str">
        <f>IF(OR($H1634="",$H1634="sif",$H1634="PM"),"",VLOOKUP($H1634,[5]CU!$C$5:$J$255,8,FALSE))</f>
        <v/>
      </c>
      <c r="W1634" s="18" t="s">
        <v>96</v>
      </c>
      <c r="X1634" s="18" t="s">
        <v>142</v>
      </c>
      <c r="Y1634" s="19" t="s">
        <v>32</v>
      </c>
      <c r="Z1634" s="18" t="str">
        <f>A1634 &amp; "-" &amp; VLOOKUP(A1634,[4]PROGRAMMES!$E$1:$F$7,2,FALSE)</f>
        <v>5-Gouvernance et pilotage du secteur</v>
      </c>
      <c r="AA1634" s="19" t="str">
        <f>B1634 &amp; "-" &amp; VLOOKUP(B1634,[4]SOUSPROGRAMMES!$E$1:$F$44,2,FALSE)</f>
        <v>54- Conception de plans de développement et gestion de projets</v>
      </c>
      <c r="AB1634" s="19" t="str">
        <f>C1634 &amp; "-" &amp; VLOOKUP(C1634,[4]RESULTATS!$E$1:$F$176,2,FALSE)</f>
        <v>541- Les BSD ont les compétences nécessaires à la conception, l’élaboration, le suivi et l’évaluation des projets et plans de dévéloppement</v>
      </c>
      <c r="AC1634" s="20" t="str">
        <f>D1634 &amp; "-" &amp; VLOOKUP(D1634,[4]STRATEGIES!$E$1:$F$504,2,FALSE)</f>
        <v>5412-Renforcement des capacités des BSD</v>
      </c>
      <c r="AD1634" s="21" t="str">
        <f t="shared" si="240"/>
        <v xml:space="preserve">541210-Mise en œuvre progressive du plan de redéploiement du personnel (à l'interne) </v>
      </c>
    </row>
    <row r="1635" spans="1:30" s="22" customFormat="1" ht="60" hidden="1" customHeight="1" x14ac:dyDescent="0.8">
      <c r="A1635" s="14">
        <v>5</v>
      </c>
      <c r="B1635" s="15">
        <v>54</v>
      </c>
      <c r="C1635" s="15">
        <v>541</v>
      </c>
      <c r="D1635" s="15">
        <v>5412</v>
      </c>
      <c r="E1635" s="15">
        <v>541211</v>
      </c>
      <c r="F1635" s="16" t="s">
        <v>2084</v>
      </c>
      <c r="G1635" s="21" t="s">
        <v>54</v>
      </c>
      <c r="H1635" s="17" t="s">
        <v>55</v>
      </c>
      <c r="I1635" s="33">
        <v>0</v>
      </c>
      <c r="J1635" s="33"/>
      <c r="K1635" s="33"/>
      <c r="L1635" s="33"/>
      <c r="M1635" s="33"/>
      <c r="N1635" s="33">
        <f>IF(OR(H1635="",H1635="sif",H1635="PM"),0,VLOOKUP(H1635,[5]CU!$C$4:$H$255,6,FALSE))</f>
        <v>0</v>
      </c>
      <c r="O1635" s="33"/>
      <c r="P1635" s="33"/>
      <c r="Q1635" s="33"/>
      <c r="R1635" s="33"/>
      <c r="S1635" s="33"/>
      <c r="T1635" s="35" t="s">
        <v>56</v>
      </c>
      <c r="U1635" s="18" t="s">
        <v>1873</v>
      </c>
      <c r="V1635" s="18" t="str">
        <f>IF(OR($H1635="",$H1635="sif",$H1635="PM"),"",VLOOKUP($H1635,[5]CU!$C$5:$J$255,8,FALSE))</f>
        <v/>
      </c>
      <c r="W1635" s="18" t="s">
        <v>96</v>
      </c>
      <c r="X1635" s="18" t="s">
        <v>142</v>
      </c>
      <c r="Y1635" s="19" t="s">
        <v>32</v>
      </c>
      <c r="Z1635" s="18" t="str">
        <f>A1635 &amp; "-" &amp; VLOOKUP(A1635,[4]PROGRAMMES!$E$1:$F$7,2,FALSE)</f>
        <v>5-Gouvernance et pilotage du secteur</v>
      </c>
      <c r="AA1635" s="19" t="str">
        <f>B1635 &amp; "-" &amp; VLOOKUP(B1635,[4]SOUSPROGRAMMES!$E$1:$F$44,2,FALSE)</f>
        <v>54- Conception de plans de développement et gestion de projets</v>
      </c>
      <c r="AB1635" s="19" t="str">
        <f>C1635 &amp; "-" &amp; VLOOKUP(C1635,[4]RESULTATS!$E$1:$F$176,2,FALSE)</f>
        <v>541- Les BSD ont les compétences nécessaires à la conception, l’élaboration, le suivi et l’évaluation des projets et plans de dévéloppement</v>
      </c>
      <c r="AC1635" s="20" t="str">
        <f>D1635 &amp; "-" &amp; VLOOKUP(D1635,[4]STRATEGIES!$E$1:$F$504,2,FALSE)</f>
        <v>5412-Renforcement des capacités des BSD</v>
      </c>
      <c r="AD1635" s="21" t="str">
        <f t="shared" si="240"/>
        <v xml:space="preserve">541211-Mise en œuvre progressive du plan de recrutement (affectation de nouveaux profils) </v>
      </c>
    </row>
    <row r="1636" spans="1:30" s="22" customFormat="1" ht="60" hidden="1" customHeight="1" x14ac:dyDescent="0.8">
      <c r="A1636" s="14">
        <v>5</v>
      </c>
      <c r="B1636" s="15">
        <v>54</v>
      </c>
      <c r="C1636" s="15">
        <v>541</v>
      </c>
      <c r="D1636" s="15">
        <v>5412</v>
      </c>
      <c r="E1636" s="15">
        <v>541212</v>
      </c>
      <c r="F1636" s="16" t="s">
        <v>2085</v>
      </c>
      <c r="G1636" s="21" t="s">
        <v>2086</v>
      </c>
      <c r="H1636" s="17" t="s">
        <v>2087</v>
      </c>
      <c r="I1636" s="33">
        <v>0</v>
      </c>
      <c r="J1636" s="33">
        <v>1</v>
      </c>
      <c r="K1636" s="33">
        <v>1</v>
      </c>
      <c r="L1636" s="33">
        <v>1</v>
      </c>
      <c r="M1636" s="33">
        <f>SUM(I1636:L1636)</f>
        <v>3</v>
      </c>
      <c r="N1636" s="33">
        <f>IF(OR(H1636="",H1636="sif",H1636="PM"),0,VLOOKUP(H1636,[5]CU!$C$4:$H$255,6,FALSE))</f>
        <v>342</v>
      </c>
      <c r="O1636" s="33">
        <f>IFERROR($N1636*I1636,0)</f>
        <v>0</v>
      </c>
      <c r="P1636" s="33">
        <f>IFERROR($N1636*J1636,0)</f>
        <v>342</v>
      </c>
      <c r="Q1636" s="33">
        <f>IFERROR($N1636*K1636,0)</f>
        <v>342</v>
      </c>
      <c r="R1636" s="33">
        <f>IFERROR($N1636*L1636,0)</f>
        <v>342</v>
      </c>
      <c r="S1636" s="33">
        <f>SUM(O1636:R1636)</f>
        <v>1026</v>
      </c>
      <c r="T1636" s="35" t="s">
        <v>118</v>
      </c>
      <c r="U1636" s="18" t="s">
        <v>1873</v>
      </c>
      <c r="V1636" s="18" t="str">
        <f>IF(OR($H1636="",$H1636="sif",$H1636="PM"),"",VLOOKUP($H1636,[5]CU!$C$5:$J$255,8,FALSE))</f>
        <v>3. Dépenses de fonctionnement</v>
      </c>
      <c r="W1636" s="18" t="s">
        <v>96</v>
      </c>
      <c r="X1636" s="18" t="s">
        <v>96</v>
      </c>
      <c r="Y1636" s="19" t="s">
        <v>32</v>
      </c>
      <c r="Z1636" s="18" t="str">
        <f>A1636 &amp; "-" &amp; VLOOKUP(A1636,[4]PROGRAMMES!$E$1:$F$7,2,FALSE)</f>
        <v>5-Gouvernance et pilotage du secteur</v>
      </c>
      <c r="AA1636" s="19" t="str">
        <f>B1636 &amp; "-" &amp; VLOOKUP(B1636,[4]SOUSPROGRAMMES!$E$1:$F$44,2,FALSE)</f>
        <v>54- Conception de plans de développement et gestion de projets</v>
      </c>
      <c r="AB1636" s="19" t="str">
        <f>C1636 &amp; "-" &amp; VLOOKUP(C1636,[4]RESULTATS!$E$1:$F$176,2,FALSE)</f>
        <v>541- Les BSD ont les compétences nécessaires à la conception, l’élaboration, le suivi et l’évaluation des projets et plans de dévéloppement</v>
      </c>
      <c r="AC1636" s="20" t="str">
        <f>D1636 &amp; "-" &amp; VLOOKUP(D1636,[4]STRATEGIES!$E$1:$F$504,2,FALSE)</f>
        <v>5412-Renforcement des capacités des BSD</v>
      </c>
      <c r="AD1636" s="21" t="str">
        <f t="shared" si="240"/>
        <v>541212-Recrutement d'une assistance longue durée pour appuyer les 3 BSD dans le traitement des données scolaires et universitaire et la formation du personnel permanent</v>
      </c>
    </row>
    <row r="1637" spans="1:30" s="22" customFormat="1" ht="45" hidden="1" customHeight="1" x14ac:dyDescent="0.8">
      <c r="A1637" s="14">
        <v>5</v>
      </c>
      <c r="B1637" s="15">
        <v>54</v>
      </c>
      <c r="C1637" s="15">
        <v>542</v>
      </c>
      <c r="D1637" s="15">
        <v>542</v>
      </c>
      <c r="E1637" s="15">
        <v>542</v>
      </c>
      <c r="F1637" s="16" t="s">
        <v>2088</v>
      </c>
      <c r="G1637" s="17"/>
      <c r="H1637" s="17"/>
      <c r="I1637" s="33">
        <v>0</v>
      </c>
      <c r="J1637" s="33"/>
      <c r="K1637" s="33"/>
      <c r="L1637" s="33"/>
      <c r="M1637" s="33"/>
      <c r="N1637" s="33"/>
      <c r="O1637" s="33"/>
      <c r="P1637" s="33"/>
      <c r="Q1637" s="33"/>
      <c r="R1637" s="33"/>
      <c r="S1637" s="33"/>
      <c r="T1637" s="33"/>
      <c r="U1637" s="18"/>
      <c r="V1637" s="18"/>
      <c r="W1637" s="18"/>
      <c r="X1637" s="18"/>
      <c r="Y1637" s="18"/>
      <c r="Z1637" s="18" t="str">
        <f>A1637 &amp; "-" &amp; VLOOKUP(A1637,[4]PROGRAMMES!$E$1:$F$7,2,FALSE)</f>
        <v>5-Gouvernance et pilotage du secteur</v>
      </c>
      <c r="AA1637" s="19" t="str">
        <f>B1637 &amp; "-" &amp; VLOOKUP(B1637,[4]SOUSPROGRAMMES!$E$1:$F$44,2,FALSE)</f>
        <v>54- Conception de plans de développement et gestion de projets</v>
      </c>
      <c r="AB1637" s="19" t="str">
        <f>C1637 &amp; "-" &amp; VLOOKUP(C1637,[4]RESULTATS!$E$1:$F$176,2,FALSE)</f>
        <v>542- Les BSD ont la compétence d’élaborer, de suivre et d’évaluer les plans de développement</v>
      </c>
      <c r="AC1637" s="20" t="str">
        <f>D1637 &amp; "-" &amp; VLOOKUP(D1637,[4]STRATEGIES!$E$1:$F$504,2,FALSE)</f>
        <v>542- Les BSD ont la compétence d’élaborer, de suivre et d’évaluer les plans de développement</v>
      </c>
      <c r="AD1637" s="21" t="str">
        <f t="shared" si="240"/>
        <v>542- Les BSD ont la compétence d’élaborer, de suivre et d’évaluer les plans de développement</v>
      </c>
    </row>
    <row r="1638" spans="1:30" s="22" customFormat="1" ht="45" hidden="1" customHeight="1" x14ac:dyDescent="0.8">
      <c r="A1638" s="14">
        <v>5</v>
      </c>
      <c r="B1638" s="15">
        <v>54</v>
      </c>
      <c r="C1638" s="15">
        <v>542</v>
      </c>
      <c r="D1638" s="15">
        <v>5421</v>
      </c>
      <c r="E1638" s="15">
        <v>5421</v>
      </c>
      <c r="F1638" s="16" t="s">
        <v>2089</v>
      </c>
      <c r="G1638" s="17"/>
      <c r="H1638" s="17"/>
      <c r="I1638" s="33">
        <v>0</v>
      </c>
      <c r="J1638" s="33"/>
      <c r="K1638" s="33"/>
      <c r="L1638" s="33"/>
      <c r="M1638" s="33"/>
      <c r="N1638" s="33"/>
      <c r="O1638" s="33"/>
      <c r="P1638" s="33"/>
      <c r="Q1638" s="33"/>
      <c r="R1638" s="33"/>
      <c r="S1638" s="33"/>
      <c r="T1638" s="33"/>
      <c r="U1638" s="18"/>
      <c r="V1638" s="18"/>
      <c r="W1638" s="18"/>
      <c r="X1638" s="18"/>
      <c r="Y1638" s="18"/>
      <c r="Z1638" s="18" t="str">
        <f>A1638 &amp; "-" &amp; VLOOKUP(A1638,[4]PROGRAMMES!$E$1:$F$7,2,FALSE)</f>
        <v>5-Gouvernance et pilotage du secteur</v>
      </c>
      <c r="AA1638" s="19" t="str">
        <f>B1638 &amp; "-" &amp; VLOOKUP(B1638,[4]SOUSPROGRAMMES!$E$1:$F$44,2,FALSE)</f>
        <v>54- Conception de plans de développement et gestion de projets</v>
      </c>
      <c r="AB1638" s="19" t="str">
        <f>C1638 &amp; "-" &amp; VLOOKUP(C1638,[4]RESULTATS!$E$1:$F$176,2,FALSE)</f>
        <v>542- Les BSD ont la compétence d’élaborer, de suivre et d’évaluer les plans de développement</v>
      </c>
      <c r="AC1638" s="20" t="str">
        <f>D1638 &amp; "-" &amp; VLOOKUP(D1638,[4]STRATEGIES!$E$1:$F$504,2,FALSE)</f>
        <v>5421-Analyse situationnelle</v>
      </c>
      <c r="AD1638" s="21" t="str">
        <f t="shared" si="240"/>
        <v>5421-Analyse situationnelle</v>
      </c>
    </row>
    <row r="1639" spans="1:30" s="22" customFormat="1" ht="45" hidden="1" customHeight="1" x14ac:dyDescent="0.8">
      <c r="A1639" s="14">
        <v>5</v>
      </c>
      <c r="B1639" s="15">
        <v>54</v>
      </c>
      <c r="C1639" s="15">
        <v>542</v>
      </c>
      <c r="D1639" s="15">
        <v>5421</v>
      </c>
      <c r="E1639" s="15"/>
      <c r="F1639" s="16" t="s">
        <v>2090</v>
      </c>
      <c r="G1639" s="21"/>
      <c r="H1639" s="17"/>
      <c r="I1639" s="33">
        <v>0</v>
      </c>
      <c r="J1639" s="33"/>
      <c r="K1639" s="33"/>
      <c r="L1639" s="33"/>
      <c r="M1639" s="33"/>
      <c r="N1639" s="33"/>
      <c r="O1639" s="33"/>
      <c r="P1639" s="33"/>
      <c r="Q1639" s="33"/>
      <c r="R1639" s="33"/>
      <c r="S1639" s="33"/>
      <c r="T1639" s="35" t="s">
        <v>56</v>
      </c>
      <c r="U1639" s="18" t="s">
        <v>1873</v>
      </c>
      <c r="V1639" s="18" t="str">
        <f>IF(OR($H1639="",$H1639="sif",$H1639="PM"),"",VLOOKUP($H1639,[5]CU!$C$5:$J$255,8,FALSE))</f>
        <v/>
      </c>
      <c r="W1639" s="18"/>
      <c r="X1639" s="18"/>
      <c r="Y1639" s="18"/>
      <c r="Z1639" s="18" t="str">
        <f>A1639 &amp; "-" &amp; VLOOKUP(A1639,[4]PROGRAMMES!$E$1:$F$7,2,FALSE)</f>
        <v>5-Gouvernance et pilotage du secteur</v>
      </c>
      <c r="AA1639" s="19" t="str">
        <f>B1639 &amp; "-" &amp; VLOOKUP(B1639,[4]SOUSPROGRAMMES!$E$1:$F$44,2,FALSE)</f>
        <v>54- Conception de plans de développement et gestion de projets</v>
      </c>
      <c r="AB1639" s="19" t="str">
        <f>C1639 &amp; "-" &amp; VLOOKUP(C1639,[4]RESULTATS!$E$1:$F$176,2,FALSE)</f>
        <v>542- Les BSD ont la compétence d’élaborer, de suivre et d’évaluer les plans de développement</v>
      </c>
      <c r="AC1639" s="20" t="str">
        <f>D1639 &amp; "-" &amp; VLOOKUP(D1639,[4]STRATEGIES!$E$1:$F$504,2,FALSE)</f>
        <v>5421-Analyse situationnelle</v>
      </c>
      <c r="AD1639" s="21" t="str">
        <f t="shared" si="240"/>
        <v>-Pris en compte dans activité du résultat 5411</v>
      </c>
    </row>
    <row r="1640" spans="1:30" s="22" customFormat="1" ht="45" hidden="1" customHeight="1" x14ac:dyDescent="0.8">
      <c r="A1640" s="14">
        <v>5</v>
      </c>
      <c r="B1640" s="15">
        <v>54</v>
      </c>
      <c r="C1640" s="15">
        <v>542</v>
      </c>
      <c r="D1640" s="15">
        <v>5422</v>
      </c>
      <c r="E1640" s="15">
        <v>5422</v>
      </c>
      <c r="F1640" s="16" t="s">
        <v>2091</v>
      </c>
      <c r="G1640" s="17"/>
      <c r="H1640" s="17"/>
      <c r="I1640" s="33">
        <v>0</v>
      </c>
      <c r="J1640" s="33"/>
      <c r="K1640" s="33"/>
      <c r="L1640" s="33"/>
      <c r="M1640" s="33"/>
      <c r="N1640" s="33"/>
      <c r="O1640" s="33"/>
      <c r="P1640" s="33"/>
      <c r="Q1640" s="33"/>
      <c r="R1640" s="33"/>
      <c r="S1640" s="33"/>
      <c r="T1640" s="33"/>
      <c r="U1640" s="18"/>
      <c r="V1640" s="18"/>
      <c r="W1640" s="18"/>
      <c r="X1640" s="18"/>
      <c r="Y1640" s="18"/>
      <c r="Z1640" s="18" t="str">
        <f>A1640 &amp; "-" &amp; VLOOKUP(A1640,[4]PROGRAMMES!$E$1:$F$7,2,FALSE)</f>
        <v>5-Gouvernance et pilotage du secteur</v>
      </c>
      <c r="AA1640" s="19" t="str">
        <f>B1640 &amp; "-" &amp; VLOOKUP(B1640,[4]SOUSPROGRAMMES!$E$1:$F$44,2,FALSE)</f>
        <v>54- Conception de plans de développement et gestion de projets</v>
      </c>
      <c r="AB1640" s="19" t="str">
        <f>C1640 &amp; "-" &amp; VLOOKUP(C1640,[4]RESULTATS!$E$1:$F$176,2,FALSE)</f>
        <v>542- Les BSD ont la compétence d’élaborer, de suivre et d’évaluer les plans de développement</v>
      </c>
      <c r="AC1640" s="20" t="str">
        <f>D1640 &amp; "-" &amp; VLOOKUP(D1640,[4]STRATEGIES!$E$1:$F$504,2,FALSE)</f>
        <v>5422-Planification</v>
      </c>
      <c r="AD1640" s="21" t="str">
        <f t="shared" si="240"/>
        <v>5422-Planification</v>
      </c>
    </row>
    <row r="1641" spans="1:30" s="22" customFormat="1" ht="45" hidden="1" customHeight="1" x14ac:dyDescent="0.8">
      <c r="A1641" s="14">
        <v>5</v>
      </c>
      <c r="B1641" s="15">
        <v>54</v>
      </c>
      <c r="C1641" s="15">
        <v>542</v>
      </c>
      <c r="D1641" s="15">
        <v>5422</v>
      </c>
      <c r="E1641" s="15">
        <v>54221</v>
      </c>
      <c r="F1641" s="16" t="s">
        <v>2092</v>
      </c>
      <c r="G1641" s="21" t="s">
        <v>2093</v>
      </c>
      <c r="H1641" s="17" t="s">
        <v>59</v>
      </c>
      <c r="I1641" s="33">
        <v>0</v>
      </c>
      <c r="J1641" s="33">
        <f>2*5*(8+38)</f>
        <v>460</v>
      </c>
      <c r="K1641" s="33"/>
      <c r="L1641" s="33"/>
      <c r="M1641" s="33">
        <f t="shared" ref="M1641:M1667" si="248">SUM(I1641:L1641)</f>
        <v>460</v>
      </c>
      <c r="N1641" s="33">
        <f>IF(OR(H1641="",H1641="sif",H1641="PM"),0,VLOOKUP(H1641,[5]CU!$C$4:$H$255,6,FALSE))</f>
        <v>0.8177777777777776</v>
      </c>
      <c r="O1641" s="33">
        <f t="shared" ref="O1641:R1667" si="249">IFERROR($N1641*I1641,0)</f>
        <v>0</v>
      </c>
      <c r="P1641" s="33">
        <f t="shared" si="249"/>
        <v>376.17777777777769</v>
      </c>
      <c r="Q1641" s="33">
        <f t="shared" si="249"/>
        <v>0</v>
      </c>
      <c r="R1641" s="33">
        <f t="shared" si="249"/>
        <v>0</v>
      </c>
      <c r="S1641" s="33">
        <f>SUM(O1641:R1641)</f>
        <v>376.17777777777769</v>
      </c>
      <c r="T1641" s="35" t="s">
        <v>118</v>
      </c>
      <c r="U1641" s="18" t="s">
        <v>1873</v>
      </c>
      <c r="V1641" s="18" t="str">
        <f>IF(OR($H1641="",$H1641="sif",$H1641="PM"),"",VLOOKUP($H1641,[5]CU!$C$5:$J$255,8,FALSE))</f>
        <v>3. Dépenses de fonctionnement</v>
      </c>
      <c r="W1641" s="18" t="s">
        <v>96</v>
      </c>
      <c r="X1641" s="18" t="s">
        <v>96</v>
      </c>
      <c r="Y1641" s="19" t="s">
        <v>32</v>
      </c>
      <c r="Z1641" s="18" t="str">
        <f>A1641 &amp; "-" &amp; VLOOKUP(A1641,[4]PROGRAMMES!$E$1:$F$7,2,FALSE)</f>
        <v>5-Gouvernance et pilotage du secteur</v>
      </c>
      <c r="AA1641" s="19" t="str">
        <f>B1641 &amp; "-" &amp; VLOOKUP(B1641,[4]SOUSPROGRAMMES!$E$1:$F$44,2,FALSE)</f>
        <v>54- Conception de plans de développement et gestion de projets</v>
      </c>
      <c r="AB1641" s="19" t="str">
        <f>C1641 &amp; "-" &amp; VLOOKUP(C1641,[4]RESULTATS!$E$1:$F$176,2,FALSE)</f>
        <v>542- Les BSD ont la compétence d’élaborer, de suivre et d’évaluer les plans de développement</v>
      </c>
      <c r="AC1641" s="20" t="str">
        <f>D1641 &amp; "-" &amp; VLOOKUP(D1641,[4]STRATEGIES!$E$1:$F$504,2,FALSE)</f>
        <v>5422-Planification</v>
      </c>
      <c r="AD1641" s="21" t="str">
        <f t="shared" si="240"/>
        <v>54221-Formation action en planification, des cadres des BSD niveau central et déconcentré par les cadres centraux (plans de développement en cohérence avec le PRODEG)</v>
      </c>
    </row>
    <row r="1642" spans="1:30" s="22" customFormat="1" ht="45" hidden="1" customHeight="1" x14ac:dyDescent="0.8">
      <c r="A1642" s="14">
        <v>5</v>
      </c>
      <c r="B1642" s="15">
        <v>54</v>
      </c>
      <c r="C1642" s="15">
        <v>542</v>
      </c>
      <c r="D1642" s="15">
        <v>5422</v>
      </c>
      <c r="E1642" s="15">
        <v>54222</v>
      </c>
      <c r="F1642" s="16" t="s">
        <v>2094</v>
      </c>
      <c r="G1642" s="21" t="s">
        <v>159</v>
      </c>
      <c r="H1642" s="17" t="s">
        <v>55</v>
      </c>
      <c r="I1642" s="33">
        <v>0</v>
      </c>
      <c r="J1642" s="33">
        <v>1</v>
      </c>
      <c r="K1642" s="33">
        <v>1</v>
      </c>
      <c r="L1642" s="33">
        <v>1</v>
      </c>
      <c r="M1642" s="33">
        <f t="shared" si="248"/>
        <v>3</v>
      </c>
      <c r="N1642" s="33">
        <f>IF(OR(H1642="",H1642="sif",H1642="PM"),0,VLOOKUP(H1642,[5]CU!$C$4:$H$255,6,FALSE))</f>
        <v>0</v>
      </c>
      <c r="O1642" s="33">
        <f t="shared" si="249"/>
        <v>0</v>
      </c>
      <c r="P1642" s="33">
        <f t="shared" si="249"/>
        <v>0</v>
      </c>
      <c r="Q1642" s="33">
        <f t="shared" si="249"/>
        <v>0</v>
      </c>
      <c r="R1642" s="33">
        <f t="shared" si="249"/>
        <v>0</v>
      </c>
      <c r="S1642" s="33"/>
      <c r="T1642" s="35" t="s">
        <v>56</v>
      </c>
      <c r="U1642" s="18" t="s">
        <v>1873</v>
      </c>
      <c r="V1642" s="18" t="str">
        <f>IF(OR($H1642="",$H1642="sif",$H1642="PM"),"",VLOOKUP($H1642,[5]CU!$C$5:$J$255,8,FALSE))</f>
        <v/>
      </c>
      <c r="W1642" s="18" t="s">
        <v>96</v>
      </c>
      <c r="X1642" s="18" t="s">
        <v>96</v>
      </c>
      <c r="Y1642" s="18" t="s">
        <v>679</v>
      </c>
      <c r="Z1642" s="18" t="str">
        <f>A1642 &amp; "-" &amp; VLOOKUP(A1642,[4]PROGRAMMES!$E$1:$F$7,2,FALSE)</f>
        <v>5-Gouvernance et pilotage du secteur</v>
      </c>
      <c r="AA1642" s="19" t="str">
        <f>B1642 &amp; "-" &amp; VLOOKUP(B1642,[4]SOUSPROGRAMMES!$E$1:$F$44,2,FALSE)</f>
        <v>54- Conception de plans de développement et gestion de projets</v>
      </c>
      <c r="AB1642" s="19" t="str">
        <f>C1642 &amp; "-" &amp; VLOOKUP(C1642,[4]RESULTATS!$E$1:$F$176,2,FALSE)</f>
        <v>542- Les BSD ont la compétence d’élaborer, de suivre et d’évaluer les plans de développement</v>
      </c>
      <c r="AC1642" s="20" t="str">
        <f>D1642 &amp; "-" &amp; VLOOKUP(D1642,[4]STRATEGIES!$E$1:$F$504,2,FALSE)</f>
        <v>5422-Planification</v>
      </c>
      <c r="AD1642" s="21" t="str">
        <f t="shared" si="240"/>
        <v>54222-Elaboration des plans de développement des institutions du Supérieur en cohérence avec le PRODEG</v>
      </c>
    </row>
    <row r="1643" spans="1:30" s="22" customFormat="1" ht="45" hidden="1" customHeight="1" x14ac:dyDescent="0.8">
      <c r="A1643" s="14">
        <v>5</v>
      </c>
      <c r="B1643" s="15">
        <v>54</v>
      </c>
      <c r="C1643" s="15">
        <v>542</v>
      </c>
      <c r="D1643" s="15">
        <v>5422</v>
      </c>
      <c r="E1643" s="15">
        <v>54223</v>
      </c>
      <c r="F1643" s="16" t="s">
        <v>2095</v>
      </c>
      <c r="G1643" s="21" t="s">
        <v>2093</v>
      </c>
      <c r="H1643" s="17" t="s">
        <v>59</v>
      </c>
      <c r="I1643" s="33">
        <v>0</v>
      </c>
      <c r="J1643" s="33">
        <f>4*10*8</f>
        <v>320</v>
      </c>
      <c r="K1643" s="33"/>
      <c r="L1643" s="33"/>
      <c r="M1643" s="33">
        <f t="shared" si="248"/>
        <v>320</v>
      </c>
      <c r="N1643" s="33">
        <f>IF(OR(H1643="",H1643="sif",H1643="PM"),0,VLOOKUP(H1643,[5]CU!$C$4:$H$255,6,FALSE))</f>
        <v>0.8177777777777776</v>
      </c>
      <c r="O1643" s="33">
        <f t="shared" si="249"/>
        <v>0</v>
      </c>
      <c r="P1643" s="33">
        <f t="shared" si="249"/>
        <v>261.68888888888881</v>
      </c>
      <c r="Q1643" s="33">
        <f t="shared" si="249"/>
        <v>0</v>
      </c>
      <c r="R1643" s="33">
        <f t="shared" si="249"/>
        <v>0</v>
      </c>
      <c r="S1643" s="33">
        <f>SUM(O1643:R1643)</f>
        <v>261.68888888888881</v>
      </c>
      <c r="T1643" s="35" t="s">
        <v>118</v>
      </c>
      <c r="U1643" s="18" t="s">
        <v>1873</v>
      </c>
      <c r="V1643" s="18" t="str">
        <f>IF(OR($H1643="",$H1643="sif",$H1643="PM"),"",VLOOKUP($H1643,[5]CU!$C$5:$J$255,8,FALSE))</f>
        <v>3. Dépenses de fonctionnement</v>
      </c>
      <c r="W1643" s="18" t="s">
        <v>96</v>
      </c>
      <c r="X1643" s="18" t="s">
        <v>96</v>
      </c>
      <c r="Y1643" s="18" t="s">
        <v>677</v>
      </c>
      <c r="Z1643" s="18" t="str">
        <f>A1643 &amp; "-" &amp; VLOOKUP(A1643,[4]PROGRAMMES!$E$1:$F$7,2,FALSE)</f>
        <v>5-Gouvernance et pilotage du secteur</v>
      </c>
      <c r="AA1643" s="19" t="str">
        <f>B1643 &amp; "-" &amp; VLOOKUP(B1643,[4]SOUSPROGRAMMES!$E$1:$F$44,2,FALSE)</f>
        <v>54- Conception de plans de développement et gestion de projets</v>
      </c>
      <c r="AB1643" s="19" t="str">
        <f>C1643 &amp; "-" &amp; VLOOKUP(C1643,[4]RESULTATS!$E$1:$F$176,2,FALSE)</f>
        <v>542- Les BSD ont la compétence d’élaborer, de suivre et d’évaluer les plans de développement</v>
      </c>
      <c r="AC1643" s="20" t="str">
        <f>D1643 &amp; "-" &amp; VLOOKUP(D1643,[4]STRATEGIES!$E$1:$F$504,2,FALSE)</f>
        <v>5422-Planification</v>
      </c>
      <c r="AD1643" s="21" t="str">
        <f t="shared" si="240"/>
        <v>54223-Elaboration des plans de développement régionaux de l'ETFP en cohérence avec le PRODEG</v>
      </c>
    </row>
    <row r="1644" spans="1:30" s="22" customFormat="1" ht="45" hidden="1" customHeight="1" x14ac:dyDescent="0.8">
      <c r="A1644" s="14">
        <v>5</v>
      </c>
      <c r="B1644" s="15">
        <v>54</v>
      </c>
      <c r="C1644" s="15">
        <v>542</v>
      </c>
      <c r="D1644" s="15">
        <v>5422</v>
      </c>
      <c r="E1644" s="15">
        <v>54224</v>
      </c>
      <c r="F1644" s="16" t="s">
        <v>2096</v>
      </c>
      <c r="G1644" s="21" t="s">
        <v>2093</v>
      </c>
      <c r="H1644" s="17" t="s">
        <v>59</v>
      </c>
      <c r="I1644" s="33">
        <v>0</v>
      </c>
      <c r="J1644" s="33">
        <f>2*5*(8+38)</f>
        <v>460</v>
      </c>
      <c r="K1644" s="33"/>
      <c r="L1644" s="33"/>
      <c r="M1644" s="33">
        <f t="shared" si="248"/>
        <v>460</v>
      </c>
      <c r="N1644" s="33">
        <f>IF(OR(H1644="",H1644="sif",H1644="PM"),0,VLOOKUP(H1644,[5]CU!$C$4:$H$255,6,FALSE))</f>
        <v>0.8177777777777776</v>
      </c>
      <c r="O1644" s="33">
        <f t="shared" si="249"/>
        <v>0</v>
      </c>
      <c r="P1644" s="33">
        <f t="shared" si="249"/>
        <v>376.17777777777769</v>
      </c>
      <c r="Q1644" s="33">
        <f t="shared" si="249"/>
        <v>0</v>
      </c>
      <c r="R1644" s="33">
        <f t="shared" si="249"/>
        <v>0</v>
      </c>
      <c r="S1644" s="33">
        <f>SUM(O1644:R1644)</f>
        <v>376.17777777777769</v>
      </c>
      <c r="T1644" s="35" t="s">
        <v>118</v>
      </c>
      <c r="U1644" s="18" t="s">
        <v>1873</v>
      </c>
      <c r="V1644" s="18" t="str">
        <f>IF(OR($H1644="",$H1644="sif",$H1644="PM"),"",VLOOKUP($H1644,[5]CU!$C$5:$J$255,8,FALSE))</f>
        <v>3. Dépenses de fonctionnement</v>
      </c>
      <c r="W1644" s="18" t="s">
        <v>96</v>
      </c>
      <c r="X1644" s="18" t="s">
        <v>96</v>
      </c>
      <c r="Y1644" s="19" t="s">
        <v>32</v>
      </c>
      <c r="Z1644" s="18" t="str">
        <f>A1644 &amp; "-" &amp; VLOOKUP(A1644,[4]PROGRAMMES!$E$1:$F$7,2,FALSE)</f>
        <v>5-Gouvernance et pilotage du secteur</v>
      </c>
      <c r="AA1644" s="19" t="str">
        <f>B1644 &amp; "-" &amp; VLOOKUP(B1644,[4]SOUSPROGRAMMES!$E$1:$F$44,2,FALSE)</f>
        <v>54- Conception de plans de développement et gestion de projets</v>
      </c>
      <c r="AB1644" s="19" t="str">
        <f>C1644 &amp; "-" &amp; VLOOKUP(C1644,[4]RESULTATS!$E$1:$F$176,2,FALSE)</f>
        <v>542- Les BSD ont la compétence d’élaborer, de suivre et d’évaluer les plans de développement</v>
      </c>
      <c r="AC1644" s="20" t="str">
        <f>D1644 &amp; "-" &amp; VLOOKUP(D1644,[4]STRATEGIES!$E$1:$F$504,2,FALSE)</f>
        <v>5422-Planification</v>
      </c>
      <c r="AD1644" s="21" t="str">
        <f t="shared" si="240"/>
        <v xml:space="preserve">54224-Elaboration des plans d'actions annuels budgétisés en cohérence avec le PAPB du PRODEG </v>
      </c>
    </row>
    <row r="1645" spans="1:30" s="22" customFormat="1" ht="60" hidden="1" customHeight="1" x14ac:dyDescent="0.8">
      <c r="A1645" s="14">
        <v>5</v>
      </c>
      <c r="B1645" s="15">
        <v>54</v>
      </c>
      <c r="C1645" s="15">
        <v>542</v>
      </c>
      <c r="D1645" s="15">
        <v>5422</v>
      </c>
      <c r="E1645" s="15">
        <v>54225</v>
      </c>
      <c r="F1645" s="16" t="s">
        <v>2097</v>
      </c>
      <c r="G1645" s="21" t="s">
        <v>159</v>
      </c>
      <c r="H1645" s="17" t="s">
        <v>55</v>
      </c>
      <c r="I1645" s="33">
        <v>0</v>
      </c>
      <c r="J1645" s="33">
        <v>1</v>
      </c>
      <c r="K1645" s="33">
        <v>1</v>
      </c>
      <c r="L1645" s="33">
        <v>1</v>
      </c>
      <c r="M1645" s="33">
        <f t="shared" si="248"/>
        <v>3</v>
      </c>
      <c r="N1645" s="33">
        <f>IF(OR(H1645="",H1645="sif",H1645="PM"),0,VLOOKUP(H1645,[5]CU!$C$4:$H$255,6,FALSE))</f>
        <v>0</v>
      </c>
      <c r="O1645" s="33">
        <f t="shared" si="249"/>
        <v>0</v>
      </c>
      <c r="P1645" s="33">
        <f t="shared" si="249"/>
        <v>0</v>
      </c>
      <c r="Q1645" s="33">
        <f t="shared" si="249"/>
        <v>0</v>
      </c>
      <c r="R1645" s="33">
        <f t="shared" si="249"/>
        <v>0</v>
      </c>
      <c r="S1645" s="33"/>
      <c r="T1645" s="35" t="s">
        <v>56</v>
      </c>
      <c r="U1645" s="18" t="s">
        <v>1873</v>
      </c>
      <c r="V1645" s="18" t="str">
        <f>IF(OR($H1645="",$H1645="sif",$H1645="PM"),"",VLOOKUP($H1645,[5]CU!$C$5:$J$255,8,FALSE))</f>
        <v/>
      </c>
      <c r="W1645" s="18" t="s">
        <v>96</v>
      </c>
      <c r="X1645" s="18" t="s">
        <v>96</v>
      </c>
      <c r="Y1645" s="18" t="s">
        <v>679</v>
      </c>
      <c r="Z1645" s="18" t="str">
        <f>A1645 &amp; "-" &amp; VLOOKUP(A1645,[4]PROGRAMMES!$E$1:$F$7,2,FALSE)</f>
        <v>5-Gouvernance et pilotage du secteur</v>
      </c>
      <c r="AA1645" s="19" t="str">
        <f>B1645 &amp; "-" &amp; VLOOKUP(B1645,[4]SOUSPROGRAMMES!$E$1:$F$44,2,FALSE)</f>
        <v>54- Conception de plans de développement et gestion de projets</v>
      </c>
      <c r="AB1645" s="19" t="str">
        <f>C1645 &amp; "-" &amp; VLOOKUP(C1645,[4]RESULTATS!$E$1:$F$176,2,FALSE)</f>
        <v>542- Les BSD ont la compétence d’élaborer, de suivre et d’évaluer les plans de développement</v>
      </c>
      <c r="AC1645" s="20" t="str">
        <f>D1645 &amp; "-" &amp; VLOOKUP(D1645,[4]STRATEGIES!$E$1:$F$504,2,FALSE)</f>
        <v>5422-Planification</v>
      </c>
      <c r="AD1645" s="21" t="str">
        <f t="shared" si="240"/>
        <v>54225-Elaboration des plans d'actions annuels budgétisés en cohérence avec le PAPB du PRODEG (pris en compte dans le budget de fonctionnement des universités et pour le niveau national dans le budget du CDMT)</v>
      </c>
    </row>
    <row r="1646" spans="1:30" s="22" customFormat="1" ht="45" hidden="1" customHeight="1" x14ac:dyDescent="0.8">
      <c r="A1646" s="14">
        <v>5</v>
      </c>
      <c r="B1646" s="15">
        <v>54</v>
      </c>
      <c r="C1646" s="15">
        <v>542</v>
      </c>
      <c r="D1646" s="15">
        <v>5422</v>
      </c>
      <c r="E1646" s="15">
        <v>54226</v>
      </c>
      <c r="F1646" s="16" t="s">
        <v>2098</v>
      </c>
      <c r="G1646" s="21" t="s">
        <v>2093</v>
      </c>
      <c r="H1646" s="17" t="s">
        <v>59</v>
      </c>
      <c r="I1646" s="33">
        <v>0</v>
      </c>
      <c r="J1646" s="33">
        <f>4*5*8</f>
        <v>160</v>
      </c>
      <c r="K1646" s="33"/>
      <c r="L1646" s="33"/>
      <c r="M1646" s="33">
        <f t="shared" si="248"/>
        <v>160</v>
      </c>
      <c r="N1646" s="33">
        <f>IF(OR(H1646="",H1646="sif",H1646="PM"),0,VLOOKUP(H1646,[5]CU!$C$4:$H$255,6,FALSE))</f>
        <v>0.8177777777777776</v>
      </c>
      <c r="O1646" s="33">
        <f t="shared" si="249"/>
        <v>0</v>
      </c>
      <c r="P1646" s="33">
        <f t="shared" si="249"/>
        <v>130.84444444444441</v>
      </c>
      <c r="Q1646" s="33">
        <f t="shared" si="249"/>
        <v>0</v>
      </c>
      <c r="R1646" s="33">
        <f t="shared" si="249"/>
        <v>0</v>
      </c>
      <c r="S1646" s="33">
        <f>SUM(O1646:R1646)</f>
        <v>130.84444444444441</v>
      </c>
      <c r="T1646" s="35" t="s">
        <v>118</v>
      </c>
      <c r="U1646" s="18" t="s">
        <v>1873</v>
      </c>
      <c r="V1646" s="18" t="str">
        <f>IF(OR($H1646="",$H1646="sif",$H1646="PM"),"",VLOOKUP($H1646,[5]CU!$C$5:$J$255,8,FALSE))</f>
        <v>3. Dépenses de fonctionnement</v>
      </c>
      <c r="W1646" s="18" t="s">
        <v>96</v>
      </c>
      <c r="X1646" s="18" t="s">
        <v>96</v>
      </c>
      <c r="Y1646" s="18" t="s">
        <v>677</v>
      </c>
      <c r="Z1646" s="18" t="str">
        <f>A1646 &amp; "-" &amp; VLOOKUP(A1646,[4]PROGRAMMES!$E$1:$F$7,2,FALSE)</f>
        <v>5-Gouvernance et pilotage du secteur</v>
      </c>
      <c r="AA1646" s="19" t="str">
        <f>B1646 &amp; "-" &amp; VLOOKUP(B1646,[4]SOUSPROGRAMMES!$E$1:$F$44,2,FALSE)</f>
        <v>54- Conception de plans de développement et gestion de projets</v>
      </c>
      <c r="AB1646" s="19" t="str">
        <f>C1646 &amp; "-" &amp; VLOOKUP(C1646,[4]RESULTATS!$E$1:$F$176,2,FALSE)</f>
        <v>542- Les BSD ont la compétence d’élaborer, de suivre et d’évaluer les plans de développement</v>
      </c>
      <c r="AC1646" s="20" t="str">
        <f>D1646 &amp; "-" &amp; VLOOKUP(D1646,[4]STRATEGIES!$E$1:$F$504,2,FALSE)</f>
        <v>5422-Planification</v>
      </c>
      <c r="AD1646" s="21" t="str">
        <f t="shared" si="240"/>
        <v>54226-Elaboration des plans d'actions annuels budgétisés en cohérence avec le PAPB du PRODEG</v>
      </c>
    </row>
    <row r="1647" spans="1:30" s="22" customFormat="1" ht="45" hidden="1" customHeight="1" x14ac:dyDescent="0.8">
      <c r="A1647" s="14">
        <v>5</v>
      </c>
      <c r="B1647" s="15">
        <v>54</v>
      </c>
      <c r="C1647" s="15">
        <v>542</v>
      </c>
      <c r="D1647" s="15">
        <v>5423</v>
      </c>
      <c r="E1647" s="15">
        <v>5423</v>
      </c>
      <c r="F1647" s="16" t="s">
        <v>2099</v>
      </c>
      <c r="G1647" s="17"/>
      <c r="H1647" s="17"/>
      <c r="I1647" s="33">
        <v>0</v>
      </c>
      <c r="J1647" s="33"/>
      <c r="K1647" s="33"/>
      <c r="L1647" s="33"/>
      <c r="M1647" s="33"/>
      <c r="N1647" s="33"/>
      <c r="O1647" s="33"/>
      <c r="P1647" s="33"/>
      <c r="Q1647" s="33"/>
      <c r="R1647" s="33"/>
      <c r="S1647" s="33"/>
      <c r="T1647" s="33"/>
      <c r="U1647" s="18"/>
      <c r="V1647" s="18"/>
      <c r="W1647" s="18"/>
      <c r="X1647" s="18"/>
      <c r="Y1647" s="18"/>
      <c r="Z1647" s="18" t="str">
        <f>A1647 &amp; "-" &amp; VLOOKUP(A1647,[4]PROGRAMMES!$E$1:$F$7,2,FALSE)</f>
        <v>5-Gouvernance et pilotage du secteur</v>
      </c>
      <c r="AA1647" s="19" t="str">
        <f>B1647 &amp; "-" &amp; VLOOKUP(B1647,[4]SOUSPROGRAMMES!$E$1:$F$44,2,FALSE)</f>
        <v>54- Conception de plans de développement et gestion de projets</v>
      </c>
      <c r="AB1647" s="19" t="str">
        <f>C1647 &amp; "-" &amp; VLOOKUP(C1647,[4]RESULTATS!$E$1:$F$176,2,FALSE)</f>
        <v>542- Les BSD ont la compétence d’élaborer, de suivre et d’évaluer les plans de développement</v>
      </c>
      <c r="AC1647" s="20" t="str">
        <f>D1647 &amp; "-" &amp; VLOOKUP(D1647,[4]STRATEGIES!$E$1:$F$504,2,FALSE)</f>
        <v>5423-Suivi et évaluation</v>
      </c>
      <c r="AD1647" s="21" t="str">
        <f t="shared" si="240"/>
        <v>5423-Suivi et évaluation</v>
      </c>
    </row>
    <row r="1648" spans="1:30" s="22" customFormat="1" ht="45" hidden="1" customHeight="1" x14ac:dyDescent="0.8">
      <c r="A1648" s="14">
        <v>5</v>
      </c>
      <c r="B1648" s="15">
        <v>54</v>
      </c>
      <c r="C1648" s="15">
        <v>542</v>
      </c>
      <c r="D1648" s="15">
        <v>5423</v>
      </c>
      <c r="E1648" s="15">
        <v>54231</v>
      </c>
      <c r="F1648" s="16" t="s">
        <v>2100</v>
      </c>
      <c r="G1648" s="21" t="s">
        <v>1017</v>
      </c>
      <c r="H1648" s="17" t="s">
        <v>59</v>
      </c>
      <c r="I1648" s="33">
        <v>0</v>
      </c>
      <c r="J1648" s="33">
        <f>4*10*8</f>
        <v>320</v>
      </c>
      <c r="K1648" s="33">
        <f>4*10*8</f>
        <v>320</v>
      </c>
      <c r="L1648" s="33">
        <f>4*10*8</f>
        <v>320</v>
      </c>
      <c r="M1648" s="33">
        <f t="shared" si="248"/>
        <v>960</v>
      </c>
      <c r="N1648" s="33">
        <f>IF(OR(H1648="",H1648="sif",H1648="PM"),0,VLOOKUP(H1648,[5]CU!$C$4:$H$255,6,FALSE))</f>
        <v>0.8177777777777776</v>
      </c>
      <c r="O1648" s="33">
        <f t="shared" si="249"/>
        <v>0</v>
      </c>
      <c r="P1648" s="33">
        <f t="shared" si="249"/>
        <v>261.68888888888881</v>
      </c>
      <c r="Q1648" s="33">
        <f t="shared" si="249"/>
        <v>261.68888888888881</v>
      </c>
      <c r="R1648" s="33">
        <f t="shared" si="249"/>
        <v>261.68888888888881</v>
      </c>
      <c r="S1648" s="33">
        <f>SUM(O1648:R1648)</f>
        <v>785.06666666666638</v>
      </c>
      <c r="T1648" s="35" t="s">
        <v>39</v>
      </c>
      <c r="U1648" s="19" t="s">
        <v>1873</v>
      </c>
      <c r="V1648" s="19" t="str">
        <f>IF(OR($H1648="",$H1648="sif",$H1648="PM"),"",VLOOKUP($H1648,[5]CU!$C$5:$J$255,8,FALSE))</f>
        <v>3. Dépenses de fonctionnement</v>
      </c>
      <c r="W1648" s="19" t="s">
        <v>96</v>
      </c>
      <c r="X1648" s="19" t="s">
        <v>96</v>
      </c>
      <c r="Y1648" s="19" t="s">
        <v>32</v>
      </c>
      <c r="Z1648" s="18" t="str">
        <f>A1648 &amp; "-" &amp; VLOOKUP(A1648,[4]PROGRAMMES!$E$1:$F$7,2,FALSE)</f>
        <v>5-Gouvernance et pilotage du secteur</v>
      </c>
      <c r="AA1648" s="19" t="str">
        <f>B1648 &amp; "-" &amp; VLOOKUP(B1648,[4]SOUSPROGRAMMES!$E$1:$F$44,2,FALSE)</f>
        <v>54- Conception de plans de développement et gestion de projets</v>
      </c>
      <c r="AB1648" s="19" t="str">
        <f>C1648 &amp; "-" &amp; VLOOKUP(C1648,[4]RESULTATS!$E$1:$F$176,2,FALSE)</f>
        <v>542- Les BSD ont la compétence d’élaborer, de suivre et d’évaluer les plans de développement</v>
      </c>
      <c r="AC1648" s="20" t="str">
        <f>D1648 &amp; "-" &amp; VLOOKUP(D1648,[4]STRATEGIES!$E$1:$F$504,2,FALSE)</f>
        <v>5423-Suivi et évaluation</v>
      </c>
      <c r="AD1648" s="21" t="str">
        <f t="shared" si="240"/>
        <v>54231-Suivi et évaluation de la mise en œuvre des plans de développement (suivi du plan d'actions annuel)</v>
      </c>
    </row>
    <row r="1649" spans="1:30" s="22" customFormat="1" ht="45" hidden="1" customHeight="1" x14ac:dyDescent="0.8">
      <c r="A1649" s="14">
        <v>5</v>
      </c>
      <c r="B1649" s="15">
        <v>54</v>
      </c>
      <c r="C1649" s="15">
        <v>542</v>
      </c>
      <c r="D1649" s="15">
        <v>5423</v>
      </c>
      <c r="E1649" s="15">
        <v>54232</v>
      </c>
      <c r="F1649" s="16" t="s">
        <v>2100</v>
      </c>
      <c r="G1649" s="21" t="s">
        <v>1017</v>
      </c>
      <c r="H1649" s="17" t="s">
        <v>59</v>
      </c>
      <c r="I1649" s="33">
        <v>0</v>
      </c>
      <c r="J1649" s="33">
        <f>2*1*(17+23+8)</f>
        <v>96</v>
      </c>
      <c r="K1649" s="33">
        <f>2*1*(17+23+8)</f>
        <v>96</v>
      </c>
      <c r="L1649" s="33">
        <f>2*1*(17+23+8)</f>
        <v>96</v>
      </c>
      <c r="M1649" s="33">
        <f t="shared" si="248"/>
        <v>288</v>
      </c>
      <c r="N1649" s="33">
        <f>IF(OR(H1649="",H1649="sif",H1649="PM"),0,VLOOKUP(H1649,[5]CU!$C$4:$H$255,6,FALSE))</f>
        <v>0.8177777777777776</v>
      </c>
      <c r="O1649" s="33">
        <f t="shared" si="249"/>
        <v>0</v>
      </c>
      <c r="P1649" s="33">
        <f t="shared" si="249"/>
        <v>78.506666666666646</v>
      </c>
      <c r="Q1649" s="33">
        <f t="shared" si="249"/>
        <v>78.506666666666646</v>
      </c>
      <c r="R1649" s="33">
        <f t="shared" si="249"/>
        <v>78.506666666666646</v>
      </c>
      <c r="S1649" s="33">
        <f>SUM(O1649:R1649)</f>
        <v>235.51999999999992</v>
      </c>
      <c r="T1649" s="35" t="s">
        <v>39</v>
      </c>
      <c r="U1649" s="19" t="s">
        <v>1873</v>
      </c>
      <c r="V1649" s="19" t="str">
        <f>IF(OR($H1649="",$H1649="sif",$H1649="PM"),"",VLOOKUP($H1649,[5]CU!$C$5:$J$255,8,FALSE))</f>
        <v>3. Dépenses de fonctionnement</v>
      </c>
      <c r="W1649" s="19" t="s">
        <v>96</v>
      </c>
      <c r="X1649" s="19" t="s">
        <v>96</v>
      </c>
      <c r="Y1649" s="19" t="s">
        <v>679</v>
      </c>
      <c r="Z1649" s="18" t="str">
        <f>A1649 &amp; "-" &amp; VLOOKUP(A1649,[4]PROGRAMMES!$E$1:$F$7,2,FALSE)</f>
        <v>5-Gouvernance et pilotage du secteur</v>
      </c>
      <c r="AA1649" s="19" t="str">
        <f>B1649 &amp; "-" &amp; VLOOKUP(B1649,[4]SOUSPROGRAMMES!$E$1:$F$44,2,FALSE)</f>
        <v>54- Conception de plans de développement et gestion de projets</v>
      </c>
      <c r="AB1649" s="19" t="str">
        <f>C1649 &amp; "-" &amp; VLOOKUP(C1649,[4]RESULTATS!$E$1:$F$176,2,FALSE)</f>
        <v>542- Les BSD ont la compétence d’élaborer, de suivre et d’évaluer les plans de développement</v>
      </c>
      <c r="AC1649" s="20" t="str">
        <f>D1649 &amp; "-" &amp; VLOOKUP(D1649,[4]STRATEGIES!$E$1:$F$504,2,FALSE)</f>
        <v>5423-Suivi et évaluation</v>
      </c>
      <c r="AD1649" s="21" t="str">
        <f t="shared" si="240"/>
        <v>54232-Suivi et évaluation de la mise en œuvre des plans de développement (suivi du plan d'actions annuel)</v>
      </c>
    </row>
    <row r="1650" spans="1:30" s="22" customFormat="1" ht="45" hidden="1" customHeight="1" x14ac:dyDescent="0.8">
      <c r="A1650" s="14">
        <v>5</v>
      </c>
      <c r="B1650" s="15">
        <v>54</v>
      </c>
      <c r="C1650" s="15">
        <v>542</v>
      </c>
      <c r="D1650" s="15">
        <v>5423</v>
      </c>
      <c r="E1650" s="15">
        <v>54233</v>
      </c>
      <c r="F1650" s="16" t="s">
        <v>2100</v>
      </c>
      <c r="G1650" s="21" t="s">
        <v>1017</v>
      </c>
      <c r="H1650" s="17" t="s">
        <v>59</v>
      </c>
      <c r="I1650" s="33">
        <v>0</v>
      </c>
      <c r="J1650" s="33">
        <f>2*10*8</f>
        <v>160</v>
      </c>
      <c r="K1650" s="33">
        <f>2*10*8</f>
        <v>160</v>
      </c>
      <c r="L1650" s="33">
        <f>2*10*8</f>
        <v>160</v>
      </c>
      <c r="M1650" s="33">
        <f t="shared" si="248"/>
        <v>480</v>
      </c>
      <c r="N1650" s="33">
        <f>IF(OR(H1650="",H1650="sif",H1650="PM"),0,VLOOKUP(H1650,[5]CU!$C$4:$H$255,6,FALSE))</f>
        <v>0.8177777777777776</v>
      </c>
      <c r="O1650" s="33">
        <f t="shared" si="249"/>
        <v>0</v>
      </c>
      <c r="P1650" s="33">
        <f t="shared" si="249"/>
        <v>130.84444444444441</v>
      </c>
      <c r="Q1650" s="33">
        <f t="shared" si="249"/>
        <v>130.84444444444441</v>
      </c>
      <c r="R1650" s="33">
        <f t="shared" si="249"/>
        <v>130.84444444444441</v>
      </c>
      <c r="S1650" s="33">
        <f>SUM(O1650:R1650)</f>
        <v>392.53333333333319</v>
      </c>
      <c r="T1650" s="35" t="s">
        <v>118</v>
      </c>
      <c r="U1650" s="18" t="s">
        <v>1873</v>
      </c>
      <c r="V1650" s="18" t="str">
        <f>IF(OR($H1650="",$H1650="sif",$H1650="PM"),"",VLOOKUP($H1650,[5]CU!$C$5:$J$255,8,FALSE))</f>
        <v>3. Dépenses de fonctionnement</v>
      </c>
      <c r="W1650" s="18" t="s">
        <v>96</v>
      </c>
      <c r="X1650" s="18" t="s">
        <v>96</v>
      </c>
      <c r="Y1650" s="18" t="s">
        <v>677</v>
      </c>
      <c r="Z1650" s="18" t="str">
        <f>A1650 &amp; "-" &amp; VLOOKUP(A1650,[4]PROGRAMMES!$E$1:$F$7,2,FALSE)</f>
        <v>5-Gouvernance et pilotage du secteur</v>
      </c>
      <c r="AA1650" s="19" t="str">
        <f>B1650 &amp; "-" &amp; VLOOKUP(B1650,[4]SOUSPROGRAMMES!$E$1:$F$44,2,FALSE)</f>
        <v>54- Conception de plans de développement et gestion de projets</v>
      </c>
      <c r="AB1650" s="19" t="str">
        <f>C1650 &amp; "-" &amp; VLOOKUP(C1650,[4]RESULTATS!$E$1:$F$176,2,FALSE)</f>
        <v>542- Les BSD ont la compétence d’élaborer, de suivre et d’évaluer les plans de développement</v>
      </c>
      <c r="AC1650" s="20" t="str">
        <f>D1650 &amp; "-" &amp; VLOOKUP(D1650,[4]STRATEGIES!$E$1:$F$504,2,FALSE)</f>
        <v>5423-Suivi et évaluation</v>
      </c>
      <c r="AD1650" s="21" t="str">
        <f t="shared" si="240"/>
        <v>54233-Suivi et évaluation de la mise en œuvre des plans de développement (suivi du plan d'actions annuel)</v>
      </c>
    </row>
    <row r="1651" spans="1:30" s="22" customFormat="1" ht="45" hidden="1" customHeight="1" x14ac:dyDescent="0.8">
      <c r="A1651" s="14">
        <v>5</v>
      </c>
      <c r="B1651" s="15">
        <v>54</v>
      </c>
      <c r="C1651" s="15">
        <v>542</v>
      </c>
      <c r="D1651" s="15">
        <v>5423</v>
      </c>
      <c r="E1651" s="15">
        <v>54234</v>
      </c>
      <c r="F1651" s="16" t="s">
        <v>2101</v>
      </c>
      <c r="G1651" s="21" t="s">
        <v>92</v>
      </c>
      <c r="H1651" s="17" t="s">
        <v>55</v>
      </c>
      <c r="I1651" s="33">
        <v>0</v>
      </c>
      <c r="J1651" s="33">
        <v>1</v>
      </c>
      <c r="K1651" s="33">
        <v>1</v>
      </c>
      <c r="L1651" s="33">
        <v>1</v>
      </c>
      <c r="M1651" s="33">
        <f t="shared" si="248"/>
        <v>3</v>
      </c>
      <c r="N1651" s="33">
        <f>IF(OR(H1651="",H1651="sif",H1651="PM"),0,VLOOKUP(H1651,[5]CU!$C$4:$H$255,6,FALSE))</f>
        <v>0</v>
      </c>
      <c r="O1651" s="33">
        <f t="shared" si="249"/>
        <v>0</v>
      </c>
      <c r="P1651" s="33">
        <f t="shared" si="249"/>
        <v>0</v>
      </c>
      <c r="Q1651" s="33">
        <f t="shared" si="249"/>
        <v>0</v>
      </c>
      <c r="R1651" s="33">
        <f t="shared" si="249"/>
        <v>0</v>
      </c>
      <c r="S1651" s="33"/>
      <c r="T1651" s="35" t="s">
        <v>56</v>
      </c>
      <c r="U1651" s="18" t="s">
        <v>1873</v>
      </c>
      <c r="V1651" s="18" t="str">
        <f>IF(OR($H1651="",$H1651="sif",$H1651="PM"),"",VLOOKUP($H1651,[5]CU!$C$5:$J$255,8,FALSE))</f>
        <v/>
      </c>
      <c r="W1651" s="18" t="s">
        <v>96</v>
      </c>
      <c r="X1651" s="18" t="s">
        <v>96</v>
      </c>
      <c r="Y1651" s="19" t="s">
        <v>32</v>
      </c>
      <c r="Z1651" s="18" t="str">
        <f>A1651 &amp; "-" &amp; VLOOKUP(A1651,[4]PROGRAMMES!$E$1:$F$7,2,FALSE)</f>
        <v>5-Gouvernance et pilotage du secteur</v>
      </c>
      <c r="AA1651" s="19" t="str">
        <f>B1651 &amp; "-" &amp; VLOOKUP(B1651,[4]SOUSPROGRAMMES!$E$1:$F$44,2,FALSE)</f>
        <v>54- Conception de plans de développement et gestion de projets</v>
      </c>
      <c r="AB1651" s="19" t="str">
        <f>C1651 &amp; "-" &amp; VLOOKUP(C1651,[4]RESULTATS!$E$1:$F$176,2,FALSE)</f>
        <v>542- Les BSD ont la compétence d’élaborer, de suivre et d’évaluer les plans de développement</v>
      </c>
      <c r="AC1651" s="20" t="str">
        <f>D1651 &amp; "-" &amp; VLOOKUP(D1651,[4]STRATEGIES!$E$1:$F$504,2,FALSE)</f>
        <v>5423-Suivi et évaluation</v>
      </c>
      <c r="AD1651" s="21" t="str">
        <f t="shared" si="240"/>
        <v>54234-Elaboration systématique de rapport d'achèvement des projets (en cours de mise en œuvre au MENA)</v>
      </c>
    </row>
    <row r="1652" spans="1:30" s="22" customFormat="1" ht="45" hidden="1" customHeight="1" x14ac:dyDescent="0.8">
      <c r="A1652" s="14">
        <v>5</v>
      </c>
      <c r="B1652" s="15">
        <v>54</v>
      </c>
      <c r="C1652" s="15">
        <v>542</v>
      </c>
      <c r="D1652" s="15">
        <v>5423</v>
      </c>
      <c r="E1652" s="15">
        <v>54235</v>
      </c>
      <c r="F1652" s="16" t="s">
        <v>2102</v>
      </c>
      <c r="G1652" s="21" t="s">
        <v>92</v>
      </c>
      <c r="H1652" s="17" t="s">
        <v>55</v>
      </c>
      <c r="I1652" s="33">
        <v>0</v>
      </c>
      <c r="J1652" s="33">
        <v>1</v>
      </c>
      <c r="K1652" s="33">
        <v>1</v>
      </c>
      <c r="L1652" s="33">
        <v>1</v>
      </c>
      <c r="M1652" s="33">
        <f t="shared" si="248"/>
        <v>3</v>
      </c>
      <c r="N1652" s="33">
        <f>IF(OR(H1652="",H1652="sif",H1652="PM"),0,VLOOKUP(H1652,[5]CU!$C$4:$H$255,6,FALSE))</f>
        <v>0</v>
      </c>
      <c r="O1652" s="33">
        <f t="shared" si="249"/>
        <v>0</v>
      </c>
      <c r="P1652" s="33">
        <f t="shared" si="249"/>
        <v>0</v>
      </c>
      <c r="Q1652" s="33">
        <f t="shared" si="249"/>
        <v>0</v>
      </c>
      <c r="R1652" s="33">
        <f t="shared" si="249"/>
        <v>0</v>
      </c>
      <c r="S1652" s="33"/>
      <c r="T1652" s="35" t="s">
        <v>56</v>
      </c>
      <c r="U1652" s="18" t="s">
        <v>1873</v>
      </c>
      <c r="V1652" s="18" t="str">
        <f>IF(OR($H1652="",$H1652="sif",$H1652="PM"),"",VLOOKUP($H1652,[5]CU!$C$5:$J$255,8,FALSE))</f>
        <v/>
      </c>
      <c r="W1652" s="18" t="s">
        <v>96</v>
      </c>
      <c r="X1652" s="18" t="s">
        <v>96</v>
      </c>
      <c r="Y1652" s="18" t="s">
        <v>679</v>
      </c>
      <c r="Z1652" s="18" t="str">
        <f>A1652 &amp; "-" &amp; VLOOKUP(A1652,[4]PROGRAMMES!$E$1:$F$7,2,FALSE)</f>
        <v>5-Gouvernance et pilotage du secteur</v>
      </c>
      <c r="AA1652" s="19" t="str">
        <f>B1652 &amp; "-" &amp; VLOOKUP(B1652,[4]SOUSPROGRAMMES!$E$1:$F$44,2,FALSE)</f>
        <v>54- Conception de plans de développement et gestion de projets</v>
      </c>
      <c r="AB1652" s="19" t="str">
        <f>C1652 &amp; "-" &amp; VLOOKUP(C1652,[4]RESULTATS!$E$1:$F$176,2,FALSE)</f>
        <v>542- Les BSD ont la compétence d’élaborer, de suivre et d’évaluer les plans de développement</v>
      </c>
      <c r="AC1652" s="20" t="str">
        <f>D1652 &amp; "-" &amp; VLOOKUP(D1652,[4]STRATEGIES!$E$1:$F$504,2,FALSE)</f>
        <v>5423-Suivi et évaluation</v>
      </c>
      <c r="AD1652" s="21" t="str">
        <f t="shared" si="240"/>
        <v>54235-Elaboration systématique de rapport d'achèvement des projets (en cours de mise en œuvre au MESRS)</v>
      </c>
    </row>
    <row r="1653" spans="1:30" s="22" customFormat="1" ht="45" hidden="1" customHeight="1" x14ac:dyDescent="0.8">
      <c r="A1653" s="14">
        <v>5</v>
      </c>
      <c r="B1653" s="15">
        <v>54</v>
      </c>
      <c r="C1653" s="15">
        <v>542</v>
      </c>
      <c r="D1653" s="15">
        <v>5423</v>
      </c>
      <c r="E1653" s="15">
        <v>54236</v>
      </c>
      <c r="F1653" s="16" t="s">
        <v>2103</v>
      </c>
      <c r="G1653" s="21" t="s">
        <v>92</v>
      </c>
      <c r="H1653" s="17" t="s">
        <v>55</v>
      </c>
      <c r="I1653" s="33">
        <v>0</v>
      </c>
      <c r="J1653" s="33">
        <v>1</v>
      </c>
      <c r="K1653" s="33">
        <v>1</v>
      </c>
      <c r="L1653" s="33">
        <v>1</v>
      </c>
      <c r="M1653" s="33">
        <f t="shared" si="248"/>
        <v>3</v>
      </c>
      <c r="N1653" s="33">
        <f>IF(OR(H1653="",H1653="sif",H1653="PM"),0,VLOOKUP(H1653,[5]CU!$C$4:$H$255,6,FALSE))</f>
        <v>0</v>
      </c>
      <c r="O1653" s="33">
        <f t="shared" si="249"/>
        <v>0</v>
      </c>
      <c r="P1653" s="33">
        <f t="shared" si="249"/>
        <v>0</v>
      </c>
      <c r="Q1653" s="33">
        <f t="shared" si="249"/>
        <v>0</v>
      </c>
      <c r="R1653" s="33">
        <f t="shared" si="249"/>
        <v>0</v>
      </c>
      <c r="S1653" s="33"/>
      <c r="T1653" s="35" t="s">
        <v>56</v>
      </c>
      <c r="U1653" s="18" t="s">
        <v>1873</v>
      </c>
      <c r="V1653" s="18" t="str">
        <f>IF(OR($H1653="",$H1653="sif",$H1653="PM"),"",VLOOKUP($H1653,[5]CU!$C$5:$J$255,8,FALSE))</f>
        <v/>
      </c>
      <c r="W1653" s="18" t="s">
        <v>96</v>
      </c>
      <c r="X1653" s="18" t="s">
        <v>96</v>
      </c>
      <c r="Y1653" s="18" t="s">
        <v>677</v>
      </c>
      <c r="Z1653" s="18" t="str">
        <f>A1653 &amp; "-" &amp; VLOOKUP(A1653,[4]PROGRAMMES!$E$1:$F$7,2,FALSE)</f>
        <v>5-Gouvernance et pilotage du secteur</v>
      </c>
      <c r="AA1653" s="19" t="str">
        <f>B1653 &amp; "-" &amp; VLOOKUP(B1653,[4]SOUSPROGRAMMES!$E$1:$F$44,2,FALSE)</f>
        <v>54- Conception de plans de développement et gestion de projets</v>
      </c>
      <c r="AB1653" s="19" t="str">
        <f>C1653 &amp; "-" &amp; VLOOKUP(C1653,[4]RESULTATS!$E$1:$F$176,2,FALSE)</f>
        <v>542- Les BSD ont la compétence d’élaborer, de suivre et d’évaluer les plans de développement</v>
      </c>
      <c r="AC1653" s="20" t="str">
        <f>D1653 &amp; "-" &amp; VLOOKUP(D1653,[4]STRATEGIES!$E$1:$F$504,2,FALSE)</f>
        <v>5423-Suivi et évaluation</v>
      </c>
      <c r="AD1653" s="21" t="str">
        <f t="shared" si="240"/>
        <v>54236-Elaboration systématique de rapport d'achèvement des projets (en cours de mise en œuvre au METFP)</v>
      </c>
    </row>
    <row r="1654" spans="1:30" s="22" customFormat="1" ht="45" hidden="1" customHeight="1" x14ac:dyDescent="0.8">
      <c r="A1654" s="14">
        <v>5</v>
      </c>
      <c r="B1654" s="15">
        <v>55</v>
      </c>
      <c r="C1654" s="15">
        <v>55</v>
      </c>
      <c r="D1654" s="15">
        <v>55</v>
      </c>
      <c r="E1654" s="15">
        <v>55</v>
      </c>
      <c r="F1654" s="16" t="s">
        <v>2104</v>
      </c>
      <c r="G1654" s="17"/>
      <c r="H1654" s="17"/>
      <c r="I1654" s="33">
        <v>0</v>
      </c>
      <c r="J1654" s="33"/>
      <c r="K1654" s="33"/>
      <c r="L1654" s="33"/>
      <c r="M1654" s="33"/>
      <c r="N1654" s="33"/>
      <c r="O1654" s="33"/>
      <c r="P1654" s="33"/>
      <c r="Q1654" s="33"/>
      <c r="R1654" s="33"/>
      <c r="S1654" s="33"/>
      <c r="T1654" s="33"/>
      <c r="U1654" s="18"/>
      <c r="V1654" s="18"/>
      <c r="W1654" s="18"/>
      <c r="X1654" s="18"/>
      <c r="Y1654" s="18"/>
      <c r="Z1654" s="18" t="str">
        <f>A1654 &amp; "-" &amp; VLOOKUP(A1654,[4]PROGRAMMES!$E$1:$F$7,2,FALSE)</f>
        <v>5-Gouvernance et pilotage du secteur</v>
      </c>
      <c r="AA1654" s="19" t="str">
        <f>B1654 &amp; "-" &amp; VLOOKUP(B1654,[4]SOUSPROGRAMMES!$E$1:$F$44,2,FALSE)</f>
        <v>55- Gestion des RH (recrutement, affectation, motivation, fidélisation, gestion de carrières…)</v>
      </c>
      <c r="AB1654" s="19" t="str">
        <f>C1654 &amp; "-" &amp; VLOOKUP(C1654,[4]RESULTATS!$E$1:$F$176,2,FALSE)</f>
        <v>55- Gestion des RH (recrutement, affectation, motivation, fidélisation, gestion de carrières…)</v>
      </c>
      <c r="AC1654" s="20" t="str">
        <f>D1654 &amp; "-" &amp; VLOOKUP(D1654,[4]STRATEGIES!$E$1:$F$504,2,FALSE)</f>
        <v>55- Gestion des RH (recrutement, affectation, motivation, fidélisation, gestion de carrières…)</v>
      </c>
      <c r="AD1654" s="21" t="str">
        <f t="shared" si="240"/>
        <v>55- Gestion des RH (recrutement, affectation, motivation, fidélisation, gestion de carrières…)</v>
      </c>
    </row>
    <row r="1655" spans="1:30" s="22" customFormat="1" ht="45" hidden="1" customHeight="1" x14ac:dyDescent="0.8">
      <c r="A1655" s="14">
        <v>5</v>
      </c>
      <c r="B1655" s="15">
        <v>55</v>
      </c>
      <c r="C1655" s="15">
        <v>551</v>
      </c>
      <c r="D1655" s="15">
        <v>551</v>
      </c>
      <c r="E1655" s="15">
        <v>551</v>
      </c>
      <c r="F1655" s="16" t="s">
        <v>2105</v>
      </c>
      <c r="G1655" s="17"/>
      <c r="H1655" s="17"/>
      <c r="I1655" s="33">
        <v>0</v>
      </c>
      <c r="J1655" s="33"/>
      <c r="K1655" s="33"/>
      <c r="L1655" s="33"/>
      <c r="M1655" s="33"/>
      <c r="N1655" s="33"/>
      <c r="O1655" s="33"/>
      <c r="P1655" s="33"/>
      <c r="Q1655" s="33"/>
      <c r="R1655" s="33"/>
      <c r="S1655" s="33"/>
      <c r="T1655" s="33"/>
      <c r="U1655" s="18"/>
      <c r="V1655" s="18"/>
      <c r="W1655" s="18"/>
      <c r="X1655" s="18"/>
      <c r="Y1655" s="18"/>
      <c r="Z1655" s="18" t="str">
        <f>A1655 &amp; "-" &amp; VLOOKUP(A1655,[4]PROGRAMMES!$E$1:$F$7,2,FALSE)</f>
        <v>5-Gouvernance et pilotage du secteur</v>
      </c>
      <c r="AA1655" s="19" t="str">
        <f>B1655 &amp; "-" &amp; VLOOKUP(B1655,[4]SOUSPROGRAMMES!$E$1:$F$44,2,FALSE)</f>
        <v>55- Gestion des RH (recrutement, affectation, motivation, fidélisation, gestion de carrières…)</v>
      </c>
      <c r="AB1655" s="19" t="str">
        <f>C1655 &amp; "-" &amp; VLOOKUP(C1655,[4]RESULTATS!$E$1:$F$176,2,FALSE)</f>
        <v>551- Assainissement et harmonisation des bases de données sur les personnels</v>
      </c>
      <c r="AC1655" s="20" t="str">
        <f>D1655 &amp; "-" &amp; VLOOKUP(D1655,[4]STRATEGIES!$E$1:$F$504,2,FALSE)</f>
        <v>551- Assainissement et harmonisation des bases de données sur les personnels</v>
      </c>
      <c r="AD1655" s="21" t="str">
        <f t="shared" si="240"/>
        <v>551- Assainissement et harmonisation des bases de données sur les personnels</v>
      </c>
    </row>
    <row r="1656" spans="1:30" s="22" customFormat="1" ht="45" hidden="1" customHeight="1" x14ac:dyDescent="0.8">
      <c r="A1656" s="14">
        <v>5</v>
      </c>
      <c r="B1656" s="15">
        <v>55</v>
      </c>
      <c r="C1656" s="15">
        <v>551</v>
      </c>
      <c r="D1656" s="15">
        <v>5511</v>
      </c>
      <c r="E1656" s="15">
        <v>5511</v>
      </c>
      <c r="F1656" s="16" t="s">
        <v>2106</v>
      </c>
      <c r="G1656" s="17"/>
      <c r="H1656" s="17"/>
      <c r="I1656" s="33">
        <v>0</v>
      </c>
      <c r="J1656" s="33"/>
      <c r="K1656" s="33"/>
      <c r="L1656" s="33"/>
      <c r="M1656" s="33"/>
      <c r="N1656" s="33"/>
      <c r="O1656" s="33"/>
      <c r="P1656" s="33"/>
      <c r="Q1656" s="33"/>
      <c r="R1656" s="33"/>
      <c r="S1656" s="33"/>
      <c r="T1656" s="33"/>
      <c r="U1656" s="18"/>
      <c r="V1656" s="18"/>
      <c r="W1656" s="18"/>
      <c r="X1656" s="18"/>
      <c r="Y1656" s="18"/>
      <c r="Z1656" s="18" t="str">
        <f>A1656 &amp; "-" &amp; VLOOKUP(A1656,[4]PROGRAMMES!$E$1:$F$7,2,FALSE)</f>
        <v>5-Gouvernance et pilotage du secteur</v>
      </c>
      <c r="AA1656" s="19" t="str">
        <f>B1656 &amp; "-" &amp; VLOOKUP(B1656,[4]SOUSPROGRAMMES!$E$1:$F$44,2,FALSE)</f>
        <v>55- Gestion des RH (recrutement, affectation, motivation, fidélisation, gestion de carrières…)</v>
      </c>
      <c r="AB1656" s="19" t="str">
        <f>C1656 &amp; "-" &amp; VLOOKUP(C1656,[4]RESULTATS!$E$1:$F$176,2,FALSE)</f>
        <v>551- Assainissement et harmonisation des bases de données sur les personnels</v>
      </c>
      <c r="AC1656" s="20" t="str">
        <f>D1656 &amp; "-" &amp; VLOOKUP(D1656,[4]STRATEGIES!$E$1:$F$504,2,FALSE)</f>
        <v>5511-Développement d'un dispositif cohérent d'assainissement et d'harmonisation des bases de données existantes (Analyse des bases de données existantes et leur harmonisation MENA)</v>
      </c>
      <c r="AD1656" s="21" t="str">
        <f t="shared" si="240"/>
        <v>5511-Développement d'un dispositif cohérent d'assainissement et d'harmonisation des bases de données existantes (Analyse des bases de données existantes et leur harmonisation MENA)</v>
      </c>
    </row>
    <row r="1657" spans="1:30" s="22" customFormat="1" ht="60" hidden="1" customHeight="1" x14ac:dyDescent="0.8">
      <c r="A1657" s="14">
        <v>5</v>
      </c>
      <c r="B1657" s="15">
        <v>55</v>
      </c>
      <c r="C1657" s="15">
        <v>551</v>
      </c>
      <c r="D1657" s="15">
        <v>5511</v>
      </c>
      <c r="E1657" s="15">
        <v>55111</v>
      </c>
      <c r="F1657" s="16" t="s">
        <v>2107</v>
      </c>
      <c r="G1657" s="21" t="s">
        <v>298</v>
      </c>
      <c r="H1657" s="17" t="s">
        <v>66</v>
      </c>
      <c r="I1657" s="33">
        <v>0</v>
      </c>
      <c r="J1657" s="33"/>
      <c r="K1657" s="33"/>
      <c r="L1657" s="33"/>
      <c r="M1657" s="33">
        <f>SUM(I1657:L1657)</f>
        <v>0</v>
      </c>
      <c r="N1657" s="33">
        <f>IF(OR(H1657="",H1657="sif",H1657="PM"),0,VLOOKUP(H1657,[5]CU!$C$4:$H$255,6,FALSE))</f>
        <v>0.255</v>
      </c>
      <c r="O1657" s="33">
        <f>IFERROR($N1657*I1657,0)</f>
        <v>0</v>
      </c>
      <c r="P1657" s="33">
        <f>IFERROR($N1657*J1657,0)</f>
        <v>0</v>
      </c>
      <c r="Q1657" s="33">
        <f>IFERROR($N1657*K1657,0)</f>
        <v>0</v>
      </c>
      <c r="R1657" s="33">
        <f>IFERROR($N1657*L1657,0)</f>
        <v>0</v>
      </c>
      <c r="S1657" s="33">
        <f>SUM(O1657:R1657)</f>
        <v>0</v>
      </c>
      <c r="T1657" s="35" t="s">
        <v>178</v>
      </c>
      <c r="U1657" s="18" t="s">
        <v>1873</v>
      </c>
      <c r="V1657" s="18" t="str">
        <f>IF(OR($H1657="",$H1657="sif",$H1657="PM"),"",VLOOKUP($H1657,[5]CU!$C$5:$J$255,8,FALSE))</f>
        <v>3. Dépenses de fonctionnement</v>
      </c>
      <c r="W1657" s="18" t="s">
        <v>142</v>
      </c>
      <c r="X1657" s="18" t="s">
        <v>142</v>
      </c>
      <c r="Y1657" s="19" t="s">
        <v>32</v>
      </c>
      <c r="Z1657" s="18" t="str">
        <f>A1657 &amp; "-" &amp; VLOOKUP(A1657,[4]PROGRAMMES!$E$1:$F$7,2,FALSE)</f>
        <v>5-Gouvernance et pilotage du secteur</v>
      </c>
      <c r="AA1657" s="19" t="str">
        <f>B1657 &amp; "-" &amp; VLOOKUP(B1657,[4]SOUSPROGRAMMES!$E$1:$F$44,2,FALSE)</f>
        <v>55- Gestion des RH (recrutement, affectation, motivation, fidélisation, gestion de carrières…)</v>
      </c>
      <c r="AB1657" s="19" t="str">
        <f>C1657 &amp; "-" &amp; VLOOKUP(C1657,[4]RESULTATS!$E$1:$F$176,2,FALSE)</f>
        <v>551- Assainissement et harmonisation des bases de données sur les personnels</v>
      </c>
      <c r="AC1657" s="20" t="str">
        <f>D1657 &amp; "-" &amp; VLOOKUP(D1657,[4]STRATEGIES!$E$1:$F$504,2,FALSE)</f>
        <v>5511-Développement d'un dispositif cohérent d'assainissement et d'harmonisation des bases de données existantes (Analyse des bases de données existantes et leur harmonisation MENA)</v>
      </c>
      <c r="AD1657" s="21" t="str">
        <f t="shared" si="240"/>
        <v>55111-Elaboration des protocoles de mise à jour de la BD, d’harmonisation avec les BD FP et Solde et d’identification/d’assainissement des anomalies ainsi que de la correction</v>
      </c>
    </row>
    <row r="1658" spans="1:30" s="22" customFormat="1" ht="60" hidden="1" customHeight="1" x14ac:dyDescent="0.8">
      <c r="A1658" s="14">
        <v>5</v>
      </c>
      <c r="B1658" s="15">
        <v>55</v>
      </c>
      <c r="C1658" s="15">
        <v>551</v>
      </c>
      <c r="D1658" s="15">
        <v>5511</v>
      </c>
      <c r="E1658" s="15">
        <v>55111</v>
      </c>
      <c r="F1658" s="16" t="s">
        <v>2107</v>
      </c>
      <c r="G1658" s="21" t="s">
        <v>298</v>
      </c>
      <c r="H1658" s="17" t="s">
        <v>66</v>
      </c>
      <c r="I1658" s="33">
        <v>0</v>
      </c>
      <c r="J1658" s="33"/>
      <c r="K1658" s="33">
        <v>175</v>
      </c>
      <c r="L1658" s="33"/>
      <c r="M1658" s="33">
        <f t="shared" si="248"/>
        <v>175</v>
      </c>
      <c r="N1658" s="33">
        <f>IF(OR(H1658="",H1658="sif",H1658="PM"),0,VLOOKUP(H1658,[5]CU!$C$4:$H$255,6,FALSE))</f>
        <v>0.255</v>
      </c>
      <c r="O1658" s="33">
        <f t="shared" si="249"/>
        <v>0</v>
      </c>
      <c r="P1658" s="33">
        <f t="shared" si="249"/>
        <v>0</v>
      </c>
      <c r="Q1658" s="33">
        <f t="shared" si="249"/>
        <v>44.625</v>
      </c>
      <c r="R1658" s="33">
        <f t="shared" si="249"/>
        <v>0</v>
      </c>
      <c r="S1658" s="33">
        <f>SUM(O1658:R1658)</f>
        <v>44.625</v>
      </c>
      <c r="T1658" s="35" t="s">
        <v>39</v>
      </c>
      <c r="U1658" s="18" t="s">
        <v>1873</v>
      </c>
      <c r="V1658" s="18" t="str">
        <f>IF(OR($H1658="",$H1658="sif",$H1658="PM"),"",VLOOKUP($H1658,[5]CU!$C$5:$J$255,8,FALSE))</f>
        <v>3. Dépenses de fonctionnement</v>
      </c>
      <c r="W1658" s="18" t="s">
        <v>142</v>
      </c>
      <c r="X1658" s="18" t="s">
        <v>142</v>
      </c>
      <c r="Y1658" s="19" t="s">
        <v>32</v>
      </c>
      <c r="Z1658" s="18" t="str">
        <f>A1658 &amp; "-" &amp; VLOOKUP(A1658,[4]PROGRAMMES!$E$1:$F$7,2,FALSE)</f>
        <v>5-Gouvernance et pilotage du secteur</v>
      </c>
      <c r="AA1658" s="19" t="str">
        <f>B1658 &amp; "-" &amp; VLOOKUP(B1658,[4]SOUSPROGRAMMES!$E$1:$F$44,2,FALSE)</f>
        <v>55- Gestion des RH (recrutement, affectation, motivation, fidélisation, gestion de carrières…)</v>
      </c>
      <c r="AB1658" s="19" t="str">
        <f>C1658 &amp; "-" &amp; VLOOKUP(C1658,[4]RESULTATS!$E$1:$F$176,2,FALSE)</f>
        <v>551- Assainissement et harmonisation des bases de données sur les personnels</v>
      </c>
      <c r="AC1658" s="20" t="str">
        <f>D1658 &amp; "-" &amp; VLOOKUP(D1658,[4]STRATEGIES!$E$1:$F$504,2,FALSE)</f>
        <v>5511-Développement d'un dispositif cohérent d'assainissement et d'harmonisation des bases de données existantes (Analyse des bases de données existantes et leur harmonisation MENA)</v>
      </c>
      <c r="AD1658" s="21" t="str">
        <f t="shared" si="240"/>
        <v>55111-Elaboration des protocoles de mise à jour de la BD, d’harmonisation avec les BD FP et Solde et d’identification/d’assainissement des anomalies ainsi que de la correction</v>
      </c>
    </row>
    <row r="1659" spans="1:30" s="22" customFormat="1" ht="45" hidden="1" customHeight="1" x14ac:dyDescent="0.8">
      <c r="A1659" s="14">
        <v>5</v>
      </c>
      <c r="B1659" s="15">
        <v>55</v>
      </c>
      <c r="C1659" s="15">
        <v>551</v>
      </c>
      <c r="D1659" s="15">
        <v>5511</v>
      </c>
      <c r="E1659" s="15">
        <v>55112</v>
      </c>
      <c r="F1659" s="16" t="s">
        <v>2108</v>
      </c>
      <c r="G1659" s="21" t="s">
        <v>92</v>
      </c>
      <c r="H1659" s="17" t="s">
        <v>55</v>
      </c>
      <c r="I1659" s="33">
        <v>0</v>
      </c>
      <c r="J1659" s="33"/>
      <c r="K1659" s="33">
        <v>1</v>
      </c>
      <c r="L1659" s="33"/>
      <c r="M1659" s="33">
        <f t="shared" si="248"/>
        <v>1</v>
      </c>
      <c r="N1659" s="33">
        <f>IF(OR(H1659="",H1659="sif",H1659="PM"),0,VLOOKUP(H1659,[5]CU!$C$4:$H$255,6,FALSE))</f>
        <v>0</v>
      </c>
      <c r="O1659" s="33">
        <f t="shared" si="249"/>
        <v>0</v>
      </c>
      <c r="P1659" s="33">
        <f t="shared" si="249"/>
        <v>0</v>
      </c>
      <c r="Q1659" s="33">
        <f t="shared" si="249"/>
        <v>0</v>
      </c>
      <c r="R1659" s="33">
        <f t="shared" si="249"/>
        <v>0</v>
      </c>
      <c r="S1659" s="33"/>
      <c r="T1659" s="35" t="s">
        <v>56</v>
      </c>
      <c r="U1659" s="18" t="s">
        <v>1873</v>
      </c>
      <c r="V1659" s="18" t="str">
        <f>IF(OR($H1659="",$H1659="sif",$H1659="PM"),"",VLOOKUP($H1659,[5]CU!$C$5:$J$255,8,FALSE))</f>
        <v/>
      </c>
      <c r="W1659" s="18" t="s">
        <v>142</v>
      </c>
      <c r="X1659" s="18" t="s">
        <v>142</v>
      </c>
      <c r="Y1659" s="19" t="s">
        <v>32</v>
      </c>
      <c r="Z1659" s="18" t="str">
        <f>A1659 &amp; "-" &amp; VLOOKUP(A1659,[4]PROGRAMMES!$E$1:$F$7,2,FALSE)</f>
        <v>5-Gouvernance et pilotage du secteur</v>
      </c>
      <c r="AA1659" s="19" t="str">
        <f>B1659 &amp; "-" &amp; VLOOKUP(B1659,[4]SOUSPROGRAMMES!$E$1:$F$44,2,FALSE)</f>
        <v>55- Gestion des RH (recrutement, affectation, motivation, fidélisation, gestion de carrières…)</v>
      </c>
      <c r="AB1659" s="19" t="str">
        <f>C1659 &amp; "-" &amp; VLOOKUP(C1659,[4]RESULTATS!$E$1:$F$176,2,FALSE)</f>
        <v>551- Assainissement et harmonisation des bases de données sur les personnels</v>
      </c>
      <c r="AC1659" s="20" t="str">
        <f>D1659 &amp; "-" &amp; VLOOKUP(D1659,[4]STRATEGIES!$E$1:$F$504,2,FALSE)</f>
        <v>5511-Développement d'un dispositif cohérent d'assainissement et d'harmonisation des bases de données existantes (Analyse des bases de données existantes et leur harmonisation MENA)</v>
      </c>
      <c r="AD1659" s="21" t="str">
        <f t="shared" si="240"/>
        <v>55112-Identification et correction des incohérences sur les données en lien avec les travaux sur le SIGE (pris en compte dans activité 53414)</v>
      </c>
    </row>
    <row r="1660" spans="1:30" s="22" customFormat="1" ht="45" hidden="1" customHeight="1" x14ac:dyDescent="0.8">
      <c r="A1660" s="14">
        <v>5</v>
      </c>
      <c r="B1660" s="15">
        <v>55</v>
      </c>
      <c r="C1660" s="15">
        <v>551</v>
      </c>
      <c r="D1660" s="15">
        <v>5511</v>
      </c>
      <c r="E1660" s="15">
        <v>55113</v>
      </c>
      <c r="F1660" s="16" t="s">
        <v>2109</v>
      </c>
      <c r="G1660" s="21" t="s">
        <v>1017</v>
      </c>
      <c r="H1660" s="17" t="s">
        <v>59</v>
      </c>
      <c r="I1660" s="33">
        <v>0</v>
      </c>
      <c r="J1660" s="33"/>
      <c r="K1660" s="33">
        <f>4*10*4</f>
        <v>160</v>
      </c>
      <c r="L1660" s="33"/>
      <c r="M1660" s="33">
        <f t="shared" si="248"/>
        <v>160</v>
      </c>
      <c r="N1660" s="33">
        <f>IF(OR(H1660="",H1660="sif",H1660="PM"),0,VLOOKUP(H1660,[5]CU!$C$4:$H$255,6,FALSE))</f>
        <v>0.8177777777777776</v>
      </c>
      <c r="O1660" s="33">
        <f t="shared" si="249"/>
        <v>0</v>
      </c>
      <c r="P1660" s="33">
        <f t="shared" si="249"/>
        <v>0</v>
      </c>
      <c r="Q1660" s="33">
        <f t="shared" si="249"/>
        <v>130.84444444444441</v>
      </c>
      <c r="R1660" s="33">
        <f t="shared" si="249"/>
        <v>0</v>
      </c>
      <c r="S1660" s="33">
        <f t="shared" ref="S1660:S1667" si="250">SUM(O1660:R1660)</f>
        <v>130.84444444444441</v>
      </c>
      <c r="T1660" s="35" t="s">
        <v>39</v>
      </c>
      <c r="U1660" s="19" t="s">
        <v>1873</v>
      </c>
      <c r="V1660" s="19" t="str">
        <f>IF(OR($H1660="",$H1660="sif",$H1660="PM"),"",VLOOKUP($H1660,[5]CU!$C$5:$J$255,8,FALSE))</f>
        <v>3. Dépenses de fonctionnement</v>
      </c>
      <c r="W1660" s="19" t="s">
        <v>142</v>
      </c>
      <c r="X1660" s="19" t="s">
        <v>142</v>
      </c>
      <c r="Y1660" s="19" t="s">
        <v>32</v>
      </c>
      <c r="Z1660" s="18" t="str">
        <f>A1660 &amp; "-" &amp; VLOOKUP(A1660,[4]PROGRAMMES!$E$1:$F$7,2,FALSE)</f>
        <v>5-Gouvernance et pilotage du secteur</v>
      </c>
      <c r="AA1660" s="19" t="str">
        <f>B1660 &amp; "-" &amp; VLOOKUP(B1660,[4]SOUSPROGRAMMES!$E$1:$F$44,2,FALSE)</f>
        <v>55- Gestion des RH (recrutement, affectation, motivation, fidélisation, gestion de carrières…)</v>
      </c>
      <c r="AB1660" s="19" t="str">
        <f>C1660 &amp; "-" &amp; VLOOKUP(C1660,[4]RESULTATS!$E$1:$F$176,2,FALSE)</f>
        <v>551- Assainissement et harmonisation des bases de données sur les personnels</v>
      </c>
      <c r="AC1660" s="20" t="str">
        <f>D1660 &amp; "-" &amp; VLOOKUP(D1660,[4]STRATEGIES!$E$1:$F$504,2,FALSE)</f>
        <v>5511-Développement d'un dispositif cohérent d'assainissement et d'harmonisation des bases de données existantes (Analyse des bases de données existantes et leur harmonisation MENA)</v>
      </c>
      <c r="AD1660" s="21" t="str">
        <f t="shared" si="240"/>
        <v>55113-Collecte des données complémentaires sur les personnels</v>
      </c>
    </row>
    <row r="1661" spans="1:30" s="22" customFormat="1" ht="45" hidden="1" customHeight="1" x14ac:dyDescent="0.8">
      <c r="A1661" s="14">
        <v>5</v>
      </c>
      <c r="B1661" s="15">
        <v>55</v>
      </c>
      <c r="C1661" s="15">
        <v>551</v>
      </c>
      <c r="D1661" s="15">
        <v>5511</v>
      </c>
      <c r="E1661" s="15">
        <v>55114</v>
      </c>
      <c r="F1661" s="16" t="s">
        <v>2110</v>
      </c>
      <c r="G1661" s="21" t="s">
        <v>298</v>
      </c>
      <c r="H1661" s="17" t="s">
        <v>66</v>
      </c>
      <c r="I1661" s="33">
        <v>0</v>
      </c>
      <c r="J1661" s="33"/>
      <c r="K1661" s="33">
        <f>6*10</f>
        <v>60</v>
      </c>
      <c r="L1661" s="33"/>
      <c r="M1661" s="33">
        <f t="shared" si="248"/>
        <v>60</v>
      </c>
      <c r="N1661" s="33">
        <f>IF(OR(H1661="",H1661="sif",H1661="PM"),0,VLOOKUP(H1661,[5]CU!$C$4:$H$255,6,FALSE))</f>
        <v>0.255</v>
      </c>
      <c r="O1661" s="33">
        <f t="shared" si="249"/>
        <v>0</v>
      </c>
      <c r="P1661" s="33">
        <f t="shared" si="249"/>
        <v>0</v>
      </c>
      <c r="Q1661" s="33">
        <f t="shared" si="249"/>
        <v>15.3</v>
      </c>
      <c r="R1661" s="33">
        <f t="shared" si="249"/>
        <v>0</v>
      </c>
      <c r="S1661" s="33">
        <f t="shared" si="250"/>
        <v>15.3</v>
      </c>
      <c r="T1661" s="35" t="s">
        <v>39</v>
      </c>
      <c r="U1661" s="19" t="s">
        <v>1873</v>
      </c>
      <c r="V1661" s="19" t="str">
        <f>IF(OR($H1661="",$H1661="sif",$H1661="PM"),"",VLOOKUP($H1661,[5]CU!$C$5:$J$255,8,FALSE))</f>
        <v>3. Dépenses de fonctionnement</v>
      </c>
      <c r="W1661" s="19" t="s">
        <v>142</v>
      </c>
      <c r="X1661" s="19" t="s">
        <v>142</v>
      </c>
      <c r="Y1661" s="19" t="s">
        <v>32</v>
      </c>
      <c r="Z1661" s="18" t="str">
        <f>A1661 &amp; "-" &amp; VLOOKUP(A1661,[4]PROGRAMMES!$E$1:$F$7,2,FALSE)</f>
        <v>5-Gouvernance et pilotage du secteur</v>
      </c>
      <c r="AA1661" s="19" t="str">
        <f>B1661 &amp; "-" &amp; VLOOKUP(B1661,[4]SOUSPROGRAMMES!$E$1:$F$44,2,FALSE)</f>
        <v>55- Gestion des RH (recrutement, affectation, motivation, fidélisation, gestion de carrières…)</v>
      </c>
      <c r="AB1661" s="19" t="str">
        <f>C1661 &amp; "-" &amp; VLOOKUP(C1661,[4]RESULTATS!$E$1:$F$176,2,FALSE)</f>
        <v>551- Assainissement et harmonisation des bases de données sur les personnels</v>
      </c>
      <c r="AC1661" s="20" t="str">
        <f>D1661 &amp; "-" &amp; VLOOKUP(D1661,[4]STRATEGIES!$E$1:$F$504,2,FALSE)</f>
        <v>5511-Développement d'un dispositif cohérent d'assainissement et d'harmonisation des bases de données existantes (Analyse des bases de données existantes et leur harmonisation MENA)</v>
      </c>
      <c r="AD1661" s="21" t="str">
        <f t="shared" si="240"/>
        <v>55114-intégration des données complémentaires sur les personnels</v>
      </c>
    </row>
    <row r="1662" spans="1:30" s="22" customFormat="1" ht="45" hidden="1" customHeight="1" x14ac:dyDescent="0.8">
      <c r="A1662" s="14">
        <v>5</v>
      </c>
      <c r="B1662" s="15">
        <v>55</v>
      </c>
      <c r="C1662" s="15">
        <v>551</v>
      </c>
      <c r="D1662" s="15">
        <v>5511</v>
      </c>
      <c r="E1662" s="15">
        <v>55115</v>
      </c>
      <c r="F1662" s="16" t="s">
        <v>2111</v>
      </c>
      <c r="G1662" s="21" t="s">
        <v>315</v>
      </c>
      <c r="H1662" s="17" t="s">
        <v>38</v>
      </c>
      <c r="I1662" s="33">
        <v>0</v>
      </c>
      <c r="J1662" s="33"/>
      <c r="K1662" s="33">
        <f>20*2</f>
        <v>40</v>
      </c>
      <c r="L1662" s="33"/>
      <c r="M1662" s="33">
        <f t="shared" si="248"/>
        <v>40</v>
      </c>
      <c r="N1662" s="33">
        <f>IF(OR(H1662="",H1662="sif",H1662="PM"),0,VLOOKUP(H1662,[5]CU!$C$4:$H$255,6,FALSE))</f>
        <v>0.3133333333333333</v>
      </c>
      <c r="O1662" s="33">
        <f t="shared" si="249"/>
        <v>0</v>
      </c>
      <c r="P1662" s="33">
        <f t="shared" si="249"/>
        <v>0</v>
      </c>
      <c r="Q1662" s="33">
        <f t="shared" si="249"/>
        <v>12.533333333333331</v>
      </c>
      <c r="R1662" s="33">
        <f t="shared" si="249"/>
        <v>0</v>
      </c>
      <c r="S1662" s="33">
        <f t="shared" si="250"/>
        <v>12.533333333333331</v>
      </c>
      <c r="T1662" s="35" t="s">
        <v>39</v>
      </c>
      <c r="U1662" s="19" t="s">
        <v>1873</v>
      </c>
      <c r="V1662" s="19" t="str">
        <f>IF(OR($H1662="",$H1662="sif",$H1662="PM"),"",VLOOKUP($H1662,[5]CU!$C$5:$J$255,8,FALSE))</f>
        <v>3. Formation</v>
      </c>
      <c r="W1662" s="19" t="s">
        <v>142</v>
      </c>
      <c r="X1662" s="19" t="s">
        <v>142</v>
      </c>
      <c r="Y1662" s="19" t="s">
        <v>32</v>
      </c>
      <c r="Z1662" s="18" t="str">
        <f>A1662 &amp; "-" &amp; VLOOKUP(A1662,[4]PROGRAMMES!$E$1:$F$7,2,FALSE)</f>
        <v>5-Gouvernance et pilotage du secteur</v>
      </c>
      <c r="AA1662" s="19" t="str">
        <f>B1662 &amp; "-" &amp; VLOOKUP(B1662,[4]SOUSPROGRAMMES!$E$1:$F$44,2,FALSE)</f>
        <v>55- Gestion des RH (recrutement, affectation, motivation, fidélisation, gestion de carrières…)</v>
      </c>
      <c r="AB1662" s="19" t="str">
        <f>C1662 &amp; "-" &amp; VLOOKUP(C1662,[4]RESULTATS!$E$1:$F$176,2,FALSE)</f>
        <v>551- Assainissement et harmonisation des bases de données sur les personnels</v>
      </c>
      <c r="AC1662" s="20" t="str">
        <f>D1662 &amp; "-" &amp; VLOOKUP(D1662,[4]STRATEGIES!$E$1:$F$504,2,FALSE)</f>
        <v>5511-Développement d'un dispositif cohérent d'assainissement et d'harmonisation des bases de données existantes (Analyse des bases de données existantes et leur harmonisation MENA)</v>
      </c>
      <c r="AD1662" s="21" t="str">
        <f t="shared" si="240"/>
        <v>55115-Partage et validation des résultats de l'harmonisation des bases de données</v>
      </c>
    </row>
    <row r="1663" spans="1:30" s="22" customFormat="1" ht="45" hidden="1" customHeight="1" x14ac:dyDescent="0.8">
      <c r="A1663" s="14">
        <v>5</v>
      </c>
      <c r="B1663" s="15">
        <v>55</v>
      </c>
      <c r="C1663" s="15">
        <v>551</v>
      </c>
      <c r="D1663" s="15">
        <v>5512</v>
      </c>
      <c r="E1663" s="15">
        <v>5512</v>
      </c>
      <c r="F1663" s="16" t="s">
        <v>2112</v>
      </c>
      <c r="G1663" s="17"/>
      <c r="H1663" s="17"/>
      <c r="I1663" s="33">
        <v>0</v>
      </c>
      <c r="J1663" s="33"/>
      <c r="K1663" s="33"/>
      <c r="L1663" s="33"/>
      <c r="M1663" s="33"/>
      <c r="N1663" s="33"/>
      <c r="O1663" s="33"/>
      <c r="P1663" s="33"/>
      <c r="Q1663" s="33"/>
      <c r="R1663" s="33"/>
      <c r="S1663" s="33"/>
      <c r="T1663" s="33"/>
      <c r="U1663" s="18"/>
      <c r="V1663" s="18"/>
      <c r="W1663" s="18"/>
      <c r="X1663" s="18"/>
      <c r="Y1663" s="18"/>
      <c r="Z1663" s="18" t="str">
        <f>A1663 &amp; "-" &amp; VLOOKUP(A1663,[4]PROGRAMMES!$E$1:$F$7,2,FALSE)</f>
        <v>5-Gouvernance et pilotage du secteur</v>
      </c>
      <c r="AA1663" s="19" t="str">
        <f>B1663 &amp; "-" &amp; VLOOKUP(B1663,[4]SOUSPROGRAMMES!$E$1:$F$44,2,FALSE)</f>
        <v>55- Gestion des RH (recrutement, affectation, motivation, fidélisation, gestion de carrières…)</v>
      </c>
      <c r="AB1663" s="19" t="str">
        <f>C1663 &amp; "-" &amp; VLOOKUP(C1663,[4]RESULTATS!$E$1:$F$176,2,FALSE)</f>
        <v>551- Assainissement et harmonisation des bases de données sur les personnels</v>
      </c>
      <c r="AC1663" s="20" t="str">
        <f>D1663 &amp; "-" &amp; VLOOKUP(D1663,[4]STRATEGIES!$E$1:$F$504,2,FALSE)</f>
        <v>5512-Conception d'un système intégré d'information</v>
      </c>
      <c r="AD1663" s="21" t="str">
        <f t="shared" si="240"/>
        <v>5512-Conception d'un système intégré d'information</v>
      </c>
    </row>
    <row r="1664" spans="1:30" s="22" customFormat="1" ht="45" hidden="1" customHeight="1" x14ac:dyDescent="0.8">
      <c r="A1664" s="14">
        <v>5</v>
      </c>
      <c r="B1664" s="15">
        <v>55</v>
      </c>
      <c r="C1664" s="15">
        <v>551</v>
      </c>
      <c r="D1664" s="15">
        <v>5512</v>
      </c>
      <c r="E1664" s="15">
        <v>55121</v>
      </c>
      <c r="F1664" s="16" t="s">
        <v>2113</v>
      </c>
      <c r="G1664" s="21" t="s">
        <v>1239</v>
      </c>
      <c r="H1664" s="17" t="s">
        <v>970</v>
      </c>
      <c r="I1664" s="33">
        <v>0</v>
      </c>
      <c r="J1664" s="33"/>
      <c r="K1664" s="33">
        <f>4*3</f>
        <v>12</v>
      </c>
      <c r="L1664" s="33"/>
      <c r="M1664" s="33">
        <f t="shared" si="248"/>
        <v>12</v>
      </c>
      <c r="N1664" s="33">
        <f>IF(OR(H1664="",H1664="sif",H1664="PM"),0,VLOOKUP(H1664,[5]CU!$C$4:$H$255,6,FALSE))</f>
        <v>10.034934666666667</v>
      </c>
      <c r="O1664" s="33">
        <f t="shared" si="249"/>
        <v>0</v>
      </c>
      <c r="P1664" s="33">
        <f t="shared" si="249"/>
        <v>0</v>
      </c>
      <c r="Q1664" s="33">
        <f t="shared" si="249"/>
        <v>120.41921600000001</v>
      </c>
      <c r="R1664" s="33">
        <f t="shared" si="249"/>
        <v>0</v>
      </c>
      <c r="S1664" s="33">
        <f t="shared" si="250"/>
        <v>120.41921600000001</v>
      </c>
      <c r="T1664" s="35" t="s">
        <v>39</v>
      </c>
      <c r="U1664" s="19" t="s">
        <v>1873</v>
      </c>
      <c r="V1664" s="19" t="str">
        <f>IF(OR($H1664="",$H1664="sif",$H1664="PM"),"",VLOOKUP($H1664,[5]CU!$C$5:$J$255,8,FALSE))</f>
        <v>5. Investissement</v>
      </c>
      <c r="W1664" s="19" t="s">
        <v>142</v>
      </c>
      <c r="X1664" s="19" t="s">
        <v>521</v>
      </c>
      <c r="Y1664" s="19" t="s">
        <v>32</v>
      </c>
      <c r="Z1664" s="18" t="str">
        <f>A1664 &amp; "-" &amp; VLOOKUP(A1664,[4]PROGRAMMES!$E$1:$F$7,2,FALSE)</f>
        <v>5-Gouvernance et pilotage du secteur</v>
      </c>
      <c r="AA1664" s="19" t="str">
        <f>B1664 &amp; "-" &amp; VLOOKUP(B1664,[4]SOUSPROGRAMMES!$E$1:$F$44,2,FALSE)</f>
        <v>55- Gestion des RH (recrutement, affectation, motivation, fidélisation, gestion de carrières…)</v>
      </c>
      <c r="AB1664" s="19" t="str">
        <f>C1664 &amp; "-" &amp; VLOOKUP(C1664,[4]RESULTATS!$E$1:$F$176,2,FALSE)</f>
        <v>551- Assainissement et harmonisation des bases de données sur les personnels</v>
      </c>
      <c r="AC1664" s="20" t="str">
        <f>D1664 &amp; "-" &amp; VLOOKUP(D1664,[4]STRATEGIES!$E$1:$F$504,2,FALSE)</f>
        <v>5512-Conception d'un système intégré d'information</v>
      </c>
      <c r="AD1664" s="21" t="str">
        <f t="shared" si="240"/>
        <v>55121-Acquisition de matériels informatiques et accessoires (ordinateurs fixes) sur la base des travaux sur le SIGE</v>
      </c>
    </row>
    <row r="1665" spans="1:30" s="22" customFormat="1" ht="45" hidden="1" customHeight="1" x14ac:dyDescent="0.8">
      <c r="A1665" s="14">
        <v>5</v>
      </c>
      <c r="B1665" s="15">
        <v>55</v>
      </c>
      <c r="C1665" s="15">
        <v>551</v>
      </c>
      <c r="D1665" s="15">
        <v>5512</v>
      </c>
      <c r="E1665" s="15">
        <v>55122</v>
      </c>
      <c r="F1665" s="16" t="s">
        <v>2114</v>
      </c>
      <c r="G1665" s="21" t="s">
        <v>1239</v>
      </c>
      <c r="H1665" s="17" t="s">
        <v>974</v>
      </c>
      <c r="I1665" s="33">
        <v>0</v>
      </c>
      <c r="J1665" s="33"/>
      <c r="K1665" s="33">
        <v>6</v>
      </c>
      <c r="L1665" s="33"/>
      <c r="M1665" s="33">
        <f t="shared" si="248"/>
        <v>6</v>
      </c>
      <c r="N1665" s="33">
        <f>IF(OR(H1665="",H1665="sif",H1665="PM"),0,VLOOKUP(H1665,[5]CU!$C$4:$H$255,6,FALSE))</f>
        <v>6.333333333333333</v>
      </c>
      <c r="O1665" s="33">
        <f t="shared" si="249"/>
        <v>0</v>
      </c>
      <c r="P1665" s="33">
        <f t="shared" si="249"/>
        <v>0</v>
      </c>
      <c r="Q1665" s="33">
        <f t="shared" si="249"/>
        <v>38</v>
      </c>
      <c r="R1665" s="33">
        <f t="shared" si="249"/>
        <v>0</v>
      </c>
      <c r="S1665" s="33">
        <f t="shared" si="250"/>
        <v>38</v>
      </c>
      <c r="T1665" s="35" t="s">
        <v>39</v>
      </c>
      <c r="U1665" s="19" t="s">
        <v>1873</v>
      </c>
      <c r="V1665" s="19" t="str">
        <f>IF(OR($H1665="",$H1665="sif",$H1665="PM"),"",VLOOKUP($H1665,[5]CU!$C$5:$J$255,8,FALSE))</f>
        <v>5. Investissement</v>
      </c>
      <c r="W1665" s="19" t="s">
        <v>142</v>
      </c>
      <c r="X1665" s="19" t="s">
        <v>521</v>
      </c>
      <c r="Y1665" s="19" t="s">
        <v>32</v>
      </c>
      <c r="Z1665" s="18" t="str">
        <f>A1665 &amp; "-" &amp; VLOOKUP(A1665,[4]PROGRAMMES!$E$1:$F$7,2,FALSE)</f>
        <v>5-Gouvernance et pilotage du secteur</v>
      </c>
      <c r="AA1665" s="19" t="str">
        <f>B1665 &amp; "-" &amp; VLOOKUP(B1665,[4]SOUSPROGRAMMES!$E$1:$F$44,2,FALSE)</f>
        <v>55- Gestion des RH (recrutement, affectation, motivation, fidélisation, gestion de carrières…)</v>
      </c>
      <c r="AB1665" s="19" t="str">
        <f>C1665 &amp; "-" &amp; VLOOKUP(C1665,[4]RESULTATS!$E$1:$F$176,2,FALSE)</f>
        <v>551- Assainissement et harmonisation des bases de données sur les personnels</v>
      </c>
      <c r="AC1665" s="20" t="str">
        <f>D1665 &amp; "-" &amp; VLOOKUP(D1665,[4]STRATEGIES!$E$1:$F$504,2,FALSE)</f>
        <v>5512-Conception d'un système intégré d'information</v>
      </c>
      <c r="AD1665" s="21" t="str">
        <f t="shared" si="240"/>
        <v>55122-Acquisition de matériels informatiques et accessoires (ordinateurs portables) sur la base des travaux sur le SIGE</v>
      </c>
    </row>
    <row r="1666" spans="1:30" s="22" customFormat="1" ht="45" hidden="1" customHeight="1" x14ac:dyDescent="0.8">
      <c r="A1666" s="14">
        <v>5</v>
      </c>
      <c r="B1666" s="15">
        <v>55</v>
      </c>
      <c r="C1666" s="15">
        <v>551</v>
      </c>
      <c r="D1666" s="15">
        <v>5512</v>
      </c>
      <c r="E1666" s="15">
        <v>55123</v>
      </c>
      <c r="F1666" s="16" t="s">
        <v>2115</v>
      </c>
      <c r="G1666" s="21" t="s">
        <v>1239</v>
      </c>
      <c r="H1666" s="17" t="s">
        <v>2116</v>
      </c>
      <c r="I1666" s="33">
        <v>0</v>
      </c>
      <c r="J1666" s="33"/>
      <c r="K1666" s="33">
        <v>1</v>
      </c>
      <c r="L1666" s="33"/>
      <c r="M1666" s="33">
        <f t="shared" si="248"/>
        <v>1</v>
      </c>
      <c r="N1666" s="33">
        <f>IF(OR(H1666="",H1666="sif",H1666="PM"),0,VLOOKUP(H1666,[5]CU!$C$4:$H$255,6,FALSE))</f>
        <v>30</v>
      </c>
      <c r="O1666" s="33">
        <f t="shared" si="249"/>
        <v>0</v>
      </c>
      <c r="P1666" s="33">
        <f t="shared" si="249"/>
        <v>0</v>
      </c>
      <c r="Q1666" s="33">
        <f t="shared" si="249"/>
        <v>30</v>
      </c>
      <c r="R1666" s="33">
        <f t="shared" si="249"/>
        <v>0</v>
      </c>
      <c r="S1666" s="33">
        <f t="shared" si="250"/>
        <v>30</v>
      </c>
      <c r="T1666" s="35" t="s">
        <v>39</v>
      </c>
      <c r="U1666" s="19" t="s">
        <v>1873</v>
      </c>
      <c r="V1666" s="19" t="str">
        <f>IF(OR($H1666="",$H1666="sif",$H1666="PM"),"",VLOOKUP($H1666,[5]CU!$C$5:$J$255,8,FALSE))</f>
        <v>5. Investissement</v>
      </c>
      <c r="W1666" s="19" t="s">
        <v>142</v>
      </c>
      <c r="X1666" s="19" t="s">
        <v>521</v>
      </c>
      <c r="Y1666" s="19" t="s">
        <v>32</v>
      </c>
      <c r="Z1666" s="18" t="str">
        <f>A1666 &amp; "-" &amp; VLOOKUP(A1666,[4]PROGRAMMES!$E$1:$F$7,2,FALSE)</f>
        <v>5-Gouvernance et pilotage du secteur</v>
      </c>
      <c r="AA1666" s="19" t="str">
        <f>B1666 &amp; "-" &amp; VLOOKUP(B1666,[4]SOUSPROGRAMMES!$E$1:$F$44,2,FALSE)</f>
        <v>55- Gestion des RH (recrutement, affectation, motivation, fidélisation, gestion de carrières…)</v>
      </c>
      <c r="AB1666" s="19" t="str">
        <f>C1666 &amp; "-" &amp; VLOOKUP(C1666,[4]RESULTATS!$E$1:$F$176,2,FALSE)</f>
        <v>551- Assainissement et harmonisation des bases de données sur les personnels</v>
      </c>
      <c r="AC1666" s="20" t="str">
        <f>D1666 &amp; "-" &amp; VLOOKUP(D1666,[4]STRATEGIES!$E$1:$F$504,2,FALSE)</f>
        <v>5512-Conception d'un système intégré d'information</v>
      </c>
      <c r="AD1666" s="21" t="str">
        <f t="shared" si="240"/>
        <v>55123-Acquisition de matériels informatiques (serveur)</v>
      </c>
    </row>
    <row r="1667" spans="1:30" s="22" customFormat="1" ht="45" hidden="1" customHeight="1" x14ac:dyDescent="0.8">
      <c r="A1667" s="14">
        <v>5</v>
      </c>
      <c r="B1667" s="15">
        <v>55</v>
      </c>
      <c r="C1667" s="15">
        <v>551</v>
      </c>
      <c r="D1667" s="15">
        <v>5512</v>
      </c>
      <c r="E1667" s="15">
        <v>55124</v>
      </c>
      <c r="F1667" s="16" t="s">
        <v>2117</v>
      </c>
      <c r="G1667" s="21" t="s">
        <v>1996</v>
      </c>
      <c r="H1667" s="17" t="s">
        <v>1997</v>
      </c>
      <c r="I1667" s="33">
        <v>0</v>
      </c>
      <c r="J1667" s="33">
        <v>1</v>
      </c>
      <c r="K1667" s="33">
        <v>1</v>
      </c>
      <c r="L1667" s="33">
        <v>1</v>
      </c>
      <c r="M1667" s="33">
        <f t="shared" si="248"/>
        <v>3</v>
      </c>
      <c r="N1667" s="33">
        <f>IF(OR(H1667="",H1667="sif",H1667="PM"),0,VLOOKUP(H1667,[5]CU!$C$4:$H$255,6,FALSE))</f>
        <v>24</v>
      </c>
      <c r="O1667" s="33">
        <f t="shared" si="249"/>
        <v>0</v>
      </c>
      <c r="P1667" s="33">
        <f t="shared" si="249"/>
        <v>24</v>
      </c>
      <c r="Q1667" s="33">
        <f t="shared" si="249"/>
        <v>24</v>
      </c>
      <c r="R1667" s="33">
        <f t="shared" si="249"/>
        <v>24</v>
      </c>
      <c r="S1667" s="33">
        <f t="shared" si="250"/>
        <v>72</v>
      </c>
      <c r="T1667" s="35" t="s">
        <v>39</v>
      </c>
      <c r="U1667" s="19" t="s">
        <v>1873</v>
      </c>
      <c r="V1667" s="19" t="str">
        <f>IF(OR($H1667="",$H1667="sif",$H1667="PM"),"",VLOOKUP($H1667,[5]CU!$C$5:$J$255,8,FALSE))</f>
        <v>3. Dépenses de fonctionnement</v>
      </c>
      <c r="W1667" s="19" t="s">
        <v>142</v>
      </c>
      <c r="X1667" s="19" t="s">
        <v>521</v>
      </c>
      <c r="Y1667" s="19" t="s">
        <v>32</v>
      </c>
      <c r="Z1667" s="18" t="str">
        <f>A1667 &amp; "-" &amp; VLOOKUP(A1667,[4]PROGRAMMES!$E$1:$F$7,2,FALSE)</f>
        <v>5-Gouvernance et pilotage du secteur</v>
      </c>
      <c r="AA1667" s="19" t="str">
        <f>B1667 &amp; "-" &amp; VLOOKUP(B1667,[4]SOUSPROGRAMMES!$E$1:$F$44,2,FALSE)</f>
        <v>55- Gestion des RH (recrutement, affectation, motivation, fidélisation, gestion de carrières…)</v>
      </c>
      <c r="AB1667" s="19" t="str">
        <f>C1667 &amp; "-" &amp; VLOOKUP(C1667,[4]RESULTATS!$E$1:$F$176,2,FALSE)</f>
        <v>551- Assainissement et harmonisation des bases de données sur les personnels</v>
      </c>
      <c r="AC1667" s="20" t="str">
        <f>D1667 &amp; "-" &amp; VLOOKUP(D1667,[4]STRATEGIES!$E$1:$F$504,2,FALSE)</f>
        <v>5512-Conception d'un système intégré d'information</v>
      </c>
      <c r="AD1667" s="21" t="str">
        <f t="shared" si="240"/>
        <v>55124-Accès stable à internet de la GRH</v>
      </c>
    </row>
    <row r="1668" spans="1:30" s="22" customFormat="1" ht="45" hidden="1" customHeight="1" x14ac:dyDescent="0.8">
      <c r="A1668" s="14">
        <v>5</v>
      </c>
      <c r="B1668" s="15">
        <v>55</v>
      </c>
      <c r="C1668" s="15">
        <v>551</v>
      </c>
      <c r="D1668" s="15">
        <v>5513</v>
      </c>
      <c r="E1668" s="15">
        <v>5513</v>
      </c>
      <c r="F1668" s="16" t="s">
        <v>2118</v>
      </c>
      <c r="G1668" s="17"/>
      <c r="H1668" s="17"/>
      <c r="I1668" s="33">
        <v>0</v>
      </c>
      <c r="J1668" s="33"/>
      <c r="K1668" s="33"/>
      <c r="L1668" s="33"/>
      <c r="M1668" s="33"/>
      <c r="N1668" s="33"/>
      <c r="O1668" s="33"/>
      <c r="P1668" s="33"/>
      <c r="Q1668" s="33"/>
      <c r="R1668" s="33"/>
      <c r="S1668" s="33"/>
      <c r="T1668" s="33"/>
      <c r="U1668" s="18"/>
      <c r="V1668" s="18"/>
      <c r="W1668" s="18"/>
      <c r="X1668" s="18"/>
      <c r="Y1668" s="18"/>
      <c r="Z1668" s="18" t="str">
        <f>A1668 &amp; "-" &amp; VLOOKUP(A1668,[4]PROGRAMMES!$E$1:$F$7,2,FALSE)</f>
        <v>5-Gouvernance et pilotage du secteur</v>
      </c>
      <c r="AA1668" s="19" t="str">
        <f>B1668 &amp; "-" &amp; VLOOKUP(B1668,[4]SOUSPROGRAMMES!$E$1:$F$44,2,FALSE)</f>
        <v>55- Gestion des RH (recrutement, affectation, motivation, fidélisation, gestion de carrières…)</v>
      </c>
      <c r="AB1668" s="19" t="str">
        <f>C1668 &amp; "-" &amp; VLOOKUP(C1668,[4]RESULTATS!$E$1:$F$176,2,FALSE)</f>
        <v>551- Assainissement et harmonisation des bases de données sur les personnels</v>
      </c>
      <c r="AC1668" s="20" t="str">
        <f>D1668 &amp; "-" &amp; VLOOKUP(D1668,[4]STRATEGIES!$E$1:$F$504,2,FALSE)</f>
        <v>5513-Formation des gestionnaires et utilisateurs des bases à leur exploitation</v>
      </c>
      <c r="AD1668" s="21" t="str">
        <f t="shared" ref="AD1668:AD1731" si="251">E1668 &amp; "-" &amp; F1668</f>
        <v>5513-Formation des gestionnaires et utilisateurs des bases à leur exploitation</v>
      </c>
    </row>
    <row r="1669" spans="1:30" s="22" customFormat="1" ht="45" hidden="1" customHeight="1" x14ac:dyDescent="0.8">
      <c r="A1669" s="14">
        <v>5</v>
      </c>
      <c r="B1669" s="15">
        <v>55</v>
      </c>
      <c r="C1669" s="15">
        <v>551</v>
      </c>
      <c r="D1669" s="15">
        <v>5513</v>
      </c>
      <c r="E1669" s="15"/>
      <c r="F1669" s="16" t="s">
        <v>2119</v>
      </c>
      <c r="G1669" s="21"/>
      <c r="H1669" s="17"/>
      <c r="I1669" s="33">
        <v>0</v>
      </c>
      <c r="J1669" s="33"/>
      <c r="K1669" s="33"/>
      <c r="L1669" s="33"/>
      <c r="M1669" s="33"/>
      <c r="N1669" s="33" t="str">
        <f>IF(OR(H1669="",H1669="sif",H1669="PM"),"",VLOOKUP(H1669,[5]CU!$C$4:$H$255,6,FALSE))</f>
        <v/>
      </c>
      <c r="O1669" s="33"/>
      <c r="P1669" s="33"/>
      <c r="Q1669" s="33"/>
      <c r="R1669" s="33"/>
      <c r="S1669" s="33"/>
      <c r="T1669" s="35" t="s">
        <v>56</v>
      </c>
      <c r="U1669" s="18" t="s">
        <v>1873</v>
      </c>
      <c r="V1669" s="18" t="str">
        <f>IF(OR($H1669="",$H1669="sif",$H1669="PM"),"",VLOOKUP($H1669,[5]CU!$C$5:$J$255,8,FALSE))</f>
        <v/>
      </c>
      <c r="W1669" s="18" t="s">
        <v>96</v>
      </c>
      <c r="X1669" s="18" t="s">
        <v>96</v>
      </c>
      <c r="Y1669" s="19" t="s">
        <v>32</v>
      </c>
      <c r="Z1669" s="18" t="str">
        <f>A1669 &amp; "-" &amp; VLOOKUP(A1669,[4]PROGRAMMES!$E$1:$F$7,2,FALSE)</f>
        <v>5-Gouvernance et pilotage du secteur</v>
      </c>
      <c r="AA1669" s="19" t="str">
        <f>B1669 &amp; "-" &amp; VLOOKUP(B1669,[4]SOUSPROGRAMMES!$E$1:$F$44,2,FALSE)</f>
        <v>55- Gestion des RH (recrutement, affectation, motivation, fidélisation, gestion de carrières…)</v>
      </c>
      <c r="AB1669" s="19" t="str">
        <f>C1669 &amp; "-" &amp; VLOOKUP(C1669,[4]RESULTATS!$E$1:$F$176,2,FALSE)</f>
        <v>551- Assainissement et harmonisation des bases de données sur les personnels</v>
      </c>
      <c r="AC1669" s="20" t="str">
        <f>D1669 &amp; "-" &amp; VLOOKUP(D1669,[4]STRATEGIES!$E$1:$F$504,2,FALSE)</f>
        <v>5513-Formation des gestionnaires et utilisateurs des bases à leur exploitation</v>
      </c>
      <c r="AD1669" s="21" t="str">
        <f t="shared" si="251"/>
        <v>-voir activités 53126 et 53127</v>
      </c>
    </row>
    <row r="1670" spans="1:30" s="22" customFormat="1" ht="45" hidden="1" customHeight="1" x14ac:dyDescent="0.8">
      <c r="A1670" s="14">
        <v>5</v>
      </c>
      <c r="B1670" s="15">
        <v>55</v>
      </c>
      <c r="C1670" s="15">
        <v>552</v>
      </c>
      <c r="D1670" s="15">
        <v>552</v>
      </c>
      <c r="E1670" s="15">
        <v>552</v>
      </c>
      <c r="F1670" s="16" t="s">
        <v>2120</v>
      </c>
      <c r="G1670" s="17"/>
      <c r="H1670" s="17"/>
      <c r="I1670" s="33">
        <v>0</v>
      </c>
      <c r="J1670" s="33"/>
      <c r="K1670" s="33"/>
      <c r="L1670" s="33"/>
      <c r="M1670" s="33"/>
      <c r="N1670" s="33"/>
      <c r="O1670" s="33"/>
      <c r="P1670" s="33"/>
      <c r="Q1670" s="33"/>
      <c r="R1670" s="33"/>
      <c r="S1670" s="33"/>
      <c r="T1670" s="33"/>
      <c r="U1670" s="18"/>
      <c r="V1670" s="18"/>
      <c r="W1670" s="18"/>
      <c r="X1670" s="18"/>
      <c r="Y1670" s="18"/>
      <c r="Z1670" s="18" t="str">
        <f>A1670 &amp; "-" &amp; VLOOKUP(A1670,[4]PROGRAMMES!$E$1:$F$7,2,FALSE)</f>
        <v>5-Gouvernance et pilotage du secteur</v>
      </c>
      <c r="AA1670" s="19" t="str">
        <f>B1670 &amp; "-" &amp; VLOOKUP(B1670,[4]SOUSPROGRAMMES!$E$1:$F$44,2,FALSE)</f>
        <v>55- Gestion des RH (recrutement, affectation, motivation, fidélisation, gestion de carrières…)</v>
      </c>
      <c r="AB1670" s="19" t="str">
        <f>C1670 &amp; "-" &amp; VLOOKUP(C1670,[4]RESULTATS!$E$1:$F$176,2,FALSE)</f>
        <v xml:space="preserve">552- La politique nationale de la question enseignante est définie, validée et progressivement mise en œuvre </v>
      </c>
      <c r="AC1670" s="20" t="str">
        <f>D1670 &amp; "-" &amp; VLOOKUP(D1670,[4]STRATEGIES!$E$1:$F$504,2,FALSE)</f>
        <v xml:space="preserve">552- La politique nationale de la question enseignante est définie, validée et progressivement mise en œuvre </v>
      </c>
      <c r="AD1670" s="21" t="str">
        <f t="shared" si="251"/>
        <v xml:space="preserve">552- La politique nationale de la question enseignante est déFinie, validée et progressivement mise en œuvre </v>
      </c>
    </row>
    <row r="1671" spans="1:30" s="22" customFormat="1" ht="45" hidden="1" customHeight="1" x14ac:dyDescent="0.8">
      <c r="A1671" s="14">
        <v>5</v>
      </c>
      <c r="B1671" s="15">
        <v>55</v>
      </c>
      <c r="C1671" s="15">
        <v>552</v>
      </c>
      <c r="D1671" s="15">
        <v>5521</v>
      </c>
      <c r="E1671" s="15">
        <v>5521</v>
      </c>
      <c r="F1671" s="16" t="s">
        <v>2121</v>
      </c>
      <c r="G1671" s="17"/>
      <c r="H1671" s="17"/>
      <c r="I1671" s="33">
        <v>0</v>
      </c>
      <c r="J1671" s="33"/>
      <c r="K1671" s="33"/>
      <c r="L1671" s="33"/>
      <c r="M1671" s="33"/>
      <c r="N1671" s="33"/>
      <c r="O1671" s="33"/>
      <c r="P1671" s="33"/>
      <c r="Q1671" s="33"/>
      <c r="R1671" s="33"/>
      <c r="S1671" s="33"/>
      <c r="T1671" s="33"/>
      <c r="U1671" s="18"/>
      <c r="V1671" s="18"/>
      <c r="W1671" s="18"/>
      <c r="X1671" s="18"/>
      <c r="Y1671" s="18"/>
      <c r="Z1671" s="18" t="str">
        <f>A1671 &amp; "-" &amp; VLOOKUP(A1671,[4]PROGRAMMES!$E$1:$F$7,2,FALSE)</f>
        <v>5-Gouvernance et pilotage du secteur</v>
      </c>
      <c r="AA1671" s="19" t="str">
        <f>B1671 &amp; "-" &amp; VLOOKUP(B1671,[4]SOUSPROGRAMMES!$E$1:$F$44,2,FALSE)</f>
        <v>55- Gestion des RH (recrutement, affectation, motivation, fidélisation, gestion de carrières…)</v>
      </c>
      <c r="AB1671" s="19" t="str">
        <f>C1671 &amp; "-" &amp; VLOOKUP(C1671,[4]RESULTATS!$E$1:$F$176,2,FALSE)</f>
        <v xml:space="preserve">552- La politique nationale de la question enseignante est définie, validée et progressivement mise en œuvre </v>
      </c>
      <c r="AC1671" s="20" t="str">
        <f>D1671 &amp; "-" &amp; VLOOKUP(D1671,[4]STRATEGIES!$E$1:$F$504,2,FALSE)</f>
        <v>5521-Elaboration d'un état des lieux de la gestion des enseigants du primaire</v>
      </c>
      <c r="AD1671" s="21" t="str">
        <f t="shared" si="251"/>
        <v>5521-Elaboration d'un état des lieux de la gestion des enseigants du primaire</v>
      </c>
    </row>
    <row r="1672" spans="1:30" s="22" customFormat="1" ht="45" hidden="1" customHeight="1" x14ac:dyDescent="0.8">
      <c r="A1672" s="14">
        <v>5</v>
      </c>
      <c r="B1672" s="15">
        <v>55</v>
      </c>
      <c r="C1672" s="15">
        <v>552</v>
      </c>
      <c r="D1672" s="15">
        <v>5521</v>
      </c>
      <c r="E1672" s="15">
        <v>55211</v>
      </c>
      <c r="F1672" s="16" t="s">
        <v>2122</v>
      </c>
      <c r="G1672" s="21" t="s">
        <v>991</v>
      </c>
      <c r="H1672" s="17" t="s">
        <v>2123</v>
      </c>
      <c r="I1672" s="33">
        <v>0</v>
      </c>
      <c r="J1672" s="33"/>
      <c r="K1672" s="33"/>
      <c r="L1672" s="33"/>
      <c r="M1672" s="33">
        <f t="shared" ref="M1672:M1730" si="252">SUM(I1672:L1672)</f>
        <v>0</v>
      </c>
      <c r="N1672" s="33">
        <f>IF(OR(H1672="",H1672="sif",H1672="PM"),0,VLOOKUP(H1672,[5]CU!$C$4:$H$255,6,FALSE))</f>
        <v>1207.5</v>
      </c>
      <c r="O1672" s="33">
        <f t="shared" ref="O1672:R1730" si="253">IFERROR($N1672*I1672,0)</f>
        <v>0</v>
      </c>
      <c r="P1672" s="33">
        <f t="shared" si="253"/>
        <v>0</v>
      </c>
      <c r="Q1672" s="33">
        <f t="shared" si="253"/>
        <v>0</v>
      </c>
      <c r="R1672" s="33">
        <f t="shared" si="253"/>
        <v>0</v>
      </c>
      <c r="S1672" s="33">
        <f>SUM(O1672:R1672)</f>
        <v>0</v>
      </c>
      <c r="T1672" s="35" t="s">
        <v>221</v>
      </c>
      <c r="U1672" s="18" t="s">
        <v>1873</v>
      </c>
      <c r="V1672" s="18" t="str">
        <f>IF(OR($H1672="",$H1672="sif",$H1672="PM"),"",VLOOKUP($H1672,[5]CU!$C$5:$J$255,8,FALSE))</f>
        <v>3. Dépenses de fonctionnement</v>
      </c>
      <c r="W1672" s="18" t="s">
        <v>142</v>
      </c>
      <c r="X1672" s="18" t="s">
        <v>142</v>
      </c>
      <c r="Y1672" s="19" t="s">
        <v>32</v>
      </c>
      <c r="Z1672" s="18" t="str">
        <f>A1672 &amp; "-" &amp; VLOOKUP(A1672,[4]PROGRAMMES!$E$1:$F$7,2,FALSE)</f>
        <v>5-Gouvernance et pilotage du secteur</v>
      </c>
      <c r="AA1672" s="19" t="str">
        <f>B1672 &amp; "-" &amp; VLOOKUP(B1672,[4]SOUSPROGRAMMES!$E$1:$F$44,2,FALSE)</f>
        <v>55- Gestion des RH (recrutement, affectation, motivation, fidélisation, gestion de carrières…)</v>
      </c>
      <c r="AB1672" s="19" t="str">
        <f>C1672 &amp; "-" &amp; VLOOKUP(C1672,[4]RESULTATS!$E$1:$F$176,2,FALSE)</f>
        <v xml:space="preserve">552- La politique nationale de la question enseignante est définie, validée et progressivement mise en œuvre </v>
      </c>
      <c r="AC1672" s="20" t="str">
        <f>D1672 &amp; "-" &amp; VLOOKUP(D1672,[4]STRATEGIES!$E$1:$F$504,2,FALSE)</f>
        <v>5521-Elaboration d'un état des lieux de la gestion des enseigants du primaire</v>
      </c>
      <c r="AD1672" s="21" t="str">
        <f t="shared" si="251"/>
        <v>55211-Etude sur la gestion des enseignants au primaire</v>
      </c>
    </row>
    <row r="1673" spans="1:30" s="22" customFormat="1" ht="45" hidden="1" customHeight="1" x14ac:dyDescent="0.8">
      <c r="A1673" s="14">
        <v>5</v>
      </c>
      <c r="B1673" s="15">
        <v>55</v>
      </c>
      <c r="C1673" s="15">
        <v>552</v>
      </c>
      <c r="D1673" s="15">
        <v>5521</v>
      </c>
      <c r="E1673" s="15">
        <v>55212</v>
      </c>
      <c r="F1673" s="16" t="s">
        <v>2124</v>
      </c>
      <c r="G1673" s="21" t="s">
        <v>298</v>
      </c>
      <c r="H1673" s="17" t="s">
        <v>38</v>
      </c>
      <c r="I1673" s="33">
        <v>0</v>
      </c>
      <c r="J1673" s="33"/>
      <c r="K1673" s="33">
        <v>1</v>
      </c>
      <c r="L1673" s="33">
        <v>1</v>
      </c>
      <c r="M1673" s="33">
        <f t="shared" si="252"/>
        <v>2</v>
      </c>
      <c r="N1673" s="33">
        <f>IF(OR(H1673="",H1673="sif",H1673="PM"),0,VLOOKUP(H1673,[5]CU!$C$4:$H$255,6,FALSE))</f>
        <v>0.3133333333333333</v>
      </c>
      <c r="O1673" s="33">
        <f t="shared" si="253"/>
        <v>0</v>
      </c>
      <c r="P1673" s="33">
        <f t="shared" si="253"/>
        <v>0</v>
      </c>
      <c r="Q1673" s="33">
        <f t="shared" si="253"/>
        <v>0.3133333333333333</v>
      </c>
      <c r="R1673" s="33">
        <f t="shared" si="253"/>
        <v>0.3133333333333333</v>
      </c>
      <c r="S1673" s="33">
        <f>SUM(O1673:R1673)</f>
        <v>0.62666666666666659</v>
      </c>
      <c r="T1673" s="35" t="s">
        <v>118</v>
      </c>
      <c r="U1673" s="18" t="s">
        <v>1873</v>
      </c>
      <c r="V1673" s="18" t="str">
        <f>IF(OR($H1673="",$H1673="sif",$H1673="PM"),"",VLOOKUP($H1673,[5]CU!$C$5:$J$255,8,FALSE))</f>
        <v>3. Formation</v>
      </c>
      <c r="W1673" s="18" t="s">
        <v>273</v>
      </c>
      <c r="X1673" s="18" t="s">
        <v>273</v>
      </c>
      <c r="Y1673" s="19" t="s">
        <v>32</v>
      </c>
      <c r="Z1673" s="18" t="str">
        <f>A1673 &amp; "-" &amp; VLOOKUP(A1673,[4]PROGRAMMES!$E$1:$F$7,2,FALSE)</f>
        <v>5-Gouvernance et pilotage du secteur</v>
      </c>
      <c r="AA1673" s="19" t="str">
        <f>B1673 &amp; "-" &amp; VLOOKUP(B1673,[4]SOUSPROGRAMMES!$E$1:$F$44,2,FALSE)</f>
        <v>55- Gestion des RH (recrutement, affectation, motivation, fidélisation, gestion de carrières…)</v>
      </c>
      <c r="AB1673" s="19" t="str">
        <f>C1673 &amp; "-" &amp; VLOOKUP(C1673,[4]RESULTATS!$E$1:$F$176,2,FALSE)</f>
        <v xml:space="preserve">552- La politique nationale de la question enseignante est définie, validée et progressivement mise en œuvre </v>
      </c>
      <c r="AC1673" s="20" t="str">
        <f>D1673 &amp; "-" &amp; VLOOKUP(D1673,[4]STRATEGIES!$E$1:$F$504,2,FALSE)</f>
        <v>5521-Elaboration d'un état des lieux de la gestion des enseigants du primaire</v>
      </c>
      <c r="AD1673" s="21" t="str">
        <f t="shared" si="251"/>
        <v>55212-vulgarisation des résultats de l'étude sur la gestion des enseignants au primaire</v>
      </c>
    </row>
    <row r="1674" spans="1:30" s="22" customFormat="1" ht="45" hidden="1" customHeight="1" x14ac:dyDescent="0.8">
      <c r="A1674" s="14">
        <v>5</v>
      </c>
      <c r="B1674" s="15">
        <v>55</v>
      </c>
      <c r="C1674" s="15">
        <v>552</v>
      </c>
      <c r="D1674" s="15">
        <v>5522</v>
      </c>
      <c r="E1674" s="15">
        <v>5522</v>
      </c>
      <c r="F1674" s="16" t="s">
        <v>2125</v>
      </c>
      <c r="G1674" s="17"/>
      <c r="H1674" s="17"/>
      <c r="I1674" s="33">
        <v>0</v>
      </c>
      <c r="J1674" s="33"/>
      <c r="K1674" s="33"/>
      <c r="L1674" s="33"/>
      <c r="M1674" s="33"/>
      <c r="N1674" s="33"/>
      <c r="O1674" s="33"/>
      <c r="P1674" s="33"/>
      <c r="Q1674" s="33"/>
      <c r="R1674" s="33"/>
      <c r="S1674" s="33"/>
      <c r="T1674" s="33"/>
      <c r="U1674" s="18"/>
      <c r="V1674" s="18"/>
      <c r="W1674" s="18"/>
      <c r="X1674" s="18"/>
      <c r="Y1674" s="18"/>
      <c r="Z1674" s="18" t="str">
        <f>A1674 &amp; "-" &amp; VLOOKUP(A1674,[4]PROGRAMMES!$E$1:$F$7,2,FALSE)</f>
        <v>5-Gouvernance et pilotage du secteur</v>
      </c>
      <c r="AA1674" s="19" t="str">
        <f>B1674 &amp; "-" &amp; VLOOKUP(B1674,[4]SOUSPROGRAMMES!$E$1:$F$44,2,FALSE)</f>
        <v>55- Gestion des RH (recrutement, affectation, motivation, fidélisation, gestion de carrières…)</v>
      </c>
      <c r="AB1674" s="19" t="str">
        <f>C1674 &amp; "-" &amp; VLOOKUP(C1674,[4]RESULTATS!$E$1:$F$176,2,FALSE)</f>
        <v xml:space="preserve">552- La politique nationale de la question enseignante est définie, validée et progressivement mise en œuvre </v>
      </c>
      <c r="AC1674" s="20" t="str">
        <f>D1674 &amp; "-" &amp; VLOOKUP(D1674,[4]STRATEGIES!$E$1:$F$504,2,FALSE)</f>
        <v>5522-Développement et validation de la politique nationale des enseigants</v>
      </c>
      <c r="AD1674" s="21" t="str">
        <f t="shared" si="251"/>
        <v>5522-Développement et validation de la politique nationale des enseigants</v>
      </c>
    </row>
    <row r="1675" spans="1:30" s="22" customFormat="1" ht="45" hidden="1" customHeight="1" x14ac:dyDescent="0.8">
      <c r="A1675" s="14">
        <v>5</v>
      </c>
      <c r="B1675" s="15">
        <v>55</v>
      </c>
      <c r="C1675" s="15">
        <v>552</v>
      </c>
      <c r="D1675" s="15">
        <v>5522</v>
      </c>
      <c r="E1675" s="15">
        <v>55221</v>
      </c>
      <c r="F1675" s="16" t="s">
        <v>2126</v>
      </c>
      <c r="G1675" s="21" t="s">
        <v>843</v>
      </c>
      <c r="H1675" s="17" t="s">
        <v>2127</v>
      </c>
      <c r="I1675" s="33">
        <v>0</v>
      </c>
      <c r="J1675" s="33"/>
      <c r="K1675" s="33"/>
      <c r="L1675" s="33"/>
      <c r="M1675" s="33">
        <f>SUM(I1675:L1675)</f>
        <v>0</v>
      </c>
      <c r="N1675" s="33">
        <f>IF(OR(H1675="",H1675="sif",H1675="PM"),0,VLOOKUP(H1675,[5]CU!$C$4:$H$255,6,FALSE))</f>
        <v>1006.58635</v>
      </c>
      <c r="O1675" s="33">
        <f>IFERROR($N1675*I1675,0)</f>
        <v>0</v>
      </c>
      <c r="P1675" s="33">
        <f>IFERROR($N1675*J1675,0)</f>
        <v>0</v>
      </c>
      <c r="Q1675" s="33">
        <f>IFERROR($N1675*K1675,0)</f>
        <v>0</v>
      </c>
      <c r="R1675" s="33">
        <f>IFERROR($N1675*L1675,0)</f>
        <v>0</v>
      </c>
      <c r="S1675" s="33">
        <f>SUM(O1675:R1675)</f>
        <v>0</v>
      </c>
      <c r="T1675" s="35" t="s">
        <v>2128</v>
      </c>
      <c r="U1675" s="18" t="s">
        <v>1873</v>
      </c>
      <c r="V1675" s="18" t="str">
        <f>IF(OR($H1675="",$H1675="sif",$H1675="PM"),"",VLOOKUP($H1675,[5]CU!$C$5:$J$255,8,FALSE))</f>
        <v>3. Dépenses de fonctionnement</v>
      </c>
      <c r="W1675" s="18" t="s">
        <v>273</v>
      </c>
      <c r="X1675" s="18" t="s">
        <v>273</v>
      </c>
      <c r="Y1675" s="19" t="s">
        <v>32</v>
      </c>
      <c r="Z1675" s="18" t="str">
        <f>A1675 &amp; "-" &amp; VLOOKUP(A1675,[4]PROGRAMMES!$E$1:$F$7,2,FALSE)</f>
        <v>5-Gouvernance et pilotage du secteur</v>
      </c>
      <c r="AA1675" s="19" t="str">
        <f>B1675 &amp; "-" &amp; VLOOKUP(B1675,[4]SOUSPROGRAMMES!$E$1:$F$44,2,FALSE)</f>
        <v>55- Gestion des RH (recrutement, affectation, motivation, fidélisation, gestion de carrières…)</v>
      </c>
      <c r="AB1675" s="19" t="str">
        <f>C1675 &amp; "-" &amp; VLOOKUP(C1675,[4]RESULTATS!$E$1:$F$176,2,FALSE)</f>
        <v xml:space="preserve">552- La politique nationale de la question enseignante est définie, validée et progressivement mise en œuvre </v>
      </c>
      <c r="AC1675" s="20" t="str">
        <f>D1675 &amp; "-" &amp; VLOOKUP(D1675,[4]STRATEGIES!$E$1:$F$504,2,FALSE)</f>
        <v>5522-Développement et validation de la politique nationale des enseigants</v>
      </c>
      <c r="AD1675" s="21" t="str">
        <f t="shared" si="251"/>
        <v>55221-Elaboration, validation et dissémination de la politique holistique sur la profession enseignante</v>
      </c>
    </row>
    <row r="1676" spans="1:30" s="22" customFormat="1" ht="45" hidden="1" customHeight="1" x14ac:dyDescent="0.8">
      <c r="A1676" s="14">
        <v>5</v>
      </c>
      <c r="B1676" s="15">
        <v>55</v>
      </c>
      <c r="C1676" s="15">
        <v>552</v>
      </c>
      <c r="D1676" s="15">
        <v>5522</v>
      </c>
      <c r="E1676" s="15">
        <v>55221</v>
      </c>
      <c r="F1676" s="16" t="s">
        <v>2126</v>
      </c>
      <c r="G1676" s="21" t="s">
        <v>843</v>
      </c>
      <c r="H1676" s="17" t="s">
        <v>2127</v>
      </c>
      <c r="I1676" s="33">
        <v>0</v>
      </c>
      <c r="J1676" s="33"/>
      <c r="K1676" s="33"/>
      <c r="L1676" s="33"/>
      <c r="M1676" s="33">
        <f t="shared" si="252"/>
        <v>0</v>
      </c>
      <c r="N1676" s="33">
        <f>IF(OR(H1676="",H1676="sif",H1676="PM"),0,VLOOKUP(H1676,[5]CU!$C$4:$H$255,6,FALSE))</f>
        <v>1006.58635</v>
      </c>
      <c r="O1676" s="33">
        <f t="shared" si="253"/>
        <v>0</v>
      </c>
      <c r="P1676" s="33">
        <f t="shared" si="253"/>
        <v>0</v>
      </c>
      <c r="Q1676" s="33">
        <f t="shared" si="253"/>
        <v>0</v>
      </c>
      <c r="R1676" s="33">
        <f t="shared" si="253"/>
        <v>0</v>
      </c>
      <c r="S1676" s="33">
        <f>SUM(O1676:R1676)</f>
        <v>0</v>
      </c>
      <c r="T1676" s="35" t="s">
        <v>178</v>
      </c>
      <c r="U1676" s="18" t="s">
        <v>1873</v>
      </c>
      <c r="V1676" s="18" t="str">
        <f>IF(OR($H1676="",$H1676="sif",$H1676="PM"),"",VLOOKUP($H1676,[5]CU!$C$5:$J$255,8,FALSE))</f>
        <v>3. Dépenses de fonctionnement</v>
      </c>
      <c r="W1676" s="18" t="s">
        <v>273</v>
      </c>
      <c r="X1676" s="18" t="s">
        <v>273</v>
      </c>
      <c r="Y1676" s="19" t="s">
        <v>32</v>
      </c>
      <c r="Z1676" s="18" t="str">
        <f>A1676 &amp; "-" &amp; VLOOKUP(A1676,[4]PROGRAMMES!$E$1:$F$7,2,FALSE)</f>
        <v>5-Gouvernance et pilotage du secteur</v>
      </c>
      <c r="AA1676" s="19" t="str">
        <f>B1676 &amp; "-" &amp; VLOOKUP(B1676,[4]SOUSPROGRAMMES!$E$1:$F$44,2,FALSE)</f>
        <v>55- Gestion des RH (recrutement, affectation, motivation, fidélisation, gestion de carrières…)</v>
      </c>
      <c r="AB1676" s="19" t="str">
        <f>C1676 &amp; "-" &amp; VLOOKUP(C1676,[4]RESULTATS!$E$1:$F$176,2,FALSE)</f>
        <v xml:space="preserve">552- La politique nationale de la question enseignante est définie, validée et progressivement mise en œuvre </v>
      </c>
      <c r="AC1676" s="20" t="str">
        <f>D1676 &amp; "-" &amp; VLOOKUP(D1676,[4]STRATEGIES!$E$1:$F$504,2,FALSE)</f>
        <v>5522-Développement et validation de la politique nationale des enseigants</v>
      </c>
      <c r="AD1676" s="21" t="str">
        <f t="shared" si="251"/>
        <v>55221-Elaboration, validation et dissémination de la politique holistique sur la profession enseignante</v>
      </c>
    </row>
    <row r="1677" spans="1:30" s="22" customFormat="1" ht="45" hidden="1" customHeight="1" x14ac:dyDescent="0.8">
      <c r="A1677" s="14">
        <v>5</v>
      </c>
      <c r="B1677" s="15">
        <v>55</v>
      </c>
      <c r="C1677" s="15">
        <v>552</v>
      </c>
      <c r="D1677" s="15">
        <v>5523</v>
      </c>
      <c r="E1677" s="15">
        <v>5523</v>
      </c>
      <c r="F1677" s="16" t="s">
        <v>2129</v>
      </c>
      <c r="G1677" s="17"/>
      <c r="H1677" s="17"/>
      <c r="I1677" s="33">
        <v>0</v>
      </c>
      <c r="J1677" s="33"/>
      <c r="K1677" s="33"/>
      <c r="L1677" s="33"/>
      <c r="M1677" s="33"/>
      <c r="N1677" s="33"/>
      <c r="O1677" s="33"/>
      <c r="P1677" s="33"/>
      <c r="Q1677" s="33"/>
      <c r="R1677" s="33"/>
      <c r="S1677" s="33"/>
      <c r="T1677" s="33"/>
      <c r="U1677" s="18"/>
      <c r="V1677" s="18"/>
      <c r="W1677" s="18"/>
      <c r="X1677" s="18"/>
      <c r="Y1677" s="18"/>
      <c r="Z1677" s="18" t="str">
        <f>A1677 &amp; "-" &amp; VLOOKUP(A1677,[4]PROGRAMMES!$E$1:$F$7,2,FALSE)</f>
        <v>5-Gouvernance et pilotage du secteur</v>
      </c>
      <c r="AA1677" s="19" t="str">
        <f>B1677 &amp; "-" &amp; VLOOKUP(B1677,[4]SOUSPROGRAMMES!$E$1:$F$44,2,FALSE)</f>
        <v>55- Gestion des RH (recrutement, affectation, motivation, fidélisation, gestion de carrières…)</v>
      </c>
      <c r="AB1677" s="19" t="str">
        <f>C1677 &amp; "-" &amp; VLOOKUP(C1677,[4]RESULTATS!$E$1:$F$176,2,FALSE)</f>
        <v xml:space="preserve">552- La politique nationale de la question enseignante est définie, validée et progressivement mise en œuvre </v>
      </c>
      <c r="AC1677" s="20" t="str">
        <f>D1677 &amp; "-" &amp; VLOOKUP(D1677,[4]STRATEGIES!$E$1:$F$504,2,FALSE)</f>
        <v>5523-Mettre en place les conditions nécessaires pour rendre attractive le métier d'enseignant</v>
      </c>
      <c r="AD1677" s="21" t="str">
        <f t="shared" si="251"/>
        <v>5523-Mettre en place les conditions nécessaires pour rendre attractive le métier d'enseignant</v>
      </c>
    </row>
    <row r="1678" spans="1:30" s="22" customFormat="1" ht="45" hidden="1" customHeight="1" x14ac:dyDescent="0.8">
      <c r="A1678" s="14">
        <v>5</v>
      </c>
      <c r="B1678" s="15">
        <v>55</v>
      </c>
      <c r="C1678" s="15">
        <v>552</v>
      </c>
      <c r="D1678" s="15">
        <v>5523</v>
      </c>
      <c r="E1678" s="15">
        <v>55231</v>
      </c>
      <c r="F1678" s="16" t="s">
        <v>2130</v>
      </c>
      <c r="G1678" s="21" t="s">
        <v>88</v>
      </c>
      <c r="H1678" s="17" t="s">
        <v>55</v>
      </c>
      <c r="I1678" s="33">
        <v>0</v>
      </c>
      <c r="J1678" s="33">
        <v>1</v>
      </c>
      <c r="K1678" s="33">
        <v>1</v>
      </c>
      <c r="L1678" s="33">
        <v>1</v>
      </c>
      <c r="M1678" s="33">
        <f t="shared" si="252"/>
        <v>3</v>
      </c>
      <c r="N1678" s="33">
        <f>IF(OR(H1678="",H1678="sif",H1678="PM"),0,VLOOKUP(H1678,[5]CU!$C$4:$H$255,6,FALSE))</f>
        <v>0</v>
      </c>
      <c r="O1678" s="33">
        <f t="shared" si="253"/>
        <v>0</v>
      </c>
      <c r="P1678" s="33">
        <f t="shared" si="253"/>
        <v>0</v>
      </c>
      <c r="Q1678" s="33">
        <f t="shared" si="253"/>
        <v>0</v>
      </c>
      <c r="R1678" s="33">
        <f t="shared" si="253"/>
        <v>0</v>
      </c>
      <c r="S1678" s="33"/>
      <c r="T1678" s="35" t="s">
        <v>56</v>
      </c>
      <c r="U1678" s="18" t="s">
        <v>1873</v>
      </c>
      <c r="V1678" s="18" t="str">
        <f>IF(OR($H1678="",$H1678="sif",$H1678="PM"),"",VLOOKUP($H1678,[5]CU!$C$5:$J$255,8,FALSE))</f>
        <v/>
      </c>
      <c r="W1678" s="18" t="s">
        <v>273</v>
      </c>
      <c r="X1678" s="18" t="s">
        <v>273</v>
      </c>
      <c r="Y1678" s="19" t="s">
        <v>32</v>
      </c>
      <c r="Z1678" s="18" t="str">
        <f>A1678 &amp; "-" &amp; VLOOKUP(A1678,[4]PROGRAMMES!$E$1:$F$7,2,FALSE)</f>
        <v>5-Gouvernance et pilotage du secteur</v>
      </c>
      <c r="AA1678" s="19" t="str">
        <f>B1678 &amp; "-" &amp; VLOOKUP(B1678,[4]SOUSPROGRAMMES!$E$1:$F$44,2,FALSE)</f>
        <v>55- Gestion des RH (recrutement, affectation, motivation, fidélisation, gestion de carrières…)</v>
      </c>
      <c r="AB1678" s="19" t="str">
        <f>C1678 &amp; "-" &amp; VLOOKUP(C1678,[4]RESULTATS!$E$1:$F$176,2,FALSE)</f>
        <v xml:space="preserve">552- La politique nationale de la question enseignante est définie, validée et progressivement mise en œuvre </v>
      </c>
      <c r="AC1678" s="20" t="str">
        <f>D1678 &amp; "-" &amp; VLOOKUP(D1678,[4]STRATEGIES!$E$1:$F$504,2,FALSE)</f>
        <v>5523-Mettre en place les conditions nécessaires pour rendre attractive le métier d'enseignant</v>
      </c>
      <c r="AD1678" s="21" t="str">
        <f t="shared" si="251"/>
        <v>55231-Identification des pistes et des canaux pour renforcer l'attractivité de la fonction enseignante (en lien avec la politique nationale)</v>
      </c>
    </row>
    <row r="1679" spans="1:30" s="22" customFormat="1" ht="45" hidden="1" customHeight="1" x14ac:dyDescent="0.8">
      <c r="A1679" s="14">
        <v>5</v>
      </c>
      <c r="B1679" s="15">
        <v>55</v>
      </c>
      <c r="C1679" s="15">
        <v>552</v>
      </c>
      <c r="D1679" s="15">
        <v>5523</v>
      </c>
      <c r="E1679" s="15">
        <v>55232</v>
      </c>
      <c r="F1679" s="16" t="s">
        <v>2131</v>
      </c>
      <c r="G1679" s="21" t="s">
        <v>1432</v>
      </c>
      <c r="H1679" s="17" t="s">
        <v>38</v>
      </c>
      <c r="I1679" s="33">
        <v>0</v>
      </c>
      <c r="J1679" s="33">
        <f>(25*3)*2</f>
        <v>150</v>
      </c>
      <c r="K1679" s="33"/>
      <c r="L1679" s="33"/>
      <c r="M1679" s="33">
        <f t="shared" si="252"/>
        <v>150</v>
      </c>
      <c r="N1679" s="33">
        <f>IF(OR(H1679="",H1679="sif",H1679="PM"),0,VLOOKUP(H1679,[5]CU!$C$4:$H$255,6,FALSE))</f>
        <v>0.3133333333333333</v>
      </c>
      <c r="O1679" s="33">
        <f t="shared" si="253"/>
        <v>0</v>
      </c>
      <c r="P1679" s="33">
        <f t="shared" si="253"/>
        <v>46.999999999999993</v>
      </c>
      <c r="Q1679" s="33">
        <f t="shared" si="253"/>
        <v>0</v>
      </c>
      <c r="R1679" s="33">
        <f t="shared" si="253"/>
        <v>0</v>
      </c>
      <c r="S1679" s="33">
        <f>SUM(O1679:R1679)</f>
        <v>46.999999999999993</v>
      </c>
      <c r="T1679" s="35" t="s">
        <v>118</v>
      </c>
      <c r="U1679" s="18" t="s">
        <v>1873</v>
      </c>
      <c r="V1679" s="18" t="str">
        <f>IF(OR($H1679="",$H1679="sif",$H1679="PM"),"",VLOOKUP($H1679,[5]CU!$C$5:$J$255,8,FALSE))</f>
        <v>3. Formation</v>
      </c>
      <c r="W1679" s="18" t="s">
        <v>273</v>
      </c>
      <c r="X1679" s="18" t="s">
        <v>273</v>
      </c>
      <c r="Y1679" s="19" t="s">
        <v>32</v>
      </c>
      <c r="Z1679" s="18" t="str">
        <f>A1679 &amp; "-" &amp; VLOOKUP(A1679,[4]PROGRAMMES!$E$1:$F$7,2,FALSE)</f>
        <v>5-Gouvernance et pilotage du secteur</v>
      </c>
      <c r="AA1679" s="19" t="str">
        <f>B1679 &amp; "-" &amp; VLOOKUP(B1679,[4]SOUSPROGRAMMES!$E$1:$F$44,2,FALSE)</f>
        <v>55- Gestion des RH (recrutement, affectation, motivation, fidélisation, gestion de carrières…)</v>
      </c>
      <c r="AB1679" s="19" t="str">
        <f>C1679 &amp; "-" &amp; VLOOKUP(C1679,[4]RESULTATS!$E$1:$F$176,2,FALSE)</f>
        <v xml:space="preserve">552- La politique nationale de la question enseignante est définie, validée et progressivement mise en œuvre </v>
      </c>
      <c r="AC1679" s="20" t="str">
        <f>D1679 &amp; "-" &amp; VLOOKUP(D1679,[4]STRATEGIES!$E$1:$F$504,2,FALSE)</f>
        <v>5523-Mettre en place les conditions nécessaires pour rendre attractive le métier d'enseignant</v>
      </c>
      <c r="AD1679" s="21" t="str">
        <f t="shared" si="251"/>
        <v>55232-Concertation sur les pistes prioritaires d'intervention</v>
      </c>
    </row>
    <row r="1680" spans="1:30" s="22" customFormat="1" ht="45" hidden="1" customHeight="1" x14ac:dyDescent="0.8">
      <c r="A1680" s="14">
        <v>5</v>
      </c>
      <c r="B1680" s="15">
        <v>55</v>
      </c>
      <c r="C1680" s="15">
        <v>553</v>
      </c>
      <c r="D1680" s="15">
        <v>553</v>
      </c>
      <c r="E1680" s="15">
        <v>553</v>
      </c>
      <c r="F1680" s="16" t="s">
        <v>2132</v>
      </c>
      <c r="G1680" s="17"/>
      <c r="H1680" s="17"/>
      <c r="I1680" s="33">
        <v>0</v>
      </c>
      <c r="J1680" s="33"/>
      <c r="K1680" s="33"/>
      <c r="L1680" s="33"/>
      <c r="M1680" s="33"/>
      <c r="N1680" s="33"/>
      <c r="O1680" s="33"/>
      <c r="P1680" s="33"/>
      <c r="Q1680" s="33"/>
      <c r="R1680" s="33"/>
      <c r="S1680" s="33"/>
      <c r="T1680" s="33"/>
      <c r="U1680" s="18"/>
      <c r="V1680" s="18"/>
      <c r="W1680" s="18"/>
      <c r="X1680" s="18"/>
      <c r="Y1680" s="18"/>
      <c r="Z1680" s="18" t="str">
        <f>A1680 &amp; "-" &amp; VLOOKUP(A1680,[4]PROGRAMMES!$E$1:$F$7,2,FALSE)</f>
        <v>5-Gouvernance et pilotage du secteur</v>
      </c>
      <c r="AA1680" s="19" t="str">
        <f>B1680 &amp; "-" &amp; VLOOKUP(B1680,[4]SOUSPROGRAMMES!$E$1:$F$44,2,FALSE)</f>
        <v>55- Gestion des RH (recrutement, affectation, motivation, fidélisation, gestion de carrières…)</v>
      </c>
      <c r="AB1680" s="19" t="str">
        <f>C1680 &amp; "-" &amp; VLOOKUP(C1680,[4]RESULTATS!$E$1:$F$176,2,FALSE)</f>
        <v>553- Les procédures et critères de recrutement sont définis et respectés</v>
      </c>
      <c r="AC1680" s="20" t="str">
        <f>D1680 &amp; "-" &amp; VLOOKUP(D1680,[4]STRATEGIES!$E$1:$F$504,2,FALSE)</f>
        <v>553- Les procédures et critères de recrutement sont définis et respectés</v>
      </c>
      <c r="AD1680" s="21" t="str">
        <f t="shared" si="251"/>
        <v>553- Les procédures et critères de recrutement sont déFinis et respectés</v>
      </c>
    </row>
    <row r="1681" spans="1:30" s="22" customFormat="1" ht="45" hidden="1" customHeight="1" x14ac:dyDescent="0.8">
      <c r="A1681" s="14">
        <v>5</v>
      </c>
      <c r="B1681" s="15">
        <v>55</v>
      </c>
      <c r="C1681" s="15">
        <v>553</v>
      </c>
      <c r="D1681" s="15">
        <v>5531</v>
      </c>
      <c r="E1681" s="15">
        <v>5531</v>
      </c>
      <c r="F1681" s="16" t="s">
        <v>2133</v>
      </c>
      <c r="G1681" s="17"/>
      <c r="H1681" s="17"/>
      <c r="I1681" s="33">
        <v>0</v>
      </c>
      <c r="J1681" s="33"/>
      <c r="K1681" s="33"/>
      <c r="L1681" s="33"/>
      <c r="M1681" s="33"/>
      <c r="N1681" s="33"/>
      <c r="O1681" s="33"/>
      <c r="P1681" s="33"/>
      <c r="Q1681" s="33"/>
      <c r="R1681" s="33"/>
      <c r="S1681" s="33"/>
      <c r="T1681" s="33"/>
      <c r="U1681" s="18"/>
      <c r="V1681" s="18"/>
      <c r="W1681" s="18"/>
      <c r="X1681" s="18"/>
      <c r="Y1681" s="18"/>
      <c r="Z1681" s="18" t="str">
        <f>A1681 &amp; "-" &amp; VLOOKUP(A1681,[4]PROGRAMMES!$E$1:$F$7,2,FALSE)</f>
        <v>5-Gouvernance et pilotage du secteur</v>
      </c>
      <c r="AA1681" s="19" t="str">
        <f>B1681 &amp; "-" &amp; VLOOKUP(B1681,[4]SOUSPROGRAMMES!$E$1:$F$44,2,FALSE)</f>
        <v>55- Gestion des RH (recrutement, affectation, motivation, fidélisation, gestion de carrières…)</v>
      </c>
      <c r="AB1681" s="19" t="str">
        <f>C1681 &amp; "-" &amp; VLOOKUP(C1681,[4]RESULTATS!$E$1:$F$176,2,FALSE)</f>
        <v>553- Les procédures et critères de recrutement sont définis et respectés</v>
      </c>
      <c r="AC1681" s="20" t="str">
        <f>D1681 &amp; "-" &amp; VLOOKUP(D1681,[4]STRATEGIES!$E$1:$F$504,2,FALSE)</f>
        <v>5531-Développement de procédures et critères de recrutement par poste</v>
      </c>
      <c r="AD1681" s="21" t="str">
        <f t="shared" si="251"/>
        <v>5531-Développement de procédures et critères de recrutement par poste</v>
      </c>
    </row>
    <row r="1682" spans="1:30" s="22" customFormat="1" ht="45" hidden="1" customHeight="1" x14ac:dyDescent="0.8">
      <c r="A1682" s="14">
        <v>5</v>
      </c>
      <c r="B1682" s="15">
        <v>55</v>
      </c>
      <c r="C1682" s="15">
        <v>553</v>
      </c>
      <c r="D1682" s="15">
        <v>5531</v>
      </c>
      <c r="E1682" s="15">
        <v>55311</v>
      </c>
      <c r="F1682" s="16" t="s">
        <v>2134</v>
      </c>
      <c r="G1682" s="21" t="s">
        <v>315</v>
      </c>
      <c r="H1682" s="17" t="s">
        <v>66</v>
      </c>
      <c r="I1682" s="33">
        <v>0</v>
      </c>
      <c r="J1682" s="33">
        <f>10*14</f>
        <v>140</v>
      </c>
      <c r="K1682" s="33"/>
      <c r="L1682" s="33"/>
      <c r="M1682" s="33">
        <f t="shared" si="252"/>
        <v>140</v>
      </c>
      <c r="N1682" s="33">
        <f>IF(OR(H1682="",H1682="sif",H1682="PM"),0,VLOOKUP(H1682,[5]CU!$C$4:$H$255,6,FALSE))</f>
        <v>0.255</v>
      </c>
      <c r="O1682" s="33">
        <f t="shared" si="253"/>
        <v>0</v>
      </c>
      <c r="P1682" s="33">
        <f t="shared" si="253"/>
        <v>35.700000000000003</v>
      </c>
      <c r="Q1682" s="33">
        <f t="shared" si="253"/>
        <v>0</v>
      </c>
      <c r="R1682" s="33">
        <f t="shared" si="253"/>
        <v>0</v>
      </c>
      <c r="S1682" s="33">
        <f>SUM(O1682:R1682)</f>
        <v>35.700000000000003</v>
      </c>
      <c r="T1682" s="35" t="s">
        <v>39</v>
      </c>
      <c r="U1682" s="19" t="s">
        <v>1873</v>
      </c>
      <c r="V1682" s="19" t="str">
        <f>IF(OR($H1682="",$H1682="sif",$H1682="PM"),"",VLOOKUP($H1682,[5]CU!$C$5:$J$255,8,FALSE))</f>
        <v>3. Dépenses de fonctionnement</v>
      </c>
      <c r="W1682" s="19" t="s">
        <v>142</v>
      </c>
      <c r="X1682" s="19" t="s">
        <v>142</v>
      </c>
      <c r="Y1682" s="19" t="s">
        <v>32</v>
      </c>
      <c r="Z1682" s="18" t="str">
        <f>A1682 &amp; "-" &amp; VLOOKUP(A1682,[4]PROGRAMMES!$E$1:$F$7,2,FALSE)</f>
        <v>5-Gouvernance et pilotage du secteur</v>
      </c>
      <c r="AA1682" s="19" t="str">
        <f>B1682 &amp; "-" &amp; VLOOKUP(B1682,[4]SOUSPROGRAMMES!$E$1:$F$44,2,FALSE)</f>
        <v>55- Gestion des RH (recrutement, affectation, motivation, fidélisation, gestion de carrières…)</v>
      </c>
      <c r="AB1682" s="19" t="str">
        <f>C1682 &amp; "-" &amp; VLOOKUP(C1682,[4]RESULTATS!$E$1:$F$176,2,FALSE)</f>
        <v>553- Les procédures et critères de recrutement sont définis et respectés</v>
      </c>
      <c r="AC1682" s="20" t="str">
        <f>D1682 &amp; "-" &amp; VLOOKUP(D1682,[4]STRATEGIES!$E$1:$F$504,2,FALSE)</f>
        <v>5531-Développement de procédures et critères de recrutement par poste</v>
      </c>
      <c r="AD1682" s="21" t="str">
        <f t="shared" si="251"/>
        <v>55311-Elaboration des textes réglementaires d'application du décret relatif au recrutement des personnels enseignants</v>
      </c>
    </row>
    <row r="1683" spans="1:30" s="22" customFormat="1" ht="45" hidden="1" customHeight="1" x14ac:dyDescent="0.8">
      <c r="A1683" s="14">
        <v>5</v>
      </c>
      <c r="B1683" s="15">
        <v>55</v>
      </c>
      <c r="C1683" s="15">
        <v>553</v>
      </c>
      <c r="D1683" s="15">
        <v>5531</v>
      </c>
      <c r="E1683" s="15">
        <v>55312</v>
      </c>
      <c r="F1683" s="16" t="s">
        <v>2135</v>
      </c>
      <c r="G1683" s="21" t="s">
        <v>315</v>
      </c>
      <c r="H1683" s="17" t="s">
        <v>38</v>
      </c>
      <c r="I1683" s="33">
        <v>0</v>
      </c>
      <c r="J1683" s="33">
        <f>50*1</f>
        <v>50</v>
      </c>
      <c r="K1683" s="33"/>
      <c r="L1683" s="33"/>
      <c r="M1683" s="33">
        <f t="shared" si="252"/>
        <v>50</v>
      </c>
      <c r="N1683" s="33">
        <f>IF(OR(H1683="",H1683="sif",H1683="PM"),0,VLOOKUP(H1683,[5]CU!$C$4:$H$255,6,FALSE))</f>
        <v>0.3133333333333333</v>
      </c>
      <c r="O1683" s="33">
        <f t="shared" si="253"/>
        <v>0</v>
      </c>
      <c r="P1683" s="33">
        <f t="shared" si="253"/>
        <v>15.666666666666664</v>
      </c>
      <c r="Q1683" s="33">
        <f t="shared" si="253"/>
        <v>0</v>
      </c>
      <c r="R1683" s="33">
        <f t="shared" si="253"/>
        <v>0</v>
      </c>
      <c r="S1683" s="33">
        <f>SUM(O1683:R1683)</f>
        <v>15.666666666666664</v>
      </c>
      <c r="T1683" s="35" t="s">
        <v>39</v>
      </c>
      <c r="U1683" s="19" t="s">
        <v>1873</v>
      </c>
      <c r="V1683" s="19" t="str">
        <f>IF(OR($H1683="",$H1683="sif",$H1683="PM"),"",VLOOKUP($H1683,[5]CU!$C$5:$J$255,8,FALSE))</f>
        <v>3. Formation</v>
      </c>
      <c r="W1683" s="19" t="s">
        <v>142</v>
      </c>
      <c r="X1683" s="19" t="s">
        <v>142</v>
      </c>
      <c r="Y1683" s="19" t="s">
        <v>32</v>
      </c>
      <c r="Z1683" s="18" t="str">
        <f>A1683 &amp; "-" &amp; VLOOKUP(A1683,[4]PROGRAMMES!$E$1:$F$7,2,FALSE)</f>
        <v>5-Gouvernance et pilotage du secteur</v>
      </c>
      <c r="AA1683" s="19" t="str">
        <f>B1683 &amp; "-" &amp; VLOOKUP(B1683,[4]SOUSPROGRAMMES!$E$1:$F$44,2,FALSE)</f>
        <v>55- Gestion des RH (recrutement, affectation, motivation, fidélisation, gestion de carrières…)</v>
      </c>
      <c r="AB1683" s="19" t="str">
        <f>C1683 &amp; "-" &amp; VLOOKUP(C1683,[4]RESULTATS!$E$1:$F$176,2,FALSE)</f>
        <v>553- Les procédures et critères de recrutement sont définis et respectés</v>
      </c>
      <c r="AC1683" s="20" t="str">
        <f>D1683 &amp; "-" &amp; VLOOKUP(D1683,[4]STRATEGIES!$E$1:$F$504,2,FALSE)</f>
        <v>5531-Développement de procédures et critères de recrutement par poste</v>
      </c>
      <c r="AD1683" s="21" t="str">
        <f t="shared" si="251"/>
        <v>55312-Partage et validation des textes rédigés</v>
      </c>
    </row>
    <row r="1684" spans="1:30" s="22" customFormat="1" ht="45" hidden="1" customHeight="1" x14ac:dyDescent="0.8">
      <c r="A1684" s="14">
        <v>5</v>
      </c>
      <c r="B1684" s="15">
        <v>55</v>
      </c>
      <c r="C1684" s="15">
        <v>553</v>
      </c>
      <c r="D1684" s="15">
        <v>5531</v>
      </c>
      <c r="E1684" s="15">
        <v>55313</v>
      </c>
      <c r="F1684" s="16" t="s">
        <v>2136</v>
      </c>
      <c r="G1684" s="21" t="s">
        <v>44</v>
      </c>
      <c r="H1684" s="17" t="s">
        <v>452</v>
      </c>
      <c r="I1684" s="33">
        <v>0</v>
      </c>
      <c r="J1684" s="33">
        <f>(15*(46+46+427+50))/3</f>
        <v>2845</v>
      </c>
      <c r="K1684" s="33"/>
      <c r="L1684" s="33"/>
      <c r="M1684" s="33">
        <f t="shared" si="252"/>
        <v>2845</v>
      </c>
      <c r="N1684" s="33">
        <f>IF(OR(H1684="",H1684="sif",H1684="PM"),0,VLOOKUP(H1684,[5]CU!$C$4:$H$255,6,FALSE))</f>
        <v>7.4999999999999997E-3</v>
      </c>
      <c r="O1684" s="33">
        <f t="shared" si="253"/>
        <v>0</v>
      </c>
      <c r="P1684" s="33">
        <f t="shared" si="253"/>
        <v>21.337499999999999</v>
      </c>
      <c r="Q1684" s="33">
        <f t="shared" si="253"/>
        <v>0</v>
      </c>
      <c r="R1684" s="33">
        <f t="shared" si="253"/>
        <v>0</v>
      </c>
      <c r="S1684" s="33">
        <f>SUM(O1684:R1684)</f>
        <v>21.337499999999999</v>
      </c>
      <c r="T1684" s="35" t="s">
        <v>39</v>
      </c>
      <c r="U1684" s="19" t="s">
        <v>1873</v>
      </c>
      <c r="V1684" s="19" t="str">
        <f>IF(OR($H1684="",$H1684="sif",$H1684="PM"),"",VLOOKUP($H1684,[5]CU!$C$5:$J$255,8,FALSE))</f>
        <v>3. Dépenses de fonctionnement</v>
      </c>
      <c r="W1684" s="19" t="s">
        <v>142</v>
      </c>
      <c r="X1684" s="19" t="s">
        <v>142</v>
      </c>
      <c r="Y1684" s="19" t="s">
        <v>32</v>
      </c>
      <c r="Z1684" s="18" t="str">
        <f>A1684 &amp; "-" &amp; VLOOKUP(A1684,[4]PROGRAMMES!$E$1:$F$7,2,FALSE)</f>
        <v>5-Gouvernance et pilotage du secteur</v>
      </c>
      <c r="AA1684" s="19" t="str">
        <f>B1684 &amp; "-" &amp; VLOOKUP(B1684,[4]SOUSPROGRAMMES!$E$1:$F$44,2,FALSE)</f>
        <v>55- Gestion des RH (recrutement, affectation, motivation, fidélisation, gestion de carrières…)</v>
      </c>
      <c r="AB1684" s="19" t="str">
        <f>C1684 &amp; "-" &amp; VLOOKUP(C1684,[4]RESULTATS!$E$1:$F$176,2,FALSE)</f>
        <v>553- Les procédures et critères de recrutement sont définis et respectés</v>
      </c>
      <c r="AC1684" s="20" t="str">
        <f>D1684 &amp; "-" &amp; VLOOKUP(D1684,[4]STRATEGIES!$E$1:$F$504,2,FALSE)</f>
        <v>5531-Développement de procédures et critères de recrutement par poste</v>
      </c>
      <c r="AD1684" s="21" t="str">
        <f t="shared" si="251"/>
        <v>55313-Reprographie des textes règlementaires</v>
      </c>
    </row>
    <row r="1685" spans="1:30" s="22" customFormat="1" ht="45" hidden="1" customHeight="1" x14ac:dyDescent="0.8">
      <c r="A1685" s="14">
        <v>5</v>
      </c>
      <c r="B1685" s="15">
        <v>55</v>
      </c>
      <c r="C1685" s="15">
        <v>553</v>
      </c>
      <c r="D1685" s="15">
        <v>5531</v>
      </c>
      <c r="E1685" s="15">
        <v>55314</v>
      </c>
      <c r="F1685" s="16" t="s">
        <v>2137</v>
      </c>
      <c r="G1685" s="21" t="s">
        <v>92</v>
      </c>
      <c r="H1685" s="17" t="s">
        <v>55</v>
      </c>
      <c r="I1685" s="33">
        <v>0</v>
      </c>
      <c r="J1685" s="33">
        <v>1</v>
      </c>
      <c r="K1685" s="33">
        <v>1</v>
      </c>
      <c r="L1685" s="33"/>
      <c r="M1685" s="33">
        <f t="shared" si="252"/>
        <v>2</v>
      </c>
      <c r="N1685" s="33">
        <f>IF(OR(H1685="",H1685="sif",H1685="PM"),0,VLOOKUP(H1685,[5]CU!$C$4:$H$255,6,FALSE))</f>
        <v>0</v>
      </c>
      <c r="O1685" s="33">
        <f t="shared" si="253"/>
        <v>0</v>
      </c>
      <c r="P1685" s="33">
        <f t="shared" si="253"/>
        <v>0</v>
      </c>
      <c r="Q1685" s="33">
        <f t="shared" si="253"/>
        <v>0</v>
      </c>
      <c r="R1685" s="33">
        <f t="shared" si="253"/>
        <v>0</v>
      </c>
      <c r="S1685" s="33"/>
      <c r="T1685" s="35" t="s">
        <v>56</v>
      </c>
      <c r="U1685" s="18" t="s">
        <v>1873</v>
      </c>
      <c r="V1685" s="18" t="str">
        <f>IF(OR($H1685="",$H1685="sif",$H1685="PM"),"",VLOOKUP($H1685,[5]CU!$C$5:$J$255,8,FALSE))</f>
        <v/>
      </c>
      <c r="W1685" s="18" t="s">
        <v>142</v>
      </c>
      <c r="X1685" s="18" t="s">
        <v>142</v>
      </c>
      <c r="Y1685" s="19" t="s">
        <v>32</v>
      </c>
      <c r="Z1685" s="18" t="str">
        <f>A1685 &amp; "-" &amp; VLOOKUP(A1685,[4]PROGRAMMES!$E$1:$F$7,2,FALSE)</f>
        <v>5-Gouvernance et pilotage du secteur</v>
      </c>
      <c r="AA1685" s="19" t="str">
        <f>B1685 &amp; "-" &amp; VLOOKUP(B1685,[4]SOUSPROGRAMMES!$E$1:$F$44,2,FALSE)</f>
        <v>55- Gestion des RH (recrutement, affectation, motivation, fidélisation, gestion de carrières…)</v>
      </c>
      <c r="AB1685" s="19" t="str">
        <f>C1685 &amp; "-" &amp; VLOOKUP(C1685,[4]RESULTATS!$E$1:$F$176,2,FALSE)</f>
        <v>553- Les procédures et critères de recrutement sont définis et respectés</v>
      </c>
      <c r="AC1685" s="20" t="str">
        <f>D1685 &amp; "-" &amp; VLOOKUP(D1685,[4]STRATEGIES!$E$1:$F$504,2,FALSE)</f>
        <v>5531-Développement de procédures et critères de recrutement par poste</v>
      </c>
      <c r="AD1685" s="21" t="str">
        <f t="shared" si="251"/>
        <v>55314-Dissémination des textes dans toutes les structures pour application</v>
      </c>
    </row>
    <row r="1686" spans="1:30" s="22" customFormat="1" ht="45" hidden="1" customHeight="1" x14ac:dyDescent="0.8">
      <c r="A1686" s="14">
        <v>5</v>
      </c>
      <c r="B1686" s="15">
        <v>55</v>
      </c>
      <c r="C1686" s="15">
        <v>553</v>
      </c>
      <c r="D1686" s="15">
        <v>5532</v>
      </c>
      <c r="E1686" s="15">
        <v>5532</v>
      </c>
      <c r="F1686" s="16" t="s">
        <v>2138</v>
      </c>
      <c r="G1686" s="17"/>
      <c r="H1686" s="17"/>
      <c r="I1686" s="33">
        <v>0</v>
      </c>
      <c r="J1686" s="33"/>
      <c r="K1686" s="33"/>
      <c r="L1686" s="33"/>
      <c r="M1686" s="33"/>
      <c r="N1686" s="33"/>
      <c r="O1686" s="33"/>
      <c r="P1686" s="33"/>
      <c r="Q1686" s="33"/>
      <c r="R1686" s="33"/>
      <c r="S1686" s="33"/>
      <c r="T1686" s="33"/>
      <c r="U1686" s="18"/>
      <c r="V1686" s="18"/>
      <c r="W1686" s="18"/>
      <c r="X1686" s="18"/>
      <c r="Y1686" s="18"/>
      <c r="Z1686" s="18" t="str">
        <f>A1686 &amp; "-" &amp; VLOOKUP(A1686,[4]PROGRAMMES!$E$1:$F$7,2,FALSE)</f>
        <v>5-Gouvernance et pilotage du secteur</v>
      </c>
      <c r="AA1686" s="19" t="str">
        <f>B1686 &amp; "-" &amp; VLOOKUP(B1686,[4]SOUSPROGRAMMES!$E$1:$F$44,2,FALSE)</f>
        <v>55- Gestion des RH (recrutement, affectation, motivation, fidélisation, gestion de carrières…)</v>
      </c>
      <c r="AB1686" s="19" t="str">
        <f>C1686 &amp; "-" &amp; VLOOKUP(C1686,[4]RESULTATS!$E$1:$F$176,2,FALSE)</f>
        <v>553- Les procédures et critères de recrutement sont définis et respectés</v>
      </c>
      <c r="AC1686" s="20" t="str">
        <f>D1686 &amp; "-" &amp; VLOOKUP(D1686,[4]STRATEGIES!$E$1:$F$504,2,FALSE)</f>
        <v>5532-Sensibilisation des acteurs et partenaires sur les procédures et critères de recrutement par poste</v>
      </c>
      <c r="AD1686" s="21" t="str">
        <f t="shared" si="251"/>
        <v>5532-Sensibilisation des acteurs et partenaires sur les procédures et critères de recrutement par poste</v>
      </c>
    </row>
    <row r="1687" spans="1:30" s="22" customFormat="1" ht="45" hidden="1" customHeight="1" x14ac:dyDescent="0.8">
      <c r="A1687" s="14">
        <v>5</v>
      </c>
      <c r="B1687" s="15">
        <v>55</v>
      </c>
      <c r="C1687" s="15">
        <v>553</v>
      </c>
      <c r="D1687" s="15">
        <v>5532</v>
      </c>
      <c r="E1687" s="15">
        <v>55321</v>
      </c>
      <c r="F1687" s="16" t="s">
        <v>2139</v>
      </c>
      <c r="G1687" s="21" t="s">
        <v>1017</v>
      </c>
      <c r="H1687" s="17" t="s">
        <v>59</v>
      </c>
      <c r="I1687" s="33">
        <v>0</v>
      </c>
      <c r="J1687" s="33"/>
      <c r="K1687" s="33">
        <f>4*8*3</f>
        <v>96</v>
      </c>
      <c r="L1687" s="33"/>
      <c r="M1687" s="33">
        <f t="shared" si="252"/>
        <v>96</v>
      </c>
      <c r="N1687" s="33">
        <f>IF(OR(H1687="",H1687="sif",H1687="PM"),0,VLOOKUP(H1687,[5]CU!$C$4:$H$255,6,FALSE))</f>
        <v>0.8177777777777776</v>
      </c>
      <c r="O1687" s="33">
        <f t="shared" si="253"/>
        <v>0</v>
      </c>
      <c r="P1687" s="33">
        <f t="shared" si="253"/>
        <v>0</v>
      </c>
      <c r="Q1687" s="33">
        <f t="shared" si="253"/>
        <v>78.506666666666646</v>
      </c>
      <c r="R1687" s="33">
        <f t="shared" si="253"/>
        <v>0</v>
      </c>
      <c r="S1687" s="33">
        <f>SUM(O1687:R1687)</f>
        <v>78.506666666666646</v>
      </c>
      <c r="T1687" s="35" t="s">
        <v>39</v>
      </c>
      <c r="U1687" s="19" t="s">
        <v>1873</v>
      </c>
      <c r="V1687" s="19" t="str">
        <f>IF(OR($H1687="",$H1687="sif",$H1687="PM"),"",VLOOKUP($H1687,[5]CU!$C$5:$J$255,8,FALSE))</f>
        <v>3. Dépenses de fonctionnement</v>
      </c>
      <c r="W1687" s="19" t="s">
        <v>142</v>
      </c>
      <c r="X1687" s="19" t="s">
        <v>142</v>
      </c>
      <c r="Y1687" s="19" t="s">
        <v>32</v>
      </c>
      <c r="Z1687" s="18" t="str">
        <f>A1687 &amp; "-" &amp; VLOOKUP(A1687,[4]PROGRAMMES!$E$1:$F$7,2,FALSE)</f>
        <v>5-Gouvernance et pilotage du secteur</v>
      </c>
      <c r="AA1687" s="19" t="str">
        <f>B1687 &amp; "-" &amp; VLOOKUP(B1687,[4]SOUSPROGRAMMES!$E$1:$F$44,2,FALSE)</f>
        <v>55- Gestion des RH (recrutement, affectation, motivation, fidélisation, gestion de carrières…)</v>
      </c>
      <c r="AB1687" s="19" t="str">
        <f>C1687 &amp; "-" &amp; VLOOKUP(C1687,[4]RESULTATS!$E$1:$F$176,2,FALSE)</f>
        <v>553- Les procédures et critères de recrutement sont définis et respectés</v>
      </c>
      <c r="AC1687" s="20" t="str">
        <f>D1687 &amp; "-" &amp; VLOOKUP(D1687,[4]STRATEGIES!$E$1:$F$504,2,FALSE)</f>
        <v>5532-Sensibilisation des acteurs et partenaires sur les procédures et critères de recrutement par poste</v>
      </c>
      <c r="AD1687" s="21" t="str">
        <f t="shared" si="251"/>
        <v>55321-Organisation de campagnes d'information et de sensibilisation des acteurs et partenaires sociaux sur les procédures et critères de recrutement sur poste</v>
      </c>
    </row>
    <row r="1688" spans="1:30" s="22" customFormat="1" ht="45" hidden="1" customHeight="1" x14ac:dyDescent="0.8">
      <c r="A1688" s="14">
        <v>5</v>
      </c>
      <c r="B1688" s="15">
        <v>55</v>
      </c>
      <c r="C1688" s="15">
        <v>553</v>
      </c>
      <c r="D1688" s="15">
        <v>5533</v>
      </c>
      <c r="E1688" s="15">
        <v>5533</v>
      </c>
      <c r="F1688" s="16" t="s">
        <v>2140</v>
      </c>
      <c r="G1688" s="17"/>
      <c r="H1688" s="17"/>
      <c r="I1688" s="33">
        <v>0</v>
      </c>
      <c r="J1688" s="33"/>
      <c r="K1688" s="33"/>
      <c r="L1688" s="33"/>
      <c r="M1688" s="33"/>
      <c r="N1688" s="33"/>
      <c r="O1688" s="33"/>
      <c r="P1688" s="33"/>
      <c r="Q1688" s="33"/>
      <c r="R1688" s="33"/>
      <c r="S1688" s="33"/>
      <c r="T1688" s="33"/>
      <c r="U1688" s="18"/>
      <c r="V1688" s="18"/>
      <c r="W1688" s="18"/>
      <c r="X1688" s="18"/>
      <c r="Y1688" s="18"/>
      <c r="Z1688" s="18" t="str">
        <f>A1688 &amp; "-" &amp; VLOOKUP(A1688,[4]PROGRAMMES!$E$1:$F$7,2,FALSE)</f>
        <v>5-Gouvernance et pilotage du secteur</v>
      </c>
      <c r="AA1688" s="19" t="str">
        <f>B1688 &amp; "-" &amp; VLOOKUP(B1688,[4]SOUSPROGRAMMES!$E$1:$F$44,2,FALSE)</f>
        <v>55- Gestion des RH (recrutement, affectation, motivation, fidélisation, gestion de carrières…)</v>
      </c>
      <c r="AB1688" s="19" t="str">
        <f>C1688 &amp; "-" &amp; VLOOKUP(C1688,[4]RESULTATS!$E$1:$F$176,2,FALSE)</f>
        <v>553- Les procédures et critères de recrutement sont définis et respectés</v>
      </c>
      <c r="AC1688" s="20" t="str">
        <f>D1688 &amp; "-" &amp; VLOOKUP(D1688,[4]STRATEGIES!$E$1:$F$504,2,FALSE)</f>
        <v>5533-Publication régulière d’informations sur le profil des recrutés et le respect des procédures</v>
      </c>
      <c r="AD1688" s="21" t="str">
        <f t="shared" si="251"/>
        <v>5533-Publication régulière d’informations sur le profil des recrutés et le respect des procédures</v>
      </c>
    </row>
    <row r="1689" spans="1:30" s="22" customFormat="1" ht="45" hidden="1" customHeight="1" x14ac:dyDescent="0.8">
      <c r="A1689" s="14">
        <v>5</v>
      </c>
      <c r="B1689" s="15">
        <v>55</v>
      </c>
      <c r="C1689" s="15">
        <v>553</v>
      </c>
      <c r="D1689" s="15">
        <v>5533</v>
      </c>
      <c r="E1689" s="15">
        <v>55331</v>
      </c>
      <c r="F1689" s="16" t="s">
        <v>2141</v>
      </c>
      <c r="G1689" s="21" t="s">
        <v>88</v>
      </c>
      <c r="H1689" s="17" t="s">
        <v>55</v>
      </c>
      <c r="I1689" s="33">
        <v>0</v>
      </c>
      <c r="J1689" s="33">
        <v>1</v>
      </c>
      <c r="K1689" s="33">
        <v>1</v>
      </c>
      <c r="L1689" s="33"/>
      <c r="M1689" s="33">
        <f t="shared" si="252"/>
        <v>2</v>
      </c>
      <c r="N1689" s="33">
        <f>IF(OR(H1689="",H1689="sif",H1689="PM"),0,VLOOKUP(H1689,[5]CU!$C$4:$H$255,6,FALSE))</f>
        <v>0</v>
      </c>
      <c r="O1689" s="33">
        <f t="shared" si="253"/>
        <v>0</v>
      </c>
      <c r="P1689" s="33">
        <f t="shared" si="253"/>
        <v>0</v>
      </c>
      <c r="Q1689" s="33">
        <f t="shared" si="253"/>
        <v>0</v>
      </c>
      <c r="R1689" s="33">
        <f t="shared" si="253"/>
        <v>0</v>
      </c>
      <c r="S1689" s="33"/>
      <c r="T1689" s="35" t="s">
        <v>56</v>
      </c>
      <c r="U1689" s="18" t="s">
        <v>1873</v>
      </c>
      <c r="V1689" s="18" t="str">
        <f>IF(OR($H1689="",$H1689="sif",$H1689="PM"),"",VLOOKUP($H1689,[5]CU!$C$5:$J$255,8,FALSE))</f>
        <v/>
      </c>
      <c r="W1689" s="18" t="s">
        <v>142</v>
      </c>
      <c r="X1689" s="18" t="s">
        <v>142</v>
      </c>
      <c r="Y1689" s="19" t="s">
        <v>32</v>
      </c>
      <c r="Z1689" s="18" t="str">
        <f>A1689 &amp; "-" &amp; VLOOKUP(A1689,[4]PROGRAMMES!$E$1:$F$7,2,FALSE)</f>
        <v>5-Gouvernance et pilotage du secteur</v>
      </c>
      <c r="AA1689" s="19" t="str">
        <f>B1689 &amp; "-" &amp; VLOOKUP(B1689,[4]SOUSPROGRAMMES!$E$1:$F$44,2,FALSE)</f>
        <v>55- Gestion des RH (recrutement, affectation, motivation, fidélisation, gestion de carrières…)</v>
      </c>
      <c r="AB1689" s="19" t="str">
        <f>C1689 &amp; "-" &amp; VLOOKUP(C1689,[4]RESULTATS!$E$1:$F$176,2,FALSE)</f>
        <v>553- Les procédures et critères de recrutement sont définis et respectés</v>
      </c>
      <c r="AC1689" s="20" t="str">
        <f>D1689 &amp; "-" &amp; VLOOKUP(D1689,[4]STRATEGIES!$E$1:$F$504,2,FALSE)</f>
        <v>5533-Publication régulière d’informations sur le profil des recrutés et le respect des procédures</v>
      </c>
      <c r="AD1689" s="21" t="str">
        <f t="shared" si="251"/>
        <v>55331-Description des profils recherchés</v>
      </c>
    </row>
    <row r="1690" spans="1:30" s="22" customFormat="1" ht="45" hidden="1" customHeight="1" x14ac:dyDescent="0.8">
      <c r="A1690" s="14">
        <v>5</v>
      </c>
      <c r="B1690" s="15">
        <v>55</v>
      </c>
      <c r="C1690" s="15">
        <v>553</v>
      </c>
      <c r="D1690" s="15">
        <v>5533</v>
      </c>
      <c r="E1690" s="15">
        <v>55332</v>
      </c>
      <c r="F1690" s="16" t="s">
        <v>2142</v>
      </c>
      <c r="G1690" s="21" t="s">
        <v>88</v>
      </c>
      <c r="H1690" s="17" t="s">
        <v>55</v>
      </c>
      <c r="I1690" s="33">
        <v>0</v>
      </c>
      <c r="J1690" s="33">
        <v>1</v>
      </c>
      <c r="K1690" s="33">
        <v>1</v>
      </c>
      <c r="L1690" s="33">
        <v>1</v>
      </c>
      <c r="M1690" s="33">
        <f t="shared" si="252"/>
        <v>3</v>
      </c>
      <c r="N1690" s="33">
        <f>IF(OR(H1690="",H1690="sif",H1690="PM"),0,VLOOKUP(H1690,[5]CU!$C$4:$H$255,6,FALSE))</f>
        <v>0</v>
      </c>
      <c r="O1690" s="33">
        <f t="shared" si="253"/>
        <v>0</v>
      </c>
      <c r="P1690" s="33">
        <f t="shared" si="253"/>
        <v>0</v>
      </c>
      <c r="Q1690" s="33">
        <f t="shared" si="253"/>
        <v>0</v>
      </c>
      <c r="R1690" s="33">
        <f t="shared" si="253"/>
        <v>0</v>
      </c>
      <c r="S1690" s="33"/>
      <c r="T1690" s="35" t="s">
        <v>56</v>
      </c>
      <c r="U1690" s="18" t="s">
        <v>1873</v>
      </c>
      <c r="V1690" s="18" t="str">
        <f>IF(OR($H1690="",$H1690="sif",$H1690="PM"),"",VLOOKUP($H1690,[5]CU!$C$5:$J$255,8,FALSE))</f>
        <v/>
      </c>
      <c r="W1690" s="18" t="s">
        <v>142</v>
      </c>
      <c r="X1690" s="18" t="s">
        <v>142</v>
      </c>
      <c r="Y1690" s="19" t="s">
        <v>32</v>
      </c>
      <c r="Z1690" s="18" t="str">
        <f>A1690 &amp; "-" &amp; VLOOKUP(A1690,[4]PROGRAMMES!$E$1:$F$7,2,FALSE)</f>
        <v>5-Gouvernance et pilotage du secteur</v>
      </c>
      <c r="AA1690" s="19" t="str">
        <f>B1690 &amp; "-" &amp; VLOOKUP(B1690,[4]SOUSPROGRAMMES!$E$1:$F$44,2,FALSE)</f>
        <v>55- Gestion des RH (recrutement, affectation, motivation, fidélisation, gestion de carrières…)</v>
      </c>
      <c r="AB1690" s="19" t="str">
        <f>C1690 &amp; "-" &amp; VLOOKUP(C1690,[4]RESULTATS!$E$1:$F$176,2,FALSE)</f>
        <v>553- Les procédures et critères de recrutement sont définis et respectés</v>
      </c>
      <c r="AC1690" s="20" t="str">
        <f>D1690 &amp; "-" &amp; VLOOKUP(D1690,[4]STRATEGIES!$E$1:$F$504,2,FALSE)</f>
        <v>5533-Publication régulière d’informations sur le profil des recrutés et le respect des procédures</v>
      </c>
      <c r="AD1690" s="21" t="str">
        <f t="shared" si="251"/>
        <v>55332-Identification des postes à pourvoir</v>
      </c>
    </row>
    <row r="1691" spans="1:30" s="22" customFormat="1" ht="45" hidden="1" customHeight="1" x14ac:dyDescent="0.8">
      <c r="A1691" s="14">
        <v>5</v>
      </c>
      <c r="B1691" s="15">
        <v>55</v>
      </c>
      <c r="C1691" s="15">
        <v>553</v>
      </c>
      <c r="D1691" s="15">
        <v>5533</v>
      </c>
      <c r="E1691" s="15">
        <v>55333</v>
      </c>
      <c r="F1691" s="16" t="s">
        <v>2143</v>
      </c>
      <c r="G1691" s="21" t="s">
        <v>88</v>
      </c>
      <c r="H1691" s="17" t="s">
        <v>55</v>
      </c>
      <c r="I1691" s="33">
        <v>0</v>
      </c>
      <c r="J1691" s="33">
        <v>1</v>
      </c>
      <c r="K1691" s="33">
        <v>1</v>
      </c>
      <c r="L1691" s="33">
        <v>1</v>
      </c>
      <c r="M1691" s="33">
        <f t="shared" si="252"/>
        <v>3</v>
      </c>
      <c r="N1691" s="33">
        <f>IF(OR(H1691="",H1691="sif",H1691="PM"),0,VLOOKUP(H1691,[5]CU!$C$4:$H$255,6,FALSE))</f>
        <v>0</v>
      </c>
      <c r="O1691" s="33">
        <f t="shared" si="253"/>
        <v>0</v>
      </c>
      <c r="P1691" s="33">
        <f t="shared" si="253"/>
        <v>0</v>
      </c>
      <c r="Q1691" s="33">
        <f t="shared" si="253"/>
        <v>0</v>
      </c>
      <c r="R1691" s="33">
        <f t="shared" si="253"/>
        <v>0</v>
      </c>
      <c r="S1691" s="33"/>
      <c r="T1691" s="35" t="s">
        <v>56</v>
      </c>
      <c r="U1691" s="18" t="s">
        <v>1873</v>
      </c>
      <c r="V1691" s="18" t="str">
        <f>IF(OR($H1691="",$H1691="sif",$H1691="PM"),"",VLOOKUP($H1691,[5]CU!$C$5:$J$255,8,FALSE))</f>
        <v/>
      </c>
      <c r="W1691" s="18" t="s">
        <v>142</v>
      </c>
      <c r="X1691" s="18" t="s">
        <v>142</v>
      </c>
      <c r="Y1691" s="19" t="s">
        <v>32</v>
      </c>
      <c r="Z1691" s="18" t="str">
        <f>A1691 &amp; "-" &amp; VLOOKUP(A1691,[4]PROGRAMMES!$E$1:$F$7,2,FALSE)</f>
        <v>5-Gouvernance et pilotage du secteur</v>
      </c>
      <c r="AA1691" s="19" t="str">
        <f>B1691 &amp; "-" &amp; VLOOKUP(B1691,[4]SOUSPROGRAMMES!$E$1:$F$44,2,FALSE)</f>
        <v>55- Gestion des RH (recrutement, affectation, motivation, fidélisation, gestion de carrières…)</v>
      </c>
      <c r="AB1691" s="19" t="str">
        <f>C1691 &amp; "-" &amp; VLOOKUP(C1691,[4]RESULTATS!$E$1:$F$176,2,FALSE)</f>
        <v>553- Les procédures et critères de recrutement sont définis et respectés</v>
      </c>
      <c r="AC1691" s="20" t="str">
        <f>D1691 &amp; "-" &amp; VLOOKUP(D1691,[4]STRATEGIES!$E$1:$F$504,2,FALSE)</f>
        <v>5533-Publication régulière d’informations sur le profil des recrutés et le respect des procédures</v>
      </c>
      <c r="AD1691" s="21" t="str">
        <f t="shared" si="251"/>
        <v>55333-Diffusion des besoins et des critères de candidature</v>
      </c>
    </row>
    <row r="1692" spans="1:30" s="22" customFormat="1" ht="45" hidden="1" customHeight="1" x14ac:dyDescent="0.8">
      <c r="A1692" s="14">
        <v>5</v>
      </c>
      <c r="B1692" s="15">
        <v>55</v>
      </c>
      <c r="C1692" s="15">
        <v>554</v>
      </c>
      <c r="D1692" s="15">
        <v>554</v>
      </c>
      <c r="E1692" s="15">
        <v>554</v>
      </c>
      <c r="F1692" s="16" t="s">
        <v>2144</v>
      </c>
      <c r="G1692" s="17"/>
      <c r="H1692" s="17"/>
      <c r="I1692" s="33">
        <v>0</v>
      </c>
      <c r="J1692" s="33"/>
      <c r="K1692" s="33"/>
      <c r="L1692" s="33"/>
      <c r="M1692" s="33"/>
      <c r="N1692" s="33"/>
      <c r="O1692" s="33"/>
      <c r="P1692" s="33"/>
      <c r="Q1692" s="33"/>
      <c r="R1692" s="33"/>
      <c r="S1692" s="33"/>
      <c r="T1692" s="33"/>
      <c r="U1692" s="18"/>
      <c r="V1692" s="18"/>
      <c r="W1692" s="18"/>
      <c r="X1692" s="18"/>
      <c r="Y1692" s="18"/>
      <c r="Z1692" s="18" t="str">
        <f>A1692 &amp; "-" &amp; VLOOKUP(A1692,[4]PROGRAMMES!$E$1:$F$7,2,FALSE)</f>
        <v>5-Gouvernance et pilotage du secteur</v>
      </c>
      <c r="AA1692" s="19" t="str">
        <f>B1692 &amp; "-" &amp; VLOOKUP(B1692,[4]SOUSPROGRAMMES!$E$1:$F$44,2,FALSE)</f>
        <v>55- Gestion des RH (recrutement, affectation, motivation, fidélisation, gestion de carrières…)</v>
      </c>
      <c r="AB1692" s="19" t="str">
        <f>C1692 &amp; "-" &amp; VLOOKUP(C1692,[4]RESULTATS!$E$1:$F$176,2,FALSE)</f>
        <v>554- Les critères d’affectation sont clairement définis et respectés</v>
      </c>
      <c r="AC1692" s="20" t="str">
        <f>D1692 &amp; "-" &amp; VLOOKUP(D1692,[4]STRATEGIES!$E$1:$F$504,2,FALSE)</f>
        <v>554- Les critères d’affectation sont clairement définis et respectés</v>
      </c>
      <c r="AD1692" s="21" t="str">
        <f t="shared" si="251"/>
        <v>554- Les critères d’affectation sont clairement déFinis et respectés</v>
      </c>
    </row>
    <row r="1693" spans="1:30" s="22" customFormat="1" ht="45" hidden="1" customHeight="1" x14ac:dyDescent="0.8">
      <c r="A1693" s="14">
        <v>5</v>
      </c>
      <c r="B1693" s="15">
        <v>55</v>
      </c>
      <c r="C1693" s="15">
        <v>554</v>
      </c>
      <c r="D1693" s="15">
        <v>5541</v>
      </c>
      <c r="E1693" s="15">
        <v>5541</v>
      </c>
      <c r="F1693" s="16" t="s">
        <v>2145</v>
      </c>
      <c r="G1693" s="17"/>
      <c r="H1693" s="17"/>
      <c r="I1693" s="33">
        <v>0</v>
      </c>
      <c r="J1693" s="33"/>
      <c r="K1693" s="33"/>
      <c r="L1693" s="33"/>
      <c r="M1693" s="33"/>
      <c r="N1693" s="33"/>
      <c r="O1693" s="33"/>
      <c r="P1693" s="33"/>
      <c r="Q1693" s="33"/>
      <c r="R1693" s="33"/>
      <c r="S1693" s="33"/>
      <c r="T1693" s="33"/>
      <c r="U1693" s="18"/>
      <c r="V1693" s="18"/>
      <c r="W1693" s="18"/>
      <c r="X1693" s="18"/>
      <c r="Y1693" s="18"/>
      <c r="Z1693" s="18" t="str">
        <f>A1693 &amp; "-" &amp; VLOOKUP(A1693,[4]PROGRAMMES!$E$1:$F$7,2,FALSE)</f>
        <v>5-Gouvernance et pilotage du secteur</v>
      </c>
      <c r="AA1693" s="19" t="str">
        <f>B1693 &amp; "-" &amp; VLOOKUP(B1693,[4]SOUSPROGRAMMES!$E$1:$F$44,2,FALSE)</f>
        <v>55- Gestion des RH (recrutement, affectation, motivation, fidélisation, gestion de carrières…)</v>
      </c>
      <c r="AB1693" s="19" t="str">
        <f>C1693 &amp; "-" &amp; VLOOKUP(C1693,[4]RESULTATS!$E$1:$F$176,2,FALSE)</f>
        <v>554- Les critères d’affectation sont clairement définis et respectés</v>
      </c>
      <c r="AC1693" s="20" t="str">
        <f>D1693 &amp; "-" &amp; VLOOKUP(D1693,[4]STRATEGIES!$E$1:$F$504,2,FALSE)</f>
        <v>5541-Développement de procédures et critères d’affectation par poste</v>
      </c>
      <c r="AD1693" s="21" t="str">
        <f t="shared" si="251"/>
        <v>5541-Développement de procédures et critères d’affectation par poste</v>
      </c>
    </row>
    <row r="1694" spans="1:30" s="22" customFormat="1" ht="45" hidden="1" customHeight="1" x14ac:dyDescent="0.8">
      <c r="A1694" s="14">
        <v>5</v>
      </c>
      <c r="B1694" s="15">
        <v>55</v>
      </c>
      <c r="C1694" s="15">
        <v>554</v>
      </c>
      <c r="D1694" s="15">
        <v>5541</v>
      </c>
      <c r="E1694" s="15">
        <v>55411</v>
      </c>
      <c r="F1694" s="16" t="s">
        <v>2146</v>
      </c>
      <c r="G1694" s="21" t="s">
        <v>315</v>
      </c>
      <c r="H1694" s="17" t="s">
        <v>59</v>
      </c>
      <c r="I1694" s="33">
        <v>0</v>
      </c>
      <c r="J1694" s="33"/>
      <c r="K1694" s="33"/>
      <c r="L1694" s="33"/>
      <c r="M1694" s="33">
        <f t="shared" si="252"/>
        <v>0</v>
      </c>
      <c r="N1694" s="33">
        <f>IF(OR(H1694="",H1694="sif",H1694="PM"),0,VLOOKUP(H1694,[5]CU!$C$4:$H$255,6,FALSE))</f>
        <v>0.8177777777777776</v>
      </c>
      <c r="O1694" s="33">
        <f t="shared" si="253"/>
        <v>0</v>
      </c>
      <c r="P1694" s="33">
        <f t="shared" si="253"/>
        <v>0</v>
      </c>
      <c r="Q1694" s="33">
        <f t="shared" si="253"/>
        <v>0</v>
      </c>
      <c r="R1694" s="33">
        <f t="shared" si="253"/>
        <v>0</v>
      </c>
      <c r="S1694" s="33">
        <f>SUM(O1694:R1694)</f>
        <v>0</v>
      </c>
      <c r="T1694" s="35" t="s">
        <v>178</v>
      </c>
      <c r="U1694" s="18" t="s">
        <v>1873</v>
      </c>
      <c r="V1694" s="18" t="str">
        <f>IF(OR($H1694="",$H1694="sif",$H1694="PM"),"",VLOOKUP($H1694,[5]CU!$C$5:$J$255,8,FALSE))</f>
        <v>3. Dépenses de fonctionnement</v>
      </c>
      <c r="W1694" s="18" t="s">
        <v>142</v>
      </c>
      <c r="X1694" s="18" t="s">
        <v>142</v>
      </c>
      <c r="Y1694" s="19" t="s">
        <v>32</v>
      </c>
      <c r="Z1694" s="18" t="str">
        <f>A1694 &amp; "-" &amp; VLOOKUP(A1694,[4]PROGRAMMES!$E$1:$F$7,2,FALSE)</f>
        <v>5-Gouvernance et pilotage du secteur</v>
      </c>
      <c r="AA1694" s="19" t="str">
        <f>B1694 &amp; "-" &amp; VLOOKUP(B1694,[4]SOUSPROGRAMMES!$E$1:$F$44,2,FALSE)</f>
        <v>55- Gestion des RH (recrutement, affectation, motivation, fidélisation, gestion de carrières…)</v>
      </c>
      <c r="AB1694" s="19" t="str">
        <f>C1694 &amp; "-" &amp; VLOOKUP(C1694,[4]RESULTATS!$E$1:$F$176,2,FALSE)</f>
        <v>554- Les critères d’affectation sont clairement définis et respectés</v>
      </c>
      <c r="AC1694" s="20" t="str">
        <f>D1694 &amp; "-" &amp; VLOOKUP(D1694,[4]STRATEGIES!$E$1:$F$504,2,FALSE)</f>
        <v>5541-Développement de procédures et critères d’affectation par poste</v>
      </c>
      <c r="AD1694" s="21" t="str">
        <f t="shared" si="251"/>
        <v>55411-Appui à la mise en œuvre du barème des mouvements de personnels</v>
      </c>
    </row>
    <row r="1695" spans="1:30" s="22" customFormat="1" ht="45" hidden="1" customHeight="1" x14ac:dyDescent="0.8">
      <c r="A1695" s="14">
        <v>5</v>
      </c>
      <c r="B1695" s="15">
        <v>55</v>
      </c>
      <c r="C1695" s="15">
        <v>554</v>
      </c>
      <c r="D1695" s="15">
        <v>5541</v>
      </c>
      <c r="E1695" s="15">
        <v>55412</v>
      </c>
      <c r="F1695" s="16" t="s">
        <v>2147</v>
      </c>
      <c r="G1695" s="21" t="s">
        <v>315</v>
      </c>
      <c r="H1695" s="17" t="s">
        <v>66</v>
      </c>
      <c r="I1695" s="33">
        <v>0</v>
      </c>
      <c r="J1695" s="33">
        <f>8*6</f>
        <v>48</v>
      </c>
      <c r="K1695" s="33"/>
      <c r="L1695" s="33"/>
      <c r="M1695" s="33">
        <f t="shared" si="252"/>
        <v>48</v>
      </c>
      <c r="N1695" s="33">
        <f>IF(OR(H1695="",H1695="sif",H1695="PM"),0,VLOOKUP(H1695,[5]CU!$C$4:$H$255,6,FALSE))</f>
        <v>0.255</v>
      </c>
      <c r="O1695" s="33">
        <f t="shared" si="253"/>
        <v>0</v>
      </c>
      <c r="P1695" s="33">
        <f t="shared" si="253"/>
        <v>12.24</v>
      </c>
      <c r="Q1695" s="33">
        <f t="shared" si="253"/>
        <v>0</v>
      </c>
      <c r="R1695" s="33">
        <f t="shared" si="253"/>
        <v>0</v>
      </c>
      <c r="S1695" s="33">
        <f>SUM(O1695:R1695)</f>
        <v>12.24</v>
      </c>
      <c r="T1695" s="35" t="s">
        <v>39</v>
      </c>
      <c r="U1695" s="19" t="s">
        <v>1873</v>
      </c>
      <c r="V1695" s="19" t="str">
        <f>IF(OR($H1695="",$H1695="sif",$H1695="PM"),"",VLOOKUP($H1695,[5]CU!$C$5:$J$255,8,FALSE))</f>
        <v>3. Dépenses de fonctionnement</v>
      </c>
      <c r="W1695" s="19" t="s">
        <v>142</v>
      </c>
      <c r="X1695" s="19" t="s">
        <v>142</v>
      </c>
      <c r="Y1695" s="19" t="s">
        <v>32</v>
      </c>
      <c r="Z1695" s="18" t="str">
        <f>A1695 &amp; "-" &amp; VLOOKUP(A1695,[4]PROGRAMMES!$E$1:$F$7,2,FALSE)</f>
        <v>5-Gouvernance et pilotage du secteur</v>
      </c>
      <c r="AA1695" s="19" t="str">
        <f>B1695 &amp; "-" &amp; VLOOKUP(B1695,[4]SOUSPROGRAMMES!$E$1:$F$44,2,FALSE)</f>
        <v>55- Gestion des RH (recrutement, affectation, motivation, fidélisation, gestion de carrières…)</v>
      </c>
      <c r="AB1695" s="19" t="str">
        <f>C1695 &amp; "-" &amp; VLOOKUP(C1695,[4]RESULTATS!$E$1:$F$176,2,FALSE)</f>
        <v>554- Les critères d’affectation sont clairement définis et respectés</v>
      </c>
      <c r="AC1695" s="20" t="str">
        <f>D1695 &amp; "-" &amp; VLOOKUP(D1695,[4]STRATEGIES!$E$1:$F$504,2,FALSE)</f>
        <v>5541-Développement de procédures et critères d’affectation par poste</v>
      </c>
      <c r="AD1695" s="21" t="str">
        <f t="shared" si="251"/>
        <v>55412-Amélioration du manuel de procédure d'application du barème des mouvements de personnels</v>
      </c>
    </row>
    <row r="1696" spans="1:30" s="22" customFormat="1" ht="45" hidden="1" customHeight="1" x14ac:dyDescent="0.8">
      <c r="A1696" s="14">
        <v>5</v>
      </c>
      <c r="B1696" s="15">
        <v>55</v>
      </c>
      <c r="C1696" s="15">
        <v>554</v>
      </c>
      <c r="D1696" s="15">
        <v>5541</v>
      </c>
      <c r="E1696" s="15">
        <v>55413</v>
      </c>
      <c r="F1696" s="16" t="s">
        <v>2148</v>
      </c>
      <c r="G1696" s="21" t="s">
        <v>451</v>
      </c>
      <c r="H1696" s="17" t="s">
        <v>816</v>
      </c>
      <c r="I1696" s="33">
        <v>0</v>
      </c>
      <c r="J1696" s="33">
        <f>(46+46+50)*3</f>
        <v>426</v>
      </c>
      <c r="K1696" s="33"/>
      <c r="L1696" s="33"/>
      <c r="M1696" s="33">
        <f t="shared" si="252"/>
        <v>426</v>
      </c>
      <c r="N1696" s="33">
        <f>IF(OR(H1696="",H1696="sif",H1696="PM"),0,VLOOKUP(H1696,[5]CU!$C$4:$H$255,6,FALSE))</f>
        <v>7.4999999999999997E-3</v>
      </c>
      <c r="O1696" s="33">
        <f t="shared" si="253"/>
        <v>0</v>
      </c>
      <c r="P1696" s="33">
        <f t="shared" si="253"/>
        <v>3.1949999999999998</v>
      </c>
      <c r="Q1696" s="33">
        <f t="shared" si="253"/>
        <v>0</v>
      </c>
      <c r="R1696" s="33">
        <f t="shared" si="253"/>
        <v>0</v>
      </c>
      <c r="S1696" s="33">
        <f>SUM(O1696:R1696)</f>
        <v>3.1949999999999998</v>
      </c>
      <c r="T1696" s="35" t="s">
        <v>39</v>
      </c>
      <c r="U1696" s="19" t="s">
        <v>1873</v>
      </c>
      <c r="V1696" s="19" t="str">
        <f>IF(OR($H1696="",$H1696="sif",$H1696="PM"),"",VLOOKUP($H1696,[5]CU!$C$5:$J$255,8,FALSE))</f>
        <v>3. Dépenses de fonctionnement</v>
      </c>
      <c r="W1696" s="19" t="s">
        <v>142</v>
      </c>
      <c r="X1696" s="19" t="s">
        <v>142</v>
      </c>
      <c r="Y1696" s="19" t="s">
        <v>32</v>
      </c>
      <c r="Z1696" s="18" t="str">
        <f>A1696 &amp; "-" &amp; VLOOKUP(A1696,[4]PROGRAMMES!$E$1:$F$7,2,FALSE)</f>
        <v>5-Gouvernance et pilotage du secteur</v>
      </c>
      <c r="AA1696" s="19" t="str">
        <f>B1696 &amp; "-" &amp; VLOOKUP(B1696,[4]SOUSPROGRAMMES!$E$1:$F$44,2,FALSE)</f>
        <v>55- Gestion des RH (recrutement, affectation, motivation, fidélisation, gestion de carrières…)</v>
      </c>
      <c r="AB1696" s="19" t="str">
        <f>C1696 &amp; "-" &amp; VLOOKUP(C1696,[4]RESULTATS!$E$1:$F$176,2,FALSE)</f>
        <v>554- Les critères d’affectation sont clairement définis et respectés</v>
      </c>
      <c r="AC1696" s="20" t="str">
        <f>D1696 &amp; "-" &amp; VLOOKUP(D1696,[4]STRATEGIES!$E$1:$F$504,2,FALSE)</f>
        <v>5541-Développement de procédures et critères d’affectation par poste</v>
      </c>
      <c r="AD1696" s="21" t="str">
        <f t="shared" si="251"/>
        <v>55413-Vulgarisation du manuel</v>
      </c>
    </row>
    <row r="1697" spans="1:30" s="22" customFormat="1" ht="45" hidden="1" customHeight="1" x14ac:dyDescent="0.8">
      <c r="A1697" s="14">
        <v>5</v>
      </c>
      <c r="B1697" s="15">
        <v>55</v>
      </c>
      <c r="C1697" s="15">
        <v>554</v>
      </c>
      <c r="D1697" s="15">
        <v>5541</v>
      </c>
      <c r="E1697" s="15">
        <v>55414</v>
      </c>
      <c r="F1697" s="16" t="s">
        <v>2149</v>
      </c>
      <c r="G1697" s="21" t="s">
        <v>37</v>
      </c>
      <c r="H1697" s="17" t="s">
        <v>38</v>
      </c>
      <c r="I1697" s="33">
        <v>0</v>
      </c>
      <c r="J1697" s="33">
        <f>((2*46)+4)*3</f>
        <v>288</v>
      </c>
      <c r="K1697" s="33"/>
      <c r="L1697" s="33"/>
      <c r="M1697" s="33">
        <f t="shared" si="252"/>
        <v>288</v>
      </c>
      <c r="N1697" s="33">
        <f>IF(OR(H1697="",H1697="sif",H1697="PM"),0,VLOOKUP(H1697,[5]CU!$C$4:$H$255,6,FALSE))</f>
        <v>0.3133333333333333</v>
      </c>
      <c r="O1697" s="33">
        <f t="shared" si="253"/>
        <v>0</v>
      </c>
      <c r="P1697" s="33">
        <f t="shared" si="253"/>
        <v>90.24</v>
      </c>
      <c r="Q1697" s="33">
        <f t="shared" si="253"/>
        <v>0</v>
      </c>
      <c r="R1697" s="33">
        <f t="shared" si="253"/>
        <v>0</v>
      </c>
      <c r="S1697" s="33">
        <f>SUM(O1697:R1697)</f>
        <v>90.24</v>
      </c>
      <c r="T1697" s="35" t="s">
        <v>39</v>
      </c>
      <c r="U1697" s="19" t="s">
        <v>1873</v>
      </c>
      <c r="V1697" s="19" t="str">
        <f>IF(OR($H1697="",$H1697="sif",$H1697="PM"),"",VLOOKUP($H1697,[5]CU!$C$5:$J$255,8,FALSE))</f>
        <v>3. Formation</v>
      </c>
      <c r="W1697" s="19" t="s">
        <v>142</v>
      </c>
      <c r="X1697" s="19" t="s">
        <v>142</v>
      </c>
      <c r="Y1697" s="19" t="s">
        <v>32</v>
      </c>
      <c r="Z1697" s="18" t="str">
        <f>A1697 &amp; "-" &amp; VLOOKUP(A1697,[4]PROGRAMMES!$E$1:$F$7,2,FALSE)</f>
        <v>5-Gouvernance et pilotage du secteur</v>
      </c>
      <c r="AA1697" s="19" t="str">
        <f>B1697 &amp; "-" &amp; VLOOKUP(B1697,[4]SOUSPROGRAMMES!$E$1:$F$44,2,FALSE)</f>
        <v>55- Gestion des RH (recrutement, affectation, motivation, fidélisation, gestion de carrières…)</v>
      </c>
      <c r="AB1697" s="19" t="str">
        <f>C1697 &amp; "-" &amp; VLOOKUP(C1697,[4]RESULTATS!$E$1:$F$176,2,FALSE)</f>
        <v>554- Les critères d’affectation sont clairement définis et respectés</v>
      </c>
      <c r="AC1697" s="20" t="str">
        <f>D1697 &amp; "-" &amp; VLOOKUP(D1697,[4]STRATEGIES!$E$1:$F$504,2,FALSE)</f>
        <v>5541-Développement de procédures et critères d’affectation par poste</v>
      </c>
      <c r="AD1697" s="21" t="str">
        <f t="shared" si="251"/>
        <v>55414-formation sur le manuel de procédure d'application du barème des mouvements de personnels</v>
      </c>
    </row>
    <row r="1698" spans="1:30" s="22" customFormat="1" ht="45" hidden="1" customHeight="1" x14ac:dyDescent="0.8">
      <c r="A1698" s="14">
        <v>5</v>
      </c>
      <c r="B1698" s="15">
        <v>55</v>
      </c>
      <c r="C1698" s="15">
        <v>554</v>
      </c>
      <c r="D1698" s="15">
        <v>5541</v>
      </c>
      <c r="E1698" s="15">
        <v>55415</v>
      </c>
      <c r="F1698" s="16" t="s">
        <v>2150</v>
      </c>
      <c r="G1698" s="21" t="s">
        <v>88</v>
      </c>
      <c r="H1698" s="17" t="s">
        <v>55</v>
      </c>
      <c r="I1698" s="33">
        <v>0</v>
      </c>
      <c r="J1698" s="33">
        <v>1</v>
      </c>
      <c r="K1698" s="33">
        <v>1</v>
      </c>
      <c r="L1698" s="33">
        <v>1</v>
      </c>
      <c r="M1698" s="33">
        <f t="shared" si="252"/>
        <v>3</v>
      </c>
      <c r="N1698" s="33">
        <f>IF(OR(H1698="",H1698="sif",H1698="PM"),0,VLOOKUP(H1698,[5]CU!$C$4:$H$255,6,FALSE))</f>
        <v>0</v>
      </c>
      <c r="O1698" s="33">
        <f t="shared" si="253"/>
        <v>0</v>
      </c>
      <c r="P1698" s="33">
        <f t="shared" si="253"/>
        <v>0</v>
      </c>
      <c r="Q1698" s="33">
        <f t="shared" si="253"/>
        <v>0</v>
      </c>
      <c r="R1698" s="33">
        <f t="shared" si="253"/>
        <v>0</v>
      </c>
      <c r="S1698" s="33"/>
      <c r="T1698" s="35" t="s">
        <v>56</v>
      </c>
      <c r="U1698" s="18" t="s">
        <v>1873</v>
      </c>
      <c r="V1698" s="18" t="str">
        <f>IF(OR($H1698="",$H1698="sif",$H1698="PM"),"",VLOOKUP($H1698,[5]CU!$C$5:$J$255,8,FALSE))</f>
        <v/>
      </c>
      <c r="W1698" s="18" t="s">
        <v>142</v>
      </c>
      <c r="X1698" s="18" t="s">
        <v>142</v>
      </c>
      <c r="Y1698" s="19" t="s">
        <v>32</v>
      </c>
      <c r="Z1698" s="18" t="str">
        <f>A1698 &amp; "-" &amp; VLOOKUP(A1698,[4]PROGRAMMES!$E$1:$F$7,2,FALSE)</f>
        <v>5-Gouvernance et pilotage du secteur</v>
      </c>
      <c r="AA1698" s="19" t="str">
        <f>B1698 &amp; "-" &amp; VLOOKUP(B1698,[4]SOUSPROGRAMMES!$E$1:$F$44,2,FALSE)</f>
        <v>55- Gestion des RH (recrutement, affectation, motivation, fidélisation, gestion de carrières…)</v>
      </c>
      <c r="AB1698" s="19" t="str">
        <f>C1698 &amp; "-" &amp; VLOOKUP(C1698,[4]RESULTATS!$E$1:$F$176,2,FALSE)</f>
        <v>554- Les critères d’affectation sont clairement définis et respectés</v>
      </c>
      <c r="AC1698" s="20" t="str">
        <f>D1698 &amp; "-" &amp; VLOOKUP(D1698,[4]STRATEGIES!$E$1:$F$504,2,FALSE)</f>
        <v>5541-Développement de procédures et critères d’affectation par poste</v>
      </c>
      <c r="AD1698" s="21" t="str">
        <f t="shared" si="251"/>
        <v>55415-Application effective du dispositif du barème dans l'allocation des enseignants</v>
      </c>
    </row>
    <row r="1699" spans="1:30" s="22" customFormat="1" ht="45" hidden="1" customHeight="1" x14ac:dyDescent="0.8">
      <c r="A1699" s="14">
        <v>5</v>
      </c>
      <c r="B1699" s="15">
        <v>55</v>
      </c>
      <c r="C1699" s="15">
        <v>554</v>
      </c>
      <c r="D1699" s="15">
        <v>5542</v>
      </c>
      <c r="E1699" s="15">
        <v>5542</v>
      </c>
      <c r="F1699" s="16" t="s">
        <v>2151</v>
      </c>
      <c r="G1699" s="17"/>
      <c r="H1699" s="17"/>
      <c r="I1699" s="33">
        <v>0</v>
      </c>
      <c r="J1699" s="33"/>
      <c r="K1699" s="33"/>
      <c r="L1699" s="33"/>
      <c r="M1699" s="33"/>
      <c r="N1699" s="33"/>
      <c r="O1699" s="33"/>
      <c r="P1699" s="33"/>
      <c r="Q1699" s="33"/>
      <c r="R1699" s="33"/>
      <c r="S1699" s="33"/>
      <c r="T1699" s="33"/>
      <c r="U1699" s="18"/>
      <c r="V1699" s="18"/>
      <c r="W1699" s="18"/>
      <c r="X1699" s="18"/>
      <c r="Y1699" s="18"/>
      <c r="Z1699" s="18" t="str">
        <f>A1699 &amp; "-" &amp; VLOOKUP(A1699,[4]PROGRAMMES!$E$1:$F$7,2,FALSE)</f>
        <v>5-Gouvernance et pilotage du secteur</v>
      </c>
      <c r="AA1699" s="19" t="str">
        <f>B1699 &amp; "-" &amp; VLOOKUP(B1699,[4]SOUSPROGRAMMES!$E$1:$F$44,2,FALSE)</f>
        <v>55- Gestion des RH (recrutement, affectation, motivation, fidélisation, gestion de carrières…)</v>
      </c>
      <c r="AB1699" s="19" t="str">
        <f>C1699 &amp; "-" &amp; VLOOKUP(C1699,[4]RESULTATS!$E$1:$F$176,2,FALSE)</f>
        <v>554- Les critères d’affectation sont clairement définis et respectés</v>
      </c>
      <c r="AC1699" s="20" t="str">
        <f>D1699 &amp; "-" &amp; VLOOKUP(D1699,[4]STRATEGIES!$E$1:$F$504,2,FALSE)</f>
        <v>5542-Sensibilisation des acteurs et partenaires sur les procédures et critères d’affectation par poste</v>
      </c>
      <c r="AD1699" s="21" t="str">
        <f t="shared" si="251"/>
        <v>5542-Sensibilisation des acteurs et partenaires sur les procédures et critères d’affectation par poste</v>
      </c>
    </row>
    <row r="1700" spans="1:30" s="22" customFormat="1" ht="45" hidden="1" customHeight="1" x14ac:dyDescent="0.8">
      <c r="A1700" s="14">
        <v>5</v>
      </c>
      <c r="B1700" s="15">
        <v>55</v>
      </c>
      <c r="C1700" s="15">
        <v>554</v>
      </c>
      <c r="D1700" s="15">
        <v>5542</v>
      </c>
      <c r="E1700" s="15">
        <v>55421</v>
      </c>
      <c r="F1700" s="16" t="s">
        <v>2152</v>
      </c>
      <c r="G1700" s="21" t="s">
        <v>2153</v>
      </c>
      <c r="H1700" s="17" t="s">
        <v>59</v>
      </c>
      <c r="I1700" s="33">
        <v>0</v>
      </c>
      <c r="J1700" s="33">
        <f>4*10*4</f>
        <v>160</v>
      </c>
      <c r="K1700" s="33"/>
      <c r="L1700" s="33"/>
      <c r="M1700" s="33">
        <f t="shared" si="252"/>
        <v>160</v>
      </c>
      <c r="N1700" s="33">
        <f>IF(OR(H1700="",H1700="sif",H1700="PM"),0,VLOOKUP(H1700,[5]CU!$C$4:$H$255,6,FALSE))</f>
        <v>0.8177777777777776</v>
      </c>
      <c r="O1700" s="33">
        <f t="shared" si="253"/>
        <v>0</v>
      </c>
      <c r="P1700" s="33">
        <f t="shared" si="253"/>
        <v>130.84444444444441</v>
      </c>
      <c r="Q1700" s="33">
        <f t="shared" si="253"/>
        <v>0</v>
      </c>
      <c r="R1700" s="33">
        <f t="shared" si="253"/>
        <v>0</v>
      </c>
      <c r="S1700" s="33">
        <f t="shared" ref="S1700:S1714" si="254">SUM(O1700:R1700)</f>
        <v>130.84444444444441</v>
      </c>
      <c r="T1700" s="35" t="s">
        <v>118</v>
      </c>
      <c r="U1700" s="18" t="s">
        <v>1873</v>
      </c>
      <c r="V1700" s="18" t="str">
        <f>IF(OR($H1700="",$H1700="sif",$H1700="PM"),"",VLOOKUP($H1700,[5]CU!$C$5:$J$255,8,FALSE))</f>
        <v>3. Dépenses de fonctionnement</v>
      </c>
      <c r="W1700" s="18" t="s">
        <v>142</v>
      </c>
      <c r="X1700" s="18" t="s">
        <v>142</v>
      </c>
      <c r="Y1700" s="19" t="s">
        <v>32</v>
      </c>
      <c r="Z1700" s="18" t="str">
        <f>A1700 &amp; "-" &amp; VLOOKUP(A1700,[4]PROGRAMMES!$E$1:$F$7,2,FALSE)</f>
        <v>5-Gouvernance et pilotage du secteur</v>
      </c>
      <c r="AA1700" s="19" t="str">
        <f>B1700 &amp; "-" &amp; VLOOKUP(B1700,[4]SOUSPROGRAMMES!$E$1:$F$44,2,FALSE)</f>
        <v>55- Gestion des RH (recrutement, affectation, motivation, fidélisation, gestion de carrières…)</v>
      </c>
      <c r="AB1700" s="19" t="str">
        <f>C1700 &amp; "-" &amp; VLOOKUP(C1700,[4]RESULTATS!$E$1:$F$176,2,FALSE)</f>
        <v>554- Les critères d’affectation sont clairement définis et respectés</v>
      </c>
      <c r="AC1700" s="20" t="str">
        <f>D1700 &amp; "-" &amp; VLOOKUP(D1700,[4]STRATEGIES!$E$1:$F$504,2,FALSE)</f>
        <v>5542-Sensibilisation des acteurs et partenaires sur les procédures et critères d’affectation par poste</v>
      </c>
      <c r="AD1700" s="21" t="str">
        <f t="shared" si="251"/>
        <v>55421-Organisation des campagnes d'information sur le manuel de procédures d'application du barème au niveau central et déconcentré</v>
      </c>
    </row>
    <row r="1701" spans="1:30" s="22" customFormat="1" ht="45" hidden="1" customHeight="1" x14ac:dyDescent="0.8">
      <c r="A1701" s="14">
        <v>5</v>
      </c>
      <c r="B1701" s="15">
        <v>55</v>
      </c>
      <c r="C1701" s="15">
        <v>554</v>
      </c>
      <c r="D1701" s="15">
        <v>5543</v>
      </c>
      <c r="E1701" s="15">
        <v>5543</v>
      </c>
      <c r="F1701" s="16" t="s">
        <v>2154</v>
      </c>
      <c r="G1701" s="17"/>
      <c r="H1701" s="17"/>
      <c r="I1701" s="33">
        <v>0</v>
      </c>
      <c r="J1701" s="33"/>
      <c r="K1701" s="33"/>
      <c r="L1701" s="33"/>
      <c r="M1701" s="33"/>
      <c r="N1701" s="33"/>
      <c r="O1701" s="33"/>
      <c r="P1701" s="33"/>
      <c r="Q1701" s="33"/>
      <c r="R1701" s="33"/>
      <c r="S1701" s="33"/>
      <c r="T1701" s="33"/>
      <c r="U1701" s="18"/>
      <c r="V1701" s="18"/>
      <c r="W1701" s="18"/>
      <c r="X1701" s="18"/>
      <c r="Y1701" s="18"/>
      <c r="Z1701" s="18" t="str">
        <f>A1701 &amp; "-" &amp; VLOOKUP(A1701,[4]PROGRAMMES!$E$1:$F$7,2,FALSE)</f>
        <v>5-Gouvernance et pilotage du secteur</v>
      </c>
      <c r="AA1701" s="19" t="str">
        <f>B1701 &amp; "-" &amp; VLOOKUP(B1701,[4]SOUSPROGRAMMES!$E$1:$F$44,2,FALSE)</f>
        <v>55- Gestion des RH (recrutement, affectation, motivation, fidélisation, gestion de carrières…)</v>
      </c>
      <c r="AB1701" s="19" t="str">
        <f>C1701 &amp; "-" &amp; VLOOKUP(C1701,[4]RESULTATS!$E$1:$F$176,2,FALSE)</f>
        <v>554- Les critères d’affectation sont clairement définis et respectés</v>
      </c>
      <c r="AC1701" s="20" t="str">
        <f>D1701 &amp; "-" &amp; VLOOKUP(D1701,[4]STRATEGIES!$E$1:$F$504,2,FALSE)</f>
        <v>5543-Publication régulière d’informations sur les affectations/mutations et le respect des procédures</v>
      </c>
      <c r="AD1701" s="21" t="str">
        <f t="shared" si="251"/>
        <v>5543-Publication régulière d’informations sur les affectations/mutations et le respect des procédures</v>
      </c>
    </row>
    <row r="1702" spans="1:30" s="22" customFormat="1" ht="45" hidden="1" customHeight="1" x14ac:dyDescent="0.8">
      <c r="A1702" s="14">
        <v>5</v>
      </c>
      <c r="B1702" s="15">
        <v>55</v>
      </c>
      <c r="C1702" s="15">
        <v>554</v>
      </c>
      <c r="D1702" s="15">
        <v>5543</v>
      </c>
      <c r="E1702" s="15">
        <v>55431</v>
      </c>
      <c r="F1702" s="16" t="s">
        <v>2155</v>
      </c>
      <c r="G1702" s="21" t="s">
        <v>315</v>
      </c>
      <c r="H1702" s="17" t="s">
        <v>66</v>
      </c>
      <c r="I1702" s="33">
        <v>0</v>
      </c>
      <c r="J1702" s="33">
        <f>(8*5)*2</f>
        <v>80</v>
      </c>
      <c r="K1702" s="33">
        <f>(8*5)*2</f>
        <v>80</v>
      </c>
      <c r="L1702" s="33">
        <f>(8*5)*2</f>
        <v>80</v>
      </c>
      <c r="M1702" s="33">
        <f t="shared" si="252"/>
        <v>240</v>
      </c>
      <c r="N1702" s="33">
        <f>IF(OR(H1702="",H1702="sif",H1702="PM"),0,VLOOKUP(H1702,[5]CU!$C$4:$H$255,6,FALSE))</f>
        <v>0.255</v>
      </c>
      <c r="O1702" s="33">
        <f t="shared" si="253"/>
        <v>0</v>
      </c>
      <c r="P1702" s="33">
        <f t="shared" si="253"/>
        <v>20.399999999999999</v>
      </c>
      <c r="Q1702" s="33">
        <f t="shared" si="253"/>
        <v>20.399999999999999</v>
      </c>
      <c r="R1702" s="33">
        <f t="shared" si="253"/>
        <v>20.399999999999999</v>
      </c>
      <c r="S1702" s="33">
        <f t="shared" si="254"/>
        <v>61.199999999999996</v>
      </c>
      <c r="T1702" s="35" t="s">
        <v>118</v>
      </c>
      <c r="U1702" s="18" t="s">
        <v>1873</v>
      </c>
      <c r="V1702" s="18" t="str">
        <f>IF(OR($H1702="",$H1702="sif",$H1702="PM"),"",VLOOKUP($H1702,[5]CU!$C$5:$J$255,8,FALSE))</f>
        <v>3. Dépenses de fonctionnement</v>
      </c>
      <c r="W1702" s="18" t="s">
        <v>142</v>
      </c>
      <c r="X1702" s="18" t="s">
        <v>142</v>
      </c>
      <c r="Y1702" s="19" t="s">
        <v>32</v>
      </c>
      <c r="Z1702" s="18" t="str">
        <f>A1702 &amp; "-" &amp; VLOOKUP(A1702,[4]PROGRAMMES!$E$1:$F$7,2,FALSE)</f>
        <v>5-Gouvernance et pilotage du secteur</v>
      </c>
      <c r="AA1702" s="19" t="str">
        <f>B1702 &amp; "-" &amp; VLOOKUP(B1702,[4]SOUSPROGRAMMES!$E$1:$F$44,2,FALSE)</f>
        <v>55- Gestion des RH (recrutement, affectation, motivation, fidélisation, gestion de carrières…)</v>
      </c>
      <c r="AB1702" s="19" t="str">
        <f>C1702 &amp; "-" &amp; VLOOKUP(C1702,[4]RESULTATS!$E$1:$F$176,2,FALSE)</f>
        <v>554- Les critères d’affectation sont clairement définis et respectés</v>
      </c>
      <c r="AC1702" s="20" t="str">
        <f>D1702 &amp; "-" &amp; VLOOKUP(D1702,[4]STRATEGIES!$E$1:$F$504,2,FALSE)</f>
        <v>5543-Publication régulière d’informations sur les affectations/mutations et le respect des procédures</v>
      </c>
      <c r="AD1702" s="21" t="str">
        <f t="shared" si="251"/>
        <v>55431-Rédaction d'un bulletin semestriel d'information sur les affectations/mutations et le respect des procédures</v>
      </c>
    </row>
    <row r="1703" spans="1:30" s="22" customFormat="1" ht="45" hidden="1" customHeight="1" x14ac:dyDescent="0.8">
      <c r="A1703" s="14">
        <v>5</v>
      </c>
      <c r="B1703" s="15">
        <v>55</v>
      </c>
      <c r="C1703" s="15">
        <v>554</v>
      </c>
      <c r="D1703" s="15">
        <v>5543</v>
      </c>
      <c r="E1703" s="15">
        <v>55432</v>
      </c>
      <c r="F1703" s="16" t="s">
        <v>2156</v>
      </c>
      <c r="G1703" s="21" t="s">
        <v>44</v>
      </c>
      <c r="H1703" s="17" t="s">
        <v>452</v>
      </c>
      <c r="I1703" s="33">
        <v>0</v>
      </c>
      <c r="J1703" s="33">
        <f>5000/3</f>
        <v>1666.6666666666667</v>
      </c>
      <c r="K1703" s="33">
        <f>5000/3</f>
        <v>1666.6666666666667</v>
      </c>
      <c r="L1703" s="33">
        <f>5000/3</f>
        <v>1666.6666666666667</v>
      </c>
      <c r="M1703" s="33">
        <f t="shared" si="252"/>
        <v>5000</v>
      </c>
      <c r="N1703" s="33">
        <f>IF(OR(H1703="",H1703="sif",H1703="PM"),0,VLOOKUP(H1703,[5]CU!$C$4:$H$255,6,FALSE))</f>
        <v>7.4999999999999997E-3</v>
      </c>
      <c r="O1703" s="33">
        <f t="shared" si="253"/>
        <v>0</v>
      </c>
      <c r="P1703" s="33">
        <f t="shared" si="253"/>
        <v>12.5</v>
      </c>
      <c r="Q1703" s="33">
        <f t="shared" si="253"/>
        <v>12.5</v>
      </c>
      <c r="R1703" s="33">
        <f t="shared" si="253"/>
        <v>12.5</v>
      </c>
      <c r="S1703" s="33">
        <f t="shared" si="254"/>
        <v>37.5</v>
      </c>
      <c r="T1703" s="35" t="s">
        <v>118</v>
      </c>
      <c r="U1703" s="18" t="s">
        <v>1873</v>
      </c>
      <c r="V1703" s="18" t="str">
        <f>IF(OR($H1703="",$H1703="sif",$H1703="PM"),"",VLOOKUP($H1703,[5]CU!$C$5:$J$255,8,FALSE))</f>
        <v>3. Dépenses de fonctionnement</v>
      </c>
      <c r="W1703" s="18" t="s">
        <v>142</v>
      </c>
      <c r="X1703" s="18" t="s">
        <v>1963</v>
      </c>
      <c r="Y1703" s="19" t="s">
        <v>32</v>
      </c>
      <c r="Z1703" s="18" t="str">
        <f>A1703 &amp; "-" &amp; VLOOKUP(A1703,[4]PROGRAMMES!$E$1:$F$7,2,FALSE)</f>
        <v>5-Gouvernance et pilotage du secteur</v>
      </c>
      <c r="AA1703" s="19" t="str">
        <f>B1703 &amp; "-" &amp; VLOOKUP(B1703,[4]SOUSPROGRAMMES!$E$1:$F$44,2,FALSE)</f>
        <v>55- Gestion des RH (recrutement, affectation, motivation, fidélisation, gestion de carrières…)</v>
      </c>
      <c r="AB1703" s="19" t="str">
        <f>C1703 &amp; "-" &amp; VLOOKUP(C1703,[4]RESULTATS!$E$1:$F$176,2,FALSE)</f>
        <v>554- Les critères d’affectation sont clairement définis et respectés</v>
      </c>
      <c r="AC1703" s="20" t="str">
        <f>D1703 &amp; "-" &amp; VLOOKUP(D1703,[4]STRATEGIES!$E$1:$F$504,2,FALSE)</f>
        <v>5543-Publication régulière d’informations sur les affectations/mutations et le respect des procédures</v>
      </c>
      <c r="AD1703" s="21" t="str">
        <f t="shared" si="251"/>
        <v>55432-Impression et diffusion du bulletin</v>
      </c>
    </row>
    <row r="1704" spans="1:30" s="22" customFormat="1" ht="45" hidden="1" customHeight="1" x14ac:dyDescent="0.8">
      <c r="A1704" s="14">
        <v>5</v>
      </c>
      <c r="B1704" s="15">
        <v>55</v>
      </c>
      <c r="C1704" s="15">
        <v>554</v>
      </c>
      <c r="D1704" s="15">
        <v>5543</v>
      </c>
      <c r="E1704" s="15">
        <v>55433</v>
      </c>
      <c r="F1704" s="16" t="s">
        <v>2157</v>
      </c>
      <c r="G1704" s="21" t="s">
        <v>149</v>
      </c>
      <c r="H1704" s="17" t="s">
        <v>2158</v>
      </c>
      <c r="I1704" s="33">
        <v>0</v>
      </c>
      <c r="J1704" s="33">
        <v>0.912646993738505</v>
      </c>
      <c r="K1704" s="33">
        <v>0.99860226988838896</v>
      </c>
      <c r="L1704" s="33">
        <v>1.0887507363731099</v>
      </c>
      <c r="M1704" s="33">
        <f t="shared" si="252"/>
        <v>3.0000000000000036</v>
      </c>
      <c r="N1704" s="33">
        <f>IF(OR(H1704="",H1704="sif",H1704="PM"),0,VLOOKUP(H1704,[5]CU!$C$4:$H$255,6,FALSE))</f>
        <v>191872.63296795147</v>
      </c>
      <c r="O1704" s="33">
        <f t="shared" si="253"/>
        <v>0</v>
      </c>
      <c r="P1704" s="33">
        <f t="shared" si="253"/>
        <v>175111.98165889247</v>
      </c>
      <c r="Q1704" s="33">
        <f t="shared" si="253"/>
        <v>191604.44681125807</v>
      </c>
      <c r="R1704" s="33">
        <f t="shared" si="253"/>
        <v>208901.47043370461</v>
      </c>
      <c r="S1704" s="33">
        <f t="shared" si="254"/>
        <v>575617.89890385512</v>
      </c>
      <c r="T1704" s="35" t="s">
        <v>56</v>
      </c>
      <c r="U1704" s="18" t="s">
        <v>1873</v>
      </c>
      <c r="V1704" s="18" t="str">
        <f>IF(OR($H1704="",$H1704="sif",$H1704="PM"),"",VLOOKUP($H1704,[5]CU!$C$5:$J$255,8,FALSE))</f>
        <v>2. Personnel</v>
      </c>
      <c r="W1704" s="18" t="s">
        <v>142</v>
      </c>
      <c r="X1704" s="18" t="s">
        <v>1963</v>
      </c>
      <c r="Y1704" s="19" t="s">
        <v>32</v>
      </c>
      <c r="Z1704" s="18" t="str">
        <f>A1704 &amp; "-" &amp; VLOOKUP(A1704,[4]PROGRAMMES!$E$1:$F$7,2,FALSE)</f>
        <v>5-Gouvernance et pilotage du secteur</v>
      </c>
      <c r="AA1704" s="19" t="str">
        <f>B1704 &amp; "-" &amp; VLOOKUP(B1704,[4]SOUSPROGRAMMES!$E$1:$F$44,2,FALSE)</f>
        <v>55- Gestion des RH (recrutement, affectation, motivation, fidélisation, gestion de carrières…)</v>
      </c>
      <c r="AB1704" s="19" t="str">
        <f>C1704 &amp; "-" &amp; VLOOKUP(C1704,[4]RESULTATS!$E$1:$F$176,2,FALSE)</f>
        <v>554- Les critères d’affectation sont clairement définis et respectés</v>
      </c>
      <c r="AC1704" s="20" t="str">
        <f>D1704 &amp; "-" &amp; VLOOKUP(D1704,[4]STRATEGIES!$E$1:$F$504,2,FALSE)</f>
        <v>5543-Publication régulière d’informations sur les affectations/mutations et le respect des procédures</v>
      </c>
      <c r="AD1704" s="21" t="str">
        <f t="shared" si="251"/>
        <v>55433-Prise en charge des salaires du personnel administratif du MENA (niveau central et niveaux déconcentrés)</v>
      </c>
    </row>
    <row r="1705" spans="1:30" s="22" customFormat="1" ht="45" hidden="1" customHeight="1" x14ac:dyDescent="0.8">
      <c r="A1705" s="14">
        <v>5</v>
      </c>
      <c r="B1705" s="15">
        <v>55</v>
      </c>
      <c r="C1705" s="15">
        <v>554</v>
      </c>
      <c r="D1705" s="15">
        <v>5543</v>
      </c>
      <c r="E1705" s="15">
        <v>55434</v>
      </c>
      <c r="F1705" s="16" t="s">
        <v>2159</v>
      </c>
      <c r="G1705" s="21" t="s">
        <v>149</v>
      </c>
      <c r="H1705" s="17" t="s">
        <v>2160</v>
      </c>
      <c r="I1705" s="33">
        <v>0</v>
      </c>
      <c r="J1705" s="33">
        <v>0.91153198421310699</v>
      </c>
      <c r="K1705" s="33">
        <v>1.0726779878967601</v>
      </c>
      <c r="L1705" s="33">
        <v>1.2785920764024299</v>
      </c>
      <c r="M1705" s="33">
        <f t="shared" si="252"/>
        <v>3.262802048512297</v>
      </c>
      <c r="N1705" s="33">
        <f>IF(OR(H1705="",H1705="sif",H1705="PM"),0,VLOOKUP(H1705,[5]CU!$C$4:$H$255,6,FALSE))</f>
        <v>14578.589454048</v>
      </c>
      <c r="O1705" s="33">
        <f t="shared" si="253"/>
        <v>0</v>
      </c>
      <c r="P1705" s="33">
        <f t="shared" si="253"/>
        <v>13288.85057207665</v>
      </c>
      <c r="Q1705" s="33">
        <f t="shared" si="253"/>
        <v>15638.132001941134</v>
      </c>
      <c r="R1705" s="33">
        <f t="shared" si="253"/>
        <v>18640.068961069799</v>
      </c>
      <c r="S1705" s="33">
        <f t="shared" si="254"/>
        <v>47567.051535087579</v>
      </c>
      <c r="T1705" s="35" t="s">
        <v>56</v>
      </c>
      <c r="U1705" s="18" t="s">
        <v>1873</v>
      </c>
      <c r="V1705" s="18" t="str">
        <f>IF(OR($H1705="",$H1705="sif",$H1705="PM"),"",VLOOKUP($H1705,[5]CU!$C$5:$J$255,8,FALSE))</f>
        <v>2. Personnel</v>
      </c>
      <c r="W1705" s="18" t="s">
        <v>142</v>
      </c>
      <c r="X1705" s="18" t="s">
        <v>1963</v>
      </c>
      <c r="Y1705" s="19" t="s">
        <v>32</v>
      </c>
      <c r="Z1705" s="18" t="str">
        <f>A1705 &amp; "-" &amp; VLOOKUP(A1705,[4]PROGRAMMES!$E$1:$F$7,2,FALSE)</f>
        <v>5-Gouvernance et pilotage du secteur</v>
      </c>
      <c r="AA1705" s="19" t="str">
        <f>B1705 &amp; "-" &amp; VLOOKUP(B1705,[4]SOUSPROGRAMMES!$E$1:$F$44,2,FALSE)</f>
        <v>55- Gestion des RH (recrutement, affectation, motivation, fidélisation, gestion de carrières…)</v>
      </c>
      <c r="AB1705" s="19" t="str">
        <f>C1705 &amp; "-" &amp; VLOOKUP(C1705,[4]RESULTATS!$E$1:$F$176,2,FALSE)</f>
        <v>554- Les critères d’affectation sont clairement définis et respectés</v>
      </c>
      <c r="AC1705" s="20" t="str">
        <f>D1705 &amp; "-" &amp; VLOOKUP(D1705,[4]STRATEGIES!$E$1:$F$504,2,FALSE)</f>
        <v>5543-Publication régulière d’informations sur les affectations/mutations et le respect des procédures</v>
      </c>
      <c r="AD1705" s="21" t="str">
        <f t="shared" si="251"/>
        <v>55434-Prise en charge des salaires du personnel administratif du METFP (niveau central et niveaux déconcentrés)</v>
      </c>
    </row>
    <row r="1706" spans="1:30" s="22" customFormat="1" ht="45" hidden="1" customHeight="1" x14ac:dyDescent="0.8">
      <c r="A1706" s="14">
        <v>5</v>
      </c>
      <c r="B1706" s="15">
        <v>55</v>
      </c>
      <c r="C1706" s="15">
        <v>554</v>
      </c>
      <c r="D1706" s="15">
        <v>5544</v>
      </c>
      <c r="E1706" s="15">
        <v>5544</v>
      </c>
      <c r="F1706" s="16" t="s">
        <v>2161</v>
      </c>
      <c r="G1706" s="17"/>
      <c r="H1706" s="17"/>
      <c r="I1706" s="33">
        <v>0</v>
      </c>
      <c r="J1706" s="33"/>
      <c r="K1706" s="33"/>
      <c r="L1706" s="33"/>
      <c r="M1706" s="33"/>
      <c r="N1706" s="33"/>
      <c r="O1706" s="33"/>
      <c r="P1706" s="33"/>
      <c r="Q1706" s="33"/>
      <c r="R1706" s="33"/>
      <c r="S1706" s="33"/>
      <c r="T1706" s="33"/>
      <c r="U1706" s="18"/>
      <c r="V1706" s="18"/>
      <c r="W1706" s="18"/>
      <c r="X1706" s="18"/>
      <c r="Y1706" s="18"/>
      <c r="Z1706" s="18" t="str">
        <f>A1706 &amp; "-" &amp; VLOOKUP(A1706,[4]PROGRAMMES!$E$1:$F$7,2,FALSE)</f>
        <v>5-Gouvernance et pilotage du secteur</v>
      </c>
      <c r="AA1706" s="19" t="str">
        <f>B1706 &amp; "-" &amp; VLOOKUP(B1706,[4]SOUSPROGRAMMES!$E$1:$F$44,2,FALSE)</f>
        <v>55- Gestion des RH (recrutement, affectation, motivation, fidélisation, gestion de carrières…)</v>
      </c>
      <c r="AB1706" s="19" t="str">
        <f>C1706 &amp; "-" &amp; VLOOKUP(C1706,[4]RESULTATS!$E$1:$F$176,2,FALSE)</f>
        <v>554- Les critères d’affectation sont clairement définis et respectés</v>
      </c>
      <c r="AC1706" s="20" t="str">
        <f>D1706 &amp; "-" &amp; VLOOKUP(D1706,[4]STRATEGIES!$E$1:$F$504,2,FALSE)</f>
        <v>5544-Missions de contrôle du respect des critères et procédures d’affectation</v>
      </c>
      <c r="AD1706" s="21" t="str">
        <f t="shared" si="251"/>
        <v>5544-Missions de contrôle du respect des critères et procédures d’affectation</v>
      </c>
    </row>
    <row r="1707" spans="1:30" s="22" customFormat="1" ht="45" hidden="1" customHeight="1" x14ac:dyDescent="0.8">
      <c r="A1707" s="14">
        <v>5</v>
      </c>
      <c r="B1707" s="15">
        <v>55</v>
      </c>
      <c r="C1707" s="15">
        <v>554</v>
      </c>
      <c r="D1707" s="15">
        <v>5544</v>
      </c>
      <c r="E1707" s="15">
        <v>55441</v>
      </c>
      <c r="F1707" s="16" t="s">
        <v>2162</v>
      </c>
      <c r="G1707" s="21" t="s">
        <v>2153</v>
      </c>
      <c r="H1707" s="17" t="s">
        <v>59</v>
      </c>
      <c r="I1707" s="33">
        <v>0</v>
      </c>
      <c r="J1707" s="33">
        <f>10*7</f>
        <v>70</v>
      </c>
      <c r="K1707" s="33">
        <f>10*7</f>
        <v>70</v>
      </c>
      <c r="L1707" s="33">
        <f>10*7</f>
        <v>70</v>
      </c>
      <c r="M1707" s="33">
        <f t="shared" si="252"/>
        <v>210</v>
      </c>
      <c r="N1707" s="33">
        <f>IF(OR(H1707="",H1707="sif",H1707="PM"),0,VLOOKUP(H1707,[5]CU!$C$4:$H$255,6,FALSE))</f>
        <v>0.8177777777777776</v>
      </c>
      <c r="O1707" s="33">
        <f t="shared" si="253"/>
        <v>0</v>
      </c>
      <c r="P1707" s="33">
        <f t="shared" si="253"/>
        <v>57.244444444444433</v>
      </c>
      <c r="Q1707" s="33">
        <f t="shared" si="253"/>
        <v>57.244444444444433</v>
      </c>
      <c r="R1707" s="33">
        <f t="shared" si="253"/>
        <v>57.244444444444433</v>
      </c>
      <c r="S1707" s="33">
        <f t="shared" si="254"/>
        <v>171.73333333333329</v>
      </c>
      <c r="T1707" s="35" t="s">
        <v>118</v>
      </c>
      <c r="U1707" s="18" t="s">
        <v>1873</v>
      </c>
      <c r="V1707" s="18" t="str">
        <f>IF(OR($H1707="",$H1707="sif",$H1707="PM"),"",VLOOKUP($H1707,[5]CU!$C$5:$J$255,8,FALSE))</f>
        <v>3. Dépenses de fonctionnement</v>
      </c>
      <c r="W1707" s="18" t="s">
        <v>142</v>
      </c>
      <c r="X1707" s="18" t="s">
        <v>273</v>
      </c>
      <c r="Y1707" s="19" t="s">
        <v>32</v>
      </c>
      <c r="Z1707" s="18" t="str">
        <f>A1707 &amp; "-" &amp; VLOOKUP(A1707,[4]PROGRAMMES!$E$1:$F$7,2,FALSE)</f>
        <v>5-Gouvernance et pilotage du secteur</v>
      </c>
      <c r="AA1707" s="19" t="str">
        <f>B1707 &amp; "-" &amp; VLOOKUP(B1707,[4]SOUSPROGRAMMES!$E$1:$F$44,2,FALSE)</f>
        <v>55- Gestion des RH (recrutement, affectation, motivation, fidélisation, gestion de carrières…)</v>
      </c>
      <c r="AB1707" s="19" t="str">
        <f>C1707 &amp; "-" &amp; VLOOKUP(C1707,[4]RESULTATS!$E$1:$F$176,2,FALSE)</f>
        <v>554- Les critères d’affectation sont clairement définis et respectés</v>
      </c>
      <c r="AC1707" s="20" t="str">
        <f>D1707 &amp; "-" &amp; VLOOKUP(D1707,[4]STRATEGIES!$E$1:$F$504,2,FALSE)</f>
        <v>5544-Missions de contrôle du respect des critères et procédures d’affectation</v>
      </c>
      <c r="AD1707" s="21" t="str">
        <f t="shared" si="251"/>
        <v>55441-Organisation de missions de contrôle du respect des procédures au niveau déconcentré (IRE et DPE/DCE)</v>
      </c>
    </row>
    <row r="1708" spans="1:30" s="22" customFormat="1" ht="45" hidden="1" customHeight="1" x14ac:dyDescent="0.8">
      <c r="A1708" s="14">
        <v>5</v>
      </c>
      <c r="B1708" s="15">
        <v>55</v>
      </c>
      <c r="C1708" s="15">
        <v>555</v>
      </c>
      <c r="D1708" s="15">
        <v>555</v>
      </c>
      <c r="E1708" s="15">
        <v>555</v>
      </c>
      <c r="F1708" s="16" t="s">
        <v>2163</v>
      </c>
      <c r="G1708" s="17"/>
      <c r="H1708" s="17"/>
      <c r="I1708" s="33">
        <v>0</v>
      </c>
      <c r="J1708" s="33"/>
      <c r="K1708" s="33"/>
      <c r="L1708" s="33"/>
      <c r="M1708" s="33"/>
      <c r="N1708" s="33"/>
      <c r="O1708" s="33"/>
      <c r="P1708" s="33"/>
      <c r="Q1708" s="33"/>
      <c r="R1708" s="33"/>
      <c r="S1708" s="33"/>
      <c r="T1708" s="33"/>
      <c r="U1708" s="18"/>
      <c r="V1708" s="18"/>
      <c r="W1708" s="18"/>
      <c r="X1708" s="18"/>
      <c r="Y1708" s="18"/>
      <c r="Z1708" s="18" t="str">
        <f>A1708 &amp; "-" &amp; VLOOKUP(A1708,[4]PROGRAMMES!$E$1:$F$7,2,FALSE)</f>
        <v>5-Gouvernance et pilotage du secteur</v>
      </c>
      <c r="AA1708" s="19" t="str">
        <f>B1708 &amp; "-" &amp; VLOOKUP(B1708,[4]SOUSPROGRAMMES!$E$1:$F$44,2,FALSE)</f>
        <v>55- Gestion des RH (recrutement, affectation, motivation, fidélisation, gestion de carrières…)</v>
      </c>
      <c r="AB1708" s="19" t="str">
        <f>C1708 &amp; "-" &amp; VLOOKUP(C1708,[4]RESULTATS!$E$1:$F$176,2,FALSE)</f>
        <v>555- Un plan de carrière motivant est validé et utilisé dans le cadre de la gestion des carrières</v>
      </c>
      <c r="AC1708" s="20" t="str">
        <f>D1708 &amp; "-" &amp; VLOOKUP(D1708,[4]STRATEGIES!$E$1:$F$504,2,FALSE)</f>
        <v>555- Un plan de carrière motivant est validé et utilisé dans le cadre de la gestion des carrières</v>
      </c>
      <c r="AD1708" s="21" t="str">
        <f t="shared" si="251"/>
        <v>555- Un plan de carrière motivant est validé et utilisé dans le cadre de la gestion des carrières</v>
      </c>
    </row>
    <row r="1709" spans="1:30" s="22" customFormat="1" ht="45" hidden="1" customHeight="1" x14ac:dyDescent="0.8">
      <c r="A1709" s="14">
        <v>5</v>
      </c>
      <c r="B1709" s="15">
        <v>55</v>
      </c>
      <c r="C1709" s="15">
        <v>555</v>
      </c>
      <c r="D1709" s="15">
        <v>5551</v>
      </c>
      <c r="E1709" s="15">
        <v>5551</v>
      </c>
      <c r="F1709" s="16" t="s">
        <v>2164</v>
      </c>
      <c r="G1709" s="17"/>
      <c r="H1709" s="17"/>
      <c r="I1709" s="33">
        <v>0</v>
      </c>
      <c r="J1709" s="33"/>
      <c r="K1709" s="33"/>
      <c r="L1709" s="33"/>
      <c r="M1709" s="33"/>
      <c r="N1709" s="33"/>
      <c r="O1709" s="33"/>
      <c r="P1709" s="33"/>
      <c r="Q1709" s="33"/>
      <c r="R1709" s="33"/>
      <c r="S1709" s="33"/>
      <c r="T1709" s="33"/>
      <c r="U1709" s="18"/>
      <c r="V1709" s="18"/>
      <c r="W1709" s="18"/>
      <c r="X1709" s="18"/>
      <c r="Y1709" s="18"/>
      <c r="Z1709" s="18" t="str">
        <f>A1709 &amp; "-" &amp; VLOOKUP(A1709,[4]PROGRAMMES!$E$1:$F$7,2,FALSE)</f>
        <v>5-Gouvernance et pilotage du secteur</v>
      </c>
      <c r="AA1709" s="19" t="str">
        <f>B1709 &amp; "-" &amp; VLOOKUP(B1709,[4]SOUSPROGRAMMES!$E$1:$F$44,2,FALSE)</f>
        <v>55- Gestion des RH (recrutement, affectation, motivation, fidélisation, gestion de carrières…)</v>
      </c>
      <c r="AB1709" s="19" t="str">
        <f>C1709 &amp; "-" &amp; VLOOKUP(C1709,[4]RESULTATS!$E$1:$F$176,2,FALSE)</f>
        <v>555- Un plan de carrière motivant est validé et utilisé dans le cadre de la gestion des carrières</v>
      </c>
      <c r="AC1709" s="20" t="str">
        <f>D1709 &amp; "-" &amp; VLOOKUP(D1709,[4]STRATEGIES!$E$1:$F$504,2,FALSE)</f>
        <v>5551-Développement et validation du plan de carrière en collaboration avec le Ministère de la Fonction Publique et les partenaires sociaux</v>
      </c>
      <c r="AD1709" s="21" t="str">
        <f t="shared" si="251"/>
        <v>5551-Développement et validation du plan de carrière en collaboration avec le Ministère de la Fonction Publique et les partenaires sociaux</v>
      </c>
    </row>
    <row r="1710" spans="1:30" s="22" customFormat="1" ht="45" hidden="1" customHeight="1" x14ac:dyDescent="0.8">
      <c r="A1710" s="14">
        <v>5</v>
      </c>
      <c r="B1710" s="15">
        <v>55</v>
      </c>
      <c r="C1710" s="15">
        <v>555</v>
      </c>
      <c r="D1710" s="15">
        <v>5551</v>
      </c>
      <c r="E1710" s="15">
        <v>55511</v>
      </c>
      <c r="F1710" s="16" t="s">
        <v>2165</v>
      </c>
      <c r="G1710" s="21" t="s">
        <v>651</v>
      </c>
      <c r="H1710" s="17" t="s">
        <v>66</v>
      </c>
      <c r="I1710" s="33">
        <v>0</v>
      </c>
      <c r="J1710" s="33">
        <f>20*10</f>
        <v>200</v>
      </c>
      <c r="K1710" s="33"/>
      <c r="L1710" s="33"/>
      <c r="M1710" s="33">
        <f t="shared" si="252"/>
        <v>200</v>
      </c>
      <c r="N1710" s="33">
        <f>IF(OR(H1710="",H1710="sif",H1710="PM"),0,VLOOKUP(H1710,[5]CU!$C$4:$H$255,6,FALSE))</f>
        <v>0.255</v>
      </c>
      <c r="O1710" s="33">
        <f t="shared" si="253"/>
        <v>0</v>
      </c>
      <c r="P1710" s="33">
        <f t="shared" si="253"/>
        <v>51</v>
      </c>
      <c r="Q1710" s="33">
        <f t="shared" si="253"/>
        <v>0</v>
      </c>
      <c r="R1710" s="33">
        <f t="shared" si="253"/>
        <v>0</v>
      </c>
      <c r="S1710" s="33">
        <f t="shared" si="254"/>
        <v>51</v>
      </c>
      <c r="T1710" s="35" t="s">
        <v>118</v>
      </c>
      <c r="U1710" s="18" t="s">
        <v>1873</v>
      </c>
      <c r="V1710" s="18" t="str">
        <f>IF(OR($H1710="",$H1710="sif",$H1710="PM"),"",VLOOKUP($H1710,[5]CU!$C$5:$J$255,8,FALSE))</f>
        <v>3. Dépenses de fonctionnement</v>
      </c>
      <c r="W1710" s="18" t="s">
        <v>142</v>
      </c>
      <c r="X1710" s="18" t="s">
        <v>142</v>
      </c>
      <c r="Y1710" s="19" t="s">
        <v>32</v>
      </c>
      <c r="Z1710" s="18" t="str">
        <f>A1710 &amp; "-" &amp; VLOOKUP(A1710,[4]PROGRAMMES!$E$1:$F$7,2,FALSE)</f>
        <v>5-Gouvernance et pilotage du secteur</v>
      </c>
      <c r="AA1710" s="19" t="str">
        <f>B1710 &amp; "-" &amp; VLOOKUP(B1710,[4]SOUSPROGRAMMES!$E$1:$F$44,2,FALSE)</f>
        <v>55- Gestion des RH (recrutement, affectation, motivation, fidélisation, gestion de carrières…)</v>
      </c>
      <c r="AB1710" s="19" t="str">
        <f>C1710 &amp; "-" &amp; VLOOKUP(C1710,[4]RESULTATS!$E$1:$F$176,2,FALSE)</f>
        <v>555- Un plan de carrière motivant est validé et utilisé dans le cadre de la gestion des carrières</v>
      </c>
      <c r="AC1710" s="20" t="str">
        <f>D1710 &amp; "-" &amp; VLOOKUP(D1710,[4]STRATEGIES!$E$1:$F$504,2,FALSE)</f>
        <v>5551-Développement et validation du plan de carrière en collaboration avec le Ministère de la Fonction Publique et les partenaires sociaux</v>
      </c>
      <c r="AD1710" s="21" t="str">
        <f t="shared" si="251"/>
        <v>55511-Elaboration d'un plan de carrière du personnel enseignant</v>
      </c>
    </row>
    <row r="1711" spans="1:30" s="22" customFormat="1" ht="45" hidden="1" customHeight="1" x14ac:dyDescent="0.8">
      <c r="A1711" s="14">
        <v>5</v>
      </c>
      <c r="B1711" s="15">
        <v>55</v>
      </c>
      <c r="C1711" s="15">
        <v>555</v>
      </c>
      <c r="D1711" s="15">
        <v>5551</v>
      </c>
      <c r="E1711" s="15">
        <v>55512</v>
      </c>
      <c r="F1711" s="16" t="s">
        <v>2166</v>
      </c>
      <c r="G1711" s="21" t="s">
        <v>651</v>
      </c>
      <c r="H1711" s="17" t="s">
        <v>66</v>
      </c>
      <c r="I1711" s="33">
        <v>0</v>
      </c>
      <c r="J1711" s="33">
        <f>10*4</f>
        <v>40</v>
      </c>
      <c r="K1711" s="33"/>
      <c r="L1711" s="33"/>
      <c r="M1711" s="33">
        <f t="shared" si="252"/>
        <v>40</v>
      </c>
      <c r="N1711" s="33">
        <f>IF(OR(H1711="",H1711="sif",H1711="PM"),0,VLOOKUP(H1711,[5]CU!$C$4:$H$255,6,FALSE))</f>
        <v>0.255</v>
      </c>
      <c r="O1711" s="33">
        <f t="shared" si="253"/>
        <v>0</v>
      </c>
      <c r="P1711" s="33">
        <f t="shared" si="253"/>
        <v>10.199999999999999</v>
      </c>
      <c r="Q1711" s="33">
        <f t="shared" si="253"/>
        <v>0</v>
      </c>
      <c r="R1711" s="33">
        <f t="shared" si="253"/>
        <v>0</v>
      </c>
      <c r="S1711" s="33">
        <f t="shared" si="254"/>
        <v>10.199999999999999</v>
      </c>
      <c r="T1711" s="35" t="s">
        <v>118</v>
      </c>
      <c r="U1711" s="18" t="s">
        <v>1873</v>
      </c>
      <c r="V1711" s="18" t="str">
        <f>IF(OR($H1711="",$H1711="sif",$H1711="PM"),"",VLOOKUP($H1711,[5]CU!$C$5:$J$255,8,FALSE))</f>
        <v>3. Dépenses de fonctionnement</v>
      </c>
      <c r="W1711" s="18" t="s">
        <v>142</v>
      </c>
      <c r="X1711" s="18" t="s">
        <v>142</v>
      </c>
      <c r="Y1711" s="19" t="s">
        <v>32</v>
      </c>
      <c r="Z1711" s="18" t="str">
        <f>A1711 &amp; "-" &amp; VLOOKUP(A1711,[4]PROGRAMMES!$E$1:$F$7,2,FALSE)</f>
        <v>5-Gouvernance et pilotage du secteur</v>
      </c>
      <c r="AA1711" s="19" t="str">
        <f>B1711 &amp; "-" &amp; VLOOKUP(B1711,[4]SOUSPROGRAMMES!$E$1:$F$44,2,FALSE)</f>
        <v>55- Gestion des RH (recrutement, affectation, motivation, fidélisation, gestion de carrières…)</v>
      </c>
      <c r="AB1711" s="19" t="str">
        <f>C1711 &amp; "-" &amp; VLOOKUP(C1711,[4]RESULTATS!$E$1:$F$176,2,FALSE)</f>
        <v>555- Un plan de carrière motivant est validé et utilisé dans le cadre de la gestion des carrières</v>
      </c>
      <c r="AC1711" s="20" t="str">
        <f>D1711 &amp; "-" &amp; VLOOKUP(D1711,[4]STRATEGIES!$E$1:$F$504,2,FALSE)</f>
        <v>5551-Développement et validation du plan de carrière en collaboration avec le Ministère de la Fonction Publique et les partenaires sociaux</v>
      </c>
      <c r="AD1711" s="21" t="str">
        <f t="shared" si="251"/>
        <v>55512-Révision des textes juridiques relatifs à la gestion de carrière concernant les enseignants</v>
      </c>
    </row>
    <row r="1712" spans="1:30" s="22" customFormat="1" ht="45" hidden="1" customHeight="1" x14ac:dyDescent="0.8">
      <c r="A1712" s="14">
        <v>5</v>
      </c>
      <c r="B1712" s="15">
        <v>55</v>
      </c>
      <c r="C1712" s="15">
        <v>555</v>
      </c>
      <c r="D1712" s="15">
        <v>5551</v>
      </c>
      <c r="E1712" s="15">
        <v>55513</v>
      </c>
      <c r="F1712" s="16" t="s">
        <v>2167</v>
      </c>
      <c r="G1712" s="21" t="s">
        <v>315</v>
      </c>
      <c r="H1712" s="17" t="s">
        <v>66</v>
      </c>
      <c r="I1712" s="33">
        <v>0</v>
      </c>
      <c r="J1712" s="33">
        <f>40</f>
        <v>40</v>
      </c>
      <c r="K1712" s="33"/>
      <c r="L1712" s="33"/>
      <c r="M1712" s="33">
        <f t="shared" si="252"/>
        <v>40</v>
      </c>
      <c r="N1712" s="33">
        <f>IF(OR(H1712="",H1712="sif",H1712="PM"),0,VLOOKUP(H1712,[5]CU!$C$4:$H$255,6,FALSE))</f>
        <v>0.255</v>
      </c>
      <c r="O1712" s="33">
        <f t="shared" si="253"/>
        <v>0</v>
      </c>
      <c r="P1712" s="33">
        <f t="shared" si="253"/>
        <v>10.199999999999999</v>
      </c>
      <c r="Q1712" s="33">
        <f t="shared" si="253"/>
        <v>0</v>
      </c>
      <c r="R1712" s="33">
        <f t="shared" si="253"/>
        <v>0</v>
      </c>
      <c r="S1712" s="33">
        <f t="shared" si="254"/>
        <v>10.199999999999999</v>
      </c>
      <c r="T1712" s="35" t="s">
        <v>118</v>
      </c>
      <c r="U1712" s="18" t="s">
        <v>1873</v>
      </c>
      <c r="V1712" s="18" t="str">
        <f>IF(OR($H1712="",$H1712="sif",$H1712="PM"),"",VLOOKUP($H1712,[5]CU!$C$5:$J$255,8,FALSE))</f>
        <v>3. Dépenses de fonctionnement</v>
      </c>
      <c r="W1712" s="18" t="s">
        <v>142</v>
      </c>
      <c r="X1712" s="18" t="s">
        <v>142</v>
      </c>
      <c r="Y1712" s="19" t="s">
        <v>32</v>
      </c>
      <c r="Z1712" s="18" t="str">
        <f>A1712 &amp; "-" &amp; VLOOKUP(A1712,[4]PROGRAMMES!$E$1:$F$7,2,FALSE)</f>
        <v>5-Gouvernance et pilotage du secteur</v>
      </c>
      <c r="AA1712" s="19" t="str">
        <f>B1712 &amp; "-" &amp; VLOOKUP(B1712,[4]SOUSPROGRAMMES!$E$1:$F$44,2,FALSE)</f>
        <v>55- Gestion des RH (recrutement, affectation, motivation, fidélisation, gestion de carrières…)</v>
      </c>
      <c r="AB1712" s="19" t="str">
        <f>C1712 &amp; "-" &amp; VLOOKUP(C1712,[4]RESULTATS!$E$1:$F$176,2,FALSE)</f>
        <v>555- Un plan de carrière motivant est validé et utilisé dans le cadre de la gestion des carrières</v>
      </c>
      <c r="AC1712" s="20" t="str">
        <f>D1712 &amp; "-" &amp; VLOOKUP(D1712,[4]STRATEGIES!$E$1:$F$504,2,FALSE)</f>
        <v>5551-Développement et validation du plan de carrière en collaboration avec le Ministère de la Fonction Publique et les partenaires sociaux</v>
      </c>
      <c r="AD1712" s="21" t="str">
        <f t="shared" si="251"/>
        <v>55513-Partage et validation du plan de carrière du personnel enseignant</v>
      </c>
    </row>
    <row r="1713" spans="1:30" s="22" customFormat="1" ht="45" hidden="1" customHeight="1" x14ac:dyDescent="0.8">
      <c r="A1713" s="14">
        <v>5</v>
      </c>
      <c r="B1713" s="15">
        <v>55</v>
      </c>
      <c r="C1713" s="15">
        <v>555</v>
      </c>
      <c r="D1713" s="15">
        <v>5552</v>
      </c>
      <c r="E1713" s="15">
        <v>5552</v>
      </c>
      <c r="F1713" s="16" t="s">
        <v>2168</v>
      </c>
      <c r="G1713" s="17"/>
      <c r="H1713" s="17"/>
      <c r="I1713" s="33">
        <v>0</v>
      </c>
      <c r="J1713" s="33"/>
      <c r="K1713" s="33"/>
      <c r="L1713" s="33"/>
      <c r="M1713" s="33"/>
      <c r="N1713" s="33"/>
      <c r="O1713" s="33"/>
      <c r="P1713" s="33"/>
      <c r="Q1713" s="33"/>
      <c r="R1713" s="33"/>
      <c r="S1713" s="33"/>
      <c r="T1713" s="33"/>
      <c r="U1713" s="18"/>
      <c r="V1713" s="18"/>
      <c r="W1713" s="18"/>
      <c r="X1713" s="18"/>
      <c r="Y1713" s="18"/>
      <c r="Z1713" s="18" t="str">
        <f>A1713 &amp; "-" &amp; VLOOKUP(A1713,[4]PROGRAMMES!$E$1:$F$7,2,FALSE)</f>
        <v>5-Gouvernance et pilotage du secteur</v>
      </c>
      <c r="AA1713" s="19" t="str">
        <f>B1713 &amp; "-" &amp; VLOOKUP(B1713,[4]SOUSPROGRAMMES!$E$1:$F$44,2,FALSE)</f>
        <v>55- Gestion des RH (recrutement, affectation, motivation, fidélisation, gestion de carrières…)</v>
      </c>
      <c r="AB1713" s="19" t="str">
        <f>C1713 &amp; "-" &amp; VLOOKUP(C1713,[4]RESULTATS!$E$1:$F$176,2,FALSE)</f>
        <v>555- Un plan de carrière motivant est validé et utilisé dans le cadre de la gestion des carrières</v>
      </c>
      <c r="AC1713" s="20" t="str">
        <f>D1713 &amp; "-" &amp; VLOOKUP(D1713,[4]STRATEGIES!$E$1:$F$504,2,FALSE)</f>
        <v>5552-Sensibilisation et vulgarisation du plan de carrière auprès de tous les acteurs et partenaires concernés</v>
      </c>
      <c r="AD1713" s="21" t="str">
        <f t="shared" si="251"/>
        <v>5552-Sensibilisation et vulgarisation du plan de carrière auprès de tous les acteurs et partenaires concernés</v>
      </c>
    </row>
    <row r="1714" spans="1:30" s="22" customFormat="1" ht="45" hidden="1" customHeight="1" x14ac:dyDescent="0.8">
      <c r="A1714" s="14">
        <v>5</v>
      </c>
      <c r="B1714" s="15">
        <v>55</v>
      </c>
      <c r="C1714" s="15">
        <v>555</v>
      </c>
      <c r="D1714" s="15">
        <v>5552</v>
      </c>
      <c r="E1714" s="15">
        <v>55521</v>
      </c>
      <c r="F1714" s="16" t="s">
        <v>2169</v>
      </c>
      <c r="G1714" s="21" t="s">
        <v>1017</v>
      </c>
      <c r="H1714" s="17" t="s">
        <v>59</v>
      </c>
      <c r="I1714" s="33">
        <v>0</v>
      </c>
      <c r="J1714" s="33"/>
      <c r="K1714" s="33">
        <f>4*4*8</f>
        <v>128</v>
      </c>
      <c r="L1714" s="33"/>
      <c r="M1714" s="33">
        <f t="shared" si="252"/>
        <v>128</v>
      </c>
      <c r="N1714" s="33">
        <f>IF(OR(H1714="",H1714="sif",H1714="PM"),0,VLOOKUP(H1714,[5]CU!$C$4:$H$255,6,FALSE))</f>
        <v>0.8177777777777776</v>
      </c>
      <c r="O1714" s="33">
        <f t="shared" si="253"/>
        <v>0</v>
      </c>
      <c r="P1714" s="33">
        <f t="shared" si="253"/>
        <v>0</v>
      </c>
      <c r="Q1714" s="33">
        <f t="shared" si="253"/>
        <v>104.67555555555553</v>
      </c>
      <c r="R1714" s="33">
        <f t="shared" si="253"/>
        <v>0</v>
      </c>
      <c r="S1714" s="33">
        <f t="shared" si="254"/>
        <v>104.67555555555553</v>
      </c>
      <c r="T1714" s="35" t="s">
        <v>56</v>
      </c>
      <c r="U1714" s="18" t="s">
        <v>1873</v>
      </c>
      <c r="V1714" s="18" t="str">
        <f>IF(OR($H1714="",$H1714="sif",$H1714="PM"),"",VLOOKUP($H1714,[5]CU!$C$5:$J$255,8,FALSE))</f>
        <v>3. Dépenses de fonctionnement</v>
      </c>
      <c r="W1714" s="18" t="s">
        <v>142</v>
      </c>
      <c r="X1714" s="18" t="s">
        <v>142</v>
      </c>
      <c r="Y1714" s="19" t="s">
        <v>32</v>
      </c>
      <c r="Z1714" s="18" t="str">
        <f>A1714 &amp; "-" &amp; VLOOKUP(A1714,[4]PROGRAMMES!$E$1:$F$7,2,FALSE)</f>
        <v>5-Gouvernance et pilotage du secteur</v>
      </c>
      <c r="AA1714" s="19" t="str">
        <f>B1714 &amp; "-" &amp; VLOOKUP(B1714,[4]SOUSPROGRAMMES!$E$1:$F$44,2,FALSE)</f>
        <v>55- Gestion des RH (recrutement, affectation, motivation, fidélisation, gestion de carrières…)</v>
      </c>
      <c r="AB1714" s="19" t="str">
        <f>C1714 &amp; "-" &amp; VLOOKUP(C1714,[4]RESULTATS!$E$1:$F$176,2,FALSE)</f>
        <v>555- Un plan de carrière motivant est validé et utilisé dans le cadre de la gestion des carrières</v>
      </c>
      <c r="AC1714" s="20" t="str">
        <f>D1714 &amp; "-" &amp; VLOOKUP(D1714,[4]STRATEGIES!$E$1:$F$504,2,FALSE)</f>
        <v>5552-Sensibilisation et vulgarisation du plan de carrière auprès de tous les acteurs et partenaires concernés</v>
      </c>
      <c r="AD1714" s="21" t="str">
        <f t="shared" si="251"/>
        <v>55521-Campagne d'interprétation, d'appropriation et de vulgarisation des textes relatifs au plan de carrière des enseignants auprès de tous les acteurs institutionnels et partenaires</v>
      </c>
    </row>
    <row r="1715" spans="1:30" s="22" customFormat="1" ht="45" hidden="1" customHeight="1" x14ac:dyDescent="0.8">
      <c r="A1715" s="14">
        <v>5</v>
      </c>
      <c r="B1715" s="15">
        <v>55</v>
      </c>
      <c r="C1715" s="15">
        <v>555</v>
      </c>
      <c r="D1715" s="15">
        <v>5553</v>
      </c>
      <c r="E1715" s="15">
        <v>5553</v>
      </c>
      <c r="F1715" s="16" t="s">
        <v>2170</v>
      </c>
      <c r="G1715" s="17"/>
      <c r="H1715" s="17"/>
      <c r="I1715" s="33">
        <v>0</v>
      </c>
      <c r="J1715" s="33"/>
      <c r="K1715" s="33"/>
      <c r="L1715" s="33"/>
      <c r="M1715" s="33"/>
      <c r="N1715" s="33"/>
      <c r="O1715" s="33"/>
      <c r="P1715" s="33"/>
      <c r="Q1715" s="33"/>
      <c r="R1715" s="33"/>
      <c r="S1715" s="33"/>
      <c r="T1715" s="33"/>
      <c r="U1715" s="18"/>
      <c r="V1715" s="18"/>
      <c r="W1715" s="18"/>
      <c r="X1715" s="18"/>
      <c r="Y1715" s="18"/>
      <c r="Z1715" s="18" t="str">
        <f>A1715 &amp; "-" &amp; VLOOKUP(A1715,[4]PROGRAMMES!$E$1:$F$7,2,FALSE)</f>
        <v>5-Gouvernance et pilotage du secteur</v>
      </c>
      <c r="AA1715" s="19" t="str">
        <f>B1715 &amp; "-" &amp; VLOOKUP(B1715,[4]SOUSPROGRAMMES!$E$1:$F$44,2,FALSE)</f>
        <v>55- Gestion des RH (recrutement, affectation, motivation, fidélisation, gestion de carrières…)</v>
      </c>
      <c r="AB1715" s="19" t="str">
        <f>C1715 &amp; "-" &amp; VLOOKUP(C1715,[4]RESULTATS!$E$1:$F$176,2,FALSE)</f>
        <v>555- Un plan de carrière motivant est validé et utilisé dans le cadre de la gestion des carrières</v>
      </c>
      <c r="AC1715" s="20" t="str">
        <f>D1715 &amp; "-" &amp; VLOOKUP(D1715,[4]STRATEGIES!$E$1:$F$504,2,FALSE)</f>
        <v>5553-Utilisation de la base de données pour le suivi de la mise en œuvre du plan de carrière</v>
      </c>
      <c r="AD1715" s="21" t="str">
        <f t="shared" si="251"/>
        <v>5553-Utilisation de la base de données pour le suivi de la mise en œuvre du plan de carrière</v>
      </c>
    </row>
    <row r="1716" spans="1:30" s="22" customFormat="1" ht="45" hidden="1" customHeight="1" x14ac:dyDescent="0.8">
      <c r="A1716" s="14">
        <v>5</v>
      </c>
      <c r="B1716" s="15">
        <v>55</v>
      </c>
      <c r="C1716" s="15">
        <v>555</v>
      </c>
      <c r="D1716" s="15">
        <v>5553</v>
      </c>
      <c r="E1716" s="15">
        <v>55531</v>
      </c>
      <c r="F1716" s="16" t="s">
        <v>2171</v>
      </c>
      <c r="G1716" s="21" t="s">
        <v>88</v>
      </c>
      <c r="H1716" s="17" t="s">
        <v>55</v>
      </c>
      <c r="I1716" s="33">
        <v>0</v>
      </c>
      <c r="J1716" s="33">
        <v>1</v>
      </c>
      <c r="K1716" s="33">
        <v>1</v>
      </c>
      <c r="L1716" s="33">
        <v>1</v>
      </c>
      <c r="M1716" s="33">
        <f t="shared" si="252"/>
        <v>3</v>
      </c>
      <c r="N1716" s="33">
        <f>IF(OR(H1716="",H1716="sif",H1716="PM"),0,VLOOKUP(H1716,[5]CU!$C$4:$H$255,6,FALSE))</f>
        <v>0</v>
      </c>
      <c r="O1716" s="33">
        <f t="shared" si="253"/>
        <v>0</v>
      </c>
      <c r="P1716" s="33">
        <f t="shared" si="253"/>
        <v>0</v>
      </c>
      <c r="Q1716" s="33">
        <f t="shared" si="253"/>
        <v>0</v>
      </c>
      <c r="R1716" s="33">
        <f t="shared" si="253"/>
        <v>0</v>
      </c>
      <c r="S1716" s="33"/>
      <c r="T1716" s="35" t="s">
        <v>56</v>
      </c>
      <c r="U1716" s="18" t="s">
        <v>1873</v>
      </c>
      <c r="V1716" s="18" t="str">
        <f>IF(OR($H1716="",$H1716="sif",$H1716="PM"),"",VLOOKUP($H1716,[5]CU!$C$5:$J$255,8,FALSE))</f>
        <v/>
      </c>
      <c r="W1716" s="18" t="s">
        <v>142</v>
      </c>
      <c r="X1716" s="18" t="s">
        <v>142</v>
      </c>
      <c r="Y1716" s="19" t="s">
        <v>32</v>
      </c>
      <c r="Z1716" s="18" t="str">
        <f>A1716 &amp; "-" &amp; VLOOKUP(A1716,[4]PROGRAMMES!$E$1:$F$7,2,FALSE)</f>
        <v>5-Gouvernance et pilotage du secteur</v>
      </c>
      <c r="AA1716" s="19" t="str">
        <f>B1716 &amp; "-" &amp; VLOOKUP(B1716,[4]SOUSPROGRAMMES!$E$1:$F$44,2,FALSE)</f>
        <v>55- Gestion des RH (recrutement, affectation, motivation, fidélisation, gestion de carrières…)</v>
      </c>
      <c r="AB1716" s="19" t="str">
        <f>C1716 &amp; "-" &amp; VLOOKUP(C1716,[4]RESULTATS!$E$1:$F$176,2,FALSE)</f>
        <v>555- Un plan de carrière motivant est validé et utilisé dans le cadre de la gestion des carrières</v>
      </c>
      <c r="AC1716" s="20" t="str">
        <f>D1716 &amp; "-" &amp; VLOOKUP(D1716,[4]STRATEGIES!$E$1:$F$504,2,FALSE)</f>
        <v>5553-Utilisation de la base de données pour le suivi de la mise en œuvre du plan de carrière</v>
      </c>
      <c r="AD1716" s="21" t="str">
        <f t="shared" si="251"/>
        <v>55531-Mise à jour régulière de la base de données sur les personnels du MENA</v>
      </c>
    </row>
    <row r="1717" spans="1:30" s="22" customFormat="1" ht="45" hidden="1" customHeight="1" x14ac:dyDescent="0.8">
      <c r="A1717" s="14">
        <v>5</v>
      </c>
      <c r="B1717" s="15">
        <v>55</v>
      </c>
      <c r="C1717" s="15">
        <v>555</v>
      </c>
      <c r="D1717" s="15">
        <v>5553</v>
      </c>
      <c r="E1717" s="15">
        <v>55532</v>
      </c>
      <c r="F1717" s="16" t="s">
        <v>2172</v>
      </c>
      <c r="G1717" s="21" t="s">
        <v>88</v>
      </c>
      <c r="H1717" s="17" t="s">
        <v>55</v>
      </c>
      <c r="I1717" s="33">
        <v>0</v>
      </c>
      <c r="J1717" s="33">
        <v>1</v>
      </c>
      <c r="K1717" s="33">
        <v>1</v>
      </c>
      <c r="L1717" s="33">
        <v>1</v>
      </c>
      <c r="M1717" s="33">
        <f t="shared" si="252"/>
        <v>3</v>
      </c>
      <c r="N1717" s="33">
        <f>IF(OR(H1717="",H1717="sif",H1717="PM"),0,VLOOKUP(H1717,[5]CU!$C$4:$H$255,6,FALSE))</f>
        <v>0</v>
      </c>
      <c r="O1717" s="33">
        <f t="shared" si="253"/>
        <v>0</v>
      </c>
      <c r="P1717" s="33">
        <f t="shared" si="253"/>
        <v>0</v>
      </c>
      <c r="Q1717" s="33">
        <f t="shared" si="253"/>
        <v>0</v>
      </c>
      <c r="R1717" s="33">
        <f t="shared" si="253"/>
        <v>0</v>
      </c>
      <c r="S1717" s="33"/>
      <c r="T1717" s="35" t="s">
        <v>56</v>
      </c>
      <c r="U1717" s="18" t="s">
        <v>1873</v>
      </c>
      <c r="V1717" s="18" t="str">
        <f>IF(OR($H1717="",$H1717="sif",$H1717="PM"),"",VLOOKUP($H1717,[5]CU!$C$5:$J$255,8,FALSE))</f>
        <v/>
      </c>
      <c r="W1717" s="18" t="s">
        <v>142</v>
      </c>
      <c r="X1717" s="18" t="s">
        <v>142</v>
      </c>
      <c r="Y1717" s="18" t="s">
        <v>679</v>
      </c>
      <c r="Z1717" s="18" t="str">
        <f>A1717 &amp; "-" &amp; VLOOKUP(A1717,[4]PROGRAMMES!$E$1:$F$7,2,FALSE)</f>
        <v>5-Gouvernance et pilotage du secteur</v>
      </c>
      <c r="AA1717" s="19" t="str">
        <f>B1717 &amp; "-" &amp; VLOOKUP(B1717,[4]SOUSPROGRAMMES!$E$1:$F$44,2,FALSE)</f>
        <v>55- Gestion des RH (recrutement, affectation, motivation, fidélisation, gestion de carrières…)</v>
      </c>
      <c r="AB1717" s="19" t="str">
        <f>C1717 &amp; "-" &amp; VLOOKUP(C1717,[4]RESULTATS!$E$1:$F$176,2,FALSE)</f>
        <v>555- Un plan de carrière motivant est validé et utilisé dans le cadre de la gestion des carrières</v>
      </c>
      <c r="AC1717" s="20" t="str">
        <f>D1717 &amp; "-" &amp; VLOOKUP(D1717,[4]STRATEGIES!$E$1:$F$504,2,FALSE)</f>
        <v>5553-Utilisation de la base de données pour le suivi de la mise en œuvre du plan de carrière</v>
      </c>
      <c r="AD1717" s="21" t="str">
        <f t="shared" si="251"/>
        <v>55532-Mise à jour régulière de la base de données sur les personnels du MESRS</v>
      </c>
    </row>
    <row r="1718" spans="1:30" s="22" customFormat="1" ht="45" hidden="1" customHeight="1" x14ac:dyDescent="0.8">
      <c r="A1718" s="14">
        <v>5</v>
      </c>
      <c r="B1718" s="15">
        <v>55</v>
      </c>
      <c r="C1718" s="15">
        <v>555</v>
      </c>
      <c r="D1718" s="15">
        <v>5553</v>
      </c>
      <c r="E1718" s="15">
        <v>55533</v>
      </c>
      <c r="F1718" s="16" t="s">
        <v>2173</v>
      </c>
      <c r="G1718" s="21" t="s">
        <v>88</v>
      </c>
      <c r="H1718" s="17" t="s">
        <v>55</v>
      </c>
      <c r="I1718" s="33">
        <v>0</v>
      </c>
      <c r="J1718" s="33">
        <v>1</v>
      </c>
      <c r="K1718" s="33">
        <v>1</v>
      </c>
      <c r="L1718" s="33">
        <v>1</v>
      </c>
      <c r="M1718" s="33">
        <f t="shared" si="252"/>
        <v>3</v>
      </c>
      <c r="N1718" s="33">
        <f>IF(OR(H1718="",H1718="sif",H1718="PM"),0,VLOOKUP(H1718,[5]CU!$C$4:$H$255,6,FALSE))</f>
        <v>0</v>
      </c>
      <c r="O1718" s="33">
        <f t="shared" si="253"/>
        <v>0</v>
      </c>
      <c r="P1718" s="33">
        <f t="shared" si="253"/>
        <v>0</v>
      </c>
      <c r="Q1718" s="33">
        <f t="shared" si="253"/>
        <v>0</v>
      </c>
      <c r="R1718" s="33">
        <f t="shared" si="253"/>
        <v>0</v>
      </c>
      <c r="S1718" s="33"/>
      <c r="T1718" s="35" t="s">
        <v>56</v>
      </c>
      <c r="U1718" s="18" t="s">
        <v>1873</v>
      </c>
      <c r="V1718" s="18" t="str">
        <f>IF(OR($H1718="",$H1718="sif",$H1718="PM"),"",VLOOKUP($H1718,[5]CU!$C$5:$J$255,8,FALSE))</f>
        <v/>
      </c>
      <c r="W1718" s="18" t="s">
        <v>142</v>
      </c>
      <c r="X1718" s="18" t="s">
        <v>142</v>
      </c>
      <c r="Y1718" s="18" t="s">
        <v>677</v>
      </c>
      <c r="Z1718" s="18" t="str">
        <f>A1718 &amp; "-" &amp; VLOOKUP(A1718,[4]PROGRAMMES!$E$1:$F$7,2,FALSE)</f>
        <v>5-Gouvernance et pilotage du secteur</v>
      </c>
      <c r="AA1718" s="19" t="str">
        <f>B1718 &amp; "-" &amp; VLOOKUP(B1718,[4]SOUSPROGRAMMES!$E$1:$F$44,2,FALSE)</f>
        <v>55- Gestion des RH (recrutement, affectation, motivation, fidélisation, gestion de carrières…)</v>
      </c>
      <c r="AB1718" s="19" t="str">
        <f>C1718 &amp; "-" &amp; VLOOKUP(C1718,[4]RESULTATS!$E$1:$F$176,2,FALSE)</f>
        <v>555- Un plan de carrière motivant est validé et utilisé dans le cadre de la gestion des carrières</v>
      </c>
      <c r="AC1718" s="20" t="str">
        <f>D1718 &amp; "-" &amp; VLOOKUP(D1718,[4]STRATEGIES!$E$1:$F$504,2,FALSE)</f>
        <v>5553-Utilisation de la base de données pour le suivi de la mise en œuvre du plan de carrière</v>
      </c>
      <c r="AD1718" s="21" t="str">
        <f t="shared" si="251"/>
        <v>55533-Mise à jour régulière de la base de données sur les personnels du METFP</v>
      </c>
    </row>
    <row r="1719" spans="1:30" s="22" customFormat="1" ht="45" hidden="1" customHeight="1" x14ac:dyDescent="0.8">
      <c r="A1719" s="14">
        <v>5</v>
      </c>
      <c r="B1719" s="15">
        <v>55</v>
      </c>
      <c r="C1719" s="15">
        <v>555</v>
      </c>
      <c r="D1719" s="15">
        <v>5554</v>
      </c>
      <c r="E1719" s="15">
        <v>5554</v>
      </c>
      <c r="F1719" s="16" t="s">
        <v>2174</v>
      </c>
      <c r="G1719" s="17"/>
      <c r="H1719" s="17"/>
      <c r="I1719" s="33">
        <v>0</v>
      </c>
      <c r="J1719" s="33"/>
      <c r="K1719" s="33"/>
      <c r="L1719" s="33"/>
      <c r="M1719" s="33"/>
      <c r="N1719" s="33"/>
      <c r="O1719" s="33"/>
      <c r="P1719" s="33"/>
      <c r="Q1719" s="33"/>
      <c r="R1719" s="33"/>
      <c r="S1719" s="33"/>
      <c r="T1719" s="33"/>
      <c r="U1719" s="18"/>
      <c r="V1719" s="18"/>
      <c r="W1719" s="18"/>
      <c r="X1719" s="18"/>
      <c r="Y1719" s="18"/>
      <c r="Z1719" s="18" t="str">
        <f>A1719 &amp; "-" &amp; VLOOKUP(A1719,[4]PROGRAMMES!$E$1:$F$7,2,FALSE)</f>
        <v>5-Gouvernance et pilotage du secteur</v>
      </c>
      <c r="AA1719" s="19" t="str">
        <f>B1719 &amp; "-" &amp; VLOOKUP(B1719,[4]SOUSPROGRAMMES!$E$1:$F$44,2,FALSE)</f>
        <v>55- Gestion des RH (recrutement, affectation, motivation, fidélisation, gestion de carrières…)</v>
      </c>
      <c r="AB1719" s="19" t="str">
        <f>C1719 &amp; "-" &amp; VLOOKUP(C1719,[4]RESULTATS!$E$1:$F$176,2,FALSE)</f>
        <v>555- Un plan de carrière motivant est validé et utilisé dans le cadre de la gestion des carrières</v>
      </c>
      <c r="AC1719" s="20" t="str">
        <f>D1719 &amp; "-" &amp; VLOOKUP(D1719,[4]STRATEGIES!$E$1:$F$504,2,FALSE)</f>
        <v>5554-Poursuite de la mise en œuvre du systéme de contrôle de présence des enseignants et amélioration par l'usage du telèphone portable (en lien avec le numéro vert de la DPE)</v>
      </c>
      <c r="AD1719" s="21" t="str">
        <f t="shared" si="251"/>
        <v>5554-Poursuite de la mise en œuvre du systéme de contrôle de présence des enseignants et amélioration par l'usage du telèphone portable (en lien avec le numéro vert de la DPE)</v>
      </c>
    </row>
    <row r="1720" spans="1:30" s="22" customFormat="1" ht="45" hidden="1" customHeight="1" x14ac:dyDescent="0.8">
      <c r="A1720" s="14">
        <v>5</v>
      </c>
      <c r="B1720" s="15">
        <v>55</v>
      </c>
      <c r="C1720" s="15">
        <v>555</v>
      </c>
      <c r="D1720" s="15">
        <v>5554</v>
      </c>
      <c r="E1720" s="15">
        <v>55541</v>
      </c>
      <c r="F1720" s="16" t="s">
        <v>2175</v>
      </c>
      <c r="G1720" s="21" t="s">
        <v>2176</v>
      </c>
      <c r="H1720" s="17" t="s">
        <v>66</v>
      </c>
      <c r="I1720" s="33">
        <v>0</v>
      </c>
      <c r="J1720" s="33"/>
      <c r="K1720" s="33"/>
      <c r="L1720" s="33"/>
      <c r="M1720" s="33">
        <f t="shared" si="252"/>
        <v>0</v>
      </c>
      <c r="N1720" s="33">
        <f>IF(OR(H1720="",H1720="sif",H1720="PM"),0,VLOOKUP(H1720,[5]CU!$C$4:$H$255,6,FALSE))</f>
        <v>0.255</v>
      </c>
      <c r="O1720" s="33">
        <f t="shared" si="253"/>
        <v>0</v>
      </c>
      <c r="P1720" s="33">
        <f t="shared" si="253"/>
        <v>0</v>
      </c>
      <c r="Q1720" s="33">
        <f t="shared" si="253"/>
        <v>0</v>
      </c>
      <c r="R1720" s="33">
        <f t="shared" si="253"/>
        <v>0</v>
      </c>
      <c r="S1720" s="33">
        <f>SUM(O1720:R1720)</f>
        <v>0</v>
      </c>
      <c r="T1720" s="35" t="s">
        <v>178</v>
      </c>
      <c r="U1720" s="18" t="s">
        <v>1873</v>
      </c>
      <c r="V1720" s="18" t="str">
        <f>IF(OR($H1720="",$H1720="sif",$H1720="PM"),"",VLOOKUP($H1720,[5]CU!$C$5:$J$255,8,FALSE))</f>
        <v>3. Dépenses de fonctionnement</v>
      </c>
      <c r="W1720" s="18" t="s">
        <v>273</v>
      </c>
      <c r="X1720" s="18" t="s">
        <v>179</v>
      </c>
      <c r="Y1720" s="19" t="s">
        <v>32</v>
      </c>
      <c r="Z1720" s="18" t="str">
        <f>A1720 &amp; "-" &amp; VLOOKUP(A1720,[4]PROGRAMMES!$E$1:$F$7,2,FALSE)</f>
        <v>5-Gouvernance et pilotage du secteur</v>
      </c>
      <c r="AA1720" s="19" t="str">
        <f>B1720 &amp; "-" &amp; VLOOKUP(B1720,[4]SOUSPROGRAMMES!$E$1:$F$44,2,FALSE)</f>
        <v>55- Gestion des RH (recrutement, affectation, motivation, fidélisation, gestion de carrières…)</v>
      </c>
      <c r="AB1720" s="19" t="str">
        <f>C1720 &amp; "-" &amp; VLOOKUP(C1720,[4]RESULTATS!$E$1:$F$176,2,FALSE)</f>
        <v>555- Un plan de carrière motivant est validé et utilisé dans le cadre de la gestion des carrières</v>
      </c>
      <c r="AC1720" s="20" t="str">
        <f>D1720 &amp; "-" &amp; VLOOKUP(D1720,[4]STRATEGIES!$E$1:$F$504,2,FALSE)</f>
        <v>5554-Poursuite de la mise en œuvre du systéme de contrôle de présence des enseignants et amélioration par l'usage du telèphone portable (en lien avec le numéro vert de la DPE)</v>
      </c>
      <c r="AD1720" s="21" t="str">
        <f t="shared" si="251"/>
        <v>55541-Révision et validation du dispositif existant pour le rendre plus opérationnel par l’utilisation du téléphone portable</v>
      </c>
    </row>
    <row r="1721" spans="1:30" s="22" customFormat="1" ht="45" hidden="1" customHeight="1" x14ac:dyDescent="0.8">
      <c r="A1721" s="14">
        <v>5</v>
      </c>
      <c r="B1721" s="15">
        <v>55</v>
      </c>
      <c r="C1721" s="15">
        <v>555</v>
      </c>
      <c r="D1721" s="15">
        <v>5554</v>
      </c>
      <c r="E1721" s="15">
        <v>55542</v>
      </c>
      <c r="F1721" s="16" t="s">
        <v>2177</v>
      </c>
      <c r="G1721" s="21" t="s">
        <v>436</v>
      </c>
      <c r="H1721" s="17" t="s">
        <v>352</v>
      </c>
      <c r="I1721" s="33">
        <v>0</v>
      </c>
      <c r="J1721" s="33"/>
      <c r="K1721" s="33"/>
      <c r="L1721" s="33"/>
      <c r="M1721" s="33">
        <f t="shared" si="252"/>
        <v>0</v>
      </c>
      <c r="N1721" s="33">
        <f>IF(OR(H1721="",H1721="sif",H1721="PM"),0,VLOOKUP(H1721,[5]CU!$C$4:$H$255,6,FALSE))</f>
        <v>0.54600000000000004</v>
      </c>
      <c r="O1721" s="33">
        <f t="shared" si="253"/>
        <v>0</v>
      </c>
      <c r="P1721" s="33">
        <f t="shared" si="253"/>
        <v>0</v>
      </c>
      <c r="Q1721" s="33">
        <f t="shared" si="253"/>
        <v>0</v>
      </c>
      <c r="R1721" s="33">
        <f t="shared" si="253"/>
        <v>0</v>
      </c>
      <c r="S1721" s="33">
        <f>SUM(O1721:R1721)</f>
        <v>0</v>
      </c>
      <c r="T1721" s="35" t="s">
        <v>178</v>
      </c>
      <c r="U1721" s="18" t="s">
        <v>1873</v>
      </c>
      <c r="V1721" s="18" t="str">
        <f>IF(OR($H1721="",$H1721="sif",$H1721="PM"),"",VLOOKUP($H1721,[5]CU!$C$5:$J$255,8,FALSE))</f>
        <v>3. Formation</v>
      </c>
      <c r="W1721" s="18" t="s">
        <v>273</v>
      </c>
      <c r="X1721" s="18" t="s">
        <v>179</v>
      </c>
      <c r="Y1721" s="19" t="s">
        <v>32</v>
      </c>
      <c r="Z1721" s="18" t="str">
        <f>A1721 &amp; "-" &amp; VLOOKUP(A1721,[4]PROGRAMMES!$E$1:$F$7,2,FALSE)</f>
        <v>5-Gouvernance et pilotage du secteur</v>
      </c>
      <c r="AA1721" s="19" t="str">
        <f>B1721 &amp; "-" &amp; VLOOKUP(B1721,[4]SOUSPROGRAMMES!$E$1:$F$44,2,FALSE)</f>
        <v>55- Gestion des RH (recrutement, affectation, motivation, fidélisation, gestion de carrières…)</v>
      </c>
      <c r="AB1721" s="19" t="str">
        <f>C1721 &amp; "-" &amp; VLOOKUP(C1721,[4]RESULTATS!$E$1:$F$176,2,FALSE)</f>
        <v>555- Un plan de carrière motivant est validé et utilisé dans le cadre de la gestion des carrières</v>
      </c>
      <c r="AC1721" s="20" t="str">
        <f>D1721 &amp; "-" &amp; VLOOKUP(D1721,[4]STRATEGIES!$E$1:$F$504,2,FALSE)</f>
        <v>5554-Poursuite de la mise en œuvre du systéme de contrôle de présence des enseignants et amélioration par l'usage du telèphone portable (en lien avec le numéro vert de la DPE)</v>
      </c>
      <c r="AD1721" s="21" t="str">
        <f t="shared" si="251"/>
        <v>55542-Formation des utilisateurs du dispositif</v>
      </c>
    </row>
    <row r="1722" spans="1:30" s="22" customFormat="1" ht="45" hidden="1" customHeight="1" x14ac:dyDescent="0.8">
      <c r="A1722" s="14">
        <v>5</v>
      </c>
      <c r="B1722" s="15">
        <v>55</v>
      </c>
      <c r="C1722" s="15">
        <v>555</v>
      </c>
      <c r="D1722" s="15">
        <v>5554</v>
      </c>
      <c r="E1722" s="15">
        <v>55543</v>
      </c>
      <c r="F1722" s="16" t="s">
        <v>2178</v>
      </c>
      <c r="G1722" s="21" t="s">
        <v>321</v>
      </c>
      <c r="H1722" s="17" t="s">
        <v>92</v>
      </c>
      <c r="I1722" s="33">
        <v>0</v>
      </c>
      <c r="J1722" s="33"/>
      <c r="K1722" s="33"/>
      <c r="L1722" s="33"/>
      <c r="M1722" s="33">
        <f t="shared" si="252"/>
        <v>0</v>
      </c>
      <c r="N1722" s="33">
        <f>IF(OR(H1722="",H1722="sif",H1722="PM"),0,VLOOKUP(H1722,[5]CU!$C$4:$H$255,6,FALSE))</f>
        <v>0</v>
      </c>
      <c r="O1722" s="33">
        <f t="shared" si="253"/>
        <v>0</v>
      </c>
      <c r="P1722" s="33">
        <f t="shared" si="253"/>
        <v>0</v>
      </c>
      <c r="Q1722" s="33">
        <f t="shared" si="253"/>
        <v>0</v>
      </c>
      <c r="R1722" s="33">
        <f t="shared" si="253"/>
        <v>0</v>
      </c>
      <c r="S1722" s="33"/>
      <c r="T1722" s="35" t="s">
        <v>56</v>
      </c>
      <c r="U1722" s="18" t="s">
        <v>1873</v>
      </c>
      <c r="V1722" s="18" t="str">
        <f>IF(OR($H1722="",$H1722="sif",$H1722="PM"),"",VLOOKUP($H1722,[5]CU!$C$5:$J$255,8,FALSE))</f>
        <v/>
      </c>
      <c r="W1722" s="18" t="s">
        <v>273</v>
      </c>
      <c r="X1722" s="18" t="s">
        <v>179</v>
      </c>
      <c r="Y1722" s="19" t="s">
        <v>32</v>
      </c>
      <c r="Z1722" s="18" t="str">
        <f>A1722 &amp; "-" &amp; VLOOKUP(A1722,[4]PROGRAMMES!$E$1:$F$7,2,FALSE)</f>
        <v>5-Gouvernance et pilotage du secteur</v>
      </c>
      <c r="AA1722" s="19" t="str">
        <f>B1722 &amp; "-" &amp; VLOOKUP(B1722,[4]SOUSPROGRAMMES!$E$1:$F$44,2,FALSE)</f>
        <v>55- Gestion des RH (recrutement, affectation, motivation, fidélisation, gestion de carrières…)</v>
      </c>
      <c r="AB1722" s="19" t="str">
        <f>C1722 &amp; "-" &amp; VLOOKUP(C1722,[4]RESULTATS!$E$1:$F$176,2,FALSE)</f>
        <v>555- Un plan de carrière motivant est validé et utilisé dans le cadre de la gestion des carrières</v>
      </c>
      <c r="AC1722" s="20" t="str">
        <f>D1722 &amp; "-" &amp; VLOOKUP(D1722,[4]STRATEGIES!$E$1:$F$504,2,FALSE)</f>
        <v>5554-Poursuite de la mise en œuvre du systéme de contrôle de présence des enseignants et amélioration par l'usage du telèphone portable (en lien avec le numéro vert de la DPE)</v>
      </c>
      <c r="AD1722" s="21" t="str">
        <f t="shared" si="251"/>
        <v>55543-Expérimentation du dispositif dans un échantillon d'écoles</v>
      </c>
    </row>
    <row r="1723" spans="1:30" s="22" customFormat="1" ht="45" hidden="1" customHeight="1" x14ac:dyDescent="0.8">
      <c r="A1723" s="14">
        <v>5</v>
      </c>
      <c r="B1723" s="15">
        <v>55</v>
      </c>
      <c r="C1723" s="15">
        <v>555</v>
      </c>
      <c r="D1723" s="15">
        <v>5554</v>
      </c>
      <c r="E1723" s="15">
        <v>55544</v>
      </c>
      <c r="F1723" s="16" t="s">
        <v>2179</v>
      </c>
      <c r="G1723" s="21" t="s">
        <v>496</v>
      </c>
      <c r="H1723" s="17" t="s">
        <v>2180</v>
      </c>
      <c r="I1723" s="33">
        <v>0</v>
      </c>
      <c r="J1723" s="33"/>
      <c r="K1723" s="33"/>
      <c r="L1723" s="33"/>
      <c r="M1723" s="33">
        <f t="shared" si="252"/>
        <v>0</v>
      </c>
      <c r="N1723" s="33">
        <f>IF(OR(H1723="",H1723="sif",H1723="PM"),0,VLOOKUP(H1723,[5]CU!$C$4:$H$255,6,FALSE))</f>
        <v>0.2</v>
      </c>
      <c r="O1723" s="33">
        <f t="shared" si="253"/>
        <v>0</v>
      </c>
      <c r="P1723" s="33">
        <f t="shared" si="253"/>
        <v>0</v>
      </c>
      <c r="Q1723" s="33">
        <f t="shared" si="253"/>
        <v>0</v>
      </c>
      <c r="R1723" s="33">
        <f t="shared" si="253"/>
        <v>0</v>
      </c>
      <c r="S1723" s="33">
        <f>SUM(O1723:R1723)</f>
        <v>0</v>
      </c>
      <c r="T1723" s="35" t="s">
        <v>178</v>
      </c>
      <c r="U1723" s="18" t="s">
        <v>1873</v>
      </c>
      <c r="V1723" s="18" t="str">
        <f>IF(OR($H1723="",$H1723="sif",$H1723="PM"),"",VLOOKUP($H1723,[5]CU!$C$5:$J$255,8,FALSE))</f>
        <v>3. Dépenses de fonctionnement</v>
      </c>
      <c r="W1723" s="18" t="s">
        <v>273</v>
      </c>
      <c r="X1723" s="18" t="s">
        <v>179</v>
      </c>
      <c r="Y1723" s="19" t="s">
        <v>32</v>
      </c>
      <c r="Z1723" s="18" t="str">
        <f>A1723 &amp; "-" &amp; VLOOKUP(A1723,[4]PROGRAMMES!$E$1:$F$7,2,FALSE)</f>
        <v>5-Gouvernance et pilotage du secteur</v>
      </c>
      <c r="AA1723" s="19" t="str">
        <f>B1723 &amp; "-" &amp; VLOOKUP(B1723,[4]SOUSPROGRAMMES!$E$1:$F$44,2,FALSE)</f>
        <v>55- Gestion des RH (recrutement, affectation, motivation, fidélisation, gestion de carrières…)</v>
      </c>
      <c r="AB1723" s="19" t="str">
        <f>C1723 &amp; "-" &amp; VLOOKUP(C1723,[4]RESULTATS!$E$1:$F$176,2,FALSE)</f>
        <v>555- Un plan de carrière motivant est validé et utilisé dans le cadre de la gestion des carrières</v>
      </c>
      <c r="AC1723" s="20" t="str">
        <f>D1723 &amp; "-" &amp; VLOOKUP(D1723,[4]STRATEGIES!$E$1:$F$504,2,FALSE)</f>
        <v>5554-Poursuite de la mise en œuvre du systéme de contrôle de présence des enseignants et amélioration par l'usage du telèphone portable (en lien avec le numéro vert de la DPE)</v>
      </c>
      <c r="AD1723" s="21" t="str">
        <f t="shared" si="251"/>
        <v>55544-Acquisition des téléphones portables et puces téléphoniques</v>
      </c>
    </row>
    <row r="1724" spans="1:30" s="22" customFormat="1" ht="15" hidden="1" customHeight="1" x14ac:dyDescent="0.8">
      <c r="A1724" s="14">
        <v>5</v>
      </c>
      <c r="B1724" s="15">
        <v>56</v>
      </c>
      <c r="C1724" s="15">
        <v>56</v>
      </c>
      <c r="D1724" s="15">
        <v>56</v>
      </c>
      <c r="E1724" s="15">
        <v>56</v>
      </c>
      <c r="F1724" s="16" t="s">
        <v>2181</v>
      </c>
      <c r="G1724" s="17"/>
      <c r="H1724" s="17"/>
      <c r="I1724" s="33">
        <v>0</v>
      </c>
      <c r="J1724" s="33"/>
      <c r="K1724" s="33"/>
      <c r="L1724" s="33"/>
      <c r="M1724" s="33"/>
      <c r="N1724" s="33"/>
      <c r="O1724" s="33"/>
      <c r="P1724" s="33"/>
      <c r="Q1724" s="33"/>
      <c r="R1724" s="33"/>
      <c r="S1724" s="33"/>
      <c r="T1724" s="33"/>
      <c r="U1724" s="18"/>
      <c r="V1724" s="18"/>
      <c r="W1724" s="18"/>
      <c r="X1724" s="18"/>
      <c r="Y1724" s="18"/>
      <c r="Z1724" s="18" t="str">
        <f>A1724 &amp; "-" &amp; VLOOKUP(A1724,[4]PROGRAMMES!$E$1:$F$7,2,FALSE)</f>
        <v>5-Gouvernance et pilotage du secteur</v>
      </c>
      <c r="AA1724" s="19" t="str">
        <f>B1724 &amp; "-" &amp; VLOOKUP(B1724,[4]SOUSPROGRAMMES!$E$1:$F$44,2,FALSE)</f>
        <v>56- Gestion des ressources financières</v>
      </c>
      <c r="AB1724" s="19" t="str">
        <f>C1724 &amp; "-" &amp; VLOOKUP(C1724,[4]RESULTATS!$E$1:$F$176,2,FALSE)</f>
        <v>56- Gestion des ressources financières</v>
      </c>
      <c r="AC1724" s="20" t="str">
        <f>D1724 &amp; "-" &amp; VLOOKUP(D1724,[4]STRATEGIES!$E$1:$F$504,2,FALSE)</f>
        <v>56- Gestion des ressources financières</v>
      </c>
      <c r="AD1724" s="21" t="str">
        <f t="shared" si="251"/>
        <v>56- Gestion des ressources Financières</v>
      </c>
    </row>
    <row r="1725" spans="1:30" s="22" customFormat="1" ht="30" hidden="1" customHeight="1" x14ac:dyDescent="0.8">
      <c r="A1725" s="14">
        <v>5</v>
      </c>
      <c r="B1725" s="15">
        <v>56</v>
      </c>
      <c r="C1725" s="15">
        <v>561</v>
      </c>
      <c r="D1725" s="15">
        <v>561</v>
      </c>
      <c r="E1725" s="15">
        <v>561</v>
      </c>
      <c r="F1725" s="16" t="s">
        <v>2182</v>
      </c>
      <c r="G1725" s="17"/>
      <c r="H1725" s="17"/>
      <c r="I1725" s="33">
        <v>0</v>
      </c>
      <c r="J1725" s="33"/>
      <c r="K1725" s="33"/>
      <c r="L1725" s="33"/>
      <c r="M1725" s="33"/>
      <c r="N1725" s="33"/>
      <c r="O1725" s="33"/>
      <c r="P1725" s="33"/>
      <c r="Q1725" s="33"/>
      <c r="R1725" s="33"/>
      <c r="S1725" s="33"/>
      <c r="T1725" s="33"/>
      <c r="U1725" s="18"/>
      <c r="V1725" s="18"/>
      <c r="W1725" s="18"/>
      <c r="X1725" s="18"/>
      <c r="Y1725" s="18"/>
      <c r="Z1725" s="18" t="str">
        <f>A1725 &amp; "-" &amp; VLOOKUP(A1725,[4]PROGRAMMES!$E$1:$F$7,2,FALSE)</f>
        <v>5-Gouvernance et pilotage du secteur</v>
      </c>
      <c r="AA1725" s="19" t="str">
        <f>B1725 &amp; "-" &amp; VLOOKUP(B1725,[4]SOUSPROGRAMMES!$E$1:$F$44,2,FALSE)</f>
        <v>56- Gestion des ressources financières</v>
      </c>
      <c r="AB1725" s="19" t="str">
        <f>C1725 &amp; "-" &amp; VLOOKUP(C1725,[4]RESULTATS!$E$1:$F$176,2,FALSE)</f>
        <v>561-Le financement du secteur est en adéquation avec les objectifs</v>
      </c>
      <c r="AC1725" s="20" t="str">
        <f>D1725 &amp; "-" &amp; VLOOKUP(D1725,[4]STRATEGIES!$E$1:$F$504,2,FALSE)</f>
        <v>561-Le financement du secteur est en adéquation avec les objectifs</v>
      </c>
      <c r="AD1725" s="21" t="str">
        <f t="shared" si="251"/>
        <v>561-Le Financement du secteur est en adéquation avec les objectifs</v>
      </c>
    </row>
    <row r="1726" spans="1:30" s="22" customFormat="1" ht="45" hidden="1" customHeight="1" x14ac:dyDescent="0.8">
      <c r="A1726" s="14">
        <v>5</v>
      </c>
      <c r="B1726" s="15">
        <v>56</v>
      </c>
      <c r="C1726" s="15">
        <v>561</v>
      </c>
      <c r="D1726" s="15">
        <v>5611</v>
      </c>
      <c r="E1726" s="15">
        <v>5611</v>
      </c>
      <c r="F1726" s="16" t="s">
        <v>2183</v>
      </c>
      <c r="G1726" s="17"/>
      <c r="H1726" s="17"/>
      <c r="I1726" s="33">
        <v>0</v>
      </c>
      <c r="J1726" s="33"/>
      <c r="K1726" s="33"/>
      <c r="L1726" s="33"/>
      <c r="M1726" s="33"/>
      <c r="N1726" s="33"/>
      <c r="O1726" s="33"/>
      <c r="P1726" s="33"/>
      <c r="Q1726" s="33"/>
      <c r="R1726" s="33"/>
      <c r="S1726" s="33"/>
      <c r="T1726" s="33"/>
      <c r="U1726" s="18"/>
      <c r="V1726" s="18"/>
      <c r="W1726" s="18"/>
      <c r="X1726" s="18"/>
      <c r="Y1726" s="18"/>
      <c r="Z1726" s="18" t="str">
        <f>A1726 &amp; "-" &amp; VLOOKUP(A1726,[4]PROGRAMMES!$E$1:$F$7,2,FALSE)</f>
        <v>5-Gouvernance et pilotage du secteur</v>
      </c>
      <c r="AA1726" s="19" t="str">
        <f>B1726 &amp; "-" &amp; VLOOKUP(B1726,[4]SOUSPROGRAMMES!$E$1:$F$44,2,FALSE)</f>
        <v>56- Gestion des ressources financières</v>
      </c>
      <c r="AB1726" s="19" t="str">
        <f>C1726 &amp; "-" &amp; VLOOKUP(C1726,[4]RESULTATS!$E$1:$F$176,2,FALSE)</f>
        <v>561-Le financement du secteur est en adéquation avec les objectifs</v>
      </c>
      <c r="AC1726" s="20" t="str">
        <f>D1726 &amp; "-" &amp; VLOOKUP(D1726,[4]STRATEGIES!$E$1:$F$504,2,FALSE)</f>
        <v>5611-Sessions de sensibilisation sur l’importance de l’éducation comme investissement auprès de différents publics (parlementaires, médias, communes, …)</v>
      </c>
      <c r="AD1726" s="21" t="str">
        <f t="shared" si="251"/>
        <v>5611-Sessions de sensibilisation sur l’importance de l’éducation comme investissement auprès de différents publics (parlementaires, médias, communes, …)</v>
      </c>
    </row>
    <row r="1727" spans="1:30" s="22" customFormat="1" ht="30" hidden="1" customHeight="1" x14ac:dyDescent="0.8">
      <c r="A1727" s="14">
        <v>5</v>
      </c>
      <c r="B1727" s="15">
        <v>56</v>
      </c>
      <c r="C1727" s="15">
        <v>561</v>
      </c>
      <c r="D1727" s="15">
        <v>5611</v>
      </c>
      <c r="E1727" s="15">
        <v>56111</v>
      </c>
      <c r="F1727" s="16" t="s">
        <v>2184</v>
      </c>
      <c r="G1727" s="21" t="s">
        <v>315</v>
      </c>
      <c r="H1727" s="17" t="s">
        <v>38</v>
      </c>
      <c r="I1727" s="33">
        <v>0</v>
      </c>
      <c r="J1727" s="33">
        <f>20*5</f>
        <v>100</v>
      </c>
      <c r="K1727" s="33">
        <v>0</v>
      </c>
      <c r="L1727" s="33">
        <v>0</v>
      </c>
      <c r="M1727" s="33">
        <f t="shared" si="252"/>
        <v>100</v>
      </c>
      <c r="N1727" s="33">
        <f>IF(OR(H1727="",H1727="sif",H1727="PM"),0,VLOOKUP(H1727,[5]CU!$C$4:$H$255,6,FALSE))</f>
        <v>0.3133333333333333</v>
      </c>
      <c r="O1727" s="33">
        <f t="shared" si="253"/>
        <v>0</v>
      </c>
      <c r="P1727" s="33">
        <f t="shared" si="253"/>
        <v>31.333333333333329</v>
      </c>
      <c r="Q1727" s="33">
        <f t="shared" si="253"/>
        <v>0</v>
      </c>
      <c r="R1727" s="33">
        <f t="shared" si="253"/>
        <v>0</v>
      </c>
      <c r="S1727" s="33">
        <f>SUM(O1727:R1727)</f>
        <v>31.333333333333329</v>
      </c>
      <c r="T1727" s="35" t="s">
        <v>118</v>
      </c>
      <c r="U1727" s="18" t="s">
        <v>1873</v>
      </c>
      <c r="V1727" s="18" t="str">
        <f>IF(OR($H1727="",$H1727="sif",$H1727="PM"),"",VLOOKUP($H1727,[5]CU!$C$5:$J$255,8,FALSE))</f>
        <v>3. Formation</v>
      </c>
      <c r="W1727" s="18" t="s">
        <v>521</v>
      </c>
      <c r="X1727" s="18" t="s">
        <v>1936</v>
      </c>
      <c r="Y1727" s="19" t="s">
        <v>32</v>
      </c>
      <c r="Z1727" s="18" t="str">
        <f>A1727 &amp; "-" &amp; VLOOKUP(A1727,[4]PROGRAMMES!$E$1:$F$7,2,FALSE)</f>
        <v>5-Gouvernance et pilotage du secteur</v>
      </c>
      <c r="AA1727" s="19" t="str">
        <f>B1727 &amp; "-" &amp; VLOOKUP(B1727,[4]SOUSPROGRAMMES!$E$1:$F$44,2,FALSE)</f>
        <v>56- Gestion des ressources financières</v>
      </c>
      <c r="AB1727" s="19" t="str">
        <f>C1727 &amp; "-" &amp; VLOOKUP(C1727,[4]RESULTATS!$E$1:$F$176,2,FALSE)</f>
        <v>561-Le financement du secteur est en adéquation avec les objectifs</v>
      </c>
      <c r="AC1727" s="20" t="str">
        <f>D1727 &amp; "-" &amp; VLOOKUP(D1727,[4]STRATEGIES!$E$1:$F$504,2,FALSE)</f>
        <v>5611-Sessions de sensibilisation sur l’importance de l’éducation comme investissement auprès de différents publics (parlementaires, médias, communes, …)</v>
      </c>
      <c r="AD1727" s="21" t="str">
        <f t="shared" si="251"/>
        <v>56111-DéFinition de stratégies de communication sur l’importance de l’éducation comme investissement</v>
      </c>
    </row>
    <row r="1728" spans="1:30" s="22" customFormat="1" ht="30" hidden="1" customHeight="1" x14ac:dyDescent="0.8">
      <c r="A1728" s="14">
        <v>5</v>
      </c>
      <c r="B1728" s="15">
        <v>56</v>
      </c>
      <c r="C1728" s="15">
        <v>561</v>
      </c>
      <c r="D1728" s="15">
        <v>5611</v>
      </c>
      <c r="E1728" s="15">
        <v>56112</v>
      </c>
      <c r="F1728" s="16" t="s">
        <v>2185</v>
      </c>
      <c r="G1728" s="21" t="s">
        <v>2186</v>
      </c>
      <c r="H1728" s="17" t="s">
        <v>76</v>
      </c>
      <c r="I1728" s="33">
        <v>0</v>
      </c>
      <c r="J1728" s="33">
        <v>0</v>
      </c>
      <c r="K1728" s="33">
        <v>1</v>
      </c>
      <c r="L1728" s="33">
        <v>1</v>
      </c>
      <c r="M1728" s="33">
        <f t="shared" si="252"/>
        <v>2</v>
      </c>
      <c r="N1728" s="33">
        <f>IF(OR(H1728="",H1728="sif",H1728="PM"),0,VLOOKUP(H1728,[5]CU!$C$4:$H$255,6,FALSE))</f>
        <v>45.936799999999998</v>
      </c>
      <c r="O1728" s="33">
        <f t="shared" si="253"/>
        <v>0</v>
      </c>
      <c r="P1728" s="33">
        <f t="shared" si="253"/>
        <v>0</v>
      </c>
      <c r="Q1728" s="33">
        <f t="shared" si="253"/>
        <v>45.936799999999998</v>
      </c>
      <c r="R1728" s="33">
        <f t="shared" si="253"/>
        <v>45.936799999999998</v>
      </c>
      <c r="S1728" s="33">
        <f>SUM(O1728:R1728)</f>
        <v>91.873599999999996</v>
      </c>
      <c r="T1728" s="35" t="s">
        <v>118</v>
      </c>
      <c r="U1728" s="18" t="s">
        <v>1873</v>
      </c>
      <c r="V1728" s="18" t="str">
        <f>IF(OR($H1728="",$H1728="sif",$H1728="PM"),"",VLOOKUP($H1728,[5]CU!$C$5:$J$255,8,FALSE))</f>
        <v>3. Dépenses de fonctionnement</v>
      </c>
      <c r="W1728" s="18" t="s">
        <v>1936</v>
      </c>
      <c r="X1728" s="18" t="s">
        <v>2187</v>
      </c>
      <c r="Y1728" s="19" t="s">
        <v>32</v>
      </c>
      <c r="Z1728" s="18" t="str">
        <f>A1728 &amp; "-" &amp; VLOOKUP(A1728,[4]PROGRAMMES!$E$1:$F$7,2,FALSE)</f>
        <v>5-Gouvernance et pilotage du secteur</v>
      </c>
      <c r="AA1728" s="19" t="str">
        <f>B1728 &amp; "-" &amp; VLOOKUP(B1728,[4]SOUSPROGRAMMES!$E$1:$F$44,2,FALSE)</f>
        <v>56- Gestion des ressources financières</v>
      </c>
      <c r="AB1728" s="19" t="str">
        <f>C1728 &amp; "-" &amp; VLOOKUP(C1728,[4]RESULTATS!$E$1:$F$176,2,FALSE)</f>
        <v>561-Le financement du secteur est en adéquation avec les objectifs</v>
      </c>
      <c r="AC1728" s="20" t="str">
        <f>D1728 &amp; "-" &amp; VLOOKUP(D1728,[4]STRATEGIES!$E$1:$F$504,2,FALSE)</f>
        <v>5611-Sessions de sensibilisation sur l’importance de l’éducation comme investissement auprès de différents publics (parlementaires, médias, communes, …)</v>
      </c>
      <c r="AD1728" s="21" t="str">
        <f t="shared" si="251"/>
        <v>56112-Mise en œuvre de la stratégie de communication vers le grand public</v>
      </c>
    </row>
    <row r="1729" spans="1:30" s="22" customFormat="1" ht="45" hidden="1" customHeight="1" x14ac:dyDescent="0.8">
      <c r="A1729" s="14">
        <v>5</v>
      </c>
      <c r="B1729" s="15">
        <v>56</v>
      </c>
      <c r="C1729" s="15">
        <v>561</v>
      </c>
      <c r="D1729" s="15">
        <v>5612</v>
      </c>
      <c r="E1729" s="15">
        <v>5612</v>
      </c>
      <c r="F1729" s="16" t="s">
        <v>2188</v>
      </c>
      <c r="G1729" s="17"/>
      <c r="H1729" s="17"/>
      <c r="I1729" s="33">
        <v>0</v>
      </c>
      <c r="J1729" s="33"/>
      <c r="K1729" s="33"/>
      <c r="L1729" s="33"/>
      <c r="M1729" s="33"/>
      <c r="N1729" s="33"/>
      <c r="O1729" s="33"/>
      <c r="P1729" s="33"/>
      <c r="Q1729" s="33"/>
      <c r="R1729" s="33"/>
      <c r="S1729" s="33"/>
      <c r="T1729" s="33"/>
      <c r="U1729" s="18"/>
      <c r="V1729" s="18"/>
      <c r="W1729" s="18"/>
      <c r="X1729" s="18"/>
      <c r="Y1729" s="18"/>
      <c r="Z1729" s="18" t="str">
        <f>A1729 &amp; "-" &amp; VLOOKUP(A1729,[4]PROGRAMMES!$E$1:$F$7,2,FALSE)</f>
        <v>5-Gouvernance et pilotage du secteur</v>
      </c>
      <c r="AA1729" s="19" t="str">
        <f>B1729 &amp; "-" &amp; VLOOKUP(B1729,[4]SOUSPROGRAMMES!$E$1:$F$44,2,FALSE)</f>
        <v>56- Gestion des ressources financières</v>
      </c>
      <c r="AB1729" s="19" t="str">
        <f>C1729 &amp; "-" &amp; VLOOKUP(C1729,[4]RESULTATS!$E$1:$F$176,2,FALSE)</f>
        <v>561-Le financement du secteur est en adéquation avec les objectifs</v>
      </c>
      <c r="AC1729" s="20" t="str">
        <f>D1729 &amp; "-" &amp; VLOOKUP(D1729,[4]STRATEGIES!$E$1:$F$504,2,FALSE)</f>
        <v>5612-Développement de stratégies allant dans le sens de la mobilisation des financements innovants auprès des acteurs économiques</v>
      </c>
      <c r="AD1729" s="21" t="str">
        <f t="shared" si="251"/>
        <v>5612-Développement de stratégies allant dans le sens de la mobilisation des Financements innovants auprès des acteurs économiques</v>
      </c>
    </row>
    <row r="1730" spans="1:30" s="22" customFormat="1" ht="30" hidden="1" customHeight="1" x14ac:dyDescent="0.8">
      <c r="A1730" s="14">
        <v>5</v>
      </c>
      <c r="B1730" s="15">
        <v>56</v>
      </c>
      <c r="C1730" s="15">
        <v>561</v>
      </c>
      <c r="D1730" s="15">
        <v>5612</v>
      </c>
      <c r="E1730" s="15">
        <v>56121</v>
      </c>
      <c r="F1730" s="16" t="s">
        <v>2189</v>
      </c>
      <c r="G1730" s="21" t="s">
        <v>315</v>
      </c>
      <c r="H1730" s="17" t="s">
        <v>38</v>
      </c>
      <c r="I1730" s="33">
        <v>0</v>
      </c>
      <c r="J1730" s="33">
        <f>45*2*3</f>
        <v>270</v>
      </c>
      <c r="K1730" s="33">
        <v>0</v>
      </c>
      <c r="L1730" s="33">
        <f>45*2*3</f>
        <v>270</v>
      </c>
      <c r="M1730" s="33">
        <f t="shared" si="252"/>
        <v>540</v>
      </c>
      <c r="N1730" s="33">
        <f>IF(OR(H1730="",H1730="sif",H1730="PM"),0,VLOOKUP(H1730,[5]CU!$C$4:$H$255,6,FALSE))</f>
        <v>0.3133333333333333</v>
      </c>
      <c r="O1730" s="33">
        <f t="shared" si="253"/>
        <v>0</v>
      </c>
      <c r="P1730" s="33">
        <f t="shared" si="253"/>
        <v>84.6</v>
      </c>
      <c r="Q1730" s="33">
        <f t="shared" si="253"/>
        <v>0</v>
      </c>
      <c r="R1730" s="33">
        <f t="shared" si="253"/>
        <v>84.6</v>
      </c>
      <c r="S1730" s="33">
        <f>SUM(O1730:R1730)</f>
        <v>169.2</v>
      </c>
      <c r="T1730" s="35" t="s">
        <v>118</v>
      </c>
      <c r="U1730" s="18" t="s">
        <v>1873</v>
      </c>
      <c r="V1730" s="18" t="str">
        <f>IF(OR($H1730="",$H1730="sif",$H1730="PM"),"",VLOOKUP($H1730,[5]CU!$C$5:$J$255,8,FALSE))</f>
        <v>3. Formation</v>
      </c>
      <c r="W1730" s="18" t="s">
        <v>1936</v>
      </c>
      <c r="X1730" s="18" t="s">
        <v>1936</v>
      </c>
      <c r="Y1730" s="18" t="s">
        <v>677</v>
      </c>
      <c r="Z1730" s="18" t="str">
        <f>A1730 &amp; "-" &amp; VLOOKUP(A1730,[4]PROGRAMMES!$E$1:$F$7,2,FALSE)</f>
        <v>5-Gouvernance et pilotage du secteur</v>
      </c>
      <c r="AA1730" s="19" t="str">
        <f>B1730 &amp; "-" &amp; VLOOKUP(B1730,[4]SOUSPROGRAMMES!$E$1:$F$44,2,FALSE)</f>
        <v>56- Gestion des ressources financières</v>
      </c>
      <c r="AB1730" s="19" t="str">
        <f>C1730 &amp; "-" &amp; VLOOKUP(C1730,[4]RESULTATS!$E$1:$F$176,2,FALSE)</f>
        <v>561-Le financement du secteur est en adéquation avec les objectifs</v>
      </c>
      <c r="AC1730" s="20" t="str">
        <f>D1730 &amp; "-" &amp; VLOOKUP(D1730,[4]STRATEGIES!$E$1:$F$504,2,FALSE)</f>
        <v>5612-Développement de stratégies allant dans le sens de la mobilisation des financements innovants auprès des acteurs économiques</v>
      </c>
      <c r="AD1730" s="21" t="str">
        <f t="shared" si="251"/>
        <v>56121-Organisation des sessions de concertation avec les acteurs économiques (sociétés minières, banques, téléphonies…)</v>
      </c>
    </row>
    <row r="1731" spans="1:30" s="22" customFormat="1" ht="30" hidden="1" customHeight="1" x14ac:dyDescent="0.8">
      <c r="A1731" s="14">
        <v>5</v>
      </c>
      <c r="B1731" s="15">
        <v>56</v>
      </c>
      <c r="C1731" s="15">
        <v>561</v>
      </c>
      <c r="D1731" s="15">
        <v>5612</v>
      </c>
      <c r="E1731" s="15">
        <v>56122</v>
      </c>
      <c r="F1731" s="16" t="s">
        <v>2190</v>
      </c>
      <c r="G1731" s="21" t="s">
        <v>88</v>
      </c>
      <c r="H1731" s="17" t="s">
        <v>55</v>
      </c>
      <c r="I1731" s="33">
        <v>0</v>
      </c>
      <c r="J1731" s="33">
        <v>0</v>
      </c>
      <c r="K1731" s="33">
        <v>0</v>
      </c>
      <c r="L1731" s="33">
        <v>0</v>
      </c>
      <c r="M1731" s="33"/>
      <c r="N1731" s="33">
        <f>IF(OR(H1731="",H1731="sif",H1731="PM"),0,VLOOKUP(H1731,[5]CU!$C$4:$H$255,6,FALSE))</f>
        <v>0</v>
      </c>
      <c r="O1731" s="33"/>
      <c r="P1731" s="33"/>
      <c r="Q1731" s="33"/>
      <c r="R1731" s="33"/>
      <c r="S1731" s="33"/>
      <c r="T1731" s="35" t="s">
        <v>56</v>
      </c>
      <c r="U1731" s="18" t="s">
        <v>1873</v>
      </c>
      <c r="V1731" s="18" t="str">
        <f>IF(OR($H1731="",$H1731="sif",$H1731="PM"),"",VLOOKUP($H1731,[5]CU!$C$5:$J$255,8,FALSE))</f>
        <v/>
      </c>
      <c r="W1731" s="18" t="s">
        <v>96</v>
      </c>
      <c r="X1731" s="18" t="s">
        <v>96</v>
      </c>
      <c r="Y1731" s="18" t="s">
        <v>679</v>
      </c>
      <c r="Z1731" s="18" t="str">
        <f>A1731 &amp; "-" &amp; VLOOKUP(A1731,[4]PROGRAMMES!$E$1:$F$7,2,FALSE)</f>
        <v>5-Gouvernance et pilotage du secteur</v>
      </c>
      <c r="AA1731" s="19" t="str">
        <f>B1731 &amp; "-" &amp; VLOOKUP(B1731,[4]SOUSPROGRAMMES!$E$1:$F$44,2,FALSE)</f>
        <v>56- Gestion des ressources financières</v>
      </c>
      <c r="AB1731" s="19" t="str">
        <f>C1731 &amp; "-" &amp; VLOOKUP(C1731,[4]RESULTATS!$E$1:$F$176,2,FALSE)</f>
        <v>561-Le financement du secteur est en adéquation avec les objectifs</v>
      </c>
      <c r="AC1731" s="20" t="str">
        <f>D1731 &amp; "-" &amp; VLOOKUP(D1731,[4]STRATEGIES!$E$1:$F$504,2,FALSE)</f>
        <v>5612-Développement de stratégies allant dans le sens de la mobilisation des financements innovants auprès des acteurs économiques</v>
      </c>
      <c r="AD1731" s="21" t="str">
        <f t="shared" si="251"/>
        <v>56122-Développement de projet de partenariat public privé au supérieur et à la formation professionnelle</v>
      </c>
    </row>
    <row r="1732" spans="1:30" s="22" customFormat="1" ht="30" hidden="1" customHeight="1" x14ac:dyDescent="0.8">
      <c r="A1732" s="14">
        <v>5</v>
      </c>
      <c r="B1732" s="15">
        <v>56</v>
      </c>
      <c r="C1732" s="15">
        <v>561</v>
      </c>
      <c r="D1732" s="15">
        <v>5612</v>
      </c>
      <c r="E1732" s="15">
        <v>56123</v>
      </c>
      <c r="F1732" s="16" t="s">
        <v>2191</v>
      </c>
      <c r="G1732" s="21" t="s">
        <v>88</v>
      </c>
      <c r="H1732" s="17" t="s">
        <v>55</v>
      </c>
      <c r="I1732" s="33">
        <v>0</v>
      </c>
      <c r="J1732" s="33">
        <v>1</v>
      </c>
      <c r="K1732" s="33">
        <v>1</v>
      </c>
      <c r="L1732" s="33">
        <v>1</v>
      </c>
      <c r="M1732" s="33">
        <f t="shared" ref="M1732:M1808" si="255">SUM(I1732:L1732)</f>
        <v>3</v>
      </c>
      <c r="N1732" s="33">
        <f>IF(OR(H1732="",H1732="sif",H1732="PM"),0,VLOOKUP(H1732,[5]CU!$C$4:$H$255,6,FALSE))</f>
        <v>0</v>
      </c>
      <c r="O1732" s="33">
        <f>IFERROR($N1732*I1732,0)</f>
        <v>0</v>
      </c>
      <c r="P1732" s="33">
        <f>IFERROR($N1732*J1732,0)</f>
        <v>0</v>
      </c>
      <c r="Q1732" s="33">
        <f>IFERROR($N1732*K1732,0)</f>
        <v>0</v>
      </c>
      <c r="R1732" s="33">
        <f>IFERROR($N1732*L1732,0)</f>
        <v>0</v>
      </c>
      <c r="S1732" s="33"/>
      <c r="T1732" s="35" t="s">
        <v>56</v>
      </c>
      <c r="U1732" s="18" t="s">
        <v>1873</v>
      </c>
      <c r="V1732" s="18" t="str">
        <f>IF(OR($H1732="",$H1732="sif",$H1732="PM"),"",VLOOKUP($H1732,[5]CU!$C$5:$J$255,8,FALSE))</f>
        <v/>
      </c>
      <c r="W1732" s="18" t="s">
        <v>1936</v>
      </c>
      <c r="X1732" s="18" t="s">
        <v>1936</v>
      </c>
      <c r="Y1732" s="19" t="s">
        <v>32</v>
      </c>
      <c r="Z1732" s="18" t="str">
        <f>A1732 &amp; "-" &amp; VLOOKUP(A1732,[4]PROGRAMMES!$E$1:$F$7,2,FALSE)</f>
        <v>5-Gouvernance et pilotage du secteur</v>
      </c>
      <c r="AA1732" s="19" t="str">
        <f>B1732 &amp; "-" &amp; VLOOKUP(B1732,[4]SOUSPROGRAMMES!$E$1:$F$44,2,FALSE)</f>
        <v>56- Gestion des ressources financières</v>
      </c>
      <c r="AB1732" s="19" t="str">
        <f>C1732 &amp; "-" &amp; VLOOKUP(C1732,[4]RESULTATS!$E$1:$F$176,2,FALSE)</f>
        <v>561-Le financement du secteur est en adéquation avec les objectifs</v>
      </c>
      <c r="AC1732" s="20" t="str">
        <f>D1732 &amp; "-" &amp; VLOOKUP(D1732,[4]STRATEGIES!$E$1:$F$504,2,FALSE)</f>
        <v>5612-Développement de stratégies allant dans le sens de la mobilisation des financements innovants auprès des acteurs économiques</v>
      </c>
      <c r="AD1732" s="21" t="str">
        <f t="shared" ref="AD1732:AD1795" si="256">E1732 &amp; "-" &amp; F1732</f>
        <v>56123-Suivi des intentions de Financement</v>
      </c>
    </row>
    <row r="1733" spans="1:30" s="22" customFormat="1" ht="45" hidden="1" customHeight="1" x14ac:dyDescent="0.8">
      <c r="A1733" s="14">
        <v>5</v>
      </c>
      <c r="B1733" s="15">
        <v>56</v>
      </c>
      <c r="C1733" s="15">
        <v>561</v>
      </c>
      <c r="D1733" s="15">
        <v>5613</v>
      </c>
      <c r="E1733" s="15">
        <v>5613</v>
      </c>
      <c r="F1733" s="16" t="s">
        <v>2192</v>
      </c>
      <c r="G1733" s="17"/>
      <c r="H1733" s="17"/>
      <c r="I1733" s="33">
        <v>0</v>
      </c>
      <c r="J1733" s="33"/>
      <c r="K1733" s="33"/>
      <c r="L1733" s="33"/>
      <c r="M1733" s="33"/>
      <c r="N1733" s="33"/>
      <c r="O1733" s="33"/>
      <c r="P1733" s="33"/>
      <c r="Q1733" s="33"/>
      <c r="R1733" s="33"/>
      <c r="S1733" s="33"/>
      <c r="T1733" s="33"/>
      <c r="U1733" s="18"/>
      <c r="V1733" s="18"/>
      <c r="W1733" s="18"/>
      <c r="X1733" s="18"/>
      <c r="Y1733" s="18"/>
      <c r="Z1733" s="18" t="str">
        <f>A1733 &amp; "-" &amp; VLOOKUP(A1733,[4]PROGRAMMES!$E$1:$F$7,2,FALSE)</f>
        <v>5-Gouvernance et pilotage du secteur</v>
      </c>
      <c r="AA1733" s="19" t="str">
        <f>B1733 &amp; "-" &amp; VLOOKUP(B1733,[4]SOUSPROGRAMMES!$E$1:$F$44,2,FALSE)</f>
        <v>56- Gestion des ressources financières</v>
      </c>
      <c r="AB1733" s="19" t="str">
        <f>C1733 &amp; "-" &amp; VLOOKUP(C1733,[4]RESULTATS!$E$1:$F$176,2,FALSE)</f>
        <v>561-Le financement du secteur est en adéquation avec les objectifs</v>
      </c>
      <c r="AC1733" s="20" t="str">
        <f>D1733 &amp; "-" &amp; VLOOKUP(D1733,[4]STRATEGIES!$E$1:$F$504,2,FALSE)</f>
        <v>5613-Préparation des documents de plaidoyer auprès des hauts décideurs pour l’accroissement de la part du secteur de l’éducation dans le budget de l’état</v>
      </c>
      <c r="AD1733" s="21" t="str">
        <f t="shared" si="256"/>
        <v>5613-Préparation des documents de plaidoyer auprès des hauts décideurs pour l’accroissement de la part du secteur de l’éducation dans le budget de l’état</v>
      </c>
    </row>
    <row r="1734" spans="1:30" s="22" customFormat="1" ht="45" hidden="1" customHeight="1" x14ac:dyDescent="0.8">
      <c r="A1734" s="14">
        <v>5</v>
      </c>
      <c r="B1734" s="15">
        <v>56</v>
      </c>
      <c r="C1734" s="15">
        <v>561</v>
      </c>
      <c r="D1734" s="15">
        <v>5613</v>
      </c>
      <c r="E1734" s="15">
        <v>56131</v>
      </c>
      <c r="F1734" s="16" t="s">
        <v>2193</v>
      </c>
      <c r="G1734" s="21" t="s">
        <v>315</v>
      </c>
      <c r="H1734" s="17" t="s">
        <v>301</v>
      </c>
      <c r="I1734" s="33">
        <v>0</v>
      </c>
      <c r="J1734" s="33">
        <f>32*6</f>
        <v>192</v>
      </c>
      <c r="K1734" s="33">
        <f>30*6</f>
        <v>180</v>
      </c>
      <c r="L1734" s="33"/>
      <c r="M1734" s="33">
        <f t="shared" si="255"/>
        <v>372</v>
      </c>
      <c r="N1734" s="33">
        <f>IF(OR(H1734="",H1734="sif",H1734="PM"),0,VLOOKUP(H1734,[5]CU!$C$4:$H$255,6,FALSE))</f>
        <v>0.67666666666666664</v>
      </c>
      <c r="O1734" s="33">
        <f t="shared" ref="O1734:R1749" si="257">IFERROR($N1734*I1734,0)</f>
        <v>0</v>
      </c>
      <c r="P1734" s="33">
        <f t="shared" si="257"/>
        <v>129.91999999999999</v>
      </c>
      <c r="Q1734" s="33">
        <f t="shared" si="257"/>
        <v>121.8</v>
      </c>
      <c r="R1734" s="33">
        <f t="shared" si="257"/>
        <v>0</v>
      </c>
      <c r="S1734" s="33">
        <f t="shared" ref="S1734:S1759" si="258">SUM(O1734:R1734)</f>
        <v>251.71999999999997</v>
      </c>
      <c r="T1734" s="35" t="s">
        <v>118</v>
      </c>
      <c r="U1734" s="18" t="s">
        <v>1873</v>
      </c>
      <c r="V1734" s="18" t="str">
        <f>IF(OR($H1734="",$H1734="sif",$H1734="PM"),"",VLOOKUP($H1734,[5]CU!$C$5:$J$255,8,FALSE))</f>
        <v>3. Formation</v>
      </c>
      <c r="W1734" s="18" t="s">
        <v>1936</v>
      </c>
      <c r="X1734" s="18" t="s">
        <v>1936</v>
      </c>
      <c r="Y1734" s="19" t="s">
        <v>32</v>
      </c>
      <c r="Z1734" s="18" t="str">
        <f>A1734 &amp; "-" &amp; VLOOKUP(A1734,[4]PROGRAMMES!$E$1:$F$7,2,FALSE)</f>
        <v>5-Gouvernance et pilotage du secteur</v>
      </c>
      <c r="AA1734" s="19" t="str">
        <f>B1734 &amp; "-" &amp; VLOOKUP(B1734,[4]SOUSPROGRAMMES!$E$1:$F$44,2,FALSE)</f>
        <v>56- Gestion des ressources financières</v>
      </c>
      <c r="AB1734" s="19" t="str">
        <f>C1734 &amp; "-" &amp; VLOOKUP(C1734,[4]RESULTATS!$E$1:$F$176,2,FALSE)</f>
        <v>561-Le financement du secteur est en adéquation avec les objectifs</v>
      </c>
      <c r="AC1734" s="20" t="str">
        <f>D1734 &amp; "-" &amp; VLOOKUP(D1734,[4]STRATEGIES!$E$1:$F$504,2,FALSE)</f>
        <v>5613-Préparation des documents de plaidoyer auprès des hauts décideurs pour l’accroissement de la part du secteur de l’éducation dans le budget de l’état</v>
      </c>
      <c r="AD1734" s="21" t="str">
        <f t="shared" si="256"/>
        <v>56131-Formation et partage des outils d'actualisation du CDMT avec les BSD, les Services Financiers au niveau central et déconcentrés du Secteur</v>
      </c>
    </row>
    <row r="1735" spans="1:30" s="22" customFormat="1" ht="30" hidden="1" customHeight="1" x14ac:dyDescent="0.8">
      <c r="A1735" s="14">
        <v>5</v>
      </c>
      <c r="B1735" s="15">
        <v>56</v>
      </c>
      <c r="C1735" s="15">
        <v>561</v>
      </c>
      <c r="D1735" s="15">
        <v>5613</v>
      </c>
      <c r="E1735" s="15">
        <v>56132</v>
      </c>
      <c r="F1735" s="16" t="s">
        <v>2194</v>
      </c>
      <c r="G1735" s="21" t="s">
        <v>315</v>
      </c>
      <c r="H1735" s="17" t="s">
        <v>66</v>
      </c>
      <c r="I1735" s="33">
        <v>0</v>
      </c>
      <c r="J1735" s="33"/>
      <c r="K1735" s="33"/>
      <c r="L1735" s="33"/>
      <c r="M1735" s="33">
        <f>SUM(I1735:L1735)</f>
        <v>0</v>
      </c>
      <c r="N1735" s="33">
        <f>IF(OR(H1735="",H1735="sif",H1735="PM"),0,VLOOKUP(H1735,[5]CU!$C$4:$H$255,6,FALSE))</f>
        <v>0.255</v>
      </c>
      <c r="O1735" s="33">
        <f t="shared" si="257"/>
        <v>0</v>
      </c>
      <c r="P1735" s="33">
        <f t="shared" si="257"/>
        <v>0</v>
      </c>
      <c r="Q1735" s="33">
        <f t="shared" si="257"/>
        <v>0</v>
      </c>
      <c r="R1735" s="33">
        <f t="shared" si="257"/>
        <v>0</v>
      </c>
      <c r="S1735" s="33">
        <f>SUM(O1735:R1735)</f>
        <v>0</v>
      </c>
      <c r="T1735" s="35" t="s">
        <v>178</v>
      </c>
      <c r="U1735" s="18" t="s">
        <v>1873</v>
      </c>
      <c r="V1735" s="18" t="str">
        <f>IF(OR($H1735="",$H1735="sif",$H1735="PM"),"",VLOOKUP($H1735,[5]CU!$C$5:$J$255,8,FALSE))</f>
        <v>3. Dépenses de fonctionnement</v>
      </c>
      <c r="W1735" s="18" t="s">
        <v>1936</v>
      </c>
      <c r="X1735" s="18" t="s">
        <v>1936</v>
      </c>
      <c r="Y1735" s="19" t="s">
        <v>32</v>
      </c>
      <c r="Z1735" s="18" t="str">
        <f>A1735 &amp; "-" &amp; VLOOKUP(A1735,[4]PROGRAMMES!$E$1:$F$7,2,FALSE)</f>
        <v>5-Gouvernance et pilotage du secteur</v>
      </c>
      <c r="AA1735" s="19" t="str">
        <f>B1735 &amp; "-" &amp; VLOOKUP(B1735,[4]SOUSPROGRAMMES!$E$1:$F$44,2,FALSE)</f>
        <v>56- Gestion des ressources financières</v>
      </c>
      <c r="AB1735" s="19" t="str">
        <f>C1735 &amp; "-" &amp; VLOOKUP(C1735,[4]RESULTATS!$E$1:$F$176,2,FALSE)</f>
        <v>561-Le financement du secteur est en adéquation avec les objectifs</v>
      </c>
      <c r="AC1735" s="20" t="str">
        <f>D1735 &amp; "-" &amp; VLOOKUP(D1735,[4]STRATEGIES!$E$1:$F$504,2,FALSE)</f>
        <v>5613-Préparation des documents de plaidoyer auprès des hauts décideurs pour l’accroissement de la part du secteur de l’éducation dans le budget de l’état</v>
      </c>
      <c r="AD1735" s="21" t="str">
        <f t="shared" si="256"/>
        <v xml:space="preserve">56132-Elaboration du document CDMT </v>
      </c>
    </row>
    <row r="1736" spans="1:30" ht="30" hidden="1" customHeight="1" x14ac:dyDescent="0.8">
      <c r="A1736" s="25">
        <v>5</v>
      </c>
      <c r="B1736" s="16">
        <v>56</v>
      </c>
      <c r="C1736" s="16">
        <v>561</v>
      </c>
      <c r="D1736" s="16">
        <v>5613</v>
      </c>
      <c r="E1736" s="16">
        <v>56132</v>
      </c>
      <c r="F1736" s="16" t="s">
        <v>2194</v>
      </c>
      <c r="G1736" s="21" t="s">
        <v>315</v>
      </c>
      <c r="H1736" s="21" t="s">
        <v>66</v>
      </c>
      <c r="I1736" s="36">
        <v>0</v>
      </c>
      <c r="J1736" s="36">
        <f>20*6</f>
        <v>120</v>
      </c>
      <c r="K1736" s="36">
        <f>20*6</f>
        <v>120</v>
      </c>
      <c r="L1736" s="36">
        <f>20*6</f>
        <v>120</v>
      </c>
      <c r="M1736" s="36">
        <f t="shared" si="255"/>
        <v>360</v>
      </c>
      <c r="N1736" s="36">
        <f>IF(OR(H1736="",H1736="sif",H1736="PM"),0,VLOOKUP(H1736,[5]CU!$C$4:$H$255,6,FALSE))</f>
        <v>0.255</v>
      </c>
      <c r="O1736" s="36">
        <f t="shared" si="257"/>
        <v>0</v>
      </c>
      <c r="P1736" s="36">
        <f t="shared" si="257"/>
        <v>30.6</v>
      </c>
      <c r="Q1736" s="36">
        <f t="shared" si="257"/>
        <v>30.6</v>
      </c>
      <c r="R1736" s="36">
        <f t="shared" si="257"/>
        <v>30.6</v>
      </c>
      <c r="S1736" s="36">
        <f t="shared" si="258"/>
        <v>91.800000000000011</v>
      </c>
      <c r="T1736" s="38" t="s">
        <v>169</v>
      </c>
      <c r="U1736" s="19" t="s">
        <v>1873</v>
      </c>
      <c r="V1736" s="19" t="str">
        <f>IF(OR($H1736="",$H1736="sif",$H1736="PM"),"",VLOOKUP($H1736,[5]CU!$C$5:$J$255,8,FALSE))</f>
        <v>3. Dépenses de fonctionnement</v>
      </c>
      <c r="W1736" s="19" t="s">
        <v>1939</v>
      </c>
      <c r="X1736" s="19" t="s">
        <v>1939</v>
      </c>
      <c r="Y1736" s="19" t="s">
        <v>32</v>
      </c>
      <c r="Z1736" s="19" t="str">
        <f>A1736 &amp; "-" &amp; VLOOKUP(A1736,[4]PROGRAMMES!$E$1:$F$7,2,FALSE)</f>
        <v>5-Gouvernance et pilotage du secteur</v>
      </c>
      <c r="AA1736" s="19" t="str">
        <f>B1736 &amp; "-" &amp; VLOOKUP(B1736,[4]SOUSPROGRAMMES!$E$1:$F$44,2,FALSE)</f>
        <v>56- Gestion des ressources financières</v>
      </c>
      <c r="AB1736" s="19" t="str">
        <f>C1736 &amp; "-" &amp; VLOOKUP(C1736,[4]RESULTATS!$E$1:$F$176,2,FALSE)</f>
        <v>561-Le financement du secteur est en adéquation avec les objectifs</v>
      </c>
      <c r="AC1736" s="20" t="str">
        <f>D1736 &amp; "-" &amp; VLOOKUP(D1736,[4]STRATEGIES!$E$1:$F$504,2,FALSE)</f>
        <v>5613-Préparation des documents de plaidoyer auprès des hauts décideurs pour l’accroissement de la part du secteur de l’éducation dans le budget de l’état</v>
      </c>
      <c r="AD1736" s="21" t="str">
        <f t="shared" si="256"/>
        <v xml:space="preserve">56132-Elaboration du document CDMT </v>
      </c>
    </row>
    <row r="1737" spans="1:30" s="22" customFormat="1" ht="30" hidden="1" customHeight="1" x14ac:dyDescent="0.8">
      <c r="A1737" s="14">
        <v>5</v>
      </c>
      <c r="B1737" s="15">
        <v>56</v>
      </c>
      <c r="C1737" s="15">
        <v>561</v>
      </c>
      <c r="D1737" s="15">
        <v>5613</v>
      </c>
      <c r="E1737" s="15">
        <v>56133</v>
      </c>
      <c r="F1737" s="16" t="s">
        <v>2195</v>
      </c>
      <c r="G1737" s="21" t="s">
        <v>315</v>
      </c>
      <c r="H1737" s="17" t="s">
        <v>66</v>
      </c>
      <c r="I1737" s="33">
        <v>0</v>
      </c>
      <c r="J1737" s="33"/>
      <c r="K1737" s="33"/>
      <c r="L1737" s="33"/>
      <c r="M1737" s="33">
        <f>SUM(I1737:L1737)</f>
        <v>0</v>
      </c>
      <c r="N1737" s="33">
        <f>IF(OR(H1737="",H1737="sif",H1737="PM"),0,VLOOKUP(H1737,[5]CU!$C$4:$H$255,6,FALSE))</f>
        <v>0.255</v>
      </c>
      <c r="O1737" s="33">
        <f t="shared" si="257"/>
        <v>0</v>
      </c>
      <c r="P1737" s="33">
        <f t="shared" si="257"/>
        <v>0</v>
      </c>
      <c r="Q1737" s="33">
        <f t="shared" si="257"/>
        <v>0</v>
      </c>
      <c r="R1737" s="33">
        <f t="shared" si="257"/>
        <v>0</v>
      </c>
      <c r="S1737" s="33">
        <f>SUM(O1737:R1737)</f>
        <v>0</v>
      </c>
      <c r="T1737" s="35" t="s">
        <v>178</v>
      </c>
      <c r="U1737" s="18" t="s">
        <v>1873</v>
      </c>
      <c r="V1737" s="18" t="str">
        <f>IF(OR($H1737="",$H1737="sif",$H1737="PM"),"",VLOOKUP($H1737,[5]CU!$C$5:$J$255,8,FALSE))</f>
        <v>3. Dépenses de fonctionnement</v>
      </c>
      <c r="W1737" s="18" t="s">
        <v>1936</v>
      </c>
      <c r="X1737" s="18" t="s">
        <v>1936</v>
      </c>
      <c r="Y1737" s="19" t="s">
        <v>32</v>
      </c>
      <c r="Z1737" s="18" t="str">
        <f>A1737 &amp; "-" &amp; VLOOKUP(A1737,[4]PROGRAMMES!$E$1:$F$7,2,FALSE)</f>
        <v>5-Gouvernance et pilotage du secteur</v>
      </c>
      <c r="AA1737" s="19" t="str">
        <f>B1737 &amp; "-" &amp; VLOOKUP(B1737,[4]SOUSPROGRAMMES!$E$1:$F$44,2,FALSE)</f>
        <v>56- Gestion des ressources financières</v>
      </c>
      <c r="AB1737" s="19" t="str">
        <f>C1737 &amp; "-" &amp; VLOOKUP(C1737,[4]RESULTATS!$E$1:$F$176,2,FALSE)</f>
        <v>561-Le financement du secteur est en adéquation avec les objectifs</v>
      </c>
      <c r="AC1737" s="20" t="str">
        <f>D1737 &amp; "-" &amp; VLOOKUP(D1737,[4]STRATEGIES!$E$1:$F$504,2,FALSE)</f>
        <v>5613-Préparation des documents de plaidoyer auprès des hauts décideurs pour l’accroissement de la part du secteur de l’éducation dans le budget de l’état</v>
      </c>
      <c r="AD1737" s="21" t="str">
        <f t="shared" si="256"/>
        <v>56133-Mise à jour du document CDMT après conférence budgétaire</v>
      </c>
    </row>
    <row r="1738" spans="1:30" s="22" customFormat="1" ht="30" hidden="1" customHeight="1" x14ac:dyDescent="0.8">
      <c r="A1738" s="14">
        <v>5</v>
      </c>
      <c r="B1738" s="15">
        <v>56</v>
      </c>
      <c r="C1738" s="15">
        <v>561</v>
      </c>
      <c r="D1738" s="15">
        <v>5613</v>
      </c>
      <c r="E1738" s="15">
        <v>56133</v>
      </c>
      <c r="F1738" s="16" t="s">
        <v>2195</v>
      </c>
      <c r="G1738" s="21" t="s">
        <v>315</v>
      </c>
      <c r="H1738" s="17" t="s">
        <v>66</v>
      </c>
      <c r="I1738" s="33">
        <v>0</v>
      </c>
      <c r="J1738" s="33"/>
      <c r="K1738" s="33"/>
      <c r="L1738" s="33"/>
      <c r="M1738" s="33">
        <f t="shared" si="255"/>
        <v>0</v>
      </c>
      <c r="N1738" s="33">
        <f>IF(OR(H1738="",H1738="sif",H1738="PM"),0,VLOOKUP(H1738,[5]CU!$C$4:$H$255,6,FALSE))</f>
        <v>0.255</v>
      </c>
      <c r="O1738" s="33">
        <f t="shared" si="257"/>
        <v>0</v>
      </c>
      <c r="P1738" s="33">
        <f t="shared" si="257"/>
        <v>0</v>
      </c>
      <c r="Q1738" s="33">
        <f t="shared" si="257"/>
        <v>0</v>
      </c>
      <c r="R1738" s="33">
        <f t="shared" si="257"/>
        <v>0</v>
      </c>
      <c r="S1738" s="33">
        <f t="shared" si="258"/>
        <v>0</v>
      </c>
      <c r="T1738" s="35" t="s">
        <v>178</v>
      </c>
      <c r="U1738" s="18" t="s">
        <v>1873</v>
      </c>
      <c r="V1738" s="18" t="str">
        <f>IF(OR($H1738="",$H1738="sif",$H1738="PM"),"",VLOOKUP($H1738,[5]CU!$C$5:$J$255,8,FALSE))</f>
        <v>3. Dépenses de fonctionnement</v>
      </c>
      <c r="W1738" s="18" t="s">
        <v>1936</v>
      </c>
      <c r="X1738" s="18" t="s">
        <v>1936</v>
      </c>
      <c r="Y1738" s="19" t="s">
        <v>32</v>
      </c>
      <c r="Z1738" s="18" t="str">
        <f>A1738 &amp; "-" &amp; VLOOKUP(A1738,[4]PROGRAMMES!$E$1:$F$7,2,FALSE)</f>
        <v>5-Gouvernance et pilotage du secteur</v>
      </c>
      <c r="AA1738" s="19" t="str">
        <f>B1738 &amp; "-" &amp; VLOOKUP(B1738,[4]SOUSPROGRAMMES!$E$1:$F$44,2,FALSE)</f>
        <v>56- Gestion des ressources financières</v>
      </c>
      <c r="AB1738" s="19" t="str">
        <f>C1738 &amp; "-" &amp; VLOOKUP(C1738,[4]RESULTATS!$E$1:$F$176,2,FALSE)</f>
        <v>561-Le financement du secteur est en adéquation avec les objectifs</v>
      </c>
      <c r="AC1738" s="20" t="str">
        <f>D1738 &amp; "-" &amp; VLOOKUP(D1738,[4]STRATEGIES!$E$1:$F$504,2,FALSE)</f>
        <v>5613-Préparation des documents de plaidoyer auprès des hauts décideurs pour l’accroissement de la part du secteur de l’éducation dans le budget de l’état</v>
      </c>
      <c r="AD1738" s="21" t="str">
        <f t="shared" si="256"/>
        <v>56133-Mise à jour du document CDMT après conférence budgétaire</v>
      </c>
    </row>
    <row r="1739" spans="1:30" ht="30" hidden="1" customHeight="1" x14ac:dyDescent="0.8">
      <c r="A1739" s="25">
        <v>5</v>
      </c>
      <c r="B1739" s="16">
        <v>56</v>
      </c>
      <c r="C1739" s="16">
        <v>561</v>
      </c>
      <c r="D1739" s="16">
        <v>5613</v>
      </c>
      <c r="E1739" s="16">
        <v>56134</v>
      </c>
      <c r="F1739" s="16" t="s">
        <v>2196</v>
      </c>
      <c r="G1739" s="21" t="s">
        <v>315</v>
      </c>
      <c r="H1739" s="21" t="s">
        <v>66</v>
      </c>
      <c r="I1739" s="36">
        <v>0</v>
      </c>
      <c r="J1739" s="36">
        <f>(15*6)*33.41%</f>
        <v>30.068999999999996</v>
      </c>
      <c r="K1739" s="36">
        <f>(15*6)*33.41%</f>
        <v>30.068999999999996</v>
      </c>
      <c r="L1739" s="36">
        <f>(15*6)*33.41%</f>
        <v>30.068999999999996</v>
      </c>
      <c r="M1739" s="36">
        <f>SUM(I1739:L1739)</f>
        <v>90.206999999999994</v>
      </c>
      <c r="N1739" s="36">
        <f>IF(OR(H1739="",H1739="sif",H1739="PM"),0,VLOOKUP(H1739,[5]CU!$C$4:$H$255,6,FALSE))</f>
        <v>0.255</v>
      </c>
      <c r="O1739" s="36">
        <f>IFERROR($N1739*I1739,0)</f>
        <v>0</v>
      </c>
      <c r="P1739" s="36">
        <f>IFERROR($N1739*J1739,0)</f>
        <v>7.6675949999999986</v>
      </c>
      <c r="Q1739" s="36">
        <f>IFERROR($N1739*K1739,0)</f>
        <v>7.6675949999999986</v>
      </c>
      <c r="R1739" s="36">
        <f>IFERROR($N1739*L1739,0)</f>
        <v>7.6675949999999986</v>
      </c>
      <c r="S1739" s="36">
        <f>SUM(O1739:R1739)</f>
        <v>23.002784999999996</v>
      </c>
      <c r="T1739" s="38" t="s">
        <v>169</v>
      </c>
      <c r="U1739" s="19" t="s">
        <v>1873</v>
      </c>
      <c r="V1739" s="19" t="str">
        <f>IF(OR($H1739="",$H1739="sif",$H1739="PM"),"",VLOOKUP($H1739,[5]CU!$C$5:$J$255,8,FALSE))</f>
        <v>3. Dépenses de fonctionnement</v>
      </c>
      <c r="W1739" s="19" t="s">
        <v>1939</v>
      </c>
      <c r="X1739" s="19" t="s">
        <v>1939</v>
      </c>
      <c r="Y1739" s="19" t="s">
        <v>32</v>
      </c>
      <c r="Z1739" s="19" t="str">
        <f>A1739 &amp; "-" &amp; VLOOKUP(A1739,[4]PROGRAMMES!$E$1:$F$7,2,FALSE)</f>
        <v>5-Gouvernance et pilotage du secteur</v>
      </c>
      <c r="AA1739" s="19" t="str">
        <f>B1739 &amp; "-" &amp; VLOOKUP(B1739,[4]SOUSPROGRAMMES!$E$1:$F$44,2,FALSE)</f>
        <v>56- Gestion des ressources financières</v>
      </c>
      <c r="AB1739" s="19" t="str">
        <f>C1739 &amp; "-" &amp; VLOOKUP(C1739,[4]RESULTATS!$E$1:$F$176,2,FALSE)</f>
        <v>561-Le financement du secteur est en adéquation avec les objectifs</v>
      </c>
      <c r="AC1739" s="20" t="str">
        <f>D1739 &amp; "-" &amp; VLOOKUP(D1739,[4]STRATEGIES!$E$1:$F$504,2,FALSE)</f>
        <v>5613-Préparation des documents de plaidoyer auprès des hauts décideurs pour l’accroissement de la part du secteur de l’éducation dans le budget de l’état</v>
      </c>
      <c r="AD1739" s="21" t="str">
        <f t="shared" si="256"/>
        <v xml:space="preserve">56134-Mise à jour du document CDMT après l'adoption de la loi rectificative </v>
      </c>
    </row>
    <row r="1740" spans="1:30" s="22" customFormat="1" ht="30" hidden="1" customHeight="1" x14ac:dyDescent="0.8">
      <c r="A1740" s="14">
        <v>5</v>
      </c>
      <c r="B1740" s="15">
        <v>56</v>
      </c>
      <c r="C1740" s="15">
        <v>561</v>
      </c>
      <c r="D1740" s="15">
        <v>5613</v>
      </c>
      <c r="E1740" s="15">
        <v>56134</v>
      </c>
      <c r="F1740" s="16" t="s">
        <v>2196</v>
      </c>
      <c r="G1740" s="21" t="s">
        <v>315</v>
      </c>
      <c r="H1740" s="17" t="s">
        <v>66</v>
      </c>
      <c r="I1740" s="33">
        <v>0</v>
      </c>
      <c r="J1740" s="33">
        <f>(15*6)*66.59%</f>
        <v>59.931000000000004</v>
      </c>
      <c r="K1740" s="33">
        <f>(15*6)*66.59%</f>
        <v>59.931000000000004</v>
      </c>
      <c r="L1740" s="33">
        <f>(15*6)*66.59%</f>
        <v>59.931000000000004</v>
      </c>
      <c r="M1740" s="33">
        <f t="shared" si="255"/>
        <v>179.79300000000001</v>
      </c>
      <c r="N1740" s="33">
        <f>IF(OR(H1740="",H1740="sif",H1740="PM"),0,VLOOKUP(H1740,[5]CU!$C$4:$H$255,6,FALSE))</f>
        <v>0.255</v>
      </c>
      <c r="O1740" s="33">
        <f t="shared" si="257"/>
        <v>0</v>
      </c>
      <c r="P1740" s="33">
        <f t="shared" si="257"/>
        <v>15.282405000000001</v>
      </c>
      <c r="Q1740" s="33">
        <f t="shared" si="257"/>
        <v>15.282405000000001</v>
      </c>
      <c r="R1740" s="33">
        <f t="shared" si="257"/>
        <v>15.282405000000001</v>
      </c>
      <c r="S1740" s="33">
        <f t="shared" si="258"/>
        <v>45.847215000000006</v>
      </c>
      <c r="T1740" s="35" t="s">
        <v>118</v>
      </c>
      <c r="U1740" s="18" t="s">
        <v>1873</v>
      </c>
      <c r="V1740" s="18" t="str">
        <f>IF(OR($H1740="",$H1740="sif",$H1740="PM"),"",VLOOKUP($H1740,[5]CU!$C$5:$J$255,8,FALSE))</f>
        <v>3. Dépenses de fonctionnement</v>
      </c>
      <c r="W1740" s="18" t="s">
        <v>1936</v>
      </c>
      <c r="X1740" s="18" t="s">
        <v>1936</v>
      </c>
      <c r="Y1740" s="19" t="s">
        <v>32</v>
      </c>
      <c r="Z1740" s="18" t="str">
        <f>A1740 &amp; "-" &amp; VLOOKUP(A1740,[4]PROGRAMMES!$E$1:$F$7,2,FALSE)</f>
        <v>5-Gouvernance et pilotage du secteur</v>
      </c>
      <c r="AA1740" s="19" t="str">
        <f>B1740 &amp; "-" &amp; VLOOKUP(B1740,[4]SOUSPROGRAMMES!$E$1:$F$44,2,FALSE)</f>
        <v>56- Gestion des ressources financières</v>
      </c>
      <c r="AB1740" s="19" t="str">
        <f>C1740 &amp; "-" &amp; VLOOKUP(C1740,[4]RESULTATS!$E$1:$F$176,2,FALSE)</f>
        <v>561-Le financement du secteur est en adéquation avec les objectifs</v>
      </c>
      <c r="AC1740" s="20" t="str">
        <f>D1740 &amp; "-" &amp; VLOOKUP(D1740,[4]STRATEGIES!$E$1:$F$504,2,FALSE)</f>
        <v>5613-Préparation des documents de plaidoyer auprès des hauts décideurs pour l’accroissement de la part du secteur de l’éducation dans le budget de l’état</v>
      </c>
      <c r="AD1740" s="21" t="str">
        <f t="shared" si="256"/>
        <v xml:space="preserve">56134-Mise à jour du document CDMT après l'adoption de la loi rectificative </v>
      </c>
    </row>
    <row r="1741" spans="1:30" s="22" customFormat="1" ht="30" hidden="1" customHeight="1" x14ac:dyDescent="0.8">
      <c r="A1741" s="14">
        <v>5</v>
      </c>
      <c r="B1741" s="15">
        <v>56</v>
      </c>
      <c r="C1741" s="15">
        <v>561</v>
      </c>
      <c r="D1741" s="15">
        <v>5613</v>
      </c>
      <c r="E1741" s="15">
        <v>56135</v>
      </c>
      <c r="F1741" s="16" t="s">
        <v>2197</v>
      </c>
      <c r="G1741" s="21" t="s">
        <v>315</v>
      </c>
      <c r="H1741" s="17" t="s">
        <v>38</v>
      </c>
      <c r="I1741" s="33">
        <v>0</v>
      </c>
      <c r="J1741" s="33">
        <v>0</v>
      </c>
      <c r="K1741" s="33">
        <v>0</v>
      </c>
      <c r="L1741" s="33">
        <v>0</v>
      </c>
      <c r="M1741" s="33">
        <f>SUM(I1741:L1741)</f>
        <v>0</v>
      </c>
      <c r="N1741" s="33">
        <f>IF(OR(H1741="",H1741="sif",H1741="PM"),0,VLOOKUP(H1741,[5]CU!$C$4:$H$255,6,FALSE))</f>
        <v>0.3133333333333333</v>
      </c>
      <c r="O1741" s="33">
        <f t="shared" si="257"/>
        <v>0</v>
      </c>
      <c r="P1741" s="33">
        <f t="shared" si="257"/>
        <v>0</v>
      </c>
      <c r="Q1741" s="33">
        <f t="shared" si="257"/>
        <v>0</v>
      </c>
      <c r="R1741" s="33">
        <f t="shared" si="257"/>
        <v>0</v>
      </c>
      <c r="S1741" s="33">
        <f>SUM(O1741:R1741)</f>
        <v>0</v>
      </c>
      <c r="T1741" s="35" t="s">
        <v>178</v>
      </c>
      <c r="U1741" s="18" t="s">
        <v>1873</v>
      </c>
      <c r="V1741" s="18" t="str">
        <f>IF(OR($H1741="",$H1741="sif",$H1741="PM"),"",VLOOKUP($H1741,[5]CU!$C$5:$J$255,8,FALSE))</f>
        <v>3. Formation</v>
      </c>
      <c r="W1741" s="19" t="s">
        <v>1939</v>
      </c>
      <c r="X1741" s="19" t="s">
        <v>1939</v>
      </c>
      <c r="Y1741" s="19" t="s">
        <v>32</v>
      </c>
      <c r="Z1741" s="18" t="str">
        <f>A1741 &amp; "-" &amp; VLOOKUP(A1741,[4]PROGRAMMES!$E$1:$F$7,2,FALSE)</f>
        <v>5-Gouvernance et pilotage du secteur</v>
      </c>
      <c r="AA1741" s="19" t="str">
        <f>B1741 &amp; "-" &amp; VLOOKUP(B1741,[4]SOUSPROGRAMMES!$E$1:$F$44,2,FALSE)</f>
        <v>56- Gestion des ressources financières</v>
      </c>
      <c r="AB1741" s="19" t="str">
        <f>C1741 &amp; "-" &amp; VLOOKUP(C1741,[4]RESULTATS!$E$1:$F$176,2,FALSE)</f>
        <v>561-Le financement du secteur est en adéquation avec les objectifs</v>
      </c>
      <c r="AC1741" s="20" t="str">
        <f>D1741 &amp; "-" &amp; VLOOKUP(D1741,[4]STRATEGIES!$E$1:$F$504,2,FALSE)</f>
        <v>5613-Préparation des documents de plaidoyer auprès des hauts décideurs pour l’accroissement de la part du secteur de l’éducation dans le budget de l’état</v>
      </c>
      <c r="AD1741" s="21" t="str">
        <f t="shared" si="256"/>
        <v>56135-Atelier de partage du CDMT à tous les niveaux</v>
      </c>
    </row>
    <row r="1742" spans="1:30" ht="30" hidden="1" customHeight="1" x14ac:dyDescent="0.8">
      <c r="A1742" s="25">
        <v>5</v>
      </c>
      <c r="B1742" s="16">
        <v>56</v>
      </c>
      <c r="C1742" s="16">
        <v>561</v>
      </c>
      <c r="D1742" s="16">
        <v>5613</v>
      </c>
      <c r="E1742" s="16">
        <v>56135</v>
      </c>
      <c r="F1742" s="16" t="s">
        <v>2197</v>
      </c>
      <c r="G1742" s="21" t="s">
        <v>315</v>
      </c>
      <c r="H1742" s="21" t="s">
        <v>38</v>
      </c>
      <c r="I1742" s="36">
        <v>0</v>
      </c>
      <c r="J1742" s="36">
        <v>300</v>
      </c>
      <c r="K1742" s="36">
        <v>300</v>
      </c>
      <c r="L1742" s="36">
        <v>300</v>
      </c>
      <c r="M1742" s="36">
        <f t="shared" si="255"/>
        <v>900</v>
      </c>
      <c r="N1742" s="36">
        <f>IF(OR(H1742="",H1742="sif",H1742="PM"),0,VLOOKUP(H1742,[5]CU!$C$4:$H$255,6,FALSE))</f>
        <v>0.3133333333333333</v>
      </c>
      <c r="O1742" s="36">
        <f t="shared" si="257"/>
        <v>0</v>
      </c>
      <c r="P1742" s="36">
        <f t="shared" si="257"/>
        <v>93.999999999999986</v>
      </c>
      <c r="Q1742" s="36">
        <f t="shared" si="257"/>
        <v>93.999999999999986</v>
      </c>
      <c r="R1742" s="36">
        <f t="shared" si="257"/>
        <v>93.999999999999986</v>
      </c>
      <c r="S1742" s="36">
        <f t="shared" si="258"/>
        <v>281.99999999999994</v>
      </c>
      <c r="T1742" s="38" t="s">
        <v>169</v>
      </c>
      <c r="U1742" s="19" t="s">
        <v>1873</v>
      </c>
      <c r="V1742" s="19" t="str">
        <f>IF(OR($H1742="",$H1742="sif",$H1742="PM"),"",VLOOKUP($H1742,[5]CU!$C$5:$J$255,8,FALSE))</f>
        <v>3. Formation</v>
      </c>
      <c r="W1742" s="19" t="s">
        <v>1939</v>
      </c>
      <c r="X1742" s="19" t="s">
        <v>1939</v>
      </c>
      <c r="Y1742" s="19" t="s">
        <v>32</v>
      </c>
      <c r="Z1742" s="19" t="str">
        <f>A1742 &amp; "-" &amp; VLOOKUP(A1742,[4]PROGRAMMES!$E$1:$F$7,2,FALSE)</f>
        <v>5-Gouvernance et pilotage du secteur</v>
      </c>
      <c r="AA1742" s="19" t="str">
        <f>B1742 &amp; "-" &amp; VLOOKUP(B1742,[4]SOUSPROGRAMMES!$E$1:$F$44,2,FALSE)</f>
        <v>56- Gestion des ressources financières</v>
      </c>
      <c r="AB1742" s="19" t="str">
        <f>C1742 &amp; "-" &amp; VLOOKUP(C1742,[4]RESULTATS!$E$1:$F$176,2,FALSE)</f>
        <v>561-Le financement du secteur est en adéquation avec les objectifs</v>
      </c>
      <c r="AC1742" s="20" t="str">
        <f>D1742 &amp; "-" &amp; VLOOKUP(D1742,[4]STRATEGIES!$E$1:$F$504,2,FALSE)</f>
        <v>5613-Préparation des documents de plaidoyer auprès des hauts décideurs pour l’accroissement de la part du secteur de l’éducation dans le budget de l’état</v>
      </c>
      <c r="AD1742" s="21" t="str">
        <f t="shared" si="256"/>
        <v>56135-Atelier de partage du CDMT à tous les niveaux</v>
      </c>
    </row>
    <row r="1743" spans="1:30" s="22" customFormat="1" ht="45" hidden="1" customHeight="1" x14ac:dyDescent="0.8">
      <c r="A1743" s="14">
        <v>5</v>
      </c>
      <c r="B1743" s="15">
        <v>56</v>
      </c>
      <c r="C1743" s="15">
        <v>561</v>
      </c>
      <c r="D1743" s="15">
        <v>5613</v>
      </c>
      <c r="E1743" s="15">
        <v>56136</v>
      </c>
      <c r="F1743" s="16" t="s">
        <v>2198</v>
      </c>
      <c r="G1743" s="21" t="s">
        <v>315</v>
      </c>
      <c r="H1743" s="17" t="s">
        <v>38</v>
      </c>
      <c r="I1743" s="33">
        <v>0</v>
      </c>
      <c r="J1743" s="33"/>
      <c r="K1743" s="33"/>
      <c r="L1743" s="33"/>
      <c r="M1743" s="33">
        <f>SUM(I1743:L1743)</f>
        <v>0</v>
      </c>
      <c r="N1743" s="33">
        <f>IF(OR(H1743="",H1743="sif",H1743="PM"),0,VLOOKUP(H1743,[5]CU!$C$4:$H$255,6,FALSE))</f>
        <v>0.3133333333333333</v>
      </c>
      <c r="O1743" s="33">
        <f t="shared" si="257"/>
        <v>0</v>
      </c>
      <c r="P1743" s="33">
        <f t="shared" si="257"/>
        <v>0</v>
      </c>
      <c r="Q1743" s="33">
        <f t="shared" si="257"/>
        <v>0</v>
      </c>
      <c r="R1743" s="33">
        <f t="shared" si="257"/>
        <v>0</v>
      </c>
      <c r="S1743" s="33">
        <f>SUM(O1743:R1743)</f>
        <v>0</v>
      </c>
      <c r="T1743" s="35" t="s">
        <v>178</v>
      </c>
      <c r="U1743" s="18" t="s">
        <v>1873</v>
      </c>
      <c r="V1743" s="18" t="str">
        <f>IF(OR($H1743="",$H1743="sif",$H1743="PM"),"",VLOOKUP($H1743,[5]CU!$C$5:$J$255,8,FALSE))</f>
        <v>3. Formation</v>
      </c>
      <c r="W1743" s="19" t="s">
        <v>1939</v>
      </c>
      <c r="X1743" s="19" t="s">
        <v>1939</v>
      </c>
      <c r="Y1743" s="19" t="s">
        <v>32</v>
      </c>
      <c r="Z1743" s="18" t="str">
        <f>A1743 &amp; "-" &amp; VLOOKUP(A1743,[4]PROGRAMMES!$E$1:$F$7,2,FALSE)</f>
        <v>5-Gouvernance et pilotage du secteur</v>
      </c>
      <c r="AA1743" s="19" t="str">
        <f>B1743 &amp; "-" &amp; VLOOKUP(B1743,[4]SOUSPROGRAMMES!$E$1:$F$44,2,FALSE)</f>
        <v>56- Gestion des ressources financières</v>
      </c>
      <c r="AB1743" s="19" t="str">
        <f>C1743 &amp; "-" &amp; VLOOKUP(C1743,[4]RESULTATS!$E$1:$F$176,2,FALSE)</f>
        <v>561-Le financement du secteur est en adéquation avec les objectifs</v>
      </c>
      <c r="AC1743" s="20" t="str">
        <f>D1743 &amp; "-" &amp; VLOOKUP(D1743,[4]STRATEGIES!$E$1:$F$504,2,FALSE)</f>
        <v>5613-Préparation des documents de plaidoyer auprès des hauts décideurs pour l’accroissement de la part du secteur de l’éducation dans le budget de l’état</v>
      </c>
      <c r="AD1743" s="21" t="str">
        <f t="shared" si="256"/>
        <v>56136-Atelier de partage et de validation du canevas et de la feuille de route, collecte et traitement des données pour la rédaction du rapport annuel de performance du secteur</v>
      </c>
    </row>
    <row r="1744" spans="1:30" ht="45" hidden="1" customHeight="1" x14ac:dyDescent="0.8">
      <c r="A1744" s="25">
        <v>5</v>
      </c>
      <c r="B1744" s="16">
        <v>56</v>
      </c>
      <c r="C1744" s="16">
        <v>561</v>
      </c>
      <c r="D1744" s="16">
        <v>5613</v>
      </c>
      <c r="E1744" s="16">
        <v>56136</v>
      </c>
      <c r="F1744" s="16" t="s">
        <v>2198</v>
      </c>
      <c r="G1744" s="21" t="s">
        <v>315</v>
      </c>
      <c r="H1744" s="21" t="s">
        <v>38</v>
      </c>
      <c r="I1744" s="36">
        <v>0</v>
      </c>
      <c r="J1744" s="36">
        <f>25*6</f>
        <v>150</v>
      </c>
      <c r="K1744" s="36">
        <f>25*6</f>
        <v>150</v>
      </c>
      <c r="L1744" s="36">
        <f>25*6</f>
        <v>150</v>
      </c>
      <c r="M1744" s="36">
        <f t="shared" si="255"/>
        <v>450</v>
      </c>
      <c r="N1744" s="36">
        <f>IF(OR(H1744="",H1744="sif",H1744="PM"),0,VLOOKUP(H1744,[5]CU!$C$4:$H$255,6,FALSE))</f>
        <v>0.3133333333333333</v>
      </c>
      <c r="O1744" s="36">
        <f t="shared" si="257"/>
        <v>0</v>
      </c>
      <c r="P1744" s="36">
        <f t="shared" si="257"/>
        <v>46.999999999999993</v>
      </c>
      <c r="Q1744" s="36">
        <f t="shared" si="257"/>
        <v>46.999999999999993</v>
      </c>
      <c r="R1744" s="36">
        <f t="shared" si="257"/>
        <v>46.999999999999993</v>
      </c>
      <c r="S1744" s="36">
        <f t="shared" si="258"/>
        <v>140.99999999999997</v>
      </c>
      <c r="T1744" s="38" t="s">
        <v>169</v>
      </c>
      <c r="U1744" s="19" t="s">
        <v>1873</v>
      </c>
      <c r="V1744" s="19" t="str">
        <f>IF(OR($H1744="",$H1744="sif",$H1744="PM"),"",VLOOKUP($H1744,[5]CU!$C$5:$J$255,8,FALSE))</f>
        <v>3. Formation</v>
      </c>
      <c r="W1744" s="19" t="s">
        <v>1939</v>
      </c>
      <c r="X1744" s="19" t="s">
        <v>1939</v>
      </c>
      <c r="Y1744" s="19" t="s">
        <v>32</v>
      </c>
      <c r="Z1744" s="19" t="str">
        <f>A1744 &amp; "-" &amp; VLOOKUP(A1744,[4]PROGRAMMES!$E$1:$F$7,2,FALSE)</f>
        <v>5-Gouvernance et pilotage du secteur</v>
      </c>
      <c r="AA1744" s="19" t="str">
        <f>B1744 &amp; "-" &amp; VLOOKUP(B1744,[4]SOUSPROGRAMMES!$E$1:$F$44,2,FALSE)</f>
        <v>56- Gestion des ressources financières</v>
      </c>
      <c r="AB1744" s="19" t="str">
        <f>C1744 &amp; "-" &amp; VLOOKUP(C1744,[4]RESULTATS!$E$1:$F$176,2,FALSE)</f>
        <v>561-Le financement du secteur est en adéquation avec les objectifs</v>
      </c>
      <c r="AC1744" s="20" t="str">
        <f>D1744 &amp; "-" &amp; VLOOKUP(D1744,[4]STRATEGIES!$E$1:$F$504,2,FALSE)</f>
        <v>5613-Préparation des documents de plaidoyer auprès des hauts décideurs pour l’accroissement de la part du secteur de l’éducation dans le budget de l’état</v>
      </c>
      <c r="AD1744" s="21" t="str">
        <f t="shared" si="256"/>
        <v>56136-Atelier de partage et de validation du canevas et de la feuille de route, collecte et traitement des données pour la rédaction du rapport annuel de performance du secteur</v>
      </c>
    </row>
    <row r="1745" spans="1:30" s="22" customFormat="1" ht="30" hidden="1" customHeight="1" x14ac:dyDescent="0.8">
      <c r="A1745" s="14">
        <v>5</v>
      </c>
      <c r="B1745" s="15">
        <v>56</v>
      </c>
      <c r="C1745" s="15">
        <v>561</v>
      </c>
      <c r="D1745" s="15">
        <v>5613</v>
      </c>
      <c r="E1745" s="15">
        <v>56137</v>
      </c>
      <c r="F1745" s="16" t="s">
        <v>2199</v>
      </c>
      <c r="G1745" s="21" t="s">
        <v>315</v>
      </c>
      <c r="H1745" s="17" t="s">
        <v>66</v>
      </c>
      <c r="I1745" s="33">
        <v>0</v>
      </c>
      <c r="J1745" s="33"/>
      <c r="K1745" s="33"/>
      <c r="L1745" s="33"/>
      <c r="M1745" s="33">
        <f>SUM(I1745:L1745)</f>
        <v>0</v>
      </c>
      <c r="N1745" s="33">
        <f>IF(OR(H1745="",H1745="sif",H1745="PM"),0,VLOOKUP(H1745,[5]CU!$C$4:$H$255,6,FALSE))</f>
        <v>0.255</v>
      </c>
      <c r="O1745" s="33">
        <f t="shared" si="257"/>
        <v>0</v>
      </c>
      <c r="P1745" s="33">
        <f t="shared" si="257"/>
        <v>0</v>
      </c>
      <c r="Q1745" s="33">
        <f t="shared" si="257"/>
        <v>0</v>
      </c>
      <c r="R1745" s="33">
        <f t="shared" si="257"/>
        <v>0</v>
      </c>
      <c r="S1745" s="33">
        <f>SUM(O1745:R1745)</f>
        <v>0</v>
      </c>
      <c r="T1745" s="35" t="s">
        <v>178</v>
      </c>
      <c r="U1745" s="18" t="s">
        <v>1873</v>
      </c>
      <c r="V1745" s="18" t="str">
        <f>IF(OR($H1745="",$H1745="sif",$H1745="PM"),"",VLOOKUP($H1745,[5]CU!$C$5:$J$255,8,FALSE))</f>
        <v>3. Dépenses de fonctionnement</v>
      </c>
      <c r="W1745" s="19" t="s">
        <v>1939</v>
      </c>
      <c r="X1745" s="19" t="s">
        <v>1939</v>
      </c>
      <c r="Y1745" s="19" t="s">
        <v>32</v>
      </c>
      <c r="Z1745" s="18" t="str">
        <f>A1745 &amp; "-" &amp; VLOOKUP(A1745,[4]PROGRAMMES!$E$1:$F$7,2,FALSE)</f>
        <v>5-Gouvernance et pilotage du secteur</v>
      </c>
      <c r="AA1745" s="19" t="str">
        <f>B1745 &amp; "-" &amp; VLOOKUP(B1745,[4]SOUSPROGRAMMES!$E$1:$F$44,2,FALSE)</f>
        <v>56- Gestion des ressources financières</v>
      </c>
      <c r="AB1745" s="19" t="str">
        <f>C1745 &amp; "-" &amp; VLOOKUP(C1745,[4]RESULTATS!$E$1:$F$176,2,FALSE)</f>
        <v>561-Le financement du secteur est en adéquation avec les objectifs</v>
      </c>
      <c r="AC1745" s="20" t="str">
        <f>D1745 &amp; "-" &amp; VLOOKUP(D1745,[4]STRATEGIES!$E$1:$F$504,2,FALSE)</f>
        <v>5613-Préparation des documents de plaidoyer auprès des hauts décideurs pour l’accroissement de la part du secteur de l’éducation dans le budget de l’état</v>
      </c>
      <c r="AD1745" s="21" t="str">
        <f t="shared" si="256"/>
        <v>56137-Rédaction du rapport de performance, version provisoire</v>
      </c>
    </row>
    <row r="1746" spans="1:30" ht="30" hidden="1" customHeight="1" x14ac:dyDescent="0.8">
      <c r="A1746" s="25">
        <v>5</v>
      </c>
      <c r="B1746" s="16">
        <v>56</v>
      </c>
      <c r="C1746" s="16">
        <v>561</v>
      </c>
      <c r="D1746" s="16">
        <v>5613</v>
      </c>
      <c r="E1746" s="16">
        <v>56137</v>
      </c>
      <c r="F1746" s="16" t="s">
        <v>2199</v>
      </c>
      <c r="G1746" s="21" t="s">
        <v>315</v>
      </c>
      <c r="H1746" s="21" t="s">
        <v>66</v>
      </c>
      <c r="I1746" s="36">
        <v>0</v>
      </c>
      <c r="J1746" s="36">
        <v>300</v>
      </c>
      <c r="K1746" s="36">
        <f>25*6</f>
        <v>150</v>
      </c>
      <c r="L1746" s="36">
        <f>25*6</f>
        <v>150</v>
      </c>
      <c r="M1746" s="36">
        <f t="shared" si="255"/>
        <v>600</v>
      </c>
      <c r="N1746" s="36">
        <f>IF(OR(H1746="",H1746="sif",H1746="PM"),0,VLOOKUP(H1746,[5]CU!$C$4:$H$255,6,FALSE))</f>
        <v>0.255</v>
      </c>
      <c r="O1746" s="36">
        <f t="shared" si="257"/>
        <v>0</v>
      </c>
      <c r="P1746" s="36">
        <f t="shared" si="257"/>
        <v>76.5</v>
      </c>
      <c r="Q1746" s="36">
        <f t="shared" si="257"/>
        <v>38.25</v>
      </c>
      <c r="R1746" s="36">
        <f t="shared" si="257"/>
        <v>38.25</v>
      </c>
      <c r="S1746" s="36">
        <f t="shared" si="258"/>
        <v>153</v>
      </c>
      <c r="T1746" s="38" t="s">
        <v>169</v>
      </c>
      <c r="U1746" s="19" t="s">
        <v>1873</v>
      </c>
      <c r="V1746" s="19" t="str">
        <f>IF(OR($H1746="",$H1746="sif",$H1746="PM"),"",VLOOKUP($H1746,[5]CU!$C$5:$J$255,8,FALSE))</f>
        <v>3. Dépenses de fonctionnement</v>
      </c>
      <c r="W1746" s="19" t="s">
        <v>1939</v>
      </c>
      <c r="X1746" s="19" t="s">
        <v>1939</v>
      </c>
      <c r="Y1746" s="19" t="s">
        <v>32</v>
      </c>
      <c r="Z1746" s="19" t="str">
        <f>A1746 &amp; "-" &amp; VLOOKUP(A1746,[4]PROGRAMMES!$E$1:$F$7,2,FALSE)</f>
        <v>5-Gouvernance et pilotage du secteur</v>
      </c>
      <c r="AA1746" s="19" t="str">
        <f>B1746 &amp; "-" &amp; VLOOKUP(B1746,[4]SOUSPROGRAMMES!$E$1:$F$44,2,FALSE)</f>
        <v>56- Gestion des ressources financières</v>
      </c>
      <c r="AB1746" s="19" t="str">
        <f>C1746 &amp; "-" &amp; VLOOKUP(C1746,[4]RESULTATS!$E$1:$F$176,2,FALSE)</f>
        <v>561-Le financement du secteur est en adéquation avec les objectifs</v>
      </c>
      <c r="AC1746" s="20" t="str">
        <f>D1746 &amp; "-" &amp; VLOOKUP(D1746,[4]STRATEGIES!$E$1:$F$504,2,FALSE)</f>
        <v>5613-Préparation des documents de plaidoyer auprès des hauts décideurs pour l’accroissement de la part du secteur de l’éducation dans le budget de l’état</v>
      </c>
      <c r="AD1746" s="21" t="str">
        <f t="shared" si="256"/>
        <v>56137-Rédaction du rapport de performance, version provisoire</v>
      </c>
    </row>
    <row r="1747" spans="1:30" s="22" customFormat="1" ht="30" hidden="1" customHeight="1" x14ac:dyDescent="0.8">
      <c r="A1747" s="14">
        <v>5</v>
      </c>
      <c r="B1747" s="15">
        <v>56</v>
      </c>
      <c r="C1747" s="15">
        <v>561</v>
      </c>
      <c r="D1747" s="15">
        <v>5613</v>
      </c>
      <c r="E1747" s="15">
        <v>56138</v>
      </c>
      <c r="F1747" s="16" t="s">
        <v>2200</v>
      </c>
      <c r="G1747" s="21" t="s">
        <v>315</v>
      </c>
      <c r="H1747" s="17" t="s">
        <v>38</v>
      </c>
      <c r="I1747" s="33">
        <v>0</v>
      </c>
      <c r="J1747" s="33"/>
      <c r="K1747" s="33"/>
      <c r="L1747" s="33"/>
      <c r="M1747" s="33">
        <f>SUM(I1747:L1747)</f>
        <v>0</v>
      </c>
      <c r="N1747" s="33">
        <f>IF(OR(H1747="",H1747="sif",H1747="PM"),0,VLOOKUP(H1747,[5]CU!$C$4:$H$255,6,FALSE))</f>
        <v>0.3133333333333333</v>
      </c>
      <c r="O1747" s="33">
        <f t="shared" si="257"/>
        <v>0</v>
      </c>
      <c r="P1747" s="33">
        <f t="shared" si="257"/>
        <v>0</v>
      </c>
      <c r="Q1747" s="33">
        <f t="shared" si="257"/>
        <v>0</v>
      </c>
      <c r="R1747" s="33">
        <f t="shared" si="257"/>
        <v>0</v>
      </c>
      <c r="S1747" s="33">
        <f>SUM(O1747:R1747)</f>
        <v>0</v>
      </c>
      <c r="T1747" s="35" t="s">
        <v>178</v>
      </c>
      <c r="U1747" s="18" t="s">
        <v>1873</v>
      </c>
      <c r="V1747" s="18" t="str">
        <f>IF(OR($H1747="",$H1747="sif",$H1747="PM"),"",VLOOKUP($H1747,[5]CU!$C$5:$J$255,8,FALSE))</f>
        <v>3. Formation</v>
      </c>
      <c r="W1747" s="18" t="s">
        <v>1936</v>
      </c>
      <c r="X1747" s="18" t="s">
        <v>1936</v>
      </c>
      <c r="Y1747" s="19" t="s">
        <v>32</v>
      </c>
      <c r="Z1747" s="18" t="str">
        <f>A1747 &amp; "-" &amp; VLOOKUP(A1747,[4]PROGRAMMES!$E$1:$F$7,2,FALSE)</f>
        <v>5-Gouvernance et pilotage du secteur</v>
      </c>
      <c r="AA1747" s="19" t="str">
        <f>B1747 &amp; "-" &amp; VLOOKUP(B1747,[4]SOUSPROGRAMMES!$E$1:$F$44,2,FALSE)</f>
        <v>56- Gestion des ressources financières</v>
      </c>
      <c r="AB1747" s="19" t="str">
        <f>C1747 &amp; "-" &amp; VLOOKUP(C1747,[4]RESULTATS!$E$1:$F$176,2,FALSE)</f>
        <v>561-Le financement du secteur est en adéquation avec les objectifs</v>
      </c>
      <c r="AC1747" s="20" t="str">
        <f>D1747 &amp; "-" &amp; VLOOKUP(D1747,[4]STRATEGIES!$E$1:$F$504,2,FALSE)</f>
        <v>5613-Préparation des documents de plaidoyer auprès des hauts décideurs pour l’accroissement de la part du secteur de l’éducation dans le budget de l’état</v>
      </c>
      <c r="AD1747" s="21" t="str">
        <f t="shared" si="256"/>
        <v>56138-Partage du rapport provisoire pour lecture et amendement</v>
      </c>
    </row>
    <row r="1748" spans="1:30" ht="30" hidden="1" customHeight="1" x14ac:dyDescent="0.8">
      <c r="A1748" s="25">
        <v>5</v>
      </c>
      <c r="B1748" s="16">
        <v>56</v>
      </c>
      <c r="C1748" s="16">
        <v>561</v>
      </c>
      <c r="D1748" s="16">
        <v>5613</v>
      </c>
      <c r="E1748" s="16">
        <v>56138</v>
      </c>
      <c r="F1748" s="16" t="s">
        <v>2200</v>
      </c>
      <c r="G1748" s="21" t="s">
        <v>315</v>
      </c>
      <c r="H1748" s="21" t="s">
        <v>38</v>
      </c>
      <c r="I1748" s="36">
        <v>0</v>
      </c>
      <c r="J1748" s="36">
        <f>8*4</f>
        <v>32</v>
      </c>
      <c r="K1748" s="36">
        <f>8*4</f>
        <v>32</v>
      </c>
      <c r="L1748" s="36">
        <f>8*4</f>
        <v>32</v>
      </c>
      <c r="M1748" s="36">
        <f t="shared" si="255"/>
        <v>96</v>
      </c>
      <c r="N1748" s="36">
        <f>IF(OR(H1748="",H1748="sif",H1748="PM"),0,VLOOKUP(H1748,[5]CU!$C$4:$H$255,6,FALSE))</f>
        <v>0.3133333333333333</v>
      </c>
      <c r="O1748" s="36">
        <f t="shared" si="257"/>
        <v>0</v>
      </c>
      <c r="P1748" s="36">
        <f t="shared" si="257"/>
        <v>10.026666666666666</v>
      </c>
      <c r="Q1748" s="36">
        <f t="shared" si="257"/>
        <v>10.026666666666666</v>
      </c>
      <c r="R1748" s="36">
        <f t="shared" si="257"/>
        <v>10.026666666666666</v>
      </c>
      <c r="S1748" s="36">
        <f t="shared" si="258"/>
        <v>30.08</v>
      </c>
      <c r="T1748" s="38" t="s">
        <v>169</v>
      </c>
      <c r="U1748" s="19" t="s">
        <v>1873</v>
      </c>
      <c r="V1748" s="19" t="str">
        <f>IF(OR($H1748="",$H1748="sif",$H1748="PM"),"",VLOOKUP($H1748,[5]CU!$C$5:$J$255,8,FALSE))</f>
        <v>3. Formation</v>
      </c>
      <c r="W1748" s="19" t="s">
        <v>1939</v>
      </c>
      <c r="X1748" s="19" t="s">
        <v>1939</v>
      </c>
      <c r="Y1748" s="19" t="s">
        <v>2066</v>
      </c>
      <c r="Z1748" s="19" t="str">
        <f>A1748 &amp; "-" &amp; VLOOKUP(A1748,[4]PROGRAMMES!$E$1:$F$7,2,FALSE)</f>
        <v>5-Gouvernance et pilotage du secteur</v>
      </c>
      <c r="AA1748" s="19" t="str">
        <f>B1748 &amp; "-" &amp; VLOOKUP(B1748,[4]SOUSPROGRAMMES!$E$1:$F$44,2,FALSE)</f>
        <v>56- Gestion des ressources financières</v>
      </c>
      <c r="AB1748" s="19" t="str">
        <f>C1748 &amp; "-" &amp; VLOOKUP(C1748,[4]RESULTATS!$E$1:$F$176,2,FALSE)</f>
        <v>561-Le financement du secteur est en adéquation avec les objectifs</v>
      </c>
      <c r="AC1748" s="20" t="str">
        <f>D1748 &amp; "-" &amp; VLOOKUP(D1748,[4]STRATEGIES!$E$1:$F$504,2,FALSE)</f>
        <v>5613-Préparation des documents de plaidoyer auprès des hauts décideurs pour l’accroissement de la part du secteur de l’éducation dans le budget de l’état</v>
      </c>
      <c r="AD1748" s="21" t="str">
        <f t="shared" si="256"/>
        <v>56138-Partage du rapport provisoire pour lecture et amendement</v>
      </c>
    </row>
    <row r="1749" spans="1:30" s="22" customFormat="1" ht="30" hidden="1" customHeight="1" x14ac:dyDescent="0.8">
      <c r="A1749" s="14">
        <v>5</v>
      </c>
      <c r="B1749" s="15">
        <v>56</v>
      </c>
      <c r="C1749" s="15">
        <v>561</v>
      </c>
      <c r="D1749" s="15">
        <v>5613</v>
      </c>
      <c r="E1749" s="15">
        <v>56139</v>
      </c>
      <c r="F1749" s="16" t="s">
        <v>2201</v>
      </c>
      <c r="G1749" s="21" t="s">
        <v>315</v>
      </c>
      <c r="H1749" s="17" t="s">
        <v>66</v>
      </c>
      <c r="I1749" s="33">
        <v>0</v>
      </c>
      <c r="J1749" s="33"/>
      <c r="K1749" s="33"/>
      <c r="L1749" s="33"/>
      <c r="M1749" s="33">
        <f>SUM(I1749:L1749)</f>
        <v>0</v>
      </c>
      <c r="N1749" s="33">
        <f>IF(OR(H1749="",H1749="sif",H1749="PM"),0,VLOOKUP(H1749,[5]CU!$C$4:$H$255,6,FALSE))</f>
        <v>0.255</v>
      </c>
      <c r="O1749" s="33">
        <f t="shared" si="257"/>
        <v>0</v>
      </c>
      <c r="P1749" s="33">
        <f t="shared" si="257"/>
        <v>0</v>
      </c>
      <c r="Q1749" s="33">
        <f t="shared" si="257"/>
        <v>0</v>
      </c>
      <c r="R1749" s="33">
        <f t="shared" si="257"/>
        <v>0</v>
      </c>
      <c r="S1749" s="33">
        <f>SUM(O1749:R1749)</f>
        <v>0</v>
      </c>
      <c r="T1749" s="35" t="s">
        <v>178</v>
      </c>
      <c r="U1749" s="18" t="s">
        <v>1873</v>
      </c>
      <c r="V1749" s="18" t="str">
        <f>IF(OR($H1749="",$H1749="sif",$H1749="PM"),"",VLOOKUP($H1749,[5]CU!$C$5:$J$255,8,FALSE))</f>
        <v>3. Dépenses de fonctionnement</v>
      </c>
      <c r="W1749" s="18" t="s">
        <v>1936</v>
      </c>
      <c r="X1749" s="18" t="s">
        <v>1936</v>
      </c>
      <c r="Y1749" s="19" t="s">
        <v>32</v>
      </c>
      <c r="Z1749" s="18" t="str">
        <f>A1749 &amp; "-" &amp; VLOOKUP(A1749,[4]PROGRAMMES!$E$1:$F$7,2,FALSE)</f>
        <v>5-Gouvernance et pilotage du secteur</v>
      </c>
      <c r="AA1749" s="19" t="str">
        <f>B1749 &amp; "-" &amp; VLOOKUP(B1749,[4]SOUSPROGRAMMES!$E$1:$F$44,2,FALSE)</f>
        <v>56- Gestion des ressources financières</v>
      </c>
      <c r="AB1749" s="19" t="str">
        <f>C1749 &amp; "-" &amp; VLOOKUP(C1749,[4]RESULTATS!$E$1:$F$176,2,FALSE)</f>
        <v>561-Le financement du secteur est en adéquation avec les objectifs</v>
      </c>
      <c r="AC1749" s="20" t="str">
        <f>D1749 &amp; "-" &amp; VLOOKUP(D1749,[4]STRATEGIES!$E$1:$F$504,2,FALSE)</f>
        <v>5613-Préparation des documents de plaidoyer auprès des hauts décideurs pour l’accroissement de la part du secteur de l’éducation dans le budget de l’état</v>
      </c>
      <c r="AD1749" s="21" t="str">
        <f t="shared" si="256"/>
        <v>56139-Intégration des observations faites sur la version provisoire</v>
      </c>
    </row>
    <row r="1750" spans="1:30" ht="30" hidden="1" customHeight="1" x14ac:dyDescent="0.8">
      <c r="A1750" s="25">
        <v>5</v>
      </c>
      <c r="B1750" s="16">
        <v>56</v>
      </c>
      <c r="C1750" s="16">
        <v>561</v>
      </c>
      <c r="D1750" s="16">
        <v>5613</v>
      </c>
      <c r="E1750" s="16">
        <v>56139</v>
      </c>
      <c r="F1750" s="16" t="s">
        <v>2201</v>
      </c>
      <c r="G1750" s="21" t="s">
        <v>315</v>
      </c>
      <c r="H1750" s="21" t="s">
        <v>66</v>
      </c>
      <c r="I1750" s="36">
        <v>0</v>
      </c>
      <c r="J1750" s="36">
        <f>25*3</f>
        <v>75</v>
      </c>
      <c r="K1750" s="36">
        <f>25*3</f>
        <v>75</v>
      </c>
      <c r="L1750" s="36">
        <f>25*3</f>
        <v>75</v>
      </c>
      <c r="M1750" s="36">
        <f t="shared" si="255"/>
        <v>225</v>
      </c>
      <c r="N1750" s="36">
        <f>IF(OR(H1750="",H1750="sif",H1750="PM"),0,VLOOKUP(H1750,[5]CU!$C$4:$H$255,6,FALSE))</f>
        <v>0.255</v>
      </c>
      <c r="O1750" s="36">
        <f t="shared" ref="O1750:R1755" si="259">IFERROR($N1750*I1750,0)</f>
        <v>0</v>
      </c>
      <c r="P1750" s="36">
        <f t="shared" si="259"/>
        <v>19.125</v>
      </c>
      <c r="Q1750" s="36">
        <f t="shared" si="259"/>
        <v>19.125</v>
      </c>
      <c r="R1750" s="36">
        <f t="shared" si="259"/>
        <v>19.125</v>
      </c>
      <c r="S1750" s="36">
        <f t="shared" si="258"/>
        <v>57.375</v>
      </c>
      <c r="T1750" s="38" t="s">
        <v>169</v>
      </c>
      <c r="U1750" s="19" t="s">
        <v>1873</v>
      </c>
      <c r="V1750" s="19" t="str">
        <f>IF(OR($H1750="",$H1750="sif",$H1750="PM"),"",VLOOKUP($H1750,[5]CU!$C$5:$J$255,8,FALSE))</f>
        <v>3. Dépenses de fonctionnement</v>
      </c>
      <c r="W1750" s="19" t="s">
        <v>1939</v>
      </c>
      <c r="X1750" s="19" t="s">
        <v>1939</v>
      </c>
      <c r="Y1750" s="19" t="s">
        <v>2066</v>
      </c>
      <c r="Z1750" s="19" t="str">
        <f>A1750 &amp; "-" &amp; VLOOKUP(A1750,[4]PROGRAMMES!$E$1:$F$7,2,FALSE)</f>
        <v>5-Gouvernance et pilotage du secteur</v>
      </c>
      <c r="AA1750" s="19" t="str">
        <f>B1750 &amp; "-" &amp; VLOOKUP(B1750,[4]SOUSPROGRAMMES!$E$1:$F$44,2,FALSE)</f>
        <v>56- Gestion des ressources financières</v>
      </c>
      <c r="AB1750" s="19" t="str">
        <f>C1750 &amp; "-" &amp; VLOOKUP(C1750,[4]RESULTATS!$E$1:$F$176,2,FALSE)</f>
        <v>561-Le financement du secteur est en adéquation avec les objectifs</v>
      </c>
      <c r="AC1750" s="20" t="str">
        <f>D1750 &amp; "-" &amp; VLOOKUP(D1750,[4]STRATEGIES!$E$1:$F$504,2,FALSE)</f>
        <v>5613-Préparation des documents de plaidoyer auprès des hauts décideurs pour l’accroissement de la part du secteur de l’éducation dans le budget de l’état</v>
      </c>
      <c r="AD1750" s="21" t="str">
        <f t="shared" si="256"/>
        <v>56139-Intégration des observations faites sur la version provisoire</v>
      </c>
    </row>
    <row r="1751" spans="1:30" s="22" customFormat="1" ht="30" hidden="1" customHeight="1" x14ac:dyDescent="0.8">
      <c r="A1751" s="14">
        <v>5</v>
      </c>
      <c r="B1751" s="15">
        <v>56</v>
      </c>
      <c r="C1751" s="15">
        <v>561</v>
      </c>
      <c r="D1751" s="15">
        <v>5613</v>
      </c>
      <c r="E1751" s="15">
        <v>561310</v>
      </c>
      <c r="F1751" s="16" t="s">
        <v>2202</v>
      </c>
      <c r="G1751" s="21" t="s">
        <v>44</v>
      </c>
      <c r="H1751" s="17" t="s">
        <v>452</v>
      </c>
      <c r="I1751" s="33">
        <v>0</v>
      </c>
      <c r="J1751" s="33"/>
      <c r="K1751" s="33"/>
      <c r="L1751" s="33"/>
      <c r="M1751" s="33">
        <f>SUM(I1751:L1751)</f>
        <v>0</v>
      </c>
      <c r="N1751" s="33">
        <f>IF(OR(H1751="",H1751="sif",H1751="PM"),0,VLOOKUP(H1751,[5]CU!$C$4:$H$255,6,FALSE))</f>
        <v>7.4999999999999997E-3</v>
      </c>
      <c r="O1751" s="33">
        <f t="shared" si="259"/>
        <v>0</v>
      </c>
      <c r="P1751" s="33">
        <f t="shared" si="259"/>
        <v>0</v>
      </c>
      <c r="Q1751" s="33">
        <f t="shared" si="259"/>
        <v>0</v>
      </c>
      <c r="R1751" s="33">
        <f t="shared" si="259"/>
        <v>0</v>
      </c>
      <c r="S1751" s="33">
        <f>SUM(O1751:R1751)</f>
        <v>0</v>
      </c>
      <c r="T1751" s="35" t="s">
        <v>178</v>
      </c>
      <c r="U1751" s="18" t="s">
        <v>1873</v>
      </c>
      <c r="V1751" s="18" t="str">
        <f>IF(OR($H1751="",$H1751="sif",$H1751="PM"),"",VLOOKUP($H1751,[5]CU!$C$5:$J$255,8,FALSE))</f>
        <v>3. Dépenses de fonctionnement</v>
      </c>
      <c r="W1751" s="18" t="s">
        <v>1936</v>
      </c>
      <c r="X1751" s="18" t="s">
        <v>1936</v>
      </c>
      <c r="Y1751" s="19" t="s">
        <v>32</v>
      </c>
      <c r="Z1751" s="18" t="str">
        <f>A1751 &amp; "-" &amp; VLOOKUP(A1751,[4]PROGRAMMES!$E$1:$F$7,2,FALSE)</f>
        <v>5-Gouvernance et pilotage du secteur</v>
      </c>
      <c r="AA1751" s="19" t="str">
        <f>B1751 &amp; "-" &amp; VLOOKUP(B1751,[4]SOUSPROGRAMMES!$E$1:$F$44,2,FALSE)</f>
        <v>56- Gestion des ressources financières</v>
      </c>
      <c r="AB1751" s="19" t="str">
        <f>C1751 &amp; "-" &amp; VLOOKUP(C1751,[4]RESULTATS!$E$1:$F$176,2,FALSE)</f>
        <v>561-Le financement du secteur est en adéquation avec les objectifs</v>
      </c>
      <c r="AC1751" s="20" t="str">
        <f>D1751 &amp; "-" &amp; VLOOKUP(D1751,[4]STRATEGIES!$E$1:$F$504,2,FALSE)</f>
        <v>5613-Préparation des documents de plaidoyer auprès des hauts décideurs pour l’accroissement de la part du secteur de l’éducation dans le budget de l’état</v>
      </c>
      <c r="AD1751" s="21" t="str">
        <f t="shared" si="256"/>
        <v>561310-Edition et Dissémination du rapport de performance, version déFinitive</v>
      </c>
    </row>
    <row r="1752" spans="1:30" ht="30" hidden="1" customHeight="1" x14ac:dyDescent="0.8">
      <c r="A1752" s="25">
        <v>5</v>
      </c>
      <c r="B1752" s="16">
        <v>56</v>
      </c>
      <c r="C1752" s="16">
        <v>561</v>
      </c>
      <c r="D1752" s="16">
        <v>5613</v>
      </c>
      <c r="E1752" s="16">
        <v>561310</v>
      </c>
      <c r="F1752" s="16" t="s">
        <v>2202</v>
      </c>
      <c r="G1752" s="21" t="s">
        <v>44</v>
      </c>
      <c r="H1752" s="21" t="s">
        <v>452</v>
      </c>
      <c r="I1752" s="36">
        <v>0</v>
      </c>
      <c r="J1752" s="36">
        <f>150</f>
        <v>150</v>
      </c>
      <c r="K1752" s="36">
        <f>150</f>
        <v>150</v>
      </c>
      <c r="L1752" s="36">
        <f>150</f>
        <v>150</v>
      </c>
      <c r="M1752" s="36">
        <f t="shared" si="255"/>
        <v>450</v>
      </c>
      <c r="N1752" s="36">
        <f>IF(OR(H1752="",H1752="sif",H1752="PM"),0,VLOOKUP(H1752,[5]CU!$C$4:$H$255,6,FALSE))</f>
        <v>7.4999999999999997E-3</v>
      </c>
      <c r="O1752" s="36">
        <f t="shared" si="259"/>
        <v>0</v>
      </c>
      <c r="P1752" s="36">
        <f t="shared" si="259"/>
        <v>1.125</v>
      </c>
      <c r="Q1752" s="36">
        <f t="shared" si="259"/>
        <v>1.125</v>
      </c>
      <c r="R1752" s="36">
        <f t="shared" si="259"/>
        <v>1.125</v>
      </c>
      <c r="S1752" s="36">
        <f t="shared" si="258"/>
        <v>3.375</v>
      </c>
      <c r="T1752" s="38" t="s">
        <v>169</v>
      </c>
      <c r="U1752" s="19" t="s">
        <v>1873</v>
      </c>
      <c r="V1752" s="19" t="str">
        <f>IF(OR($H1752="",$H1752="sif",$H1752="PM"),"",VLOOKUP($H1752,[5]CU!$C$5:$J$255,8,FALSE))</f>
        <v>3. Dépenses de fonctionnement</v>
      </c>
      <c r="W1752" s="19" t="s">
        <v>1939</v>
      </c>
      <c r="X1752" s="19" t="s">
        <v>1939</v>
      </c>
      <c r="Y1752" s="19" t="s">
        <v>2066</v>
      </c>
      <c r="Z1752" s="19" t="str">
        <f>A1752 &amp; "-" &amp; VLOOKUP(A1752,[4]PROGRAMMES!$E$1:$F$7,2,FALSE)</f>
        <v>5-Gouvernance et pilotage du secteur</v>
      </c>
      <c r="AA1752" s="19" t="str">
        <f>B1752 &amp; "-" &amp; VLOOKUP(B1752,[4]SOUSPROGRAMMES!$E$1:$F$44,2,FALSE)</f>
        <v>56- Gestion des ressources financières</v>
      </c>
      <c r="AB1752" s="19" t="str">
        <f>C1752 &amp; "-" &amp; VLOOKUP(C1752,[4]RESULTATS!$E$1:$F$176,2,FALSE)</f>
        <v>561-Le financement du secteur est en adéquation avec les objectifs</v>
      </c>
      <c r="AC1752" s="20" t="str">
        <f>D1752 &amp; "-" &amp; VLOOKUP(D1752,[4]STRATEGIES!$E$1:$F$504,2,FALSE)</f>
        <v>5613-Préparation des documents de plaidoyer auprès des hauts décideurs pour l’accroissement de la part du secteur de l’éducation dans le budget de l’état</v>
      </c>
      <c r="AD1752" s="21" t="str">
        <f t="shared" si="256"/>
        <v>561310-Edition et Dissémination du rapport de performance, version déFinitive</v>
      </c>
    </row>
    <row r="1753" spans="1:30" s="22" customFormat="1" ht="30" hidden="1" customHeight="1" x14ac:dyDescent="0.8">
      <c r="A1753" s="14">
        <v>5</v>
      </c>
      <c r="B1753" s="15">
        <v>56</v>
      </c>
      <c r="C1753" s="15">
        <v>561</v>
      </c>
      <c r="D1753" s="15">
        <v>5613</v>
      </c>
      <c r="E1753" s="15">
        <v>561311</v>
      </c>
      <c r="F1753" s="16" t="s">
        <v>2203</v>
      </c>
      <c r="G1753" s="21" t="s">
        <v>315</v>
      </c>
      <c r="H1753" s="17" t="s">
        <v>38</v>
      </c>
      <c r="I1753" s="33">
        <v>0</v>
      </c>
      <c r="J1753" s="33"/>
      <c r="K1753" s="33"/>
      <c r="L1753" s="33"/>
      <c r="M1753" s="33">
        <f>SUM(I1753:L1753)</f>
        <v>0</v>
      </c>
      <c r="N1753" s="33">
        <f>IF(OR(H1753="",H1753="sif",H1753="PM"),0,VLOOKUP(H1753,[5]CU!$C$4:$H$255,6,FALSE))</f>
        <v>0.3133333333333333</v>
      </c>
      <c r="O1753" s="33">
        <f t="shared" si="259"/>
        <v>0</v>
      </c>
      <c r="P1753" s="33">
        <f t="shared" si="259"/>
        <v>0</v>
      </c>
      <c r="Q1753" s="33">
        <f t="shared" si="259"/>
        <v>0</v>
      </c>
      <c r="R1753" s="33">
        <f t="shared" si="259"/>
        <v>0</v>
      </c>
      <c r="S1753" s="33">
        <f>SUM(O1753:R1753)</f>
        <v>0</v>
      </c>
      <c r="T1753" s="35" t="s">
        <v>178</v>
      </c>
      <c r="U1753" s="18" t="s">
        <v>1873</v>
      </c>
      <c r="V1753" s="18" t="str">
        <f>IF(OR($H1753="",$H1753="sif",$H1753="PM"),"",VLOOKUP($H1753,[5]CU!$C$5:$J$255,8,FALSE))</f>
        <v>3. Formation</v>
      </c>
      <c r="W1753" s="18" t="s">
        <v>1936</v>
      </c>
      <c r="X1753" s="18" t="s">
        <v>1936</v>
      </c>
      <c r="Y1753" s="19" t="s">
        <v>32</v>
      </c>
      <c r="Z1753" s="18" t="str">
        <f>A1753 &amp; "-" &amp; VLOOKUP(A1753,[4]PROGRAMMES!$E$1:$F$7,2,FALSE)</f>
        <v>5-Gouvernance et pilotage du secteur</v>
      </c>
      <c r="AA1753" s="19" t="str">
        <f>B1753 &amp; "-" &amp; VLOOKUP(B1753,[4]SOUSPROGRAMMES!$E$1:$F$44,2,FALSE)</f>
        <v>56- Gestion des ressources financières</v>
      </c>
      <c r="AB1753" s="19" t="str">
        <f>C1753 &amp; "-" &amp; VLOOKUP(C1753,[4]RESULTATS!$E$1:$F$176,2,FALSE)</f>
        <v>561-Le financement du secteur est en adéquation avec les objectifs</v>
      </c>
      <c r="AC1753" s="20" t="str">
        <f>D1753 &amp; "-" &amp; VLOOKUP(D1753,[4]STRATEGIES!$E$1:$F$504,2,FALSE)</f>
        <v>5613-Préparation des documents de plaidoyer auprès des hauts décideurs pour l’accroissement de la part du secteur de l’éducation dans le budget de l’état</v>
      </c>
      <c r="AD1753" s="21" t="str">
        <f t="shared" si="256"/>
        <v>561311-Organisation d'une session de présentation des documents de plaidoyer et distribution du RAP</v>
      </c>
    </row>
    <row r="1754" spans="1:30" ht="30" hidden="1" customHeight="1" x14ac:dyDescent="0.8">
      <c r="A1754" s="25">
        <v>5</v>
      </c>
      <c r="B1754" s="16">
        <v>56</v>
      </c>
      <c r="C1754" s="16">
        <v>561</v>
      </c>
      <c r="D1754" s="16">
        <v>5613</v>
      </c>
      <c r="E1754" s="16">
        <v>561311</v>
      </c>
      <c r="F1754" s="16" t="s">
        <v>2203</v>
      </c>
      <c r="G1754" s="21" t="s">
        <v>315</v>
      </c>
      <c r="H1754" s="21" t="s">
        <v>38</v>
      </c>
      <c r="I1754" s="36">
        <v>0</v>
      </c>
      <c r="J1754" s="36">
        <f>50*1</f>
        <v>50</v>
      </c>
      <c r="K1754" s="36">
        <f>50*1</f>
        <v>50</v>
      </c>
      <c r="L1754" s="36">
        <f>50*1</f>
        <v>50</v>
      </c>
      <c r="M1754" s="36">
        <f t="shared" si="255"/>
        <v>150</v>
      </c>
      <c r="N1754" s="36">
        <f>IF(OR(H1754="",H1754="sif",H1754="PM"),0,VLOOKUP(H1754,[5]CU!$C$4:$H$255,6,FALSE))</f>
        <v>0.3133333333333333</v>
      </c>
      <c r="O1754" s="36">
        <f t="shared" si="259"/>
        <v>0</v>
      </c>
      <c r="P1754" s="36">
        <f t="shared" si="259"/>
        <v>15.666666666666664</v>
      </c>
      <c r="Q1754" s="36">
        <f t="shared" si="259"/>
        <v>15.666666666666664</v>
      </c>
      <c r="R1754" s="36">
        <f t="shared" si="259"/>
        <v>15.666666666666664</v>
      </c>
      <c r="S1754" s="36">
        <f t="shared" si="258"/>
        <v>46.999999999999993</v>
      </c>
      <c r="T1754" s="38" t="s">
        <v>169</v>
      </c>
      <c r="U1754" s="19" t="s">
        <v>1873</v>
      </c>
      <c r="V1754" s="19" t="str">
        <f>IF(OR($H1754="",$H1754="sif",$H1754="PM"),"",VLOOKUP($H1754,[5]CU!$C$5:$J$255,8,FALSE))</f>
        <v>3. Formation</v>
      </c>
      <c r="W1754" s="19" t="s">
        <v>1939</v>
      </c>
      <c r="X1754" s="19" t="s">
        <v>1939</v>
      </c>
      <c r="Y1754" s="19" t="s">
        <v>2066</v>
      </c>
      <c r="Z1754" s="19" t="str">
        <f>A1754 &amp; "-" &amp; VLOOKUP(A1754,[4]PROGRAMMES!$E$1:$F$7,2,FALSE)</f>
        <v>5-Gouvernance et pilotage du secteur</v>
      </c>
      <c r="AA1754" s="19" t="str">
        <f>B1754 &amp; "-" &amp; VLOOKUP(B1754,[4]SOUSPROGRAMMES!$E$1:$F$44,2,FALSE)</f>
        <v>56- Gestion des ressources financières</v>
      </c>
      <c r="AB1754" s="19" t="str">
        <f>C1754 &amp; "-" &amp; VLOOKUP(C1754,[4]RESULTATS!$E$1:$F$176,2,FALSE)</f>
        <v>561-Le financement du secteur est en adéquation avec les objectifs</v>
      </c>
      <c r="AC1754" s="20" t="str">
        <f>D1754 &amp; "-" &amp; VLOOKUP(D1754,[4]STRATEGIES!$E$1:$F$504,2,FALSE)</f>
        <v>5613-Préparation des documents de plaidoyer auprès des hauts décideurs pour l’accroissement de la part du secteur de l’éducation dans le budget de l’état</v>
      </c>
      <c r="AD1754" s="21" t="str">
        <f t="shared" si="256"/>
        <v>561311-Organisation d'une session de présentation des documents de plaidoyer et distribution du RAP</v>
      </c>
    </row>
    <row r="1755" spans="1:30" s="22" customFormat="1" ht="30" hidden="1" customHeight="1" x14ac:dyDescent="0.8">
      <c r="A1755" s="14">
        <v>5</v>
      </c>
      <c r="B1755" s="15">
        <v>56</v>
      </c>
      <c r="C1755" s="15">
        <v>561</v>
      </c>
      <c r="D1755" s="15">
        <v>5613</v>
      </c>
      <c r="E1755" s="15">
        <v>561312</v>
      </c>
      <c r="F1755" s="16" t="s">
        <v>2204</v>
      </c>
      <c r="G1755" s="21" t="s">
        <v>315</v>
      </c>
      <c r="H1755" s="17" t="s">
        <v>38</v>
      </c>
      <c r="I1755" s="33">
        <v>0</v>
      </c>
      <c r="J1755" s="33"/>
      <c r="K1755" s="33"/>
      <c r="L1755" s="33">
        <f>60*2*3</f>
        <v>360</v>
      </c>
      <c r="M1755" s="33">
        <f t="shared" si="255"/>
        <v>360</v>
      </c>
      <c r="N1755" s="33">
        <f>IF(OR(H1755="",H1755="sif",H1755="PM"),0,VLOOKUP(H1755,[5]CU!$C$4:$H$255,6,FALSE))</f>
        <v>0.3133333333333333</v>
      </c>
      <c r="O1755" s="33">
        <f t="shared" si="259"/>
        <v>0</v>
      </c>
      <c r="P1755" s="33">
        <f t="shared" si="259"/>
        <v>0</v>
      </c>
      <c r="Q1755" s="33">
        <f t="shared" si="259"/>
        <v>0</v>
      </c>
      <c r="R1755" s="33">
        <f t="shared" si="259"/>
        <v>112.79999999999998</v>
      </c>
      <c r="S1755" s="33">
        <f t="shared" si="258"/>
        <v>112.79999999999998</v>
      </c>
      <c r="T1755" s="35" t="s">
        <v>118</v>
      </c>
      <c r="U1755" s="18" t="s">
        <v>1873</v>
      </c>
      <c r="V1755" s="18" t="str">
        <f>IF(OR($H1755="",$H1755="sif",$H1755="PM"),"",VLOOKUP($H1755,[5]CU!$C$5:$J$255,8,FALSE))</f>
        <v>3. Formation</v>
      </c>
      <c r="W1755" s="18" t="s">
        <v>1936</v>
      </c>
      <c r="X1755" s="18" t="s">
        <v>1936</v>
      </c>
      <c r="Y1755" s="19" t="s">
        <v>32</v>
      </c>
      <c r="Z1755" s="18" t="str">
        <f>A1755 &amp; "-" &amp; VLOOKUP(A1755,[4]PROGRAMMES!$E$1:$F$7,2,FALSE)</f>
        <v>5-Gouvernance et pilotage du secteur</v>
      </c>
      <c r="AA1755" s="19" t="str">
        <f>B1755 &amp; "-" &amp; VLOOKUP(B1755,[4]SOUSPROGRAMMES!$E$1:$F$44,2,FALSE)</f>
        <v>56- Gestion des ressources financières</v>
      </c>
      <c r="AB1755" s="19" t="str">
        <f>C1755 &amp; "-" &amp; VLOOKUP(C1755,[4]RESULTATS!$E$1:$F$176,2,FALSE)</f>
        <v>561-Le financement du secteur est en adéquation avec les objectifs</v>
      </c>
      <c r="AC1755" s="20" t="str">
        <f>D1755 &amp; "-" &amp; VLOOKUP(D1755,[4]STRATEGIES!$E$1:$F$504,2,FALSE)</f>
        <v>5613-Préparation des documents de plaidoyer auprès des hauts décideurs pour l’accroissement de la part du secteur de l’éducation dans le budget de l’état</v>
      </c>
      <c r="AD1755" s="21" t="str">
        <f t="shared" si="256"/>
        <v>561312-Organisation des journées de portes ouvertes sur l'Education (concertation sur les problématiques du secteur)</v>
      </c>
    </row>
    <row r="1756" spans="1:30" s="22" customFormat="1" ht="60" hidden="1" customHeight="1" x14ac:dyDescent="0.8">
      <c r="A1756" s="14">
        <v>5</v>
      </c>
      <c r="B1756" s="15">
        <v>56</v>
      </c>
      <c r="C1756" s="15">
        <v>562</v>
      </c>
      <c r="D1756" s="15">
        <v>562</v>
      </c>
      <c r="E1756" s="15">
        <v>562</v>
      </c>
      <c r="F1756" s="16" t="s">
        <v>2205</v>
      </c>
      <c r="G1756" s="17"/>
      <c r="H1756" s="17"/>
      <c r="I1756" s="33">
        <v>0</v>
      </c>
      <c r="J1756" s="33"/>
      <c r="K1756" s="33"/>
      <c r="L1756" s="33"/>
      <c r="M1756" s="33"/>
      <c r="N1756" s="33"/>
      <c r="O1756" s="33"/>
      <c r="P1756" s="33"/>
      <c r="Q1756" s="33"/>
      <c r="R1756" s="33"/>
      <c r="S1756" s="33"/>
      <c r="T1756" s="33"/>
      <c r="U1756" s="18"/>
      <c r="V1756" s="18"/>
      <c r="W1756" s="18"/>
      <c r="X1756" s="18"/>
      <c r="Y1756" s="18"/>
      <c r="Z1756" s="18" t="str">
        <f>A1756 &amp; "-" &amp; VLOOKUP(A1756,[4]PROGRAMMES!$E$1:$F$7,2,FALSE)</f>
        <v>5-Gouvernance et pilotage du secteur</v>
      </c>
      <c r="AA1756" s="19" t="str">
        <f>B1756 &amp; "-" &amp; VLOOKUP(B1756,[4]SOUSPROGRAMMES!$E$1:$F$44,2,FALSE)</f>
        <v>56- Gestion des ressources financières</v>
      </c>
      <c r="AB1756" s="19" t="str">
        <f>C1756 &amp; "-" &amp; VLOOKUP(C1756,[4]RESULTATS!$E$1:$F$176,2,FALSE)</f>
        <v>562- Les structures bénéficiaires reçoivent à temps les budgets nécessaires pour la mise en œuvre de leurs activités</v>
      </c>
      <c r="AC1756" s="20" t="str">
        <f>D1756 &amp; "-" &amp; VLOOKUP(D1756,[4]STRATEGIES!$E$1:$F$504,2,FALSE)</f>
        <v>562- Les structures bénéficiaires reçoivent à temps les budgets nécessaires pour la mise en œuvre de leurs activités</v>
      </c>
      <c r="AD1756" s="21" t="str">
        <f t="shared" si="256"/>
        <v>562- Les structures bénéficiaires reçoivent à temps les budgets nécessaires pour la mise en œuvre de leurs activités</v>
      </c>
    </row>
    <row r="1757" spans="1:30" s="22" customFormat="1" ht="60" hidden="1" customHeight="1" x14ac:dyDescent="0.8">
      <c r="A1757" s="14">
        <v>5</v>
      </c>
      <c r="B1757" s="15">
        <v>56</v>
      </c>
      <c r="C1757" s="15">
        <v>562</v>
      </c>
      <c r="D1757" s="15">
        <v>5621</v>
      </c>
      <c r="E1757" s="15">
        <v>5621</v>
      </c>
      <c r="F1757" s="16" t="s">
        <v>2206</v>
      </c>
      <c r="G1757" s="17"/>
      <c r="H1757" s="17"/>
      <c r="I1757" s="33">
        <v>0</v>
      </c>
      <c r="J1757" s="33"/>
      <c r="K1757" s="33"/>
      <c r="L1757" s="33"/>
      <c r="M1757" s="33"/>
      <c r="N1757" s="33"/>
      <c r="O1757" s="33"/>
      <c r="P1757" s="33"/>
      <c r="Q1757" s="33"/>
      <c r="R1757" s="33"/>
      <c r="S1757" s="33"/>
      <c r="T1757" s="33"/>
      <c r="U1757" s="18"/>
      <c r="V1757" s="18"/>
      <c r="W1757" s="18"/>
      <c r="X1757" s="18"/>
      <c r="Y1757" s="18"/>
      <c r="Z1757" s="18" t="str">
        <f>A1757 &amp; "-" &amp; VLOOKUP(A1757,[4]PROGRAMMES!$E$1:$F$7,2,FALSE)</f>
        <v>5-Gouvernance et pilotage du secteur</v>
      </c>
      <c r="AA1757" s="19" t="str">
        <f>B1757 &amp; "-" &amp; VLOOKUP(B1757,[4]SOUSPROGRAMMES!$E$1:$F$44,2,FALSE)</f>
        <v>56- Gestion des ressources financières</v>
      </c>
      <c r="AB1757" s="19" t="str">
        <f>C1757 &amp; "-" &amp; VLOOKUP(C1757,[4]RESULTATS!$E$1:$F$176,2,FALSE)</f>
        <v>562- Les structures bénéficiaires reçoivent à temps les budgets nécessaires pour la mise en œuvre de leurs activités</v>
      </c>
      <c r="AC1757" s="20" t="str">
        <f>D1757 &amp; "-" &amp; VLOOKUP(D1757,[4]STRATEGIES!$E$1:$F$504,2,FALSE)</f>
        <v>5621-Publication des allocations budgétaires</v>
      </c>
      <c r="AD1757" s="21" t="str">
        <f t="shared" si="256"/>
        <v>5621-Publication des allocations budgétaires</v>
      </c>
    </row>
    <row r="1758" spans="1:30" s="22" customFormat="1" ht="60" hidden="1" customHeight="1" x14ac:dyDescent="0.8">
      <c r="A1758" s="14">
        <v>5</v>
      </c>
      <c r="B1758" s="15">
        <v>56</v>
      </c>
      <c r="C1758" s="15">
        <v>562</v>
      </c>
      <c r="D1758" s="15">
        <v>5621</v>
      </c>
      <c r="E1758" s="15">
        <v>56211</v>
      </c>
      <c r="F1758" s="16" t="s">
        <v>2207</v>
      </c>
      <c r="G1758" s="21" t="s">
        <v>315</v>
      </c>
      <c r="H1758" s="17" t="s">
        <v>301</v>
      </c>
      <c r="I1758" s="33">
        <v>0</v>
      </c>
      <c r="J1758" s="33"/>
      <c r="K1758" s="33"/>
      <c r="L1758" s="33"/>
      <c r="M1758" s="33">
        <f>SUM(I1758:L1758)</f>
        <v>0</v>
      </c>
      <c r="N1758" s="33">
        <f>IF(OR(H1758="",H1758="sif",H1758="PM"),0,VLOOKUP(H1758,[5]CU!$C$4:$H$255,6,FALSE))</f>
        <v>0.67666666666666664</v>
      </c>
      <c r="O1758" s="33">
        <f>IFERROR($N1758*I1758,0)</f>
        <v>0</v>
      </c>
      <c r="P1758" s="33">
        <f>IFERROR($N1758*J1758,0)</f>
        <v>0</v>
      </c>
      <c r="Q1758" s="33">
        <f>IFERROR($N1758*K1758,0)</f>
        <v>0</v>
      </c>
      <c r="R1758" s="33">
        <f>IFERROR($N1758*L1758,0)</f>
        <v>0</v>
      </c>
      <c r="S1758" s="33">
        <f>SUM(O1758:R1758)</f>
        <v>0</v>
      </c>
      <c r="T1758" s="35" t="s">
        <v>178</v>
      </c>
      <c r="U1758" s="18" t="s">
        <v>1873</v>
      </c>
      <c r="V1758" s="18" t="str">
        <f>IF(OR($H1758="",$H1758="sif",$H1758="PM"),"",VLOOKUP($H1758,[5]CU!$C$5:$J$255,8,FALSE))</f>
        <v>3. Formation</v>
      </c>
      <c r="W1758" s="18" t="s">
        <v>1936</v>
      </c>
      <c r="X1758" s="18" t="s">
        <v>1936</v>
      </c>
      <c r="Y1758" s="19" t="s">
        <v>32</v>
      </c>
      <c r="Z1758" s="18" t="str">
        <f>A1758 &amp; "-" &amp; VLOOKUP(A1758,[4]PROGRAMMES!$E$1:$F$7,2,FALSE)</f>
        <v>5-Gouvernance et pilotage du secteur</v>
      </c>
      <c r="AA1758" s="19" t="str">
        <f>B1758 &amp; "-" &amp; VLOOKUP(B1758,[4]SOUSPROGRAMMES!$E$1:$F$44,2,FALSE)</f>
        <v>56- Gestion des ressources financières</v>
      </c>
      <c r="AB1758" s="19" t="str">
        <f>C1758 &amp; "-" &amp; VLOOKUP(C1758,[4]RESULTATS!$E$1:$F$176,2,FALSE)</f>
        <v>562- Les structures bénéficiaires reçoivent à temps les budgets nécessaires pour la mise en œuvre de leurs activités</v>
      </c>
      <c r="AC1758" s="20" t="str">
        <f>D1758 &amp; "-" &amp; VLOOKUP(D1758,[4]STRATEGIES!$E$1:$F$504,2,FALSE)</f>
        <v>5621-Publication des allocations budgétaires</v>
      </c>
      <c r="AD1758" s="21" t="str">
        <f t="shared" si="256"/>
        <v>56211-Formation des cadres centraux/déconcentrés et de Cellule CDMT en Excel Avancé pour faciliter l'exploitation budget sous son format Excel</v>
      </c>
    </row>
    <row r="1759" spans="1:30" ht="60" hidden="1" customHeight="1" x14ac:dyDescent="0.8">
      <c r="A1759" s="25">
        <v>5</v>
      </c>
      <c r="B1759" s="16">
        <v>56</v>
      </c>
      <c r="C1759" s="16">
        <v>562</v>
      </c>
      <c r="D1759" s="16">
        <v>5621</v>
      </c>
      <c r="E1759" s="16">
        <v>56211</v>
      </c>
      <c r="F1759" s="16" t="s">
        <v>2207</v>
      </c>
      <c r="G1759" s="21" t="s">
        <v>315</v>
      </c>
      <c r="H1759" s="21" t="s">
        <v>301</v>
      </c>
      <c r="I1759" s="36">
        <v>0</v>
      </c>
      <c r="J1759" s="36">
        <f>40*5</f>
        <v>200</v>
      </c>
      <c r="K1759" s="36">
        <f>40*5</f>
        <v>200</v>
      </c>
      <c r="L1759" s="36"/>
      <c r="M1759" s="36">
        <f t="shared" si="255"/>
        <v>400</v>
      </c>
      <c r="N1759" s="36">
        <f>IF(OR(H1759="",H1759="sif",H1759="PM"),0,VLOOKUP(H1759,[5]CU!$C$4:$H$255,6,FALSE))</f>
        <v>0.67666666666666664</v>
      </c>
      <c r="O1759" s="36">
        <f t="shared" ref="O1759:R1769" si="260">IFERROR($N1759*I1759,0)</f>
        <v>0</v>
      </c>
      <c r="P1759" s="36">
        <f t="shared" si="260"/>
        <v>135.33333333333331</v>
      </c>
      <c r="Q1759" s="36">
        <f t="shared" si="260"/>
        <v>135.33333333333331</v>
      </c>
      <c r="R1759" s="36">
        <f t="shared" si="260"/>
        <v>0</v>
      </c>
      <c r="S1759" s="36">
        <f t="shared" si="258"/>
        <v>270.66666666666663</v>
      </c>
      <c r="T1759" s="38" t="s">
        <v>169</v>
      </c>
      <c r="U1759" s="19" t="s">
        <v>1873</v>
      </c>
      <c r="V1759" s="19" t="str">
        <f>IF(OR($H1759="",$H1759="sif",$H1759="PM"),"",VLOOKUP($H1759,[5]CU!$C$5:$J$255,8,FALSE))</f>
        <v>3. Formation</v>
      </c>
      <c r="W1759" s="19" t="s">
        <v>1939</v>
      </c>
      <c r="X1759" s="19" t="s">
        <v>1939</v>
      </c>
      <c r="Y1759" s="19" t="s">
        <v>2066</v>
      </c>
      <c r="Z1759" s="19" t="str">
        <f>A1759 &amp; "-" &amp; VLOOKUP(A1759,[4]PROGRAMMES!$E$1:$F$7,2,FALSE)</f>
        <v>5-Gouvernance et pilotage du secteur</v>
      </c>
      <c r="AA1759" s="19" t="str">
        <f>B1759 &amp; "-" &amp; VLOOKUP(B1759,[4]SOUSPROGRAMMES!$E$1:$F$44,2,FALSE)</f>
        <v>56- Gestion des ressources financières</v>
      </c>
      <c r="AB1759" s="19" t="str">
        <f>C1759 &amp; "-" &amp; VLOOKUP(C1759,[4]RESULTATS!$E$1:$F$176,2,FALSE)</f>
        <v>562- Les structures bénéficiaires reçoivent à temps les budgets nécessaires pour la mise en œuvre de leurs activités</v>
      </c>
      <c r="AC1759" s="20" t="str">
        <f>D1759 &amp; "-" &amp; VLOOKUP(D1759,[4]STRATEGIES!$E$1:$F$504,2,FALSE)</f>
        <v>5621-Publication des allocations budgétaires</v>
      </c>
      <c r="AD1759" s="21" t="str">
        <f t="shared" si="256"/>
        <v>56211-Formation des cadres centraux/déconcentrés et de Cellule CDMT en Excel Avancé pour faciliter l'exploitation budget sous son format Excel</v>
      </c>
    </row>
    <row r="1760" spans="1:30" s="22" customFormat="1" ht="60" hidden="1" customHeight="1" x14ac:dyDescent="0.8">
      <c r="A1760" s="14">
        <v>5</v>
      </c>
      <c r="B1760" s="15">
        <v>56</v>
      </c>
      <c r="C1760" s="15">
        <v>562</v>
      </c>
      <c r="D1760" s="15">
        <v>5621</v>
      </c>
      <c r="E1760" s="15">
        <v>56212</v>
      </c>
      <c r="F1760" s="16" t="s">
        <v>2208</v>
      </c>
      <c r="G1760" s="21" t="s">
        <v>88</v>
      </c>
      <c r="H1760" s="17" t="s">
        <v>55</v>
      </c>
      <c r="I1760" s="33">
        <v>0</v>
      </c>
      <c r="J1760" s="33">
        <v>1</v>
      </c>
      <c r="K1760" s="33">
        <v>1</v>
      </c>
      <c r="L1760" s="33">
        <v>1</v>
      </c>
      <c r="M1760" s="33">
        <f t="shared" si="255"/>
        <v>3</v>
      </c>
      <c r="N1760" s="33">
        <f>IF(OR(H1760="",H1760="sif",H1760="PM"),0,VLOOKUP(H1760,[5]CU!$C$4:$H$255,6,FALSE))</f>
        <v>0</v>
      </c>
      <c r="O1760" s="33">
        <f t="shared" si="260"/>
        <v>0</v>
      </c>
      <c r="P1760" s="33">
        <f t="shared" si="260"/>
        <v>0</v>
      </c>
      <c r="Q1760" s="33">
        <f t="shared" si="260"/>
        <v>0</v>
      </c>
      <c r="R1760" s="33">
        <f t="shared" si="260"/>
        <v>0</v>
      </c>
      <c r="S1760" s="33"/>
      <c r="T1760" s="35" t="s">
        <v>56</v>
      </c>
      <c r="U1760" s="18" t="s">
        <v>1873</v>
      </c>
      <c r="V1760" s="18" t="str">
        <f>IF(OR($H1760="",$H1760="sif",$H1760="PM"),"",VLOOKUP($H1760,[5]CU!$C$5:$J$255,8,FALSE))</f>
        <v/>
      </c>
      <c r="W1760" s="18" t="s">
        <v>1936</v>
      </c>
      <c r="X1760" s="18" t="s">
        <v>521</v>
      </c>
      <c r="Y1760" s="19" t="s">
        <v>32</v>
      </c>
      <c r="Z1760" s="18" t="str">
        <f>A1760 &amp; "-" &amp; VLOOKUP(A1760,[4]PROGRAMMES!$E$1:$F$7,2,FALSE)</f>
        <v>5-Gouvernance et pilotage du secteur</v>
      </c>
      <c r="AA1760" s="19" t="str">
        <f>B1760 &amp; "-" &amp; VLOOKUP(B1760,[4]SOUSPROGRAMMES!$E$1:$F$44,2,FALSE)</f>
        <v>56- Gestion des ressources financières</v>
      </c>
      <c r="AB1760" s="19" t="str">
        <f>C1760 &amp; "-" &amp; VLOOKUP(C1760,[4]RESULTATS!$E$1:$F$176,2,FALSE)</f>
        <v>562- Les structures bénéficiaires reçoivent à temps les budgets nécessaires pour la mise en œuvre de leurs activités</v>
      </c>
      <c r="AC1760" s="20" t="str">
        <f>D1760 &amp; "-" &amp; VLOOKUP(D1760,[4]STRATEGIES!$E$1:$F$504,2,FALSE)</f>
        <v>5621-Publication des allocations budgétaires</v>
      </c>
      <c r="AD1760" s="21" t="str">
        <f t="shared" si="256"/>
        <v>56212-Extraction et transmission du budget des services centraux et déconcentrés</v>
      </c>
    </row>
    <row r="1761" spans="1:30" s="22" customFormat="1" ht="60" hidden="1" customHeight="1" x14ac:dyDescent="0.8">
      <c r="A1761" s="14">
        <v>5</v>
      </c>
      <c r="B1761" s="15">
        <v>56</v>
      </c>
      <c r="C1761" s="15">
        <v>562</v>
      </c>
      <c r="D1761" s="15">
        <v>5621</v>
      </c>
      <c r="E1761" s="15">
        <v>56213</v>
      </c>
      <c r="F1761" s="16" t="s">
        <v>2209</v>
      </c>
      <c r="G1761" s="21" t="s">
        <v>88</v>
      </c>
      <c r="H1761" s="17" t="s">
        <v>55</v>
      </c>
      <c r="I1761" s="33">
        <v>0</v>
      </c>
      <c r="J1761" s="33">
        <v>1</v>
      </c>
      <c r="K1761" s="33">
        <v>1</v>
      </c>
      <c r="L1761" s="33">
        <v>1</v>
      </c>
      <c r="M1761" s="33">
        <f t="shared" si="255"/>
        <v>3</v>
      </c>
      <c r="N1761" s="33">
        <f>IF(OR(H1761="",H1761="sif",H1761="PM"),0,VLOOKUP(H1761,[5]CU!$C$4:$H$255,6,FALSE))</f>
        <v>0</v>
      </c>
      <c r="O1761" s="33">
        <f t="shared" si="260"/>
        <v>0</v>
      </c>
      <c r="P1761" s="33">
        <f t="shared" si="260"/>
        <v>0</v>
      </c>
      <c r="Q1761" s="33">
        <f t="shared" si="260"/>
        <v>0</v>
      </c>
      <c r="R1761" s="33">
        <f t="shared" si="260"/>
        <v>0</v>
      </c>
      <c r="S1761" s="33"/>
      <c r="T1761" s="35" t="s">
        <v>56</v>
      </c>
      <c r="U1761" s="18" t="s">
        <v>1873</v>
      </c>
      <c r="V1761" s="18" t="str">
        <f>IF(OR($H1761="",$H1761="sif",$H1761="PM"),"",VLOOKUP($H1761,[5]CU!$C$5:$J$255,8,FALSE))</f>
        <v/>
      </c>
      <c r="W1761" s="18" t="s">
        <v>96</v>
      </c>
      <c r="X1761" s="18" t="s">
        <v>521</v>
      </c>
      <c r="Y1761" s="19" t="s">
        <v>32</v>
      </c>
      <c r="Z1761" s="18" t="str">
        <f>A1761 &amp; "-" &amp; VLOOKUP(A1761,[4]PROGRAMMES!$E$1:$F$7,2,FALSE)</f>
        <v>5-Gouvernance et pilotage du secteur</v>
      </c>
      <c r="AA1761" s="19" t="str">
        <f>B1761 &amp; "-" &amp; VLOOKUP(B1761,[4]SOUSPROGRAMMES!$E$1:$F$44,2,FALSE)</f>
        <v>56- Gestion des ressources financières</v>
      </c>
      <c r="AB1761" s="19" t="str">
        <f>C1761 &amp; "-" &amp; VLOOKUP(C1761,[4]RESULTATS!$E$1:$F$176,2,FALSE)</f>
        <v>562- Les structures bénéficiaires reçoivent à temps les budgets nécessaires pour la mise en œuvre de leurs activités</v>
      </c>
      <c r="AC1761" s="20" t="str">
        <f>D1761 &amp; "-" &amp; VLOOKUP(D1761,[4]STRATEGIES!$E$1:$F$504,2,FALSE)</f>
        <v>5621-Publication des allocations budgétaires</v>
      </c>
      <c r="AD1761" s="21" t="str">
        <f t="shared" si="256"/>
        <v>56213-Planification de l'exécution budgétaire par service et transmission au niveau central</v>
      </c>
    </row>
    <row r="1762" spans="1:30" s="22" customFormat="1" ht="60" hidden="1" customHeight="1" x14ac:dyDescent="0.8">
      <c r="A1762" s="14">
        <v>5</v>
      </c>
      <c r="B1762" s="15">
        <v>56</v>
      </c>
      <c r="C1762" s="15">
        <v>562</v>
      </c>
      <c r="D1762" s="15">
        <v>5621</v>
      </c>
      <c r="E1762" s="15">
        <v>56214</v>
      </c>
      <c r="F1762" s="16" t="s">
        <v>2210</v>
      </c>
      <c r="G1762" s="21" t="s">
        <v>88</v>
      </c>
      <c r="H1762" s="17" t="s">
        <v>55</v>
      </c>
      <c r="I1762" s="33">
        <v>0</v>
      </c>
      <c r="J1762" s="33">
        <v>1</v>
      </c>
      <c r="K1762" s="33">
        <v>1</v>
      </c>
      <c r="L1762" s="33">
        <v>1</v>
      </c>
      <c r="M1762" s="33">
        <f t="shared" si="255"/>
        <v>3</v>
      </c>
      <c r="N1762" s="33">
        <f>IF(OR(H1762="",H1762="sif",H1762="PM"),0,VLOOKUP(H1762,[5]CU!$C$4:$H$255,6,FALSE))</f>
        <v>0</v>
      </c>
      <c r="O1762" s="33">
        <f t="shared" si="260"/>
        <v>0</v>
      </c>
      <c r="P1762" s="33">
        <f t="shared" si="260"/>
        <v>0</v>
      </c>
      <c r="Q1762" s="33">
        <f t="shared" si="260"/>
        <v>0</v>
      </c>
      <c r="R1762" s="33">
        <f t="shared" si="260"/>
        <v>0</v>
      </c>
      <c r="S1762" s="33"/>
      <c r="T1762" s="35" t="s">
        <v>56</v>
      </c>
      <c r="U1762" s="18" t="s">
        <v>1873</v>
      </c>
      <c r="V1762" s="18" t="str">
        <f>IF(OR($H1762="",$H1762="sif",$H1762="PM"),"",VLOOKUP($H1762,[5]CU!$C$5:$J$255,8,FALSE))</f>
        <v/>
      </c>
      <c r="W1762" s="18" t="s">
        <v>1936</v>
      </c>
      <c r="X1762" s="18" t="s">
        <v>521</v>
      </c>
      <c r="Y1762" s="19" t="s">
        <v>32</v>
      </c>
      <c r="Z1762" s="18" t="str">
        <f>A1762 &amp; "-" &amp; VLOOKUP(A1762,[4]PROGRAMMES!$E$1:$F$7,2,FALSE)</f>
        <v>5-Gouvernance et pilotage du secteur</v>
      </c>
      <c r="AA1762" s="19" t="str">
        <f>B1762 &amp; "-" &amp; VLOOKUP(B1762,[4]SOUSPROGRAMMES!$E$1:$F$44,2,FALSE)</f>
        <v>56- Gestion des ressources financières</v>
      </c>
      <c r="AB1762" s="19" t="str">
        <f>C1762 &amp; "-" &amp; VLOOKUP(C1762,[4]RESULTATS!$E$1:$F$176,2,FALSE)</f>
        <v>562- Les structures bénéficiaires reçoivent à temps les budgets nécessaires pour la mise en œuvre de leurs activités</v>
      </c>
      <c r="AC1762" s="20" t="str">
        <f>D1762 &amp; "-" &amp; VLOOKUP(D1762,[4]STRATEGIES!$E$1:$F$504,2,FALSE)</f>
        <v>5621-Publication des allocations budgétaires</v>
      </c>
      <c r="AD1762" s="21" t="str">
        <f t="shared" si="256"/>
        <v>56214-Intégration par la DAF des planifications budgétaires transmises dans le plan de mise en œuvre du budget du secteur</v>
      </c>
    </row>
    <row r="1763" spans="1:30" s="22" customFormat="1" ht="60" hidden="1" customHeight="1" x14ac:dyDescent="0.8">
      <c r="A1763" s="14">
        <v>5</v>
      </c>
      <c r="B1763" s="15">
        <v>56</v>
      </c>
      <c r="C1763" s="15">
        <v>562</v>
      </c>
      <c r="D1763" s="15">
        <v>5621</v>
      </c>
      <c r="E1763" s="15">
        <v>56215</v>
      </c>
      <c r="F1763" s="16" t="s">
        <v>2211</v>
      </c>
      <c r="G1763" s="21" t="s">
        <v>1860</v>
      </c>
      <c r="H1763" s="17" t="s">
        <v>2212</v>
      </c>
      <c r="I1763" s="33">
        <v>0</v>
      </c>
      <c r="J1763" s="33"/>
      <c r="K1763" s="33"/>
      <c r="L1763" s="33"/>
      <c r="M1763" s="33">
        <f>SUM(I1763:L1763)</f>
        <v>0</v>
      </c>
      <c r="N1763" s="33">
        <f>IF(OR(H1763="",H1763="sif",H1763="PM"),0,VLOOKUP(H1763,[5]CU!$C$4:$H$255,6,FALSE))</f>
        <v>28879.505390999999</v>
      </c>
      <c r="O1763" s="33">
        <f t="shared" si="260"/>
        <v>0</v>
      </c>
      <c r="P1763" s="33">
        <f t="shared" si="260"/>
        <v>0</v>
      </c>
      <c r="Q1763" s="33">
        <f t="shared" si="260"/>
        <v>0</v>
      </c>
      <c r="R1763" s="33">
        <f t="shared" si="260"/>
        <v>0</v>
      </c>
      <c r="S1763" s="33">
        <f>SUM(O1763:R1763)</f>
        <v>0</v>
      </c>
      <c r="T1763" s="35" t="s">
        <v>178</v>
      </c>
      <c r="U1763" s="18" t="s">
        <v>1873</v>
      </c>
      <c r="V1763" s="18" t="str">
        <f>IF(OR($H1763="",$H1763="sif",$H1763="PM"),"",VLOOKUP($H1763,[5]CU!$C$5:$J$255,8,FALSE))</f>
        <v>3. Dépenses de fonctionnement</v>
      </c>
      <c r="W1763" s="18" t="s">
        <v>521</v>
      </c>
      <c r="X1763" s="18" t="s">
        <v>521</v>
      </c>
      <c r="Y1763" s="19" t="s">
        <v>32</v>
      </c>
      <c r="Z1763" s="18" t="str">
        <f>A1763 &amp; "-" &amp; VLOOKUP(A1763,[4]PROGRAMMES!$E$1:$F$7,2,FALSE)</f>
        <v>5-Gouvernance et pilotage du secteur</v>
      </c>
      <c r="AA1763" s="19" t="str">
        <f>B1763 &amp; "-" &amp; VLOOKUP(B1763,[4]SOUSPROGRAMMES!$E$1:$F$44,2,FALSE)</f>
        <v>56- Gestion des ressources financières</v>
      </c>
      <c r="AB1763" s="19" t="str">
        <f>C1763 &amp; "-" &amp; VLOOKUP(C1763,[4]RESULTATS!$E$1:$F$176,2,FALSE)</f>
        <v>562- Les structures bénéficiaires reçoivent à temps les budgets nécessaires pour la mise en œuvre de leurs activités</v>
      </c>
      <c r="AC1763" s="20" t="str">
        <f>D1763 &amp; "-" &amp; VLOOKUP(D1763,[4]STRATEGIES!$E$1:$F$504,2,FALSE)</f>
        <v>5621-Publication des allocations budgétaires</v>
      </c>
      <c r="AD1763" s="21" t="str">
        <f t="shared" si="256"/>
        <v xml:space="preserve">56215-Mise à disposition des budgets aux structures déconcentrées (subventions DPE/DCE/IRE, DSEE) </v>
      </c>
    </row>
    <row r="1764" spans="1:30" ht="60" hidden="1" customHeight="1" x14ac:dyDescent="0.8">
      <c r="A1764" s="25">
        <v>5</v>
      </c>
      <c r="B1764" s="16">
        <v>56</v>
      </c>
      <c r="C1764" s="16">
        <v>562</v>
      </c>
      <c r="D1764" s="16">
        <v>5621</v>
      </c>
      <c r="E1764" s="16">
        <v>56215</v>
      </c>
      <c r="F1764" s="16" t="s">
        <v>2211</v>
      </c>
      <c r="G1764" s="21" t="s">
        <v>1860</v>
      </c>
      <c r="H1764" s="21" t="s">
        <v>2212</v>
      </c>
      <c r="I1764" s="36">
        <v>0</v>
      </c>
      <c r="J1764" s="36">
        <v>0.2</v>
      </c>
      <c r="K1764" s="36">
        <v>0.4</v>
      </c>
      <c r="L1764" s="36">
        <v>0.3</v>
      </c>
      <c r="M1764" s="36">
        <f>SUM(I1764:L1764)</f>
        <v>0.90000000000000013</v>
      </c>
      <c r="N1764" s="36">
        <f>IF(OR(H1764="",H1764="sif",H1764="PM"),0,VLOOKUP(H1764,[5]CU!$C$4:$H$255,6,FALSE))</f>
        <v>28879.505390999999</v>
      </c>
      <c r="O1764" s="36">
        <f t="shared" si="260"/>
        <v>0</v>
      </c>
      <c r="P1764" s="36">
        <f t="shared" si="260"/>
        <v>5775.9010782000005</v>
      </c>
      <c r="Q1764" s="36">
        <f t="shared" si="260"/>
        <v>11551.802156400001</v>
      </c>
      <c r="R1764" s="36">
        <f t="shared" si="260"/>
        <v>8663.8516172999989</v>
      </c>
      <c r="S1764" s="36">
        <f>SUM(O1764:R1764)</f>
        <v>25991.5548519</v>
      </c>
      <c r="T1764" s="38" t="s">
        <v>169</v>
      </c>
      <c r="U1764" s="19" t="s">
        <v>1873</v>
      </c>
      <c r="V1764" s="19" t="str">
        <f>IF(OR($H1764="",$H1764="sif",$H1764="PM"),"",VLOOKUP($H1764,[5]CU!$C$5:$J$255,8,FALSE))</f>
        <v>3. Dépenses de fonctionnement</v>
      </c>
      <c r="W1764" s="19" t="s">
        <v>521</v>
      </c>
      <c r="X1764" s="19" t="s">
        <v>521</v>
      </c>
      <c r="Y1764" s="19" t="s">
        <v>2066</v>
      </c>
      <c r="Z1764" s="19" t="str">
        <f>A1764 &amp; "-" &amp; VLOOKUP(A1764,[4]PROGRAMMES!$E$1:$F$7,2,FALSE)</f>
        <v>5-Gouvernance et pilotage du secteur</v>
      </c>
      <c r="AA1764" s="19" t="str">
        <f>B1764 &amp; "-" &amp; VLOOKUP(B1764,[4]SOUSPROGRAMMES!$E$1:$F$44,2,FALSE)</f>
        <v>56- Gestion des ressources financières</v>
      </c>
      <c r="AB1764" s="19" t="str">
        <f>C1764 &amp; "-" &amp; VLOOKUP(C1764,[4]RESULTATS!$E$1:$F$176,2,FALSE)</f>
        <v>562- Les structures bénéficiaires reçoivent à temps les budgets nécessaires pour la mise en œuvre de leurs activités</v>
      </c>
      <c r="AC1764" s="20" t="str">
        <f>D1764 &amp; "-" &amp; VLOOKUP(D1764,[4]STRATEGIES!$E$1:$F$504,2,FALSE)</f>
        <v>5621-Publication des allocations budgétaires</v>
      </c>
      <c r="AD1764" s="21" t="str">
        <f t="shared" si="256"/>
        <v xml:space="preserve">56215-Mise à disposition des budgets aux structures déconcentrées (subventions DPE/DCE/IRE, DSEE) </v>
      </c>
    </row>
    <row r="1765" spans="1:30" s="22" customFormat="1" ht="60" hidden="1" customHeight="1" x14ac:dyDescent="0.8">
      <c r="A1765" s="14">
        <v>5</v>
      </c>
      <c r="B1765" s="15">
        <v>56</v>
      </c>
      <c r="C1765" s="15">
        <v>562</v>
      </c>
      <c r="D1765" s="15">
        <v>5621</v>
      </c>
      <c r="E1765" s="15">
        <v>56215</v>
      </c>
      <c r="F1765" s="16" t="s">
        <v>2211</v>
      </c>
      <c r="G1765" s="21" t="s">
        <v>1860</v>
      </c>
      <c r="H1765" s="17" t="s">
        <v>2212</v>
      </c>
      <c r="I1765" s="33">
        <v>0</v>
      </c>
      <c r="J1765" s="33">
        <v>0.9</v>
      </c>
      <c r="K1765" s="33">
        <v>0.9</v>
      </c>
      <c r="L1765" s="33">
        <v>0.9</v>
      </c>
      <c r="M1765" s="33">
        <f t="shared" si="255"/>
        <v>2.7</v>
      </c>
      <c r="N1765" s="33">
        <f>IF(OR(H1765="",H1765="sif",H1765="PM"),0,VLOOKUP(H1765,[5]CU!$C$4:$H$255,6,FALSE))</f>
        <v>28879.505390999999</v>
      </c>
      <c r="O1765" s="33">
        <f t="shared" si="260"/>
        <v>0</v>
      </c>
      <c r="P1765" s="33">
        <f t="shared" si="260"/>
        <v>25991.5548519</v>
      </c>
      <c r="Q1765" s="33">
        <f t="shared" si="260"/>
        <v>25991.5548519</v>
      </c>
      <c r="R1765" s="33">
        <f t="shared" si="260"/>
        <v>25991.5548519</v>
      </c>
      <c r="S1765" s="33">
        <f t="shared" ref="S1765:S1783" si="261">SUM(O1765:R1765)</f>
        <v>77974.664555700001</v>
      </c>
      <c r="T1765" s="35" t="s">
        <v>56</v>
      </c>
      <c r="U1765" s="18" t="s">
        <v>1873</v>
      </c>
      <c r="V1765" s="18" t="str">
        <f>IF(OR($H1765="",$H1765="sif",$H1765="PM"),"",VLOOKUP($H1765,[5]CU!$C$5:$J$255,8,FALSE))</f>
        <v>3. Dépenses de fonctionnement</v>
      </c>
      <c r="W1765" s="18" t="s">
        <v>521</v>
      </c>
      <c r="X1765" s="18" t="s">
        <v>521</v>
      </c>
      <c r="Y1765" s="19" t="s">
        <v>32</v>
      </c>
      <c r="Z1765" s="18" t="str">
        <f>A1765 &amp; "-" &amp; VLOOKUP(A1765,[4]PROGRAMMES!$E$1:$F$7,2,FALSE)</f>
        <v>5-Gouvernance et pilotage du secteur</v>
      </c>
      <c r="AA1765" s="19" t="str">
        <f>B1765 &amp; "-" &amp; VLOOKUP(B1765,[4]SOUSPROGRAMMES!$E$1:$F$44,2,FALSE)</f>
        <v>56- Gestion des ressources financières</v>
      </c>
      <c r="AB1765" s="19" t="str">
        <f>C1765 &amp; "-" &amp; VLOOKUP(C1765,[4]RESULTATS!$E$1:$F$176,2,FALSE)</f>
        <v>562- Les structures bénéficiaires reçoivent à temps les budgets nécessaires pour la mise en œuvre de leurs activités</v>
      </c>
      <c r="AC1765" s="20" t="str">
        <f>D1765 &amp; "-" &amp; VLOOKUP(D1765,[4]STRATEGIES!$E$1:$F$504,2,FALSE)</f>
        <v>5621-Publication des allocations budgétaires</v>
      </c>
      <c r="AD1765" s="21" t="str">
        <f t="shared" si="256"/>
        <v xml:space="preserve">56215-Mise à disposition des budgets aux structures déconcentrées (subventions DPE/DCE/IRE, DSEE) </v>
      </c>
    </row>
    <row r="1766" spans="1:30" s="22" customFormat="1" ht="60" hidden="1" customHeight="1" x14ac:dyDescent="0.8">
      <c r="A1766" s="14">
        <v>5</v>
      </c>
      <c r="B1766" s="15">
        <v>56</v>
      </c>
      <c r="C1766" s="15">
        <v>562</v>
      </c>
      <c r="D1766" s="15">
        <v>5621</v>
      </c>
      <c r="E1766" s="15">
        <v>56216</v>
      </c>
      <c r="F1766" s="16" t="s">
        <v>2213</v>
      </c>
      <c r="G1766" s="21" t="s">
        <v>2214</v>
      </c>
      <c r="H1766" s="17" t="s">
        <v>2215</v>
      </c>
      <c r="I1766" s="33">
        <v>0</v>
      </c>
      <c r="J1766" s="33">
        <v>0.895273280569994</v>
      </c>
      <c r="K1766" s="33">
        <v>0.995045337907428</v>
      </c>
      <c r="L1766" s="33">
        <v>1.1096813815225799</v>
      </c>
      <c r="M1766" s="33">
        <f t="shared" si="255"/>
        <v>3.0000000000000018</v>
      </c>
      <c r="N1766" s="33">
        <f>IF(OR(H1766="",H1766="sif",H1766="PM"),0,VLOOKUP(H1766,[5]CU!$C$4:$H$255,6,FALSE))</f>
        <v>32221.870422193402</v>
      </c>
      <c r="O1766" s="33">
        <f t="shared" si="260"/>
        <v>0</v>
      </c>
      <c r="P1766" s="33">
        <f t="shared" si="260"/>
        <v>28847.379638978346</v>
      </c>
      <c r="Q1766" s="33">
        <f t="shared" si="260"/>
        <v>32062.221942260792</v>
      </c>
      <c r="R1766" s="33">
        <f t="shared" si="260"/>
        <v>35756.009685341131</v>
      </c>
      <c r="S1766" s="33">
        <f t="shared" si="261"/>
        <v>96665.611266580265</v>
      </c>
      <c r="T1766" s="35" t="s">
        <v>56</v>
      </c>
      <c r="U1766" s="18" t="s">
        <v>1873</v>
      </c>
      <c r="V1766" s="18" t="str">
        <f>IF(OR($H1766="",$H1766="sif",$H1766="PM"),"",VLOOKUP($H1766,[5]CU!$C$5:$J$255,8,FALSE))</f>
        <v>3. Dépenses de fonctionnement</v>
      </c>
      <c r="W1766" s="18" t="s">
        <v>521</v>
      </c>
      <c r="X1766" s="18" t="s">
        <v>521</v>
      </c>
      <c r="Y1766" s="19" t="s">
        <v>32</v>
      </c>
      <c r="Z1766" s="18" t="str">
        <f>A1766 &amp; "-" &amp; VLOOKUP(A1766,[4]PROGRAMMES!$E$1:$F$7,2,FALSE)</f>
        <v>5-Gouvernance et pilotage du secteur</v>
      </c>
      <c r="AA1766" s="19" t="str">
        <f>B1766 &amp; "-" &amp; VLOOKUP(B1766,[4]SOUSPROGRAMMES!$E$1:$F$44,2,FALSE)</f>
        <v>56- Gestion des ressources financières</v>
      </c>
      <c r="AB1766" s="19" t="str">
        <f>C1766 &amp; "-" &amp; VLOOKUP(C1766,[4]RESULTATS!$E$1:$F$176,2,FALSE)</f>
        <v>562- Les structures bénéficiaires reçoivent à temps les budgets nécessaires pour la mise en œuvre de leurs activités</v>
      </c>
      <c r="AC1766" s="20" t="str">
        <f>D1766 &amp; "-" &amp; VLOOKUP(D1766,[4]STRATEGIES!$E$1:$F$504,2,FALSE)</f>
        <v>5621-Publication des allocations budgétaires</v>
      </c>
      <c r="AD1766" s="21" t="str">
        <f t="shared" si="256"/>
        <v>56216-Mise à disposition des budgets aux administrations centrales du MENA</v>
      </c>
    </row>
    <row r="1767" spans="1:30" s="22" customFormat="1" ht="60" hidden="1" customHeight="1" x14ac:dyDescent="0.8">
      <c r="A1767" s="14">
        <v>5</v>
      </c>
      <c r="B1767" s="15">
        <v>56</v>
      </c>
      <c r="C1767" s="15">
        <v>562</v>
      </c>
      <c r="D1767" s="15">
        <v>5621</v>
      </c>
      <c r="E1767" s="15">
        <v>56217</v>
      </c>
      <c r="F1767" s="16" t="s">
        <v>2216</v>
      </c>
      <c r="G1767" s="21" t="s">
        <v>2214</v>
      </c>
      <c r="H1767" s="17" t="s">
        <v>2217</v>
      </c>
      <c r="I1767" s="33">
        <v>0</v>
      </c>
      <c r="J1767" s="33">
        <v>0.97240479999366103</v>
      </c>
      <c r="K1767" s="33">
        <v>1.02102503999334</v>
      </c>
      <c r="L1767" s="33">
        <v>1.07207629199301</v>
      </c>
      <c r="M1767" s="33">
        <f t="shared" si="255"/>
        <v>3.065506131980011</v>
      </c>
      <c r="N1767" s="33">
        <f>IF(OR(H1767="",H1767="sif",H1767="PM"),0,VLOOKUP(H1767,[5]CU!$C$4:$H$255,6,FALSE))</f>
        <v>7704.7054522202898</v>
      </c>
      <c r="O1767" s="33">
        <f t="shared" si="260"/>
        <v>0</v>
      </c>
      <c r="P1767" s="33">
        <f t="shared" si="260"/>
        <v>7492.0925642763405</v>
      </c>
      <c r="Q1767" s="33">
        <f t="shared" si="260"/>
        <v>7866.6971924901263</v>
      </c>
      <c r="R1767" s="33">
        <f t="shared" si="260"/>
        <v>8260.032052114655</v>
      </c>
      <c r="S1767" s="33">
        <f t="shared" si="261"/>
        <v>23618.821808881119</v>
      </c>
      <c r="T1767" s="35" t="s">
        <v>56</v>
      </c>
      <c r="U1767" s="18" t="s">
        <v>1873</v>
      </c>
      <c r="V1767" s="18" t="str">
        <f>IF(OR($H1767="",$H1767="sif",$H1767="PM"),"",VLOOKUP($H1767,[5]CU!$C$5:$J$255,8,FALSE))</f>
        <v>3. Dépenses de fonctionnement</v>
      </c>
      <c r="W1767" s="18" t="s">
        <v>521</v>
      </c>
      <c r="X1767" s="18" t="s">
        <v>521</v>
      </c>
      <c r="Y1767" s="18" t="s">
        <v>677</v>
      </c>
      <c r="Z1767" s="18" t="str">
        <f>A1767 &amp; "-" &amp; VLOOKUP(A1767,[4]PROGRAMMES!$E$1:$F$7,2,FALSE)</f>
        <v>5-Gouvernance et pilotage du secteur</v>
      </c>
      <c r="AA1767" s="19" t="str">
        <f>B1767 &amp; "-" &amp; VLOOKUP(B1767,[4]SOUSPROGRAMMES!$E$1:$F$44,2,FALSE)</f>
        <v>56- Gestion des ressources financières</v>
      </c>
      <c r="AB1767" s="19" t="str">
        <f>C1767 &amp; "-" &amp; VLOOKUP(C1767,[4]RESULTATS!$E$1:$F$176,2,FALSE)</f>
        <v>562- Les structures bénéficiaires reçoivent à temps les budgets nécessaires pour la mise en œuvre de leurs activités</v>
      </c>
      <c r="AC1767" s="20" t="str">
        <f>D1767 &amp; "-" &amp; VLOOKUP(D1767,[4]STRATEGIES!$E$1:$F$504,2,FALSE)</f>
        <v>5621-Publication des allocations budgétaires</v>
      </c>
      <c r="AD1767" s="21" t="str">
        <f t="shared" si="256"/>
        <v>56217-Mise à disposition des budgets aux administrations centrales et déconcentrées du METFP</v>
      </c>
    </row>
    <row r="1768" spans="1:30" s="22" customFormat="1" ht="60" hidden="1" customHeight="1" x14ac:dyDescent="0.8">
      <c r="A1768" s="14">
        <v>5</v>
      </c>
      <c r="B1768" s="15">
        <v>56</v>
      </c>
      <c r="C1768" s="15">
        <v>562</v>
      </c>
      <c r="D1768" s="15">
        <v>5621</v>
      </c>
      <c r="E1768" s="15">
        <v>56218</v>
      </c>
      <c r="F1768" s="16" t="s">
        <v>2218</v>
      </c>
      <c r="G1768" s="21" t="s">
        <v>2214</v>
      </c>
      <c r="H1768" s="17" t="s">
        <v>2219</v>
      </c>
      <c r="I1768" s="33">
        <v>0</v>
      </c>
      <c r="J1768" s="33">
        <v>0.87032875391489595</v>
      </c>
      <c r="K1768" s="33">
        <v>0.91384519161064104</v>
      </c>
      <c r="L1768" s="33">
        <v>0.95953745119117295</v>
      </c>
      <c r="M1768" s="33">
        <f t="shared" si="255"/>
        <v>2.7437113967167099</v>
      </c>
      <c r="N1768" s="33">
        <f>IF(OR(H1768="",H1768="sif",H1768="PM"),0,VLOOKUP(H1768,[5]CU!$C$4:$H$255,6,FALSE))</f>
        <v>10483.7646967255</v>
      </c>
      <c r="O1768" s="33">
        <f t="shared" si="260"/>
        <v>0</v>
      </c>
      <c r="P1768" s="33">
        <f t="shared" si="260"/>
        <v>9124.3218648380825</v>
      </c>
      <c r="Q1768" s="33">
        <f t="shared" si="260"/>
        <v>9580.537958079989</v>
      </c>
      <c r="R1768" s="33">
        <f t="shared" si="260"/>
        <v>10059.564855983986</v>
      </c>
      <c r="S1768" s="33">
        <f t="shared" si="261"/>
        <v>28764.424678902058</v>
      </c>
      <c r="T1768" s="35" t="s">
        <v>56</v>
      </c>
      <c r="U1768" s="18" t="s">
        <v>1873</v>
      </c>
      <c r="V1768" s="18" t="str">
        <f>IF(OR($H1768="",$H1768="sif",$H1768="PM"),"",VLOOKUP($H1768,[5]CU!$C$5:$J$255,8,FALSE))</f>
        <v>3. Dépenses de fonctionnement</v>
      </c>
      <c r="W1768" s="18" t="s">
        <v>521</v>
      </c>
      <c r="X1768" s="18" t="s">
        <v>521</v>
      </c>
      <c r="Y1768" s="18" t="s">
        <v>679</v>
      </c>
      <c r="Z1768" s="18" t="str">
        <f>A1768 &amp; "-" &amp; VLOOKUP(A1768,[4]PROGRAMMES!$E$1:$F$7,2,FALSE)</f>
        <v>5-Gouvernance et pilotage du secteur</v>
      </c>
      <c r="AA1768" s="19" t="str">
        <f>B1768 &amp; "-" &amp; VLOOKUP(B1768,[4]SOUSPROGRAMMES!$E$1:$F$44,2,FALSE)</f>
        <v>56- Gestion des ressources financières</v>
      </c>
      <c r="AB1768" s="19" t="str">
        <f>C1768 &amp; "-" &amp; VLOOKUP(C1768,[4]RESULTATS!$E$1:$F$176,2,FALSE)</f>
        <v>562- Les structures bénéficiaires reçoivent à temps les budgets nécessaires pour la mise en œuvre de leurs activités</v>
      </c>
      <c r="AC1768" s="20" t="str">
        <f>D1768 &amp; "-" &amp; VLOOKUP(D1768,[4]STRATEGIES!$E$1:$F$504,2,FALSE)</f>
        <v>5621-Publication des allocations budgétaires</v>
      </c>
      <c r="AD1768" s="21" t="str">
        <f t="shared" si="256"/>
        <v>56218-Mise à disposition des budgets aux administrations centrales du MESRS</v>
      </c>
    </row>
    <row r="1769" spans="1:30" s="22" customFormat="1" ht="60" hidden="1" customHeight="1" x14ac:dyDescent="0.8">
      <c r="A1769" s="14">
        <v>5</v>
      </c>
      <c r="B1769" s="15">
        <v>56</v>
      </c>
      <c r="C1769" s="15">
        <v>562</v>
      </c>
      <c r="D1769" s="15">
        <v>5621</v>
      </c>
      <c r="E1769" s="15">
        <v>56219</v>
      </c>
      <c r="F1769" s="16" t="s">
        <v>2220</v>
      </c>
      <c r="G1769" s="21" t="s">
        <v>2214</v>
      </c>
      <c r="H1769" s="17" t="s">
        <v>2221</v>
      </c>
      <c r="I1769" s="33">
        <v>0</v>
      </c>
      <c r="J1769" s="33">
        <v>0.87032875391489595</v>
      </c>
      <c r="K1769" s="33">
        <v>0.91384519161064104</v>
      </c>
      <c r="L1769" s="33">
        <v>0.95953745119117295</v>
      </c>
      <c r="M1769" s="33">
        <f t="shared" si="255"/>
        <v>2.7437113967167099</v>
      </c>
      <c r="N1769" s="33">
        <f>IF(OR(H1769="",H1769="sif",H1769="PM"),0,VLOOKUP(H1769,[5]CU!$C$4:$H$255,6,FALSE))</f>
        <v>736.22137404580167</v>
      </c>
      <c r="O1769" s="33">
        <f t="shared" si="260"/>
        <v>0</v>
      </c>
      <c r="P1769" s="33">
        <f t="shared" si="260"/>
        <v>640.75463107879511</v>
      </c>
      <c r="Q1769" s="33">
        <f t="shared" si="260"/>
        <v>672.79236263273503</v>
      </c>
      <c r="R1769" s="33">
        <f t="shared" si="260"/>
        <v>706.4319807643717</v>
      </c>
      <c r="S1769" s="33">
        <f t="shared" si="261"/>
        <v>2019.9789744759019</v>
      </c>
      <c r="T1769" s="35" t="s">
        <v>56</v>
      </c>
      <c r="U1769" s="18" t="s">
        <v>1873</v>
      </c>
      <c r="V1769" s="18" t="str">
        <f>IF(OR($H1769="",$H1769="sif",$H1769="PM"),"",VLOOKUP($H1769,[5]CU!$C$5:$J$255,8,FALSE))</f>
        <v>3. Dépenses de fonctionnement</v>
      </c>
      <c r="W1769" s="18" t="s">
        <v>521</v>
      </c>
      <c r="X1769" s="18" t="s">
        <v>521</v>
      </c>
      <c r="Y1769" s="18" t="s">
        <v>679</v>
      </c>
      <c r="Z1769" s="18" t="str">
        <f>A1769 &amp; "-" &amp; VLOOKUP(A1769,[4]PROGRAMMES!$E$1:$F$7,2,FALSE)</f>
        <v>5-Gouvernance et pilotage du secteur</v>
      </c>
      <c r="AA1769" s="19" t="str">
        <f>B1769 &amp; "-" &amp; VLOOKUP(B1769,[4]SOUSPROGRAMMES!$E$1:$F$44,2,FALSE)</f>
        <v>56- Gestion des ressources financières</v>
      </c>
      <c r="AB1769" s="19" t="str">
        <f>C1769 &amp; "-" &amp; VLOOKUP(C1769,[4]RESULTATS!$E$1:$F$176,2,FALSE)</f>
        <v>562- Les structures bénéficiaires reçoivent à temps les budgets nécessaires pour la mise en œuvre de leurs activités</v>
      </c>
      <c r="AC1769" s="20" t="str">
        <f>D1769 &amp; "-" &amp; VLOOKUP(D1769,[4]STRATEGIES!$E$1:$F$504,2,FALSE)</f>
        <v>5621-Publication des allocations budgétaires</v>
      </c>
      <c r="AD1769" s="21" t="str">
        <f t="shared" si="256"/>
        <v>56219-Paiement des contributions aux institutions internationales (Confemen, ADEA, Karanta, etc.)</v>
      </c>
    </row>
    <row r="1770" spans="1:30" s="22" customFormat="1" ht="60" hidden="1" customHeight="1" x14ac:dyDescent="0.8">
      <c r="A1770" s="14">
        <v>5</v>
      </c>
      <c r="B1770" s="15">
        <v>56</v>
      </c>
      <c r="C1770" s="15">
        <v>562</v>
      </c>
      <c r="D1770" s="15">
        <v>5622</v>
      </c>
      <c r="E1770" s="15">
        <v>5622</v>
      </c>
      <c r="F1770" s="16" t="s">
        <v>2222</v>
      </c>
      <c r="G1770" s="17"/>
      <c r="H1770" s="17"/>
      <c r="I1770" s="33">
        <v>0</v>
      </c>
      <c r="J1770" s="33"/>
      <c r="K1770" s="33"/>
      <c r="L1770" s="33"/>
      <c r="M1770" s="33"/>
      <c r="N1770" s="33"/>
      <c r="O1770" s="33"/>
      <c r="P1770" s="33"/>
      <c r="Q1770" s="33"/>
      <c r="R1770" s="33"/>
      <c r="S1770" s="33"/>
      <c r="T1770" s="33"/>
      <c r="U1770" s="18"/>
      <c r="V1770" s="18"/>
      <c r="W1770" s="18"/>
      <c r="X1770" s="18"/>
      <c r="Y1770" s="18"/>
      <c r="Z1770" s="18" t="str">
        <f>A1770 &amp; "-" &amp; VLOOKUP(A1770,[4]PROGRAMMES!$E$1:$F$7,2,FALSE)</f>
        <v>5-Gouvernance et pilotage du secteur</v>
      </c>
      <c r="AA1770" s="19" t="str">
        <f>B1770 &amp; "-" &amp; VLOOKUP(B1770,[4]SOUSPROGRAMMES!$E$1:$F$44,2,FALSE)</f>
        <v>56- Gestion des ressources financières</v>
      </c>
      <c r="AB1770" s="19" t="str">
        <f>C1770 &amp; "-" &amp; VLOOKUP(C1770,[4]RESULTATS!$E$1:$F$176,2,FALSE)</f>
        <v>562- Les structures bénéficiaires reçoivent à temps les budgets nécessaires pour la mise en œuvre de leurs activités</v>
      </c>
      <c r="AC1770" s="20" t="str">
        <f>D1770 &amp; "-" &amp; VLOOKUP(D1770,[4]STRATEGIES!$E$1:$F$504,2,FALSE)</f>
        <v>5622-Mise en œuvre de mécanismes de suivi des budgets jusqu’à l’école/établissement/institution</v>
      </c>
      <c r="AD1770" s="21" t="str">
        <f t="shared" si="256"/>
        <v>5622-Mise en œuvre de mécanismes de suivi des budgets jusqu’à l’école/établissement/institution</v>
      </c>
    </row>
    <row r="1771" spans="1:30" s="22" customFormat="1" ht="60" hidden="1" customHeight="1" x14ac:dyDescent="0.8">
      <c r="A1771" s="14">
        <v>5</v>
      </c>
      <c r="B1771" s="15">
        <v>56</v>
      </c>
      <c r="C1771" s="15">
        <v>562</v>
      </c>
      <c r="D1771" s="15">
        <v>5622</v>
      </c>
      <c r="E1771" s="15">
        <v>56221</v>
      </c>
      <c r="F1771" s="16" t="s">
        <v>2223</v>
      </c>
      <c r="G1771" s="21" t="s">
        <v>2224</v>
      </c>
      <c r="H1771" s="17" t="s">
        <v>66</v>
      </c>
      <c r="I1771" s="33">
        <v>0</v>
      </c>
      <c r="J1771" s="33">
        <f>15*6</f>
        <v>90</v>
      </c>
      <c r="K1771" s="33">
        <v>0</v>
      </c>
      <c r="L1771" s="33">
        <v>0</v>
      </c>
      <c r="M1771" s="33">
        <f t="shared" si="255"/>
        <v>90</v>
      </c>
      <c r="N1771" s="33">
        <f>IF(OR(H1771="",H1771="sif",H1771="PM"),0,VLOOKUP(H1771,[5]CU!$C$4:$H$255,6,FALSE))</f>
        <v>0.255</v>
      </c>
      <c r="O1771" s="33">
        <f t="shared" ref="O1771:R1773" si="262">IFERROR($N1771*I1771,0)</f>
        <v>0</v>
      </c>
      <c r="P1771" s="33">
        <f t="shared" si="262"/>
        <v>22.95</v>
      </c>
      <c r="Q1771" s="33">
        <f t="shared" si="262"/>
        <v>0</v>
      </c>
      <c r="R1771" s="33">
        <f t="shared" si="262"/>
        <v>0</v>
      </c>
      <c r="S1771" s="33">
        <f t="shared" si="261"/>
        <v>22.95</v>
      </c>
      <c r="T1771" s="35" t="s">
        <v>118</v>
      </c>
      <c r="U1771" s="18" t="s">
        <v>1873</v>
      </c>
      <c r="V1771" s="18" t="str">
        <f>IF(OR($H1771="",$H1771="sif",$H1771="PM"),"",VLOOKUP($H1771,[5]CU!$C$5:$J$255,8,FALSE))</f>
        <v>3. Dépenses de fonctionnement</v>
      </c>
      <c r="W1771" s="18" t="s">
        <v>521</v>
      </c>
      <c r="X1771" s="18" t="s">
        <v>96</v>
      </c>
      <c r="Y1771" s="19" t="s">
        <v>32</v>
      </c>
      <c r="Z1771" s="18" t="str">
        <f>A1771 &amp; "-" &amp; VLOOKUP(A1771,[4]PROGRAMMES!$E$1:$F$7,2,FALSE)</f>
        <v>5-Gouvernance et pilotage du secteur</v>
      </c>
      <c r="AA1771" s="19" t="str">
        <f>B1771 &amp; "-" &amp; VLOOKUP(B1771,[4]SOUSPROGRAMMES!$E$1:$F$44,2,FALSE)</f>
        <v>56- Gestion des ressources financières</v>
      </c>
      <c r="AB1771" s="19" t="str">
        <f>C1771 &amp; "-" &amp; VLOOKUP(C1771,[4]RESULTATS!$E$1:$F$176,2,FALSE)</f>
        <v>562- Les structures bénéficiaires reçoivent à temps les budgets nécessaires pour la mise en œuvre de leurs activités</v>
      </c>
      <c r="AC1771" s="20" t="str">
        <f>D1771 &amp; "-" &amp; VLOOKUP(D1771,[4]STRATEGIES!$E$1:$F$504,2,FALSE)</f>
        <v>5622-Mise en œuvre de mécanismes de suivi des budgets jusqu’à l’école/établissement/institution</v>
      </c>
      <c r="AD1771" s="21" t="str">
        <f t="shared" si="256"/>
        <v>56221-Actualisation des outils de suivi de l'exécution des budgets</v>
      </c>
    </row>
    <row r="1772" spans="1:30" s="22" customFormat="1" ht="60" hidden="1" customHeight="1" x14ac:dyDescent="0.8">
      <c r="A1772" s="14">
        <v>5</v>
      </c>
      <c r="B1772" s="15">
        <v>56</v>
      </c>
      <c r="C1772" s="15">
        <v>562</v>
      </c>
      <c r="D1772" s="15">
        <v>5622</v>
      </c>
      <c r="E1772" s="15">
        <v>56222</v>
      </c>
      <c r="F1772" s="16" t="s">
        <v>2225</v>
      </c>
      <c r="G1772" s="21" t="s">
        <v>1017</v>
      </c>
      <c r="H1772" s="17" t="s">
        <v>59</v>
      </c>
      <c r="I1772" s="33">
        <v>0</v>
      </c>
      <c r="J1772" s="33"/>
      <c r="K1772" s="33"/>
      <c r="L1772" s="33"/>
      <c r="M1772" s="33">
        <f>SUM(I1772:L1772)</f>
        <v>0</v>
      </c>
      <c r="N1772" s="33">
        <f>IF(OR(H1772="",H1772="sif",H1772="PM"),0,VLOOKUP(H1772,[5]CU!$C$4:$H$255,6,FALSE))</f>
        <v>0.8177777777777776</v>
      </c>
      <c r="O1772" s="33">
        <f t="shared" si="262"/>
        <v>0</v>
      </c>
      <c r="P1772" s="33">
        <f t="shared" si="262"/>
        <v>0</v>
      </c>
      <c r="Q1772" s="33">
        <f t="shared" si="262"/>
        <v>0</v>
      </c>
      <c r="R1772" s="33">
        <f t="shared" si="262"/>
        <v>0</v>
      </c>
      <c r="S1772" s="33">
        <f>SUM(O1772:R1772)</f>
        <v>0</v>
      </c>
      <c r="T1772" s="35" t="s">
        <v>178</v>
      </c>
      <c r="U1772" s="18" t="s">
        <v>1873</v>
      </c>
      <c r="V1772" s="18" t="str">
        <f>IF(OR($H1772="",$H1772="sif",$H1772="PM"),"",VLOOKUP($H1772,[5]CU!$C$5:$J$255,8,FALSE))</f>
        <v>3. Dépenses de fonctionnement</v>
      </c>
      <c r="W1772" s="18" t="s">
        <v>521</v>
      </c>
      <c r="X1772" s="18" t="s">
        <v>1936</v>
      </c>
      <c r="Y1772" s="18" t="s">
        <v>2066</v>
      </c>
      <c r="Z1772" s="18" t="str">
        <f>A1772 &amp; "-" &amp; VLOOKUP(A1772,[4]PROGRAMMES!$E$1:$F$7,2,FALSE)</f>
        <v>5-Gouvernance et pilotage du secteur</v>
      </c>
      <c r="AA1772" s="19" t="str">
        <f>B1772 &amp; "-" &amp; VLOOKUP(B1772,[4]SOUSPROGRAMMES!$E$1:$F$44,2,FALSE)</f>
        <v>56- Gestion des ressources financières</v>
      </c>
      <c r="AB1772" s="19" t="str">
        <f>C1772 &amp; "-" &amp; VLOOKUP(C1772,[4]RESULTATS!$E$1:$F$176,2,FALSE)</f>
        <v>562- Les structures bénéficiaires reçoivent à temps les budgets nécessaires pour la mise en œuvre de leurs activités</v>
      </c>
      <c r="AC1772" s="20" t="str">
        <f>D1772 &amp; "-" &amp; VLOOKUP(D1772,[4]STRATEGIES!$E$1:$F$504,2,FALSE)</f>
        <v>5622-Mise en œuvre de mécanismes de suivi des budgets jusqu’à l’école/établissement/institution</v>
      </c>
      <c r="AD1772" s="21" t="str">
        <f t="shared" si="256"/>
        <v>56222-Conduite des missions de suivi (exécution des budgets, des plans d'actions)</v>
      </c>
    </row>
    <row r="1773" spans="1:30" ht="60" hidden="1" customHeight="1" x14ac:dyDescent="0.8">
      <c r="A1773" s="25">
        <v>5</v>
      </c>
      <c r="B1773" s="16">
        <v>56</v>
      </c>
      <c r="C1773" s="16">
        <v>562</v>
      </c>
      <c r="D1773" s="16">
        <v>5622</v>
      </c>
      <c r="E1773" s="16">
        <v>56222</v>
      </c>
      <c r="F1773" s="16" t="s">
        <v>2225</v>
      </c>
      <c r="G1773" s="21" t="s">
        <v>1017</v>
      </c>
      <c r="H1773" s="21" t="s">
        <v>59</v>
      </c>
      <c r="I1773" s="36">
        <v>0</v>
      </c>
      <c r="J1773" s="36">
        <f>4*10*5</f>
        <v>200</v>
      </c>
      <c r="K1773" s="36">
        <f>4*10*5</f>
        <v>200</v>
      </c>
      <c r="L1773" s="36">
        <f>4*10*5</f>
        <v>200</v>
      </c>
      <c r="M1773" s="36">
        <f t="shared" si="255"/>
        <v>600</v>
      </c>
      <c r="N1773" s="36">
        <f>IF(OR(H1773="",H1773="sif",H1773="PM"),0,VLOOKUP(H1773,[5]CU!$C$4:$H$255,6,FALSE))</f>
        <v>0.8177777777777776</v>
      </c>
      <c r="O1773" s="36">
        <f t="shared" si="262"/>
        <v>0</v>
      </c>
      <c r="P1773" s="36">
        <f t="shared" si="262"/>
        <v>163.55555555555551</v>
      </c>
      <c r="Q1773" s="36">
        <f t="shared" si="262"/>
        <v>163.55555555555551</v>
      </c>
      <c r="R1773" s="36">
        <f t="shared" si="262"/>
        <v>163.55555555555551</v>
      </c>
      <c r="S1773" s="36">
        <f t="shared" si="261"/>
        <v>490.66666666666652</v>
      </c>
      <c r="T1773" s="38" t="s">
        <v>56</v>
      </c>
      <c r="U1773" s="19" t="s">
        <v>1873</v>
      </c>
      <c r="V1773" s="19" t="str">
        <f>IF(OR($H1773="",$H1773="sif",$H1773="PM"),"",VLOOKUP($H1773,[5]CU!$C$5:$J$255,8,FALSE))</f>
        <v>3. Dépenses de fonctionnement</v>
      </c>
      <c r="W1773" s="19" t="s">
        <v>1939</v>
      </c>
      <c r="X1773" s="19" t="s">
        <v>1939</v>
      </c>
      <c r="Y1773" s="19" t="s">
        <v>2066</v>
      </c>
      <c r="Z1773" s="19" t="str">
        <f>A1773 &amp; "-" &amp; VLOOKUP(A1773,[4]PROGRAMMES!$E$1:$F$7,2,FALSE)</f>
        <v>5-Gouvernance et pilotage du secteur</v>
      </c>
      <c r="AA1773" s="19" t="str">
        <f>B1773 &amp; "-" &amp; VLOOKUP(B1773,[4]SOUSPROGRAMMES!$E$1:$F$44,2,FALSE)</f>
        <v>56- Gestion des ressources financières</v>
      </c>
      <c r="AB1773" s="19" t="str">
        <f>C1773 &amp; "-" &amp; VLOOKUP(C1773,[4]RESULTATS!$E$1:$F$176,2,FALSE)</f>
        <v>562- Les structures bénéficiaires reçoivent à temps les budgets nécessaires pour la mise en œuvre de leurs activités</v>
      </c>
      <c r="AC1773" s="20" t="str">
        <f>D1773 &amp; "-" &amp; VLOOKUP(D1773,[4]STRATEGIES!$E$1:$F$504,2,FALSE)</f>
        <v>5622-Mise en œuvre de mécanismes de suivi des budgets jusqu’à l’école/établissement/institution</v>
      </c>
      <c r="AD1773" s="21" t="str">
        <f t="shared" si="256"/>
        <v>56222-Conduite des missions de suivi (exécution des budgets, des plans d'actions)</v>
      </c>
    </row>
    <row r="1774" spans="1:30" s="22" customFormat="1" ht="60" hidden="1" customHeight="1" x14ac:dyDescent="0.8">
      <c r="A1774" s="14">
        <v>5</v>
      </c>
      <c r="B1774" s="15">
        <v>56</v>
      </c>
      <c r="C1774" s="15">
        <v>562</v>
      </c>
      <c r="D1774" s="15">
        <v>5623</v>
      </c>
      <c r="E1774" s="15">
        <v>5623</v>
      </c>
      <c r="F1774" s="16" t="s">
        <v>2226</v>
      </c>
      <c r="G1774" s="17"/>
      <c r="H1774" s="17"/>
      <c r="I1774" s="33">
        <v>0</v>
      </c>
      <c r="J1774" s="33"/>
      <c r="K1774" s="33"/>
      <c r="L1774" s="33"/>
      <c r="M1774" s="33"/>
      <c r="N1774" s="33"/>
      <c r="O1774" s="33"/>
      <c r="P1774" s="33"/>
      <c r="Q1774" s="33"/>
      <c r="R1774" s="33"/>
      <c r="S1774" s="33"/>
      <c r="T1774" s="33"/>
      <c r="U1774" s="18"/>
      <c r="V1774" s="18"/>
      <c r="W1774" s="18"/>
      <c r="X1774" s="18"/>
      <c r="Y1774" s="18"/>
      <c r="Z1774" s="18" t="str">
        <f>A1774 &amp; "-" &amp; VLOOKUP(A1774,[4]PROGRAMMES!$E$1:$F$7,2,FALSE)</f>
        <v>5-Gouvernance et pilotage du secteur</v>
      </c>
      <c r="AA1774" s="19" t="str">
        <f>B1774 &amp; "-" &amp; VLOOKUP(B1774,[4]SOUSPROGRAMMES!$E$1:$F$44,2,FALSE)</f>
        <v>56- Gestion des ressources financières</v>
      </c>
      <c r="AB1774" s="19" t="str">
        <f>C1774 &amp; "-" &amp; VLOOKUP(C1774,[4]RESULTATS!$E$1:$F$176,2,FALSE)</f>
        <v>562- Les structures bénéficiaires reçoivent à temps les budgets nécessaires pour la mise en œuvre de leurs activités</v>
      </c>
      <c r="AC1774" s="20" t="str">
        <f>D1774 &amp; "-" &amp; VLOOKUP(D1774,[4]STRATEGIES!$E$1:$F$504,2,FALSE)</f>
        <v>5623-Publication des résultats des mécanismes de suivi</v>
      </c>
      <c r="AD1774" s="21" t="str">
        <f t="shared" si="256"/>
        <v>5623-Publication des résultats des mécanismes de suivi</v>
      </c>
    </row>
    <row r="1775" spans="1:30" s="22" customFormat="1" ht="60" hidden="1" customHeight="1" x14ac:dyDescent="0.8">
      <c r="A1775" s="14">
        <v>5</v>
      </c>
      <c r="B1775" s="15">
        <v>56</v>
      </c>
      <c r="C1775" s="15">
        <v>562</v>
      </c>
      <c r="D1775" s="15">
        <v>5623</v>
      </c>
      <c r="E1775" s="15">
        <v>56231</v>
      </c>
      <c r="F1775" s="16" t="s">
        <v>2227</v>
      </c>
      <c r="G1775" s="21" t="s">
        <v>2224</v>
      </c>
      <c r="H1775" s="17" t="s">
        <v>66</v>
      </c>
      <c r="I1775" s="33">
        <v>0</v>
      </c>
      <c r="J1775" s="33">
        <f>20*10</f>
        <v>200</v>
      </c>
      <c r="K1775" s="33">
        <f>20*10</f>
        <v>200</v>
      </c>
      <c r="L1775" s="33">
        <f>20*10</f>
        <v>200</v>
      </c>
      <c r="M1775" s="33">
        <f t="shared" si="255"/>
        <v>600</v>
      </c>
      <c r="N1775" s="33">
        <f>IF(OR(H1775="",H1775="sif",H1775="PM"),0,VLOOKUP(H1775,[5]CU!$C$4:$H$255,6,FALSE))</f>
        <v>0.255</v>
      </c>
      <c r="O1775" s="33">
        <f t="shared" ref="O1775:R1783" si="263">IFERROR($N1775*I1775,0)</f>
        <v>0</v>
      </c>
      <c r="P1775" s="33">
        <f t="shared" si="263"/>
        <v>51</v>
      </c>
      <c r="Q1775" s="33">
        <f t="shared" si="263"/>
        <v>51</v>
      </c>
      <c r="R1775" s="33">
        <f t="shared" si="263"/>
        <v>51</v>
      </c>
      <c r="S1775" s="33">
        <f t="shared" si="261"/>
        <v>153</v>
      </c>
      <c r="T1775" s="35" t="s">
        <v>118</v>
      </c>
      <c r="U1775" s="18" t="s">
        <v>1873</v>
      </c>
      <c r="V1775" s="18" t="str">
        <f>IF(OR($H1775="",$H1775="sif",$H1775="PM"),"",VLOOKUP($H1775,[5]CU!$C$5:$J$255,8,FALSE))</f>
        <v>3. Dépenses de fonctionnement</v>
      </c>
      <c r="W1775" s="18" t="s">
        <v>521</v>
      </c>
      <c r="X1775" s="18" t="s">
        <v>1936</v>
      </c>
      <c r="Y1775" s="19" t="s">
        <v>32</v>
      </c>
      <c r="Z1775" s="18" t="str">
        <f>A1775 &amp; "-" &amp; VLOOKUP(A1775,[4]PROGRAMMES!$E$1:$F$7,2,FALSE)</f>
        <v>5-Gouvernance et pilotage du secteur</v>
      </c>
      <c r="AA1775" s="19" t="str">
        <f>B1775 &amp; "-" &amp; VLOOKUP(B1775,[4]SOUSPROGRAMMES!$E$1:$F$44,2,FALSE)</f>
        <v>56- Gestion des ressources financières</v>
      </c>
      <c r="AB1775" s="19" t="str">
        <f>C1775 &amp; "-" &amp; VLOOKUP(C1775,[4]RESULTATS!$E$1:$F$176,2,FALSE)</f>
        <v>562- Les structures bénéficiaires reçoivent à temps les budgets nécessaires pour la mise en œuvre de leurs activités</v>
      </c>
      <c r="AC1775" s="20" t="str">
        <f>D1775 &amp; "-" &amp; VLOOKUP(D1775,[4]STRATEGIES!$E$1:$F$504,2,FALSE)</f>
        <v>5623-Publication des résultats des mécanismes de suivi</v>
      </c>
      <c r="AD1775" s="21" t="str">
        <f t="shared" si="256"/>
        <v>56231-Elaboration d'un tableau de bord sur la mise en œuvre du budget du MENA</v>
      </c>
    </row>
    <row r="1776" spans="1:30" s="22" customFormat="1" ht="60" hidden="1" customHeight="1" x14ac:dyDescent="0.8">
      <c r="A1776" s="14">
        <v>5</v>
      </c>
      <c r="B1776" s="15">
        <v>56</v>
      </c>
      <c r="C1776" s="15">
        <v>562</v>
      </c>
      <c r="D1776" s="15">
        <v>5623</v>
      </c>
      <c r="E1776" s="15">
        <v>56232</v>
      </c>
      <c r="F1776" s="16" t="s">
        <v>2228</v>
      </c>
      <c r="G1776" s="21" t="s">
        <v>44</v>
      </c>
      <c r="H1776" s="17" t="s">
        <v>452</v>
      </c>
      <c r="I1776" s="33">
        <v>0</v>
      </c>
      <c r="J1776" s="33">
        <f>46+427+200</f>
        <v>673</v>
      </c>
      <c r="K1776" s="33">
        <f>46+427+200</f>
        <v>673</v>
      </c>
      <c r="L1776" s="33">
        <f>46+427+200</f>
        <v>673</v>
      </c>
      <c r="M1776" s="33">
        <f t="shared" si="255"/>
        <v>2019</v>
      </c>
      <c r="N1776" s="33">
        <f>IF(OR(H1776="",H1776="sif",H1776="PM"),0,VLOOKUP(H1776,[5]CU!$C$4:$H$255,6,FALSE))</f>
        <v>7.4999999999999997E-3</v>
      </c>
      <c r="O1776" s="33">
        <f t="shared" si="263"/>
        <v>0</v>
      </c>
      <c r="P1776" s="33">
        <f t="shared" si="263"/>
        <v>5.0474999999999994</v>
      </c>
      <c r="Q1776" s="33">
        <f t="shared" si="263"/>
        <v>5.0474999999999994</v>
      </c>
      <c r="R1776" s="33">
        <f t="shared" si="263"/>
        <v>5.0474999999999994</v>
      </c>
      <c r="S1776" s="33">
        <f t="shared" si="261"/>
        <v>15.142499999999998</v>
      </c>
      <c r="T1776" s="35" t="s">
        <v>118</v>
      </c>
      <c r="U1776" s="18" t="s">
        <v>1873</v>
      </c>
      <c r="V1776" s="18" t="str">
        <f>IF(OR($H1776="",$H1776="sif",$H1776="PM"),"",VLOOKUP($H1776,[5]CU!$C$5:$J$255,8,FALSE))</f>
        <v>3. Dépenses de fonctionnement</v>
      </c>
      <c r="W1776" s="18" t="s">
        <v>521</v>
      </c>
      <c r="X1776" s="18" t="s">
        <v>1936</v>
      </c>
      <c r="Y1776" s="19" t="s">
        <v>32</v>
      </c>
      <c r="Z1776" s="18" t="str">
        <f>A1776 &amp; "-" &amp; VLOOKUP(A1776,[4]PROGRAMMES!$E$1:$F$7,2,FALSE)</f>
        <v>5-Gouvernance et pilotage du secteur</v>
      </c>
      <c r="AA1776" s="19" t="str">
        <f>B1776 &amp; "-" &amp; VLOOKUP(B1776,[4]SOUSPROGRAMMES!$E$1:$F$44,2,FALSE)</f>
        <v>56- Gestion des ressources financières</v>
      </c>
      <c r="AB1776" s="19" t="str">
        <f>C1776 &amp; "-" &amp; VLOOKUP(C1776,[4]RESULTATS!$E$1:$F$176,2,FALSE)</f>
        <v>562- Les structures bénéficiaires reçoivent à temps les budgets nécessaires pour la mise en œuvre de leurs activités</v>
      </c>
      <c r="AC1776" s="20" t="str">
        <f>D1776 &amp; "-" &amp; VLOOKUP(D1776,[4]STRATEGIES!$E$1:$F$504,2,FALSE)</f>
        <v>5623-Publication des résultats des mécanismes de suivi</v>
      </c>
      <c r="AD1776" s="21" t="str">
        <f t="shared" si="256"/>
        <v>56232-Reproduction du tableau de bord du MENA</v>
      </c>
    </row>
    <row r="1777" spans="1:30" s="22" customFormat="1" ht="60" hidden="1" customHeight="1" x14ac:dyDescent="0.8">
      <c r="A1777" s="14">
        <v>5</v>
      </c>
      <c r="B1777" s="15">
        <v>56</v>
      </c>
      <c r="C1777" s="15">
        <v>562</v>
      </c>
      <c r="D1777" s="15">
        <v>5623</v>
      </c>
      <c r="E1777" s="15">
        <v>56233</v>
      </c>
      <c r="F1777" s="16" t="s">
        <v>2229</v>
      </c>
      <c r="G1777" s="21" t="s">
        <v>2230</v>
      </c>
      <c r="H1777" s="17" t="s">
        <v>73</v>
      </c>
      <c r="I1777" s="33">
        <v>0</v>
      </c>
      <c r="J1777" s="33">
        <f>1*2</f>
        <v>2</v>
      </c>
      <c r="K1777" s="33">
        <f>1*2</f>
        <v>2</v>
      </c>
      <c r="L1777" s="33">
        <f>1*2</f>
        <v>2</v>
      </c>
      <c r="M1777" s="33">
        <f t="shared" si="255"/>
        <v>6</v>
      </c>
      <c r="N1777" s="33">
        <f>IF(OR(H1777="",H1777="sif",H1777="PM"),0,VLOOKUP(H1777,[5]CU!$C$4:$H$255,6,FALSE))</f>
        <v>0.4</v>
      </c>
      <c r="O1777" s="33">
        <f t="shared" si="263"/>
        <v>0</v>
      </c>
      <c r="P1777" s="33">
        <f t="shared" si="263"/>
        <v>0.8</v>
      </c>
      <c r="Q1777" s="33">
        <f t="shared" si="263"/>
        <v>0.8</v>
      </c>
      <c r="R1777" s="33">
        <f t="shared" si="263"/>
        <v>0.8</v>
      </c>
      <c r="S1777" s="33">
        <f t="shared" si="261"/>
        <v>2.4000000000000004</v>
      </c>
      <c r="T1777" s="35" t="s">
        <v>118</v>
      </c>
      <c r="U1777" s="18" t="s">
        <v>1873</v>
      </c>
      <c r="V1777" s="18" t="str">
        <f>IF(OR($H1777="",$H1777="sif",$H1777="PM"),"",VLOOKUP($H1777,[5]CU!$C$5:$J$255,8,FALSE))</f>
        <v>3. Dépenses de fonctionnement</v>
      </c>
      <c r="W1777" s="18" t="s">
        <v>521</v>
      </c>
      <c r="X1777" s="18" t="s">
        <v>1936</v>
      </c>
      <c r="Y1777" s="19" t="s">
        <v>32</v>
      </c>
      <c r="Z1777" s="18" t="str">
        <f>A1777 &amp; "-" &amp; VLOOKUP(A1777,[4]PROGRAMMES!$E$1:$F$7,2,FALSE)</f>
        <v>5-Gouvernance et pilotage du secteur</v>
      </c>
      <c r="AA1777" s="19" t="str">
        <f>B1777 &amp; "-" &amp; VLOOKUP(B1777,[4]SOUSPROGRAMMES!$E$1:$F$44,2,FALSE)</f>
        <v>56- Gestion des ressources financières</v>
      </c>
      <c r="AB1777" s="19" t="str">
        <f>C1777 &amp; "-" &amp; VLOOKUP(C1777,[4]RESULTATS!$E$1:$F$176,2,FALSE)</f>
        <v>562- Les structures bénéficiaires reçoivent à temps les budgets nécessaires pour la mise en œuvre de leurs activités</v>
      </c>
      <c r="AC1777" s="20" t="str">
        <f>D1777 &amp; "-" &amp; VLOOKUP(D1777,[4]STRATEGIES!$E$1:$F$504,2,FALSE)</f>
        <v>5623-Publication des résultats des mécanismes de suivi</v>
      </c>
      <c r="AD1777" s="21" t="str">
        <f t="shared" si="256"/>
        <v>56233-Diffusion du tableau de bord du MENA</v>
      </c>
    </row>
    <row r="1778" spans="1:30" s="22" customFormat="1" ht="60" hidden="1" customHeight="1" x14ac:dyDescent="0.8">
      <c r="A1778" s="14">
        <v>5</v>
      </c>
      <c r="B1778" s="15">
        <v>56</v>
      </c>
      <c r="C1778" s="15">
        <v>562</v>
      </c>
      <c r="D1778" s="15">
        <v>5623</v>
      </c>
      <c r="E1778" s="15">
        <v>56234</v>
      </c>
      <c r="F1778" s="16" t="s">
        <v>2231</v>
      </c>
      <c r="G1778" s="21" t="s">
        <v>2224</v>
      </c>
      <c r="H1778" s="17" t="s">
        <v>66</v>
      </c>
      <c r="I1778" s="33">
        <v>0</v>
      </c>
      <c r="J1778" s="33">
        <f>20*10</f>
        <v>200</v>
      </c>
      <c r="K1778" s="33">
        <f>20*10</f>
        <v>200</v>
      </c>
      <c r="L1778" s="33">
        <f>20*10</f>
        <v>200</v>
      </c>
      <c r="M1778" s="33">
        <f t="shared" si="255"/>
        <v>600</v>
      </c>
      <c r="N1778" s="33">
        <f>IF(OR(H1778="",H1778="sif",H1778="PM"),0,VLOOKUP(H1778,[5]CU!$C$4:$H$255,6,FALSE))</f>
        <v>0.255</v>
      </c>
      <c r="O1778" s="33">
        <f t="shared" si="263"/>
        <v>0</v>
      </c>
      <c r="P1778" s="33">
        <f t="shared" si="263"/>
        <v>51</v>
      </c>
      <c r="Q1778" s="33">
        <f t="shared" si="263"/>
        <v>51</v>
      </c>
      <c r="R1778" s="33">
        <f t="shared" si="263"/>
        <v>51</v>
      </c>
      <c r="S1778" s="33">
        <f t="shared" si="261"/>
        <v>153</v>
      </c>
      <c r="T1778" s="35" t="s">
        <v>118</v>
      </c>
      <c r="U1778" s="18" t="s">
        <v>1873</v>
      </c>
      <c r="V1778" s="18" t="str">
        <f>IF(OR($H1778="",$H1778="sif",$H1778="PM"),"",VLOOKUP($H1778,[5]CU!$C$5:$J$255,8,FALSE))</f>
        <v>3. Dépenses de fonctionnement</v>
      </c>
      <c r="W1778" s="18" t="s">
        <v>521</v>
      </c>
      <c r="X1778" s="18" t="s">
        <v>1936</v>
      </c>
      <c r="Y1778" s="18" t="s">
        <v>679</v>
      </c>
      <c r="Z1778" s="18" t="str">
        <f>A1778 &amp; "-" &amp; VLOOKUP(A1778,[4]PROGRAMMES!$E$1:$F$7,2,FALSE)</f>
        <v>5-Gouvernance et pilotage du secteur</v>
      </c>
      <c r="AA1778" s="19" t="str">
        <f>B1778 &amp; "-" &amp; VLOOKUP(B1778,[4]SOUSPROGRAMMES!$E$1:$F$44,2,FALSE)</f>
        <v>56- Gestion des ressources financières</v>
      </c>
      <c r="AB1778" s="19" t="str">
        <f>C1778 &amp; "-" &amp; VLOOKUP(C1778,[4]RESULTATS!$E$1:$F$176,2,FALSE)</f>
        <v>562- Les structures bénéficiaires reçoivent à temps les budgets nécessaires pour la mise en œuvre de leurs activités</v>
      </c>
      <c r="AC1778" s="20" t="str">
        <f>D1778 &amp; "-" &amp; VLOOKUP(D1778,[4]STRATEGIES!$E$1:$F$504,2,FALSE)</f>
        <v>5623-Publication des résultats des mécanismes de suivi</v>
      </c>
      <c r="AD1778" s="21" t="str">
        <f t="shared" si="256"/>
        <v>56234-Elaboration d'un tableau de bord sur la mise en œuvre du budget du MESRS</v>
      </c>
    </row>
    <row r="1779" spans="1:30" s="22" customFormat="1" ht="60" hidden="1" customHeight="1" x14ac:dyDescent="0.8">
      <c r="A1779" s="14">
        <v>5</v>
      </c>
      <c r="B1779" s="15">
        <v>56</v>
      </c>
      <c r="C1779" s="15">
        <v>562</v>
      </c>
      <c r="D1779" s="15">
        <v>5623</v>
      </c>
      <c r="E1779" s="15">
        <v>56235</v>
      </c>
      <c r="F1779" s="16" t="s">
        <v>2232</v>
      </c>
      <c r="G1779" s="21" t="s">
        <v>44</v>
      </c>
      <c r="H1779" s="17" t="s">
        <v>452</v>
      </c>
      <c r="I1779" s="33">
        <v>0</v>
      </c>
      <c r="J1779" s="33">
        <f>46+427+200</f>
        <v>673</v>
      </c>
      <c r="K1779" s="33">
        <f>46+427+200</f>
        <v>673</v>
      </c>
      <c r="L1779" s="33">
        <f>46+427+200</f>
        <v>673</v>
      </c>
      <c r="M1779" s="33">
        <f t="shared" si="255"/>
        <v>2019</v>
      </c>
      <c r="N1779" s="33">
        <f>IF(OR(H1779="",H1779="sif",H1779="PM"),0,VLOOKUP(H1779,[5]CU!$C$4:$H$255,6,FALSE))</f>
        <v>7.4999999999999997E-3</v>
      </c>
      <c r="O1779" s="33">
        <f t="shared" si="263"/>
        <v>0</v>
      </c>
      <c r="P1779" s="33">
        <f t="shared" si="263"/>
        <v>5.0474999999999994</v>
      </c>
      <c r="Q1779" s="33">
        <f t="shared" si="263"/>
        <v>5.0474999999999994</v>
      </c>
      <c r="R1779" s="33">
        <f t="shared" si="263"/>
        <v>5.0474999999999994</v>
      </c>
      <c r="S1779" s="33">
        <f t="shared" si="261"/>
        <v>15.142499999999998</v>
      </c>
      <c r="T1779" s="35" t="s">
        <v>118</v>
      </c>
      <c r="U1779" s="18" t="s">
        <v>1873</v>
      </c>
      <c r="V1779" s="18" t="str">
        <f>IF(OR($H1779="",$H1779="sif",$H1779="PM"),"",VLOOKUP($H1779,[5]CU!$C$5:$J$255,8,FALSE))</f>
        <v>3. Dépenses de fonctionnement</v>
      </c>
      <c r="W1779" s="18" t="s">
        <v>521</v>
      </c>
      <c r="X1779" s="18" t="s">
        <v>1936</v>
      </c>
      <c r="Y1779" s="18" t="s">
        <v>679</v>
      </c>
      <c r="Z1779" s="18" t="str">
        <f>A1779 &amp; "-" &amp; VLOOKUP(A1779,[4]PROGRAMMES!$E$1:$F$7,2,FALSE)</f>
        <v>5-Gouvernance et pilotage du secteur</v>
      </c>
      <c r="AA1779" s="19" t="str">
        <f>B1779 &amp; "-" &amp; VLOOKUP(B1779,[4]SOUSPROGRAMMES!$E$1:$F$44,2,FALSE)</f>
        <v>56- Gestion des ressources financières</v>
      </c>
      <c r="AB1779" s="19" t="str">
        <f>C1779 &amp; "-" &amp; VLOOKUP(C1779,[4]RESULTATS!$E$1:$F$176,2,FALSE)</f>
        <v>562- Les structures bénéficiaires reçoivent à temps les budgets nécessaires pour la mise en œuvre de leurs activités</v>
      </c>
      <c r="AC1779" s="20" t="str">
        <f>D1779 &amp; "-" &amp; VLOOKUP(D1779,[4]STRATEGIES!$E$1:$F$504,2,FALSE)</f>
        <v>5623-Publication des résultats des mécanismes de suivi</v>
      </c>
      <c r="AD1779" s="21" t="str">
        <f t="shared" si="256"/>
        <v>56235-Reproduction du tableau de bord du MESRS</v>
      </c>
    </row>
    <row r="1780" spans="1:30" s="22" customFormat="1" ht="60" hidden="1" customHeight="1" x14ac:dyDescent="0.8">
      <c r="A1780" s="14">
        <v>5</v>
      </c>
      <c r="B1780" s="15">
        <v>56</v>
      </c>
      <c r="C1780" s="15">
        <v>562</v>
      </c>
      <c r="D1780" s="15">
        <v>5623</v>
      </c>
      <c r="E1780" s="15">
        <v>56236</v>
      </c>
      <c r="F1780" s="16" t="s">
        <v>2233</v>
      </c>
      <c r="G1780" s="21" t="s">
        <v>2230</v>
      </c>
      <c r="H1780" s="17" t="s">
        <v>73</v>
      </c>
      <c r="I1780" s="33">
        <v>0</v>
      </c>
      <c r="J1780" s="33">
        <f>1*2</f>
        <v>2</v>
      </c>
      <c r="K1780" s="33">
        <f>1*2</f>
        <v>2</v>
      </c>
      <c r="L1780" s="33">
        <f>1*2</f>
        <v>2</v>
      </c>
      <c r="M1780" s="33">
        <f t="shared" si="255"/>
        <v>6</v>
      </c>
      <c r="N1780" s="33">
        <f>IF(OR(H1780="",H1780="sif",H1780="PM"),0,VLOOKUP(H1780,[5]CU!$C$4:$H$255,6,FALSE))</f>
        <v>0.4</v>
      </c>
      <c r="O1780" s="33">
        <f t="shared" si="263"/>
        <v>0</v>
      </c>
      <c r="P1780" s="33">
        <f t="shared" si="263"/>
        <v>0.8</v>
      </c>
      <c r="Q1780" s="33">
        <f t="shared" si="263"/>
        <v>0.8</v>
      </c>
      <c r="R1780" s="33">
        <f t="shared" si="263"/>
        <v>0.8</v>
      </c>
      <c r="S1780" s="33">
        <f t="shared" si="261"/>
        <v>2.4000000000000004</v>
      </c>
      <c r="T1780" s="35" t="s">
        <v>118</v>
      </c>
      <c r="U1780" s="18" t="s">
        <v>1873</v>
      </c>
      <c r="V1780" s="18" t="str">
        <f>IF(OR($H1780="",$H1780="sif",$H1780="PM"),"",VLOOKUP($H1780,[5]CU!$C$5:$J$255,8,FALSE))</f>
        <v>3. Dépenses de fonctionnement</v>
      </c>
      <c r="W1780" s="18" t="s">
        <v>521</v>
      </c>
      <c r="X1780" s="18" t="s">
        <v>1936</v>
      </c>
      <c r="Y1780" s="18" t="s">
        <v>679</v>
      </c>
      <c r="Z1780" s="18" t="str">
        <f>A1780 &amp; "-" &amp; VLOOKUP(A1780,[4]PROGRAMMES!$E$1:$F$7,2,FALSE)</f>
        <v>5-Gouvernance et pilotage du secteur</v>
      </c>
      <c r="AA1780" s="19" t="str">
        <f>B1780 &amp; "-" &amp; VLOOKUP(B1780,[4]SOUSPROGRAMMES!$E$1:$F$44,2,FALSE)</f>
        <v>56- Gestion des ressources financières</v>
      </c>
      <c r="AB1780" s="19" t="str">
        <f>C1780 &amp; "-" &amp; VLOOKUP(C1780,[4]RESULTATS!$E$1:$F$176,2,FALSE)</f>
        <v>562- Les structures bénéficiaires reçoivent à temps les budgets nécessaires pour la mise en œuvre de leurs activités</v>
      </c>
      <c r="AC1780" s="20" t="str">
        <f>D1780 &amp; "-" &amp; VLOOKUP(D1780,[4]STRATEGIES!$E$1:$F$504,2,FALSE)</f>
        <v>5623-Publication des résultats des mécanismes de suivi</v>
      </c>
      <c r="AD1780" s="21" t="str">
        <f t="shared" si="256"/>
        <v>56236-Diffusion du tableau de bord du MESRS</v>
      </c>
    </row>
    <row r="1781" spans="1:30" s="22" customFormat="1" ht="60" hidden="1" customHeight="1" x14ac:dyDescent="0.8">
      <c r="A1781" s="14">
        <v>5</v>
      </c>
      <c r="B1781" s="15">
        <v>56</v>
      </c>
      <c r="C1781" s="15">
        <v>562</v>
      </c>
      <c r="D1781" s="15">
        <v>5623</v>
      </c>
      <c r="E1781" s="15">
        <v>56237</v>
      </c>
      <c r="F1781" s="16" t="s">
        <v>2234</v>
      </c>
      <c r="G1781" s="21" t="s">
        <v>2224</v>
      </c>
      <c r="H1781" s="17" t="s">
        <v>66</v>
      </c>
      <c r="I1781" s="33">
        <v>0</v>
      </c>
      <c r="J1781" s="33">
        <f>20*10</f>
        <v>200</v>
      </c>
      <c r="K1781" s="33">
        <f>20*10</f>
        <v>200</v>
      </c>
      <c r="L1781" s="33">
        <f>20*10</f>
        <v>200</v>
      </c>
      <c r="M1781" s="33">
        <f t="shared" si="255"/>
        <v>600</v>
      </c>
      <c r="N1781" s="33">
        <f>IF(OR(H1781="",H1781="sif",H1781="PM"),0,VLOOKUP(H1781,[5]CU!$C$4:$H$255,6,FALSE))</f>
        <v>0.255</v>
      </c>
      <c r="O1781" s="33">
        <f t="shared" si="263"/>
        <v>0</v>
      </c>
      <c r="P1781" s="33">
        <f t="shared" si="263"/>
        <v>51</v>
      </c>
      <c r="Q1781" s="33">
        <f t="shared" si="263"/>
        <v>51</v>
      </c>
      <c r="R1781" s="33">
        <f t="shared" si="263"/>
        <v>51</v>
      </c>
      <c r="S1781" s="33">
        <f t="shared" si="261"/>
        <v>153</v>
      </c>
      <c r="T1781" s="35" t="s">
        <v>118</v>
      </c>
      <c r="U1781" s="18" t="s">
        <v>1873</v>
      </c>
      <c r="V1781" s="18" t="str">
        <f>IF(OR($H1781="",$H1781="sif",$H1781="PM"),"",VLOOKUP($H1781,[5]CU!$C$5:$J$255,8,FALSE))</f>
        <v>3. Dépenses de fonctionnement</v>
      </c>
      <c r="W1781" s="18" t="s">
        <v>521</v>
      </c>
      <c r="X1781" s="18" t="s">
        <v>1936</v>
      </c>
      <c r="Y1781" s="18" t="s">
        <v>677</v>
      </c>
      <c r="Z1781" s="18" t="str">
        <f>A1781 &amp; "-" &amp; VLOOKUP(A1781,[4]PROGRAMMES!$E$1:$F$7,2,FALSE)</f>
        <v>5-Gouvernance et pilotage du secteur</v>
      </c>
      <c r="AA1781" s="19" t="str">
        <f>B1781 &amp; "-" &amp; VLOOKUP(B1781,[4]SOUSPROGRAMMES!$E$1:$F$44,2,FALSE)</f>
        <v>56- Gestion des ressources financières</v>
      </c>
      <c r="AB1781" s="19" t="str">
        <f>C1781 &amp; "-" &amp; VLOOKUP(C1781,[4]RESULTATS!$E$1:$F$176,2,FALSE)</f>
        <v>562- Les structures bénéficiaires reçoivent à temps les budgets nécessaires pour la mise en œuvre de leurs activités</v>
      </c>
      <c r="AC1781" s="20" t="str">
        <f>D1781 &amp; "-" &amp; VLOOKUP(D1781,[4]STRATEGIES!$E$1:$F$504,2,FALSE)</f>
        <v>5623-Publication des résultats des mécanismes de suivi</v>
      </c>
      <c r="AD1781" s="21" t="str">
        <f t="shared" si="256"/>
        <v>56237-Elaboration d'un tableau de bord sur la mise en œuvre du budget du METFP</v>
      </c>
    </row>
    <row r="1782" spans="1:30" s="22" customFormat="1" ht="60" hidden="1" customHeight="1" x14ac:dyDescent="0.8">
      <c r="A1782" s="14">
        <v>5</v>
      </c>
      <c r="B1782" s="15">
        <v>56</v>
      </c>
      <c r="C1782" s="15">
        <v>562</v>
      </c>
      <c r="D1782" s="15">
        <v>5623</v>
      </c>
      <c r="E1782" s="15">
        <v>56238</v>
      </c>
      <c r="F1782" s="16" t="s">
        <v>2235</v>
      </c>
      <c r="G1782" s="21" t="s">
        <v>44</v>
      </c>
      <c r="H1782" s="17" t="s">
        <v>452</v>
      </c>
      <c r="I1782" s="33">
        <v>0</v>
      </c>
      <c r="J1782" s="33">
        <f>46+427+200</f>
        <v>673</v>
      </c>
      <c r="K1782" s="33">
        <f>46+427+200</f>
        <v>673</v>
      </c>
      <c r="L1782" s="33">
        <f>46+427+200</f>
        <v>673</v>
      </c>
      <c r="M1782" s="33">
        <f t="shared" si="255"/>
        <v>2019</v>
      </c>
      <c r="N1782" s="33">
        <f>IF(OR(H1782="",H1782="sif",H1782="PM"),0,VLOOKUP(H1782,[5]CU!$C$4:$H$255,6,FALSE))</f>
        <v>7.4999999999999997E-3</v>
      </c>
      <c r="O1782" s="33">
        <f t="shared" si="263"/>
        <v>0</v>
      </c>
      <c r="P1782" s="33">
        <f t="shared" si="263"/>
        <v>5.0474999999999994</v>
      </c>
      <c r="Q1782" s="33">
        <f t="shared" si="263"/>
        <v>5.0474999999999994</v>
      </c>
      <c r="R1782" s="33">
        <f t="shared" si="263"/>
        <v>5.0474999999999994</v>
      </c>
      <c r="S1782" s="33">
        <f t="shared" si="261"/>
        <v>15.142499999999998</v>
      </c>
      <c r="T1782" s="35" t="s">
        <v>118</v>
      </c>
      <c r="U1782" s="18" t="s">
        <v>1873</v>
      </c>
      <c r="V1782" s="18" t="str">
        <f>IF(OR($H1782="",$H1782="sif",$H1782="PM"),"",VLOOKUP($H1782,[5]CU!$C$5:$J$255,8,FALSE))</f>
        <v>3. Dépenses de fonctionnement</v>
      </c>
      <c r="W1782" s="18" t="s">
        <v>521</v>
      </c>
      <c r="X1782" s="18" t="s">
        <v>1936</v>
      </c>
      <c r="Y1782" s="18" t="s">
        <v>677</v>
      </c>
      <c r="Z1782" s="18" t="str">
        <f>A1782 &amp; "-" &amp; VLOOKUP(A1782,[4]PROGRAMMES!$E$1:$F$7,2,FALSE)</f>
        <v>5-Gouvernance et pilotage du secteur</v>
      </c>
      <c r="AA1782" s="19" t="str">
        <f>B1782 &amp; "-" &amp; VLOOKUP(B1782,[4]SOUSPROGRAMMES!$E$1:$F$44,2,FALSE)</f>
        <v>56- Gestion des ressources financières</v>
      </c>
      <c r="AB1782" s="19" t="str">
        <f>C1782 &amp; "-" &amp; VLOOKUP(C1782,[4]RESULTATS!$E$1:$F$176,2,FALSE)</f>
        <v>562- Les structures bénéficiaires reçoivent à temps les budgets nécessaires pour la mise en œuvre de leurs activités</v>
      </c>
      <c r="AC1782" s="20" t="str">
        <f>D1782 &amp; "-" &amp; VLOOKUP(D1782,[4]STRATEGIES!$E$1:$F$504,2,FALSE)</f>
        <v>5623-Publication des résultats des mécanismes de suivi</v>
      </c>
      <c r="AD1782" s="21" t="str">
        <f t="shared" si="256"/>
        <v>56238-Reproduction du tableau de bord du METFP</v>
      </c>
    </row>
    <row r="1783" spans="1:30" s="22" customFormat="1" ht="60" hidden="1" customHeight="1" x14ac:dyDescent="0.8">
      <c r="A1783" s="14">
        <v>5</v>
      </c>
      <c r="B1783" s="15">
        <v>56</v>
      </c>
      <c r="C1783" s="15">
        <v>562</v>
      </c>
      <c r="D1783" s="15">
        <v>5623</v>
      </c>
      <c r="E1783" s="15">
        <v>56239</v>
      </c>
      <c r="F1783" s="16" t="s">
        <v>2236</v>
      </c>
      <c r="G1783" s="21" t="s">
        <v>2230</v>
      </c>
      <c r="H1783" s="17" t="s">
        <v>73</v>
      </c>
      <c r="I1783" s="33">
        <v>0</v>
      </c>
      <c r="J1783" s="33">
        <f>1*2</f>
        <v>2</v>
      </c>
      <c r="K1783" s="33">
        <f>1*2</f>
        <v>2</v>
      </c>
      <c r="L1783" s="33">
        <f>1*2</f>
        <v>2</v>
      </c>
      <c r="M1783" s="33">
        <f t="shared" si="255"/>
        <v>6</v>
      </c>
      <c r="N1783" s="33">
        <f>IF(OR(H1783="",H1783="sif",H1783="PM"),0,VLOOKUP(H1783,[5]CU!$C$4:$H$255,6,FALSE))</f>
        <v>0.4</v>
      </c>
      <c r="O1783" s="33">
        <f t="shared" si="263"/>
        <v>0</v>
      </c>
      <c r="P1783" s="33">
        <f t="shared" si="263"/>
        <v>0.8</v>
      </c>
      <c r="Q1783" s="33">
        <f t="shared" si="263"/>
        <v>0.8</v>
      </c>
      <c r="R1783" s="33">
        <f t="shared" si="263"/>
        <v>0.8</v>
      </c>
      <c r="S1783" s="33">
        <f t="shared" si="261"/>
        <v>2.4000000000000004</v>
      </c>
      <c r="T1783" s="35" t="s">
        <v>118</v>
      </c>
      <c r="U1783" s="18" t="s">
        <v>1873</v>
      </c>
      <c r="V1783" s="18" t="str">
        <f>IF(OR($H1783="",$H1783="sif",$H1783="PM"),"",VLOOKUP($H1783,[5]CU!$C$5:$J$255,8,FALSE))</f>
        <v>3. Dépenses de fonctionnement</v>
      </c>
      <c r="W1783" s="18" t="s">
        <v>521</v>
      </c>
      <c r="X1783" s="18" t="s">
        <v>1936</v>
      </c>
      <c r="Y1783" s="18" t="s">
        <v>677</v>
      </c>
      <c r="Z1783" s="18" t="str">
        <f>A1783 &amp; "-" &amp; VLOOKUP(A1783,[4]PROGRAMMES!$E$1:$F$7,2,FALSE)</f>
        <v>5-Gouvernance et pilotage du secteur</v>
      </c>
      <c r="AA1783" s="19" t="str">
        <f>B1783 &amp; "-" &amp; VLOOKUP(B1783,[4]SOUSPROGRAMMES!$E$1:$F$44,2,FALSE)</f>
        <v>56- Gestion des ressources financières</v>
      </c>
      <c r="AB1783" s="19" t="str">
        <f>C1783 &amp; "-" &amp; VLOOKUP(C1783,[4]RESULTATS!$E$1:$F$176,2,FALSE)</f>
        <v>562- Les structures bénéficiaires reçoivent à temps les budgets nécessaires pour la mise en œuvre de leurs activités</v>
      </c>
      <c r="AC1783" s="20" t="str">
        <f>D1783 &amp; "-" &amp; VLOOKUP(D1783,[4]STRATEGIES!$E$1:$F$504,2,FALSE)</f>
        <v>5623-Publication des résultats des mécanismes de suivi</v>
      </c>
      <c r="AD1783" s="21" t="str">
        <f t="shared" si="256"/>
        <v>56239-Diffusion du tableau de bord du METFP</v>
      </c>
    </row>
    <row r="1784" spans="1:30" s="22" customFormat="1" ht="60" hidden="1" customHeight="1" x14ac:dyDescent="0.8">
      <c r="A1784" s="14">
        <v>5</v>
      </c>
      <c r="B1784" s="15">
        <v>56</v>
      </c>
      <c r="C1784" s="15">
        <v>563</v>
      </c>
      <c r="D1784" s="15">
        <v>563</v>
      </c>
      <c r="E1784" s="15">
        <v>563</v>
      </c>
      <c r="F1784" s="16" t="s">
        <v>2237</v>
      </c>
      <c r="G1784" s="17"/>
      <c r="H1784" s="17"/>
      <c r="I1784" s="33">
        <v>0</v>
      </c>
      <c r="J1784" s="33"/>
      <c r="K1784" s="33"/>
      <c r="L1784" s="33"/>
      <c r="M1784" s="33"/>
      <c r="N1784" s="33"/>
      <c r="O1784" s="33"/>
      <c r="P1784" s="33"/>
      <c r="Q1784" s="33"/>
      <c r="R1784" s="33"/>
      <c r="S1784" s="33"/>
      <c r="T1784" s="33"/>
      <c r="U1784" s="18"/>
      <c r="V1784" s="18"/>
      <c r="W1784" s="18"/>
      <c r="X1784" s="18"/>
      <c r="Y1784" s="18"/>
      <c r="Z1784" s="18" t="str">
        <f>A1784 &amp; "-" &amp; VLOOKUP(A1784,[4]PROGRAMMES!$E$1:$F$7,2,FALSE)</f>
        <v>5-Gouvernance et pilotage du secteur</v>
      </c>
      <c r="AA1784" s="19" t="str">
        <f>B1784 &amp; "-" &amp; VLOOKUP(B1784,[4]SOUSPROGRAMMES!$E$1:$F$44,2,FALSE)</f>
        <v>56- Gestion des ressources financières</v>
      </c>
      <c r="AB1784" s="19" t="str">
        <f>C1784 &amp; "-" &amp; VLOOKUP(C1784,[4]RESULTATS!$E$1:$F$176,2,FALSE)</f>
        <v>563- Une plus grande transparence sur l’utilisation des ressources financières permet une utilisation, conforme aux objectifs de la programmation</v>
      </c>
      <c r="AC1784" s="20" t="str">
        <f>D1784 &amp; "-" &amp; VLOOKUP(D1784,[4]STRATEGIES!$E$1:$F$504,2,FALSE)</f>
        <v>563- Une plus grande transparence sur l’utilisation des ressources financières permet une utilisation, conforme aux objectifs de la programmation</v>
      </c>
      <c r="AD1784" s="21" t="str">
        <f t="shared" si="256"/>
        <v>563- Une plus grande transparence sur l’utilisation des ressources Financières permet une utilisation, conforme aux objectifs de la programmation</v>
      </c>
    </row>
    <row r="1785" spans="1:30" s="22" customFormat="1" ht="60" hidden="1" customHeight="1" x14ac:dyDescent="0.8">
      <c r="A1785" s="14">
        <v>5</v>
      </c>
      <c r="B1785" s="15">
        <v>56</v>
      </c>
      <c r="C1785" s="15">
        <v>563</v>
      </c>
      <c r="D1785" s="15">
        <v>5631</v>
      </c>
      <c r="E1785" s="15">
        <v>5631</v>
      </c>
      <c r="F1785" s="16" t="s">
        <v>2206</v>
      </c>
      <c r="G1785" s="17"/>
      <c r="H1785" s="17"/>
      <c r="I1785" s="33">
        <v>0</v>
      </c>
      <c r="J1785" s="33"/>
      <c r="K1785" s="33"/>
      <c r="L1785" s="33"/>
      <c r="M1785" s="33"/>
      <c r="N1785" s="33"/>
      <c r="O1785" s="33"/>
      <c r="P1785" s="33"/>
      <c r="Q1785" s="33"/>
      <c r="R1785" s="33"/>
      <c r="S1785" s="33"/>
      <c r="T1785" s="33"/>
      <c r="U1785" s="18"/>
      <c r="V1785" s="18"/>
      <c r="W1785" s="18"/>
      <c r="X1785" s="18"/>
      <c r="Y1785" s="18"/>
      <c r="Z1785" s="18" t="str">
        <f>A1785 &amp; "-" &amp; VLOOKUP(A1785,[4]PROGRAMMES!$E$1:$F$7,2,FALSE)</f>
        <v>5-Gouvernance et pilotage du secteur</v>
      </c>
      <c r="AA1785" s="19" t="str">
        <f>B1785 &amp; "-" &amp; VLOOKUP(B1785,[4]SOUSPROGRAMMES!$E$1:$F$44,2,FALSE)</f>
        <v>56- Gestion des ressources financières</v>
      </c>
      <c r="AB1785" s="19" t="str">
        <f>C1785 &amp; "-" &amp; VLOOKUP(C1785,[4]RESULTATS!$E$1:$F$176,2,FALSE)</f>
        <v>563- Une plus grande transparence sur l’utilisation des ressources financières permet une utilisation, conforme aux objectifs de la programmation</v>
      </c>
      <c r="AC1785" s="20" t="str">
        <f>D1785 &amp; "-" &amp; VLOOKUP(D1785,[4]STRATEGIES!$E$1:$F$504,2,FALSE)</f>
        <v>5631-Publication des allocations budgétaires</v>
      </c>
      <c r="AD1785" s="21" t="str">
        <f t="shared" si="256"/>
        <v>5631-Publication des allocations budgétaires</v>
      </c>
    </row>
    <row r="1786" spans="1:30" s="22" customFormat="1" ht="60" hidden="1" customHeight="1" x14ac:dyDescent="0.8">
      <c r="A1786" s="14">
        <v>5</v>
      </c>
      <c r="B1786" s="15">
        <v>56</v>
      </c>
      <c r="C1786" s="15">
        <v>563</v>
      </c>
      <c r="D1786" s="15">
        <v>5631</v>
      </c>
      <c r="E1786" s="15">
        <v>56311</v>
      </c>
      <c r="F1786" s="16" t="s">
        <v>2238</v>
      </c>
      <c r="G1786" s="21" t="s">
        <v>92</v>
      </c>
      <c r="H1786" s="17" t="s">
        <v>55</v>
      </c>
      <c r="I1786" s="33">
        <v>0</v>
      </c>
      <c r="J1786" s="33">
        <v>1</v>
      </c>
      <c r="K1786" s="33">
        <v>1</v>
      </c>
      <c r="L1786" s="33">
        <v>1</v>
      </c>
      <c r="M1786" s="33">
        <f t="shared" si="255"/>
        <v>3</v>
      </c>
      <c r="N1786" s="33">
        <f>IF(OR(H1786="",H1786="sif",H1786="PM"),0,VLOOKUP(H1786,[5]CU!$C$4:$H$255,6,FALSE))</f>
        <v>0</v>
      </c>
      <c r="O1786" s="33">
        <f t="shared" ref="O1786:R1788" si="264">IFERROR($N1786*I1786,0)</f>
        <v>0</v>
      </c>
      <c r="P1786" s="33">
        <f t="shared" si="264"/>
        <v>0</v>
      </c>
      <c r="Q1786" s="33">
        <f t="shared" si="264"/>
        <v>0</v>
      </c>
      <c r="R1786" s="33">
        <f t="shared" si="264"/>
        <v>0</v>
      </c>
      <c r="S1786" s="33"/>
      <c r="T1786" s="35" t="s">
        <v>56</v>
      </c>
      <c r="U1786" s="18" t="s">
        <v>1873</v>
      </c>
      <c r="V1786" s="18" t="str">
        <f>IF(OR($H1786="",$H1786="sif",$H1786="PM"),"",VLOOKUP($H1786,[5]CU!$C$5:$J$255,8,FALSE))</f>
        <v/>
      </c>
      <c r="W1786" s="18" t="s">
        <v>521</v>
      </c>
      <c r="X1786" s="18" t="s">
        <v>2239</v>
      </c>
      <c r="Y1786" s="19" t="s">
        <v>32</v>
      </c>
      <c r="Z1786" s="18" t="str">
        <f>A1786 &amp; "-" &amp; VLOOKUP(A1786,[4]PROGRAMMES!$E$1:$F$7,2,FALSE)</f>
        <v>5-Gouvernance et pilotage du secteur</v>
      </c>
      <c r="AA1786" s="19" t="str">
        <f>B1786 &amp; "-" &amp; VLOOKUP(B1786,[4]SOUSPROGRAMMES!$E$1:$F$44,2,FALSE)</f>
        <v>56- Gestion des ressources financières</v>
      </c>
      <c r="AB1786" s="19" t="str">
        <f>C1786 &amp; "-" &amp; VLOOKUP(C1786,[4]RESULTATS!$E$1:$F$176,2,FALSE)</f>
        <v>563- Une plus grande transparence sur l’utilisation des ressources financières permet une utilisation, conforme aux objectifs de la programmation</v>
      </c>
      <c r="AC1786" s="20" t="str">
        <f>D1786 &amp; "-" &amp; VLOOKUP(D1786,[4]STRATEGIES!$E$1:$F$504,2,FALSE)</f>
        <v>5631-Publication des allocations budgétaires</v>
      </c>
      <c r="AD1786" s="21" t="str">
        <f t="shared" si="256"/>
        <v>56311-Production d'affiches sur le budget alloué aux structures (sur le budget des structures)</v>
      </c>
    </row>
    <row r="1787" spans="1:30" s="22" customFormat="1" ht="60" hidden="1" customHeight="1" x14ac:dyDescent="0.8">
      <c r="A1787" s="14">
        <v>5</v>
      </c>
      <c r="B1787" s="15">
        <v>56</v>
      </c>
      <c r="C1787" s="15">
        <v>563</v>
      </c>
      <c r="D1787" s="15">
        <v>5631</v>
      </c>
      <c r="E1787" s="15">
        <v>56312</v>
      </c>
      <c r="F1787" s="16" t="s">
        <v>2240</v>
      </c>
      <c r="G1787" s="21" t="s">
        <v>315</v>
      </c>
      <c r="H1787" s="17" t="s">
        <v>301</v>
      </c>
      <c r="I1787" s="33">
        <v>0</v>
      </c>
      <c r="J1787" s="33"/>
      <c r="K1787" s="33"/>
      <c r="L1787" s="33">
        <f>I1787</f>
        <v>0</v>
      </c>
      <c r="M1787" s="33">
        <f t="shared" si="255"/>
        <v>0</v>
      </c>
      <c r="N1787" s="33">
        <f>IF(OR(H1787="",H1787="sif",H1787="PM"),0,VLOOKUP(H1787,[5]CU!$C$4:$H$255,6,FALSE))</f>
        <v>0.67666666666666664</v>
      </c>
      <c r="O1787" s="33">
        <f t="shared" si="264"/>
        <v>0</v>
      </c>
      <c r="P1787" s="33">
        <f t="shared" si="264"/>
        <v>0</v>
      </c>
      <c r="Q1787" s="33">
        <f t="shared" si="264"/>
        <v>0</v>
      </c>
      <c r="R1787" s="33">
        <f t="shared" si="264"/>
        <v>0</v>
      </c>
      <c r="S1787" s="33">
        <f>SUM(O1787:R1787)</f>
        <v>0</v>
      </c>
      <c r="T1787" s="35" t="s">
        <v>118</v>
      </c>
      <c r="U1787" s="18" t="s">
        <v>1873</v>
      </c>
      <c r="V1787" s="18" t="str">
        <f>IF(OR($H1787="",$H1787="sif",$H1787="PM"),"",VLOOKUP($H1787,[5]CU!$C$5:$J$255,8,FALSE))</f>
        <v>3. Formation</v>
      </c>
      <c r="W1787" s="18" t="s">
        <v>1936</v>
      </c>
      <c r="X1787" s="18" t="s">
        <v>1936</v>
      </c>
      <c r="Y1787" s="19" t="s">
        <v>32</v>
      </c>
      <c r="Z1787" s="18" t="str">
        <f>A1787 &amp; "-" &amp; VLOOKUP(A1787,[4]PROGRAMMES!$E$1:$F$7,2,FALSE)</f>
        <v>5-Gouvernance et pilotage du secteur</v>
      </c>
      <c r="AA1787" s="19" t="str">
        <f>B1787 &amp; "-" &amp; VLOOKUP(B1787,[4]SOUSPROGRAMMES!$E$1:$F$44,2,FALSE)</f>
        <v>56- Gestion des ressources financières</v>
      </c>
      <c r="AB1787" s="19" t="str">
        <f>C1787 &amp; "-" &amp; VLOOKUP(C1787,[4]RESULTATS!$E$1:$F$176,2,FALSE)</f>
        <v>563- Une plus grande transparence sur l’utilisation des ressources financières permet une utilisation, conforme aux objectifs de la programmation</v>
      </c>
      <c r="AC1787" s="20" t="str">
        <f>D1787 &amp; "-" &amp; VLOOKUP(D1787,[4]STRATEGIES!$E$1:$F$504,2,FALSE)</f>
        <v>5631-Publication des allocations budgétaires</v>
      </c>
      <c r="AD1787" s="21" t="str">
        <f t="shared" si="256"/>
        <v>56312-Formation des chargés du matériel et équipement en comptabilité matière au niveau central et déconcentré</v>
      </c>
    </row>
    <row r="1788" spans="1:30" s="22" customFormat="1" ht="60" hidden="1" customHeight="1" x14ac:dyDescent="0.8">
      <c r="A1788" s="14">
        <v>5</v>
      </c>
      <c r="B1788" s="15">
        <v>56</v>
      </c>
      <c r="C1788" s="15">
        <v>563</v>
      </c>
      <c r="D1788" s="15">
        <v>5631</v>
      </c>
      <c r="E1788" s="15">
        <v>56313</v>
      </c>
      <c r="F1788" s="16" t="s">
        <v>2241</v>
      </c>
      <c r="G1788" s="21" t="s">
        <v>92</v>
      </c>
      <c r="H1788" s="17" t="s">
        <v>55</v>
      </c>
      <c r="I1788" s="33">
        <v>0</v>
      </c>
      <c r="J1788" s="33">
        <v>0</v>
      </c>
      <c r="K1788" s="33">
        <v>1</v>
      </c>
      <c r="L1788" s="33">
        <v>1</v>
      </c>
      <c r="M1788" s="33">
        <f t="shared" si="255"/>
        <v>2</v>
      </c>
      <c r="N1788" s="33">
        <f>IF(OR(H1788="",H1788="sif",H1788="PM"),0,VLOOKUP(H1788,[5]CU!$C$4:$H$255,6,FALSE))</f>
        <v>0</v>
      </c>
      <c r="O1788" s="33">
        <f t="shared" si="264"/>
        <v>0</v>
      </c>
      <c r="P1788" s="33">
        <f t="shared" si="264"/>
        <v>0</v>
      </c>
      <c r="Q1788" s="33">
        <f t="shared" si="264"/>
        <v>0</v>
      </c>
      <c r="R1788" s="33">
        <f t="shared" si="264"/>
        <v>0</v>
      </c>
      <c r="S1788" s="33"/>
      <c r="T1788" s="35" t="s">
        <v>56</v>
      </c>
      <c r="U1788" s="18" t="s">
        <v>1873</v>
      </c>
      <c r="V1788" s="18" t="str">
        <f>IF(OR($H1788="",$H1788="sif",$H1788="PM"),"",VLOOKUP($H1788,[5]CU!$C$5:$J$255,8,FALSE))</f>
        <v/>
      </c>
      <c r="W1788" s="18" t="s">
        <v>521</v>
      </c>
      <c r="X1788" s="18" t="s">
        <v>2187</v>
      </c>
      <c r="Y1788" s="19" t="s">
        <v>32</v>
      </c>
      <c r="Z1788" s="18" t="str">
        <f>A1788 &amp; "-" &amp; VLOOKUP(A1788,[4]PROGRAMMES!$E$1:$F$7,2,FALSE)</f>
        <v>5-Gouvernance et pilotage du secteur</v>
      </c>
      <c r="AA1788" s="19" t="str">
        <f>B1788 &amp; "-" &amp; VLOOKUP(B1788,[4]SOUSPROGRAMMES!$E$1:$F$44,2,FALSE)</f>
        <v>56- Gestion des ressources financières</v>
      </c>
      <c r="AB1788" s="19" t="str">
        <f>C1788 &amp; "-" &amp; VLOOKUP(C1788,[4]RESULTATS!$E$1:$F$176,2,FALSE)</f>
        <v>563- Une plus grande transparence sur l’utilisation des ressources financières permet une utilisation, conforme aux objectifs de la programmation</v>
      </c>
      <c r="AC1788" s="20" t="str">
        <f>D1788 &amp; "-" &amp; VLOOKUP(D1788,[4]STRATEGIES!$E$1:$F$504,2,FALSE)</f>
        <v>5631-Publication des allocations budgétaires</v>
      </c>
      <c r="AD1788" s="21" t="str">
        <f t="shared" si="256"/>
        <v>56313-Diffusion du budget sur le site web du secteur</v>
      </c>
    </row>
    <row r="1789" spans="1:30" s="22" customFormat="1" ht="60" hidden="1" customHeight="1" x14ac:dyDescent="0.8">
      <c r="A1789" s="14">
        <v>5</v>
      </c>
      <c r="B1789" s="15">
        <v>56</v>
      </c>
      <c r="C1789" s="15">
        <v>563</v>
      </c>
      <c r="D1789" s="15">
        <v>5632</v>
      </c>
      <c r="E1789" s="15">
        <v>5632</v>
      </c>
      <c r="F1789" s="16" t="s">
        <v>2242</v>
      </c>
      <c r="G1789" s="17"/>
      <c r="H1789" s="17"/>
      <c r="I1789" s="33">
        <v>0</v>
      </c>
      <c r="J1789" s="33"/>
      <c r="K1789" s="33"/>
      <c r="L1789" s="33"/>
      <c r="M1789" s="33"/>
      <c r="N1789" s="33"/>
      <c r="O1789" s="33"/>
      <c r="P1789" s="33"/>
      <c r="Q1789" s="33"/>
      <c r="R1789" s="33"/>
      <c r="S1789" s="33"/>
      <c r="T1789" s="33"/>
      <c r="U1789" s="18"/>
      <c r="V1789" s="18"/>
      <c r="W1789" s="18"/>
      <c r="X1789" s="18"/>
      <c r="Y1789" s="18"/>
      <c r="Z1789" s="18" t="str">
        <f>A1789 &amp; "-" &amp; VLOOKUP(A1789,[4]PROGRAMMES!$E$1:$F$7,2,FALSE)</f>
        <v>5-Gouvernance et pilotage du secteur</v>
      </c>
      <c r="AA1789" s="19" t="str">
        <f>B1789 &amp; "-" &amp; VLOOKUP(B1789,[4]SOUSPROGRAMMES!$E$1:$F$44,2,FALSE)</f>
        <v>56- Gestion des ressources financières</v>
      </c>
      <c r="AB1789" s="19" t="str">
        <f>C1789 &amp; "-" &amp; VLOOKUP(C1789,[4]RESULTATS!$E$1:$F$176,2,FALSE)</f>
        <v>563- Une plus grande transparence sur l’utilisation des ressources financières permet une utilisation, conforme aux objectifs de la programmation</v>
      </c>
      <c r="AC1789" s="20" t="str">
        <f>D1789 &amp; "-" &amp; VLOOKUP(D1789,[4]STRATEGIES!$E$1:$F$504,2,FALSE)</f>
        <v>5632-Publication des rapports d’exécution budgétaire</v>
      </c>
      <c r="AD1789" s="21" t="str">
        <f t="shared" si="256"/>
        <v>5632-Publication des rapports d’exécution budgétaire</v>
      </c>
    </row>
    <row r="1790" spans="1:30" s="22" customFormat="1" ht="60" hidden="1" customHeight="1" x14ac:dyDescent="0.8">
      <c r="A1790" s="14">
        <v>5</v>
      </c>
      <c r="B1790" s="15">
        <v>56</v>
      </c>
      <c r="C1790" s="15">
        <v>563</v>
      </c>
      <c r="D1790" s="15">
        <v>5632</v>
      </c>
      <c r="E1790" s="15">
        <v>56321</v>
      </c>
      <c r="F1790" s="16" t="s">
        <v>2243</v>
      </c>
      <c r="G1790" s="21" t="s">
        <v>92</v>
      </c>
      <c r="H1790" s="17" t="s">
        <v>55</v>
      </c>
      <c r="I1790" s="33">
        <v>0</v>
      </c>
      <c r="J1790" s="33">
        <v>1</v>
      </c>
      <c r="K1790" s="33">
        <v>1</v>
      </c>
      <c r="L1790" s="33">
        <v>1</v>
      </c>
      <c r="M1790" s="33">
        <f t="shared" si="255"/>
        <v>3</v>
      </c>
      <c r="N1790" s="33">
        <f>IF(OR(H1790="",H1790="sif",H1790="PM"),0,VLOOKUP(H1790,[5]CU!$C$4:$H$255,6,FALSE))</f>
        <v>0</v>
      </c>
      <c r="O1790" s="33">
        <f t="shared" ref="O1790:R1798" si="265">IFERROR($N1790*I1790,0)</f>
        <v>0</v>
      </c>
      <c r="P1790" s="33">
        <f t="shared" si="265"/>
        <v>0</v>
      </c>
      <c r="Q1790" s="33">
        <f t="shared" si="265"/>
        <v>0</v>
      </c>
      <c r="R1790" s="33">
        <f t="shared" si="265"/>
        <v>0</v>
      </c>
      <c r="S1790" s="33"/>
      <c r="T1790" s="35" t="s">
        <v>56</v>
      </c>
      <c r="U1790" s="18" t="s">
        <v>1873</v>
      </c>
      <c r="V1790" s="18" t="str">
        <f>IF(OR($H1790="",$H1790="sif",$H1790="PM"),"",VLOOKUP($H1790,[5]CU!$C$5:$J$255,8,FALSE))</f>
        <v/>
      </c>
      <c r="W1790" s="18" t="s">
        <v>521</v>
      </c>
      <c r="X1790" s="18" t="s">
        <v>1936</v>
      </c>
      <c r="Y1790" s="19" t="s">
        <v>32</v>
      </c>
      <c r="Z1790" s="18" t="str">
        <f>A1790 &amp; "-" &amp; VLOOKUP(A1790,[4]PROGRAMMES!$E$1:$F$7,2,FALSE)</f>
        <v>5-Gouvernance et pilotage du secteur</v>
      </c>
      <c r="AA1790" s="19" t="str">
        <f>B1790 &amp; "-" &amp; VLOOKUP(B1790,[4]SOUSPROGRAMMES!$E$1:$F$44,2,FALSE)</f>
        <v>56- Gestion des ressources financières</v>
      </c>
      <c r="AB1790" s="19" t="str">
        <f>C1790 &amp; "-" &amp; VLOOKUP(C1790,[4]RESULTATS!$E$1:$F$176,2,FALSE)</f>
        <v>563- Une plus grande transparence sur l’utilisation des ressources financières permet une utilisation, conforme aux objectifs de la programmation</v>
      </c>
      <c r="AC1790" s="20" t="str">
        <f>D1790 &amp; "-" &amp; VLOOKUP(D1790,[4]STRATEGIES!$E$1:$F$504,2,FALSE)</f>
        <v>5632-Publication des rapports d’exécution budgétaire</v>
      </c>
      <c r="AD1790" s="21" t="str">
        <f t="shared" si="256"/>
        <v>56321-Elaboration du rapport d'exécution du budget par structure</v>
      </c>
    </row>
    <row r="1791" spans="1:30" s="22" customFormat="1" ht="60" hidden="1" customHeight="1" x14ac:dyDescent="0.8">
      <c r="A1791" s="14">
        <v>5</v>
      </c>
      <c r="B1791" s="15">
        <v>56</v>
      </c>
      <c r="C1791" s="15">
        <v>563</v>
      </c>
      <c r="D1791" s="15">
        <v>5632</v>
      </c>
      <c r="E1791" s="15">
        <v>56322</v>
      </c>
      <c r="F1791" s="16" t="s">
        <v>2244</v>
      </c>
      <c r="G1791" s="21" t="s">
        <v>92</v>
      </c>
      <c r="H1791" s="17" t="s">
        <v>55</v>
      </c>
      <c r="I1791" s="33">
        <v>0</v>
      </c>
      <c r="J1791" s="33">
        <v>1</v>
      </c>
      <c r="K1791" s="33">
        <v>1</v>
      </c>
      <c r="L1791" s="33">
        <v>1</v>
      </c>
      <c r="M1791" s="33">
        <f t="shared" si="255"/>
        <v>3</v>
      </c>
      <c r="N1791" s="33">
        <f>IF(OR(H1791="",H1791="sif",H1791="PM"),0,VLOOKUP(H1791,[5]CU!$C$4:$H$255,6,FALSE))</f>
        <v>0</v>
      </c>
      <c r="O1791" s="33">
        <f t="shared" si="265"/>
        <v>0</v>
      </c>
      <c r="P1791" s="33">
        <f t="shared" si="265"/>
        <v>0</v>
      </c>
      <c r="Q1791" s="33">
        <f t="shared" si="265"/>
        <v>0</v>
      </c>
      <c r="R1791" s="33">
        <f t="shared" si="265"/>
        <v>0</v>
      </c>
      <c r="S1791" s="33"/>
      <c r="T1791" s="35" t="s">
        <v>56</v>
      </c>
      <c r="U1791" s="18" t="s">
        <v>1873</v>
      </c>
      <c r="V1791" s="18" t="str">
        <f>IF(OR($H1791="",$H1791="sif",$H1791="PM"),"",VLOOKUP($H1791,[5]CU!$C$5:$J$255,8,FALSE))</f>
        <v/>
      </c>
      <c r="W1791" s="18" t="s">
        <v>521</v>
      </c>
      <c r="X1791" s="18" t="s">
        <v>1963</v>
      </c>
      <c r="Y1791" s="19" t="s">
        <v>32</v>
      </c>
      <c r="Z1791" s="18" t="str">
        <f>A1791 &amp; "-" &amp; VLOOKUP(A1791,[4]PROGRAMMES!$E$1:$F$7,2,FALSE)</f>
        <v>5-Gouvernance et pilotage du secteur</v>
      </c>
      <c r="AA1791" s="19" t="str">
        <f>B1791 &amp; "-" &amp; VLOOKUP(B1791,[4]SOUSPROGRAMMES!$E$1:$F$44,2,FALSE)</f>
        <v>56- Gestion des ressources financières</v>
      </c>
      <c r="AB1791" s="19" t="str">
        <f>C1791 &amp; "-" &amp; VLOOKUP(C1791,[4]RESULTATS!$E$1:$F$176,2,FALSE)</f>
        <v>563- Une plus grande transparence sur l’utilisation des ressources financières permet une utilisation, conforme aux objectifs de la programmation</v>
      </c>
      <c r="AC1791" s="20" t="str">
        <f>D1791 &amp; "-" &amp; VLOOKUP(D1791,[4]STRATEGIES!$E$1:$F$504,2,FALSE)</f>
        <v>5632-Publication des rapports d’exécution budgétaire</v>
      </c>
      <c r="AD1791" s="21" t="str">
        <f t="shared" si="256"/>
        <v>56322-Production d'affiches sur le budget exécuté par structure</v>
      </c>
    </row>
    <row r="1792" spans="1:30" s="22" customFormat="1" ht="60" hidden="1" customHeight="1" x14ac:dyDescent="0.8">
      <c r="A1792" s="14">
        <v>5</v>
      </c>
      <c r="B1792" s="15">
        <v>56</v>
      </c>
      <c r="C1792" s="15">
        <v>563</v>
      </c>
      <c r="D1792" s="15">
        <v>5632</v>
      </c>
      <c r="E1792" s="15">
        <v>56323</v>
      </c>
      <c r="F1792" s="16" t="s">
        <v>2245</v>
      </c>
      <c r="G1792" s="21" t="s">
        <v>92</v>
      </c>
      <c r="H1792" s="17" t="s">
        <v>55</v>
      </c>
      <c r="I1792" s="33">
        <v>0</v>
      </c>
      <c r="J1792" s="33">
        <v>0</v>
      </c>
      <c r="K1792" s="33">
        <v>1</v>
      </c>
      <c r="L1792" s="33">
        <v>1</v>
      </c>
      <c r="M1792" s="33">
        <f t="shared" si="255"/>
        <v>2</v>
      </c>
      <c r="N1792" s="33">
        <f>IF(OR(H1792="",H1792="sif",H1792="PM"),0,VLOOKUP(H1792,[5]CU!$C$4:$H$255,6,FALSE))</f>
        <v>0</v>
      </c>
      <c r="O1792" s="33">
        <f t="shared" si="265"/>
        <v>0</v>
      </c>
      <c r="P1792" s="33">
        <f t="shared" si="265"/>
        <v>0</v>
      </c>
      <c r="Q1792" s="33">
        <f t="shared" si="265"/>
        <v>0</v>
      </c>
      <c r="R1792" s="33">
        <f t="shared" si="265"/>
        <v>0</v>
      </c>
      <c r="S1792" s="33"/>
      <c r="T1792" s="35" t="s">
        <v>56</v>
      </c>
      <c r="U1792" s="18" t="s">
        <v>1873</v>
      </c>
      <c r="V1792" s="18" t="str">
        <f>IF(OR($H1792="",$H1792="sif",$H1792="PM"),"",VLOOKUP($H1792,[5]CU!$C$5:$J$255,8,FALSE))</f>
        <v/>
      </c>
      <c r="W1792" s="18" t="s">
        <v>521</v>
      </c>
      <c r="X1792" s="18" t="s">
        <v>2187</v>
      </c>
      <c r="Y1792" s="19" t="s">
        <v>32</v>
      </c>
      <c r="Z1792" s="18" t="str">
        <f>A1792 &amp; "-" &amp; VLOOKUP(A1792,[4]PROGRAMMES!$E$1:$F$7,2,FALSE)</f>
        <v>5-Gouvernance et pilotage du secteur</v>
      </c>
      <c r="AA1792" s="19" t="str">
        <f>B1792 &amp; "-" &amp; VLOOKUP(B1792,[4]SOUSPROGRAMMES!$E$1:$F$44,2,FALSE)</f>
        <v>56- Gestion des ressources financières</v>
      </c>
      <c r="AB1792" s="19" t="str">
        <f>C1792 &amp; "-" &amp; VLOOKUP(C1792,[4]RESULTATS!$E$1:$F$176,2,FALSE)</f>
        <v>563- Une plus grande transparence sur l’utilisation des ressources financières permet une utilisation, conforme aux objectifs de la programmation</v>
      </c>
      <c r="AC1792" s="20" t="str">
        <f>D1792 &amp; "-" &amp; VLOOKUP(D1792,[4]STRATEGIES!$E$1:$F$504,2,FALSE)</f>
        <v>5632-Publication des rapports d’exécution budgétaire</v>
      </c>
      <c r="AD1792" s="21" t="str">
        <f t="shared" si="256"/>
        <v>56323-Diffusion de l'exécution des budgets sur le site web du Ministère</v>
      </c>
    </row>
    <row r="1793" spans="1:30" s="22" customFormat="1" ht="60" hidden="1" customHeight="1" x14ac:dyDescent="0.8">
      <c r="A1793" s="14">
        <v>5</v>
      </c>
      <c r="B1793" s="15">
        <v>56</v>
      </c>
      <c r="C1793" s="15">
        <v>563</v>
      </c>
      <c r="D1793" s="15">
        <v>5632</v>
      </c>
      <c r="E1793" s="15">
        <v>56324</v>
      </c>
      <c r="F1793" s="16" t="s">
        <v>2243</v>
      </c>
      <c r="G1793" s="21" t="s">
        <v>92</v>
      </c>
      <c r="H1793" s="17" t="s">
        <v>55</v>
      </c>
      <c r="I1793" s="33">
        <v>0</v>
      </c>
      <c r="J1793" s="33">
        <v>1</v>
      </c>
      <c r="K1793" s="33">
        <v>1</v>
      </c>
      <c r="L1793" s="33">
        <v>1</v>
      </c>
      <c r="M1793" s="33">
        <f t="shared" si="255"/>
        <v>3</v>
      </c>
      <c r="N1793" s="33">
        <f>IF(OR(H1793="",H1793="sif",H1793="PM"),0,VLOOKUP(H1793,[5]CU!$C$4:$H$255,6,FALSE))</f>
        <v>0</v>
      </c>
      <c r="O1793" s="33">
        <f t="shared" si="265"/>
        <v>0</v>
      </c>
      <c r="P1793" s="33">
        <f t="shared" si="265"/>
        <v>0</v>
      </c>
      <c r="Q1793" s="33">
        <f t="shared" si="265"/>
        <v>0</v>
      </c>
      <c r="R1793" s="33">
        <f t="shared" si="265"/>
        <v>0</v>
      </c>
      <c r="S1793" s="33"/>
      <c r="T1793" s="35" t="s">
        <v>56</v>
      </c>
      <c r="U1793" s="18" t="s">
        <v>1873</v>
      </c>
      <c r="V1793" s="18" t="str">
        <f>IF(OR($H1793="",$H1793="sif",$H1793="PM"),"",VLOOKUP($H1793,[5]CU!$C$5:$J$255,8,FALSE))</f>
        <v/>
      </c>
      <c r="W1793" s="18" t="s">
        <v>521</v>
      </c>
      <c r="X1793" s="18" t="s">
        <v>1936</v>
      </c>
      <c r="Y1793" s="18" t="s">
        <v>679</v>
      </c>
      <c r="Z1793" s="18" t="str">
        <f>A1793 &amp; "-" &amp; VLOOKUP(A1793,[4]PROGRAMMES!$E$1:$F$7,2,FALSE)</f>
        <v>5-Gouvernance et pilotage du secteur</v>
      </c>
      <c r="AA1793" s="19" t="str">
        <f>B1793 &amp; "-" &amp; VLOOKUP(B1793,[4]SOUSPROGRAMMES!$E$1:$F$44,2,FALSE)</f>
        <v>56- Gestion des ressources financières</v>
      </c>
      <c r="AB1793" s="19" t="str">
        <f>C1793 &amp; "-" &amp; VLOOKUP(C1793,[4]RESULTATS!$E$1:$F$176,2,FALSE)</f>
        <v>563- Une plus grande transparence sur l’utilisation des ressources financières permet une utilisation, conforme aux objectifs de la programmation</v>
      </c>
      <c r="AC1793" s="20" t="str">
        <f>D1793 &amp; "-" &amp; VLOOKUP(D1793,[4]STRATEGIES!$E$1:$F$504,2,FALSE)</f>
        <v>5632-Publication des rapports d’exécution budgétaire</v>
      </c>
      <c r="AD1793" s="21" t="str">
        <f t="shared" si="256"/>
        <v>56324-Elaboration du rapport d'exécution du budget par structure</v>
      </c>
    </row>
    <row r="1794" spans="1:30" s="22" customFormat="1" ht="60" hidden="1" customHeight="1" x14ac:dyDescent="0.8">
      <c r="A1794" s="14">
        <v>5</v>
      </c>
      <c r="B1794" s="15">
        <v>56</v>
      </c>
      <c r="C1794" s="15">
        <v>563</v>
      </c>
      <c r="D1794" s="15">
        <v>5632</v>
      </c>
      <c r="E1794" s="15">
        <v>56325</v>
      </c>
      <c r="F1794" s="16" t="s">
        <v>2244</v>
      </c>
      <c r="G1794" s="21" t="s">
        <v>92</v>
      </c>
      <c r="H1794" s="17" t="s">
        <v>55</v>
      </c>
      <c r="I1794" s="33">
        <v>0</v>
      </c>
      <c r="J1794" s="33">
        <v>1</v>
      </c>
      <c r="K1794" s="33">
        <v>1</v>
      </c>
      <c r="L1794" s="33">
        <v>1</v>
      </c>
      <c r="M1794" s="33">
        <f t="shared" si="255"/>
        <v>3</v>
      </c>
      <c r="N1794" s="33">
        <f>IF(OR(H1794="",H1794="sif",H1794="PM"),0,VLOOKUP(H1794,[5]CU!$C$4:$H$255,6,FALSE))</f>
        <v>0</v>
      </c>
      <c r="O1794" s="33">
        <f t="shared" si="265"/>
        <v>0</v>
      </c>
      <c r="P1794" s="33">
        <f t="shared" si="265"/>
        <v>0</v>
      </c>
      <c r="Q1794" s="33">
        <f t="shared" si="265"/>
        <v>0</v>
      </c>
      <c r="R1794" s="33">
        <f t="shared" si="265"/>
        <v>0</v>
      </c>
      <c r="S1794" s="33"/>
      <c r="T1794" s="35" t="s">
        <v>56</v>
      </c>
      <c r="U1794" s="18" t="s">
        <v>1873</v>
      </c>
      <c r="V1794" s="18" t="str">
        <f>IF(OR($H1794="",$H1794="sif",$H1794="PM"),"",VLOOKUP($H1794,[5]CU!$C$5:$J$255,8,FALSE))</f>
        <v/>
      </c>
      <c r="W1794" s="18" t="s">
        <v>521</v>
      </c>
      <c r="X1794" s="18" t="s">
        <v>1963</v>
      </c>
      <c r="Y1794" s="18" t="s">
        <v>679</v>
      </c>
      <c r="Z1794" s="18" t="str">
        <f>A1794 &amp; "-" &amp; VLOOKUP(A1794,[4]PROGRAMMES!$E$1:$F$7,2,FALSE)</f>
        <v>5-Gouvernance et pilotage du secteur</v>
      </c>
      <c r="AA1794" s="19" t="str">
        <f>B1794 &amp; "-" &amp; VLOOKUP(B1794,[4]SOUSPROGRAMMES!$E$1:$F$44,2,FALSE)</f>
        <v>56- Gestion des ressources financières</v>
      </c>
      <c r="AB1794" s="19" t="str">
        <f>C1794 &amp; "-" &amp; VLOOKUP(C1794,[4]RESULTATS!$E$1:$F$176,2,FALSE)</f>
        <v>563- Une plus grande transparence sur l’utilisation des ressources financières permet une utilisation, conforme aux objectifs de la programmation</v>
      </c>
      <c r="AC1794" s="20" t="str">
        <f>D1794 &amp; "-" &amp; VLOOKUP(D1794,[4]STRATEGIES!$E$1:$F$504,2,FALSE)</f>
        <v>5632-Publication des rapports d’exécution budgétaire</v>
      </c>
      <c r="AD1794" s="21" t="str">
        <f t="shared" si="256"/>
        <v>56325-Production d'affiches sur le budget exécuté par structure</v>
      </c>
    </row>
    <row r="1795" spans="1:30" s="22" customFormat="1" ht="60" hidden="1" customHeight="1" x14ac:dyDescent="0.8">
      <c r="A1795" s="14">
        <v>5</v>
      </c>
      <c r="B1795" s="15">
        <v>56</v>
      </c>
      <c r="C1795" s="15">
        <v>563</v>
      </c>
      <c r="D1795" s="15">
        <v>5632</v>
      </c>
      <c r="E1795" s="15">
        <v>56326</v>
      </c>
      <c r="F1795" s="16" t="s">
        <v>2245</v>
      </c>
      <c r="G1795" s="21" t="s">
        <v>92</v>
      </c>
      <c r="H1795" s="17" t="s">
        <v>55</v>
      </c>
      <c r="I1795" s="33">
        <v>0</v>
      </c>
      <c r="J1795" s="33">
        <v>0</v>
      </c>
      <c r="K1795" s="33">
        <v>1</v>
      </c>
      <c r="L1795" s="33">
        <v>1</v>
      </c>
      <c r="M1795" s="33">
        <f t="shared" si="255"/>
        <v>2</v>
      </c>
      <c r="N1795" s="33">
        <f>IF(OR(H1795="",H1795="sif",H1795="PM"),0,VLOOKUP(H1795,[5]CU!$C$4:$H$255,6,FALSE))</f>
        <v>0</v>
      </c>
      <c r="O1795" s="33">
        <f t="shared" si="265"/>
        <v>0</v>
      </c>
      <c r="P1795" s="33">
        <f t="shared" si="265"/>
        <v>0</v>
      </c>
      <c r="Q1795" s="33">
        <f t="shared" si="265"/>
        <v>0</v>
      </c>
      <c r="R1795" s="33">
        <f t="shared" si="265"/>
        <v>0</v>
      </c>
      <c r="S1795" s="33"/>
      <c r="T1795" s="35" t="s">
        <v>56</v>
      </c>
      <c r="U1795" s="18" t="s">
        <v>1873</v>
      </c>
      <c r="V1795" s="18" t="str">
        <f>IF(OR($H1795="",$H1795="sif",$H1795="PM"),"",VLOOKUP($H1795,[5]CU!$C$5:$J$255,8,FALSE))</f>
        <v/>
      </c>
      <c r="W1795" s="18" t="s">
        <v>521</v>
      </c>
      <c r="X1795" s="18" t="s">
        <v>2187</v>
      </c>
      <c r="Y1795" s="18" t="s">
        <v>679</v>
      </c>
      <c r="Z1795" s="18" t="str">
        <f>A1795 &amp; "-" &amp; VLOOKUP(A1795,[4]PROGRAMMES!$E$1:$F$7,2,FALSE)</f>
        <v>5-Gouvernance et pilotage du secteur</v>
      </c>
      <c r="AA1795" s="19" t="str">
        <f>B1795 &amp; "-" &amp; VLOOKUP(B1795,[4]SOUSPROGRAMMES!$E$1:$F$44,2,FALSE)</f>
        <v>56- Gestion des ressources financières</v>
      </c>
      <c r="AB1795" s="19" t="str">
        <f>C1795 &amp; "-" &amp; VLOOKUP(C1795,[4]RESULTATS!$E$1:$F$176,2,FALSE)</f>
        <v>563- Une plus grande transparence sur l’utilisation des ressources financières permet une utilisation, conforme aux objectifs de la programmation</v>
      </c>
      <c r="AC1795" s="20" t="str">
        <f>D1795 &amp; "-" &amp; VLOOKUP(D1795,[4]STRATEGIES!$E$1:$F$504,2,FALSE)</f>
        <v>5632-Publication des rapports d’exécution budgétaire</v>
      </c>
      <c r="AD1795" s="21" t="str">
        <f t="shared" si="256"/>
        <v>56326-Diffusion de l'exécution des budgets sur le site web du Ministère</v>
      </c>
    </row>
    <row r="1796" spans="1:30" s="22" customFormat="1" ht="60" hidden="1" customHeight="1" x14ac:dyDescent="0.8">
      <c r="A1796" s="14">
        <v>5</v>
      </c>
      <c r="B1796" s="15">
        <v>56</v>
      </c>
      <c r="C1796" s="15">
        <v>563</v>
      </c>
      <c r="D1796" s="15">
        <v>5632</v>
      </c>
      <c r="E1796" s="15">
        <v>56327</v>
      </c>
      <c r="F1796" s="16" t="s">
        <v>2243</v>
      </c>
      <c r="G1796" s="21" t="s">
        <v>92</v>
      </c>
      <c r="H1796" s="17" t="s">
        <v>55</v>
      </c>
      <c r="I1796" s="33">
        <v>0</v>
      </c>
      <c r="J1796" s="33">
        <v>1</v>
      </c>
      <c r="K1796" s="33">
        <v>1</v>
      </c>
      <c r="L1796" s="33">
        <v>1</v>
      </c>
      <c r="M1796" s="33">
        <f t="shared" si="255"/>
        <v>3</v>
      </c>
      <c r="N1796" s="33">
        <f>IF(OR(H1796="",H1796="sif",H1796="PM"),0,VLOOKUP(H1796,[5]CU!$C$4:$H$255,6,FALSE))</f>
        <v>0</v>
      </c>
      <c r="O1796" s="33">
        <f t="shared" si="265"/>
        <v>0</v>
      </c>
      <c r="P1796" s="33">
        <f t="shared" si="265"/>
        <v>0</v>
      </c>
      <c r="Q1796" s="33">
        <f t="shared" si="265"/>
        <v>0</v>
      </c>
      <c r="R1796" s="33">
        <f t="shared" si="265"/>
        <v>0</v>
      </c>
      <c r="S1796" s="33"/>
      <c r="T1796" s="35" t="s">
        <v>56</v>
      </c>
      <c r="U1796" s="18" t="s">
        <v>1873</v>
      </c>
      <c r="V1796" s="18" t="str">
        <f>IF(OR($H1796="",$H1796="sif",$H1796="PM"),"",VLOOKUP($H1796,[5]CU!$C$5:$J$255,8,FALSE))</f>
        <v/>
      </c>
      <c r="W1796" s="18" t="s">
        <v>521</v>
      </c>
      <c r="X1796" s="18" t="s">
        <v>1936</v>
      </c>
      <c r="Y1796" s="18" t="s">
        <v>677</v>
      </c>
      <c r="Z1796" s="18" t="str">
        <f>A1796 &amp; "-" &amp; VLOOKUP(A1796,[4]PROGRAMMES!$E$1:$F$7,2,FALSE)</f>
        <v>5-Gouvernance et pilotage du secteur</v>
      </c>
      <c r="AA1796" s="19" t="str">
        <f>B1796 &amp; "-" &amp; VLOOKUP(B1796,[4]SOUSPROGRAMMES!$E$1:$F$44,2,FALSE)</f>
        <v>56- Gestion des ressources financières</v>
      </c>
      <c r="AB1796" s="19" t="str">
        <f>C1796 &amp; "-" &amp; VLOOKUP(C1796,[4]RESULTATS!$E$1:$F$176,2,FALSE)</f>
        <v>563- Une plus grande transparence sur l’utilisation des ressources financières permet une utilisation, conforme aux objectifs de la programmation</v>
      </c>
      <c r="AC1796" s="20" t="str">
        <f>D1796 &amp; "-" &amp; VLOOKUP(D1796,[4]STRATEGIES!$E$1:$F$504,2,FALSE)</f>
        <v>5632-Publication des rapports d’exécution budgétaire</v>
      </c>
      <c r="AD1796" s="21" t="str">
        <f t="shared" ref="AD1796:AD1859" si="266">E1796 &amp; "-" &amp; F1796</f>
        <v>56327-Elaboration du rapport d'exécution du budget par structure</v>
      </c>
    </row>
    <row r="1797" spans="1:30" s="22" customFormat="1" ht="60" hidden="1" customHeight="1" x14ac:dyDescent="0.8">
      <c r="A1797" s="14">
        <v>5</v>
      </c>
      <c r="B1797" s="15">
        <v>56</v>
      </c>
      <c r="C1797" s="15">
        <v>563</v>
      </c>
      <c r="D1797" s="15">
        <v>5632</v>
      </c>
      <c r="E1797" s="15">
        <v>56328</v>
      </c>
      <c r="F1797" s="16" t="s">
        <v>2244</v>
      </c>
      <c r="G1797" s="21" t="s">
        <v>92</v>
      </c>
      <c r="H1797" s="17" t="s">
        <v>55</v>
      </c>
      <c r="I1797" s="33">
        <v>0</v>
      </c>
      <c r="J1797" s="33">
        <v>1</v>
      </c>
      <c r="K1797" s="33">
        <v>1</v>
      </c>
      <c r="L1797" s="33">
        <v>1</v>
      </c>
      <c r="M1797" s="33">
        <f t="shared" si="255"/>
        <v>3</v>
      </c>
      <c r="N1797" s="33">
        <f>IF(OR(H1797="",H1797="sif",H1797="PM"),0,VLOOKUP(H1797,[5]CU!$C$4:$H$255,6,FALSE))</f>
        <v>0</v>
      </c>
      <c r="O1797" s="33">
        <f t="shared" si="265"/>
        <v>0</v>
      </c>
      <c r="P1797" s="33">
        <f t="shared" si="265"/>
        <v>0</v>
      </c>
      <c r="Q1797" s="33">
        <f t="shared" si="265"/>
        <v>0</v>
      </c>
      <c r="R1797" s="33">
        <f t="shared" si="265"/>
        <v>0</v>
      </c>
      <c r="S1797" s="33"/>
      <c r="T1797" s="35" t="s">
        <v>56</v>
      </c>
      <c r="U1797" s="18" t="s">
        <v>1873</v>
      </c>
      <c r="V1797" s="18" t="str">
        <f>IF(OR($H1797="",$H1797="sif",$H1797="PM"),"",VLOOKUP($H1797,[5]CU!$C$5:$J$255,8,FALSE))</f>
        <v/>
      </c>
      <c r="W1797" s="18" t="s">
        <v>521</v>
      </c>
      <c r="X1797" s="18" t="s">
        <v>1963</v>
      </c>
      <c r="Y1797" s="18" t="s">
        <v>677</v>
      </c>
      <c r="Z1797" s="18" t="str">
        <f>A1797 &amp; "-" &amp; VLOOKUP(A1797,[4]PROGRAMMES!$E$1:$F$7,2,FALSE)</f>
        <v>5-Gouvernance et pilotage du secteur</v>
      </c>
      <c r="AA1797" s="19" t="str">
        <f>B1797 &amp; "-" &amp; VLOOKUP(B1797,[4]SOUSPROGRAMMES!$E$1:$F$44,2,FALSE)</f>
        <v>56- Gestion des ressources financières</v>
      </c>
      <c r="AB1797" s="19" t="str">
        <f>C1797 &amp; "-" &amp; VLOOKUP(C1797,[4]RESULTATS!$E$1:$F$176,2,FALSE)</f>
        <v>563- Une plus grande transparence sur l’utilisation des ressources financières permet une utilisation, conforme aux objectifs de la programmation</v>
      </c>
      <c r="AC1797" s="20" t="str">
        <f>D1797 &amp; "-" &amp; VLOOKUP(D1797,[4]STRATEGIES!$E$1:$F$504,2,FALSE)</f>
        <v>5632-Publication des rapports d’exécution budgétaire</v>
      </c>
      <c r="AD1797" s="21" t="str">
        <f t="shared" si="266"/>
        <v>56328-Production d'affiches sur le budget exécuté par structure</v>
      </c>
    </row>
    <row r="1798" spans="1:30" s="22" customFormat="1" ht="60" hidden="1" customHeight="1" x14ac:dyDescent="0.8">
      <c r="A1798" s="14">
        <v>5</v>
      </c>
      <c r="B1798" s="15">
        <v>56</v>
      </c>
      <c r="C1798" s="15">
        <v>563</v>
      </c>
      <c r="D1798" s="15">
        <v>5632</v>
      </c>
      <c r="E1798" s="15">
        <v>56329</v>
      </c>
      <c r="F1798" s="16" t="s">
        <v>2245</v>
      </c>
      <c r="G1798" s="21" t="s">
        <v>92</v>
      </c>
      <c r="H1798" s="17" t="s">
        <v>55</v>
      </c>
      <c r="I1798" s="33">
        <v>0</v>
      </c>
      <c r="J1798" s="33">
        <v>0</v>
      </c>
      <c r="K1798" s="33">
        <v>1</v>
      </c>
      <c r="L1798" s="33">
        <v>1</v>
      </c>
      <c r="M1798" s="33">
        <f t="shared" si="255"/>
        <v>2</v>
      </c>
      <c r="N1798" s="33">
        <f>IF(OR(H1798="",H1798="sif",H1798="PM"),0,VLOOKUP(H1798,[5]CU!$C$4:$H$255,6,FALSE))</f>
        <v>0</v>
      </c>
      <c r="O1798" s="33">
        <f t="shared" si="265"/>
        <v>0</v>
      </c>
      <c r="P1798" s="33">
        <f t="shared" si="265"/>
        <v>0</v>
      </c>
      <c r="Q1798" s="33">
        <f t="shared" si="265"/>
        <v>0</v>
      </c>
      <c r="R1798" s="33">
        <f t="shared" si="265"/>
        <v>0</v>
      </c>
      <c r="S1798" s="33"/>
      <c r="T1798" s="35" t="s">
        <v>56</v>
      </c>
      <c r="U1798" s="18" t="s">
        <v>1873</v>
      </c>
      <c r="V1798" s="18" t="str">
        <f>IF(OR($H1798="",$H1798="sif",$H1798="PM"),"",VLOOKUP($H1798,[5]CU!$C$5:$J$255,8,FALSE))</f>
        <v/>
      </c>
      <c r="W1798" s="18" t="s">
        <v>521</v>
      </c>
      <c r="X1798" s="18" t="s">
        <v>2187</v>
      </c>
      <c r="Y1798" s="18" t="s">
        <v>677</v>
      </c>
      <c r="Z1798" s="18" t="str">
        <f>A1798 &amp; "-" &amp; VLOOKUP(A1798,[4]PROGRAMMES!$E$1:$F$7,2,FALSE)</f>
        <v>5-Gouvernance et pilotage du secteur</v>
      </c>
      <c r="AA1798" s="19" t="str">
        <f>B1798 &amp; "-" &amp; VLOOKUP(B1798,[4]SOUSPROGRAMMES!$E$1:$F$44,2,FALSE)</f>
        <v>56- Gestion des ressources financières</v>
      </c>
      <c r="AB1798" s="19" t="str">
        <f>C1798 &amp; "-" &amp; VLOOKUP(C1798,[4]RESULTATS!$E$1:$F$176,2,FALSE)</f>
        <v>563- Une plus grande transparence sur l’utilisation des ressources financières permet une utilisation, conforme aux objectifs de la programmation</v>
      </c>
      <c r="AC1798" s="20" t="str">
        <f>D1798 &amp; "-" &amp; VLOOKUP(D1798,[4]STRATEGIES!$E$1:$F$504,2,FALSE)</f>
        <v>5632-Publication des rapports d’exécution budgétaire</v>
      </c>
      <c r="AD1798" s="21" t="str">
        <f t="shared" si="266"/>
        <v>56329-Diffusion de l'exécution des budgets sur le site web du Ministère</v>
      </c>
    </row>
    <row r="1799" spans="1:30" s="22" customFormat="1" ht="60" hidden="1" customHeight="1" x14ac:dyDescent="0.8">
      <c r="A1799" s="14">
        <v>5</v>
      </c>
      <c r="B1799" s="15">
        <v>56</v>
      </c>
      <c r="C1799" s="15">
        <v>563</v>
      </c>
      <c r="D1799" s="15">
        <v>5633</v>
      </c>
      <c r="E1799" s="15">
        <v>5633</v>
      </c>
      <c r="F1799" s="16" t="s">
        <v>2246</v>
      </c>
      <c r="G1799" s="17"/>
      <c r="H1799" s="17"/>
      <c r="I1799" s="33">
        <v>0</v>
      </c>
      <c r="J1799" s="33"/>
      <c r="K1799" s="33"/>
      <c r="L1799" s="33"/>
      <c r="M1799" s="33"/>
      <c r="N1799" s="33"/>
      <c r="O1799" s="33"/>
      <c r="P1799" s="33"/>
      <c r="Q1799" s="33"/>
      <c r="R1799" s="33"/>
      <c r="S1799" s="33"/>
      <c r="T1799" s="33"/>
      <c r="U1799" s="18"/>
      <c r="V1799" s="18"/>
      <c r="W1799" s="18"/>
      <c r="X1799" s="18"/>
      <c r="Y1799" s="18"/>
      <c r="Z1799" s="18" t="str">
        <f>A1799 &amp; "-" &amp; VLOOKUP(A1799,[4]PROGRAMMES!$E$1:$F$7,2,FALSE)</f>
        <v>5-Gouvernance et pilotage du secteur</v>
      </c>
      <c r="AA1799" s="19" t="str">
        <f>B1799 &amp; "-" &amp; VLOOKUP(B1799,[4]SOUSPROGRAMMES!$E$1:$F$44,2,FALSE)</f>
        <v>56- Gestion des ressources financières</v>
      </c>
      <c r="AB1799" s="19" t="str">
        <f>C1799 &amp; "-" &amp; VLOOKUP(C1799,[4]RESULTATS!$E$1:$F$176,2,FALSE)</f>
        <v>563- Une plus grande transparence sur l’utilisation des ressources financières permet une utilisation, conforme aux objectifs de la programmation</v>
      </c>
      <c r="AC1799" s="20" t="str">
        <f>D1799 &amp; "-" &amp; VLOOKUP(D1799,[4]STRATEGIES!$E$1:$F$504,2,FALSE)</f>
        <v>5633-Renforcement des contrôles et audits</v>
      </c>
      <c r="AD1799" s="21" t="str">
        <f t="shared" si="266"/>
        <v>5633-Renforcement des contrôles et audits</v>
      </c>
    </row>
    <row r="1800" spans="1:30" s="22" customFormat="1" ht="60" hidden="1" customHeight="1" x14ac:dyDescent="0.8">
      <c r="A1800" s="14">
        <v>5</v>
      </c>
      <c r="B1800" s="15">
        <v>56</v>
      </c>
      <c r="C1800" s="15">
        <v>563</v>
      </c>
      <c r="D1800" s="15">
        <v>5633</v>
      </c>
      <c r="E1800" s="15">
        <v>56331</v>
      </c>
      <c r="F1800" s="16" t="s">
        <v>2247</v>
      </c>
      <c r="G1800" s="21" t="s">
        <v>177</v>
      </c>
      <c r="H1800" s="17" t="s">
        <v>59</v>
      </c>
      <c r="I1800" s="33">
        <v>0</v>
      </c>
      <c r="J1800" s="33">
        <f>4*10*4</f>
        <v>160</v>
      </c>
      <c r="K1800" s="33">
        <f>4*10*4</f>
        <v>160</v>
      </c>
      <c r="L1800" s="33">
        <f>4*10*4</f>
        <v>160</v>
      </c>
      <c r="M1800" s="33">
        <f t="shared" si="255"/>
        <v>480</v>
      </c>
      <c r="N1800" s="33">
        <f>IF(OR(H1800="",H1800="sif",H1800="PM"),0,VLOOKUP(H1800,[5]CU!$C$4:$H$255,6,FALSE))</f>
        <v>0.8177777777777776</v>
      </c>
      <c r="O1800" s="33">
        <f>IFERROR($N1800*I1800,0)</f>
        <v>0</v>
      </c>
      <c r="P1800" s="33">
        <f>IFERROR($N1800*J1800,0)</f>
        <v>130.84444444444441</v>
      </c>
      <c r="Q1800" s="33">
        <f>IFERROR($N1800*K1800,0)</f>
        <v>130.84444444444441</v>
      </c>
      <c r="R1800" s="33">
        <f>IFERROR($N1800*L1800,0)</f>
        <v>130.84444444444441</v>
      </c>
      <c r="S1800" s="33">
        <f>SUM(O1800:R1800)</f>
        <v>392.53333333333319</v>
      </c>
      <c r="T1800" s="35" t="s">
        <v>118</v>
      </c>
      <c r="U1800" s="18" t="s">
        <v>1873</v>
      </c>
      <c r="V1800" s="18" t="str">
        <f>IF(OR($H1800="",$H1800="sif",$H1800="PM"),"",VLOOKUP($H1800,[5]CU!$C$5:$J$255,8,FALSE))</f>
        <v>3. Dépenses de fonctionnement</v>
      </c>
      <c r="W1800" s="18" t="s">
        <v>263</v>
      </c>
      <c r="X1800" s="18" t="s">
        <v>2248</v>
      </c>
      <c r="Y1800" s="19" t="s">
        <v>32</v>
      </c>
      <c r="Z1800" s="18" t="str">
        <f>A1800 &amp; "-" &amp; VLOOKUP(A1800,[4]PROGRAMMES!$E$1:$F$7,2,FALSE)</f>
        <v>5-Gouvernance et pilotage du secteur</v>
      </c>
      <c r="AA1800" s="19" t="str">
        <f>B1800 &amp; "-" &amp; VLOOKUP(B1800,[4]SOUSPROGRAMMES!$E$1:$F$44,2,FALSE)</f>
        <v>56- Gestion des ressources financières</v>
      </c>
      <c r="AB1800" s="19" t="str">
        <f>C1800 &amp; "-" &amp; VLOOKUP(C1800,[4]RESULTATS!$E$1:$F$176,2,FALSE)</f>
        <v>563- Une plus grande transparence sur l’utilisation des ressources financières permet une utilisation, conforme aux objectifs de la programmation</v>
      </c>
      <c r="AC1800" s="20" t="str">
        <f>D1800 &amp; "-" &amp; VLOOKUP(D1800,[4]STRATEGIES!$E$1:$F$504,2,FALSE)</f>
        <v>5633-Renforcement des contrôles et audits</v>
      </c>
      <c r="AD1800" s="21" t="str">
        <f t="shared" si="266"/>
        <v>56331-Organisation des missions d'audits sur échantillon</v>
      </c>
    </row>
    <row r="1801" spans="1:30" s="22" customFormat="1" ht="60" hidden="1" customHeight="1" x14ac:dyDescent="0.8">
      <c r="A1801" s="14">
        <v>5</v>
      </c>
      <c r="B1801" s="15">
        <v>56</v>
      </c>
      <c r="C1801" s="15">
        <v>563</v>
      </c>
      <c r="D1801" s="15">
        <v>5634</v>
      </c>
      <c r="E1801" s="15">
        <v>5634</v>
      </c>
      <c r="F1801" s="16" t="s">
        <v>2249</v>
      </c>
      <c r="G1801" s="17"/>
      <c r="H1801" s="17"/>
      <c r="I1801" s="33">
        <v>0</v>
      </c>
      <c r="J1801" s="33"/>
      <c r="K1801" s="33"/>
      <c r="L1801" s="33"/>
      <c r="M1801" s="33"/>
      <c r="N1801" s="33"/>
      <c r="O1801" s="33"/>
      <c r="P1801" s="33"/>
      <c r="Q1801" s="33"/>
      <c r="R1801" s="33"/>
      <c r="S1801" s="33"/>
      <c r="T1801" s="33"/>
      <c r="U1801" s="18"/>
      <c r="V1801" s="18"/>
      <c r="W1801" s="18"/>
      <c r="X1801" s="18"/>
      <c r="Y1801" s="18"/>
      <c r="Z1801" s="18" t="str">
        <f>A1801 &amp; "-" &amp; VLOOKUP(A1801,[4]PROGRAMMES!$E$1:$F$7,2,FALSE)</f>
        <v>5-Gouvernance et pilotage du secteur</v>
      </c>
      <c r="AA1801" s="19" t="str">
        <f>B1801 &amp; "-" &amp; VLOOKUP(B1801,[4]SOUSPROGRAMMES!$E$1:$F$44,2,FALSE)</f>
        <v>56- Gestion des ressources financières</v>
      </c>
      <c r="AB1801" s="19" t="str">
        <f>C1801 &amp; "-" &amp; VLOOKUP(C1801,[4]RESULTATS!$E$1:$F$176,2,FALSE)</f>
        <v>563- Une plus grande transparence sur l’utilisation des ressources financières permet une utilisation, conforme aux objectifs de la programmation</v>
      </c>
      <c r="AC1801" s="20" t="str">
        <f>D1801 &amp; "-" &amp; VLOOKUP(D1801,[4]STRATEGIES!$E$1:$F$504,2,FALSE)</f>
        <v>5634-Renforcement de la traçabilité des dépenses d'éducation (dépenses publiques)</v>
      </c>
      <c r="AD1801" s="21" t="str">
        <f t="shared" si="266"/>
        <v>5634-Renforcement de la traçabilité des dépenses d'éducation (dépenses publiques)</v>
      </c>
    </row>
    <row r="1802" spans="1:30" s="22" customFormat="1" ht="60" hidden="1" customHeight="1" x14ac:dyDescent="0.8">
      <c r="A1802" s="14">
        <v>5</v>
      </c>
      <c r="B1802" s="15">
        <v>56</v>
      </c>
      <c r="C1802" s="15">
        <v>563</v>
      </c>
      <c r="D1802" s="15">
        <v>5634</v>
      </c>
      <c r="E1802" s="15">
        <v>56341</v>
      </c>
      <c r="F1802" s="16" t="s">
        <v>2250</v>
      </c>
      <c r="G1802" s="21" t="s">
        <v>436</v>
      </c>
      <c r="H1802" s="17" t="s">
        <v>301</v>
      </c>
      <c r="I1802" s="33">
        <v>0</v>
      </c>
      <c r="J1802" s="33">
        <v>0</v>
      </c>
      <c r="K1802" s="33">
        <v>0</v>
      </c>
      <c r="L1802" s="33">
        <v>0</v>
      </c>
      <c r="M1802" s="33">
        <f>SUM(I1802:L1802)</f>
        <v>0</v>
      </c>
      <c r="N1802" s="33">
        <f>IF(OR(H1802="",H1802="sif",H1802="PM"),0,VLOOKUP(H1802,[5]CU!$C$4:$H$255,6,FALSE))</f>
        <v>0.67666666666666664</v>
      </c>
      <c r="O1802" s="33">
        <f>IFERROR($N1802*I1802,0)</f>
        <v>0</v>
      </c>
      <c r="P1802" s="33">
        <f>IFERROR($N1802*J1802,0)</f>
        <v>0</v>
      </c>
      <c r="Q1802" s="33"/>
      <c r="R1802" s="33">
        <f>IFERROR($N1802*L1802,0)</f>
        <v>0</v>
      </c>
      <c r="S1802" s="33">
        <f>SUM(O1802:R1802)</f>
        <v>0</v>
      </c>
      <c r="T1802" s="35" t="s">
        <v>178</v>
      </c>
      <c r="U1802" s="18" t="s">
        <v>1873</v>
      </c>
      <c r="V1802" s="18" t="str">
        <f>IF(OR($H1802="",$H1802="sif",$H1802="PM"),"",VLOOKUP($H1802,[5]CU!$C$5:$J$255,8,FALSE))</f>
        <v>3. Formation</v>
      </c>
      <c r="W1802" s="18" t="s">
        <v>521</v>
      </c>
      <c r="X1802" s="18" t="s">
        <v>521</v>
      </c>
      <c r="Y1802" s="19" t="s">
        <v>32</v>
      </c>
      <c r="Z1802" s="18" t="str">
        <f>A1802 &amp; "-" &amp; VLOOKUP(A1802,[4]PROGRAMMES!$E$1:$F$7,2,FALSE)</f>
        <v>5-Gouvernance et pilotage du secteur</v>
      </c>
      <c r="AA1802" s="19" t="str">
        <f>B1802 &amp; "-" &amp; VLOOKUP(B1802,[4]SOUSPROGRAMMES!$E$1:$F$44,2,FALSE)</f>
        <v>56- Gestion des ressources financières</v>
      </c>
      <c r="AB1802" s="19" t="str">
        <f>C1802 &amp; "-" &amp; VLOOKUP(C1802,[4]RESULTATS!$E$1:$F$176,2,FALSE)</f>
        <v>563- Une plus grande transparence sur l’utilisation des ressources financières permet une utilisation, conforme aux objectifs de la programmation</v>
      </c>
      <c r="AC1802" s="20" t="str">
        <f>D1802 &amp; "-" &amp; VLOOKUP(D1802,[4]STRATEGIES!$E$1:$F$504,2,FALSE)</f>
        <v>5634-Renforcement de la traçabilité des dépenses d'éducation (dépenses publiques)</v>
      </c>
      <c r="AD1802" s="21" t="str">
        <f t="shared" si="266"/>
        <v>56341-Renforcement des capacités des chargés de la gestion matiére</v>
      </c>
    </row>
    <row r="1803" spans="1:30" ht="60" hidden="1" customHeight="1" x14ac:dyDescent="0.8">
      <c r="A1803" s="25">
        <v>5</v>
      </c>
      <c r="B1803" s="16">
        <v>56</v>
      </c>
      <c r="C1803" s="16">
        <v>563</v>
      </c>
      <c r="D1803" s="16">
        <v>5634</v>
      </c>
      <c r="E1803" s="16">
        <v>56341</v>
      </c>
      <c r="F1803" s="16" t="s">
        <v>2250</v>
      </c>
      <c r="G1803" s="21" t="s">
        <v>436</v>
      </c>
      <c r="H1803" s="21" t="s">
        <v>301</v>
      </c>
      <c r="I1803" s="36">
        <v>0</v>
      </c>
      <c r="J1803" s="36"/>
      <c r="K1803" s="36">
        <v>295</v>
      </c>
      <c r="L1803" s="36"/>
      <c r="M1803" s="36">
        <f t="shared" si="255"/>
        <v>295</v>
      </c>
      <c r="N1803" s="36">
        <f>IF(OR(H1803="",H1803="sif",H1803="PM"),0,VLOOKUP(H1803,[5]CU!$C$4:$H$255,6,FALSE))</f>
        <v>0.67666666666666664</v>
      </c>
      <c r="O1803" s="36"/>
      <c r="P1803" s="36">
        <f t="shared" ref="P1803:R1804" si="267">IFERROR($N1803*J1803,0)</f>
        <v>0</v>
      </c>
      <c r="Q1803" s="36">
        <f t="shared" si="267"/>
        <v>199.61666666666665</v>
      </c>
      <c r="R1803" s="36">
        <f t="shared" si="267"/>
        <v>0</v>
      </c>
      <c r="S1803" s="36">
        <f>SUM(O1803:R1803)</f>
        <v>199.61666666666665</v>
      </c>
      <c r="T1803" s="38" t="s">
        <v>169</v>
      </c>
      <c r="U1803" s="19" t="s">
        <v>1873</v>
      </c>
      <c r="V1803" s="19" t="str">
        <f>IF(OR($H1803="",$H1803="sif",$H1803="PM"),"",VLOOKUP($H1803,[5]CU!$C$5:$J$255,8,FALSE))</f>
        <v>3. Formation</v>
      </c>
      <c r="W1803" s="19" t="s">
        <v>521</v>
      </c>
      <c r="X1803" s="19" t="s">
        <v>521</v>
      </c>
      <c r="Y1803" s="19" t="s">
        <v>2066</v>
      </c>
      <c r="Z1803" s="19" t="str">
        <f>A1803 &amp; "-" &amp; VLOOKUP(A1803,[4]PROGRAMMES!$E$1:$F$7,2,FALSE)</f>
        <v>5-Gouvernance et pilotage du secteur</v>
      </c>
      <c r="AA1803" s="19" t="str">
        <f>B1803 &amp; "-" &amp; VLOOKUP(B1803,[4]SOUSPROGRAMMES!$E$1:$F$44,2,FALSE)</f>
        <v>56- Gestion des ressources financières</v>
      </c>
      <c r="AB1803" s="19" t="str">
        <f>C1803 &amp; "-" &amp; VLOOKUP(C1803,[4]RESULTATS!$E$1:$F$176,2,FALSE)</f>
        <v>563- Une plus grande transparence sur l’utilisation des ressources financières permet une utilisation, conforme aux objectifs de la programmation</v>
      </c>
      <c r="AC1803" s="20" t="str">
        <f>D1803 &amp; "-" &amp; VLOOKUP(D1803,[4]STRATEGIES!$E$1:$F$504,2,FALSE)</f>
        <v>5634-Renforcement de la traçabilité des dépenses d'éducation (dépenses publiques)</v>
      </c>
      <c r="AD1803" s="21" t="str">
        <f t="shared" si="266"/>
        <v>56341-Renforcement des capacités des chargés de la gestion matiére</v>
      </c>
    </row>
    <row r="1804" spans="1:30" s="22" customFormat="1" ht="60" hidden="1" customHeight="1" x14ac:dyDescent="0.8">
      <c r="A1804" s="14">
        <v>5</v>
      </c>
      <c r="B1804" s="15">
        <v>56</v>
      </c>
      <c r="C1804" s="15">
        <v>563</v>
      </c>
      <c r="D1804" s="15">
        <v>5634</v>
      </c>
      <c r="E1804" s="15">
        <v>56342</v>
      </c>
      <c r="F1804" s="16" t="s">
        <v>2251</v>
      </c>
      <c r="G1804" s="21" t="s">
        <v>195</v>
      </c>
      <c r="H1804" s="17" t="s">
        <v>2252</v>
      </c>
      <c r="I1804" s="33">
        <v>0</v>
      </c>
      <c r="J1804" s="33"/>
      <c r="K1804" s="33">
        <v>1</v>
      </c>
      <c r="L1804" s="33"/>
      <c r="M1804" s="33">
        <f t="shared" si="255"/>
        <v>1</v>
      </c>
      <c r="N1804" s="33">
        <f>IF(OR(H1804="",H1804="sif",H1804="PM"),0,VLOOKUP(H1804,[5]CU!$C$4:$H$255,6,FALSE))</f>
        <v>760</v>
      </c>
      <c r="O1804" s="33">
        <f>IFERROR($N1804*I1804,0)</f>
        <v>0</v>
      </c>
      <c r="P1804" s="33">
        <f t="shared" si="267"/>
        <v>0</v>
      </c>
      <c r="Q1804" s="33">
        <f t="shared" si="267"/>
        <v>760</v>
      </c>
      <c r="R1804" s="33">
        <f t="shared" si="267"/>
        <v>0</v>
      </c>
      <c r="S1804" s="33">
        <f>SUM(O1804:R1804)</f>
        <v>760</v>
      </c>
      <c r="T1804" s="35" t="s">
        <v>169</v>
      </c>
      <c r="U1804" s="18" t="s">
        <v>1873</v>
      </c>
      <c r="V1804" s="18" t="str">
        <f>IF(OR($H1804="",$H1804="sif",$H1804="PM"),"",VLOOKUP($H1804,[5]CU!$C$5:$J$255,8,FALSE))</f>
        <v>3. Dépenses de fonctionnement</v>
      </c>
      <c r="W1804" s="19" t="s">
        <v>1939</v>
      </c>
      <c r="X1804" s="19" t="s">
        <v>1939</v>
      </c>
      <c r="Y1804" s="19" t="s">
        <v>2066</v>
      </c>
      <c r="Z1804" s="18" t="str">
        <f>A1804 &amp; "-" &amp; VLOOKUP(A1804,[4]PROGRAMMES!$E$1:$F$7,2,FALSE)</f>
        <v>5-Gouvernance et pilotage du secteur</v>
      </c>
      <c r="AA1804" s="19" t="str">
        <f>B1804 &amp; "-" &amp; VLOOKUP(B1804,[4]SOUSPROGRAMMES!$E$1:$F$44,2,FALSE)</f>
        <v>56- Gestion des ressources financières</v>
      </c>
      <c r="AB1804" s="19" t="str">
        <f>C1804 &amp; "-" &amp; VLOOKUP(C1804,[4]RESULTATS!$E$1:$F$176,2,FALSE)</f>
        <v>563- Une plus grande transparence sur l’utilisation des ressources financières permet une utilisation, conforme aux objectifs de la programmation</v>
      </c>
      <c r="AC1804" s="20" t="str">
        <f>D1804 &amp; "-" &amp; VLOOKUP(D1804,[4]STRATEGIES!$E$1:$F$504,2,FALSE)</f>
        <v>5634-Renforcement de la traçabilité des dépenses d'éducation (dépenses publiques)</v>
      </c>
      <c r="AD1804" s="21" t="str">
        <f t="shared" si="266"/>
        <v>56342-Etude sur la traçabilité des dépenses publiques en éducation</v>
      </c>
    </row>
    <row r="1805" spans="1:30" s="22" customFormat="1" ht="15" hidden="1" customHeight="1" x14ac:dyDescent="0.8">
      <c r="A1805" s="14">
        <v>5</v>
      </c>
      <c r="B1805" s="15">
        <v>57</v>
      </c>
      <c r="C1805" s="15">
        <v>57</v>
      </c>
      <c r="D1805" s="15">
        <v>57</v>
      </c>
      <c r="E1805" s="15">
        <v>57</v>
      </c>
      <c r="F1805" s="16" t="s">
        <v>2253</v>
      </c>
      <c r="G1805" s="17"/>
      <c r="H1805" s="17"/>
      <c r="I1805" s="33">
        <v>0</v>
      </c>
      <c r="J1805" s="33"/>
      <c r="K1805" s="33"/>
      <c r="L1805" s="33"/>
      <c r="M1805" s="33"/>
      <c r="N1805" s="33"/>
      <c r="O1805" s="33"/>
      <c r="P1805" s="33"/>
      <c r="Q1805" s="33"/>
      <c r="R1805" s="33"/>
      <c r="S1805" s="33"/>
      <c r="T1805" s="33"/>
      <c r="U1805" s="18"/>
      <c r="V1805" s="18"/>
      <c r="W1805" s="18"/>
      <c r="X1805" s="18"/>
      <c r="Y1805" s="18"/>
      <c r="Z1805" s="18" t="str">
        <f>A1805 &amp; "-" &amp; VLOOKUP(A1805,[4]PROGRAMMES!$E$1:$F$7,2,FALSE)</f>
        <v>5-Gouvernance et pilotage du secteur</v>
      </c>
      <c r="AA1805" s="19" t="str">
        <f>B1805 &amp; "-" &amp; VLOOKUP(B1805,[4]SOUSPROGRAMMES!$E$1:$F$44,2,FALSE)</f>
        <v>57- Coordination sectorielle</v>
      </c>
      <c r="AB1805" s="19" t="str">
        <f>C1805 &amp; "-" &amp; VLOOKUP(C1805,[4]RESULTATS!$E$1:$F$176,2,FALSE)</f>
        <v>57- Coordination sectorielle</v>
      </c>
      <c r="AC1805" s="20" t="str">
        <f>D1805 &amp; "-" &amp; VLOOKUP(D1805,[4]STRATEGIES!$E$1:$F$504,2,FALSE)</f>
        <v>57- Coordination sectorielle</v>
      </c>
      <c r="AD1805" s="21" t="str">
        <f t="shared" si="266"/>
        <v>57- Coordination sectorielle</v>
      </c>
    </row>
    <row r="1806" spans="1:30" s="22" customFormat="1" ht="45" hidden="1" customHeight="1" x14ac:dyDescent="0.8">
      <c r="A1806" s="14">
        <v>5</v>
      </c>
      <c r="B1806" s="15">
        <v>57</v>
      </c>
      <c r="C1806" s="15">
        <v>571</v>
      </c>
      <c r="D1806" s="15">
        <v>571</v>
      </c>
      <c r="E1806" s="15">
        <v>571</v>
      </c>
      <c r="F1806" s="16" t="s">
        <v>2254</v>
      </c>
      <c r="G1806" s="17"/>
      <c r="H1806" s="17"/>
      <c r="I1806" s="33">
        <v>0</v>
      </c>
      <c r="J1806" s="33"/>
      <c r="K1806" s="33"/>
      <c r="L1806" s="33"/>
      <c r="M1806" s="33"/>
      <c r="N1806" s="33"/>
      <c r="O1806" s="33"/>
      <c r="P1806" s="33"/>
      <c r="Q1806" s="33"/>
      <c r="R1806" s="33"/>
      <c r="S1806" s="33"/>
      <c r="T1806" s="33"/>
      <c r="U1806" s="18"/>
      <c r="V1806" s="18"/>
      <c r="W1806" s="18"/>
      <c r="X1806" s="18"/>
      <c r="Y1806" s="18"/>
      <c r="Z1806" s="18" t="str">
        <f>A1806 &amp; "-" &amp; VLOOKUP(A1806,[4]PROGRAMMES!$E$1:$F$7,2,FALSE)</f>
        <v>5-Gouvernance et pilotage du secteur</v>
      </c>
      <c r="AA1806" s="19" t="str">
        <f>B1806 &amp; "-" &amp; VLOOKUP(B1806,[4]SOUSPROGRAMMES!$E$1:$F$44,2,FALSE)</f>
        <v>57- Coordination sectorielle</v>
      </c>
      <c r="AB1806" s="19" t="str">
        <f>C1806 &amp; "-" &amp; VLOOKUP(C1806,[4]RESULTATS!$E$1:$F$176,2,FALSE)</f>
        <v>571- Des organes de pilotage et de coordination interministérielles existent et fonctionnent éfficacement</v>
      </c>
      <c r="AC1806" s="20" t="str">
        <f>D1806 &amp; "-" &amp; VLOOKUP(D1806,[4]STRATEGIES!$E$1:$F$504,2,FALSE)</f>
        <v>571- Des organes de pilotage et de coordination interministérielles existent et fonctionnent éfficacement</v>
      </c>
      <c r="AD1806" s="21" t="str">
        <f t="shared" si="266"/>
        <v>571- Des organes de pilotage et de coordination interministérielles existent et fonctionnent éfficacement</v>
      </c>
    </row>
    <row r="1807" spans="1:30" s="22" customFormat="1" ht="45" hidden="1" customHeight="1" x14ac:dyDescent="0.8">
      <c r="A1807" s="14">
        <v>5</v>
      </c>
      <c r="B1807" s="15">
        <v>57</v>
      </c>
      <c r="C1807" s="15">
        <v>571</v>
      </c>
      <c r="D1807" s="15">
        <v>5711</v>
      </c>
      <c r="E1807" s="15">
        <v>5711</v>
      </c>
      <c r="F1807" s="16" t="s">
        <v>2255</v>
      </c>
      <c r="G1807" s="17"/>
      <c r="H1807" s="17"/>
      <c r="I1807" s="33">
        <v>0</v>
      </c>
      <c r="J1807" s="33"/>
      <c r="K1807" s="33"/>
      <c r="L1807" s="33"/>
      <c r="M1807" s="33"/>
      <c r="N1807" s="33"/>
      <c r="O1807" s="33"/>
      <c r="P1807" s="33"/>
      <c r="Q1807" s="33"/>
      <c r="R1807" s="33"/>
      <c r="S1807" s="33"/>
      <c r="T1807" s="33"/>
      <c r="U1807" s="18"/>
      <c r="V1807" s="18"/>
      <c r="W1807" s="18"/>
      <c r="X1807" s="18"/>
      <c r="Y1807" s="18"/>
      <c r="Z1807" s="18" t="str">
        <f>A1807 &amp; "-" &amp; VLOOKUP(A1807,[4]PROGRAMMES!$E$1:$F$7,2,FALSE)</f>
        <v>5-Gouvernance et pilotage du secteur</v>
      </c>
      <c r="AA1807" s="19" t="str">
        <f>B1807 &amp; "-" &amp; VLOOKUP(B1807,[4]SOUSPROGRAMMES!$E$1:$F$44,2,FALSE)</f>
        <v>57- Coordination sectorielle</v>
      </c>
      <c r="AB1807" s="19" t="str">
        <f>C1807 &amp; "-" &amp; VLOOKUP(C1807,[4]RESULTATS!$E$1:$F$176,2,FALSE)</f>
        <v>571- Des organes de pilotage et de coordination interministérielles existent et fonctionnent éfficacement</v>
      </c>
      <c r="AC1807" s="20" t="str">
        <f>D1807 &amp; "-" &amp; VLOOKUP(D1807,[4]STRATEGIES!$E$1:$F$504,2,FALSE)</f>
        <v>5711-Analyse du fonctionnement des structures de coordination et de pilotage existantes et recommandations pour l’amélioration de la coordination et de pilotage</v>
      </c>
      <c r="AD1807" s="21" t="str">
        <f t="shared" si="266"/>
        <v>5711-Analyse du fonctionnement des structures de coordination et de pilotage existantes et recommandations pour l’amélioration de la coordination et de pilotage</v>
      </c>
    </row>
    <row r="1808" spans="1:30" s="22" customFormat="1" ht="45" hidden="1" customHeight="1" x14ac:dyDescent="0.8">
      <c r="A1808" s="14">
        <v>5</v>
      </c>
      <c r="B1808" s="15">
        <v>57</v>
      </c>
      <c r="C1808" s="15">
        <v>571</v>
      </c>
      <c r="D1808" s="15">
        <v>5711</v>
      </c>
      <c r="E1808" s="15">
        <v>57111</v>
      </c>
      <c r="F1808" s="16" t="s">
        <v>2256</v>
      </c>
      <c r="G1808" s="21" t="s">
        <v>88</v>
      </c>
      <c r="H1808" s="17" t="s">
        <v>55</v>
      </c>
      <c r="I1808" s="33">
        <v>0</v>
      </c>
      <c r="J1808" s="33">
        <v>1</v>
      </c>
      <c r="K1808" s="33">
        <v>0</v>
      </c>
      <c r="L1808" s="33">
        <v>0</v>
      </c>
      <c r="M1808" s="33">
        <f t="shared" si="255"/>
        <v>1</v>
      </c>
      <c r="N1808" s="33">
        <f>IF(OR(H1808="",H1808="sif",H1808="PM"),0,VLOOKUP(H1808,[5]CU!$C$4:$H$255,6,FALSE))</f>
        <v>0</v>
      </c>
      <c r="O1808" s="33"/>
      <c r="P1808" s="33"/>
      <c r="Q1808" s="33"/>
      <c r="R1808" s="33"/>
      <c r="S1808" s="33"/>
      <c r="T1808" s="35" t="s">
        <v>56</v>
      </c>
      <c r="U1808" s="18" t="s">
        <v>1873</v>
      </c>
      <c r="V1808" s="18" t="str">
        <f>IF(OR($H1808="",$H1808="sif",$H1808="PM"),"",VLOOKUP($H1808,[5]CU!$C$5:$J$255,8,FALSE))</f>
        <v/>
      </c>
      <c r="W1808" s="18" t="s">
        <v>255</v>
      </c>
      <c r="X1808" s="18" t="s">
        <v>255</v>
      </c>
      <c r="Y1808" s="19" t="s">
        <v>32</v>
      </c>
      <c r="Z1808" s="18" t="str">
        <f>A1808 &amp; "-" &amp; VLOOKUP(A1808,[4]PROGRAMMES!$E$1:$F$7,2,FALSE)</f>
        <v>5-Gouvernance et pilotage du secteur</v>
      </c>
      <c r="AA1808" s="19" t="str">
        <f>B1808 &amp; "-" &amp; VLOOKUP(B1808,[4]SOUSPROGRAMMES!$E$1:$F$44,2,FALSE)</f>
        <v>57- Coordination sectorielle</v>
      </c>
      <c r="AB1808" s="19" t="str">
        <f>C1808 &amp; "-" &amp; VLOOKUP(C1808,[4]RESULTATS!$E$1:$F$176,2,FALSE)</f>
        <v>571- Des organes de pilotage et de coordination interministérielles existent et fonctionnent éfficacement</v>
      </c>
      <c r="AC1808" s="20" t="str">
        <f>D1808 &amp; "-" &amp; VLOOKUP(D1808,[4]STRATEGIES!$E$1:$F$504,2,FALSE)</f>
        <v>5711-Analyse du fonctionnement des structures de coordination et de pilotage existantes et recommandations pour l’amélioration de la coordination et de pilotage</v>
      </c>
      <c r="AD1808" s="21" t="str">
        <f t="shared" si="266"/>
        <v>57111-Elaboration des TDR pour le recrutement d'un consultant</v>
      </c>
    </row>
    <row r="1809" spans="1:30" s="22" customFormat="1" ht="45" hidden="1" customHeight="1" x14ac:dyDescent="0.8">
      <c r="A1809" s="14">
        <v>5</v>
      </c>
      <c r="B1809" s="15">
        <v>57</v>
      </c>
      <c r="C1809" s="15">
        <v>571</v>
      </c>
      <c r="D1809" s="15">
        <v>5711</v>
      </c>
      <c r="E1809" s="15">
        <v>57112</v>
      </c>
      <c r="F1809" s="16" t="s">
        <v>2257</v>
      </c>
      <c r="G1809" s="21" t="s">
        <v>100</v>
      </c>
      <c r="H1809" s="17" t="s">
        <v>646</v>
      </c>
      <c r="I1809" s="33">
        <v>0</v>
      </c>
      <c r="J1809" s="33">
        <f>1*30</f>
        <v>30</v>
      </c>
      <c r="K1809" s="33">
        <v>0</v>
      </c>
      <c r="L1809" s="33">
        <v>0</v>
      </c>
      <c r="M1809" s="33">
        <f t="shared" ref="M1809:M1826" si="268">SUM(I1809:L1809)</f>
        <v>30</v>
      </c>
      <c r="N1809" s="33">
        <f>IF(OR(H1809="",H1809="sif",H1809="PM"),0,VLOOKUP(H1809,[5]CU!$C$4:$H$255,6,FALSE))</f>
        <v>10.404797</v>
      </c>
      <c r="O1809" s="33">
        <f t="shared" ref="O1809:R1812" si="269">$N1809*I1809</f>
        <v>0</v>
      </c>
      <c r="P1809" s="33">
        <f t="shared" si="269"/>
        <v>312.14391000000001</v>
      </c>
      <c r="Q1809" s="33">
        <f t="shared" si="269"/>
        <v>0</v>
      </c>
      <c r="R1809" s="33">
        <f t="shared" si="269"/>
        <v>0</v>
      </c>
      <c r="S1809" s="33">
        <f>SUM(O1809:R1809)</f>
        <v>312.14391000000001</v>
      </c>
      <c r="T1809" s="35" t="s">
        <v>118</v>
      </c>
      <c r="U1809" s="18" t="s">
        <v>1873</v>
      </c>
      <c r="V1809" s="18" t="str">
        <f>IF(OR($H1809="",$H1809="sif",$H1809="PM"),"",VLOOKUP($H1809,[5]CU!$C$5:$J$255,8,FALSE))</f>
        <v>3. Dépenses de fonctionnement</v>
      </c>
      <c r="W1809" s="18" t="s">
        <v>255</v>
      </c>
      <c r="X1809" s="18" t="s">
        <v>255</v>
      </c>
      <c r="Y1809" s="19" t="s">
        <v>32</v>
      </c>
      <c r="Z1809" s="18" t="str">
        <f>A1809 &amp; "-" &amp; VLOOKUP(A1809,[4]PROGRAMMES!$E$1:$F$7,2,FALSE)</f>
        <v>5-Gouvernance et pilotage du secteur</v>
      </c>
      <c r="AA1809" s="19" t="str">
        <f>B1809 &amp; "-" &amp; VLOOKUP(B1809,[4]SOUSPROGRAMMES!$E$1:$F$44,2,FALSE)</f>
        <v>57- Coordination sectorielle</v>
      </c>
      <c r="AB1809" s="19" t="str">
        <f>C1809 &amp; "-" &amp; VLOOKUP(C1809,[4]RESULTATS!$E$1:$F$176,2,FALSE)</f>
        <v>571- Des organes de pilotage et de coordination interministérielles existent et fonctionnent éfficacement</v>
      </c>
      <c r="AC1809" s="20" t="str">
        <f>D1809 &amp; "-" &amp; VLOOKUP(D1809,[4]STRATEGIES!$E$1:$F$504,2,FALSE)</f>
        <v>5711-Analyse du fonctionnement des structures de coordination et de pilotage existantes et recommandations pour l’amélioration de la coordination et de pilotage</v>
      </c>
      <c r="AD1809" s="21" t="str">
        <f t="shared" si="266"/>
        <v>57112-Identification d'un plan d'amélioration du fonctionnement des structures de coordination</v>
      </c>
    </row>
    <row r="1810" spans="1:30" s="22" customFormat="1" ht="45" hidden="1" customHeight="1" x14ac:dyDescent="0.8">
      <c r="A1810" s="14">
        <v>5</v>
      </c>
      <c r="B1810" s="15">
        <v>57</v>
      </c>
      <c r="C1810" s="15">
        <v>571</v>
      </c>
      <c r="D1810" s="15">
        <v>5711</v>
      </c>
      <c r="E1810" s="15">
        <v>57113</v>
      </c>
      <c r="F1810" s="16" t="s">
        <v>2258</v>
      </c>
      <c r="G1810" s="21" t="s">
        <v>37</v>
      </c>
      <c r="H1810" s="17" t="s">
        <v>38</v>
      </c>
      <c r="I1810" s="33">
        <v>0</v>
      </c>
      <c r="J1810" s="33">
        <f>50*2</f>
        <v>100</v>
      </c>
      <c r="K1810" s="33">
        <v>0</v>
      </c>
      <c r="L1810" s="33">
        <v>0</v>
      </c>
      <c r="M1810" s="33">
        <f t="shared" si="268"/>
        <v>100</v>
      </c>
      <c r="N1810" s="33">
        <f>IF(OR(H1810="",H1810="sif",H1810="PM"),0,VLOOKUP(H1810,[5]CU!$C$4:$H$255,6,FALSE))</f>
        <v>0.3133333333333333</v>
      </c>
      <c r="O1810" s="33">
        <f t="shared" si="269"/>
        <v>0</v>
      </c>
      <c r="P1810" s="33">
        <f t="shared" si="269"/>
        <v>31.333333333333329</v>
      </c>
      <c r="Q1810" s="33">
        <f t="shared" si="269"/>
        <v>0</v>
      </c>
      <c r="R1810" s="33">
        <f t="shared" si="269"/>
        <v>0</v>
      </c>
      <c r="S1810" s="33">
        <f>SUM(O1810:R1810)</f>
        <v>31.333333333333329</v>
      </c>
      <c r="T1810" s="35" t="s">
        <v>118</v>
      </c>
      <c r="U1810" s="18" t="s">
        <v>1873</v>
      </c>
      <c r="V1810" s="18" t="str">
        <f>IF(OR($H1810="",$H1810="sif",$H1810="PM"),"",VLOOKUP($H1810,[5]CU!$C$5:$J$255,8,FALSE))</f>
        <v>3. Formation</v>
      </c>
      <c r="W1810" s="18" t="s">
        <v>255</v>
      </c>
      <c r="X1810" s="18" t="s">
        <v>255</v>
      </c>
      <c r="Y1810" s="19" t="s">
        <v>32</v>
      </c>
      <c r="Z1810" s="18" t="str">
        <f>A1810 &amp; "-" &amp; VLOOKUP(A1810,[4]PROGRAMMES!$E$1:$F$7,2,FALSE)</f>
        <v>5-Gouvernance et pilotage du secteur</v>
      </c>
      <c r="AA1810" s="19" t="str">
        <f>B1810 &amp; "-" &amp; VLOOKUP(B1810,[4]SOUSPROGRAMMES!$E$1:$F$44,2,FALSE)</f>
        <v>57- Coordination sectorielle</v>
      </c>
      <c r="AB1810" s="19" t="str">
        <f>C1810 &amp; "-" &amp; VLOOKUP(C1810,[4]RESULTATS!$E$1:$F$176,2,FALSE)</f>
        <v>571- Des organes de pilotage et de coordination interministérielles existent et fonctionnent éfficacement</v>
      </c>
      <c r="AC1810" s="20" t="str">
        <f>D1810 &amp; "-" &amp; VLOOKUP(D1810,[4]STRATEGIES!$E$1:$F$504,2,FALSE)</f>
        <v>5711-Analyse du fonctionnement des structures de coordination et de pilotage existantes et recommandations pour l’amélioration de la coordination et de pilotage</v>
      </c>
      <c r="AD1810" s="21" t="str">
        <f t="shared" si="266"/>
        <v>57113-Validation de l'étude</v>
      </c>
    </row>
    <row r="1811" spans="1:30" s="22" customFormat="1" ht="45" hidden="1" customHeight="1" x14ac:dyDescent="0.8">
      <c r="A1811" s="14">
        <v>5</v>
      </c>
      <c r="B1811" s="15">
        <v>57</v>
      </c>
      <c r="C1811" s="15">
        <v>571</v>
      </c>
      <c r="D1811" s="15">
        <v>5712</v>
      </c>
      <c r="E1811" s="15">
        <v>5712</v>
      </c>
      <c r="F1811" s="16" t="s">
        <v>2259</v>
      </c>
      <c r="G1811" s="17"/>
      <c r="H1811" s="17"/>
      <c r="I1811" s="33">
        <v>0</v>
      </c>
      <c r="J1811" s="33"/>
      <c r="K1811" s="33"/>
      <c r="L1811" s="33"/>
      <c r="M1811" s="33"/>
      <c r="N1811" s="33"/>
      <c r="O1811" s="33"/>
      <c r="P1811" s="33"/>
      <c r="Q1811" s="33"/>
      <c r="R1811" s="33"/>
      <c r="S1811" s="33"/>
      <c r="T1811" s="33"/>
      <c r="U1811" s="18"/>
      <c r="V1811" s="18"/>
      <c r="W1811" s="18"/>
      <c r="X1811" s="18"/>
      <c r="Y1811" s="18"/>
      <c r="Z1811" s="18" t="str">
        <f>A1811 &amp; "-" &amp; VLOOKUP(A1811,[4]PROGRAMMES!$E$1:$F$7,2,FALSE)</f>
        <v>5-Gouvernance et pilotage du secteur</v>
      </c>
      <c r="AA1811" s="19" t="str">
        <f>B1811 &amp; "-" &amp; VLOOKUP(B1811,[4]SOUSPROGRAMMES!$E$1:$F$44,2,FALSE)</f>
        <v>57- Coordination sectorielle</v>
      </c>
      <c r="AB1811" s="19" t="str">
        <f>C1811 &amp; "-" &amp; VLOOKUP(C1811,[4]RESULTATS!$E$1:$F$176,2,FALSE)</f>
        <v>571- Des organes de pilotage et de coordination interministérielles existent et fonctionnent éfficacement</v>
      </c>
      <c r="AC1811" s="20" t="str">
        <f>D1811 &amp; "-" &amp; VLOOKUP(D1811,[4]STRATEGIES!$E$1:$F$504,2,FALSE)</f>
        <v>5712-Mise en œuvre des recommandations</v>
      </c>
      <c r="AD1811" s="21" t="str">
        <f t="shared" si="266"/>
        <v>5712-Mise en œuvre des recommandations</v>
      </c>
    </row>
    <row r="1812" spans="1:30" s="22" customFormat="1" ht="45" hidden="1" customHeight="1" x14ac:dyDescent="0.8">
      <c r="A1812" s="14">
        <v>5</v>
      </c>
      <c r="B1812" s="15">
        <v>57</v>
      </c>
      <c r="C1812" s="15">
        <v>571</v>
      </c>
      <c r="D1812" s="15">
        <v>5712</v>
      </c>
      <c r="E1812" s="15">
        <v>57121</v>
      </c>
      <c r="F1812" s="16" t="s">
        <v>2260</v>
      </c>
      <c r="G1812" s="21" t="s">
        <v>37</v>
      </c>
      <c r="H1812" s="17" t="s">
        <v>38</v>
      </c>
      <c r="I1812" s="33">
        <v>0</v>
      </c>
      <c r="J1812" s="33">
        <f>45*2</f>
        <v>90</v>
      </c>
      <c r="K1812" s="33"/>
      <c r="L1812" s="33"/>
      <c r="M1812" s="33">
        <f t="shared" si="268"/>
        <v>90</v>
      </c>
      <c r="N1812" s="33">
        <f>IF(OR(H1812="",H1812="sif",H1812="PM"),0,VLOOKUP(H1812,[5]CU!$C$4:$H$255,6,FALSE))</f>
        <v>0.3133333333333333</v>
      </c>
      <c r="O1812" s="33">
        <f t="shared" si="269"/>
        <v>0</v>
      </c>
      <c r="P1812" s="33">
        <f t="shared" si="269"/>
        <v>28.199999999999996</v>
      </c>
      <c r="Q1812" s="33">
        <f t="shared" si="269"/>
        <v>0</v>
      </c>
      <c r="R1812" s="33">
        <f t="shared" si="269"/>
        <v>0</v>
      </c>
      <c r="S1812" s="33">
        <f>SUM(O1812:R1812)</f>
        <v>28.199999999999996</v>
      </c>
      <c r="T1812" s="35" t="s">
        <v>118</v>
      </c>
      <c r="U1812" s="18" t="s">
        <v>1873</v>
      </c>
      <c r="V1812" s="18" t="str">
        <f>IF(OR($H1812="",$H1812="sif",$H1812="PM"),"",VLOOKUP($H1812,[5]CU!$C$5:$J$255,8,FALSE))</f>
        <v>3. Formation</v>
      </c>
      <c r="W1812" s="18" t="s">
        <v>255</v>
      </c>
      <c r="X1812" s="18" t="s">
        <v>255</v>
      </c>
      <c r="Y1812" s="19" t="s">
        <v>32</v>
      </c>
      <c r="Z1812" s="18" t="str">
        <f>A1812 &amp; "-" &amp; VLOOKUP(A1812,[4]PROGRAMMES!$E$1:$F$7,2,FALSE)</f>
        <v>5-Gouvernance et pilotage du secteur</v>
      </c>
      <c r="AA1812" s="19" t="str">
        <f>B1812 &amp; "-" &amp; VLOOKUP(B1812,[4]SOUSPROGRAMMES!$E$1:$F$44,2,FALSE)</f>
        <v>57- Coordination sectorielle</v>
      </c>
      <c r="AB1812" s="19" t="str">
        <f>C1812 &amp; "-" &amp; VLOOKUP(C1812,[4]RESULTATS!$E$1:$F$176,2,FALSE)</f>
        <v>571- Des organes de pilotage et de coordination interministérielles existent et fonctionnent éfficacement</v>
      </c>
      <c r="AC1812" s="20" t="str">
        <f>D1812 &amp; "-" &amp; VLOOKUP(D1812,[4]STRATEGIES!$E$1:$F$504,2,FALSE)</f>
        <v>5712-Mise en œuvre des recommandations</v>
      </c>
      <c r="AD1812" s="21" t="str">
        <f t="shared" si="266"/>
        <v>57121-Dissémination des recommandations pour l'amélioration du fonctionnement des structures</v>
      </c>
    </row>
    <row r="1813" spans="1:30" s="22" customFormat="1" ht="45" hidden="1" customHeight="1" x14ac:dyDescent="0.8">
      <c r="A1813" s="14">
        <v>5</v>
      </c>
      <c r="B1813" s="15">
        <v>57</v>
      </c>
      <c r="C1813" s="15">
        <v>571</v>
      </c>
      <c r="D1813" s="15">
        <v>5712</v>
      </c>
      <c r="E1813" s="15">
        <v>57122</v>
      </c>
      <c r="F1813" s="16" t="s">
        <v>2261</v>
      </c>
      <c r="G1813" s="21" t="s">
        <v>321</v>
      </c>
      <c r="H1813" s="17" t="s">
        <v>55</v>
      </c>
      <c r="I1813" s="33">
        <v>0</v>
      </c>
      <c r="J1813" s="33">
        <v>1</v>
      </c>
      <c r="K1813" s="33">
        <v>0</v>
      </c>
      <c r="L1813" s="33">
        <v>0</v>
      </c>
      <c r="M1813" s="33">
        <f t="shared" si="268"/>
        <v>1</v>
      </c>
      <c r="N1813" s="33">
        <f>IF(OR(H1813="",H1813="sif",H1813="PM"),0,VLOOKUP(H1813,[5]CU!$C$4:$H$255,6,FALSE))</f>
        <v>0</v>
      </c>
      <c r="O1813" s="33"/>
      <c r="P1813" s="33"/>
      <c r="Q1813" s="33"/>
      <c r="R1813" s="33"/>
      <c r="S1813" s="33"/>
      <c r="T1813" s="35" t="s">
        <v>56</v>
      </c>
      <c r="U1813" s="18" t="s">
        <v>1873</v>
      </c>
      <c r="V1813" s="18" t="str">
        <f>IF(OR($H1813="",$H1813="sif",$H1813="PM"),"",VLOOKUP($H1813,[5]CU!$C$5:$J$255,8,FALSE))</f>
        <v/>
      </c>
      <c r="W1813" s="18" t="s">
        <v>255</v>
      </c>
      <c r="X1813" s="18" t="s">
        <v>255</v>
      </c>
      <c r="Y1813" s="19" t="s">
        <v>32</v>
      </c>
      <c r="Z1813" s="18" t="str">
        <f>A1813 &amp; "-" &amp; VLOOKUP(A1813,[4]PROGRAMMES!$E$1:$F$7,2,FALSE)</f>
        <v>5-Gouvernance et pilotage du secteur</v>
      </c>
      <c r="AA1813" s="19" t="str">
        <f>B1813 &amp; "-" &amp; VLOOKUP(B1813,[4]SOUSPROGRAMMES!$E$1:$F$44,2,FALSE)</f>
        <v>57- Coordination sectorielle</v>
      </c>
      <c r="AB1813" s="19" t="str">
        <f>C1813 &amp; "-" &amp; VLOOKUP(C1813,[4]RESULTATS!$E$1:$F$176,2,FALSE)</f>
        <v>571- Des organes de pilotage et de coordination interministérielles existent et fonctionnent éfficacement</v>
      </c>
      <c r="AC1813" s="20" t="str">
        <f>D1813 &amp; "-" &amp; VLOOKUP(D1813,[4]STRATEGIES!$E$1:$F$504,2,FALSE)</f>
        <v>5712-Mise en œuvre des recommandations</v>
      </c>
      <c r="AD1813" s="21" t="str">
        <f t="shared" si="266"/>
        <v>57122-Prise de décision pour la mise en œuvre des recommandations</v>
      </c>
    </row>
    <row r="1814" spans="1:30" s="22" customFormat="1" ht="45" hidden="1" customHeight="1" x14ac:dyDescent="0.8">
      <c r="A1814" s="14">
        <v>5</v>
      </c>
      <c r="B1814" s="15">
        <v>57</v>
      </c>
      <c r="C1814" s="15">
        <v>571</v>
      </c>
      <c r="D1814" s="15">
        <v>5713</v>
      </c>
      <c r="E1814" s="15">
        <v>5713</v>
      </c>
      <c r="F1814" s="16" t="s">
        <v>2262</v>
      </c>
      <c r="G1814" s="17"/>
      <c r="H1814" s="17"/>
      <c r="I1814" s="33">
        <v>0</v>
      </c>
      <c r="J1814" s="33"/>
      <c r="K1814" s="33"/>
      <c r="L1814" s="33"/>
      <c r="M1814" s="33"/>
      <c r="N1814" s="33"/>
      <c r="O1814" s="33"/>
      <c r="P1814" s="33"/>
      <c r="Q1814" s="33"/>
      <c r="R1814" s="33"/>
      <c r="S1814" s="33"/>
      <c r="T1814" s="33"/>
      <c r="U1814" s="18"/>
      <c r="V1814" s="18"/>
      <c r="W1814" s="18"/>
      <c r="X1814" s="18"/>
      <c r="Y1814" s="18"/>
      <c r="Z1814" s="18" t="str">
        <f>A1814 &amp; "-" &amp; VLOOKUP(A1814,[4]PROGRAMMES!$E$1:$F$7,2,FALSE)</f>
        <v>5-Gouvernance et pilotage du secteur</v>
      </c>
      <c r="AA1814" s="19" t="str">
        <f>B1814 &amp; "-" &amp; VLOOKUP(B1814,[4]SOUSPROGRAMMES!$E$1:$F$44,2,FALSE)</f>
        <v>57- Coordination sectorielle</v>
      </c>
      <c r="AB1814" s="19" t="str">
        <f>C1814 &amp; "-" &amp; VLOOKUP(C1814,[4]RESULTATS!$E$1:$F$176,2,FALSE)</f>
        <v>571- Des organes de pilotage et de coordination interministérielles existent et fonctionnent éfficacement</v>
      </c>
      <c r="AC1814" s="20" t="str">
        <f>D1814 &amp; "-" &amp; VLOOKUP(D1814,[4]STRATEGIES!$E$1:$F$504,2,FALSE)</f>
        <v>5713-Appui au fonctionnement des structures de coordination et de pilotage</v>
      </c>
      <c r="AD1814" s="21" t="str">
        <f t="shared" si="266"/>
        <v>5713-Appui au fonctionnement des structures de coordination et de pilotage</v>
      </c>
    </row>
    <row r="1815" spans="1:30" s="22" customFormat="1" ht="45" hidden="1" customHeight="1" x14ac:dyDescent="0.8">
      <c r="A1815" s="14">
        <v>5</v>
      </c>
      <c r="B1815" s="15">
        <v>57</v>
      </c>
      <c r="C1815" s="15">
        <v>571</v>
      </c>
      <c r="D1815" s="15">
        <v>5713</v>
      </c>
      <c r="E1815" s="15">
        <v>57131</v>
      </c>
      <c r="F1815" s="16" t="s">
        <v>2263</v>
      </c>
      <c r="G1815" s="21" t="s">
        <v>100</v>
      </c>
      <c r="H1815" s="17" t="s">
        <v>646</v>
      </c>
      <c r="I1815" s="33">
        <v>0</v>
      </c>
      <c r="J1815" s="33">
        <v>15</v>
      </c>
      <c r="K1815" s="33"/>
      <c r="L1815" s="33"/>
      <c r="M1815" s="33">
        <f t="shared" si="268"/>
        <v>15</v>
      </c>
      <c r="N1815" s="33">
        <f>IF(OR(H1815="",H1815="sif",H1815="PM"),0,VLOOKUP(H1815,[5]CU!$C$4:$H$255,6,FALSE))</f>
        <v>10.404797</v>
      </c>
      <c r="O1815" s="33">
        <f t="shared" ref="O1815:R1826" si="270">$N1815*I1815</f>
        <v>0</v>
      </c>
      <c r="P1815" s="33">
        <f t="shared" si="270"/>
        <v>156.071955</v>
      </c>
      <c r="Q1815" s="33">
        <f t="shared" si="270"/>
        <v>0</v>
      </c>
      <c r="R1815" s="33">
        <f t="shared" si="270"/>
        <v>0</v>
      </c>
      <c r="S1815" s="33">
        <f t="shared" ref="S1815:S1826" si="271">SUM(O1815:R1815)</f>
        <v>156.071955</v>
      </c>
      <c r="T1815" s="35" t="s">
        <v>118</v>
      </c>
      <c r="U1815" s="18" t="s">
        <v>1873</v>
      </c>
      <c r="V1815" s="18" t="str">
        <f>IF(OR($H1815="",$H1815="sif",$H1815="PM"),"",VLOOKUP($H1815,[5]CU!$C$5:$J$255,8,FALSE))</f>
        <v>3. Dépenses de fonctionnement</v>
      </c>
      <c r="W1815" s="18" t="s">
        <v>255</v>
      </c>
      <c r="X1815" s="18" t="s">
        <v>1936</v>
      </c>
      <c r="Y1815" s="18" t="s">
        <v>677</v>
      </c>
      <c r="Z1815" s="18" t="str">
        <f>A1815 &amp; "-" &amp; VLOOKUP(A1815,[4]PROGRAMMES!$E$1:$F$7,2,FALSE)</f>
        <v>5-Gouvernance et pilotage du secteur</v>
      </c>
      <c r="AA1815" s="19" t="str">
        <f>B1815 &amp; "-" &amp; VLOOKUP(B1815,[4]SOUSPROGRAMMES!$E$1:$F$44,2,FALSE)</f>
        <v>57- Coordination sectorielle</v>
      </c>
      <c r="AB1815" s="19" t="str">
        <f>C1815 &amp; "-" &amp; VLOOKUP(C1815,[4]RESULTATS!$E$1:$F$176,2,FALSE)</f>
        <v>571- Des organes de pilotage et de coordination interministérielles existent et fonctionnent éfficacement</v>
      </c>
      <c r="AC1815" s="20" t="str">
        <f>D1815 &amp; "-" &amp; VLOOKUP(D1815,[4]STRATEGIES!$E$1:$F$504,2,FALSE)</f>
        <v>5713-Appui au fonctionnement des structures de coordination et de pilotage</v>
      </c>
      <c r="AD1815" s="21" t="str">
        <f t="shared" si="266"/>
        <v>57131-Appui à l'organisation de formations pour les cadres de la coordination sectorielle en suivi évaluation des politiques éducatives</v>
      </c>
    </row>
    <row r="1816" spans="1:30" s="22" customFormat="1" ht="45" hidden="1" customHeight="1" x14ac:dyDescent="0.8">
      <c r="A1816" s="14">
        <v>5</v>
      </c>
      <c r="B1816" s="15">
        <v>57</v>
      </c>
      <c r="C1816" s="15">
        <v>571</v>
      </c>
      <c r="D1816" s="15">
        <v>5713</v>
      </c>
      <c r="E1816" s="15">
        <v>57132</v>
      </c>
      <c r="F1816" s="16" t="s">
        <v>2264</v>
      </c>
      <c r="G1816" s="21" t="s">
        <v>315</v>
      </c>
      <c r="H1816" s="17" t="s">
        <v>301</v>
      </c>
      <c r="I1816" s="33">
        <v>0</v>
      </c>
      <c r="J1816" s="33">
        <f>25*12</f>
        <v>300</v>
      </c>
      <c r="K1816" s="33"/>
      <c r="L1816" s="33"/>
      <c r="M1816" s="33">
        <f t="shared" si="268"/>
        <v>300</v>
      </c>
      <c r="N1816" s="33">
        <f>IF(OR(H1816="",H1816="sif",H1816="PM"),0,VLOOKUP(H1816,[5]CU!$C$4:$H$255,6,FALSE))</f>
        <v>0.67666666666666664</v>
      </c>
      <c r="O1816" s="33">
        <f t="shared" si="270"/>
        <v>0</v>
      </c>
      <c r="P1816" s="33">
        <f t="shared" si="270"/>
        <v>203</v>
      </c>
      <c r="Q1816" s="33">
        <f t="shared" si="270"/>
        <v>0</v>
      </c>
      <c r="R1816" s="33">
        <f t="shared" si="270"/>
        <v>0</v>
      </c>
      <c r="S1816" s="33">
        <f t="shared" si="271"/>
        <v>203</v>
      </c>
      <c r="T1816" s="35" t="s">
        <v>118</v>
      </c>
      <c r="U1816" s="18" t="s">
        <v>1873</v>
      </c>
      <c r="V1816" s="18" t="str">
        <f>IF(OR($H1816="",$H1816="sif",$H1816="PM"),"",VLOOKUP($H1816,[5]CU!$C$5:$J$255,8,FALSE))</f>
        <v>3. Formation</v>
      </c>
      <c r="W1816" s="18" t="s">
        <v>255</v>
      </c>
      <c r="X1816" s="18" t="s">
        <v>1936</v>
      </c>
      <c r="Y1816" s="18" t="s">
        <v>677</v>
      </c>
      <c r="Z1816" s="18" t="str">
        <f>A1816 &amp; "-" &amp; VLOOKUP(A1816,[4]PROGRAMMES!$E$1:$F$7,2,FALSE)</f>
        <v>5-Gouvernance et pilotage du secteur</v>
      </c>
      <c r="AA1816" s="19" t="str">
        <f>B1816 &amp; "-" &amp; VLOOKUP(B1816,[4]SOUSPROGRAMMES!$E$1:$F$44,2,FALSE)</f>
        <v>57- Coordination sectorielle</v>
      </c>
      <c r="AB1816" s="19" t="str">
        <f>C1816 &amp; "-" &amp; VLOOKUP(C1816,[4]RESULTATS!$E$1:$F$176,2,FALSE)</f>
        <v>571- Des organes de pilotage et de coordination interministérielles existent et fonctionnent éfficacement</v>
      </c>
      <c r="AC1816" s="20" t="str">
        <f>D1816 &amp; "-" &amp; VLOOKUP(D1816,[4]STRATEGIES!$E$1:$F$504,2,FALSE)</f>
        <v>5713-Appui au fonctionnement des structures de coordination et de pilotage</v>
      </c>
      <c r="AD1816" s="21" t="str">
        <f t="shared" si="266"/>
        <v>57132-Formation des cadres en coordination sectorielle (CDMT, C/PSE, Secrétariats Généraux des Ministères)</v>
      </c>
    </row>
    <row r="1817" spans="1:30" s="22" customFormat="1" ht="45" hidden="1" customHeight="1" x14ac:dyDescent="0.8">
      <c r="A1817" s="14">
        <v>5</v>
      </c>
      <c r="B1817" s="15">
        <v>57</v>
      </c>
      <c r="C1817" s="15">
        <v>571</v>
      </c>
      <c r="D1817" s="15">
        <v>5713</v>
      </c>
      <c r="E1817" s="15">
        <v>57133</v>
      </c>
      <c r="F1817" s="16" t="s">
        <v>2265</v>
      </c>
      <c r="G1817" s="21" t="s">
        <v>1186</v>
      </c>
      <c r="H1817" s="17" t="s">
        <v>38</v>
      </c>
      <c r="I1817" s="33">
        <v>0</v>
      </c>
      <c r="J1817" s="33">
        <f>1700*25.12%</f>
        <v>427.04000000000008</v>
      </c>
      <c r="K1817" s="33">
        <f>1700*25.12%</f>
        <v>427.04000000000008</v>
      </c>
      <c r="L1817" s="33">
        <f>1700*25.12%</f>
        <v>427.04000000000008</v>
      </c>
      <c r="M1817" s="33">
        <f>SUM(I1817:L1817)</f>
        <v>1281.1200000000003</v>
      </c>
      <c r="N1817" s="33">
        <f>IF(OR(H1817="",H1817="sif",H1817="PM"),0,VLOOKUP(H1817,[5]CU!$C$4:$H$255,6,FALSE))</f>
        <v>0.3133333333333333</v>
      </c>
      <c r="O1817" s="33">
        <f>$N1817*I1817</f>
        <v>0</v>
      </c>
      <c r="P1817" s="33">
        <f>$N1817*J1817</f>
        <v>133.80586666666667</v>
      </c>
      <c r="Q1817" s="33">
        <f>$N1817*K1817</f>
        <v>133.80586666666667</v>
      </c>
      <c r="R1817" s="33">
        <f>$N1817*L1817</f>
        <v>133.80586666666667</v>
      </c>
      <c r="S1817" s="33">
        <f>SUM(O1817:R1817)</f>
        <v>401.41759999999999</v>
      </c>
      <c r="T1817" s="35" t="s">
        <v>67</v>
      </c>
      <c r="U1817" s="18" t="s">
        <v>1873</v>
      </c>
      <c r="V1817" s="18" t="str">
        <f>IF(OR($H1817="",$H1817="sif",$H1817="PM"),"",VLOOKUP($H1817,[5]CU!$C$5:$J$255,8,FALSE))</f>
        <v>3. Formation</v>
      </c>
      <c r="W1817" s="18" t="s">
        <v>255</v>
      </c>
      <c r="X1817" s="18" t="s">
        <v>1936</v>
      </c>
      <c r="Y1817" s="19" t="s">
        <v>32</v>
      </c>
      <c r="Z1817" s="18" t="str">
        <f>A1817 &amp; "-" &amp; VLOOKUP(A1817,[4]PROGRAMMES!$E$1:$F$7,2,FALSE)</f>
        <v>5-Gouvernance et pilotage du secteur</v>
      </c>
      <c r="AA1817" s="19" t="str">
        <f>B1817 &amp; "-" &amp; VLOOKUP(B1817,[4]SOUSPROGRAMMES!$E$1:$F$44,2,FALSE)</f>
        <v>57- Coordination sectorielle</v>
      </c>
      <c r="AB1817" s="19" t="str">
        <f>C1817 &amp; "-" &amp; VLOOKUP(C1817,[4]RESULTATS!$E$1:$F$176,2,FALSE)</f>
        <v>571- Des organes de pilotage et de coordination interministérielles existent et fonctionnent éfficacement</v>
      </c>
      <c r="AC1817" s="20" t="str">
        <f>D1817 &amp; "-" &amp; VLOOKUP(D1817,[4]STRATEGIES!$E$1:$F$504,2,FALSE)</f>
        <v>5713-Appui au fonctionnement des structures de coordination et de pilotage</v>
      </c>
      <c r="AD1817" s="21" t="str">
        <f t="shared" si="266"/>
        <v>57133-Tenue des sessions statutaires des organes de pilotage et de coordination CSPE (sous-préfecture)</v>
      </c>
    </row>
    <row r="1818" spans="1:30" s="22" customFormat="1" ht="45" hidden="1" customHeight="1" x14ac:dyDescent="0.8">
      <c r="A1818" s="14">
        <v>5</v>
      </c>
      <c r="B1818" s="15">
        <v>57</v>
      </c>
      <c r="C1818" s="15">
        <v>571</v>
      </c>
      <c r="D1818" s="15">
        <v>5713</v>
      </c>
      <c r="E1818" s="15">
        <v>57133</v>
      </c>
      <c r="F1818" s="16" t="s">
        <v>2265</v>
      </c>
      <c r="G1818" s="21" t="s">
        <v>1186</v>
      </c>
      <c r="H1818" s="17" t="s">
        <v>38</v>
      </c>
      <c r="I1818" s="33">
        <v>0</v>
      </c>
      <c r="J1818" s="33">
        <f>1700*74.88%</f>
        <v>1272.9599999999998</v>
      </c>
      <c r="K1818" s="33">
        <f>1700*74.88%</f>
        <v>1272.9599999999998</v>
      </c>
      <c r="L1818" s="33">
        <f>1700*74.88%</f>
        <v>1272.9599999999998</v>
      </c>
      <c r="M1818" s="33">
        <f t="shared" si="268"/>
        <v>3818.8799999999992</v>
      </c>
      <c r="N1818" s="33">
        <f>IF(OR(H1818="",H1818="sif",H1818="PM"),0,VLOOKUP(H1818,[5]CU!$C$4:$H$255,6,FALSE))</f>
        <v>0.3133333333333333</v>
      </c>
      <c r="O1818" s="33">
        <f t="shared" si="270"/>
        <v>0</v>
      </c>
      <c r="P1818" s="33">
        <f t="shared" si="270"/>
        <v>398.86079999999987</v>
      </c>
      <c r="Q1818" s="33">
        <f t="shared" si="270"/>
        <v>398.86079999999987</v>
      </c>
      <c r="R1818" s="33">
        <f t="shared" si="270"/>
        <v>398.86079999999987</v>
      </c>
      <c r="S1818" s="33">
        <f t="shared" si="271"/>
        <v>1196.5823999999996</v>
      </c>
      <c r="T1818" s="35" t="s">
        <v>118</v>
      </c>
      <c r="U1818" s="18" t="s">
        <v>1873</v>
      </c>
      <c r="V1818" s="18" t="str">
        <f>IF(OR($H1818="",$H1818="sif",$H1818="PM"),"",VLOOKUP($H1818,[5]CU!$C$5:$J$255,8,FALSE))</f>
        <v>3. Formation</v>
      </c>
      <c r="W1818" s="18" t="s">
        <v>255</v>
      </c>
      <c r="X1818" s="18" t="s">
        <v>1936</v>
      </c>
      <c r="Y1818" s="19" t="s">
        <v>32</v>
      </c>
      <c r="Z1818" s="18" t="str">
        <f>A1818 &amp; "-" &amp; VLOOKUP(A1818,[4]PROGRAMMES!$E$1:$F$7,2,FALSE)</f>
        <v>5-Gouvernance et pilotage du secteur</v>
      </c>
      <c r="AA1818" s="19" t="str">
        <f>B1818 &amp; "-" &amp; VLOOKUP(B1818,[4]SOUSPROGRAMMES!$E$1:$F$44,2,FALSE)</f>
        <v>57- Coordination sectorielle</v>
      </c>
      <c r="AB1818" s="19" t="str">
        <f>C1818 &amp; "-" &amp; VLOOKUP(C1818,[4]RESULTATS!$E$1:$F$176,2,FALSE)</f>
        <v>571- Des organes de pilotage et de coordination interministérielles existent et fonctionnent éfficacement</v>
      </c>
      <c r="AC1818" s="20" t="str">
        <f>D1818 &amp; "-" &amp; VLOOKUP(D1818,[4]STRATEGIES!$E$1:$F$504,2,FALSE)</f>
        <v>5713-Appui au fonctionnement des structures de coordination et de pilotage</v>
      </c>
      <c r="AD1818" s="21" t="str">
        <f t="shared" si="266"/>
        <v>57133-Tenue des sessions statutaires des organes de pilotage et de coordination CSPE (sous-préfecture)</v>
      </c>
    </row>
    <row r="1819" spans="1:30" s="22" customFormat="1" ht="45" hidden="1" customHeight="1" x14ac:dyDescent="0.8">
      <c r="A1819" s="14">
        <v>5</v>
      </c>
      <c r="B1819" s="15">
        <v>57</v>
      </c>
      <c r="C1819" s="15">
        <v>571</v>
      </c>
      <c r="D1819" s="15">
        <v>5713</v>
      </c>
      <c r="E1819" s="15">
        <v>57134</v>
      </c>
      <c r="F1819" s="16" t="s">
        <v>2266</v>
      </c>
      <c r="G1819" s="21" t="s">
        <v>1186</v>
      </c>
      <c r="H1819" s="17" t="s">
        <v>38</v>
      </c>
      <c r="I1819" s="33">
        <v>0</v>
      </c>
      <c r="J1819" s="33"/>
      <c r="K1819" s="33"/>
      <c r="L1819" s="33"/>
      <c r="M1819" s="33">
        <f>SUM(I1819:L1819)</f>
        <v>0</v>
      </c>
      <c r="N1819" s="33">
        <f>IF(OR(H1819="",H1819="sif",H1819="PM"),0,VLOOKUP(H1819,[5]CU!$C$4:$H$255,6,FALSE))</f>
        <v>0.3133333333333333</v>
      </c>
      <c r="O1819" s="33">
        <f>$N1819*I1819</f>
        <v>0</v>
      </c>
      <c r="P1819" s="33">
        <f>$N1819*J1819</f>
        <v>0</v>
      </c>
      <c r="Q1819" s="33">
        <f>$N1819*K1819</f>
        <v>0</v>
      </c>
      <c r="R1819" s="33">
        <f>$N1819*L1819</f>
        <v>0</v>
      </c>
      <c r="S1819" s="33">
        <f>SUM(O1819:R1819)</f>
        <v>0</v>
      </c>
      <c r="T1819" s="35" t="s">
        <v>178</v>
      </c>
      <c r="U1819" s="18" t="s">
        <v>1873</v>
      </c>
      <c r="V1819" s="18" t="str">
        <f>IF(OR($H1819="",$H1819="sif",$H1819="PM"),"",VLOOKUP($H1819,[5]CU!$C$5:$J$255,8,FALSE))</f>
        <v>3. Formation</v>
      </c>
      <c r="W1819" s="18" t="s">
        <v>255</v>
      </c>
      <c r="X1819" s="18" t="s">
        <v>1936</v>
      </c>
      <c r="Y1819" s="19" t="s">
        <v>32</v>
      </c>
      <c r="Z1819" s="18" t="str">
        <f>A1819 &amp; "-" &amp; VLOOKUP(A1819,[4]PROGRAMMES!$E$1:$F$7,2,FALSE)</f>
        <v>5-Gouvernance et pilotage du secteur</v>
      </c>
      <c r="AA1819" s="19" t="str">
        <f>B1819 &amp; "-" &amp; VLOOKUP(B1819,[4]SOUSPROGRAMMES!$E$1:$F$44,2,FALSE)</f>
        <v>57- Coordination sectorielle</v>
      </c>
      <c r="AB1819" s="19" t="str">
        <f>C1819 &amp; "-" &amp; VLOOKUP(C1819,[4]RESULTATS!$E$1:$F$176,2,FALSE)</f>
        <v>571- Des organes de pilotage et de coordination interministérielles existent et fonctionnent éfficacement</v>
      </c>
      <c r="AC1819" s="20" t="str">
        <f>D1819 &amp; "-" &amp; VLOOKUP(D1819,[4]STRATEGIES!$E$1:$F$504,2,FALSE)</f>
        <v>5713-Appui au fonctionnement des structures de coordination et de pilotage</v>
      </c>
      <c r="AD1819" s="21" t="str">
        <f t="shared" si="266"/>
        <v>57134-Tenue des sessions statutaires des organes de pilotage et de coordination CPPE (préfecture)</v>
      </c>
    </row>
    <row r="1820" spans="1:30" ht="45" hidden="1" customHeight="1" x14ac:dyDescent="0.8">
      <c r="A1820" s="25">
        <v>5</v>
      </c>
      <c r="B1820" s="16">
        <v>57</v>
      </c>
      <c r="C1820" s="16">
        <v>571</v>
      </c>
      <c r="D1820" s="16">
        <v>5713</v>
      </c>
      <c r="E1820" s="16">
        <v>57134</v>
      </c>
      <c r="F1820" s="16" t="s">
        <v>2266</v>
      </c>
      <c r="G1820" s="21" t="s">
        <v>1186</v>
      </c>
      <c r="H1820" s="21" t="s">
        <v>38</v>
      </c>
      <c r="I1820" s="36">
        <v>0</v>
      </c>
      <c r="J1820" s="36">
        <f>8*50*4</f>
        <v>1600</v>
      </c>
      <c r="K1820" s="36">
        <f>8*50*4</f>
        <v>1600</v>
      </c>
      <c r="L1820" s="36">
        <f>8*50*4</f>
        <v>1600</v>
      </c>
      <c r="M1820" s="36">
        <f t="shared" si="268"/>
        <v>4800</v>
      </c>
      <c r="N1820" s="36">
        <f>IF(OR(H1820="",H1820="sif",H1820="PM"),0,VLOOKUP(H1820,[5]CU!$C$4:$H$255,6,FALSE))</f>
        <v>0.3133333333333333</v>
      </c>
      <c r="O1820" s="36">
        <f t="shared" si="270"/>
        <v>0</v>
      </c>
      <c r="P1820" s="36">
        <f t="shared" si="270"/>
        <v>501.33333333333326</v>
      </c>
      <c r="Q1820" s="36">
        <f t="shared" si="270"/>
        <v>501.33333333333326</v>
      </c>
      <c r="R1820" s="36">
        <f t="shared" si="270"/>
        <v>501.33333333333326</v>
      </c>
      <c r="S1820" s="36">
        <f t="shared" si="271"/>
        <v>1503.9999999999998</v>
      </c>
      <c r="T1820" s="38" t="s">
        <v>169</v>
      </c>
      <c r="U1820" s="19" t="s">
        <v>1873</v>
      </c>
      <c r="V1820" s="19" t="str">
        <f>IF(OR($H1820="",$H1820="sif",$H1820="PM"),"",VLOOKUP($H1820,[5]CU!$C$5:$J$255,8,FALSE))</f>
        <v>3. Formation</v>
      </c>
      <c r="W1820" s="19" t="s">
        <v>1939</v>
      </c>
      <c r="X1820" s="19" t="s">
        <v>1939</v>
      </c>
      <c r="Y1820" s="19" t="s">
        <v>2066</v>
      </c>
      <c r="Z1820" s="19" t="str">
        <f>A1820 &amp; "-" &amp; VLOOKUP(A1820,[4]PROGRAMMES!$E$1:$F$7,2,FALSE)</f>
        <v>5-Gouvernance et pilotage du secteur</v>
      </c>
      <c r="AA1820" s="19" t="str">
        <f>B1820 &amp; "-" &amp; VLOOKUP(B1820,[4]SOUSPROGRAMMES!$E$1:$F$44,2,FALSE)</f>
        <v>57- Coordination sectorielle</v>
      </c>
      <c r="AB1820" s="19" t="str">
        <f>C1820 &amp; "-" &amp; VLOOKUP(C1820,[4]RESULTATS!$E$1:$F$176,2,FALSE)</f>
        <v>571- Des organes de pilotage et de coordination interministérielles existent et fonctionnent éfficacement</v>
      </c>
      <c r="AC1820" s="20" t="str">
        <f>D1820 &amp; "-" &amp; VLOOKUP(D1820,[4]STRATEGIES!$E$1:$F$504,2,FALSE)</f>
        <v>5713-Appui au fonctionnement des structures de coordination et de pilotage</v>
      </c>
      <c r="AD1820" s="21" t="str">
        <f t="shared" si="266"/>
        <v>57134-Tenue des sessions statutaires des organes de pilotage et de coordination CPPE (préfecture)</v>
      </c>
    </row>
    <row r="1821" spans="1:30" s="22" customFormat="1" ht="45" hidden="1" customHeight="1" x14ac:dyDescent="0.8">
      <c r="A1821" s="14">
        <v>5</v>
      </c>
      <c r="B1821" s="15">
        <v>57</v>
      </c>
      <c r="C1821" s="15">
        <v>571</v>
      </c>
      <c r="D1821" s="15">
        <v>5713</v>
      </c>
      <c r="E1821" s="15">
        <v>57135</v>
      </c>
      <c r="F1821" s="16" t="s">
        <v>2267</v>
      </c>
      <c r="G1821" s="21" t="s">
        <v>1186</v>
      </c>
      <c r="H1821" s="17" t="s">
        <v>38</v>
      </c>
      <c r="I1821" s="33">
        <v>0</v>
      </c>
      <c r="J1821" s="33"/>
      <c r="K1821" s="33"/>
      <c r="L1821" s="33"/>
      <c r="M1821" s="33">
        <f>SUM(I1821:L1821)</f>
        <v>0</v>
      </c>
      <c r="N1821" s="33">
        <f>IF(OR(H1821="",H1821="sif",H1821="PM"),0,VLOOKUP(H1821,[5]CU!$C$4:$H$255,6,FALSE))</f>
        <v>0.3133333333333333</v>
      </c>
      <c r="O1821" s="33">
        <f>$N1821*I1821</f>
        <v>0</v>
      </c>
      <c r="P1821" s="33">
        <f>$N1821*J1821</f>
        <v>0</v>
      </c>
      <c r="Q1821" s="33">
        <f>$N1821*K1821</f>
        <v>0</v>
      </c>
      <c r="R1821" s="33">
        <f>$N1821*L1821</f>
        <v>0</v>
      </c>
      <c r="S1821" s="33">
        <f>SUM(O1821:R1821)</f>
        <v>0</v>
      </c>
      <c r="T1821" s="35" t="s">
        <v>178</v>
      </c>
      <c r="U1821" s="18" t="s">
        <v>1873</v>
      </c>
      <c r="V1821" s="18" t="str">
        <f>IF(OR($H1821="",$H1821="sif",$H1821="PM"),"",VLOOKUP($H1821,[5]CU!$C$5:$J$255,8,FALSE))</f>
        <v>3. Formation</v>
      </c>
      <c r="W1821" s="18" t="s">
        <v>255</v>
      </c>
      <c r="X1821" s="18" t="s">
        <v>1936</v>
      </c>
      <c r="Y1821" s="19" t="s">
        <v>32</v>
      </c>
      <c r="Z1821" s="18" t="str">
        <f>A1821 &amp; "-" &amp; VLOOKUP(A1821,[4]PROGRAMMES!$E$1:$F$7,2,FALSE)</f>
        <v>5-Gouvernance et pilotage du secteur</v>
      </c>
      <c r="AA1821" s="19" t="str">
        <f>B1821 &amp; "-" &amp; VLOOKUP(B1821,[4]SOUSPROGRAMMES!$E$1:$F$44,2,FALSE)</f>
        <v>57- Coordination sectorielle</v>
      </c>
      <c r="AB1821" s="19" t="str">
        <f>C1821 &amp; "-" &amp; VLOOKUP(C1821,[4]RESULTATS!$E$1:$F$176,2,FALSE)</f>
        <v>571- Des organes de pilotage et de coordination interministérielles existent et fonctionnent éfficacement</v>
      </c>
      <c r="AC1821" s="20" t="str">
        <f>D1821 &amp; "-" &amp; VLOOKUP(D1821,[4]STRATEGIES!$E$1:$F$504,2,FALSE)</f>
        <v>5713-Appui au fonctionnement des structures de coordination et de pilotage</v>
      </c>
      <c r="AD1821" s="21" t="str">
        <f t="shared" si="266"/>
        <v>57135-Tenue des sessions statutaires des organes de pilotage et de coordination CRPE (région)</v>
      </c>
    </row>
    <row r="1822" spans="1:30" ht="45" hidden="1" customHeight="1" x14ac:dyDescent="0.8">
      <c r="A1822" s="25">
        <v>5</v>
      </c>
      <c r="B1822" s="16">
        <v>57</v>
      </c>
      <c r="C1822" s="16">
        <v>571</v>
      </c>
      <c r="D1822" s="16">
        <v>5713</v>
      </c>
      <c r="E1822" s="16">
        <v>57135</v>
      </c>
      <c r="F1822" s="16" t="s">
        <v>2267</v>
      </c>
      <c r="G1822" s="21" t="s">
        <v>1186</v>
      </c>
      <c r="H1822" s="21" t="s">
        <v>38</v>
      </c>
      <c r="I1822" s="36">
        <v>0</v>
      </c>
      <c r="J1822" s="36">
        <f>8*50*2</f>
        <v>800</v>
      </c>
      <c r="K1822" s="36">
        <f t="shared" ref="K1822:L1822" si="272">8*50*2</f>
        <v>800</v>
      </c>
      <c r="L1822" s="36">
        <f t="shared" si="272"/>
        <v>800</v>
      </c>
      <c r="M1822" s="36">
        <f t="shared" si="268"/>
        <v>2400</v>
      </c>
      <c r="N1822" s="36">
        <f>IF(OR(H1822="",H1822="sif",H1822="PM"),0,VLOOKUP(H1822,[5]CU!$C$4:$H$255,6,FALSE))</f>
        <v>0.3133333333333333</v>
      </c>
      <c r="O1822" s="36">
        <f t="shared" si="270"/>
        <v>0</v>
      </c>
      <c r="P1822" s="36">
        <f t="shared" si="270"/>
        <v>250.66666666666663</v>
      </c>
      <c r="Q1822" s="36">
        <f t="shared" si="270"/>
        <v>250.66666666666663</v>
      </c>
      <c r="R1822" s="36">
        <f t="shared" si="270"/>
        <v>250.66666666666663</v>
      </c>
      <c r="S1822" s="36">
        <f t="shared" si="271"/>
        <v>751.99999999999989</v>
      </c>
      <c r="T1822" s="38" t="s">
        <v>169</v>
      </c>
      <c r="U1822" s="19" t="s">
        <v>1873</v>
      </c>
      <c r="V1822" s="19" t="str">
        <f>IF(OR($H1822="",$H1822="sif",$H1822="PM"),"",VLOOKUP($H1822,[5]CU!$C$5:$J$255,8,FALSE))</f>
        <v>3. Formation</v>
      </c>
      <c r="W1822" s="19" t="s">
        <v>1939</v>
      </c>
      <c r="X1822" s="19" t="s">
        <v>1939</v>
      </c>
      <c r="Y1822" s="19" t="s">
        <v>2066</v>
      </c>
      <c r="Z1822" s="19" t="str">
        <f>A1822 &amp; "-" &amp; VLOOKUP(A1822,[4]PROGRAMMES!$E$1:$F$7,2,FALSE)</f>
        <v>5-Gouvernance et pilotage du secteur</v>
      </c>
      <c r="AA1822" s="19" t="str">
        <f>B1822 &amp; "-" &amp; VLOOKUP(B1822,[4]SOUSPROGRAMMES!$E$1:$F$44,2,FALSE)</f>
        <v>57- Coordination sectorielle</v>
      </c>
      <c r="AB1822" s="19" t="str">
        <f>C1822 &amp; "-" &amp; VLOOKUP(C1822,[4]RESULTATS!$E$1:$F$176,2,FALSE)</f>
        <v>571- Des organes de pilotage et de coordination interministérielles existent et fonctionnent éfficacement</v>
      </c>
      <c r="AC1822" s="20" t="str">
        <f>D1822 &amp; "-" &amp; VLOOKUP(D1822,[4]STRATEGIES!$E$1:$F$504,2,FALSE)</f>
        <v>5713-Appui au fonctionnement des structures de coordination et de pilotage</v>
      </c>
      <c r="AD1822" s="21" t="str">
        <f t="shared" si="266"/>
        <v>57135-Tenue des sessions statutaires des organes de pilotage et de coordination CRPE (région)</v>
      </c>
    </row>
    <row r="1823" spans="1:30" s="22" customFormat="1" ht="45" hidden="1" customHeight="1" x14ac:dyDescent="0.8">
      <c r="A1823" s="14">
        <v>5</v>
      </c>
      <c r="B1823" s="15">
        <v>57</v>
      </c>
      <c r="C1823" s="15">
        <v>571</v>
      </c>
      <c r="D1823" s="15">
        <v>5713</v>
      </c>
      <c r="E1823" s="15">
        <v>57136</v>
      </c>
      <c r="F1823" s="16" t="s">
        <v>2268</v>
      </c>
      <c r="G1823" s="21" t="s">
        <v>1186</v>
      </c>
      <c r="H1823" s="17" t="s">
        <v>38</v>
      </c>
      <c r="I1823" s="33">
        <v>0</v>
      </c>
      <c r="J1823" s="33"/>
      <c r="K1823" s="33"/>
      <c r="L1823" s="33"/>
      <c r="M1823" s="33">
        <f>SUM(I1823:L1823)</f>
        <v>0</v>
      </c>
      <c r="N1823" s="33">
        <f>IF(OR(H1823="",H1823="sif",H1823="PM"),0,VLOOKUP(H1823,[5]CU!$C$4:$H$255,6,FALSE))</f>
        <v>0.3133333333333333</v>
      </c>
      <c r="O1823" s="33">
        <f>$N1823*I1823</f>
        <v>0</v>
      </c>
      <c r="P1823" s="33">
        <f>$N1823*J1823</f>
        <v>0</v>
      </c>
      <c r="Q1823" s="33">
        <f>$N1823*K1823</f>
        <v>0</v>
      </c>
      <c r="R1823" s="33">
        <f>$N1823*L1823</f>
        <v>0</v>
      </c>
      <c r="S1823" s="33">
        <f>SUM(O1823:R1823)</f>
        <v>0</v>
      </c>
      <c r="T1823" s="35" t="s">
        <v>178</v>
      </c>
      <c r="U1823" s="18" t="s">
        <v>1873</v>
      </c>
      <c r="V1823" s="18" t="str">
        <f>IF(OR($H1823="",$H1823="sif",$H1823="PM"),"",VLOOKUP($H1823,[5]CU!$C$5:$J$255,8,FALSE))</f>
        <v>3. Formation</v>
      </c>
      <c r="W1823" s="18" t="s">
        <v>255</v>
      </c>
      <c r="X1823" s="18" t="s">
        <v>1936</v>
      </c>
      <c r="Y1823" s="19" t="s">
        <v>32</v>
      </c>
      <c r="Z1823" s="18" t="str">
        <f>A1823 &amp; "-" &amp; VLOOKUP(A1823,[4]PROGRAMMES!$E$1:$F$7,2,FALSE)</f>
        <v>5-Gouvernance et pilotage du secteur</v>
      </c>
      <c r="AA1823" s="19" t="str">
        <f>B1823 &amp; "-" &amp; VLOOKUP(B1823,[4]SOUSPROGRAMMES!$E$1:$F$44,2,FALSE)</f>
        <v>57- Coordination sectorielle</v>
      </c>
      <c r="AB1823" s="19" t="str">
        <f>C1823 &amp; "-" &amp; VLOOKUP(C1823,[4]RESULTATS!$E$1:$F$176,2,FALSE)</f>
        <v>571- Des organes de pilotage et de coordination interministérielles existent et fonctionnent éfficacement</v>
      </c>
      <c r="AC1823" s="20" t="str">
        <f>D1823 &amp; "-" &amp; VLOOKUP(D1823,[4]STRATEGIES!$E$1:$F$504,2,FALSE)</f>
        <v>5713-Appui au fonctionnement des structures de coordination et de pilotage</v>
      </c>
      <c r="AD1823" s="21" t="str">
        <f t="shared" si="266"/>
        <v>57136-Tenue des sessions statutaires des organes de pilotage et de coordination CNPE (national)</v>
      </c>
    </row>
    <row r="1824" spans="1:30" ht="45" hidden="1" customHeight="1" x14ac:dyDescent="0.8">
      <c r="A1824" s="25">
        <v>5</v>
      </c>
      <c r="B1824" s="16">
        <v>57</v>
      </c>
      <c r="C1824" s="16">
        <v>571</v>
      </c>
      <c r="D1824" s="16">
        <v>5713</v>
      </c>
      <c r="E1824" s="16">
        <v>57136</v>
      </c>
      <c r="F1824" s="16" t="s">
        <v>2268</v>
      </c>
      <c r="G1824" s="21" t="s">
        <v>1186</v>
      </c>
      <c r="H1824" s="21" t="s">
        <v>38</v>
      </c>
      <c r="I1824" s="36">
        <v>0</v>
      </c>
      <c r="J1824" s="36">
        <v>100</v>
      </c>
      <c r="K1824" s="36">
        <v>100</v>
      </c>
      <c r="L1824" s="36">
        <v>100</v>
      </c>
      <c r="M1824" s="36">
        <f t="shared" si="268"/>
        <v>300</v>
      </c>
      <c r="N1824" s="36">
        <f>IF(OR(H1824="",H1824="sif",H1824="PM"),0,VLOOKUP(H1824,[5]CU!$C$4:$H$255,6,FALSE))</f>
        <v>0.3133333333333333</v>
      </c>
      <c r="O1824" s="36">
        <f t="shared" si="270"/>
        <v>0</v>
      </c>
      <c r="P1824" s="36">
        <f t="shared" si="270"/>
        <v>31.333333333333329</v>
      </c>
      <c r="Q1824" s="36">
        <f t="shared" si="270"/>
        <v>31.333333333333329</v>
      </c>
      <c r="R1824" s="36">
        <f t="shared" si="270"/>
        <v>31.333333333333329</v>
      </c>
      <c r="S1824" s="36">
        <f t="shared" si="271"/>
        <v>93.999999999999986</v>
      </c>
      <c r="T1824" s="38" t="s">
        <v>169</v>
      </c>
      <c r="U1824" s="19" t="s">
        <v>1873</v>
      </c>
      <c r="V1824" s="19" t="str">
        <f>IF(OR($H1824="",$H1824="sif",$H1824="PM"),"",VLOOKUP($H1824,[5]CU!$C$5:$J$255,8,FALSE))</f>
        <v>3. Formation</v>
      </c>
      <c r="W1824" s="19" t="s">
        <v>1939</v>
      </c>
      <c r="X1824" s="19" t="s">
        <v>1939</v>
      </c>
      <c r="Y1824" s="19" t="s">
        <v>2066</v>
      </c>
      <c r="Z1824" s="19" t="str">
        <f>A1824 &amp; "-" &amp; VLOOKUP(A1824,[4]PROGRAMMES!$E$1:$F$7,2,FALSE)</f>
        <v>5-Gouvernance et pilotage du secteur</v>
      </c>
      <c r="AA1824" s="19" t="str">
        <f>B1824 &amp; "-" &amp; VLOOKUP(B1824,[4]SOUSPROGRAMMES!$E$1:$F$44,2,FALSE)</f>
        <v>57- Coordination sectorielle</v>
      </c>
      <c r="AB1824" s="19" t="str">
        <f>C1824 &amp; "-" &amp; VLOOKUP(C1824,[4]RESULTATS!$E$1:$F$176,2,FALSE)</f>
        <v>571- Des organes de pilotage et de coordination interministérielles existent et fonctionnent éfficacement</v>
      </c>
      <c r="AC1824" s="20" t="str">
        <f>D1824 &amp; "-" &amp; VLOOKUP(D1824,[4]STRATEGIES!$E$1:$F$504,2,FALSE)</f>
        <v>5713-Appui au fonctionnement des structures de coordination et de pilotage</v>
      </c>
      <c r="AD1824" s="21" t="str">
        <f t="shared" si="266"/>
        <v>57136-Tenue des sessions statutaires des organes de pilotage et de coordination CNPE (national)</v>
      </c>
    </row>
    <row r="1825" spans="1:30" s="22" customFormat="1" ht="60" hidden="1" customHeight="1" x14ac:dyDescent="0.8">
      <c r="A1825" s="14">
        <v>5</v>
      </c>
      <c r="B1825" s="15">
        <v>57</v>
      </c>
      <c r="C1825" s="15">
        <v>571</v>
      </c>
      <c r="D1825" s="15">
        <v>5713</v>
      </c>
      <c r="E1825" s="15">
        <v>57137</v>
      </c>
      <c r="F1825" s="16" t="s">
        <v>2269</v>
      </c>
      <c r="G1825" s="21" t="s">
        <v>2270</v>
      </c>
      <c r="H1825" s="17" t="s">
        <v>59</v>
      </c>
      <c r="I1825" s="33">
        <v>0</v>
      </c>
      <c r="J1825" s="33">
        <f>((4*8*46))*98.65%</f>
        <v>1452.1280000000002</v>
      </c>
      <c r="K1825" s="33">
        <f>((4*8*46))*98.65%</f>
        <v>1452.1280000000002</v>
      </c>
      <c r="L1825" s="33">
        <f>((4*8*46))*98.65%</f>
        <v>1452.1280000000002</v>
      </c>
      <c r="M1825" s="33">
        <f>SUM(I1825:L1825)</f>
        <v>4356.384</v>
      </c>
      <c r="N1825" s="33">
        <f>IF(OR(H1825="",H1825="sif",H1825="PM"),0,VLOOKUP(H1825,[5]CU!$C$4:$H$255,6,FALSE))</f>
        <v>0.8177777777777776</v>
      </c>
      <c r="O1825" s="33">
        <f>$N1825*I1825</f>
        <v>0</v>
      </c>
      <c r="P1825" s="33">
        <f>$N1825*J1825</f>
        <v>1187.5180088888887</v>
      </c>
      <c r="Q1825" s="33">
        <f>$N1825*K1825</f>
        <v>1187.5180088888887</v>
      </c>
      <c r="R1825" s="33">
        <f>$N1825*L1825</f>
        <v>1187.5180088888887</v>
      </c>
      <c r="S1825" s="33">
        <f>SUM(O1825:R1825)</f>
        <v>3562.5540266666662</v>
      </c>
      <c r="T1825" s="35" t="s">
        <v>67</v>
      </c>
      <c r="U1825" s="18" t="s">
        <v>1873</v>
      </c>
      <c r="V1825" s="18" t="str">
        <f>IF(OR($H1825="",$H1825="sif",$H1825="PM"),"",VLOOKUP($H1825,[5]CU!$C$5:$J$255,8,FALSE))</f>
        <v>3. Dépenses de fonctionnement</v>
      </c>
      <c r="W1825" s="18" t="s">
        <v>96</v>
      </c>
      <c r="X1825" s="18" t="s">
        <v>96</v>
      </c>
      <c r="Y1825" s="19" t="s">
        <v>32</v>
      </c>
      <c r="Z1825" s="18" t="str">
        <f>A1825 &amp; "-" &amp; VLOOKUP(A1825,[4]PROGRAMMES!$E$1:$F$7,2,FALSE)</f>
        <v>5-Gouvernance et pilotage du secteur</v>
      </c>
      <c r="AA1825" s="19" t="str">
        <f>B1825 &amp; "-" &amp; VLOOKUP(B1825,[4]SOUSPROGRAMMES!$E$1:$F$44,2,FALSE)</f>
        <v>57- Coordination sectorielle</v>
      </c>
      <c r="AB1825" s="19" t="str">
        <f>C1825 &amp; "-" &amp; VLOOKUP(C1825,[4]RESULTATS!$E$1:$F$176,2,FALSE)</f>
        <v>571- Des organes de pilotage et de coordination interministérielles existent et fonctionnent éfficacement</v>
      </c>
      <c r="AC1825" s="20" t="str">
        <f>D1825 &amp; "-" &amp; VLOOKUP(D1825,[4]STRATEGIES!$E$1:$F$504,2,FALSE)</f>
        <v>5713-Appui au fonctionnement des structures de coordination et de pilotage</v>
      </c>
      <c r="AD1825" s="21" t="str">
        <f t="shared" si="266"/>
        <v>57137-Appui au suivi et à la concertation au niveau national et au niveau communal de la mise en œuvre du programme UNICEF</v>
      </c>
    </row>
    <row r="1826" spans="1:30" s="22" customFormat="1" ht="60" hidden="1" customHeight="1" x14ac:dyDescent="0.8">
      <c r="A1826" s="14">
        <v>5</v>
      </c>
      <c r="B1826" s="15">
        <v>57</v>
      </c>
      <c r="C1826" s="15">
        <v>571</v>
      </c>
      <c r="D1826" s="15">
        <v>5713</v>
      </c>
      <c r="E1826" s="15">
        <v>57137</v>
      </c>
      <c r="F1826" s="16" t="s">
        <v>2269</v>
      </c>
      <c r="G1826" s="21" t="s">
        <v>2270</v>
      </c>
      <c r="H1826" s="17" t="s">
        <v>59</v>
      </c>
      <c r="I1826" s="33">
        <v>0</v>
      </c>
      <c r="J1826" s="33">
        <f>((4*8*46))*1.35%</f>
        <v>19.872000000000003</v>
      </c>
      <c r="K1826" s="33">
        <f>((4*8*46))*1.35%</f>
        <v>19.872000000000003</v>
      </c>
      <c r="L1826" s="33">
        <f>((4*8*46))*1.35%</f>
        <v>19.872000000000003</v>
      </c>
      <c r="M1826" s="33">
        <f t="shared" si="268"/>
        <v>59.616000000000014</v>
      </c>
      <c r="N1826" s="33">
        <f>IF(OR(H1826="",H1826="sif",H1826="PM"),0,VLOOKUP(H1826,[5]CU!$C$4:$H$255,6,FALSE))</f>
        <v>0.8177777777777776</v>
      </c>
      <c r="O1826" s="33">
        <f t="shared" si="270"/>
        <v>0</v>
      </c>
      <c r="P1826" s="33">
        <f t="shared" si="270"/>
        <v>16.250879999999999</v>
      </c>
      <c r="Q1826" s="33">
        <f t="shared" si="270"/>
        <v>16.250879999999999</v>
      </c>
      <c r="R1826" s="33">
        <f t="shared" si="270"/>
        <v>16.250879999999999</v>
      </c>
      <c r="S1826" s="33">
        <f t="shared" si="271"/>
        <v>48.75264</v>
      </c>
      <c r="T1826" s="35" t="s">
        <v>118</v>
      </c>
      <c r="U1826" s="18" t="s">
        <v>1873</v>
      </c>
      <c r="V1826" s="18" t="str">
        <f>IF(OR($H1826="",$H1826="sif",$H1826="PM"),"",VLOOKUP($H1826,[5]CU!$C$5:$J$255,8,FALSE))</f>
        <v>3. Dépenses de fonctionnement</v>
      </c>
      <c r="W1826" s="18" t="s">
        <v>96</v>
      </c>
      <c r="X1826" s="18" t="s">
        <v>96</v>
      </c>
      <c r="Y1826" s="19" t="s">
        <v>32</v>
      </c>
      <c r="Z1826" s="18" t="str">
        <f>A1826 &amp; "-" &amp; VLOOKUP(A1826,[4]PROGRAMMES!$E$1:$F$7,2,FALSE)</f>
        <v>5-Gouvernance et pilotage du secteur</v>
      </c>
      <c r="AA1826" s="19" t="str">
        <f>B1826 &amp; "-" &amp; VLOOKUP(B1826,[4]SOUSPROGRAMMES!$E$1:$F$44,2,FALSE)</f>
        <v>57- Coordination sectorielle</v>
      </c>
      <c r="AB1826" s="19" t="str">
        <f>C1826 &amp; "-" &amp; VLOOKUP(C1826,[4]RESULTATS!$E$1:$F$176,2,FALSE)</f>
        <v>571- Des organes de pilotage et de coordination interministérielles existent et fonctionnent éfficacement</v>
      </c>
      <c r="AC1826" s="20" t="str">
        <f>D1826 &amp; "-" &amp; VLOOKUP(D1826,[4]STRATEGIES!$E$1:$F$504,2,FALSE)</f>
        <v>5713-Appui au fonctionnement des structures de coordination et de pilotage</v>
      </c>
      <c r="AD1826" s="21" t="str">
        <f t="shared" si="266"/>
        <v>57137-Appui au suivi et à la concertation au niveau national et au niveau communal de la mise en œuvre du programme UNICEF</v>
      </c>
    </row>
    <row r="1827" spans="1:30" s="22" customFormat="1" ht="45" hidden="1" customHeight="1" x14ac:dyDescent="0.8">
      <c r="A1827" s="14">
        <v>5</v>
      </c>
      <c r="B1827" s="15">
        <v>57</v>
      </c>
      <c r="C1827" s="15">
        <v>571</v>
      </c>
      <c r="D1827" s="15">
        <v>5714</v>
      </c>
      <c r="E1827" s="15">
        <v>5714</v>
      </c>
      <c r="F1827" s="16" t="s">
        <v>2271</v>
      </c>
      <c r="G1827" s="17"/>
      <c r="H1827" s="17"/>
      <c r="I1827" s="33">
        <v>0</v>
      </c>
      <c r="J1827" s="33"/>
      <c r="K1827" s="33"/>
      <c r="L1827" s="33"/>
      <c r="M1827" s="33"/>
      <c r="N1827" s="33"/>
      <c r="O1827" s="33"/>
      <c r="P1827" s="33"/>
      <c r="Q1827" s="33"/>
      <c r="R1827" s="33"/>
      <c r="S1827" s="33"/>
      <c r="T1827" s="33"/>
      <c r="U1827" s="18"/>
      <c r="V1827" s="18"/>
      <c r="W1827" s="18"/>
      <c r="X1827" s="18"/>
      <c r="Y1827" s="18"/>
      <c r="Z1827" s="18" t="str">
        <f>A1827 &amp; "-" &amp; VLOOKUP(A1827,[4]PROGRAMMES!$E$1:$F$7,2,FALSE)</f>
        <v>5-Gouvernance et pilotage du secteur</v>
      </c>
      <c r="AA1827" s="19" t="str">
        <f>B1827 &amp; "-" &amp; VLOOKUP(B1827,[4]SOUSPROGRAMMES!$E$1:$F$44,2,FALSE)</f>
        <v>57- Coordination sectorielle</v>
      </c>
      <c r="AB1827" s="19" t="str">
        <f>C1827 &amp; "-" &amp; VLOOKUP(C1827,[4]RESULTATS!$E$1:$F$176,2,FALSE)</f>
        <v>571- Des organes de pilotage et de coordination interministérielles existent et fonctionnent éfficacement</v>
      </c>
      <c r="AC1827" s="20" t="str">
        <f>D1827 &amp; "-" &amp; VLOOKUP(D1827,[4]STRATEGIES!$E$1:$F$504,2,FALSE)</f>
        <v>5714-Partage des rapports et des recommandations des structures de coordination et pilotage avec les acteurs concernés</v>
      </c>
      <c r="AD1827" s="21" t="str">
        <f t="shared" si="266"/>
        <v>5714-Partage des rapports et des recommandations des structures de coordination et pilotage avec les acteurs concernés</v>
      </c>
    </row>
    <row r="1828" spans="1:30" s="22" customFormat="1" ht="45" hidden="1" customHeight="1" x14ac:dyDescent="0.8">
      <c r="A1828" s="14">
        <v>5</v>
      </c>
      <c r="B1828" s="15">
        <v>57</v>
      </c>
      <c r="C1828" s="15">
        <v>571</v>
      </c>
      <c r="D1828" s="15">
        <v>5714</v>
      </c>
      <c r="E1828" s="15">
        <v>57141</v>
      </c>
      <c r="F1828" s="16" t="s">
        <v>2272</v>
      </c>
      <c r="G1828" s="21" t="s">
        <v>88</v>
      </c>
      <c r="H1828" s="17" t="s">
        <v>55</v>
      </c>
      <c r="I1828" s="33">
        <v>0</v>
      </c>
      <c r="J1828" s="33">
        <v>0</v>
      </c>
      <c r="K1828" s="33">
        <v>0</v>
      </c>
      <c r="L1828" s="33">
        <v>0</v>
      </c>
      <c r="M1828" s="33"/>
      <c r="N1828" s="33">
        <f>IF(OR(H1828="",H1828="sif",H1828="PM"),0,VLOOKUP(H1828,[5]CU!$C$4:$H$255,6,FALSE))</f>
        <v>0</v>
      </c>
      <c r="O1828" s="33"/>
      <c r="P1828" s="33"/>
      <c r="Q1828" s="33"/>
      <c r="R1828" s="33"/>
      <c r="S1828" s="33"/>
      <c r="T1828" s="35" t="s">
        <v>56</v>
      </c>
      <c r="U1828" s="18" t="s">
        <v>1873</v>
      </c>
      <c r="V1828" s="18" t="str">
        <f>IF(OR($H1828="",$H1828="sif",$H1828="PM"),"",VLOOKUP($H1828,[5]CU!$C$5:$J$255,8,FALSE))</f>
        <v/>
      </c>
      <c r="W1828" s="18" t="s">
        <v>255</v>
      </c>
      <c r="X1828" s="18" t="s">
        <v>1936</v>
      </c>
      <c r="Y1828" s="19" t="s">
        <v>32</v>
      </c>
      <c r="Z1828" s="18" t="str">
        <f>A1828 &amp; "-" &amp; VLOOKUP(A1828,[4]PROGRAMMES!$E$1:$F$7,2,FALSE)</f>
        <v>5-Gouvernance et pilotage du secteur</v>
      </c>
      <c r="AA1828" s="19" t="str">
        <f>B1828 &amp; "-" &amp; VLOOKUP(B1828,[4]SOUSPROGRAMMES!$E$1:$F$44,2,FALSE)</f>
        <v>57- Coordination sectorielle</v>
      </c>
      <c r="AB1828" s="19" t="str">
        <f>C1828 &amp; "-" &amp; VLOOKUP(C1828,[4]RESULTATS!$E$1:$F$176,2,FALSE)</f>
        <v>571- Des organes de pilotage et de coordination interministérielles existent et fonctionnent éfficacement</v>
      </c>
      <c r="AC1828" s="20" t="str">
        <f>D1828 &amp; "-" &amp; VLOOKUP(D1828,[4]STRATEGIES!$E$1:$F$504,2,FALSE)</f>
        <v>5714-Partage des rapports et des recommandations des structures de coordination et pilotage avec les acteurs concernés</v>
      </c>
      <c r="AD1828" s="21" t="str">
        <f t="shared" si="266"/>
        <v>57141-Centralisation des rapports des sessions statutaires</v>
      </c>
    </row>
    <row r="1829" spans="1:30" s="22" customFormat="1" ht="45" hidden="1" customHeight="1" x14ac:dyDescent="0.8">
      <c r="A1829" s="14">
        <v>5</v>
      </c>
      <c r="B1829" s="15">
        <v>57</v>
      </c>
      <c r="C1829" s="15">
        <v>571</v>
      </c>
      <c r="D1829" s="15">
        <v>5714</v>
      </c>
      <c r="E1829" s="15">
        <v>57142</v>
      </c>
      <c r="F1829" s="16" t="s">
        <v>2273</v>
      </c>
      <c r="G1829" s="21" t="s">
        <v>88</v>
      </c>
      <c r="H1829" s="17" t="s">
        <v>55</v>
      </c>
      <c r="I1829" s="33">
        <v>0</v>
      </c>
      <c r="J1829" s="33">
        <v>0</v>
      </c>
      <c r="K1829" s="33">
        <v>0</v>
      </c>
      <c r="L1829" s="33">
        <v>0</v>
      </c>
      <c r="M1829" s="33"/>
      <c r="N1829" s="33">
        <f>IF(OR(H1829="",H1829="sif",H1829="PM"),0,VLOOKUP(H1829,[5]CU!$C$4:$H$255,6,FALSE))</f>
        <v>0</v>
      </c>
      <c r="O1829" s="33"/>
      <c r="P1829" s="33"/>
      <c r="Q1829" s="33"/>
      <c r="R1829" s="33"/>
      <c r="S1829" s="33"/>
      <c r="T1829" s="35" t="s">
        <v>56</v>
      </c>
      <c r="U1829" s="18" t="s">
        <v>1873</v>
      </c>
      <c r="V1829" s="18" t="str">
        <f>IF(OR($H1829="",$H1829="sif",$H1829="PM"),"",VLOOKUP($H1829,[5]CU!$C$5:$J$255,8,FALSE))</f>
        <v/>
      </c>
      <c r="W1829" s="18" t="s">
        <v>255</v>
      </c>
      <c r="X1829" s="18" t="s">
        <v>1936</v>
      </c>
      <c r="Y1829" s="19" t="s">
        <v>32</v>
      </c>
      <c r="Z1829" s="18" t="str">
        <f>A1829 &amp; "-" &amp; VLOOKUP(A1829,[4]PROGRAMMES!$E$1:$F$7,2,FALSE)</f>
        <v>5-Gouvernance et pilotage du secteur</v>
      </c>
      <c r="AA1829" s="19" t="str">
        <f>B1829 &amp; "-" &amp; VLOOKUP(B1829,[4]SOUSPROGRAMMES!$E$1:$F$44,2,FALSE)</f>
        <v>57- Coordination sectorielle</v>
      </c>
      <c r="AB1829" s="19" t="str">
        <f>C1829 &amp; "-" &amp; VLOOKUP(C1829,[4]RESULTATS!$E$1:$F$176,2,FALSE)</f>
        <v>571- Des organes de pilotage et de coordination interministérielles existent et fonctionnent éfficacement</v>
      </c>
      <c r="AC1829" s="20" t="str">
        <f>D1829 &amp; "-" &amp; VLOOKUP(D1829,[4]STRATEGIES!$E$1:$F$504,2,FALSE)</f>
        <v>5714-Partage des rapports et des recommandations des structures de coordination et pilotage avec les acteurs concernés</v>
      </c>
      <c r="AD1829" s="21" t="str">
        <f t="shared" si="266"/>
        <v xml:space="preserve">57142-Diffusion des rapports des sessions statutaires </v>
      </c>
    </row>
    <row r="1830" spans="1:30" s="22" customFormat="1" ht="45" hidden="1" customHeight="1" x14ac:dyDescent="0.8">
      <c r="A1830" s="14">
        <v>5</v>
      </c>
      <c r="B1830" s="15">
        <v>57</v>
      </c>
      <c r="C1830" s="15">
        <v>571</v>
      </c>
      <c r="D1830" s="15">
        <v>5714</v>
      </c>
      <c r="E1830" s="15">
        <v>57143</v>
      </c>
      <c r="F1830" s="16" t="s">
        <v>2274</v>
      </c>
      <c r="G1830" s="21" t="s">
        <v>88</v>
      </c>
      <c r="H1830" s="17" t="s">
        <v>55</v>
      </c>
      <c r="I1830" s="33">
        <v>0</v>
      </c>
      <c r="J1830" s="33">
        <v>0</v>
      </c>
      <c r="K1830" s="33">
        <v>0</v>
      </c>
      <c r="L1830" s="33">
        <v>0</v>
      </c>
      <c r="M1830" s="33"/>
      <c r="N1830" s="33">
        <f>IF(OR(H1830="",H1830="sif",H1830="PM"),0,VLOOKUP(H1830,[5]CU!$C$4:$H$255,6,FALSE))</f>
        <v>0</v>
      </c>
      <c r="O1830" s="33"/>
      <c r="P1830" s="33"/>
      <c r="Q1830" s="33"/>
      <c r="R1830" s="33"/>
      <c r="S1830" s="33"/>
      <c r="T1830" s="35" t="s">
        <v>56</v>
      </c>
      <c r="U1830" s="18" t="s">
        <v>1873</v>
      </c>
      <c r="V1830" s="18" t="str">
        <f>IF(OR($H1830="",$H1830="sif",$H1830="PM"),"",VLOOKUP($H1830,[5]CU!$C$5:$J$255,8,FALSE))</f>
        <v/>
      </c>
      <c r="W1830" s="18" t="s">
        <v>255</v>
      </c>
      <c r="X1830" s="18" t="s">
        <v>255</v>
      </c>
      <c r="Y1830" s="19" t="s">
        <v>32</v>
      </c>
      <c r="Z1830" s="18" t="str">
        <f>A1830 &amp; "-" &amp; VLOOKUP(A1830,[4]PROGRAMMES!$E$1:$F$7,2,FALSE)</f>
        <v>5-Gouvernance et pilotage du secteur</v>
      </c>
      <c r="AA1830" s="19" t="str">
        <f>B1830 &amp; "-" &amp; VLOOKUP(B1830,[4]SOUSPROGRAMMES!$E$1:$F$44,2,FALSE)</f>
        <v>57- Coordination sectorielle</v>
      </c>
      <c r="AB1830" s="19" t="str">
        <f>C1830 &amp; "-" &amp; VLOOKUP(C1830,[4]RESULTATS!$E$1:$F$176,2,FALSE)</f>
        <v>571- Des organes de pilotage et de coordination interministérielles existent et fonctionnent éfficacement</v>
      </c>
      <c r="AC1830" s="20" t="str">
        <f>D1830 &amp; "-" &amp; VLOOKUP(D1830,[4]STRATEGIES!$E$1:$F$504,2,FALSE)</f>
        <v>5714-Partage des rapports et des recommandations des structures de coordination et pilotage avec les acteurs concernés</v>
      </c>
      <c r="AD1830" s="21" t="str">
        <f t="shared" si="266"/>
        <v>57143-Analyse des résultats des sessions et formulation de lettre de directive spécifique à chaque structure</v>
      </c>
    </row>
    <row r="1831" spans="1:30" s="22" customFormat="1" ht="45" hidden="1" customHeight="1" x14ac:dyDescent="0.8">
      <c r="A1831" s="14">
        <v>5</v>
      </c>
      <c r="B1831" s="15">
        <v>57</v>
      </c>
      <c r="C1831" s="15">
        <v>572</v>
      </c>
      <c r="D1831" s="15">
        <v>572</v>
      </c>
      <c r="E1831" s="15">
        <v>572</v>
      </c>
      <c r="F1831" s="16" t="s">
        <v>2275</v>
      </c>
      <c r="G1831" s="17"/>
      <c r="H1831" s="17"/>
      <c r="I1831" s="33">
        <v>0</v>
      </c>
      <c r="J1831" s="33"/>
      <c r="K1831" s="33"/>
      <c r="L1831" s="33"/>
      <c r="M1831" s="33"/>
      <c r="N1831" s="33"/>
      <c r="O1831" s="33"/>
      <c r="P1831" s="33"/>
      <c r="Q1831" s="33"/>
      <c r="R1831" s="33"/>
      <c r="S1831" s="33"/>
      <c r="T1831" s="33"/>
      <c r="U1831" s="18"/>
      <c r="V1831" s="18"/>
      <c r="W1831" s="18"/>
      <c r="X1831" s="18"/>
      <c r="Y1831" s="18"/>
      <c r="Z1831" s="18" t="str">
        <f>A1831 &amp; "-" &amp; VLOOKUP(A1831,[4]PROGRAMMES!$E$1:$F$7,2,FALSE)</f>
        <v>5-Gouvernance et pilotage du secteur</v>
      </c>
      <c r="AA1831" s="19" t="str">
        <f>B1831 &amp; "-" &amp; VLOOKUP(B1831,[4]SOUSPROGRAMMES!$E$1:$F$44,2,FALSE)</f>
        <v>57- Coordination sectorielle</v>
      </c>
      <c r="AB1831" s="19" t="str">
        <f>C1831 &amp; "-" &amp; VLOOKUP(C1831,[4]RESULTATS!$E$1:$F$176,2,FALSE)</f>
        <v>572- Des organes de pilotage et de coordination du ProDEG sont mis en place et sont fonctionnels</v>
      </c>
      <c r="AC1831" s="20" t="str">
        <f>D1831 &amp; "-" &amp; VLOOKUP(D1831,[4]STRATEGIES!$E$1:$F$504,2,FALSE)</f>
        <v>572- Des organes de pilotage et de coordination du ProDEG sont mis en place et sont fonctionnels</v>
      </c>
      <c r="AD1831" s="21" t="str">
        <f t="shared" si="266"/>
        <v>572- Des organes de pilotage et de coordination du ProDEG sont mis en place et sont fonctionnels</v>
      </c>
    </row>
    <row r="1832" spans="1:30" s="22" customFormat="1" ht="45" hidden="1" customHeight="1" x14ac:dyDescent="0.8">
      <c r="A1832" s="14">
        <v>5</v>
      </c>
      <c r="B1832" s="15">
        <v>57</v>
      </c>
      <c r="C1832" s="15">
        <v>572</v>
      </c>
      <c r="D1832" s="15">
        <v>5721</v>
      </c>
      <c r="E1832" s="15">
        <v>5721</v>
      </c>
      <c r="F1832" s="16" t="s">
        <v>2276</v>
      </c>
      <c r="G1832" s="17"/>
      <c r="H1832" s="17"/>
      <c r="I1832" s="33">
        <v>0</v>
      </c>
      <c r="J1832" s="33"/>
      <c r="K1832" s="33"/>
      <c r="L1832" s="33"/>
      <c r="M1832" s="33"/>
      <c r="N1832" s="33"/>
      <c r="O1832" s="33"/>
      <c r="P1832" s="33"/>
      <c r="Q1832" s="33"/>
      <c r="R1832" s="33"/>
      <c r="S1832" s="33"/>
      <c r="T1832" s="33"/>
      <c r="U1832" s="18"/>
      <c r="V1832" s="18"/>
      <c r="W1832" s="18"/>
      <c r="X1832" s="18"/>
      <c r="Y1832" s="18"/>
      <c r="Z1832" s="18" t="str">
        <f>A1832 &amp; "-" &amp; VLOOKUP(A1832,[4]PROGRAMMES!$E$1:$F$7,2,FALSE)</f>
        <v>5-Gouvernance et pilotage du secteur</v>
      </c>
      <c r="AA1832" s="19" t="str">
        <f>B1832 &amp; "-" &amp; VLOOKUP(B1832,[4]SOUSPROGRAMMES!$E$1:$F$44,2,FALSE)</f>
        <v>57- Coordination sectorielle</v>
      </c>
      <c r="AB1832" s="19" t="str">
        <f>C1832 &amp; "-" &amp; VLOOKUP(C1832,[4]RESULTATS!$E$1:$F$176,2,FALSE)</f>
        <v>572- Des organes de pilotage et de coordination du ProDEG sont mis en place et sont fonctionnels</v>
      </c>
      <c r="AC1832" s="20" t="str">
        <f>D1832 &amp; "-" &amp; VLOOKUP(D1832,[4]STRATEGIES!$E$1:$F$504,2,FALSE)</f>
        <v>5721-Mise en place des instances de pilotage et de coordination</v>
      </c>
      <c r="AD1832" s="21" t="str">
        <f t="shared" si="266"/>
        <v>5721-Mise en place des instances de pilotage et de coordination</v>
      </c>
    </row>
    <row r="1833" spans="1:30" s="22" customFormat="1" ht="45" hidden="1" customHeight="1" x14ac:dyDescent="0.8">
      <c r="A1833" s="14">
        <v>5</v>
      </c>
      <c r="B1833" s="15">
        <v>57</v>
      </c>
      <c r="C1833" s="15">
        <v>572</v>
      </c>
      <c r="D1833" s="15">
        <v>5721</v>
      </c>
      <c r="E1833" s="15">
        <v>57211</v>
      </c>
      <c r="F1833" s="16" t="s">
        <v>2277</v>
      </c>
      <c r="G1833" s="21" t="s">
        <v>660</v>
      </c>
      <c r="H1833" s="17" t="s">
        <v>55</v>
      </c>
      <c r="I1833" s="33">
        <v>0</v>
      </c>
      <c r="J1833" s="33"/>
      <c r="K1833" s="33"/>
      <c r="L1833" s="33"/>
      <c r="M1833" s="33">
        <f t="shared" ref="M1833:M1891" si="273">SUM(I1833:L1833)</f>
        <v>0</v>
      </c>
      <c r="N1833" s="33">
        <f>IF(OR(H1833="",H1833="sif",H1833="PM"),0,VLOOKUP(H1833,[5]CU!$C$4:$H$255,6,FALSE))</f>
        <v>0</v>
      </c>
      <c r="O1833" s="33"/>
      <c r="P1833" s="33"/>
      <c r="Q1833" s="33"/>
      <c r="R1833" s="33"/>
      <c r="S1833" s="33"/>
      <c r="T1833" s="35" t="s">
        <v>56</v>
      </c>
      <c r="U1833" s="18" t="s">
        <v>1873</v>
      </c>
      <c r="V1833" s="18" t="str">
        <f>IF(OR($H1833="",$H1833="sif",$H1833="PM"),"",VLOOKUP($H1833,[5]CU!$C$5:$J$255,8,FALSE))</f>
        <v/>
      </c>
      <c r="W1833" s="18" t="s">
        <v>255</v>
      </c>
      <c r="X1833" s="18" t="s">
        <v>255</v>
      </c>
      <c r="Y1833" s="18" t="s">
        <v>679</v>
      </c>
      <c r="Z1833" s="18" t="str">
        <f>A1833 &amp; "-" &amp; VLOOKUP(A1833,[4]PROGRAMMES!$E$1:$F$7,2,FALSE)</f>
        <v>5-Gouvernance et pilotage du secteur</v>
      </c>
      <c r="AA1833" s="19" t="str">
        <f>B1833 &amp; "-" &amp; VLOOKUP(B1833,[4]SOUSPROGRAMMES!$E$1:$F$44,2,FALSE)</f>
        <v>57- Coordination sectorielle</v>
      </c>
      <c r="AB1833" s="19" t="str">
        <f>C1833 &amp; "-" &amp; VLOOKUP(C1833,[4]RESULTATS!$E$1:$F$176,2,FALSE)</f>
        <v>572- Des organes de pilotage et de coordination du ProDEG sont mis en place et sont fonctionnels</v>
      </c>
      <c r="AC1833" s="20" t="str">
        <f>D1833 &amp; "-" &amp; VLOOKUP(D1833,[4]STRATEGIES!$E$1:$F$504,2,FALSE)</f>
        <v>5721-Mise en place des instances de pilotage et de coordination</v>
      </c>
      <c r="AD1833" s="21" t="str">
        <f t="shared" si="266"/>
        <v>57211-Elaboration et adoption des textes de création du comité interministériel de coordination et de pilotage</v>
      </c>
    </row>
    <row r="1834" spans="1:30" s="22" customFormat="1" ht="45" hidden="1" customHeight="1" x14ac:dyDescent="0.8">
      <c r="A1834" s="14">
        <v>5</v>
      </c>
      <c r="B1834" s="15">
        <v>57</v>
      </c>
      <c r="C1834" s="15">
        <v>572</v>
      </c>
      <c r="D1834" s="15">
        <v>5721</v>
      </c>
      <c r="E1834" s="15">
        <v>57212</v>
      </c>
      <c r="F1834" s="16" t="s">
        <v>2278</v>
      </c>
      <c r="G1834" s="21" t="s">
        <v>660</v>
      </c>
      <c r="H1834" s="17" t="s">
        <v>55</v>
      </c>
      <c r="I1834" s="33">
        <v>0</v>
      </c>
      <c r="J1834" s="33"/>
      <c r="K1834" s="33"/>
      <c r="L1834" s="33"/>
      <c r="M1834" s="33">
        <f t="shared" si="273"/>
        <v>0</v>
      </c>
      <c r="N1834" s="33">
        <f>IF(OR(H1834="",H1834="sif",H1834="PM"),0,VLOOKUP(H1834,[5]CU!$C$4:$H$255,6,FALSE))</f>
        <v>0</v>
      </c>
      <c r="O1834" s="33"/>
      <c r="P1834" s="33"/>
      <c r="Q1834" s="33"/>
      <c r="R1834" s="33"/>
      <c r="S1834" s="33"/>
      <c r="T1834" s="35" t="s">
        <v>56</v>
      </c>
      <c r="U1834" s="18" t="s">
        <v>1873</v>
      </c>
      <c r="V1834" s="18" t="str">
        <f>IF(OR($H1834="",$H1834="sif",$H1834="PM"),"",VLOOKUP($H1834,[5]CU!$C$5:$J$255,8,FALSE))</f>
        <v/>
      </c>
      <c r="W1834" s="18" t="s">
        <v>255</v>
      </c>
      <c r="X1834" s="18" t="s">
        <v>255</v>
      </c>
      <c r="Y1834" s="18" t="s">
        <v>679</v>
      </c>
      <c r="Z1834" s="18" t="str">
        <f>A1834 &amp; "-" &amp; VLOOKUP(A1834,[4]PROGRAMMES!$E$1:$F$7,2,FALSE)</f>
        <v>5-Gouvernance et pilotage du secteur</v>
      </c>
      <c r="AA1834" s="19" t="str">
        <f>B1834 &amp; "-" &amp; VLOOKUP(B1834,[4]SOUSPROGRAMMES!$E$1:$F$44,2,FALSE)</f>
        <v>57- Coordination sectorielle</v>
      </c>
      <c r="AB1834" s="19" t="str">
        <f>C1834 &amp; "-" &amp; VLOOKUP(C1834,[4]RESULTATS!$E$1:$F$176,2,FALSE)</f>
        <v>572- Des organes de pilotage et de coordination du ProDEG sont mis en place et sont fonctionnels</v>
      </c>
      <c r="AC1834" s="20" t="str">
        <f>D1834 &amp; "-" &amp; VLOOKUP(D1834,[4]STRATEGIES!$E$1:$F$504,2,FALSE)</f>
        <v>5721-Mise en place des instances de pilotage et de coordination</v>
      </c>
      <c r="AD1834" s="21" t="str">
        <f t="shared" si="266"/>
        <v>57212-Adoption d'un texte créant le secrétariat technique de coordination du ProDEG</v>
      </c>
    </row>
    <row r="1835" spans="1:30" s="22" customFormat="1" ht="45" hidden="1" customHeight="1" x14ac:dyDescent="0.8">
      <c r="A1835" s="14">
        <v>5</v>
      </c>
      <c r="B1835" s="15">
        <v>57</v>
      </c>
      <c r="C1835" s="15">
        <v>572</v>
      </c>
      <c r="D1835" s="15">
        <v>5722</v>
      </c>
      <c r="E1835" s="15">
        <v>5722</v>
      </c>
      <c r="F1835" s="16" t="s">
        <v>2279</v>
      </c>
      <c r="G1835" s="17"/>
      <c r="H1835" s="17"/>
      <c r="I1835" s="33">
        <v>0</v>
      </c>
      <c r="J1835" s="33"/>
      <c r="K1835" s="33"/>
      <c r="L1835" s="33"/>
      <c r="M1835" s="33"/>
      <c r="N1835" s="33"/>
      <c r="O1835" s="33"/>
      <c r="P1835" s="33"/>
      <c r="Q1835" s="33"/>
      <c r="R1835" s="33"/>
      <c r="S1835" s="33"/>
      <c r="T1835" s="33"/>
      <c r="U1835" s="18"/>
      <c r="V1835" s="18"/>
      <c r="W1835" s="18"/>
      <c r="X1835" s="18"/>
      <c r="Y1835" s="18"/>
      <c r="Z1835" s="18" t="str">
        <f>A1835 &amp; "-" &amp; VLOOKUP(A1835,[4]PROGRAMMES!$E$1:$F$7,2,FALSE)</f>
        <v>5-Gouvernance et pilotage du secteur</v>
      </c>
      <c r="AA1835" s="19" t="str">
        <f>B1835 &amp; "-" &amp; VLOOKUP(B1835,[4]SOUSPROGRAMMES!$E$1:$F$44,2,FALSE)</f>
        <v>57- Coordination sectorielle</v>
      </c>
      <c r="AB1835" s="19" t="str">
        <f>C1835 &amp; "-" &amp; VLOOKUP(C1835,[4]RESULTATS!$E$1:$F$176,2,FALSE)</f>
        <v>572- Des organes de pilotage et de coordination du ProDEG sont mis en place et sont fonctionnels</v>
      </c>
      <c r="AC1835" s="20" t="str">
        <f>D1835 &amp; "-" &amp; VLOOKUP(D1835,[4]STRATEGIES!$E$1:$F$504,2,FALSE)</f>
        <v>5722-Opérationnalisation des instances de pilotage et de coordination</v>
      </c>
      <c r="AD1835" s="21" t="str">
        <f t="shared" si="266"/>
        <v>5722-Opérationnalisation des instances de pilotage et de coordination</v>
      </c>
    </row>
    <row r="1836" spans="1:30" s="22" customFormat="1" ht="45" hidden="1" customHeight="1" x14ac:dyDescent="0.8">
      <c r="A1836" s="14">
        <v>5</v>
      </c>
      <c r="B1836" s="15">
        <v>57</v>
      </c>
      <c r="C1836" s="15">
        <v>572</v>
      </c>
      <c r="D1836" s="15">
        <v>5722</v>
      </c>
      <c r="E1836" s="15">
        <v>57221</v>
      </c>
      <c r="F1836" s="16" t="s">
        <v>2280</v>
      </c>
      <c r="G1836" s="21" t="s">
        <v>321</v>
      </c>
      <c r="H1836" s="17" t="s">
        <v>55</v>
      </c>
      <c r="I1836" s="33">
        <v>0</v>
      </c>
      <c r="J1836" s="33">
        <v>1</v>
      </c>
      <c r="K1836" s="33"/>
      <c r="L1836" s="33"/>
      <c r="M1836" s="33">
        <f t="shared" si="273"/>
        <v>1</v>
      </c>
      <c r="N1836" s="33">
        <f>IF(OR(H1836="",H1836="sif",H1836="PM"),0,VLOOKUP(H1836,[5]CU!$C$4:$H$255,6,FALSE))</f>
        <v>0</v>
      </c>
      <c r="O1836" s="33"/>
      <c r="P1836" s="33"/>
      <c r="Q1836" s="33"/>
      <c r="R1836" s="33"/>
      <c r="S1836" s="33"/>
      <c r="T1836" s="35" t="s">
        <v>56</v>
      </c>
      <c r="U1836" s="18" t="s">
        <v>1873</v>
      </c>
      <c r="V1836" s="18" t="str">
        <f>IF(OR($H1836="",$H1836="sif",$H1836="PM"),"",VLOOKUP($H1836,[5]CU!$C$5:$J$255,8,FALSE))</f>
        <v/>
      </c>
      <c r="W1836" s="18" t="s">
        <v>255</v>
      </c>
      <c r="X1836" s="18" t="s">
        <v>255</v>
      </c>
      <c r="Y1836" s="18" t="s">
        <v>677</v>
      </c>
      <c r="Z1836" s="18" t="str">
        <f>A1836 &amp; "-" &amp; VLOOKUP(A1836,[4]PROGRAMMES!$E$1:$F$7,2,FALSE)</f>
        <v>5-Gouvernance et pilotage du secteur</v>
      </c>
      <c r="AA1836" s="19" t="str">
        <f>B1836 &amp; "-" &amp; VLOOKUP(B1836,[4]SOUSPROGRAMMES!$E$1:$F$44,2,FALSE)</f>
        <v>57- Coordination sectorielle</v>
      </c>
      <c r="AB1836" s="19" t="str">
        <f>C1836 &amp; "-" &amp; VLOOKUP(C1836,[4]RESULTATS!$E$1:$F$176,2,FALSE)</f>
        <v>572- Des organes de pilotage et de coordination du ProDEG sont mis en place et sont fonctionnels</v>
      </c>
      <c r="AC1836" s="20" t="str">
        <f>D1836 &amp; "-" &amp; VLOOKUP(D1836,[4]STRATEGIES!$E$1:$F$504,2,FALSE)</f>
        <v>5722-Opérationnalisation des instances de pilotage et de coordination</v>
      </c>
      <c r="AD1836" s="21" t="str">
        <f t="shared" si="266"/>
        <v>57221-Affectation du personnel en fonction des profils nécessaires (10 en provenance des 3 ministères)</v>
      </c>
    </row>
    <row r="1837" spans="1:30" s="22" customFormat="1" ht="45" hidden="1" customHeight="1" x14ac:dyDescent="0.8">
      <c r="A1837" s="14">
        <v>5</v>
      </c>
      <c r="B1837" s="15">
        <v>57</v>
      </c>
      <c r="C1837" s="15">
        <v>572</v>
      </c>
      <c r="D1837" s="15">
        <v>5722</v>
      </c>
      <c r="E1837" s="15">
        <v>57222</v>
      </c>
      <c r="F1837" s="16" t="s">
        <v>2281</v>
      </c>
      <c r="G1837" s="21" t="s">
        <v>2282</v>
      </c>
      <c r="H1837" s="17" t="s">
        <v>2283</v>
      </c>
      <c r="I1837" s="33">
        <v>0</v>
      </c>
      <c r="J1837" s="33">
        <v>10</v>
      </c>
      <c r="K1837" s="33"/>
      <c r="L1837" s="33"/>
      <c r="M1837" s="33">
        <f t="shared" si="273"/>
        <v>10</v>
      </c>
      <c r="N1837" s="33">
        <f>IF(OR(H1837="",H1837="sif",H1837="PM"),0,VLOOKUP(H1837,[5]CU!$C$4:$H$255,6,FALSE))</f>
        <v>9.5</v>
      </c>
      <c r="O1837" s="33">
        <f t="shared" ref="O1837:R1847" si="274">$N1837*I1837</f>
        <v>0</v>
      </c>
      <c r="P1837" s="33">
        <f t="shared" si="274"/>
        <v>95</v>
      </c>
      <c r="Q1837" s="33">
        <f t="shared" si="274"/>
        <v>0</v>
      </c>
      <c r="R1837" s="33">
        <f t="shared" si="274"/>
        <v>0</v>
      </c>
      <c r="S1837" s="33">
        <f t="shared" ref="S1837:S1847" si="275">SUM(O1837:R1837)</f>
        <v>95</v>
      </c>
      <c r="T1837" s="35" t="s">
        <v>118</v>
      </c>
      <c r="U1837" s="18" t="s">
        <v>1873</v>
      </c>
      <c r="V1837" s="18" t="str">
        <f>IF(OR($H1837="",$H1837="sif",$H1837="PM"),"",VLOOKUP($H1837,[5]CU!$C$5:$J$255,8,FALSE))</f>
        <v>5. Investissement</v>
      </c>
      <c r="W1837" s="18" t="s">
        <v>255</v>
      </c>
      <c r="X1837" s="18" t="s">
        <v>255</v>
      </c>
      <c r="Y1837" s="18" t="s">
        <v>677</v>
      </c>
      <c r="Z1837" s="18" t="str">
        <f>A1837 &amp; "-" &amp; VLOOKUP(A1837,[4]PROGRAMMES!$E$1:$F$7,2,FALSE)</f>
        <v>5-Gouvernance et pilotage du secteur</v>
      </c>
      <c r="AA1837" s="19" t="str">
        <f>B1837 &amp; "-" &amp; VLOOKUP(B1837,[4]SOUSPROGRAMMES!$E$1:$F$44,2,FALSE)</f>
        <v>57- Coordination sectorielle</v>
      </c>
      <c r="AB1837" s="19" t="str">
        <f>C1837 &amp; "-" &amp; VLOOKUP(C1837,[4]RESULTATS!$E$1:$F$176,2,FALSE)</f>
        <v>572- Des organes de pilotage et de coordination du ProDEG sont mis en place et sont fonctionnels</v>
      </c>
      <c r="AC1837" s="20" t="str">
        <f>D1837 &amp; "-" &amp; VLOOKUP(D1837,[4]STRATEGIES!$E$1:$F$504,2,FALSE)</f>
        <v>5722-Opérationnalisation des instances de pilotage et de coordination</v>
      </c>
      <c r="AD1837" s="21" t="str">
        <f t="shared" si="266"/>
        <v>57222-Acquisition de mobilier de bureau</v>
      </c>
    </row>
    <row r="1838" spans="1:30" s="22" customFormat="1" ht="45" hidden="1" customHeight="1" x14ac:dyDescent="0.8">
      <c r="A1838" s="14">
        <v>5</v>
      </c>
      <c r="B1838" s="15">
        <v>57</v>
      </c>
      <c r="C1838" s="15">
        <v>572</v>
      </c>
      <c r="D1838" s="15">
        <v>5722</v>
      </c>
      <c r="E1838" s="15">
        <v>57223</v>
      </c>
      <c r="F1838" s="16" t="s">
        <v>2284</v>
      </c>
      <c r="G1838" s="21" t="s">
        <v>2285</v>
      </c>
      <c r="H1838" s="17" t="s">
        <v>2286</v>
      </c>
      <c r="I1838" s="33">
        <v>0</v>
      </c>
      <c r="J1838" s="33">
        <v>2</v>
      </c>
      <c r="K1838" s="33"/>
      <c r="L1838" s="33"/>
      <c r="M1838" s="33">
        <f t="shared" si="273"/>
        <v>2</v>
      </c>
      <c r="N1838" s="33">
        <f>IF(OR(H1838="",H1838="sif",H1838="PM"),0,VLOOKUP(H1838,[5]CU!$C$4:$H$255,6,FALSE))</f>
        <v>104.5</v>
      </c>
      <c r="O1838" s="33">
        <f t="shared" si="274"/>
        <v>0</v>
      </c>
      <c r="P1838" s="33">
        <f t="shared" si="274"/>
        <v>209</v>
      </c>
      <c r="Q1838" s="33">
        <f t="shared" si="274"/>
        <v>0</v>
      </c>
      <c r="R1838" s="33">
        <f t="shared" si="274"/>
        <v>0</v>
      </c>
      <c r="S1838" s="33">
        <f t="shared" si="275"/>
        <v>209</v>
      </c>
      <c r="T1838" s="35" t="s">
        <v>118</v>
      </c>
      <c r="U1838" s="18" t="s">
        <v>1873</v>
      </c>
      <c r="V1838" s="18" t="str">
        <f>IF(OR($H1838="",$H1838="sif",$H1838="PM"),"",VLOOKUP($H1838,[5]CU!$C$5:$J$255,8,FALSE))</f>
        <v>5. Investissement</v>
      </c>
      <c r="W1838" s="18" t="s">
        <v>255</v>
      </c>
      <c r="X1838" s="18" t="s">
        <v>255</v>
      </c>
      <c r="Y1838" s="18" t="s">
        <v>677</v>
      </c>
      <c r="Z1838" s="18" t="str">
        <f>A1838 &amp; "-" &amp; VLOOKUP(A1838,[4]PROGRAMMES!$E$1:$F$7,2,FALSE)</f>
        <v>5-Gouvernance et pilotage du secteur</v>
      </c>
      <c r="AA1838" s="19" t="str">
        <f>B1838 &amp; "-" &amp; VLOOKUP(B1838,[4]SOUSPROGRAMMES!$E$1:$F$44,2,FALSE)</f>
        <v>57- Coordination sectorielle</v>
      </c>
      <c r="AB1838" s="19" t="str">
        <f>C1838 &amp; "-" &amp; VLOOKUP(C1838,[4]RESULTATS!$E$1:$F$176,2,FALSE)</f>
        <v>572- Des organes de pilotage et de coordination du ProDEG sont mis en place et sont fonctionnels</v>
      </c>
      <c r="AC1838" s="20" t="str">
        <f>D1838 &amp; "-" &amp; VLOOKUP(D1838,[4]STRATEGIES!$E$1:$F$504,2,FALSE)</f>
        <v>5722-Opérationnalisation des instances de pilotage et de coordination</v>
      </c>
      <c r="AD1838" s="21" t="str">
        <f t="shared" si="266"/>
        <v>57223-Acquisition de mobilier pour la salle de réunion</v>
      </c>
    </row>
    <row r="1839" spans="1:30" s="22" customFormat="1" ht="45" hidden="1" customHeight="1" x14ac:dyDescent="0.8">
      <c r="A1839" s="14">
        <v>5</v>
      </c>
      <c r="B1839" s="15">
        <v>57</v>
      </c>
      <c r="C1839" s="15">
        <v>572</v>
      </c>
      <c r="D1839" s="15">
        <v>5722</v>
      </c>
      <c r="E1839" s="15">
        <v>57224</v>
      </c>
      <c r="F1839" s="16" t="s">
        <v>2287</v>
      </c>
      <c r="G1839" s="21" t="s">
        <v>970</v>
      </c>
      <c r="H1839" s="17" t="s">
        <v>1620</v>
      </c>
      <c r="I1839" s="33">
        <v>0</v>
      </c>
      <c r="J1839" s="33">
        <v>10</v>
      </c>
      <c r="K1839" s="33"/>
      <c r="L1839" s="33"/>
      <c r="M1839" s="33">
        <f t="shared" si="273"/>
        <v>10</v>
      </c>
      <c r="N1839" s="33">
        <f>IF(OR(H1839="",H1839="sif",H1839="PM"),0,VLOOKUP(H1839,[5]CU!$C$4:$H$255,6,FALSE))</f>
        <v>10.034934666666667</v>
      </c>
      <c r="O1839" s="33">
        <f t="shared" si="274"/>
        <v>0</v>
      </c>
      <c r="P1839" s="33">
        <f t="shared" si="274"/>
        <v>100.34934666666666</v>
      </c>
      <c r="Q1839" s="33">
        <f t="shared" si="274"/>
        <v>0</v>
      </c>
      <c r="R1839" s="33">
        <f t="shared" si="274"/>
        <v>0</v>
      </c>
      <c r="S1839" s="33">
        <f t="shared" si="275"/>
        <v>100.34934666666666</v>
      </c>
      <c r="T1839" s="35" t="s">
        <v>118</v>
      </c>
      <c r="U1839" s="18" t="s">
        <v>1873</v>
      </c>
      <c r="V1839" s="18" t="str">
        <f>IF(OR($H1839="",$H1839="sif",$H1839="PM"),"",VLOOKUP($H1839,[5]CU!$C$5:$J$255,8,FALSE))</f>
        <v>5. Investissement</v>
      </c>
      <c r="W1839" s="18" t="s">
        <v>255</v>
      </c>
      <c r="X1839" s="18" t="s">
        <v>255</v>
      </c>
      <c r="Y1839" s="18" t="s">
        <v>677</v>
      </c>
      <c r="Z1839" s="18" t="str">
        <f>A1839 &amp; "-" &amp; VLOOKUP(A1839,[4]PROGRAMMES!$E$1:$F$7,2,FALSE)</f>
        <v>5-Gouvernance et pilotage du secteur</v>
      </c>
      <c r="AA1839" s="19" t="str">
        <f>B1839 &amp; "-" &amp; VLOOKUP(B1839,[4]SOUSPROGRAMMES!$E$1:$F$44,2,FALSE)</f>
        <v>57- Coordination sectorielle</v>
      </c>
      <c r="AB1839" s="19" t="str">
        <f>C1839 &amp; "-" &amp; VLOOKUP(C1839,[4]RESULTATS!$E$1:$F$176,2,FALSE)</f>
        <v>572- Des organes de pilotage et de coordination du ProDEG sont mis en place et sont fonctionnels</v>
      </c>
      <c r="AC1839" s="20" t="str">
        <f>D1839 &amp; "-" &amp; VLOOKUP(D1839,[4]STRATEGIES!$E$1:$F$504,2,FALSE)</f>
        <v>5722-Opérationnalisation des instances de pilotage et de coordination</v>
      </c>
      <c r="AD1839" s="21" t="str">
        <f t="shared" si="266"/>
        <v>57224-Acquisition d'équipement informatique</v>
      </c>
    </row>
    <row r="1840" spans="1:30" s="22" customFormat="1" ht="45" hidden="1" customHeight="1" x14ac:dyDescent="0.8">
      <c r="A1840" s="14">
        <v>5</v>
      </c>
      <c r="B1840" s="15">
        <v>57</v>
      </c>
      <c r="C1840" s="15">
        <v>572</v>
      </c>
      <c r="D1840" s="15">
        <v>5722</v>
      </c>
      <c r="E1840" s="15">
        <v>57225</v>
      </c>
      <c r="F1840" s="16" t="s">
        <v>2288</v>
      </c>
      <c r="G1840" s="21" t="s">
        <v>972</v>
      </c>
      <c r="H1840" s="17" t="s">
        <v>974</v>
      </c>
      <c r="I1840" s="33">
        <v>0</v>
      </c>
      <c r="J1840" s="33">
        <v>8</v>
      </c>
      <c r="K1840" s="33"/>
      <c r="L1840" s="33"/>
      <c r="M1840" s="33">
        <f t="shared" si="273"/>
        <v>8</v>
      </c>
      <c r="N1840" s="33">
        <f>IF(OR(H1840="",H1840="sif",H1840="PM"),0,VLOOKUP(H1840,[5]CU!$C$4:$H$255,6,FALSE))</f>
        <v>6.333333333333333</v>
      </c>
      <c r="O1840" s="33">
        <f t="shared" si="274"/>
        <v>0</v>
      </c>
      <c r="P1840" s="33">
        <f t="shared" si="274"/>
        <v>50.666666666666664</v>
      </c>
      <c r="Q1840" s="33">
        <f t="shared" si="274"/>
        <v>0</v>
      </c>
      <c r="R1840" s="33">
        <f t="shared" si="274"/>
        <v>0</v>
      </c>
      <c r="S1840" s="33">
        <f t="shared" si="275"/>
        <v>50.666666666666664</v>
      </c>
      <c r="T1840" s="35" t="s">
        <v>118</v>
      </c>
      <c r="U1840" s="18" t="s">
        <v>1873</v>
      </c>
      <c r="V1840" s="18" t="str">
        <f>IF(OR($H1840="",$H1840="sif",$H1840="PM"),"",VLOOKUP($H1840,[5]CU!$C$5:$J$255,8,FALSE))</f>
        <v>5. Investissement</v>
      </c>
      <c r="W1840" s="18" t="s">
        <v>255</v>
      </c>
      <c r="X1840" s="18" t="s">
        <v>255</v>
      </c>
      <c r="Y1840" s="18" t="s">
        <v>677</v>
      </c>
      <c r="Z1840" s="18" t="str">
        <f>A1840 &amp; "-" &amp; VLOOKUP(A1840,[4]PROGRAMMES!$E$1:$F$7,2,FALSE)</f>
        <v>5-Gouvernance et pilotage du secteur</v>
      </c>
      <c r="AA1840" s="19" t="str">
        <f>B1840 &amp; "-" &amp; VLOOKUP(B1840,[4]SOUSPROGRAMMES!$E$1:$F$44,2,FALSE)</f>
        <v>57- Coordination sectorielle</v>
      </c>
      <c r="AB1840" s="19" t="str">
        <f>C1840 &amp; "-" &amp; VLOOKUP(C1840,[4]RESULTATS!$E$1:$F$176,2,FALSE)</f>
        <v>572- Des organes de pilotage et de coordination du ProDEG sont mis en place et sont fonctionnels</v>
      </c>
      <c r="AC1840" s="20" t="str">
        <f>D1840 &amp; "-" &amp; VLOOKUP(D1840,[4]STRATEGIES!$E$1:$F$504,2,FALSE)</f>
        <v>5722-Opérationnalisation des instances de pilotage et de coordination</v>
      </c>
      <c r="AD1840" s="21" t="str">
        <f t="shared" si="266"/>
        <v>57225-Acquisition d'ordinateur portable</v>
      </c>
    </row>
    <row r="1841" spans="1:30" s="22" customFormat="1" ht="45" hidden="1" customHeight="1" x14ac:dyDescent="0.8">
      <c r="A1841" s="14">
        <v>5</v>
      </c>
      <c r="B1841" s="15">
        <v>57</v>
      </c>
      <c r="C1841" s="15">
        <v>572</v>
      </c>
      <c r="D1841" s="15">
        <v>5722</v>
      </c>
      <c r="E1841" s="15">
        <v>57226</v>
      </c>
      <c r="F1841" s="16" t="s">
        <v>2289</v>
      </c>
      <c r="G1841" s="21" t="s">
        <v>2290</v>
      </c>
      <c r="H1841" s="17" t="s">
        <v>980</v>
      </c>
      <c r="I1841" s="33">
        <v>0</v>
      </c>
      <c r="J1841" s="33">
        <v>4</v>
      </c>
      <c r="K1841" s="33"/>
      <c r="L1841" s="33"/>
      <c r="M1841" s="33">
        <f t="shared" si="273"/>
        <v>4</v>
      </c>
      <c r="N1841" s="33">
        <f>IF(OR(H1841="",H1841="sif",H1841="PM"),0,VLOOKUP(H1841,[5]CU!$C$4:$H$255,6,FALSE))</f>
        <v>300</v>
      </c>
      <c r="O1841" s="33">
        <f t="shared" si="274"/>
        <v>0</v>
      </c>
      <c r="P1841" s="33">
        <f t="shared" si="274"/>
        <v>1200</v>
      </c>
      <c r="Q1841" s="33">
        <f t="shared" si="274"/>
        <v>0</v>
      </c>
      <c r="R1841" s="33">
        <f t="shared" si="274"/>
        <v>0</v>
      </c>
      <c r="S1841" s="33">
        <f t="shared" si="275"/>
        <v>1200</v>
      </c>
      <c r="T1841" s="35" t="s">
        <v>118</v>
      </c>
      <c r="U1841" s="18" t="s">
        <v>1873</v>
      </c>
      <c r="V1841" s="18" t="str">
        <f>IF(OR($H1841="",$H1841="sif",$H1841="PM"),"",VLOOKUP($H1841,[5]CU!$C$5:$J$255,8,FALSE))</f>
        <v>5. Investissement</v>
      </c>
      <c r="W1841" s="18" t="s">
        <v>255</v>
      </c>
      <c r="X1841" s="18" t="s">
        <v>255</v>
      </c>
      <c r="Y1841" s="18" t="s">
        <v>677</v>
      </c>
      <c r="Z1841" s="18" t="str">
        <f>A1841 &amp; "-" &amp; VLOOKUP(A1841,[4]PROGRAMMES!$E$1:$F$7,2,FALSE)</f>
        <v>5-Gouvernance et pilotage du secteur</v>
      </c>
      <c r="AA1841" s="19" t="str">
        <f>B1841 &amp; "-" &amp; VLOOKUP(B1841,[4]SOUSPROGRAMMES!$E$1:$F$44,2,FALSE)</f>
        <v>57- Coordination sectorielle</v>
      </c>
      <c r="AB1841" s="19" t="str">
        <f>C1841 &amp; "-" &amp; VLOOKUP(C1841,[4]RESULTATS!$E$1:$F$176,2,FALSE)</f>
        <v>572- Des organes de pilotage et de coordination du ProDEG sont mis en place et sont fonctionnels</v>
      </c>
      <c r="AC1841" s="20" t="str">
        <f>D1841 &amp; "-" &amp; VLOOKUP(D1841,[4]STRATEGIES!$E$1:$F$504,2,FALSE)</f>
        <v>5722-Opérationnalisation des instances de pilotage et de coordination</v>
      </c>
      <c r="AD1841" s="21" t="str">
        <f t="shared" si="266"/>
        <v>57226-Acquisition de moyens de transports pour les activités de coordination et de suivi</v>
      </c>
    </row>
    <row r="1842" spans="1:30" s="22" customFormat="1" ht="45" hidden="1" customHeight="1" x14ac:dyDescent="0.8">
      <c r="A1842" s="14">
        <v>5</v>
      </c>
      <c r="B1842" s="15">
        <v>57</v>
      </c>
      <c r="C1842" s="15">
        <v>572</v>
      </c>
      <c r="D1842" s="15">
        <v>5722</v>
      </c>
      <c r="E1842" s="15">
        <v>57227</v>
      </c>
      <c r="F1842" s="16" t="s">
        <v>2291</v>
      </c>
      <c r="G1842" s="21" t="s">
        <v>2292</v>
      </c>
      <c r="H1842" s="17" t="s">
        <v>2293</v>
      </c>
      <c r="I1842" s="33">
        <v>0</v>
      </c>
      <c r="J1842" s="33"/>
      <c r="K1842" s="33"/>
      <c r="L1842" s="33"/>
      <c r="M1842" s="33">
        <f>SUM(I1842:L1842)</f>
        <v>0</v>
      </c>
      <c r="N1842" s="33">
        <f>IF(OR(H1842="",H1842="sif",H1842="PM"),0,VLOOKUP(H1842,[5]CU!$C$4:$H$255,6,FALSE))</f>
        <v>1311</v>
      </c>
      <c r="O1842" s="33">
        <f>$N1842*I1842</f>
        <v>0</v>
      </c>
      <c r="P1842" s="33">
        <f>$N1842*J1842</f>
        <v>0</v>
      </c>
      <c r="Q1842" s="33">
        <f>$N1842*K1842</f>
        <v>0</v>
      </c>
      <c r="R1842" s="33">
        <f>$N1842*L1842</f>
        <v>0</v>
      </c>
      <c r="S1842" s="33">
        <f>SUM(O1842:R1842)</f>
        <v>0</v>
      </c>
      <c r="T1842" s="35" t="s">
        <v>178</v>
      </c>
      <c r="U1842" s="18" t="s">
        <v>1873</v>
      </c>
      <c r="V1842" s="18" t="str">
        <f>IF(OR($H1842="",$H1842="sif",$H1842="PM"),"",VLOOKUP($H1842,[5]CU!$C$5:$J$255,8,FALSE))</f>
        <v>3. Dépenses de fonctionnement</v>
      </c>
      <c r="W1842" s="18" t="s">
        <v>255</v>
      </c>
      <c r="X1842" s="18" t="s">
        <v>255</v>
      </c>
      <c r="Y1842" s="18" t="s">
        <v>677</v>
      </c>
      <c r="Z1842" s="18" t="str">
        <f>A1842 &amp; "-" &amp; VLOOKUP(A1842,[4]PROGRAMMES!$E$1:$F$7,2,FALSE)</f>
        <v>5-Gouvernance et pilotage du secteur</v>
      </c>
      <c r="AA1842" s="19" t="str">
        <f>B1842 &amp; "-" &amp; VLOOKUP(B1842,[4]SOUSPROGRAMMES!$E$1:$F$44,2,FALSE)</f>
        <v>57- Coordination sectorielle</v>
      </c>
      <c r="AB1842" s="19" t="str">
        <f>C1842 &amp; "-" &amp; VLOOKUP(C1842,[4]RESULTATS!$E$1:$F$176,2,FALSE)</f>
        <v>572- Des organes de pilotage et de coordination du ProDEG sont mis en place et sont fonctionnels</v>
      </c>
      <c r="AC1842" s="20" t="str">
        <f>D1842 &amp; "-" &amp; VLOOKUP(D1842,[4]STRATEGIES!$E$1:$F$504,2,FALSE)</f>
        <v>5722-Opérationnalisation des instances de pilotage et de coordination</v>
      </c>
      <c r="AD1842" s="21" t="str">
        <f t="shared" si="266"/>
        <v>57227-Allocations budgétaires pour le fonctionnement de la coordination sectorielle du  PSE en 2019</v>
      </c>
    </row>
    <row r="1843" spans="1:30" ht="45" hidden="1" customHeight="1" x14ac:dyDescent="0.8">
      <c r="A1843" s="25">
        <v>5</v>
      </c>
      <c r="B1843" s="16">
        <v>57</v>
      </c>
      <c r="C1843" s="16">
        <v>572</v>
      </c>
      <c r="D1843" s="16">
        <v>5722</v>
      </c>
      <c r="E1843" s="16">
        <v>57228</v>
      </c>
      <c r="F1843" s="16" t="s">
        <v>2294</v>
      </c>
      <c r="G1843" s="21" t="s">
        <v>2292</v>
      </c>
      <c r="H1843" s="21" t="s">
        <v>2293</v>
      </c>
      <c r="I1843" s="36">
        <v>0</v>
      </c>
      <c r="J1843" s="36">
        <v>1</v>
      </c>
      <c r="K1843" s="36">
        <v>1</v>
      </c>
      <c r="L1843" s="36">
        <v>1</v>
      </c>
      <c r="M1843" s="36">
        <f t="shared" si="273"/>
        <v>3</v>
      </c>
      <c r="N1843" s="36">
        <f>IF(OR(H1843="",H1843="sif",H1843="PM"),0,VLOOKUP(H1843,[5]CU!$C$4:$H$255,6,FALSE))</f>
        <v>1311</v>
      </c>
      <c r="O1843" s="36">
        <f t="shared" si="274"/>
        <v>0</v>
      </c>
      <c r="P1843" s="36">
        <f t="shared" si="274"/>
        <v>1311</v>
      </c>
      <c r="Q1843" s="36">
        <f t="shared" si="274"/>
        <v>1311</v>
      </c>
      <c r="R1843" s="36">
        <f t="shared" si="274"/>
        <v>1311</v>
      </c>
      <c r="S1843" s="36">
        <f t="shared" si="275"/>
        <v>3933</v>
      </c>
      <c r="T1843" s="38" t="s">
        <v>169</v>
      </c>
      <c r="U1843" s="19" t="s">
        <v>1873</v>
      </c>
      <c r="V1843" s="19" t="str">
        <f>IF(OR($H1843="",$H1843="sif",$H1843="PM"),"",VLOOKUP($H1843,[5]CU!$C$5:$J$255,8,FALSE))</f>
        <v>3. Dépenses de fonctionnement</v>
      </c>
      <c r="W1843" s="19" t="s">
        <v>1939</v>
      </c>
      <c r="X1843" s="19" t="s">
        <v>1939</v>
      </c>
      <c r="Y1843" s="19" t="s">
        <v>2066</v>
      </c>
      <c r="Z1843" s="19" t="str">
        <f>A1843 &amp; "-" &amp; VLOOKUP(A1843,[4]PROGRAMMES!$E$1:$F$7,2,FALSE)</f>
        <v>5-Gouvernance et pilotage du secteur</v>
      </c>
      <c r="AA1843" s="19" t="str">
        <f>B1843 &amp; "-" &amp; VLOOKUP(B1843,[4]SOUSPROGRAMMES!$E$1:$F$44,2,FALSE)</f>
        <v>57- Coordination sectorielle</v>
      </c>
      <c r="AB1843" s="19" t="str">
        <f>C1843 &amp; "-" &amp; VLOOKUP(C1843,[4]RESULTATS!$E$1:$F$176,2,FALSE)</f>
        <v>572- Des organes de pilotage et de coordination du ProDEG sont mis en place et sont fonctionnels</v>
      </c>
      <c r="AC1843" s="20" t="str">
        <f>D1843 &amp; "-" &amp; VLOOKUP(D1843,[4]STRATEGIES!$E$1:$F$504,2,FALSE)</f>
        <v>5722-Opérationnalisation des instances de pilotage et de coordination</v>
      </c>
      <c r="AD1843" s="21" t="str">
        <f t="shared" si="266"/>
        <v>57228-Allocations budgétaires pour le fonctionnement du ST/ProDEG</v>
      </c>
    </row>
    <row r="1844" spans="1:30" s="22" customFormat="1" ht="45" hidden="1" customHeight="1" x14ac:dyDescent="0.8">
      <c r="A1844" s="14">
        <v>5</v>
      </c>
      <c r="B1844" s="15">
        <v>57</v>
      </c>
      <c r="C1844" s="15">
        <v>572</v>
      </c>
      <c r="D1844" s="15">
        <v>5722</v>
      </c>
      <c r="E1844" s="15">
        <v>57229</v>
      </c>
      <c r="F1844" s="16" t="s">
        <v>2295</v>
      </c>
      <c r="G1844" s="21" t="s">
        <v>2296</v>
      </c>
      <c r="H1844" s="17" t="s">
        <v>2297</v>
      </c>
      <c r="I1844" s="33">
        <v>0</v>
      </c>
      <c r="J1844" s="33"/>
      <c r="K1844" s="33"/>
      <c r="L1844" s="33"/>
      <c r="M1844" s="33">
        <f>SUM(I1844:L1844)</f>
        <v>0</v>
      </c>
      <c r="N1844" s="33">
        <f>IF(OR(H1844="",H1844="sif",H1844="PM"),0,VLOOKUP(H1844,[5]CU!$C$4:$H$255,6,FALSE))</f>
        <v>215</v>
      </c>
      <c r="O1844" s="33">
        <f>$N1844*I1844</f>
        <v>0</v>
      </c>
      <c r="P1844" s="33">
        <f>$N1844*J1844</f>
        <v>0</v>
      </c>
      <c r="Q1844" s="33">
        <f>$N1844*K1844</f>
        <v>0</v>
      </c>
      <c r="R1844" s="33">
        <f>$N1844*L1844</f>
        <v>0</v>
      </c>
      <c r="S1844" s="33">
        <f>SUM(O1844:R1844)</f>
        <v>0</v>
      </c>
      <c r="T1844" s="35" t="s">
        <v>178</v>
      </c>
      <c r="U1844" s="18" t="s">
        <v>1873</v>
      </c>
      <c r="V1844" s="18" t="str">
        <f>IF(OR($H1844="",$H1844="sif",$H1844="PM"),"",VLOOKUP($H1844,[5]CU!$C$5:$J$255,8,FALSE))</f>
        <v>3. Dépenses de fonctionnement</v>
      </c>
      <c r="W1844" s="18" t="s">
        <v>255</v>
      </c>
      <c r="X1844" s="18" t="s">
        <v>255</v>
      </c>
      <c r="Y1844" s="18" t="s">
        <v>677</v>
      </c>
      <c r="Z1844" s="18" t="str">
        <f>A1844 &amp; "-" &amp; VLOOKUP(A1844,[4]PROGRAMMES!$E$1:$F$7,2,FALSE)</f>
        <v>5-Gouvernance et pilotage du secteur</v>
      </c>
      <c r="AA1844" s="19" t="str">
        <f>B1844 &amp; "-" &amp; VLOOKUP(B1844,[4]SOUSPROGRAMMES!$E$1:$F$44,2,FALSE)</f>
        <v>57- Coordination sectorielle</v>
      </c>
      <c r="AB1844" s="19" t="str">
        <f>C1844 &amp; "-" &amp; VLOOKUP(C1844,[4]RESULTATS!$E$1:$F$176,2,FALSE)</f>
        <v>572- Des organes de pilotage et de coordination du ProDEG sont mis en place et sont fonctionnels</v>
      </c>
      <c r="AC1844" s="20" t="str">
        <f>D1844 &amp; "-" &amp; VLOOKUP(D1844,[4]STRATEGIES!$E$1:$F$504,2,FALSE)</f>
        <v>5722-Opérationnalisation des instances de pilotage et de coordination</v>
      </c>
      <c r="AD1844" s="21" t="str">
        <f t="shared" si="266"/>
        <v>57229-Organisation des revues sectorielles</v>
      </c>
    </row>
    <row r="1845" spans="1:30" ht="45" hidden="1" customHeight="1" x14ac:dyDescent="0.8">
      <c r="A1845" s="25">
        <v>5</v>
      </c>
      <c r="B1845" s="16">
        <v>57</v>
      </c>
      <c r="C1845" s="16">
        <v>572</v>
      </c>
      <c r="D1845" s="16">
        <v>5722</v>
      </c>
      <c r="E1845" s="16">
        <v>57229</v>
      </c>
      <c r="F1845" s="16" t="s">
        <v>2295</v>
      </c>
      <c r="G1845" s="21" t="s">
        <v>2296</v>
      </c>
      <c r="H1845" s="21" t="s">
        <v>2297</v>
      </c>
      <c r="I1845" s="36">
        <v>0</v>
      </c>
      <c r="J1845" s="36">
        <v>1</v>
      </c>
      <c r="K1845" s="36">
        <v>1</v>
      </c>
      <c r="L1845" s="36">
        <v>1</v>
      </c>
      <c r="M1845" s="36">
        <f t="shared" si="273"/>
        <v>3</v>
      </c>
      <c r="N1845" s="36">
        <f>IF(OR(H1845="",H1845="sif",H1845="PM"),0,VLOOKUP(H1845,[5]CU!$C$4:$H$255,6,FALSE))</f>
        <v>215</v>
      </c>
      <c r="O1845" s="36">
        <f t="shared" si="274"/>
        <v>0</v>
      </c>
      <c r="P1845" s="36">
        <f t="shared" si="274"/>
        <v>215</v>
      </c>
      <c r="Q1845" s="36">
        <f t="shared" si="274"/>
        <v>215</v>
      </c>
      <c r="R1845" s="36">
        <f t="shared" si="274"/>
        <v>215</v>
      </c>
      <c r="S1845" s="36">
        <f t="shared" si="275"/>
        <v>645</v>
      </c>
      <c r="T1845" s="38" t="s">
        <v>169</v>
      </c>
      <c r="U1845" s="19" t="s">
        <v>1873</v>
      </c>
      <c r="V1845" s="19" t="str">
        <f>IF(OR($H1845="",$H1845="sif",$H1845="PM"),"",VLOOKUP($H1845,[5]CU!$C$5:$J$255,8,FALSE))</f>
        <v>3. Dépenses de fonctionnement</v>
      </c>
      <c r="W1845" s="19" t="s">
        <v>1939</v>
      </c>
      <c r="X1845" s="19" t="s">
        <v>1939</v>
      </c>
      <c r="Y1845" s="19" t="s">
        <v>2066</v>
      </c>
      <c r="Z1845" s="19" t="str">
        <f>A1845 &amp; "-" &amp; VLOOKUP(A1845,[4]PROGRAMMES!$E$1:$F$7,2,FALSE)</f>
        <v>5-Gouvernance et pilotage du secteur</v>
      </c>
      <c r="AA1845" s="19" t="str">
        <f>B1845 &amp; "-" &amp; VLOOKUP(B1845,[4]SOUSPROGRAMMES!$E$1:$F$44,2,FALSE)</f>
        <v>57- Coordination sectorielle</v>
      </c>
      <c r="AB1845" s="19" t="str">
        <f>C1845 &amp; "-" &amp; VLOOKUP(C1845,[4]RESULTATS!$E$1:$F$176,2,FALSE)</f>
        <v>572- Des organes de pilotage et de coordination du ProDEG sont mis en place et sont fonctionnels</v>
      </c>
      <c r="AC1845" s="20" t="str">
        <f>D1845 &amp; "-" &amp; VLOOKUP(D1845,[4]STRATEGIES!$E$1:$F$504,2,FALSE)</f>
        <v>5722-Opérationnalisation des instances de pilotage et de coordination</v>
      </c>
      <c r="AD1845" s="21" t="str">
        <f t="shared" si="266"/>
        <v>57229-Organisation des revues sectorielles</v>
      </c>
    </row>
    <row r="1846" spans="1:30" s="22" customFormat="1" ht="45" hidden="1" customHeight="1" x14ac:dyDescent="0.8">
      <c r="A1846" s="14">
        <v>5</v>
      </c>
      <c r="B1846" s="15">
        <v>57</v>
      </c>
      <c r="C1846" s="15">
        <v>572</v>
      </c>
      <c r="D1846" s="15">
        <v>5723</v>
      </c>
      <c r="E1846" s="15">
        <v>5723</v>
      </c>
      <c r="F1846" s="16" t="s">
        <v>2298</v>
      </c>
      <c r="G1846" s="17"/>
      <c r="H1846" s="17"/>
      <c r="I1846" s="33">
        <v>0</v>
      </c>
      <c r="J1846" s="33"/>
      <c r="K1846" s="33"/>
      <c r="L1846" s="33"/>
      <c r="M1846" s="33"/>
      <c r="N1846" s="33"/>
      <c r="O1846" s="33"/>
      <c r="P1846" s="33"/>
      <c r="Q1846" s="33"/>
      <c r="R1846" s="33"/>
      <c r="S1846" s="33"/>
      <c r="T1846" s="33"/>
      <c r="U1846" s="18"/>
      <c r="V1846" s="18"/>
      <c r="W1846" s="18"/>
      <c r="X1846" s="18"/>
      <c r="Y1846" s="18"/>
      <c r="Z1846" s="18" t="str">
        <f>A1846 &amp; "-" &amp; VLOOKUP(A1846,[4]PROGRAMMES!$E$1:$F$7,2,FALSE)</f>
        <v>5-Gouvernance et pilotage du secteur</v>
      </c>
      <c r="AA1846" s="19" t="str">
        <f>B1846 &amp; "-" &amp; VLOOKUP(B1846,[4]SOUSPROGRAMMES!$E$1:$F$44,2,FALSE)</f>
        <v>57- Coordination sectorielle</v>
      </c>
      <c r="AB1846" s="19" t="str">
        <f>C1846 &amp; "-" &amp; VLOOKUP(C1846,[4]RESULTATS!$E$1:$F$176,2,FALSE)</f>
        <v>572- Des organes de pilotage et de coordination du ProDEG sont mis en place et sont fonctionnels</v>
      </c>
      <c r="AC1846" s="20" t="str">
        <f>D1846 &amp; "-" &amp; VLOOKUP(D1846,[4]STRATEGIES!$E$1:$F$504,2,FALSE)</f>
        <v>5723-Préparation de la mise en œuvre du ProDEG et suivi évaluation</v>
      </c>
      <c r="AD1846" s="21" t="str">
        <f t="shared" si="266"/>
        <v>5723-Préparation de la mise en œuvre du ProDEG et suivi évaluation</v>
      </c>
    </row>
    <row r="1847" spans="1:30" s="22" customFormat="1" ht="45" hidden="1" customHeight="1" x14ac:dyDescent="0.8">
      <c r="A1847" s="14">
        <v>5</v>
      </c>
      <c r="B1847" s="15">
        <v>57</v>
      </c>
      <c r="C1847" s="15">
        <v>572</v>
      </c>
      <c r="D1847" s="15">
        <v>5723</v>
      </c>
      <c r="E1847" s="15">
        <v>57231</v>
      </c>
      <c r="F1847" s="16" t="s">
        <v>2299</v>
      </c>
      <c r="G1847" s="21" t="s">
        <v>298</v>
      </c>
      <c r="H1847" s="17" t="s">
        <v>66</v>
      </c>
      <c r="I1847" s="33">
        <v>0</v>
      </c>
      <c r="J1847" s="33">
        <f>25*6</f>
        <v>150</v>
      </c>
      <c r="K1847" s="33">
        <f t="shared" ref="K1847:L1847" si="276">25*6</f>
        <v>150</v>
      </c>
      <c r="L1847" s="33">
        <f t="shared" si="276"/>
        <v>150</v>
      </c>
      <c r="M1847" s="33">
        <f t="shared" si="273"/>
        <v>450</v>
      </c>
      <c r="N1847" s="33">
        <f>IF(OR(H1847="",H1847="sif",H1847="PM"),0,VLOOKUP(H1847,[5]CU!$C$4:$H$255,6,FALSE))</f>
        <v>0.255</v>
      </c>
      <c r="O1847" s="33">
        <f t="shared" si="274"/>
        <v>0</v>
      </c>
      <c r="P1847" s="33">
        <f t="shared" si="274"/>
        <v>38.25</v>
      </c>
      <c r="Q1847" s="33">
        <f t="shared" si="274"/>
        <v>38.25</v>
      </c>
      <c r="R1847" s="33">
        <f t="shared" si="274"/>
        <v>38.25</v>
      </c>
      <c r="S1847" s="33">
        <f t="shared" si="275"/>
        <v>114.75</v>
      </c>
      <c r="T1847" s="35" t="s">
        <v>169</v>
      </c>
      <c r="U1847" s="18" t="s">
        <v>1873</v>
      </c>
      <c r="V1847" s="18" t="str">
        <f>IF(OR($H1847="",$H1847="sif",$H1847="PM"),"",VLOOKUP($H1847,[5]CU!$C$5:$J$255,8,FALSE))</f>
        <v>3. Dépenses de fonctionnement</v>
      </c>
      <c r="W1847" s="19" t="s">
        <v>1939</v>
      </c>
      <c r="X1847" s="19" t="s">
        <v>1939</v>
      </c>
      <c r="Y1847" s="19" t="s">
        <v>2066</v>
      </c>
      <c r="Z1847" s="18" t="str">
        <f>A1847 &amp; "-" &amp; VLOOKUP(A1847,[4]PROGRAMMES!$E$1:$F$7,2,FALSE)</f>
        <v>5-Gouvernance et pilotage du secteur</v>
      </c>
      <c r="AA1847" s="19" t="str">
        <f>B1847 &amp; "-" &amp; VLOOKUP(B1847,[4]SOUSPROGRAMMES!$E$1:$F$44,2,FALSE)</f>
        <v>57- Coordination sectorielle</v>
      </c>
      <c r="AB1847" s="19" t="str">
        <f>C1847 &amp; "-" &amp; VLOOKUP(C1847,[4]RESULTATS!$E$1:$F$176,2,FALSE)</f>
        <v>572- Des organes de pilotage et de coordination du ProDEG sont mis en place et sont fonctionnels</v>
      </c>
      <c r="AC1847" s="20" t="str">
        <f>D1847 &amp; "-" &amp; VLOOKUP(D1847,[4]STRATEGIES!$E$1:$F$504,2,FALSE)</f>
        <v>5723-Préparation de la mise en œuvre du ProDEG et suivi évaluation</v>
      </c>
      <c r="AD1847" s="21" t="str">
        <f t="shared" si="266"/>
        <v>57231-Elaboration des plans d'actions annuels du ProDEG</v>
      </c>
    </row>
    <row r="1848" spans="1:30" s="22" customFormat="1" ht="45" hidden="1" customHeight="1" x14ac:dyDescent="0.8">
      <c r="A1848" s="14">
        <v>5</v>
      </c>
      <c r="B1848" s="15">
        <v>57</v>
      </c>
      <c r="C1848" s="15">
        <v>572</v>
      </c>
      <c r="D1848" s="15">
        <v>5723</v>
      </c>
      <c r="E1848" s="15">
        <v>57232</v>
      </c>
      <c r="F1848" s="16" t="s">
        <v>2300</v>
      </c>
      <c r="G1848" s="21" t="s">
        <v>92</v>
      </c>
      <c r="H1848" s="17" t="s">
        <v>55</v>
      </c>
      <c r="I1848" s="33">
        <v>0</v>
      </c>
      <c r="J1848" s="33">
        <v>1</v>
      </c>
      <c r="K1848" s="33">
        <v>1</v>
      </c>
      <c r="L1848" s="33">
        <v>1</v>
      </c>
      <c r="M1848" s="33">
        <f t="shared" si="273"/>
        <v>3</v>
      </c>
      <c r="N1848" s="33">
        <f>IF(OR(H1848="",H1848="sif",H1848="PM"),0,VLOOKUP(H1848,[5]CU!$C$4:$H$255,6,FALSE))</f>
        <v>0</v>
      </c>
      <c r="O1848" s="33"/>
      <c r="P1848" s="33"/>
      <c r="Q1848" s="33"/>
      <c r="R1848" s="33"/>
      <c r="S1848" s="33"/>
      <c r="T1848" s="35" t="s">
        <v>56</v>
      </c>
      <c r="U1848" s="18" t="s">
        <v>1873</v>
      </c>
      <c r="V1848" s="18" t="str">
        <f>IF(OR($H1848="",$H1848="sif",$H1848="PM"),"",VLOOKUP($H1848,[5]CU!$C$5:$J$255,8,FALSE))</f>
        <v/>
      </c>
      <c r="W1848" s="18" t="s">
        <v>2301</v>
      </c>
      <c r="X1848" s="18" t="s">
        <v>2301</v>
      </c>
      <c r="Y1848" s="18" t="s">
        <v>677</v>
      </c>
      <c r="Z1848" s="18" t="str">
        <f>A1848 &amp; "-" &amp; VLOOKUP(A1848,[4]PROGRAMMES!$E$1:$F$7,2,FALSE)</f>
        <v>5-Gouvernance et pilotage du secteur</v>
      </c>
      <c r="AA1848" s="19" t="str">
        <f>B1848 &amp; "-" &amp; VLOOKUP(B1848,[4]SOUSPROGRAMMES!$E$1:$F$44,2,FALSE)</f>
        <v>57- Coordination sectorielle</v>
      </c>
      <c r="AB1848" s="19" t="str">
        <f>C1848 &amp; "-" &amp; VLOOKUP(C1848,[4]RESULTATS!$E$1:$F$176,2,FALSE)</f>
        <v>572- Des organes de pilotage et de coordination du ProDEG sont mis en place et sont fonctionnels</v>
      </c>
      <c r="AC1848" s="20" t="str">
        <f>D1848 &amp; "-" &amp; VLOOKUP(D1848,[4]STRATEGIES!$E$1:$F$504,2,FALSE)</f>
        <v>5723-Préparation de la mise en œuvre du ProDEG et suivi évaluation</v>
      </c>
      <c r="AD1848" s="21" t="str">
        <f t="shared" si="266"/>
        <v>57232-Validation des plans d'actions annuels du ProDEG par le GSE (pris en compte dans le budget ST/ProDEG)</v>
      </c>
    </row>
    <row r="1849" spans="1:30" s="22" customFormat="1" ht="45" hidden="1" customHeight="1" x14ac:dyDescent="0.8">
      <c r="A1849" s="14">
        <v>5</v>
      </c>
      <c r="B1849" s="15">
        <v>57</v>
      </c>
      <c r="C1849" s="15">
        <v>572</v>
      </c>
      <c r="D1849" s="15">
        <v>5723</v>
      </c>
      <c r="E1849" s="15">
        <v>57233</v>
      </c>
      <c r="F1849" s="16" t="s">
        <v>2302</v>
      </c>
      <c r="G1849" s="21" t="s">
        <v>92</v>
      </c>
      <c r="H1849" s="17" t="s">
        <v>55</v>
      </c>
      <c r="I1849" s="33">
        <v>0</v>
      </c>
      <c r="J1849" s="33">
        <v>1</v>
      </c>
      <c r="K1849" s="33">
        <v>1</v>
      </c>
      <c r="L1849" s="33">
        <v>1</v>
      </c>
      <c r="M1849" s="33">
        <f t="shared" si="273"/>
        <v>3</v>
      </c>
      <c r="N1849" s="33">
        <f>IF(OR(H1849="",H1849="sif",H1849="PM"),0,VLOOKUP(H1849,[5]CU!$C$4:$H$255,6,FALSE))</f>
        <v>0</v>
      </c>
      <c r="O1849" s="33"/>
      <c r="P1849" s="33"/>
      <c r="Q1849" s="33"/>
      <c r="R1849" s="33"/>
      <c r="S1849" s="33"/>
      <c r="T1849" s="35" t="s">
        <v>56</v>
      </c>
      <c r="U1849" s="18" t="s">
        <v>1873</v>
      </c>
      <c r="V1849" s="18" t="str">
        <f>IF(OR($H1849="",$H1849="sif",$H1849="PM"),"",VLOOKUP($H1849,[5]CU!$C$5:$J$255,8,FALSE))</f>
        <v/>
      </c>
      <c r="W1849" s="18" t="s">
        <v>2301</v>
      </c>
      <c r="X1849" s="18" t="s">
        <v>2301</v>
      </c>
      <c r="Y1849" s="18" t="s">
        <v>677</v>
      </c>
      <c r="Z1849" s="18" t="str">
        <f>A1849 &amp; "-" &amp; VLOOKUP(A1849,[4]PROGRAMMES!$E$1:$F$7,2,FALSE)</f>
        <v>5-Gouvernance et pilotage du secteur</v>
      </c>
      <c r="AA1849" s="19" t="str">
        <f>B1849 &amp; "-" &amp; VLOOKUP(B1849,[4]SOUSPROGRAMMES!$E$1:$F$44,2,FALSE)</f>
        <v>57- Coordination sectorielle</v>
      </c>
      <c r="AB1849" s="19" t="str">
        <f>C1849 &amp; "-" &amp; VLOOKUP(C1849,[4]RESULTATS!$E$1:$F$176,2,FALSE)</f>
        <v>572- Des organes de pilotage et de coordination du ProDEG sont mis en place et sont fonctionnels</v>
      </c>
      <c r="AC1849" s="20" t="str">
        <f>D1849 &amp; "-" &amp; VLOOKUP(D1849,[4]STRATEGIES!$E$1:$F$504,2,FALSE)</f>
        <v>5723-Préparation de la mise en œuvre du ProDEG et suivi évaluation</v>
      </c>
      <c r="AD1849" s="21" t="str">
        <f t="shared" si="266"/>
        <v>57233-Mise à la disposition de chaque structure de son plan d'action annuel (IRE, Cabinet, Directions centrales, universités, etc.)</v>
      </c>
    </row>
    <row r="1850" spans="1:30" s="22" customFormat="1" ht="45" hidden="1" customHeight="1" x14ac:dyDescent="0.8">
      <c r="A1850" s="14">
        <v>5</v>
      </c>
      <c r="B1850" s="15">
        <v>57</v>
      </c>
      <c r="C1850" s="15">
        <v>572</v>
      </c>
      <c r="D1850" s="15">
        <v>5723</v>
      </c>
      <c r="E1850" s="15">
        <v>57234</v>
      </c>
      <c r="F1850" s="16" t="s">
        <v>2303</v>
      </c>
      <c r="G1850" s="21" t="s">
        <v>92</v>
      </c>
      <c r="H1850" s="17" t="s">
        <v>55</v>
      </c>
      <c r="I1850" s="33">
        <v>0</v>
      </c>
      <c r="J1850" s="33">
        <v>1</v>
      </c>
      <c r="K1850" s="33">
        <v>1</v>
      </c>
      <c r="L1850" s="33">
        <v>1</v>
      </c>
      <c r="M1850" s="33">
        <f t="shared" si="273"/>
        <v>3</v>
      </c>
      <c r="N1850" s="33">
        <f>IF(OR(H1850="",H1850="sif",H1850="PM"),0,VLOOKUP(H1850,[5]CU!$C$4:$H$255,6,FALSE))</f>
        <v>0</v>
      </c>
      <c r="O1850" s="33"/>
      <c r="P1850" s="33"/>
      <c r="Q1850" s="33"/>
      <c r="R1850" s="33"/>
      <c r="S1850" s="33"/>
      <c r="T1850" s="35" t="s">
        <v>56</v>
      </c>
      <c r="U1850" s="18" t="s">
        <v>1873</v>
      </c>
      <c r="V1850" s="18" t="str">
        <f>IF(OR($H1850="",$H1850="sif",$H1850="PM"),"",VLOOKUP($H1850,[5]CU!$C$5:$J$255,8,FALSE))</f>
        <v/>
      </c>
      <c r="W1850" s="18" t="s">
        <v>2304</v>
      </c>
      <c r="X1850" s="18" t="s">
        <v>2304</v>
      </c>
      <c r="Y1850" s="18" t="s">
        <v>677</v>
      </c>
      <c r="Z1850" s="18" t="str">
        <f>A1850 &amp; "-" &amp; VLOOKUP(A1850,[4]PROGRAMMES!$E$1:$F$7,2,FALSE)</f>
        <v>5-Gouvernance et pilotage du secteur</v>
      </c>
      <c r="AA1850" s="19" t="str">
        <f>B1850 &amp; "-" &amp; VLOOKUP(B1850,[4]SOUSPROGRAMMES!$E$1:$F$44,2,FALSE)</f>
        <v>57- Coordination sectorielle</v>
      </c>
      <c r="AB1850" s="19" t="str">
        <f>C1850 &amp; "-" &amp; VLOOKUP(C1850,[4]RESULTATS!$E$1:$F$176,2,FALSE)</f>
        <v>572- Des organes de pilotage et de coordination du ProDEG sont mis en place et sont fonctionnels</v>
      </c>
      <c r="AC1850" s="20" t="str">
        <f>D1850 &amp; "-" &amp; VLOOKUP(D1850,[4]STRATEGIES!$E$1:$F$504,2,FALSE)</f>
        <v>5723-Préparation de la mise en œuvre du ProDEG et suivi évaluation</v>
      </c>
      <c r="AD1850" s="21" t="str">
        <f t="shared" si="266"/>
        <v>57234-Elaboration des rapports de suivi semestriel du ProDEG par structure (pris en compte dans leur budget)</v>
      </c>
    </row>
    <row r="1851" spans="1:30" s="22" customFormat="1" ht="45" hidden="1" customHeight="1" x14ac:dyDescent="0.8">
      <c r="A1851" s="14">
        <v>5</v>
      </c>
      <c r="B1851" s="15">
        <v>57</v>
      </c>
      <c r="C1851" s="15">
        <v>572</v>
      </c>
      <c r="D1851" s="15">
        <v>5723</v>
      </c>
      <c r="E1851" s="15">
        <v>57235</v>
      </c>
      <c r="F1851" s="16" t="s">
        <v>2305</v>
      </c>
      <c r="G1851" s="21" t="s">
        <v>92</v>
      </c>
      <c r="H1851" s="17" t="s">
        <v>55</v>
      </c>
      <c r="I1851" s="33">
        <v>0</v>
      </c>
      <c r="J1851" s="33">
        <v>1</v>
      </c>
      <c r="K1851" s="33">
        <v>1</v>
      </c>
      <c r="L1851" s="33">
        <v>1</v>
      </c>
      <c r="M1851" s="33">
        <f t="shared" si="273"/>
        <v>3</v>
      </c>
      <c r="N1851" s="33">
        <f>IF(OR(H1851="",H1851="sif",H1851="PM"),0,VLOOKUP(H1851,[5]CU!$C$4:$H$255,6,FALSE))</f>
        <v>0</v>
      </c>
      <c r="O1851" s="33"/>
      <c r="P1851" s="33"/>
      <c r="Q1851" s="33"/>
      <c r="R1851" s="33"/>
      <c r="S1851" s="33"/>
      <c r="T1851" s="35" t="s">
        <v>56</v>
      </c>
      <c r="U1851" s="18" t="s">
        <v>1873</v>
      </c>
      <c r="V1851" s="18" t="str">
        <f>IF(OR($H1851="",$H1851="sif",$H1851="PM"),"",VLOOKUP($H1851,[5]CU!$C$5:$J$255,8,FALSE))</f>
        <v/>
      </c>
      <c r="W1851" s="18" t="s">
        <v>2304</v>
      </c>
      <c r="X1851" s="18" t="s">
        <v>2304</v>
      </c>
      <c r="Y1851" s="18" t="s">
        <v>677</v>
      </c>
      <c r="Z1851" s="18" t="str">
        <f>A1851 &amp; "-" &amp; VLOOKUP(A1851,[4]PROGRAMMES!$E$1:$F$7,2,FALSE)</f>
        <v>5-Gouvernance et pilotage du secteur</v>
      </c>
      <c r="AA1851" s="19" t="str">
        <f>B1851 &amp; "-" &amp; VLOOKUP(B1851,[4]SOUSPROGRAMMES!$E$1:$F$44,2,FALSE)</f>
        <v>57- Coordination sectorielle</v>
      </c>
      <c r="AB1851" s="19" t="str">
        <f>C1851 &amp; "-" &amp; VLOOKUP(C1851,[4]RESULTATS!$E$1:$F$176,2,FALSE)</f>
        <v>572- Des organes de pilotage et de coordination du ProDEG sont mis en place et sont fonctionnels</v>
      </c>
      <c r="AC1851" s="20" t="str">
        <f>D1851 &amp; "-" &amp; VLOOKUP(D1851,[4]STRATEGIES!$E$1:$F$504,2,FALSE)</f>
        <v>5723-Préparation de la mise en œuvre du ProDEG et suivi évaluation</v>
      </c>
      <c r="AD1851" s="21" t="str">
        <f t="shared" si="266"/>
        <v>57235-Elaboration des rapports de suivi semestriel et annuel du ProDEG par Département (pris en compte dans leur budget)</v>
      </c>
    </row>
    <row r="1852" spans="1:30" s="22" customFormat="1" ht="45" hidden="1" customHeight="1" x14ac:dyDescent="0.8">
      <c r="A1852" s="14">
        <v>5</v>
      </c>
      <c r="B1852" s="15">
        <v>57</v>
      </c>
      <c r="C1852" s="15">
        <v>572</v>
      </c>
      <c r="D1852" s="15">
        <v>5723</v>
      </c>
      <c r="E1852" s="15">
        <v>57236</v>
      </c>
      <c r="F1852" s="16" t="s">
        <v>2306</v>
      </c>
      <c r="G1852" s="21" t="s">
        <v>92</v>
      </c>
      <c r="H1852" s="17" t="s">
        <v>55</v>
      </c>
      <c r="I1852" s="33">
        <v>0</v>
      </c>
      <c r="J1852" s="33">
        <v>1</v>
      </c>
      <c r="K1852" s="33">
        <v>1</v>
      </c>
      <c r="L1852" s="33">
        <v>1</v>
      </c>
      <c r="M1852" s="33">
        <f t="shared" si="273"/>
        <v>3</v>
      </c>
      <c r="N1852" s="33">
        <f>IF(OR(H1852="",H1852="sif",H1852="PM"),0,VLOOKUP(H1852,[5]CU!$C$4:$H$255,6,FALSE))</f>
        <v>0</v>
      </c>
      <c r="O1852" s="33"/>
      <c r="P1852" s="33"/>
      <c r="Q1852" s="33"/>
      <c r="R1852" s="33"/>
      <c r="S1852" s="33"/>
      <c r="T1852" s="35" t="s">
        <v>56</v>
      </c>
      <c r="U1852" s="18" t="s">
        <v>1873</v>
      </c>
      <c r="V1852" s="18" t="str">
        <f>IF(OR($H1852="",$H1852="sif",$H1852="PM"),"",VLOOKUP($H1852,[5]CU!$C$5:$J$255,8,FALSE))</f>
        <v/>
      </c>
      <c r="W1852" s="18" t="s">
        <v>2304</v>
      </c>
      <c r="X1852" s="18" t="s">
        <v>2304</v>
      </c>
      <c r="Y1852" s="18" t="s">
        <v>677</v>
      </c>
      <c r="Z1852" s="18" t="str">
        <f>A1852 &amp; "-" &amp; VLOOKUP(A1852,[4]PROGRAMMES!$E$1:$F$7,2,FALSE)</f>
        <v>5-Gouvernance et pilotage du secteur</v>
      </c>
      <c r="AA1852" s="19" t="str">
        <f>B1852 &amp; "-" &amp; VLOOKUP(B1852,[4]SOUSPROGRAMMES!$E$1:$F$44,2,FALSE)</f>
        <v>57- Coordination sectorielle</v>
      </c>
      <c r="AB1852" s="19" t="str">
        <f>C1852 &amp; "-" &amp; VLOOKUP(C1852,[4]RESULTATS!$E$1:$F$176,2,FALSE)</f>
        <v>572- Des organes de pilotage et de coordination du ProDEG sont mis en place et sont fonctionnels</v>
      </c>
      <c r="AC1852" s="20" t="str">
        <f>D1852 &amp; "-" &amp; VLOOKUP(D1852,[4]STRATEGIES!$E$1:$F$504,2,FALSE)</f>
        <v>5723-Préparation de la mise en œuvre du ProDEG et suivi évaluation</v>
      </c>
      <c r="AD1852" s="21" t="str">
        <f t="shared" si="266"/>
        <v>57236-Elaboration des rapports de suivi semestriel et annuel du ProDEG (pris en compte dans le budget de la ST/ProDEG)</v>
      </c>
    </row>
    <row r="1853" spans="1:30" s="22" customFormat="1" ht="45" hidden="1" customHeight="1" x14ac:dyDescent="0.8">
      <c r="A1853" s="14">
        <v>5</v>
      </c>
      <c r="B1853" s="15">
        <v>57</v>
      </c>
      <c r="C1853" s="15">
        <v>572</v>
      </c>
      <c r="D1853" s="15">
        <v>5723</v>
      </c>
      <c r="E1853" s="15">
        <v>57237</v>
      </c>
      <c r="F1853" s="16" t="s">
        <v>2307</v>
      </c>
      <c r="G1853" s="21" t="s">
        <v>843</v>
      </c>
      <c r="H1853" s="17" t="s">
        <v>2308</v>
      </c>
      <c r="I1853" s="33">
        <v>0</v>
      </c>
      <c r="J1853" s="33"/>
      <c r="K1853" s="33"/>
      <c r="L1853" s="33">
        <v>1</v>
      </c>
      <c r="M1853" s="33">
        <f t="shared" si="273"/>
        <v>1</v>
      </c>
      <c r="N1853" s="33">
        <f>IF(OR(H1853="",H1853="sif",H1853="PM"),0,VLOOKUP(H1853,[5]CU!$C$4:$H$255,6,FALSE))</f>
        <v>819</v>
      </c>
      <c r="O1853" s="33">
        <f t="shared" ref="O1853:R1859" si="277">$N1853*I1853</f>
        <v>0</v>
      </c>
      <c r="P1853" s="33">
        <f t="shared" si="277"/>
        <v>0</v>
      </c>
      <c r="Q1853" s="33">
        <f t="shared" si="277"/>
        <v>0</v>
      </c>
      <c r="R1853" s="33">
        <f t="shared" si="277"/>
        <v>819</v>
      </c>
      <c r="S1853" s="33">
        <f t="shared" ref="S1853:S1859" si="278">SUM(O1853:R1853)</f>
        <v>819</v>
      </c>
      <c r="T1853" s="35" t="s">
        <v>118</v>
      </c>
      <c r="U1853" s="18" t="s">
        <v>1873</v>
      </c>
      <c r="V1853" s="18" t="str">
        <f>IF(OR($H1853="",$H1853="sif",$H1853="PM"),"",VLOOKUP($H1853,[5]CU!$C$5:$J$255,8,FALSE))</f>
        <v>3. Dépenses de fonctionnement</v>
      </c>
      <c r="W1853" s="18" t="s">
        <v>2304</v>
      </c>
      <c r="X1853" s="18" t="s">
        <v>2304</v>
      </c>
      <c r="Y1853" s="18" t="s">
        <v>677</v>
      </c>
      <c r="Z1853" s="18" t="str">
        <f>A1853 &amp; "-" &amp; VLOOKUP(A1853,[4]PROGRAMMES!$E$1:$F$7,2,FALSE)</f>
        <v>5-Gouvernance et pilotage du secteur</v>
      </c>
      <c r="AA1853" s="19" t="str">
        <f>B1853 &amp; "-" &amp; VLOOKUP(B1853,[4]SOUSPROGRAMMES!$E$1:$F$44,2,FALSE)</f>
        <v>57- Coordination sectorielle</v>
      </c>
      <c r="AB1853" s="19" t="str">
        <f>C1853 &amp; "-" &amp; VLOOKUP(C1853,[4]RESULTATS!$E$1:$F$176,2,FALSE)</f>
        <v>572- Des organes de pilotage et de coordination du ProDEG sont mis en place et sont fonctionnels</v>
      </c>
      <c r="AC1853" s="20" t="str">
        <f>D1853 &amp; "-" &amp; VLOOKUP(D1853,[4]STRATEGIES!$E$1:$F$504,2,FALSE)</f>
        <v>5723-Préparation de la mise en œuvre du ProDEG et suivi évaluation</v>
      </c>
      <c r="AD1853" s="21" t="str">
        <f t="shared" si="266"/>
        <v>57237-Elaboration du second plan d'action triennal du ProDEG</v>
      </c>
    </row>
    <row r="1854" spans="1:30" s="22" customFormat="1" ht="45" hidden="1" customHeight="1" x14ac:dyDescent="0.8">
      <c r="A1854" s="14">
        <v>5</v>
      </c>
      <c r="B1854" s="15">
        <v>57</v>
      </c>
      <c r="C1854" s="15">
        <v>572</v>
      </c>
      <c r="D1854" s="15">
        <v>5723</v>
      </c>
      <c r="E1854" s="15">
        <v>57238</v>
      </c>
      <c r="F1854" s="16" t="s">
        <v>2309</v>
      </c>
      <c r="G1854" s="21" t="s">
        <v>100</v>
      </c>
      <c r="H1854" s="17" t="s">
        <v>646</v>
      </c>
      <c r="I1854" s="33">
        <v>0</v>
      </c>
      <c r="J1854" s="33"/>
      <c r="K1854" s="33"/>
      <c r="L1854" s="33">
        <f>2*25</f>
        <v>50</v>
      </c>
      <c r="M1854" s="33">
        <f t="shared" si="273"/>
        <v>50</v>
      </c>
      <c r="N1854" s="33">
        <f>IF(OR(H1854="",H1854="sif",H1854="PM"),0,VLOOKUP(H1854,[5]CU!$C$4:$H$255,6,FALSE))</f>
        <v>10.404797</v>
      </c>
      <c r="O1854" s="33">
        <f t="shared" si="277"/>
        <v>0</v>
      </c>
      <c r="P1854" s="33">
        <f t="shared" si="277"/>
        <v>0</v>
      </c>
      <c r="Q1854" s="33">
        <f t="shared" si="277"/>
        <v>0</v>
      </c>
      <c r="R1854" s="33">
        <f t="shared" si="277"/>
        <v>520.23985000000005</v>
      </c>
      <c r="S1854" s="33">
        <f t="shared" si="278"/>
        <v>520.23985000000005</v>
      </c>
      <c r="T1854" s="35" t="s">
        <v>169</v>
      </c>
      <c r="U1854" s="18" t="s">
        <v>1873</v>
      </c>
      <c r="V1854" s="18" t="str">
        <f>IF(OR($H1854="",$H1854="sif",$H1854="PM"),"",VLOOKUP($H1854,[5]CU!$C$5:$J$255,8,FALSE))</f>
        <v>3. Dépenses de fonctionnement</v>
      </c>
      <c r="W1854" s="19" t="s">
        <v>1939</v>
      </c>
      <c r="X1854" s="19" t="s">
        <v>1939</v>
      </c>
      <c r="Y1854" s="19" t="s">
        <v>2066</v>
      </c>
      <c r="Z1854" s="18" t="str">
        <f>A1854 &amp; "-" &amp; VLOOKUP(A1854,[4]PROGRAMMES!$E$1:$F$7,2,FALSE)</f>
        <v>5-Gouvernance et pilotage du secteur</v>
      </c>
      <c r="AA1854" s="19" t="str">
        <f>B1854 &amp; "-" &amp; VLOOKUP(B1854,[4]SOUSPROGRAMMES!$E$1:$F$44,2,FALSE)</f>
        <v>57- Coordination sectorielle</v>
      </c>
      <c r="AB1854" s="19" t="str">
        <f>C1854 &amp; "-" &amp; VLOOKUP(C1854,[4]RESULTATS!$E$1:$F$176,2,FALSE)</f>
        <v>572- Des organes de pilotage et de coordination du ProDEG sont mis en place et sont fonctionnels</v>
      </c>
      <c r="AC1854" s="20" t="str">
        <f>D1854 &amp; "-" &amp; VLOOKUP(D1854,[4]STRATEGIES!$E$1:$F$504,2,FALSE)</f>
        <v>5723-Préparation de la mise en œuvre du ProDEG et suivi évaluation</v>
      </c>
      <c r="AD1854" s="21" t="str">
        <f t="shared" si="266"/>
        <v>57238-Évaluation de la mise en œuvre de la phase 1 du PRODEG</v>
      </c>
    </row>
    <row r="1855" spans="1:30" s="22" customFormat="1" ht="45" hidden="1" customHeight="1" x14ac:dyDescent="0.8">
      <c r="A1855" s="14">
        <v>5</v>
      </c>
      <c r="B1855" s="15">
        <v>57</v>
      </c>
      <c r="C1855" s="15">
        <v>572</v>
      </c>
      <c r="D1855" s="15">
        <v>5724</v>
      </c>
      <c r="E1855" s="15">
        <v>5724</v>
      </c>
      <c r="F1855" s="16" t="s">
        <v>2310</v>
      </c>
      <c r="G1855" s="17"/>
      <c r="H1855" s="17"/>
      <c r="I1855" s="33">
        <v>0</v>
      </c>
      <c r="J1855" s="33"/>
      <c r="K1855" s="33"/>
      <c r="L1855" s="33"/>
      <c r="M1855" s="33"/>
      <c r="N1855" s="33"/>
      <c r="O1855" s="33"/>
      <c r="P1855" s="33"/>
      <c r="Q1855" s="33"/>
      <c r="R1855" s="33"/>
      <c r="S1855" s="33"/>
      <c r="T1855" s="33"/>
      <c r="U1855" s="18"/>
      <c r="V1855" s="18"/>
      <c r="W1855" s="18"/>
      <c r="X1855" s="18"/>
      <c r="Y1855" s="18"/>
      <c r="Z1855" s="18" t="str">
        <f>A1855 &amp; "-" &amp; VLOOKUP(A1855,[4]PROGRAMMES!$E$1:$F$7,2,FALSE)</f>
        <v>5-Gouvernance et pilotage du secteur</v>
      </c>
      <c r="AA1855" s="19" t="str">
        <f>B1855 &amp; "-" &amp; VLOOKUP(B1855,[4]SOUSPROGRAMMES!$E$1:$F$44,2,FALSE)</f>
        <v>57- Coordination sectorielle</v>
      </c>
      <c r="AB1855" s="19" t="str">
        <f>C1855 &amp; "-" &amp; VLOOKUP(C1855,[4]RESULTATS!$E$1:$F$176,2,FALSE)</f>
        <v>572- Des organes de pilotage et de coordination du ProDEG sont mis en place et sont fonctionnels</v>
      </c>
      <c r="AC1855" s="20" t="str">
        <f>D1855 &amp; "-" &amp; VLOOKUP(D1855,[4]STRATEGIES!$E$1:$F$504,2,FALSE)</f>
        <v>5724-Les unités de gestion des projets d'appui à la mise en eouvre du développemet du seteur sont fonctionnelles</v>
      </c>
      <c r="AD1855" s="21" t="str">
        <f t="shared" si="266"/>
        <v>5724-Les unités de gestion des projets d'appui à la mise en eouvre du développemet du seteur sont fonctionnelles</v>
      </c>
    </row>
    <row r="1856" spans="1:30" s="22" customFormat="1" ht="45" hidden="1" customHeight="1" x14ac:dyDescent="0.8">
      <c r="A1856" s="14">
        <v>5</v>
      </c>
      <c r="B1856" s="15">
        <v>57</v>
      </c>
      <c r="C1856" s="15">
        <v>572</v>
      </c>
      <c r="D1856" s="15">
        <v>5724</v>
      </c>
      <c r="E1856" s="15">
        <v>57241</v>
      </c>
      <c r="F1856" s="16" t="s">
        <v>2311</v>
      </c>
      <c r="G1856" s="21" t="s">
        <v>496</v>
      </c>
      <c r="H1856" s="17" t="s">
        <v>2312</v>
      </c>
      <c r="I1856" s="33">
        <v>0</v>
      </c>
      <c r="J1856" s="33"/>
      <c r="K1856" s="33"/>
      <c r="L1856" s="33"/>
      <c r="M1856" s="33">
        <f t="shared" si="273"/>
        <v>0</v>
      </c>
      <c r="N1856" s="33">
        <f>IF(OR(H1856="",H1856="sif",H1856="PM"),0,VLOOKUP(H1856,[5]CU!$C$4:$H$255,6,FALSE))</f>
        <v>4302.8008666666601</v>
      </c>
      <c r="O1856" s="33">
        <f t="shared" si="277"/>
        <v>0</v>
      </c>
      <c r="P1856" s="33">
        <f t="shared" si="277"/>
        <v>0</v>
      </c>
      <c r="Q1856" s="33">
        <f t="shared" si="277"/>
        <v>0</v>
      </c>
      <c r="R1856" s="33">
        <f t="shared" si="277"/>
        <v>0</v>
      </c>
      <c r="S1856" s="33">
        <f t="shared" si="278"/>
        <v>0</v>
      </c>
      <c r="T1856" s="35" t="s">
        <v>178</v>
      </c>
      <c r="U1856" s="18" t="s">
        <v>1873</v>
      </c>
      <c r="V1856" s="18" t="str">
        <f>IF(OR($H1856="",$H1856="sif",$H1856="PM"),"",VLOOKUP($H1856,[5]CU!$C$5:$J$255,8,FALSE))</f>
        <v>3. Dépenses de fonctionnement</v>
      </c>
      <c r="W1856" s="18" t="s">
        <v>255</v>
      </c>
      <c r="X1856" s="18" t="s">
        <v>2313</v>
      </c>
      <c r="Y1856" s="19" t="s">
        <v>32</v>
      </c>
      <c r="Z1856" s="18" t="str">
        <f>A1856 &amp; "-" &amp; VLOOKUP(A1856,[4]PROGRAMMES!$E$1:$F$7,2,FALSE)</f>
        <v>5-Gouvernance et pilotage du secteur</v>
      </c>
      <c r="AA1856" s="19" t="str">
        <f>B1856 &amp; "-" &amp; VLOOKUP(B1856,[4]SOUSPROGRAMMES!$E$1:$F$44,2,FALSE)</f>
        <v>57- Coordination sectorielle</v>
      </c>
      <c r="AB1856" s="19" t="str">
        <f>C1856 &amp; "-" &amp; VLOOKUP(C1856,[4]RESULTATS!$E$1:$F$176,2,FALSE)</f>
        <v>572- Des organes de pilotage et de coordination du ProDEG sont mis en place et sont fonctionnels</v>
      </c>
      <c r="AC1856" s="20" t="str">
        <f>D1856 &amp; "-" &amp; VLOOKUP(D1856,[4]STRATEGIES!$E$1:$F$504,2,FALSE)</f>
        <v>5724-Les unités de gestion des projets d'appui à la mise en eouvre du développemet du seteur sont fonctionnelles</v>
      </c>
      <c r="AD1856" s="21" t="str">
        <f t="shared" si="266"/>
        <v>57241-Fonctionnement de la coordination du FOCEB y compris audit annuel et communication sur le projet</v>
      </c>
    </row>
    <row r="1857" spans="1:30" s="22" customFormat="1" ht="45" hidden="1" customHeight="1" x14ac:dyDescent="0.8">
      <c r="A1857" s="14">
        <v>5</v>
      </c>
      <c r="B1857" s="15">
        <v>57</v>
      </c>
      <c r="C1857" s="15">
        <v>572</v>
      </c>
      <c r="D1857" s="15">
        <v>5724</v>
      </c>
      <c r="E1857" s="15">
        <v>57242</v>
      </c>
      <c r="F1857" s="16" t="s">
        <v>2314</v>
      </c>
      <c r="G1857" s="21" t="s">
        <v>496</v>
      </c>
      <c r="H1857" s="17" t="s">
        <v>2315</v>
      </c>
      <c r="I1857" s="33">
        <v>0</v>
      </c>
      <c r="J1857" s="33">
        <v>1</v>
      </c>
      <c r="K1857" s="33">
        <v>1</v>
      </c>
      <c r="L1857" s="33">
        <v>1</v>
      </c>
      <c r="M1857" s="33">
        <f t="shared" si="273"/>
        <v>3</v>
      </c>
      <c r="N1857" s="33">
        <f>IF(OR(H1857="",H1857="sif",H1857="PM"),0,VLOOKUP(H1857,[5]CU!$C$4:$H$255,6,FALSE))</f>
        <v>3562.5</v>
      </c>
      <c r="O1857" s="33">
        <f t="shared" si="277"/>
        <v>0</v>
      </c>
      <c r="P1857" s="33">
        <f t="shared" si="277"/>
        <v>3562.5</v>
      </c>
      <c r="Q1857" s="33">
        <f t="shared" si="277"/>
        <v>3562.5</v>
      </c>
      <c r="R1857" s="33">
        <f t="shared" si="277"/>
        <v>3562.5</v>
      </c>
      <c r="S1857" s="33">
        <f t="shared" si="278"/>
        <v>10687.5</v>
      </c>
      <c r="T1857" s="35" t="s">
        <v>39</v>
      </c>
      <c r="U1857" s="19" t="s">
        <v>1873</v>
      </c>
      <c r="V1857" s="19" t="str">
        <f>IF(OR($H1857="",$H1857="sif",$H1857="PM"),"",VLOOKUP($H1857,[5]CU!$C$5:$J$255,8,FALSE))</f>
        <v>3. Dépenses de fonctionnement</v>
      </c>
      <c r="W1857" s="19" t="s">
        <v>255</v>
      </c>
      <c r="X1857" s="19" t="s">
        <v>2316</v>
      </c>
      <c r="Y1857" s="19" t="s">
        <v>32</v>
      </c>
      <c r="Z1857" s="18" t="str">
        <f>A1857 &amp; "-" &amp; VLOOKUP(A1857,[4]PROGRAMMES!$E$1:$F$7,2,FALSE)</f>
        <v>5-Gouvernance et pilotage du secteur</v>
      </c>
      <c r="AA1857" s="19" t="str">
        <f>B1857 &amp; "-" &amp; VLOOKUP(B1857,[4]SOUSPROGRAMMES!$E$1:$F$44,2,FALSE)</f>
        <v>57- Coordination sectorielle</v>
      </c>
      <c r="AB1857" s="19" t="str">
        <f>C1857 &amp; "-" &amp; VLOOKUP(C1857,[4]RESULTATS!$E$1:$F$176,2,FALSE)</f>
        <v>572- Des organes de pilotage et de coordination du ProDEG sont mis en place et sont fonctionnels</v>
      </c>
      <c r="AC1857" s="20" t="str">
        <f>D1857 &amp; "-" &amp; VLOOKUP(D1857,[4]STRATEGIES!$E$1:$F$504,2,FALSE)</f>
        <v>5724-Les unités de gestion des projets d'appui à la mise en eouvre du développemet du seteur sont fonctionnelles</v>
      </c>
      <c r="AD1857" s="21" t="str">
        <f t="shared" si="266"/>
        <v>57242-Fonctionnement de l'unité de coordination du projet de la banque mondialepour l'appui au préscolaire et à la qualité au primaire y compris audit annuel et communication sur le projet</v>
      </c>
    </row>
    <row r="1858" spans="1:30" s="22" customFormat="1" ht="45" hidden="1" customHeight="1" x14ac:dyDescent="0.8">
      <c r="A1858" s="14">
        <v>5</v>
      </c>
      <c r="B1858" s="15">
        <v>57</v>
      </c>
      <c r="C1858" s="15">
        <v>572</v>
      </c>
      <c r="D1858" s="15">
        <v>5724</v>
      </c>
      <c r="E1858" s="15">
        <v>57243</v>
      </c>
      <c r="F1858" s="16" t="s">
        <v>2317</v>
      </c>
      <c r="G1858" s="21" t="s">
        <v>496</v>
      </c>
      <c r="H1858" s="17" t="s">
        <v>2318</v>
      </c>
      <c r="I1858" s="33">
        <v>0</v>
      </c>
      <c r="J1858" s="33">
        <v>1</v>
      </c>
      <c r="K1858" s="33"/>
      <c r="L1858" s="33"/>
      <c r="M1858" s="33">
        <f t="shared" si="273"/>
        <v>1</v>
      </c>
      <c r="N1858" s="33">
        <f>IF(OR(H1858="",H1858="sif",H1858="PM"),0,VLOOKUP(H1858,[5]CU!$C$4:$H$255,6,FALSE))</f>
        <v>7295.05</v>
      </c>
      <c r="O1858" s="33">
        <f t="shared" si="277"/>
        <v>0</v>
      </c>
      <c r="P1858" s="33">
        <f t="shared" si="277"/>
        <v>7295.05</v>
      </c>
      <c r="Q1858" s="33">
        <f t="shared" si="277"/>
        <v>0</v>
      </c>
      <c r="R1858" s="33">
        <f t="shared" si="277"/>
        <v>0</v>
      </c>
      <c r="S1858" s="33">
        <f t="shared" si="278"/>
        <v>7295.05</v>
      </c>
      <c r="T1858" s="35" t="s">
        <v>2319</v>
      </c>
      <c r="U1858" s="19" t="s">
        <v>1873</v>
      </c>
      <c r="V1858" s="19" t="str">
        <f>IF(OR($H1858="",$H1858="sif",$H1858="PM"),"",VLOOKUP($H1858,[5]CU!$C$5:$J$255,8,FALSE))</f>
        <v>3. Dépenses de fonctionnement</v>
      </c>
      <c r="W1858" s="19" t="s">
        <v>2320</v>
      </c>
      <c r="X1858" s="19" t="s">
        <v>2320</v>
      </c>
      <c r="Y1858" s="19" t="s">
        <v>677</v>
      </c>
      <c r="Z1858" s="18" t="str">
        <f>A1858 &amp; "-" &amp; VLOOKUP(A1858,[4]PROGRAMMES!$E$1:$F$7,2,FALSE)</f>
        <v>5-Gouvernance et pilotage du secteur</v>
      </c>
      <c r="AA1858" s="19" t="str">
        <f>B1858 &amp; "-" &amp; VLOOKUP(B1858,[4]SOUSPROGRAMMES!$E$1:$F$44,2,FALSE)</f>
        <v>57- Coordination sectorielle</v>
      </c>
      <c r="AB1858" s="19" t="str">
        <f>C1858 &amp; "-" &amp; VLOOKUP(C1858,[4]RESULTATS!$E$1:$F$176,2,FALSE)</f>
        <v>572- Des organes de pilotage et de coordination du ProDEG sont mis en place et sont fonctionnels</v>
      </c>
      <c r="AC1858" s="20" t="str">
        <f>D1858 &amp; "-" &amp; VLOOKUP(D1858,[4]STRATEGIES!$E$1:$F$504,2,FALSE)</f>
        <v>5724-Les unités de gestion des projets d'appui à la mise en eouvre du développemet du seteur sont fonctionnelles</v>
      </c>
      <c r="AD1858" s="21" t="str">
        <f t="shared" si="266"/>
        <v>57243-Fonctionnement de la coordination du BOCEJ y compris audit annuel et communication sur le projet</v>
      </c>
    </row>
    <row r="1859" spans="1:30" s="22" customFormat="1" ht="45" customHeight="1" x14ac:dyDescent="0.8">
      <c r="A1859" s="14">
        <v>5</v>
      </c>
      <c r="B1859" s="15">
        <v>57</v>
      </c>
      <c r="C1859" s="15">
        <v>572</v>
      </c>
      <c r="D1859" s="15">
        <v>5724</v>
      </c>
      <c r="E1859" s="15">
        <v>57244</v>
      </c>
      <c r="F1859" s="16" t="s">
        <v>2321</v>
      </c>
      <c r="G1859" s="21" t="s">
        <v>496</v>
      </c>
      <c r="H1859" s="17" t="s">
        <v>2322</v>
      </c>
      <c r="I1859" s="33">
        <v>0</v>
      </c>
      <c r="J1859" s="33">
        <v>1</v>
      </c>
      <c r="K1859" s="33">
        <v>1</v>
      </c>
      <c r="L1859" s="33"/>
      <c r="M1859" s="33">
        <f t="shared" si="273"/>
        <v>2</v>
      </c>
      <c r="N1859" s="33">
        <f>IF(OR(H1859="",H1859="sif",H1859="PM"),0,VLOOKUP(H1859,[5]CU!$C$4:$H$255,6,FALSE))</f>
        <v>2940</v>
      </c>
      <c r="O1859" s="33">
        <f t="shared" si="277"/>
        <v>0</v>
      </c>
      <c r="P1859" s="33">
        <f t="shared" si="277"/>
        <v>2940</v>
      </c>
      <c r="Q1859" s="33">
        <f t="shared" si="277"/>
        <v>2940</v>
      </c>
      <c r="R1859" s="33">
        <f t="shared" si="277"/>
        <v>0</v>
      </c>
      <c r="S1859" s="33">
        <f t="shared" si="278"/>
        <v>5880</v>
      </c>
      <c r="T1859" s="35" t="s">
        <v>1276</v>
      </c>
      <c r="U1859" s="18" t="s">
        <v>1873</v>
      </c>
      <c r="V1859" s="18" t="str">
        <f>IF(OR($H1859="",$H1859="sif",$H1859="PM"),"",VLOOKUP($H1859,[5]CU!$C$5:$J$255,8,FALSE))</f>
        <v>3. Dépenses de fonctionnement</v>
      </c>
      <c r="W1859" s="18"/>
      <c r="X1859" s="18"/>
      <c r="Y1859" s="18"/>
      <c r="Z1859" s="18" t="str">
        <f>A1859 &amp; "-" &amp; VLOOKUP(A1859,[4]PROGRAMMES!$E$1:$F$7,2,FALSE)</f>
        <v>5-Gouvernance et pilotage du secteur</v>
      </c>
      <c r="AA1859" s="19" t="str">
        <f>B1859 &amp; "-" &amp; VLOOKUP(B1859,[4]SOUSPROGRAMMES!$E$1:$F$44,2,FALSE)</f>
        <v>57- Coordination sectorielle</v>
      </c>
      <c r="AB1859" s="19" t="str">
        <f>C1859 &amp; "-" &amp; VLOOKUP(C1859,[4]RESULTATS!$E$1:$F$176,2,FALSE)</f>
        <v>572- Des organes de pilotage et de coordination du ProDEG sont mis en place et sont fonctionnels</v>
      </c>
      <c r="AC1859" s="20" t="str">
        <f>D1859 &amp; "-" &amp; VLOOKUP(D1859,[4]STRATEGIES!$E$1:$F$504,2,FALSE)</f>
        <v>5724-Les unités de gestion des projets d'appui à la mise en eouvre du développemet du seteur sont fonctionnelles</v>
      </c>
      <c r="AD1859" s="21" t="str">
        <f t="shared" si="266"/>
        <v>57244-Fonctionnement de la coordination du PAFISAM y compris audit annuel et communication sur le projet</v>
      </c>
    </row>
    <row r="1860" spans="1:30" s="22" customFormat="1" ht="60" hidden="1" customHeight="1" x14ac:dyDescent="0.8">
      <c r="A1860" s="14">
        <v>5</v>
      </c>
      <c r="B1860" s="15">
        <v>58</v>
      </c>
      <c r="C1860" s="15">
        <v>58</v>
      </c>
      <c r="D1860" s="15">
        <v>58</v>
      </c>
      <c r="E1860" s="15">
        <v>58</v>
      </c>
      <c r="F1860" s="16" t="s">
        <v>2323</v>
      </c>
      <c r="G1860" s="17"/>
      <c r="H1860" s="17"/>
      <c r="I1860" s="33">
        <v>0</v>
      </c>
      <c r="J1860" s="33"/>
      <c r="K1860" s="33"/>
      <c r="L1860" s="33"/>
      <c r="M1860" s="33"/>
      <c r="N1860" s="33"/>
      <c r="O1860" s="33"/>
      <c r="P1860" s="33"/>
      <c r="Q1860" s="33"/>
      <c r="R1860" s="33"/>
      <c r="S1860" s="33"/>
      <c r="T1860" s="33"/>
      <c r="U1860" s="18"/>
      <c r="V1860" s="18"/>
      <c r="W1860" s="18"/>
      <c r="X1860" s="18"/>
      <c r="Y1860" s="18"/>
      <c r="Z1860" s="18" t="str">
        <f>A1860 &amp; "-" &amp; VLOOKUP(A1860,[4]PROGRAMMES!$E$1:$F$7,2,FALSE)</f>
        <v>5-Gouvernance et pilotage du secteur</v>
      </c>
      <c r="AA1860" s="19" t="str">
        <f>B1860 &amp; "-" &amp; VLOOKUP(B1860,[4]SOUSPROGRAMMES!$E$1:$F$44,2,FALSE)</f>
        <v>58- Renforcement des compétences de l’administration (cadre normatif, poste-profil, évaluation, équipement, formations…)</v>
      </c>
      <c r="AB1860" s="19" t="str">
        <f>C1860 &amp; "-" &amp; VLOOKUP(C1860,[4]RESULTATS!$E$1:$F$176,2,FALSE)</f>
        <v>58- Renforcement des compétences de l’administration (cadre normatif, poste-profil, évaluation, équipement, formations…)</v>
      </c>
      <c r="AC1860" s="20" t="str">
        <f>D1860 &amp; "-" &amp; VLOOKUP(D1860,[4]STRATEGIES!$E$1:$F$504,2,FALSE)</f>
        <v>58- Renforcement des compétences de l’administration (cadre normatif, poste-profil, évaluation, équipement, formations…)</v>
      </c>
      <c r="AD1860" s="21" t="str">
        <f t="shared" ref="AD1860:AD1923" si="279">E1860 &amp; "-" &amp; F1860</f>
        <v>58- Renforcement des compétences de l’administration (cadre normatif, poste-profil, évaluation, équipement, formations…)</v>
      </c>
    </row>
    <row r="1861" spans="1:30" s="22" customFormat="1" ht="60" hidden="1" customHeight="1" x14ac:dyDescent="0.8">
      <c r="A1861" s="14">
        <v>5</v>
      </c>
      <c r="B1861" s="15">
        <v>58</v>
      </c>
      <c r="C1861" s="15">
        <v>581</v>
      </c>
      <c r="D1861" s="15">
        <v>581</v>
      </c>
      <c r="E1861" s="15">
        <v>581</v>
      </c>
      <c r="F1861" s="16" t="s">
        <v>2324</v>
      </c>
      <c r="G1861" s="17"/>
      <c r="H1861" s="17"/>
      <c r="I1861" s="33">
        <v>0</v>
      </c>
      <c r="J1861" s="33"/>
      <c r="K1861" s="33"/>
      <c r="L1861" s="33"/>
      <c r="M1861" s="33"/>
      <c r="N1861" s="33"/>
      <c r="O1861" s="33"/>
      <c r="P1861" s="33"/>
      <c r="Q1861" s="33"/>
      <c r="R1861" s="33"/>
      <c r="S1861" s="33"/>
      <c r="T1861" s="33"/>
      <c r="U1861" s="18"/>
      <c r="V1861" s="18"/>
      <c r="W1861" s="18"/>
      <c r="X1861" s="18"/>
      <c r="Y1861" s="18"/>
      <c r="Z1861" s="18" t="str">
        <f>A1861 &amp; "-" &amp; VLOOKUP(A1861,[4]PROGRAMMES!$E$1:$F$7,2,FALSE)</f>
        <v>5-Gouvernance et pilotage du secteur</v>
      </c>
      <c r="AA1861" s="19" t="str">
        <f>B1861 &amp; "-" &amp; VLOOKUP(B1861,[4]SOUSPROGRAMMES!$E$1:$F$44,2,FALSE)</f>
        <v>58- Renforcement des compétences de l’administration (cadre normatif, poste-profil, évaluation, équipement, formations…)</v>
      </c>
      <c r="AB1861" s="19" t="str">
        <f>C1861 &amp; "-" &amp; VLOOKUP(C1861,[4]RESULTATS!$E$1:$F$176,2,FALSE)</f>
        <v xml:space="preserve">581- Les cadres organiques des différentes structures sont redéfinis pour que leur efficacité s’améliore </v>
      </c>
      <c r="AC1861" s="20" t="str">
        <f>D1861 &amp; "-" &amp; VLOOKUP(D1861,[4]STRATEGIES!$E$1:$F$504,2,FALSE)</f>
        <v xml:space="preserve">581- Les cadres organiques des différentes structures sont redéfinis pour que leur efficacité s’améliore </v>
      </c>
      <c r="AD1861" s="21" t="str">
        <f t="shared" si="279"/>
        <v xml:space="preserve">581- Les cadres organiques des différentes structures sont redéFinis pour que leur efficacité s’améliore </v>
      </c>
    </row>
    <row r="1862" spans="1:30" s="22" customFormat="1" ht="60" hidden="1" customHeight="1" x14ac:dyDescent="0.8">
      <c r="A1862" s="14">
        <v>5</v>
      </c>
      <c r="B1862" s="15">
        <v>58</v>
      </c>
      <c r="C1862" s="15">
        <v>581</v>
      </c>
      <c r="D1862" s="15">
        <v>5811</v>
      </c>
      <c r="E1862" s="15">
        <v>5811</v>
      </c>
      <c r="F1862" s="16" t="s">
        <v>2325</v>
      </c>
      <c r="G1862" s="17"/>
      <c r="H1862" s="17"/>
      <c r="I1862" s="33">
        <v>0</v>
      </c>
      <c r="J1862" s="33"/>
      <c r="K1862" s="33"/>
      <c r="L1862" s="33"/>
      <c r="M1862" s="33"/>
      <c r="N1862" s="33"/>
      <c r="O1862" s="33"/>
      <c r="P1862" s="33"/>
      <c r="Q1862" s="33"/>
      <c r="R1862" s="33"/>
      <c r="S1862" s="33"/>
      <c r="T1862" s="33"/>
      <c r="U1862" s="18"/>
      <c r="V1862" s="18"/>
      <c r="W1862" s="18"/>
      <c r="X1862" s="18"/>
      <c r="Y1862" s="18"/>
      <c r="Z1862" s="18" t="str">
        <f>A1862 &amp; "-" &amp; VLOOKUP(A1862,[4]PROGRAMMES!$E$1:$F$7,2,FALSE)</f>
        <v>5-Gouvernance et pilotage du secteur</v>
      </c>
      <c r="AA1862" s="19" t="str">
        <f>B1862 &amp; "-" &amp; VLOOKUP(B1862,[4]SOUSPROGRAMMES!$E$1:$F$44,2,FALSE)</f>
        <v>58- Renforcement des compétences de l’administration (cadre normatif, poste-profil, évaluation, équipement, formations…)</v>
      </c>
      <c r="AB1862" s="19" t="str">
        <f>C1862 &amp; "-" &amp; VLOOKUP(C1862,[4]RESULTATS!$E$1:$F$176,2,FALSE)</f>
        <v xml:space="preserve">581- Les cadres organiques des différentes structures sont redéfinis pour que leur efficacité s’améliore </v>
      </c>
      <c r="AC1862" s="20" t="str">
        <f>D1862 &amp; "-" &amp; VLOOKUP(D1862,[4]STRATEGIES!$E$1:$F$504,2,FALSE)</f>
        <v>5811-Évaluation des forces et faiblesses des cadres organiques à tous les niveaux</v>
      </c>
      <c r="AD1862" s="21" t="str">
        <f t="shared" si="279"/>
        <v>5811-Évaluation des forces et faiblesses des cadres organiques à tous les niveaux</v>
      </c>
    </row>
    <row r="1863" spans="1:30" s="22" customFormat="1" ht="60" hidden="1" customHeight="1" x14ac:dyDescent="0.8">
      <c r="A1863" s="14">
        <v>5</v>
      </c>
      <c r="B1863" s="15">
        <v>58</v>
      </c>
      <c r="C1863" s="15">
        <v>581</v>
      </c>
      <c r="D1863" s="15">
        <v>5811</v>
      </c>
      <c r="E1863" s="15">
        <v>58111</v>
      </c>
      <c r="F1863" s="16" t="s">
        <v>2326</v>
      </c>
      <c r="G1863" s="21" t="s">
        <v>88</v>
      </c>
      <c r="H1863" s="17" t="s">
        <v>55</v>
      </c>
      <c r="I1863" s="33">
        <v>0</v>
      </c>
      <c r="J1863" s="33">
        <v>1</v>
      </c>
      <c r="K1863" s="33">
        <v>0</v>
      </c>
      <c r="L1863" s="33">
        <v>0</v>
      </c>
      <c r="M1863" s="33">
        <f t="shared" si="273"/>
        <v>1</v>
      </c>
      <c r="N1863" s="33">
        <f>IF(OR(H1863="",H1863="sif",H1863="PM"),0,VLOOKUP(H1863,[5]CU!$C$4:$H$255,6,FALSE))</f>
        <v>0</v>
      </c>
      <c r="O1863" s="33"/>
      <c r="P1863" s="33"/>
      <c r="Q1863" s="33"/>
      <c r="R1863" s="33"/>
      <c r="S1863" s="33"/>
      <c r="T1863" s="35" t="s">
        <v>56</v>
      </c>
      <c r="U1863" s="18" t="s">
        <v>1873</v>
      </c>
      <c r="V1863" s="18" t="str">
        <f>IF(OR($H1863="",$H1863="sif",$H1863="PM"),"",VLOOKUP($H1863,[5]CU!$C$5:$J$255,8,FALSE))</f>
        <v/>
      </c>
      <c r="W1863" s="18" t="s">
        <v>255</v>
      </c>
      <c r="X1863" s="18" t="s">
        <v>255</v>
      </c>
      <c r="Y1863" s="19" t="s">
        <v>32</v>
      </c>
      <c r="Z1863" s="18" t="str">
        <f>A1863 &amp; "-" &amp; VLOOKUP(A1863,[4]PROGRAMMES!$E$1:$F$7,2,FALSE)</f>
        <v>5-Gouvernance et pilotage du secteur</v>
      </c>
      <c r="AA1863" s="19" t="str">
        <f>B1863 &amp; "-" &amp; VLOOKUP(B1863,[4]SOUSPROGRAMMES!$E$1:$F$44,2,FALSE)</f>
        <v>58- Renforcement des compétences de l’administration (cadre normatif, poste-profil, évaluation, équipement, formations…)</v>
      </c>
      <c r="AB1863" s="19" t="str">
        <f>C1863 &amp; "-" &amp; VLOOKUP(C1863,[4]RESULTATS!$E$1:$F$176,2,FALSE)</f>
        <v xml:space="preserve">581- Les cadres organiques des différentes structures sont redéfinis pour que leur efficacité s’améliore </v>
      </c>
      <c r="AC1863" s="20" t="str">
        <f>D1863 &amp; "-" &amp; VLOOKUP(D1863,[4]STRATEGIES!$E$1:$F$504,2,FALSE)</f>
        <v>5811-Évaluation des forces et faiblesses des cadres organiques à tous les niveaux</v>
      </c>
      <c r="AD1863" s="21" t="str">
        <f t="shared" si="279"/>
        <v>58111-Elaboration de TDR pour le recrutement d'un cabinet/consultant</v>
      </c>
    </row>
    <row r="1864" spans="1:30" s="22" customFormat="1" ht="60" hidden="1" customHeight="1" x14ac:dyDescent="0.8">
      <c r="A1864" s="14">
        <v>5</v>
      </c>
      <c r="B1864" s="15">
        <v>58</v>
      </c>
      <c r="C1864" s="15">
        <v>581</v>
      </c>
      <c r="D1864" s="15">
        <v>5811</v>
      </c>
      <c r="E1864" s="15">
        <v>58112</v>
      </c>
      <c r="F1864" s="16" t="s">
        <v>2327</v>
      </c>
      <c r="G1864" s="21" t="s">
        <v>167</v>
      </c>
      <c r="H1864" s="17" t="s">
        <v>646</v>
      </c>
      <c r="I1864" s="33">
        <v>0</v>
      </c>
      <c r="J1864" s="33">
        <f>3*15*4</f>
        <v>180</v>
      </c>
      <c r="K1864" s="33"/>
      <c r="L1864" s="33"/>
      <c r="M1864" s="33">
        <f t="shared" si="273"/>
        <v>180</v>
      </c>
      <c r="N1864" s="33">
        <f>IF(OR(H1864="",H1864="sif",H1864="PM"),0,VLOOKUP(H1864,[5]CU!$C$4:$H$255,6,FALSE))</f>
        <v>10.404797</v>
      </c>
      <c r="O1864" s="33">
        <f t="shared" ref="O1864:R1865" si="280">$N1864*I1864</f>
        <v>0</v>
      </c>
      <c r="P1864" s="33">
        <f t="shared" si="280"/>
        <v>1872.86346</v>
      </c>
      <c r="Q1864" s="33">
        <f t="shared" si="280"/>
        <v>0</v>
      </c>
      <c r="R1864" s="33">
        <f t="shared" si="280"/>
        <v>0</v>
      </c>
      <c r="S1864" s="33">
        <f>SUM(O1864:R1864)</f>
        <v>1872.86346</v>
      </c>
      <c r="T1864" s="35" t="s">
        <v>39</v>
      </c>
      <c r="U1864" s="19" t="s">
        <v>1873</v>
      </c>
      <c r="V1864" s="19" t="str">
        <f>IF(OR($H1864="",$H1864="sif",$H1864="PM"),"",VLOOKUP($H1864,[5]CU!$C$5:$J$255,8,FALSE))</f>
        <v>3. Dépenses de fonctionnement</v>
      </c>
      <c r="W1864" s="19" t="s">
        <v>255</v>
      </c>
      <c r="X1864" s="19" t="s">
        <v>255</v>
      </c>
      <c r="Y1864" s="19" t="s">
        <v>32</v>
      </c>
      <c r="Z1864" s="18" t="str">
        <f>A1864 &amp; "-" &amp; VLOOKUP(A1864,[4]PROGRAMMES!$E$1:$F$7,2,FALSE)</f>
        <v>5-Gouvernance et pilotage du secteur</v>
      </c>
      <c r="AA1864" s="19" t="str">
        <f>B1864 &amp; "-" &amp; VLOOKUP(B1864,[4]SOUSPROGRAMMES!$E$1:$F$44,2,FALSE)</f>
        <v>58- Renforcement des compétences de l’administration (cadre normatif, poste-profil, évaluation, équipement, formations…)</v>
      </c>
      <c r="AB1864" s="19" t="str">
        <f>C1864 &amp; "-" &amp; VLOOKUP(C1864,[4]RESULTATS!$E$1:$F$176,2,FALSE)</f>
        <v xml:space="preserve">581- Les cadres organiques des différentes structures sont redéfinis pour que leur efficacité s’améliore </v>
      </c>
      <c r="AC1864" s="20" t="str">
        <f>D1864 &amp; "-" &amp; VLOOKUP(D1864,[4]STRATEGIES!$E$1:$F$504,2,FALSE)</f>
        <v>5811-Évaluation des forces et faiblesses des cadres organiques à tous les niveaux</v>
      </c>
      <c r="AD1864" s="21" t="str">
        <f t="shared" si="279"/>
        <v>58112-Réalisation d'une étude sur les forces et les faibles des cadres organiques des 3 ministères</v>
      </c>
    </row>
    <row r="1865" spans="1:30" s="22" customFormat="1" ht="60" hidden="1" customHeight="1" x14ac:dyDescent="0.8">
      <c r="A1865" s="14">
        <v>5</v>
      </c>
      <c r="B1865" s="15">
        <v>58</v>
      </c>
      <c r="C1865" s="15">
        <v>581</v>
      </c>
      <c r="D1865" s="15">
        <v>5811</v>
      </c>
      <c r="E1865" s="15">
        <v>58113</v>
      </c>
      <c r="F1865" s="16" t="s">
        <v>1537</v>
      </c>
      <c r="G1865" s="21" t="s">
        <v>298</v>
      </c>
      <c r="H1865" s="17" t="s">
        <v>38</v>
      </c>
      <c r="I1865" s="33">
        <v>0</v>
      </c>
      <c r="J1865" s="33">
        <f>30*2</f>
        <v>60</v>
      </c>
      <c r="K1865" s="33"/>
      <c r="L1865" s="33"/>
      <c r="M1865" s="33">
        <f t="shared" si="273"/>
        <v>60</v>
      </c>
      <c r="N1865" s="33">
        <f>IF(OR(H1865="",H1865="sif",H1865="PM"),0,VLOOKUP(H1865,[5]CU!$C$4:$H$255,6,FALSE))</f>
        <v>0.3133333333333333</v>
      </c>
      <c r="O1865" s="33">
        <f t="shared" si="280"/>
        <v>0</v>
      </c>
      <c r="P1865" s="33">
        <f t="shared" si="280"/>
        <v>18.799999999999997</v>
      </c>
      <c r="Q1865" s="33">
        <f t="shared" si="280"/>
        <v>0</v>
      </c>
      <c r="R1865" s="33">
        <f t="shared" si="280"/>
        <v>0</v>
      </c>
      <c r="S1865" s="33">
        <f>SUM(O1865:R1865)</f>
        <v>18.799999999999997</v>
      </c>
      <c r="T1865" s="35" t="s">
        <v>39</v>
      </c>
      <c r="U1865" s="19" t="s">
        <v>1873</v>
      </c>
      <c r="V1865" s="19" t="str">
        <f>IF(OR($H1865="",$H1865="sif",$H1865="PM"),"",VLOOKUP($H1865,[5]CU!$C$5:$J$255,8,FALSE))</f>
        <v>3. Formation</v>
      </c>
      <c r="W1865" s="19" t="s">
        <v>255</v>
      </c>
      <c r="X1865" s="19" t="s">
        <v>255</v>
      </c>
      <c r="Y1865" s="19" t="s">
        <v>32</v>
      </c>
      <c r="Z1865" s="18" t="str">
        <f>A1865 &amp; "-" &amp; VLOOKUP(A1865,[4]PROGRAMMES!$E$1:$F$7,2,FALSE)</f>
        <v>5-Gouvernance et pilotage du secteur</v>
      </c>
      <c r="AA1865" s="19" t="str">
        <f>B1865 &amp; "-" &amp; VLOOKUP(B1865,[4]SOUSPROGRAMMES!$E$1:$F$44,2,FALSE)</f>
        <v>58- Renforcement des compétences de l’administration (cadre normatif, poste-profil, évaluation, équipement, formations…)</v>
      </c>
      <c r="AB1865" s="19" t="str">
        <f>C1865 &amp; "-" &amp; VLOOKUP(C1865,[4]RESULTATS!$E$1:$F$176,2,FALSE)</f>
        <v xml:space="preserve">581- Les cadres organiques des différentes structures sont redéfinis pour que leur efficacité s’améliore </v>
      </c>
      <c r="AC1865" s="20" t="str">
        <f>D1865 &amp; "-" &amp; VLOOKUP(D1865,[4]STRATEGIES!$E$1:$F$504,2,FALSE)</f>
        <v>5811-Évaluation des forces et faiblesses des cadres organiques à tous les niveaux</v>
      </c>
      <c r="AD1865" s="21" t="str">
        <f t="shared" si="279"/>
        <v>58113-Validation des résultats de l'étude</v>
      </c>
    </row>
    <row r="1866" spans="1:30" s="22" customFormat="1" ht="60" hidden="1" customHeight="1" x14ac:dyDescent="0.8">
      <c r="A1866" s="14">
        <v>5</v>
      </c>
      <c r="B1866" s="15">
        <v>58</v>
      </c>
      <c r="C1866" s="15">
        <v>581</v>
      </c>
      <c r="D1866" s="15">
        <v>5811</v>
      </c>
      <c r="E1866" s="15">
        <v>58114</v>
      </c>
      <c r="F1866" s="16" t="s">
        <v>2328</v>
      </c>
      <c r="G1866" s="21" t="s">
        <v>92</v>
      </c>
      <c r="H1866" s="17" t="s">
        <v>55</v>
      </c>
      <c r="I1866" s="33">
        <v>0</v>
      </c>
      <c r="J1866" s="33">
        <v>1</v>
      </c>
      <c r="K1866" s="33">
        <v>1</v>
      </c>
      <c r="L1866" s="33"/>
      <c r="M1866" s="33">
        <f t="shared" si="273"/>
        <v>2</v>
      </c>
      <c r="N1866" s="33">
        <f>IF(OR(H1866="",H1866="sif",H1866="PM"),0,VLOOKUP(H1866,[5]CU!$C$4:$H$255,6,FALSE))</f>
        <v>0</v>
      </c>
      <c r="O1866" s="33"/>
      <c r="P1866" s="33"/>
      <c r="Q1866" s="33"/>
      <c r="R1866" s="33"/>
      <c r="S1866" s="33"/>
      <c r="T1866" s="35" t="s">
        <v>56</v>
      </c>
      <c r="U1866" s="18" t="s">
        <v>1873</v>
      </c>
      <c r="V1866" s="18" t="str">
        <f>IF(OR($H1866="",$H1866="sif",$H1866="PM"),"",VLOOKUP($H1866,[5]CU!$C$5:$J$255,8,FALSE))</f>
        <v/>
      </c>
      <c r="W1866" s="18" t="s">
        <v>255</v>
      </c>
      <c r="X1866" s="18" t="s">
        <v>255</v>
      </c>
      <c r="Y1866" s="19" t="s">
        <v>32</v>
      </c>
      <c r="Z1866" s="18" t="str">
        <f>A1866 &amp; "-" &amp; VLOOKUP(A1866,[4]PROGRAMMES!$E$1:$F$7,2,FALSE)</f>
        <v>5-Gouvernance et pilotage du secteur</v>
      </c>
      <c r="AA1866" s="19" t="str">
        <f>B1866 &amp; "-" &amp; VLOOKUP(B1866,[4]SOUSPROGRAMMES!$E$1:$F$44,2,FALSE)</f>
        <v>58- Renforcement des compétences de l’administration (cadre normatif, poste-profil, évaluation, équipement, formations…)</v>
      </c>
      <c r="AB1866" s="19" t="str">
        <f>C1866 &amp; "-" &amp; VLOOKUP(C1866,[4]RESULTATS!$E$1:$F$176,2,FALSE)</f>
        <v xml:space="preserve">581- Les cadres organiques des différentes structures sont redéfinis pour que leur efficacité s’améliore </v>
      </c>
      <c r="AC1866" s="20" t="str">
        <f>D1866 &amp; "-" &amp; VLOOKUP(D1866,[4]STRATEGIES!$E$1:$F$504,2,FALSE)</f>
        <v>5811-Évaluation des forces et faiblesses des cadres organiques à tous les niveaux</v>
      </c>
      <c r="AD1866" s="21" t="str">
        <f t="shared" si="279"/>
        <v>58114-travaux sur la révision du cadre organique en fonction des recommandations de l'état des lieux (pris en compte dans activité 58112)</v>
      </c>
    </row>
    <row r="1867" spans="1:30" s="22" customFormat="1" ht="60" hidden="1" customHeight="1" x14ac:dyDescent="0.8">
      <c r="A1867" s="14">
        <v>5</v>
      </c>
      <c r="B1867" s="15">
        <v>58</v>
      </c>
      <c r="C1867" s="15">
        <v>581</v>
      </c>
      <c r="D1867" s="15">
        <v>5812</v>
      </c>
      <c r="E1867" s="15">
        <v>5812</v>
      </c>
      <c r="F1867" s="16" t="s">
        <v>2329</v>
      </c>
      <c r="G1867" s="17"/>
      <c r="H1867" s="17"/>
      <c r="I1867" s="33">
        <v>0</v>
      </c>
      <c r="J1867" s="33"/>
      <c r="K1867" s="33"/>
      <c r="L1867" s="33"/>
      <c r="M1867" s="33"/>
      <c r="N1867" s="33"/>
      <c r="O1867" s="33"/>
      <c r="P1867" s="33"/>
      <c r="Q1867" s="33"/>
      <c r="R1867" s="33"/>
      <c r="S1867" s="33"/>
      <c r="T1867" s="33"/>
      <c r="U1867" s="18"/>
      <c r="V1867" s="18"/>
      <c r="W1867" s="18"/>
      <c r="X1867" s="18"/>
      <c r="Y1867" s="18"/>
      <c r="Z1867" s="18" t="str">
        <f>A1867 &amp; "-" &amp; VLOOKUP(A1867,[4]PROGRAMMES!$E$1:$F$7,2,FALSE)</f>
        <v>5-Gouvernance et pilotage du secteur</v>
      </c>
      <c r="AA1867" s="19" t="str">
        <f>B1867 &amp; "-" &amp; VLOOKUP(B1867,[4]SOUSPROGRAMMES!$E$1:$F$44,2,FALSE)</f>
        <v>58- Renforcement des compétences de l’administration (cadre normatif, poste-profil, évaluation, équipement, formations…)</v>
      </c>
      <c r="AB1867" s="19" t="str">
        <f>C1867 &amp; "-" &amp; VLOOKUP(C1867,[4]RESULTATS!$E$1:$F$176,2,FALSE)</f>
        <v xml:space="preserve">581- Les cadres organiques des différentes structures sont redéfinis pour que leur efficacité s’améliore </v>
      </c>
      <c r="AC1867" s="20" t="str">
        <f>D1867 &amp; "-" &amp; VLOOKUP(D1867,[4]STRATEGIES!$E$1:$F$504,2,FALSE)</f>
        <v>5812-Développement des cadres organiques adaptés (mission, attributions, organisation, nombre et profil de postes…)</v>
      </c>
      <c r="AD1867" s="21" t="str">
        <f t="shared" si="279"/>
        <v>5812-Développement des cadres organiques adaptés (mission, attributions, organisation, nombre et profil de postes…)</v>
      </c>
    </row>
    <row r="1868" spans="1:30" s="22" customFormat="1" ht="60" hidden="1" customHeight="1" x14ac:dyDescent="0.8">
      <c r="A1868" s="14">
        <v>5</v>
      </c>
      <c r="B1868" s="15">
        <v>58</v>
      </c>
      <c r="C1868" s="15">
        <v>581</v>
      </c>
      <c r="D1868" s="15">
        <v>5812</v>
      </c>
      <c r="E1868" s="15">
        <v>58121</v>
      </c>
      <c r="F1868" s="16" t="s">
        <v>2330</v>
      </c>
      <c r="G1868" s="21" t="s">
        <v>660</v>
      </c>
      <c r="H1868" s="17" t="s">
        <v>55</v>
      </c>
      <c r="I1868" s="33">
        <v>0</v>
      </c>
      <c r="J1868" s="33"/>
      <c r="K1868" s="33">
        <v>1</v>
      </c>
      <c r="L1868" s="33"/>
      <c r="M1868" s="33">
        <f t="shared" si="273"/>
        <v>1</v>
      </c>
      <c r="N1868" s="33">
        <f>IF(OR(H1868="",H1868="sif",H1868="PM"),0,VLOOKUP(H1868,[5]CU!$C$4:$H$255,6,FALSE))</f>
        <v>0</v>
      </c>
      <c r="O1868" s="33"/>
      <c r="P1868" s="33"/>
      <c r="Q1868" s="33"/>
      <c r="R1868" s="33"/>
      <c r="S1868" s="33"/>
      <c r="T1868" s="35" t="s">
        <v>56</v>
      </c>
      <c r="U1868" s="18" t="s">
        <v>1873</v>
      </c>
      <c r="V1868" s="18" t="str">
        <f>IF(OR($H1868="",$H1868="sif",$H1868="PM"),"",VLOOKUP($H1868,[5]CU!$C$5:$J$255,8,FALSE))</f>
        <v/>
      </c>
      <c r="W1868" s="18" t="s">
        <v>255</v>
      </c>
      <c r="X1868" s="18" t="s">
        <v>255</v>
      </c>
      <c r="Y1868" s="19" t="s">
        <v>32</v>
      </c>
      <c r="Z1868" s="18" t="str">
        <f>A1868 &amp; "-" &amp; VLOOKUP(A1868,[4]PROGRAMMES!$E$1:$F$7,2,FALSE)</f>
        <v>5-Gouvernance et pilotage du secteur</v>
      </c>
      <c r="AA1868" s="19" t="str">
        <f>B1868 &amp; "-" &amp; VLOOKUP(B1868,[4]SOUSPROGRAMMES!$E$1:$F$44,2,FALSE)</f>
        <v>58- Renforcement des compétences de l’administration (cadre normatif, poste-profil, évaluation, équipement, formations…)</v>
      </c>
      <c r="AB1868" s="19" t="str">
        <f>C1868 &amp; "-" &amp; VLOOKUP(C1868,[4]RESULTATS!$E$1:$F$176,2,FALSE)</f>
        <v xml:space="preserve">581- Les cadres organiques des différentes structures sont redéfinis pour que leur efficacité s’améliore </v>
      </c>
      <c r="AC1868" s="20" t="str">
        <f>D1868 &amp; "-" &amp; VLOOKUP(D1868,[4]STRATEGIES!$E$1:$F$504,2,FALSE)</f>
        <v>5812-Développement des cadres organiques adaptés (mission, attributions, organisation, nombre et profil de postes…)</v>
      </c>
      <c r="AD1868" s="21" t="str">
        <f t="shared" si="279"/>
        <v>58121-Adoption et publication d'actes administratifs sur les nouveaux cadres</v>
      </c>
    </row>
    <row r="1869" spans="1:30" s="22" customFormat="1" ht="60" hidden="1" customHeight="1" x14ac:dyDescent="0.8">
      <c r="A1869" s="14">
        <v>5</v>
      </c>
      <c r="B1869" s="15">
        <v>58</v>
      </c>
      <c r="C1869" s="15">
        <v>581</v>
      </c>
      <c r="D1869" s="15">
        <v>5812</v>
      </c>
      <c r="E1869" s="15">
        <v>58122</v>
      </c>
      <c r="F1869" s="16" t="s">
        <v>2331</v>
      </c>
      <c r="G1869" s="21" t="s">
        <v>92</v>
      </c>
      <c r="H1869" s="17" t="s">
        <v>55</v>
      </c>
      <c r="I1869" s="33">
        <v>0</v>
      </c>
      <c r="J1869" s="33"/>
      <c r="K1869" s="33">
        <v>1</v>
      </c>
      <c r="L1869" s="33"/>
      <c r="M1869" s="33">
        <f t="shared" si="273"/>
        <v>1</v>
      </c>
      <c r="N1869" s="33">
        <f>IF(OR(H1869="",H1869="sif",H1869="PM"),0,VLOOKUP(H1869,[5]CU!$C$4:$H$255,6,FALSE))</f>
        <v>0</v>
      </c>
      <c r="O1869" s="33"/>
      <c r="P1869" s="33"/>
      <c r="Q1869" s="33"/>
      <c r="R1869" s="33"/>
      <c r="S1869" s="33"/>
      <c r="T1869" s="35" t="s">
        <v>56</v>
      </c>
      <c r="U1869" s="18" t="s">
        <v>1873</v>
      </c>
      <c r="V1869" s="18" t="str">
        <f>IF(OR($H1869="",$H1869="sif",$H1869="PM"),"",VLOOKUP($H1869,[5]CU!$C$5:$J$255,8,FALSE))</f>
        <v/>
      </c>
      <c r="W1869" s="18" t="s">
        <v>255</v>
      </c>
      <c r="X1869" s="18" t="s">
        <v>255</v>
      </c>
      <c r="Y1869" s="19" t="s">
        <v>32</v>
      </c>
      <c r="Z1869" s="18" t="str">
        <f>A1869 &amp; "-" &amp; VLOOKUP(A1869,[4]PROGRAMMES!$E$1:$F$7,2,FALSE)</f>
        <v>5-Gouvernance et pilotage du secteur</v>
      </c>
      <c r="AA1869" s="19" t="str">
        <f>B1869 &amp; "-" &amp; VLOOKUP(B1869,[4]SOUSPROGRAMMES!$E$1:$F$44,2,FALSE)</f>
        <v>58- Renforcement des compétences de l’administration (cadre normatif, poste-profil, évaluation, équipement, formations…)</v>
      </c>
      <c r="AB1869" s="19" t="str">
        <f>C1869 &amp; "-" &amp; VLOOKUP(C1869,[4]RESULTATS!$E$1:$F$176,2,FALSE)</f>
        <v xml:space="preserve">581- Les cadres organiques des différentes structures sont redéfinis pour que leur efficacité s’améliore </v>
      </c>
      <c r="AC1869" s="20" t="str">
        <f>D1869 &amp; "-" &amp; VLOOKUP(D1869,[4]STRATEGIES!$E$1:$F$504,2,FALSE)</f>
        <v>5812-Développement des cadres organiques adaptés (mission, attributions, organisation, nombre et profil de postes…)</v>
      </c>
      <c r="AD1869" s="21" t="str">
        <f t="shared" si="279"/>
        <v>58122-Adaptation des manuels de procédures aux nouveaux cadres organiques (pris en compte dans 58112)</v>
      </c>
    </row>
    <row r="1870" spans="1:30" s="22" customFormat="1" ht="60" hidden="1" customHeight="1" x14ac:dyDescent="0.8">
      <c r="A1870" s="14">
        <v>5</v>
      </c>
      <c r="B1870" s="15">
        <v>58</v>
      </c>
      <c r="C1870" s="15">
        <v>581</v>
      </c>
      <c r="D1870" s="15">
        <v>5812</v>
      </c>
      <c r="E1870" s="15">
        <v>58123</v>
      </c>
      <c r="F1870" s="16" t="s">
        <v>2332</v>
      </c>
      <c r="G1870" s="21" t="s">
        <v>88</v>
      </c>
      <c r="H1870" s="17" t="s">
        <v>55</v>
      </c>
      <c r="I1870" s="33">
        <v>0</v>
      </c>
      <c r="J1870" s="33">
        <v>0</v>
      </c>
      <c r="K1870" s="33">
        <v>1</v>
      </c>
      <c r="L1870" s="33">
        <v>0</v>
      </c>
      <c r="M1870" s="33">
        <f t="shared" si="273"/>
        <v>1</v>
      </c>
      <c r="N1870" s="33">
        <f>IF(OR(H1870="",H1870="sif",H1870="PM"),0,VLOOKUP(H1870,[5]CU!$C$4:$H$255,6,FALSE))</f>
        <v>0</v>
      </c>
      <c r="O1870" s="33"/>
      <c r="P1870" s="33"/>
      <c r="Q1870" s="33"/>
      <c r="R1870" s="33"/>
      <c r="S1870" s="33"/>
      <c r="T1870" s="35" t="s">
        <v>56</v>
      </c>
      <c r="U1870" s="18" t="s">
        <v>1873</v>
      </c>
      <c r="V1870" s="18" t="str">
        <f>IF(OR($H1870="",$H1870="sif",$H1870="PM"),"",VLOOKUP($H1870,[5]CU!$C$5:$J$255,8,FALSE))</f>
        <v/>
      </c>
      <c r="W1870" s="18" t="s">
        <v>254</v>
      </c>
      <c r="X1870" s="18" t="s">
        <v>254</v>
      </c>
      <c r="Y1870" s="19" t="s">
        <v>32</v>
      </c>
      <c r="Z1870" s="18" t="str">
        <f>A1870 &amp; "-" &amp; VLOOKUP(A1870,[4]PROGRAMMES!$E$1:$F$7,2,FALSE)</f>
        <v>5-Gouvernance et pilotage du secteur</v>
      </c>
      <c r="AA1870" s="19" t="str">
        <f>B1870 &amp; "-" &amp; VLOOKUP(B1870,[4]SOUSPROGRAMMES!$E$1:$F$44,2,FALSE)</f>
        <v>58- Renforcement des compétences de l’administration (cadre normatif, poste-profil, évaluation, équipement, formations…)</v>
      </c>
      <c r="AB1870" s="19" t="str">
        <f>C1870 &amp; "-" &amp; VLOOKUP(C1870,[4]RESULTATS!$E$1:$F$176,2,FALSE)</f>
        <v xml:space="preserve">581- Les cadres organiques des différentes structures sont redéfinis pour que leur efficacité s’améliore </v>
      </c>
      <c r="AC1870" s="20" t="str">
        <f>D1870 &amp; "-" &amp; VLOOKUP(D1870,[4]STRATEGIES!$E$1:$F$504,2,FALSE)</f>
        <v>5812-Développement des cadres organiques adaptés (mission, attributions, organisation, nombre et profil de postes…)</v>
      </c>
      <c r="AD1870" s="21" t="str">
        <f t="shared" si="279"/>
        <v>58123-Ameublement des cadres organiques</v>
      </c>
    </row>
    <row r="1871" spans="1:30" s="22" customFormat="1" ht="60" hidden="1" customHeight="1" x14ac:dyDescent="0.8">
      <c r="A1871" s="14">
        <v>5</v>
      </c>
      <c r="B1871" s="15">
        <v>58</v>
      </c>
      <c r="C1871" s="15">
        <v>581</v>
      </c>
      <c r="D1871" s="15">
        <v>5812</v>
      </c>
      <c r="E1871" s="15">
        <v>58124</v>
      </c>
      <c r="F1871" s="16" t="s">
        <v>2333</v>
      </c>
      <c r="G1871" s="21" t="s">
        <v>660</v>
      </c>
      <c r="H1871" s="17" t="s">
        <v>55</v>
      </c>
      <c r="I1871" s="33">
        <v>0</v>
      </c>
      <c r="J1871" s="33"/>
      <c r="K1871" s="33">
        <v>1</v>
      </c>
      <c r="L1871" s="33"/>
      <c r="M1871" s="33">
        <f t="shared" si="273"/>
        <v>1</v>
      </c>
      <c r="N1871" s="33">
        <f>IF(OR(H1871="",H1871="sif",H1871="PM"),0,VLOOKUP(H1871,[5]CU!$C$4:$H$255,6,FALSE))</f>
        <v>0</v>
      </c>
      <c r="O1871" s="33"/>
      <c r="P1871" s="33"/>
      <c r="Q1871" s="33"/>
      <c r="R1871" s="33"/>
      <c r="S1871" s="33"/>
      <c r="T1871" s="35" t="s">
        <v>56</v>
      </c>
      <c r="U1871" s="18" t="s">
        <v>1873</v>
      </c>
      <c r="V1871" s="18" t="str">
        <f>IF(OR($H1871="",$H1871="sif",$H1871="PM"),"",VLOOKUP($H1871,[5]CU!$C$5:$J$255,8,FALSE))</f>
        <v/>
      </c>
      <c r="W1871" s="18" t="s">
        <v>2334</v>
      </c>
      <c r="X1871" s="18" t="s">
        <v>1607</v>
      </c>
      <c r="Y1871" s="18" t="s">
        <v>679</v>
      </c>
      <c r="Z1871" s="18" t="str">
        <f>A1871 &amp; "-" &amp; VLOOKUP(A1871,[4]PROGRAMMES!$E$1:$F$7,2,FALSE)</f>
        <v>5-Gouvernance et pilotage du secteur</v>
      </c>
      <c r="AA1871" s="19" t="str">
        <f>B1871 &amp; "-" &amp; VLOOKUP(B1871,[4]SOUSPROGRAMMES!$E$1:$F$44,2,FALSE)</f>
        <v>58- Renforcement des compétences de l’administration (cadre normatif, poste-profil, évaluation, équipement, formations…)</v>
      </c>
      <c r="AB1871" s="19" t="str">
        <f>C1871 &amp; "-" &amp; VLOOKUP(C1871,[4]RESULTATS!$E$1:$F$176,2,FALSE)</f>
        <v xml:space="preserve">581- Les cadres organiques des différentes structures sont redéfinis pour que leur efficacité s’améliore </v>
      </c>
      <c r="AC1871" s="20" t="str">
        <f>D1871 &amp; "-" &amp; VLOOKUP(D1871,[4]STRATEGIES!$E$1:$F$504,2,FALSE)</f>
        <v>5812-Développement des cadres organiques adaptés (mission, attributions, organisation, nombre et profil de postes…)</v>
      </c>
      <c r="AD1871" s="21" t="str">
        <f t="shared" si="279"/>
        <v>58124-Elaboration d'un texte réglementant les relations entre les universités et les communautés</v>
      </c>
    </row>
    <row r="1872" spans="1:30" s="22" customFormat="1" ht="60" hidden="1" customHeight="1" x14ac:dyDescent="0.8">
      <c r="A1872" s="14">
        <v>5</v>
      </c>
      <c r="B1872" s="15">
        <v>58</v>
      </c>
      <c r="C1872" s="15">
        <v>581</v>
      </c>
      <c r="D1872" s="15">
        <v>5812</v>
      </c>
      <c r="E1872" s="15">
        <v>58125</v>
      </c>
      <c r="F1872" s="16" t="s">
        <v>2335</v>
      </c>
      <c r="G1872" s="21" t="s">
        <v>298</v>
      </c>
      <c r="H1872" s="17" t="s">
        <v>66</v>
      </c>
      <c r="I1872" s="33">
        <v>0</v>
      </c>
      <c r="J1872" s="33">
        <f>15*10</f>
        <v>150</v>
      </c>
      <c r="K1872" s="33"/>
      <c r="L1872" s="33"/>
      <c r="M1872" s="33">
        <f t="shared" si="273"/>
        <v>150</v>
      </c>
      <c r="N1872" s="33">
        <f>IF(OR(H1872="",H1872="sif",H1872="PM"),0,VLOOKUP(H1872,[5]CU!$C$4:$H$255,6,FALSE))</f>
        <v>0.255</v>
      </c>
      <c r="O1872" s="33">
        <f>$N1872*I1872</f>
        <v>0</v>
      </c>
      <c r="P1872" s="33">
        <f>$N1872*J1872</f>
        <v>38.25</v>
      </c>
      <c r="Q1872" s="33">
        <f>$N1872*K1872</f>
        <v>0</v>
      </c>
      <c r="R1872" s="33">
        <f>$N1872*L1872</f>
        <v>0</v>
      </c>
      <c r="S1872" s="33">
        <f>SUM(O1872:R1872)</f>
        <v>38.25</v>
      </c>
      <c r="T1872" s="35" t="s">
        <v>118</v>
      </c>
      <c r="U1872" s="18" t="s">
        <v>1873</v>
      </c>
      <c r="V1872" s="18" t="str">
        <f>IF(OR($H1872="",$H1872="sif",$H1872="PM"),"",VLOOKUP($H1872,[5]CU!$C$5:$J$255,8,FALSE))</f>
        <v>3. Dépenses de fonctionnement</v>
      </c>
      <c r="W1872" s="18" t="s">
        <v>255</v>
      </c>
      <c r="X1872" s="18" t="s">
        <v>255</v>
      </c>
      <c r="Y1872" s="19" t="s">
        <v>32</v>
      </c>
      <c r="Z1872" s="18" t="str">
        <f>A1872 &amp; "-" &amp; VLOOKUP(A1872,[4]PROGRAMMES!$E$1:$F$7,2,FALSE)</f>
        <v>5-Gouvernance et pilotage du secteur</v>
      </c>
      <c r="AA1872" s="19" t="str">
        <f>B1872 &amp; "-" &amp; VLOOKUP(B1872,[4]SOUSPROGRAMMES!$E$1:$F$44,2,FALSE)</f>
        <v>58- Renforcement des compétences de l’administration (cadre normatif, poste-profil, évaluation, équipement, formations…)</v>
      </c>
      <c r="AB1872" s="19" t="str">
        <f>C1872 &amp; "-" &amp; VLOOKUP(C1872,[4]RESULTATS!$E$1:$F$176,2,FALSE)</f>
        <v xml:space="preserve">581- Les cadres organiques des différentes structures sont redéfinis pour que leur efficacité s’améliore </v>
      </c>
      <c r="AC1872" s="20" t="str">
        <f>D1872 &amp; "-" &amp; VLOOKUP(D1872,[4]STRATEGIES!$E$1:$F$504,2,FALSE)</f>
        <v>5812-Développement des cadres organiques adaptés (mission, attributions, organisation, nombre et profil de postes…)</v>
      </c>
      <c r="AD1872" s="21" t="str">
        <f t="shared" si="279"/>
        <v>58125-Mise à jour des textes règlementant la création, l'ouverture et le fonctionnement des établissements privés pré-universitaires</v>
      </c>
    </row>
    <row r="1873" spans="1:30" s="22" customFormat="1" ht="60" hidden="1" customHeight="1" x14ac:dyDescent="0.8">
      <c r="A1873" s="14">
        <v>5</v>
      </c>
      <c r="B1873" s="15">
        <v>58</v>
      </c>
      <c r="C1873" s="15">
        <v>581</v>
      </c>
      <c r="D1873" s="15">
        <v>5812</v>
      </c>
      <c r="E1873" s="15">
        <v>58126</v>
      </c>
      <c r="F1873" s="16" t="s">
        <v>2336</v>
      </c>
      <c r="G1873" s="21" t="s">
        <v>88</v>
      </c>
      <c r="H1873" s="17" t="s">
        <v>55</v>
      </c>
      <c r="I1873" s="33">
        <v>0</v>
      </c>
      <c r="J1873" s="33">
        <v>1</v>
      </c>
      <c r="K1873" s="33">
        <v>0</v>
      </c>
      <c r="L1873" s="33">
        <v>0</v>
      </c>
      <c r="M1873" s="33">
        <f t="shared" si="273"/>
        <v>1</v>
      </c>
      <c r="N1873" s="33">
        <f>IF(OR(H1873="",H1873="sif",H1873="PM"),0,VLOOKUP(H1873,[5]CU!$C$4:$H$255,6,FALSE))</f>
        <v>0</v>
      </c>
      <c r="O1873" s="33"/>
      <c r="P1873" s="33"/>
      <c r="Q1873" s="33"/>
      <c r="R1873" s="33"/>
      <c r="S1873" s="33"/>
      <c r="T1873" s="35" t="s">
        <v>56</v>
      </c>
      <c r="U1873" s="18" t="s">
        <v>1873</v>
      </c>
      <c r="V1873" s="18" t="str">
        <f>IF(OR($H1873="",$H1873="sif",$H1873="PM"),"",VLOOKUP($H1873,[5]CU!$C$5:$J$255,8,FALSE))</f>
        <v/>
      </c>
      <c r="W1873" s="18" t="s">
        <v>255</v>
      </c>
      <c r="X1873" s="18" t="s">
        <v>255</v>
      </c>
      <c r="Y1873" s="19" t="s">
        <v>32</v>
      </c>
      <c r="Z1873" s="18" t="str">
        <f>A1873 &amp; "-" &amp; VLOOKUP(A1873,[4]PROGRAMMES!$E$1:$F$7,2,FALSE)</f>
        <v>5-Gouvernance et pilotage du secteur</v>
      </c>
      <c r="AA1873" s="19" t="str">
        <f>B1873 &amp; "-" &amp; VLOOKUP(B1873,[4]SOUSPROGRAMMES!$E$1:$F$44,2,FALSE)</f>
        <v>58- Renforcement des compétences de l’administration (cadre normatif, poste-profil, évaluation, équipement, formations…)</v>
      </c>
      <c r="AB1873" s="19" t="str">
        <f>C1873 &amp; "-" &amp; VLOOKUP(C1873,[4]RESULTATS!$E$1:$F$176,2,FALSE)</f>
        <v xml:space="preserve">581- Les cadres organiques des différentes structures sont redéfinis pour que leur efficacité s’améliore </v>
      </c>
      <c r="AC1873" s="20" t="str">
        <f>D1873 &amp; "-" &amp; VLOOKUP(D1873,[4]STRATEGIES!$E$1:$F$504,2,FALSE)</f>
        <v>5812-Développement des cadres organiques adaptés (mission, attributions, organisation, nombre et profil de postes…)</v>
      </c>
      <c r="AD1873" s="21" t="str">
        <f t="shared" si="279"/>
        <v>58126-Adoption du texte sur les établissements privés</v>
      </c>
    </row>
    <row r="1874" spans="1:30" s="22" customFormat="1" ht="60" hidden="1" customHeight="1" x14ac:dyDescent="0.8">
      <c r="A1874" s="14">
        <v>5</v>
      </c>
      <c r="B1874" s="15">
        <v>58</v>
      </c>
      <c r="C1874" s="15">
        <v>581</v>
      </c>
      <c r="D1874" s="15">
        <v>5812</v>
      </c>
      <c r="E1874" s="15">
        <v>58127</v>
      </c>
      <c r="F1874" s="16" t="s">
        <v>2337</v>
      </c>
      <c r="G1874" s="21" t="s">
        <v>2338</v>
      </c>
      <c r="H1874" s="17" t="s">
        <v>38</v>
      </c>
      <c r="I1874" s="33">
        <v>0</v>
      </c>
      <c r="J1874" s="33">
        <f>100*2</f>
        <v>200</v>
      </c>
      <c r="K1874" s="33"/>
      <c r="L1874" s="33"/>
      <c r="M1874" s="33">
        <f t="shared" si="273"/>
        <v>200</v>
      </c>
      <c r="N1874" s="33">
        <f>IF(OR(H1874="",H1874="sif",H1874="PM"),0,VLOOKUP(H1874,[5]CU!$C$4:$H$255,6,FALSE))</f>
        <v>0.3133333333333333</v>
      </c>
      <c r="O1874" s="33">
        <f t="shared" ref="O1874:R1877" si="281">$N1874*I1874</f>
        <v>0</v>
      </c>
      <c r="P1874" s="33">
        <f t="shared" si="281"/>
        <v>62.666666666666657</v>
      </c>
      <c r="Q1874" s="33">
        <f t="shared" si="281"/>
        <v>0</v>
      </c>
      <c r="R1874" s="33">
        <f t="shared" si="281"/>
        <v>0</v>
      </c>
      <c r="S1874" s="33">
        <f>SUM(O1874:R1874)</f>
        <v>62.666666666666657</v>
      </c>
      <c r="T1874" s="35" t="s">
        <v>118</v>
      </c>
      <c r="U1874" s="18" t="s">
        <v>1873</v>
      </c>
      <c r="V1874" s="18" t="str">
        <f>IF(OR($H1874="",$H1874="sif",$H1874="PM"),"",VLOOKUP($H1874,[5]CU!$C$5:$J$255,8,FALSE))</f>
        <v>3. Formation</v>
      </c>
      <c r="W1874" s="18" t="s">
        <v>255</v>
      </c>
      <c r="X1874" s="18" t="s">
        <v>255</v>
      </c>
      <c r="Y1874" s="19" t="s">
        <v>32</v>
      </c>
      <c r="Z1874" s="18" t="str">
        <f>A1874 &amp; "-" &amp; VLOOKUP(A1874,[4]PROGRAMMES!$E$1:$F$7,2,FALSE)</f>
        <v>5-Gouvernance et pilotage du secteur</v>
      </c>
      <c r="AA1874" s="19" t="str">
        <f>B1874 &amp; "-" &amp; VLOOKUP(B1874,[4]SOUSPROGRAMMES!$E$1:$F$44,2,FALSE)</f>
        <v>58- Renforcement des compétences de l’administration (cadre normatif, poste-profil, évaluation, équipement, formations…)</v>
      </c>
      <c r="AB1874" s="19" t="str">
        <f>C1874 &amp; "-" &amp; VLOOKUP(C1874,[4]RESULTATS!$E$1:$F$176,2,FALSE)</f>
        <v xml:space="preserve">581- Les cadres organiques des différentes structures sont redéfinis pour que leur efficacité s’améliore </v>
      </c>
      <c r="AC1874" s="20" t="str">
        <f>D1874 &amp; "-" &amp; VLOOKUP(D1874,[4]STRATEGIES!$E$1:$F$504,2,FALSE)</f>
        <v>5812-Développement des cadres organiques adaptés (mission, attributions, organisation, nombre et profil de postes…)</v>
      </c>
      <c r="AD1874" s="21" t="str">
        <f t="shared" si="279"/>
        <v>58127-Organisation d'un forum sur l'enseignement privé</v>
      </c>
    </row>
    <row r="1875" spans="1:30" s="22" customFormat="1" ht="60" hidden="1" customHeight="1" x14ac:dyDescent="0.8">
      <c r="A1875" s="14">
        <v>5</v>
      </c>
      <c r="B1875" s="15">
        <v>58</v>
      </c>
      <c r="C1875" s="15">
        <v>581</v>
      </c>
      <c r="D1875" s="15">
        <v>5813</v>
      </c>
      <c r="E1875" s="15">
        <v>5813</v>
      </c>
      <c r="F1875" s="16" t="s">
        <v>2339</v>
      </c>
      <c r="G1875" s="17"/>
      <c r="H1875" s="17"/>
      <c r="I1875" s="33">
        <v>0</v>
      </c>
      <c r="J1875" s="33"/>
      <c r="K1875" s="33"/>
      <c r="L1875" s="33"/>
      <c r="M1875" s="33"/>
      <c r="N1875" s="33"/>
      <c r="O1875" s="33"/>
      <c r="P1875" s="33"/>
      <c r="Q1875" s="33"/>
      <c r="R1875" s="33"/>
      <c r="S1875" s="33"/>
      <c r="T1875" s="33"/>
      <c r="U1875" s="18"/>
      <c r="V1875" s="18"/>
      <c r="W1875" s="18"/>
      <c r="X1875" s="18"/>
      <c r="Y1875" s="18"/>
      <c r="Z1875" s="18" t="str">
        <f>A1875 &amp; "-" &amp; VLOOKUP(A1875,[4]PROGRAMMES!$E$1:$F$7,2,FALSE)</f>
        <v>5-Gouvernance et pilotage du secteur</v>
      </c>
      <c r="AA1875" s="19" t="str">
        <f>B1875 &amp; "-" &amp; VLOOKUP(B1875,[4]SOUSPROGRAMMES!$E$1:$F$44,2,FALSE)</f>
        <v>58- Renforcement des compétences de l’administration (cadre normatif, poste-profil, évaluation, équipement, formations…)</v>
      </c>
      <c r="AB1875" s="19" t="str">
        <f>C1875 &amp; "-" &amp; VLOOKUP(C1875,[4]RESULTATS!$E$1:$F$176,2,FALSE)</f>
        <v xml:space="preserve">581- Les cadres organiques des différentes structures sont redéfinis pour que leur efficacité s’améliore </v>
      </c>
      <c r="AC1875" s="20" t="str">
        <f>D1875 &amp; "-" &amp; VLOOKUP(D1875,[4]STRATEGIES!$E$1:$F$504,2,FALSE)</f>
        <v>5813-Dissémination des cadres organiques et sensibilisation des acteurs concernés</v>
      </c>
      <c r="AD1875" s="21" t="str">
        <f t="shared" si="279"/>
        <v>5813-Dissémination des cadres organiques et sensibilisation des acteurs concernés</v>
      </c>
    </row>
    <row r="1876" spans="1:30" s="22" customFormat="1" ht="60" hidden="1" customHeight="1" x14ac:dyDescent="0.8">
      <c r="A1876" s="14">
        <v>5</v>
      </c>
      <c r="B1876" s="15">
        <v>58</v>
      </c>
      <c r="C1876" s="15">
        <v>581</v>
      </c>
      <c r="D1876" s="15">
        <v>5813</v>
      </c>
      <c r="E1876" s="15">
        <v>58131</v>
      </c>
      <c r="F1876" s="16" t="s">
        <v>2340</v>
      </c>
      <c r="G1876" s="21" t="s">
        <v>44</v>
      </c>
      <c r="H1876" s="17" t="s">
        <v>452</v>
      </c>
      <c r="I1876" s="33">
        <v>0</v>
      </c>
      <c r="J1876" s="33">
        <f>(9+40)*100</f>
        <v>4900</v>
      </c>
      <c r="K1876" s="33"/>
      <c r="L1876" s="33"/>
      <c r="M1876" s="33">
        <f t="shared" si="273"/>
        <v>4900</v>
      </c>
      <c r="N1876" s="33">
        <f>IF(OR(H1876="",H1876="sif",H1876="PM"),0,VLOOKUP(H1876,[5]CU!$C$4:$H$255,6,FALSE))</f>
        <v>7.4999999999999997E-3</v>
      </c>
      <c r="O1876" s="33">
        <f t="shared" si="281"/>
        <v>0</v>
      </c>
      <c r="P1876" s="33">
        <f t="shared" si="281"/>
        <v>36.75</v>
      </c>
      <c r="Q1876" s="33">
        <f t="shared" si="281"/>
        <v>0</v>
      </c>
      <c r="R1876" s="33">
        <f t="shared" si="281"/>
        <v>0</v>
      </c>
      <c r="S1876" s="33">
        <f>SUM(O1876:R1876)</f>
        <v>36.75</v>
      </c>
      <c r="T1876" s="35" t="s">
        <v>118</v>
      </c>
      <c r="U1876" s="18" t="s">
        <v>1873</v>
      </c>
      <c r="V1876" s="18" t="str">
        <f>IF(OR($H1876="",$H1876="sif",$H1876="PM"),"",VLOOKUP($H1876,[5]CU!$C$5:$J$255,8,FALSE))</f>
        <v>3. Dépenses de fonctionnement</v>
      </c>
      <c r="W1876" s="18" t="s">
        <v>255</v>
      </c>
      <c r="X1876" s="18" t="s">
        <v>255</v>
      </c>
      <c r="Y1876" s="19" t="s">
        <v>32</v>
      </c>
      <c r="Z1876" s="18" t="str">
        <f>A1876 &amp; "-" &amp; VLOOKUP(A1876,[4]PROGRAMMES!$E$1:$F$7,2,FALSE)</f>
        <v>5-Gouvernance et pilotage du secteur</v>
      </c>
      <c r="AA1876" s="19" t="str">
        <f>B1876 &amp; "-" &amp; VLOOKUP(B1876,[4]SOUSPROGRAMMES!$E$1:$F$44,2,FALSE)</f>
        <v>58- Renforcement des compétences de l’administration (cadre normatif, poste-profil, évaluation, équipement, formations…)</v>
      </c>
      <c r="AB1876" s="19" t="str">
        <f>C1876 &amp; "-" &amp; VLOOKUP(C1876,[4]RESULTATS!$E$1:$F$176,2,FALSE)</f>
        <v xml:space="preserve">581- Les cadres organiques des différentes structures sont redéfinis pour que leur efficacité s’améliore </v>
      </c>
      <c r="AC1876" s="20" t="str">
        <f>D1876 &amp; "-" &amp; VLOOKUP(D1876,[4]STRATEGIES!$E$1:$F$504,2,FALSE)</f>
        <v>5813-Dissémination des cadres organiques et sensibilisation des acteurs concernés</v>
      </c>
      <c r="AD1876" s="21" t="str">
        <f t="shared" si="279"/>
        <v xml:space="preserve">58131-Reproduction des manuels de procédures </v>
      </c>
    </row>
    <row r="1877" spans="1:30" s="22" customFormat="1" ht="60" hidden="1" customHeight="1" x14ac:dyDescent="0.8">
      <c r="A1877" s="14">
        <v>5</v>
      </c>
      <c r="B1877" s="15">
        <v>58</v>
      </c>
      <c r="C1877" s="15">
        <v>581</v>
      </c>
      <c r="D1877" s="15">
        <v>5813</v>
      </c>
      <c r="E1877" s="15">
        <v>58132</v>
      </c>
      <c r="F1877" s="16" t="s">
        <v>2341</v>
      </c>
      <c r="G1877" s="21" t="s">
        <v>315</v>
      </c>
      <c r="H1877" s="17" t="s">
        <v>59</v>
      </c>
      <c r="I1877" s="33">
        <v>0</v>
      </c>
      <c r="J1877" s="33">
        <f>(3*8*3)*3</f>
        <v>216</v>
      </c>
      <c r="K1877" s="33"/>
      <c r="L1877" s="33"/>
      <c r="M1877" s="33">
        <f t="shared" si="273"/>
        <v>216</v>
      </c>
      <c r="N1877" s="33">
        <f>IF(OR(H1877="",H1877="sif",H1877="PM"),0,VLOOKUP(H1877,[5]CU!$C$4:$H$255,6,FALSE))</f>
        <v>0.8177777777777776</v>
      </c>
      <c r="O1877" s="33">
        <f t="shared" si="281"/>
        <v>0</v>
      </c>
      <c r="P1877" s="33">
        <f t="shared" si="281"/>
        <v>176.63999999999996</v>
      </c>
      <c r="Q1877" s="33">
        <f t="shared" si="281"/>
        <v>0</v>
      </c>
      <c r="R1877" s="33">
        <f t="shared" si="281"/>
        <v>0</v>
      </c>
      <c r="S1877" s="33">
        <f>SUM(O1877:R1877)</f>
        <v>176.63999999999996</v>
      </c>
      <c r="T1877" s="35" t="s">
        <v>118</v>
      </c>
      <c r="U1877" s="18" t="s">
        <v>1873</v>
      </c>
      <c r="V1877" s="18" t="str">
        <f>IF(OR($H1877="",$H1877="sif",$H1877="PM"),"",VLOOKUP($H1877,[5]CU!$C$5:$J$255,8,FALSE))</f>
        <v>3. Dépenses de fonctionnement</v>
      </c>
      <c r="W1877" s="18" t="s">
        <v>255</v>
      </c>
      <c r="X1877" s="18" t="s">
        <v>255</v>
      </c>
      <c r="Y1877" s="19" t="s">
        <v>32</v>
      </c>
      <c r="Z1877" s="18" t="str">
        <f>A1877 &amp; "-" &amp; VLOOKUP(A1877,[4]PROGRAMMES!$E$1:$F$7,2,FALSE)</f>
        <v>5-Gouvernance et pilotage du secteur</v>
      </c>
      <c r="AA1877" s="19" t="str">
        <f>B1877 &amp; "-" &amp; VLOOKUP(B1877,[4]SOUSPROGRAMMES!$E$1:$F$44,2,FALSE)</f>
        <v>58- Renforcement des compétences de l’administration (cadre normatif, poste-profil, évaluation, équipement, formations…)</v>
      </c>
      <c r="AB1877" s="19" t="str">
        <f>C1877 &amp; "-" &amp; VLOOKUP(C1877,[4]RESULTATS!$E$1:$F$176,2,FALSE)</f>
        <v xml:space="preserve">581- Les cadres organiques des différentes structures sont redéfinis pour que leur efficacité s’améliore </v>
      </c>
      <c r="AC1877" s="20" t="str">
        <f>D1877 &amp; "-" &amp; VLOOKUP(D1877,[4]STRATEGIES!$E$1:$F$504,2,FALSE)</f>
        <v>5813-Dissémination des cadres organiques et sensibilisation des acteurs concernés</v>
      </c>
      <c r="AD1877" s="21" t="str">
        <f t="shared" si="279"/>
        <v>58132-Organisation de sessions de partage des manuels de procédures et remise des manuels</v>
      </c>
    </row>
    <row r="1878" spans="1:30" s="22" customFormat="1" ht="60" hidden="1" customHeight="1" x14ac:dyDescent="0.8">
      <c r="A1878" s="14">
        <v>5</v>
      </c>
      <c r="B1878" s="15">
        <v>58</v>
      </c>
      <c r="C1878" s="15">
        <v>581</v>
      </c>
      <c r="D1878" s="15">
        <v>5814</v>
      </c>
      <c r="E1878" s="15">
        <v>5814</v>
      </c>
      <c r="F1878" s="16" t="s">
        <v>2342</v>
      </c>
      <c r="G1878" s="17"/>
      <c r="H1878" s="17"/>
      <c r="I1878" s="33">
        <v>0</v>
      </c>
      <c r="J1878" s="33"/>
      <c r="K1878" s="33"/>
      <c r="L1878" s="33"/>
      <c r="M1878" s="33"/>
      <c r="N1878" s="33"/>
      <c r="O1878" s="33"/>
      <c r="P1878" s="33"/>
      <c r="Q1878" s="33"/>
      <c r="R1878" s="33"/>
      <c r="S1878" s="33"/>
      <c r="T1878" s="33"/>
      <c r="U1878" s="18"/>
      <c r="V1878" s="18"/>
      <c r="W1878" s="18"/>
      <c r="X1878" s="18"/>
      <c r="Y1878" s="18"/>
      <c r="Z1878" s="18" t="str">
        <f>A1878 &amp; "-" &amp; VLOOKUP(A1878,[4]PROGRAMMES!$E$1:$F$7,2,FALSE)</f>
        <v>5-Gouvernance et pilotage du secteur</v>
      </c>
      <c r="AA1878" s="19" t="str">
        <f>B1878 &amp; "-" &amp; VLOOKUP(B1878,[4]SOUSPROGRAMMES!$E$1:$F$44,2,FALSE)</f>
        <v>58- Renforcement des compétences de l’administration (cadre normatif, poste-profil, évaluation, équipement, formations…)</v>
      </c>
      <c r="AB1878" s="19" t="str">
        <f>C1878 &amp; "-" &amp; VLOOKUP(C1878,[4]RESULTATS!$E$1:$F$176,2,FALSE)</f>
        <v xml:space="preserve">581- Les cadres organiques des différentes structures sont redéfinis pour que leur efficacité s’améliore </v>
      </c>
      <c r="AC1878" s="20" t="str">
        <f>D1878 &amp; "-" &amp; VLOOKUP(D1878,[4]STRATEGIES!$E$1:$F$504,2,FALSE)</f>
        <v>5814-Collecte et analyse périodique d’informations sur le respect des cadres organiques</v>
      </c>
      <c r="AD1878" s="21" t="str">
        <f t="shared" si="279"/>
        <v>5814-Collecte et analyse périodique d’informations sur le respect des cadres organiques</v>
      </c>
    </row>
    <row r="1879" spans="1:30" s="22" customFormat="1" ht="60" hidden="1" customHeight="1" x14ac:dyDescent="0.8">
      <c r="A1879" s="14">
        <v>5</v>
      </c>
      <c r="B1879" s="15">
        <v>58</v>
      </c>
      <c r="C1879" s="15">
        <v>581</v>
      </c>
      <c r="D1879" s="15">
        <v>5814</v>
      </c>
      <c r="E1879" s="15">
        <v>58141</v>
      </c>
      <c r="F1879" s="16" t="s">
        <v>2343</v>
      </c>
      <c r="G1879" s="21" t="s">
        <v>88</v>
      </c>
      <c r="H1879" s="17" t="s">
        <v>55</v>
      </c>
      <c r="I1879" s="33">
        <v>0</v>
      </c>
      <c r="J1879" s="33"/>
      <c r="K1879" s="33">
        <v>1</v>
      </c>
      <c r="L1879" s="33">
        <v>1</v>
      </c>
      <c r="M1879" s="33">
        <f t="shared" si="273"/>
        <v>2</v>
      </c>
      <c r="N1879" s="33">
        <f>IF(OR(H1879="",H1879="sif",H1879="PM"),0,VLOOKUP(H1879,[5]CU!$C$4:$H$255,6,FALSE))</f>
        <v>0</v>
      </c>
      <c r="O1879" s="33"/>
      <c r="P1879" s="33"/>
      <c r="Q1879" s="33"/>
      <c r="R1879" s="33"/>
      <c r="S1879" s="33"/>
      <c r="T1879" s="35" t="s">
        <v>56</v>
      </c>
      <c r="U1879" s="18" t="s">
        <v>1873</v>
      </c>
      <c r="V1879" s="18" t="str">
        <f>IF(OR($H1879="",$H1879="sif",$H1879="PM"),"",VLOOKUP($H1879,[5]CU!$C$5:$J$255,8,FALSE))</f>
        <v/>
      </c>
      <c r="W1879" s="18" t="s">
        <v>273</v>
      </c>
      <c r="X1879" s="18" t="s">
        <v>273</v>
      </c>
      <c r="Y1879" s="19" t="s">
        <v>32</v>
      </c>
      <c r="Z1879" s="18" t="str">
        <f>A1879 &amp; "-" &amp; VLOOKUP(A1879,[4]PROGRAMMES!$E$1:$F$7,2,FALSE)</f>
        <v>5-Gouvernance et pilotage du secteur</v>
      </c>
      <c r="AA1879" s="19" t="str">
        <f>B1879 &amp; "-" &amp; VLOOKUP(B1879,[4]SOUSPROGRAMMES!$E$1:$F$44,2,FALSE)</f>
        <v>58- Renforcement des compétences de l’administration (cadre normatif, poste-profil, évaluation, équipement, formations…)</v>
      </c>
      <c r="AB1879" s="19" t="str">
        <f>C1879 &amp; "-" &amp; VLOOKUP(C1879,[4]RESULTATS!$E$1:$F$176,2,FALSE)</f>
        <v xml:space="preserve">581- Les cadres organiques des différentes structures sont redéfinis pour que leur efficacité s’améliore </v>
      </c>
      <c r="AC1879" s="20" t="str">
        <f>D1879 &amp; "-" &amp; VLOOKUP(D1879,[4]STRATEGIES!$E$1:$F$504,2,FALSE)</f>
        <v>5814-Collecte et analyse périodique d’informations sur le respect des cadres organiques</v>
      </c>
      <c r="AD1879" s="21" t="str">
        <f t="shared" si="279"/>
        <v>58141-Organisation d'inspections périodiques</v>
      </c>
    </row>
    <row r="1880" spans="1:30" s="22" customFormat="1" ht="60" hidden="1" customHeight="1" x14ac:dyDescent="0.8">
      <c r="A1880" s="14">
        <v>5</v>
      </c>
      <c r="B1880" s="15">
        <v>58</v>
      </c>
      <c r="C1880" s="15">
        <v>581</v>
      </c>
      <c r="D1880" s="15">
        <v>5814</v>
      </c>
      <c r="E1880" s="15">
        <v>58142</v>
      </c>
      <c r="F1880" s="16" t="s">
        <v>2344</v>
      </c>
      <c r="G1880" s="21" t="s">
        <v>88</v>
      </c>
      <c r="H1880" s="17" t="s">
        <v>55</v>
      </c>
      <c r="I1880" s="33">
        <v>0</v>
      </c>
      <c r="J1880" s="33"/>
      <c r="K1880" s="33">
        <v>1</v>
      </c>
      <c r="L1880" s="33">
        <v>1</v>
      </c>
      <c r="M1880" s="33">
        <f t="shared" si="273"/>
        <v>2</v>
      </c>
      <c r="N1880" s="33">
        <f>IF(OR(H1880="",H1880="sif",H1880="PM"),0,VLOOKUP(H1880,[5]CU!$C$4:$H$255,6,FALSE))</f>
        <v>0</v>
      </c>
      <c r="O1880" s="33"/>
      <c r="P1880" s="33"/>
      <c r="Q1880" s="33"/>
      <c r="R1880" s="33"/>
      <c r="S1880" s="33"/>
      <c r="T1880" s="35" t="s">
        <v>56</v>
      </c>
      <c r="U1880" s="18" t="s">
        <v>1873</v>
      </c>
      <c r="V1880" s="18" t="str">
        <f>IF(OR($H1880="",$H1880="sif",$H1880="PM"),"",VLOOKUP($H1880,[5]CU!$C$5:$J$255,8,FALSE))</f>
        <v/>
      </c>
      <c r="W1880" s="18" t="s">
        <v>254</v>
      </c>
      <c r="X1880" s="18" t="s">
        <v>254</v>
      </c>
      <c r="Y1880" s="19" t="s">
        <v>32</v>
      </c>
      <c r="Z1880" s="18" t="str">
        <f>A1880 &amp; "-" &amp; VLOOKUP(A1880,[4]PROGRAMMES!$E$1:$F$7,2,FALSE)</f>
        <v>5-Gouvernance et pilotage du secteur</v>
      </c>
      <c r="AA1880" s="19" t="str">
        <f>B1880 &amp; "-" &amp; VLOOKUP(B1880,[4]SOUSPROGRAMMES!$E$1:$F$44,2,FALSE)</f>
        <v>58- Renforcement des compétences de l’administration (cadre normatif, poste-profil, évaluation, équipement, formations…)</v>
      </c>
      <c r="AB1880" s="19" t="str">
        <f>C1880 &amp; "-" &amp; VLOOKUP(C1880,[4]RESULTATS!$E$1:$F$176,2,FALSE)</f>
        <v xml:space="preserve">581- Les cadres organiques des différentes structures sont redéfinis pour que leur efficacité s’améliore </v>
      </c>
      <c r="AC1880" s="20" t="str">
        <f>D1880 &amp; "-" &amp; VLOOKUP(D1880,[4]STRATEGIES!$E$1:$F$504,2,FALSE)</f>
        <v>5814-Collecte et analyse périodique d’informations sur le respect des cadres organiques</v>
      </c>
      <c r="AD1880" s="21" t="str">
        <f t="shared" si="279"/>
        <v>58142-Analyse et prise de décisions</v>
      </c>
    </row>
    <row r="1881" spans="1:30" s="22" customFormat="1" ht="60" hidden="1" customHeight="1" x14ac:dyDescent="0.8">
      <c r="A1881" s="14">
        <v>5</v>
      </c>
      <c r="B1881" s="15">
        <v>58</v>
      </c>
      <c r="C1881" s="15">
        <v>582</v>
      </c>
      <c r="D1881" s="15">
        <v>582</v>
      </c>
      <c r="E1881" s="15">
        <v>582</v>
      </c>
      <c r="F1881" s="16" t="s">
        <v>2345</v>
      </c>
      <c r="G1881" s="17"/>
      <c r="H1881" s="17"/>
      <c r="I1881" s="33">
        <v>0</v>
      </c>
      <c r="J1881" s="33"/>
      <c r="K1881" s="33"/>
      <c r="L1881" s="33"/>
      <c r="M1881" s="33"/>
      <c r="N1881" s="33"/>
      <c r="O1881" s="33"/>
      <c r="P1881" s="33"/>
      <c r="Q1881" s="33"/>
      <c r="R1881" s="33"/>
      <c r="S1881" s="33"/>
      <c r="T1881" s="33"/>
      <c r="U1881" s="18"/>
      <c r="V1881" s="18"/>
      <c r="W1881" s="18"/>
      <c r="X1881" s="18"/>
      <c r="Y1881" s="18"/>
      <c r="Z1881" s="18" t="str">
        <f>A1881 &amp; "-" &amp; VLOOKUP(A1881,[4]PROGRAMMES!$E$1:$F$7,2,FALSE)</f>
        <v>5-Gouvernance et pilotage du secteur</v>
      </c>
      <c r="AA1881" s="19" t="str">
        <f>B1881 &amp; "-" &amp; VLOOKUP(B1881,[4]SOUSPROGRAMMES!$E$1:$F$44,2,FALSE)</f>
        <v>58- Renforcement des compétences de l’administration (cadre normatif, poste-profil, évaluation, équipement, formations…)</v>
      </c>
      <c r="AB1881" s="19" t="str">
        <f>C1881 &amp; "-" &amp; VLOOKUP(C1881,[4]RESULTATS!$E$1:$F$176,2,FALSE)</f>
        <v>582- Le plan de relève permet l’existence continue d’un corps administratif compétent</v>
      </c>
      <c r="AC1881" s="20" t="str">
        <f>D1881 &amp; "-" &amp; VLOOKUP(D1881,[4]STRATEGIES!$E$1:$F$504,2,FALSE)</f>
        <v>582- Le plan de relève permet l’existence continue d’un corps administratif compétent</v>
      </c>
      <c r="AD1881" s="21" t="str">
        <f t="shared" si="279"/>
        <v>582- Le plan de relève permet l’existence continue d’un corps administratif compétent</v>
      </c>
    </row>
    <row r="1882" spans="1:30" s="22" customFormat="1" ht="60" hidden="1" customHeight="1" x14ac:dyDescent="0.8">
      <c r="A1882" s="14">
        <v>5</v>
      </c>
      <c r="B1882" s="15">
        <v>58</v>
      </c>
      <c r="C1882" s="15">
        <v>582</v>
      </c>
      <c r="D1882" s="15">
        <v>5821</v>
      </c>
      <c r="E1882" s="15">
        <v>5821</v>
      </c>
      <c r="F1882" s="16" t="s">
        <v>2346</v>
      </c>
      <c r="G1882" s="17"/>
      <c r="H1882" s="17"/>
      <c r="I1882" s="33">
        <v>0</v>
      </c>
      <c r="J1882" s="33"/>
      <c r="K1882" s="33"/>
      <c r="L1882" s="33"/>
      <c r="M1882" s="33"/>
      <c r="N1882" s="33"/>
      <c r="O1882" s="33"/>
      <c r="P1882" s="33"/>
      <c r="Q1882" s="33"/>
      <c r="R1882" s="33"/>
      <c r="S1882" s="33"/>
      <c r="T1882" s="33"/>
      <c r="U1882" s="18"/>
      <c r="V1882" s="18"/>
      <c r="W1882" s="18"/>
      <c r="X1882" s="18"/>
      <c r="Y1882" s="18"/>
      <c r="Z1882" s="18" t="str">
        <f>A1882 &amp; "-" &amp; VLOOKUP(A1882,[4]PROGRAMMES!$E$1:$F$7,2,FALSE)</f>
        <v>5-Gouvernance et pilotage du secteur</v>
      </c>
      <c r="AA1882" s="19" t="str">
        <f>B1882 &amp; "-" &amp; VLOOKUP(B1882,[4]SOUSPROGRAMMES!$E$1:$F$44,2,FALSE)</f>
        <v>58- Renforcement des compétences de l’administration (cadre normatif, poste-profil, évaluation, équipement, formations…)</v>
      </c>
      <c r="AB1882" s="19" t="str">
        <f>C1882 &amp; "-" &amp; VLOOKUP(C1882,[4]RESULTATS!$E$1:$F$176,2,FALSE)</f>
        <v>582- Le plan de relève permet l’existence continue d’un corps administratif compétent</v>
      </c>
      <c r="AC1882" s="20" t="str">
        <f>D1882 &amp; "-" &amp; VLOOKUP(D1882,[4]STRATEGIES!$E$1:$F$504,2,FALSE)</f>
        <v>5821-Création d’un corps d’administrateurs scolaires et d’un corps d’inspecteurs</v>
      </c>
      <c r="AD1882" s="21" t="str">
        <f t="shared" si="279"/>
        <v>5821-Création d’un corps d’administrateurs scolaires et d’un corps d’inspecteurs</v>
      </c>
    </row>
    <row r="1883" spans="1:30" s="22" customFormat="1" ht="60" hidden="1" customHeight="1" x14ac:dyDescent="0.8">
      <c r="A1883" s="14">
        <v>5</v>
      </c>
      <c r="B1883" s="15">
        <v>58</v>
      </c>
      <c r="C1883" s="15">
        <v>582</v>
      </c>
      <c r="D1883" s="15">
        <v>5821</v>
      </c>
      <c r="E1883" s="15">
        <v>58211</v>
      </c>
      <c r="F1883" s="16" t="s">
        <v>2347</v>
      </c>
      <c r="G1883" s="21" t="s">
        <v>88</v>
      </c>
      <c r="H1883" s="17" t="s">
        <v>55</v>
      </c>
      <c r="I1883" s="33">
        <v>0</v>
      </c>
      <c r="J1883" s="33">
        <v>1</v>
      </c>
      <c r="K1883" s="33">
        <v>0</v>
      </c>
      <c r="L1883" s="33">
        <v>0</v>
      </c>
      <c r="M1883" s="33">
        <f t="shared" si="273"/>
        <v>1</v>
      </c>
      <c r="N1883" s="33">
        <f>IF(OR(H1883="",H1883="sif",H1883="PM"),0,VLOOKUP(H1883,[5]CU!$C$4:$H$255,6,FALSE))</f>
        <v>0</v>
      </c>
      <c r="O1883" s="33"/>
      <c r="P1883" s="33"/>
      <c r="Q1883" s="33"/>
      <c r="R1883" s="33"/>
      <c r="S1883" s="33"/>
      <c r="T1883" s="35" t="s">
        <v>56</v>
      </c>
      <c r="U1883" s="18" t="s">
        <v>1873</v>
      </c>
      <c r="V1883" s="18" t="str">
        <f>IF(OR($H1883="",$H1883="sif",$H1883="PM"),"",VLOOKUP($H1883,[5]CU!$C$5:$J$255,8,FALSE))</f>
        <v/>
      </c>
      <c r="W1883" s="18" t="s">
        <v>273</v>
      </c>
      <c r="X1883" s="18" t="s">
        <v>273</v>
      </c>
      <c r="Y1883" s="19" t="s">
        <v>32</v>
      </c>
      <c r="Z1883" s="18" t="str">
        <f>A1883 &amp; "-" &amp; VLOOKUP(A1883,[4]PROGRAMMES!$E$1:$F$7,2,FALSE)</f>
        <v>5-Gouvernance et pilotage du secteur</v>
      </c>
      <c r="AA1883" s="19" t="str">
        <f>B1883 &amp; "-" &amp; VLOOKUP(B1883,[4]SOUSPROGRAMMES!$E$1:$F$44,2,FALSE)</f>
        <v>58- Renforcement des compétences de l’administration (cadre normatif, poste-profil, évaluation, équipement, formations…)</v>
      </c>
      <c r="AB1883" s="19" t="str">
        <f>C1883 &amp; "-" &amp; VLOOKUP(C1883,[4]RESULTATS!$E$1:$F$176,2,FALSE)</f>
        <v>582- Le plan de relève permet l’existence continue d’un corps administratif compétent</v>
      </c>
      <c r="AC1883" s="20" t="str">
        <f>D1883 &amp; "-" &amp; VLOOKUP(D1883,[4]STRATEGIES!$E$1:$F$504,2,FALSE)</f>
        <v>5821-Création d’un corps d’administrateurs scolaires et d’un corps d’inspecteurs</v>
      </c>
      <c r="AD1883" s="21" t="str">
        <f t="shared" si="279"/>
        <v>58211-Evaluation de la disponibilité des administrateurs scolaires et des inspecteurs d'éducation (primaire, secondaire et ETFP) au niveau du secteur</v>
      </c>
    </row>
    <row r="1884" spans="1:30" s="22" customFormat="1" ht="60" hidden="1" customHeight="1" x14ac:dyDescent="0.8">
      <c r="A1884" s="14">
        <v>5</v>
      </c>
      <c r="B1884" s="15">
        <v>58</v>
      </c>
      <c r="C1884" s="15">
        <v>582</v>
      </c>
      <c r="D1884" s="15">
        <v>5821</v>
      </c>
      <c r="E1884" s="15">
        <v>58212</v>
      </c>
      <c r="F1884" s="16" t="s">
        <v>2348</v>
      </c>
      <c r="G1884" s="21" t="s">
        <v>88</v>
      </c>
      <c r="H1884" s="17" t="s">
        <v>55</v>
      </c>
      <c r="I1884" s="33">
        <v>0</v>
      </c>
      <c r="J1884" s="33">
        <v>1</v>
      </c>
      <c r="K1884" s="33">
        <v>0</v>
      </c>
      <c r="L1884" s="33">
        <v>0</v>
      </c>
      <c r="M1884" s="33">
        <f t="shared" si="273"/>
        <v>1</v>
      </c>
      <c r="N1884" s="33">
        <f>IF(OR(H1884="",H1884="sif",H1884="PM"),0,VLOOKUP(H1884,[5]CU!$C$4:$H$255,6,FALSE))</f>
        <v>0</v>
      </c>
      <c r="O1884" s="33"/>
      <c r="P1884" s="33"/>
      <c r="Q1884" s="33"/>
      <c r="R1884" s="33"/>
      <c r="S1884" s="33"/>
      <c r="T1884" s="35" t="s">
        <v>56</v>
      </c>
      <c r="U1884" s="18" t="s">
        <v>1873</v>
      </c>
      <c r="V1884" s="18" t="str">
        <f>IF(OR($H1884="",$H1884="sif",$H1884="PM"),"",VLOOKUP($H1884,[5]CU!$C$5:$J$255,8,FALSE))</f>
        <v/>
      </c>
      <c r="W1884" s="18" t="s">
        <v>273</v>
      </c>
      <c r="X1884" s="18" t="s">
        <v>273</v>
      </c>
      <c r="Y1884" s="19" t="s">
        <v>32</v>
      </c>
      <c r="Z1884" s="18" t="str">
        <f>A1884 &amp; "-" &amp; VLOOKUP(A1884,[4]PROGRAMMES!$E$1:$F$7,2,FALSE)</f>
        <v>5-Gouvernance et pilotage du secteur</v>
      </c>
      <c r="AA1884" s="19" t="str">
        <f>B1884 &amp; "-" &amp; VLOOKUP(B1884,[4]SOUSPROGRAMMES!$E$1:$F$44,2,FALSE)</f>
        <v>58- Renforcement des compétences de l’administration (cadre normatif, poste-profil, évaluation, équipement, formations…)</v>
      </c>
      <c r="AB1884" s="19" t="str">
        <f>C1884 &amp; "-" &amp; VLOOKUP(C1884,[4]RESULTATS!$E$1:$F$176,2,FALSE)</f>
        <v>582- Le plan de relève permet l’existence continue d’un corps administratif compétent</v>
      </c>
      <c r="AC1884" s="20" t="str">
        <f>D1884 &amp; "-" &amp; VLOOKUP(D1884,[4]STRATEGIES!$E$1:$F$504,2,FALSE)</f>
        <v>5821-Création d’un corps d’administrateurs scolaires et d’un corps d’inspecteurs</v>
      </c>
      <c r="AD1884" s="21" t="str">
        <f t="shared" si="279"/>
        <v>58212-Détermination des besoins actuels et futurs du système en administrateurs scolaires et inspecteurs d'éducation</v>
      </c>
    </row>
    <row r="1885" spans="1:30" s="22" customFormat="1" ht="60" hidden="1" customHeight="1" x14ac:dyDescent="0.8">
      <c r="A1885" s="14">
        <v>5</v>
      </c>
      <c r="B1885" s="15">
        <v>58</v>
      </c>
      <c r="C1885" s="15">
        <v>582</v>
      </c>
      <c r="D1885" s="15">
        <v>5821</v>
      </c>
      <c r="E1885" s="15">
        <v>58213</v>
      </c>
      <c r="F1885" s="16" t="s">
        <v>2349</v>
      </c>
      <c r="G1885" s="21" t="s">
        <v>88</v>
      </c>
      <c r="H1885" s="17" t="s">
        <v>55</v>
      </c>
      <c r="I1885" s="33">
        <v>0</v>
      </c>
      <c r="J1885" s="33">
        <v>1</v>
      </c>
      <c r="K1885" s="33">
        <v>0</v>
      </c>
      <c r="L1885" s="33">
        <v>0</v>
      </c>
      <c r="M1885" s="33">
        <f t="shared" si="273"/>
        <v>1</v>
      </c>
      <c r="N1885" s="33">
        <f>IF(OR(H1885="",H1885="sif",H1885="PM"),0,VLOOKUP(H1885,[5]CU!$C$4:$H$255,6,FALSE))</f>
        <v>0</v>
      </c>
      <c r="O1885" s="33"/>
      <c r="P1885" s="33"/>
      <c r="Q1885" s="33"/>
      <c r="R1885" s="33"/>
      <c r="S1885" s="33"/>
      <c r="T1885" s="35" t="s">
        <v>56</v>
      </c>
      <c r="U1885" s="18" t="s">
        <v>1873</v>
      </c>
      <c r="V1885" s="18" t="str">
        <f>IF(OR($H1885="",$H1885="sif",$H1885="PM"),"",VLOOKUP($H1885,[5]CU!$C$5:$J$255,8,FALSE))</f>
        <v/>
      </c>
      <c r="W1885" s="18" t="s">
        <v>273</v>
      </c>
      <c r="X1885" s="18" t="s">
        <v>273</v>
      </c>
      <c r="Y1885" s="19" t="s">
        <v>32</v>
      </c>
      <c r="Z1885" s="18" t="str">
        <f>A1885 &amp; "-" &amp; VLOOKUP(A1885,[4]PROGRAMMES!$E$1:$F$7,2,FALSE)</f>
        <v>5-Gouvernance et pilotage du secteur</v>
      </c>
      <c r="AA1885" s="19" t="str">
        <f>B1885 &amp; "-" &amp; VLOOKUP(B1885,[4]SOUSPROGRAMMES!$E$1:$F$44,2,FALSE)</f>
        <v>58- Renforcement des compétences de l’administration (cadre normatif, poste-profil, évaluation, équipement, formations…)</v>
      </c>
      <c r="AB1885" s="19" t="str">
        <f>C1885 &amp; "-" &amp; VLOOKUP(C1885,[4]RESULTATS!$E$1:$F$176,2,FALSE)</f>
        <v>582- Le plan de relève permet l’existence continue d’un corps administratif compétent</v>
      </c>
      <c r="AC1885" s="20" t="str">
        <f>D1885 &amp; "-" &amp; VLOOKUP(D1885,[4]STRATEGIES!$E$1:$F$504,2,FALSE)</f>
        <v>5821-Création d’un corps d’administrateurs scolaires et d’un corps d’inspecteurs</v>
      </c>
      <c r="AD1885" s="21" t="str">
        <f t="shared" si="279"/>
        <v>58213-Actualisation des textes administratifs relatifs aux corps d'administrateurs et d'inspecteurs</v>
      </c>
    </row>
    <row r="1886" spans="1:30" s="22" customFormat="1" ht="60" hidden="1" customHeight="1" x14ac:dyDescent="0.8">
      <c r="A1886" s="14">
        <v>5</v>
      </c>
      <c r="B1886" s="15">
        <v>58</v>
      </c>
      <c r="C1886" s="15">
        <v>582</v>
      </c>
      <c r="D1886" s="15">
        <v>5822</v>
      </c>
      <c r="E1886" s="15">
        <v>5822</v>
      </c>
      <c r="F1886" s="16" t="s">
        <v>2350</v>
      </c>
      <c r="G1886" s="17"/>
      <c r="H1886" s="17"/>
      <c r="I1886" s="33">
        <v>0</v>
      </c>
      <c r="J1886" s="33"/>
      <c r="K1886" s="33"/>
      <c r="L1886" s="33"/>
      <c r="M1886" s="33"/>
      <c r="N1886" s="33"/>
      <c r="O1886" s="33"/>
      <c r="P1886" s="33"/>
      <c r="Q1886" s="33"/>
      <c r="R1886" s="33"/>
      <c r="S1886" s="33"/>
      <c r="T1886" s="33"/>
      <c r="U1886" s="18"/>
      <c r="V1886" s="18"/>
      <c r="W1886" s="18"/>
      <c r="X1886" s="18"/>
      <c r="Y1886" s="18"/>
      <c r="Z1886" s="18" t="str">
        <f>A1886 &amp; "-" &amp; VLOOKUP(A1886,[4]PROGRAMMES!$E$1:$F$7,2,FALSE)</f>
        <v>5-Gouvernance et pilotage du secteur</v>
      </c>
      <c r="AA1886" s="19" t="str">
        <f>B1886 &amp; "-" &amp; VLOOKUP(B1886,[4]SOUSPROGRAMMES!$E$1:$F$44,2,FALSE)</f>
        <v>58- Renforcement des compétences de l’administration (cadre normatif, poste-profil, évaluation, équipement, formations…)</v>
      </c>
      <c r="AB1886" s="19" t="str">
        <f>C1886 &amp; "-" &amp; VLOOKUP(C1886,[4]RESULTATS!$E$1:$F$176,2,FALSE)</f>
        <v>582- Le plan de relève permet l’existence continue d’un corps administratif compétent</v>
      </c>
      <c r="AC1886" s="20" t="str">
        <f>D1886 &amp; "-" &amp; VLOOKUP(D1886,[4]STRATEGIES!$E$1:$F$504,2,FALSE)</f>
        <v>5822-Organisations de formations régulières pour l’entrée dans les corps des administrateurs scolaires et des inspecteurs</v>
      </c>
      <c r="AD1886" s="21" t="str">
        <f t="shared" si="279"/>
        <v>5822-Organisations de formations régulières pour l’entrée dans les corps des administrateurs scolaires et des inspecteurs</v>
      </c>
    </row>
    <row r="1887" spans="1:30" s="22" customFormat="1" ht="60" hidden="1" customHeight="1" x14ac:dyDescent="0.8">
      <c r="A1887" s="14">
        <v>5</v>
      </c>
      <c r="B1887" s="15">
        <v>58</v>
      </c>
      <c r="C1887" s="15">
        <v>582</v>
      </c>
      <c r="D1887" s="15">
        <v>5822</v>
      </c>
      <c r="E1887" s="15">
        <v>58221</v>
      </c>
      <c r="F1887" s="16" t="s">
        <v>2351</v>
      </c>
      <c r="G1887" s="21" t="s">
        <v>88</v>
      </c>
      <c r="H1887" s="17" t="s">
        <v>55</v>
      </c>
      <c r="I1887" s="33">
        <v>0</v>
      </c>
      <c r="J1887" s="33">
        <v>0</v>
      </c>
      <c r="K1887" s="33">
        <v>1</v>
      </c>
      <c r="L1887" s="33">
        <v>0</v>
      </c>
      <c r="M1887" s="33">
        <f t="shared" si="273"/>
        <v>1</v>
      </c>
      <c r="N1887" s="33">
        <f>IF(OR(H1887="",H1887="sif",H1887="PM"),0,VLOOKUP(H1887,[5]CU!$C$4:$H$255,6,FALSE))</f>
        <v>0</v>
      </c>
      <c r="O1887" s="33"/>
      <c r="P1887" s="33"/>
      <c r="Q1887" s="33"/>
      <c r="R1887" s="33"/>
      <c r="S1887" s="33"/>
      <c r="T1887" s="35" t="s">
        <v>56</v>
      </c>
      <c r="U1887" s="18" t="s">
        <v>1873</v>
      </c>
      <c r="V1887" s="18" t="str">
        <f>IF(OR($H1887="",$H1887="sif",$H1887="PM"),"",VLOOKUP($H1887,[5]CU!$C$5:$J$255,8,FALSE))</f>
        <v/>
      </c>
      <c r="W1887" s="18" t="s">
        <v>273</v>
      </c>
      <c r="X1887" s="18" t="s">
        <v>273</v>
      </c>
      <c r="Y1887" s="19" t="s">
        <v>32</v>
      </c>
      <c r="Z1887" s="18" t="str">
        <f>A1887 &amp; "-" &amp; VLOOKUP(A1887,[4]PROGRAMMES!$E$1:$F$7,2,FALSE)</f>
        <v>5-Gouvernance et pilotage du secteur</v>
      </c>
      <c r="AA1887" s="19" t="str">
        <f>B1887 &amp; "-" &amp; VLOOKUP(B1887,[4]SOUSPROGRAMMES!$E$1:$F$44,2,FALSE)</f>
        <v>58- Renforcement des compétences de l’administration (cadre normatif, poste-profil, évaluation, équipement, formations…)</v>
      </c>
      <c r="AB1887" s="19" t="str">
        <f>C1887 &amp; "-" &amp; VLOOKUP(C1887,[4]RESULTATS!$E$1:$F$176,2,FALSE)</f>
        <v>582- Le plan de relève permet l’existence continue d’un corps administratif compétent</v>
      </c>
      <c r="AC1887" s="20" t="str">
        <f>D1887 &amp; "-" &amp; VLOOKUP(D1887,[4]STRATEGIES!$E$1:$F$504,2,FALSE)</f>
        <v>5822-Organisations de formations régulières pour l’entrée dans les corps des administrateurs scolaires et des inspecteurs</v>
      </c>
      <c r="AD1887" s="21" t="str">
        <f t="shared" si="279"/>
        <v>58221-Elaboration des critères d'admissibilité</v>
      </c>
    </row>
    <row r="1888" spans="1:30" s="22" customFormat="1" ht="60" hidden="1" customHeight="1" x14ac:dyDescent="0.8">
      <c r="A1888" s="14">
        <v>5</v>
      </c>
      <c r="B1888" s="15">
        <v>58</v>
      </c>
      <c r="C1888" s="15">
        <v>582</v>
      </c>
      <c r="D1888" s="15">
        <v>5822</v>
      </c>
      <c r="E1888" s="15">
        <v>58222</v>
      </c>
      <c r="F1888" s="16" t="s">
        <v>2352</v>
      </c>
      <c r="G1888" s="21" t="s">
        <v>92</v>
      </c>
      <c r="H1888" s="17" t="s">
        <v>55</v>
      </c>
      <c r="I1888" s="33">
        <v>0</v>
      </c>
      <c r="J1888" s="33"/>
      <c r="K1888" s="33">
        <v>1</v>
      </c>
      <c r="L1888" s="33"/>
      <c r="M1888" s="33">
        <f t="shared" si="273"/>
        <v>1</v>
      </c>
      <c r="N1888" s="33">
        <f>IF(OR(H1888="",H1888="sif",H1888="PM"),0,VLOOKUP(H1888,[5]CU!$C$4:$H$255,6,FALSE))</f>
        <v>0</v>
      </c>
      <c r="O1888" s="33"/>
      <c r="P1888" s="33"/>
      <c r="Q1888" s="33"/>
      <c r="R1888" s="33"/>
      <c r="S1888" s="33"/>
      <c r="T1888" s="35" t="s">
        <v>56</v>
      </c>
      <c r="U1888" s="18" t="s">
        <v>1873</v>
      </c>
      <c r="V1888" s="18" t="str">
        <f>IF(OR($H1888="",$H1888="sif",$H1888="PM"),"",VLOOKUP($H1888,[5]CU!$C$5:$J$255,8,FALSE))</f>
        <v/>
      </c>
      <c r="W1888" s="18" t="s">
        <v>273</v>
      </c>
      <c r="X1888" s="18" t="s">
        <v>431</v>
      </c>
      <c r="Y1888" s="18" t="s">
        <v>679</v>
      </c>
      <c r="Z1888" s="18" t="str">
        <f>A1888 &amp; "-" &amp; VLOOKUP(A1888,[4]PROGRAMMES!$E$1:$F$7,2,FALSE)</f>
        <v>5-Gouvernance et pilotage du secteur</v>
      </c>
      <c r="AA1888" s="19" t="str">
        <f>B1888 &amp; "-" &amp; VLOOKUP(B1888,[4]SOUSPROGRAMMES!$E$1:$F$44,2,FALSE)</f>
        <v>58- Renforcement des compétences de l’administration (cadre normatif, poste-profil, évaluation, équipement, formations…)</v>
      </c>
      <c r="AB1888" s="19" t="str">
        <f>C1888 &amp; "-" &amp; VLOOKUP(C1888,[4]RESULTATS!$E$1:$F$176,2,FALSE)</f>
        <v>582- Le plan de relève permet l’existence continue d’un corps administratif compétent</v>
      </c>
      <c r="AC1888" s="20" t="str">
        <f>D1888 &amp; "-" &amp; VLOOKUP(D1888,[4]STRATEGIES!$E$1:$F$504,2,FALSE)</f>
        <v>5822-Organisations de formations régulières pour l’entrée dans les corps des administrateurs scolaires et des inspecteurs</v>
      </c>
      <c r="AD1888" s="21" t="str">
        <f t="shared" si="279"/>
        <v>58222-Session d'organisation de concours d'entrée des postulants (budget concours)</v>
      </c>
    </row>
    <row r="1889" spans="1:30" s="22" customFormat="1" ht="60" hidden="1" customHeight="1" x14ac:dyDescent="0.8">
      <c r="A1889" s="14">
        <v>5</v>
      </c>
      <c r="B1889" s="15">
        <v>58</v>
      </c>
      <c r="C1889" s="15">
        <v>582</v>
      </c>
      <c r="D1889" s="15">
        <v>5822</v>
      </c>
      <c r="E1889" s="15">
        <v>58223</v>
      </c>
      <c r="F1889" s="16" t="s">
        <v>2353</v>
      </c>
      <c r="G1889" s="21" t="s">
        <v>88</v>
      </c>
      <c r="H1889" s="17" t="s">
        <v>55</v>
      </c>
      <c r="I1889" s="33">
        <v>0</v>
      </c>
      <c r="J1889" s="33">
        <v>0</v>
      </c>
      <c r="K1889" s="33">
        <v>1</v>
      </c>
      <c r="L1889" s="33">
        <v>0</v>
      </c>
      <c r="M1889" s="33">
        <f t="shared" si="273"/>
        <v>1</v>
      </c>
      <c r="N1889" s="33">
        <f>IF(OR(H1889="",H1889="sif",H1889="PM"),0,VLOOKUP(H1889,[5]CU!$C$4:$H$255,6,FALSE))</f>
        <v>0</v>
      </c>
      <c r="O1889" s="33"/>
      <c r="P1889" s="33"/>
      <c r="Q1889" s="33"/>
      <c r="R1889" s="33"/>
      <c r="S1889" s="33"/>
      <c r="T1889" s="35" t="s">
        <v>56</v>
      </c>
      <c r="U1889" s="18" t="s">
        <v>1873</v>
      </c>
      <c r="V1889" s="18" t="str">
        <f>IF(OR($H1889="",$H1889="sif",$H1889="PM"),"",VLOOKUP($H1889,[5]CU!$C$5:$J$255,8,FALSE))</f>
        <v/>
      </c>
      <c r="W1889" s="18" t="s">
        <v>273</v>
      </c>
      <c r="X1889" s="18" t="s">
        <v>431</v>
      </c>
      <c r="Y1889" s="18" t="s">
        <v>679</v>
      </c>
      <c r="Z1889" s="18" t="str">
        <f>A1889 &amp; "-" &amp; VLOOKUP(A1889,[4]PROGRAMMES!$E$1:$F$7,2,FALSE)</f>
        <v>5-Gouvernance et pilotage du secteur</v>
      </c>
      <c r="AA1889" s="19" t="str">
        <f>B1889 &amp; "-" &amp; VLOOKUP(B1889,[4]SOUSPROGRAMMES!$E$1:$F$44,2,FALSE)</f>
        <v>58- Renforcement des compétences de l’administration (cadre normatif, poste-profil, évaluation, équipement, formations…)</v>
      </c>
      <c r="AB1889" s="19" t="str">
        <f>C1889 &amp; "-" &amp; VLOOKUP(C1889,[4]RESULTATS!$E$1:$F$176,2,FALSE)</f>
        <v>582- Le plan de relève permet l’existence continue d’un corps administratif compétent</v>
      </c>
      <c r="AC1889" s="20" t="str">
        <f>D1889 &amp; "-" &amp; VLOOKUP(D1889,[4]STRATEGIES!$E$1:$F$504,2,FALSE)</f>
        <v>5822-Organisations de formations régulières pour l’entrée dans les corps des administrateurs scolaires et des inspecteurs</v>
      </c>
      <c r="AD1889" s="21" t="str">
        <f t="shared" si="279"/>
        <v>58223-Publication des résultats</v>
      </c>
    </row>
    <row r="1890" spans="1:30" s="22" customFormat="1" ht="60" hidden="1" customHeight="1" x14ac:dyDescent="0.8">
      <c r="A1890" s="14">
        <v>5</v>
      </c>
      <c r="B1890" s="15">
        <v>58</v>
      </c>
      <c r="C1890" s="15">
        <v>582</v>
      </c>
      <c r="D1890" s="15">
        <v>5822</v>
      </c>
      <c r="E1890" s="15">
        <v>58224</v>
      </c>
      <c r="F1890" s="16" t="s">
        <v>2354</v>
      </c>
      <c r="G1890" s="21" t="s">
        <v>92</v>
      </c>
      <c r="H1890" s="17" t="s">
        <v>55</v>
      </c>
      <c r="I1890" s="33">
        <v>0</v>
      </c>
      <c r="J1890" s="33"/>
      <c r="K1890" s="33">
        <v>1</v>
      </c>
      <c r="L1890" s="33">
        <v>1</v>
      </c>
      <c r="M1890" s="33">
        <f t="shared" si="273"/>
        <v>2</v>
      </c>
      <c r="N1890" s="33">
        <f>IF(OR(H1890="",H1890="sif",H1890="PM"),0,VLOOKUP(H1890,[5]CU!$C$4:$H$255,6,FALSE))</f>
        <v>0</v>
      </c>
      <c r="O1890" s="33"/>
      <c r="P1890" s="33"/>
      <c r="Q1890" s="33"/>
      <c r="R1890" s="33"/>
      <c r="S1890" s="33"/>
      <c r="T1890" s="35" t="s">
        <v>56</v>
      </c>
      <c r="U1890" s="18" t="s">
        <v>1873</v>
      </c>
      <c r="V1890" s="18" t="str">
        <f>IF(OR($H1890="",$H1890="sif",$H1890="PM"),"",VLOOKUP($H1890,[5]CU!$C$5:$J$255,8,FALSE))</f>
        <v/>
      </c>
      <c r="W1890" s="18" t="s">
        <v>273</v>
      </c>
      <c r="X1890" s="18" t="s">
        <v>431</v>
      </c>
      <c r="Y1890" s="18" t="s">
        <v>679</v>
      </c>
      <c r="Z1890" s="18" t="str">
        <f>A1890 &amp; "-" &amp; VLOOKUP(A1890,[4]PROGRAMMES!$E$1:$F$7,2,FALSE)</f>
        <v>5-Gouvernance et pilotage du secteur</v>
      </c>
      <c r="AA1890" s="19" t="str">
        <f>B1890 &amp; "-" &amp; VLOOKUP(B1890,[4]SOUSPROGRAMMES!$E$1:$F$44,2,FALSE)</f>
        <v>58- Renforcement des compétences de l’administration (cadre normatif, poste-profil, évaluation, équipement, formations…)</v>
      </c>
      <c r="AB1890" s="19" t="str">
        <f>C1890 &amp; "-" &amp; VLOOKUP(C1890,[4]RESULTATS!$E$1:$F$176,2,FALSE)</f>
        <v>582- Le plan de relève permet l’existence continue d’un corps administratif compétent</v>
      </c>
      <c r="AC1890" s="20" t="str">
        <f>D1890 &amp; "-" &amp; VLOOKUP(D1890,[4]STRATEGIES!$E$1:$F$504,2,FALSE)</f>
        <v>5822-Organisations de formations régulières pour l’entrée dans les corps des administrateurs scolaires et des inspecteurs</v>
      </c>
      <c r="AD1890" s="21" t="str">
        <f t="shared" si="279"/>
        <v>58224-session de formation des inspecteurs en présentiel (voir ISSEG)</v>
      </c>
    </row>
    <row r="1891" spans="1:30" s="22" customFormat="1" ht="60" hidden="1" customHeight="1" x14ac:dyDescent="0.8">
      <c r="A1891" s="14">
        <v>5</v>
      </c>
      <c r="B1891" s="15">
        <v>58</v>
      </c>
      <c r="C1891" s="15">
        <v>582</v>
      </c>
      <c r="D1891" s="15">
        <v>5822</v>
      </c>
      <c r="E1891" s="15">
        <v>58225</v>
      </c>
      <c r="F1891" s="16" t="s">
        <v>2355</v>
      </c>
      <c r="G1891" s="21" t="s">
        <v>92</v>
      </c>
      <c r="H1891" s="17" t="s">
        <v>55</v>
      </c>
      <c r="I1891" s="33">
        <v>0</v>
      </c>
      <c r="J1891" s="33"/>
      <c r="K1891" s="33">
        <v>1</v>
      </c>
      <c r="L1891" s="33">
        <v>1</v>
      </c>
      <c r="M1891" s="33">
        <f t="shared" si="273"/>
        <v>2</v>
      </c>
      <c r="N1891" s="33">
        <f>IF(OR(H1891="",H1891="sif",H1891="PM"),0,VLOOKUP(H1891,[5]CU!$C$4:$H$255,6,FALSE))</f>
        <v>0</v>
      </c>
      <c r="O1891" s="33"/>
      <c r="P1891" s="33"/>
      <c r="Q1891" s="33"/>
      <c r="R1891" s="33"/>
      <c r="S1891" s="33"/>
      <c r="T1891" s="35" t="s">
        <v>56</v>
      </c>
      <c r="U1891" s="18" t="s">
        <v>1873</v>
      </c>
      <c r="V1891" s="18" t="str">
        <f>IF(OR($H1891="",$H1891="sif",$H1891="PM"),"",VLOOKUP($H1891,[5]CU!$C$5:$J$255,8,FALSE))</f>
        <v/>
      </c>
      <c r="W1891" s="18" t="s">
        <v>273</v>
      </c>
      <c r="X1891" s="18" t="s">
        <v>431</v>
      </c>
      <c r="Y1891" s="18" t="s">
        <v>679</v>
      </c>
      <c r="Z1891" s="18" t="str">
        <f>A1891 &amp; "-" &amp; VLOOKUP(A1891,[4]PROGRAMMES!$E$1:$F$7,2,FALSE)</f>
        <v>5-Gouvernance et pilotage du secteur</v>
      </c>
      <c r="AA1891" s="19" t="str">
        <f>B1891 &amp; "-" &amp; VLOOKUP(B1891,[4]SOUSPROGRAMMES!$E$1:$F$44,2,FALSE)</f>
        <v>58- Renforcement des compétences de l’administration (cadre normatif, poste-profil, évaluation, équipement, formations…)</v>
      </c>
      <c r="AB1891" s="19" t="str">
        <f>C1891 &amp; "-" &amp; VLOOKUP(C1891,[4]RESULTATS!$E$1:$F$176,2,FALSE)</f>
        <v>582- Le plan de relève permet l’existence continue d’un corps administratif compétent</v>
      </c>
      <c r="AC1891" s="20" t="str">
        <f>D1891 &amp; "-" &amp; VLOOKUP(D1891,[4]STRATEGIES!$E$1:$F$504,2,FALSE)</f>
        <v>5822-Organisations de formations régulières pour l’entrée dans les corps des administrateurs scolaires et des inspecteurs</v>
      </c>
      <c r="AD1891" s="21" t="str">
        <f t="shared" si="279"/>
        <v>58225-session de formation des directeurs d'écoles et chefs d'établissements à distance (voir ISSEG)</v>
      </c>
    </row>
    <row r="1892" spans="1:30" s="22" customFormat="1" ht="60" hidden="1" customHeight="1" x14ac:dyDescent="0.8">
      <c r="A1892" s="14">
        <v>5</v>
      </c>
      <c r="B1892" s="15">
        <v>58</v>
      </c>
      <c r="C1892" s="15">
        <v>582</v>
      </c>
      <c r="D1892" s="15">
        <v>5823</v>
      </c>
      <c r="E1892" s="15">
        <v>5823</v>
      </c>
      <c r="F1892" s="16" t="s">
        <v>2356</v>
      </c>
      <c r="G1892" s="17"/>
      <c r="H1892" s="17"/>
      <c r="I1892" s="33">
        <v>0</v>
      </c>
      <c r="J1892" s="33"/>
      <c r="K1892" s="33"/>
      <c r="L1892" s="33"/>
      <c r="M1892" s="33"/>
      <c r="N1892" s="33"/>
      <c r="O1892" s="33"/>
      <c r="P1892" s="33"/>
      <c r="Q1892" s="33"/>
      <c r="R1892" s="33"/>
      <c r="S1892" s="33"/>
      <c r="T1892" s="33"/>
      <c r="U1892" s="18"/>
      <c r="V1892" s="18"/>
      <c r="W1892" s="18"/>
      <c r="X1892" s="18"/>
      <c r="Y1892" s="18"/>
      <c r="Z1892" s="18" t="str">
        <f>A1892 &amp; "-" &amp; VLOOKUP(A1892,[4]PROGRAMMES!$E$1:$F$7,2,FALSE)</f>
        <v>5-Gouvernance et pilotage du secteur</v>
      </c>
      <c r="AA1892" s="19" t="str">
        <f>B1892 &amp; "-" &amp; VLOOKUP(B1892,[4]SOUSPROGRAMMES!$E$1:$F$44,2,FALSE)</f>
        <v>58- Renforcement des compétences de l’administration (cadre normatif, poste-profil, évaluation, équipement, formations…)</v>
      </c>
      <c r="AB1892" s="19" t="str">
        <f>C1892 &amp; "-" &amp; VLOOKUP(C1892,[4]RESULTATS!$E$1:$F$176,2,FALSE)</f>
        <v>582- Le plan de relève permet l’existence continue d’un corps administratif compétent</v>
      </c>
      <c r="AC1892" s="20" t="str">
        <f>D1892 &amp; "-" &amp; VLOOKUP(D1892,[4]STRATEGIES!$E$1:$F$504,2,FALSE)</f>
        <v>5823-Renforcement des compétences des administrateurs scolaires et inspecteurs (formations continues ; manuels de procédures; guides ; appui)</v>
      </c>
      <c r="AD1892" s="21" t="str">
        <f t="shared" si="279"/>
        <v>5823-Renforcement des compétences des administrateurs scolaires et inspecteurs (formations continues ; manuels de procédures; guides ; appui)</v>
      </c>
    </row>
    <row r="1893" spans="1:30" s="22" customFormat="1" ht="60" hidden="1" customHeight="1" x14ac:dyDescent="0.8">
      <c r="A1893" s="14">
        <v>5</v>
      </c>
      <c r="B1893" s="15">
        <v>58</v>
      </c>
      <c r="C1893" s="15">
        <v>582</v>
      </c>
      <c r="D1893" s="15">
        <v>5823</v>
      </c>
      <c r="E1893" s="15">
        <v>58231</v>
      </c>
      <c r="F1893" s="16" t="s">
        <v>2357</v>
      </c>
      <c r="G1893" s="21" t="s">
        <v>88</v>
      </c>
      <c r="H1893" s="17" t="s">
        <v>55</v>
      </c>
      <c r="I1893" s="33">
        <v>0</v>
      </c>
      <c r="J1893" s="33">
        <v>0</v>
      </c>
      <c r="K1893" s="33">
        <v>0</v>
      </c>
      <c r="L1893" s="33">
        <v>0</v>
      </c>
      <c r="M1893" s="33"/>
      <c r="N1893" s="33">
        <f>IF(OR(H1893="",H1893="sif",H1893="PM"),0,VLOOKUP(H1893,[5]CU!$C$4:$H$255,6,FALSE))</f>
        <v>0</v>
      </c>
      <c r="O1893" s="33"/>
      <c r="P1893" s="33"/>
      <c r="Q1893" s="33"/>
      <c r="R1893" s="33"/>
      <c r="S1893" s="33"/>
      <c r="T1893" s="35" t="s">
        <v>56</v>
      </c>
      <c r="U1893" s="18" t="s">
        <v>1873</v>
      </c>
      <c r="V1893" s="18" t="str">
        <f>IF(OR($H1893="",$H1893="sif",$H1893="PM"),"",VLOOKUP($H1893,[5]CU!$C$5:$J$255,8,FALSE))</f>
        <v/>
      </c>
      <c r="W1893" s="18" t="s">
        <v>273</v>
      </c>
      <c r="X1893" s="18" t="s">
        <v>273</v>
      </c>
      <c r="Y1893" s="19" t="s">
        <v>32</v>
      </c>
      <c r="Z1893" s="18" t="str">
        <f>A1893 &amp; "-" &amp; VLOOKUP(A1893,[4]PROGRAMMES!$E$1:$F$7,2,FALSE)</f>
        <v>5-Gouvernance et pilotage du secteur</v>
      </c>
      <c r="AA1893" s="19" t="str">
        <f>B1893 &amp; "-" &amp; VLOOKUP(B1893,[4]SOUSPROGRAMMES!$E$1:$F$44,2,FALSE)</f>
        <v>58- Renforcement des compétences de l’administration (cadre normatif, poste-profil, évaluation, équipement, formations…)</v>
      </c>
      <c r="AB1893" s="19" t="str">
        <f>C1893 &amp; "-" &amp; VLOOKUP(C1893,[4]RESULTATS!$E$1:$F$176,2,FALSE)</f>
        <v>582- Le plan de relève permet l’existence continue d’un corps administratif compétent</v>
      </c>
      <c r="AC1893" s="20" t="str">
        <f>D1893 &amp; "-" &amp; VLOOKUP(D1893,[4]STRATEGIES!$E$1:$F$504,2,FALSE)</f>
        <v>5823-Renforcement des compétences des administrateurs scolaires et inspecteurs (formations continues ; manuels de procédures; guides ; appui)</v>
      </c>
      <c r="AD1893" s="21" t="str">
        <f t="shared" si="279"/>
        <v>58231-Identification des institutions de formations</v>
      </c>
    </row>
    <row r="1894" spans="1:30" s="22" customFormat="1" ht="60" hidden="1" customHeight="1" x14ac:dyDescent="0.8">
      <c r="A1894" s="14">
        <v>5</v>
      </c>
      <c r="B1894" s="15">
        <v>58</v>
      </c>
      <c r="C1894" s="15">
        <v>582</v>
      </c>
      <c r="D1894" s="15">
        <v>5823</v>
      </c>
      <c r="E1894" s="15">
        <v>58232</v>
      </c>
      <c r="F1894" s="16" t="s">
        <v>2358</v>
      </c>
      <c r="G1894" s="21" t="s">
        <v>315</v>
      </c>
      <c r="H1894" s="17" t="s">
        <v>66</v>
      </c>
      <c r="I1894" s="33">
        <v>0</v>
      </c>
      <c r="J1894" s="33">
        <f>10*10*3</f>
        <v>300</v>
      </c>
      <c r="K1894" s="33"/>
      <c r="L1894" s="33"/>
      <c r="M1894" s="33">
        <f t="shared" ref="M1894:M1936" si="282">SUM(I1894:L1894)</f>
        <v>300</v>
      </c>
      <c r="N1894" s="33">
        <f>IF(OR(H1894="",H1894="sif",H1894="PM"),0,VLOOKUP(H1894,[5]CU!$C$4:$H$255,6,FALSE))</f>
        <v>0.255</v>
      </c>
      <c r="O1894" s="33">
        <f t="shared" ref="O1894:R1898" si="283">$N1894*I1894</f>
        <v>0</v>
      </c>
      <c r="P1894" s="33">
        <f t="shared" si="283"/>
        <v>76.5</v>
      </c>
      <c r="Q1894" s="33">
        <f t="shared" si="283"/>
        <v>0</v>
      </c>
      <c r="R1894" s="33">
        <f t="shared" si="283"/>
        <v>0</v>
      </c>
      <c r="S1894" s="33">
        <f>SUM(O1894:R1894)</f>
        <v>76.5</v>
      </c>
      <c r="T1894" s="35" t="s">
        <v>39</v>
      </c>
      <c r="U1894" s="19" t="s">
        <v>1873</v>
      </c>
      <c r="V1894" s="19" t="str">
        <f>IF(OR($H1894="",$H1894="sif",$H1894="PM"),"",VLOOKUP($H1894,[5]CU!$C$5:$J$255,8,FALSE))</f>
        <v>3. Dépenses de fonctionnement</v>
      </c>
      <c r="W1894" s="19" t="s">
        <v>273</v>
      </c>
      <c r="X1894" s="19" t="s">
        <v>431</v>
      </c>
      <c r="Y1894" s="19" t="s">
        <v>679</v>
      </c>
      <c r="Z1894" s="18" t="str">
        <f>A1894 &amp; "-" &amp; VLOOKUP(A1894,[4]PROGRAMMES!$E$1:$F$7,2,FALSE)</f>
        <v>5-Gouvernance et pilotage du secteur</v>
      </c>
      <c r="AA1894" s="19" t="str">
        <f>B1894 &amp; "-" &amp; VLOOKUP(B1894,[4]SOUSPROGRAMMES!$E$1:$F$44,2,FALSE)</f>
        <v>58- Renforcement des compétences de l’administration (cadre normatif, poste-profil, évaluation, équipement, formations…)</v>
      </c>
      <c r="AB1894" s="19" t="str">
        <f>C1894 &amp; "-" &amp; VLOOKUP(C1894,[4]RESULTATS!$E$1:$F$176,2,FALSE)</f>
        <v>582- Le plan de relève permet l’existence continue d’un corps administratif compétent</v>
      </c>
      <c r="AC1894" s="20" t="str">
        <f>D1894 &amp; "-" &amp; VLOOKUP(D1894,[4]STRATEGIES!$E$1:$F$504,2,FALSE)</f>
        <v>5823-Renforcement des compétences des administrateurs scolaires et inspecteurs (formations continues ; manuels de procédures; guides ; appui)</v>
      </c>
      <c r="AD1894" s="21" t="str">
        <f t="shared" si="279"/>
        <v>58232-Élaborations des modules de formation</v>
      </c>
    </row>
    <row r="1895" spans="1:30" s="22" customFormat="1" ht="60" hidden="1" customHeight="1" x14ac:dyDescent="0.8">
      <c r="A1895" s="14">
        <v>5</v>
      </c>
      <c r="B1895" s="15">
        <v>58</v>
      </c>
      <c r="C1895" s="15">
        <v>582</v>
      </c>
      <c r="D1895" s="15">
        <v>5823</v>
      </c>
      <c r="E1895" s="15">
        <v>58233</v>
      </c>
      <c r="F1895" s="16" t="s">
        <v>2359</v>
      </c>
      <c r="G1895" s="21" t="s">
        <v>436</v>
      </c>
      <c r="H1895" s="17" t="s">
        <v>52</v>
      </c>
      <c r="I1895" s="33">
        <v>0</v>
      </c>
      <c r="J1895" s="33">
        <v>140</v>
      </c>
      <c r="K1895" s="33">
        <v>160</v>
      </c>
      <c r="L1895" s="33">
        <v>160</v>
      </c>
      <c r="M1895" s="33">
        <f>SUM(I1895:L1895)</f>
        <v>460</v>
      </c>
      <c r="N1895" s="33">
        <f>IF(OR(H1895="",H1895="sif",H1895="PM"),0,VLOOKUP(H1895,[5]CU!$C$4:$H$255,6,FALSE))</f>
        <v>1.5</v>
      </c>
      <c r="O1895" s="33">
        <f>$N1895*I1895</f>
        <v>0</v>
      </c>
      <c r="P1895" s="33">
        <f>$N1895*J1895</f>
        <v>210</v>
      </c>
      <c r="Q1895" s="33">
        <f>$N1895*K1895</f>
        <v>240</v>
      </c>
      <c r="R1895" s="33">
        <f>$N1895*L1895</f>
        <v>240</v>
      </c>
      <c r="S1895" s="33">
        <f>SUM(O1895:R1895)</f>
        <v>690</v>
      </c>
      <c r="T1895" s="35" t="s">
        <v>67</v>
      </c>
      <c r="U1895" s="19" t="s">
        <v>1873</v>
      </c>
      <c r="V1895" s="19" t="str">
        <f>IF(OR($H1895="",$H1895="sif",$H1895="PM"),"",VLOOKUP($H1895,[5]CU!$C$5:$J$255,8,FALSE))</f>
        <v>3. Formation</v>
      </c>
      <c r="W1895" s="19" t="s">
        <v>273</v>
      </c>
      <c r="X1895" s="19" t="s">
        <v>431</v>
      </c>
      <c r="Y1895" s="19" t="s">
        <v>32</v>
      </c>
      <c r="Z1895" s="18" t="str">
        <f>A1895 &amp; "-" &amp; VLOOKUP(A1895,[4]PROGRAMMES!$E$1:$F$7,2,FALSE)</f>
        <v>5-Gouvernance et pilotage du secteur</v>
      </c>
      <c r="AA1895" s="19" t="str">
        <f>B1895 &amp; "-" &amp; VLOOKUP(B1895,[4]SOUSPROGRAMMES!$E$1:$F$44,2,FALSE)</f>
        <v>58- Renforcement des compétences de l’administration (cadre normatif, poste-profil, évaluation, équipement, formations…)</v>
      </c>
      <c r="AB1895" s="19" t="str">
        <f>C1895 &amp; "-" &amp; VLOOKUP(C1895,[4]RESULTATS!$E$1:$F$176,2,FALSE)</f>
        <v>582- Le plan de relève permet l’existence continue d’un corps administratif compétent</v>
      </c>
      <c r="AC1895" s="20" t="str">
        <f>D1895 &amp; "-" &amp; VLOOKUP(D1895,[4]STRATEGIES!$E$1:$F$504,2,FALSE)</f>
        <v>5823-Renforcement des compétences des administrateurs scolaires et inspecteurs (formations continues ; manuels de procédures; guides ; appui)</v>
      </c>
      <c r="AD1895" s="21" t="str">
        <f t="shared" si="279"/>
        <v>58233-Mise en œuvre de la formation des administrateurs scolaires et inspecteurs</v>
      </c>
    </row>
    <row r="1896" spans="1:30" s="22" customFormat="1" ht="60" hidden="1" customHeight="1" x14ac:dyDescent="0.8">
      <c r="A1896" s="14">
        <v>5</v>
      </c>
      <c r="B1896" s="15">
        <v>58</v>
      </c>
      <c r="C1896" s="15">
        <v>582</v>
      </c>
      <c r="D1896" s="15">
        <v>5823</v>
      </c>
      <c r="E1896" s="15">
        <v>58233</v>
      </c>
      <c r="F1896" s="16" t="s">
        <v>2359</v>
      </c>
      <c r="G1896" s="21" t="s">
        <v>436</v>
      </c>
      <c r="H1896" s="17" t="s">
        <v>52</v>
      </c>
      <c r="I1896" s="33">
        <v>0</v>
      </c>
      <c r="J1896" s="33">
        <v>300</v>
      </c>
      <c r="K1896" s="33">
        <v>300</v>
      </c>
      <c r="L1896" s="33">
        <v>395</v>
      </c>
      <c r="M1896" s="33">
        <f>SUM(I1896:L1896)</f>
        <v>995</v>
      </c>
      <c r="N1896" s="33">
        <f>IF(OR(H1896="",H1896="sif",H1896="PM"),0,VLOOKUP(H1896,[5]CU!$C$4:$H$255,6,FALSE))</f>
        <v>1.5</v>
      </c>
      <c r="O1896" s="33"/>
      <c r="P1896" s="33">
        <f>$N1896*J1896</f>
        <v>450</v>
      </c>
      <c r="Q1896" s="33">
        <f>$N1896*K1896</f>
        <v>450</v>
      </c>
      <c r="R1896" s="33">
        <f>$N1896*L1896</f>
        <v>592.5</v>
      </c>
      <c r="S1896" s="33">
        <f>SUM(O1896:R1896)</f>
        <v>1492.5</v>
      </c>
      <c r="T1896" s="35" t="s">
        <v>39</v>
      </c>
      <c r="U1896" s="19" t="s">
        <v>1873</v>
      </c>
      <c r="V1896" s="19" t="str">
        <f>IF(OR($H1896="",$H1896="sif",$H1896="PM"),"",VLOOKUP($H1896,[5]CU!$C$5:$J$255,8,FALSE))</f>
        <v>3. Formation</v>
      </c>
      <c r="W1896" s="19" t="s">
        <v>273</v>
      </c>
      <c r="X1896" s="19" t="s">
        <v>431</v>
      </c>
      <c r="Y1896" s="19" t="s">
        <v>679</v>
      </c>
      <c r="Z1896" s="18" t="str">
        <f>A1896 &amp; "-" &amp; VLOOKUP(A1896,[4]PROGRAMMES!$E$1:$F$7,2,FALSE)</f>
        <v>5-Gouvernance et pilotage du secteur</v>
      </c>
      <c r="AA1896" s="19" t="str">
        <f>B1896 &amp; "-" &amp; VLOOKUP(B1896,[4]SOUSPROGRAMMES!$E$1:$F$44,2,FALSE)</f>
        <v>58- Renforcement des compétences de l’administration (cadre normatif, poste-profil, évaluation, équipement, formations…)</v>
      </c>
      <c r="AB1896" s="19" t="str">
        <f>C1896 &amp; "-" &amp; VLOOKUP(C1896,[4]RESULTATS!$E$1:$F$176,2,FALSE)</f>
        <v>582- Le plan de relève permet l’existence continue d’un corps administratif compétent</v>
      </c>
      <c r="AC1896" s="20" t="str">
        <f>D1896 &amp; "-" &amp; VLOOKUP(D1896,[4]STRATEGIES!$E$1:$F$504,2,FALSE)</f>
        <v>5823-Renforcement des compétences des administrateurs scolaires et inspecteurs (formations continues ; manuels de procédures; guides ; appui)</v>
      </c>
      <c r="AD1896" s="21" t="str">
        <f t="shared" si="279"/>
        <v>58233-Mise en œuvre de la formation des administrateurs scolaires et inspecteurs</v>
      </c>
    </row>
    <row r="1897" spans="1:30" s="22" customFormat="1" ht="60" hidden="1" customHeight="1" x14ac:dyDescent="0.8">
      <c r="A1897" s="14">
        <v>5</v>
      </c>
      <c r="B1897" s="15">
        <v>58</v>
      </c>
      <c r="C1897" s="15">
        <v>582</v>
      </c>
      <c r="D1897" s="15">
        <v>5823</v>
      </c>
      <c r="E1897" s="15">
        <v>58233</v>
      </c>
      <c r="F1897" s="16" t="s">
        <v>2359</v>
      </c>
      <c r="G1897" s="21" t="s">
        <v>436</v>
      </c>
      <c r="H1897" s="17" t="s">
        <v>52</v>
      </c>
      <c r="I1897" s="33">
        <v>0</v>
      </c>
      <c r="J1897" s="33">
        <f>30*5*4-J1895-J1896</f>
        <v>160</v>
      </c>
      <c r="K1897" s="33">
        <f>30*5*6-K1895-K1896</f>
        <v>440</v>
      </c>
      <c r="L1897" s="33">
        <f>30*5*7-L1895-L1896</f>
        <v>495</v>
      </c>
      <c r="M1897" s="33">
        <f t="shared" si="282"/>
        <v>1095</v>
      </c>
      <c r="N1897" s="33">
        <f>IF(OR(H1897="",H1897="sif",H1897="PM"),0,VLOOKUP(H1897,[5]CU!$C$4:$H$255,6,FALSE))</f>
        <v>1.5</v>
      </c>
      <c r="O1897" s="33"/>
      <c r="P1897" s="33">
        <f t="shared" si="283"/>
        <v>240</v>
      </c>
      <c r="Q1897" s="33">
        <f t="shared" si="283"/>
        <v>660</v>
      </c>
      <c r="R1897" s="33">
        <f t="shared" si="283"/>
        <v>742.5</v>
      </c>
      <c r="S1897" s="33">
        <f>SUM(O1897:R1897)</f>
        <v>1642.5</v>
      </c>
      <c r="T1897" s="35" t="s">
        <v>56</v>
      </c>
      <c r="U1897" s="19" t="s">
        <v>1873</v>
      </c>
      <c r="V1897" s="19" t="str">
        <f>IF(OR($H1897="",$H1897="sif",$H1897="PM"),"",VLOOKUP($H1897,[5]CU!$C$5:$J$255,8,FALSE))</f>
        <v>3. Formation</v>
      </c>
      <c r="W1897" s="19" t="s">
        <v>273</v>
      </c>
      <c r="X1897" s="19" t="s">
        <v>431</v>
      </c>
      <c r="Y1897" s="19" t="s">
        <v>679</v>
      </c>
      <c r="Z1897" s="18" t="str">
        <f>A1897 &amp; "-" &amp; VLOOKUP(A1897,[4]PROGRAMMES!$E$1:$F$7,2,FALSE)</f>
        <v>5-Gouvernance et pilotage du secteur</v>
      </c>
      <c r="AA1897" s="19" t="str">
        <f>B1897 &amp; "-" &amp; VLOOKUP(B1897,[4]SOUSPROGRAMMES!$E$1:$F$44,2,FALSE)</f>
        <v>58- Renforcement des compétences de l’administration (cadre normatif, poste-profil, évaluation, équipement, formations…)</v>
      </c>
      <c r="AB1897" s="19" t="str">
        <f>C1897 &amp; "-" &amp; VLOOKUP(C1897,[4]RESULTATS!$E$1:$F$176,2,FALSE)</f>
        <v>582- Le plan de relève permet l’existence continue d’un corps administratif compétent</v>
      </c>
      <c r="AC1897" s="20" t="str">
        <f>D1897 &amp; "-" &amp; VLOOKUP(D1897,[4]STRATEGIES!$E$1:$F$504,2,FALSE)</f>
        <v>5823-Renforcement des compétences des administrateurs scolaires et inspecteurs (formations continues ; manuels de procédures; guides ; appui)</v>
      </c>
      <c r="AD1897" s="21" t="str">
        <f t="shared" si="279"/>
        <v>58233-Mise en œuvre de la formation des administrateurs scolaires et inspecteurs</v>
      </c>
    </row>
    <row r="1898" spans="1:30" s="22" customFormat="1" ht="60" hidden="1" customHeight="1" x14ac:dyDescent="0.8">
      <c r="A1898" s="14">
        <v>5</v>
      </c>
      <c r="B1898" s="15">
        <v>58</v>
      </c>
      <c r="C1898" s="15">
        <v>582</v>
      </c>
      <c r="D1898" s="15">
        <v>5823</v>
      </c>
      <c r="E1898" s="15">
        <v>58234</v>
      </c>
      <c r="F1898" s="16" t="s">
        <v>2360</v>
      </c>
      <c r="G1898" s="21" t="s">
        <v>177</v>
      </c>
      <c r="H1898" s="17" t="s">
        <v>59</v>
      </c>
      <c r="I1898" s="33">
        <v>0</v>
      </c>
      <c r="J1898" s="33"/>
      <c r="K1898" s="33">
        <f>10*6*5</f>
        <v>300</v>
      </c>
      <c r="L1898" s="33">
        <v>0</v>
      </c>
      <c r="M1898" s="33">
        <f t="shared" si="282"/>
        <v>300</v>
      </c>
      <c r="N1898" s="33">
        <f>IF(OR(H1898="",H1898="sif",H1898="PM"),0,VLOOKUP(H1898,[5]CU!$C$4:$H$255,6,FALSE))</f>
        <v>0.8177777777777776</v>
      </c>
      <c r="O1898" s="33">
        <f t="shared" si="283"/>
        <v>0</v>
      </c>
      <c r="P1898" s="33">
        <f t="shared" si="283"/>
        <v>0</v>
      </c>
      <c r="Q1898" s="33">
        <f t="shared" si="283"/>
        <v>245.33333333333329</v>
      </c>
      <c r="R1898" s="33">
        <f t="shared" si="283"/>
        <v>0</v>
      </c>
      <c r="S1898" s="33">
        <f>SUM(O1898:R1898)</f>
        <v>245.33333333333329</v>
      </c>
      <c r="T1898" s="35" t="s">
        <v>39</v>
      </c>
      <c r="U1898" s="19" t="s">
        <v>1873</v>
      </c>
      <c r="V1898" s="19" t="str">
        <f>IF(OR($H1898="",$H1898="sif",$H1898="PM"),"",VLOOKUP($H1898,[5]CU!$C$5:$J$255,8,FALSE))</f>
        <v>3. Dépenses de fonctionnement</v>
      </c>
      <c r="W1898" s="19" t="s">
        <v>273</v>
      </c>
      <c r="X1898" s="19" t="s">
        <v>431</v>
      </c>
      <c r="Y1898" s="19" t="s">
        <v>679</v>
      </c>
      <c r="Z1898" s="18" t="str">
        <f>A1898 &amp; "-" &amp; VLOOKUP(A1898,[4]PROGRAMMES!$E$1:$F$7,2,FALSE)</f>
        <v>5-Gouvernance et pilotage du secteur</v>
      </c>
      <c r="AA1898" s="19" t="str">
        <f>B1898 &amp; "-" &amp; VLOOKUP(B1898,[4]SOUSPROGRAMMES!$E$1:$F$44,2,FALSE)</f>
        <v>58- Renforcement des compétences de l’administration (cadre normatif, poste-profil, évaluation, équipement, formations…)</v>
      </c>
      <c r="AB1898" s="19" t="str">
        <f>C1898 &amp; "-" &amp; VLOOKUP(C1898,[4]RESULTATS!$E$1:$F$176,2,FALSE)</f>
        <v>582- Le plan de relève permet l’existence continue d’un corps administratif compétent</v>
      </c>
      <c r="AC1898" s="20" t="str">
        <f>D1898 &amp; "-" &amp; VLOOKUP(D1898,[4]STRATEGIES!$E$1:$F$504,2,FALSE)</f>
        <v>5823-Renforcement des compétences des administrateurs scolaires et inspecteurs (formations continues ; manuels de procédures; guides ; appui)</v>
      </c>
      <c r="AD1898" s="21" t="str">
        <f t="shared" si="279"/>
        <v>58234-Evaluation de la formation</v>
      </c>
    </row>
    <row r="1899" spans="1:30" s="22" customFormat="1" ht="60" hidden="1" customHeight="1" x14ac:dyDescent="0.8">
      <c r="A1899" s="14">
        <v>5</v>
      </c>
      <c r="B1899" s="15">
        <v>58</v>
      </c>
      <c r="C1899" s="15">
        <v>582</v>
      </c>
      <c r="D1899" s="15">
        <v>5824</v>
      </c>
      <c r="E1899" s="15">
        <v>5824</v>
      </c>
      <c r="F1899" s="16" t="s">
        <v>2361</v>
      </c>
      <c r="G1899" s="17"/>
      <c r="H1899" s="17"/>
      <c r="I1899" s="33">
        <v>0</v>
      </c>
      <c r="J1899" s="33"/>
      <c r="K1899" s="33"/>
      <c r="L1899" s="33"/>
      <c r="M1899" s="33"/>
      <c r="N1899" s="33"/>
      <c r="O1899" s="33"/>
      <c r="P1899" s="33"/>
      <c r="Q1899" s="33"/>
      <c r="R1899" s="33"/>
      <c r="S1899" s="33"/>
      <c r="T1899" s="33"/>
      <c r="U1899" s="18"/>
      <c r="V1899" s="18"/>
      <c r="W1899" s="18"/>
      <c r="X1899" s="18"/>
      <c r="Y1899" s="18"/>
      <c r="Z1899" s="18" t="str">
        <f>A1899 &amp; "-" &amp; VLOOKUP(A1899,[4]PROGRAMMES!$E$1:$F$7,2,FALSE)</f>
        <v>5-Gouvernance et pilotage du secteur</v>
      </c>
      <c r="AA1899" s="19" t="str">
        <f>B1899 &amp; "-" &amp; VLOOKUP(B1899,[4]SOUSPROGRAMMES!$E$1:$F$44,2,FALSE)</f>
        <v>58- Renforcement des compétences de l’administration (cadre normatif, poste-profil, évaluation, équipement, formations…)</v>
      </c>
      <c r="AB1899" s="19" t="str">
        <f>C1899 &amp; "-" &amp; VLOOKUP(C1899,[4]RESULTATS!$E$1:$F$176,2,FALSE)</f>
        <v>582- Le plan de relève permet l’existence continue d’un corps administratif compétent</v>
      </c>
      <c r="AC1899" s="20" t="str">
        <f>D1899 &amp; "-" &amp; VLOOKUP(D1899,[4]STRATEGIES!$E$1:$F$504,2,FALSE)</f>
        <v>5824-Développement régulier de plans de formation pour le personnel des différentes structures administratives</v>
      </c>
      <c r="AD1899" s="21" t="str">
        <f t="shared" si="279"/>
        <v>5824-Développement régulier de plans de formation pour le personnel des différentes structures administratives</v>
      </c>
    </row>
    <row r="1900" spans="1:30" s="22" customFormat="1" ht="60" hidden="1" customHeight="1" x14ac:dyDescent="0.8">
      <c r="A1900" s="14">
        <v>5</v>
      </c>
      <c r="B1900" s="15">
        <v>58</v>
      </c>
      <c r="C1900" s="15">
        <v>582</v>
      </c>
      <c r="D1900" s="15">
        <v>5824</v>
      </c>
      <c r="E1900" s="15">
        <v>58241</v>
      </c>
      <c r="F1900" s="16" t="s">
        <v>2362</v>
      </c>
      <c r="G1900" s="21" t="s">
        <v>88</v>
      </c>
      <c r="H1900" s="17" t="s">
        <v>55</v>
      </c>
      <c r="I1900" s="33">
        <v>0</v>
      </c>
      <c r="J1900" s="33">
        <v>1</v>
      </c>
      <c r="K1900" s="33">
        <v>0</v>
      </c>
      <c r="L1900" s="33">
        <v>0</v>
      </c>
      <c r="M1900" s="33">
        <f t="shared" si="282"/>
        <v>1</v>
      </c>
      <c r="N1900" s="33">
        <f>IF(OR(H1900="",H1900="sif",H1900="PM"),0,VLOOKUP(H1900,[5]CU!$C$4:$H$255,6,FALSE))</f>
        <v>0</v>
      </c>
      <c r="O1900" s="33"/>
      <c r="P1900" s="33"/>
      <c r="Q1900" s="33"/>
      <c r="R1900" s="33"/>
      <c r="S1900" s="33"/>
      <c r="T1900" s="35" t="s">
        <v>56</v>
      </c>
      <c r="U1900" s="18" t="s">
        <v>1873</v>
      </c>
      <c r="V1900" s="18" t="str">
        <f>IF(OR($H1900="",$H1900="sif",$H1900="PM"),"",VLOOKUP($H1900,[5]CU!$C$5:$J$255,8,FALSE))</f>
        <v/>
      </c>
      <c r="W1900" s="18" t="s">
        <v>255</v>
      </c>
      <c r="X1900" s="18" t="s">
        <v>255</v>
      </c>
      <c r="Y1900" s="19" t="s">
        <v>32</v>
      </c>
      <c r="Z1900" s="18" t="str">
        <f>A1900 &amp; "-" &amp; VLOOKUP(A1900,[4]PROGRAMMES!$E$1:$F$7,2,FALSE)</f>
        <v>5-Gouvernance et pilotage du secteur</v>
      </c>
      <c r="AA1900" s="19" t="str">
        <f>B1900 &amp; "-" &amp; VLOOKUP(B1900,[4]SOUSPROGRAMMES!$E$1:$F$44,2,FALSE)</f>
        <v>58- Renforcement des compétences de l’administration (cadre normatif, poste-profil, évaluation, équipement, formations…)</v>
      </c>
      <c r="AB1900" s="19" t="str">
        <f>C1900 &amp; "-" &amp; VLOOKUP(C1900,[4]RESULTATS!$E$1:$F$176,2,FALSE)</f>
        <v>582- Le plan de relève permet l’existence continue d’un corps administratif compétent</v>
      </c>
      <c r="AC1900" s="20" t="str">
        <f>D1900 &amp; "-" &amp; VLOOKUP(D1900,[4]STRATEGIES!$E$1:$F$504,2,FALSE)</f>
        <v>5824-Développement régulier de plans de formation pour le personnel des différentes structures administratives</v>
      </c>
      <c r="AD1900" s="21" t="str">
        <f t="shared" si="279"/>
        <v>58241-Mise en place d'une commission chargée du pilotage du programme de renforcement des capacités individuelles des agents du MENA</v>
      </c>
    </row>
    <row r="1901" spans="1:30" s="22" customFormat="1" ht="60" hidden="1" customHeight="1" x14ac:dyDescent="0.8">
      <c r="A1901" s="14">
        <v>5</v>
      </c>
      <c r="B1901" s="15">
        <v>58</v>
      </c>
      <c r="C1901" s="15">
        <v>582</v>
      </c>
      <c r="D1901" s="15">
        <v>5824</v>
      </c>
      <c r="E1901" s="15">
        <v>58242</v>
      </c>
      <c r="F1901" s="16" t="s">
        <v>2363</v>
      </c>
      <c r="G1901" s="21" t="s">
        <v>88</v>
      </c>
      <c r="H1901" s="17" t="s">
        <v>55</v>
      </c>
      <c r="I1901" s="33">
        <v>0</v>
      </c>
      <c r="J1901" s="33">
        <v>1</v>
      </c>
      <c r="K1901" s="33">
        <v>0</v>
      </c>
      <c r="L1901" s="33">
        <v>0</v>
      </c>
      <c r="M1901" s="33">
        <f t="shared" si="282"/>
        <v>1</v>
      </c>
      <c r="N1901" s="33">
        <f>IF(OR(H1901="",H1901="sif",H1901="PM"),0,VLOOKUP(H1901,[5]CU!$C$4:$H$255,6,FALSE))</f>
        <v>0</v>
      </c>
      <c r="O1901" s="33"/>
      <c r="P1901" s="33"/>
      <c r="Q1901" s="33"/>
      <c r="R1901" s="33"/>
      <c r="S1901" s="33"/>
      <c r="T1901" s="35" t="s">
        <v>56</v>
      </c>
      <c r="U1901" s="18" t="s">
        <v>1873</v>
      </c>
      <c r="V1901" s="18" t="str">
        <f>IF(OR($H1901="",$H1901="sif",$H1901="PM"),"",VLOOKUP($H1901,[5]CU!$C$5:$J$255,8,FALSE))</f>
        <v/>
      </c>
      <c r="W1901" s="18" t="s">
        <v>255</v>
      </c>
      <c r="X1901" s="18" t="s">
        <v>2364</v>
      </c>
      <c r="Y1901" s="19" t="s">
        <v>32</v>
      </c>
      <c r="Z1901" s="18" t="str">
        <f>A1901 &amp; "-" &amp; VLOOKUP(A1901,[4]PROGRAMMES!$E$1:$F$7,2,FALSE)</f>
        <v>5-Gouvernance et pilotage du secteur</v>
      </c>
      <c r="AA1901" s="19" t="str">
        <f>B1901 &amp; "-" &amp; VLOOKUP(B1901,[4]SOUSPROGRAMMES!$E$1:$F$44,2,FALSE)</f>
        <v>58- Renforcement des compétences de l’administration (cadre normatif, poste-profil, évaluation, équipement, formations…)</v>
      </c>
      <c r="AB1901" s="19" t="str">
        <f>C1901 &amp; "-" &amp; VLOOKUP(C1901,[4]RESULTATS!$E$1:$F$176,2,FALSE)</f>
        <v>582- Le plan de relève permet l’existence continue d’un corps administratif compétent</v>
      </c>
      <c r="AC1901" s="20" t="str">
        <f>D1901 &amp; "-" &amp; VLOOKUP(D1901,[4]STRATEGIES!$E$1:$F$504,2,FALSE)</f>
        <v>5824-Développement régulier de plans de formation pour le personnel des différentes structures administratives</v>
      </c>
      <c r="AD1901" s="21" t="str">
        <f t="shared" si="279"/>
        <v>58242-Identification des besoins en renforcement des capacités des cadres (réalisée par la DRH)</v>
      </c>
    </row>
    <row r="1902" spans="1:30" s="22" customFormat="1" ht="60" hidden="1" customHeight="1" x14ac:dyDescent="0.8">
      <c r="A1902" s="14">
        <v>5</v>
      </c>
      <c r="B1902" s="15">
        <v>58</v>
      </c>
      <c r="C1902" s="15">
        <v>582</v>
      </c>
      <c r="D1902" s="15">
        <v>5824</v>
      </c>
      <c r="E1902" s="15">
        <v>58243</v>
      </c>
      <c r="F1902" s="16" t="s">
        <v>2365</v>
      </c>
      <c r="G1902" s="21" t="s">
        <v>88</v>
      </c>
      <c r="H1902" s="17" t="s">
        <v>55</v>
      </c>
      <c r="I1902" s="33">
        <v>0</v>
      </c>
      <c r="J1902" s="33">
        <v>1</v>
      </c>
      <c r="K1902" s="33">
        <v>1</v>
      </c>
      <c r="L1902" s="33">
        <v>1</v>
      </c>
      <c r="M1902" s="33">
        <f t="shared" si="282"/>
        <v>3</v>
      </c>
      <c r="N1902" s="33">
        <f>IF(OR(H1902="",H1902="sif",H1902="PM"),0,VLOOKUP(H1902,[5]CU!$C$4:$H$255,6,FALSE))</f>
        <v>0</v>
      </c>
      <c r="O1902" s="33"/>
      <c r="P1902" s="33"/>
      <c r="Q1902" s="33"/>
      <c r="R1902" s="33"/>
      <c r="S1902" s="33"/>
      <c r="T1902" s="35" t="s">
        <v>56</v>
      </c>
      <c r="U1902" s="18" t="s">
        <v>1873</v>
      </c>
      <c r="V1902" s="18" t="str">
        <f>IF(OR($H1902="",$H1902="sif",$H1902="PM"),"",VLOOKUP($H1902,[5]CU!$C$5:$J$255,8,FALSE))</f>
        <v/>
      </c>
      <c r="W1902" s="18" t="s">
        <v>255</v>
      </c>
      <c r="X1902" s="18" t="s">
        <v>2364</v>
      </c>
      <c r="Y1902" s="19" t="s">
        <v>32</v>
      </c>
      <c r="Z1902" s="18" t="str">
        <f>A1902 &amp; "-" &amp; VLOOKUP(A1902,[4]PROGRAMMES!$E$1:$F$7,2,FALSE)</f>
        <v>5-Gouvernance et pilotage du secteur</v>
      </c>
      <c r="AA1902" s="19" t="str">
        <f>B1902 &amp; "-" &amp; VLOOKUP(B1902,[4]SOUSPROGRAMMES!$E$1:$F$44,2,FALSE)</f>
        <v>58- Renforcement des compétences de l’administration (cadre normatif, poste-profil, évaluation, équipement, formations…)</v>
      </c>
      <c r="AB1902" s="19" t="str">
        <f>C1902 &amp; "-" &amp; VLOOKUP(C1902,[4]RESULTATS!$E$1:$F$176,2,FALSE)</f>
        <v>582- Le plan de relève permet l’existence continue d’un corps administratif compétent</v>
      </c>
      <c r="AC1902" s="20" t="str">
        <f>D1902 &amp; "-" &amp; VLOOKUP(D1902,[4]STRATEGIES!$E$1:$F$504,2,FALSE)</f>
        <v>5824-Développement régulier de plans de formation pour le personnel des différentes structures administratives</v>
      </c>
      <c r="AD1902" s="21" t="str">
        <f t="shared" si="279"/>
        <v xml:space="preserve">58243-Production annuelle et validation de plans de formation </v>
      </c>
    </row>
    <row r="1903" spans="1:30" s="22" customFormat="1" ht="60" hidden="1" customHeight="1" x14ac:dyDescent="0.8">
      <c r="A1903" s="14">
        <v>5</v>
      </c>
      <c r="B1903" s="15">
        <v>58</v>
      </c>
      <c r="C1903" s="15">
        <v>582</v>
      </c>
      <c r="D1903" s="15">
        <v>5825</v>
      </c>
      <c r="E1903" s="15">
        <v>5825</v>
      </c>
      <c r="F1903" s="16" t="s">
        <v>2366</v>
      </c>
      <c r="G1903" s="17"/>
      <c r="H1903" s="17"/>
      <c r="I1903" s="33">
        <v>0</v>
      </c>
      <c r="J1903" s="33"/>
      <c r="K1903" s="33"/>
      <c r="L1903" s="33"/>
      <c r="M1903" s="33"/>
      <c r="N1903" s="33"/>
      <c r="O1903" s="33"/>
      <c r="P1903" s="33"/>
      <c r="Q1903" s="33"/>
      <c r="R1903" s="33"/>
      <c r="S1903" s="33"/>
      <c r="T1903" s="33"/>
      <c r="U1903" s="18"/>
      <c r="V1903" s="18"/>
      <c r="W1903" s="18"/>
      <c r="X1903" s="18"/>
      <c r="Y1903" s="18"/>
      <c r="Z1903" s="18" t="str">
        <f>A1903 &amp; "-" &amp; VLOOKUP(A1903,[4]PROGRAMMES!$E$1:$F$7,2,FALSE)</f>
        <v>5-Gouvernance et pilotage du secteur</v>
      </c>
      <c r="AA1903" s="19" t="str">
        <f>B1903 &amp; "-" &amp; VLOOKUP(B1903,[4]SOUSPROGRAMMES!$E$1:$F$44,2,FALSE)</f>
        <v>58- Renforcement des compétences de l’administration (cadre normatif, poste-profil, évaluation, équipement, formations…)</v>
      </c>
      <c r="AB1903" s="19" t="str">
        <f>C1903 &amp; "-" &amp; VLOOKUP(C1903,[4]RESULTATS!$E$1:$F$176,2,FALSE)</f>
        <v>582- Le plan de relève permet l’existence continue d’un corps administratif compétent</v>
      </c>
      <c r="AC1903" s="20" t="str">
        <f>D1903 &amp; "-" &amp; VLOOKUP(D1903,[4]STRATEGIES!$E$1:$F$504,2,FALSE)</f>
        <v>5825-Mise en œuvre des plans de formation</v>
      </c>
      <c r="AD1903" s="21" t="str">
        <f t="shared" si="279"/>
        <v>5825-Mise en œuvre des plans de formation</v>
      </c>
    </row>
    <row r="1904" spans="1:30" s="22" customFormat="1" ht="60" hidden="1" customHeight="1" x14ac:dyDescent="0.8">
      <c r="A1904" s="14">
        <v>5</v>
      </c>
      <c r="B1904" s="15">
        <v>58</v>
      </c>
      <c r="C1904" s="15">
        <v>582</v>
      </c>
      <c r="D1904" s="15">
        <v>5825</v>
      </c>
      <c r="E1904" s="15">
        <v>58251</v>
      </c>
      <c r="F1904" s="16" t="s">
        <v>2367</v>
      </c>
      <c r="G1904" s="21" t="s">
        <v>436</v>
      </c>
      <c r="H1904" s="17" t="s">
        <v>301</v>
      </c>
      <c r="I1904" s="33">
        <v>0</v>
      </c>
      <c r="J1904" s="33">
        <f>(30*10*15)*62.71%</f>
        <v>2821.95</v>
      </c>
      <c r="K1904" s="33">
        <f>(30*10*10)*62.71%</f>
        <v>1881.3</v>
      </c>
      <c r="L1904" s="33">
        <f>(30*10*10)*62.71%</f>
        <v>1881.3</v>
      </c>
      <c r="M1904" s="33">
        <f>SUM(I1904:L1904)</f>
        <v>6584.55</v>
      </c>
      <c r="N1904" s="33">
        <f>IF(OR(H1904="",H1904="sif",H1904="PM"),0,VLOOKUP(H1904,[5]CU!$C$4:$H$255,6,FALSE))</f>
        <v>0.67666666666666664</v>
      </c>
      <c r="O1904" s="33">
        <f>$N1904*I1904</f>
        <v>0</v>
      </c>
      <c r="P1904" s="33">
        <f>$N1904*J1904</f>
        <v>1909.5194999999999</v>
      </c>
      <c r="Q1904" s="33">
        <f>$N1904*K1904</f>
        <v>1273.0129999999999</v>
      </c>
      <c r="R1904" s="33">
        <f>$N1904*L1904</f>
        <v>1273.0129999999999</v>
      </c>
      <c r="S1904" s="33">
        <f t="shared" ref="S1904:S1910" si="284">SUM(O1904:R1904)</f>
        <v>4455.5455000000002</v>
      </c>
      <c r="T1904" s="35" t="s">
        <v>67</v>
      </c>
      <c r="U1904" s="18" t="s">
        <v>1873</v>
      </c>
      <c r="V1904" s="18" t="str">
        <f>IF(OR($H1904="",$H1904="sif",$H1904="PM"),"",VLOOKUP($H1904,[5]CU!$C$5:$J$255,8,FALSE))</f>
        <v>3. Formation</v>
      </c>
      <c r="W1904" s="18" t="s">
        <v>255</v>
      </c>
      <c r="X1904" s="18" t="s">
        <v>2364</v>
      </c>
      <c r="Y1904" s="19" t="s">
        <v>32</v>
      </c>
      <c r="Z1904" s="18" t="str">
        <f>A1904 &amp; "-" &amp; VLOOKUP(A1904,[4]PROGRAMMES!$E$1:$F$7,2,FALSE)</f>
        <v>5-Gouvernance et pilotage du secteur</v>
      </c>
      <c r="AA1904" s="19" t="str">
        <f>B1904 &amp; "-" &amp; VLOOKUP(B1904,[4]SOUSPROGRAMMES!$E$1:$F$44,2,FALSE)</f>
        <v>58- Renforcement des compétences de l’administration (cadre normatif, poste-profil, évaluation, équipement, formations…)</v>
      </c>
      <c r="AB1904" s="19" t="str">
        <f>C1904 &amp; "-" &amp; VLOOKUP(C1904,[4]RESULTATS!$E$1:$F$176,2,FALSE)</f>
        <v>582- Le plan de relève permet l’existence continue d’un corps administratif compétent</v>
      </c>
      <c r="AC1904" s="20" t="str">
        <f>D1904 &amp; "-" &amp; VLOOKUP(D1904,[4]STRATEGIES!$E$1:$F$504,2,FALSE)</f>
        <v>5825-Mise en œuvre des plans de formation</v>
      </c>
      <c r="AD1904" s="21" t="str">
        <f t="shared" si="279"/>
        <v>58251-Mise en œuvre progressive des plans de formation en adéquation avec les profils et les postes (pris en compte partiellement dans les différents sous programmes)</v>
      </c>
    </row>
    <row r="1905" spans="1:30" s="22" customFormat="1" ht="60" hidden="1" customHeight="1" x14ac:dyDescent="0.8">
      <c r="A1905" s="14">
        <v>5</v>
      </c>
      <c r="B1905" s="15">
        <v>58</v>
      </c>
      <c r="C1905" s="15">
        <v>582</v>
      </c>
      <c r="D1905" s="15">
        <v>5825</v>
      </c>
      <c r="E1905" s="15">
        <v>58251</v>
      </c>
      <c r="F1905" s="16" t="s">
        <v>2367</v>
      </c>
      <c r="G1905" s="21" t="s">
        <v>436</v>
      </c>
      <c r="H1905" s="17" t="s">
        <v>301</v>
      </c>
      <c r="I1905" s="33">
        <v>0</v>
      </c>
      <c r="J1905" s="33">
        <f>(30*10*15)*37.29%</f>
        <v>1678.05</v>
      </c>
      <c r="K1905" s="33">
        <f>(30*10*10)*37.29%</f>
        <v>1118.7</v>
      </c>
      <c r="L1905" s="33">
        <f>(30*10*10)*37.29%</f>
        <v>1118.7</v>
      </c>
      <c r="M1905" s="33">
        <f t="shared" si="282"/>
        <v>3915.45</v>
      </c>
      <c r="N1905" s="33">
        <f>IF(OR(H1905="",H1905="sif",H1905="PM"),0,VLOOKUP(H1905,[5]CU!$C$4:$H$255,6,FALSE))</f>
        <v>0.67666666666666664</v>
      </c>
      <c r="O1905" s="33">
        <f t="shared" ref="O1905:R1910" si="285">$N1905*I1905</f>
        <v>0</v>
      </c>
      <c r="P1905" s="33">
        <f t="shared" si="285"/>
        <v>1135.4804999999999</v>
      </c>
      <c r="Q1905" s="33">
        <f t="shared" si="285"/>
        <v>756.98699999999997</v>
      </c>
      <c r="R1905" s="33">
        <f t="shared" si="285"/>
        <v>756.98699999999997</v>
      </c>
      <c r="S1905" s="33">
        <f t="shared" si="284"/>
        <v>2649.4544999999998</v>
      </c>
      <c r="T1905" s="35" t="s">
        <v>118</v>
      </c>
      <c r="U1905" s="18" t="s">
        <v>1873</v>
      </c>
      <c r="V1905" s="18" t="str">
        <f>IF(OR($H1905="",$H1905="sif",$H1905="PM"),"",VLOOKUP($H1905,[5]CU!$C$5:$J$255,8,FALSE))</f>
        <v>3. Formation</v>
      </c>
      <c r="W1905" s="18" t="s">
        <v>255</v>
      </c>
      <c r="X1905" s="18" t="s">
        <v>2364</v>
      </c>
      <c r="Y1905" s="19" t="s">
        <v>32</v>
      </c>
      <c r="Z1905" s="18" t="str">
        <f>A1905 &amp; "-" &amp; VLOOKUP(A1905,[4]PROGRAMMES!$E$1:$F$7,2,FALSE)</f>
        <v>5-Gouvernance et pilotage du secteur</v>
      </c>
      <c r="AA1905" s="19" t="str">
        <f>B1905 &amp; "-" &amp; VLOOKUP(B1905,[4]SOUSPROGRAMMES!$E$1:$F$44,2,FALSE)</f>
        <v>58- Renforcement des compétences de l’administration (cadre normatif, poste-profil, évaluation, équipement, formations…)</v>
      </c>
      <c r="AB1905" s="19" t="str">
        <f>C1905 &amp; "-" &amp; VLOOKUP(C1905,[4]RESULTATS!$E$1:$F$176,2,FALSE)</f>
        <v>582- Le plan de relève permet l’existence continue d’un corps administratif compétent</v>
      </c>
      <c r="AC1905" s="20" t="str">
        <f>D1905 &amp; "-" &amp; VLOOKUP(D1905,[4]STRATEGIES!$E$1:$F$504,2,FALSE)</f>
        <v>5825-Mise en œuvre des plans de formation</v>
      </c>
      <c r="AD1905" s="21" t="str">
        <f t="shared" si="279"/>
        <v>58251-Mise en œuvre progressive des plans de formation en adéquation avec les profils et les postes (pris en compte partiellement dans les différents sous programmes)</v>
      </c>
    </row>
    <row r="1906" spans="1:30" s="22" customFormat="1" ht="60" hidden="1" customHeight="1" x14ac:dyDescent="0.8">
      <c r="A1906" s="14">
        <v>5</v>
      </c>
      <c r="B1906" s="15">
        <v>58</v>
      </c>
      <c r="C1906" s="15">
        <v>582</v>
      </c>
      <c r="D1906" s="15">
        <v>5825</v>
      </c>
      <c r="E1906" s="15">
        <v>58252</v>
      </c>
      <c r="F1906" s="16" t="s">
        <v>2368</v>
      </c>
      <c r="G1906" s="21" t="s">
        <v>436</v>
      </c>
      <c r="H1906" s="17" t="s">
        <v>1068</v>
      </c>
      <c r="I1906" s="33">
        <v>0</v>
      </c>
      <c r="J1906" s="33">
        <f>15*44.01%</f>
        <v>6.6014999999999997</v>
      </c>
      <c r="K1906" s="33">
        <f>5*44.01%</f>
        <v>2.2004999999999999</v>
      </c>
      <c r="L1906" s="33"/>
      <c r="M1906" s="33">
        <f>SUM(I1906:L1906)</f>
        <v>8.8019999999999996</v>
      </c>
      <c r="N1906" s="33">
        <f>IF(OR(H1906="",H1906="sif",H1906="PM"),0,VLOOKUP(H1906,[5]CU!$C$4:$H$255,6,FALSE))</f>
        <v>107.95</v>
      </c>
      <c r="O1906" s="33">
        <f>$N1906*I1906</f>
        <v>0</v>
      </c>
      <c r="P1906" s="33">
        <f>$N1906*J1906</f>
        <v>712.63192500000002</v>
      </c>
      <c r="Q1906" s="33">
        <f>$N1906*K1906</f>
        <v>237.54397499999999</v>
      </c>
      <c r="R1906" s="33">
        <f>$N1906*L1906</f>
        <v>0</v>
      </c>
      <c r="S1906" s="33">
        <f t="shared" si="284"/>
        <v>950.17589999999996</v>
      </c>
      <c r="T1906" s="35" t="s">
        <v>67</v>
      </c>
      <c r="U1906" s="18" t="s">
        <v>1873</v>
      </c>
      <c r="V1906" s="18" t="str">
        <f>IF(OR($H1906="",$H1906="sif",$H1906="PM"),"",VLOOKUP($H1906,[5]CU!$C$5:$J$255,8,FALSE))</f>
        <v>3. Formation</v>
      </c>
      <c r="W1906" s="18" t="s">
        <v>142</v>
      </c>
      <c r="X1906" s="18" t="s">
        <v>142</v>
      </c>
      <c r="Y1906" s="19" t="s">
        <v>32</v>
      </c>
      <c r="Z1906" s="18" t="str">
        <f>A1906 &amp; "-" &amp; VLOOKUP(A1906,[4]PROGRAMMES!$E$1:$F$7,2,FALSE)</f>
        <v>5-Gouvernance et pilotage du secteur</v>
      </c>
      <c r="AA1906" s="19" t="str">
        <f>B1906 &amp; "-" &amp; VLOOKUP(B1906,[4]SOUSPROGRAMMES!$E$1:$F$44,2,FALSE)</f>
        <v>58- Renforcement des compétences de l’administration (cadre normatif, poste-profil, évaluation, équipement, formations…)</v>
      </c>
      <c r="AB1906" s="19" t="str">
        <f>C1906 &amp; "-" &amp; VLOOKUP(C1906,[4]RESULTATS!$E$1:$F$176,2,FALSE)</f>
        <v>582- Le plan de relève permet l’existence continue d’un corps administratif compétent</v>
      </c>
      <c r="AC1906" s="20" t="str">
        <f>D1906 &amp; "-" &amp; VLOOKUP(D1906,[4]STRATEGIES!$E$1:$F$504,2,FALSE)</f>
        <v>5825-Mise en œuvre des plans de formation</v>
      </c>
      <c r="AD1906" s="21" t="str">
        <f t="shared" si="279"/>
        <v>58252-Formation d'un noyau dur de personnel d'encadrement pour le préscolaire</v>
      </c>
    </row>
    <row r="1907" spans="1:30" s="22" customFormat="1" ht="60" hidden="1" customHeight="1" x14ac:dyDescent="0.8">
      <c r="A1907" s="14">
        <v>5</v>
      </c>
      <c r="B1907" s="15">
        <v>58</v>
      </c>
      <c r="C1907" s="15">
        <v>582</v>
      </c>
      <c r="D1907" s="15">
        <v>5825</v>
      </c>
      <c r="E1907" s="15">
        <v>58252</v>
      </c>
      <c r="F1907" s="16" t="s">
        <v>2368</v>
      </c>
      <c r="G1907" s="21" t="s">
        <v>436</v>
      </c>
      <c r="H1907" s="17" t="s">
        <v>1068</v>
      </c>
      <c r="I1907" s="33">
        <v>0</v>
      </c>
      <c r="J1907" s="33">
        <f>15*55.99%</f>
        <v>8.3985000000000003</v>
      </c>
      <c r="K1907" s="33">
        <f>5*55.99%</f>
        <v>2.7995000000000001</v>
      </c>
      <c r="L1907" s="33"/>
      <c r="M1907" s="33">
        <f t="shared" si="282"/>
        <v>11.198</v>
      </c>
      <c r="N1907" s="33">
        <f>IF(OR(H1907="",H1907="sif",H1907="PM"),0,VLOOKUP(H1907,[5]CU!$C$4:$H$255,6,FALSE))</f>
        <v>107.95</v>
      </c>
      <c r="O1907" s="33">
        <f t="shared" si="285"/>
        <v>0</v>
      </c>
      <c r="P1907" s="33">
        <f t="shared" si="285"/>
        <v>906.61807500000009</v>
      </c>
      <c r="Q1907" s="33">
        <f t="shared" si="285"/>
        <v>302.20602500000001</v>
      </c>
      <c r="R1907" s="33">
        <f t="shared" si="285"/>
        <v>0</v>
      </c>
      <c r="S1907" s="33">
        <f t="shared" si="284"/>
        <v>1208.8241</v>
      </c>
      <c r="T1907" s="35" t="s">
        <v>118</v>
      </c>
      <c r="U1907" s="18" t="s">
        <v>1873</v>
      </c>
      <c r="V1907" s="18" t="str">
        <f>IF(OR($H1907="",$H1907="sif",$H1907="PM"),"",VLOOKUP($H1907,[5]CU!$C$5:$J$255,8,FALSE))</f>
        <v>3. Formation</v>
      </c>
      <c r="W1907" s="18" t="s">
        <v>142</v>
      </c>
      <c r="X1907" s="18" t="s">
        <v>142</v>
      </c>
      <c r="Y1907" s="19" t="s">
        <v>32</v>
      </c>
      <c r="Z1907" s="18" t="str">
        <f>A1907 &amp; "-" &amp; VLOOKUP(A1907,[4]PROGRAMMES!$E$1:$F$7,2,FALSE)</f>
        <v>5-Gouvernance et pilotage du secteur</v>
      </c>
      <c r="AA1907" s="19" t="str">
        <f>B1907 &amp; "-" &amp; VLOOKUP(B1907,[4]SOUSPROGRAMMES!$E$1:$F$44,2,FALSE)</f>
        <v>58- Renforcement des compétences de l’administration (cadre normatif, poste-profil, évaluation, équipement, formations…)</v>
      </c>
      <c r="AB1907" s="19" t="str">
        <f>C1907 &amp; "-" &amp; VLOOKUP(C1907,[4]RESULTATS!$E$1:$F$176,2,FALSE)</f>
        <v>582- Le plan de relève permet l’existence continue d’un corps administratif compétent</v>
      </c>
      <c r="AC1907" s="20" t="str">
        <f>D1907 &amp; "-" &amp; VLOOKUP(D1907,[4]STRATEGIES!$E$1:$F$504,2,FALSE)</f>
        <v>5825-Mise en œuvre des plans de formation</v>
      </c>
      <c r="AD1907" s="21" t="str">
        <f t="shared" si="279"/>
        <v>58252-Formation d'un noyau dur de personnel d'encadrement pour le préscolaire</v>
      </c>
    </row>
    <row r="1908" spans="1:30" s="22" customFormat="1" ht="60" hidden="1" customHeight="1" x14ac:dyDescent="0.8">
      <c r="A1908" s="14">
        <v>5</v>
      </c>
      <c r="B1908" s="15">
        <v>58</v>
      </c>
      <c r="C1908" s="15">
        <v>582</v>
      </c>
      <c r="D1908" s="15">
        <v>5825</v>
      </c>
      <c r="E1908" s="15">
        <v>58253</v>
      </c>
      <c r="F1908" s="16" t="s">
        <v>2369</v>
      </c>
      <c r="G1908" s="21" t="s">
        <v>436</v>
      </c>
      <c r="H1908" s="17" t="s">
        <v>501</v>
      </c>
      <c r="I1908" s="33">
        <v>0</v>
      </c>
      <c r="J1908" s="33"/>
      <c r="K1908" s="33">
        <f>8</f>
        <v>8</v>
      </c>
      <c r="L1908" s="33">
        <v>10</v>
      </c>
      <c r="M1908" s="33">
        <f t="shared" si="282"/>
        <v>18</v>
      </c>
      <c r="N1908" s="33">
        <f>IF(OR(H1908="",H1908="sif",H1908="PM"),0,VLOOKUP(H1908,[5]CU!$C$4:$H$255,6,FALSE))</f>
        <v>50.336534</v>
      </c>
      <c r="O1908" s="33">
        <f t="shared" si="285"/>
        <v>0</v>
      </c>
      <c r="P1908" s="33">
        <f t="shared" si="285"/>
        <v>0</v>
      </c>
      <c r="Q1908" s="33">
        <f t="shared" si="285"/>
        <v>402.692272</v>
      </c>
      <c r="R1908" s="33">
        <f t="shared" si="285"/>
        <v>503.36534</v>
      </c>
      <c r="S1908" s="33">
        <f t="shared" si="284"/>
        <v>906.05761200000006</v>
      </c>
      <c r="T1908" s="35" t="s">
        <v>118</v>
      </c>
      <c r="U1908" s="18" t="s">
        <v>1873</v>
      </c>
      <c r="V1908" s="18" t="str">
        <f>IF(OR($H1908="",$H1908="sif",$H1908="PM"),"",VLOOKUP($H1908,[5]CU!$C$5:$J$255,8,FALSE))</f>
        <v>3. Formation</v>
      </c>
      <c r="W1908" s="18" t="s">
        <v>255</v>
      </c>
      <c r="X1908" s="18" t="s">
        <v>2364</v>
      </c>
      <c r="Y1908" s="19" t="s">
        <v>32</v>
      </c>
      <c r="Z1908" s="18" t="str">
        <f>A1908 &amp; "-" &amp; VLOOKUP(A1908,[4]PROGRAMMES!$E$1:$F$7,2,FALSE)</f>
        <v>5-Gouvernance et pilotage du secteur</v>
      </c>
      <c r="AA1908" s="19" t="str">
        <f>B1908 &amp; "-" &amp; VLOOKUP(B1908,[4]SOUSPROGRAMMES!$E$1:$F$44,2,FALSE)</f>
        <v>58- Renforcement des compétences de l’administration (cadre normatif, poste-profil, évaluation, équipement, formations…)</v>
      </c>
      <c r="AB1908" s="19" t="str">
        <f>C1908 &amp; "-" &amp; VLOOKUP(C1908,[4]RESULTATS!$E$1:$F$176,2,FALSE)</f>
        <v>582- Le plan de relève permet l’existence continue d’un corps administratif compétent</v>
      </c>
      <c r="AC1908" s="20" t="str">
        <f>D1908 &amp; "-" &amp; VLOOKUP(D1908,[4]STRATEGIES!$E$1:$F$504,2,FALSE)</f>
        <v>5825-Mise en œuvre des plans de formation</v>
      </c>
      <c r="AD1908" s="21" t="str">
        <f t="shared" si="279"/>
        <v>58253-Formation des directeurs centraux et des IRE au management</v>
      </c>
    </row>
    <row r="1909" spans="1:30" s="22" customFormat="1" ht="60" hidden="1" customHeight="1" x14ac:dyDescent="0.8">
      <c r="A1909" s="14">
        <v>5</v>
      </c>
      <c r="B1909" s="15">
        <v>58</v>
      </c>
      <c r="C1909" s="15">
        <v>582</v>
      </c>
      <c r="D1909" s="15">
        <v>5825</v>
      </c>
      <c r="E1909" s="15">
        <v>58254</v>
      </c>
      <c r="F1909" s="16" t="s">
        <v>2370</v>
      </c>
      <c r="G1909" s="21" t="s">
        <v>2371</v>
      </c>
      <c r="H1909" s="17" t="s">
        <v>66</v>
      </c>
      <c r="I1909" s="33">
        <v>0</v>
      </c>
      <c r="J1909" s="33">
        <f>10*6</f>
        <v>60</v>
      </c>
      <c r="K1909" s="33">
        <f>10*6</f>
        <v>60</v>
      </c>
      <c r="L1909" s="33">
        <f>10*6</f>
        <v>60</v>
      </c>
      <c r="M1909" s="33">
        <f t="shared" si="282"/>
        <v>180</v>
      </c>
      <c r="N1909" s="33">
        <f>IF(OR(H1909="",H1909="sif",H1909="PM"),0,VLOOKUP(H1909,[5]CU!$C$4:$H$255,6,FALSE))</f>
        <v>0.255</v>
      </c>
      <c r="O1909" s="33">
        <f t="shared" si="285"/>
        <v>0</v>
      </c>
      <c r="P1909" s="33">
        <f t="shared" si="285"/>
        <v>15.3</v>
      </c>
      <c r="Q1909" s="33">
        <f t="shared" si="285"/>
        <v>15.3</v>
      </c>
      <c r="R1909" s="33">
        <f t="shared" si="285"/>
        <v>15.3</v>
      </c>
      <c r="S1909" s="33">
        <f t="shared" si="284"/>
        <v>45.900000000000006</v>
      </c>
      <c r="T1909" s="35" t="s">
        <v>118</v>
      </c>
      <c r="U1909" s="18" t="s">
        <v>1873</v>
      </c>
      <c r="V1909" s="18" t="str">
        <f>IF(OR($H1909="",$H1909="sif",$H1909="PM"),"",VLOOKUP($H1909,[5]CU!$C$5:$J$255,8,FALSE))</f>
        <v>3. Dépenses de fonctionnement</v>
      </c>
      <c r="W1909" s="18" t="s">
        <v>255</v>
      </c>
      <c r="X1909" s="18" t="s">
        <v>2364</v>
      </c>
      <c r="Y1909" s="19" t="s">
        <v>32</v>
      </c>
      <c r="Z1909" s="18" t="str">
        <f>A1909 &amp; "-" &amp; VLOOKUP(A1909,[4]PROGRAMMES!$E$1:$F$7,2,FALSE)</f>
        <v>5-Gouvernance et pilotage du secteur</v>
      </c>
      <c r="AA1909" s="19" t="str">
        <f>B1909 &amp; "-" &amp; VLOOKUP(B1909,[4]SOUSPROGRAMMES!$E$1:$F$44,2,FALSE)</f>
        <v>58- Renforcement des compétences de l’administration (cadre normatif, poste-profil, évaluation, équipement, formations…)</v>
      </c>
      <c r="AB1909" s="19" t="str">
        <f>C1909 &amp; "-" &amp; VLOOKUP(C1909,[4]RESULTATS!$E$1:$F$176,2,FALSE)</f>
        <v>582- Le plan de relève permet l’existence continue d’un corps administratif compétent</v>
      </c>
      <c r="AC1909" s="20" t="str">
        <f>D1909 &amp; "-" &amp; VLOOKUP(D1909,[4]STRATEGIES!$E$1:$F$504,2,FALSE)</f>
        <v>5825-Mise en œuvre des plans de formation</v>
      </c>
      <c r="AD1909" s="21" t="str">
        <f t="shared" si="279"/>
        <v>58254-Suivi de la mise en œuvre des plans de formations</v>
      </c>
    </row>
    <row r="1910" spans="1:30" s="22" customFormat="1" ht="60" hidden="1" customHeight="1" x14ac:dyDescent="0.8">
      <c r="A1910" s="14">
        <v>5</v>
      </c>
      <c r="B1910" s="15">
        <v>58</v>
      </c>
      <c r="C1910" s="15">
        <v>582</v>
      </c>
      <c r="D1910" s="15">
        <v>5825</v>
      </c>
      <c r="E1910" s="15">
        <v>58255</v>
      </c>
      <c r="F1910" s="16" t="s">
        <v>2372</v>
      </c>
      <c r="G1910" s="21" t="s">
        <v>100</v>
      </c>
      <c r="H1910" s="17" t="s">
        <v>646</v>
      </c>
      <c r="I1910" s="33">
        <v>0</v>
      </c>
      <c r="J1910" s="33"/>
      <c r="K1910" s="33"/>
      <c r="L1910" s="33">
        <f>2*15*2</f>
        <v>60</v>
      </c>
      <c r="M1910" s="33">
        <f t="shared" si="282"/>
        <v>60</v>
      </c>
      <c r="N1910" s="33">
        <f>IF(OR(H1910="",H1910="sif",H1910="PM"),0,VLOOKUP(H1910,[5]CU!$C$4:$H$255,6,FALSE))</f>
        <v>10.404797</v>
      </c>
      <c r="O1910" s="33">
        <f t="shared" si="285"/>
        <v>0</v>
      </c>
      <c r="P1910" s="33">
        <f t="shared" si="285"/>
        <v>0</v>
      </c>
      <c r="Q1910" s="33">
        <f t="shared" si="285"/>
        <v>0</v>
      </c>
      <c r="R1910" s="33">
        <f t="shared" si="285"/>
        <v>624.28782000000001</v>
      </c>
      <c r="S1910" s="33">
        <f t="shared" si="284"/>
        <v>624.28782000000001</v>
      </c>
      <c r="T1910" s="35" t="s">
        <v>118</v>
      </c>
      <c r="U1910" s="18" t="s">
        <v>1873</v>
      </c>
      <c r="V1910" s="18" t="str">
        <f>IF(OR($H1910="",$H1910="sif",$H1910="PM"),"",VLOOKUP($H1910,[5]CU!$C$5:$J$255,8,FALSE))</f>
        <v>3. Dépenses de fonctionnement</v>
      </c>
      <c r="W1910" s="18" t="s">
        <v>255</v>
      </c>
      <c r="X1910" s="18" t="s">
        <v>2364</v>
      </c>
      <c r="Y1910" s="19" t="s">
        <v>32</v>
      </c>
      <c r="Z1910" s="18" t="str">
        <f>A1910 &amp; "-" &amp; VLOOKUP(A1910,[4]PROGRAMMES!$E$1:$F$7,2,FALSE)</f>
        <v>5-Gouvernance et pilotage du secteur</v>
      </c>
      <c r="AA1910" s="19" t="str">
        <f>B1910 &amp; "-" &amp; VLOOKUP(B1910,[4]SOUSPROGRAMMES!$E$1:$F$44,2,FALSE)</f>
        <v>58- Renforcement des compétences de l’administration (cadre normatif, poste-profil, évaluation, équipement, formations…)</v>
      </c>
      <c r="AB1910" s="19" t="str">
        <f>C1910 &amp; "-" &amp; VLOOKUP(C1910,[4]RESULTATS!$E$1:$F$176,2,FALSE)</f>
        <v>582- Le plan de relève permet l’existence continue d’un corps administratif compétent</v>
      </c>
      <c r="AC1910" s="20" t="str">
        <f>D1910 &amp; "-" &amp; VLOOKUP(D1910,[4]STRATEGIES!$E$1:$F$504,2,FALSE)</f>
        <v>5825-Mise en œuvre des plans de formation</v>
      </c>
      <c r="AD1910" s="21" t="str">
        <f t="shared" si="279"/>
        <v>58255-Analyse des capacités institutionnelles des administrations du MENA</v>
      </c>
    </row>
    <row r="1911" spans="1:30" s="22" customFormat="1" ht="60" hidden="1" customHeight="1" x14ac:dyDescent="0.8">
      <c r="A1911" s="14">
        <v>5</v>
      </c>
      <c r="B1911" s="15">
        <v>58</v>
      </c>
      <c r="C1911" s="15">
        <v>583</v>
      </c>
      <c r="D1911" s="15">
        <v>583</v>
      </c>
      <c r="E1911" s="15">
        <v>583</v>
      </c>
      <c r="F1911" s="16" t="s">
        <v>2373</v>
      </c>
      <c r="G1911" s="17"/>
      <c r="H1911" s="17"/>
      <c r="I1911" s="33">
        <v>0</v>
      </c>
      <c r="J1911" s="33"/>
      <c r="K1911" s="33"/>
      <c r="L1911" s="33"/>
      <c r="M1911" s="33"/>
      <c r="N1911" s="33"/>
      <c r="O1911" s="33"/>
      <c r="P1911" s="33"/>
      <c r="Q1911" s="33"/>
      <c r="R1911" s="33"/>
      <c r="S1911" s="33"/>
      <c r="T1911" s="33"/>
      <c r="U1911" s="18"/>
      <c r="V1911" s="18"/>
      <c r="W1911" s="18"/>
      <c r="X1911" s="18"/>
      <c r="Y1911" s="18"/>
      <c r="Z1911" s="18" t="str">
        <f>A1911 &amp; "-" &amp; VLOOKUP(A1911,[4]PROGRAMMES!$E$1:$F$7,2,FALSE)</f>
        <v>5-Gouvernance et pilotage du secteur</v>
      </c>
      <c r="AA1911" s="19" t="str">
        <f>B1911 &amp; "-" &amp; VLOOKUP(B1911,[4]SOUSPROGRAMMES!$E$1:$F$44,2,FALSE)</f>
        <v>58- Renforcement des compétences de l’administration (cadre normatif, poste-profil, évaluation, équipement, formations…)</v>
      </c>
      <c r="AB1911" s="19" t="str">
        <f>C1911 &amp; "-" &amp; VLOOKUP(C1911,[4]RESULTATS!$E$1:$F$176,2,FALSE)</f>
        <v>583- Chaque structure dispose des moyens logistiques nécessaires à l’accomplissement de sa mission</v>
      </c>
      <c r="AC1911" s="20" t="str">
        <f>D1911 &amp; "-" &amp; VLOOKUP(D1911,[4]STRATEGIES!$E$1:$F$504,2,FALSE)</f>
        <v>583- Chaque structure dispose des moyens logistiques nécessaires à l’accomplissement de sa mission</v>
      </c>
      <c r="AD1911" s="21" t="str">
        <f t="shared" si="279"/>
        <v>583- Chaque structure dispose des moyens logistiques nécessaires à l’accomplissement de sa mission</v>
      </c>
    </row>
    <row r="1912" spans="1:30" s="22" customFormat="1" ht="60" hidden="1" customHeight="1" x14ac:dyDescent="0.8">
      <c r="A1912" s="14">
        <v>5</v>
      </c>
      <c r="B1912" s="15">
        <v>58</v>
      </c>
      <c r="C1912" s="15">
        <v>583</v>
      </c>
      <c r="D1912" s="15">
        <v>5831</v>
      </c>
      <c r="E1912" s="15">
        <v>5831</v>
      </c>
      <c r="F1912" s="16" t="s">
        <v>2374</v>
      </c>
      <c r="G1912" s="17"/>
      <c r="H1912" s="17"/>
      <c r="I1912" s="33">
        <v>0</v>
      </c>
      <c r="J1912" s="33"/>
      <c r="K1912" s="33"/>
      <c r="L1912" s="33"/>
      <c r="M1912" s="33"/>
      <c r="N1912" s="33"/>
      <c r="O1912" s="33"/>
      <c r="P1912" s="33"/>
      <c r="Q1912" s="33"/>
      <c r="R1912" s="33"/>
      <c r="S1912" s="33"/>
      <c r="T1912" s="33"/>
      <c r="U1912" s="18"/>
      <c r="V1912" s="18"/>
      <c r="W1912" s="18"/>
      <c r="X1912" s="18"/>
      <c r="Y1912" s="18"/>
      <c r="Z1912" s="18" t="str">
        <f>A1912 &amp; "-" &amp; VLOOKUP(A1912,[4]PROGRAMMES!$E$1:$F$7,2,FALSE)</f>
        <v>5-Gouvernance et pilotage du secteur</v>
      </c>
      <c r="AA1912" s="19" t="str">
        <f>B1912 &amp; "-" &amp; VLOOKUP(B1912,[4]SOUSPROGRAMMES!$E$1:$F$44,2,FALSE)</f>
        <v>58- Renforcement des compétences de l’administration (cadre normatif, poste-profil, évaluation, équipement, formations…)</v>
      </c>
      <c r="AB1912" s="19" t="str">
        <f>C1912 &amp; "-" &amp; VLOOKUP(C1912,[4]RESULTATS!$E$1:$F$176,2,FALSE)</f>
        <v>583- Chaque structure dispose des moyens logistiques nécessaires à l’accomplissement de sa mission</v>
      </c>
      <c r="AC1912" s="20" t="str">
        <f>D1912 &amp; "-" &amp; VLOOKUP(D1912,[4]STRATEGIES!$E$1:$F$504,2,FALSE)</f>
        <v>5831-Evaluation de l'état des lieux et dotation des services en moyens logistiques et équipements</v>
      </c>
      <c r="AD1912" s="21" t="str">
        <f t="shared" si="279"/>
        <v>5831-Evaluation de l'état des lieux et dotation des services en moyens logistiques et équipements</v>
      </c>
    </row>
    <row r="1913" spans="1:30" s="22" customFormat="1" ht="60" hidden="1" customHeight="1" x14ac:dyDescent="0.8">
      <c r="A1913" s="14">
        <v>5</v>
      </c>
      <c r="B1913" s="15">
        <v>58</v>
      </c>
      <c r="C1913" s="15">
        <v>583</v>
      </c>
      <c r="D1913" s="15">
        <v>5831</v>
      </c>
      <c r="E1913" s="15">
        <v>58311</v>
      </c>
      <c r="F1913" s="16" t="s">
        <v>2375</v>
      </c>
      <c r="G1913" s="21" t="s">
        <v>92</v>
      </c>
      <c r="H1913" s="17" t="s">
        <v>55</v>
      </c>
      <c r="I1913" s="33">
        <v>0</v>
      </c>
      <c r="J1913" s="33">
        <v>1</v>
      </c>
      <c r="K1913" s="33"/>
      <c r="L1913" s="33"/>
      <c r="M1913" s="33">
        <f t="shared" si="282"/>
        <v>1</v>
      </c>
      <c r="N1913" s="33">
        <f>IF(OR(H1913="",H1913="sif",H1913="PM"),0,VLOOKUP(H1913,[5]CU!$C$4:$H$255,6,FALSE))</f>
        <v>0</v>
      </c>
      <c r="O1913" s="33"/>
      <c r="P1913" s="33"/>
      <c r="Q1913" s="33"/>
      <c r="R1913" s="33"/>
      <c r="S1913" s="33"/>
      <c r="T1913" s="35" t="s">
        <v>56</v>
      </c>
      <c r="U1913" s="18" t="s">
        <v>1873</v>
      </c>
      <c r="V1913" s="18" t="str">
        <f>IF(OR($H1913="",$H1913="sif",$H1913="PM"),"",VLOOKUP($H1913,[5]CU!$C$5:$J$255,8,FALSE))</f>
        <v/>
      </c>
      <c r="W1913" s="18"/>
      <c r="X1913" s="18"/>
      <c r="Y1913" s="18"/>
      <c r="Z1913" s="18" t="str">
        <f>A1913 &amp; "-" &amp; VLOOKUP(A1913,[4]PROGRAMMES!$E$1:$F$7,2,FALSE)</f>
        <v>5-Gouvernance et pilotage du secteur</v>
      </c>
      <c r="AA1913" s="19" t="str">
        <f>B1913 &amp; "-" &amp; VLOOKUP(B1913,[4]SOUSPROGRAMMES!$E$1:$F$44,2,FALSE)</f>
        <v>58- Renforcement des compétences de l’administration (cadre normatif, poste-profil, évaluation, équipement, formations…)</v>
      </c>
      <c r="AB1913" s="19" t="str">
        <f>C1913 &amp; "-" &amp; VLOOKUP(C1913,[4]RESULTATS!$E$1:$F$176,2,FALSE)</f>
        <v>583- Chaque structure dispose des moyens logistiques nécessaires à l’accomplissement de sa mission</v>
      </c>
      <c r="AC1913" s="20" t="str">
        <f>D1913 &amp; "-" &amp; VLOOKUP(D1913,[4]STRATEGIES!$E$1:$F$504,2,FALSE)</f>
        <v>5831-Evaluation de l'état des lieux et dotation des services en moyens logistiques et équipements</v>
      </c>
      <c r="AD1913" s="21" t="str">
        <f t="shared" si="279"/>
        <v>58311-Elaboration d'un questionnaire par structure sur la base du questionnaire existant (inventaire et besoins)</v>
      </c>
    </row>
    <row r="1914" spans="1:30" s="22" customFormat="1" ht="60" hidden="1" customHeight="1" x14ac:dyDescent="0.8">
      <c r="A1914" s="14">
        <v>5</v>
      </c>
      <c r="B1914" s="15">
        <v>58</v>
      </c>
      <c r="C1914" s="15">
        <v>583</v>
      </c>
      <c r="D1914" s="15">
        <v>5831</v>
      </c>
      <c r="E1914" s="15">
        <v>58312</v>
      </c>
      <c r="F1914" s="16" t="s">
        <v>2376</v>
      </c>
      <c r="G1914" s="21" t="s">
        <v>92</v>
      </c>
      <c r="H1914" s="17" t="s">
        <v>55</v>
      </c>
      <c r="I1914" s="33">
        <v>0</v>
      </c>
      <c r="J1914" s="33">
        <v>1</v>
      </c>
      <c r="K1914" s="33"/>
      <c r="L1914" s="33"/>
      <c r="M1914" s="33">
        <f t="shared" si="282"/>
        <v>1</v>
      </c>
      <c r="N1914" s="33">
        <f>IF(OR(H1914="",H1914="sif",H1914="PM"),0,VLOOKUP(H1914,[5]CU!$C$4:$H$255,6,FALSE))</f>
        <v>0</v>
      </c>
      <c r="O1914" s="33"/>
      <c r="P1914" s="33"/>
      <c r="Q1914" s="33"/>
      <c r="R1914" s="33"/>
      <c r="S1914" s="33"/>
      <c r="T1914" s="35" t="s">
        <v>56</v>
      </c>
      <c r="U1914" s="18" t="s">
        <v>1873</v>
      </c>
      <c r="V1914" s="18" t="str">
        <f>IF(OR($H1914="",$H1914="sif",$H1914="PM"),"",VLOOKUP($H1914,[5]CU!$C$5:$J$255,8,FALSE))</f>
        <v/>
      </c>
      <c r="W1914" s="18" t="s">
        <v>254</v>
      </c>
      <c r="X1914" s="18" t="s">
        <v>96</v>
      </c>
      <c r="Y1914" s="19" t="s">
        <v>32</v>
      </c>
      <c r="Z1914" s="18" t="str">
        <f>A1914 &amp; "-" &amp; VLOOKUP(A1914,[4]PROGRAMMES!$E$1:$F$7,2,FALSE)</f>
        <v>5-Gouvernance et pilotage du secteur</v>
      </c>
      <c r="AA1914" s="19" t="str">
        <f>B1914 &amp; "-" &amp; VLOOKUP(B1914,[4]SOUSPROGRAMMES!$E$1:$F$44,2,FALSE)</f>
        <v>58- Renforcement des compétences de l’administration (cadre normatif, poste-profil, évaluation, équipement, formations…)</v>
      </c>
      <c r="AB1914" s="19" t="str">
        <f>C1914 &amp; "-" &amp; VLOOKUP(C1914,[4]RESULTATS!$E$1:$F$176,2,FALSE)</f>
        <v>583- Chaque structure dispose des moyens logistiques nécessaires à l’accomplissement de sa mission</v>
      </c>
      <c r="AC1914" s="20" t="str">
        <f>D1914 &amp; "-" &amp; VLOOKUP(D1914,[4]STRATEGIES!$E$1:$F$504,2,FALSE)</f>
        <v>5831-Evaluation de l'état des lieux et dotation des services en moyens logistiques et équipements</v>
      </c>
      <c r="AD1914" s="21" t="str">
        <f t="shared" si="279"/>
        <v>58312-Evaluation des besoins en moyens logistiques et équipements, en rapport avec les missions des structures (sur la base de l'inventaire et des cadres organiques)</v>
      </c>
    </row>
    <row r="1915" spans="1:30" s="22" customFormat="1" ht="60" hidden="1" customHeight="1" x14ac:dyDescent="0.8">
      <c r="A1915" s="14">
        <v>5</v>
      </c>
      <c r="B1915" s="15">
        <v>58</v>
      </c>
      <c r="C1915" s="15">
        <v>583</v>
      </c>
      <c r="D1915" s="15">
        <v>5831</v>
      </c>
      <c r="E1915" s="15">
        <v>58313</v>
      </c>
      <c r="F1915" s="16" t="s">
        <v>2377</v>
      </c>
      <c r="G1915" s="21" t="s">
        <v>177</v>
      </c>
      <c r="H1915" s="17" t="s">
        <v>59</v>
      </c>
      <c r="I1915" s="33">
        <v>0</v>
      </c>
      <c r="J1915" s="33">
        <f>4*5*4</f>
        <v>80</v>
      </c>
      <c r="K1915" s="33"/>
      <c r="L1915" s="33"/>
      <c r="M1915" s="33">
        <f t="shared" si="282"/>
        <v>80</v>
      </c>
      <c r="N1915" s="33">
        <f>IF(OR(H1915="",H1915="sif",H1915="PM"),0,VLOOKUP(H1915,[5]CU!$C$4:$H$255,6,FALSE))</f>
        <v>0.8177777777777776</v>
      </c>
      <c r="O1915" s="33">
        <f t="shared" ref="O1915:R1926" si="286">$N1915*I1915</f>
        <v>0</v>
      </c>
      <c r="P1915" s="33">
        <f t="shared" si="286"/>
        <v>65.422222222222203</v>
      </c>
      <c r="Q1915" s="33">
        <f t="shared" si="286"/>
        <v>0</v>
      </c>
      <c r="R1915" s="33">
        <f t="shared" si="286"/>
        <v>0</v>
      </c>
      <c r="S1915" s="33">
        <f t="shared" ref="S1915:S1926" si="287">SUM(O1915:R1915)</f>
        <v>65.422222222222203</v>
      </c>
      <c r="T1915" s="35" t="s">
        <v>118</v>
      </c>
      <c r="U1915" s="18" t="s">
        <v>1873</v>
      </c>
      <c r="V1915" s="18" t="str">
        <f>IF(OR($H1915="",$H1915="sif",$H1915="PM"),"",VLOOKUP($H1915,[5]CU!$C$5:$J$255,8,FALSE))</f>
        <v>3. Dépenses de fonctionnement</v>
      </c>
      <c r="W1915" s="18" t="s">
        <v>254</v>
      </c>
      <c r="X1915" s="18" t="s">
        <v>96</v>
      </c>
      <c r="Y1915" s="19" t="s">
        <v>32</v>
      </c>
      <c r="Z1915" s="18" t="str">
        <f>A1915 &amp; "-" &amp; VLOOKUP(A1915,[4]PROGRAMMES!$E$1:$F$7,2,FALSE)</f>
        <v>5-Gouvernance et pilotage du secteur</v>
      </c>
      <c r="AA1915" s="19" t="str">
        <f>B1915 &amp; "-" &amp; VLOOKUP(B1915,[4]SOUSPROGRAMMES!$E$1:$F$44,2,FALSE)</f>
        <v>58- Renforcement des compétences de l’administration (cadre normatif, poste-profil, évaluation, équipement, formations…)</v>
      </c>
      <c r="AB1915" s="19" t="str">
        <f>C1915 &amp; "-" &amp; VLOOKUP(C1915,[4]RESULTATS!$E$1:$F$176,2,FALSE)</f>
        <v>583- Chaque structure dispose des moyens logistiques nécessaires à l’accomplissement de sa mission</v>
      </c>
      <c r="AC1915" s="20" t="str">
        <f>D1915 &amp; "-" &amp; VLOOKUP(D1915,[4]STRATEGIES!$E$1:$F$504,2,FALSE)</f>
        <v>5831-Evaluation de l'état des lieux et dotation des services en moyens logistiques et équipements</v>
      </c>
      <c r="AD1915" s="21" t="str">
        <f t="shared" si="279"/>
        <v>58313-Vérification des besoins pour un échantillon de structures</v>
      </c>
    </row>
    <row r="1916" spans="1:30" s="22" customFormat="1" ht="60" hidden="1" customHeight="1" x14ac:dyDescent="0.8">
      <c r="A1916" s="14">
        <v>5</v>
      </c>
      <c r="B1916" s="15">
        <v>58</v>
      </c>
      <c r="C1916" s="15">
        <v>583</v>
      </c>
      <c r="D1916" s="15">
        <v>5831</v>
      </c>
      <c r="E1916" s="15">
        <v>58314</v>
      </c>
      <c r="F1916" s="16" t="s">
        <v>2378</v>
      </c>
      <c r="G1916" s="21" t="s">
        <v>2379</v>
      </c>
      <c r="H1916" s="17" t="s">
        <v>1347</v>
      </c>
      <c r="I1916" s="33">
        <v>0</v>
      </c>
      <c r="J1916" s="33">
        <f t="shared" ref="J1916:L1917" si="288">143.333333333333*50%</f>
        <v>71.666666666666501</v>
      </c>
      <c r="K1916" s="33">
        <f t="shared" si="288"/>
        <v>71.666666666666501</v>
      </c>
      <c r="L1916" s="33">
        <f t="shared" si="288"/>
        <v>71.666666666666501</v>
      </c>
      <c r="M1916" s="33">
        <f>SUM(I1916:L1916)</f>
        <v>214.99999999999949</v>
      </c>
      <c r="N1916" s="33">
        <f>IF(OR(H1916="",H1916="sif",H1916="PM"),0,VLOOKUP(H1916,[5]CU!$C$4:$H$255,6,FALSE))</f>
        <v>15</v>
      </c>
      <c r="O1916" s="33">
        <f>$N1916*I1916</f>
        <v>0</v>
      </c>
      <c r="P1916" s="33">
        <f>$N1916*J1916</f>
        <v>1074.9999999999975</v>
      </c>
      <c r="Q1916" s="33">
        <f>$N1916*K1916</f>
        <v>1074.9999999999975</v>
      </c>
      <c r="R1916" s="33">
        <f>$N1916*L1916</f>
        <v>1074.9999999999975</v>
      </c>
      <c r="S1916" s="33">
        <f>SUM(O1916:R1916)</f>
        <v>3224.9999999999927</v>
      </c>
      <c r="T1916" s="35" t="s">
        <v>56</v>
      </c>
      <c r="U1916" s="18" t="s">
        <v>1873</v>
      </c>
      <c r="V1916" s="18" t="str">
        <f>IF(OR($H1916="",$H1916="sif",$H1916="PM"),"",VLOOKUP($H1916,[5]CU!$C$5:$J$255,8,FALSE))</f>
        <v>5. Investissement</v>
      </c>
      <c r="W1916" s="18" t="s">
        <v>254</v>
      </c>
      <c r="X1916" s="18" t="s">
        <v>96</v>
      </c>
      <c r="Y1916" s="19" t="s">
        <v>32</v>
      </c>
      <c r="Z1916" s="18" t="str">
        <f>A1916 &amp; "-" &amp; VLOOKUP(A1916,[4]PROGRAMMES!$E$1:$F$7,2,FALSE)</f>
        <v>5-Gouvernance et pilotage du secteur</v>
      </c>
      <c r="AA1916" s="19" t="str">
        <f>B1916 &amp; "-" &amp; VLOOKUP(B1916,[4]SOUSPROGRAMMES!$E$1:$F$44,2,FALSE)</f>
        <v>58- Renforcement des compétences de l’administration (cadre normatif, poste-profil, évaluation, équipement, formations…)</v>
      </c>
      <c r="AB1916" s="19" t="str">
        <f>C1916 &amp; "-" &amp; VLOOKUP(C1916,[4]RESULTATS!$E$1:$F$176,2,FALSE)</f>
        <v>583- Chaque structure dispose des moyens logistiques nécessaires à l’accomplissement de sa mission</v>
      </c>
      <c r="AC1916" s="20" t="str">
        <f>D1916 &amp; "-" &amp; VLOOKUP(D1916,[4]STRATEGIES!$E$1:$F$504,2,FALSE)</f>
        <v>5831-Evaluation de l'état des lieux et dotation des services en moyens logistiques et équipements</v>
      </c>
      <c r="AD1916" s="21" t="str">
        <f t="shared" si="279"/>
        <v>58314-Acquisition de matériels roulants</v>
      </c>
    </row>
    <row r="1917" spans="1:30" s="22" customFormat="1" ht="60" hidden="1" customHeight="1" x14ac:dyDescent="0.8">
      <c r="A1917" s="14">
        <v>5</v>
      </c>
      <c r="B1917" s="15">
        <v>58</v>
      </c>
      <c r="C1917" s="15">
        <v>583</v>
      </c>
      <c r="D1917" s="15">
        <v>5831</v>
      </c>
      <c r="E1917" s="15">
        <v>58314</v>
      </c>
      <c r="F1917" s="16" t="s">
        <v>2378</v>
      </c>
      <c r="G1917" s="21" t="s">
        <v>2379</v>
      </c>
      <c r="H1917" s="17" t="s">
        <v>1347</v>
      </c>
      <c r="I1917" s="33">
        <v>0</v>
      </c>
      <c r="J1917" s="33">
        <f t="shared" si="288"/>
        <v>71.666666666666501</v>
      </c>
      <c r="K1917" s="33">
        <f t="shared" si="288"/>
        <v>71.666666666666501</v>
      </c>
      <c r="L1917" s="33">
        <f t="shared" si="288"/>
        <v>71.666666666666501</v>
      </c>
      <c r="M1917" s="33">
        <f t="shared" si="282"/>
        <v>214.99999999999949</v>
      </c>
      <c r="N1917" s="33">
        <f>IF(OR(H1917="",H1917="sif",H1917="PM"),0,VLOOKUP(H1917,[5]CU!$C$4:$H$255,6,FALSE))</f>
        <v>15</v>
      </c>
      <c r="O1917" s="33">
        <f t="shared" si="286"/>
        <v>0</v>
      </c>
      <c r="P1917" s="33">
        <f t="shared" si="286"/>
        <v>1074.9999999999975</v>
      </c>
      <c r="Q1917" s="33">
        <f t="shared" si="286"/>
        <v>1074.9999999999975</v>
      </c>
      <c r="R1917" s="33">
        <f t="shared" si="286"/>
        <v>1074.9999999999975</v>
      </c>
      <c r="S1917" s="33">
        <f t="shared" si="287"/>
        <v>3224.9999999999927</v>
      </c>
      <c r="T1917" s="35" t="s">
        <v>118</v>
      </c>
      <c r="U1917" s="18" t="s">
        <v>1873</v>
      </c>
      <c r="V1917" s="18" t="str">
        <f>IF(OR($H1917="",$H1917="sif",$H1917="PM"),"",VLOOKUP($H1917,[5]CU!$C$5:$J$255,8,FALSE))</f>
        <v>5. Investissement</v>
      </c>
      <c r="W1917" s="18" t="s">
        <v>254</v>
      </c>
      <c r="X1917" s="18" t="s">
        <v>96</v>
      </c>
      <c r="Y1917" s="19" t="s">
        <v>32</v>
      </c>
      <c r="Z1917" s="18" t="str">
        <f>A1917 &amp; "-" &amp; VLOOKUP(A1917,[4]PROGRAMMES!$E$1:$F$7,2,FALSE)</f>
        <v>5-Gouvernance et pilotage du secteur</v>
      </c>
      <c r="AA1917" s="19" t="str">
        <f>B1917 &amp; "-" &amp; VLOOKUP(B1917,[4]SOUSPROGRAMMES!$E$1:$F$44,2,FALSE)</f>
        <v>58- Renforcement des compétences de l’administration (cadre normatif, poste-profil, évaluation, équipement, formations…)</v>
      </c>
      <c r="AB1917" s="19" t="str">
        <f>C1917 &amp; "-" &amp; VLOOKUP(C1917,[4]RESULTATS!$E$1:$F$176,2,FALSE)</f>
        <v>583- Chaque structure dispose des moyens logistiques nécessaires à l’accomplissement de sa mission</v>
      </c>
      <c r="AC1917" s="20" t="str">
        <f>D1917 &amp; "-" &amp; VLOOKUP(D1917,[4]STRATEGIES!$E$1:$F$504,2,FALSE)</f>
        <v>5831-Evaluation de l'état des lieux et dotation des services en moyens logistiques et équipements</v>
      </c>
      <c r="AD1917" s="21" t="str">
        <f t="shared" si="279"/>
        <v>58314-Acquisition de matériels roulants</v>
      </c>
    </row>
    <row r="1918" spans="1:30" s="22" customFormat="1" ht="60" hidden="1" customHeight="1" x14ac:dyDescent="0.8">
      <c r="A1918" s="14">
        <v>5</v>
      </c>
      <c r="B1918" s="15">
        <v>58</v>
      </c>
      <c r="C1918" s="15">
        <v>583</v>
      </c>
      <c r="D1918" s="15">
        <v>5831</v>
      </c>
      <c r="E1918" s="15">
        <v>58315</v>
      </c>
      <c r="F1918" s="16" t="s">
        <v>2378</v>
      </c>
      <c r="G1918" s="21" t="s">
        <v>2380</v>
      </c>
      <c r="H1918" s="17" t="s">
        <v>980</v>
      </c>
      <c r="I1918" s="33">
        <v>0</v>
      </c>
      <c r="J1918" s="33">
        <f>3*50%</f>
        <v>1.5</v>
      </c>
      <c r="K1918" s="33">
        <f>5*50%</f>
        <v>2.5</v>
      </c>
      <c r="L1918" s="33"/>
      <c r="M1918" s="33">
        <f>SUM(I1918:L1918)</f>
        <v>4</v>
      </c>
      <c r="N1918" s="33">
        <f>IF(OR(H1918="",H1918="sif",H1918="PM"),0,VLOOKUP(H1918,[5]CU!$C$4:$H$255,6,FALSE))</f>
        <v>300</v>
      </c>
      <c r="O1918" s="33">
        <f>$N1918*I1918</f>
        <v>0</v>
      </c>
      <c r="P1918" s="33">
        <f>$N1918*J1918</f>
        <v>450</v>
      </c>
      <c r="Q1918" s="33">
        <f>$N1918*K1918</f>
        <v>750</v>
      </c>
      <c r="R1918" s="33">
        <f>$N1918*L1918</f>
        <v>0</v>
      </c>
      <c r="S1918" s="33">
        <f>SUM(O1918:R1918)</f>
        <v>1200</v>
      </c>
      <c r="T1918" s="35" t="s">
        <v>56</v>
      </c>
      <c r="U1918" s="18" t="s">
        <v>1873</v>
      </c>
      <c r="V1918" s="18" t="str">
        <f>IF(OR($H1918="",$H1918="sif",$H1918="PM"),"",VLOOKUP($H1918,[5]CU!$C$5:$J$255,8,FALSE))</f>
        <v>5. Investissement</v>
      </c>
      <c r="W1918" s="18" t="s">
        <v>254</v>
      </c>
      <c r="X1918" s="18" t="s">
        <v>96</v>
      </c>
      <c r="Y1918" s="19" t="s">
        <v>32</v>
      </c>
      <c r="Z1918" s="18" t="str">
        <f>A1918 &amp; "-" &amp; VLOOKUP(A1918,[4]PROGRAMMES!$E$1:$F$7,2,FALSE)</f>
        <v>5-Gouvernance et pilotage du secteur</v>
      </c>
      <c r="AA1918" s="19" t="str">
        <f>B1918 &amp; "-" &amp; VLOOKUP(B1918,[4]SOUSPROGRAMMES!$E$1:$F$44,2,FALSE)</f>
        <v>58- Renforcement des compétences de l’administration (cadre normatif, poste-profil, évaluation, équipement, formations…)</v>
      </c>
      <c r="AB1918" s="19" t="str">
        <f>C1918 &amp; "-" &amp; VLOOKUP(C1918,[4]RESULTATS!$E$1:$F$176,2,FALSE)</f>
        <v>583- Chaque structure dispose des moyens logistiques nécessaires à l’accomplissement de sa mission</v>
      </c>
      <c r="AC1918" s="20" t="str">
        <f>D1918 &amp; "-" &amp; VLOOKUP(D1918,[4]STRATEGIES!$E$1:$F$504,2,FALSE)</f>
        <v>5831-Evaluation de l'état des lieux et dotation des services en moyens logistiques et équipements</v>
      </c>
      <c r="AD1918" s="21" t="str">
        <f t="shared" si="279"/>
        <v>58315-Acquisition de matériels roulants</v>
      </c>
    </row>
    <row r="1919" spans="1:30" s="22" customFormat="1" ht="60" hidden="1" customHeight="1" x14ac:dyDescent="0.8">
      <c r="A1919" s="14">
        <v>5</v>
      </c>
      <c r="B1919" s="15">
        <v>58</v>
      </c>
      <c r="C1919" s="15">
        <v>583</v>
      </c>
      <c r="D1919" s="15">
        <v>5831</v>
      </c>
      <c r="E1919" s="15">
        <v>58315</v>
      </c>
      <c r="F1919" s="16" t="s">
        <v>2378</v>
      </c>
      <c r="G1919" s="21" t="s">
        <v>2380</v>
      </c>
      <c r="H1919" s="17" t="s">
        <v>980</v>
      </c>
      <c r="I1919" s="33">
        <v>0</v>
      </c>
      <c r="J1919" s="33">
        <f>3*50%</f>
        <v>1.5</v>
      </c>
      <c r="K1919" s="33">
        <f>5*50%</f>
        <v>2.5</v>
      </c>
      <c r="L1919" s="33"/>
      <c r="M1919" s="33">
        <f t="shared" si="282"/>
        <v>4</v>
      </c>
      <c r="N1919" s="33">
        <f>IF(OR(H1919="",H1919="sif",H1919="PM"),0,VLOOKUP(H1919,[5]CU!$C$4:$H$255,6,FALSE))</f>
        <v>300</v>
      </c>
      <c r="O1919" s="33">
        <f t="shared" si="286"/>
        <v>0</v>
      </c>
      <c r="P1919" s="33">
        <f t="shared" si="286"/>
        <v>450</v>
      </c>
      <c r="Q1919" s="33">
        <f t="shared" si="286"/>
        <v>750</v>
      </c>
      <c r="R1919" s="33">
        <f t="shared" si="286"/>
        <v>0</v>
      </c>
      <c r="S1919" s="33">
        <f t="shared" si="287"/>
        <v>1200</v>
      </c>
      <c r="T1919" s="35" t="s">
        <v>118</v>
      </c>
      <c r="U1919" s="18" t="s">
        <v>1873</v>
      </c>
      <c r="V1919" s="18" t="str">
        <f>IF(OR($H1919="",$H1919="sif",$H1919="PM"),"",VLOOKUP($H1919,[5]CU!$C$5:$J$255,8,FALSE))</f>
        <v>5. Investissement</v>
      </c>
      <c r="W1919" s="18" t="s">
        <v>254</v>
      </c>
      <c r="X1919" s="18" t="s">
        <v>96</v>
      </c>
      <c r="Y1919" s="19" t="s">
        <v>32</v>
      </c>
      <c r="Z1919" s="18" t="str">
        <f>A1919 &amp; "-" &amp; VLOOKUP(A1919,[4]PROGRAMMES!$E$1:$F$7,2,FALSE)</f>
        <v>5-Gouvernance et pilotage du secteur</v>
      </c>
      <c r="AA1919" s="19" t="str">
        <f>B1919 &amp; "-" &amp; VLOOKUP(B1919,[4]SOUSPROGRAMMES!$E$1:$F$44,2,FALSE)</f>
        <v>58- Renforcement des compétences de l’administration (cadre normatif, poste-profil, évaluation, équipement, formations…)</v>
      </c>
      <c r="AB1919" s="19" t="str">
        <f>C1919 &amp; "-" &amp; VLOOKUP(C1919,[4]RESULTATS!$E$1:$F$176,2,FALSE)</f>
        <v>583- Chaque structure dispose des moyens logistiques nécessaires à l’accomplissement de sa mission</v>
      </c>
      <c r="AC1919" s="20" t="str">
        <f>D1919 &amp; "-" &amp; VLOOKUP(D1919,[4]STRATEGIES!$E$1:$F$504,2,FALSE)</f>
        <v>5831-Evaluation de l'état des lieux et dotation des services en moyens logistiques et équipements</v>
      </c>
      <c r="AD1919" s="21" t="str">
        <f t="shared" si="279"/>
        <v>58315-Acquisition de matériels roulants</v>
      </c>
    </row>
    <row r="1920" spans="1:30" s="22" customFormat="1" ht="60" hidden="1" customHeight="1" x14ac:dyDescent="0.8">
      <c r="A1920" s="14">
        <v>5</v>
      </c>
      <c r="B1920" s="15">
        <v>58</v>
      </c>
      <c r="C1920" s="15">
        <v>583</v>
      </c>
      <c r="D1920" s="15">
        <v>5831</v>
      </c>
      <c r="E1920" s="15">
        <v>58316</v>
      </c>
      <c r="F1920" s="16" t="s">
        <v>2381</v>
      </c>
      <c r="G1920" s="21" t="s">
        <v>2382</v>
      </c>
      <c r="H1920" s="17" t="s">
        <v>972</v>
      </c>
      <c r="I1920" s="33">
        <v>0</v>
      </c>
      <c r="J1920" s="33">
        <v>10</v>
      </c>
      <c r="K1920" s="33">
        <v>10</v>
      </c>
      <c r="L1920" s="33"/>
      <c r="M1920" s="33">
        <f t="shared" si="282"/>
        <v>20</v>
      </c>
      <c r="N1920" s="33">
        <f>IF(OR(H1920="",H1920="sif",H1920="PM"),0,VLOOKUP(H1920,[5]CU!$C$4:$H$255,6,FALSE))</f>
        <v>5</v>
      </c>
      <c r="O1920" s="33">
        <f t="shared" si="286"/>
        <v>0</v>
      </c>
      <c r="P1920" s="33">
        <f t="shared" si="286"/>
        <v>50</v>
      </c>
      <c r="Q1920" s="33">
        <f t="shared" si="286"/>
        <v>50</v>
      </c>
      <c r="R1920" s="33">
        <f t="shared" si="286"/>
        <v>0</v>
      </c>
      <c r="S1920" s="33">
        <f t="shared" si="287"/>
        <v>100</v>
      </c>
      <c r="T1920" s="35" t="s">
        <v>56</v>
      </c>
      <c r="U1920" s="18" t="s">
        <v>1873</v>
      </c>
      <c r="V1920" s="18" t="str">
        <f>IF(OR($H1920="",$H1920="sif",$H1920="PM"),"",VLOOKUP($H1920,[5]CU!$C$5:$J$255,8,FALSE))</f>
        <v>5. Investissement</v>
      </c>
      <c r="W1920" s="18" t="s">
        <v>254</v>
      </c>
      <c r="X1920" s="18" t="s">
        <v>96</v>
      </c>
      <c r="Y1920" s="19" t="s">
        <v>32</v>
      </c>
      <c r="Z1920" s="18" t="str">
        <f>A1920 &amp; "-" &amp; VLOOKUP(A1920,[4]PROGRAMMES!$E$1:$F$7,2,FALSE)</f>
        <v>5-Gouvernance et pilotage du secteur</v>
      </c>
      <c r="AA1920" s="19" t="str">
        <f>B1920 &amp; "-" &amp; VLOOKUP(B1920,[4]SOUSPROGRAMMES!$E$1:$F$44,2,FALSE)</f>
        <v>58- Renforcement des compétences de l’administration (cadre normatif, poste-profil, évaluation, équipement, formations…)</v>
      </c>
      <c r="AB1920" s="19" t="str">
        <f>C1920 &amp; "-" &amp; VLOOKUP(C1920,[4]RESULTATS!$E$1:$F$176,2,FALSE)</f>
        <v>583- Chaque structure dispose des moyens logistiques nécessaires à l’accomplissement de sa mission</v>
      </c>
      <c r="AC1920" s="20" t="str">
        <f>D1920 &amp; "-" &amp; VLOOKUP(D1920,[4]STRATEGIES!$E$1:$F$504,2,FALSE)</f>
        <v>5831-Evaluation de l'état des lieux et dotation des services en moyens logistiques et équipements</v>
      </c>
      <c r="AD1920" s="21" t="str">
        <f t="shared" si="279"/>
        <v>58316-Acquisition d'équipement informatique (ordinateurs portables)</v>
      </c>
    </row>
    <row r="1921" spans="1:30" s="22" customFormat="1" ht="60" hidden="1" customHeight="1" x14ac:dyDescent="0.8">
      <c r="A1921" s="14">
        <v>5</v>
      </c>
      <c r="B1921" s="15">
        <v>58</v>
      </c>
      <c r="C1921" s="15">
        <v>583</v>
      </c>
      <c r="D1921" s="15">
        <v>5831</v>
      </c>
      <c r="E1921" s="15">
        <v>58317</v>
      </c>
      <c r="F1921" s="16" t="s">
        <v>2381</v>
      </c>
      <c r="G1921" s="21" t="s">
        <v>2383</v>
      </c>
      <c r="H1921" s="17" t="s">
        <v>974</v>
      </c>
      <c r="I1921" s="33">
        <v>0</v>
      </c>
      <c r="J1921" s="33">
        <v>0</v>
      </c>
      <c r="K1921" s="33">
        <v>0</v>
      </c>
      <c r="L1921" s="33"/>
      <c r="M1921" s="33">
        <f>SUM(I1921:L1921)</f>
        <v>0</v>
      </c>
      <c r="N1921" s="33">
        <f>IF(OR(H1921="",H1921="sif",H1921="PM"),0,VLOOKUP(H1921,[5]CU!$C$4:$H$255,6,FALSE))</f>
        <v>6.333333333333333</v>
      </c>
      <c r="O1921" s="33">
        <f>$N1921*I1921</f>
        <v>0</v>
      </c>
      <c r="P1921" s="33">
        <f>$N1921*J1921</f>
        <v>0</v>
      </c>
      <c r="Q1921" s="33"/>
      <c r="R1921" s="33">
        <f>$N1921*L1921</f>
        <v>0</v>
      </c>
      <c r="S1921" s="33">
        <f>SUM(O1921:R1921)</f>
        <v>0</v>
      </c>
      <c r="T1921" s="35" t="s">
        <v>178</v>
      </c>
      <c r="U1921" s="18" t="s">
        <v>1873</v>
      </c>
      <c r="V1921" s="18" t="str">
        <f>IF(OR($H1921="",$H1921="sif",$H1921="PM"),"",VLOOKUP($H1921,[5]CU!$C$5:$J$255,8,FALSE))</f>
        <v>5. Investissement</v>
      </c>
      <c r="W1921" s="18" t="s">
        <v>254</v>
      </c>
      <c r="X1921" s="18" t="s">
        <v>96</v>
      </c>
      <c r="Y1921" s="19" t="s">
        <v>32</v>
      </c>
      <c r="Z1921" s="18" t="str">
        <f>A1921 &amp; "-" &amp; VLOOKUP(A1921,[4]PROGRAMMES!$E$1:$F$7,2,FALSE)</f>
        <v>5-Gouvernance et pilotage du secteur</v>
      </c>
      <c r="AA1921" s="19" t="str">
        <f>B1921 &amp; "-" &amp; VLOOKUP(B1921,[4]SOUSPROGRAMMES!$E$1:$F$44,2,FALSE)</f>
        <v>58- Renforcement des compétences de l’administration (cadre normatif, poste-profil, évaluation, équipement, formations…)</v>
      </c>
      <c r="AB1921" s="19" t="str">
        <f>C1921 &amp; "-" &amp; VLOOKUP(C1921,[4]RESULTATS!$E$1:$F$176,2,FALSE)</f>
        <v>583- Chaque structure dispose des moyens logistiques nécessaires à l’accomplissement de sa mission</v>
      </c>
      <c r="AC1921" s="20" t="str">
        <f>D1921 &amp; "-" &amp; VLOOKUP(D1921,[4]STRATEGIES!$E$1:$F$504,2,FALSE)</f>
        <v>5831-Evaluation de l'état des lieux et dotation des services en moyens logistiques et équipements</v>
      </c>
      <c r="AD1921" s="21" t="str">
        <f t="shared" si="279"/>
        <v>58317-Acquisition d'équipement informatique (ordinateurs portables)</v>
      </c>
    </row>
    <row r="1922" spans="1:30" s="22" customFormat="1" ht="60" hidden="1" customHeight="1" x14ac:dyDescent="0.8">
      <c r="A1922" s="14">
        <v>5</v>
      </c>
      <c r="B1922" s="15">
        <v>58</v>
      </c>
      <c r="C1922" s="15">
        <v>583</v>
      </c>
      <c r="D1922" s="15">
        <v>5831</v>
      </c>
      <c r="E1922" s="15">
        <v>58317</v>
      </c>
      <c r="F1922" s="16" t="s">
        <v>2381</v>
      </c>
      <c r="G1922" s="21" t="s">
        <v>2383</v>
      </c>
      <c r="H1922" s="17" t="s">
        <v>974</v>
      </c>
      <c r="I1922" s="33">
        <v>0</v>
      </c>
      <c r="J1922" s="33"/>
      <c r="K1922" s="33">
        <v>10</v>
      </c>
      <c r="L1922" s="33"/>
      <c r="M1922" s="33">
        <f t="shared" si="282"/>
        <v>10</v>
      </c>
      <c r="N1922" s="33">
        <f>IF(OR(H1922="",H1922="sif",H1922="PM"),0,VLOOKUP(H1922,[5]CU!$C$4:$H$255,6,FALSE))</f>
        <v>6.333333333333333</v>
      </c>
      <c r="O1922" s="33">
        <f t="shared" si="286"/>
        <v>0</v>
      </c>
      <c r="P1922" s="33">
        <f t="shared" si="286"/>
        <v>0</v>
      </c>
      <c r="Q1922" s="33">
        <f t="shared" si="286"/>
        <v>63.333333333333329</v>
      </c>
      <c r="R1922" s="33">
        <f t="shared" si="286"/>
        <v>0</v>
      </c>
      <c r="S1922" s="33">
        <f t="shared" si="287"/>
        <v>63.333333333333329</v>
      </c>
      <c r="T1922" s="35" t="s">
        <v>39</v>
      </c>
      <c r="U1922" s="18" t="s">
        <v>1873</v>
      </c>
      <c r="V1922" s="18" t="str">
        <f>IF(OR($H1922="",$H1922="sif",$H1922="PM"),"",VLOOKUP($H1922,[5]CU!$C$5:$J$255,8,FALSE))</f>
        <v>5. Investissement</v>
      </c>
      <c r="W1922" s="18" t="s">
        <v>254</v>
      </c>
      <c r="X1922" s="18" t="s">
        <v>96</v>
      </c>
      <c r="Y1922" s="19" t="s">
        <v>32</v>
      </c>
      <c r="Z1922" s="18" t="str">
        <f>A1922 &amp; "-" &amp; VLOOKUP(A1922,[4]PROGRAMMES!$E$1:$F$7,2,FALSE)</f>
        <v>5-Gouvernance et pilotage du secteur</v>
      </c>
      <c r="AA1922" s="19" t="str">
        <f>B1922 &amp; "-" &amp; VLOOKUP(B1922,[4]SOUSPROGRAMMES!$E$1:$F$44,2,FALSE)</f>
        <v>58- Renforcement des compétences de l’administration (cadre normatif, poste-profil, évaluation, équipement, formations…)</v>
      </c>
      <c r="AB1922" s="19" t="str">
        <f>C1922 &amp; "-" &amp; VLOOKUP(C1922,[4]RESULTATS!$E$1:$F$176,2,FALSE)</f>
        <v>583- Chaque structure dispose des moyens logistiques nécessaires à l’accomplissement de sa mission</v>
      </c>
      <c r="AC1922" s="20" t="str">
        <f>D1922 &amp; "-" &amp; VLOOKUP(D1922,[4]STRATEGIES!$E$1:$F$504,2,FALSE)</f>
        <v>5831-Evaluation de l'état des lieux et dotation des services en moyens logistiques et équipements</v>
      </c>
      <c r="AD1922" s="21" t="str">
        <f t="shared" si="279"/>
        <v>58317-Acquisition d'équipement informatique (ordinateurs portables)</v>
      </c>
    </row>
    <row r="1923" spans="1:30" s="22" customFormat="1" ht="60" hidden="1" customHeight="1" x14ac:dyDescent="0.8">
      <c r="A1923" s="14">
        <v>5</v>
      </c>
      <c r="B1923" s="15">
        <v>58</v>
      </c>
      <c r="C1923" s="15">
        <v>583</v>
      </c>
      <c r="D1923" s="15">
        <v>5831</v>
      </c>
      <c r="E1923" s="15">
        <v>58318</v>
      </c>
      <c r="F1923" s="16" t="s">
        <v>2384</v>
      </c>
      <c r="G1923" s="21" t="s">
        <v>1619</v>
      </c>
      <c r="H1923" s="17" t="s">
        <v>1509</v>
      </c>
      <c r="I1923" s="33">
        <v>0</v>
      </c>
      <c r="J1923" s="33">
        <v>38</v>
      </c>
      <c r="K1923" s="33">
        <v>427</v>
      </c>
      <c r="L1923" s="33"/>
      <c r="M1923" s="33">
        <f t="shared" si="282"/>
        <v>465</v>
      </c>
      <c r="N1923" s="33">
        <f>IF(OR(H1923="",H1923="sif",H1923="PM"),0,VLOOKUP(H1923,[5]CU!$C$4:$H$255,6,FALSE))</f>
        <v>0.48333333333333334</v>
      </c>
      <c r="O1923" s="33">
        <f t="shared" si="286"/>
        <v>0</v>
      </c>
      <c r="P1923" s="33">
        <f t="shared" si="286"/>
        <v>18.366666666666667</v>
      </c>
      <c r="Q1923" s="33">
        <f t="shared" si="286"/>
        <v>206.38333333333333</v>
      </c>
      <c r="R1923" s="33">
        <f t="shared" si="286"/>
        <v>0</v>
      </c>
      <c r="S1923" s="33">
        <f t="shared" si="287"/>
        <v>224.75</v>
      </c>
      <c r="T1923" s="35" t="s">
        <v>56</v>
      </c>
      <c r="U1923" s="18" t="s">
        <v>1873</v>
      </c>
      <c r="V1923" s="18" t="str">
        <f>IF(OR($H1923="",$H1923="sif",$H1923="PM"),"",VLOOKUP($H1923,[5]CU!$C$5:$J$255,8,FALSE))</f>
        <v>3. Dépenses de fonctionnement</v>
      </c>
      <c r="W1923" s="18" t="s">
        <v>254</v>
      </c>
      <c r="X1923" s="18" t="s">
        <v>96</v>
      </c>
      <c r="Y1923" s="19" t="s">
        <v>32</v>
      </c>
      <c r="Z1923" s="18" t="str">
        <f>A1923 &amp; "-" &amp; VLOOKUP(A1923,[4]PROGRAMMES!$E$1:$F$7,2,FALSE)</f>
        <v>5-Gouvernance et pilotage du secteur</v>
      </c>
      <c r="AA1923" s="19" t="str">
        <f>B1923 &amp; "-" &amp; VLOOKUP(B1923,[4]SOUSPROGRAMMES!$E$1:$F$44,2,FALSE)</f>
        <v>58- Renforcement des compétences de l’administration (cadre normatif, poste-profil, évaluation, équipement, formations…)</v>
      </c>
      <c r="AB1923" s="19" t="str">
        <f>C1923 &amp; "-" &amp; VLOOKUP(C1923,[4]RESULTATS!$E$1:$F$176,2,FALSE)</f>
        <v>583- Chaque structure dispose des moyens logistiques nécessaires à l’accomplissement de sa mission</v>
      </c>
      <c r="AC1923" s="20" t="str">
        <f>D1923 &amp; "-" &amp; VLOOKUP(D1923,[4]STRATEGIES!$E$1:$F$504,2,FALSE)</f>
        <v>5831-Evaluation de l'état des lieux et dotation des services en moyens logistiques et équipements</v>
      </c>
      <c r="AD1923" s="21" t="str">
        <f t="shared" si="279"/>
        <v>58318-Acquisition d'équipement de connexion internet</v>
      </c>
    </row>
    <row r="1924" spans="1:30" s="22" customFormat="1" ht="60" hidden="1" customHeight="1" x14ac:dyDescent="0.8">
      <c r="A1924" s="14">
        <v>5</v>
      </c>
      <c r="B1924" s="15">
        <v>58</v>
      </c>
      <c r="C1924" s="15">
        <v>584</v>
      </c>
      <c r="D1924" s="15">
        <v>584</v>
      </c>
      <c r="E1924" s="15">
        <v>584</v>
      </c>
      <c r="F1924" s="16" t="s">
        <v>2385</v>
      </c>
      <c r="G1924" s="17"/>
      <c r="H1924" s="17"/>
      <c r="I1924" s="33">
        <v>0</v>
      </c>
      <c r="J1924" s="33"/>
      <c r="K1924" s="33"/>
      <c r="L1924" s="33"/>
      <c r="M1924" s="33"/>
      <c r="N1924" s="33"/>
      <c r="O1924" s="33"/>
      <c r="P1924" s="33"/>
      <c r="Q1924" s="33"/>
      <c r="R1924" s="33"/>
      <c r="S1924" s="33"/>
      <c r="T1924" s="33"/>
      <c r="U1924" s="18"/>
      <c r="V1924" s="18"/>
      <c r="W1924" s="18"/>
      <c r="X1924" s="18"/>
      <c r="Y1924" s="18"/>
      <c r="Z1924" s="18" t="str">
        <f>A1924 &amp; "-" &amp; VLOOKUP(A1924,[4]PROGRAMMES!$E$1:$F$7,2,FALSE)</f>
        <v>5-Gouvernance et pilotage du secteur</v>
      </c>
      <c r="AA1924" s="19" t="str">
        <f>B1924 &amp; "-" &amp; VLOOKUP(B1924,[4]SOUSPROGRAMMES!$E$1:$F$44,2,FALSE)</f>
        <v>58- Renforcement des compétences de l’administration (cadre normatif, poste-profil, évaluation, équipement, formations…)</v>
      </c>
      <c r="AB1924" s="19" t="str">
        <f>C1924 &amp; "-" &amp; VLOOKUP(C1924,[4]RESULTATS!$E$1:$F$176,2,FALSE)</f>
        <v>584-Les résultats des évaluations régulières des structures centrales et déconcentrées permettent d’améliorer leur performance</v>
      </c>
      <c r="AC1924" s="20" t="str">
        <f>D1924 &amp; "-" &amp; VLOOKUP(D1924,[4]STRATEGIES!$E$1:$F$504,2,FALSE)</f>
        <v>584-Les résultats des évaluations régulières des structures centrales et déconcentrées permettent d’améliorer leur performance</v>
      </c>
      <c r="AD1924" s="21" t="str">
        <f t="shared" ref="AD1924:AD1987" si="289">E1924 &amp; "-" &amp; F1924</f>
        <v>584-Les résultats des évaluations régulières des structures centrales et déconcentrées permettent d’améliorer leur performance</v>
      </c>
    </row>
    <row r="1925" spans="1:30" s="22" customFormat="1" ht="60" hidden="1" customHeight="1" x14ac:dyDescent="0.8">
      <c r="A1925" s="14">
        <v>5</v>
      </c>
      <c r="B1925" s="15">
        <v>58</v>
      </c>
      <c r="C1925" s="15">
        <v>584</v>
      </c>
      <c r="D1925" s="15">
        <v>5841</v>
      </c>
      <c r="E1925" s="15">
        <v>5841</v>
      </c>
      <c r="F1925" s="16" t="s">
        <v>2386</v>
      </c>
      <c r="G1925" s="17"/>
      <c r="H1925" s="17"/>
      <c r="I1925" s="33">
        <v>0</v>
      </c>
      <c r="J1925" s="33"/>
      <c r="K1925" s="33"/>
      <c r="L1925" s="33"/>
      <c r="M1925" s="33"/>
      <c r="N1925" s="33"/>
      <c r="O1925" s="33"/>
      <c r="P1925" s="33"/>
      <c r="Q1925" s="33"/>
      <c r="R1925" s="33"/>
      <c r="S1925" s="33"/>
      <c r="T1925" s="33"/>
      <c r="U1925" s="18"/>
      <c r="V1925" s="18"/>
      <c r="W1925" s="18"/>
      <c r="X1925" s="18"/>
      <c r="Y1925" s="18"/>
      <c r="Z1925" s="18" t="str">
        <f>A1925 &amp; "-" &amp; VLOOKUP(A1925,[4]PROGRAMMES!$E$1:$F$7,2,FALSE)</f>
        <v>5-Gouvernance et pilotage du secteur</v>
      </c>
      <c r="AA1925" s="19" t="str">
        <f>B1925 &amp; "-" &amp; VLOOKUP(B1925,[4]SOUSPROGRAMMES!$E$1:$F$44,2,FALSE)</f>
        <v>58- Renforcement des compétences de l’administration (cadre normatif, poste-profil, évaluation, équipement, formations…)</v>
      </c>
      <c r="AB1925" s="19" t="str">
        <f>C1925 &amp; "-" &amp; VLOOKUP(C1925,[4]RESULTATS!$E$1:$F$176,2,FALSE)</f>
        <v>584-Les résultats des évaluations régulières des structures centrales et déconcentrées permettent d’améliorer leur performance</v>
      </c>
      <c r="AC1925" s="20" t="str">
        <f>D1925 &amp; "-" &amp; VLOOKUP(D1925,[4]STRATEGIES!$E$1:$F$504,2,FALSE)</f>
        <v>5841-Évaluation périodique de la performance des structures et institutions dans la mise en œuvre des activités</v>
      </c>
      <c r="AD1925" s="21" t="str">
        <f t="shared" si="289"/>
        <v>5841-Évaluation périodique de la performance des structures et institutions dans la mise en œuvre des activités</v>
      </c>
    </row>
    <row r="1926" spans="1:30" s="22" customFormat="1" ht="60" hidden="1" customHeight="1" x14ac:dyDescent="0.8">
      <c r="A1926" s="14">
        <v>5</v>
      </c>
      <c r="B1926" s="15">
        <v>58</v>
      </c>
      <c r="C1926" s="15">
        <v>584</v>
      </c>
      <c r="D1926" s="15">
        <v>5841</v>
      </c>
      <c r="E1926" s="15">
        <v>58411</v>
      </c>
      <c r="F1926" s="16" t="s">
        <v>2387</v>
      </c>
      <c r="G1926" s="21" t="s">
        <v>298</v>
      </c>
      <c r="H1926" s="17" t="s">
        <v>66</v>
      </c>
      <c r="I1926" s="33">
        <v>0</v>
      </c>
      <c r="J1926" s="33">
        <f>10*5</f>
        <v>50</v>
      </c>
      <c r="K1926" s="33"/>
      <c r="L1926" s="33"/>
      <c r="M1926" s="33">
        <f t="shared" si="282"/>
        <v>50</v>
      </c>
      <c r="N1926" s="33">
        <f>IF(OR(H1926="",H1926="sif",H1926="PM"),0,VLOOKUP(H1926,[5]CU!$C$4:$H$255,6,FALSE))</f>
        <v>0.255</v>
      </c>
      <c r="O1926" s="33">
        <f t="shared" si="286"/>
        <v>0</v>
      </c>
      <c r="P1926" s="33">
        <f t="shared" si="286"/>
        <v>12.75</v>
      </c>
      <c r="Q1926" s="33">
        <f t="shared" si="286"/>
        <v>0</v>
      </c>
      <c r="R1926" s="33">
        <f t="shared" si="286"/>
        <v>0</v>
      </c>
      <c r="S1926" s="33">
        <f t="shared" si="287"/>
        <v>12.75</v>
      </c>
      <c r="T1926" s="35" t="s">
        <v>118</v>
      </c>
      <c r="U1926" s="18" t="s">
        <v>1873</v>
      </c>
      <c r="V1926" s="18" t="str">
        <f>IF(OR($H1926="",$H1926="sif",$H1926="PM"),"",VLOOKUP($H1926,[5]CU!$C$5:$J$255,8,FALSE))</f>
        <v>3. Dépenses de fonctionnement</v>
      </c>
      <c r="W1926" s="18" t="s">
        <v>255</v>
      </c>
      <c r="X1926" s="18" t="s">
        <v>255</v>
      </c>
      <c r="Y1926" s="19" t="s">
        <v>32</v>
      </c>
      <c r="Z1926" s="18" t="str">
        <f>A1926 &amp; "-" &amp; VLOOKUP(A1926,[4]PROGRAMMES!$E$1:$F$7,2,FALSE)</f>
        <v>5-Gouvernance et pilotage du secteur</v>
      </c>
      <c r="AA1926" s="19" t="str">
        <f>B1926 &amp; "-" &amp; VLOOKUP(B1926,[4]SOUSPROGRAMMES!$E$1:$F$44,2,FALSE)</f>
        <v>58- Renforcement des compétences de l’administration (cadre normatif, poste-profil, évaluation, équipement, formations…)</v>
      </c>
      <c r="AB1926" s="19" t="str">
        <f>C1926 &amp; "-" &amp; VLOOKUP(C1926,[4]RESULTATS!$E$1:$F$176,2,FALSE)</f>
        <v>584-Les résultats des évaluations régulières des structures centrales et déconcentrées permettent d’améliorer leur performance</v>
      </c>
      <c r="AC1926" s="20" t="str">
        <f>D1926 &amp; "-" &amp; VLOOKUP(D1926,[4]STRATEGIES!$E$1:$F$504,2,FALSE)</f>
        <v>5841-Évaluation périodique de la performance des structures et institutions dans la mise en œuvre des activités</v>
      </c>
      <c r="AD1926" s="21" t="str">
        <f t="shared" si="289"/>
        <v>58411-DéFinition d'une démarche d'évaluation régulière des performances des différentes structures</v>
      </c>
    </row>
    <row r="1927" spans="1:30" s="22" customFormat="1" ht="60" hidden="1" customHeight="1" x14ac:dyDescent="0.8">
      <c r="A1927" s="14">
        <v>5</v>
      </c>
      <c r="B1927" s="15">
        <v>58</v>
      </c>
      <c r="C1927" s="15">
        <v>584</v>
      </c>
      <c r="D1927" s="15">
        <v>5841</v>
      </c>
      <c r="E1927" s="15">
        <v>58412</v>
      </c>
      <c r="F1927" s="16" t="s">
        <v>2388</v>
      </c>
      <c r="G1927" s="21" t="s">
        <v>2389</v>
      </c>
      <c r="H1927" s="17" t="s">
        <v>55</v>
      </c>
      <c r="I1927" s="33">
        <v>0</v>
      </c>
      <c r="J1927" s="33">
        <v>1</v>
      </c>
      <c r="K1927" s="33"/>
      <c r="L1927" s="33"/>
      <c r="M1927" s="33">
        <f t="shared" si="282"/>
        <v>1</v>
      </c>
      <c r="N1927" s="33">
        <f>IF(OR(H1927="",H1927="sif",H1927="PM"),0,VLOOKUP(H1927,[5]CU!$C$4:$H$255,6,FALSE))</f>
        <v>0</v>
      </c>
      <c r="O1927" s="33"/>
      <c r="P1927" s="33"/>
      <c r="Q1927" s="33"/>
      <c r="R1927" s="33"/>
      <c r="S1927" s="33"/>
      <c r="T1927" s="35" t="s">
        <v>56</v>
      </c>
      <c r="U1927" s="18" t="s">
        <v>1873</v>
      </c>
      <c r="V1927" s="18" t="str">
        <f>IF(OR($H1927="",$H1927="sif",$H1927="PM"),"",VLOOKUP($H1927,[5]CU!$C$5:$J$255,8,FALSE))</f>
        <v/>
      </c>
      <c r="W1927" s="18" t="s">
        <v>255</v>
      </c>
      <c r="X1927" s="18" t="s">
        <v>255</v>
      </c>
      <c r="Y1927" s="19" t="s">
        <v>32</v>
      </c>
      <c r="Z1927" s="18" t="str">
        <f>A1927 &amp; "-" &amp; VLOOKUP(A1927,[4]PROGRAMMES!$E$1:$F$7,2,FALSE)</f>
        <v>5-Gouvernance et pilotage du secteur</v>
      </c>
      <c r="AA1927" s="19" t="str">
        <f>B1927 &amp; "-" &amp; VLOOKUP(B1927,[4]SOUSPROGRAMMES!$E$1:$F$44,2,FALSE)</f>
        <v>58- Renforcement des compétences de l’administration (cadre normatif, poste-profil, évaluation, équipement, formations…)</v>
      </c>
      <c r="AB1927" s="19" t="str">
        <f>C1927 &amp; "-" &amp; VLOOKUP(C1927,[4]RESULTATS!$E$1:$F$176,2,FALSE)</f>
        <v>584-Les résultats des évaluations régulières des structures centrales et déconcentrées permettent d’améliorer leur performance</v>
      </c>
      <c r="AC1927" s="20" t="str">
        <f>D1927 &amp; "-" &amp; VLOOKUP(D1927,[4]STRATEGIES!$E$1:$F$504,2,FALSE)</f>
        <v>5841-Évaluation périodique de la performance des structures et institutions dans la mise en œuvre des activités</v>
      </c>
      <c r="AD1927" s="21" t="str">
        <f t="shared" si="289"/>
        <v>58412-Validation des mécanismes d'évaluation des performances</v>
      </c>
    </row>
    <row r="1928" spans="1:30" s="22" customFormat="1" ht="60" hidden="1" customHeight="1" x14ac:dyDescent="0.8">
      <c r="A1928" s="14">
        <v>5</v>
      </c>
      <c r="B1928" s="15">
        <v>58</v>
      </c>
      <c r="C1928" s="15">
        <v>584</v>
      </c>
      <c r="D1928" s="15">
        <v>5841</v>
      </c>
      <c r="E1928" s="15">
        <v>58413</v>
      </c>
      <c r="F1928" s="16" t="s">
        <v>2390</v>
      </c>
      <c r="G1928" s="21" t="s">
        <v>88</v>
      </c>
      <c r="H1928" s="17" t="s">
        <v>55</v>
      </c>
      <c r="I1928" s="33">
        <v>0</v>
      </c>
      <c r="J1928" s="33">
        <v>1</v>
      </c>
      <c r="K1928" s="33">
        <v>1</v>
      </c>
      <c r="L1928" s="33">
        <v>1</v>
      </c>
      <c r="M1928" s="33">
        <f t="shared" si="282"/>
        <v>3</v>
      </c>
      <c r="N1928" s="33">
        <f>IF(OR(H1928="",H1928="sif",H1928="PM"),0,VLOOKUP(H1928,[5]CU!$C$4:$H$255,6,FALSE))</f>
        <v>0</v>
      </c>
      <c r="O1928" s="33"/>
      <c r="P1928" s="33"/>
      <c r="Q1928" s="33"/>
      <c r="R1928" s="33"/>
      <c r="S1928" s="33"/>
      <c r="T1928" s="35" t="s">
        <v>56</v>
      </c>
      <c r="U1928" s="18" t="s">
        <v>1873</v>
      </c>
      <c r="V1928" s="18" t="str">
        <f>IF(OR($H1928="",$H1928="sif",$H1928="PM"),"",VLOOKUP($H1928,[5]CU!$C$5:$J$255,8,FALSE))</f>
        <v/>
      </c>
      <c r="W1928" s="18" t="s">
        <v>255</v>
      </c>
      <c r="X1928" s="18" t="s">
        <v>282</v>
      </c>
      <c r="Y1928" s="19" t="s">
        <v>32</v>
      </c>
      <c r="Z1928" s="18" t="str">
        <f>A1928 &amp; "-" &amp; VLOOKUP(A1928,[4]PROGRAMMES!$E$1:$F$7,2,FALSE)</f>
        <v>5-Gouvernance et pilotage du secteur</v>
      </c>
      <c r="AA1928" s="19" t="str">
        <f>B1928 &amp; "-" &amp; VLOOKUP(B1928,[4]SOUSPROGRAMMES!$E$1:$F$44,2,FALSE)</f>
        <v>58- Renforcement des compétences de l’administration (cadre normatif, poste-profil, évaluation, équipement, formations…)</v>
      </c>
      <c r="AB1928" s="19" t="str">
        <f>C1928 &amp; "-" &amp; VLOOKUP(C1928,[4]RESULTATS!$E$1:$F$176,2,FALSE)</f>
        <v>584-Les résultats des évaluations régulières des structures centrales et déconcentrées permettent d’améliorer leur performance</v>
      </c>
      <c r="AC1928" s="20" t="str">
        <f>D1928 &amp; "-" &amp; VLOOKUP(D1928,[4]STRATEGIES!$E$1:$F$504,2,FALSE)</f>
        <v>5841-Évaluation périodique de la performance des structures et institutions dans la mise en œuvre des activités</v>
      </c>
      <c r="AD1928" s="21" t="str">
        <f t="shared" si="289"/>
        <v>58413-Déclinaison des lettres de mission annuelle par administration (IRE, Directions centrales)</v>
      </c>
    </row>
    <row r="1929" spans="1:30" s="22" customFormat="1" ht="60" hidden="1" customHeight="1" x14ac:dyDescent="0.8">
      <c r="A1929" s="14">
        <v>5</v>
      </c>
      <c r="B1929" s="15">
        <v>58</v>
      </c>
      <c r="C1929" s="15">
        <v>584</v>
      </c>
      <c r="D1929" s="15">
        <v>5841</v>
      </c>
      <c r="E1929" s="15">
        <v>58414</v>
      </c>
      <c r="F1929" s="16" t="s">
        <v>2391</v>
      </c>
      <c r="G1929" s="21" t="s">
        <v>88</v>
      </c>
      <c r="H1929" s="17" t="s">
        <v>55</v>
      </c>
      <c r="I1929" s="33">
        <v>0</v>
      </c>
      <c r="J1929" s="33">
        <v>1</v>
      </c>
      <c r="K1929" s="33">
        <v>1</v>
      </c>
      <c r="L1929" s="33">
        <v>1</v>
      </c>
      <c r="M1929" s="33">
        <f t="shared" si="282"/>
        <v>3</v>
      </c>
      <c r="N1929" s="33">
        <f>IF(OR(H1929="",H1929="sif",H1929="PM"),0,VLOOKUP(H1929,[5]CU!$C$4:$H$255,6,FALSE))</f>
        <v>0</v>
      </c>
      <c r="O1929" s="33"/>
      <c r="P1929" s="33"/>
      <c r="Q1929" s="33"/>
      <c r="R1929" s="33"/>
      <c r="S1929" s="33"/>
      <c r="T1929" s="35" t="s">
        <v>56</v>
      </c>
      <c r="U1929" s="18" t="s">
        <v>1873</v>
      </c>
      <c r="V1929" s="18" t="str">
        <f>IF(OR($H1929="",$H1929="sif",$H1929="PM"),"",VLOOKUP($H1929,[5]CU!$C$5:$J$255,8,FALSE))</f>
        <v/>
      </c>
      <c r="W1929" s="18" t="s">
        <v>282</v>
      </c>
      <c r="X1929" s="18" t="s">
        <v>77</v>
      </c>
      <c r="Y1929" s="19" t="s">
        <v>32</v>
      </c>
      <c r="Z1929" s="18" t="str">
        <f>A1929 &amp; "-" &amp; VLOOKUP(A1929,[4]PROGRAMMES!$E$1:$F$7,2,FALSE)</f>
        <v>5-Gouvernance et pilotage du secteur</v>
      </c>
      <c r="AA1929" s="19" t="str">
        <f>B1929 &amp; "-" &amp; VLOOKUP(B1929,[4]SOUSPROGRAMMES!$E$1:$F$44,2,FALSE)</f>
        <v>58- Renforcement des compétences de l’administration (cadre normatif, poste-profil, évaluation, équipement, formations…)</v>
      </c>
      <c r="AB1929" s="19" t="str">
        <f>C1929 &amp; "-" &amp; VLOOKUP(C1929,[4]RESULTATS!$E$1:$F$176,2,FALSE)</f>
        <v>584-Les résultats des évaluations régulières des structures centrales et déconcentrées permettent d’améliorer leur performance</v>
      </c>
      <c r="AC1929" s="20" t="str">
        <f>D1929 &amp; "-" &amp; VLOOKUP(D1929,[4]STRATEGIES!$E$1:$F$504,2,FALSE)</f>
        <v>5841-Évaluation périodique de la performance des structures et institutions dans la mise en œuvre des activités</v>
      </c>
      <c r="AD1929" s="21" t="str">
        <f t="shared" si="289"/>
        <v xml:space="preserve">58414-Déclinaison des lettres de mission aux services (IRE pour les DPE/DCE, DPE/DCE pour les DSEE et les établissements, DSSE aux écoles, Directions centrales aux divisions et sections) </v>
      </c>
    </row>
    <row r="1930" spans="1:30" s="22" customFormat="1" ht="60" hidden="1" customHeight="1" x14ac:dyDescent="0.8">
      <c r="A1930" s="14">
        <v>5</v>
      </c>
      <c r="B1930" s="15">
        <v>58</v>
      </c>
      <c r="C1930" s="15">
        <v>584</v>
      </c>
      <c r="D1930" s="15">
        <v>5841</v>
      </c>
      <c r="E1930" s="15">
        <v>58415</v>
      </c>
      <c r="F1930" s="16" t="s">
        <v>2392</v>
      </c>
      <c r="G1930" s="21" t="s">
        <v>88</v>
      </c>
      <c r="H1930" s="17" t="s">
        <v>55</v>
      </c>
      <c r="I1930" s="33">
        <v>0</v>
      </c>
      <c r="J1930" s="33">
        <v>1</v>
      </c>
      <c r="K1930" s="33">
        <v>1</v>
      </c>
      <c r="L1930" s="33">
        <v>1</v>
      </c>
      <c r="M1930" s="33">
        <f t="shared" si="282"/>
        <v>3</v>
      </c>
      <c r="N1930" s="33">
        <f>IF(OR(H1930="",H1930="sif",H1930="PM"),0,VLOOKUP(H1930,[5]CU!$C$4:$H$255,6,FALSE))</f>
        <v>0</v>
      </c>
      <c r="O1930" s="33"/>
      <c r="P1930" s="33"/>
      <c r="Q1930" s="33"/>
      <c r="R1930" s="33"/>
      <c r="S1930" s="33"/>
      <c r="T1930" s="35" t="s">
        <v>56</v>
      </c>
      <c r="U1930" s="18" t="s">
        <v>1873</v>
      </c>
      <c r="V1930" s="18" t="str">
        <f>IF(OR($H1930="",$H1930="sif",$H1930="PM"),"",VLOOKUP($H1930,[5]CU!$C$5:$J$255,8,FALSE))</f>
        <v/>
      </c>
      <c r="W1930" s="18" t="s">
        <v>77</v>
      </c>
      <c r="X1930" s="18" t="s">
        <v>193</v>
      </c>
      <c r="Y1930" s="19" t="s">
        <v>32</v>
      </c>
      <c r="Z1930" s="18" t="str">
        <f>A1930 &amp; "-" &amp; VLOOKUP(A1930,[4]PROGRAMMES!$E$1:$F$7,2,FALSE)</f>
        <v>5-Gouvernance et pilotage du secteur</v>
      </c>
      <c r="AA1930" s="19" t="str">
        <f>B1930 &amp; "-" &amp; VLOOKUP(B1930,[4]SOUSPROGRAMMES!$E$1:$F$44,2,FALSE)</f>
        <v>58- Renforcement des compétences de l’administration (cadre normatif, poste-profil, évaluation, équipement, formations…)</v>
      </c>
      <c r="AB1930" s="19" t="str">
        <f>C1930 &amp; "-" &amp; VLOOKUP(C1930,[4]RESULTATS!$E$1:$F$176,2,FALSE)</f>
        <v>584-Les résultats des évaluations régulières des structures centrales et déconcentrées permettent d’améliorer leur performance</v>
      </c>
      <c r="AC1930" s="20" t="str">
        <f>D1930 &amp; "-" &amp; VLOOKUP(D1930,[4]STRATEGIES!$E$1:$F$504,2,FALSE)</f>
        <v>5841-Évaluation périodique de la performance des structures et institutions dans la mise en œuvre des activités</v>
      </c>
      <c r="AD1930" s="21" t="str">
        <f t="shared" si="289"/>
        <v>58415-Elaboration de rapport annuel de mise en œuvre des lettres de missions (tous les niveaux)</v>
      </c>
    </row>
    <row r="1931" spans="1:30" s="22" customFormat="1" ht="60" hidden="1" customHeight="1" x14ac:dyDescent="0.8">
      <c r="A1931" s="14">
        <v>5</v>
      </c>
      <c r="B1931" s="15">
        <v>58</v>
      </c>
      <c r="C1931" s="15">
        <v>584</v>
      </c>
      <c r="D1931" s="15">
        <v>5841</v>
      </c>
      <c r="E1931" s="15">
        <v>58416</v>
      </c>
      <c r="F1931" s="16" t="s">
        <v>2393</v>
      </c>
      <c r="G1931" s="21" t="s">
        <v>88</v>
      </c>
      <c r="H1931" s="17" t="s">
        <v>55</v>
      </c>
      <c r="I1931" s="33">
        <v>0</v>
      </c>
      <c r="J1931" s="33">
        <v>1</v>
      </c>
      <c r="K1931" s="33">
        <v>1</v>
      </c>
      <c r="L1931" s="33">
        <v>1</v>
      </c>
      <c r="M1931" s="33">
        <f t="shared" si="282"/>
        <v>3</v>
      </c>
      <c r="N1931" s="33">
        <f>IF(OR(H1931="",H1931="sif",H1931="PM"),0,VLOOKUP(H1931,[5]CU!$C$4:$H$255,6,FALSE))</f>
        <v>0</v>
      </c>
      <c r="O1931" s="33"/>
      <c r="P1931" s="33"/>
      <c r="Q1931" s="33"/>
      <c r="R1931" s="33"/>
      <c r="S1931" s="33"/>
      <c r="T1931" s="35" t="s">
        <v>56</v>
      </c>
      <c r="U1931" s="18" t="s">
        <v>1873</v>
      </c>
      <c r="V1931" s="18" t="str">
        <f>IF(OR($H1931="",$H1931="sif",$H1931="PM"),"",VLOOKUP($H1931,[5]CU!$C$5:$J$255,8,FALSE))</f>
        <v/>
      </c>
      <c r="W1931" s="18"/>
      <c r="X1931" s="18"/>
      <c r="Y1931" s="18"/>
      <c r="Z1931" s="18" t="str">
        <f>A1931 &amp; "-" &amp; VLOOKUP(A1931,[4]PROGRAMMES!$E$1:$F$7,2,FALSE)</f>
        <v>5-Gouvernance et pilotage du secteur</v>
      </c>
      <c r="AA1931" s="19" t="str">
        <f>B1931 &amp; "-" &amp; VLOOKUP(B1931,[4]SOUSPROGRAMMES!$E$1:$F$44,2,FALSE)</f>
        <v>58- Renforcement des compétences de l’administration (cadre normatif, poste-profil, évaluation, équipement, formations…)</v>
      </c>
      <c r="AB1931" s="19" t="str">
        <f>C1931 &amp; "-" &amp; VLOOKUP(C1931,[4]RESULTATS!$E$1:$F$176,2,FALSE)</f>
        <v>584-Les résultats des évaluations régulières des structures centrales et déconcentrées permettent d’améliorer leur performance</v>
      </c>
      <c r="AC1931" s="20" t="str">
        <f>D1931 &amp; "-" &amp; VLOOKUP(D1931,[4]STRATEGIES!$E$1:$F$504,2,FALSE)</f>
        <v>5841-Évaluation périodique de la performance des structures et institutions dans la mise en œuvre des activités</v>
      </c>
      <c r="AD1931" s="21" t="str">
        <f t="shared" si="289"/>
        <v>58416-Consolidation des rapports par les IRE et les directions centrales</v>
      </c>
    </row>
    <row r="1932" spans="1:30" s="22" customFormat="1" ht="60" hidden="1" customHeight="1" x14ac:dyDescent="0.8">
      <c r="A1932" s="14">
        <v>5</v>
      </c>
      <c r="B1932" s="15">
        <v>58</v>
      </c>
      <c r="C1932" s="15">
        <v>584</v>
      </c>
      <c r="D1932" s="15">
        <v>5841</v>
      </c>
      <c r="E1932" s="15">
        <v>58417</v>
      </c>
      <c r="F1932" s="16" t="s">
        <v>2394</v>
      </c>
      <c r="G1932" s="21" t="s">
        <v>177</v>
      </c>
      <c r="H1932" s="17" t="s">
        <v>59</v>
      </c>
      <c r="I1932" s="33">
        <v>0</v>
      </c>
      <c r="J1932" s="33">
        <f>4*10*4</f>
        <v>160</v>
      </c>
      <c r="K1932" s="33">
        <f>4*10*4</f>
        <v>160</v>
      </c>
      <c r="L1932" s="33">
        <f>4*10*4</f>
        <v>160</v>
      </c>
      <c r="M1932" s="33">
        <f t="shared" si="282"/>
        <v>480</v>
      </c>
      <c r="N1932" s="33">
        <f>IF(OR(H1932="",H1932="sif",H1932="PM"),0,VLOOKUP(H1932,[5]CU!$C$4:$H$255,6,FALSE))</f>
        <v>0.8177777777777776</v>
      </c>
      <c r="O1932" s="33">
        <f>$N1932*I1932</f>
        <v>0</v>
      </c>
      <c r="P1932" s="33">
        <f>$N1932*J1932</f>
        <v>130.84444444444441</v>
      </c>
      <c r="Q1932" s="33">
        <f>$N1932*K1932</f>
        <v>130.84444444444441</v>
      </c>
      <c r="R1932" s="33">
        <f>$N1932*L1932</f>
        <v>130.84444444444441</v>
      </c>
      <c r="S1932" s="33">
        <f>SUM(O1932:R1932)</f>
        <v>392.53333333333319</v>
      </c>
      <c r="T1932" s="35" t="s">
        <v>56</v>
      </c>
      <c r="U1932" s="18" t="s">
        <v>1873</v>
      </c>
      <c r="V1932" s="18" t="str">
        <f>IF(OR($H1932="",$H1932="sif",$H1932="PM"),"",VLOOKUP($H1932,[5]CU!$C$5:$J$255,8,FALSE))</f>
        <v>3. Dépenses de fonctionnement</v>
      </c>
      <c r="W1932" s="18" t="s">
        <v>255</v>
      </c>
      <c r="X1932" s="18" t="s">
        <v>255</v>
      </c>
      <c r="Y1932" s="19" t="s">
        <v>32</v>
      </c>
      <c r="Z1932" s="18" t="str">
        <f>A1932 &amp; "-" &amp; VLOOKUP(A1932,[4]PROGRAMMES!$E$1:$F$7,2,FALSE)</f>
        <v>5-Gouvernance et pilotage du secteur</v>
      </c>
      <c r="AA1932" s="19" t="str">
        <f>B1932 &amp; "-" &amp; VLOOKUP(B1932,[4]SOUSPROGRAMMES!$E$1:$F$44,2,FALSE)</f>
        <v>58- Renforcement des compétences de l’administration (cadre normatif, poste-profil, évaluation, équipement, formations…)</v>
      </c>
      <c r="AB1932" s="19" t="str">
        <f>C1932 &amp; "-" &amp; VLOOKUP(C1932,[4]RESULTATS!$E$1:$F$176,2,FALSE)</f>
        <v>584-Les résultats des évaluations régulières des structures centrales et déconcentrées permettent d’améliorer leur performance</v>
      </c>
      <c r="AC1932" s="20" t="str">
        <f>D1932 &amp; "-" &amp; VLOOKUP(D1932,[4]STRATEGIES!$E$1:$F$504,2,FALSE)</f>
        <v>5841-Évaluation périodique de la performance des structures et institutions dans la mise en œuvre des activités</v>
      </c>
      <c r="AD1932" s="21" t="str">
        <f t="shared" si="289"/>
        <v>58417-Vérification de l'effectivité de la mise en œuvre des lettres de mission sur un échantillon</v>
      </c>
    </row>
    <row r="1933" spans="1:30" s="22" customFormat="1" ht="60" hidden="1" customHeight="1" x14ac:dyDescent="0.8">
      <c r="A1933" s="14">
        <v>5</v>
      </c>
      <c r="B1933" s="15">
        <v>58</v>
      </c>
      <c r="C1933" s="15">
        <v>584</v>
      </c>
      <c r="D1933" s="15">
        <v>5841</v>
      </c>
      <c r="E1933" s="15">
        <v>58418</v>
      </c>
      <c r="F1933" s="16" t="s">
        <v>2395</v>
      </c>
      <c r="G1933" s="21" t="s">
        <v>88</v>
      </c>
      <c r="H1933" s="17"/>
      <c r="I1933" s="33">
        <v>0</v>
      </c>
      <c r="J1933" s="33">
        <v>1</v>
      </c>
      <c r="K1933" s="33">
        <v>1</v>
      </c>
      <c r="L1933" s="33">
        <v>1</v>
      </c>
      <c r="M1933" s="33">
        <f t="shared" si="282"/>
        <v>3</v>
      </c>
      <c r="N1933" s="33">
        <f>IF(OR(H1933="",H1933="sif",H1933="PM"),0,VLOOKUP(H1933,[5]CU!$C$4:$H$255,6,FALSE))</f>
        <v>0</v>
      </c>
      <c r="O1933" s="33"/>
      <c r="P1933" s="33"/>
      <c r="Q1933" s="33"/>
      <c r="R1933" s="33"/>
      <c r="S1933" s="33"/>
      <c r="T1933" s="35" t="s">
        <v>56</v>
      </c>
      <c r="U1933" s="18" t="s">
        <v>1873</v>
      </c>
      <c r="V1933" s="18" t="str">
        <f>IF(OR($H1933="",$H1933="sif",$H1933="PM"),"",VLOOKUP($H1933,[5]CU!$C$5:$J$255,8,FALSE))</f>
        <v/>
      </c>
      <c r="W1933" s="18" t="s">
        <v>255</v>
      </c>
      <c r="X1933" s="18" t="s">
        <v>255</v>
      </c>
      <c r="Y1933" s="19" t="s">
        <v>32</v>
      </c>
      <c r="Z1933" s="18" t="str">
        <f>A1933 &amp; "-" &amp; VLOOKUP(A1933,[4]PROGRAMMES!$E$1:$F$7,2,FALSE)</f>
        <v>5-Gouvernance et pilotage du secteur</v>
      </c>
      <c r="AA1933" s="19" t="str">
        <f>B1933 &amp; "-" &amp; VLOOKUP(B1933,[4]SOUSPROGRAMMES!$E$1:$F$44,2,FALSE)</f>
        <v>58- Renforcement des compétences de l’administration (cadre normatif, poste-profil, évaluation, équipement, formations…)</v>
      </c>
      <c r="AB1933" s="19" t="str">
        <f>C1933 &amp; "-" &amp; VLOOKUP(C1933,[4]RESULTATS!$E$1:$F$176,2,FALSE)</f>
        <v>584-Les résultats des évaluations régulières des structures centrales et déconcentrées permettent d’améliorer leur performance</v>
      </c>
      <c r="AC1933" s="20" t="str">
        <f>D1933 &amp; "-" &amp; VLOOKUP(D1933,[4]STRATEGIES!$E$1:$F$504,2,FALSE)</f>
        <v>5841-Évaluation périodique de la performance des structures et institutions dans la mise en œuvre des activités</v>
      </c>
      <c r="AD1933" s="21" t="str">
        <f t="shared" si="289"/>
        <v>58418-Elaboration du rapport global de mise en œuvre des lettres de mission du Ministère</v>
      </c>
    </row>
    <row r="1934" spans="1:30" s="22" customFormat="1" ht="60" hidden="1" customHeight="1" x14ac:dyDescent="0.8">
      <c r="A1934" s="14">
        <v>5</v>
      </c>
      <c r="B1934" s="15">
        <v>58</v>
      </c>
      <c r="C1934" s="15">
        <v>584</v>
      </c>
      <c r="D1934" s="15">
        <v>5842</v>
      </c>
      <c r="E1934" s="15">
        <v>5842</v>
      </c>
      <c r="F1934" s="16" t="s">
        <v>2396</v>
      </c>
      <c r="G1934" s="17"/>
      <c r="H1934" s="17"/>
      <c r="I1934" s="33">
        <v>0</v>
      </c>
      <c r="J1934" s="33"/>
      <c r="K1934" s="33"/>
      <c r="L1934" s="33"/>
      <c r="M1934" s="33"/>
      <c r="N1934" s="33"/>
      <c r="O1934" s="33"/>
      <c r="P1934" s="33"/>
      <c r="Q1934" s="33"/>
      <c r="R1934" s="33"/>
      <c r="S1934" s="33"/>
      <c r="T1934" s="33"/>
      <c r="U1934" s="18"/>
      <c r="V1934" s="18"/>
      <c r="W1934" s="18"/>
      <c r="X1934" s="18"/>
      <c r="Y1934" s="18"/>
      <c r="Z1934" s="18" t="str">
        <f>A1934 &amp; "-" &amp; VLOOKUP(A1934,[4]PROGRAMMES!$E$1:$F$7,2,FALSE)</f>
        <v>5-Gouvernance et pilotage du secteur</v>
      </c>
      <c r="AA1934" s="19" t="str">
        <f>B1934 &amp; "-" &amp; VLOOKUP(B1934,[4]SOUSPROGRAMMES!$E$1:$F$44,2,FALSE)</f>
        <v>58- Renforcement des compétences de l’administration (cadre normatif, poste-profil, évaluation, équipement, formations…)</v>
      </c>
      <c r="AB1934" s="19" t="str">
        <f>C1934 &amp; "-" &amp; VLOOKUP(C1934,[4]RESULTATS!$E$1:$F$176,2,FALSE)</f>
        <v>584-Les résultats des évaluations régulières des structures centrales et déconcentrées permettent d’améliorer leur performance</v>
      </c>
      <c r="AC1934" s="20" t="str">
        <f>D1934 &amp; "-" &amp; VLOOKUP(D1934,[4]STRATEGIES!$E$1:$F$504,2,FALSE)</f>
        <v>5842-Exploitation des résultats des rapports de performance</v>
      </c>
      <c r="AD1934" s="21" t="str">
        <f t="shared" si="289"/>
        <v>5842-Exploitation des résultats des rapports de performance</v>
      </c>
    </row>
    <row r="1935" spans="1:30" s="22" customFormat="1" ht="60" hidden="1" customHeight="1" x14ac:dyDescent="0.8">
      <c r="A1935" s="14">
        <v>5</v>
      </c>
      <c r="B1935" s="15">
        <v>58</v>
      </c>
      <c r="C1935" s="15">
        <v>584</v>
      </c>
      <c r="D1935" s="15">
        <v>5842</v>
      </c>
      <c r="E1935" s="15">
        <v>58421</v>
      </c>
      <c r="F1935" s="16" t="s">
        <v>2397</v>
      </c>
      <c r="G1935" s="21" t="s">
        <v>298</v>
      </c>
      <c r="H1935" s="17" t="s">
        <v>66</v>
      </c>
      <c r="I1935" s="33">
        <v>0</v>
      </c>
      <c r="J1935" s="33">
        <f>12*10</f>
        <v>120</v>
      </c>
      <c r="K1935" s="33">
        <f>12*10</f>
        <v>120</v>
      </c>
      <c r="L1935" s="33">
        <f>12*10</f>
        <v>120</v>
      </c>
      <c r="M1935" s="33">
        <f t="shared" si="282"/>
        <v>360</v>
      </c>
      <c r="N1935" s="33">
        <f>IF(OR(H1935="",H1935="sif",H1935="PM"),0,VLOOKUP(H1935,[5]CU!$C$4:$H$255,6,FALSE))</f>
        <v>0.255</v>
      </c>
      <c r="O1935" s="33">
        <f>$N1935*I1935</f>
        <v>0</v>
      </c>
      <c r="P1935" s="33">
        <f>$N1935*J1935</f>
        <v>30.6</v>
      </c>
      <c r="Q1935" s="33">
        <f>$N1935*K1935</f>
        <v>30.6</v>
      </c>
      <c r="R1935" s="33">
        <f>$N1935*L1935</f>
        <v>30.6</v>
      </c>
      <c r="S1935" s="33">
        <f>SUM(O1935:R1935)</f>
        <v>91.800000000000011</v>
      </c>
      <c r="T1935" s="35" t="s">
        <v>56</v>
      </c>
      <c r="U1935" s="18" t="s">
        <v>1873</v>
      </c>
      <c r="V1935" s="18" t="str">
        <f>IF(OR($H1935="",$H1935="sif",$H1935="PM"),"",VLOOKUP($H1935,[5]CU!$C$5:$J$255,8,FALSE))</f>
        <v>3. Dépenses de fonctionnement</v>
      </c>
      <c r="W1935" s="18" t="s">
        <v>255</v>
      </c>
      <c r="X1935" s="18" t="s">
        <v>255</v>
      </c>
      <c r="Y1935" s="19" t="s">
        <v>32</v>
      </c>
      <c r="Z1935" s="18" t="str">
        <f>A1935 &amp; "-" &amp; VLOOKUP(A1935,[4]PROGRAMMES!$E$1:$F$7,2,FALSE)</f>
        <v>5-Gouvernance et pilotage du secteur</v>
      </c>
      <c r="AA1935" s="19" t="str">
        <f>B1935 &amp; "-" &amp; VLOOKUP(B1935,[4]SOUSPROGRAMMES!$E$1:$F$44,2,FALSE)</f>
        <v>58- Renforcement des compétences de l’administration (cadre normatif, poste-profil, évaluation, équipement, formations…)</v>
      </c>
      <c r="AB1935" s="19" t="str">
        <f>C1935 &amp; "-" &amp; VLOOKUP(C1935,[4]RESULTATS!$E$1:$F$176,2,FALSE)</f>
        <v>584-Les résultats des évaluations régulières des structures centrales et déconcentrées permettent d’améliorer leur performance</v>
      </c>
      <c r="AC1935" s="20" t="str">
        <f>D1935 &amp; "-" &amp; VLOOKUP(D1935,[4]STRATEGIES!$E$1:$F$504,2,FALSE)</f>
        <v>5842-Exploitation des résultats des rapports de performance</v>
      </c>
      <c r="AD1935" s="21" t="str">
        <f t="shared" si="289"/>
        <v>58421-Analyse du rapport de mise en œuvre et élaboration des recommandations aux différentes structures</v>
      </c>
    </row>
    <row r="1936" spans="1:30" s="22" customFormat="1" ht="60" hidden="1" customHeight="1" x14ac:dyDescent="0.8">
      <c r="A1936" s="14">
        <v>5</v>
      </c>
      <c r="B1936" s="15">
        <v>58</v>
      </c>
      <c r="C1936" s="15">
        <v>584</v>
      </c>
      <c r="D1936" s="15">
        <v>5842</v>
      </c>
      <c r="E1936" s="15">
        <v>58422</v>
      </c>
      <c r="F1936" s="16" t="s">
        <v>2398</v>
      </c>
      <c r="G1936" s="21" t="s">
        <v>88</v>
      </c>
      <c r="H1936" s="17" t="s">
        <v>55</v>
      </c>
      <c r="I1936" s="33">
        <v>0</v>
      </c>
      <c r="J1936" s="33">
        <v>1</v>
      </c>
      <c r="K1936" s="33">
        <v>1</v>
      </c>
      <c r="L1936" s="33">
        <v>1</v>
      </c>
      <c r="M1936" s="33">
        <f t="shared" si="282"/>
        <v>3</v>
      </c>
      <c r="N1936" s="33">
        <f>IF(OR(H1936="",H1936="sif",H1936="PM"),0,VLOOKUP(H1936,[5]CU!$C$4:$H$255,6,FALSE))</f>
        <v>0</v>
      </c>
      <c r="O1936" s="33"/>
      <c r="P1936" s="33"/>
      <c r="Q1936" s="33"/>
      <c r="R1936" s="33"/>
      <c r="S1936" s="33"/>
      <c r="T1936" s="35" t="s">
        <v>56</v>
      </c>
      <c r="U1936" s="18" t="s">
        <v>1873</v>
      </c>
      <c r="V1936" s="18" t="str">
        <f>IF(OR($H1936="",$H1936="sif",$H1936="PM"),"",VLOOKUP($H1936,[5]CU!$C$5:$J$255,8,FALSE))</f>
        <v/>
      </c>
      <c r="W1936" s="18" t="s">
        <v>255</v>
      </c>
      <c r="X1936" s="18" t="s">
        <v>255</v>
      </c>
      <c r="Y1936" s="19" t="s">
        <v>32</v>
      </c>
      <c r="Z1936" s="18" t="str">
        <f>A1936 &amp; "-" &amp; VLOOKUP(A1936,[4]PROGRAMMES!$E$1:$F$7,2,FALSE)</f>
        <v>5-Gouvernance et pilotage du secteur</v>
      </c>
      <c r="AA1936" s="19" t="str">
        <f>B1936 &amp; "-" &amp; VLOOKUP(B1936,[4]SOUSPROGRAMMES!$E$1:$F$44,2,FALSE)</f>
        <v>58- Renforcement des compétences de l’administration (cadre normatif, poste-profil, évaluation, équipement, formations…)</v>
      </c>
      <c r="AB1936" s="19" t="str">
        <f>C1936 &amp; "-" &amp; VLOOKUP(C1936,[4]RESULTATS!$E$1:$F$176,2,FALSE)</f>
        <v>584-Les résultats des évaluations régulières des structures centrales et déconcentrées permettent d’améliorer leur performance</v>
      </c>
      <c r="AC1936" s="20" t="str">
        <f>D1936 &amp; "-" &amp; VLOOKUP(D1936,[4]STRATEGIES!$E$1:$F$504,2,FALSE)</f>
        <v>5842-Exploitation des résultats des rapports de performance</v>
      </c>
      <c r="AD1936" s="21" t="str">
        <f t="shared" si="289"/>
        <v>58422-Suivi de la mise en œuvre des recommandations</v>
      </c>
    </row>
    <row r="1937" spans="1:30" s="22" customFormat="1" ht="75" hidden="1" customHeight="1" x14ac:dyDescent="0.8">
      <c r="A1937" s="14">
        <v>5</v>
      </c>
      <c r="B1937" s="15">
        <v>58</v>
      </c>
      <c r="C1937" s="15">
        <v>585</v>
      </c>
      <c r="D1937" s="15">
        <v>585</v>
      </c>
      <c r="E1937" s="15">
        <v>585</v>
      </c>
      <c r="F1937" s="16" t="s">
        <v>2399</v>
      </c>
      <c r="G1937" s="17"/>
      <c r="H1937" s="17"/>
      <c r="I1937" s="33">
        <v>0</v>
      </c>
      <c r="J1937" s="33"/>
      <c r="K1937" s="33"/>
      <c r="L1937" s="33"/>
      <c r="M1937" s="33"/>
      <c r="N1937" s="33"/>
      <c r="O1937" s="33"/>
      <c r="P1937" s="33"/>
      <c r="Q1937" s="33"/>
      <c r="R1937" s="33"/>
      <c r="S1937" s="33"/>
      <c r="T1937" s="33"/>
      <c r="U1937" s="18"/>
      <c r="V1937" s="18"/>
      <c r="W1937" s="18"/>
      <c r="X1937" s="18"/>
      <c r="Y1937" s="18"/>
      <c r="Z1937" s="18" t="str">
        <f>A1937 &amp; "-" &amp; VLOOKUP(A1937,[4]PROGRAMMES!$E$1:$F$7,2,FALSE)</f>
        <v>5-Gouvernance et pilotage du secteur</v>
      </c>
      <c r="AA1937" s="19" t="str">
        <f>B1937 &amp; "-" &amp; VLOOKUP(B1937,[4]SOUSPROGRAMMES!$E$1:$F$44,2,FALSE)</f>
        <v>58- Renforcement des compétences de l’administration (cadre normatif, poste-profil, évaluation, équipement, formations…)</v>
      </c>
      <c r="AB1937" s="19" t="str">
        <f>C1937 &amp; "-" &amp; VLOOKUP(C1937,[4]RESULTATS!$E$1:$F$176,2,FALSE)</f>
        <v xml:space="preserve">585-  L’ensemble des acteurs de l’administration éducative sont conscients des vulnérabilités qui menacent la mise œuvre du ProDEG et savent comment y répondre </v>
      </c>
      <c r="AC1937" s="20" t="str">
        <f>D1937 &amp; "-" &amp; VLOOKUP(D1937,[4]STRATEGIES!$E$1:$F$504,2,FALSE)</f>
        <v xml:space="preserve">585-  L’ensemble des acteurs de l’administration éducative sont conscients des vulnérabilités qui menacent la mise œuvre du ProDEG et savent comment y répondre </v>
      </c>
      <c r="AD1937" s="21" t="str">
        <f t="shared" si="289"/>
        <v xml:space="preserve">585-  L’ensemble des acteurs de l’administration éducative sont conscients des vulnérabilités qui menacent la mise œuvre du ProDEG et savent comment y répondre </v>
      </c>
    </row>
    <row r="1938" spans="1:30" s="22" customFormat="1" ht="75" hidden="1" customHeight="1" x14ac:dyDescent="0.8">
      <c r="A1938" s="14">
        <v>5</v>
      </c>
      <c r="B1938" s="15">
        <v>58</v>
      </c>
      <c r="C1938" s="15">
        <v>585</v>
      </c>
      <c r="D1938" s="15">
        <v>5851</v>
      </c>
      <c r="E1938" s="15">
        <v>5851</v>
      </c>
      <c r="F1938" s="16" t="s">
        <v>2400</v>
      </c>
      <c r="G1938" s="17"/>
      <c r="H1938" s="17"/>
      <c r="I1938" s="33">
        <v>0</v>
      </c>
      <c r="J1938" s="33"/>
      <c r="K1938" s="33"/>
      <c r="L1938" s="33"/>
      <c r="M1938" s="33"/>
      <c r="N1938" s="33"/>
      <c r="O1938" s="33"/>
      <c r="P1938" s="33"/>
      <c r="Q1938" s="33"/>
      <c r="R1938" s="33"/>
      <c r="S1938" s="33"/>
      <c r="T1938" s="33"/>
      <c r="U1938" s="18"/>
      <c r="V1938" s="18"/>
      <c r="W1938" s="18"/>
      <c r="X1938" s="18"/>
      <c r="Y1938" s="18"/>
      <c r="Z1938" s="18" t="str">
        <f>A1938 &amp; "-" &amp; VLOOKUP(A1938,[4]PROGRAMMES!$E$1:$F$7,2,FALSE)</f>
        <v>5-Gouvernance et pilotage du secteur</v>
      </c>
      <c r="AA1938" s="19" t="str">
        <f>B1938 &amp; "-" &amp; VLOOKUP(B1938,[4]SOUSPROGRAMMES!$E$1:$F$44,2,FALSE)</f>
        <v>58- Renforcement des compétences de l’administration (cadre normatif, poste-profil, évaluation, équipement, formations…)</v>
      </c>
      <c r="AB1938" s="19" t="str">
        <f>C1938 &amp; "-" &amp; VLOOKUP(C1938,[4]RESULTATS!$E$1:$F$176,2,FALSE)</f>
        <v xml:space="preserve">585-  L’ensemble des acteurs de l’administration éducative sont conscients des vulnérabilités qui menacent la mise œuvre du ProDEG et savent comment y répondre </v>
      </c>
      <c r="AC1938" s="20" t="str">
        <f>D1938 &amp; "-" &amp; VLOOKUP(D1938,[4]STRATEGIES!$E$1:$F$504,2,FALSE)</f>
        <v>5851-Elaboration d’une stratégie nationale de prévention et de gestion des risques et des catastrophes naturelles</v>
      </c>
      <c r="AD1938" s="21" t="str">
        <f t="shared" si="289"/>
        <v>5851-Elaboration d’une stratégie nationale de prévention et de gestion des risques et des catastrophes naturelles</v>
      </c>
    </row>
    <row r="1939" spans="1:30" s="22" customFormat="1" ht="75" hidden="1" customHeight="1" x14ac:dyDescent="0.8">
      <c r="A1939" s="14">
        <v>5</v>
      </c>
      <c r="B1939" s="15">
        <v>58</v>
      </c>
      <c r="C1939" s="15">
        <v>585</v>
      </c>
      <c r="D1939" s="15">
        <v>5851</v>
      </c>
      <c r="E1939" s="15">
        <v>58511</v>
      </c>
      <c r="F1939" s="16" t="s">
        <v>2401</v>
      </c>
      <c r="G1939" s="21" t="s">
        <v>88</v>
      </c>
      <c r="H1939" s="17" t="s">
        <v>55</v>
      </c>
      <c r="I1939" s="33">
        <v>0</v>
      </c>
      <c r="J1939" s="33">
        <v>0</v>
      </c>
      <c r="K1939" s="33">
        <v>0</v>
      </c>
      <c r="L1939" s="33">
        <v>0</v>
      </c>
      <c r="M1939" s="33"/>
      <c r="N1939" s="33">
        <f>IF(OR(H1939="",H1939="sif",H1939="PM"),0,VLOOKUP(H1939,[5]CU!$C$4:$H$255,6,FALSE))</f>
        <v>0</v>
      </c>
      <c r="O1939" s="33"/>
      <c r="P1939" s="33"/>
      <c r="Q1939" s="33"/>
      <c r="R1939" s="33"/>
      <c r="S1939" s="33"/>
      <c r="T1939" s="35" t="s">
        <v>56</v>
      </c>
      <c r="U1939" s="18" t="s">
        <v>1873</v>
      </c>
      <c r="V1939" s="18" t="str">
        <f>IF(OR($H1939="",$H1939="sif",$H1939="PM"),"",VLOOKUP($H1939,[5]CU!$C$5:$J$255,8,FALSE))</f>
        <v/>
      </c>
      <c r="W1939" s="18" t="s">
        <v>255</v>
      </c>
      <c r="X1939" s="18" t="s">
        <v>255</v>
      </c>
      <c r="Y1939" s="18" t="s">
        <v>677</v>
      </c>
      <c r="Z1939" s="18" t="str">
        <f>A1939 &amp; "-" &amp; VLOOKUP(A1939,[4]PROGRAMMES!$E$1:$F$7,2,FALSE)</f>
        <v>5-Gouvernance et pilotage du secteur</v>
      </c>
      <c r="AA1939" s="19" t="str">
        <f>B1939 &amp; "-" &amp; VLOOKUP(B1939,[4]SOUSPROGRAMMES!$E$1:$F$44,2,FALSE)</f>
        <v>58- Renforcement des compétences de l’administration (cadre normatif, poste-profil, évaluation, équipement, formations…)</v>
      </c>
      <c r="AB1939" s="19" t="str">
        <f>C1939 &amp; "-" &amp; VLOOKUP(C1939,[4]RESULTATS!$E$1:$F$176,2,FALSE)</f>
        <v xml:space="preserve">585-  L’ensemble des acteurs de l’administration éducative sont conscients des vulnérabilités qui menacent la mise œuvre du ProDEG et savent comment y répondre </v>
      </c>
      <c r="AC1939" s="20" t="str">
        <f>D1939 &amp; "-" &amp; VLOOKUP(D1939,[4]STRATEGIES!$E$1:$F$504,2,FALSE)</f>
        <v>5851-Elaboration d’une stratégie nationale de prévention et de gestion des risques et des catastrophes naturelles</v>
      </c>
      <c r="AD1939" s="21" t="str">
        <f t="shared" si="289"/>
        <v>58511-Constitution d'une commission technique interministérielle pour l'élaboration de la stratégie nationale</v>
      </c>
    </row>
    <row r="1940" spans="1:30" s="22" customFormat="1" ht="75" hidden="1" customHeight="1" x14ac:dyDescent="0.8">
      <c r="A1940" s="14">
        <v>5</v>
      </c>
      <c r="B1940" s="15">
        <v>58</v>
      </c>
      <c r="C1940" s="15">
        <v>585</v>
      </c>
      <c r="D1940" s="15">
        <v>5851</v>
      </c>
      <c r="E1940" s="15">
        <v>58512</v>
      </c>
      <c r="F1940" s="16" t="s">
        <v>2402</v>
      </c>
      <c r="G1940" s="21" t="s">
        <v>1217</v>
      </c>
      <c r="H1940" s="17" t="s">
        <v>66</v>
      </c>
      <c r="I1940" s="33">
        <v>0</v>
      </c>
      <c r="J1940" s="33">
        <f>15*7</f>
        <v>105</v>
      </c>
      <c r="K1940" s="33"/>
      <c r="L1940" s="33"/>
      <c r="M1940" s="33">
        <f t="shared" ref="M1940:M2004" si="290">SUM(I1940:L1940)</f>
        <v>105</v>
      </c>
      <c r="N1940" s="33">
        <f>IF(OR(H1940="",H1940="sif",H1940="PM"),0,VLOOKUP(H1940,[5]CU!$C$4:$H$255,6,FALSE))</f>
        <v>0.255</v>
      </c>
      <c r="O1940" s="33">
        <f t="shared" ref="O1940:R1944" si="291">$N1940*I1940</f>
        <v>0</v>
      </c>
      <c r="P1940" s="33">
        <f t="shared" si="291"/>
        <v>26.775000000000002</v>
      </c>
      <c r="Q1940" s="33">
        <f t="shared" si="291"/>
        <v>0</v>
      </c>
      <c r="R1940" s="33">
        <f t="shared" si="291"/>
        <v>0</v>
      </c>
      <c r="S1940" s="33">
        <f>SUM(O1940:R1940)</f>
        <v>26.775000000000002</v>
      </c>
      <c r="T1940" s="35" t="s">
        <v>118</v>
      </c>
      <c r="U1940" s="18" t="s">
        <v>1873</v>
      </c>
      <c r="V1940" s="18" t="str">
        <f>IF(OR($H1940="",$H1940="sif",$H1940="PM"),"",VLOOKUP($H1940,[5]CU!$C$5:$J$255,8,FALSE))</f>
        <v>3. Dépenses de fonctionnement</v>
      </c>
      <c r="W1940" s="18" t="s">
        <v>255</v>
      </c>
      <c r="X1940" s="18" t="s">
        <v>255</v>
      </c>
      <c r="Y1940" s="18" t="s">
        <v>677</v>
      </c>
      <c r="Z1940" s="18" t="str">
        <f>A1940 &amp; "-" &amp; VLOOKUP(A1940,[4]PROGRAMMES!$E$1:$F$7,2,FALSE)</f>
        <v>5-Gouvernance et pilotage du secteur</v>
      </c>
      <c r="AA1940" s="19" t="str">
        <f>B1940 &amp; "-" &amp; VLOOKUP(B1940,[4]SOUSPROGRAMMES!$E$1:$F$44,2,FALSE)</f>
        <v>58- Renforcement des compétences de l’administration (cadre normatif, poste-profil, évaluation, équipement, formations…)</v>
      </c>
      <c r="AB1940" s="19" t="str">
        <f>C1940 &amp; "-" &amp; VLOOKUP(C1940,[4]RESULTATS!$E$1:$F$176,2,FALSE)</f>
        <v xml:space="preserve">585-  L’ensemble des acteurs de l’administration éducative sont conscients des vulnérabilités qui menacent la mise œuvre du ProDEG et savent comment y répondre </v>
      </c>
      <c r="AC1940" s="20" t="str">
        <f>D1940 &amp; "-" &amp; VLOOKUP(D1940,[4]STRATEGIES!$E$1:$F$504,2,FALSE)</f>
        <v>5851-Elaboration d’une stratégie nationale de prévention et de gestion des risques et des catastrophes naturelles</v>
      </c>
      <c r="AD1940" s="21" t="str">
        <f t="shared" si="289"/>
        <v>58512-Organisation de concertations pour élaborer la stratégie</v>
      </c>
    </row>
    <row r="1941" spans="1:30" s="22" customFormat="1" ht="75" hidden="1" customHeight="1" x14ac:dyDescent="0.8">
      <c r="A1941" s="14">
        <v>5</v>
      </c>
      <c r="B1941" s="15">
        <v>58</v>
      </c>
      <c r="C1941" s="15">
        <v>585</v>
      </c>
      <c r="D1941" s="15">
        <v>5851</v>
      </c>
      <c r="E1941" s="15">
        <v>58513</v>
      </c>
      <c r="F1941" s="16" t="s">
        <v>2403</v>
      </c>
      <c r="G1941" s="21" t="s">
        <v>1217</v>
      </c>
      <c r="H1941" s="17" t="s">
        <v>38</v>
      </c>
      <c r="I1941" s="33">
        <v>0</v>
      </c>
      <c r="J1941" s="33">
        <f>30*1</f>
        <v>30</v>
      </c>
      <c r="K1941" s="33"/>
      <c r="L1941" s="33"/>
      <c r="M1941" s="33">
        <f t="shared" si="290"/>
        <v>30</v>
      </c>
      <c r="N1941" s="33">
        <f>IF(OR(H1941="",H1941="sif",H1941="PM"),0,VLOOKUP(H1941,[5]CU!$C$4:$H$255,6,FALSE))</f>
        <v>0.3133333333333333</v>
      </c>
      <c r="O1941" s="33">
        <f t="shared" si="291"/>
        <v>0</v>
      </c>
      <c r="P1941" s="33">
        <f t="shared" si="291"/>
        <v>9.3999999999999986</v>
      </c>
      <c r="Q1941" s="33">
        <f t="shared" si="291"/>
        <v>0</v>
      </c>
      <c r="R1941" s="33">
        <f t="shared" si="291"/>
        <v>0</v>
      </c>
      <c r="S1941" s="33">
        <f>SUM(O1941:R1941)</f>
        <v>9.3999999999999986</v>
      </c>
      <c r="T1941" s="35" t="s">
        <v>118</v>
      </c>
      <c r="U1941" s="18" t="s">
        <v>1873</v>
      </c>
      <c r="V1941" s="18" t="str">
        <f>IF(OR($H1941="",$H1941="sif",$H1941="PM"),"",VLOOKUP($H1941,[5]CU!$C$5:$J$255,8,FALSE))</f>
        <v>3. Formation</v>
      </c>
      <c r="W1941" s="18" t="s">
        <v>255</v>
      </c>
      <c r="X1941" s="18" t="s">
        <v>255</v>
      </c>
      <c r="Y1941" s="18" t="s">
        <v>677</v>
      </c>
      <c r="Z1941" s="18" t="str">
        <f>A1941 &amp; "-" &amp; VLOOKUP(A1941,[4]PROGRAMMES!$E$1:$F$7,2,FALSE)</f>
        <v>5-Gouvernance et pilotage du secteur</v>
      </c>
      <c r="AA1941" s="19" t="str">
        <f>B1941 &amp; "-" &amp; VLOOKUP(B1941,[4]SOUSPROGRAMMES!$E$1:$F$44,2,FALSE)</f>
        <v>58- Renforcement des compétences de l’administration (cadre normatif, poste-profil, évaluation, équipement, formations…)</v>
      </c>
      <c r="AB1941" s="19" t="str">
        <f>C1941 &amp; "-" &amp; VLOOKUP(C1941,[4]RESULTATS!$E$1:$F$176,2,FALSE)</f>
        <v xml:space="preserve">585-  L’ensemble des acteurs de l’administration éducative sont conscients des vulnérabilités qui menacent la mise œuvre du ProDEG et savent comment y répondre </v>
      </c>
      <c r="AC1941" s="20" t="str">
        <f>D1941 &amp; "-" &amp; VLOOKUP(D1941,[4]STRATEGIES!$E$1:$F$504,2,FALSE)</f>
        <v>5851-Elaboration d’une stratégie nationale de prévention et de gestion des risques et des catastrophes naturelles</v>
      </c>
      <c r="AD1941" s="21" t="str">
        <f t="shared" si="289"/>
        <v>58513-Validation et adoption de la stratégie</v>
      </c>
    </row>
    <row r="1942" spans="1:30" s="22" customFormat="1" ht="75" hidden="1" customHeight="1" x14ac:dyDescent="0.8">
      <c r="A1942" s="14">
        <v>5</v>
      </c>
      <c r="B1942" s="15">
        <v>58</v>
      </c>
      <c r="C1942" s="15">
        <v>585</v>
      </c>
      <c r="D1942" s="15">
        <v>5851</v>
      </c>
      <c r="E1942" s="15">
        <v>58514</v>
      </c>
      <c r="F1942" s="16" t="s">
        <v>2404</v>
      </c>
      <c r="G1942" s="21" t="s">
        <v>73</v>
      </c>
      <c r="H1942" s="17" t="s">
        <v>452</v>
      </c>
      <c r="I1942" s="33">
        <v>0</v>
      </c>
      <c r="J1942" s="33">
        <f>20000</f>
        <v>20000</v>
      </c>
      <c r="K1942" s="33"/>
      <c r="L1942" s="33"/>
      <c r="M1942" s="33">
        <f t="shared" si="290"/>
        <v>20000</v>
      </c>
      <c r="N1942" s="33">
        <f>IF(OR(H1942="",H1942="sif",H1942="PM"),0,VLOOKUP(H1942,[5]CU!$C$4:$H$255,6,FALSE))</f>
        <v>7.4999999999999997E-3</v>
      </c>
      <c r="O1942" s="33">
        <f t="shared" si="291"/>
        <v>0</v>
      </c>
      <c r="P1942" s="33">
        <f t="shared" si="291"/>
        <v>150</v>
      </c>
      <c r="Q1942" s="33">
        <f t="shared" si="291"/>
        <v>0</v>
      </c>
      <c r="R1942" s="33">
        <f t="shared" si="291"/>
        <v>0</v>
      </c>
      <c r="S1942" s="33">
        <f>SUM(O1942:R1942)</f>
        <v>150</v>
      </c>
      <c r="T1942" s="35" t="s">
        <v>118</v>
      </c>
      <c r="U1942" s="18" t="s">
        <v>1873</v>
      </c>
      <c r="V1942" s="18" t="str">
        <f>IF(OR($H1942="",$H1942="sif",$H1942="PM"),"",VLOOKUP($H1942,[5]CU!$C$5:$J$255,8,FALSE))</f>
        <v>3. Dépenses de fonctionnement</v>
      </c>
      <c r="W1942" s="18" t="s">
        <v>255</v>
      </c>
      <c r="X1942" s="18" t="s">
        <v>1963</v>
      </c>
      <c r="Y1942" s="18" t="s">
        <v>677</v>
      </c>
      <c r="Z1942" s="18" t="str">
        <f>A1942 &amp; "-" &amp; VLOOKUP(A1942,[4]PROGRAMMES!$E$1:$F$7,2,FALSE)</f>
        <v>5-Gouvernance et pilotage du secteur</v>
      </c>
      <c r="AA1942" s="19" t="str">
        <f>B1942 &amp; "-" &amp; VLOOKUP(B1942,[4]SOUSPROGRAMMES!$E$1:$F$44,2,FALSE)</f>
        <v>58- Renforcement des compétences de l’administration (cadre normatif, poste-profil, évaluation, équipement, formations…)</v>
      </c>
      <c r="AB1942" s="19" t="str">
        <f>C1942 &amp; "-" &amp; VLOOKUP(C1942,[4]RESULTATS!$E$1:$F$176,2,FALSE)</f>
        <v xml:space="preserve">585-  L’ensemble des acteurs de l’administration éducative sont conscients des vulnérabilités qui menacent la mise œuvre du ProDEG et savent comment y répondre </v>
      </c>
      <c r="AC1942" s="20" t="str">
        <f>D1942 &amp; "-" &amp; VLOOKUP(D1942,[4]STRATEGIES!$E$1:$F$504,2,FALSE)</f>
        <v>5851-Elaboration d’une stratégie nationale de prévention et de gestion des risques et des catastrophes naturelles</v>
      </c>
      <c r="AD1942" s="21" t="str">
        <f t="shared" si="289"/>
        <v>58514-Diffusion de la stratégie</v>
      </c>
    </row>
    <row r="1943" spans="1:30" s="22" customFormat="1" ht="75" hidden="1" customHeight="1" x14ac:dyDescent="0.8">
      <c r="A1943" s="14">
        <v>5</v>
      </c>
      <c r="B1943" s="15">
        <v>58</v>
      </c>
      <c r="C1943" s="15">
        <v>585</v>
      </c>
      <c r="D1943" s="15">
        <v>5852</v>
      </c>
      <c r="E1943" s="15">
        <v>5852</v>
      </c>
      <c r="F1943" s="16" t="s">
        <v>2405</v>
      </c>
      <c r="G1943" s="17"/>
      <c r="H1943" s="17"/>
      <c r="I1943" s="33">
        <v>0</v>
      </c>
      <c r="J1943" s="33"/>
      <c r="K1943" s="33"/>
      <c r="L1943" s="33"/>
      <c r="M1943" s="33"/>
      <c r="N1943" s="33"/>
      <c r="O1943" s="33"/>
      <c r="P1943" s="33"/>
      <c r="Q1943" s="33"/>
      <c r="R1943" s="33"/>
      <c r="S1943" s="33"/>
      <c r="T1943" s="33"/>
      <c r="U1943" s="18"/>
      <c r="V1943" s="18"/>
      <c r="W1943" s="18"/>
      <c r="X1943" s="18"/>
      <c r="Y1943" s="18"/>
      <c r="Z1943" s="18" t="str">
        <f>A1943 &amp; "-" &amp; VLOOKUP(A1943,[4]PROGRAMMES!$E$1:$F$7,2,FALSE)</f>
        <v>5-Gouvernance et pilotage du secteur</v>
      </c>
      <c r="AA1943" s="19" t="str">
        <f>B1943 &amp; "-" &amp; VLOOKUP(B1943,[4]SOUSPROGRAMMES!$E$1:$F$44,2,FALSE)</f>
        <v>58- Renforcement des compétences de l’administration (cadre normatif, poste-profil, évaluation, équipement, formations…)</v>
      </c>
      <c r="AB1943" s="19" t="str">
        <f>C1943 &amp; "-" &amp; VLOOKUP(C1943,[4]RESULTATS!$E$1:$F$176,2,FALSE)</f>
        <v xml:space="preserve">585-  L’ensemble des acteurs de l’administration éducative sont conscients des vulnérabilités qui menacent la mise œuvre du ProDEG et savent comment y répondre </v>
      </c>
      <c r="AC1943" s="20" t="str">
        <f>D1943 &amp; "-" &amp; VLOOKUP(D1943,[4]STRATEGIES!$E$1:$F$504,2,FALSE)</f>
        <v>5852-Sensibilisation des acteurs</v>
      </c>
      <c r="AD1943" s="21" t="str">
        <f t="shared" si="289"/>
        <v>5852-Sensibilisation des acteurs</v>
      </c>
    </row>
    <row r="1944" spans="1:30" s="22" customFormat="1" ht="75" hidden="1" customHeight="1" x14ac:dyDescent="0.8">
      <c r="A1944" s="14">
        <v>5</v>
      </c>
      <c r="B1944" s="15">
        <v>58</v>
      </c>
      <c r="C1944" s="15">
        <v>585</v>
      </c>
      <c r="D1944" s="15">
        <v>5852</v>
      </c>
      <c r="E1944" s="15">
        <v>58521</v>
      </c>
      <c r="F1944" s="16" t="s">
        <v>2406</v>
      </c>
      <c r="G1944" s="21" t="s">
        <v>454</v>
      </c>
      <c r="H1944" s="17" t="s">
        <v>76</v>
      </c>
      <c r="I1944" s="33">
        <v>0</v>
      </c>
      <c r="J1944" s="33"/>
      <c r="K1944" s="33">
        <v>1</v>
      </c>
      <c r="L1944" s="33">
        <v>1</v>
      </c>
      <c r="M1944" s="33">
        <f t="shared" si="290"/>
        <v>2</v>
      </c>
      <c r="N1944" s="33">
        <f>IF(OR(H1944="",H1944="sif",H1944="PM"),0,VLOOKUP(H1944,[5]CU!$C$4:$H$255,6,FALSE))</f>
        <v>45.936799999999998</v>
      </c>
      <c r="O1944" s="33">
        <f t="shared" si="291"/>
        <v>0</v>
      </c>
      <c r="P1944" s="33">
        <f t="shared" si="291"/>
        <v>0</v>
      </c>
      <c r="Q1944" s="33">
        <f t="shared" si="291"/>
        <v>45.936799999999998</v>
      </c>
      <c r="R1944" s="33">
        <f t="shared" si="291"/>
        <v>45.936799999999998</v>
      </c>
      <c r="S1944" s="33">
        <f>SUM(O1944:R1944)</f>
        <v>91.873599999999996</v>
      </c>
      <c r="T1944" s="35" t="s">
        <v>118</v>
      </c>
      <c r="U1944" s="18" t="s">
        <v>1873</v>
      </c>
      <c r="V1944" s="18" t="str">
        <f>IF(OR($H1944="",$H1944="sif",$H1944="PM"),"",VLOOKUP($H1944,[5]CU!$C$5:$J$255,8,FALSE))</f>
        <v>3. Dépenses de fonctionnement</v>
      </c>
      <c r="W1944" s="18"/>
      <c r="X1944" s="18"/>
      <c r="Y1944" s="19" t="s">
        <v>32</v>
      </c>
      <c r="Z1944" s="18" t="str">
        <f>A1944 &amp; "-" &amp; VLOOKUP(A1944,[4]PROGRAMMES!$E$1:$F$7,2,FALSE)</f>
        <v>5-Gouvernance et pilotage du secteur</v>
      </c>
      <c r="AA1944" s="19" t="str">
        <f>B1944 &amp; "-" &amp; VLOOKUP(B1944,[4]SOUSPROGRAMMES!$E$1:$F$44,2,FALSE)</f>
        <v>58- Renforcement des compétences de l’administration (cadre normatif, poste-profil, évaluation, équipement, formations…)</v>
      </c>
      <c r="AB1944" s="19" t="str">
        <f>C1944 &amp; "-" &amp; VLOOKUP(C1944,[4]RESULTATS!$E$1:$F$176,2,FALSE)</f>
        <v xml:space="preserve">585-  L’ensemble des acteurs de l’administration éducative sont conscients des vulnérabilités qui menacent la mise œuvre du ProDEG et savent comment y répondre </v>
      </c>
      <c r="AC1944" s="20" t="str">
        <f>D1944 &amp; "-" &amp; VLOOKUP(D1944,[4]STRATEGIES!$E$1:$F$504,2,FALSE)</f>
        <v>5852-Sensibilisation des acteurs</v>
      </c>
      <c r="AD1944" s="21" t="str">
        <f t="shared" si="289"/>
        <v>58521-Campagnes de vulgarisation de la stratégie</v>
      </c>
    </row>
    <row r="1945" spans="1:30" s="22" customFormat="1" ht="75" hidden="1" customHeight="1" x14ac:dyDescent="0.8">
      <c r="A1945" s="14">
        <v>5</v>
      </c>
      <c r="B1945" s="15">
        <v>58</v>
      </c>
      <c r="C1945" s="15">
        <v>585</v>
      </c>
      <c r="D1945" s="15">
        <v>5853</v>
      </c>
      <c r="E1945" s="15">
        <v>5853</v>
      </c>
      <c r="F1945" s="16" t="s">
        <v>2407</v>
      </c>
      <c r="G1945" s="17"/>
      <c r="H1945" s="17"/>
      <c r="I1945" s="33">
        <v>0</v>
      </c>
      <c r="J1945" s="33"/>
      <c r="K1945" s="33"/>
      <c r="L1945" s="33"/>
      <c r="M1945" s="33"/>
      <c r="N1945" s="33"/>
      <c r="O1945" s="33"/>
      <c r="P1945" s="33"/>
      <c r="Q1945" s="33"/>
      <c r="R1945" s="33"/>
      <c r="S1945" s="33"/>
      <c r="T1945" s="33"/>
      <c r="U1945" s="18"/>
      <c r="V1945" s="18"/>
      <c r="W1945" s="18"/>
      <c r="X1945" s="18"/>
      <c r="Y1945" s="18"/>
      <c r="Z1945" s="18" t="str">
        <f>A1945 &amp; "-" &amp; VLOOKUP(A1945,[4]PROGRAMMES!$E$1:$F$7,2,FALSE)</f>
        <v>5-Gouvernance et pilotage du secteur</v>
      </c>
      <c r="AA1945" s="19" t="str">
        <f>B1945 &amp; "-" &amp; VLOOKUP(B1945,[4]SOUSPROGRAMMES!$E$1:$F$44,2,FALSE)</f>
        <v>58- Renforcement des compétences de l’administration (cadre normatif, poste-profil, évaluation, équipement, formations…)</v>
      </c>
      <c r="AB1945" s="19" t="str">
        <f>C1945 &amp; "-" &amp; VLOOKUP(C1945,[4]RESULTATS!$E$1:$F$176,2,FALSE)</f>
        <v xml:space="preserve">585-  L’ensemble des acteurs de l’administration éducative sont conscients des vulnérabilités qui menacent la mise œuvre du ProDEG et savent comment y répondre </v>
      </c>
      <c r="AC1945" s="20" t="str">
        <f>D1945 &amp; "-" &amp; VLOOKUP(D1945,[4]STRATEGIES!$E$1:$F$504,2,FALSE)</f>
        <v>5853-Mise en place de mécanismes de la stratégie de prévention et de gestion des risques</v>
      </c>
      <c r="AD1945" s="21" t="str">
        <f t="shared" si="289"/>
        <v>5853-Mise en place de mécanismes de la stratégie de prévention et de gestion des risques</v>
      </c>
    </row>
    <row r="1946" spans="1:30" s="22" customFormat="1" ht="75" hidden="1" customHeight="1" x14ac:dyDescent="0.8">
      <c r="A1946" s="14">
        <v>5</v>
      </c>
      <c r="B1946" s="15">
        <v>58</v>
      </c>
      <c r="C1946" s="15">
        <v>585</v>
      </c>
      <c r="D1946" s="15">
        <v>5853</v>
      </c>
      <c r="E1946" s="15">
        <v>58531</v>
      </c>
      <c r="F1946" s="16" t="s">
        <v>2408</v>
      </c>
      <c r="G1946" s="21" t="s">
        <v>88</v>
      </c>
      <c r="H1946" s="17" t="s">
        <v>55</v>
      </c>
      <c r="I1946" s="33">
        <v>0</v>
      </c>
      <c r="J1946" s="33"/>
      <c r="K1946" s="33">
        <v>1</v>
      </c>
      <c r="L1946" s="33"/>
      <c r="M1946" s="33">
        <f t="shared" si="290"/>
        <v>1</v>
      </c>
      <c r="N1946" s="33">
        <f>IF(OR(H1946="",H1946="sif",H1946="PM"),0,VLOOKUP(H1946,[5]CU!$C$4:$H$255,6,FALSE))</f>
        <v>0</v>
      </c>
      <c r="O1946" s="33"/>
      <c r="P1946" s="33"/>
      <c r="Q1946" s="33"/>
      <c r="R1946" s="33"/>
      <c r="S1946" s="33"/>
      <c r="T1946" s="35" t="s">
        <v>56</v>
      </c>
      <c r="U1946" s="18" t="s">
        <v>1873</v>
      </c>
      <c r="V1946" s="18" t="str">
        <f>IF(OR($H1946="",$H1946="sif",$H1946="PM"),"",VLOOKUP($H1946,[5]CU!$C$5:$J$255,8,FALSE))</f>
        <v/>
      </c>
      <c r="W1946" s="18" t="s">
        <v>255</v>
      </c>
      <c r="X1946" s="18" t="s">
        <v>255</v>
      </c>
      <c r="Y1946" s="19" t="s">
        <v>32</v>
      </c>
      <c r="Z1946" s="18" t="str">
        <f>A1946 &amp; "-" &amp; VLOOKUP(A1946,[4]PROGRAMMES!$E$1:$F$7,2,FALSE)</f>
        <v>5-Gouvernance et pilotage du secteur</v>
      </c>
      <c r="AA1946" s="19" t="str">
        <f>B1946 &amp; "-" &amp; VLOOKUP(B1946,[4]SOUSPROGRAMMES!$E$1:$F$44,2,FALSE)</f>
        <v>58- Renforcement des compétences de l’administration (cadre normatif, poste-profil, évaluation, équipement, formations…)</v>
      </c>
      <c r="AB1946" s="19" t="str">
        <f>C1946 &amp; "-" &amp; VLOOKUP(C1946,[4]RESULTATS!$E$1:$F$176,2,FALSE)</f>
        <v xml:space="preserve">585-  L’ensemble des acteurs de l’administration éducative sont conscients des vulnérabilités qui menacent la mise œuvre du ProDEG et savent comment y répondre </v>
      </c>
      <c r="AC1946" s="20" t="str">
        <f>D1946 &amp; "-" &amp; VLOOKUP(D1946,[4]STRATEGIES!$E$1:$F$504,2,FALSE)</f>
        <v>5853-Mise en place de mécanismes de la stratégie de prévention et de gestion des risques</v>
      </c>
      <c r="AD1946" s="21" t="str">
        <f t="shared" si="289"/>
        <v>58531-Mise en place d’un mécanisme de suivi et de prévention des risques</v>
      </c>
    </row>
    <row r="1947" spans="1:30" s="22" customFormat="1" ht="75" hidden="1" customHeight="1" x14ac:dyDescent="0.8">
      <c r="A1947" s="14">
        <v>5</v>
      </c>
      <c r="B1947" s="15">
        <v>58</v>
      </c>
      <c r="C1947" s="15">
        <v>585</v>
      </c>
      <c r="D1947" s="15">
        <v>5853</v>
      </c>
      <c r="E1947" s="15">
        <v>58532</v>
      </c>
      <c r="F1947" s="16" t="s">
        <v>2409</v>
      </c>
      <c r="G1947" s="21" t="s">
        <v>88</v>
      </c>
      <c r="H1947" s="17" t="s">
        <v>55</v>
      </c>
      <c r="I1947" s="33">
        <v>0</v>
      </c>
      <c r="J1947" s="33"/>
      <c r="K1947" s="33">
        <v>1</v>
      </c>
      <c r="L1947" s="33">
        <v>1</v>
      </c>
      <c r="M1947" s="33">
        <f t="shared" si="290"/>
        <v>2</v>
      </c>
      <c r="N1947" s="33">
        <f>IF(OR(H1947="",H1947="sif",H1947="PM"),0,VLOOKUP(H1947,[5]CU!$C$4:$H$255,6,FALSE))</f>
        <v>0</v>
      </c>
      <c r="O1947" s="33"/>
      <c r="P1947" s="33"/>
      <c r="Q1947" s="33"/>
      <c r="R1947" s="33"/>
      <c r="S1947" s="33"/>
      <c r="T1947" s="35" t="s">
        <v>56</v>
      </c>
      <c r="U1947" s="18" t="s">
        <v>1873</v>
      </c>
      <c r="V1947" s="18" t="str">
        <f>IF(OR($H1947="",$H1947="sif",$H1947="PM"),"",VLOOKUP($H1947,[5]CU!$C$5:$J$255,8,FALSE))</f>
        <v/>
      </c>
      <c r="W1947" s="18" t="s">
        <v>255</v>
      </c>
      <c r="X1947" s="18" t="s">
        <v>255</v>
      </c>
      <c r="Y1947" s="19" t="s">
        <v>32</v>
      </c>
      <c r="Z1947" s="18" t="str">
        <f>A1947 &amp; "-" &amp; VLOOKUP(A1947,[4]PROGRAMMES!$E$1:$F$7,2,FALSE)</f>
        <v>5-Gouvernance et pilotage du secteur</v>
      </c>
      <c r="AA1947" s="19" t="str">
        <f>B1947 &amp; "-" &amp; VLOOKUP(B1947,[4]SOUSPROGRAMMES!$E$1:$F$44,2,FALSE)</f>
        <v>58- Renforcement des compétences de l’administration (cadre normatif, poste-profil, évaluation, équipement, formations…)</v>
      </c>
      <c r="AB1947" s="19" t="str">
        <f>C1947 &amp; "-" &amp; VLOOKUP(C1947,[4]RESULTATS!$E$1:$F$176,2,FALSE)</f>
        <v xml:space="preserve">585-  L’ensemble des acteurs de l’administration éducative sont conscients des vulnérabilités qui menacent la mise œuvre du ProDEG et savent comment y répondre </v>
      </c>
      <c r="AC1947" s="20" t="str">
        <f>D1947 &amp; "-" &amp; VLOOKUP(D1947,[4]STRATEGIES!$E$1:$F$504,2,FALSE)</f>
        <v>5853-Mise en place de mécanismes de la stratégie de prévention et de gestion des risques</v>
      </c>
      <c r="AD1947" s="21" t="str">
        <f t="shared" si="289"/>
        <v xml:space="preserve">58532-Suivi régulier des vulnérabilités et des réponses </v>
      </c>
    </row>
    <row r="1948" spans="1:30" s="22" customFormat="1" ht="30" hidden="1" customHeight="1" x14ac:dyDescent="0.8">
      <c r="A1948" s="14">
        <v>6</v>
      </c>
      <c r="B1948" s="15">
        <v>6</v>
      </c>
      <c r="C1948" s="15">
        <v>6</v>
      </c>
      <c r="D1948" s="15">
        <v>6</v>
      </c>
      <c r="E1948" s="15">
        <v>6</v>
      </c>
      <c r="F1948" s="16" t="s">
        <v>2410</v>
      </c>
      <c r="G1948" s="17"/>
      <c r="H1948" s="17"/>
      <c r="I1948" s="33">
        <v>0</v>
      </c>
      <c r="J1948" s="33"/>
      <c r="K1948" s="33"/>
      <c r="L1948" s="33"/>
      <c r="M1948" s="33"/>
      <c r="N1948" s="33"/>
      <c r="O1948" s="33"/>
      <c r="P1948" s="33"/>
      <c r="Q1948" s="33"/>
      <c r="R1948" s="33"/>
      <c r="S1948" s="33"/>
      <c r="T1948" s="33"/>
      <c r="U1948" s="18"/>
      <c r="V1948" s="18"/>
      <c r="W1948" s="18"/>
      <c r="X1948" s="18"/>
      <c r="Y1948" s="18"/>
      <c r="Z1948" s="18" t="str">
        <f>A1948 &amp; "-" &amp; VLOOKUP(A1948,[4]PROGRAMMES!$E$1:$F$7,2,FALSE)</f>
        <v>6-Education et alphabétisation des adultes</v>
      </c>
      <c r="AA1948" s="19" t="str">
        <f>B1948 &amp; "-" &amp; VLOOKUP(B1948,[4]SOUSPROGRAMMES!$E$1:$F$44,2,FALSE)</f>
        <v>6-Education et alphabétisation des adultes</v>
      </c>
      <c r="AB1948" s="19" t="str">
        <f>C1948 &amp; "-" &amp; VLOOKUP(C1948,[4]RESULTATS!$E$1:$F$176,2,FALSE)</f>
        <v>6-Education et alphabétisation des adultes</v>
      </c>
      <c r="AC1948" s="20" t="str">
        <f>D1948 &amp; "-" &amp; VLOOKUP(D1948,[4]STRATEGIES!$E$1:$F$504,2,FALSE)</f>
        <v>6-Education et alphabétisation des adultes</v>
      </c>
      <c r="AD1948" s="21" t="str">
        <f t="shared" si="289"/>
        <v>6-Education et alphabétisation des adultes</v>
      </c>
    </row>
    <row r="1949" spans="1:30" s="22" customFormat="1" ht="45" hidden="1" customHeight="1" x14ac:dyDescent="0.8">
      <c r="A1949" s="14">
        <v>6</v>
      </c>
      <c r="B1949" s="15">
        <v>61</v>
      </c>
      <c r="C1949" s="15">
        <v>61</v>
      </c>
      <c r="D1949" s="15">
        <v>61</v>
      </c>
      <c r="E1949" s="15">
        <v>61</v>
      </c>
      <c r="F1949" s="16" t="s">
        <v>2411</v>
      </c>
      <c r="G1949" s="17"/>
      <c r="H1949" s="17"/>
      <c r="I1949" s="33">
        <v>0</v>
      </c>
      <c r="J1949" s="33"/>
      <c r="K1949" s="33"/>
      <c r="L1949" s="33"/>
      <c r="M1949" s="33"/>
      <c r="N1949" s="33"/>
      <c r="O1949" s="33"/>
      <c r="P1949" s="33"/>
      <c r="Q1949" s="33"/>
      <c r="R1949" s="33"/>
      <c r="S1949" s="33"/>
      <c r="T1949" s="33"/>
      <c r="U1949" s="18"/>
      <c r="V1949" s="18"/>
      <c r="W1949" s="18"/>
      <c r="X1949" s="18"/>
      <c r="Y1949" s="18"/>
      <c r="Z1949" s="18" t="str">
        <f>A1949 &amp; "-" &amp; VLOOKUP(A1949,[4]PROGRAMMES!$E$1:$F$7,2,FALSE)</f>
        <v>6-Education et alphabétisation des adultes</v>
      </c>
      <c r="AA1949" s="19" t="str">
        <f>B1949 &amp; "-" &amp; VLOOKUP(B1949,[4]SOUSPROGRAMMES!$E$1:$F$44,2,FALSE)</f>
        <v>61-Mobilisation sociale pour l’accroissement des financements de l’AEA</v>
      </c>
      <c r="AB1949" s="19" t="str">
        <f>C1949 &amp; "-" &amp; VLOOKUP(C1949,[4]RESULTATS!$E$1:$F$176,2,FALSE)</f>
        <v>61-Mobilisation sociale pour l’accroissement des financements de l’AEA</v>
      </c>
      <c r="AC1949" s="20" t="str">
        <f>D1949 &amp; "-" &amp; VLOOKUP(D1949,[4]STRATEGIES!$E$1:$F$504,2,FALSE)</f>
        <v>61-Mobilisation sociale pour l’accroissement des financements de l’AEA</v>
      </c>
      <c r="AD1949" s="21" t="str">
        <f t="shared" si="289"/>
        <v>61-Mobilisation sociale pour l’accroissement des Financements de l’AEA</v>
      </c>
    </row>
    <row r="1950" spans="1:30" s="22" customFormat="1" ht="45" hidden="1" customHeight="1" x14ac:dyDescent="0.8">
      <c r="A1950" s="14">
        <v>6</v>
      </c>
      <c r="B1950" s="15">
        <v>61</v>
      </c>
      <c r="C1950" s="15">
        <v>611</v>
      </c>
      <c r="D1950" s="15">
        <v>611</v>
      </c>
      <c r="E1950" s="15">
        <v>611</v>
      </c>
      <c r="F1950" s="16" t="s">
        <v>2412</v>
      </c>
      <c r="G1950" s="17"/>
      <c r="H1950" s="17"/>
      <c r="I1950" s="33">
        <v>0</v>
      </c>
      <c r="J1950" s="33"/>
      <c r="K1950" s="33"/>
      <c r="L1950" s="33"/>
      <c r="M1950" s="33"/>
      <c r="N1950" s="33"/>
      <c r="O1950" s="33"/>
      <c r="P1950" s="33"/>
      <c r="Q1950" s="33"/>
      <c r="R1950" s="33"/>
      <c r="S1950" s="33"/>
      <c r="T1950" s="33" t="s">
        <v>56</v>
      </c>
      <c r="U1950" s="18"/>
      <c r="V1950" s="18"/>
      <c r="W1950" s="18"/>
      <c r="X1950" s="18"/>
      <c r="Y1950" s="18"/>
      <c r="Z1950" s="18" t="str">
        <f>A1950 &amp; "-" &amp; VLOOKUP(A1950,[4]PROGRAMMES!$E$1:$F$7,2,FALSE)</f>
        <v>6-Education et alphabétisation des adultes</v>
      </c>
      <c r="AA1950" s="19" t="str">
        <f>B1950 &amp; "-" &amp; VLOOKUP(B1950,[4]SOUSPROGRAMMES!$E$1:$F$44,2,FALSE)</f>
        <v>61-Mobilisation sociale pour l’accroissement des financements de l’AEA</v>
      </c>
      <c r="AB1950" s="19" t="str">
        <f>C1950 &amp; "-" &amp; VLOOKUP(C1950,[4]RESULTATS!$E$1:$F$176,2,FALSE)</f>
        <v>611- les acteurs et les PTF concernés sont mobilisés en faveur de l’AEA.</v>
      </c>
      <c r="AC1950" s="20" t="str">
        <f>D1950 &amp; "-" &amp; VLOOKUP(D1950,[4]STRATEGIES!$E$1:$F$504,2,FALSE)</f>
        <v>611- les acteurs et les PTF concernés sont mobilisés en faveur de l’AEA.</v>
      </c>
      <c r="AD1950" s="21" t="str">
        <f t="shared" si="289"/>
        <v>611- les acteurs et les PTF concernés sont mobilisés en faveur de l’AEA.</v>
      </c>
    </row>
    <row r="1951" spans="1:30" s="22" customFormat="1" ht="45" hidden="1" customHeight="1" x14ac:dyDescent="0.8">
      <c r="A1951" s="14">
        <v>6</v>
      </c>
      <c r="B1951" s="15">
        <v>61</v>
      </c>
      <c r="C1951" s="15">
        <v>611</v>
      </c>
      <c r="D1951" s="15">
        <v>6111</v>
      </c>
      <c r="E1951" s="15">
        <v>6111</v>
      </c>
      <c r="F1951" s="16" t="s">
        <v>2413</v>
      </c>
      <c r="G1951" s="17"/>
      <c r="H1951" s="17"/>
      <c r="I1951" s="33">
        <v>0</v>
      </c>
      <c r="J1951" s="33"/>
      <c r="K1951" s="33"/>
      <c r="L1951" s="33"/>
      <c r="M1951" s="33"/>
      <c r="N1951" s="33"/>
      <c r="O1951" s="33"/>
      <c r="P1951" s="33"/>
      <c r="Q1951" s="33"/>
      <c r="R1951" s="33"/>
      <c r="S1951" s="33"/>
      <c r="T1951" s="33"/>
      <c r="U1951" s="18"/>
      <c r="V1951" s="18"/>
      <c r="W1951" s="18"/>
      <c r="X1951" s="18"/>
      <c r="Y1951" s="18"/>
      <c r="Z1951" s="18" t="str">
        <f>A1951 &amp; "-" &amp; VLOOKUP(A1951,[4]PROGRAMMES!$E$1:$F$7,2,FALSE)</f>
        <v>6-Education et alphabétisation des adultes</v>
      </c>
      <c r="AA1951" s="19" t="str">
        <f>B1951 &amp; "-" &amp; VLOOKUP(B1951,[4]SOUSPROGRAMMES!$E$1:$F$44,2,FALSE)</f>
        <v>61-Mobilisation sociale pour l’accroissement des financements de l’AEA</v>
      </c>
      <c r="AB1951" s="19" t="str">
        <f>C1951 &amp; "-" &amp; VLOOKUP(C1951,[4]RESULTATS!$E$1:$F$176,2,FALSE)</f>
        <v>611- les acteurs et les PTF concernés sont mobilisés en faveur de l’AEA.</v>
      </c>
      <c r="AC1951" s="20" t="str">
        <f>D1951 &amp; "-" &amp; VLOOKUP(D1951,[4]STRATEGIES!$E$1:$F$504,2,FALSE)</f>
        <v>6111-Sensibilisation et plaidoyer en faveur de l'AEA</v>
      </c>
      <c r="AD1951" s="21" t="str">
        <f t="shared" si="289"/>
        <v>6111-Sensibilisation et plaidoyer en faveur de l'AEA</v>
      </c>
    </row>
    <row r="1952" spans="1:30" s="22" customFormat="1" ht="45" hidden="1" customHeight="1" x14ac:dyDescent="0.8">
      <c r="A1952" s="14">
        <v>6</v>
      </c>
      <c r="B1952" s="15">
        <v>61</v>
      </c>
      <c r="C1952" s="15">
        <v>611</v>
      </c>
      <c r="D1952" s="15">
        <v>6111</v>
      </c>
      <c r="E1952" s="15">
        <v>61111</v>
      </c>
      <c r="F1952" s="16" t="s">
        <v>2414</v>
      </c>
      <c r="G1952" s="21" t="s">
        <v>88</v>
      </c>
      <c r="H1952" s="17" t="s">
        <v>55</v>
      </c>
      <c r="I1952" s="33">
        <v>0</v>
      </c>
      <c r="J1952" s="33"/>
      <c r="K1952" s="33"/>
      <c r="L1952" s="33"/>
      <c r="M1952" s="33">
        <f t="shared" si="290"/>
        <v>0</v>
      </c>
      <c r="N1952" s="33">
        <f>IF(OR(H1952="",H1952="sif",H1952="PM"),0,VLOOKUP(H1952,[5]CU!$C$4:$H$255,6,FALSE))</f>
        <v>0</v>
      </c>
      <c r="O1952" s="33"/>
      <c r="P1952" s="33"/>
      <c r="Q1952" s="33"/>
      <c r="R1952" s="33"/>
      <c r="S1952" s="33"/>
      <c r="T1952" s="35" t="s">
        <v>56</v>
      </c>
      <c r="U1952" s="18" t="s">
        <v>330</v>
      </c>
      <c r="V1952" s="18" t="str">
        <f>IF(OR($H1952="",$H1952="sif",$H1952="PM"),"",VLOOKUP($H1952,[5]CU!$C$5:$J$255,8,FALSE))</f>
        <v/>
      </c>
      <c r="W1952" s="18" t="s">
        <v>331</v>
      </c>
      <c r="X1952" s="18" t="s">
        <v>331</v>
      </c>
      <c r="Y1952" s="19" t="s">
        <v>32</v>
      </c>
      <c r="Z1952" s="18" t="str">
        <f>A1952 &amp; "-" &amp; VLOOKUP(A1952,[4]PROGRAMMES!$E$1:$F$7,2,FALSE)</f>
        <v>6-Education et alphabétisation des adultes</v>
      </c>
      <c r="AA1952" s="19" t="str">
        <f>B1952 &amp; "-" &amp; VLOOKUP(B1952,[4]SOUSPROGRAMMES!$E$1:$F$44,2,FALSE)</f>
        <v>61-Mobilisation sociale pour l’accroissement des financements de l’AEA</v>
      </c>
      <c r="AB1952" s="19" t="str">
        <f>C1952 &amp; "-" &amp; VLOOKUP(C1952,[4]RESULTATS!$E$1:$F$176,2,FALSE)</f>
        <v>611- les acteurs et les PTF concernés sont mobilisés en faveur de l’AEA.</v>
      </c>
      <c r="AC1952" s="20" t="str">
        <f>D1952 &amp; "-" &amp; VLOOKUP(D1952,[4]STRATEGIES!$E$1:$F$504,2,FALSE)</f>
        <v>6111-Sensibilisation et plaidoyer en faveur de l'AEA</v>
      </c>
      <c r="AD1952" s="21" t="str">
        <f t="shared" si="289"/>
        <v>61111-identification des groupes cibles et des principaux messages</v>
      </c>
    </row>
    <row r="1953" spans="1:30" s="22" customFormat="1" ht="45" hidden="1" customHeight="1" x14ac:dyDescent="0.8">
      <c r="A1953" s="14">
        <v>6</v>
      </c>
      <c r="B1953" s="15">
        <v>61</v>
      </c>
      <c r="C1953" s="15">
        <v>611</v>
      </c>
      <c r="D1953" s="15">
        <v>6111</v>
      </c>
      <c r="E1953" s="15">
        <v>61112</v>
      </c>
      <c r="F1953" s="16" t="s">
        <v>2415</v>
      </c>
      <c r="G1953" s="21" t="s">
        <v>321</v>
      </c>
      <c r="H1953" s="17" t="s">
        <v>55</v>
      </c>
      <c r="I1953" s="33">
        <v>0</v>
      </c>
      <c r="J1953" s="33"/>
      <c r="K1953" s="33"/>
      <c r="L1953" s="33"/>
      <c r="M1953" s="33">
        <f t="shared" si="290"/>
        <v>0</v>
      </c>
      <c r="N1953" s="33">
        <f>IF(OR(H1953="",H1953="sif",H1953="PM"),0,VLOOKUP(H1953,[5]CU!$C$4:$H$255,6,FALSE))</f>
        <v>0</v>
      </c>
      <c r="O1953" s="33"/>
      <c r="P1953" s="33"/>
      <c r="Q1953" s="33"/>
      <c r="R1953" s="33"/>
      <c r="S1953" s="33"/>
      <c r="T1953" s="35" t="s">
        <v>56</v>
      </c>
      <c r="U1953" s="18" t="s">
        <v>330</v>
      </c>
      <c r="V1953" s="18" t="str">
        <f>IF(OR($H1953="",$H1953="sif",$H1953="PM"),"",VLOOKUP($H1953,[5]CU!$C$5:$J$255,8,FALSE))</f>
        <v/>
      </c>
      <c r="W1953" s="18" t="s">
        <v>331</v>
      </c>
      <c r="X1953" s="18" t="s">
        <v>255</v>
      </c>
      <c r="Y1953" s="19" t="s">
        <v>32</v>
      </c>
      <c r="Z1953" s="18" t="str">
        <f>A1953 &amp; "-" &amp; VLOOKUP(A1953,[4]PROGRAMMES!$E$1:$F$7,2,FALSE)</f>
        <v>6-Education et alphabétisation des adultes</v>
      </c>
      <c r="AA1953" s="19" t="str">
        <f>B1953 &amp; "-" &amp; VLOOKUP(B1953,[4]SOUSPROGRAMMES!$E$1:$F$44,2,FALSE)</f>
        <v>61-Mobilisation sociale pour l’accroissement des financements de l’AEA</v>
      </c>
      <c r="AB1953" s="19" t="str">
        <f>C1953 &amp; "-" &amp; VLOOKUP(C1953,[4]RESULTATS!$E$1:$F$176,2,FALSE)</f>
        <v>611- les acteurs et les PTF concernés sont mobilisés en faveur de l’AEA.</v>
      </c>
      <c r="AC1953" s="20" t="str">
        <f>D1953 &amp; "-" &amp; VLOOKUP(D1953,[4]STRATEGIES!$E$1:$F$504,2,FALSE)</f>
        <v>6111-Sensibilisation et plaidoyer en faveur de l'AEA</v>
      </c>
      <c r="AD1953" s="21" t="str">
        <f t="shared" si="289"/>
        <v>61112-Mise en place d'équipes de suivi au niveau central et dans les régions</v>
      </c>
    </row>
    <row r="1954" spans="1:30" s="22" customFormat="1" ht="45" hidden="1" customHeight="1" x14ac:dyDescent="0.8">
      <c r="A1954" s="14">
        <v>6</v>
      </c>
      <c r="B1954" s="15">
        <v>61</v>
      </c>
      <c r="C1954" s="15">
        <v>611</v>
      </c>
      <c r="D1954" s="15">
        <v>6111</v>
      </c>
      <c r="E1954" s="15">
        <v>61113</v>
      </c>
      <c r="F1954" s="16" t="s">
        <v>2416</v>
      </c>
      <c r="G1954" s="21" t="s">
        <v>37</v>
      </c>
      <c r="H1954" s="17" t="s">
        <v>38</v>
      </c>
      <c r="I1954" s="33">
        <v>0</v>
      </c>
      <c r="J1954" s="33">
        <f>30*3*1</f>
        <v>90</v>
      </c>
      <c r="K1954" s="33">
        <f>30*3*1</f>
        <v>90</v>
      </c>
      <c r="L1954" s="33">
        <f>30*3*1</f>
        <v>90</v>
      </c>
      <c r="M1954" s="33">
        <f t="shared" si="290"/>
        <v>270</v>
      </c>
      <c r="N1954" s="33">
        <f>IF(OR(H1954="",H1954="sif",H1954="PM"),0,VLOOKUP(H1954,[5]CU!$C$4:$H$255,6,FALSE))</f>
        <v>0.3133333333333333</v>
      </c>
      <c r="O1954" s="33">
        <f t="shared" ref="O1954:R1959" si="292">$N1954*I1954</f>
        <v>0</v>
      </c>
      <c r="P1954" s="33">
        <f t="shared" si="292"/>
        <v>28.199999999999996</v>
      </c>
      <c r="Q1954" s="33">
        <f t="shared" si="292"/>
        <v>28.199999999999996</v>
      </c>
      <c r="R1954" s="33">
        <f t="shared" si="292"/>
        <v>28.199999999999996</v>
      </c>
      <c r="S1954" s="33">
        <f>SUM(O1954:R1954)</f>
        <v>84.6</v>
      </c>
      <c r="T1954" s="35" t="s">
        <v>56</v>
      </c>
      <c r="U1954" s="18" t="s">
        <v>330</v>
      </c>
      <c r="V1954" s="18" t="str">
        <f>IF(OR($H1954="",$H1954="sif",$H1954="PM"),"",VLOOKUP($H1954,[5]CU!$C$5:$J$255,8,FALSE))</f>
        <v>3. Formation</v>
      </c>
      <c r="W1954" s="18" t="s">
        <v>331</v>
      </c>
      <c r="X1954" s="18" t="s">
        <v>2417</v>
      </c>
      <c r="Y1954" s="19" t="s">
        <v>32</v>
      </c>
      <c r="Z1954" s="18" t="str">
        <f>A1954 &amp; "-" &amp; VLOOKUP(A1954,[4]PROGRAMMES!$E$1:$F$7,2,FALSE)</f>
        <v>6-Education et alphabétisation des adultes</v>
      </c>
      <c r="AA1954" s="19" t="str">
        <f>B1954 &amp; "-" &amp; VLOOKUP(B1954,[4]SOUSPROGRAMMES!$E$1:$F$44,2,FALSE)</f>
        <v>61-Mobilisation sociale pour l’accroissement des financements de l’AEA</v>
      </c>
      <c r="AB1954" s="19" t="str">
        <f>C1954 &amp; "-" &amp; VLOOKUP(C1954,[4]RESULTATS!$E$1:$F$176,2,FALSE)</f>
        <v>611- les acteurs et les PTF concernés sont mobilisés en faveur de l’AEA.</v>
      </c>
      <c r="AC1954" s="20" t="str">
        <f>D1954 &amp; "-" &amp; VLOOKUP(D1954,[4]STRATEGIES!$E$1:$F$504,2,FALSE)</f>
        <v>6111-Sensibilisation et plaidoyer en faveur de l'AEA</v>
      </c>
      <c r="AD1954" s="21" t="str">
        <f t="shared" si="289"/>
        <v xml:space="preserve">61113-Organisation de rencontres de sensibilisation en collaboration avec les structures déconcentrées </v>
      </c>
    </row>
    <row r="1955" spans="1:30" s="22" customFormat="1" ht="45" hidden="1" customHeight="1" x14ac:dyDescent="0.8">
      <c r="A1955" s="14">
        <v>6</v>
      </c>
      <c r="B1955" s="15">
        <v>61</v>
      </c>
      <c r="C1955" s="15">
        <v>611</v>
      </c>
      <c r="D1955" s="15">
        <v>6111</v>
      </c>
      <c r="E1955" s="15">
        <v>61114</v>
      </c>
      <c r="F1955" s="16" t="s">
        <v>2418</v>
      </c>
      <c r="G1955" s="21" t="s">
        <v>37</v>
      </c>
      <c r="H1955" s="17" t="s">
        <v>38</v>
      </c>
      <c r="I1955" s="33">
        <v>0</v>
      </c>
      <c r="J1955" s="33">
        <f>(30*3*8)*80.01%</f>
        <v>576.072</v>
      </c>
      <c r="K1955" s="33"/>
      <c r="L1955" s="33">
        <f>(30*3*8)*80.01%</f>
        <v>576.072</v>
      </c>
      <c r="M1955" s="33">
        <f>SUM(I1955:L1955)</f>
        <v>1152.144</v>
      </c>
      <c r="N1955" s="33">
        <f>IF(OR(H1955="",H1955="sif",H1955="PM"),0,VLOOKUP(H1955,[5]CU!$C$4:$H$255,6,FALSE))</f>
        <v>0.3133333333333333</v>
      </c>
      <c r="O1955" s="33">
        <f>$N1955*I1955</f>
        <v>0</v>
      </c>
      <c r="P1955" s="33">
        <f>$N1955*J1955</f>
        <v>180.50255999999999</v>
      </c>
      <c r="Q1955" s="33">
        <f>$N1955*K1955</f>
        <v>0</v>
      </c>
      <c r="R1955" s="33">
        <f>$N1955*L1955</f>
        <v>180.50255999999999</v>
      </c>
      <c r="S1955" s="33">
        <f>SUM(O1955:R1955)</f>
        <v>361.00511999999998</v>
      </c>
      <c r="T1955" s="35" t="s">
        <v>56</v>
      </c>
      <c r="U1955" s="18" t="s">
        <v>330</v>
      </c>
      <c r="V1955" s="18" t="str">
        <f>IF(OR($H1955="",$H1955="sif",$H1955="PM"),"",VLOOKUP($H1955,[5]CU!$C$5:$J$255,8,FALSE))</f>
        <v>3. Formation</v>
      </c>
      <c r="W1955" s="18" t="s">
        <v>331</v>
      </c>
      <c r="X1955" s="18" t="s">
        <v>2419</v>
      </c>
      <c r="Y1955" s="19" t="s">
        <v>32</v>
      </c>
      <c r="Z1955" s="18" t="str">
        <f>A1955 &amp; "-" &amp; VLOOKUP(A1955,[4]PROGRAMMES!$E$1:$F$7,2,FALSE)</f>
        <v>6-Education et alphabétisation des adultes</v>
      </c>
      <c r="AA1955" s="19" t="str">
        <f>B1955 &amp; "-" &amp; VLOOKUP(B1955,[4]SOUSPROGRAMMES!$E$1:$F$44,2,FALSE)</f>
        <v>61-Mobilisation sociale pour l’accroissement des financements de l’AEA</v>
      </c>
      <c r="AB1955" s="19" t="str">
        <f>C1955 &amp; "-" &amp; VLOOKUP(C1955,[4]RESULTATS!$E$1:$F$176,2,FALSE)</f>
        <v>611- les acteurs et les PTF concernés sont mobilisés en faveur de l’AEA.</v>
      </c>
      <c r="AC1955" s="20" t="str">
        <f>D1955 &amp; "-" &amp; VLOOKUP(D1955,[4]STRATEGIES!$E$1:$F$504,2,FALSE)</f>
        <v>6111-Sensibilisation et plaidoyer en faveur de l'AEA</v>
      </c>
      <c r="AD1955" s="21" t="str">
        <f t="shared" si="289"/>
        <v>61114-Organisation d'ateliers régionaux de sensibilisation (pour la prise en compte de l’AEA dans les PDL)</v>
      </c>
    </row>
    <row r="1956" spans="1:30" s="22" customFormat="1" ht="45" hidden="1" customHeight="1" x14ac:dyDescent="0.8">
      <c r="A1956" s="14">
        <v>6</v>
      </c>
      <c r="B1956" s="15">
        <v>61</v>
      </c>
      <c r="C1956" s="15">
        <v>611</v>
      </c>
      <c r="D1956" s="15">
        <v>6111</v>
      </c>
      <c r="E1956" s="15">
        <v>61114</v>
      </c>
      <c r="F1956" s="16" t="s">
        <v>2418</v>
      </c>
      <c r="G1956" s="21" t="s">
        <v>37</v>
      </c>
      <c r="H1956" s="17" t="s">
        <v>38</v>
      </c>
      <c r="I1956" s="33">
        <v>0</v>
      </c>
      <c r="J1956" s="33">
        <f>(30*3*8)*19.99%</f>
        <v>143.928</v>
      </c>
      <c r="K1956" s="33"/>
      <c r="L1956" s="33">
        <f>(30*3*8)*19.99%</f>
        <v>143.928</v>
      </c>
      <c r="M1956" s="33">
        <f t="shared" si="290"/>
        <v>287.85599999999999</v>
      </c>
      <c r="N1956" s="33">
        <f>IF(OR(H1956="",H1956="sif",H1956="PM"),0,VLOOKUP(H1956,[5]CU!$C$4:$H$255,6,FALSE))</f>
        <v>0.3133333333333333</v>
      </c>
      <c r="O1956" s="33">
        <f t="shared" si="292"/>
        <v>0</v>
      </c>
      <c r="P1956" s="33">
        <f t="shared" si="292"/>
        <v>45.097439999999992</v>
      </c>
      <c r="Q1956" s="33">
        <f t="shared" si="292"/>
        <v>0</v>
      </c>
      <c r="R1956" s="33">
        <f t="shared" si="292"/>
        <v>45.097439999999992</v>
      </c>
      <c r="S1956" s="33">
        <f>SUM(O1956:R1956)</f>
        <v>90.194879999999984</v>
      </c>
      <c r="T1956" s="35" t="s">
        <v>118</v>
      </c>
      <c r="U1956" s="18" t="s">
        <v>330</v>
      </c>
      <c r="V1956" s="18" t="str">
        <f>IF(OR($H1956="",$H1956="sif",$H1956="PM"),"",VLOOKUP($H1956,[5]CU!$C$5:$J$255,8,FALSE))</f>
        <v>3. Formation</v>
      </c>
      <c r="W1956" s="18" t="s">
        <v>331</v>
      </c>
      <c r="X1956" s="18" t="s">
        <v>2419</v>
      </c>
      <c r="Y1956" s="19" t="s">
        <v>32</v>
      </c>
      <c r="Z1956" s="18" t="str">
        <f>A1956 &amp; "-" &amp; VLOOKUP(A1956,[4]PROGRAMMES!$E$1:$F$7,2,FALSE)</f>
        <v>6-Education et alphabétisation des adultes</v>
      </c>
      <c r="AA1956" s="19" t="str">
        <f>B1956 &amp; "-" &amp; VLOOKUP(B1956,[4]SOUSPROGRAMMES!$E$1:$F$44,2,FALSE)</f>
        <v>61-Mobilisation sociale pour l’accroissement des financements de l’AEA</v>
      </c>
      <c r="AB1956" s="19" t="str">
        <f>C1956 &amp; "-" &amp; VLOOKUP(C1956,[4]RESULTATS!$E$1:$F$176,2,FALSE)</f>
        <v>611- les acteurs et les PTF concernés sont mobilisés en faveur de l’AEA.</v>
      </c>
      <c r="AC1956" s="20" t="str">
        <f>D1956 &amp; "-" &amp; VLOOKUP(D1956,[4]STRATEGIES!$E$1:$F$504,2,FALSE)</f>
        <v>6111-Sensibilisation et plaidoyer en faveur de l'AEA</v>
      </c>
      <c r="AD1956" s="21" t="str">
        <f t="shared" si="289"/>
        <v>61114-Organisation d'ateliers régionaux de sensibilisation (pour la prise en compte de l’AEA dans les PDL)</v>
      </c>
    </row>
    <row r="1957" spans="1:30" s="22" customFormat="1" ht="45" hidden="1" customHeight="1" x14ac:dyDescent="0.8">
      <c r="A1957" s="14">
        <v>6</v>
      </c>
      <c r="B1957" s="15">
        <v>61</v>
      </c>
      <c r="C1957" s="15">
        <v>611</v>
      </c>
      <c r="D1957" s="15">
        <v>6111</v>
      </c>
      <c r="E1957" s="15">
        <v>61115</v>
      </c>
      <c r="F1957" s="16" t="s">
        <v>2420</v>
      </c>
      <c r="G1957" s="21" t="s">
        <v>2421</v>
      </c>
      <c r="H1957" s="17" t="s">
        <v>73</v>
      </c>
      <c r="I1957" s="33">
        <v>0</v>
      </c>
      <c r="J1957" s="33">
        <f>2*2*4*2</f>
        <v>32</v>
      </c>
      <c r="K1957" s="33">
        <f>2*2*4*2</f>
        <v>32</v>
      </c>
      <c r="L1957" s="33">
        <f>2*2*4*2</f>
        <v>32</v>
      </c>
      <c r="M1957" s="33">
        <f t="shared" si="290"/>
        <v>96</v>
      </c>
      <c r="N1957" s="33">
        <f>IF(OR(H1957="",H1957="sif",H1957="PM"),0,VLOOKUP(H1957,[5]CU!$C$4:$H$255,6,FALSE))</f>
        <v>0.4</v>
      </c>
      <c r="O1957" s="33">
        <f t="shared" si="292"/>
        <v>0</v>
      </c>
      <c r="P1957" s="33">
        <f t="shared" si="292"/>
        <v>12.8</v>
      </c>
      <c r="Q1957" s="33">
        <f t="shared" si="292"/>
        <v>12.8</v>
      </c>
      <c r="R1957" s="33">
        <f t="shared" si="292"/>
        <v>12.8</v>
      </c>
      <c r="S1957" s="33">
        <f>SUM(O1957:R1957)</f>
        <v>38.400000000000006</v>
      </c>
      <c r="T1957" s="35" t="s">
        <v>56</v>
      </c>
      <c r="U1957" s="18" t="s">
        <v>330</v>
      </c>
      <c r="V1957" s="18" t="str">
        <f>IF(OR($H1957="",$H1957="sif",$H1957="PM"),"",VLOOKUP($H1957,[5]CU!$C$5:$J$255,8,FALSE))</f>
        <v>3. Dépenses de fonctionnement</v>
      </c>
      <c r="W1957" s="18" t="s">
        <v>331</v>
      </c>
      <c r="X1957" s="18" t="s">
        <v>2422</v>
      </c>
      <c r="Y1957" s="19" t="s">
        <v>32</v>
      </c>
      <c r="Z1957" s="18" t="str">
        <f>A1957 &amp; "-" &amp; VLOOKUP(A1957,[4]PROGRAMMES!$E$1:$F$7,2,FALSE)</f>
        <v>6-Education et alphabétisation des adultes</v>
      </c>
      <c r="AA1957" s="19" t="str">
        <f>B1957 &amp; "-" &amp; VLOOKUP(B1957,[4]SOUSPROGRAMMES!$E$1:$F$44,2,FALSE)</f>
        <v>61-Mobilisation sociale pour l’accroissement des financements de l’AEA</v>
      </c>
      <c r="AB1957" s="19" t="str">
        <f>C1957 &amp; "-" &amp; VLOOKUP(C1957,[4]RESULTATS!$E$1:$F$176,2,FALSE)</f>
        <v>611- les acteurs et les PTF concernés sont mobilisés en faveur de l’AEA.</v>
      </c>
      <c r="AC1957" s="20" t="str">
        <f>D1957 &amp; "-" &amp; VLOOKUP(D1957,[4]STRATEGIES!$E$1:$F$504,2,FALSE)</f>
        <v>6111-Sensibilisation et plaidoyer en faveur de l'AEA</v>
      </c>
      <c r="AD1957" s="21" t="str">
        <f t="shared" si="289"/>
        <v>61115-Organisation d'émissions radio-télévisées en collaboration avec les structures déconcentrées de la DNAEN</v>
      </c>
    </row>
    <row r="1958" spans="1:30" s="22" customFormat="1" ht="45" hidden="1" customHeight="1" x14ac:dyDescent="0.8">
      <c r="A1958" s="14">
        <v>6</v>
      </c>
      <c r="B1958" s="15">
        <v>61</v>
      </c>
      <c r="C1958" s="15">
        <v>611</v>
      </c>
      <c r="D1958" s="15">
        <v>6112</v>
      </c>
      <c r="E1958" s="15">
        <v>6112</v>
      </c>
      <c r="F1958" s="16" t="s">
        <v>2423</v>
      </c>
      <c r="G1958" s="17"/>
      <c r="H1958" s="17"/>
      <c r="I1958" s="33">
        <v>0</v>
      </c>
      <c r="J1958" s="33"/>
      <c r="K1958" s="33"/>
      <c r="L1958" s="33"/>
      <c r="M1958" s="33"/>
      <c r="N1958" s="33"/>
      <c r="O1958" s="33"/>
      <c r="P1958" s="33"/>
      <c r="Q1958" s="33"/>
      <c r="R1958" s="33"/>
      <c r="S1958" s="33"/>
      <c r="T1958" s="33"/>
      <c r="U1958" s="18"/>
      <c r="V1958" s="18"/>
      <c r="W1958" s="18"/>
      <c r="X1958" s="18"/>
      <c r="Y1958" s="18"/>
      <c r="Z1958" s="18" t="str">
        <f>A1958 &amp; "-" &amp; VLOOKUP(A1958,[4]PROGRAMMES!$E$1:$F$7,2,FALSE)</f>
        <v>6-Education et alphabétisation des adultes</v>
      </c>
      <c r="AA1958" s="19" t="str">
        <f>B1958 &amp; "-" &amp; VLOOKUP(B1958,[4]SOUSPROGRAMMES!$E$1:$F$44,2,FALSE)</f>
        <v>61-Mobilisation sociale pour l’accroissement des financements de l’AEA</v>
      </c>
      <c r="AB1958" s="19" t="str">
        <f>C1958 &amp; "-" &amp; VLOOKUP(C1958,[4]RESULTATS!$E$1:$F$176,2,FALSE)</f>
        <v>611- les acteurs et les PTF concernés sont mobilisés en faveur de l’AEA.</v>
      </c>
      <c r="AC1958" s="20" t="str">
        <f>D1958 &amp; "-" &amp; VLOOKUP(D1958,[4]STRATEGIES!$E$1:$F$504,2,FALSE)</f>
        <v>6112-Augmentation des budgets alloués à l'AEA</v>
      </c>
      <c r="AD1958" s="21" t="str">
        <f t="shared" si="289"/>
        <v>6112-Augmentation des budgets alloués à l'AEA</v>
      </c>
    </row>
    <row r="1959" spans="1:30" s="22" customFormat="1" ht="45" hidden="1" customHeight="1" x14ac:dyDescent="0.8">
      <c r="A1959" s="14">
        <v>6</v>
      </c>
      <c r="B1959" s="15">
        <v>61</v>
      </c>
      <c r="C1959" s="15">
        <v>611</v>
      </c>
      <c r="D1959" s="15">
        <v>6112</v>
      </c>
      <c r="E1959" s="15">
        <v>61121</v>
      </c>
      <c r="F1959" s="16" t="s">
        <v>2424</v>
      </c>
      <c r="G1959" s="21" t="s">
        <v>123</v>
      </c>
      <c r="H1959" s="17" t="s">
        <v>66</v>
      </c>
      <c r="I1959" s="33">
        <v>0</v>
      </c>
      <c r="J1959" s="33">
        <f>10*2</f>
        <v>20</v>
      </c>
      <c r="K1959" s="33">
        <f>10*2</f>
        <v>20</v>
      </c>
      <c r="L1959" s="33">
        <f>10*2</f>
        <v>20</v>
      </c>
      <c r="M1959" s="33">
        <f t="shared" si="290"/>
        <v>60</v>
      </c>
      <c r="N1959" s="33">
        <f>IF(OR(H1959="",H1959="sif",H1959="PM"),0,VLOOKUP(H1959,[5]CU!$C$4:$H$255,6,FALSE))</f>
        <v>0.255</v>
      </c>
      <c r="O1959" s="33">
        <f t="shared" si="292"/>
        <v>0</v>
      </c>
      <c r="P1959" s="33">
        <f t="shared" si="292"/>
        <v>5.0999999999999996</v>
      </c>
      <c r="Q1959" s="33">
        <f t="shared" si="292"/>
        <v>5.0999999999999996</v>
      </c>
      <c r="R1959" s="33">
        <f t="shared" si="292"/>
        <v>5.0999999999999996</v>
      </c>
      <c r="S1959" s="33">
        <f>SUM(O1959:R1959)</f>
        <v>15.299999999999999</v>
      </c>
      <c r="T1959" s="35" t="s">
        <v>56</v>
      </c>
      <c r="U1959" s="18" t="s">
        <v>330</v>
      </c>
      <c r="V1959" s="18" t="str">
        <f>IF(OR($H1959="",$H1959="sif",$H1959="PM"),"",VLOOKUP($H1959,[5]CU!$C$5:$J$255,8,FALSE))</f>
        <v>3. Dépenses de fonctionnement</v>
      </c>
      <c r="W1959" s="18" t="s">
        <v>331</v>
      </c>
      <c r="X1959" s="18" t="s">
        <v>331</v>
      </c>
      <c r="Y1959" s="19" t="s">
        <v>32</v>
      </c>
      <c r="Z1959" s="18" t="str">
        <f>A1959 &amp; "-" &amp; VLOOKUP(A1959,[4]PROGRAMMES!$E$1:$F$7,2,FALSE)</f>
        <v>6-Education et alphabétisation des adultes</v>
      </c>
      <c r="AA1959" s="19" t="str">
        <f>B1959 &amp; "-" &amp; VLOOKUP(B1959,[4]SOUSPROGRAMMES!$E$1:$F$44,2,FALSE)</f>
        <v>61-Mobilisation sociale pour l’accroissement des financements de l’AEA</v>
      </c>
      <c r="AB1959" s="19" t="str">
        <f>C1959 &amp; "-" &amp; VLOOKUP(C1959,[4]RESULTATS!$E$1:$F$176,2,FALSE)</f>
        <v>611- les acteurs et les PTF concernés sont mobilisés en faveur de l’AEA.</v>
      </c>
      <c r="AC1959" s="20" t="str">
        <f>D1959 &amp; "-" &amp; VLOOKUP(D1959,[4]STRATEGIES!$E$1:$F$504,2,FALSE)</f>
        <v>6112-Augmentation des budgets alloués à l'AEA</v>
      </c>
      <c r="AD1959" s="21" t="str">
        <f t="shared" si="289"/>
        <v>61121-Elaboration de projet de budget annuel</v>
      </c>
    </row>
    <row r="1960" spans="1:30" s="22" customFormat="1" ht="45" hidden="1" customHeight="1" x14ac:dyDescent="0.8">
      <c r="A1960" s="14">
        <v>6</v>
      </c>
      <c r="B1960" s="15">
        <v>61</v>
      </c>
      <c r="C1960" s="15">
        <v>611</v>
      </c>
      <c r="D1960" s="15">
        <v>6112</v>
      </c>
      <c r="E1960" s="15">
        <v>61122</v>
      </c>
      <c r="F1960" s="16" t="s">
        <v>2425</v>
      </c>
      <c r="G1960" s="21" t="s">
        <v>88</v>
      </c>
      <c r="H1960" s="17" t="s">
        <v>55</v>
      </c>
      <c r="I1960" s="33">
        <v>0</v>
      </c>
      <c r="J1960" s="33">
        <v>1</v>
      </c>
      <c r="K1960" s="33">
        <v>1</v>
      </c>
      <c r="L1960" s="33">
        <v>1</v>
      </c>
      <c r="M1960" s="33">
        <f t="shared" si="290"/>
        <v>3</v>
      </c>
      <c r="N1960" s="33">
        <f>IF(OR(H1960="",H1960="sif",H1960="PM"),0,VLOOKUP(H1960,[5]CU!$C$4:$H$255,6,FALSE))</f>
        <v>0</v>
      </c>
      <c r="O1960" s="33"/>
      <c r="P1960" s="33"/>
      <c r="Q1960" s="33"/>
      <c r="R1960" s="33"/>
      <c r="S1960" s="33"/>
      <c r="T1960" s="35" t="s">
        <v>56</v>
      </c>
      <c r="U1960" s="18" t="s">
        <v>330</v>
      </c>
      <c r="V1960" s="18" t="str">
        <f>IF(OR($H1960="",$H1960="sif",$H1960="PM"),"",VLOOKUP($H1960,[5]CU!$C$5:$J$255,8,FALSE))</f>
        <v/>
      </c>
      <c r="W1960" s="18" t="s">
        <v>331</v>
      </c>
      <c r="X1960" s="18" t="s">
        <v>331</v>
      </c>
      <c r="Y1960" s="19" t="s">
        <v>32</v>
      </c>
      <c r="Z1960" s="18" t="str">
        <f>A1960 &amp; "-" &amp; VLOOKUP(A1960,[4]PROGRAMMES!$E$1:$F$7,2,FALSE)</f>
        <v>6-Education et alphabétisation des adultes</v>
      </c>
      <c r="AA1960" s="19" t="str">
        <f>B1960 &amp; "-" &amp; VLOOKUP(B1960,[4]SOUSPROGRAMMES!$E$1:$F$44,2,FALSE)</f>
        <v>61-Mobilisation sociale pour l’accroissement des financements de l’AEA</v>
      </c>
      <c r="AB1960" s="19" t="str">
        <f>C1960 &amp; "-" &amp; VLOOKUP(C1960,[4]RESULTATS!$E$1:$F$176,2,FALSE)</f>
        <v>611- les acteurs et les PTF concernés sont mobilisés en faveur de l’AEA.</v>
      </c>
      <c r="AC1960" s="20" t="str">
        <f>D1960 &amp; "-" &amp; VLOOKUP(D1960,[4]STRATEGIES!$E$1:$F$504,2,FALSE)</f>
        <v>6112-Augmentation des budgets alloués à l'AEA</v>
      </c>
      <c r="AD1960" s="21" t="str">
        <f t="shared" si="289"/>
        <v>61122-Plaidoyer auprès des autorités pour l'approbation du projet de budget</v>
      </c>
    </row>
    <row r="1961" spans="1:30" s="22" customFormat="1" ht="45" hidden="1" customHeight="1" x14ac:dyDescent="0.8">
      <c r="A1961" s="14">
        <v>6</v>
      </c>
      <c r="B1961" s="15">
        <v>61</v>
      </c>
      <c r="C1961" s="15">
        <v>611</v>
      </c>
      <c r="D1961" s="15">
        <v>6113</v>
      </c>
      <c r="E1961" s="15">
        <v>6113</v>
      </c>
      <c r="F1961" s="16" t="s">
        <v>2426</v>
      </c>
      <c r="G1961" s="17"/>
      <c r="H1961" s="17"/>
      <c r="I1961" s="33">
        <v>0</v>
      </c>
      <c r="J1961" s="33"/>
      <c r="K1961" s="33"/>
      <c r="L1961" s="33"/>
      <c r="M1961" s="33"/>
      <c r="N1961" s="33"/>
      <c r="O1961" s="33"/>
      <c r="P1961" s="33"/>
      <c r="Q1961" s="33"/>
      <c r="R1961" s="33"/>
      <c r="S1961" s="33"/>
      <c r="T1961" s="33"/>
      <c r="U1961" s="18"/>
      <c r="V1961" s="18"/>
      <c r="W1961" s="18"/>
      <c r="X1961" s="18"/>
      <c r="Y1961" s="18"/>
      <c r="Z1961" s="18" t="str">
        <f>A1961 &amp; "-" &amp; VLOOKUP(A1961,[4]PROGRAMMES!$E$1:$F$7,2,FALSE)</f>
        <v>6-Education et alphabétisation des adultes</v>
      </c>
      <c r="AA1961" s="19" t="str">
        <f>B1961 &amp; "-" &amp; VLOOKUP(B1961,[4]SOUSPROGRAMMES!$E$1:$F$44,2,FALSE)</f>
        <v>61-Mobilisation sociale pour l’accroissement des financements de l’AEA</v>
      </c>
      <c r="AB1961" s="19" t="str">
        <f>C1961 &amp; "-" &amp; VLOOKUP(C1961,[4]RESULTATS!$E$1:$F$176,2,FALSE)</f>
        <v>611- les acteurs et les PTF concernés sont mobilisés en faveur de l’AEA.</v>
      </c>
      <c r="AC1961" s="20" t="str">
        <f>D1961 &amp; "-" &amp; VLOOKUP(D1961,[4]STRATEGIES!$E$1:$F$504,2,FALSE)</f>
        <v>6113-Développement de partenariats en faveur des activités d'AEA</v>
      </c>
      <c r="AD1961" s="21" t="str">
        <f t="shared" si="289"/>
        <v>6113-Développement de partenariats en faveur des activités d'AEA</v>
      </c>
    </row>
    <row r="1962" spans="1:30" s="22" customFormat="1" ht="45" hidden="1" customHeight="1" x14ac:dyDescent="0.8">
      <c r="A1962" s="14">
        <v>6</v>
      </c>
      <c r="B1962" s="15">
        <v>61</v>
      </c>
      <c r="C1962" s="15">
        <v>611</v>
      </c>
      <c r="D1962" s="15">
        <v>6113</v>
      </c>
      <c r="E1962" s="15">
        <v>61131</v>
      </c>
      <c r="F1962" s="16" t="s">
        <v>2427</v>
      </c>
      <c r="G1962" s="21" t="s">
        <v>2428</v>
      </c>
      <c r="H1962" s="17" t="s">
        <v>55</v>
      </c>
      <c r="I1962" s="33">
        <v>0</v>
      </c>
      <c r="J1962" s="33"/>
      <c r="K1962" s="33"/>
      <c r="L1962" s="33"/>
      <c r="M1962" s="33">
        <f t="shared" si="290"/>
        <v>0</v>
      </c>
      <c r="N1962" s="33">
        <f>IF(OR(H1962="",H1962="sif",H1962="PM"),0,VLOOKUP(H1962,[5]CU!$C$4:$H$255,6,FALSE))</f>
        <v>0</v>
      </c>
      <c r="O1962" s="33"/>
      <c r="P1962" s="33"/>
      <c r="Q1962" s="33"/>
      <c r="R1962" s="33"/>
      <c r="S1962" s="33"/>
      <c r="T1962" s="35" t="s">
        <v>56</v>
      </c>
      <c r="U1962" s="18" t="s">
        <v>330</v>
      </c>
      <c r="V1962" s="18" t="str">
        <f>IF(OR($H1962="",$H1962="sif",$H1962="PM"),"",VLOOKUP($H1962,[5]CU!$C$5:$J$255,8,FALSE))</f>
        <v/>
      </c>
      <c r="W1962" s="18" t="s">
        <v>331</v>
      </c>
      <c r="X1962" s="18" t="s">
        <v>2429</v>
      </c>
      <c r="Y1962" s="19" t="s">
        <v>32</v>
      </c>
      <c r="Z1962" s="18" t="str">
        <f>A1962 &amp; "-" &amp; VLOOKUP(A1962,[4]PROGRAMMES!$E$1:$F$7,2,FALSE)</f>
        <v>6-Education et alphabétisation des adultes</v>
      </c>
      <c r="AA1962" s="19" t="str">
        <f>B1962 &amp; "-" &amp; VLOOKUP(B1962,[4]SOUSPROGRAMMES!$E$1:$F$44,2,FALSE)</f>
        <v>61-Mobilisation sociale pour l’accroissement des financements de l’AEA</v>
      </c>
      <c r="AB1962" s="19" t="str">
        <f>C1962 &amp; "-" &amp; VLOOKUP(C1962,[4]RESULTATS!$E$1:$F$176,2,FALSE)</f>
        <v>611- les acteurs et les PTF concernés sont mobilisés en faveur de l’AEA.</v>
      </c>
      <c r="AC1962" s="20" t="str">
        <f>D1962 &amp; "-" &amp; VLOOKUP(D1962,[4]STRATEGIES!$E$1:$F$504,2,FALSE)</f>
        <v>6113-Développement de partenariats en faveur des activités d'AEA</v>
      </c>
      <c r="AD1962" s="21" t="str">
        <f t="shared" si="289"/>
        <v>61131-Mise en place du comité de coordination et de suivi des activités d'AEA (multi-acteurs)</v>
      </c>
    </row>
    <row r="1963" spans="1:30" s="22" customFormat="1" ht="45" hidden="1" customHeight="1" x14ac:dyDescent="0.8">
      <c r="A1963" s="14">
        <v>6</v>
      </c>
      <c r="B1963" s="15">
        <v>61</v>
      </c>
      <c r="C1963" s="15">
        <v>611</v>
      </c>
      <c r="D1963" s="15">
        <v>6113</v>
      </c>
      <c r="E1963" s="15">
        <v>61132</v>
      </c>
      <c r="F1963" s="16" t="s">
        <v>2430</v>
      </c>
      <c r="G1963" s="21" t="s">
        <v>88</v>
      </c>
      <c r="H1963" s="17" t="s">
        <v>38</v>
      </c>
      <c r="I1963" s="33">
        <v>0</v>
      </c>
      <c r="J1963" s="33">
        <f>15*5</f>
        <v>75</v>
      </c>
      <c r="K1963" s="33"/>
      <c r="L1963" s="33"/>
      <c r="M1963" s="33">
        <f t="shared" si="290"/>
        <v>75</v>
      </c>
      <c r="N1963" s="33">
        <f>IF(OR(H1963="",H1963="sif",H1963="PM"),0,VLOOKUP(H1963,[5]CU!$C$4:$H$255,6,FALSE))</f>
        <v>0.3133333333333333</v>
      </c>
      <c r="O1963" s="33">
        <f t="shared" ref="O1963:R1964" si="293">$N1963*I1963</f>
        <v>0</v>
      </c>
      <c r="P1963" s="33">
        <f t="shared" si="293"/>
        <v>23.499999999999996</v>
      </c>
      <c r="Q1963" s="33">
        <f t="shared" si="293"/>
        <v>0</v>
      </c>
      <c r="R1963" s="33">
        <f t="shared" si="293"/>
        <v>0</v>
      </c>
      <c r="S1963" s="33">
        <f>SUM(O1963:R1963)</f>
        <v>23.499999999999996</v>
      </c>
      <c r="T1963" s="35" t="s">
        <v>56</v>
      </c>
      <c r="U1963" s="18" t="s">
        <v>330</v>
      </c>
      <c r="V1963" s="18" t="str">
        <f>IF(OR($H1963="",$H1963="sif",$H1963="PM"),"",VLOOKUP($H1963,[5]CU!$C$5:$J$255,8,FALSE))</f>
        <v>3. Formation</v>
      </c>
      <c r="W1963" s="18" t="s">
        <v>331</v>
      </c>
      <c r="X1963" s="18" t="s">
        <v>2431</v>
      </c>
      <c r="Y1963" s="19" t="s">
        <v>32</v>
      </c>
      <c r="Z1963" s="18" t="str">
        <f>A1963 &amp; "-" &amp; VLOOKUP(A1963,[4]PROGRAMMES!$E$1:$F$7,2,FALSE)</f>
        <v>6-Education et alphabétisation des adultes</v>
      </c>
      <c r="AA1963" s="19" t="str">
        <f>B1963 &amp; "-" &amp; VLOOKUP(B1963,[4]SOUSPROGRAMMES!$E$1:$F$44,2,FALSE)</f>
        <v>61-Mobilisation sociale pour l’accroissement des financements de l’AEA</v>
      </c>
      <c r="AB1963" s="19" t="str">
        <f>C1963 &amp; "-" &amp; VLOOKUP(C1963,[4]RESULTATS!$E$1:$F$176,2,FALSE)</f>
        <v>611- les acteurs et les PTF concernés sont mobilisés en faveur de l’AEA.</v>
      </c>
      <c r="AC1963" s="20" t="str">
        <f>D1963 &amp; "-" &amp; VLOOKUP(D1963,[4]STRATEGIES!$E$1:$F$504,2,FALSE)</f>
        <v>6113-Développement de partenariats en faveur des activités d'AEA</v>
      </c>
      <c r="AD1963" s="21" t="str">
        <f t="shared" si="289"/>
        <v>61132- Réalisation par le comité de coordination de l’état de lieux des partenariats existants et possibles</v>
      </c>
    </row>
    <row r="1964" spans="1:30" s="22" customFormat="1" ht="45" hidden="1" customHeight="1" x14ac:dyDescent="0.8">
      <c r="A1964" s="14">
        <v>6</v>
      </c>
      <c r="B1964" s="15">
        <v>61</v>
      </c>
      <c r="C1964" s="15">
        <v>611</v>
      </c>
      <c r="D1964" s="15">
        <v>6113</v>
      </c>
      <c r="E1964" s="15">
        <v>61133</v>
      </c>
      <c r="F1964" s="16" t="s">
        <v>2432</v>
      </c>
      <c r="G1964" s="21" t="s">
        <v>123</v>
      </c>
      <c r="H1964" s="17" t="s">
        <v>38</v>
      </c>
      <c r="I1964" s="33">
        <v>0</v>
      </c>
      <c r="J1964" s="33">
        <f>60*2</f>
        <v>120</v>
      </c>
      <c r="K1964" s="33"/>
      <c r="L1964" s="33"/>
      <c r="M1964" s="33">
        <f t="shared" si="290"/>
        <v>120</v>
      </c>
      <c r="N1964" s="33">
        <f>IF(OR(H1964="",H1964="sif",H1964="PM"),0,VLOOKUP(H1964,[5]CU!$C$4:$H$255,6,FALSE))</f>
        <v>0.3133333333333333</v>
      </c>
      <c r="O1964" s="33">
        <f t="shared" si="293"/>
        <v>0</v>
      </c>
      <c r="P1964" s="33">
        <f t="shared" si="293"/>
        <v>37.599999999999994</v>
      </c>
      <c r="Q1964" s="33">
        <f t="shared" si="293"/>
        <v>0</v>
      </c>
      <c r="R1964" s="33">
        <f t="shared" si="293"/>
        <v>0</v>
      </c>
      <c r="S1964" s="33">
        <f>SUM(O1964:R1964)</f>
        <v>37.599999999999994</v>
      </c>
      <c r="T1964" s="35" t="s">
        <v>56</v>
      </c>
      <c r="U1964" s="18" t="s">
        <v>330</v>
      </c>
      <c r="V1964" s="18" t="str">
        <f>IF(OR($H1964="",$H1964="sif",$H1964="PM"),"",VLOOKUP($H1964,[5]CU!$C$5:$J$255,8,FALSE))</f>
        <v>3. Formation</v>
      </c>
      <c r="W1964" s="18" t="s">
        <v>331</v>
      </c>
      <c r="X1964" s="18" t="s">
        <v>331</v>
      </c>
      <c r="Y1964" s="19" t="s">
        <v>32</v>
      </c>
      <c r="Z1964" s="18" t="str">
        <f>A1964 &amp; "-" &amp; VLOOKUP(A1964,[4]PROGRAMMES!$E$1:$F$7,2,FALSE)</f>
        <v>6-Education et alphabétisation des adultes</v>
      </c>
      <c r="AA1964" s="19" t="str">
        <f>B1964 &amp; "-" &amp; VLOOKUP(B1964,[4]SOUSPROGRAMMES!$E$1:$F$44,2,FALSE)</f>
        <v>61-Mobilisation sociale pour l’accroissement des financements de l’AEA</v>
      </c>
      <c r="AB1964" s="19" t="str">
        <f>C1964 &amp; "-" &amp; VLOOKUP(C1964,[4]RESULTATS!$E$1:$F$176,2,FALSE)</f>
        <v>611- les acteurs et les PTF concernés sont mobilisés en faveur de l’AEA.</v>
      </c>
      <c r="AC1964" s="20" t="str">
        <f>D1964 &amp; "-" &amp; VLOOKUP(D1964,[4]STRATEGIES!$E$1:$F$504,2,FALSE)</f>
        <v>6113-Développement de partenariats en faveur des activités d'AEA</v>
      </c>
      <c r="AD1964" s="21" t="str">
        <f t="shared" si="289"/>
        <v>61133-  Organisation d’une table ronde ou réunion des partenaires au niveau national sur AEA</v>
      </c>
    </row>
    <row r="1965" spans="1:30" s="22" customFormat="1" ht="45" hidden="1" customHeight="1" x14ac:dyDescent="0.8">
      <c r="A1965" s="14">
        <v>6</v>
      </c>
      <c r="B1965" s="15">
        <v>61</v>
      </c>
      <c r="C1965" s="15">
        <v>611</v>
      </c>
      <c r="D1965" s="15">
        <v>6113</v>
      </c>
      <c r="E1965" s="15">
        <v>61134</v>
      </c>
      <c r="F1965" s="16" t="s">
        <v>2433</v>
      </c>
      <c r="G1965" s="21" t="s">
        <v>88</v>
      </c>
      <c r="H1965" s="17" t="s">
        <v>55</v>
      </c>
      <c r="I1965" s="33">
        <v>0</v>
      </c>
      <c r="J1965" s="33"/>
      <c r="K1965" s="33">
        <v>1</v>
      </c>
      <c r="L1965" s="33">
        <v>1</v>
      </c>
      <c r="M1965" s="33">
        <f t="shared" si="290"/>
        <v>2</v>
      </c>
      <c r="N1965" s="33">
        <f>IF(OR(H1965="",H1965="sif",H1965="PM"),0,VLOOKUP(H1965,[5]CU!$C$4:$H$255,6,FALSE))</f>
        <v>0</v>
      </c>
      <c r="O1965" s="33"/>
      <c r="P1965" s="33"/>
      <c r="Q1965" s="33"/>
      <c r="R1965" s="33"/>
      <c r="S1965" s="33"/>
      <c r="T1965" s="35" t="s">
        <v>56</v>
      </c>
      <c r="U1965" s="18" t="s">
        <v>330</v>
      </c>
      <c r="V1965" s="18" t="str">
        <f>IF(OR($H1965="",$H1965="sif",$H1965="PM"),"",VLOOKUP($H1965,[5]CU!$C$5:$J$255,8,FALSE))</f>
        <v/>
      </c>
      <c r="W1965" s="18" t="s">
        <v>331</v>
      </c>
      <c r="X1965" s="18" t="s">
        <v>2431</v>
      </c>
      <c r="Y1965" s="19" t="s">
        <v>32</v>
      </c>
      <c r="Z1965" s="18" t="str">
        <f>A1965 &amp; "-" &amp; VLOOKUP(A1965,[4]PROGRAMMES!$E$1:$F$7,2,FALSE)</f>
        <v>6-Education et alphabétisation des adultes</v>
      </c>
      <c r="AA1965" s="19" t="str">
        <f>B1965 &amp; "-" &amp; VLOOKUP(B1965,[4]SOUSPROGRAMMES!$E$1:$F$44,2,FALSE)</f>
        <v>61-Mobilisation sociale pour l’accroissement des financements de l’AEA</v>
      </c>
      <c r="AB1965" s="19" t="str">
        <f>C1965 &amp; "-" &amp; VLOOKUP(C1965,[4]RESULTATS!$E$1:$F$176,2,FALSE)</f>
        <v>611- les acteurs et les PTF concernés sont mobilisés en faveur de l’AEA.</v>
      </c>
      <c r="AC1965" s="20" t="str">
        <f>D1965 &amp; "-" &amp; VLOOKUP(D1965,[4]STRATEGIES!$E$1:$F$504,2,FALSE)</f>
        <v>6113-Développement de partenariats en faveur des activités d'AEA</v>
      </c>
      <c r="AD1965" s="21" t="str">
        <f t="shared" si="289"/>
        <v>61134-Mise en place de nouveaux partenariats</v>
      </c>
    </row>
    <row r="1966" spans="1:30" s="22" customFormat="1" ht="45" hidden="1" customHeight="1" x14ac:dyDescent="0.8">
      <c r="A1966" s="14">
        <v>6</v>
      </c>
      <c r="B1966" s="15">
        <v>61</v>
      </c>
      <c r="C1966" s="15">
        <v>611</v>
      </c>
      <c r="D1966" s="15">
        <v>6114</v>
      </c>
      <c r="E1966" s="15">
        <v>6114</v>
      </c>
      <c r="F1966" s="16" t="s">
        <v>2434</v>
      </c>
      <c r="G1966" s="17"/>
      <c r="H1966" s="17"/>
      <c r="I1966" s="33">
        <v>0</v>
      </c>
      <c r="J1966" s="33"/>
      <c r="K1966" s="33"/>
      <c r="L1966" s="33"/>
      <c r="M1966" s="33"/>
      <c r="N1966" s="33"/>
      <c r="O1966" s="33"/>
      <c r="P1966" s="33"/>
      <c r="Q1966" s="33"/>
      <c r="R1966" s="33"/>
      <c r="S1966" s="33"/>
      <c r="T1966" s="33"/>
      <c r="U1966" s="18"/>
      <c r="V1966" s="18"/>
      <c r="W1966" s="18"/>
      <c r="X1966" s="18"/>
      <c r="Y1966" s="18"/>
      <c r="Z1966" s="18" t="str">
        <f>A1966 &amp; "-" &amp; VLOOKUP(A1966,[4]PROGRAMMES!$E$1:$F$7,2,FALSE)</f>
        <v>6-Education et alphabétisation des adultes</v>
      </c>
      <c r="AA1966" s="19" t="str">
        <f>B1966 &amp; "-" &amp; VLOOKUP(B1966,[4]SOUSPROGRAMMES!$E$1:$F$44,2,FALSE)</f>
        <v>61-Mobilisation sociale pour l’accroissement des financements de l’AEA</v>
      </c>
      <c r="AB1966" s="19" t="str">
        <f>C1966 &amp; "-" &amp; VLOOKUP(C1966,[4]RESULTATS!$E$1:$F$176,2,FALSE)</f>
        <v>611- les acteurs et les PTF concernés sont mobilisés en faveur de l’AEA.</v>
      </c>
      <c r="AC1966" s="20" t="str">
        <f>D1966 &amp; "-" &amp; VLOOKUP(D1966,[4]STRATEGIES!$E$1:$F$504,2,FALSE)</f>
        <v>6114-Mise en place d'un dispositif de financement de l'alphabétisation</v>
      </c>
      <c r="AD1966" s="21" t="str">
        <f t="shared" si="289"/>
        <v>6114-Mise en place d'un dispositif de Financement de l'alphabétisation</v>
      </c>
    </row>
    <row r="1967" spans="1:30" s="22" customFormat="1" ht="45" hidden="1" customHeight="1" x14ac:dyDescent="0.8">
      <c r="A1967" s="14">
        <v>6</v>
      </c>
      <c r="B1967" s="15">
        <v>61</v>
      </c>
      <c r="C1967" s="15">
        <v>611</v>
      </c>
      <c r="D1967" s="15">
        <v>6114</v>
      </c>
      <c r="E1967" s="15">
        <v>61141</v>
      </c>
      <c r="F1967" s="16" t="s">
        <v>2435</v>
      </c>
      <c r="G1967" s="21" t="s">
        <v>100</v>
      </c>
      <c r="H1967" s="17" t="s">
        <v>646</v>
      </c>
      <c r="I1967" s="33">
        <v>0</v>
      </c>
      <c r="J1967" s="33"/>
      <c r="K1967" s="33">
        <f>2*10*2</f>
        <v>40</v>
      </c>
      <c r="L1967" s="33"/>
      <c r="M1967" s="33">
        <f t="shared" si="290"/>
        <v>40</v>
      </c>
      <c r="N1967" s="33">
        <f>IF(OR(H1967="",H1967="sif",H1967="PM"),0,VLOOKUP(H1967,[5]CU!$C$4:$H$255,6,FALSE))</f>
        <v>10.404797</v>
      </c>
      <c r="O1967" s="33">
        <f t="shared" ref="O1967:R1969" si="294">$N1967*I1967</f>
        <v>0</v>
      </c>
      <c r="P1967" s="33">
        <f t="shared" si="294"/>
        <v>0</v>
      </c>
      <c r="Q1967" s="33">
        <f t="shared" si="294"/>
        <v>416.19188000000003</v>
      </c>
      <c r="R1967" s="33">
        <f t="shared" si="294"/>
        <v>0</v>
      </c>
      <c r="S1967" s="33">
        <f>SUM(O1967:R1967)</f>
        <v>416.19188000000003</v>
      </c>
      <c r="T1967" s="35" t="s">
        <v>56</v>
      </c>
      <c r="U1967" s="18" t="s">
        <v>330</v>
      </c>
      <c r="V1967" s="18" t="str">
        <f>IF(OR($H1967="",$H1967="sif",$H1967="PM"),"",VLOOKUP($H1967,[5]CU!$C$5:$J$255,8,FALSE))</f>
        <v>3. Dépenses de fonctionnement</v>
      </c>
      <c r="W1967" s="18" t="s">
        <v>331</v>
      </c>
      <c r="X1967" s="18" t="s">
        <v>331</v>
      </c>
      <c r="Y1967" s="19" t="s">
        <v>32</v>
      </c>
      <c r="Z1967" s="18" t="str">
        <f>A1967 &amp; "-" &amp; VLOOKUP(A1967,[4]PROGRAMMES!$E$1:$F$7,2,FALSE)</f>
        <v>6-Education et alphabétisation des adultes</v>
      </c>
      <c r="AA1967" s="19" t="str">
        <f>B1967 &amp; "-" &amp; VLOOKUP(B1967,[4]SOUSPROGRAMMES!$E$1:$F$44,2,FALSE)</f>
        <v>61-Mobilisation sociale pour l’accroissement des financements de l’AEA</v>
      </c>
      <c r="AB1967" s="19" t="str">
        <f>C1967 &amp; "-" &amp; VLOOKUP(C1967,[4]RESULTATS!$E$1:$F$176,2,FALSE)</f>
        <v>611- les acteurs et les PTF concernés sont mobilisés en faveur de l’AEA.</v>
      </c>
      <c r="AC1967" s="20" t="str">
        <f>D1967 &amp; "-" &amp; VLOOKUP(D1967,[4]STRATEGIES!$E$1:$F$504,2,FALSE)</f>
        <v>6114-Mise en place d'un dispositif de financement de l'alphabétisation</v>
      </c>
      <c r="AD1967" s="21" t="str">
        <f t="shared" si="289"/>
        <v>61141-Etude sur la mise en place d'un fonds national pour l'alphabétisation</v>
      </c>
    </row>
    <row r="1968" spans="1:30" s="22" customFormat="1" ht="45" hidden="1" customHeight="1" x14ac:dyDescent="0.8">
      <c r="A1968" s="14">
        <v>6</v>
      </c>
      <c r="B1968" s="15">
        <v>61</v>
      </c>
      <c r="C1968" s="15">
        <v>611</v>
      </c>
      <c r="D1968" s="15">
        <v>6114</v>
      </c>
      <c r="E1968" s="15">
        <v>61142</v>
      </c>
      <c r="F1968" s="16" t="s">
        <v>2436</v>
      </c>
      <c r="G1968" s="21" t="s">
        <v>1409</v>
      </c>
      <c r="H1968" s="17" t="s">
        <v>38</v>
      </c>
      <c r="I1968" s="33">
        <v>0</v>
      </c>
      <c r="J1968" s="33">
        <f>100*1</f>
        <v>100</v>
      </c>
      <c r="K1968" s="33"/>
      <c r="L1968" s="33">
        <f>100*1</f>
        <v>100</v>
      </c>
      <c r="M1968" s="33">
        <f t="shared" si="290"/>
        <v>200</v>
      </c>
      <c r="N1968" s="33">
        <f>IF(OR(H1968="",H1968="sif",H1968="PM"),0,VLOOKUP(H1968,[5]CU!$C$4:$H$255,6,FALSE))</f>
        <v>0.3133333333333333</v>
      </c>
      <c r="O1968" s="33">
        <f t="shared" si="294"/>
        <v>0</v>
      </c>
      <c r="P1968" s="33">
        <f t="shared" si="294"/>
        <v>31.333333333333329</v>
      </c>
      <c r="Q1968" s="33">
        <f t="shared" si="294"/>
        <v>0</v>
      </c>
      <c r="R1968" s="33">
        <f t="shared" si="294"/>
        <v>31.333333333333329</v>
      </c>
      <c r="S1968" s="33">
        <f>SUM(O1968:R1968)</f>
        <v>62.666666666666657</v>
      </c>
      <c r="T1968" s="35" t="s">
        <v>56</v>
      </c>
      <c r="U1968" s="18" t="s">
        <v>330</v>
      </c>
      <c r="V1968" s="18" t="str">
        <f>IF(OR($H1968="",$H1968="sif",$H1968="PM"),"",VLOOKUP($H1968,[5]CU!$C$5:$J$255,8,FALSE))</f>
        <v>3. Formation</v>
      </c>
      <c r="W1968" s="18" t="s">
        <v>331</v>
      </c>
      <c r="X1968" s="18" t="s">
        <v>331</v>
      </c>
      <c r="Y1968" s="19" t="s">
        <v>32</v>
      </c>
      <c r="Z1968" s="18" t="str">
        <f>A1968 &amp; "-" &amp; VLOOKUP(A1968,[4]PROGRAMMES!$E$1:$F$7,2,FALSE)</f>
        <v>6-Education et alphabétisation des adultes</v>
      </c>
      <c r="AA1968" s="19" t="str">
        <f>B1968 &amp; "-" &amp; VLOOKUP(B1968,[4]SOUSPROGRAMMES!$E$1:$F$44,2,FALSE)</f>
        <v>61-Mobilisation sociale pour l’accroissement des financements de l’AEA</v>
      </c>
      <c r="AB1968" s="19" t="str">
        <f>C1968 &amp; "-" &amp; VLOOKUP(C1968,[4]RESULTATS!$E$1:$F$176,2,FALSE)</f>
        <v>611- les acteurs et les PTF concernés sont mobilisés en faveur de l’AEA.</v>
      </c>
      <c r="AC1968" s="20" t="str">
        <f>D1968 &amp; "-" &amp; VLOOKUP(D1968,[4]STRATEGIES!$E$1:$F$504,2,FALSE)</f>
        <v>6114-Mise en place d'un dispositif de financement de l'alphabétisation</v>
      </c>
      <c r="AD1968" s="21" t="str">
        <f t="shared" si="289"/>
        <v>61142- Organisation des événements spéciaux de levée de fonds en faveur de l’AEA</v>
      </c>
    </row>
    <row r="1969" spans="1:30" s="22" customFormat="1" ht="45" hidden="1" customHeight="1" x14ac:dyDescent="0.8">
      <c r="A1969" s="14">
        <v>6</v>
      </c>
      <c r="B1969" s="15">
        <v>61</v>
      </c>
      <c r="C1969" s="15">
        <v>611</v>
      </c>
      <c r="D1969" s="15">
        <v>6114</v>
      </c>
      <c r="E1969" s="15">
        <v>61143</v>
      </c>
      <c r="F1969" s="16" t="s">
        <v>2437</v>
      </c>
      <c r="G1969" s="21" t="s">
        <v>298</v>
      </c>
      <c r="H1969" s="17" t="s">
        <v>38</v>
      </c>
      <c r="I1969" s="33">
        <v>0</v>
      </c>
      <c r="J1969" s="33"/>
      <c r="K1969" s="33">
        <f>30*1</f>
        <v>30</v>
      </c>
      <c r="L1969" s="33"/>
      <c r="M1969" s="33">
        <f t="shared" si="290"/>
        <v>30</v>
      </c>
      <c r="N1969" s="33">
        <f>IF(OR(H1969="",H1969="sif",H1969="PM"),0,VLOOKUP(H1969,[5]CU!$C$4:$H$255,6,FALSE))</f>
        <v>0.3133333333333333</v>
      </c>
      <c r="O1969" s="33">
        <f t="shared" si="294"/>
        <v>0</v>
      </c>
      <c r="P1969" s="33">
        <f t="shared" si="294"/>
        <v>0</v>
      </c>
      <c r="Q1969" s="33">
        <f t="shared" si="294"/>
        <v>9.3999999999999986</v>
      </c>
      <c r="R1969" s="33">
        <f t="shared" si="294"/>
        <v>0</v>
      </c>
      <c r="S1969" s="33">
        <f>SUM(O1969:R1969)</f>
        <v>9.3999999999999986</v>
      </c>
      <c r="T1969" s="35" t="s">
        <v>56</v>
      </c>
      <c r="U1969" s="18" t="s">
        <v>330</v>
      </c>
      <c r="V1969" s="18" t="str">
        <f>IF(OR($H1969="",$H1969="sif",$H1969="PM"),"",VLOOKUP($H1969,[5]CU!$C$5:$J$255,8,FALSE))</f>
        <v>3. Formation</v>
      </c>
      <c r="W1969" s="18" t="s">
        <v>331</v>
      </c>
      <c r="X1969" s="18" t="s">
        <v>331</v>
      </c>
      <c r="Y1969" s="19" t="s">
        <v>32</v>
      </c>
      <c r="Z1969" s="18" t="str">
        <f>A1969 &amp; "-" &amp; VLOOKUP(A1969,[4]PROGRAMMES!$E$1:$F$7,2,FALSE)</f>
        <v>6-Education et alphabétisation des adultes</v>
      </c>
      <c r="AA1969" s="19" t="str">
        <f>B1969 &amp; "-" &amp; VLOOKUP(B1969,[4]SOUSPROGRAMMES!$E$1:$F$44,2,FALSE)</f>
        <v>61-Mobilisation sociale pour l’accroissement des financements de l’AEA</v>
      </c>
      <c r="AB1969" s="19" t="str">
        <f>C1969 &amp; "-" &amp; VLOOKUP(C1969,[4]RESULTATS!$E$1:$F$176,2,FALSE)</f>
        <v>611- les acteurs et les PTF concernés sont mobilisés en faveur de l’AEA.</v>
      </c>
      <c r="AC1969" s="20" t="str">
        <f>D1969 &amp; "-" &amp; VLOOKUP(D1969,[4]STRATEGIES!$E$1:$F$504,2,FALSE)</f>
        <v>6114-Mise en place d'un dispositif de financement de l'alphabétisation</v>
      </c>
      <c r="AD1969" s="21" t="str">
        <f t="shared" si="289"/>
        <v>61143-Validation des résultats de l'étude sur la mise en place du Fonds National pour l’Alphabétisation et l’Education Non Formelle</v>
      </c>
    </row>
    <row r="1970" spans="1:30" s="22" customFormat="1" ht="45" hidden="1" customHeight="1" x14ac:dyDescent="0.8">
      <c r="A1970" s="14">
        <v>6</v>
      </c>
      <c r="B1970" s="15">
        <v>61</v>
      </c>
      <c r="C1970" s="15">
        <v>612</v>
      </c>
      <c r="D1970" s="15">
        <v>612</v>
      </c>
      <c r="E1970" s="15">
        <v>612</v>
      </c>
      <c r="F1970" s="16" t="s">
        <v>2438</v>
      </c>
      <c r="G1970" s="17"/>
      <c r="H1970" s="17"/>
      <c r="I1970" s="33">
        <v>0</v>
      </c>
      <c r="J1970" s="33"/>
      <c r="K1970" s="33"/>
      <c r="L1970" s="33"/>
      <c r="M1970" s="33"/>
      <c r="N1970" s="33"/>
      <c r="O1970" s="33"/>
      <c r="P1970" s="33"/>
      <c r="Q1970" s="33"/>
      <c r="R1970" s="33"/>
      <c r="S1970" s="33"/>
      <c r="T1970" s="33"/>
      <c r="U1970" s="18"/>
      <c r="V1970" s="18"/>
      <c r="W1970" s="18"/>
      <c r="X1970" s="18"/>
      <c r="Y1970" s="18"/>
      <c r="Z1970" s="18" t="str">
        <f>A1970 &amp; "-" &amp; VLOOKUP(A1970,[4]PROGRAMMES!$E$1:$F$7,2,FALSE)</f>
        <v>6-Education et alphabétisation des adultes</v>
      </c>
      <c r="AA1970" s="19" t="str">
        <f>B1970 &amp; "-" &amp; VLOOKUP(B1970,[4]SOUSPROGRAMMES!$E$1:$F$44,2,FALSE)</f>
        <v>61-Mobilisation sociale pour l’accroissement des financements de l’AEA</v>
      </c>
      <c r="AB1970" s="19" t="str">
        <f>C1970 &amp; "-" &amp; VLOOKUP(C1970,[4]RESULTATS!$E$1:$F$176,2,FALSE)</f>
        <v xml:space="preserve">612- Une synergie d’actions existe entre les différents départements intervenant en AEA </v>
      </c>
      <c r="AC1970" s="20" t="str">
        <f>D1970 &amp; "-" &amp; VLOOKUP(D1970,[4]STRATEGIES!$E$1:$F$504,2,FALSE)</f>
        <v xml:space="preserve">612- Une synergie d’actions existe entre les différents départements intervenant en AEA </v>
      </c>
      <c r="AD1970" s="21" t="str">
        <f t="shared" si="289"/>
        <v xml:space="preserve">612- Une synergie d’actions existe entre les différents départements intervenant en AEA </v>
      </c>
    </row>
    <row r="1971" spans="1:30" s="22" customFormat="1" ht="45" hidden="1" customHeight="1" x14ac:dyDescent="0.8">
      <c r="A1971" s="14">
        <v>6</v>
      </c>
      <c r="B1971" s="15">
        <v>61</v>
      </c>
      <c r="C1971" s="15">
        <v>612</v>
      </c>
      <c r="D1971" s="15">
        <v>6121</v>
      </c>
      <c r="E1971" s="15">
        <v>6121</v>
      </c>
      <c r="F1971" s="16" t="s">
        <v>2439</v>
      </c>
      <c r="G1971" s="17"/>
      <c r="H1971" s="17"/>
      <c r="I1971" s="33">
        <v>0</v>
      </c>
      <c r="J1971" s="33"/>
      <c r="K1971" s="33"/>
      <c r="L1971" s="33"/>
      <c r="M1971" s="33"/>
      <c r="N1971" s="33"/>
      <c r="O1971" s="33"/>
      <c r="P1971" s="33"/>
      <c r="Q1971" s="33"/>
      <c r="R1971" s="33"/>
      <c r="S1971" s="33"/>
      <c r="T1971" s="33"/>
      <c r="U1971" s="18"/>
      <c r="V1971" s="18"/>
      <c r="W1971" s="18"/>
      <c r="X1971" s="18"/>
      <c r="Y1971" s="18"/>
      <c r="Z1971" s="18" t="str">
        <f>A1971 &amp; "-" &amp; VLOOKUP(A1971,[4]PROGRAMMES!$E$1:$F$7,2,FALSE)</f>
        <v>6-Education et alphabétisation des adultes</v>
      </c>
      <c r="AA1971" s="19" t="str">
        <f>B1971 &amp; "-" &amp; VLOOKUP(B1971,[4]SOUSPROGRAMMES!$E$1:$F$44,2,FALSE)</f>
        <v>61-Mobilisation sociale pour l’accroissement des financements de l’AEA</v>
      </c>
      <c r="AB1971" s="19" t="str">
        <f>C1971 &amp; "-" &amp; VLOOKUP(C1971,[4]RESULTATS!$E$1:$F$176,2,FALSE)</f>
        <v xml:space="preserve">612- Une synergie d’actions existe entre les différents départements intervenant en AEA </v>
      </c>
      <c r="AC1971" s="20" t="str">
        <f>D1971 &amp; "-" &amp; VLOOKUP(D1971,[4]STRATEGIES!$E$1:$F$504,2,FALSE)</f>
        <v>6121-Développement et mise en place d'un cadre de concertation</v>
      </c>
      <c r="AD1971" s="21" t="str">
        <f t="shared" si="289"/>
        <v>6121-Développement et mise en place d'un cadre de concertation</v>
      </c>
    </row>
    <row r="1972" spans="1:30" s="22" customFormat="1" ht="45" hidden="1" customHeight="1" x14ac:dyDescent="0.8">
      <c r="A1972" s="14">
        <v>6</v>
      </c>
      <c r="B1972" s="15">
        <v>61</v>
      </c>
      <c r="C1972" s="15">
        <v>612</v>
      </c>
      <c r="D1972" s="15">
        <v>6121</v>
      </c>
      <c r="E1972" s="15">
        <v>61211</v>
      </c>
      <c r="F1972" s="16" t="s">
        <v>2440</v>
      </c>
      <c r="G1972" s="21" t="s">
        <v>2441</v>
      </c>
      <c r="H1972" s="17" t="s">
        <v>55</v>
      </c>
      <c r="I1972" s="33">
        <v>0</v>
      </c>
      <c r="J1972" s="33">
        <v>1</v>
      </c>
      <c r="K1972" s="33"/>
      <c r="L1972" s="33"/>
      <c r="M1972" s="33">
        <f t="shared" si="290"/>
        <v>1</v>
      </c>
      <c r="N1972" s="33">
        <f>IF(OR(H1972="",H1972="sif",H1972="PM"),0,VLOOKUP(H1972,[5]CU!$C$4:$H$255,6,FALSE))</f>
        <v>0</v>
      </c>
      <c r="O1972" s="33"/>
      <c r="P1972" s="33"/>
      <c r="Q1972" s="33"/>
      <c r="R1972" s="33"/>
      <c r="S1972" s="33"/>
      <c r="T1972" s="35" t="s">
        <v>56</v>
      </c>
      <c r="U1972" s="18" t="s">
        <v>330</v>
      </c>
      <c r="V1972" s="18" t="str">
        <f>IF(OR($H1972="",$H1972="sif",$H1972="PM"),"",VLOOKUP($H1972,[5]CU!$C$5:$J$255,8,FALSE))</f>
        <v/>
      </c>
      <c r="W1972" s="18" t="s">
        <v>331</v>
      </c>
      <c r="X1972" s="18" t="s">
        <v>2442</v>
      </c>
      <c r="Y1972" s="19" t="s">
        <v>32</v>
      </c>
      <c r="Z1972" s="18" t="str">
        <f>A1972 &amp; "-" &amp; VLOOKUP(A1972,[4]PROGRAMMES!$E$1:$F$7,2,FALSE)</f>
        <v>6-Education et alphabétisation des adultes</v>
      </c>
      <c r="AA1972" s="19" t="str">
        <f>B1972 &amp; "-" &amp; VLOOKUP(B1972,[4]SOUSPROGRAMMES!$E$1:$F$44,2,FALSE)</f>
        <v>61-Mobilisation sociale pour l’accroissement des financements de l’AEA</v>
      </c>
      <c r="AB1972" s="19" t="str">
        <f>C1972 &amp; "-" &amp; VLOOKUP(C1972,[4]RESULTATS!$E$1:$F$176,2,FALSE)</f>
        <v xml:space="preserve">612- Une synergie d’actions existe entre les différents départements intervenant en AEA </v>
      </c>
      <c r="AC1972" s="20" t="str">
        <f>D1972 &amp; "-" &amp; VLOOKUP(D1972,[4]STRATEGIES!$E$1:$F$504,2,FALSE)</f>
        <v>6121-Développement et mise en place d'un cadre de concertation</v>
      </c>
      <c r="AD1972" s="21" t="str">
        <f t="shared" si="289"/>
        <v>61211-Mise en place du conseil national de l'AENF</v>
      </c>
    </row>
    <row r="1973" spans="1:30" s="22" customFormat="1" ht="45" hidden="1" customHeight="1" x14ac:dyDescent="0.8">
      <c r="A1973" s="14">
        <v>6</v>
      </c>
      <c r="B1973" s="15">
        <v>61</v>
      </c>
      <c r="C1973" s="15">
        <v>612</v>
      </c>
      <c r="D1973" s="15">
        <v>6121</v>
      </c>
      <c r="E1973" s="15">
        <v>61212</v>
      </c>
      <c r="F1973" s="16" t="s">
        <v>2443</v>
      </c>
      <c r="G1973" s="21" t="s">
        <v>298</v>
      </c>
      <c r="H1973" s="17" t="s">
        <v>66</v>
      </c>
      <c r="I1973" s="33">
        <v>0</v>
      </c>
      <c r="J1973" s="33">
        <f>20*3</f>
        <v>60</v>
      </c>
      <c r="K1973" s="33"/>
      <c r="L1973" s="33"/>
      <c r="M1973" s="33">
        <f t="shared" si="290"/>
        <v>60</v>
      </c>
      <c r="N1973" s="33">
        <f>IF(OR(H1973="",H1973="sif",H1973="PM"),0,VLOOKUP(H1973,[5]CU!$C$4:$H$255,6,FALSE))</f>
        <v>0.255</v>
      </c>
      <c r="O1973" s="33">
        <f t="shared" ref="O1973:R1991" si="295">$N1973*I1973</f>
        <v>0</v>
      </c>
      <c r="P1973" s="33">
        <f t="shared" si="295"/>
        <v>15.3</v>
      </c>
      <c r="Q1973" s="33">
        <f t="shared" si="295"/>
        <v>0</v>
      </c>
      <c r="R1973" s="33">
        <f t="shared" si="295"/>
        <v>0</v>
      </c>
      <c r="S1973" s="33">
        <f t="shared" ref="S1973:S1991" si="296">SUM(O1973:R1973)</f>
        <v>15.3</v>
      </c>
      <c r="T1973" s="35" t="s">
        <v>56</v>
      </c>
      <c r="U1973" s="18" t="s">
        <v>330</v>
      </c>
      <c r="V1973" s="18" t="str">
        <f>IF(OR($H1973="",$H1973="sif",$H1973="PM"),"",VLOOKUP($H1973,[5]CU!$C$5:$J$255,8,FALSE))</f>
        <v>3. Dépenses de fonctionnement</v>
      </c>
      <c r="W1973" s="18" t="s">
        <v>331</v>
      </c>
      <c r="X1973" s="18" t="s">
        <v>331</v>
      </c>
      <c r="Y1973" s="19" t="s">
        <v>32</v>
      </c>
      <c r="Z1973" s="18" t="str">
        <f>A1973 &amp; "-" &amp; VLOOKUP(A1973,[4]PROGRAMMES!$E$1:$F$7,2,FALSE)</f>
        <v>6-Education et alphabétisation des adultes</v>
      </c>
      <c r="AA1973" s="19" t="str">
        <f>B1973 &amp; "-" &amp; VLOOKUP(B1973,[4]SOUSPROGRAMMES!$E$1:$F$44,2,FALSE)</f>
        <v>61-Mobilisation sociale pour l’accroissement des financements de l’AEA</v>
      </c>
      <c r="AB1973" s="19" t="str">
        <f>C1973 &amp; "-" &amp; VLOOKUP(C1973,[4]RESULTATS!$E$1:$F$176,2,FALSE)</f>
        <v xml:space="preserve">612- Une synergie d’actions existe entre les différents départements intervenant en AEA </v>
      </c>
      <c r="AC1973" s="20" t="str">
        <f>D1973 &amp; "-" &amp; VLOOKUP(D1973,[4]STRATEGIES!$E$1:$F$504,2,FALSE)</f>
        <v>6121-Développement et mise en place d'un cadre de concertation</v>
      </c>
      <c r="AD1973" s="21" t="str">
        <f t="shared" si="289"/>
        <v>61212- Elaboration d’un document de référence de l'alphabétisation (concerté avec tous les acteurs)</v>
      </c>
    </row>
    <row r="1974" spans="1:30" s="22" customFormat="1" ht="45" hidden="1" customHeight="1" x14ac:dyDescent="0.8">
      <c r="A1974" s="14">
        <v>6</v>
      </c>
      <c r="B1974" s="15">
        <v>61</v>
      </c>
      <c r="C1974" s="15">
        <v>612</v>
      </c>
      <c r="D1974" s="15">
        <v>6121</v>
      </c>
      <c r="E1974" s="15">
        <v>61213</v>
      </c>
      <c r="F1974" s="16" t="s">
        <v>2444</v>
      </c>
      <c r="G1974" s="21" t="s">
        <v>451</v>
      </c>
      <c r="H1974" s="17" t="s">
        <v>816</v>
      </c>
      <c r="I1974" s="33">
        <v>0</v>
      </c>
      <c r="J1974" s="33"/>
      <c r="K1974" s="33">
        <f>1000</f>
        <v>1000</v>
      </c>
      <c r="L1974" s="33"/>
      <c r="M1974" s="33">
        <f t="shared" si="290"/>
        <v>1000</v>
      </c>
      <c r="N1974" s="33">
        <f>IF(OR(H1974="",H1974="sif",H1974="PM"),0,VLOOKUP(H1974,[5]CU!$C$4:$H$255,6,FALSE))</f>
        <v>7.4999999999999997E-3</v>
      </c>
      <c r="O1974" s="33">
        <f t="shared" si="295"/>
        <v>0</v>
      </c>
      <c r="P1974" s="33">
        <f t="shared" si="295"/>
        <v>0</v>
      </c>
      <c r="Q1974" s="33">
        <f t="shared" si="295"/>
        <v>7.5</v>
      </c>
      <c r="R1974" s="33">
        <f t="shared" si="295"/>
        <v>0</v>
      </c>
      <c r="S1974" s="33">
        <f t="shared" si="296"/>
        <v>7.5</v>
      </c>
      <c r="T1974" s="35" t="s">
        <v>56</v>
      </c>
      <c r="U1974" s="18" t="s">
        <v>330</v>
      </c>
      <c r="V1974" s="18" t="str">
        <f>IF(OR($H1974="",$H1974="sif",$H1974="PM"),"",VLOOKUP($H1974,[5]CU!$C$5:$J$255,8,FALSE))</f>
        <v>3. Dépenses de fonctionnement</v>
      </c>
      <c r="W1974" s="18" t="s">
        <v>331</v>
      </c>
      <c r="X1974" s="18" t="s">
        <v>331</v>
      </c>
      <c r="Y1974" s="19" t="s">
        <v>32</v>
      </c>
      <c r="Z1974" s="18" t="str">
        <f>A1974 &amp; "-" &amp; VLOOKUP(A1974,[4]PROGRAMMES!$E$1:$F$7,2,FALSE)</f>
        <v>6-Education et alphabétisation des adultes</v>
      </c>
      <c r="AA1974" s="19" t="str">
        <f>B1974 &amp; "-" &amp; VLOOKUP(B1974,[4]SOUSPROGRAMMES!$E$1:$F$44,2,FALSE)</f>
        <v>61-Mobilisation sociale pour l’accroissement des financements de l’AEA</v>
      </c>
      <c r="AB1974" s="19" t="str">
        <f>C1974 &amp; "-" &amp; VLOOKUP(C1974,[4]RESULTATS!$E$1:$F$176,2,FALSE)</f>
        <v xml:space="preserve">612- Une synergie d’actions existe entre les différents départements intervenant en AEA </v>
      </c>
      <c r="AC1974" s="20" t="str">
        <f>D1974 &amp; "-" &amp; VLOOKUP(D1974,[4]STRATEGIES!$E$1:$F$504,2,FALSE)</f>
        <v>6121-Développement et mise en place d'un cadre de concertation</v>
      </c>
      <c r="AD1974" s="21" t="str">
        <f t="shared" si="289"/>
        <v>61213- Diffusion et vulgarisation du document référentiel à tous les acteurs</v>
      </c>
    </row>
    <row r="1975" spans="1:30" s="22" customFormat="1" ht="45" hidden="1" customHeight="1" x14ac:dyDescent="0.8">
      <c r="A1975" s="14">
        <v>6</v>
      </c>
      <c r="B1975" s="15">
        <v>61</v>
      </c>
      <c r="C1975" s="15">
        <v>612</v>
      </c>
      <c r="D1975" s="15">
        <v>6122</v>
      </c>
      <c r="E1975" s="15">
        <v>6122</v>
      </c>
      <c r="F1975" s="16" t="s">
        <v>2445</v>
      </c>
      <c r="G1975" s="17"/>
      <c r="H1975" s="17"/>
      <c r="I1975" s="33">
        <v>0</v>
      </c>
      <c r="J1975" s="33"/>
      <c r="K1975" s="33"/>
      <c r="L1975" s="33"/>
      <c r="M1975" s="33"/>
      <c r="N1975" s="33"/>
      <c r="O1975" s="33"/>
      <c r="P1975" s="33"/>
      <c r="Q1975" s="33"/>
      <c r="R1975" s="33"/>
      <c r="S1975" s="33"/>
      <c r="T1975" s="33"/>
      <c r="U1975" s="18"/>
      <c r="V1975" s="18"/>
      <c r="W1975" s="18"/>
      <c r="X1975" s="18"/>
      <c r="Y1975" s="18"/>
      <c r="Z1975" s="18" t="str">
        <f>A1975 &amp; "-" &amp; VLOOKUP(A1975,[4]PROGRAMMES!$E$1:$F$7,2,FALSE)</f>
        <v>6-Education et alphabétisation des adultes</v>
      </c>
      <c r="AA1975" s="19" t="str">
        <f>B1975 &amp; "-" &amp; VLOOKUP(B1975,[4]SOUSPROGRAMMES!$E$1:$F$44,2,FALSE)</f>
        <v>61-Mobilisation sociale pour l’accroissement des financements de l’AEA</v>
      </c>
      <c r="AB1975" s="19" t="str">
        <f>C1975 &amp; "-" &amp; VLOOKUP(C1975,[4]RESULTATS!$E$1:$F$176,2,FALSE)</f>
        <v xml:space="preserve">612- Une synergie d’actions existe entre les différents départements intervenant en AEA </v>
      </c>
      <c r="AC1975" s="20" t="str">
        <f>D1975 &amp; "-" &amp; VLOOKUP(D1975,[4]STRATEGIES!$E$1:$F$504,2,FALSE)</f>
        <v>6122-Renforcement des capacités de plaidoyer et de suivi des structures en charge de l'AEA</v>
      </c>
      <c r="AD1975" s="21" t="str">
        <f t="shared" si="289"/>
        <v>6122-Renforcement des capacités de plaidoyer et de suivi des structures en charge de l'AEA</v>
      </c>
    </row>
    <row r="1976" spans="1:30" ht="45" hidden="1" customHeight="1" x14ac:dyDescent="0.8">
      <c r="A1976" s="25">
        <v>6</v>
      </c>
      <c r="B1976" s="16">
        <v>61</v>
      </c>
      <c r="C1976" s="16">
        <v>612</v>
      </c>
      <c r="D1976" s="16">
        <v>6122</v>
      </c>
      <c r="E1976" s="16">
        <v>61221</v>
      </c>
      <c r="F1976" s="16" t="s">
        <v>2446</v>
      </c>
      <c r="G1976" s="21" t="s">
        <v>37</v>
      </c>
      <c r="H1976" s="21" t="s">
        <v>66</v>
      </c>
      <c r="I1976" s="36">
        <v>0</v>
      </c>
      <c r="J1976" s="36">
        <f>30*2</f>
        <v>60</v>
      </c>
      <c r="K1976" s="36"/>
      <c r="L1976" s="36"/>
      <c r="M1976" s="36">
        <f t="shared" si="290"/>
        <v>60</v>
      </c>
      <c r="N1976" s="36">
        <f>IF(OR(H1976="",H1976="sif",H1976="PM"),0,VLOOKUP(H1976,[5]CU!$C$4:$H$255,6,FALSE))</f>
        <v>0.255</v>
      </c>
      <c r="O1976" s="36">
        <f t="shared" si="295"/>
        <v>0</v>
      </c>
      <c r="P1976" s="36">
        <f t="shared" si="295"/>
        <v>15.3</v>
      </c>
      <c r="Q1976" s="36">
        <f t="shared" si="295"/>
        <v>0</v>
      </c>
      <c r="R1976" s="36">
        <f t="shared" si="295"/>
        <v>0</v>
      </c>
      <c r="S1976" s="36">
        <f t="shared" si="296"/>
        <v>15.3</v>
      </c>
      <c r="T1976" s="38" t="s">
        <v>169</v>
      </c>
      <c r="U1976" s="19" t="s">
        <v>330</v>
      </c>
      <c r="V1976" s="19" t="str">
        <f>IF(OR($H1976="",$H1976="sif",$H1976="PM"),"",VLOOKUP($H1976,[5]CU!$C$5:$J$255,8,FALSE))</f>
        <v>3. Dépenses de fonctionnement</v>
      </c>
      <c r="W1976" s="19" t="s">
        <v>331</v>
      </c>
      <c r="X1976" s="19" t="s">
        <v>331</v>
      </c>
      <c r="Y1976" s="19" t="s">
        <v>32</v>
      </c>
      <c r="Z1976" s="19" t="str">
        <f>A1976 &amp; "-" &amp; VLOOKUP(A1976,[4]PROGRAMMES!$E$1:$F$7,2,FALSE)</f>
        <v>6-Education et alphabétisation des adultes</v>
      </c>
      <c r="AA1976" s="19" t="str">
        <f>B1976 &amp; "-" &amp; VLOOKUP(B1976,[4]SOUSPROGRAMMES!$E$1:$F$44,2,FALSE)</f>
        <v>61-Mobilisation sociale pour l’accroissement des financements de l’AEA</v>
      </c>
      <c r="AB1976" s="19" t="str">
        <f>C1976 &amp; "-" &amp; VLOOKUP(C1976,[4]RESULTATS!$E$1:$F$176,2,FALSE)</f>
        <v xml:space="preserve">612- Une synergie d’actions existe entre les différents départements intervenant en AEA </v>
      </c>
      <c r="AC1976" s="20" t="str">
        <f>D1976 &amp; "-" &amp; VLOOKUP(D1976,[4]STRATEGIES!$E$1:$F$504,2,FALSE)</f>
        <v>6122-Renforcement des capacités de plaidoyer et de suivi des structures en charge de l'AEA</v>
      </c>
      <c r="AD1976" s="21" t="str">
        <f t="shared" si="289"/>
        <v>61221-Organisation d'une concertation sur les stratégies d'AENF (acquis et faiblesses)</v>
      </c>
    </row>
    <row r="1977" spans="1:30" ht="45" hidden="1" customHeight="1" x14ac:dyDescent="0.8">
      <c r="A1977" s="25">
        <v>6</v>
      </c>
      <c r="B1977" s="16">
        <v>61</v>
      </c>
      <c r="C1977" s="16">
        <v>612</v>
      </c>
      <c r="D1977" s="16">
        <v>6122</v>
      </c>
      <c r="E1977" s="16">
        <v>61222</v>
      </c>
      <c r="F1977" s="16" t="s">
        <v>2447</v>
      </c>
      <c r="G1977" s="21" t="s">
        <v>167</v>
      </c>
      <c r="H1977" s="21" t="s">
        <v>646</v>
      </c>
      <c r="I1977" s="36">
        <v>0</v>
      </c>
      <c r="J1977" s="36"/>
      <c r="K1977" s="36">
        <f>1*15</f>
        <v>15</v>
      </c>
      <c r="L1977" s="36"/>
      <c r="M1977" s="36">
        <f t="shared" si="290"/>
        <v>15</v>
      </c>
      <c r="N1977" s="36">
        <f>IF(OR(H1977="",H1977="sif",H1977="PM"),0,VLOOKUP(H1977,[5]CU!$C$4:$H$255,6,FALSE))</f>
        <v>10.404797</v>
      </c>
      <c r="O1977" s="36">
        <f t="shared" si="295"/>
        <v>0</v>
      </c>
      <c r="P1977" s="36">
        <f t="shared" si="295"/>
        <v>0</v>
      </c>
      <c r="Q1977" s="36">
        <f t="shared" si="295"/>
        <v>156.071955</v>
      </c>
      <c r="R1977" s="36">
        <f t="shared" si="295"/>
        <v>0</v>
      </c>
      <c r="S1977" s="36">
        <f t="shared" si="296"/>
        <v>156.071955</v>
      </c>
      <c r="T1977" s="38" t="s">
        <v>169</v>
      </c>
      <c r="U1977" s="19" t="s">
        <v>330</v>
      </c>
      <c r="V1977" s="19" t="str">
        <f>IF(OR($H1977="",$H1977="sif",$H1977="PM"),"",VLOOKUP($H1977,[5]CU!$C$5:$J$255,8,FALSE))</f>
        <v>3. Dépenses de fonctionnement</v>
      </c>
      <c r="W1977" s="19" t="s">
        <v>331</v>
      </c>
      <c r="X1977" s="19" t="s">
        <v>331</v>
      </c>
      <c r="Y1977" s="19" t="s">
        <v>32</v>
      </c>
      <c r="Z1977" s="19" t="str">
        <f>A1977 &amp; "-" &amp; VLOOKUP(A1977,[4]PROGRAMMES!$E$1:$F$7,2,FALSE)</f>
        <v>6-Education et alphabétisation des adultes</v>
      </c>
      <c r="AA1977" s="19" t="str">
        <f>B1977 &amp; "-" &amp; VLOOKUP(B1977,[4]SOUSPROGRAMMES!$E$1:$F$44,2,FALSE)</f>
        <v>61-Mobilisation sociale pour l’accroissement des financements de l’AEA</v>
      </c>
      <c r="AB1977" s="19" t="str">
        <f>C1977 &amp; "-" &amp; VLOOKUP(C1977,[4]RESULTATS!$E$1:$F$176,2,FALSE)</f>
        <v xml:space="preserve">612- Une synergie d’actions existe entre les différents départements intervenant en AEA </v>
      </c>
      <c r="AC1977" s="20" t="str">
        <f>D1977 &amp; "-" &amp; VLOOKUP(D1977,[4]STRATEGIES!$E$1:$F$504,2,FALSE)</f>
        <v>6122-Renforcement des capacités de plaidoyer et de suivi des structures en charge de l'AEA</v>
      </c>
      <c r="AD1977" s="21" t="str">
        <f t="shared" si="289"/>
        <v>61222-Elaboration d'un manuel de procédure pour l'organisation des activités de plaidoyer de suivi évaluation des activités d'AENF en tenant compte des résultats de la concertation)</v>
      </c>
    </row>
    <row r="1978" spans="1:30" ht="45" hidden="1" customHeight="1" x14ac:dyDescent="0.8">
      <c r="A1978" s="25">
        <v>6</v>
      </c>
      <c r="B1978" s="16">
        <v>61</v>
      </c>
      <c r="C1978" s="16">
        <v>612</v>
      </c>
      <c r="D1978" s="16">
        <v>6122</v>
      </c>
      <c r="E1978" s="16">
        <v>61223</v>
      </c>
      <c r="F1978" s="16" t="s">
        <v>2448</v>
      </c>
      <c r="G1978" s="21" t="s">
        <v>298</v>
      </c>
      <c r="H1978" s="21" t="s">
        <v>301</v>
      </c>
      <c r="I1978" s="36">
        <v>0</v>
      </c>
      <c r="J1978" s="36"/>
      <c r="K1978" s="36">
        <f>20*14*1</f>
        <v>280</v>
      </c>
      <c r="L1978" s="36"/>
      <c r="M1978" s="36">
        <f t="shared" si="290"/>
        <v>280</v>
      </c>
      <c r="N1978" s="36">
        <f>IF(OR(H1978="",H1978="sif",H1978="PM"),0,VLOOKUP(H1978,[5]CU!$C$4:$H$255,6,FALSE))</f>
        <v>0.67666666666666664</v>
      </c>
      <c r="O1978" s="36">
        <f t="shared" si="295"/>
        <v>0</v>
      </c>
      <c r="P1978" s="36">
        <f t="shared" si="295"/>
        <v>0</v>
      </c>
      <c r="Q1978" s="36">
        <f t="shared" si="295"/>
        <v>189.46666666666667</v>
      </c>
      <c r="R1978" s="36">
        <f t="shared" si="295"/>
        <v>0</v>
      </c>
      <c r="S1978" s="36">
        <f t="shared" si="296"/>
        <v>189.46666666666667</v>
      </c>
      <c r="T1978" s="38" t="s">
        <v>169</v>
      </c>
      <c r="U1978" s="19" t="s">
        <v>330</v>
      </c>
      <c r="V1978" s="19" t="str">
        <f>IF(OR($H1978="",$H1978="sif",$H1978="PM"),"",VLOOKUP($H1978,[5]CU!$C$5:$J$255,8,FALSE))</f>
        <v>3. Formation</v>
      </c>
      <c r="W1978" s="19" t="s">
        <v>331</v>
      </c>
      <c r="X1978" s="19" t="s">
        <v>331</v>
      </c>
      <c r="Y1978" s="19" t="s">
        <v>32</v>
      </c>
      <c r="Z1978" s="19" t="str">
        <f>A1978 &amp; "-" &amp; VLOOKUP(A1978,[4]PROGRAMMES!$E$1:$F$7,2,FALSE)</f>
        <v>6-Education et alphabétisation des adultes</v>
      </c>
      <c r="AA1978" s="19" t="str">
        <f>B1978 &amp; "-" &amp; VLOOKUP(B1978,[4]SOUSPROGRAMMES!$E$1:$F$44,2,FALSE)</f>
        <v>61-Mobilisation sociale pour l’accroissement des financements de l’AEA</v>
      </c>
      <c r="AB1978" s="19" t="str">
        <f>C1978 &amp; "-" &amp; VLOOKUP(C1978,[4]RESULTATS!$E$1:$F$176,2,FALSE)</f>
        <v xml:space="preserve">612- Une synergie d’actions existe entre les différents départements intervenant en AEA </v>
      </c>
      <c r="AC1978" s="20" t="str">
        <f>D1978 &amp; "-" &amp; VLOOKUP(D1978,[4]STRATEGIES!$E$1:$F$504,2,FALSE)</f>
        <v>6122-Renforcement des capacités de plaidoyer et de suivi des structures en charge de l'AEA</v>
      </c>
      <c r="AD1978" s="21" t="str">
        <f t="shared" si="289"/>
        <v>61223-Renforcement de capacités des acteurs en plaidoyer et suivi évaluation des activités d'AENF</v>
      </c>
    </row>
    <row r="1979" spans="1:30" ht="45" hidden="1" customHeight="1" x14ac:dyDescent="0.8">
      <c r="A1979" s="25">
        <v>6</v>
      </c>
      <c r="B1979" s="16">
        <v>61</v>
      </c>
      <c r="C1979" s="16">
        <v>612</v>
      </c>
      <c r="D1979" s="16">
        <v>6122</v>
      </c>
      <c r="E1979" s="16">
        <v>61224</v>
      </c>
      <c r="F1979" s="16" t="s">
        <v>2449</v>
      </c>
      <c r="G1979" s="21" t="s">
        <v>451</v>
      </c>
      <c r="H1979" s="21" t="s">
        <v>816</v>
      </c>
      <c r="I1979" s="36">
        <v>0</v>
      </c>
      <c r="J1979" s="36"/>
      <c r="K1979" s="36">
        <f>2000</f>
        <v>2000</v>
      </c>
      <c r="L1979" s="36"/>
      <c r="M1979" s="36">
        <f t="shared" si="290"/>
        <v>2000</v>
      </c>
      <c r="N1979" s="36">
        <f>IF(OR(H1979="",H1979="sif",H1979="PM"),0,VLOOKUP(H1979,[5]CU!$C$4:$H$255,6,FALSE))</f>
        <v>7.4999999999999997E-3</v>
      </c>
      <c r="O1979" s="36">
        <f t="shared" si="295"/>
        <v>0</v>
      </c>
      <c r="P1979" s="36">
        <f t="shared" si="295"/>
        <v>0</v>
      </c>
      <c r="Q1979" s="36">
        <f t="shared" si="295"/>
        <v>15</v>
      </c>
      <c r="R1979" s="36">
        <f t="shared" si="295"/>
        <v>0</v>
      </c>
      <c r="S1979" s="36">
        <f t="shared" si="296"/>
        <v>15</v>
      </c>
      <c r="T1979" s="38" t="s">
        <v>169</v>
      </c>
      <c r="U1979" s="19" t="s">
        <v>330</v>
      </c>
      <c r="V1979" s="19" t="str">
        <f>IF(OR($H1979="",$H1979="sif",$H1979="PM"),"",VLOOKUP($H1979,[5]CU!$C$5:$J$255,8,FALSE))</f>
        <v>3. Dépenses de fonctionnement</v>
      </c>
      <c r="W1979" s="19" t="s">
        <v>331</v>
      </c>
      <c r="X1979" s="19" t="s">
        <v>331</v>
      </c>
      <c r="Y1979" s="19" t="s">
        <v>32</v>
      </c>
      <c r="Z1979" s="19" t="str">
        <f>A1979 &amp; "-" &amp; VLOOKUP(A1979,[4]PROGRAMMES!$E$1:$F$7,2,FALSE)</f>
        <v>6-Education et alphabétisation des adultes</v>
      </c>
      <c r="AA1979" s="19" t="str">
        <f>B1979 &amp; "-" &amp; VLOOKUP(B1979,[4]SOUSPROGRAMMES!$E$1:$F$44,2,FALSE)</f>
        <v>61-Mobilisation sociale pour l’accroissement des financements de l’AEA</v>
      </c>
      <c r="AB1979" s="19" t="str">
        <f>C1979 &amp; "-" &amp; VLOOKUP(C1979,[4]RESULTATS!$E$1:$F$176,2,FALSE)</f>
        <v xml:space="preserve">612- Une synergie d’actions existe entre les différents départements intervenant en AEA </v>
      </c>
      <c r="AC1979" s="20" t="str">
        <f>D1979 &amp; "-" &amp; VLOOKUP(D1979,[4]STRATEGIES!$E$1:$F$504,2,FALSE)</f>
        <v>6122-Renforcement des capacités de plaidoyer et de suivi des structures en charge de l'AEA</v>
      </c>
      <c r="AD1979" s="21" t="str">
        <f t="shared" si="289"/>
        <v>61224-Vulgarisation des manuels de procédures</v>
      </c>
    </row>
    <row r="1980" spans="1:30" ht="45" hidden="1" customHeight="1" x14ac:dyDescent="0.8">
      <c r="A1980" s="25">
        <v>6</v>
      </c>
      <c r="B1980" s="16">
        <v>61</v>
      </c>
      <c r="C1980" s="16">
        <v>612</v>
      </c>
      <c r="D1980" s="16">
        <v>6122</v>
      </c>
      <c r="E1980" s="16">
        <v>61225</v>
      </c>
      <c r="F1980" s="16" t="s">
        <v>2450</v>
      </c>
      <c r="G1980" s="21" t="s">
        <v>298</v>
      </c>
      <c r="H1980" s="21" t="s">
        <v>301</v>
      </c>
      <c r="I1980" s="36">
        <v>0</v>
      </c>
      <c r="J1980" s="36"/>
      <c r="K1980" s="36">
        <f>12*2*8</f>
        <v>192</v>
      </c>
      <c r="L1980" s="36"/>
      <c r="M1980" s="36">
        <f t="shared" si="290"/>
        <v>192</v>
      </c>
      <c r="N1980" s="36">
        <f>IF(OR(H1980="",H1980="sif",H1980="PM"),0,VLOOKUP(H1980,[5]CU!$C$4:$H$255,6,FALSE))</f>
        <v>0.67666666666666664</v>
      </c>
      <c r="O1980" s="36">
        <f t="shared" si="295"/>
        <v>0</v>
      </c>
      <c r="P1980" s="36">
        <f t="shared" si="295"/>
        <v>0</v>
      </c>
      <c r="Q1980" s="36">
        <f t="shared" si="295"/>
        <v>129.91999999999999</v>
      </c>
      <c r="R1980" s="36">
        <f t="shared" si="295"/>
        <v>0</v>
      </c>
      <c r="S1980" s="36">
        <f t="shared" si="296"/>
        <v>129.91999999999999</v>
      </c>
      <c r="T1980" s="38" t="s">
        <v>169</v>
      </c>
      <c r="U1980" s="19" t="s">
        <v>330</v>
      </c>
      <c r="V1980" s="19" t="str">
        <f>IF(OR($H1980="",$H1980="sif",$H1980="PM"),"",VLOOKUP($H1980,[5]CU!$C$5:$J$255,8,FALSE))</f>
        <v>3. Formation</v>
      </c>
      <c r="W1980" s="19" t="s">
        <v>331</v>
      </c>
      <c r="X1980" s="19" t="s">
        <v>2451</v>
      </c>
      <c r="Y1980" s="19" t="s">
        <v>32</v>
      </c>
      <c r="Z1980" s="19" t="str">
        <f>A1980 &amp; "-" &amp; VLOOKUP(A1980,[4]PROGRAMMES!$E$1:$F$7,2,FALSE)</f>
        <v>6-Education et alphabétisation des adultes</v>
      </c>
      <c r="AA1980" s="19" t="str">
        <f>B1980 &amp; "-" &amp; VLOOKUP(B1980,[4]SOUSPROGRAMMES!$E$1:$F$44,2,FALSE)</f>
        <v>61-Mobilisation sociale pour l’accroissement des financements de l’AEA</v>
      </c>
      <c r="AB1980" s="19" t="str">
        <f>C1980 &amp; "-" &amp; VLOOKUP(C1980,[4]RESULTATS!$E$1:$F$176,2,FALSE)</f>
        <v xml:space="preserve">612- Une synergie d’actions existe entre les différents départements intervenant en AEA </v>
      </c>
      <c r="AC1980" s="20" t="str">
        <f>D1980 &amp; "-" &amp; VLOOKUP(D1980,[4]STRATEGIES!$E$1:$F$504,2,FALSE)</f>
        <v>6122-Renforcement des capacités de plaidoyer et de suivi des structures en charge de l'AEA</v>
      </c>
      <c r="AD1980" s="21" t="str">
        <f t="shared" si="289"/>
        <v>61225-Démultiplication de la formation au niveau des acteurs</v>
      </c>
    </row>
    <row r="1981" spans="1:30" ht="45" hidden="1" customHeight="1" x14ac:dyDescent="0.8">
      <c r="A1981" s="25">
        <v>6</v>
      </c>
      <c r="B1981" s="16">
        <v>61</v>
      </c>
      <c r="C1981" s="16">
        <v>612</v>
      </c>
      <c r="D1981" s="16">
        <v>6122</v>
      </c>
      <c r="E1981" s="16">
        <v>61226</v>
      </c>
      <c r="F1981" s="16" t="s">
        <v>2452</v>
      </c>
      <c r="G1981" s="21" t="s">
        <v>1128</v>
      </c>
      <c r="H1981" s="21" t="s">
        <v>59</v>
      </c>
      <c r="I1981" s="36">
        <v>0</v>
      </c>
      <c r="J1981" s="36"/>
      <c r="K1981" s="36">
        <f>12*5*8</f>
        <v>480</v>
      </c>
      <c r="L1981" s="36"/>
      <c r="M1981" s="36">
        <f t="shared" si="290"/>
        <v>480</v>
      </c>
      <c r="N1981" s="36">
        <f>IF(OR(H1981="",H1981="sif",H1981="PM"),0,VLOOKUP(H1981,[5]CU!$C$4:$H$255,6,FALSE))</f>
        <v>0.8177777777777776</v>
      </c>
      <c r="O1981" s="36">
        <f t="shared" si="295"/>
        <v>0</v>
      </c>
      <c r="P1981" s="36">
        <f t="shared" si="295"/>
        <v>0</v>
      </c>
      <c r="Q1981" s="36">
        <f t="shared" si="295"/>
        <v>392.53333333333325</v>
      </c>
      <c r="R1981" s="36">
        <f t="shared" si="295"/>
        <v>0</v>
      </c>
      <c r="S1981" s="36">
        <f t="shared" si="296"/>
        <v>392.53333333333325</v>
      </c>
      <c r="T1981" s="38" t="s">
        <v>169</v>
      </c>
      <c r="U1981" s="19" t="s">
        <v>330</v>
      </c>
      <c r="V1981" s="19" t="str">
        <f>IF(OR($H1981="",$H1981="sif",$H1981="PM"),"",VLOOKUP($H1981,[5]CU!$C$5:$J$255,8,FALSE))</f>
        <v>3. Dépenses de fonctionnement</v>
      </c>
      <c r="W1981" s="19" t="s">
        <v>331</v>
      </c>
      <c r="X1981" s="19" t="s">
        <v>2451</v>
      </c>
      <c r="Y1981" s="19" t="s">
        <v>32</v>
      </c>
      <c r="Z1981" s="19" t="str">
        <f>A1981 &amp; "-" &amp; VLOOKUP(A1981,[4]PROGRAMMES!$E$1:$F$7,2,FALSE)</f>
        <v>6-Education et alphabétisation des adultes</v>
      </c>
      <c r="AA1981" s="19" t="str">
        <f>B1981 &amp; "-" &amp; VLOOKUP(B1981,[4]SOUSPROGRAMMES!$E$1:$F$44,2,FALSE)</f>
        <v>61-Mobilisation sociale pour l’accroissement des financements de l’AEA</v>
      </c>
      <c r="AB1981" s="19" t="str">
        <f>C1981 &amp; "-" &amp; VLOOKUP(C1981,[4]RESULTATS!$E$1:$F$176,2,FALSE)</f>
        <v xml:space="preserve">612- Une synergie d’actions existe entre les différents départements intervenant en AEA </v>
      </c>
      <c r="AC1981" s="20" t="str">
        <f>D1981 &amp; "-" &amp; VLOOKUP(D1981,[4]STRATEGIES!$E$1:$F$504,2,FALSE)</f>
        <v>6122-Renforcement des capacités de plaidoyer et de suivi des structures en charge de l'AEA</v>
      </c>
      <c r="AD1981" s="21" t="str">
        <f t="shared" si="289"/>
        <v>61226-déploiement des acteurs formés sur le terrain pour le plaidoyer</v>
      </c>
    </row>
    <row r="1982" spans="1:30" s="22" customFormat="1" ht="45" hidden="1" customHeight="1" x14ac:dyDescent="0.8">
      <c r="A1982" s="14">
        <v>6</v>
      </c>
      <c r="B1982" s="15">
        <v>62</v>
      </c>
      <c r="C1982" s="15">
        <v>62</v>
      </c>
      <c r="D1982" s="15">
        <v>62</v>
      </c>
      <c r="E1982" s="15">
        <v>62</v>
      </c>
      <c r="F1982" s="16" t="s">
        <v>2453</v>
      </c>
      <c r="G1982" s="17"/>
      <c r="H1982" s="17"/>
      <c r="I1982" s="33">
        <v>0</v>
      </c>
      <c r="J1982" s="33"/>
      <c r="K1982" s="33"/>
      <c r="L1982" s="33"/>
      <c r="M1982" s="33"/>
      <c r="N1982" s="33"/>
      <c r="O1982" s="33"/>
      <c r="P1982" s="33"/>
      <c r="Q1982" s="33"/>
      <c r="R1982" s="33"/>
      <c r="S1982" s="33"/>
      <c r="T1982" s="33"/>
      <c r="U1982" s="18"/>
      <c r="V1982" s="18"/>
      <c r="W1982" s="18"/>
      <c r="X1982" s="18"/>
      <c r="Y1982" s="18"/>
      <c r="Z1982" s="18" t="str">
        <f>A1982 &amp; "-" &amp; VLOOKUP(A1982,[4]PROGRAMMES!$E$1:$F$7,2,FALSE)</f>
        <v>6-Education et alphabétisation des adultes</v>
      </c>
      <c r="AA1982" s="19" t="str">
        <f>B1982 &amp; "-" &amp; VLOOKUP(B1982,[4]SOUSPROGRAMMES!$E$1:$F$44,2,FALSE)</f>
        <v>62- Diversification des approches pour un plus grand accès équitable (modèles, des types de  centres )</v>
      </c>
      <c r="AB1982" s="19" t="str">
        <f>C1982 &amp; "-" &amp; VLOOKUP(C1982,[4]RESULTATS!$E$1:$F$176,2,FALSE)</f>
        <v>62- Diversification des approches pour un plus grand accès équitable (modèles, des types de  centres )</v>
      </c>
      <c r="AC1982" s="20" t="str">
        <f>D1982 &amp; "-" &amp; VLOOKUP(D1982,[4]STRATEGIES!$E$1:$F$504,2,FALSE)</f>
        <v>62- Diversification des approches pour un plus grand accès équitable (modèles, des types de  centres )</v>
      </c>
      <c r="AD1982" s="21" t="str">
        <f t="shared" si="289"/>
        <v>62- Diversification des approches pour un plus grand accès équitable (modèles, des types de  centres )</v>
      </c>
    </row>
    <row r="1983" spans="1:30" s="22" customFormat="1" ht="45" hidden="1" customHeight="1" x14ac:dyDescent="0.8">
      <c r="A1983" s="14">
        <v>6</v>
      </c>
      <c r="B1983" s="15">
        <v>62</v>
      </c>
      <c r="C1983" s="15">
        <v>621</v>
      </c>
      <c r="D1983" s="15">
        <v>621</v>
      </c>
      <c r="E1983" s="15">
        <v>621</v>
      </c>
      <c r="F1983" s="16" t="s">
        <v>2454</v>
      </c>
      <c r="G1983" s="17"/>
      <c r="H1983" s="17"/>
      <c r="I1983" s="33">
        <v>0</v>
      </c>
      <c r="J1983" s="33"/>
      <c r="K1983" s="33"/>
      <c r="L1983" s="33"/>
      <c r="M1983" s="33"/>
      <c r="N1983" s="33"/>
      <c r="O1983" s="33"/>
      <c r="P1983" s="33"/>
      <c r="Q1983" s="33"/>
      <c r="R1983" s="33"/>
      <c r="S1983" s="33"/>
      <c r="T1983" s="33"/>
      <c r="U1983" s="18"/>
      <c r="V1983" s="18"/>
      <c r="W1983" s="18"/>
      <c r="X1983" s="18"/>
      <c r="Y1983" s="18"/>
      <c r="Z1983" s="18" t="str">
        <f>A1983 &amp; "-" &amp; VLOOKUP(A1983,[4]PROGRAMMES!$E$1:$F$7,2,FALSE)</f>
        <v>6-Education et alphabétisation des adultes</v>
      </c>
      <c r="AA1983" s="19" t="str">
        <f>B1983 &amp; "-" &amp; VLOOKUP(B1983,[4]SOUSPROGRAMMES!$E$1:$F$44,2,FALSE)</f>
        <v>62- Diversification des approches pour un plus grand accès équitable (modèles, des types de  centres )</v>
      </c>
      <c r="AB1983" s="19" t="str">
        <f>C1983 &amp; "-" &amp; VLOOKUP(C1983,[4]RESULTATS!$E$1:$F$176,2,FALSE)</f>
        <v>621-Plusieurs approches et modèles sont identifiées, validées et développées dans l’AEA</v>
      </c>
      <c r="AC1983" s="20" t="str">
        <f>D1983 &amp; "-" &amp; VLOOKUP(D1983,[4]STRATEGIES!$E$1:$F$504,2,FALSE)</f>
        <v>621-Plusieurs approches et modèles sont identifiées, validées et développées dans l’AEA</v>
      </c>
      <c r="AD1983" s="21" t="str">
        <f t="shared" si="289"/>
        <v>621-Plusieurs approches et modèles sont identifiées, validées et développées dans l’AEA</v>
      </c>
    </row>
    <row r="1984" spans="1:30" s="22" customFormat="1" ht="45" hidden="1" customHeight="1" x14ac:dyDescent="0.8">
      <c r="A1984" s="14">
        <v>6</v>
      </c>
      <c r="B1984" s="15">
        <v>62</v>
      </c>
      <c r="C1984" s="15">
        <v>621</v>
      </c>
      <c r="D1984" s="15">
        <v>6211</v>
      </c>
      <c r="E1984" s="15">
        <v>6211</v>
      </c>
      <c r="F1984" s="16" t="s">
        <v>2455</v>
      </c>
      <c r="G1984" s="17"/>
      <c r="H1984" s="17"/>
      <c r="I1984" s="33">
        <v>0</v>
      </c>
      <c r="J1984" s="33"/>
      <c r="K1984" s="33"/>
      <c r="L1984" s="33"/>
      <c r="M1984" s="33"/>
      <c r="N1984" s="33"/>
      <c r="O1984" s="33"/>
      <c r="P1984" s="33"/>
      <c r="Q1984" s="33"/>
      <c r="R1984" s="33"/>
      <c r="S1984" s="33"/>
      <c r="T1984" s="33"/>
      <c r="U1984" s="18"/>
      <c r="V1984" s="18"/>
      <c r="W1984" s="18"/>
      <c r="X1984" s="18"/>
      <c r="Y1984" s="18"/>
      <c r="Z1984" s="18" t="str">
        <f>A1984 &amp; "-" &amp; VLOOKUP(A1984,[4]PROGRAMMES!$E$1:$F$7,2,FALSE)</f>
        <v>6-Education et alphabétisation des adultes</v>
      </c>
      <c r="AA1984" s="19" t="str">
        <f>B1984 &amp; "-" &amp; VLOOKUP(B1984,[4]SOUSPROGRAMMES!$E$1:$F$44,2,FALSE)</f>
        <v>62- Diversification des approches pour un plus grand accès équitable (modèles, des types de  centres )</v>
      </c>
      <c r="AB1984" s="19" t="str">
        <f>C1984 &amp; "-" &amp; VLOOKUP(C1984,[4]RESULTATS!$E$1:$F$176,2,FALSE)</f>
        <v>621-Plusieurs approches et modèles sont identifiées, validées et développées dans l’AEA</v>
      </c>
      <c r="AC1984" s="20" t="str">
        <f>D1984 &amp; "-" &amp; VLOOKUP(D1984,[4]STRATEGIES!$E$1:$F$504,2,FALSE)</f>
        <v>6211-Renforcement des capacités des acteurs sur les nouvelles approches</v>
      </c>
      <c r="AD1984" s="21" t="str">
        <f t="shared" si="289"/>
        <v>6211-Renforcement des capacités des acteurs sur les nouvelles approches</v>
      </c>
    </row>
    <row r="1985" spans="1:30" s="22" customFormat="1" ht="45" hidden="1" customHeight="1" x14ac:dyDescent="0.8">
      <c r="A1985" s="14">
        <v>6</v>
      </c>
      <c r="B1985" s="15">
        <v>62</v>
      </c>
      <c r="C1985" s="15">
        <v>621</v>
      </c>
      <c r="D1985" s="15">
        <v>6211</v>
      </c>
      <c r="E1985" s="15">
        <v>62111</v>
      </c>
      <c r="F1985" s="16" t="s">
        <v>2456</v>
      </c>
      <c r="G1985" s="21" t="s">
        <v>1128</v>
      </c>
      <c r="H1985" s="17" t="s">
        <v>59</v>
      </c>
      <c r="I1985" s="33">
        <v>0</v>
      </c>
      <c r="J1985" s="33">
        <f>(4*7*2)*80.01%</f>
        <v>44.805599999999998</v>
      </c>
      <c r="K1985" s="33">
        <f>(4*7*2)*80.01%</f>
        <v>44.805599999999998</v>
      </c>
      <c r="L1985" s="33">
        <f>(4*7*2)*80.01%</f>
        <v>44.805599999999998</v>
      </c>
      <c r="M1985" s="33">
        <f>SUM(I1985:L1985)</f>
        <v>134.41679999999999</v>
      </c>
      <c r="N1985" s="33">
        <f>IF(OR(H1985="",H1985="sif",H1985="PM"),0,VLOOKUP(H1985,[5]CU!$C$4:$H$255,6,FALSE))</f>
        <v>0.8177777777777776</v>
      </c>
      <c r="O1985" s="33">
        <f>$N1985*I1985</f>
        <v>0</v>
      </c>
      <c r="P1985" s="33">
        <f>$N1985*J1985</f>
        <v>36.641023999999987</v>
      </c>
      <c r="Q1985" s="33">
        <f>$N1985*K1985</f>
        <v>36.641023999999987</v>
      </c>
      <c r="R1985" s="33">
        <f>$N1985*L1985</f>
        <v>36.641023999999987</v>
      </c>
      <c r="S1985" s="33">
        <f>SUM(O1985:R1985)</f>
        <v>109.92307199999996</v>
      </c>
      <c r="T1985" s="35" t="s">
        <v>56</v>
      </c>
      <c r="U1985" s="18" t="s">
        <v>330</v>
      </c>
      <c r="V1985" s="18" t="str">
        <f>IF(OR($H1985="",$H1985="sif",$H1985="PM"),"",VLOOKUP($H1985,[5]CU!$C$5:$J$255,8,FALSE))</f>
        <v>3. Dépenses de fonctionnement</v>
      </c>
      <c r="W1985" s="18" t="s">
        <v>331</v>
      </c>
      <c r="X1985" s="18" t="s">
        <v>2457</v>
      </c>
      <c r="Y1985" s="19" t="s">
        <v>32</v>
      </c>
      <c r="Z1985" s="18" t="str">
        <f>A1985 &amp; "-" &amp; VLOOKUP(A1985,[4]PROGRAMMES!$E$1:$F$7,2,FALSE)</f>
        <v>6-Education et alphabétisation des adultes</v>
      </c>
      <c r="AA1985" s="19" t="str">
        <f>B1985 &amp; "-" &amp; VLOOKUP(B1985,[4]SOUSPROGRAMMES!$E$1:$F$44,2,FALSE)</f>
        <v>62- Diversification des approches pour un plus grand accès équitable (modèles, des types de  centres )</v>
      </c>
      <c r="AB1985" s="19" t="str">
        <f>C1985 &amp; "-" &amp; VLOOKUP(C1985,[4]RESULTATS!$E$1:$F$176,2,FALSE)</f>
        <v>621-Plusieurs approches et modèles sont identifiées, validées et développées dans l’AEA</v>
      </c>
      <c r="AC1985" s="20" t="str">
        <f>D1985 &amp; "-" &amp; VLOOKUP(D1985,[4]STRATEGIES!$E$1:$F$504,2,FALSE)</f>
        <v>6211-Renforcement des capacités des acteurs sur les nouvelles approches</v>
      </c>
      <c r="AD1985" s="21" t="str">
        <f t="shared" si="289"/>
        <v>62111-identification des opérateurs (dans le cadre de l'étude du milieu)</v>
      </c>
    </row>
    <row r="1986" spans="1:30" s="22" customFormat="1" ht="45" hidden="1" customHeight="1" x14ac:dyDescent="0.8">
      <c r="A1986" s="14">
        <v>6</v>
      </c>
      <c r="B1986" s="15">
        <v>62</v>
      </c>
      <c r="C1986" s="15">
        <v>621</v>
      </c>
      <c r="D1986" s="15">
        <v>6211</v>
      </c>
      <c r="E1986" s="15">
        <v>62111</v>
      </c>
      <c r="F1986" s="16" t="s">
        <v>2456</v>
      </c>
      <c r="G1986" s="21" t="s">
        <v>1128</v>
      </c>
      <c r="H1986" s="17" t="s">
        <v>59</v>
      </c>
      <c r="I1986" s="33">
        <v>0</v>
      </c>
      <c r="J1986" s="33">
        <f>(4*7*2)*19.99%</f>
        <v>11.1944</v>
      </c>
      <c r="K1986" s="33">
        <f>(4*7*2)*19.99%</f>
        <v>11.1944</v>
      </c>
      <c r="L1986" s="33">
        <f>(4*7*2)*19.99%</f>
        <v>11.1944</v>
      </c>
      <c r="M1986" s="33">
        <f t="shared" si="290"/>
        <v>33.583199999999998</v>
      </c>
      <c r="N1986" s="33">
        <f>IF(OR(H1986="",H1986="sif",H1986="PM"),0,VLOOKUP(H1986,[5]CU!$C$4:$H$255,6,FALSE))</f>
        <v>0.8177777777777776</v>
      </c>
      <c r="O1986" s="33">
        <f t="shared" si="295"/>
        <v>0</v>
      </c>
      <c r="P1986" s="33">
        <f t="shared" si="295"/>
        <v>9.154531555555554</v>
      </c>
      <c r="Q1986" s="33">
        <f t="shared" si="295"/>
        <v>9.154531555555554</v>
      </c>
      <c r="R1986" s="33">
        <f t="shared" si="295"/>
        <v>9.154531555555554</v>
      </c>
      <c r="S1986" s="33">
        <f t="shared" si="296"/>
        <v>27.463594666666662</v>
      </c>
      <c r="T1986" s="35" t="s">
        <v>118</v>
      </c>
      <c r="U1986" s="18" t="s">
        <v>330</v>
      </c>
      <c r="V1986" s="18" t="str">
        <f>IF(OR($H1986="",$H1986="sif",$H1986="PM"),"",VLOOKUP($H1986,[5]CU!$C$5:$J$255,8,FALSE))</f>
        <v>3. Dépenses de fonctionnement</v>
      </c>
      <c r="W1986" s="18" t="s">
        <v>331</v>
      </c>
      <c r="X1986" s="18" t="s">
        <v>2457</v>
      </c>
      <c r="Y1986" s="19" t="s">
        <v>32</v>
      </c>
      <c r="Z1986" s="18" t="str">
        <f>A1986 &amp; "-" &amp; VLOOKUP(A1986,[4]PROGRAMMES!$E$1:$F$7,2,FALSE)</f>
        <v>6-Education et alphabétisation des adultes</v>
      </c>
      <c r="AA1986" s="19" t="str">
        <f>B1986 &amp; "-" &amp; VLOOKUP(B1986,[4]SOUSPROGRAMMES!$E$1:$F$44,2,FALSE)</f>
        <v>62- Diversification des approches pour un plus grand accès équitable (modèles, des types de  centres )</v>
      </c>
      <c r="AB1986" s="19" t="str">
        <f>C1986 &amp; "-" &amp; VLOOKUP(C1986,[4]RESULTATS!$E$1:$F$176,2,FALSE)</f>
        <v>621-Plusieurs approches et modèles sont identifiées, validées et développées dans l’AEA</v>
      </c>
      <c r="AC1986" s="20" t="str">
        <f>D1986 &amp; "-" &amp; VLOOKUP(D1986,[4]STRATEGIES!$E$1:$F$504,2,FALSE)</f>
        <v>6211-Renforcement des capacités des acteurs sur les nouvelles approches</v>
      </c>
      <c r="AD1986" s="21" t="str">
        <f t="shared" si="289"/>
        <v>62111-identification des opérateurs (dans le cadre de l'étude du milieu)</v>
      </c>
    </row>
    <row r="1987" spans="1:30" s="22" customFormat="1" ht="45" hidden="1" customHeight="1" x14ac:dyDescent="0.8">
      <c r="A1987" s="14">
        <v>6</v>
      </c>
      <c r="B1987" s="15">
        <v>62</v>
      </c>
      <c r="C1987" s="15">
        <v>621</v>
      </c>
      <c r="D1987" s="15">
        <v>6211</v>
      </c>
      <c r="E1987" s="15">
        <v>62112</v>
      </c>
      <c r="F1987" s="16" t="s">
        <v>2458</v>
      </c>
      <c r="G1987" s="21" t="s">
        <v>298</v>
      </c>
      <c r="H1987" s="17" t="s">
        <v>66</v>
      </c>
      <c r="I1987" s="33">
        <v>0</v>
      </c>
      <c r="J1987" s="33">
        <f>15*4*1</f>
        <v>60</v>
      </c>
      <c r="K1987" s="33"/>
      <c r="L1987" s="33">
        <f>15*4*1</f>
        <v>60</v>
      </c>
      <c r="M1987" s="33">
        <f t="shared" si="290"/>
        <v>120</v>
      </c>
      <c r="N1987" s="33">
        <f>IF(OR(H1987="",H1987="sif",H1987="PM"),0,VLOOKUP(H1987,[5]CU!$C$4:$H$255,6,FALSE))</f>
        <v>0.255</v>
      </c>
      <c r="O1987" s="33">
        <f t="shared" si="295"/>
        <v>0</v>
      </c>
      <c r="P1987" s="33">
        <f t="shared" si="295"/>
        <v>15.3</v>
      </c>
      <c r="Q1987" s="33">
        <f t="shared" si="295"/>
        <v>0</v>
      </c>
      <c r="R1987" s="33">
        <f t="shared" si="295"/>
        <v>15.3</v>
      </c>
      <c r="S1987" s="33">
        <f t="shared" si="296"/>
        <v>30.6</v>
      </c>
      <c r="T1987" s="35" t="s">
        <v>56</v>
      </c>
      <c r="U1987" s="18" t="s">
        <v>330</v>
      </c>
      <c r="V1987" s="18" t="str">
        <f>IF(OR($H1987="",$H1987="sif",$H1987="PM"),"",VLOOKUP($H1987,[5]CU!$C$5:$J$255,8,FALSE))</f>
        <v>3. Dépenses de fonctionnement</v>
      </c>
      <c r="W1987" s="18" t="s">
        <v>331</v>
      </c>
      <c r="X1987" s="18" t="s">
        <v>331</v>
      </c>
      <c r="Y1987" s="19" t="s">
        <v>32</v>
      </c>
      <c r="Z1987" s="18" t="str">
        <f>A1987 &amp; "-" &amp; VLOOKUP(A1987,[4]PROGRAMMES!$E$1:$F$7,2,FALSE)</f>
        <v>6-Education et alphabétisation des adultes</v>
      </c>
      <c r="AA1987" s="19" t="str">
        <f>B1987 &amp; "-" &amp; VLOOKUP(B1987,[4]SOUSPROGRAMMES!$E$1:$F$44,2,FALSE)</f>
        <v>62- Diversification des approches pour un plus grand accès équitable (modèles, des types de  centres )</v>
      </c>
      <c r="AB1987" s="19" t="str">
        <f>C1987 &amp; "-" &amp; VLOOKUP(C1987,[4]RESULTATS!$E$1:$F$176,2,FALSE)</f>
        <v>621-Plusieurs approches et modèles sont identifiées, validées et développées dans l’AEA</v>
      </c>
      <c r="AC1987" s="20" t="str">
        <f>D1987 &amp; "-" &amp; VLOOKUP(D1987,[4]STRATEGIES!$E$1:$F$504,2,FALSE)</f>
        <v>6211-Renforcement des capacités des acteurs sur les nouvelles approches</v>
      </c>
      <c r="AD1987" s="21" t="str">
        <f t="shared" si="289"/>
        <v xml:space="preserve">62112-identification des approches </v>
      </c>
    </row>
    <row r="1988" spans="1:30" s="22" customFormat="1" ht="45" hidden="1" customHeight="1" x14ac:dyDescent="0.8">
      <c r="A1988" s="14">
        <v>6</v>
      </c>
      <c r="B1988" s="15">
        <v>62</v>
      </c>
      <c r="C1988" s="15">
        <v>621</v>
      </c>
      <c r="D1988" s="15">
        <v>6211</v>
      </c>
      <c r="E1988" s="15">
        <v>62113</v>
      </c>
      <c r="F1988" s="16" t="s">
        <v>2459</v>
      </c>
      <c r="G1988" s="21" t="s">
        <v>298</v>
      </c>
      <c r="H1988" s="17" t="s">
        <v>301</v>
      </c>
      <c r="I1988" s="33">
        <v>0</v>
      </c>
      <c r="J1988" s="33"/>
      <c r="K1988" s="33">
        <f>(35*5*2)*80.01%</f>
        <v>280.03500000000003</v>
      </c>
      <c r="L1988" s="33"/>
      <c r="M1988" s="33">
        <f>SUM(I1988:L1988)</f>
        <v>280.03500000000003</v>
      </c>
      <c r="N1988" s="33">
        <f>IF(OR(H1988="",H1988="sif",H1988="PM"),0,VLOOKUP(H1988,[5]CU!$C$4:$H$255,6,FALSE))</f>
        <v>0.67666666666666664</v>
      </c>
      <c r="O1988" s="33">
        <f>$N1988*I1988</f>
        <v>0</v>
      </c>
      <c r="P1988" s="33">
        <f>$N1988*J1988</f>
        <v>0</v>
      </c>
      <c r="Q1988" s="33">
        <f>$N1988*K1988</f>
        <v>189.49035000000001</v>
      </c>
      <c r="R1988" s="33">
        <f>$N1988*L1988</f>
        <v>0</v>
      </c>
      <c r="S1988" s="33">
        <f>SUM(O1988:R1988)</f>
        <v>189.49035000000001</v>
      </c>
      <c r="T1988" s="35" t="s">
        <v>56</v>
      </c>
      <c r="U1988" s="18" t="s">
        <v>330</v>
      </c>
      <c r="V1988" s="18" t="str">
        <f>IF(OR($H1988="",$H1988="sif",$H1988="PM"),"",VLOOKUP($H1988,[5]CU!$C$5:$J$255,8,FALSE))</f>
        <v>3. Formation</v>
      </c>
      <c r="W1988" s="18" t="s">
        <v>331</v>
      </c>
      <c r="X1988" s="18" t="s">
        <v>331</v>
      </c>
      <c r="Y1988" s="19" t="s">
        <v>32</v>
      </c>
      <c r="Z1988" s="18" t="str">
        <f>A1988 &amp; "-" &amp; VLOOKUP(A1988,[4]PROGRAMMES!$E$1:$F$7,2,FALSE)</f>
        <v>6-Education et alphabétisation des adultes</v>
      </c>
      <c r="AA1988" s="19" t="str">
        <f>B1988 &amp; "-" &amp; VLOOKUP(B1988,[4]SOUSPROGRAMMES!$E$1:$F$44,2,FALSE)</f>
        <v>62- Diversification des approches pour un plus grand accès équitable (modèles, des types de  centres )</v>
      </c>
      <c r="AB1988" s="19" t="str">
        <f>C1988 &amp; "-" &amp; VLOOKUP(C1988,[4]RESULTATS!$E$1:$F$176,2,FALSE)</f>
        <v>621-Plusieurs approches et modèles sont identifiées, validées et développées dans l’AEA</v>
      </c>
      <c r="AC1988" s="20" t="str">
        <f>D1988 &amp; "-" &amp; VLOOKUP(D1988,[4]STRATEGIES!$E$1:$F$504,2,FALSE)</f>
        <v>6211-Renforcement des capacités des acteurs sur les nouvelles approches</v>
      </c>
      <c r="AD1988" s="21" t="str">
        <f t="shared" ref="AD1988:AD2051" si="297">E1988 &amp; "-" &amp; F1988</f>
        <v>62113-formation des formateurs aux nouvelles approches</v>
      </c>
    </row>
    <row r="1989" spans="1:30" s="22" customFormat="1" ht="45" hidden="1" customHeight="1" x14ac:dyDescent="0.8">
      <c r="A1989" s="14">
        <v>6</v>
      </c>
      <c r="B1989" s="15">
        <v>62</v>
      </c>
      <c r="C1989" s="15">
        <v>621</v>
      </c>
      <c r="D1989" s="15">
        <v>6211</v>
      </c>
      <c r="E1989" s="15">
        <v>62113</v>
      </c>
      <c r="F1989" s="16" t="s">
        <v>2459</v>
      </c>
      <c r="G1989" s="21" t="s">
        <v>298</v>
      </c>
      <c r="H1989" s="17" t="s">
        <v>301</v>
      </c>
      <c r="I1989" s="33">
        <v>0</v>
      </c>
      <c r="J1989" s="33"/>
      <c r="K1989" s="33">
        <f>(35*5*2)*19.99%</f>
        <v>69.965000000000003</v>
      </c>
      <c r="L1989" s="33"/>
      <c r="M1989" s="33">
        <f t="shared" si="290"/>
        <v>69.965000000000003</v>
      </c>
      <c r="N1989" s="33">
        <f>IF(OR(H1989="",H1989="sif",H1989="PM"),0,VLOOKUP(H1989,[5]CU!$C$4:$H$255,6,FALSE))</f>
        <v>0.67666666666666664</v>
      </c>
      <c r="O1989" s="33">
        <f t="shared" si="295"/>
        <v>0</v>
      </c>
      <c r="P1989" s="33">
        <f t="shared" si="295"/>
        <v>0</v>
      </c>
      <c r="Q1989" s="33">
        <f t="shared" si="295"/>
        <v>47.342983333333336</v>
      </c>
      <c r="R1989" s="33">
        <f t="shared" si="295"/>
        <v>0</v>
      </c>
      <c r="S1989" s="33">
        <f t="shared" si="296"/>
        <v>47.342983333333336</v>
      </c>
      <c r="T1989" s="35" t="s">
        <v>118</v>
      </c>
      <c r="U1989" s="18" t="s">
        <v>330</v>
      </c>
      <c r="V1989" s="18" t="str">
        <f>IF(OR($H1989="",$H1989="sif",$H1989="PM"),"",VLOOKUP($H1989,[5]CU!$C$5:$J$255,8,FALSE))</f>
        <v>3. Formation</v>
      </c>
      <c r="W1989" s="18" t="s">
        <v>331</v>
      </c>
      <c r="X1989" s="18" t="s">
        <v>331</v>
      </c>
      <c r="Y1989" s="19" t="s">
        <v>32</v>
      </c>
      <c r="Z1989" s="18" t="str">
        <f>A1989 &amp; "-" &amp; VLOOKUP(A1989,[4]PROGRAMMES!$E$1:$F$7,2,FALSE)</f>
        <v>6-Education et alphabétisation des adultes</v>
      </c>
      <c r="AA1989" s="19" t="str">
        <f>B1989 &amp; "-" &amp; VLOOKUP(B1989,[4]SOUSPROGRAMMES!$E$1:$F$44,2,FALSE)</f>
        <v>62- Diversification des approches pour un plus grand accès équitable (modèles, des types de  centres )</v>
      </c>
      <c r="AB1989" s="19" t="str">
        <f>C1989 &amp; "-" &amp; VLOOKUP(C1989,[4]RESULTATS!$E$1:$F$176,2,FALSE)</f>
        <v>621-Plusieurs approches et modèles sont identifiées, validées et développées dans l’AEA</v>
      </c>
      <c r="AC1989" s="20" t="str">
        <f>D1989 &amp; "-" &amp; VLOOKUP(D1989,[4]STRATEGIES!$E$1:$F$504,2,FALSE)</f>
        <v>6211-Renforcement des capacités des acteurs sur les nouvelles approches</v>
      </c>
      <c r="AD1989" s="21" t="str">
        <f t="shared" si="297"/>
        <v>62113-formation des formateurs aux nouvelles approches</v>
      </c>
    </row>
    <row r="1990" spans="1:30" s="22" customFormat="1" ht="45" hidden="1" customHeight="1" x14ac:dyDescent="0.8">
      <c r="A1990" s="14">
        <v>6</v>
      </c>
      <c r="B1990" s="15">
        <v>62</v>
      </c>
      <c r="C1990" s="15">
        <v>621</v>
      </c>
      <c r="D1990" s="15">
        <v>6211</v>
      </c>
      <c r="E1990" s="15">
        <v>62114</v>
      </c>
      <c r="F1990" s="16" t="s">
        <v>2460</v>
      </c>
      <c r="G1990" s="21" t="s">
        <v>298</v>
      </c>
      <c r="H1990" s="17" t="s">
        <v>301</v>
      </c>
      <c r="I1990" s="33">
        <v>0</v>
      </c>
      <c r="J1990" s="33"/>
      <c r="K1990" s="33">
        <f>(35*4*3)*80.01%</f>
        <v>336.04200000000003</v>
      </c>
      <c r="L1990" s="33"/>
      <c r="M1990" s="33">
        <f>SUM(I1990:L1990)</f>
        <v>336.04200000000003</v>
      </c>
      <c r="N1990" s="33">
        <f>IF(OR(H1990="",H1990="sif",H1990="PM"),0,VLOOKUP(H1990,[5]CU!$C$4:$H$255,6,FALSE))</f>
        <v>0.67666666666666664</v>
      </c>
      <c r="O1990" s="33">
        <f>$N1990*I1990</f>
        <v>0</v>
      </c>
      <c r="P1990" s="33">
        <f>$N1990*J1990</f>
        <v>0</v>
      </c>
      <c r="Q1990" s="33">
        <f>$N1990*K1990</f>
        <v>227.38842000000002</v>
      </c>
      <c r="R1990" s="33">
        <f>$N1990*L1990</f>
        <v>0</v>
      </c>
      <c r="S1990" s="33">
        <f>SUM(O1990:R1990)</f>
        <v>227.38842000000002</v>
      </c>
      <c r="T1990" s="35" t="s">
        <v>56</v>
      </c>
      <c r="U1990" s="18" t="s">
        <v>330</v>
      </c>
      <c r="V1990" s="18" t="str">
        <f>IF(OR($H1990="",$H1990="sif",$H1990="PM"),"",VLOOKUP($H1990,[5]CU!$C$5:$J$255,8,FALSE))</f>
        <v>3. Formation</v>
      </c>
      <c r="W1990" s="18" t="s">
        <v>331</v>
      </c>
      <c r="X1990" s="18" t="s">
        <v>222</v>
      </c>
      <c r="Y1990" s="19" t="s">
        <v>32</v>
      </c>
      <c r="Z1990" s="18" t="str">
        <f>A1990 &amp; "-" &amp; VLOOKUP(A1990,[4]PROGRAMMES!$E$1:$F$7,2,FALSE)</f>
        <v>6-Education et alphabétisation des adultes</v>
      </c>
      <c r="AA1990" s="19" t="str">
        <f>B1990 &amp; "-" &amp; VLOOKUP(B1990,[4]SOUSPROGRAMMES!$E$1:$F$44,2,FALSE)</f>
        <v>62- Diversification des approches pour un plus grand accès équitable (modèles, des types de  centres )</v>
      </c>
      <c r="AB1990" s="19" t="str">
        <f>C1990 &amp; "-" &amp; VLOOKUP(C1990,[4]RESULTATS!$E$1:$F$176,2,FALSE)</f>
        <v>621-Plusieurs approches et modèles sont identifiées, validées et développées dans l’AEA</v>
      </c>
      <c r="AC1990" s="20" t="str">
        <f>D1990 &amp; "-" &amp; VLOOKUP(D1990,[4]STRATEGIES!$E$1:$F$504,2,FALSE)</f>
        <v>6211-Renforcement des capacités des acteurs sur les nouvelles approches</v>
      </c>
      <c r="AD1990" s="21" t="str">
        <f t="shared" si="297"/>
        <v>62114-démultiplication de la formation au niveau des alphabétiseurs</v>
      </c>
    </row>
    <row r="1991" spans="1:30" s="22" customFormat="1" ht="45" hidden="1" customHeight="1" x14ac:dyDescent="0.8">
      <c r="A1991" s="14">
        <v>6</v>
      </c>
      <c r="B1991" s="15">
        <v>62</v>
      </c>
      <c r="C1991" s="15">
        <v>621</v>
      </c>
      <c r="D1991" s="15">
        <v>6211</v>
      </c>
      <c r="E1991" s="15">
        <v>62114</v>
      </c>
      <c r="F1991" s="16" t="s">
        <v>2460</v>
      </c>
      <c r="G1991" s="21" t="s">
        <v>298</v>
      </c>
      <c r="H1991" s="17" t="s">
        <v>301</v>
      </c>
      <c r="I1991" s="33">
        <v>0</v>
      </c>
      <c r="J1991" s="33"/>
      <c r="K1991" s="33">
        <f>(35*4*3)*19.99%</f>
        <v>83.957999999999998</v>
      </c>
      <c r="L1991" s="33"/>
      <c r="M1991" s="33">
        <f t="shared" si="290"/>
        <v>83.957999999999998</v>
      </c>
      <c r="N1991" s="33">
        <f>IF(OR(H1991="",H1991="sif",H1991="PM"),0,VLOOKUP(H1991,[5]CU!$C$4:$H$255,6,FALSE))</f>
        <v>0.67666666666666664</v>
      </c>
      <c r="O1991" s="33">
        <f t="shared" si="295"/>
        <v>0</v>
      </c>
      <c r="P1991" s="33">
        <f t="shared" si="295"/>
        <v>0</v>
      </c>
      <c r="Q1991" s="33">
        <f t="shared" si="295"/>
        <v>56.811579999999999</v>
      </c>
      <c r="R1991" s="33">
        <f t="shared" si="295"/>
        <v>0</v>
      </c>
      <c r="S1991" s="33">
        <f t="shared" si="296"/>
        <v>56.811579999999999</v>
      </c>
      <c r="T1991" s="35" t="s">
        <v>118</v>
      </c>
      <c r="U1991" s="18" t="s">
        <v>330</v>
      </c>
      <c r="V1991" s="18" t="str">
        <f>IF(OR($H1991="",$H1991="sif",$H1991="PM"),"",VLOOKUP($H1991,[5]CU!$C$5:$J$255,8,FALSE))</f>
        <v>3. Formation</v>
      </c>
      <c r="W1991" s="18" t="s">
        <v>331</v>
      </c>
      <c r="X1991" s="18" t="s">
        <v>222</v>
      </c>
      <c r="Y1991" s="19" t="s">
        <v>32</v>
      </c>
      <c r="Z1991" s="18" t="str">
        <f>A1991 &amp; "-" &amp; VLOOKUP(A1991,[4]PROGRAMMES!$E$1:$F$7,2,FALSE)</f>
        <v>6-Education et alphabétisation des adultes</v>
      </c>
      <c r="AA1991" s="19" t="str">
        <f>B1991 &amp; "-" &amp; VLOOKUP(B1991,[4]SOUSPROGRAMMES!$E$1:$F$44,2,FALSE)</f>
        <v>62- Diversification des approches pour un plus grand accès équitable (modèles, des types de  centres )</v>
      </c>
      <c r="AB1991" s="19" t="str">
        <f>C1991 &amp; "-" &amp; VLOOKUP(C1991,[4]RESULTATS!$E$1:$F$176,2,FALSE)</f>
        <v>621-Plusieurs approches et modèles sont identifiées, validées et développées dans l’AEA</v>
      </c>
      <c r="AC1991" s="20" t="str">
        <f>D1991 &amp; "-" &amp; VLOOKUP(D1991,[4]STRATEGIES!$E$1:$F$504,2,FALSE)</f>
        <v>6211-Renforcement des capacités des acteurs sur les nouvelles approches</v>
      </c>
      <c r="AD1991" s="21" t="str">
        <f t="shared" si="297"/>
        <v>62114-démultiplication de la formation au niveau des alphabétiseurs</v>
      </c>
    </row>
    <row r="1992" spans="1:30" s="22" customFormat="1" ht="45" hidden="1" customHeight="1" x14ac:dyDescent="0.8">
      <c r="A1992" s="14">
        <v>6</v>
      </c>
      <c r="B1992" s="15">
        <v>62</v>
      </c>
      <c r="C1992" s="15">
        <v>621</v>
      </c>
      <c r="D1992" s="15">
        <v>6211</v>
      </c>
      <c r="E1992" s="15">
        <v>62115</v>
      </c>
      <c r="F1992" s="16" t="s">
        <v>2461</v>
      </c>
      <c r="G1992" s="21" t="s">
        <v>2462</v>
      </c>
      <c r="H1992" s="17" t="s">
        <v>55</v>
      </c>
      <c r="I1992" s="33">
        <v>0</v>
      </c>
      <c r="J1992" s="33">
        <f>1*1*1</f>
        <v>1</v>
      </c>
      <c r="K1992" s="33"/>
      <c r="L1992" s="33"/>
      <c r="M1992" s="33">
        <f t="shared" si="290"/>
        <v>1</v>
      </c>
      <c r="N1992" s="33">
        <f>IF(OR(H1992="",H1992="sif",H1992="PM"),0,VLOOKUP(H1992,[5]CU!$C$4:$H$255,6,FALSE))</f>
        <v>0</v>
      </c>
      <c r="O1992" s="33"/>
      <c r="P1992" s="33"/>
      <c r="Q1992" s="33"/>
      <c r="R1992" s="33"/>
      <c r="S1992" s="33"/>
      <c r="T1992" s="35" t="s">
        <v>56</v>
      </c>
      <c r="U1992" s="18" t="s">
        <v>330</v>
      </c>
      <c r="V1992" s="18" t="str">
        <f>IF(OR($H1992="",$H1992="sif",$H1992="PM"),"",VLOOKUP($H1992,[5]CU!$C$5:$J$255,8,FALSE))</f>
        <v/>
      </c>
      <c r="W1992" s="18" t="s">
        <v>331</v>
      </c>
      <c r="X1992" s="18" t="s">
        <v>331</v>
      </c>
      <c r="Y1992" s="19" t="s">
        <v>32</v>
      </c>
      <c r="Z1992" s="18" t="str">
        <f>A1992 &amp; "-" &amp; VLOOKUP(A1992,[4]PROGRAMMES!$E$1:$F$7,2,FALSE)</f>
        <v>6-Education et alphabétisation des adultes</v>
      </c>
      <c r="AA1992" s="19" t="str">
        <f>B1992 &amp; "-" &amp; VLOOKUP(B1992,[4]SOUSPROGRAMMES!$E$1:$F$44,2,FALSE)</f>
        <v>62- Diversification des approches pour un plus grand accès équitable (modèles, des types de  centres )</v>
      </c>
      <c r="AB1992" s="19" t="str">
        <f>C1992 &amp; "-" &amp; VLOOKUP(C1992,[4]RESULTATS!$E$1:$F$176,2,FALSE)</f>
        <v>621-Plusieurs approches et modèles sont identifiées, validées et développées dans l’AEA</v>
      </c>
      <c r="AC1992" s="20" t="str">
        <f>D1992 &amp; "-" &amp; VLOOKUP(D1992,[4]STRATEGIES!$E$1:$F$504,2,FALSE)</f>
        <v>6211-Renforcement des capacités des acteurs sur les nouvelles approches</v>
      </c>
      <c r="AD1992" s="21" t="str">
        <f t="shared" si="297"/>
        <v>62115-formaliser le partenariat avec les radios rurales et la télévision nationale pour l’approche un foyer un centre d’alphabétisation (en partenariat avec le Ministère de l'information)</v>
      </c>
    </row>
    <row r="1993" spans="1:30" s="22" customFormat="1" ht="60" hidden="1" customHeight="1" x14ac:dyDescent="0.8">
      <c r="A1993" s="14">
        <v>6</v>
      </c>
      <c r="B1993" s="15">
        <v>62</v>
      </c>
      <c r="C1993" s="15">
        <v>621</v>
      </c>
      <c r="D1993" s="15">
        <v>6211</v>
      </c>
      <c r="E1993" s="15">
        <v>62116</v>
      </c>
      <c r="F1993" s="16" t="s">
        <v>2463</v>
      </c>
      <c r="G1993" s="21" t="s">
        <v>2464</v>
      </c>
      <c r="H1993" s="17" t="s">
        <v>55</v>
      </c>
      <c r="I1993" s="33">
        <v>0</v>
      </c>
      <c r="J1993" s="33"/>
      <c r="K1993" s="33">
        <v>1</v>
      </c>
      <c r="L1993" s="33">
        <v>1</v>
      </c>
      <c r="M1993" s="33">
        <f t="shared" si="290"/>
        <v>2</v>
      </c>
      <c r="N1993" s="33">
        <f>IF(OR(H1993="",H1993="sif",H1993="PM"),0,VLOOKUP(H1993,[5]CU!$C$4:$H$255,6,FALSE))</f>
        <v>0</v>
      </c>
      <c r="O1993" s="33"/>
      <c r="P1993" s="33"/>
      <c r="Q1993" s="33"/>
      <c r="R1993" s="33"/>
      <c r="S1993" s="33"/>
      <c r="T1993" s="35" t="s">
        <v>56</v>
      </c>
      <c r="U1993" s="18" t="s">
        <v>330</v>
      </c>
      <c r="V1993" s="18" t="str">
        <f>IF(OR($H1993="",$H1993="sif",$H1993="PM"),"",VLOOKUP($H1993,[5]CU!$C$5:$J$255,8,FALSE))</f>
        <v/>
      </c>
      <c r="W1993" s="18" t="s">
        <v>331</v>
      </c>
      <c r="X1993" s="18" t="s">
        <v>331</v>
      </c>
      <c r="Y1993" s="19" t="s">
        <v>32</v>
      </c>
      <c r="Z1993" s="18" t="str">
        <f>A1993 &amp; "-" &amp; VLOOKUP(A1993,[4]PROGRAMMES!$E$1:$F$7,2,FALSE)</f>
        <v>6-Education et alphabétisation des adultes</v>
      </c>
      <c r="AA1993" s="19" t="str">
        <f>B1993 &amp; "-" &amp; VLOOKUP(B1993,[4]SOUSPROGRAMMES!$E$1:$F$44,2,FALSE)</f>
        <v>62- Diversification des approches pour un plus grand accès équitable (modèles, des types de  centres )</v>
      </c>
      <c r="AB1993" s="19" t="str">
        <f>C1993 &amp; "-" &amp; VLOOKUP(C1993,[4]RESULTATS!$E$1:$F$176,2,FALSE)</f>
        <v>621-Plusieurs approches et modèles sont identifiées, validées et développées dans l’AEA</v>
      </c>
      <c r="AC1993" s="20" t="str">
        <f>D1993 &amp; "-" &amp; VLOOKUP(D1993,[4]STRATEGIES!$E$1:$F$504,2,FALSE)</f>
        <v>6211-Renforcement des capacités des acteurs sur les nouvelles approches</v>
      </c>
      <c r="AD1993" s="21" t="str">
        <f t="shared" si="297"/>
        <v xml:space="preserve">62116-Intégration des modules dans le programme de diffusion </v>
      </c>
    </row>
    <row r="1994" spans="1:30" s="22" customFormat="1" ht="45" hidden="1" customHeight="1" x14ac:dyDescent="0.8">
      <c r="A1994" s="14">
        <v>6</v>
      </c>
      <c r="B1994" s="15">
        <v>62</v>
      </c>
      <c r="C1994" s="15">
        <v>621</v>
      </c>
      <c r="D1994" s="15">
        <v>6211</v>
      </c>
      <c r="E1994" s="15">
        <v>62117</v>
      </c>
      <c r="F1994" s="16" t="s">
        <v>2465</v>
      </c>
      <c r="G1994" s="21" t="s">
        <v>2466</v>
      </c>
      <c r="H1994" s="17" t="s">
        <v>73</v>
      </c>
      <c r="I1994" s="33">
        <v>0</v>
      </c>
      <c r="J1994" s="33">
        <f>2*4*12</f>
        <v>96</v>
      </c>
      <c r="K1994" s="33">
        <f>2*4*12</f>
        <v>96</v>
      </c>
      <c r="L1994" s="33">
        <f>2*4*12</f>
        <v>96</v>
      </c>
      <c r="M1994" s="33">
        <f t="shared" si="290"/>
        <v>288</v>
      </c>
      <c r="N1994" s="33">
        <f>IF(OR(H1994="",H1994="sif",H1994="PM"),0,VLOOKUP(H1994,[5]CU!$C$4:$H$255,6,FALSE))</f>
        <v>0.4</v>
      </c>
      <c r="O1994" s="33">
        <f t="shared" ref="O1994:R2002" si="298">$N1994*I1994</f>
        <v>0</v>
      </c>
      <c r="P1994" s="33">
        <f t="shared" si="298"/>
        <v>38.400000000000006</v>
      </c>
      <c r="Q1994" s="33">
        <f t="shared" si="298"/>
        <v>38.400000000000006</v>
      </c>
      <c r="R1994" s="33">
        <f t="shared" si="298"/>
        <v>38.400000000000006</v>
      </c>
      <c r="S1994" s="33">
        <f t="shared" ref="S1994:S2002" si="299">SUM(O1994:R1994)</f>
        <v>115.20000000000002</v>
      </c>
      <c r="T1994" s="35" t="s">
        <v>56</v>
      </c>
      <c r="U1994" s="18" t="s">
        <v>330</v>
      </c>
      <c r="V1994" s="18" t="str">
        <f>IF(OR($H1994="",$H1994="sif",$H1994="PM"),"",VLOOKUP($H1994,[5]CU!$C$5:$J$255,8,FALSE))</f>
        <v>3. Dépenses de fonctionnement</v>
      </c>
      <c r="W1994" s="18" t="s">
        <v>331</v>
      </c>
      <c r="X1994" s="18" t="s">
        <v>331</v>
      </c>
      <c r="Y1994" s="19" t="s">
        <v>32</v>
      </c>
      <c r="Z1994" s="18" t="str">
        <f>A1994 &amp; "-" &amp; VLOOKUP(A1994,[4]PROGRAMMES!$E$1:$F$7,2,FALSE)</f>
        <v>6-Education et alphabétisation des adultes</v>
      </c>
      <c r="AA1994" s="19" t="str">
        <f>B1994 &amp; "-" &amp; VLOOKUP(B1994,[4]SOUSPROGRAMMES!$E$1:$F$44,2,FALSE)</f>
        <v>62- Diversification des approches pour un plus grand accès équitable (modèles, des types de  centres )</v>
      </c>
      <c r="AB1994" s="19" t="str">
        <f>C1994 &amp; "-" &amp; VLOOKUP(C1994,[4]RESULTATS!$E$1:$F$176,2,FALSE)</f>
        <v>621-Plusieurs approches et modèles sont identifiées, validées et développées dans l’AEA</v>
      </c>
      <c r="AC1994" s="20" t="str">
        <f>D1994 &amp; "-" &amp; VLOOKUP(D1994,[4]STRATEGIES!$E$1:$F$504,2,FALSE)</f>
        <v>6211-Renforcement des capacités des acteurs sur les nouvelles approches</v>
      </c>
      <c r="AD1994" s="21" t="str">
        <f t="shared" si="297"/>
        <v>62117-Diffusion des cours d'alphabétisation selon le programme retenu par les radios et la télévision</v>
      </c>
    </row>
    <row r="1995" spans="1:30" s="22" customFormat="1" ht="45" hidden="1" customHeight="1" x14ac:dyDescent="0.8">
      <c r="A1995" s="14">
        <v>6</v>
      </c>
      <c r="B1995" s="15">
        <v>62</v>
      </c>
      <c r="C1995" s="15">
        <v>621</v>
      </c>
      <c r="D1995" s="15">
        <v>6212</v>
      </c>
      <c r="E1995" s="15">
        <v>6212</v>
      </c>
      <c r="F1995" s="16" t="s">
        <v>2467</v>
      </c>
      <c r="G1995" s="17"/>
      <c r="H1995" s="17"/>
      <c r="I1995" s="33">
        <v>0</v>
      </c>
      <c r="J1995" s="33"/>
      <c r="K1995" s="33"/>
      <c r="L1995" s="33"/>
      <c r="M1995" s="33"/>
      <c r="N1995" s="33"/>
      <c r="O1995" s="33"/>
      <c r="P1995" s="33"/>
      <c r="Q1995" s="33"/>
      <c r="R1995" s="33"/>
      <c r="S1995" s="33"/>
      <c r="T1995" s="33"/>
      <c r="U1995" s="18"/>
      <c r="V1995" s="18"/>
      <c r="W1995" s="18"/>
      <c r="X1995" s="18"/>
      <c r="Y1995" s="18"/>
      <c r="Z1995" s="18" t="str">
        <f>A1995 &amp; "-" &amp; VLOOKUP(A1995,[4]PROGRAMMES!$E$1:$F$7,2,FALSE)</f>
        <v>6-Education et alphabétisation des adultes</v>
      </c>
      <c r="AA1995" s="19" t="str">
        <f>B1995 &amp; "-" &amp; VLOOKUP(B1995,[4]SOUSPROGRAMMES!$E$1:$F$44,2,FALSE)</f>
        <v>62- Diversification des approches pour un plus grand accès équitable (modèles, des types de  centres )</v>
      </c>
      <c r="AB1995" s="19" t="str">
        <f>C1995 &amp; "-" &amp; VLOOKUP(C1995,[4]RESULTATS!$E$1:$F$176,2,FALSE)</f>
        <v>621-Plusieurs approches et modèles sont identifiées, validées et développées dans l’AEA</v>
      </c>
      <c r="AC1995" s="20" t="str">
        <f>D1995 &amp; "-" &amp; VLOOKUP(D1995,[4]STRATEGIES!$E$1:$F$504,2,FALSE)</f>
        <v>6212-Mise en œuvre et suivi évaluation de l'apprentissage</v>
      </c>
      <c r="AD1995" s="21" t="str">
        <f t="shared" si="297"/>
        <v>6212-Mise en œuvre et suivi évaluation de l'apprentissage</v>
      </c>
    </row>
    <row r="1996" spans="1:30" s="22" customFormat="1" ht="45" hidden="1" customHeight="1" x14ac:dyDescent="0.8">
      <c r="A1996" s="14">
        <v>6</v>
      </c>
      <c r="B1996" s="15">
        <v>62</v>
      </c>
      <c r="C1996" s="15">
        <v>621</v>
      </c>
      <c r="D1996" s="15">
        <v>6212</v>
      </c>
      <c r="E1996" s="15">
        <v>62121</v>
      </c>
      <c r="F1996" s="16" t="s">
        <v>2468</v>
      </c>
      <c r="G1996" s="21" t="s">
        <v>1128</v>
      </c>
      <c r="H1996" s="17" t="s">
        <v>59</v>
      </c>
      <c r="I1996" s="33">
        <v>0</v>
      </c>
      <c r="J1996" s="33">
        <f>20*10*1</f>
        <v>200</v>
      </c>
      <c r="K1996" s="33"/>
      <c r="L1996" s="33">
        <f>20*10*1</f>
        <v>200</v>
      </c>
      <c r="M1996" s="33">
        <f t="shared" si="290"/>
        <v>400</v>
      </c>
      <c r="N1996" s="33">
        <f>IF(OR(H1996="",H1996="sif",H1996="PM"),0,VLOOKUP(H1996,[5]CU!$C$4:$H$255,6,FALSE))</f>
        <v>0.8177777777777776</v>
      </c>
      <c r="O1996" s="33">
        <f t="shared" si="298"/>
        <v>0</v>
      </c>
      <c r="P1996" s="33">
        <f t="shared" si="298"/>
        <v>163.55555555555551</v>
      </c>
      <c r="Q1996" s="33">
        <f t="shared" si="298"/>
        <v>0</v>
      </c>
      <c r="R1996" s="33">
        <f t="shared" si="298"/>
        <v>163.55555555555551</v>
      </c>
      <c r="S1996" s="33">
        <f t="shared" si="299"/>
        <v>327.11111111111103</v>
      </c>
      <c r="T1996" s="35" t="s">
        <v>56</v>
      </c>
      <c r="U1996" s="18" t="s">
        <v>330</v>
      </c>
      <c r="V1996" s="18" t="str">
        <f>IF(OR($H1996="",$H1996="sif",$H1996="PM"),"",VLOOKUP($H1996,[5]CU!$C$5:$J$255,8,FALSE))</f>
        <v>3. Dépenses de fonctionnement</v>
      </c>
      <c r="W1996" s="18" t="s">
        <v>331</v>
      </c>
      <c r="X1996" s="18" t="s">
        <v>331</v>
      </c>
      <c r="Y1996" s="19" t="s">
        <v>32</v>
      </c>
      <c r="Z1996" s="18" t="str">
        <f>A1996 &amp; "-" &amp; VLOOKUP(A1996,[4]PROGRAMMES!$E$1:$F$7,2,FALSE)</f>
        <v>6-Education et alphabétisation des adultes</v>
      </c>
      <c r="AA1996" s="19" t="str">
        <f>B1996 &amp; "-" &amp; VLOOKUP(B1996,[4]SOUSPROGRAMMES!$E$1:$F$44,2,FALSE)</f>
        <v>62- Diversification des approches pour un plus grand accès équitable (modèles, des types de  centres )</v>
      </c>
      <c r="AB1996" s="19" t="str">
        <f>C1996 &amp; "-" &amp; VLOOKUP(C1996,[4]RESULTATS!$E$1:$F$176,2,FALSE)</f>
        <v>621-Plusieurs approches et modèles sont identifiées, validées et développées dans l’AEA</v>
      </c>
      <c r="AC1996" s="20" t="str">
        <f>D1996 &amp; "-" &amp; VLOOKUP(D1996,[4]STRATEGIES!$E$1:$F$504,2,FALSE)</f>
        <v>6212-Mise en œuvre et suivi évaluation de l'apprentissage</v>
      </c>
      <c r="AD1996" s="21" t="str">
        <f t="shared" si="297"/>
        <v>62121-identification des cibles (Localités et centres)</v>
      </c>
    </row>
    <row r="1997" spans="1:30" s="22" customFormat="1" ht="45" hidden="1" customHeight="1" x14ac:dyDescent="0.8">
      <c r="A1997" s="14">
        <v>6</v>
      </c>
      <c r="B1997" s="15">
        <v>62</v>
      </c>
      <c r="C1997" s="15">
        <v>621</v>
      </c>
      <c r="D1997" s="15">
        <v>6212</v>
      </c>
      <c r="E1997" s="15">
        <v>62122</v>
      </c>
      <c r="F1997" s="16" t="s">
        <v>2469</v>
      </c>
      <c r="G1997" s="21" t="s">
        <v>436</v>
      </c>
      <c r="H1997" s="17" t="s">
        <v>301</v>
      </c>
      <c r="I1997" s="33">
        <v>0</v>
      </c>
      <c r="J1997" s="33">
        <f>((((J2000+J1999)/50)/10)*7)*96%</f>
        <v>38.112076799999997</v>
      </c>
      <c r="K1997" s="33">
        <f>((((K2000+K1999)/50)/10)*7)*96%</f>
        <v>63.520128000000007</v>
      </c>
      <c r="L1997" s="33">
        <f>((((L2000+L1999)/50)/10)*7)*96%</f>
        <v>63.520128000000007</v>
      </c>
      <c r="M1997" s="33">
        <f>SUM(I1997:L1997)</f>
        <v>165.15233280000001</v>
      </c>
      <c r="N1997" s="33">
        <f>IF(OR(H1997="",H1997="sif",H1997="PM"),0,VLOOKUP(H1997,[5]CU!$C$4:$H$255,6,FALSE))</f>
        <v>0.67666666666666664</v>
      </c>
      <c r="O1997" s="33">
        <f>$N1997*I1997</f>
        <v>0</v>
      </c>
      <c r="P1997" s="33">
        <f>$N1997*J1997</f>
        <v>25.789171967999998</v>
      </c>
      <c r="Q1997" s="33">
        <f>$N1997*K1997</f>
        <v>42.981953280000006</v>
      </c>
      <c r="R1997" s="33">
        <f>$N1997*L1997</f>
        <v>42.981953280000006</v>
      </c>
      <c r="S1997" s="33">
        <f>SUM(O1997:R1997)</f>
        <v>111.753078528</v>
      </c>
      <c r="T1997" s="35" t="s">
        <v>56</v>
      </c>
      <c r="U1997" s="18" t="s">
        <v>330</v>
      </c>
      <c r="V1997" s="18" t="str">
        <f>IF(OR($H1997="",$H1997="sif",$H1997="PM"),"",VLOOKUP($H1997,[5]CU!$C$5:$J$255,8,FALSE))</f>
        <v>3. Formation</v>
      </c>
      <c r="W1997" s="18" t="s">
        <v>331</v>
      </c>
      <c r="X1997" s="18" t="s">
        <v>222</v>
      </c>
      <c r="Y1997" s="19" t="s">
        <v>32</v>
      </c>
      <c r="Z1997" s="18" t="str">
        <f>A1997 &amp; "-" &amp; VLOOKUP(A1997,[4]PROGRAMMES!$E$1:$F$7,2,FALSE)</f>
        <v>6-Education et alphabétisation des adultes</v>
      </c>
      <c r="AA1997" s="19" t="str">
        <f>B1997 &amp; "-" &amp; VLOOKUP(B1997,[4]SOUSPROGRAMMES!$E$1:$F$44,2,FALSE)</f>
        <v>62- Diversification des approches pour un plus grand accès équitable (modèles, des types de  centres )</v>
      </c>
      <c r="AB1997" s="19" t="str">
        <f>C1997 &amp; "-" &amp; VLOOKUP(C1997,[4]RESULTATS!$E$1:$F$176,2,FALSE)</f>
        <v>621-Plusieurs approches et modèles sont identifiées, validées et développées dans l’AEA</v>
      </c>
      <c r="AC1997" s="20" t="str">
        <f>D1997 &amp; "-" &amp; VLOOKUP(D1997,[4]STRATEGIES!$E$1:$F$504,2,FALSE)</f>
        <v>6212-Mise en œuvre et suivi évaluation de l'apprentissage</v>
      </c>
      <c r="AD1997" s="21" t="str">
        <f t="shared" si="297"/>
        <v>62122-organisation des sessions de formation des formateurs</v>
      </c>
    </row>
    <row r="1998" spans="1:30" s="22" customFormat="1" ht="45" hidden="1" customHeight="1" x14ac:dyDescent="0.8">
      <c r="A1998" s="14">
        <v>6</v>
      </c>
      <c r="B1998" s="15">
        <v>62</v>
      </c>
      <c r="C1998" s="15">
        <v>621</v>
      </c>
      <c r="D1998" s="15">
        <v>6212</v>
      </c>
      <c r="E1998" s="15">
        <v>62122</v>
      </c>
      <c r="F1998" s="16" t="s">
        <v>2469</v>
      </c>
      <c r="G1998" s="21" t="s">
        <v>436</v>
      </c>
      <c r="H1998" s="17" t="s">
        <v>301</v>
      </c>
      <c r="I1998" s="33">
        <v>0</v>
      </c>
      <c r="J1998" s="33">
        <f>((((J2000+J1999)/50)/10)*7)*4%</f>
        <v>1.5880031999999999</v>
      </c>
      <c r="K1998" s="33">
        <f>((((K2000+K1999)/50)/10)*7)*4%</f>
        <v>2.6466720000000006</v>
      </c>
      <c r="L1998" s="33">
        <f>((((L2000+L1999)/50)/10)*7)*4%</f>
        <v>2.6466720000000006</v>
      </c>
      <c r="M1998" s="33">
        <f t="shared" si="290"/>
        <v>6.8813472000000013</v>
      </c>
      <c r="N1998" s="33">
        <f>IF(OR(H1998="",H1998="sif",H1998="PM"),0,VLOOKUP(H1998,[5]CU!$C$4:$H$255,6,FALSE))</f>
        <v>0.67666666666666664</v>
      </c>
      <c r="O1998" s="33">
        <f t="shared" si="298"/>
        <v>0</v>
      </c>
      <c r="P1998" s="33">
        <f t="shared" si="298"/>
        <v>1.0745488319999998</v>
      </c>
      <c r="Q1998" s="33">
        <f t="shared" si="298"/>
        <v>1.7909147200000004</v>
      </c>
      <c r="R1998" s="33">
        <f t="shared" si="298"/>
        <v>1.7909147200000004</v>
      </c>
      <c r="S1998" s="33">
        <f t="shared" si="299"/>
        <v>4.6563782720000013</v>
      </c>
      <c r="T1998" s="35" t="s">
        <v>118</v>
      </c>
      <c r="U1998" s="18" t="s">
        <v>330</v>
      </c>
      <c r="V1998" s="18" t="str">
        <f>IF(OR($H1998="",$H1998="sif",$H1998="PM"),"",VLOOKUP($H1998,[5]CU!$C$5:$J$255,8,FALSE))</f>
        <v>3. Formation</v>
      </c>
      <c r="W1998" s="18" t="s">
        <v>331</v>
      </c>
      <c r="X1998" s="18" t="s">
        <v>222</v>
      </c>
      <c r="Y1998" s="19" t="s">
        <v>32</v>
      </c>
      <c r="Z1998" s="18" t="str">
        <f>A1998 &amp; "-" &amp; VLOOKUP(A1998,[4]PROGRAMMES!$E$1:$F$7,2,FALSE)</f>
        <v>6-Education et alphabétisation des adultes</v>
      </c>
      <c r="AA1998" s="19" t="str">
        <f>B1998 &amp; "-" &amp; VLOOKUP(B1998,[4]SOUSPROGRAMMES!$E$1:$F$44,2,FALSE)</f>
        <v>62- Diversification des approches pour un plus grand accès équitable (modèles, des types de  centres )</v>
      </c>
      <c r="AB1998" s="19" t="str">
        <f>C1998 &amp; "-" &amp; VLOOKUP(C1998,[4]RESULTATS!$E$1:$F$176,2,FALSE)</f>
        <v>621-Plusieurs approches et modèles sont identifiées, validées et développées dans l’AEA</v>
      </c>
      <c r="AC1998" s="20" t="str">
        <f>D1998 &amp; "-" &amp; VLOOKUP(D1998,[4]STRATEGIES!$E$1:$F$504,2,FALSE)</f>
        <v>6212-Mise en œuvre et suivi évaluation de l'apprentissage</v>
      </c>
      <c r="AD1998" s="21" t="str">
        <f t="shared" si="297"/>
        <v>62122-organisation des sessions de formation des formateurs</v>
      </c>
    </row>
    <row r="1999" spans="1:30" s="22" customFormat="1" ht="45" hidden="1" customHeight="1" x14ac:dyDescent="0.8">
      <c r="A1999" s="14">
        <v>6</v>
      </c>
      <c r="B1999" s="15">
        <v>62</v>
      </c>
      <c r="C1999" s="15">
        <v>621</v>
      </c>
      <c r="D1999" s="15">
        <v>6212</v>
      </c>
      <c r="E1999" s="15">
        <v>62123</v>
      </c>
      <c r="F1999" s="16" t="s">
        <v>2470</v>
      </c>
      <c r="G1999" s="21" t="s">
        <v>2471</v>
      </c>
      <c r="H1999" s="17" t="s">
        <v>2472</v>
      </c>
      <c r="I1999" s="33">
        <v>0</v>
      </c>
      <c r="J1999" s="33"/>
      <c r="K1999" s="33"/>
      <c r="L1999" s="33"/>
      <c r="M1999" s="33">
        <f>SUM(I1999:L1999)</f>
        <v>0</v>
      </c>
      <c r="N1999" s="33">
        <f>IF(OR(H1999="",H1999="sif",H1999="PM"),0,VLOOKUP(H1999,[5]CU!$C$4:$H$255,6,FALSE))</f>
        <v>0.15612899999999999</v>
      </c>
      <c r="O1999" s="33">
        <f t="shared" si="298"/>
        <v>0</v>
      </c>
      <c r="P1999" s="33">
        <f t="shared" si="298"/>
        <v>0</v>
      </c>
      <c r="Q1999" s="33">
        <f t="shared" si="298"/>
        <v>0</v>
      </c>
      <c r="R1999" s="33">
        <f t="shared" si="298"/>
        <v>0</v>
      </c>
      <c r="S1999" s="33">
        <f t="shared" si="299"/>
        <v>0</v>
      </c>
      <c r="T1999" s="35" t="s">
        <v>178</v>
      </c>
      <c r="U1999" s="18" t="s">
        <v>330</v>
      </c>
      <c r="V1999" s="18" t="str">
        <f>IF(OR($H1999="",$H1999="sif",$H1999="PM"),"",VLOOKUP($H1999,[5]CU!$C$5:$J$255,8,FALSE))</f>
        <v>3. Manuels scolaires et matériels pédagogiques</v>
      </c>
      <c r="W1999" s="18" t="s">
        <v>331</v>
      </c>
      <c r="X1999" s="18" t="s">
        <v>222</v>
      </c>
      <c r="Y1999" s="19" t="s">
        <v>32</v>
      </c>
      <c r="Z1999" s="18" t="str">
        <f>A1999 &amp; "-" &amp; VLOOKUP(A1999,[4]PROGRAMMES!$E$1:$F$7,2,FALSE)</f>
        <v>6-Education et alphabétisation des adultes</v>
      </c>
      <c r="AA1999" s="19" t="str">
        <f>B1999 &amp; "-" &amp; VLOOKUP(B1999,[4]SOUSPROGRAMMES!$E$1:$F$44,2,FALSE)</f>
        <v>62- Diversification des approches pour un plus grand accès équitable (modèles, des types de  centres )</v>
      </c>
      <c r="AB1999" s="19" t="str">
        <f>C1999 &amp; "-" &amp; VLOOKUP(C1999,[4]RESULTATS!$E$1:$F$176,2,FALSE)</f>
        <v>621-Plusieurs approches et modèles sont identifiées, validées et développées dans l’AEA</v>
      </c>
      <c r="AC1999" s="20" t="str">
        <f>D1999 &amp; "-" &amp; VLOOKUP(D1999,[4]STRATEGIES!$E$1:$F$504,2,FALSE)</f>
        <v>6212-Mise en œuvre et suivi évaluation de l'apprentissage</v>
      </c>
      <c r="AD1999" s="21" t="str">
        <f t="shared" si="297"/>
        <v>62123-Organisation des campagnes d'alphabétisation par les opérateurs</v>
      </c>
    </row>
    <row r="2000" spans="1:30" ht="45" hidden="1" customHeight="1" x14ac:dyDescent="0.8">
      <c r="A2000" s="25">
        <v>6</v>
      </c>
      <c r="B2000" s="16">
        <v>62</v>
      </c>
      <c r="C2000" s="16">
        <v>621</v>
      </c>
      <c r="D2000" s="16">
        <v>6212</v>
      </c>
      <c r="E2000" s="16">
        <v>62123</v>
      </c>
      <c r="F2000" s="16" t="s">
        <v>2470</v>
      </c>
      <c r="G2000" s="21" t="s">
        <v>2471</v>
      </c>
      <c r="H2000" s="21" t="s">
        <v>2472</v>
      </c>
      <c r="I2000" s="36">
        <v>0</v>
      </c>
      <c r="J2000" s="36">
        <f>94524*3%</f>
        <v>2835.72</v>
      </c>
      <c r="K2000" s="36">
        <f>94524*5%</f>
        <v>4726.2</v>
      </c>
      <c r="L2000" s="36">
        <f>94524*5%</f>
        <v>4726.2</v>
      </c>
      <c r="M2000" s="36">
        <f>SUM(I2000:L2000)</f>
        <v>12288.119999999999</v>
      </c>
      <c r="N2000" s="36">
        <f>IF(OR(H2000="",H2000="sif",H2000="PM"),0,VLOOKUP(H2000,[5]CU!$C$4:$H$255,6,FALSE))</f>
        <v>0.15612899999999999</v>
      </c>
      <c r="O2000" s="36">
        <f t="shared" si="298"/>
        <v>0</v>
      </c>
      <c r="P2000" s="36">
        <f t="shared" si="298"/>
        <v>442.73812787999992</v>
      </c>
      <c r="Q2000" s="36">
        <f t="shared" si="298"/>
        <v>737.89687979999997</v>
      </c>
      <c r="R2000" s="36">
        <f t="shared" si="298"/>
        <v>737.89687979999997</v>
      </c>
      <c r="S2000" s="36">
        <f t="shared" si="299"/>
        <v>1918.53188748</v>
      </c>
      <c r="T2000" s="38" t="s">
        <v>169</v>
      </c>
      <c r="U2000" s="19" t="s">
        <v>330</v>
      </c>
      <c r="V2000" s="19" t="str">
        <f>IF(OR($H2000="",$H2000="sif",$H2000="PM"),"",VLOOKUP($H2000,[5]CU!$C$5:$J$255,8,FALSE))</f>
        <v>3. Manuels scolaires et matériels pédagogiques</v>
      </c>
      <c r="W2000" s="19" t="s">
        <v>331</v>
      </c>
      <c r="X2000" s="19" t="s">
        <v>222</v>
      </c>
      <c r="Y2000" s="19" t="s">
        <v>32</v>
      </c>
      <c r="Z2000" s="19" t="str">
        <f>A2000 &amp; "-" &amp; VLOOKUP(A2000,[4]PROGRAMMES!$E$1:$F$7,2,FALSE)</f>
        <v>6-Education et alphabétisation des adultes</v>
      </c>
      <c r="AA2000" s="19" t="str">
        <f>B2000 &amp; "-" &amp; VLOOKUP(B2000,[4]SOUSPROGRAMMES!$E$1:$F$44,2,FALSE)</f>
        <v>62- Diversification des approches pour un plus grand accès équitable (modèles, des types de  centres )</v>
      </c>
      <c r="AB2000" s="19" t="str">
        <f>C2000 &amp; "-" &amp; VLOOKUP(C2000,[4]RESULTATS!$E$1:$F$176,2,FALSE)</f>
        <v>621-Plusieurs approches et modèles sont identifiées, validées et développées dans l’AEA</v>
      </c>
      <c r="AC2000" s="20" t="str">
        <f>D2000 &amp; "-" &amp; VLOOKUP(D2000,[4]STRATEGIES!$E$1:$F$504,2,FALSE)</f>
        <v>6212-Mise en œuvre et suivi évaluation de l'apprentissage</v>
      </c>
      <c r="AD2000" s="21" t="str">
        <f t="shared" si="297"/>
        <v>62123-Organisation des campagnes d'alphabétisation par les opérateurs</v>
      </c>
    </row>
    <row r="2001" spans="1:30" s="22" customFormat="1" ht="45" hidden="1" customHeight="1" x14ac:dyDescent="0.8">
      <c r="A2001" s="14">
        <v>6</v>
      </c>
      <c r="B2001" s="15">
        <v>62</v>
      </c>
      <c r="C2001" s="15">
        <v>621</v>
      </c>
      <c r="D2001" s="15">
        <v>6212</v>
      </c>
      <c r="E2001" s="15">
        <v>62123</v>
      </c>
      <c r="F2001" s="16" t="s">
        <v>2470</v>
      </c>
      <c r="G2001" s="21" t="s">
        <v>2471</v>
      </c>
      <c r="H2001" s="17" t="s">
        <v>2472</v>
      </c>
      <c r="I2001" s="33">
        <v>0</v>
      </c>
      <c r="J2001" s="33">
        <f>94524*80%</f>
        <v>75619.199999999997</v>
      </c>
      <c r="K2001" s="33">
        <f>105072*80%</f>
        <v>84057.600000000006</v>
      </c>
      <c r="L2001" s="33">
        <f>115619*80%</f>
        <v>92495.200000000012</v>
      </c>
      <c r="M2001" s="33">
        <f t="shared" si="290"/>
        <v>252172</v>
      </c>
      <c r="N2001" s="33">
        <f>IF(OR(H2001="",H2001="sif",H2001="PM"),0,VLOOKUP(H2001,[5]CU!$C$4:$H$255,6,FALSE))</f>
        <v>0.15612899999999999</v>
      </c>
      <c r="O2001" s="33">
        <f t="shared" si="298"/>
        <v>0</v>
      </c>
      <c r="P2001" s="33">
        <f t="shared" si="298"/>
        <v>11806.350076799999</v>
      </c>
      <c r="Q2001" s="33">
        <f t="shared" si="298"/>
        <v>13123.8290304</v>
      </c>
      <c r="R2001" s="33">
        <f t="shared" si="298"/>
        <v>14441.183080800001</v>
      </c>
      <c r="S2001" s="33">
        <f t="shared" si="299"/>
        <v>39371.362187999999</v>
      </c>
      <c r="T2001" s="35" t="s">
        <v>56</v>
      </c>
      <c r="U2001" s="18" t="s">
        <v>330</v>
      </c>
      <c r="V2001" s="18" t="str">
        <f>IF(OR($H2001="",$H2001="sif",$H2001="PM"),"",VLOOKUP($H2001,[5]CU!$C$5:$J$255,8,FALSE))</f>
        <v>3. Manuels scolaires et matériels pédagogiques</v>
      </c>
      <c r="W2001" s="18" t="s">
        <v>331</v>
      </c>
      <c r="X2001" s="18" t="s">
        <v>222</v>
      </c>
      <c r="Y2001" s="19" t="s">
        <v>32</v>
      </c>
      <c r="Z2001" s="18" t="str">
        <f>A2001 &amp; "-" &amp; VLOOKUP(A2001,[4]PROGRAMMES!$E$1:$F$7,2,FALSE)</f>
        <v>6-Education et alphabétisation des adultes</v>
      </c>
      <c r="AA2001" s="19" t="str">
        <f>B2001 &amp; "-" &amp; VLOOKUP(B2001,[4]SOUSPROGRAMMES!$E$1:$F$44,2,FALSE)</f>
        <v>62- Diversification des approches pour un plus grand accès équitable (modèles, des types de  centres )</v>
      </c>
      <c r="AB2001" s="19" t="str">
        <f>C2001 &amp; "-" &amp; VLOOKUP(C2001,[4]RESULTATS!$E$1:$F$176,2,FALSE)</f>
        <v>621-Plusieurs approches et modèles sont identifiées, validées et développées dans l’AEA</v>
      </c>
      <c r="AC2001" s="20" t="str">
        <f>D2001 &amp; "-" &amp; VLOOKUP(D2001,[4]STRATEGIES!$E$1:$F$504,2,FALSE)</f>
        <v>6212-Mise en œuvre et suivi évaluation de l'apprentissage</v>
      </c>
      <c r="AD2001" s="21" t="str">
        <f t="shared" si="297"/>
        <v>62123-Organisation des campagnes d'alphabétisation par les opérateurs</v>
      </c>
    </row>
    <row r="2002" spans="1:30" s="22" customFormat="1" ht="45" hidden="1" customHeight="1" x14ac:dyDescent="0.8">
      <c r="A2002" s="14">
        <v>6</v>
      </c>
      <c r="B2002" s="15">
        <v>62</v>
      </c>
      <c r="C2002" s="15">
        <v>621</v>
      </c>
      <c r="D2002" s="15">
        <v>6212</v>
      </c>
      <c r="E2002" s="15">
        <v>62123</v>
      </c>
      <c r="F2002" s="16" t="s">
        <v>2473</v>
      </c>
      <c r="G2002" s="21" t="s">
        <v>1128</v>
      </c>
      <c r="H2002" s="17" t="s">
        <v>59</v>
      </c>
      <c r="I2002" s="33">
        <v>0</v>
      </c>
      <c r="J2002" s="33">
        <f>4*5*8</f>
        <v>160</v>
      </c>
      <c r="K2002" s="33">
        <f>4*5*8</f>
        <v>160</v>
      </c>
      <c r="L2002" s="33">
        <f>4*5*8</f>
        <v>160</v>
      </c>
      <c r="M2002" s="33">
        <f t="shared" si="290"/>
        <v>480</v>
      </c>
      <c r="N2002" s="33">
        <f>IF(OR(H2002="",H2002="sif",H2002="PM"),0,VLOOKUP(H2002,[5]CU!$C$4:$H$255,6,FALSE))</f>
        <v>0.8177777777777776</v>
      </c>
      <c r="O2002" s="33">
        <f t="shared" si="298"/>
        <v>0</v>
      </c>
      <c r="P2002" s="33">
        <f t="shared" si="298"/>
        <v>130.84444444444441</v>
      </c>
      <c r="Q2002" s="33">
        <f t="shared" si="298"/>
        <v>130.84444444444441</v>
      </c>
      <c r="R2002" s="33">
        <f t="shared" si="298"/>
        <v>130.84444444444441</v>
      </c>
      <c r="S2002" s="33">
        <f t="shared" si="299"/>
        <v>392.53333333333319</v>
      </c>
      <c r="T2002" s="35" t="s">
        <v>56</v>
      </c>
      <c r="U2002" s="18" t="s">
        <v>330</v>
      </c>
      <c r="V2002" s="18" t="str">
        <f>IF(OR($H2002="",$H2002="sif",$H2002="PM"),"",VLOOKUP($H2002,[5]CU!$C$5:$J$255,8,FALSE))</f>
        <v>3. Dépenses de fonctionnement</v>
      </c>
      <c r="W2002" s="18" t="s">
        <v>331</v>
      </c>
      <c r="X2002" s="18" t="s">
        <v>2474</v>
      </c>
      <c r="Y2002" s="19" t="s">
        <v>32</v>
      </c>
      <c r="Z2002" s="18" t="str">
        <f>A2002 &amp; "-" &amp; VLOOKUP(A2002,[4]PROGRAMMES!$E$1:$F$7,2,FALSE)</f>
        <v>6-Education et alphabétisation des adultes</v>
      </c>
      <c r="AA2002" s="19" t="str">
        <f>B2002 &amp; "-" &amp; VLOOKUP(B2002,[4]SOUSPROGRAMMES!$E$1:$F$44,2,FALSE)</f>
        <v>62- Diversification des approches pour un plus grand accès équitable (modèles, des types de  centres )</v>
      </c>
      <c r="AB2002" s="19" t="str">
        <f>C2002 &amp; "-" &amp; VLOOKUP(C2002,[4]RESULTATS!$E$1:$F$176,2,FALSE)</f>
        <v>621-Plusieurs approches et modèles sont identifiées, validées et développées dans l’AEA</v>
      </c>
      <c r="AC2002" s="20" t="str">
        <f>D2002 &amp; "-" &amp; VLOOKUP(D2002,[4]STRATEGIES!$E$1:$F$504,2,FALSE)</f>
        <v>6212-Mise en œuvre et suivi évaluation de l'apprentissage</v>
      </c>
      <c r="AD2002" s="21" t="str">
        <f t="shared" si="297"/>
        <v>62123-supervision des activités</v>
      </c>
    </row>
    <row r="2003" spans="1:30" s="22" customFormat="1" ht="45" hidden="1" customHeight="1" x14ac:dyDescent="0.8">
      <c r="A2003" s="14">
        <v>6</v>
      </c>
      <c r="B2003" s="15">
        <v>62</v>
      </c>
      <c r="C2003" s="15">
        <v>621</v>
      </c>
      <c r="D2003" s="15">
        <v>6212</v>
      </c>
      <c r="E2003" s="15">
        <v>62124</v>
      </c>
      <c r="F2003" s="16" t="s">
        <v>2475</v>
      </c>
      <c r="G2003" s="21" t="s">
        <v>159</v>
      </c>
      <c r="H2003" s="17" t="s">
        <v>55</v>
      </c>
      <c r="I2003" s="33">
        <v>0</v>
      </c>
      <c r="J2003" s="33">
        <v>1</v>
      </c>
      <c r="K2003" s="33">
        <v>1</v>
      </c>
      <c r="L2003" s="33">
        <v>1</v>
      </c>
      <c r="M2003" s="33">
        <f t="shared" si="290"/>
        <v>3</v>
      </c>
      <c r="N2003" s="33">
        <f>IF(OR(H2003="",H2003="sif",H2003="PM"),0,VLOOKUP(H2003,[5]CU!$C$4:$H$255,6,FALSE))</f>
        <v>0</v>
      </c>
      <c r="O2003" s="33"/>
      <c r="P2003" s="33"/>
      <c r="Q2003" s="33"/>
      <c r="R2003" s="33"/>
      <c r="S2003" s="33"/>
      <c r="T2003" s="35" t="s">
        <v>56</v>
      </c>
      <c r="U2003" s="18" t="s">
        <v>330</v>
      </c>
      <c r="V2003" s="18" t="str">
        <f>IF(OR($H2003="",$H2003="sif",$H2003="PM"),"",VLOOKUP($H2003,[5]CU!$C$5:$J$255,8,FALSE))</f>
        <v/>
      </c>
      <c r="W2003" s="18" t="s">
        <v>331</v>
      </c>
      <c r="X2003" s="18" t="s">
        <v>2476</v>
      </c>
      <c r="Y2003" s="19" t="s">
        <v>32</v>
      </c>
      <c r="Z2003" s="18" t="str">
        <f>A2003 &amp; "-" &amp; VLOOKUP(A2003,[4]PROGRAMMES!$E$1:$F$7,2,FALSE)</f>
        <v>6-Education et alphabétisation des adultes</v>
      </c>
      <c r="AA2003" s="19" t="str">
        <f>B2003 &amp; "-" &amp; VLOOKUP(B2003,[4]SOUSPROGRAMMES!$E$1:$F$44,2,FALSE)</f>
        <v>62- Diversification des approches pour un plus grand accès équitable (modèles, des types de  centres )</v>
      </c>
      <c r="AB2003" s="19" t="str">
        <f>C2003 &amp; "-" &amp; VLOOKUP(C2003,[4]RESULTATS!$E$1:$F$176,2,FALSE)</f>
        <v>621-Plusieurs approches et modèles sont identifiées, validées et développées dans l’AEA</v>
      </c>
      <c r="AC2003" s="20" t="str">
        <f>D2003 &amp; "-" &amp; VLOOKUP(D2003,[4]STRATEGIES!$E$1:$F$504,2,FALSE)</f>
        <v>6212-Mise en œuvre et suivi évaluation de l'apprentissage</v>
      </c>
      <c r="AD2003" s="21" t="str">
        <f t="shared" si="297"/>
        <v>62124-suivi et évaluation par le niveau déconcentré</v>
      </c>
    </row>
    <row r="2004" spans="1:30" s="22" customFormat="1" ht="45" hidden="1" customHeight="1" x14ac:dyDescent="0.8">
      <c r="A2004" s="14">
        <v>6</v>
      </c>
      <c r="B2004" s="15">
        <v>62</v>
      </c>
      <c r="C2004" s="15">
        <v>621</v>
      </c>
      <c r="D2004" s="15">
        <v>6212</v>
      </c>
      <c r="E2004" s="15">
        <v>62125</v>
      </c>
      <c r="F2004" s="16" t="s">
        <v>2477</v>
      </c>
      <c r="G2004" s="21" t="s">
        <v>1128</v>
      </c>
      <c r="H2004" s="17" t="s">
        <v>59</v>
      </c>
      <c r="I2004" s="39">
        <v>0</v>
      </c>
      <c r="J2004" s="33"/>
      <c r="K2004" s="33"/>
      <c r="L2004" s="33"/>
      <c r="M2004" s="33">
        <f t="shared" si="290"/>
        <v>0</v>
      </c>
      <c r="N2004" s="33">
        <f>IF(OR(H2004="",H2004="sif",H2004="PM"),0,VLOOKUP(H2004,[5]CU!$C$4:$H$255,6,FALSE))</f>
        <v>0.8177777777777776</v>
      </c>
      <c r="O2004" s="33">
        <f t="shared" ref="O2004:R2005" si="300">$N2004*I2004</f>
        <v>0</v>
      </c>
      <c r="P2004" s="33">
        <f t="shared" si="300"/>
        <v>0</v>
      </c>
      <c r="Q2004" s="33">
        <f t="shared" si="300"/>
        <v>0</v>
      </c>
      <c r="R2004" s="33">
        <f t="shared" si="300"/>
        <v>0</v>
      </c>
      <c r="S2004" s="33">
        <f>SUM(O2004:R2004)</f>
        <v>0</v>
      </c>
      <c r="T2004" s="35" t="s">
        <v>178</v>
      </c>
      <c r="U2004" s="18" t="s">
        <v>330</v>
      </c>
      <c r="V2004" s="18" t="str">
        <f>IF(OR($H2004="",$H2004="sif",$H2004="PM"),"",VLOOKUP($H2004,[5]CU!$C$5:$J$255,8,FALSE))</f>
        <v>3. Dépenses de fonctionnement</v>
      </c>
      <c r="W2004" s="18" t="s">
        <v>331</v>
      </c>
      <c r="X2004" s="18" t="s">
        <v>331</v>
      </c>
      <c r="Y2004" s="19" t="s">
        <v>32</v>
      </c>
      <c r="Z2004" s="18" t="str">
        <f>A2004 &amp; "-" &amp; VLOOKUP(A2004,[4]PROGRAMMES!$E$1:$F$7,2,FALSE)</f>
        <v>6-Education et alphabétisation des adultes</v>
      </c>
      <c r="AA2004" s="19" t="str">
        <f>B2004 &amp; "-" &amp; VLOOKUP(B2004,[4]SOUSPROGRAMMES!$E$1:$F$44,2,FALSE)</f>
        <v>62- Diversification des approches pour un plus grand accès équitable (modèles, des types de  centres )</v>
      </c>
      <c r="AB2004" s="19" t="str">
        <f>C2004 &amp; "-" &amp; VLOOKUP(C2004,[4]RESULTATS!$E$1:$F$176,2,FALSE)</f>
        <v>621-Plusieurs approches et modèles sont identifiées, validées et développées dans l’AEA</v>
      </c>
      <c r="AC2004" s="20" t="str">
        <f>D2004 &amp; "-" &amp; VLOOKUP(D2004,[4]STRATEGIES!$E$1:$F$504,2,FALSE)</f>
        <v>6212-Mise en œuvre et suivi évaluation de l'apprentissage</v>
      </c>
      <c r="AD2004" s="21" t="str">
        <f t="shared" si="297"/>
        <v>62125-suivi et évaluation conjoint par le niveau central et les Réseaux d'ONG</v>
      </c>
    </row>
    <row r="2005" spans="1:30" ht="45" hidden="1" customHeight="1" x14ac:dyDescent="0.8">
      <c r="A2005" s="25">
        <v>6</v>
      </c>
      <c r="B2005" s="16">
        <v>62</v>
      </c>
      <c r="C2005" s="16">
        <v>621</v>
      </c>
      <c r="D2005" s="16">
        <v>6212</v>
      </c>
      <c r="E2005" s="16">
        <v>62125</v>
      </c>
      <c r="F2005" s="16" t="s">
        <v>2477</v>
      </c>
      <c r="G2005" s="21" t="s">
        <v>1128</v>
      </c>
      <c r="H2005" s="21" t="s">
        <v>59</v>
      </c>
      <c r="I2005" s="36">
        <v>0</v>
      </c>
      <c r="J2005" s="36">
        <f>3*7*3</f>
        <v>63</v>
      </c>
      <c r="K2005" s="36">
        <f>3*7*3</f>
        <v>63</v>
      </c>
      <c r="L2005" s="36">
        <f>4*7*4</f>
        <v>112</v>
      </c>
      <c r="M2005" s="36">
        <f>SUM(I2005:L2005)</f>
        <v>238</v>
      </c>
      <c r="N2005" s="36">
        <f>IF(OR(H2005="",H2005="sif",H2005="PM"),0,VLOOKUP(H2005,[5]CU!$C$4:$H$255,6,FALSE))</f>
        <v>0.8177777777777776</v>
      </c>
      <c r="O2005" s="36">
        <f t="shared" si="300"/>
        <v>0</v>
      </c>
      <c r="P2005" s="36">
        <f t="shared" si="300"/>
        <v>51.519999999999989</v>
      </c>
      <c r="Q2005" s="36">
        <f t="shared" si="300"/>
        <v>51.519999999999989</v>
      </c>
      <c r="R2005" s="36">
        <f t="shared" si="300"/>
        <v>91.59111111111109</v>
      </c>
      <c r="S2005" s="36">
        <f>SUM(O2005:R2005)</f>
        <v>194.63111111111107</v>
      </c>
      <c r="T2005" s="38" t="s">
        <v>169</v>
      </c>
      <c r="U2005" s="19" t="s">
        <v>330</v>
      </c>
      <c r="V2005" s="19" t="str">
        <f>IF(OR($H2005="",$H2005="sif",$H2005="PM"),"",VLOOKUP($H2005,[5]CU!$C$5:$J$255,8,FALSE))</f>
        <v>3. Dépenses de fonctionnement</v>
      </c>
      <c r="W2005" s="19" t="s">
        <v>331</v>
      </c>
      <c r="X2005" s="19" t="s">
        <v>331</v>
      </c>
      <c r="Y2005" s="19" t="s">
        <v>32</v>
      </c>
      <c r="Z2005" s="19" t="str">
        <f>A2005 &amp; "-" &amp; VLOOKUP(A2005,[4]PROGRAMMES!$E$1:$F$7,2,FALSE)</f>
        <v>6-Education et alphabétisation des adultes</v>
      </c>
      <c r="AA2005" s="19" t="str">
        <f>B2005 &amp; "-" &amp; VLOOKUP(B2005,[4]SOUSPROGRAMMES!$E$1:$F$44,2,FALSE)</f>
        <v>62- Diversification des approches pour un plus grand accès équitable (modèles, des types de  centres )</v>
      </c>
      <c r="AB2005" s="19" t="str">
        <f>C2005 &amp; "-" &amp; VLOOKUP(C2005,[4]RESULTATS!$E$1:$F$176,2,FALSE)</f>
        <v>621-Plusieurs approches et modèles sont identifiées, validées et développées dans l’AEA</v>
      </c>
      <c r="AC2005" s="20" t="str">
        <f>D2005 &amp; "-" &amp; VLOOKUP(D2005,[4]STRATEGIES!$E$1:$F$504,2,FALSE)</f>
        <v>6212-Mise en œuvre et suivi évaluation de l'apprentissage</v>
      </c>
      <c r="AD2005" s="21" t="str">
        <f t="shared" si="297"/>
        <v>62125-suivi et évaluation conjoint par le niveau central et les Réseaux d'ONG</v>
      </c>
    </row>
    <row r="2006" spans="1:30" s="22" customFormat="1" ht="15" hidden="1" customHeight="1" x14ac:dyDescent="0.8">
      <c r="A2006" s="14">
        <v>6</v>
      </c>
      <c r="B2006" s="15">
        <v>63</v>
      </c>
      <c r="C2006" s="15">
        <v>63</v>
      </c>
      <c r="D2006" s="15">
        <v>63</v>
      </c>
      <c r="E2006" s="15">
        <v>63</v>
      </c>
      <c r="F2006" s="16" t="s">
        <v>2478</v>
      </c>
      <c r="G2006" s="17"/>
      <c r="H2006" s="17"/>
      <c r="I2006" s="33">
        <v>0</v>
      </c>
      <c r="J2006" s="33"/>
      <c r="K2006" s="33"/>
      <c r="L2006" s="33"/>
      <c r="M2006" s="33"/>
      <c r="N2006" s="33"/>
      <c r="O2006" s="33"/>
      <c r="P2006" s="33"/>
      <c r="Q2006" s="33"/>
      <c r="R2006" s="33"/>
      <c r="S2006" s="33"/>
      <c r="T2006" s="33"/>
      <c r="U2006" s="18"/>
      <c r="V2006" s="18"/>
      <c r="W2006" s="18"/>
      <c r="X2006" s="18"/>
      <c r="Y2006" s="18"/>
      <c r="Z2006" s="18" t="str">
        <f>A2006 &amp; "-" &amp; VLOOKUP(A2006,[4]PROGRAMMES!$E$1:$F$7,2,FALSE)</f>
        <v>6-Education et alphabétisation des adultes</v>
      </c>
      <c r="AA2006" s="19" t="str">
        <f>B2006 &amp; "-" &amp; VLOOKUP(B2006,[4]SOUSPROGRAMMES!$E$1:$F$44,2,FALSE)</f>
        <v xml:space="preserve">63- Amélioration de la qualité </v>
      </c>
      <c r="AB2006" s="19" t="str">
        <f>C2006 &amp; "-" &amp; VLOOKUP(C2006,[4]RESULTATS!$E$1:$F$176,2,FALSE)</f>
        <v xml:space="preserve">63- Amélioration de la qualité </v>
      </c>
      <c r="AC2006" s="20" t="str">
        <f>D2006 &amp; "-" &amp; VLOOKUP(D2006,[4]STRATEGIES!$E$1:$F$504,2,FALSE)</f>
        <v xml:space="preserve">63- Amélioration de la qualité </v>
      </c>
      <c r="AD2006" s="21" t="str">
        <f t="shared" si="297"/>
        <v xml:space="preserve">63- Amélioration de la qualité </v>
      </c>
    </row>
    <row r="2007" spans="1:30" s="22" customFormat="1" ht="45" hidden="1" customHeight="1" x14ac:dyDescent="0.8">
      <c r="A2007" s="14">
        <v>6</v>
      </c>
      <c r="B2007" s="15">
        <v>63</v>
      </c>
      <c r="C2007" s="15">
        <v>631</v>
      </c>
      <c r="D2007" s="15">
        <v>631</v>
      </c>
      <c r="E2007" s="15">
        <v>631</v>
      </c>
      <c r="F2007" s="16" t="s">
        <v>2479</v>
      </c>
      <c r="G2007" s="17"/>
      <c r="H2007" s="17"/>
      <c r="I2007" s="33">
        <v>0</v>
      </c>
      <c r="J2007" s="33"/>
      <c r="K2007" s="33"/>
      <c r="L2007" s="33"/>
      <c r="M2007" s="33"/>
      <c r="N2007" s="33"/>
      <c r="O2007" s="33"/>
      <c r="P2007" s="33"/>
      <c r="Q2007" s="33"/>
      <c r="R2007" s="33"/>
      <c r="S2007" s="33"/>
      <c r="T2007" s="33"/>
      <c r="U2007" s="18"/>
      <c r="V2007" s="18"/>
      <c r="W2007" s="18"/>
      <c r="X2007" s="18"/>
      <c r="Y2007" s="18"/>
      <c r="Z2007" s="18" t="str">
        <f>A2007 &amp; "-" &amp; VLOOKUP(A2007,[4]PROGRAMMES!$E$1:$F$7,2,FALSE)</f>
        <v>6-Education et alphabétisation des adultes</v>
      </c>
      <c r="AA2007" s="19" t="str">
        <f>B2007 &amp; "-" &amp; VLOOKUP(B2007,[4]SOUSPROGRAMMES!$E$1:$F$44,2,FALSE)</f>
        <v xml:space="preserve">63- Amélioration de la qualité </v>
      </c>
      <c r="AB2007" s="19" t="str">
        <f>C2007 &amp; "-" &amp; VLOOKUP(C2007,[4]RESULTATS!$E$1:$F$176,2,FALSE)</f>
        <v>631- Les curricula sont adaptés et maitrisés par les opérateurs et les formateurs</v>
      </c>
      <c r="AC2007" s="20" t="str">
        <f>D2007 &amp; "-" &amp; VLOOKUP(D2007,[4]STRATEGIES!$E$1:$F$504,2,FALSE)</f>
        <v>631- Les curricula sont adaptés et maitrisés par les opérateurs et les formateurs</v>
      </c>
      <c r="AD2007" s="21" t="str">
        <f t="shared" si="297"/>
        <v>631- Les curricula sont adaptés et maitrisés par les opérateurs et les formateurs</v>
      </c>
    </row>
    <row r="2008" spans="1:30" s="22" customFormat="1" ht="45" hidden="1" customHeight="1" x14ac:dyDescent="0.8">
      <c r="A2008" s="14">
        <v>6</v>
      </c>
      <c r="B2008" s="15">
        <v>63</v>
      </c>
      <c r="C2008" s="15">
        <v>631</v>
      </c>
      <c r="D2008" s="15">
        <v>6311</v>
      </c>
      <c r="E2008" s="15">
        <v>6311</v>
      </c>
      <c r="F2008" s="16" t="s">
        <v>2480</v>
      </c>
      <c r="G2008" s="17"/>
      <c r="H2008" s="17"/>
      <c r="I2008" s="33">
        <v>0</v>
      </c>
      <c r="J2008" s="33"/>
      <c r="K2008" s="33"/>
      <c r="L2008" s="33"/>
      <c r="M2008" s="33"/>
      <c r="N2008" s="33"/>
      <c r="O2008" s="33"/>
      <c r="P2008" s="33"/>
      <c r="Q2008" s="33"/>
      <c r="R2008" s="33"/>
      <c r="S2008" s="33"/>
      <c r="T2008" s="33"/>
      <c r="U2008" s="18"/>
      <c r="V2008" s="18"/>
      <c r="W2008" s="18"/>
      <c r="X2008" s="18"/>
      <c r="Y2008" s="18"/>
      <c r="Z2008" s="18" t="str">
        <f>A2008 &amp; "-" &amp; VLOOKUP(A2008,[4]PROGRAMMES!$E$1:$F$7,2,FALSE)</f>
        <v>6-Education et alphabétisation des adultes</v>
      </c>
      <c r="AA2008" s="19" t="str">
        <f>B2008 &amp; "-" &amp; VLOOKUP(B2008,[4]SOUSPROGRAMMES!$E$1:$F$44,2,FALSE)</f>
        <v xml:space="preserve">63- Amélioration de la qualité </v>
      </c>
      <c r="AB2008" s="19" t="str">
        <f>C2008 &amp; "-" &amp; VLOOKUP(C2008,[4]RESULTATS!$E$1:$F$176,2,FALSE)</f>
        <v>631- Les curricula sont adaptés et maitrisés par les opérateurs et les formateurs</v>
      </c>
      <c r="AC2008" s="20" t="str">
        <f>D2008 &amp; "-" &amp; VLOOKUP(D2008,[4]STRATEGIES!$E$1:$F$504,2,FALSE)</f>
        <v>6311-Révision et d'adaptation des curricula de l'AEA</v>
      </c>
      <c r="AD2008" s="21" t="str">
        <f t="shared" si="297"/>
        <v>6311-Révision et d'adaptation des curricula de l'AEA</v>
      </c>
    </row>
    <row r="2009" spans="1:30" ht="45" hidden="1" customHeight="1" x14ac:dyDescent="0.8">
      <c r="A2009" s="25">
        <v>6</v>
      </c>
      <c r="B2009" s="16">
        <v>63</v>
      </c>
      <c r="C2009" s="16">
        <v>631</v>
      </c>
      <c r="D2009" s="16">
        <v>6311</v>
      </c>
      <c r="E2009" s="16">
        <v>63111</v>
      </c>
      <c r="F2009" s="16" t="s">
        <v>2481</v>
      </c>
      <c r="G2009" s="21" t="s">
        <v>298</v>
      </c>
      <c r="H2009" s="21" t="s">
        <v>66</v>
      </c>
      <c r="I2009" s="36">
        <v>0</v>
      </c>
      <c r="J2009" s="36">
        <f>8*4*1</f>
        <v>32</v>
      </c>
      <c r="K2009" s="36"/>
      <c r="L2009" s="36"/>
      <c r="M2009" s="36">
        <f t="shared" ref="M2009:M2081" si="301">SUM(I2009:L2009)</f>
        <v>32</v>
      </c>
      <c r="N2009" s="36">
        <f>IF(OR(H2009="",H2009="sif",H2009="PM"),0,VLOOKUP(H2009,[5]CU!$C$4:$H$255,6,FALSE))</f>
        <v>0.255</v>
      </c>
      <c r="O2009" s="36">
        <f t="shared" ref="O2009:R2010" si="302">$N2009*I2009</f>
        <v>0</v>
      </c>
      <c r="P2009" s="36">
        <f t="shared" si="302"/>
        <v>8.16</v>
      </c>
      <c r="Q2009" s="36">
        <f t="shared" si="302"/>
        <v>0</v>
      </c>
      <c r="R2009" s="36">
        <f t="shared" si="302"/>
        <v>0</v>
      </c>
      <c r="S2009" s="36">
        <f>SUM(O2009:R2009)</f>
        <v>8.16</v>
      </c>
      <c r="T2009" s="38" t="s">
        <v>169</v>
      </c>
      <c r="U2009" s="19" t="s">
        <v>330</v>
      </c>
      <c r="V2009" s="19" t="str">
        <f>IF(OR($H2009="",$H2009="sif",$H2009="PM"),"",VLOOKUP($H2009,[5]CU!$C$5:$J$255,8,FALSE))</f>
        <v>3. Dépenses de fonctionnement</v>
      </c>
      <c r="W2009" s="19" t="s">
        <v>331</v>
      </c>
      <c r="X2009" s="19" t="s">
        <v>2482</v>
      </c>
      <c r="Y2009" s="19" t="s">
        <v>32</v>
      </c>
      <c r="Z2009" s="19" t="str">
        <f>A2009 &amp; "-" &amp; VLOOKUP(A2009,[4]PROGRAMMES!$E$1:$F$7,2,FALSE)</f>
        <v>6-Education et alphabétisation des adultes</v>
      </c>
      <c r="AA2009" s="19" t="str">
        <f>B2009 &amp; "-" &amp; VLOOKUP(B2009,[4]SOUSPROGRAMMES!$E$1:$F$44,2,FALSE)</f>
        <v xml:space="preserve">63- Amélioration de la qualité </v>
      </c>
      <c r="AB2009" s="19" t="str">
        <f>C2009 &amp; "-" &amp; VLOOKUP(C2009,[4]RESULTATS!$E$1:$F$176,2,FALSE)</f>
        <v>631- Les curricula sont adaptés et maitrisés par les opérateurs et les formateurs</v>
      </c>
      <c r="AC2009" s="20" t="str">
        <f>D2009 &amp; "-" &amp; VLOOKUP(D2009,[4]STRATEGIES!$E$1:$F$504,2,FALSE)</f>
        <v>6311-Révision et d'adaptation des curricula de l'AEA</v>
      </c>
      <c r="AD2009" s="21" t="str">
        <f t="shared" si="297"/>
        <v>63111-actualisation et élaboration des curricula</v>
      </c>
    </row>
    <row r="2010" spans="1:30" ht="45" hidden="1" customHeight="1" x14ac:dyDescent="0.8">
      <c r="A2010" s="25">
        <v>6</v>
      </c>
      <c r="B2010" s="16">
        <v>63</v>
      </c>
      <c r="C2010" s="16">
        <v>631</v>
      </c>
      <c r="D2010" s="16">
        <v>6311</v>
      </c>
      <c r="E2010" s="16">
        <v>63112</v>
      </c>
      <c r="F2010" s="16" t="s">
        <v>2483</v>
      </c>
      <c r="G2010" s="21" t="s">
        <v>451</v>
      </c>
      <c r="H2010" s="21" t="s">
        <v>45</v>
      </c>
      <c r="I2010" s="36">
        <v>0</v>
      </c>
      <c r="J2010" s="36"/>
      <c r="K2010" s="36">
        <f>(K2000+L2000+K2001+L2001)/50*2</f>
        <v>7440.2080000000005</v>
      </c>
      <c r="L2010" s="36"/>
      <c r="M2010" s="36">
        <f t="shared" si="301"/>
        <v>7440.2080000000005</v>
      </c>
      <c r="N2010" s="36">
        <f>IF(OR(H2010="",H2010="sif",H2010="PM"),0,VLOOKUP(H2010,[5]CU!$C$4:$H$255,6,FALSE))</f>
        <v>0.03</v>
      </c>
      <c r="O2010" s="36">
        <f t="shared" si="302"/>
        <v>0</v>
      </c>
      <c r="P2010" s="36">
        <f t="shared" si="302"/>
        <v>0</v>
      </c>
      <c r="Q2010" s="36">
        <f t="shared" si="302"/>
        <v>223.20624000000001</v>
      </c>
      <c r="R2010" s="36">
        <f t="shared" si="302"/>
        <v>0</v>
      </c>
      <c r="S2010" s="36">
        <f>SUM(O2010:R2010)</f>
        <v>223.20624000000001</v>
      </c>
      <c r="T2010" s="38" t="s">
        <v>169</v>
      </c>
      <c r="U2010" s="19" t="s">
        <v>330</v>
      </c>
      <c r="V2010" s="19" t="str">
        <f>IF(OR($H2010="",$H2010="sif",$H2010="PM"),"",VLOOKUP($H2010,[5]CU!$C$5:$J$255,8,FALSE))</f>
        <v>3. Manuels scolaires et matériels pédagogiques</v>
      </c>
      <c r="W2010" s="19" t="s">
        <v>331</v>
      </c>
      <c r="X2010" s="19" t="s">
        <v>331</v>
      </c>
      <c r="Y2010" s="19" t="s">
        <v>32</v>
      </c>
      <c r="Z2010" s="19" t="str">
        <f>A2010 &amp; "-" &amp; VLOOKUP(A2010,[4]PROGRAMMES!$E$1:$F$7,2,FALSE)</f>
        <v>6-Education et alphabétisation des adultes</v>
      </c>
      <c r="AA2010" s="19" t="str">
        <f>B2010 &amp; "-" &amp; VLOOKUP(B2010,[4]SOUSPROGRAMMES!$E$1:$F$44,2,FALSE)</f>
        <v xml:space="preserve">63- Amélioration de la qualité </v>
      </c>
      <c r="AB2010" s="19" t="str">
        <f>C2010 &amp; "-" &amp; VLOOKUP(C2010,[4]RESULTATS!$E$1:$F$176,2,FALSE)</f>
        <v>631- Les curricula sont adaptés et maitrisés par les opérateurs et les formateurs</v>
      </c>
      <c r="AC2010" s="20" t="str">
        <f>D2010 &amp; "-" &amp; VLOOKUP(D2010,[4]STRATEGIES!$E$1:$F$504,2,FALSE)</f>
        <v>6311-Révision et d'adaptation des curricula de l'AEA</v>
      </c>
      <c r="AD2010" s="21" t="str">
        <f t="shared" si="297"/>
        <v>63112-reproduction des curricula</v>
      </c>
    </row>
    <row r="2011" spans="1:30" ht="45" hidden="1" customHeight="1" x14ac:dyDescent="0.8">
      <c r="A2011" s="25">
        <v>6</v>
      </c>
      <c r="B2011" s="16">
        <v>63</v>
      </c>
      <c r="C2011" s="16">
        <v>631</v>
      </c>
      <c r="D2011" s="16">
        <v>6311</v>
      </c>
      <c r="E2011" s="16">
        <v>63113</v>
      </c>
      <c r="F2011" s="16" t="s">
        <v>2484</v>
      </c>
      <c r="G2011" s="21" t="s">
        <v>177</v>
      </c>
      <c r="H2011" s="21" t="s">
        <v>55</v>
      </c>
      <c r="I2011" s="36">
        <v>0</v>
      </c>
      <c r="J2011" s="36"/>
      <c r="K2011" s="36">
        <v>1</v>
      </c>
      <c r="L2011" s="36">
        <v>1</v>
      </c>
      <c r="M2011" s="36">
        <f t="shared" si="301"/>
        <v>2</v>
      </c>
      <c r="N2011" s="36">
        <f>IF(OR(H2011="",H2011="sif",H2011="PM"),0,VLOOKUP(H2011,[5]CU!$C$4:$H$255,6,FALSE))</f>
        <v>0</v>
      </c>
      <c r="O2011" s="36"/>
      <c r="P2011" s="36"/>
      <c r="Q2011" s="36"/>
      <c r="R2011" s="36"/>
      <c r="S2011" s="36"/>
      <c r="T2011" s="38" t="s">
        <v>169</v>
      </c>
      <c r="U2011" s="19" t="s">
        <v>330</v>
      </c>
      <c r="V2011" s="19" t="str">
        <f>IF(OR($H2011="",$H2011="sif",$H2011="PM"),"",VLOOKUP($H2011,[5]CU!$C$5:$J$255,8,FALSE))</f>
        <v/>
      </c>
      <c r="W2011" s="19" t="s">
        <v>331</v>
      </c>
      <c r="X2011" s="19" t="s">
        <v>331</v>
      </c>
      <c r="Y2011" s="19" t="s">
        <v>32</v>
      </c>
      <c r="Z2011" s="19" t="str">
        <f>A2011 &amp; "-" &amp; VLOOKUP(A2011,[4]PROGRAMMES!$E$1:$F$7,2,FALSE)</f>
        <v>6-Education et alphabétisation des adultes</v>
      </c>
      <c r="AA2011" s="19" t="str">
        <f>B2011 &amp; "-" &amp; VLOOKUP(B2011,[4]SOUSPROGRAMMES!$E$1:$F$44,2,FALSE)</f>
        <v xml:space="preserve">63- Amélioration de la qualité </v>
      </c>
      <c r="AB2011" s="19" t="str">
        <f>C2011 &amp; "-" &amp; VLOOKUP(C2011,[4]RESULTATS!$E$1:$F$176,2,FALSE)</f>
        <v>631- Les curricula sont adaptés et maitrisés par les opérateurs et les formateurs</v>
      </c>
      <c r="AC2011" s="20" t="str">
        <f>D2011 &amp; "-" &amp; VLOOKUP(D2011,[4]STRATEGIES!$E$1:$F$504,2,FALSE)</f>
        <v>6311-Révision et d'adaptation des curricula de l'AEA</v>
      </c>
      <c r="AD2011" s="21" t="str">
        <f t="shared" si="297"/>
        <v>63113-dissémination (dans le cadre des missions de suivi)</v>
      </c>
    </row>
    <row r="2012" spans="1:30" s="22" customFormat="1" ht="45" hidden="1" customHeight="1" x14ac:dyDescent="0.8">
      <c r="A2012" s="14">
        <v>6</v>
      </c>
      <c r="B2012" s="15">
        <v>63</v>
      </c>
      <c r="C2012" s="15">
        <v>631</v>
      </c>
      <c r="D2012" s="15">
        <v>6311</v>
      </c>
      <c r="E2012" s="15">
        <v>63114</v>
      </c>
      <c r="F2012" s="16" t="s">
        <v>2485</v>
      </c>
      <c r="G2012" s="21" t="s">
        <v>321</v>
      </c>
      <c r="H2012" s="17" t="s">
        <v>55</v>
      </c>
      <c r="I2012" s="33">
        <v>0</v>
      </c>
      <c r="J2012" s="33">
        <v>1</v>
      </c>
      <c r="K2012" s="33"/>
      <c r="L2012" s="33"/>
      <c r="M2012" s="33">
        <f t="shared" si="301"/>
        <v>1</v>
      </c>
      <c r="N2012" s="33">
        <f>IF(OR(H2012="",H2012="sif",H2012="PM"),0,VLOOKUP(H2012,[5]CU!$C$4:$H$255,6,FALSE))</f>
        <v>0</v>
      </c>
      <c r="O2012" s="33"/>
      <c r="P2012" s="33"/>
      <c r="Q2012" s="33"/>
      <c r="R2012" s="33"/>
      <c r="S2012" s="33"/>
      <c r="T2012" s="35" t="s">
        <v>56</v>
      </c>
      <c r="U2012" s="18" t="s">
        <v>330</v>
      </c>
      <c r="V2012" s="18" t="str">
        <f>IF(OR($H2012="",$H2012="sif",$H2012="PM"),"",VLOOKUP($H2012,[5]CU!$C$5:$J$255,8,FALSE))</f>
        <v/>
      </c>
      <c r="W2012" s="18" t="s">
        <v>331</v>
      </c>
      <c r="X2012" s="18" t="s">
        <v>331</v>
      </c>
      <c r="Y2012" s="19" t="s">
        <v>32</v>
      </c>
      <c r="Z2012" s="18" t="str">
        <f>A2012 &amp; "-" &amp; VLOOKUP(A2012,[4]PROGRAMMES!$E$1:$F$7,2,FALSE)</f>
        <v>6-Education et alphabétisation des adultes</v>
      </c>
      <c r="AA2012" s="19" t="str">
        <f>B2012 &amp; "-" &amp; VLOOKUP(B2012,[4]SOUSPROGRAMMES!$E$1:$F$44,2,FALSE)</f>
        <v xml:space="preserve">63- Amélioration de la qualité </v>
      </c>
      <c r="AB2012" s="19" t="str">
        <f>C2012 &amp; "-" &amp; VLOOKUP(C2012,[4]RESULTATS!$E$1:$F$176,2,FALSE)</f>
        <v>631- Les curricula sont adaptés et maitrisés par les opérateurs et les formateurs</v>
      </c>
      <c r="AC2012" s="20" t="str">
        <f>D2012 &amp; "-" &amp; VLOOKUP(D2012,[4]STRATEGIES!$E$1:$F$504,2,FALSE)</f>
        <v>6311-Révision et d'adaptation des curricula de l'AEA</v>
      </c>
      <c r="AD2012" s="21" t="str">
        <f t="shared" si="297"/>
        <v>63114-La révision de la durée des formations d'alphabétisation (Alpha initiale 6 mois, 1mois de consolidation et 5 mois de post alpha)</v>
      </c>
    </row>
    <row r="2013" spans="1:30" s="22" customFormat="1" ht="45" hidden="1" customHeight="1" x14ac:dyDescent="0.8">
      <c r="A2013" s="14">
        <v>6</v>
      </c>
      <c r="B2013" s="15">
        <v>63</v>
      </c>
      <c r="C2013" s="15">
        <v>631</v>
      </c>
      <c r="D2013" s="15">
        <v>6312</v>
      </c>
      <c r="E2013" s="15">
        <v>6312</v>
      </c>
      <c r="F2013" s="16" t="s">
        <v>2486</v>
      </c>
      <c r="G2013" s="17"/>
      <c r="H2013" s="17"/>
      <c r="I2013" s="33">
        <v>0</v>
      </c>
      <c r="J2013" s="33"/>
      <c r="K2013" s="33"/>
      <c r="L2013" s="33"/>
      <c r="M2013" s="33"/>
      <c r="N2013" s="33"/>
      <c r="O2013" s="33"/>
      <c r="P2013" s="33"/>
      <c r="Q2013" s="33"/>
      <c r="R2013" s="33"/>
      <c r="S2013" s="33"/>
      <c r="T2013" s="33"/>
      <c r="U2013" s="18"/>
      <c r="V2013" s="18"/>
      <c r="W2013" s="18"/>
      <c r="X2013" s="18"/>
      <c r="Y2013" s="18"/>
      <c r="Z2013" s="18" t="str">
        <f>A2013 &amp; "-" &amp; VLOOKUP(A2013,[4]PROGRAMMES!$E$1:$F$7,2,FALSE)</f>
        <v>6-Education et alphabétisation des adultes</v>
      </c>
      <c r="AA2013" s="19" t="str">
        <f>B2013 &amp; "-" &amp; VLOOKUP(B2013,[4]SOUSPROGRAMMES!$E$1:$F$44,2,FALSE)</f>
        <v xml:space="preserve">63- Amélioration de la qualité </v>
      </c>
      <c r="AB2013" s="19" t="str">
        <f>C2013 &amp; "-" &amp; VLOOKUP(C2013,[4]RESULTATS!$E$1:$F$176,2,FALSE)</f>
        <v>631- Les curricula sont adaptés et maitrisés par les opérateurs et les formateurs</v>
      </c>
      <c r="AC2013" s="20" t="str">
        <f>D2013 &amp; "-" &amp; VLOOKUP(D2013,[4]STRATEGIES!$E$1:$F$504,2,FALSE)</f>
        <v>6312-Formation sur les nouveaux curricula</v>
      </c>
      <c r="AD2013" s="21" t="str">
        <f t="shared" si="297"/>
        <v>6312-Formation sur les nouveaux curricula</v>
      </c>
    </row>
    <row r="2014" spans="1:30" ht="45" hidden="1" customHeight="1" x14ac:dyDescent="0.8">
      <c r="A2014" s="25">
        <v>6</v>
      </c>
      <c r="B2014" s="16">
        <v>63</v>
      </c>
      <c r="C2014" s="16">
        <v>631</v>
      </c>
      <c r="D2014" s="16">
        <v>6312</v>
      </c>
      <c r="E2014" s="16">
        <v>63121</v>
      </c>
      <c r="F2014" s="16" t="s">
        <v>2487</v>
      </c>
      <c r="G2014" s="21" t="s">
        <v>298</v>
      </c>
      <c r="H2014" s="21" t="s">
        <v>301</v>
      </c>
      <c r="I2014" s="36">
        <v>0</v>
      </c>
      <c r="J2014" s="36"/>
      <c r="K2014" s="36"/>
      <c r="L2014" s="36">
        <f>(30*2*4)*80.01%</f>
        <v>192.024</v>
      </c>
      <c r="M2014" s="36">
        <f>SUM(I2014:L2014)</f>
        <v>192.024</v>
      </c>
      <c r="N2014" s="36">
        <f>IF(OR(H2014="",H2014="sif",H2014="PM"),0,VLOOKUP(H2014,[5]CU!$C$4:$H$255,6,FALSE))</f>
        <v>0.67666666666666664</v>
      </c>
      <c r="O2014" s="36">
        <f>$N2014*I2014</f>
        <v>0</v>
      </c>
      <c r="P2014" s="36">
        <f>$N2014*J2014</f>
        <v>0</v>
      </c>
      <c r="Q2014" s="36">
        <f>$N2014*K2014</f>
        <v>0</v>
      </c>
      <c r="R2014" s="36">
        <f>$N2014*L2014</f>
        <v>129.93624</v>
      </c>
      <c r="S2014" s="36">
        <f>SUM(O2014:R2014)</f>
        <v>129.93624</v>
      </c>
      <c r="T2014" s="38" t="s">
        <v>169</v>
      </c>
      <c r="U2014" s="19" t="s">
        <v>330</v>
      </c>
      <c r="V2014" s="19" t="str">
        <f>IF(OR($H2014="",$H2014="sif",$H2014="PM"),"",VLOOKUP($H2014,[5]CU!$C$5:$J$255,8,FALSE))</f>
        <v>3. Formation</v>
      </c>
      <c r="W2014" s="19" t="s">
        <v>331</v>
      </c>
      <c r="X2014" s="19" t="s">
        <v>347</v>
      </c>
      <c r="Y2014" s="19" t="s">
        <v>32</v>
      </c>
      <c r="Z2014" s="19" t="str">
        <f>A2014 &amp; "-" &amp; VLOOKUP(A2014,[4]PROGRAMMES!$E$1:$F$7,2,FALSE)</f>
        <v>6-Education et alphabétisation des adultes</v>
      </c>
      <c r="AA2014" s="19" t="str">
        <f>B2014 &amp; "-" &amp; VLOOKUP(B2014,[4]SOUSPROGRAMMES!$E$1:$F$44,2,FALSE)</f>
        <v xml:space="preserve">63- Amélioration de la qualité </v>
      </c>
      <c r="AB2014" s="19" t="str">
        <f>C2014 &amp; "-" &amp; VLOOKUP(C2014,[4]RESULTATS!$E$1:$F$176,2,FALSE)</f>
        <v>631- Les curricula sont adaptés et maitrisés par les opérateurs et les formateurs</v>
      </c>
      <c r="AC2014" s="20" t="str">
        <f>D2014 &amp; "-" &amp; VLOOKUP(D2014,[4]STRATEGIES!$E$1:$F$504,2,FALSE)</f>
        <v>6312-Formation sur les nouveaux curricula</v>
      </c>
      <c r="AD2014" s="21" t="str">
        <f t="shared" si="297"/>
        <v>63121- formation des formateurs</v>
      </c>
    </row>
    <row r="2015" spans="1:30" s="22" customFormat="1" ht="45" hidden="1" customHeight="1" x14ac:dyDescent="0.8">
      <c r="A2015" s="14">
        <v>6</v>
      </c>
      <c r="B2015" s="15">
        <v>63</v>
      </c>
      <c r="C2015" s="15">
        <v>631</v>
      </c>
      <c r="D2015" s="15">
        <v>6312</v>
      </c>
      <c r="E2015" s="15">
        <v>63121</v>
      </c>
      <c r="F2015" s="16" t="s">
        <v>2487</v>
      </c>
      <c r="G2015" s="21" t="s">
        <v>298</v>
      </c>
      <c r="H2015" s="17" t="s">
        <v>301</v>
      </c>
      <c r="I2015" s="33">
        <v>0</v>
      </c>
      <c r="J2015" s="33"/>
      <c r="K2015" s="33"/>
      <c r="L2015" s="33">
        <f>(30*2*4)*19.99%</f>
        <v>47.975999999999999</v>
      </c>
      <c r="M2015" s="33">
        <f t="shared" si="301"/>
        <v>47.975999999999999</v>
      </c>
      <c r="N2015" s="33">
        <f>IF(OR(H2015="",H2015="sif",H2015="PM"),0,VLOOKUP(H2015,[5]CU!$C$4:$H$255,6,FALSE))</f>
        <v>0.67666666666666664</v>
      </c>
      <c r="O2015" s="33">
        <f t="shared" ref="O2015:R2024" si="303">$N2015*I2015</f>
        <v>0</v>
      </c>
      <c r="P2015" s="33">
        <f t="shared" si="303"/>
        <v>0</v>
      </c>
      <c r="Q2015" s="33">
        <f t="shared" si="303"/>
        <v>0</v>
      </c>
      <c r="R2015" s="33">
        <f t="shared" si="303"/>
        <v>32.463760000000001</v>
      </c>
      <c r="S2015" s="33">
        <f t="shared" ref="S2015:S2024" si="304">SUM(O2015:R2015)</f>
        <v>32.463760000000001</v>
      </c>
      <c r="T2015" s="35" t="s">
        <v>118</v>
      </c>
      <c r="U2015" s="18" t="s">
        <v>330</v>
      </c>
      <c r="V2015" s="18" t="str">
        <f>IF(OR($H2015="",$H2015="sif",$H2015="PM"),"",VLOOKUP($H2015,[5]CU!$C$5:$J$255,8,FALSE))</f>
        <v>3. Formation</v>
      </c>
      <c r="W2015" s="18" t="s">
        <v>331</v>
      </c>
      <c r="X2015" s="18" t="s">
        <v>347</v>
      </c>
      <c r="Y2015" s="19" t="s">
        <v>32</v>
      </c>
      <c r="Z2015" s="18" t="str">
        <f>A2015 &amp; "-" &amp; VLOOKUP(A2015,[4]PROGRAMMES!$E$1:$F$7,2,FALSE)</f>
        <v>6-Education et alphabétisation des adultes</v>
      </c>
      <c r="AA2015" s="19" t="str">
        <f>B2015 &amp; "-" &amp; VLOOKUP(B2015,[4]SOUSPROGRAMMES!$E$1:$F$44,2,FALSE)</f>
        <v xml:space="preserve">63- Amélioration de la qualité </v>
      </c>
      <c r="AB2015" s="19" t="str">
        <f>C2015 &amp; "-" &amp; VLOOKUP(C2015,[4]RESULTATS!$E$1:$F$176,2,FALSE)</f>
        <v>631- Les curricula sont adaptés et maitrisés par les opérateurs et les formateurs</v>
      </c>
      <c r="AC2015" s="20" t="str">
        <f>D2015 &amp; "-" &amp; VLOOKUP(D2015,[4]STRATEGIES!$E$1:$F$504,2,FALSE)</f>
        <v>6312-Formation sur les nouveaux curricula</v>
      </c>
      <c r="AD2015" s="21" t="str">
        <f t="shared" si="297"/>
        <v>63121- formation des formateurs</v>
      </c>
    </row>
    <row r="2016" spans="1:30" ht="45" hidden="1" customHeight="1" x14ac:dyDescent="0.8">
      <c r="A2016" s="25">
        <v>6</v>
      </c>
      <c r="B2016" s="16">
        <v>63</v>
      </c>
      <c r="C2016" s="16">
        <v>631</v>
      </c>
      <c r="D2016" s="16">
        <v>6312</v>
      </c>
      <c r="E2016" s="16">
        <v>63122</v>
      </c>
      <c r="F2016" s="16" t="s">
        <v>2488</v>
      </c>
      <c r="G2016" s="21" t="s">
        <v>298</v>
      </c>
      <c r="H2016" s="21" t="s">
        <v>301</v>
      </c>
      <c r="I2016" s="36">
        <v>0</v>
      </c>
      <c r="J2016" s="36"/>
      <c r="K2016" s="36">
        <f>(35*3*4)</f>
        <v>420</v>
      </c>
      <c r="L2016" s="36">
        <f>(35*3*4)</f>
        <v>420</v>
      </c>
      <c r="M2016" s="36">
        <f>SUM(I2016:L2016)</f>
        <v>840</v>
      </c>
      <c r="N2016" s="36">
        <f>IF(OR(H2016="",H2016="sif",H2016="PM"),0,VLOOKUP(H2016,[5]CU!$C$4:$H$255,6,FALSE))</f>
        <v>0.67666666666666664</v>
      </c>
      <c r="O2016" s="36">
        <f>$N2016*I2016</f>
        <v>0</v>
      </c>
      <c r="P2016" s="36">
        <f>$N2016*J2016</f>
        <v>0</v>
      </c>
      <c r="Q2016" s="36">
        <f>$N2016*K2016</f>
        <v>284.2</v>
      </c>
      <c r="R2016" s="36">
        <f>$N2016*L2016</f>
        <v>284.2</v>
      </c>
      <c r="S2016" s="36">
        <f>SUM(O2016:R2016)</f>
        <v>568.4</v>
      </c>
      <c r="T2016" s="38" t="s">
        <v>169</v>
      </c>
      <c r="U2016" s="19" t="s">
        <v>330</v>
      </c>
      <c r="V2016" s="19" t="str">
        <f>IF(OR($H2016="",$H2016="sif",$H2016="PM"),"",VLOOKUP($H2016,[5]CU!$C$5:$J$255,8,FALSE))</f>
        <v>3. Formation</v>
      </c>
      <c r="W2016" s="19" t="s">
        <v>331</v>
      </c>
      <c r="X2016" s="19" t="s">
        <v>347</v>
      </c>
      <c r="Y2016" s="19" t="s">
        <v>32</v>
      </c>
      <c r="Z2016" s="19" t="str">
        <f>A2016 &amp; "-" &amp; VLOOKUP(A2016,[4]PROGRAMMES!$E$1:$F$7,2,FALSE)</f>
        <v>6-Education et alphabétisation des adultes</v>
      </c>
      <c r="AA2016" s="19" t="str">
        <f>B2016 &amp; "-" &amp; VLOOKUP(B2016,[4]SOUSPROGRAMMES!$E$1:$F$44,2,FALSE)</f>
        <v xml:space="preserve">63- Amélioration de la qualité </v>
      </c>
      <c r="AB2016" s="19" t="str">
        <f>C2016 &amp; "-" &amp; VLOOKUP(C2016,[4]RESULTATS!$E$1:$F$176,2,FALSE)</f>
        <v>631- Les curricula sont adaptés et maitrisés par les opérateurs et les formateurs</v>
      </c>
      <c r="AC2016" s="20" t="str">
        <f>D2016 &amp; "-" &amp; VLOOKUP(D2016,[4]STRATEGIES!$E$1:$F$504,2,FALSE)</f>
        <v>6312-Formation sur les nouveaux curricula</v>
      </c>
      <c r="AD2016" s="21" t="str">
        <f t="shared" si="297"/>
        <v>63122-formation des superviseurs et animateurs</v>
      </c>
    </row>
    <row r="2017" spans="1:30" s="22" customFormat="1" ht="45" hidden="1" customHeight="1" x14ac:dyDescent="0.8">
      <c r="A2017" s="14">
        <v>6</v>
      </c>
      <c r="B2017" s="15">
        <v>63</v>
      </c>
      <c r="C2017" s="15">
        <v>631</v>
      </c>
      <c r="D2017" s="15">
        <v>6312</v>
      </c>
      <c r="E2017" s="15">
        <v>63122</v>
      </c>
      <c r="F2017" s="16" t="s">
        <v>2488</v>
      </c>
      <c r="G2017" s="21" t="s">
        <v>298</v>
      </c>
      <c r="H2017" s="17" t="s">
        <v>301</v>
      </c>
      <c r="I2017" s="33">
        <v>0</v>
      </c>
      <c r="J2017" s="33"/>
      <c r="K2017" s="33"/>
      <c r="L2017" s="33">
        <f>(35*3*4)*19.99%</f>
        <v>83.957999999999998</v>
      </c>
      <c r="M2017" s="33">
        <f t="shared" si="301"/>
        <v>83.957999999999998</v>
      </c>
      <c r="N2017" s="33">
        <f>IF(OR(H2017="",H2017="sif",H2017="PM"),0,VLOOKUP(H2017,[5]CU!$C$4:$H$255,6,FALSE))</f>
        <v>0.67666666666666664</v>
      </c>
      <c r="O2017" s="33">
        <f t="shared" si="303"/>
        <v>0</v>
      </c>
      <c r="P2017" s="33">
        <f t="shared" si="303"/>
        <v>0</v>
      </c>
      <c r="Q2017" s="33">
        <f t="shared" si="303"/>
        <v>0</v>
      </c>
      <c r="R2017" s="33">
        <f t="shared" si="303"/>
        <v>56.811579999999999</v>
      </c>
      <c r="S2017" s="33">
        <f t="shared" si="304"/>
        <v>56.811579999999999</v>
      </c>
      <c r="T2017" s="35" t="s">
        <v>118</v>
      </c>
      <c r="U2017" s="18" t="s">
        <v>330</v>
      </c>
      <c r="V2017" s="18" t="str">
        <f>IF(OR($H2017="",$H2017="sif",$H2017="PM"),"",VLOOKUP($H2017,[5]CU!$C$5:$J$255,8,FALSE))</f>
        <v>3. Formation</v>
      </c>
      <c r="W2017" s="18" t="s">
        <v>331</v>
      </c>
      <c r="X2017" s="18" t="s">
        <v>347</v>
      </c>
      <c r="Y2017" s="19" t="s">
        <v>32</v>
      </c>
      <c r="Z2017" s="18" t="str">
        <f>A2017 &amp; "-" &amp; VLOOKUP(A2017,[4]PROGRAMMES!$E$1:$F$7,2,FALSE)</f>
        <v>6-Education et alphabétisation des adultes</v>
      </c>
      <c r="AA2017" s="19" t="str">
        <f>B2017 &amp; "-" &amp; VLOOKUP(B2017,[4]SOUSPROGRAMMES!$E$1:$F$44,2,FALSE)</f>
        <v xml:space="preserve">63- Amélioration de la qualité </v>
      </c>
      <c r="AB2017" s="19" t="str">
        <f>C2017 &amp; "-" &amp; VLOOKUP(C2017,[4]RESULTATS!$E$1:$F$176,2,FALSE)</f>
        <v>631- Les curricula sont adaptés et maitrisés par les opérateurs et les formateurs</v>
      </c>
      <c r="AC2017" s="20" t="str">
        <f>D2017 &amp; "-" &amp; VLOOKUP(D2017,[4]STRATEGIES!$E$1:$F$504,2,FALSE)</f>
        <v>6312-Formation sur les nouveaux curricula</v>
      </c>
      <c r="AD2017" s="21" t="str">
        <f t="shared" si="297"/>
        <v>63122-formation des superviseurs et animateurs</v>
      </c>
    </row>
    <row r="2018" spans="1:30" s="22" customFormat="1" ht="30" hidden="1" customHeight="1" x14ac:dyDescent="0.8">
      <c r="A2018" s="14">
        <v>6</v>
      </c>
      <c r="B2018" s="15">
        <v>63</v>
      </c>
      <c r="C2018" s="15">
        <v>632</v>
      </c>
      <c r="D2018" s="15">
        <v>632</v>
      </c>
      <c r="E2018" s="15">
        <v>632</v>
      </c>
      <c r="F2018" s="16" t="s">
        <v>2489</v>
      </c>
      <c r="G2018" s="17"/>
      <c r="H2018" s="17"/>
      <c r="I2018" s="33">
        <v>0</v>
      </c>
      <c r="J2018" s="33"/>
      <c r="K2018" s="33"/>
      <c r="L2018" s="33"/>
      <c r="M2018" s="33"/>
      <c r="N2018" s="33"/>
      <c r="O2018" s="33"/>
      <c r="P2018" s="33"/>
      <c r="Q2018" s="33"/>
      <c r="R2018" s="33"/>
      <c r="S2018" s="33"/>
      <c r="T2018" s="33"/>
      <c r="U2018" s="18"/>
      <c r="V2018" s="18"/>
      <c r="W2018" s="18"/>
      <c r="X2018" s="18"/>
      <c r="Y2018" s="18"/>
      <c r="Z2018" s="18" t="str">
        <f>A2018 &amp; "-" &amp; VLOOKUP(A2018,[4]PROGRAMMES!$E$1:$F$7,2,FALSE)</f>
        <v>6-Education et alphabétisation des adultes</v>
      </c>
      <c r="AA2018" s="19" t="str">
        <f>B2018 &amp; "-" &amp; VLOOKUP(B2018,[4]SOUSPROGRAMMES!$E$1:$F$44,2,FALSE)</f>
        <v xml:space="preserve">63- Amélioration de la qualité </v>
      </c>
      <c r="AB2018" s="19" t="str">
        <f>C2018 &amp; "-" &amp; VLOOKUP(C2018,[4]RESULTATS!$E$1:$F$176,2,FALSE)</f>
        <v>632- Les bonnes pratiques d’AENF sont identifiées, améliorées et partagées</v>
      </c>
      <c r="AC2018" s="20" t="str">
        <f>D2018 &amp; "-" &amp; VLOOKUP(D2018,[4]STRATEGIES!$E$1:$F$504,2,FALSE)</f>
        <v>632- Les bonnes pratiques d’AENF sont identifiées, améliorées et partagées</v>
      </c>
      <c r="AD2018" s="21" t="str">
        <f t="shared" si="297"/>
        <v>632- Les bonnes pratiques d’AENF sont identifiées, améliorées et partagées</v>
      </c>
    </row>
    <row r="2019" spans="1:30" s="22" customFormat="1" ht="30" hidden="1" customHeight="1" x14ac:dyDescent="0.8">
      <c r="A2019" s="14">
        <v>6</v>
      </c>
      <c r="B2019" s="15">
        <v>63</v>
      </c>
      <c r="C2019" s="15">
        <v>632</v>
      </c>
      <c r="D2019" s="15">
        <v>6321</v>
      </c>
      <c r="E2019" s="15">
        <v>6321</v>
      </c>
      <c r="F2019" s="16" t="s">
        <v>2490</v>
      </c>
      <c r="G2019" s="17"/>
      <c r="H2019" s="17"/>
      <c r="I2019" s="33">
        <v>0</v>
      </c>
      <c r="J2019" s="33"/>
      <c r="K2019" s="33"/>
      <c r="L2019" s="33"/>
      <c r="M2019" s="33"/>
      <c r="N2019" s="33"/>
      <c r="O2019" s="33"/>
      <c r="P2019" s="33"/>
      <c r="Q2019" s="33"/>
      <c r="R2019" s="33"/>
      <c r="S2019" s="33"/>
      <c r="T2019" s="33"/>
      <c r="U2019" s="18"/>
      <c r="V2019" s="18"/>
      <c r="W2019" s="18"/>
      <c r="X2019" s="18"/>
      <c r="Y2019" s="18"/>
      <c r="Z2019" s="18" t="str">
        <f>A2019 &amp; "-" &amp; VLOOKUP(A2019,[4]PROGRAMMES!$E$1:$F$7,2,FALSE)</f>
        <v>6-Education et alphabétisation des adultes</v>
      </c>
      <c r="AA2019" s="19" t="str">
        <f>B2019 &amp; "-" &amp; VLOOKUP(B2019,[4]SOUSPROGRAMMES!$E$1:$F$44,2,FALSE)</f>
        <v xml:space="preserve">63- Amélioration de la qualité </v>
      </c>
      <c r="AB2019" s="19" t="str">
        <f>C2019 &amp; "-" &amp; VLOOKUP(C2019,[4]RESULTATS!$E$1:$F$176,2,FALSE)</f>
        <v>632- Les bonnes pratiques d’AENF sont identifiées, améliorées et partagées</v>
      </c>
      <c r="AC2019" s="20" t="str">
        <f>D2019 &amp; "-" &amp; VLOOKUP(D2019,[4]STRATEGIES!$E$1:$F$504,2,FALSE)</f>
        <v>6321-Mise en place d'un dispositif d'identification des innovations</v>
      </c>
      <c r="AD2019" s="21" t="str">
        <f t="shared" si="297"/>
        <v>6321-Mise en place d'un dispositif d'identification des innovations</v>
      </c>
    </row>
    <row r="2020" spans="1:30" s="22" customFormat="1" ht="30" hidden="1" customHeight="1" x14ac:dyDescent="0.8">
      <c r="A2020" s="14">
        <v>6</v>
      </c>
      <c r="B2020" s="15">
        <v>63</v>
      </c>
      <c r="C2020" s="15">
        <v>632</v>
      </c>
      <c r="D2020" s="15">
        <v>6321</v>
      </c>
      <c r="E2020" s="15">
        <v>63211</v>
      </c>
      <c r="F2020" s="16" t="s">
        <v>2491</v>
      </c>
      <c r="G2020" s="21" t="s">
        <v>2492</v>
      </c>
      <c r="H2020" s="17" t="s">
        <v>295</v>
      </c>
      <c r="I2020" s="33">
        <v>0</v>
      </c>
      <c r="J2020" s="33">
        <v>4</v>
      </c>
      <c r="K2020" s="33"/>
      <c r="L2020" s="33"/>
      <c r="M2020" s="33">
        <f t="shared" si="301"/>
        <v>4</v>
      </c>
      <c r="N2020" s="33">
        <f>IF(OR(H2020="",H2020="sif",H2020="PM"),0,VLOOKUP(H2020,[5]CU!$C$4:$H$255,6,FALSE))</f>
        <v>40.32</v>
      </c>
      <c r="O2020" s="33">
        <f t="shared" si="303"/>
        <v>0</v>
      </c>
      <c r="P2020" s="33">
        <f t="shared" si="303"/>
        <v>161.28</v>
      </c>
      <c r="Q2020" s="33">
        <f t="shared" si="303"/>
        <v>0</v>
      </c>
      <c r="R2020" s="33">
        <f t="shared" si="303"/>
        <v>0</v>
      </c>
      <c r="S2020" s="33">
        <f t="shared" si="304"/>
        <v>161.28</v>
      </c>
      <c r="T2020" s="35" t="s">
        <v>118</v>
      </c>
      <c r="U2020" s="18" t="s">
        <v>330</v>
      </c>
      <c r="V2020" s="18" t="str">
        <f>IF(OR($H2020="",$H2020="sif",$H2020="PM"),"",VLOOKUP($H2020,[5]CU!$C$5:$J$255,8,FALSE))</f>
        <v>3. Formation</v>
      </c>
      <c r="W2020" s="18" t="s">
        <v>331</v>
      </c>
      <c r="X2020" s="18" t="s">
        <v>331</v>
      </c>
      <c r="Y2020" s="19" t="s">
        <v>32</v>
      </c>
      <c r="Z2020" s="18" t="str">
        <f>A2020 &amp; "-" &amp; VLOOKUP(A2020,[4]PROGRAMMES!$E$1:$F$7,2,FALSE)</f>
        <v>6-Education et alphabétisation des adultes</v>
      </c>
      <c r="AA2020" s="19" t="str">
        <f>B2020 &amp; "-" &amp; VLOOKUP(B2020,[4]SOUSPROGRAMMES!$E$1:$F$44,2,FALSE)</f>
        <v xml:space="preserve">63- Amélioration de la qualité </v>
      </c>
      <c r="AB2020" s="19" t="str">
        <f>C2020 &amp; "-" &amp; VLOOKUP(C2020,[4]RESULTATS!$E$1:$F$176,2,FALSE)</f>
        <v>632- Les bonnes pratiques d’AENF sont identifiées, améliorées et partagées</v>
      </c>
      <c r="AC2020" s="20" t="str">
        <f>D2020 &amp; "-" &amp; VLOOKUP(D2020,[4]STRATEGIES!$E$1:$F$504,2,FALSE)</f>
        <v>6321-Mise en place d'un dispositif d'identification des innovations</v>
      </c>
      <c r="AD2020" s="21" t="str">
        <f t="shared" si="297"/>
        <v>63211-identification des bonnes pratiques (conjoint DNAENF et ONG)</v>
      </c>
    </row>
    <row r="2021" spans="1:30" s="22" customFormat="1" ht="30" hidden="1" customHeight="1" x14ac:dyDescent="0.8">
      <c r="A2021" s="14">
        <v>6</v>
      </c>
      <c r="B2021" s="15">
        <v>63</v>
      </c>
      <c r="C2021" s="15">
        <v>632</v>
      </c>
      <c r="D2021" s="15">
        <v>6321</v>
      </c>
      <c r="E2021" s="15">
        <v>63212</v>
      </c>
      <c r="F2021" s="16" t="s">
        <v>2493</v>
      </c>
      <c r="G2021" s="21" t="s">
        <v>298</v>
      </c>
      <c r="H2021" s="17" t="s">
        <v>38</v>
      </c>
      <c r="I2021" s="33">
        <v>0</v>
      </c>
      <c r="J2021" s="33">
        <f>35*2*4</f>
        <v>280</v>
      </c>
      <c r="K2021" s="33"/>
      <c r="L2021" s="33"/>
      <c r="M2021" s="33">
        <f t="shared" si="301"/>
        <v>280</v>
      </c>
      <c r="N2021" s="33">
        <f>IF(OR(H2021="",H2021="sif",H2021="PM"),0,VLOOKUP(H2021,[5]CU!$C$4:$H$255,6,FALSE))</f>
        <v>0.3133333333333333</v>
      </c>
      <c r="O2021" s="33">
        <f t="shared" si="303"/>
        <v>0</v>
      </c>
      <c r="P2021" s="33">
        <f t="shared" si="303"/>
        <v>87.73333333333332</v>
      </c>
      <c r="Q2021" s="33">
        <f t="shared" si="303"/>
        <v>0</v>
      </c>
      <c r="R2021" s="33">
        <f t="shared" si="303"/>
        <v>0</v>
      </c>
      <c r="S2021" s="33">
        <f t="shared" si="304"/>
        <v>87.73333333333332</v>
      </c>
      <c r="T2021" s="35" t="s">
        <v>118</v>
      </c>
      <c r="U2021" s="18" t="s">
        <v>330</v>
      </c>
      <c r="V2021" s="18" t="str">
        <f>IF(OR($H2021="",$H2021="sif",$H2021="PM"),"",VLOOKUP($H2021,[5]CU!$C$5:$J$255,8,FALSE))</f>
        <v>3. Formation</v>
      </c>
      <c r="W2021" s="18" t="s">
        <v>331</v>
      </c>
      <c r="X2021" s="18" t="s">
        <v>331</v>
      </c>
      <c r="Y2021" s="19" t="s">
        <v>32</v>
      </c>
      <c r="Z2021" s="18" t="str">
        <f>A2021 &amp; "-" &amp; VLOOKUP(A2021,[4]PROGRAMMES!$E$1:$F$7,2,FALSE)</f>
        <v>6-Education et alphabétisation des adultes</v>
      </c>
      <c r="AA2021" s="19" t="str">
        <f>B2021 &amp; "-" &amp; VLOOKUP(B2021,[4]SOUSPROGRAMMES!$E$1:$F$44,2,FALSE)</f>
        <v xml:space="preserve">63- Amélioration de la qualité </v>
      </c>
      <c r="AB2021" s="19" t="str">
        <f>C2021 &amp; "-" &amp; VLOOKUP(C2021,[4]RESULTATS!$E$1:$F$176,2,FALSE)</f>
        <v>632- Les bonnes pratiques d’AENF sont identifiées, améliorées et partagées</v>
      </c>
      <c r="AC2021" s="20" t="str">
        <f>D2021 &amp; "-" &amp; VLOOKUP(D2021,[4]STRATEGIES!$E$1:$F$504,2,FALSE)</f>
        <v>6321-Mise en place d'un dispositif d'identification des innovations</v>
      </c>
      <c r="AD2021" s="21" t="str">
        <f t="shared" si="297"/>
        <v xml:space="preserve">63212-Partage des résultats du voyage d'études </v>
      </c>
    </row>
    <row r="2022" spans="1:30" s="22" customFormat="1" ht="30" hidden="1" customHeight="1" x14ac:dyDescent="0.8">
      <c r="A2022" s="14">
        <v>6</v>
      </c>
      <c r="B2022" s="15">
        <v>63</v>
      </c>
      <c r="C2022" s="15">
        <v>632</v>
      </c>
      <c r="D2022" s="15">
        <v>6321</v>
      </c>
      <c r="E2022" s="15">
        <v>63212</v>
      </c>
      <c r="F2022" s="16" t="s">
        <v>2494</v>
      </c>
      <c r="G2022" s="21" t="s">
        <v>167</v>
      </c>
      <c r="H2022" s="17" t="s">
        <v>101</v>
      </c>
      <c r="I2022" s="33">
        <v>0</v>
      </c>
      <c r="J2022" s="33">
        <f>1*10*1</f>
        <v>10</v>
      </c>
      <c r="K2022" s="33"/>
      <c r="L2022" s="33"/>
      <c r="M2022" s="33">
        <f t="shared" si="301"/>
        <v>10</v>
      </c>
      <c r="N2022" s="33">
        <f>IF(OR(H2022="",H2022="sif",H2022="PM"),0,VLOOKUP(H2022,[5]CU!$C$4:$H$255,6,FALSE))</f>
        <v>2.651545</v>
      </c>
      <c r="O2022" s="33">
        <f t="shared" si="303"/>
        <v>0</v>
      </c>
      <c r="P2022" s="33">
        <f t="shared" si="303"/>
        <v>26.515450000000001</v>
      </c>
      <c r="Q2022" s="33">
        <f t="shared" si="303"/>
        <v>0</v>
      </c>
      <c r="R2022" s="33">
        <f t="shared" si="303"/>
        <v>0</v>
      </c>
      <c r="S2022" s="33">
        <f t="shared" si="304"/>
        <v>26.515450000000001</v>
      </c>
      <c r="T2022" s="35" t="s">
        <v>118</v>
      </c>
      <c r="U2022" s="18" t="s">
        <v>330</v>
      </c>
      <c r="V2022" s="18" t="str">
        <f>IF(OR($H2022="",$H2022="sif",$H2022="PM"),"",VLOOKUP($H2022,[5]CU!$C$5:$J$255,8,FALSE))</f>
        <v>3. Dépenses de fonctionnement</v>
      </c>
      <c r="W2022" s="18" t="s">
        <v>331</v>
      </c>
      <c r="X2022" s="18" t="s">
        <v>331</v>
      </c>
      <c r="Y2022" s="19" t="s">
        <v>32</v>
      </c>
      <c r="Z2022" s="18" t="str">
        <f>A2022 &amp; "-" &amp; VLOOKUP(A2022,[4]PROGRAMMES!$E$1:$F$7,2,FALSE)</f>
        <v>6-Education et alphabétisation des adultes</v>
      </c>
      <c r="AA2022" s="19" t="str">
        <f>B2022 &amp; "-" &amp; VLOOKUP(B2022,[4]SOUSPROGRAMMES!$E$1:$F$44,2,FALSE)</f>
        <v xml:space="preserve">63- Amélioration de la qualité </v>
      </c>
      <c r="AB2022" s="19" t="str">
        <f>C2022 &amp; "-" &amp; VLOOKUP(C2022,[4]RESULTATS!$E$1:$F$176,2,FALSE)</f>
        <v>632- Les bonnes pratiques d’AENF sont identifiées, améliorées et partagées</v>
      </c>
      <c r="AC2022" s="20" t="str">
        <f>D2022 &amp; "-" &amp; VLOOKUP(D2022,[4]STRATEGIES!$E$1:$F$504,2,FALSE)</f>
        <v>6321-Mise en place d'un dispositif d'identification des innovations</v>
      </c>
      <c r="AD2022" s="21" t="str">
        <f t="shared" si="297"/>
        <v>63212-Elaboration de guides sur les innovations</v>
      </c>
    </row>
    <row r="2023" spans="1:30" s="22" customFormat="1" ht="30" hidden="1" customHeight="1" x14ac:dyDescent="0.8">
      <c r="A2023" s="14">
        <v>6</v>
      </c>
      <c r="B2023" s="15">
        <v>63</v>
      </c>
      <c r="C2023" s="15">
        <v>632</v>
      </c>
      <c r="D2023" s="15">
        <v>6321</v>
      </c>
      <c r="E2023" s="15">
        <v>63213</v>
      </c>
      <c r="F2023" s="16" t="s">
        <v>2495</v>
      </c>
      <c r="G2023" s="21" t="s">
        <v>298</v>
      </c>
      <c r="H2023" s="17" t="s">
        <v>301</v>
      </c>
      <c r="I2023" s="33">
        <v>0</v>
      </c>
      <c r="J2023" s="33"/>
      <c r="K2023" s="33">
        <f>(35*3*4)*80.01%</f>
        <v>336.04200000000003</v>
      </c>
      <c r="L2023" s="33"/>
      <c r="M2023" s="33">
        <f>SUM(I2023:L2023)</f>
        <v>336.04200000000003</v>
      </c>
      <c r="N2023" s="33">
        <f>IF(OR(H2023="",H2023="sif",H2023="PM"),0,VLOOKUP(H2023,[5]CU!$C$4:$H$255,6,FALSE))</f>
        <v>0.67666666666666664</v>
      </c>
      <c r="O2023" s="33">
        <f>$N2023*I2023</f>
        <v>0</v>
      </c>
      <c r="P2023" s="33">
        <f>$N2023*J2023</f>
        <v>0</v>
      </c>
      <c r="Q2023" s="33">
        <f>$N2023*K2023</f>
        <v>227.38842000000002</v>
      </c>
      <c r="R2023" s="33">
        <f>$N2023*L2023</f>
        <v>0</v>
      </c>
      <c r="S2023" s="33">
        <f>SUM(O2023:R2023)</f>
        <v>227.38842000000002</v>
      </c>
      <c r="T2023" s="35" t="s">
        <v>56</v>
      </c>
      <c r="U2023" s="18" t="s">
        <v>330</v>
      </c>
      <c r="V2023" s="18" t="str">
        <f>IF(OR($H2023="",$H2023="sif",$H2023="PM"),"",VLOOKUP($H2023,[5]CU!$C$5:$J$255,8,FALSE))</f>
        <v>3. Formation</v>
      </c>
      <c r="W2023" s="18" t="s">
        <v>331</v>
      </c>
      <c r="X2023" s="18" t="s">
        <v>331</v>
      </c>
      <c r="Y2023" s="19" t="s">
        <v>32</v>
      </c>
      <c r="Z2023" s="18" t="str">
        <f>A2023 &amp; "-" &amp; VLOOKUP(A2023,[4]PROGRAMMES!$E$1:$F$7,2,FALSE)</f>
        <v>6-Education et alphabétisation des adultes</v>
      </c>
      <c r="AA2023" s="19" t="str">
        <f>B2023 &amp; "-" &amp; VLOOKUP(B2023,[4]SOUSPROGRAMMES!$E$1:$F$44,2,FALSE)</f>
        <v xml:space="preserve">63- Amélioration de la qualité </v>
      </c>
      <c r="AB2023" s="19" t="str">
        <f>C2023 &amp; "-" &amp; VLOOKUP(C2023,[4]RESULTATS!$E$1:$F$176,2,FALSE)</f>
        <v>632- Les bonnes pratiques d’AENF sont identifiées, améliorées et partagées</v>
      </c>
      <c r="AC2023" s="20" t="str">
        <f>D2023 &amp; "-" &amp; VLOOKUP(D2023,[4]STRATEGIES!$E$1:$F$504,2,FALSE)</f>
        <v>6321-Mise en place d'un dispositif d'identification des innovations</v>
      </c>
      <c r="AD2023" s="21" t="str">
        <f t="shared" si="297"/>
        <v>63213-formation des superviseurs et animateurs sur les innovations</v>
      </c>
    </row>
    <row r="2024" spans="1:30" s="22" customFormat="1" ht="30" hidden="1" customHeight="1" x14ac:dyDescent="0.8">
      <c r="A2024" s="14">
        <v>6</v>
      </c>
      <c r="B2024" s="15">
        <v>63</v>
      </c>
      <c r="C2024" s="15">
        <v>632</v>
      </c>
      <c r="D2024" s="15">
        <v>6321</v>
      </c>
      <c r="E2024" s="15">
        <v>63213</v>
      </c>
      <c r="F2024" s="16" t="s">
        <v>2495</v>
      </c>
      <c r="G2024" s="21" t="s">
        <v>298</v>
      </c>
      <c r="H2024" s="17" t="s">
        <v>301</v>
      </c>
      <c r="I2024" s="33">
        <v>0</v>
      </c>
      <c r="J2024" s="33"/>
      <c r="K2024" s="33">
        <f>(35*3*4)*19.99%</f>
        <v>83.957999999999998</v>
      </c>
      <c r="L2024" s="33"/>
      <c r="M2024" s="33">
        <f t="shared" si="301"/>
        <v>83.957999999999998</v>
      </c>
      <c r="N2024" s="33">
        <f>IF(OR(H2024="",H2024="sif",H2024="PM"),0,VLOOKUP(H2024,[5]CU!$C$4:$H$255,6,FALSE))</f>
        <v>0.67666666666666664</v>
      </c>
      <c r="O2024" s="33">
        <f t="shared" si="303"/>
        <v>0</v>
      </c>
      <c r="P2024" s="33">
        <f t="shared" si="303"/>
        <v>0</v>
      </c>
      <c r="Q2024" s="33">
        <f t="shared" si="303"/>
        <v>56.811579999999999</v>
      </c>
      <c r="R2024" s="33">
        <f t="shared" si="303"/>
        <v>0</v>
      </c>
      <c r="S2024" s="33">
        <f t="shared" si="304"/>
        <v>56.811579999999999</v>
      </c>
      <c r="T2024" s="35" t="s">
        <v>118</v>
      </c>
      <c r="U2024" s="18" t="s">
        <v>330</v>
      </c>
      <c r="V2024" s="18" t="str">
        <f>IF(OR($H2024="",$H2024="sif",$H2024="PM"),"",VLOOKUP($H2024,[5]CU!$C$5:$J$255,8,FALSE))</f>
        <v>3. Formation</v>
      </c>
      <c r="W2024" s="18" t="s">
        <v>331</v>
      </c>
      <c r="X2024" s="18" t="s">
        <v>331</v>
      </c>
      <c r="Y2024" s="19" t="s">
        <v>32</v>
      </c>
      <c r="Z2024" s="18" t="str">
        <f>A2024 &amp; "-" &amp; VLOOKUP(A2024,[4]PROGRAMMES!$E$1:$F$7,2,FALSE)</f>
        <v>6-Education et alphabétisation des adultes</v>
      </c>
      <c r="AA2024" s="19" t="str">
        <f>B2024 &amp; "-" &amp; VLOOKUP(B2024,[4]SOUSPROGRAMMES!$E$1:$F$44,2,FALSE)</f>
        <v xml:space="preserve">63- Amélioration de la qualité </v>
      </c>
      <c r="AB2024" s="19" t="str">
        <f>C2024 &amp; "-" &amp; VLOOKUP(C2024,[4]RESULTATS!$E$1:$F$176,2,FALSE)</f>
        <v>632- Les bonnes pratiques d’AENF sont identifiées, améliorées et partagées</v>
      </c>
      <c r="AC2024" s="20" t="str">
        <f>D2024 &amp; "-" &amp; VLOOKUP(D2024,[4]STRATEGIES!$E$1:$F$504,2,FALSE)</f>
        <v>6321-Mise en place d'un dispositif d'identification des innovations</v>
      </c>
      <c r="AD2024" s="21" t="str">
        <f t="shared" si="297"/>
        <v>63213-formation des superviseurs et animateurs sur les innovations</v>
      </c>
    </row>
    <row r="2025" spans="1:30" s="22" customFormat="1" ht="30" hidden="1" customHeight="1" x14ac:dyDescent="0.8">
      <c r="A2025" s="14">
        <v>6</v>
      </c>
      <c r="B2025" s="15">
        <v>63</v>
      </c>
      <c r="C2025" s="15">
        <v>632</v>
      </c>
      <c r="D2025" s="15">
        <v>6321</v>
      </c>
      <c r="E2025" s="15">
        <v>63214</v>
      </c>
      <c r="F2025" s="16" t="s">
        <v>2496</v>
      </c>
      <c r="G2025" s="21" t="s">
        <v>436</v>
      </c>
      <c r="H2025" s="17" t="s">
        <v>55</v>
      </c>
      <c r="I2025" s="33">
        <v>0</v>
      </c>
      <c r="J2025" s="33"/>
      <c r="K2025" s="33">
        <v>1</v>
      </c>
      <c r="L2025" s="33">
        <v>1</v>
      </c>
      <c r="M2025" s="33">
        <f t="shared" si="301"/>
        <v>2</v>
      </c>
      <c r="N2025" s="33">
        <f>IF(OR(H2025="",H2025="sif",H2025="PM"),0,VLOOKUP(H2025,[5]CU!$C$4:$H$255,6,FALSE))</f>
        <v>0</v>
      </c>
      <c r="O2025" s="33"/>
      <c r="P2025" s="33"/>
      <c r="Q2025" s="33"/>
      <c r="R2025" s="33"/>
      <c r="S2025" s="33"/>
      <c r="T2025" s="35" t="s">
        <v>56</v>
      </c>
      <c r="U2025" s="18" t="s">
        <v>330</v>
      </c>
      <c r="V2025" s="18" t="str">
        <f>IF(OR($H2025="",$H2025="sif",$H2025="PM"),"",VLOOKUP($H2025,[5]CU!$C$5:$J$255,8,FALSE))</f>
        <v/>
      </c>
      <c r="W2025" s="18" t="s">
        <v>331</v>
      </c>
      <c r="X2025" s="18" t="s">
        <v>222</v>
      </c>
      <c r="Y2025" s="19" t="s">
        <v>32</v>
      </c>
      <c r="Z2025" s="18" t="str">
        <f>A2025 &amp; "-" &amp; VLOOKUP(A2025,[4]PROGRAMMES!$E$1:$F$7,2,FALSE)</f>
        <v>6-Education et alphabétisation des adultes</v>
      </c>
      <c r="AA2025" s="19" t="str">
        <f>B2025 &amp; "-" &amp; VLOOKUP(B2025,[4]SOUSPROGRAMMES!$E$1:$F$44,2,FALSE)</f>
        <v xml:space="preserve">63- Amélioration de la qualité </v>
      </c>
      <c r="AB2025" s="19" t="str">
        <f>C2025 &amp; "-" &amp; VLOOKUP(C2025,[4]RESULTATS!$E$1:$F$176,2,FALSE)</f>
        <v>632- Les bonnes pratiques d’AENF sont identifiées, améliorées et partagées</v>
      </c>
      <c r="AC2025" s="20" t="str">
        <f>D2025 &amp; "-" &amp; VLOOKUP(D2025,[4]STRATEGIES!$E$1:$F$504,2,FALSE)</f>
        <v>6321-Mise en place d'un dispositif d'identification des innovations</v>
      </c>
      <c r="AD2025" s="21" t="str">
        <f t="shared" si="297"/>
        <v>63214-expérimentation des bonnes pratiques (par les centres)</v>
      </c>
    </row>
    <row r="2026" spans="1:30" s="22" customFormat="1" ht="30" hidden="1" customHeight="1" x14ac:dyDescent="0.8">
      <c r="A2026" s="14">
        <v>6</v>
      </c>
      <c r="B2026" s="15">
        <v>63</v>
      </c>
      <c r="C2026" s="15">
        <v>632</v>
      </c>
      <c r="D2026" s="15">
        <v>6321</v>
      </c>
      <c r="E2026" s="15">
        <v>63215</v>
      </c>
      <c r="F2026" s="16" t="s">
        <v>2497</v>
      </c>
      <c r="G2026" s="21" t="s">
        <v>298</v>
      </c>
      <c r="H2026" s="17" t="s">
        <v>66</v>
      </c>
      <c r="I2026" s="33">
        <v>0</v>
      </c>
      <c r="J2026" s="33"/>
      <c r="K2026" s="33"/>
      <c r="L2026" s="33">
        <f>35*4*1</f>
        <v>140</v>
      </c>
      <c r="M2026" s="33">
        <f t="shared" si="301"/>
        <v>140</v>
      </c>
      <c r="N2026" s="33">
        <f>IF(OR(H2026="",H2026="sif",H2026="PM"),0,VLOOKUP(H2026,[5]CU!$C$4:$H$255,6,FALSE))</f>
        <v>0.255</v>
      </c>
      <c r="O2026" s="33">
        <f t="shared" ref="O2026:R2030" si="305">$N2026*I2026</f>
        <v>0</v>
      </c>
      <c r="P2026" s="33">
        <f t="shared" si="305"/>
        <v>0</v>
      </c>
      <c r="Q2026" s="33">
        <f t="shared" si="305"/>
        <v>0</v>
      </c>
      <c r="R2026" s="33">
        <f t="shared" si="305"/>
        <v>35.700000000000003</v>
      </c>
      <c r="S2026" s="33">
        <f>SUM(O2026:R2026)</f>
        <v>35.700000000000003</v>
      </c>
      <c r="T2026" s="35" t="s">
        <v>56</v>
      </c>
      <c r="U2026" s="18" t="s">
        <v>330</v>
      </c>
      <c r="V2026" s="18" t="str">
        <f>IF(OR($H2026="",$H2026="sif",$H2026="PM"),"",VLOOKUP($H2026,[5]CU!$C$5:$J$255,8,FALSE))</f>
        <v>3. Dépenses de fonctionnement</v>
      </c>
      <c r="W2026" s="18" t="s">
        <v>331</v>
      </c>
      <c r="X2026" s="18" t="s">
        <v>331</v>
      </c>
      <c r="Y2026" s="19" t="s">
        <v>32</v>
      </c>
      <c r="Z2026" s="18" t="str">
        <f>A2026 &amp; "-" &amp; VLOOKUP(A2026,[4]PROGRAMMES!$E$1:$F$7,2,FALSE)</f>
        <v>6-Education et alphabétisation des adultes</v>
      </c>
      <c r="AA2026" s="19" t="str">
        <f>B2026 &amp; "-" &amp; VLOOKUP(B2026,[4]SOUSPROGRAMMES!$E$1:$F$44,2,FALSE)</f>
        <v xml:space="preserve">63- Amélioration de la qualité </v>
      </c>
      <c r="AB2026" s="19" t="str">
        <f>C2026 &amp; "-" &amp; VLOOKUP(C2026,[4]RESULTATS!$E$1:$F$176,2,FALSE)</f>
        <v>632- Les bonnes pratiques d’AENF sont identifiées, améliorées et partagées</v>
      </c>
      <c r="AC2026" s="20" t="str">
        <f>D2026 &amp; "-" &amp; VLOOKUP(D2026,[4]STRATEGIES!$E$1:$F$504,2,FALSE)</f>
        <v>6321-Mise en place d'un dispositif d'identification des innovations</v>
      </c>
      <c r="AD2026" s="21" t="str">
        <f t="shared" si="297"/>
        <v>63215-bonnes pratiques capitalisées et diffusée (Rapport)</v>
      </c>
    </row>
    <row r="2027" spans="1:30" s="22" customFormat="1" ht="30" hidden="1" customHeight="1" x14ac:dyDescent="0.8">
      <c r="A2027" s="14">
        <v>6</v>
      </c>
      <c r="B2027" s="15">
        <v>63</v>
      </c>
      <c r="C2027" s="15">
        <v>632</v>
      </c>
      <c r="D2027" s="15">
        <v>6321</v>
      </c>
      <c r="E2027" s="15">
        <v>63216</v>
      </c>
      <c r="F2027" s="16" t="s">
        <v>2498</v>
      </c>
      <c r="G2027" s="21" t="s">
        <v>451</v>
      </c>
      <c r="H2027" s="17" t="s">
        <v>45</v>
      </c>
      <c r="I2027" s="33">
        <v>0</v>
      </c>
      <c r="J2027" s="33"/>
      <c r="K2027" s="33"/>
      <c r="L2027" s="33">
        <f>200</f>
        <v>200</v>
      </c>
      <c r="M2027" s="33">
        <f t="shared" si="301"/>
        <v>200</v>
      </c>
      <c r="N2027" s="33">
        <f>IF(OR(H2027="",H2027="sif",H2027="PM"),0,VLOOKUP(H2027,[5]CU!$C$4:$H$255,6,FALSE))</f>
        <v>0.03</v>
      </c>
      <c r="O2027" s="33">
        <f t="shared" si="305"/>
        <v>0</v>
      </c>
      <c r="P2027" s="33">
        <f t="shared" si="305"/>
        <v>0</v>
      </c>
      <c r="Q2027" s="33">
        <f t="shared" si="305"/>
        <v>0</v>
      </c>
      <c r="R2027" s="33">
        <f t="shared" si="305"/>
        <v>6</v>
      </c>
      <c r="S2027" s="33">
        <f>SUM(O2027:R2027)</f>
        <v>6</v>
      </c>
      <c r="T2027" s="35" t="s">
        <v>56</v>
      </c>
      <c r="U2027" s="18" t="s">
        <v>330</v>
      </c>
      <c r="V2027" s="18" t="str">
        <f>IF(OR($H2027="",$H2027="sif",$H2027="PM"),"",VLOOKUP($H2027,[5]CU!$C$5:$J$255,8,FALSE))</f>
        <v>3. Manuels scolaires et matériels pédagogiques</v>
      </c>
      <c r="W2027" s="18" t="s">
        <v>331</v>
      </c>
      <c r="X2027" s="18" t="s">
        <v>331</v>
      </c>
      <c r="Y2027" s="19" t="s">
        <v>32</v>
      </c>
      <c r="Z2027" s="18" t="str">
        <f>A2027 &amp; "-" &amp; VLOOKUP(A2027,[4]PROGRAMMES!$E$1:$F$7,2,FALSE)</f>
        <v>6-Education et alphabétisation des adultes</v>
      </c>
      <c r="AA2027" s="19" t="str">
        <f>B2027 &amp; "-" &amp; VLOOKUP(B2027,[4]SOUSPROGRAMMES!$E$1:$F$44,2,FALSE)</f>
        <v xml:space="preserve">63- Amélioration de la qualité </v>
      </c>
      <c r="AB2027" s="19" t="str">
        <f>C2027 &amp; "-" &amp; VLOOKUP(C2027,[4]RESULTATS!$E$1:$F$176,2,FALSE)</f>
        <v>632- Les bonnes pratiques d’AENF sont identifiées, améliorées et partagées</v>
      </c>
      <c r="AC2027" s="20" t="str">
        <f>D2027 &amp; "-" &amp; VLOOKUP(D2027,[4]STRATEGIES!$E$1:$F$504,2,FALSE)</f>
        <v>6321-Mise en place d'un dispositif d'identification des innovations</v>
      </c>
      <c r="AD2027" s="21" t="str">
        <f t="shared" si="297"/>
        <v>63216-multiplication et vulgarisation du rapport sur les bonnes pratiques</v>
      </c>
    </row>
    <row r="2028" spans="1:30" s="22" customFormat="1" ht="45" hidden="1" customHeight="1" x14ac:dyDescent="0.8">
      <c r="A2028" s="14">
        <v>6</v>
      </c>
      <c r="B2028" s="15">
        <v>63</v>
      </c>
      <c r="C2028" s="15">
        <v>633</v>
      </c>
      <c r="D2028" s="15">
        <v>633</v>
      </c>
      <c r="E2028" s="15">
        <v>633</v>
      </c>
      <c r="F2028" s="16" t="s">
        <v>2499</v>
      </c>
      <c r="G2028" s="17"/>
      <c r="H2028" s="17"/>
      <c r="I2028" s="33">
        <v>0</v>
      </c>
      <c r="J2028" s="33"/>
      <c r="K2028" s="33"/>
      <c r="L2028" s="33"/>
      <c r="M2028" s="33"/>
      <c r="N2028" s="33"/>
      <c r="O2028" s="33"/>
      <c r="P2028" s="33"/>
      <c r="Q2028" s="33"/>
      <c r="R2028" s="33"/>
      <c r="S2028" s="33"/>
      <c r="T2028" s="33"/>
      <c r="U2028" s="18"/>
      <c r="V2028" s="18"/>
      <c r="W2028" s="18"/>
      <c r="X2028" s="18"/>
      <c r="Y2028" s="18"/>
      <c r="Z2028" s="18" t="str">
        <f>A2028 &amp; "-" &amp; VLOOKUP(A2028,[4]PROGRAMMES!$E$1:$F$7,2,FALSE)</f>
        <v>6-Education et alphabétisation des adultes</v>
      </c>
      <c r="AA2028" s="19" t="str">
        <f>B2028 &amp; "-" &amp; VLOOKUP(B2028,[4]SOUSPROGRAMMES!$E$1:$F$44,2,FALSE)</f>
        <v xml:space="preserve">63- Amélioration de la qualité </v>
      </c>
      <c r="AB2028" s="19" t="str">
        <f>C2028 &amp; "-" &amp; VLOOKUP(C2028,[4]RESULTATS!$E$1:$F$176,2,FALSE)</f>
        <v>633- Des modules de formation en andragogie sont intégrés dans les cursus de la formation initiale des enseignants</v>
      </c>
      <c r="AC2028" s="20" t="str">
        <f>D2028 &amp; "-" &amp; VLOOKUP(D2028,[4]STRATEGIES!$E$1:$F$504,2,FALSE)</f>
        <v>633- Des modules de formation en andragogie sont intégrés dans les cursus de la formation initiale des enseignants</v>
      </c>
      <c r="AD2028" s="21" t="str">
        <f t="shared" si="297"/>
        <v>633- Des modules de formation en andragogie sont intégrés dans les cursus de la formation initiale des enseignants</v>
      </c>
    </row>
    <row r="2029" spans="1:30" s="22" customFormat="1" ht="45" hidden="1" customHeight="1" x14ac:dyDescent="0.8">
      <c r="A2029" s="14">
        <v>6</v>
      </c>
      <c r="B2029" s="15">
        <v>63</v>
      </c>
      <c r="C2029" s="15">
        <v>633</v>
      </c>
      <c r="D2029" s="15">
        <v>6331</v>
      </c>
      <c r="E2029" s="15">
        <v>6331</v>
      </c>
      <c r="F2029" s="16" t="s">
        <v>2500</v>
      </c>
      <c r="G2029" s="17"/>
      <c r="H2029" s="17"/>
      <c r="I2029" s="33">
        <v>0</v>
      </c>
      <c r="J2029" s="33"/>
      <c r="K2029" s="33"/>
      <c r="L2029" s="33"/>
      <c r="M2029" s="33"/>
      <c r="N2029" s="33"/>
      <c r="O2029" s="33"/>
      <c r="P2029" s="33"/>
      <c r="Q2029" s="33"/>
      <c r="R2029" s="33"/>
      <c r="S2029" s="33"/>
      <c r="T2029" s="33"/>
      <c r="U2029" s="18"/>
      <c r="V2029" s="18"/>
      <c r="W2029" s="18"/>
      <c r="X2029" s="18"/>
      <c r="Y2029" s="18"/>
      <c r="Z2029" s="18" t="str">
        <f>A2029 &amp; "-" &amp; VLOOKUP(A2029,[4]PROGRAMMES!$E$1:$F$7,2,FALSE)</f>
        <v>6-Education et alphabétisation des adultes</v>
      </c>
      <c r="AA2029" s="19" t="str">
        <f>B2029 &amp; "-" &amp; VLOOKUP(B2029,[4]SOUSPROGRAMMES!$E$1:$F$44,2,FALSE)</f>
        <v xml:space="preserve">63- Amélioration de la qualité </v>
      </c>
      <c r="AB2029" s="19" t="str">
        <f>C2029 &amp; "-" &amp; VLOOKUP(C2029,[4]RESULTATS!$E$1:$F$176,2,FALSE)</f>
        <v>633- Des modules de formation en andragogie sont intégrés dans les cursus de la formation initiale des enseignants</v>
      </c>
      <c r="AC2029" s="20" t="str">
        <f>D2029 &amp; "-" &amp; VLOOKUP(D2029,[4]STRATEGIES!$E$1:$F$504,2,FALSE)</f>
        <v>6331-Développement de modules de formations</v>
      </c>
      <c r="AD2029" s="21" t="str">
        <f t="shared" si="297"/>
        <v>6331-Développement de modules de formations</v>
      </c>
    </row>
    <row r="2030" spans="1:30" s="22" customFormat="1" ht="45" hidden="1" customHeight="1" x14ac:dyDescent="0.8">
      <c r="A2030" s="14">
        <v>6</v>
      </c>
      <c r="B2030" s="15">
        <v>63</v>
      </c>
      <c r="C2030" s="15">
        <v>633</v>
      </c>
      <c r="D2030" s="15">
        <v>6331</v>
      </c>
      <c r="E2030" s="15">
        <v>63311</v>
      </c>
      <c r="F2030" s="16" t="s">
        <v>2501</v>
      </c>
      <c r="G2030" s="21" t="s">
        <v>167</v>
      </c>
      <c r="H2030" s="17" t="s">
        <v>101</v>
      </c>
      <c r="I2030" s="33">
        <v>0</v>
      </c>
      <c r="J2030" s="33">
        <f>3*15</f>
        <v>45</v>
      </c>
      <c r="K2030" s="33"/>
      <c r="L2030" s="33"/>
      <c r="M2030" s="33">
        <f t="shared" si="301"/>
        <v>45</v>
      </c>
      <c r="N2030" s="33">
        <f>IF(OR(H2030="",H2030="sif",H2030="PM"),0,VLOOKUP(H2030,[5]CU!$C$4:$H$255,6,FALSE))</f>
        <v>2.651545</v>
      </c>
      <c r="O2030" s="33">
        <f t="shared" si="305"/>
        <v>0</v>
      </c>
      <c r="P2030" s="33">
        <f t="shared" si="305"/>
        <v>119.319525</v>
      </c>
      <c r="Q2030" s="33">
        <f t="shared" si="305"/>
        <v>0</v>
      </c>
      <c r="R2030" s="33">
        <f t="shared" si="305"/>
        <v>0</v>
      </c>
      <c r="S2030" s="33">
        <f>SUM(O2030:R2030)</f>
        <v>119.319525</v>
      </c>
      <c r="T2030" s="35" t="s">
        <v>118</v>
      </c>
      <c r="U2030" s="18" t="s">
        <v>330</v>
      </c>
      <c r="V2030" s="18" t="str">
        <f>IF(OR($H2030="",$H2030="sif",$H2030="PM"),"",VLOOKUP($H2030,[5]CU!$C$5:$J$255,8,FALSE))</f>
        <v>3. Dépenses de fonctionnement</v>
      </c>
      <c r="W2030" s="18" t="s">
        <v>331</v>
      </c>
      <c r="X2030" s="18" t="s">
        <v>431</v>
      </c>
      <c r="Y2030" s="18" t="s">
        <v>679</v>
      </c>
      <c r="Z2030" s="18" t="str">
        <f>A2030 &amp; "-" &amp; VLOOKUP(A2030,[4]PROGRAMMES!$E$1:$F$7,2,FALSE)</f>
        <v>6-Education et alphabétisation des adultes</v>
      </c>
      <c r="AA2030" s="19" t="str">
        <f>B2030 &amp; "-" &amp; VLOOKUP(B2030,[4]SOUSPROGRAMMES!$E$1:$F$44,2,FALSE)</f>
        <v xml:space="preserve">63- Amélioration de la qualité </v>
      </c>
      <c r="AB2030" s="19" t="str">
        <f>C2030 &amp; "-" &amp; VLOOKUP(C2030,[4]RESULTATS!$E$1:$F$176,2,FALSE)</f>
        <v>633- Des modules de formation en andragogie sont intégrés dans les cursus de la formation initiale des enseignants</v>
      </c>
      <c r="AC2030" s="20" t="str">
        <f>D2030 &amp; "-" &amp; VLOOKUP(D2030,[4]STRATEGIES!$E$1:$F$504,2,FALSE)</f>
        <v>6331-Développement de modules de formations</v>
      </c>
      <c r="AD2030" s="21" t="str">
        <f t="shared" si="297"/>
        <v xml:space="preserve">63311-Elaboration d'un programme harmonisé de formation des formateurs en AENF </v>
      </c>
    </row>
    <row r="2031" spans="1:30" s="22" customFormat="1" ht="60" hidden="1" customHeight="1" x14ac:dyDescent="0.8">
      <c r="A2031" s="14">
        <v>6</v>
      </c>
      <c r="B2031" s="15">
        <v>63</v>
      </c>
      <c r="C2031" s="15">
        <v>633</v>
      </c>
      <c r="D2031" s="15">
        <v>6331</v>
      </c>
      <c r="E2031" s="15">
        <v>63312</v>
      </c>
      <c r="F2031" s="16" t="s">
        <v>2502</v>
      </c>
      <c r="G2031" s="21" t="s">
        <v>159</v>
      </c>
      <c r="H2031" s="17" t="s">
        <v>55</v>
      </c>
      <c r="I2031" s="33">
        <v>0</v>
      </c>
      <c r="J2031" s="33">
        <v>1</v>
      </c>
      <c r="K2031" s="33"/>
      <c r="L2031" s="33"/>
      <c r="M2031" s="33">
        <f t="shared" si="301"/>
        <v>1</v>
      </c>
      <c r="N2031" s="33">
        <f>IF(OR(H2031="",H2031="sif",H2031="PM"),0,VLOOKUP(H2031,[5]CU!$C$4:$H$255,6,FALSE))</f>
        <v>0</v>
      </c>
      <c r="O2031" s="33"/>
      <c r="P2031" s="33"/>
      <c r="Q2031" s="33"/>
      <c r="R2031" s="33"/>
      <c r="S2031" s="33"/>
      <c r="T2031" s="35" t="s">
        <v>56</v>
      </c>
      <c r="U2031" s="18" t="s">
        <v>330</v>
      </c>
      <c r="V2031" s="18" t="str">
        <f>IF(OR($H2031="",$H2031="sif",$H2031="PM"),"",VLOOKUP($H2031,[5]CU!$C$5:$J$255,8,FALSE))</f>
        <v/>
      </c>
      <c r="W2031" s="18" t="s">
        <v>331</v>
      </c>
      <c r="X2031" s="18" t="s">
        <v>431</v>
      </c>
      <c r="Y2031" s="18" t="s">
        <v>679</v>
      </c>
      <c r="Z2031" s="18" t="str">
        <f>A2031 &amp; "-" &amp; VLOOKUP(A2031,[4]PROGRAMMES!$E$1:$F$7,2,FALSE)</f>
        <v>6-Education et alphabétisation des adultes</v>
      </c>
      <c r="AA2031" s="19" t="str">
        <f>B2031 &amp; "-" &amp; VLOOKUP(B2031,[4]SOUSPROGRAMMES!$E$1:$F$44,2,FALSE)</f>
        <v xml:space="preserve">63- Amélioration de la qualité </v>
      </c>
      <c r="AB2031" s="19" t="str">
        <f>C2031 &amp; "-" &amp; VLOOKUP(C2031,[4]RESULTATS!$E$1:$F$176,2,FALSE)</f>
        <v>633- Des modules de formation en andragogie sont intégrés dans les cursus de la formation initiale des enseignants</v>
      </c>
      <c r="AC2031" s="20" t="str">
        <f>D2031 &amp; "-" &amp; VLOOKUP(D2031,[4]STRATEGIES!$E$1:$F$504,2,FALSE)</f>
        <v>6331-Développement de modules de formations</v>
      </c>
      <c r="AD2031" s="21" t="str">
        <f t="shared" si="297"/>
        <v>63312-Elaborer un module de formation en AENF pour les professeurs d’Ecoles Normales (PEN) et les Conseillers Pédagogique Maitre Formateur (CPMF) à l’ISSEG (introduire dans la révision des programmes de l'ISSEG)</v>
      </c>
    </row>
    <row r="2032" spans="1:30" s="22" customFormat="1" ht="45" hidden="1" customHeight="1" x14ac:dyDescent="0.8">
      <c r="A2032" s="14">
        <v>6</v>
      </c>
      <c r="B2032" s="15">
        <v>63</v>
      </c>
      <c r="C2032" s="15">
        <v>633</v>
      </c>
      <c r="D2032" s="15">
        <v>6331</v>
      </c>
      <c r="E2032" s="15">
        <v>63312</v>
      </c>
      <c r="F2032" s="16" t="s">
        <v>2503</v>
      </c>
      <c r="G2032" s="21" t="s">
        <v>2065</v>
      </c>
      <c r="H2032" s="17" t="s">
        <v>55</v>
      </c>
      <c r="I2032" s="33">
        <v>0</v>
      </c>
      <c r="J2032" s="33"/>
      <c r="K2032" s="33">
        <v>1</v>
      </c>
      <c r="L2032" s="33"/>
      <c r="M2032" s="33">
        <f t="shared" si="301"/>
        <v>1</v>
      </c>
      <c r="N2032" s="33">
        <f>IF(OR(H2032="",H2032="sif",H2032="PM"),0,VLOOKUP(H2032,[5]CU!$C$4:$H$255,6,FALSE))</f>
        <v>0</v>
      </c>
      <c r="O2032" s="33"/>
      <c r="P2032" s="33"/>
      <c r="Q2032" s="33"/>
      <c r="R2032" s="33"/>
      <c r="S2032" s="33"/>
      <c r="T2032" s="35" t="s">
        <v>56</v>
      </c>
      <c r="U2032" s="18" t="s">
        <v>330</v>
      </c>
      <c r="V2032" s="18" t="str">
        <f>IF(OR($H2032="",$H2032="sif",$H2032="PM"),"",VLOOKUP($H2032,[5]CU!$C$5:$J$255,8,FALSE))</f>
        <v/>
      </c>
      <c r="W2032" s="18" t="s">
        <v>331</v>
      </c>
      <c r="X2032" s="18" t="s">
        <v>248</v>
      </c>
      <c r="Y2032" s="18" t="s">
        <v>677</v>
      </c>
      <c r="Z2032" s="18" t="str">
        <f>A2032 &amp; "-" &amp; VLOOKUP(A2032,[4]PROGRAMMES!$E$1:$F$7,2,FALSE)</f>
        <v>6-Education et alphabétisation des adultes</v>
      </c>
      <c r="AA2032" s="19" t="str">
        <f>B2032 &amp; "-" &amp; VLOOKUP(B2032,[4]SOUSPROGRAMMES!$E$1:$F$44,2,FALSE)</f>
        <v xml:space="preserve">63- Amélioration de la qualité </v>
      </c>
      <c r="AB2032" s="19" t="str">
        <f>C2032 &amp; "-" &amp; VLOOKUP(C2032,[4]RESULTATS!$E$1:$F$176,2,FALSE)</f>
        <v>633- Des modules de formation en andragogie sont intégrés dans les cursus de la formation initiale des enseignants</v>
      </c>
      <c r="AC2032" s="20" t="str">
        <f>D2032 &amp; "-" &amp; VLOOKUP(D2032,[4]STRATEGIES!$E$1:$F$504,2,FALSE)</f>
        <v>6331-Développement de modules de formations</v>
      </c>
      <c r="AD2032" s="21" t="str">
        <f t="shared" si="297"/>
        <v>63312-Elaborer et introduire un module de formation en AENF pour les élèves Maitres des ENI (introduire dans la révision des programmes des ENI)</v>
      </c>
    </row>
    <row r="2033" spans="1:30" s="22" customFormat="1" ht="45" hidden="1" customHeight="1" x14ac:dyDescent="0.8">
      <c r="A2033" s="14">
        <v>6</v>
      </c>
      <c r="B2033" s="15">
        <v>63</v>
      </c>
      <c r="C2033" s="15">
        <v>633</v>
      </c>
      <c r="D2033" s="15">
        <v>6332</v>
      </c>
      <c r="E2033" s="15">
        <v>6332</v>
      </c>
      <c r="F2033" s="16" t="s">
        <v>2504</v>
      </c>
      <c r="G2033" s="17"/>
      <c r="H2033" s="17"/>
      <c r="I2033" s="33">
        <v>0</v>
      </c>
      <c r="J2033" s="33"/>
      <c r="K2033" s="33"/>
      <c r="L2033" s="33"/>
      <c r="M2033" s="33"/>
      <c r="N2033" s="33"/>
      <c r="O2033" s="33"/>
      <c r="P2033" s="33"/>
      <c r="Q2033" s="33"/>
      <c r="R2033" s="33"/>
      <c r="S2033" s="33"/>
      <c r="T2033" s="33"/>
      <c r="U2033" s="18"/>
      <c r="V2033" s="18"/>
      <c r="W2033" s="18"/>
      <c r="X2033" s="18"/>
      <c r="Y2033" s="18"/>
      <c r="Z2033" s="18" t="str">
        <f>A2033 &amp; "-" &amp; VLOOKUP(A2033,[4]PROGRAMMES!$E$1:$F$7,2,FALSE)</f>
        <v>6-Education et alphabétisation des adultes</v>
      </c>
      <c r="AA2033" s="19" t="str">
        <f>B2033 &amp; "-" &amp; VLOOKUP(B2033,[4]SOUSPROGRAMMES!$E$1:$F$44,2,FALSE)</f>
        <v xml:space="preserve">63- Amélioration de la qualité </v>
      </c>
      <c r="AB2033" s="19" t="str">
        <f>C2033 &amp; "-" &amp; VLOOKUP(C2033,[4]RESULTATS!$E$1:$F$176,2,FALSE)</f>
        <v>633- Des modules de formation en andragogie sont intégrés dans les cursus de la formation initiale des enseignants</v>
      </c>
      <c r="AC2033" s="20" t="str">
        <f>D2033 &amp; "-" &amp; VLOOKUP(D2033,[4]STRATEGIES!$E$1:$F$504,2,FALSE)</f>
        <v>6332-Implantation des modules de formation sur l'AENF</v>
      </c>
      <c r="AD2033" s="21" t="str">
        <f t="shared" si="297"/>
        <v>6332-Implantation des modules de formation sur l'AENF</v>
      </c>
    </row>
    <row r="2034" spans="1:30" s="22" customFormat="1" ht="45" hidden="1" customHeight="1" x14ac:dyDescent="0.8">
      <c r="A2034" s="14">
        <v>6</v>
      </c>
      <c r="B2034" s="15">
        <v>63</v>
      </c>
      <c r="C2034" s="15">
        <v>633</v>
      </c>
      <c r="D2034" s="15">
        <v>6332</v>
      </c>
      <c r="E2034" s="15">
        <v>63321</v>
      </c>
      <c r="F2034" s="16" t="s">
        <v>2505</v>
      </c>
      <c r="G2034" s="21" t="s">
        <v>2506</v>
      </c>
      <c r="H2034" s="17" t="s">
        <v>55</v>
      </c>
      <c r="I2034" s="33">
        <v>0</v>
      </c>
      <c r="J2034" s="33"/>
      <c r="K2034" s="33">
        <v>1</v>
      </c>
      <c r="L2034" s="33"/>
      <c r="M2034" s="33">
        <f t="shared" si="301"/>
        <v>1</v>
      </c>
      <c r="N2034" s="33">
        <f>IF(OR(H2034="",H2034="sif",H2034="PM"),0,VLOOKUP(H2034,[5]CU!$C$4:$H$255,6,FALSE))</f>
        <v>0</v>
      </c>
      <c r="O2034" s="33"/>
      <c r="P2034" s="33"/>
      <c r="Q2034" s="33"/>
      <c r="R2034" s="33"/>
      <c r="S2034" s="33"/>
      <c r="T2034" s="35" t="s">
        <v>56</v>
      </c>
      <c r="U2034" s="18" t="s">
        <v>330</v>
      </c>
      <c r="V2034" s="18" t="str">
        <f>IF(OR($H2034="",$H2034="sif",$H2034="PM"),"",VLOOKUP($H2034,[5]CU!$C$5:$J$255,8,FALSE))</f>
        <v/>
      </c>
      <c r="W2034" s="18" t="s">
        <v>431</v>
      </c>
      <c r="X2034" s="18" t="s">
        <v>431</v>
      </c>
      <c r="Y2034" s="18" t="s">
        <v>679</v>
      </c>
      <c r="Z2034" s="18" t="str">
        <f>A2034 &amp; "-" &amp; VLOOKUP(A2034,[4]PROGRAMMES!$E$1:$F$7,2,FALSE)</f>
        <v>6-Education et alphabétisation des adultes</v>
      </c>
      <c r="AA2034" s="19" t="str">
        <f>B2034 &amp; "-" &amp; VLOOKUP(B2034,[4]SOUSPROGRAMMES!$E$1:$F$44,2,FALSE)</f>
        <v xml:space="preserve">63- Amélioration de la qualité </v>
      </c>
      <c r="AB2034" s="19" t="str">
        <f>C2034 &amp; "-" &amp; VLOOKUP(C2034,[4]RESULTATS!$E$1:$F$176,2,FALSE)</f>
        <v>633- Des modules de formation en andragogie sont intégrés dans les cursus de la formation initiale des enseignants</v>
      </c>
      <c r="AC2034" s="20" t="str">
        <f>D2034 &amp; "-" &amp; VLOOKUP(D2034,[4]STRATEGIES!$E$1:$F$504,2,FALSE)</f>
        <v>6332-Implantation des modules de formation sur l'AENF</v>
      </c>
      <c r="AD2034" s="21" t="str">
        <f t="shared" si="297"/>
        <v>63321-introduction des modules dans les programmes d’enseignements</v>
      </c>
    </row>
    <row r="2035" spans="1:30" s="22" customFormat="1" ht="45" hidden="1" customHeight="1" x14ac:dyDescent="0.8">
      <c r="A2035" s="14">
        <v>6</v>
      </c>
      <c r="B2035" s="15">
        <v>63</v>
      </c>
      <c r="C2035" s="15">
        <v>633</v>
      </c>
      <c r="D2035" s="15">
        <v>6332</v>
      </c>
      <c r="E2035" s="15">
        <v>63322</v>
      </c>
      <c r="F2035" s="16" t="s">
        <v>2507</v>
      </c>
      <c r="G2035" s="21" t="s">
        <v>436</v>
      </c>
      <c r="H2035" s="17" t="s">
        <v>55</v>
      </c>
      <c r="I2035" s="33">
        <v>0</v>
      </c>
      <c r="J2035" s="33"/>
      <c r="K2035" s="33"/>
      <c r="L2035" s="33">
        <v>1</v>
      </c>
      <c r="M2035" s="33">
        <f t="shared" si="301"/>
        <v>1</v>
      </c>
      <c r="N2035" s="33">
        <f>IF(OR(H2035="",H2035="sif",H2035="PM"),0,VLOOKUP(H2035,[5]CU!$C$4:$H$255,6,FALSE))</f>
        <v>0</v>
      </c>
      <c r="O2035" s="33"/>
      <c r="P2035" s="33"/>
      <c r="Q2035" s="33"/>
      <c r="R2035" s="33"/>
      <c r="S2035" s="33"/>
      <c r="T2035" s="35" t="s">
        <v>56</v>
      </c>
      <c r="U2035" s="18" t="s">
        <v>330</v>
      </c>
      <c r="V2035" s="18" t="str">
        <f>IF(OR($H2035="",$H2035="sif",$H2035="PM"),"",VLOOKUP($H2035,[5]CU!$C$5:$J$255,8,FALSE))</f>
        <v/>
      </c>
      <c r="W2035" s="18" t="s">
        <v>431</v>
      </c>
      <c r="X2035" s="18" t="s">
        <v>431</v>
      </c>
      <c r="Y2035" s="18" t="s">
        <v>679</v>
      </c>
      <c r="Z2035" s="18" t="str">
        <f>A2035 &amp; "-" &amp; VLOOKUP(A2035,[4]PROGRAMMES!$E$1:$F$7,2,FALSE)</f>
        <v>6-Education et alphabétisation des adultes</v>
      </c>
      <c r="AA2035" s="19" t="str">
        <f>B2035 &amp; "-" &amp; VLOOKUP(B2035,[4]SOUSPROGRAMMES!$E$1:$F$44,2,FALSE)</f>
        <v xml:space="preserve">63- Amélioration de la qualité </v>
      </c>
      <c r="AB2035" s="19" t="str">
        <f>C2035 &amp; "-" &amp; VLOOKUP(C2035,[4]RESULTATS!$E$1:$F$176,2,FALSE)</f>
        <v>633- Des modules de formation en andragogie sont intégrés dans les cursus de la formation initiale des enseignants</v>
      </c>
      <c r="AC2035" s="20" t="str">
        <f>D2035 &amp; "-" &amp; VLOOKUP(D2035,[4]STRATEGIES!$E$1:$F$504,2,FALSE)</f>
        <v>6332-Implantation des modules de formation sur l'AENF</v>
      </c>
      <c r="AD2035" s="21" t="str">
        <f t="shared" si="297"/>
        <v>63322-Mise en place des formations à l'ISSEG (subvention ISSEG)</v>
      </c>
    </row>
    <row r="2036" spans="1:30" s="22" customFormat="1" ht="45" hidden="1" customHeight="1" x14ac:dyDescent="0.8">
      <c r="A2036" s="14">
        <v>6</v>
      </c>
      <c r="B2036" s="15">
        <v>63</v>
      </c>
      <c r="C2036" s="15">
        <v>634</v>
      </c>
      <c r="D2036" s="15">
        <v>634</v>
      </c>
      <c r="E2036" s="15">
        <v>634</v>
      </c>
      <c r="F2036" s="16" t="s">
        <v>2508</v>
      </c>
      <c r="G2036" s="17"/>
      <c r="H2036" s="17"/>
      <c r="I2036" s="33">
        <v>0</v>
      </c>
      <c r="J2036" s="33"/>
      <c r="K2036" s="33"/>
      <c r="L2036" s="33"/>
      <c r="M2036" s="33"/>
      <c r="N2036" s="33"/>
      <c r="O2036" s="33"/>
      <c r="P2036" s="33"/>
      <c r="Q2036" s="33"/>
      <c r="R2036" s="33"/>
      <c r="S2036" s="33"/>
      <c r="T2036" s="33"/>
      <c r="U2036" s="18"/>
      <c r="V2036" s="18"/>
      <c r="W2036" s="18"/>
      <c r="X2036" s="18"/>
      <c r="Y2036" s="18"/>
      <c r="Z2036" s="18" t="str">
        <f>A2036 &amp; "-" &amp; VLOOKUP(A2036,[4]PROGRAMMES!$E$1:$F$7,2,FALSE)</f>
        <v>6-Education et alphabétisation des adultes</v>
      </c>
      <c r="AA2036" s="19" t="str">
        <f>B2036 &amp; "-" &amp; VLOOKUP(B2036,[4]SOUSPROGRAMMES!$E$1:$F$44,2,FALSE)</f>
        <v xml:space="preserve">63- Amélioration de la qualité </v>
      </c>
      <c r="AB2036" s="19" t="str">
        <f>C2036 &amp; "-" &amp; VLOOKUP(C2036,[4]RESULTATS!$E$1:$F$176,2,FALSE)</f>
        <v>634- Un dispositif d’accréditation des différents niveaux et de certification en AENF est mis en place.</v>
      </c>
      <c r="AC2036" s="20" t="str">
        <f>D2036 &amp; "-" &amp; VLOOKUP(D2036,[4]STRATEGIES!$E$1:$F$504,2,FALSE)</f>
        <v>634- Un dispositif d’accréditation des différents niveaux et de certification en AENF est mis en place.</v>
      </c>
      <c r="AD2036" s="21" t="str">
        <f t="shared" si="297"/>
        <v>634- Un dispositif d’accréditation des différents niveaux et de certification en AENF est mis en place.</v>
      </c>
    </row>
    <row r="2037" spans="1:30" s="22" customFormat="1" ht="45" hidden="1" customHeight="1" x14ac:dyDescent="0.8">
      <c r="A2037" s="14">
        <v>6</v>
      </c>
      <c r="B2037" s="15">
        <v>63</v>
      </c>
      <c r="C2037" s="15">
        <v>634</v>
      </c>
      <c r="D2037" s="15">
        <v>6341</v>
      </c>
      <c r="E2037" s="15">
        <v>6341</v>
      </c>
      <c r="F2037" s="16" t="s">
        <v>2509</v>
      </c>
      <c r="G2037" s="17"/>
      <c r="H2037" s="17"/>
      <c r="I2037" s="33">
        <v>0</v>
      </c>
      <c r="J2037" s="33"/>
      <c r="K2037" s="33"/>
      <c r="L2037" s="33"/>
      <c r="M2037" s="33"/>
      <c r="N2037" s="33"/>
      <c r="O2037" s="33"/>
      <c r="P2037" s="33"/>
      <c r="Q2037" s="33"/>
      <c r="R2037" s="33"/>
      <c r="S2037" s="33"/>
      <c r="T2037" s="33"/>
      <c r="U2037" s="18"/>
      <c r="V2037" s="18"/>
      <c r="W2037" s="18"/>
      <c r="X2037" s="18"/>
      <c r="Y2037" s="18"/>
      <c r="Z2037" s="18" t="str">
        <f>A2037 &amp; "-" &amp; VLOOKUP(A2037,[4]PROGRAMMES!$E$1:$F$7,2,FALSE)</f>
        <v>6-Education et alphabétisation des adultes</v>
      </c>
      <c r="AA2037" s="19" t="str">
        <f>B2037 &amp; "-" &amp; VLOOKUP(B2037,[4]SOUSPROGRAMMES!$E$1:$F$44,2,FALSE)</f>
        <v xml:space="preserve">63- Amélioration de la qualité </v>
      </c>
      <c r="AB2037" s="19" t="str">
        <f>C2037 &amp; "-" &amp; VLOOKUP(C2037,[4]RESULTATS!$E$1:$F$176,2,FALSE)</f>
        <v>634- Un dispositif d’accréditation des différents niveaux et de certification en AENF est mis en place.</v>
      </c>
      <c r="AC2037" s="20" t="str">
        <f>D2037 &amp; "-" &amp; VLOOKUP(D2037,[4]STRATEGIES!$E$1:$F$504,2,FALSE)</f>
        <v>6341-Définition du dispositif de certification</v>
      </c>
      <c r="AD2037" s="21" t="str">
        <f t="shared" si="297"/>
        <v>6341-DéFinition du dispositif de certification</v>
      </c>
    </row>
    <row r="2038" spans="1:30" s="22" customFormat="1" ht="45" hidden="1" customHeight="1" x14ac:dyDescent="0.8">
      <c r="A2038" s="14">
        <v>6</v>
      </c>
      <c r="B2038" s="15">
        <v>63</v>
      </c>
      <c r="C2038" s="15">
        <v>634</v>
      </c>
      <c r="D2038" s="15">
        <v>6341</v>
      </c>
      <c r="E2038" s="15">
        <v>63411</v>
      </c>
      <c r="F2038" s="16" t="s">
        <v>2510</v>
      </c>
      <c r="G2038" s="21" t="s">
        <v>2511</v>
      </c>
      <c r="H2038" s="17" t="s">
        <v>55</v>
      </c>
      <c r="I2038" s="33">
        <v>0</v>
      </c>
      <c r="J2038" s="33"/>
      <c r="K2038" s="33">
        <f>1*1*1</f>
        <v>1</v>
      </c>
      <c r="L2038" s="33"/>
      <c r="M2038" s="33">
        <f t="shared" si="301"/>
        <v>1</v>
      </c>
      <c r="N2038" s="33">
        <f>IF(OR(H2038="",H2038="sif",H2038="PM"),0,VLOOKUP(H2038,[5]CU!$C$4:$H$255,6,FALSE))</f>
        <v>0</v>
      </c>
      <c r="O2038" s="33"/>
      <c r="P2038" s="33"/>
      <c r="Q2038" s="33"/>
      <c r="R2038" s="33"/>
      <c r="S2038" s="33"/>
      <c r="T2038" s="35" t="s">
        <v>56</v>
      </c>
      <c r="U2038" s="18" t="s">
        <v>330</v>
      </c>
      <c r="V2038" s="18" t="str">
        <f>IF(OR($H2038="",$H2038="sif",$H2038="PM"),"",VLOOKUP($H2038,[5]CU!$C$5:$J$255,8,FALSE))</f>
        <v/>
      </c>
      <c r="W2038" s="18" t="s">
        <v>331</v>
      </c>
      <c r="X2038" s="18" t="s">
        <v>2512</v>
      </c>
      <c r="Y2038" s="19" t="s">
        <v>32</v>
      </c>
      <c r="Z2038" s="18" t="str">
        <f>A2038 &amp; "-" &amp; VLOOKUP(A2038,[4]PROGRAMMES!$E$1:$F$7,2,FALSE)</f>
        <v>6-Education et alphabétisation des adultes</v>
      </c>
      <c r="AA2038" s="19" t="str">
        <f>B2038 &amp; "-" &amp; VLOOKUP(B2038,[4]SOUSPROGRAMMES!$E$1:$F$44,2,FALSE)</f>
        <v xml:space="preserve">63- Amélioration de la qualité </v>
      </c>
      <c r="AB2038" s="19" t="str">
        <f>C2038 &amp; "-" &amp; VLOOKUP(C2038,[4]RESULTATS!$E$1:$F$176,2,FALSE)</f>
        <v>634- Un dispositif d’accréditation des différents niveaux et de certification en AENF est mis en place.</v>
      </c>
      <c r="AC2038" s="20" t="str">
        <f>D2038 &amp; "-" &amp; VLOOKUP(D2038,[4]STRATEGIES!$E$1:$F$504,2,FALSE)</f>
        <v>6341-Définition du dispositif de certification</v>
      </c>
      <c r="AD2038" s="21" t="str">
        <f t="shared" si="297"/>
        <v>63411-mise en place de l'équipe d'évaluation (operateur, section préfectorale d'AENF)</v>
      </c>
    </row>
    <row r="2039" spans="1:30" s="22" customFormat="1" ht="45" hidden="1" customHeight="1" x14ac:dyDescent="0.8">
      <c r="A2039" s="14">
        <v>6</v>
      </c>
      <c r="B2039" s="15">
        <v>63</v>
      </c>
      <c r="C2039" s="15">
        <v>634</v>
      </c>
      <c r="D2039" s="15">
        <v>6341</v>
      </c>
      <c r="E2039" s="15">
        <v>63412</v>
      </c>
      <c r="F2039" s="16" t="s">
        <v>2513</v>
      </c>
      <c r="G2039" s="21" t="s">
        <v>88</v>
      </c>
      <c r="H2039" s="17" t="s">
        <v>55</v>
      </c>
      <c r="I2039" s="33">
        <v>0</v>
      </c>
      <c r="J2039" s="33"/>
      <c r="K2039" s="33"/>
      <c r="L2039" s="33">
        <f>1*3*1</f>
        <v>3</v>
      </c>
      <c r="M2039" s="33">
        <f t="shared" si="301"/>
        <v>3</v>
      </c>
      <c r="N2039" s="33">
        <f>IF(OR(H2039="",H2039="sif",H2039="PM"),0,VLOOKUP(H2039,[5]CU!$C$4:$H$255,6,FALSE))</f>
        <v>0</v>
      </c>
      <c r="O2039" s="33"/>
      <c r="P2039" s="33"/>
      <c r="Q2039" s="33"/>
      <c r="R2039" s="33"/>
      <c r="S2039" s="33"/>
      <c r="T2039" s="35" t="s">
        <v>56</v>
      </c>
      <c r="U2039" s="18" t="s">
        <v>330</v>
      </c>
      <c r="V2039" s="18" t="str">
        <f>IF(OR($H2039="",$H2039="sif",$H2039="PM"),"",VLOOKUP($H2039,[5]CU!$C$5:$J$255,8,FALSE))</f>
        <v/>
      </c>
      <c r="W2039" s="18" t="s">
        <v>331</v>
      </c>
      <c r="X2039" s="18" t="s">
        <v>331</v>
      </c>
      <c r="Y2039" s="19" t="s">
        <v>32</v>
      </c>
      <c r="Z2039" s="18" t="str">
        <f>A2039 &amp; "-" &amp; VLOOKUP(A2039,[4]PROGRAMMES!$E$1:$F$7,2,FALSE)</f>
        <v>6-Education et alphabétisation des adultes</v>
      </c>
      <c r="AA2039" s="19" t="str">
        <f>B2039 &amp; "-" &amp; VLOOKUP(B2039,[4]SOUSPROGRAMMES!$E$1:$F$44,2,FALSE)</f>
        <v xml:space="preserve">63- Amélioration de la qualité </v>
      </c>
      <c r="AB2039" s="19" t="str">
        <f>C2039 &amp; "-" &amp; VLOOKUP(C2039,[4]RESULTATS!$E$1:$F$176,2,FALSE)</f>
        <v>634- Un dispositif d’accréditation des différents niveaux et de certification en AENF est mis en place.</v>
      </c>
      <c r="AC2039" s="20" t="str">
        <f>D2039 &amp; "-" &amp; VLOOKUP(D2039,[4]STRATEGIES!$E$1:$F$504,2,FALSE)</f>
        <v>6341-Définition du dispositif de certification</v>
      </c>
      <c r="AD2039" s="21" t="str">
        <f t="shared" si="297"/>
        <v>63412-Révision des outils de l'évaluation</v>
      </c>
    </row>
    <row r="2040" spans="1:30" s="22" customFormat="1" ht="45" hidden="1" customHeight="1" x14ac:dyDescent="0.8">
      <c r="A2040" s="14">
        <v>6</v>
      </c>
      <c r="B2040" s="15">
        <v>63</v>
      </c>
      <c r="C2040" s="15">
        <v>634</v>
      </c>
      <c r="D2040" s="15">
        <v>6341</v>
      </c>
      <c r="E2040" s="15">
        <v>63413</v>
      </c>
      <c r="F2040" s="16" t="s">
        <v>2514</v>
      </c>
      <c r="G2040" s="21" t="s">
        <v>2515</v>
      </c>
      <c r="H2040" s="17" t="s">
        <v>59</v>
      </c>
      <c r="I2040" s="33">
        <v>0</v>
      </c>
      <c r="J2040" s="33"/>
      <c r="K2040" s="33"/>
      <c r="L2040" s="33">
        <f>(48*5*1)*80.01%</f>
        <v>192.024</v>
      </c>
      <c r="M2040" s="33">
        <f>SUM(I2040:L2040)</f>
        <v>192.024</v>
      </c>
      <c r="N2040" s="33">
        <f>IF(OR(H2040="",H2040="sif",H2040="PM"),0,VLOOKUP(H2040,[5]CU!$C$4:$H$255,6,FALSE))</f>
        <v>0.8177777777777776</v>
      </c>
      <c r="O2040" s="33">
        <f>$N2040*I2040</f>
        <v>0</v>
      </c>
      <c r="P2040" s="33">
        <f>$N2040*J2040</f>
        <v>0</v>
      </c>
      <c r="Q2040" s="33">
        <f>$N2040*K2040</f>
        <v>0</v>
      </c>
      <c r="R2040" s="33">
        <f>$N2040*L2040</f>
        <v>157.03295999999997</v>
      </c>
      <c r="S2040" s="33">
        <f>SUM(O2040:R2040)</f>
        <v>157.03295999999997</v>
      </c>
      <c r="T2040" s="35" t="s">
        <v>56</v>
      </c>
      <c r="U2040" s="18" t="s">
        <v>330</v>
      </c>
      <c r="V2040" s="18" t="str">
        <f>IF(OR($H2040="",$H2040="sif",$H2040="PM"),"",VLOOKUP($H2040,[5]CU!$C$5:$J$255,8,FALSE))</f>
        <v>3. Dépenses de fonctionnement</v>
      </c>
      <c r="W2040" s="18" t="s">
        <v>331</v>
      </c>
      <c r="X2040" s="18" t="s">
        <v>222</v>
      </c>
      <c r="Y2040" s="19" t="s">
        <v>32</v>
      </c>
      <c r="Z2040" s="18" t="str">
        <f>A2040 &amp; "-" &amp; VLOOKUP(A2040,[4]PROGRAMMES!$E$1:$F$7,2,FALSE)</f>
        <v>6-Education et alphabétisation des adultes</v>
      </c>
      <c r="AA2040" s="19" t="str">
        <f>B2040 &amp; "-" &amp; VLOOKUP(B2040,[4]SOUSPROGRAMMES!$E$1:$F$44,2,FALSE)</f>
        <v xml:space="preserve">63- Amélioration de la qualité </v>
      </c>
      <c r="AB2040" s="19" t="str">
        <f>C2040 &amp; "-" &amp; VLOOKUP(C2040,[4]RESULTATS!$E$1:$F$176,2,FALSE)</f>
        <v>634- Un dispositif d’accréditation des différents niveaux et de certification en AENF est mis en place.</v>
      </c>
      <c r="AC2040" s="20" t="str">
        <f>D2040 &amp; "-" &amp; VLOOKUP(D2040,[4]STRATEGIES!$E$1:$F$504,2,FALSE)</f>
        <v>6341-Définition du dispositif de certification</v>
      </c>
      <c r="AD2040" s="21" t="str">
        <f t="shared" si="297"/>
        <v>63413-Evaluation de Fin d'apprentissage par niveau</v>
      </c>
    </row>
    <row r="2041" spans="1:30" s="22" customFormat="1" ht="45" hidden="1" customHeight="1" x14ac:dyDescent="0.8">
      <c r="A2041" s="14">
        <v>6</v>
      </c>
      <c r="B2041" s="15">
        <v>63</v>
      </c>
      <c r="C2041" s="15">
        <v>634</v>
      </c>
      <c r="D2041" s="15">
        <v>6341</v>
      </c>
      <c r="E2041" s="15">
        <v>63413</v>
      </c>
      <c r="F2041" s="16" t="s">
        <v>2514</v>
      </c>
      <c r="G2041" s="21" t="s">
        <v>2515</v>
      </c>
      <c r="H2041" s="17" t="s">
        <v>59</v>
      </c>
      <c r="I2041" s="33">
        <v>0</v>
      </c>
      <c r="J2041" s="33"/>
      <c r="K2041" s="33"/>
      <c r="L2041" s="33">
        <f>(48*5*1)*19.99%</f>
        <v>47.975999999999999</v>
      </c>
      <c r="M2041" s="33">
        <f t="shared" si="301"/>
        <v>47.975999999999999</v>
      </c>
      <c r="N2041" s="33">
        <f>IF(OR(H2041="",H2041="sif",H2041="PM"),0,VLOOKUP(H2041,[5]CU!$C$4:$H$255,6,FALSE))</f>
        <v>0.8177777777777776</v>
      </c>
      <c r="O2041" s="33">
        <f t="shared" ref="O2041:R2044" si="306">$N2041*I2041</f>
        <v>0</v>
      </c>
      <c r="P2041" s="33">
        <f t="shared" si="306"/>
        <v>0</v>
      </c>
      <c r="Q2041" s="33">
        <f t="shared" si="306"/>
        <v>0</v>
      </c>
      <c r="R2041" s="33">
        <f t="shared" si="306"/>
        <v>39.233706666666656</v>
      </c>
      <c r="S2041" s="33">
        <f>SUM(O2041:R2041)</f>
        <v>39.233706666666656</v>
      </c>
      <c r="T2041" s="35" t="s">
        <v>118</v>
      </c>
      <c r="U2041" s="18" t="s">
        <v>330</v>
      </c>
      <c r="V2041" s="18" t="str">
        <f>IF(OR($H2041="",$H2041="sif",$H2041="PM"),"",VLOOKUP($H2041,[5]CU!$C$5:$J$255,8,FALSE))</f>
        <v>3. Dépenses de fonctionnement</v>
      </c>
      <c r="W2041" s="18" t="s">
        <v>331</v>
      </c>
      <c r="X2041" s="18" t="s">
        <v>222</v>
      </c>
      <c r="Y2041" s="19" t="s">
        <v>32</v>
      </c>
      <c r="Z2041" s="18" t="str">
        <f>A2041 &amp; "-" &amp; VLOOKUP(A2041,[4]PROGRAMMES!$E$1:$F$7,2,FALSE)</f>
        <v>6-Education et alphabétisation des adultes</v>
      </c>
      <c r="AA2041" s="19" t="str">
        <f>B2041 &amp; "-" &amp; VLOOKUP(B2041,[4]SOUSPROGRAMMES!$E$1:$F$44,2,FALSE)</f>
        <v xml:space="preserve">63- Amélioration de la qualité </v>
      </c>
      <c r="AB2041" s="19" t="str">
        <f>C2041 &amp; "-" &amp; VLOOKUP(C2041,[4]RESULTATS!$E$1:$F$176,2,FALSE)</f>
        <v>634- Un dispositif d’accréditation des différents niveaux et de certification en AENF est mis en place.</v>
      </c>
      <c r="AC2041" s="20" t="str">
        <f>D2041 &amp; "-" &amp; VLOOKUP(D2041,[4]STRATEGIES!$E$1:$F$504,2,FALSE)</f>
        <v>6341-Définition du dispositif de certification</v>
      </c>
      <c r="AD2041" s="21" t="str">
        <f t="shared" si="297"/>
        <v>63413-Evaluation de Fin d'apprentissage par niveau</v>
      </c>
    </row>
    <row r="2042" spans="1:30" s="22" customFormat="1" ht="45" hidden="1" customHeight="1" x14ac:dyDescent="0.8">
      <c r="A2042" s="14">
        <v>6</v>
      </c>
      <c r="B2042" s="15">
        <v>63</v>
      </c>
      <c r="C2042" s="15">
        <v>634</v>
      </c>
      <c r="D2042" s="15">
        <v>6342</v>
      </c>
      <c r="E2042" s="15">
        <v>6342</v>
      </c>
      <c r="F2042" s="16" t="s">
        <v>2516</v>
      </c>
      <c r="G2042" s="17"/>
      <c r="H2042" s="17"/>
      <c r="I2042" s="33">
        <v>0</v>
      </c>
      <c r="J2042" s="33"/>
      <c r="K2042" s="33"/>
      <c r="L2042" s="33"/>
      <c r="M2042" s="33"/>
      <c r="N2042" s="33"/>
      <c r="O2042" s="33"/>
      <c r="P2042" s="33"/>
      <c r="Q2042" s="33"/>
      <c r="R2042" s="33"/>
      <c r="S2042" s="33"/>
      <c r="T2042" s="33"/>
      <c r="U2042" s="18"/>
      <c r="V2042" s="18"/>
      <c r="W2042" s="18"/>
      <c r="X2042" s="18"/>
      <c r="Y2042" s="18"/>
      <c r="Z2042" s="18" t="str">
        <f>A2042 &amp; "-" &amp; VLOOKUP(A2042,[4]PROGRAMMES!$E$1:$F$7,2,FALSE)</f>
        <v>6-Education et alphabétisation des adultes</v>
      </c>
      <c r="AA2042" s="19" t="str">
        <f>B2042 &amp; "-" &amp; VLOOKUP(B2042,[4]SOUSPROGRAMMES!$E$1:$F$44,2,FALSE)</f>
        <v xml:space="preserve">63- Amélioration de la qualité </v>
      </c>
      <c r="AB2042" s="19" t="str">
        <f>C2042 &amp; "-" &amp; VLOOKUP(C2042,[4]RESULTATS!$E$1:$F$176,2,FALSE)</f>
        <v>634- Un dispositif d’accréditation des différents niveaux et de certification en AENF est mis en place.</v>
      </c>
      <c r="AC2042" s="20" t="str">
        <f>D2042 &amp; "-" &amp; VLOOKUP(D2042,[4]STRATEGIES!$E$1:$F$504,2,FALSE)</f>
        <v>6342-Certification des apprenants</v>
      </c>
      <c r="AD2042" s="21" t="str">
        <f t="shared" si="297"/>
        <v>6342-Certification des apprenants</v>
      </c>
    </row>
    <row r="2043" spans="1:30" s="22" customFormat="1" ht="45" hidden="1" customHeight="1" x14ac:dyDescent="0.8">
      <c r="A2043" s="14">
        <v>6</v>
      </c>
      <c r="B2043" s="15">
        <v>63</v>
      </c>
      <c r="C2043" s="15">
        <v>634</v>
      </c>
      <c r="D2043" s="15">
        <v>6342</v>
      </c>
      <c r="E2043" s="15">
        <v>63421</v>
      </c>
      <c r="F2043" s="16" t="s">
        <v>2517</v>
      </c>
      <c r="G2043" s="21" t="s">
        <v>1108</v>
      </c>
      <c r="H2043" s="17" t="s">
        <v>816</v>
      </c>
      <c r="I2043" s="33">
        <v>0</v>
      </c>
      <c r="J2043" s="33">
        <f>((J1998+J1999+J2000)/15*0.9)*96%</f>
        <v>163.42894098431998</v>
      </c>
      <c r="K2043" s="33">
        <f>((K1998+K1999+K2000)/15*0.9)*96%</f>
        <v>272.38156830719998</v>
      </c>
      <c r="L2043" s="33">
        <f>((L1998+L1999+L2000)/15*0.9)*96%</f>
        <v>272.38156830719998</v>
      </c>
      <c r="M2043" s="33">
        <f>SUM(I2043:L2043)</f>
        <v>708.19207759871995</v>
      </c>
      <c r="N2043" s="33">
        <f>IF(OR(H2043="",H2043="sif",H2043="PM"),0,VLOOKUP(H2043,[5]CU!$C$4:$H$255,6,FALSE))</f>
        <v>7.4999999999999997E-3</v>
      </c>
      <c r="O2043" s="33">
        <f>$N2043*I2043</f>
        <v>0</v>
      </c>
      <c r="P2043" s="33">
        <f>$N2043*J2043</f>
        <v>1.2257170573823999</v>
      </c>
      <c r="Q2043" s="33">
        <f>$N2043*K2043</f>
        <v>2.0428617623039997</v>
      </c>
      <c r="R2043" s="33">
        <f>$N2043*L2043</f>
        <v>2.0428617623039997</v>
      </c>
      <c r="S2043" s="33">
        <f>SUM(O2043:R2043)</f>
        <v>5.3114405819903991</v>
      </c>
      <c r="T2043" s="35" t="s">
        <v>56</v>
      </c>
      <c r="U2043" s="18" t="s">
        <v>330</v>
      </c>
      <c r="V2043" s="18" t="str">
        <f>IF(OR($H2043="",$H2043="sif",$H2043="PM"),"",VLOOKUP($H2043,[5]CU!$C$5:$J$255,8,FALSE))</f>
        <v>3. Dépenses de fonctionnement</v>
      </c>
      <c r="W2043" s="18" t="s">
        <v>331</v>
      </c>
      <c r="X2043" s="18" t="s">
        <v>331</v>
      </c>
      <c r="Y2043" s="19" t="s">
        <v>32</v>
      </c>
      <c r="Z2043" s="18" t="str">
        <f>A2043 &amp; "-" &amp; VLOOKUP(A2043,[4]PROGRAMMES!$E$1:$F$7,2,FALSE)</f>
        <v>6-Education et alphabétisation des adultes</v>
      </c>
      <c r="AA2043" s="19" t="str">
        <f>B2043 &amp; "-" &amp; VLOOKUP(B2043,[4]SOUSPROGRAMMES!$E$1:$F$44,2,FALSE)</f>
        <v xml:space="preserve">63- Amélioration de la qualité </v>
      </c>
      <c r="AB2043" s="19" t="str">
        <f>C2043 &amp; "-" &amp; VLOOKUP(C2043,[4]RESULTATS!$E$1:$F$176,2,FALSE)</f>
        <v>634- Un dispositif d’accréditation des différents niveaux et de certification en AENF est mis en place.</v>
      </c>
      <c r="AC2043" s="20" t="str">
        <f>D2043 &amp; "-" &amp; VLOOKUP(D2043,[4]STRATEGIES!$E$1:$F$504,2,FALSE)</f>
        <v>6342-Certification des apprenants</v>
      </c>
      <c r="AD2043" s="21" t="str">
        <f t="shared" si="297"/>
        <v>63421-conception, reproduction des certificats</v>
      </c>
    </row>
    <row r="2044" spans="1:30" s="22" customFormat="1" ht="45" hidden="1" customHeight="1" x14ac:dyDescent="0.8">
      <c r="A2044" s="14">
        <v>6</v>
      </c>
      <c r="B2044" s="15">
        <v>63</v>
      </c>
      <c r="C2044" s="15">
        <v>634</v>
      </c>
      <c r="D2044" s="15">
        <v>6342</v>
      </c>
      <c r="E2044" s="15">
        <v>63421</v>
      </c>
      <c r="F2044" s="16" t="s">
        <v>2517</v>
      </c>
      <c r="G2044" s="21" t="s">
        <v>1108</v>
      </c>
      <c r="H2044" s="17" t="s">
        <v>816</v>
      </c>
      <c r="I2044" s="33">
        <v>0</v>
      </c>
      <c r="J2044" s="33">
        <f>((J1998+J1999+J2000)/15*0.9)*4%</f>
        <v>6.8095392076800003</v>
      </c>
      <c r="K2044" s="33">
        <f>((K1998+K1999+K2000)/15*0.9)*4%</f>
        <v>11.3492320128</v>
      </c>
      <c r="L2044" s="33">
        <f>((L1998+L1999+L2000)/15*0.9)*4%</f>
        <v>11.3492320128</v>
      </c>
      <c r="M2044" s="33">
        <f t="shared" si="301"/>
        <v>29.50800323328</v>
      </c>
      <c r="N2044" s="33">
        <f>IF(OR(H2044="",H2044="sif",H2044="PM"),0,VLOOKUP(H2044,[5]CU!$C$4:$H$255,6,FALSE))</f>
        <v>7.4999999999999997E-3</v>
      </c>
      <c r="O2044" s="33">
        <f t="shared" si="306"/>
        <v>0</v>
      </c>
      <c r="P2044" s="33">
        <f t="shared" si="306"/>
        <v>5.1071544057599998E-2</v>
      </c>
      <c r="Q2044" s="33">
        <f t="shared" si="306"/>
        <v>8.5119240095999998E-2</v>
      </c>
      <c r="R2044" s="33">
        <f t="shared" si="306"/>
        <v>8.5119240095999998E-2</v>
      </c>
      <c r="S2044" s="33">
        <f>SUM(O2044:R2044)</f>
        <v>0.2213100242496</v>
      </c>
      <c r="T2044" s="35" t="s">
        <v>118</v>
      </c>
      <c r="U2044" s="18" t="s">
        <v>330</v>
      </c>
      <c r="V2044" s="18" t="str">
        <f>IF(OR($H2044="",$H2044="sif",$H2044="PM"),"",VLOOKUP($H2044,[5]CU!$C$5:$J$255,8,FALSE))</f>
        <v>3. Dépenses de fonctionnement</v>
      </c>
      <c r="W2044" s="18" t="s">
        <v>331</v>
      </c>
      <c r="X2044" s="18" t="s">
        <v>331</v>
      </c>
      <c r="Y2044" s="19" t="s">
        <v>32</v>
      </c>
      <c r="Z2044" s="18" t="str">
        <f>A2044 &amp; "-" &amp; VLOOKUP(A2044,[4]PROGRAMMES!$E$1:$F$7,2,FALSE)</f>
        <v>6-Education et alphabétisation des adultes</v>
      </c>
      <c r="AA2044" s="19" t="str">
        <f>B2044 &amp; "-" &amp; VLOOKUP(B2044,[4]SOUSPROGRAMMES!$E$1:$F$44,2,FALSE)</f>
        <v xml:space="preserve">63- Amélioration de la qualité </v>
      </c>
      <c r="AB2044" s="19" t="str">
        <f>C2044 &amp; "-" &amp; VLOOKUP(C2044,[4]RESULTATS!$E$1:$F$176,2,FALSE)</f>
        <v>634- Un dispositif d’accréditation des différents niveaux et de certification en AENF est mis en place.</v>
      </c>
      <c r="AC2044" s="20" t="str">
        <f>D2044 &amp; "-" &amp; VLOOKUP(D2044,[4]STRATEGIES!$E$1:$F$504,2,FALSE)</f>
        <v>6342-Certification des apprenants</v>
      </c>
      <c r="AD2044" s="21" t="str">
        <f t="shared" si="297"/>
        <v>63421-conception, reproduction des certificats</v>
      </c>
    </row>
    <row r="2045" spans="1:30" s="22" customFormat="1" ht="45" hidden="1" customHeight="1" x14ac:dyDescent="0.8">
      <c r="A2045" s="14">
        <v>6</v>
      </c>
      <c r="B2045" s="15">
        <v>63</v>
      </c>
      <c r="C2045" s="15">
        <v>634</v>
      </c>
      <c r="D2045" s="15">
        <v>6342</v>
      </c>
      <c r="E2045" s="15">
        <v>63422</v>
      </c>
      <c r="F2045" s="16" t="s">
        <v>2518</v>
      </c>
      <c r="G2045" s="21" t="s">
        <v>159</v>
      </c>
      <c r="H2045" s="17"/>
      <c r="I2045" s="33">
        <v>0</v>
      </c>
      <c r="J2045" s="33">
        <v>1</v>
      </c>
      <c r="K2045" s="33">
        <v>1</v>
      </c>
      <c r="L2045" s="33">
        <v>1</v>
      </c>
      <c r="M2045" s="33">
        <f t="shared" si="301"/>
        <v>3</v>
      </c>
      <c r="N2045" s="33">
        <f>IF(OR(H2045="",H2045="sif",H2045="PM"),0,VLOOKUP(H2045,[5]CU!$C$4:$H$255,6,FALSE))</f>
        <v>0</v>
      </c>
      <c r="O2045" s="33"/>
      <c r="P2045" s="33"/>
      <c r="Q2045" s="33"/>
      <c r="R2045" s="33"/>
      <c r="S2045" s="33"/>
      <c r="T2045" s="35" t="s">
        <v>56</v>
      </c>
      <c r="U2045" s="18" t="s">
        <v>330</v>
      </c>
      <c r="V2045" s="18" t="str">
        <f>IF(OR($H2045="",$H2045="sif",$H2045="PM"),"",VLOOKUP($H2045,[5]CU!$C$5:$J$255,8,FALSE))</f>
        <v/>
      </c>
      <c r="W2045" s="18" t="s">
        <v>331</v>
      </c>
      <c r="X2045" s="18" t="s">
        <v>222</v>
      </c>
      <c r="Y2045" s="19" t="s">
        <v>32</v>
      </c>
      <c r="Z2045" s="18" t="str">
        <f>A2045 &amp; "-" &amp; VLOOKUP(A2045,[4]PROGRAMMES!$E$1:$F$7,2,FALSE)</f>
        <v>6-Education et alphabétisation des adultes</v>
      </c>
      <c r="AA2045" s="19" t="str">
        <f>B2045 &amp; "-" &amp; VLOOKUP(B2045,[4]SOUSPROGRAMMES!$E$1:$F$44,2,FALSE)</f>
        <v xml:space="preserve">63- Amélioration de la qualité </v>
      </c>
      <c r="AB2045" s="19" t="str">
        <f>C2045 &amp; "-" &amp; VLOOKUP(C2045,[4]RESULTATS!$E$1:$F$176,2,FALSE)</f>
        <v>634- Un dispositif d’accréditation des différents niveaux et de certification en AENF est mis en place.</v>
      </c>
      <c r="AC2045" s="20" t="str">
        <f>D2045 &amp; "-" &amp; VLOOKUP(D2045,[4]STRATEGIES!$E$1:$F$504,2,FALSE)</f>
        <v>6342-Certification des apprenants</v>
      </c>
      <c r="AD2045" s="21" t="str">
        <f t="shared" si="297"/>
        <v>63422-Remise des certificats par les ONG</v>
      </c>
    </row>
    <row r="2046" spans="1:30" s="22" customFormat="1" ht="60" hidden="1" customHeight="1" x14ac:dyDescent="0.8">
      <c r="A2046" s="14">
        <v>6</v>
      </c>
      <c r="B2046" s="15">
        <v>63</v>
      </c>
      <c r="C2046" s="15">
        <v>635</v>
      </c>
      <c r="D2046" s="15">
        <v>635</v>
      </c>
      <c r="E2046" s="15">
        <v>635</v>
      </c>
      <c r="F2046" s="16" t="s">
        <v>2519</v>
      </c>
      <c r="G2046" s="17"/>
      <c r="H2046" s="17"/>
      <c r="I2046" s="33">
        <v>0</v>
      </c>
      <c r="J2046" s="33"/>
      <c r="K2046" s="33"/>
      <c r="L2046" s="33"/>
      <c r="M2046" s="33"/>
      <c r="N2046" s="33"/>
      <c r="O2046" s="33"/>
      <c r="P2046" s="33"/>
      <c r="Q2046" s="33"/>
      <c r="R2046" s="33"/>
      <c r="S2046" s="33"/>
      <c r="T2046" s="33"/>
      <c r="U2046" s="18"/>
      <c r="V2046" s="18"/>
      <c r="W2046" s="18"/>
      <c r="X2046" s="18"/>
      <c r="Y2046" s="18"/>
      <c r="Z2046" s="18" t="str">
        <f>A2046 &amp; "-" &amp; VLOOKUP(A2046,[4]PROGRAMMES!$E$1:$F$7,2,FALSE)</f>
        <v>6-Education et alphabétisation des adultes</v>
      </c>
      <c r="AA2046" s="19" t="str">
        <f>B2046 &amp; "-" &amp; VLOOKUP(B2046,[4]SOUSPROGRAMMES!$E$1:$F$44,2,FALSE)</f>
        <v xml:space="preserve">63- Amélioration de la qualité </v>
      </c>
      <c r="AB2046" s="19" t="str">
        <f>C2046 &amp; "-" &amp; VLOOKUP(C2046,[4]RESULTATS!$E$1:$F$176,2,FALSE)</f>
        <v>635- Les compétences linguistiques, pédagogiques et andragogiques des moniteurs, des éducateurs, des animateurs et autres sont renforcées.</v>
      </c>
      <c r="AC2046" s="20" t="str">
        <f>D2046 &amp; "-" &amp; VLOOKUP(D2046,[4]STRATEGIES!$E$1:$F$504,2,FALSE)</f>
        <v>635- Les compétences linguistiques, pédagogiques et andragogiques des moniteurs, des éducateurs, des animateurs et autres sont renforcées.</v>
      </c>
      <c r="AD2046" s="21" t="str">
        <f t="shared" si="297"/>
        <v>635- Les compétences linguistiques, pédagogiques et andragogiques des moniteurs, des éducateurs, des animateurs et autres sont renforcées.</v>
      </c>
    </row>
    <row r="2047" spans="1:30" s="22" customFormat="1" ht="60" hidden="1" customHeight="1" x14ac:dyDescent="0.8">
      <c r="A2047" s="14">
        <v>6</v>
      </c>
      <c r="B2047" s="15">
        <v>63</v>
      </c>
      <c r="C2047" s="15">
        <v>635</v>
      </c>
      <c r="D2047" s="15">
        <v>6351</v>
      </c>
      <c r="E2047" s="15">
        <v>6351</v>
      </c>
      <c r="F2047" s="16" t="s">
        <v>2520</v>
      </c>
      <c r="G2047" s="17"/>
      <c r="H2047" s="17"/>
      <c r="I2047" s="33">
        <v>0</v>
      </c>
      <c r="J2047" s="33"/>
      <c r="K2047" s="33"/>
      <c r="L2047" s="33"/>
      <c r="M2047" s="33"/>
      <c r="N2047" s="33"/>
      <c r="O2047" s="33"/>
      <c r="P2047" s="33"/>
      <c r="Q2047" s="33"/>
      <c r="R2047" s="33"/>
      <c r="S2047" s="33"/>
      <c r="T2047" s="33"/>
      <c r="U2047" s="18"/>
      <c r="V2047" s="18"/>
      <c r="W2047" s="18"/>
      <c r="X2047" s="18"/>
      <c r="Y2047" s="18"/>
      <c r="Z2047" s="18" t="str">
        <f>A2047 &amp; "-" &amp; VLOOKUP(A2047,[4]PROGRAMMES!$E$1:$F$7,2,FALSE)</f>
        <v>6-Education et alphabétisation des adultes</v>
      </c>
      <c r="AA2047" s="19" t="str">
        <f>B2047 &amp; "-" &amp; VLOOKUP(B2047,[4]SOUSPROGRAMMES!$E$1:$F$44,2,FALSE)</f>
        <v xml:space="preserve">63- Amélioration de la qualité </v>
      </c>
      <c r="AB2047" s="19" t="str">
        <f>C2047 &amp; "-" &amp; VLOOKUP(C2047,[4]RESULTATS!$E$1:$F$176,2,FALSE)</f>
        <v>635- Les compétences linguistiques, pédagogiques et andragogiques des moniteurs, des éducateurs, des animateurs et autres sont renforcées.</v>
      </c>
      <c r="AC2047" s="20" t="str">
        <f>D2047 &amp; "-" &amp; VLOOKUP(D2047,[4]STRATEGIES!$E$1:$F$504,2,FALSE)</f>
        <v>6351-Élaboration du matériel et du dispositif de formation</v>
      </c>
      <c r="AD2047" s="21" t="str">
        <f t="shared" si="297"/>
        <v>6351-Élaboration du matériel et du dispositif de formation</v>
      </c>
    </row>
    <row r="2048" spans="1:30" s="22" customFormat="1" ht="60" hidden="1" customHeight="1" x14ac:dyDescent="0.8">
      <c r="A2048" s="14">
        <v>6</v>
      </c>
      <c r="B2048" s="15">
        <v>63</v>
      </c>
      <c r="C2048" s="15">
        <v>635</v>
      </c>
      <c r="D2048" s="15">
        <v>6351</v>
      </c>
      <c r="E2048" s="15">
        <v>63511</v>
      </c>
      <c r="F2048" s="16" t="s">
        <v>2521</v>
      </c>
      <c r="G2048" s="21" t="s">
        <v>298</v>
      </c>
      <c r="H2048" s="17" t="s">
        <v>66</v>
      </c>
      <c r="I2048" s="33">
        <v>0</v>
      </c>
      <c r="J2048" s="33">
        <f>15*4*1</f>
        <v>60</v>
      </c>
      <c r="K2048" s="33">
        <f>15*4*1</f>
        <v>60</v>
      </c>
      <c r="L2048" s="33"/>
      <c r="M2048" s="33">
        <f t="shared" si="301"/>
        <v>120</v>
      </c>
      <c r="N2048" s="33">
        <f>IF(OR(H2048="",H2048="sif",H2048="PM"),0,VLOOKUP(H2048,[5]CU!$C$4:$H$255,6,FALSE))</f>
        <v>0.255</v>
      </c>
      <c r="O2048" s="33">
        <f>$N2048*I2048</f>
        <v>0</v>
      </c>
      <c r="P2048" s="33">
        <f>$N2048*J2048</f>
        <v>15.3</v>
      </c>
      <c r="Q2048" s="33">
        <f>$N2048*K2048</f>
        <v>15.3</v>
      </c>
      <c r="R2048" s="33">
        <f>$N2048*L2048</f>
        <v>0</v>
      </c>
      <c r="S2048" s="33">
        <f>SUM(O2048:R2048)</f>
        <v>30.6</v>
      </c>
      <c r="T2048" s="35" t="s">
        <v>56</v>
      </c>
      <c r="U2048" s="18" t="s">
        <v>330</v>
      </c>
      <c r="V2048" s="18" t="str">
        <f>IF(OR($H2048="",$H2048="sif",$H2048="PM"),"",VLOOKUP($H2048,[5]CU!$C$5:$J$255,8,FALSE))</f>
        <v>3. Dépenses de fonctionnement</v>
      </c>
      <c r="W2048" s="18" t="s">
        <v>331</v>
      </c>
      <c r="X2048" s="18" t="s">
        <v>331</v>
      </c>
      <c r="Y2048" s="19" t="s">
        <v>32</v>
      </c>
      <c r="Z2048" s="18" t="str">
        <f>A2048 &amp; "-" &amp; VLOOKUP(A2048,[4]PROGRAMMES!$E$1:$F$7,2,FALSE)</f>
        <v>6-Education et alphabétisation des adultes</v>
      </c>
      <c r="AA2048" s="19" t="str">
        <f>B2048 &amp; "-" &amp; VLOOKUP(B2048,[4]SOUSPROGRAMMES!$E$1:$F$44,2,FALSE)</f>
        <v xml:space="preserve">63- Amélioration de la qualité </v>
      </c>
      <c r="AB2048" s="19" t="str">
        <f>C2048 &amp; "-" &amp; VLOOKUP(C2048,[4]RESULTATS!$E$1:$F$176,2,FALSE)</f>
        <v>635- Les compétences linguistiques, pédagogiques et andragogiques des moniteurs, des éducateurs, des animateurs et autres sont renforcées.</v>
      </c>
      <c r="AC2048" s="20" t="str">
        <f>D2048 &amp; "-" &amp; VLOOKUP(D2048,[4]STRATEGIES!$E$1:$F$504,2,FALSE)</f>
        <v>6351-Élaboration du matériel et du dispositif de formation</v>
      </c>
      <c r="AD2048" s="21" t="str">
        <f t="shared" si="297"/>
        <v>63511-Conception et élaboration du matériel de formation des formateurs</v>
      </c>
    </row>
    <row r="2049" spans="1:30" s="22" customFormat="1" ht="60" hidden="1" customHeight="1" x14ac:dyDescent="0.8">
      <c r="A2049" s="14">
        <v>6</v>
      </c>
      <c r="B2049" s="15">
        <v>63</v>
      </c>
      <c r="C2049" s="15">
        <v>635</v>
      </c>
      <c r="D2049" s="15">
        <v>6351</v>
      </c>
      <c r="E2049" s="15">
        <v>63512</v>
      </c>
      <c r="F2049" s="16" t="s">
        <v>2522</v>
      </c>
      <c r="G2049" s="21" t="s">
        <v>757</v>
      </c>
      <c r="H2049" s="17" t="s">
        <v>55</v>
      </c>
      <c r="I2049" s="33">
        <v>0</v>
      </c>
      <c r="J2049" s="33">
        <v>1</v>
      </c>
      <c r="K2049" s="33">
        <v>1</v>
      </c>
      <c r="L2049" s="33">
        <v>1</v>
      </c>
      <c r="M2049" s="33">
        <f t="shared" si="301"/>
        <v>3</v>
      </c>
      <c r="N2049" s="33">
        <f>IF(OR(H2049="",H2049="sif",H2049="PM"),0,VLOOKUP(H2049,[5]CU!$C$4:$H$255,6,FALSE))</f>
        <v>0</v>
      </c>
      <c r="O2049" s="33"/>
      <c r="P2049" s="33"/>
      <c r="Q2049" s="33"/>
      <c r="R2049" s="33"/>
      <c r="S2049" s="33"/>
      <c r="T2049" s="35" t="s">
        <v>56</v>
      </c>
      <c r="U2049" s="18" t="s">
        <v>330</v>
      </c>
      <c r="V2049" s="18" t="str">
        <f>IF(OR($H2049="",$H2049="sif",$H2049="PM"),"",VLOOKUP($H2049,[5]CU!$C$5:$J$255,8,FALSE))</f>
        <v/>
      </c>
      <c r="W2049" s="18" t="s">
        <v>331</v>
      </c>
      <c r="X2049" s="18" t="s">
        <v>248</v>
      </c>
      <c r="Y2049" s="18" t="s">
        <v>677</v>
      </c>
      <c r="Z2049" s="18" t="str">
        <f>A2049 &amp; "-" &amp; VLOOKUP(A2049,[4]PROGRAMMES!$E$1:$F$7,2,FALSE)</f>
        <v>6-Education et alphabétisation des adultes</v>
      </c>
      <c r="AA2049" s="19" t="str">
        <f>B2049 &amp; "-" &amp; VLOOKUP(B2049,[4]SOUSPROGRAMMES!$E$1:$F$44,2,FALSE)</f>
        <v xml:space="preserve">63- Amélioration de la qualité </v>
      </c>
      <c r="AB2049" s="19" t="str">
        <f>C2049 &amp; "-" &amp; VLOOKUP(C2049,[4]RESULTATS!$E$1:$F$176,2,FALSE)</f>
        <v>635- Les compétences linguistiques, pédagogiques et andragogiques des moniteurs, des éducateurs, des animateurs et autres sont renforcées.</v>
      </c>
      <c r="AC2049" s="20" t="str">
        <f>D2049 &amp; "-" &amp; VLOOKUP(D2049,[4]STRATEGIES!$E$1:$F$504,2,FALSE)</f>
        <v>6351-Élaboration du matériel et du dispositif de formation</v>
      </c>
      <c r="AD2049" s="21" t="str">
        <f t="shared" si="297"/>
        <v>63512-Formation des formateurs relais</v>
      </c>
    </row>
    <row r="2050" spans="1:30" s="22" customFormat="1" ht="60" hidden="1" customHeight="1" x14ac:dyDescent="0.8">
      <c r="A2050" s="14">
        <v>6</v>
      </c>
      <c r="B2050" s="15">
        <v>63</v>
      </c>
      <c r="C2050" s="15">
        <v>635</v>
      </c>
      <c r="D2050" s="15">
        <v>6352</v>
      </c>
      <c r="E2050" s="15">
        <v>6352</v>
      </c>
      <c r="F2050" s="16" t="s">
        <v>2523</v>
      </c>
      <c r="G2050" s="17"/>
      <c r="H2050" s="17"/>
      <c r="I2050" s="33">
        <v>0</v>
      </c>
      <c r="J2050" s="33"/>
      <c r="K2050" s="33"/>
      <c r="L2050" s="33"/>
      <c r="M2050" s="33"/>
      <c r="N2050" s="33"/>
      <c r="O2050" s="33"/>
      <c r="P2050" s="33"/>
      <c r="Q2050" s="33"/>
      <c r="R2050" s="33"/>
      <c r="S2050" s="33"/>
      <c r="T2050" s="33"/>
      <c r="U2050" s="18"/>
      <c r="V2050" s="18"/>
      <c r="W2050" s="18"/>
      <c r="X2050" s="18"/>
      <c r="Y2050" s="18"/>
      <c r="Z2050" s="18" t="str">
        <f>A2050 &amp; "-" &amp; VLOOKUP(A2050,[4]PROGRAMMES!$E$1:$F$7,2,FALSE)</f>
        <v>6-Education et alphabétisation des adultes</v>
      </c>
      <c r="AA2050" s="19" t="str">
        <f>B2050 &amp; "-" &amp; VLOOKUP(B2050,[4]SOUSPROGRAMMES!$E$1:$F$44,2,FALSE)</f>
        <v xml:space="preserve">63- Amélioration de la qualité </v>
      </c>
      <c r="AB2050" s="19" t="str">
        <f>C2050 &amp; "-" &amp; VLOOKUP(C2050,[4]RESULTATS!$E$1:$F$176,2,FALSE)</f>
        <v>635- Les compétences linguistiques, pédagogiques et andragogiques des moniteurs, des éducateurs, des animateurs et autres sont renforcées.</v>
      </c>
      <c r="AC2050" s="20" t="str">
        <f>D2050 &amp; "-" &amp; VLOOKUP(D2050,[4]STRATEGIES!$E$1:$F$504,2,FALSE)</f>
        <v>6352-Mise en place du dispositif et organisation régulière des formations</v>
      </c>
      <c r="AD2050" s="21" t="str">
        <f t="shared" si="297"/>
        <v>6352-Mise en place du dispositif et organisation régulière des formations</v>
      </c>
    </row>
    <row r="2051" spans="1:30" s="22" customFormat="1" ht="60" hidden="1" customHeight="1" x14ac:dyDescent="0.8">
      <c r="A2051" s="14">
        <v>6</v>
      </c>
      <c r="B2051" s="15">
        <v>63</v>
      </c>
      <c r="C2051" s="15">
        <v>635</v>
      </c>
      <c r="D2051" s="15">
        <v>6352</v>
      </c>
      <c r="E2051" s="15">
        <v>63521</v>
      </c>
      <c r="F2051" s="16" t="s">
        <v>2524</v>
      </c>
      <c r="G2051" s="21" t="s">
        <v>800</v>
      </c>
      <c r="H2051" s="17" t="s">
        <v>55</v>
      </c>
      <c r="I2051" s="33">
        <v>0</v>
      </c>
      <c r="J2051" s="33">
        <v>1</v>
      </c>
      <c r="K2051" s="33">
        <v>1</v>
      </c>
      <c r="L2051" s="33">
        <v>1</v>
      </c>
      <c r="M2051" s="33">
        <f t="shared" si="301"/>
        <v>3</v>
      </c>
      <c r="N2051" s="33">
        <f>IF(OR(H2051="",H2051="sif",H2051="PM"),0,VLOOKUP(H2051,[5]CU!$C$4:$H$255,6,FALSE))</f>
        <v>0</v>
      </c>
      <c r="O2051" s="33"/>
      <c r="P2051" s="33"/>
      <c r="Q2051" s="33"/>
      <c r="R2051" s="33"/>
      <c r="S2051" s="33"/>
      <c r="T2051" s="35" t="s">
        <v>56</v>
      </c>
      <c r="U2051" s="18" t="s">
        <v>330</v>
      </c>
      <c r="V2051" s="18" t="str">
        <f>IF(OR($H2051="",$H2051="sif",$H2051="PM"),"",VLOOKUP($H2051,[5]CU!$C$5:$J$255,8,FALSE))</f>
        <v/>
      </c>
      <c r="W2051" s="18" t="s">
        <v>331</v>
      </c>
      <c r="X2051" s="18" t="s">
        <v>222</v>
      </c>
      <c r="Y2051" s="19" t="s">
        <v>32</v>
      </c>
      <c r="Z2051" s="18" t="str">
        <f>A2051 &amp; "-" &amp; VLOOKUP(A2051,[4]PROGRAMMES!$E$1:$F$7,2,FALSE)</f>
        <v>6-Education et alphabétisation des adultes</v>
      </c>
      <c r="AA2051" s="19" t="str">
        <f>B2051 &amp; "-" &amp; VLOOKUP(B2051,[4]SOUSPROGRAMMES!$E$1:$F$44,2,FALSE)</f>
        <v xml:space="preserve">63- Amélioration de la qualité </v>
      </c>
      <c r="AB2051" s="19" t="str">
        <f>C2051 &amp; "-" &amp; VLOOKUP(C2051,[4]RESULTATS!$E$1:$F$176,2,FALSE)</f>
        <v>635- Les compétences linguistiques, pédagogiques et andragogiques des moniteurs, des éducateurs, des animateurs et autres sont renforcées.</v>
      </c>
      <c r="AC2051" s="20" t="str">
        <f>D2051 &amp; "-" &amp; VLOOKUP(D2051,[4]STRATEGIES!$E$1:$F$504,2,FALSE)</f>
        <v>6352-Mise en place du dispositif et organisation régulière des formations</v>
      </c>
      <c r="AD2051" s="21" t="str">
        <f t="shared" si="297"/>
        <v>63521-Organisation par les formateurs des formations au niveau local (pris en charge par les ONG et autres opérateurs)</v>
      </c>
    </row>
    <row r="2052" spans="1:30" s="22" customFormat="1" ht="60" hidden="1" customHeight="1" x14ac:dyDescent="0.8">
      <c r="A2052" s="14">
        <v>6</v>
      </c>
      <c r="B2052" s="15">
        <v>63</v>
      </c>
      <c r="C2052" s="15">
        <v>635</v>
      </c>
      <c r="D2052" s="15">
        <v>6352</v>
      </c>
      <c r="E2052" s="15">
        <v>63522</v>
      </c>
      <c r="F2052" s="16" t="s">
        <v>2525</v>
      </c>
      <c r="G2052" s="21" t="s">
        <v>58</v>
      </c>
      <c r="H2052" s="17" t="s">
        <v>59</v>
      </c>
      <c r="I2052" s="33">
        <v>0</v>
      </c>
      <c r="J2052" s="33"/>
      <c r="K2052" s="33">
        <f>(2*4*10)*80.01%</f>
        <v>64.00800000000001</v>
      </c>
      <c r="L2052" s="33">
        <f>(2*4*10)*80.01%</f>
        <v>64.00800000000001</v>
      </c>
      <c r="M2052" s="33">
        <f>SUM(I2052:L2052)</f>
        <v>128.01600000000002</v>
      </c>
      <c r="N2052" s="33">
        <f>IF(OR(H2052="",H2052="sif",H2052="PM"),0,VLOOKUP(H2052,[5]CU!$C$4:$H$255,6,FALSE))</f>
        <v>0.8177777777777776</v>
      </c>
      <c r="O2052" s="33">
        <f>$N2052*I2052</f>
        <v>0</v>
      </c>
      <c r="P2052" s="33">
        <f>$N2052*J2052</f>
        <v>0</v>
      </c>
      <c r="Q2052" s="33">
        <f>$N2052*K2052</f>
        <v>52.344319999999996</v>
      </c>
      <c r="R2052" s="33">
        <f>$N2052*L2052</f>
        <v>52.344319999999996</v>
      </c>
      <c r="S2052" s="33">
        <f>SUM(O2052:R2052)</f>
        <v>104.68863999999999</v>
      </c>
      <c r="T2052" s="35" t="s">
        <v>56</v>
      </c>
      <c r="U2052" s="18" t="s">
        <v>330</v>
      </c>
      <c r="V2052" s="18" t="str">
        <f>IF(OR($H2052="",$H2052="sif",$H2052="PM"),"",VLOOKUP($H2052,[5]CU!$C$5:$J$255,8,FALSE))</f>
        <v>3. Dépenses de fonctionnement</v>
      </c>
      <c r="W2052" s="18" t="s">
        <v>331</v>
      </c>
      <c r="X2052" s="18" t="s">
        <v>331</v>
      </c>
      <c r="Y2052" s="19" t="s">
        <v>32</v>
      </c>
      <c r="Z2052" s="18" t="str">
        <f>A2052 &amp; "-" &amp; VLOOKUP(A2052,[4]PROGRAMMES!$E$1:$F$7,2,FALSE)</f>
        <v>6-Education et alphabétisation des adultes</v>
      </c>
      <c r="AA2052" s="19" t="str">
        <f>B2052 &amp; "-" &amp; VLOOKUP(B2052,[4]SOUSPROGRAMMES!$E$1:$F$44,2,FALSE)</f>
        <v xml:space="preserve">63- Amélioration de la qualité </v>
      </c>
      <c r="AB2052" s="19" t="str">
        <f>C2052 &amp; "-" &amp; VLOOKUP(C2052,[4]RESULTATS!$E$1:$F$176,2,FALSE)</f>
        <v>635- Les compétences linguistiques, pédagogiques et andragogiques des moniteurs, des éducateurs, des animateurs et autres sont renforcées.</v>
      </c>
      <c r="AC2052" s="20" t="str">
        <f>D2052 &amp; "-" &amp; VLOOKUP(D2052,[4]STRATEGIES!$E$1:$F$504,2,FALSE)</f>
        <v>6352-Mise en place du dispositif et organisation régulière des formations</v>
      </c>
      <c r="AD2052" s="21" t="str">
        <f t="shared" ref="AD2052:AD2115" si="307">E2052 &amp; "-" &amp; F2052</f>
        <v>63522-Suivi des résultats des formations</v>
      </c>
    </row>
    <row r="2053" spans="1:30" s="22" customFormat="1" ht="60" hidden="1" customHeight="1" x14ac:dyDescent="0.8">
      <c r="A2053" s="14">
        <v>6</v>
      </c>
      <c r="B2053" s="15">
        <v>63</v>
      </c>
      <c r="C2053" s="15">
        <v>635</v>
      </c>
      <c r="D2053" s="15">
        <v>6352</v>
      </c>
      <c r="E2053" s="15">
        <v>63522</v>
      </c>
      <c r="F2053" s="16" t="s">
        <v>2525</v>
      </c>
      <c r="G2053" s="21" t="s">
        <v>58</v>
      </c>
      <c r="H2053" s="17" t="s">
        <v>59</v>
      </c>
      <c r="I2053" s="33">
        <v>0</v>
      </c>
      <c r="J2053" s="33"/>
      <c r="K2053" s="33">
        <f>(2*4*10)*19.99%</f>
        <v>15.991999999999999</v>
      </c>
      <c r="L2053" s="33">
        <f>(2*4*10)*19.99%</f>
        <v>15.991999999999999</v>
      </c>
      <c r="M2053" s="33">
        <f t="shared" si="301"/>
        <v>31.983999999999998</v>
      </c>
      <c r="N2053" s="33">
        <f>IF(OR(H2053="",H2053="sif",H2053="PM"),0,VLOOKUP(H2053,[5]CU!$C$4:$H$255,6,FALSE))</f>
        <v>0.8177777777777776</v>
      </c>
      <c r="O2053" s="33">
        <f t="shared" ref="O2053:R2056" si="308">$N2053*I2053</f>
        <v>0</v>
      </c>
      <c r="P2053" s="33">
        <f t="shared" si="308"/>
        <v>0</v>
      </c>
      <c r="Q2053" s="33">
        <f t="shared" si="308"/>
        <v>13.077902222222219</v>
      </c>
      <c r="R2053" s="33">
        <f t="shared" si="308"/>
        <v>13.077902222222219</v>
      </c>
      <c r="S2053" s="33">
        <f>SUM(O2053:R2053)</f>
        <v>26.155804444444438</v>
      </c>
      <c r="T2053" s="35" t="s">
        <v>118</v>
      </c>
      <c r="U2053" s="18" t="s">
        <v>330</v>
      </c>
      <c r="V2053" s="18" t="str">
        <f>IF(OR($H2053="",$H2053="sif",$H2053="PM"),"",VLOOKUP($H2053,[5]CU!$C$5:$J$255,8,FALSE))</f>
        <v>3. Dépenses de fonctionnement</v>
      </c>
      <c r="W2053" s="18" t="s">
        <v>331</v>
      </c>
      <c r="X2053" s="18" t="s">
        <v>331</v>
      </c>
      <c r="Y2053" s="19" t="s">
        <v>32</v>
      </c>
      <c r="Z2053" s="18" t="str">
        <f>A2053 &amp; "-" &amp; VLOOKUP(A2053,[4]PROGRAMMES!$E$1:$F$7,2,FALSE)</f>
        <v>6-Education et alphabétisation des adultes</v>
      </c>
      <c r="AA2053" s="19" t="str">
        <f>B2053 &amp; "-" &amp; VLOOKUP(B2053,[4]SOUSPROGRAMMES!$E$1:$F$44,2,FALSE)</f>
        <v xml:space="preserve">63- Amélioration de la qualité </v>
      </c>
      <c r="AB2053" s="19" t="str">
        <f>C2053 &amp; "-" &amp; VLOOKUP(C2053,[4]RESULTATS!$E$1:$F$176,2,FALSE)</f>
        <v>635- Les compétences linguistiques, pédagogiques et andragogiques des moniteurs, des éducateurs, des animateurs et autres sont renforcées.</v>
      </c>
      <c r="AC2053" s="20" t="str">
        <f>D2053 &amp; "-" &amp; VLOOKUP(D2053,[4]STRATEGIES!$E$1:$F$504,2,FALSE)</f>
        <v>6352-Mise en place du dispositif et organisation régulière des formations</v>
      </c>
      <c r="AD2053" s="21" t="str">
        <f t="shared" si="307"/>
        <v>63522-Suivi des résultats des formations</v>
      </c>
    </row>
    <row r="2054" spans="1:30" s="22" customFormat="1" ht="45" hidden="1" customHeight="1" x14ac:dyDescent="0.8">
      <c r="A2054" s="14">
        <v>6</v>
      </c>
      <c r="B2054" s="15">
        <v>63</v>
      </c>
      <c r="C2054" s="15">
        <v>636</v>
      </c>
      <c r="D2054" s="15">
        <v>636</v>
      </c>
      <c r="E2054" s="15">
        <v>636</v>
      </c>
      <c r="F2054" s="16" t="s">
        <v>2526</v>
      </c>
      <c r="G2054" s="17"/>
      <c r="H2054" s="17"/>
      <c r="I2054" s="33">
        <v>0</v>
      </c>
      <c r="J2054" s="33"/>
      <c r="K2054" s="33"/>
      <c r="L2054" s="33"/>
      <c r="M2054" s="33"/>
      <c r="N2054" s="33"/>
      <c r="O2054" s="33"/>
      <c r="P2054" s="33"/>
      <c r="Q2054" s="33"/>
      <c r="R2054" s="33"/>
      <c r="S2054" s="33"/>
      <c r="T2054" s="33"/>
      <c r="U2054" s="18"/>
      <c r="V2054" s="18"/>
      <c r="W2054" s="18"/>
      <c r="X2054" s="18"/>
      <c r="Y2054" s="18"/>
      <c r="Z2054" s="18" t="str">
        <f>A2054 &amp; "-" &amp; VLOOKUP(A2054,[4]PROGRAMMES!$E$1:$F$7,2,FALSE)</f>
        <v>6-Education et alphabétisation des adultes</v>
      </c>
      <c r="AA2054" s="19" t="str">
        <f>B2054 &amp; "-" &amp; VLOOKUP(B2054,[4]SOUSPROGRAMMES!$E$1:$F$44,2,FALSE)</f>
        <v xml:space="preserve">63- Amélioration de la qualité </v>
      </c>
      <c r="AB2054" s="19" t="str">
        <f>C2054 &amp; "-" &amp; VLOOKUP(C2054,[4]RESULTATS!$E$1:$F$176,2,FALSE)</f>
        <v xml:space="preserve">636- Les capacités des opérateurs d’AENF en matière de mise en œuvre des activités d'AEA sont renforcées </v>
      </c>
      <c r="AC2054" s="20" t="str">
        <f>D2054 &amp; "-" &amp; VLOOKUP(D2054,[4]STRATEGIES!$E$1:$F$504,2,FALSE)</f>
        <v>636-Identification de l'ensemble des opérateurs de l'AEA</v>
      </c>
      <c r="AD2054" s="21" t="str">
        <f t="shared" si="307"/>
        <v xml:space="preserve">636- Les capacités des opérateurs d’AENF en matière de mise en œuvre des activités d'AEA sont renforcées </v>
      </c>
    </row>
    <row r="2055" spans="1:30" s="22" customFormat="1" ht="45" hidden="1" customHeight="1" x14ac:dyDescent="0.8">
      <c r="A2055" s="14">
        <v>6</v>
      </c>
      <c r="B2055" s="15">
        <v>63</v>
      </c>
      <c r="C2055" s="15">
        <v>636</v>
      </c>
      <c r="D2055" s="15">
        <v>636</v>
      </c>
      <c r="E2055" s="15">
        <v>63611</v>
      </c>
      <c r="F2055" s="16" t="s">
        <v>2527</v>
      </c>
      <c r="G2055" s="21" t="s">
        <v>2528</v>
      </c>
      <c r="H2055" s="17" t="s">
        <v>59</v>
      </c>
      <c r="I2055" s="33">
        <v>0</v>
      </c>
      <c r="J2055" s="33">
        <f>(5*20*1)*80.01%</f>
        <v>80.010000000000005</v>
      </c>
      <c r="K2055" s="33">
        <f>(5*20*1)*80.01%</f>
        <v>80.010000000000005</v>
      </c>
      <c r="L2055" s="33">
        <f>(5*20*1)*80.01%</f>
        <v>80.010000000000005</v>
      </c>
      <c r="M2055" s="33">
        <f>SUM(I2055:L2055)</f>
        <v>240.03000000000003</v>
      </c>
      <c r="N2055" s="33">
        <f>IF(OR(H2055="",H2055="sif",H2055="PM"),0,VLOOKUP(H2055,[5]CU!$C$4:$H$255,6,FALSE))</f>
        <v>0.8177777777777776</v>
      </c>
      <c r="O2055" s="33">
        <f>$N2055*I2055</f>
        <v>0</v>
      </c>
      <c r="P2055" s="33">
        <f>$N2055*J2055</f>
        <v>65.430399999999992</v>
      </c>
      <c r="Q2055" s="33">
        <f>$N2055*K2055</f>
        <v>65.430399999999992</v>
      </c>
      <c r="R2055" s="33">
        <f>$N2055*L2055</f>
        <v>65.430399999999992</v>
      </c>
      <c r="S2055" s="33">
        <f>SUM(O2055:R2055)</f>
        <v>196.29119999999998</v>
      </c>
      <c r="T2055" s="35" t="s">
        <v>56</v>
      </c>
      <c r="U2055" s="18" t="s">
        <v>330</v>
      </c>
      <c r="V2055" s="18" t="str">
        <f>IF(OR($H2055="",$H2055="sif",$H2055="PM"),"",VLOOKUP($H2055,[5]CU!$C$5:$J$255,8,FALSE))</f>
        <v>3. Dépenses de fonctionnement</v>
      </c>
      <c r="W2055" s="18" t="s">
        <v>331</v>
      </c>
      <c r="X2055" s="18" t="s">
        <v>2529</v>
      </c>
      <c r="Y2055" s="19" t="s">
        <v>32</v>
      </c>
      <c r="Z2055" s="18" t="str">
        <f>A2055 &amp; "-" &amp; VLOOKUP(A2055,[4]PROGRAMMES!$E$1:$F$7,2,FALSE)</f>
        <v>6-Education et alphabétisation des adultes</v>
      </c>
      <c r="AA2055" s="19" t="str">
        <f>B2055 &amp; "-" &amp; VLOOKUP(B2055,[4]SOUSPROGRAMMES!$E$1:$F$44,2,FALSE)</f>
        <v xml:space="preserve">63- Amélioration de la qualité </v>
      </c>
      <c r="AB2055" s="19" t="str">
        <f>C2055 &amp; "-" &amp; VLOOKUP(C2055,[4]RESULTATS!$E$1:$F$176,2,FALSE)</f>
        <v xml:space="preserve">636- Les capacités des opérateurs d’AENF en matière de mise en œuvre des activités d'AEA sont renforcées </v>
      </c>
      <c r="AC2055" s="20" t="str">
        <f>D2055 &amp; "-" &amp; VLOOKUP(D2055,[4]STRATEGIES!$E$1:$F$504,2,FALSE)</f>
        <v>636-Identification de l'ensemble des opérateurs de l'AEA</v>
      </c>
      <c r="AD2055" s="21" t="str">
        <f t="shared" si="307"/>
        <v>63611-Recensement des opérateurs par les réseaux</v>
      </c>
    </row>
    <row r="2056" spans="1:30" s="22" customFormat="1" ht="45" hidden="1" customHeight="1" x14ac:dyDescent="0.8">
      <c r="A2056" s="14">
        <v>6</v>
      </c>
      <c r="B2056" s="15">
        <v>63</v>
      </c>
      <c r="C2056" s="15">
        <v>636</v>
      </c>
      <c r="D2056" s="15">
        <v>636</v>
      </c>
      <c r="E2056" s="15">
        <v>63611</v>
      </c>
      <c r="F2056" s="16" t="s">
        <v>2527</v>
      </c>
      <c r="G2056" s="21" t="s">
        <v>2528</v>
      </c>
      <c r="H2056" s="17" t="s">
        <v>59</v>
      </c>
      <c r="I2056" s="33">
        <v>0</v>
      </c>
      <c r="J2056" s="33">
        <f>(5*20*1)*19.99%</f>
        <v>19.989999999999998</v>
      </c>
      <c r="K2056" s="33">
        <f>(5*20*1)*19.99%</f>
        <v>19.989999999999998</v>
      </c>
      <c r="L2056" s="33">
        <f>(5*20*1)*19.99%</f>
        <v>19.989999999999998</v>
      </c>
      <c r="M2056" s="33">
        <f t="shared" si="301"/>
        <v>59.97</v>
      </c>
      <c r="N2056" s="33">
        <f>IF(OR(H2056="",H2056="sif",H2056="PM"),0,VLOOKUP(H2056,[5]CU!$C$4:$H$255,6,FALSE))</f>
        <v>0.8177777777777776</v>
      </c>
      <c r="O2056" s="33">
        <f t="shared" si="308"/>
        <v>0</v>
      </c>
      <c r="P2056" s="33">
        <f t="shared" si="308"/>
        <v>16.347377777777773</v>
      </c>
      <c r="Q2056" s="33">
        <f t="shared" si="308"/>
        <v>16.347377777777773</v>
      </c>
      <c r="R2056" s="33">
        <f t="shared" si="308"/>
        <v>16.347377777777773</v>
      </c>
      <c r="S2056" s="33">
        <f>SUM(O2056:R2056)</f>
        <v>49.042133333333318</v>
      </c>
      <c r="T2056" s="35" t="s">
        <v>118</v>
      </c>
      <c r="U2056" s="18" t="s">
        <v>330</v>
      </c>
      <c r="V2056" s="18" t="str">
        <f>IF(OR($H2056="",$H2056="sif",$H2056="PM"),"",VLOOKUP($H2056,[5]CU!$C$5:$J$255,8,FALSE))</f>
        <v>3. Dépenses de fonctionnement</v>
      </c>
      <c r="W2056" s="18" t="s">
        <v>331</v>
      </c>
      <c r="X2056" s="18" t="s">
        <v>2529</v>
      </c>
      <c r="Y2056" s="19" t="s">
        <v>32</v>
      </c>
      <c r="Z2056" s="18" t="str">
        <f>A2056 &amp; "-" &amp; VLOOKUP(A2056,[4]PROGRAMMES!$E$1:$F$7,2,FALSE)</f>
        <v>6-Education et alphabétisation des adultes</v>
      </c>
      <c r="AA2056" s="19" t="str">
        <f>B2056 &amp; "-" &amp; VLOOKUP(B2056,[4]SOUSPROGRAMMES!$E$1:$F$44,2,FALSE)</f>
        <v xml:space="preserve">63- Amélioration de la qualité </v>
      </c>
      <c r="AB2056" s="19" t="str">
        <f>C2056 &amp; "-" &amp; VLOOKUP(C2056,[4]RESULTATS!$E$1:$F$176,2,FALSE)</f>
        <v xml:space="preserve">636- Les capacités des opérateurs d’AENF en matière de mise en œuvre des activités d'AEA sont renforcées </v>
      </c>
      <c r="AC2056" s="20" t="str">
        <f>D2056 &amp; "-" &amp; VLOOKUP(D2056,[4]STRATEGIES!$E$1:$F$504,2,FALSE)</f>
        <v>636-Identification de l'ensemble des opérateurs de l'AEA</v>
      </c>
      <c r="AD2056" s="21" t="str">
        <f t="shared" si="307"/>
        <v>63611-Recensement des opérateurs par les réseaux</v>
      </c>
    </row>
    <row r="2057" spans="1:30" s="22" customFormat="1" ht="45" hidden="1" customHeight="1" x14ac:dyDescent="0.8">
      <c r="A2057" s="14">
        <v>6</v>
      </c>
      <c r="B2057" s="15">
        <v>63</v>
      </c>
      <c r="C2057" s="15">
        <v>636</v>
      </c>
      <c r="D2057" s="15">
        <v>636</v>
      </c>
      <c r="E2057" s="15">
        <v>63612</v>
      </c>
      <c r="F2057" s="16" t="s">
        <v>2530</v>
      </c>
      <c r="G2057" s="21" t="s">
        <v>88</v>
      </c>
      <c r="H2057" s="17" t="s">
        <v>55</v>
      </c>
      <c r="I2057" s="33">
        <v>0</v>
      </c>
      <c r="J2057" s="33">
        <v>1</v>
      </c>
      <c r="K2057" s="33">
        <v>1</v>
      </c>
      <c r="L2057" s="33">
        <v>1</v>
      </c>
      <c r="M2057" s="33">
        <f t="shared" si="301"/>
        <v>3</v>
      </c>
      <c r="N2057" s="33">
        <f>IF(OR(H2057="",H2057="sif",H2057="PM"),0,VLOOKUP(H2057,[5]CU!$C$4:$H$255,6,FALSE))</f>
        <v>0</v>
      </c>
      <c r="O2057" s="33"/>
      <c r="P2057" s="33"/>
      <c r="Q2057" s="33"/>
      <c r="R2057" s="33"/>
      <c r="S2057" s="33"/>
      <c r="T2057" s="35" t="s">
        <v>56</v>
      </c>
      <c r="U2057" s="18" t="s">
        <v>330</v>
      </c>
      <c r="V2057" s="18" t="str">
        <f>IF(OR($H2057="",$H2057="sif",$H2057="PM"),"",VLOOKUP($H2057,[5]CU!$C$5:$J$255,8,FALSE))</f>
        <v/>
      </c>
      <c r="W2057" s="18" t="s">
        <v>331</v>
      </c>
      <c r="X2057" s="18" t="s">
        <v>2529</v>
      </c>
      <c r="Y2057" s="19" t="s">
        <v>32</v>
      </c>
      <c r="Z2057" s="18" t="str">
        <f>A2057 &amp; "-" &amp; VLOOKUP(A2057,[4]PROGRAMMES!$E$1:$F$7,2,FALSE)</f>
        <v>6-Education et alphabétisation des adultes</v>
      </c>
      <c r="AA2057" s="19" t="str">
        <f>B2057 &amp; "-" &amp; VLOOKUP(B2057,[4]SOUSPROGRAMMES!$E$1:$F$44,2,FALSE)</f>
        <v xml:space="preserve">63- Amélioration de la qualité </v>
      </c>
      <c r="AB2057" s="19" t="str">
        <f>C2057 &amp; "-" &amp; VLOOKUP(C2057,[4]RESULTATS!$E$1:$F$176,2,FALSE)</f>
        <v xml:space="preserve">636- Les capacités des opérateurs d’AENF en matière de mise en œuvre des activités d'AEA sont renforcées </v>
      </c>
      <c r="AC2057" s="20" t="str">
        <f>D2057 &amp; "-" &amp; VLOOKUP(D2057,[4]STRATEGIES!$E$1:$F$504,2,FALSE)</f>
        <v>636-Identification de l'ensemble des opérateurs de l'AEA</v>
      </c>
      <c r="AD2057" s="21" t="str">
        <f t="shared" si="307"/>
        <v>63612-Elaboration d'un annuaire des opérateurs</v>
      </c>
    </row>
    <row r="2058" spans="1:30" s="22" customFormat="1" ht="45" hidden="1" customHeight="1" x14ac:dyDescent="0.8">
      <c r="A2058" s="14">
        <v>6</v>
      </c>
      <c r="B2058" s="15">
        <v>63</v>
      </c>
      <c r="C2058" s="15">
        <v>636</v>
      </c>
      <c r="D2058" s="15">
        <v>636</v>
      </c>
      <c r="E2058" s="15">
        <v>63613</v>
      </c>
      <c r="F2058" s="16" t="s">
        <v>2531</v>
      </c>
      <c r="G2058" s="21" t="s">
        <v>298</v>
      </c>
      <c r="H2058" s="17" t="s">
        <v>66</v>
      </c>
      <c r="I2058" s="33">
        <v>0</v>
      </c>
      <c r="J2058" s="33">
        <f>10*4*1</f>
        <v>40</v>
      </c>
      <c r="K2058" s="33"/>
      <c r="L2058" s="33"/>
      <c r="M2058" s="33">
        <f t="shared" si="301"/>
        <v>40</v>
      </c>
      <c r="N2058" s="33">
        <f>IF(OR(H2058="",H2058="sif",H2058="PM"),0,VLOOKUP(H2058,[5]CU!$C$4:$H$255,6,FALSE))</f>
        <v>0.255</v>
      </c>
      <c r="O2058" s="33">
        <f t="shared" ref="O2058:R2065" si="309">$N2058*I2058</f>
        <v>0</v>
      </c>
      <c r="P2058" s="33">
        <f t="shared" si="309"/>
        <v>10.199999999999999</v>
      </c>
      <c r="Q2058" s="33">
        <f t="shared" si="309"/>
        <v>0</v>
      </c>
      <c r="R2058" s="33">
        <f t="shared" si="309"/>
        <v>0</v>
      </c>
      <c r="S2058" s="33">
        <f t="shared" ref="S2058:S2065" si="310">SUM(O2058:R2058)</f>
        <v>10.199999999999999</v>
      </c>
      <c r="T2058" s="35" t="s">
        <v>56</v>
      </c>
      <c r="U2058" s="18" t="s">
        <v>330</v>
      </c>
      <c r="V2058" s="18" t="str">
        <f>IF(OR($H2058="",$H2058="sif",$H2058="PM"),"",VLOOKUP($H2058,[5]CU!$C$5:$J$255,8,FALSE))</f>
        <v>3. Dépenses de fonctionnement</v>
      </c>
      <c r="W2058" s="18" t="s">
        <v>331</v>
      </c>
      <c r="X2058" s="18" t="s">
        <v>331</v>
      </c>
      <c r="Y2058" s="19" t="s">
        <v>32</v>
      </c>
      <c r="Z2058" s="18" t="str">
        <f>A2058 &amp; "-" &amp; VLOOKUP(A2058,[4]PROGRAMMES!$E$1:$F$7,2,FALSE)</f>
        <v>6-Education et alphabétisation des adultes</v>
      </c>
      <c r="AA2058" s="19" t="str">
        <f>B2058 &amp; "-" &amp; VLOOKUP(B2058,[4]SOUSPROGRAMMES!$E$1:$F$44,2,FALSE)</f>
        <v xml:space="preserve">63- Amélioration de la qualité </v>
      </c>
      <c r="AB2058" s="19" t="str">
        <f>C2058 &amp; "-" &amp; VLOOKUP(C2058,[4]RESULTATS!$E$1:$F$176,2,FALSE)</f>
        <v xml:space="preserve">636- Les capacités des opérateurs d’AENF en matière de mise en œuvre des activités d'AEA sont renforcées </v>
      </c>
      <c r="AC2058" s="20" t="str">
        <f>D2058 &amp; "-" &amp; VLOOKUP(D2058,[4]STRATEGIES!$E$1:$F$504,2,FALSE)</f>
        <v>636-Identification de l'ensemble des opérateurs de l'AEA</v>
      </c>
      <c r="AD2058" s="21" t="str">
        <f t="shared" si="307"/>
        <v>63613-Révision concertée du manuel de procédures d'alphabétisation (mode faire faire)</v>
      </c>
    </row>
    <row r="2059" spans="1:30" s="22" customFormat="1" ht="45" hidden="1" customHeight="1" x14ac:dyDescent="0.8">
      <c r="A2059" s="14">
        <v>6</v>
      </c>
      <c r="B2059" s="15">
        <v>63</v>
      </c>
      <c r="C2059" s="15">
        <v>636</v>
      </c>
      <c r="D2059" s="15">
        <v>636</v>
      </c>
      <c r="E2059" s="15">
        <v>63614</v>
      </c>
      <c r="F2059" s="16" t="s">
        <v>2532</v>
      </c>
      <c r="G2059" s="21" t="s">
        <v>298</v>
      </c>
      <c r="H2059" s="17" t="s">
        <v>38</v>
      </c>
      <c r="I2059" s="33">
        <v>0</v>
      </c>
      <c r="J2059" s="33">
        <f>30*1</f>
        <v>30</v>
      </c>
      <c r="K2059" s="33"/>
      <c r="L2059" s="33"/>
      <c r="M2059" s="33">
        <f t="shared" si="301"/>
        <v>30</v>
      </c>
      <c r="N2059" s="33">
        <f>IF(OR(H2059="",H2059="sif",H2059="PM"),0,VLOOKUP(H2059,[5]CU!$C$4:$H$255,6,FALSE))</f>
        <v>0.3133333333333333</v>
      </c>
      <c r="O2059" s="33">
        <f t="shared" si="309"/>
        <v>0</v>
      </c>
      <c r="P2059" s="33">
        <f t="shared" si="309"/>
        <v>9.3999999999999986</v>
      </c>
      <c r="Q2059" s="33">
        <f t="shared" si="309"/>
        <v>0</v>
      </c>
      <c r="R2059" s="33">
        <f t="shared" si="309"/>
        <v>0</v>
      </c>
      <c r="S2059" s="33">
        <f t="shared" si="310"/>
        <v>9.3999999999999986</v>
      </c>
      <c r="T2059" s="35" t="s">
        <v>56</v>
      </c>
      <c r="U2059" s="18" t="s">
        <v>330</v>
      </c>
      <c r="V2059" s="18" t="str">
        <f>IF(OR($H2059="",$H2059="sif",$H2059="PM"),"",VLOOKUP($H2059,[5]CU!$C$5:$J$255,8,FALSE))</f>
        <v>3. Formation</v>
      </c>
      <c r="W2059" s="18" t="s">
        <v>331</v>
      </c>
      <c r="X2059" s="18" t="s">
        <v>331</v>
      </c>
      <c r="Y2059" s="19" t="s">
        <v>32</v>
      </c>
      <c r="Z2059" s="18" t="str">
        <f>A2059 &amp; "-" &amp; VLOOKUP(A2059,[4]PROGRAMMES!$E$1:$F$7,2,FALSE)</f>
        <v>6-Education et alphabétisation des adultes</v>
      </c>
      <c r="AA2059" s="19" t="str">
        <f>B2059 &amp; "-" &amp; VLOOKUP(B2059,[4]SOUSPROGRAMMES!$E$1:$F$44,2,FALSE)</f>
        <v xml:space="preserve">63- Amélioration de la qualité </v>
      </c>
      <c r="AB2059" s="19" t="str">
        <f>C2059 &amp; "-" &amp; VLOOKUP(C2059,[4]RESULTATS!$E$1:$F$176,2,FALSE)</f>
        <v xml:space="preserve">636- Les capacités des opérateurs d’AENF en matière de mise en œuvre des activités d'AEA sont renforcées </v>
      </c>
      <c r="AC2059" s="20" t="str">
        <f>D2059 &amp; "-" &amp; VLOOKUP(D2059,[4]STRATEGIES!$E$1:$F$504,2,FALSE)</f>
        <v>636-Identification de l'ensemble des opérateurs de l'AEA</v>
      </c>
      <c r="AD2059" s="21" t="str">
        <f t="shared" si="307"/>
        <v>63614-Validation du manuel de procédure en mode faire-faire</v>
      </c>
    </row>
    <row r="2060" spans="1:30" s="22" customFormat="1" ht="45" hidden="1" customHeight="1" x14ac:dyDescent="0.8">
      <c r="A2060" s="14">
        <v>6</v>
      </c>
      <c r="B2060" s="15">
        <v>63</v>
      </c>
      <c r="C2060" s="15">
        <v>636</v>
      </c>
      <c r="D2060" s="15">
        <v>636</v>
      </c>
      <c r="E2060" s="15">
        <v>63614</v>
      </c>
      <c r="F2060" s="16" t="s">
        <v>2533</v>
      </c>
      <c r="G2060" s="21" t="s">
        <v>451</v>
      </c>
      <c r="H2060" s="17" t="s">
        <v>45</v>
      </c>
      <c r="I2060" s="33">
        <v>0</v>
      </c>
      <c r="J2060" s="33"/>
      <c r="K2060" s="33">
        <f>(500*1.5)</f>
        <v>750</v>
      </c>
      <c r="L2060" s="33"/>
      <c r="M2060" s="33">
        <f t="shared" si="301"/>
        <v>750</v>
      </c>
      <c r="N2060" s="33">
        <f>IF(OR(H2060="",H2060="sif",H2060="PM"),0,VLOOKUP(H2060,[5]CU!$C$4:$H$255,6,FALSE))</f>
        <v>0.03</v>
      </c>
      <c r="O2060" s="33">
        <f t="shared" si="309"/>
        <v>0</v>
      </c>
      <c r="P2060" s="33">
        <f t="shared" si="309"/>
        <v>0</v>
      </c>
      <c r="Q2060" s="33">
        <f t="shared" si="309"/>
        <v>22.5</v>
      </c>
      <c r="R2060" s="33">
        <f t="shared" si="309"/>
        <v>0</v>
      </c>
      <c r="S2060" s="33">
        <f t="shared" si="310"/>
        <v>22.5</v>
      </c>
      <c r="T2060" s="35" t="s">
        <v>56</v>
      </c>
      <c r="U2060" s="18" t="s">
        <v>330</v>
      </c>
      <c r="V2060" s="18" t="str">
        <f>IF(OR($H2060="",$H2060="sif",$H2060="PM"),"",VLOOKUP($H2060,[5]CU!$C$5:$J$255,8,FALSE))</f>
        <v>3. Manuels scolaires et matériels pédagogiques</v>
      </c>
      <c r="W2060" s="18" t="s">
        <v>331</v>
      </c>
      <c r="X2060" s="18" t="s">
        <v>331</v>
      </c>
      <c r="Y2060" s="19" t="s">
        <v>32</v>
      </c>
      <c r="Z2060" s="18" t="str">
        <f>A2060 &amp; "-" &amp; VLOOKUP(A2060,[4]PROGRAMMES!$E$1:$F$7,2,FALSE)</f>
        <v>6-Education et alphabétisation des adultes</v>
      </c>
      <c r="AA2060" s="19" t="str">
        <f>B2060 &amp; "-" &amp; VLOOKUP(B2060,[4]SOUSPROGRAMMES!$E$1:$F$44,2,FALSE)</f>
        <v xml:space="preserve">63- Amélioration de la qualité </v>
      </c>
      <c r="AB2060" s="19" t="str">
        <f>C2060 &amp; "-" &amp; VLOOKUP(C2060,[4]RESULTATS!$E$1:$F$176,2,FALSE)</f>
        <v xml:space="preserve">636- Les capacités des opérateurs d’AENF en matière de mise en œuvre des activités d'AEA sont renforcées </v>
      </c>
      <c r="AC2060" s="20" t="str">
        <f>D2060 &amp; "-" &amp; VLOOKUP(D2060,[4]STRATEGIES!$E$1:$F$504,2,FALSE)</f>
        <v>636-Identification de l'ensemble des opérateurs de l'AEA</v>
      </c>
      <c r="AD2060" s="21" t="str">
        <f t="shared" si="307"/>
        <v>63614-Partage et dissémination du nouveau manuel</v>
      </c>
    </row>
    <row r="2061" spans="1:30" s="22" customFormat="1" ht="45" hidden="1" customHeight="1" x14ac:dyDescent="0.8">
      <c r="A2061" s="14">
        <v>6</v>
      </c>
      <c r="B2061" s="15">
        <v>63</v>
      </c>
      <c r="C2061" s="15">
        <v>636</v>
      </c>
      <c r="D2061" s="15">
        <v>6362</v>
      </c>
      <c r="E2061" s="15">
        <v>6362</v>
      </c>
      <c r="F2061" s="16" t="s">
        <v>2534</v>
      </c>
      <c r="G2061" s="17"/>
      <c r="H2061" s="17"/>
      <c r="I2061" s="33">
        <v>0</v>
      </c>
      <c r="J2061" s="33"/>
      <c r="K2061" s="33"/>
      <c r="L2061" s="33"/>
      <c r="M2061" s="33"/>
      <c r="N2061" s="33"/>
      <c r="O2061" s="33"/>
      <c r="P2061" s="33"/>
      <c r="Q2061" s="33"/>
      <c r="R2061" s="33"/>
      <c r="S2061" s="33"/>
      <c r="T2061" s="33"/>
      <c r="U2061" s="18"/>
      <c r="V2061" s="18"/>
      <c r="W2061" s="18"/>
      <c r="X2061" s="18"/>
      <c r="Y2061" s="18"/>
      <c r="Z2061" s="18" t="str">
        <f>A2061 &amp; "-" &amp; VLOOKUP(A2061,[4]PROGRAMMES!$E$1:$F$7,2,FALSE)</f>
        <v>6-Education et alphabétisation des adultes</v>
      </c>
      <c r="AA2061" s="19" t="str">
        <f>B2061 &amp; "-" &amp; VLOOKUP(B2061,[4]SOUSPROGRAMMES!$E$1:$F$44,2,FALSE)</f>
        <v xml:space="preserve">63- Amélioration de la qualité </v>
      </c>
      <c r="AB2061" s="19" t="str">
        <f>C2061 &amp; "-" &amp; VLOOKUP(C2061,[4]RESULTATS!$E$1:$F$176,2,FALSE)</f>
        <v xml:space="preserve">636- Les capacités des opérateurs d’AENF en matière de mise en œuvre des activités d'AEA sont renforcées </v>
      </c>
      <c r="AC2061" s="20" t="str">
        <f>D2061 &amp; "-" &amp; VLOOKUP(D2061,[4]STRATEGIES!$E$1:$F$504,2,FALSE)</f>
        <v>6362-Production de livrets et de guides</v>
      </c>
      <c r="AD2061" s="21" t="str">
        <f t="shared" si="307"/>
        <v>6362-Production de livrets et de guides</v>
      </c>
    </row>
    <row r="2062" spans="1:30" s="22" customFormat="1" ht="45" hidden="1" customHeight="1" x14ac:dyDescent="0.8">
      <c r="A2062" s="14">
        <v>6</v>
      </c>
      <c r="B2062" s="15">
        <v>63</v>
      </c>
      <c r="C2062" s="15">
        <v>636</v>
      </c>
      <c r="D2062" s="15">
        <v>6362</v>
      </c>
      <c r="E2062" s="15">
        <v>63621</v>
      </c>
      <c r="F2062" s="16" t="s">
        <v>2535</v>
      </c>
      <c r="G2062" s="21" t="s">
        <v>298</v>
      </c>
      <c r="H2062" s="17" t="s">
        <v>66</v>
      </c>
      <c r="I2062" s="33">
        <v>0</v>
      </c>
      <c r="J2062" s="33">
        <f>16*5*2</f>
        <v>160</v>
      </c>
      <c r="K2062" s="33"/>
      <c r="L2062" s="33"/>
      <c r="M2062" s="33">
        <f t="shared" si="301"/>
        <v>160</v>
      </c>
      <c r="N2062" s="33">
        <f>IF(OR(H2062="",H2062="sif",H2062="PM"),0,VLOOKUP(H2062,[5]CU!$C$4:$H$255,6,FALSE))</f>
        <v>0.255</v>
      </c>
      <c r="O2062" s="33">
        <f t="shared" si="309"/>
        <v>0</v>
      </c>
      <c r="P2062" s="33">
        <f t="shared" si="309"/>
        <v>40.799999999999997</v>
      </c>
      <c r="Q2062" s="33">
        <f t="shared" si="309"/>
        <v>0</v>
      </c>
      <c r="R2062" s="33">
        <f t="shared" si="309"/>
        <v>0</v>
      </c>
      <c r="S2062" s="33">
        <f t="shared" si="310"/>
        <v>40.799999999999997</v>
      </c>
      <c r="T2062" s="35" t="s">
        <v>56</v>
      </c>
      <c r="U2062" s="18" t="s">
        <v>330</v>
      </c>
      <c r="V2062" s="18" t="str">
        <f>IF(OR($H2062="",$H2062="sif",$H2062="PM"),"",VLOOKUP($H2062,[5]CU!$C$5:$J$255,8,FALSE))</f>
        <v>3. Dépenses de fonctionnement</v>
      </c>
      <c r="W2062" s="18" t="s">
        <v>331</v>
      </c>
      <c r="X2062" s="18" t="s">
        <v>331</v>
      </c>
      <c r="Y2062" s="19" t="s">
        <v>32</v>
      </c>
      <c r="Z2062" s="18" t="str">
        <f>A2062 &amp; "-" &amp; VLOOKUP(A2062,[4]PROGRAMMES!$E$1:$F$7,2,FALSE)</f>
        <v>6-Education et alphabétisation des adultes</v>
      </c>
      <c r="AA2062" s="19" t="str">
        <f>B2062 &amp; "-" &amp; VLOOKUP(B2062,[4]SOUSPROGRAMMES!$E$1:$F$44,2,FALSE)</f>
        <v xml:space="preserve">63- Amélioration de la qualité </v>
      </c>
      <c r="AB2062" s="19" t="str">
        <f>C2062 &amp; "-" &amp; VLOOKUP(C2062,[4]RESULTATS!$E$1:$F$176,2,FALSE)</f>
        <v xml:space="preserve">636- Les capacités des opérateurs d’AENF en matière de mise en œuvre des activités d'AEA sont renforcées </v>
      </c>
      <c r="AC2062" s="20" t="str">
        <f>D2062 &amp; "-" &amp; VLOOKUP(D2062,[4]STRATEGIES!$E$1:$F$504,2,FALSE)</f>
        <v>6362-Production de livrets et de guides</v>
      </c>
      <c r="AD2062" s="21" t="str">
        <f t="shared" si="307"/>
        <v>63621-Elaboration des livrets et guides de formation</v>
      </c>
    </row>
    <row r="2063" spans="1:30" s="22" customFormat="1" ht="45" hidden="1" customHeight="1" x14ac:dyDescent="0.8">
      <c r="A2063" s="14">
        <v>6</v>
      </c>
      <c r="B2063" s="15">
        <v>63</v>
      </c>
      <c r="C2063" s="15">
        <v>636</v>
      </c>
      <c r="D2063" s="15">
        <v>6362</v>
      </c>
      <c r="E2063" s="15">
        <v>63622</v>
      </c>
      <c r="F2063" s="16" t="s">
        <v>2536</v>
      </c>
      <c r="G2063" s="21" t="s">
        <v>298</v>
      </c>
      <c r="H2063" s="17" t="s">
        <v>38</v>
      </c>
      <c r="I2063" s="33">
        <v>0</v>
      </c>
      <c r="J2063" s="33">
        <f>30*2</f>
        <v>60</v>
      </c>
      <c r="K2063" s="33"/>
      <c r="L2063" s="33"/>
      <c r="M2063" s="33">
        <f t="shared" si="301"/>
        <v>60</v>
      </c>
      <c r="N2063" s="33">
        <f>IF(OR(H2063="",H2063="sif",H2063="PM"),0,VLOOKUP(H2063,[5]CU!$C$4:$H$255,6,FALSE))</f>
        <v>0.3133333333333333</v>
      </c>
      <c r="O2063" s="33">
        <f t="shared" si="309"/>
        <v>0</v>
      </c>
      <c r="P2063" s="33">
        <f t="shared" si="309"/>
        <v>18.799999999999997</v>
      </c>
      <c r="Q2063" s="33">
        <f t="shared" si="309"/>
        <v>0</v>
      </c>
      <c r="R2063" s="33">
        <f t="shared" si="309"/>
        <v>0</v>
      </c>
      <c r="S2063" s="33">
        <f t="shared" si="310"/>
        <v>18.799999999999997</v>
      </c>
      <c r="T2063" s="35" t="s">
        <v>56</v>
      </c>
      <c r="U2063" s="18" t="s">
        <v>330</v>
      </c>
      <c r="V2063" s="18" t="str">
        <f>IF(OR($H2063="",$H2063="sif",$H2063="PM"),"",VLOOKUP($H2063,[5]CU!$C$5:$J$255,8,FALSE))</f>
        <v>3. Formation</v>
      </c>
      <c r="W2063" s="18" t="s">
        <v>331</v>
      </c>
      <c r="X2063" s="18" t="s">
        <v>331</v>
      </c>
      <c r="Y2063" s="19" t="s">
        <v>32</v>
      </c>
      <c r="Z2063" s="18" t="str">
        <f>A2063 &amp; "-" &amp; VLOOKUP(A2063,[4]PROGRAMMES!$E$1:$F$7,2,FALSE)</f>
        <v>6-Education et alphabétisation des adultes</v>
      </c>
      <c r="AA2063" s="19" t="str">
        <f>B2063 &amp; "-" &amp; VLOOKUP(B2063,[4]SOUSPROGRAMMES!$E$1:$F$44,2,FALSE)</f>
        <v xml:space="preserve">63- Amélioration de la qualité </v>
      </c>
      <c r="AB2063" s="19" t="str">
        <f>C2063 &amp; "-" &amp; VLOOKUP(C2063,[4]RESULTATS!$E$1:$F$176,2,FALSE)</f>
        <v xml:space="preserve">636- Les capacités des opérateurs d’AENF en matière de mise en œuvre des activités d'AEA sont renforcées </v>
      </c>
      <c r="AC2063" s="20" t="str">
        <f>D2063 &amp; "-" &amp; VLOOKUP(D2063,[4]STRATEGIES!$E$1:$F$504,2,FALSE)</f>
        <v>6362-Production de livrets et de guides</v>
      </c>
      <c r="AD2063" s="21" t="str">
        <f t="shared" si="307"/>
        <v>63622- Validation des livrets</v>
      </c>
    </row>
    <row r="2064" spans="1:30" s="22" customFormat="1" ht="45" hidden="1" customHeight="1" x14ac:dyDescent="0.8">
      <c r="A2064" s="14">
        <v>6</v>
      </c>
      <c r="B2064" s="15">
        <v>63</v>
      </c>
      <c r="C2064" s="15">
        <v>636</v>
      </c>
      <c r="D2064" s="15">
        <v>6363</v>
      </c>
      <c r="E2064" s="15">
        <v>6363</v>
      </c>
      <c r="F2064" s="16" t="s">
        <v>2537</v>
      </c>
      <c r="G2064" s="17"/>
      <c r="H2064" s="17"/>
      <c r="I2064" s="33">
        <v>0</v>
      </c>
      <c r="J2064" s="33"/>
      <c r="K2064" s="33"/>
      <c r="L2064" s="33"/>
      <c r="M2064" s="33"/>
      <c r="N2064" s="33"/>
      <c r="O2064" s="33"/>
      <c r="P2064" s="33"/>
      <c r="Q2064" s="33"/>
      <c r="R2064" s="33"/>
      <c r="S2064" s="33"/>
      <c r="T2064" s="33"/>
      <c r="U2064" s="18"/>
      <c r="V2064" s="18"/>
      <c r="W2064" s="18"/>
      <c r="X2064" s="18"/>
      <c r="Y2064" s="18"/>
      <c r="Z2064" s="18" t="str">
        <f>A2064 &amp; "-" &amp; VLOOKUP(A2064,[4]PROGRAMMES!$E$1:$F$7,2,FALSE)</f>
        <v>6-Education et alphabétisation des adultes</v>
      </c>
      <c r="AA2064" s="19" t="str">
        <f>B2064 &amp; "-" &amp; VLOOKUP(B2064,[4]SOUSPROGRAMMES!$E$1:$F$44,2,FALSE)</f>
        <v xml:space="preserve">63- Amélioration de la qualité </v>
      </c>
      <c r="AB2064" s="19" t="str">
        <f>C2064 &amp; "-" &amp; VLOOKUP(C2064,[4]RESULTATS!$E$1:$F$176,2,FALSE)</f>
        <v xml:space="preserve">636- Les capacités des opérateurs d’AENF en matière de mise en œuvre des activités d'AEA sont renforcées </v>
      </c>
      <c r="AC2064" s="20" t="str">
        <f>D2064 &amp; "-" &amp; VLOOKUP(D2064,[4]STRATEGIES!$E$1:$F$504,2,FALSE)</f>
        <v>6363-Financement des activités d'AENF pour les operateurs</v>
      </c>
      <c r="AD2064" s="21" t="str">
        <f t="shared" si="307"/>
        <v>6363-Financement des activités d'AENF pour les operateurs</v>
      </c>
    </row>
    <row r="2065" spans="1:30" s="22" customFormat="1" ht="45" hidden="1" customHeight="1" x14ac:dyDescent="0.8">
      <c r="A2065" s="14">
        <v>6</v>
      </c>
      <c r="B2065" s="15">
        <v>63</v>
      </c>
      <c r="C2065" s="15">
        <v>636</v>
      </c>
      <c r="D2065" s="15">
        <v>6363</v>
      </c>
      <c r="E2065" s="15">
        <v>63631</v>
      </c>
      <c r="F2065" s="16" t="s">
        <v>2538</v>
      </c>
      <c r="G2065" s="21" t="s">
        <v>2539</v>
      </c>
      <c r="H2065" s="17" t="s">
        <v>816</v>
      </c>
      <c r="I2065" s="33">
        <v>0</v>
      </c>
      <c r="J2065" s="33">
        <f>200</f>
        <v>200</v>
      </c>
      <c r="K2065" s="33">
        <v>200</v>
      </c>
      <c r="L2065" s="33">
        <v>200</v>
      </c>
      <c r="M2065" s="33">
        <f t="shared" si="301"/>
        <v>600</v>
      </c>
      <c r="N2065" s="33">
        <f>IF(OR(H2065="",H2065="sif",H2065="PM"),0,VLOOKUP(H2065,[5]CU!$C$4:$H$255,6,FALSE))</f>
        <v>7.4999999999999997E-3</v>
      </c>
      <c r="O2065" s="33">
        <f t="shared" si="309"/>
        <v>0</v>
      </c>
      <c r="P2065" s="33">
        <f t="shared" si="309"/>
        <v>1.5</v>
      </c>
      <c r="Q2065" s="33">
        <f t="shared" si="309"/>
        <v>1.5</v>
      </c>
      <c r="R2065" s="33">
        <f t="shared" si="309"/>
        <v>1.5</v>
      </c>
      <c r="S2065" s="33">
        <f t="shared" si="310"/>
        <v>4.5</v>
      </c>
      <c r="T2065" s="35" t="s">
        <v>56</v>
      </c>
      <c r="U2065" s="18" t="s">
        <v>330</v>
      </c>
      <c r="V2065" s="18" t="str">
        <f>IF(OR($H2065="",$H2065="sif",$H2065="PM"),"",VLOOKUP($H2065,[5]CU!$C$5:$J$255,8,FALSE))</f>
        <v>3. Dépenses de fonctionnement</v>
      </c>
      <c r="W2065" s="18" t="s">
        <v>331</v>
      </c>
      <c r="X2065" s="18" t="s">
        <v>521</v>
      </c>
      <c r="Y2065" s="19" t="s">
        <v>32</v>
      </c>
      <c r="Z2065" s="18" t="str">
        <f>A2065 &amp; "-" &amp; VLOOKUP(A2065,[4]PROGRAMMES!$E$1:$F$7,2,FALSE)</f>
        <v>6-Education et alphabétisation des adultes</v>
      </c>
      <c r="AA2065" s="19" t="str">
        <f>B2065 &amp; "-" &amp; VLOOKUP(B2065,[4]SOUSPROGRAMMES!$E$1:$F$44,2,FALSE)</f>
        <v xml:space="preserve">63- Amélioration de la qualité </v>
      </c>
      <c r="AB2065" s="19" t="str">
        <f>C2065 &amp; "-" &amp; VLOOKUP(C2065,[4]RESULTATS!$E$1:$F$176,2,FALSE)</f>
        <v xml:space="preserve">636- Les capacités des opérateurs d’AENF en matière de mise en œuvre des activités d'AEA sont renforcées </v>
      </c>
      <c r="AC2065" s="20" t="str">
        <f>D2065 &amp; "-" &amp; VLOOKUP(D2065,[4]STRATEGIES!$E$1:$F$504,2,FALSE)</f>
        <v>6363-Financement des activités d'AENF pour les operateurs</v>
      </c>
      <c r="AD2065" s="21" t="str">
        <f t="shared" si="307"/>
        <v>63631-appel d'offres pour le choix des opérateurs</v>
      </c>
    </row>
    <row r="2066" spans="1:30" s="22" customFormat="1" ht="45" hidden="1" customHeight="1" x14ac:dyDescent="0.8">
      <c r="A2066" s="14">
        <v>6</v>
      </c>
      <c r="B2066" s="15">
        <v>63</v>
      </c>
      <c r="C2066" s="15">
        <v>636</v>
      </c>
      <c r="D2066" s="15">
        <v>6363</v>
      </c>
      <c r="E2066" s="15">
        <v>63632</v>
      </c>
      <c r="F2066" s="16" t="s">
        <v>2540</v>
      </c>
      <c r="G2066" s="21" t="s">
        <v>88</v>
      </c>
      <c r="H2066" s="17" t="s">
        <v>55</v>
      </c>
      <c r="I2066" s="33">
        <v>0</v>
      </c>
      <c r="J2066" s="33">
        <f>1*1*1</f>
        <v>1</v>
      </c>
      <c r="K2066" s="33">
        <v>1</v>
      </c>
      <c r="L2066" s="33">
        <v>1</v>
      </c>
      <c r="M2066" s="33">
        <f t="shared" si="301"/>
        <v>3</v>
      </c>
      <c r="N2066" s="33">
        <f>IF(OR(H2066="",H2066="sif",H2066="PM"),0,VLOOKUP(H2066,[5]CU!$C$4:$H$255,6,FALSE))</f>
        <v>0</v>
      </c>
      <c r="O2066" s="33"/>
      <c r="P2066" s="33"/>
      <c r="Q2066" s="33"/>
      <c r="R2066" s="33"/>
      <c r="S2066" s="33"/>
      <c r="T2066" s="35" t="s">
        <v>56</v>
      </c>
      <c r="U2066" s="18" t="s">
        <v>330</v>
      </c>
      <c r="V2066" s="18" t="str">
        <f>IF(OR($H2066="",$H2066="sif",$H2066="PM"),"",VLOOKUP($H2066,[5]CU!$C$5:$J$255,8,FALSE))</f>
        <v/>
      </c>
      <c r="W2066" s="18" t="s">
        <v>331</v>
      </c>
      <c r="X2066" s="18" t="s">
        <v>521</v>
      </c>
      <c r="Y2066" s="19" t="s">
        <v>32</v>
      </c>
      <c r="Z2066" s="18" t="str">
        <f>A2066 &amp; "-" &amp; VLOOKUP(A2066,[4]PROGRAMMES!$E$1:$F$7,2,FALSE)</f>
        <v>6-Education et alphabétisation des adultes</v>
      </c>
      <c r="AA2066" s="19" t="str">
        <f>B2066 &amp; "-" &amp; VLOOKUP(B2066,[4]SOUSPROGRAMMES!$E$1:$F$44,2,FALSE)</f>
        <v xml:space="preserve">63- Amélioration de la qualité </v>
      </c>
      <c r="AB2066" s="19" t="str">
        <f>C2066 &amp; "-" &amp; VLOOKUP(C2066,[4]RESULTATS!$E$1:$F$176,2,FALSE)</f>
        <v xml:space="preserve">636- Les capacités des opérateurs d’AENF en matière de mise en œuvre des activités d'AEA sont renforcées </v>
      </c>
      <c r="AC2066" s="20" t="str">
        <f>D2066 &amp; "-" &amp; VLOOKUP(D2066,[4]STRATEGIES!$E$1:$F$504,2,FALSE)</f>
        <v>6363-Financement des activités d'AENF pour les operateurs</v>
      </c>
      <c r="AD2066" s="21" t="str">
        <f t="shared" si="307"/>
        <v>63632-Choix des opérateurs et signature des contrats</v>
      </c>
    </row>
    <row r="2067" spans="1:30" s="22" customFormat="1" ht="30" hidden="1" customHeight="1" x14ac:dyDescent="0.8">
      <c r="A2067" s="14">
        <v>6</v>
      </c>
      <c r="B2067" s="15">
        <v>63</v>
      </c>
      <c r="C2067" s="15">
        <v>637</v>
      </c>
      <c r="D2067" s="15">
        <v>637</v>
      </c>
      <c r="E2067" s="15">
        <v>637</v>
      </c>
      <c r="F2067" s="16" t="s">
        <v>2541</v>
      </c>
      <c r="G2067" s="17"/>
      <c r="H2067" s="17"/>
      <c r="I2067" s="33">
        <v>0</v>
      </c>
      <c r="J2067" s="33"/>
      <c r="K2067" s="33"/>
      <c r="L2067" s="33"/>
      <c r="M2067" s="33"/>
      <c r="N2067" s="33"/>
      <c r="O2067" s="33"/>
      <c r="P2067" s="33"/>
      <c r="Q2067" s="33"/>
      <c r="R2067" s="33"/>
      <c r="S2067" s="33"/>
      <c r="T2067" s="33"/>
      <c r="U2067" s="18"/>
      <c r="V2067" s="18"/>
      <c r="W2067" s="18"/>
      <c r="X2067" s="18"/>
      <c r="Y2067" s="18"/>
      <c r="Z2067" s="18" t="str">
        <f>A2067 &amp; "-" &amp; VLOOKUP(A2067,[4]PROGRAMMES!$E$1:$F$7,2,FALSE)</f>
        <v>6-Education et alphabétisation des adultes</v>
      </c>
      <c r="AA2067" s="19" t="str">
        <f>B2067 &amp; "-" &amp; VLOOKUP(B2067,[4]SOUSPROGRAMMES!$E$1:$F$44,2,FALSE)</f>
        <v xml:space="preserve">63- Amélioration de la qualité </v>
      </c>
      <c r="AB2067" s="19" t="str">
        <f>C2067 &amp; "-" &amp; VLOOKUP(C2067,[4]RESULTATS!$E$1:$F$176,2,FALSE)</f>
        <v xml:space="preserve">637-Le matériel didactique approprié est disponible en quantité suffisante </v>
      </c>
      <c r="AC2067" s="20" t="str">
        <f>D2067 &amp; "-" &amp; VLOOKUP(D2067,[4]STRATEGIES!$E$1:$F$504,2,FALSE)</f>
        <v xml:space="preserve">637-Le matériel didactique approprié est disponible en quantité suffisante </v>
      </c>
      <c r="AD2067" s="21" t="str">
        <f t="shared" si="307"/>
        <v xml:space="preserve">637-Le matériel didactique approprié est disponible en quantité suffisante </v>
      </c>
    </row>
    <row r="2068" spans="1:30" s="22" customFormat="1" ht="30" hidden="1" customHeight="1" x14ac:dyDescent="0.8">
      <c r="A2068" s="14">
        <v>6</v>
      </c>
      <c r="B2068" s="15">
        <v>63</v>
      </c>
      <c r="C2068" s="15">
        <v>637</v>
      </c>
      <c r="D2068" s="15">
        <v>6371</v>
      </c>
      <c r="E2068" s="15">
        <v>6371</v>
      </c>
      <c r="F2068" s="16" t="s">
        <v>2542</v>
      </c>
      <c r="G2068" s="17"/>
      <c r="H2068" s="17"/>
      <c r="I2068" s="33">
        <v>0</v>
      </c>
      <c r="J2068" s="33"/>
      <c r="K2068" s="33"/>
      <c r="L2068" s="33"/>
      <c r="M2068" s="33"/>
      <c r="N2068" s="33"/>
      <c r="O2068" s="33"/>
      <c r="P2068" s="33"/>
      <c r="Q2068" s="33"/>
      <c r="R2068" s="33"/>
      <c r="S2068" s="33"/>
      <c r="T2068" s="33"/>
      <c r="U2068" s="18"/>
      <c r="V2068" s="18"/>
      <c r="W2068" s="18"/>
      <c r="X2068" s="18"/>
      <c r="Y2068" s="18"/>
      <c r="Z2068" s="18" t="str">
        <f>A2068 &amp; "-" &amp; VLOOKUP(A2068,[4]PROGRAMMES!$E$1:$F$7,2,FALSE)</f>
        <v>6-Education et alphabétisation des adultes</v>
      </c>
      <c r="AA2068" s="19" t="str">
        <f>B2068 &amp; "-" &amp; VLOOKUP(B2068,[4]SOUSPROGRAMMES!$E$1:$F$44,2,FALSE)</f>
        <v xml:space="preserve">63- Amélioration de la qualité </v>
      </c>
      <c r="AB2068" s="19" t="str">
        <f>C2068 &amp; "-" &amp; VLOOKUP(C2068,[4]RESULTATS!$E$1:$F$176,2,FALSE)</f>
        <v xml:space="preserve">637-Le matériel didactique approprié est disponible en quantité suffisante </v>
      </c>
      <c r="AC2068" s="20" t="str">
        <f>D2068 &amp; "-" &amp; VLOOKUP(D2068,[4]STRATEGIES!$E$1:$F$504,2,FALSE)</f>
        <v>6371-Acquisition et distribution de matériel didactique</v>
      </c>
      <c r="AD2068" s="21" t="str">
        <f t="shared" si="307"/>
        <v>6371-Acquisition et distribution de matériel didactique</v>
      </c>
    </row>
    <row r="2069" spans="1:30" s="22" customFormat="1" ht="45" hidden="1" customHeight="1" x14ac:dyDescent="0.8">
      <c r="A2069" s="14">
        <v>6</v>
      </c>
      <c r="B2069" s="15">
        <v>63</v>
      </c>
      <c r="C2069" s="15">
        <v>637</v>
      </c>
      <c r="D2069" s="15">
        <v>6371</v>
      </c>
      <c r="E2069" s="15">
        <v>63721</v>
      </c>
      <c r="F2069" s="16" t="s">
        <v>2543</v>
      </c>
      <c r="G2069" s="21" t="s">
        <v>2544</v>
      </c>
      <c r="H2069" s="17" t="s">
        <v>2545</v>
      </c>
      <c r="I2069" s="33">
        <v>0</v>
      </c>
      <c r="J2069" s="33">
        <f>((1+2)*(J1999+J2000)/50)*96.01%</f>
        <v>163.35448632000001</v>
      </c>
      <c r="K2069" s="33">
        <f>((1+2)*(K1999+K2000)/50)*96.01%</f>
        <v>272.25747719999998</v>
      </c>
      <c r="L2069" s="33">
        <f>((1+2)*(L1999+L2000)/50)*96.01%</f>
        <v>272.25747719999998</v>
      </c>
      <c r="M2069" s="33">
        <f>SUM(I2069:L2069)</f>
        <v>707.86944072000006</v>
      </c>
      <c r="N2069" s="33">
        <f>IF(OR(H2069="",H2069="sif",H2069="PM"),0,VLOOKUP(H2069,[5]CU!$C$4:$H$255,6,FALSE))</f>
        <v>1.7999999999999999E-2</v>
      </c>
      <c r="O2069" s="33">
        <f>$N2069*I2069</f>
        <v>0</v>
      </c>
      <c r="P2069" s="33">
        <f>$N2069*J2069</f>
        <v>2.94038075376</v>
      </c>
      <c r="Q2069" s="33">
        <f>$N2069*K2069</f>
        <v>4.9006345895999992</v>
      </c>
      <c r="R2069" s="33">
        <f>$N2069*L2069</f>
        <v>4.9006345895999992</v>
      </c>
      <c r="S2069" s="33">
        <f>SUM(O2069:R2069)</f>
        <v>12.741649932959998</v>
      </c>
      <c r="T2069" s="35" t="s">
        <v>56</v>
      </c>
      <c r="U2069" s="18" t="s">
        <v>330</v>
      </c>
      <c r="V2069" s="18" t="str">
        <f>IF(OR($H2069="",$H2069="sif",$H2069="PM"),"",VLOOKUP($H2069,[5]CU!$C$5:$J$255,8,FALSE))</f>
        <v>3. Manuels scolaires et matériels pédagogiques</v>
      </c>
      <c r="W2069" s="18" t="s">
        <v>331</v>
      </c>
      <c r="X2069" s="18" t="s">
        <v>521</v>
      </c>
      <c r="Y2069" s="19" t="s">
        <v>32</v>
      </c>
      <c r="Z2069" s="18" t="str">
        <f>A2069 &amp; "-" &amp; VLOOKUP(A2069,[4]PROGRAMMES!$E$1:$F$7,2,FALSE)</f>
        <v>6-Education et alphabétisation des adultes</v>
      </c>
      <c r="AA2069" s="19" t="str">
        <f>B2069 &amp; "-" &amp; VLOOKUP(B2069,[4]SOUSPROGRAMMES!$E$1:$F$44,2,FALSE)</f>
        <v xml:space="preserve">63- Amélioration de la qualité </v>
      </c>
      <c r="AB2069" s="19" t="str">
        <f>C2069 &amp; "-" &amp; VLOOKUP(C2069,[4]RESULTATS!$E$1:$F$176,2,FALSE)</f>
        <v xml:space="preserve">637-Le matériel didactique approprié est disponible en quantité suffisante </v>
      </c>
      <c r="AC2069" s="20" t="str">
        <f>D2069 &amp; "-" &amp; VLOOKUP(D2069,[4]STRATEGIES!$E$1:$F$504,2,FALSE)</f>
        <v>6371-Acquisition et distribution de matériel didactique</v>
      </c>
      <c r="AD2069" s="21" t="str">
        <f t="shared" si="307"/>
        <v>63721-Acquisition et distribution de manuels et guides pour les alphabétiseurs</v>
      </c>
    </row>
    <row r="2070" spans="1:30" s="22" customFormat="1" ht="45" hidden="1" customHeight="1" x14ac:dyDescent="0.8">
      <c r="A2070" s="14">
        <v>6</v>
      </c>
      <c r="B2070" s="15">
        <v>63</v>
      </c>
      <c r="C2070" s="15">
        <v>637</v>
      </c>
      <c r="D2070" s="15">
        <v>6371</v>
      </c>
      <c r="E2070" s="15">
        <v>63721</v>
      </c>
      <c r="F2070" s="16" t="s">
        <v>2543</v>
      </c>
      <c r="G2070" s="21" t="s">
        <v>2544</v>
      </c>
      <c r="H2070" s="17" t="s">
        <v>2545</v>
      </c>
      <c r="I2070" s="33">
        <v>0</v>
      </c>
      <c r="J2070" s="33">
        <f>((1+2)*(J1999+J2000)/50)*3.99%</f>
        <v>6.7887136800000007</v>
      </c>
      <c r="K2070" s="33">
        <f>((1+2)*(K1999+K2000)/50)*3.99%</f>
        <v>11.314522799999999</v>
      </c>
      <c r="L2070" s="33">
        <f>((1+2)*(L1999+L2000)/50)*3.99%</f>
        <v>11.314522799999999</v>
      </c>
      <c r="M2070" s="33">
        <f t="shared" si="301"/>
        <v>29.417759279999999</v>
      </c>
      <c r="N2070" s="33">
        <f>IF(OR(H2070="",H2070="sif",H2070="PM"),0,VLOOKUP(H2070,[5]CU!$C$4:$H$255,6,FALSE))</f>
        <v>1.7999999999999999E-2</v>
      </c>
      <c r="O2070" s="33">
        <f t="shared" ref="O2070:R2082" si="311">$N2070*I2070</f>
        <v>0</v>
      </c>
      <c r="P2070" s="33">
        <f t="shared" si="311"/>
        <v>0.12219684624</v>
      </c>
      <c r="Q2070" s="33">
        <f t="shared" si="311"/>
        <v>0.20366141039999996</v>
      </c>
      <c r="R2070" s="33">
        <f t="shared" si="311"/>
        <v>0.20366141039999996</v>
      </c>
      <c r="S2070" s="33">
        <f t="shared" ref="S2070:S2082" si="312">SUM(O2070:R2070)</f>
        <v>0.52951966703999997</v>
      </c>
      <c r="T2070" s="35" t="s">
        <v>118</v>
      </c>
      <c r="U2070" s="18" t="s">
        <v>330</v>
      </c>
      <c r="V2070" s="18" t="str">
        <f>IF(OR($H2070="",$H2070="sif",$H2070="PM"),"",VLOOKUP($H2070,[5]CU!$C$5:$J$255,8,FALSE))</f>
        <v>3. Manuels scolaires et matériels pédagogiques</v>
      </c>
      <c r="W2070" s="18" t="s">
        <v>331</v>
      </c>
      <c r="X2070" s="18" t="s">
        <v>521</v>
      </c>
      <c r="Y2070" s="19" t="s">
        <v>32</v>
      </c>
      <c r="Z2070" s="18" t="str">
        <f>A2070 &amp; "-" &amp; VLOOKUP(A2070,[4]PROGRAMMES!$E$1:$F$7,2,FALSE)</f>
        <v>6-Education et alphabétisation des adultes</v>
      </c>
      <c r="AA2070" s="19" t="str">
        <f>B2070 &amp; "-" &amp; VLOOKUP(B2070,[4]SOUSPROGRAMMES!$E$1:$F$44,2,FALSE)</f>
        <v xml:space="preserve">63- Amélioration de la qualité </v>
      </c>
      <c r="AB2070" s="19" t="str">
        <f>C2070 &amp; "-" &amp; VLOOKUP(C2070,[4]RESULTATS!$E$1:$F$176,2,FALSE)</f>
        <v xml:space="preserve">637-Le matériel didactique approprié est disponible en quantité suffisante </v>
      </c>
      <c r="AC2070" s="20" t="str">
        <f>D2070 &amp; "-" &amp; VLOOKUP(D2070,[4]STRATEGIES!$E$1:$F$504,2,FALSE)</f>
        <v>6371-Acquisition et distribution de matériel didactique</v>
      </c>
      <c r="AD2070" s="21" t="str">
        <f t="shared" si="307"/>
        <v>63721-Acquisition et distribution de manuels et guides pour les alphabétiseurs</v>
      </c>
    </row>
    <row r="2071" spans="1:30" s="22" customFormat="1" ht="30" hidden="1" customHeight="1" x14ac:dyDescent="0.8">
      <c r="A2071" s="14">
        <v>6</v>
      </c>
      <c r="B2071" s="15">
        <v>63</v>
      </c>
      <c r="C2071" s="15">
        <v>637</v>
      </c>
      <c r="D2071" s="15">
        <v>6371</v>
      </c>
      <c r="E2071" s="15">
        <v>63722</v>
      </c>
      <c r="F2071" s="16" t="s">
        <v>2546</v>
      </c>
      <c r="G2071" s="21" t="s">
        <v>2547</v>
      </c>
      <c r="H2071" s="17" t="s">
        <v>2548</v>
      </c>
      <c r="I2071" s="33">
        <v>0</v>
      </c>
      <c r="J2071" s="33">
        <f>((J1999+J2000)*3)*96.01%</f>
        <v>8167.7243160000007</v>
      </c>
      <c r="K2071" s="33">
        <f>((K1999+K2000)*3)*96.01%</f>
        <v>13612.87386</v>
      </c>
      <c r="L2071" s="33">
        <f>((L1999+L2000)*3)*96.01%</f>
        <v>13612.87386</v>
      </c>
      <c r="M2071" s="33">
        <f>SUM(I2071:L2071)</f>
        <v>35393.472035999999</v>
      </c>
      <c r="N2071" s="33">
        <f>IF(OR(H2071="",H2071="sif",H2071="PM"),0,VLOOKUP(H2071,[5]CU!$C$4:$H$255,6,FALSE))</f>
        <v>1.7999999999999999E-2</v>
      </c>
      <c r="O2071" s="33">
        <f>$N2071*I2071</f>
        <v>0</v>
      </c>
      <c r="P2071" s="33">
        <f>$N2071*J2071</f>
        <v>147.019037688</v>
      </c>
      <c r="Q2071" s="33">
        <f>$N2071*K2071</f>
        <v>245.03172947999997</v>
      </c>
      <c r="R2071" s="33">
        <f>$N2071*L2071</f>
        <v>245.03172947999997</v>
      </c>
      <c r="S2071" s="33">
        <f>SUM(O2071:R2071)</f>
        <v>637.08249664799996</v>
      </c>
      <c r="T2071" s="35" t="s">
        <v>56</v>
      </c>
      <c r="U2071" s="18" t="s">
        <v>330</v>
      </c>
      <c r="V2071" s="18" t="str">
        <f>IF(OR($H2071="",$H2071="sif",$H2071="PM"),"",VLOOKUP($H2071,[5]CU!$C$5:$J$255,8,FALSE))</f>
        <v>3. Manuels scolaires et matériels pédagogiques</v>
      </c>
      <c r="W2071" s="18" t="s">
        <v>331</v>
      </c>
      <c r="X2071" s="18" t="s">
        <v>521</v>
      </c>
      <c r="Y2071" s="19" t="s">
        <v>32</v>
      </c>
      <c r="Z2071" s="18" t="str">
        <f>A2071 &amp; "-" &amp; VLOOKUP(A2071,[4]PROGRAMMES!$E$1:$F$7,2,FALSE)</f>
        <v>6-Education et alphabétisation des adultes</v>
      </c>
      <c r="AA2071" s="19" t="str">
        <f>B2071 &amp; "-" &amp; VLOOKUP(B2071,[4]SOUSPROGRAMMES!$E$1:$F$44,2,FALSE)</f>
        <v xml:space="preserve">63- Amélioration de la qualité </v>
      </c>
      <c r="AB2071" s="19" t="str">
        <f>C2071 &amp; "-" &amp; VLOOKUP(C2071,[4]RESULTATS!$E$1:$F$176,2,FALSE)</f>
        <v xml:space="preserve">637-Le matériel didactique approprié est disponible en quantité suffisante </v>
      </c>
      <c r="AC2071" s="20" t="str">
        <f>D2071 &amp; "-" &amp; VLOOKUP(D2071,[4]STRATEGIES!$E$1:$F$504,2,FALSE)</f>
        <v>6371-Acquisition et distribution de matériel didactique</v>
      </c>
      <c r="AD2071" s="21" t="str">
        <f t="shared" si="307"/>
        <v>63722-Acquisition de livrets pour les apprenants</v>
      </c>
    </row>
    <row r="2072" spans="1:30" s="22" customFormat="1" ht="30" hidden="1" customHeight="1" x14ac:dyDescent="0.8">
      <c r="A2072" s="14">
        <v>6</v>
      </c>
      <c r="B2072" s="15">
        <v>63</v>
      </c>
      <c r="C2072" s="15">
        <v>637</v>
      </c>
      <c r="D2072" s="15">
        <v>6371</v>
      </c>
      <c r="E2072" s="15">
        <v>63722</v>
      </c>
      <c r="F2072" s="16" t="s">
        <v>2546</v>
      </c>
      <c r="G2072" s="21" t="s">
        <v>2547</v>
      </c>
      <c r="H2072" s="17" t="s">
        <v>2548</v>
      </c>
      <c r="I2072" s="33">
        <v>0</v>
      </c>
      <c r="J2072" s="33">
        <f>((J1999+J2000)*3)*3.99%</f>
        <v>339.43568400000004</v>
      </c>
      <c r="K2072" s="33">
        <f>((K1999+K2000)*3)*3.99%</f>
        <v>565.72613999999999</v>
      </c>
      <c r="L2072" s="33">
        <f>((L1999+L2000)*3)*3.99%</f>
        <v>565.72613999999999</v>
      </c>
      <c r="M2072" s="33">
        <f t="shared" si="301"/>
        <v>1470.887964</v>
      </c>
      <c r="N2072" s="33">
        <f>IF(OR(H2072="",H2072="sif",H2072="PM"),0,VLOOKUP(H2072,[5]CU!$C$4:$H$255,6,FALSE))</f>
        <v>1.7999999999999999E-2</v>
      </c>
      <c r="O2072" s="33">
        <f t="shared" si="311"/>
        <v>0</v>
      </c>
      <c r="P2072" s="33">
        <f t="shared" si="311"/>
        <v>6.1098423120000005</v>
      </c>
      <c r="Q2072" s="33">
        <f t="shared" si="311"/>
        <v>10.183070519999999</v>
      </c>
      <c r="R2072" s="33">
        <f t="shared" si="311"/>
        <v>10.183070519999999</v>
      </c>
      <c r="S2072" s="33">
        <f t="shared" si="312"/>
        <v>26.475983352</v>
      </c>
      <c r="T2072" s="35" t="s">
        <v>118</v>
      </c>
      <c r="U2072" s="18" t="s">
        <v>330</v>
      </c>
      <c r="V2072" s="18" t="str">
        <f>IF(OR($H2072="",$H2072="sif",$H2072="PM"),"",VLOOKUP($H2072,[5]CU!$C$5:$J$255,8,FALSE))</f>
        <v>3. Manuels scolaires et matériels pédagogiques</v>
      </c>
      <c r="W2072" s="18" t="s">
        <v>331</v>
      </c>
      <c r="X2072" s="18" t="s">
        <v>521</v>
      </c>
      <c r="Y2072" s="19" t="s">
        <v>32</v>
      </c>
      <c r="Z2072" s="18" t="str">
        <f>A2072 &amp; "-" &amp; VLOOKUP(A2072,[4]PROGRAMMES!$E$1:$F$7,2,FALSE)</f>
        <v>6-Education et alphabétisation des adultes</v>
      </c>
      <c r="AA2072" s="19" t="str">
        <f>B2072 &amp; "-" &amp; VLOOKUP(B2072,[4]SOUSPROGRAMMES!$E$1:$F$44,2,FALSE)</f>
        <v xml:space="preserve">63- Amélioration de la qualité </v>
      </c>
      <c r="AB2072" s="19" t="str">
        <f>C2072 &amp; "-" &amp; VLOOKUP(C2072,[4]RESULTATS!$E$1:$F$176,2,FALSE)</f>
        <v xml:space="preserve">637-Le matériel didactique approprié est disponible en quantité suffisante </v>
      </c>
      <c r="AC2072" s="20" t="str">
        <f>D2072 &amp; "-" &amp; VLOOKUP(D2072,[4]STRATEGIES!$E$1:$F$504,2,FALSE)</f>
        <v>6371-Acquisition et distribution de matériel didactique</v>
      </c>
      <c r="AD2072" s="21" t="str">
        <f t="shared" si="307"/>
        <v>63722-Acquisition de livrets pour les apprenants</v>
      </c>
    </row>
    <row r="2073" spans="1:30" s="22" customFormat="1" ht="45" hidden="1" customHeight="1" x14ac:dyDescent="0.8">
      <c r="A2073" s="14">
        <v>6</v>
      </c>
      <c r="B2073" s="15">
        <v>63</v>
      </c>
      <c r="C2073" s="15">
        <v>638</v>
      </c>
      <c r="D2073" s="15">
        <v>638</v>
      </c>
      <c r="E2073" s="15">
        <v>638</v>
      </c>
      <c r="F2073" s="16" t="s">
        <v>2549</v>
      </c>
      <c r="G2073" s="17"/>
      <c r="H2073" s="17"/>
      <c r="I2073" s="33">
        <v>0</v>
      </c>
      <c r="J2073" s="33"/>
      <c r="K2073" s="33"/>
      <c r="L2073" s="33"/>
      <c r="M2073" s="33"/>
      <c r="N2073" s="33"/>
      <c r="O2073" s="33"/>
      <c r="P2073" s="33"/>
      <c r="Q2073" s="33"/>
      <c r="R2073" s="33"/>
      <c r="S2073" s="33"/>
      <c r="T2073" s="33"/>
      <c r="U2073" s="18"/>
      <c r="V2073" s="18"/>
      <c r="W2073" s="18"/>
      <c r="X2073" s="18"/>
      <c r="Y2073" s="18"/>
      <c r="Z2073" s="18" t="str">
        <f>A2073 &amp; "-" &amp; VLOOKUP(A2073,[4]PROGRAMMES!$E$1:$F$7,2,FALSE)</f>
        <v>6-Education et alphabétisation des adultes</v>
      </c>
      <c r="AA2073" s="19" t="str">
        <f>B2073 &amp; "-" &amp; VLOOKUP(B2073,[4]SOUSPROGRAMMES!$E$1:$F$44,2,FALSE)</f>
        <v xml:space="preserve">63- Amélioration de la qualité </v>
      </c>
      <c r="AB2073" s="19" t="str">
        <f>C2073 &amp; "-" &amp; VLOOKUP(C2073,[4]RESULTATS!$E$1:$F$176,2,FALSE)</f>
        <v xml:space="preserve">638- Le suivi évaluation des activités d'AEA est amélioré et systématisé au niveau central et déconcentré </v>
      </c>
      <c r="AC2073" s="20" t="str">
        <f>D2073 &amp; "-" &amp; VLOOKUP(D2073,[4]STRATEGIES!$E$1:$F$504,2,FALSE)</f>
        <v xml:space="preserve">638- Le suivi évaluation des activités d'AEA est amélioré et systématisé au niveau central et déconcentré </v>
      </c>
      <c r="AD2073" s="21" t="str">
        <f t="shared" si="307"/>
        <v xml:space="preserve">638- Le suivi évaluation des activités d'AEA est amélioré et systématisé au niveau central et déconcentré </v>
      </c>
    </row>
    <row r="2074" spans="1:30" s="22" customFormat="1" ht="45" hidden="1" customHeight="1" x14ac:dyDescent="0.8">
      <c r="A2074" s="14">
        <v>6</v>
      </c>
      <c r="B2074" s="15">
        <v>63</v>
      </c>
      <c r="C2074" s="15">
        <v>638</v>
      </c>
      <c r="D2074" s="15">
        <v>6381</v>
      </c>
      <c r="E2074" s="15">
        <v>6381</v>
      </c>
      <c r="F2074" s="16" t="s">
        <v>2550</v>
      </c>
      <c r="G2074" s="17"/>
      <c r="H2074" s="17"/>
      <c r="I2074" s="33">
        <v>0</v>
      </c>
      <c r="J2074" s="33"/>
      <c r="K2074" s="33"/>
      <c r="L2074" s="33"/>
      <c r="M2074" s="33"/>
      <c r="N2074" s="33"/>
      <c r="O2074" s="33"/>
      <c r="P2074" s="33"/>
      <c r="Q2074" s="33"/>
      <c r="R2074" s="33"/>
      <c r="S2074" s="33"/>
      <c r="T2074" s="33"/>
      <c r="U2074" s="18"/>
      <c r="V2074" s="18"/>
      <c r="W2074" s="18"/>
      <c r="X2074" s="18"/>
      <c r="Y2074" s="18"/>
      <c r="Z2074" s="18" t="str">
        <f>A2074 &amp; "-" &amp; VLOOKUP(A2074,[4]PROGRAMMES!$E$1:$F$7,2,FALSE)</f>
        <v>6-Education et alphabétisation des adultes</v>
      </c>
      <c r="AA2074" s="19" t="str">
        <f>B2074 &amp; "-" &amp; VLOOKUP(B2074,[4]SOUSPROGRAMMES!$E$1:$F$44,2,FALSE)</f>
        <v xml:space="preserve">63- Amélioration de la qualité </v>
      </c>
      <c r="AB2074" s="19" t="str">
        <f>C2074 &amp; "-" &amp; VLOOKUP(C2074,[4]RESULTATS!$E$1:$F$176,2,FALSE)</f>
        <v xml:space="preserve">638- Le suivi évaluation des activités d'AEA est amélioré et systématisé au niveau central et déconcentré </v>
      </c>
      <c r="AC2074" s="20" t="str">
        <f>D2074 &amp; "-" &amp; VLOOKUP(D2074,[4]STRATEGIES!$E$1:$F$504,2,FALSE)</f>
        <v>6381-Renforcement des capacités en suivi, évaluation et contrôle au niveau central et local</v>
      </c>
      <c r="AD2074" s="21" t="str">
        <f t="shared" si="307"/>
        <v>6381-Renforcement des capacités en suivi, évaluation et contrôle au niveau central et local</v>
      </c>
    </row>
    <row r="2075" spans="1:30" s="22" customFormat="1" ht="45" hidden="1" customHeight="1" x14ac:dyDescent="0.8">
      <c r="A2075" s="14">
        <v>6</v>
      </c>
      <c r="B2075" s="15">
        <v>63</v>
      </c>
      <c r="C2075" s="15">
        <v>638</v>
      </c>
      <c r="D2075" s="15">
        <v>6381</v>
      </c>
      <c r="E2075" s="15">
        <v>63821</v>
      </c>
      <c r="F2075" s="16" t="s">
        <v>2551</v>
      </c>
      <c r="G2075" s="21" t="s">
        <v>37</v>
      </c>
      <c r="H2075" s="17" t="s">
        <v>66</v>
      </c>
      <c r="I2075" s="33">
        <v>0</v>
      </c>
      <c r="J2075" s="33">
        <f>8*5*1</f>
        <v>40</v>
      </c>
      <c r="K2075" s="33"/>
      <c r="L2075" s="33"/>
      <c r="M2075" s="33">
        <f t="shared" si="301"/>
        <v>40</v>
      </c>
      <c r="N2075" s="33">
        <f>IF(OR(H2075="",H2075="sif",H2075="PM"),0,VLOOKUP(H2075,[5]CU!$C$4:$H$255,6,FALSE))</f>
        <v>0.255</v>
      </c>
      <c r="O2075" s="33">
        <f t="shared" si="311"/>
        <v>0</v>
      </c>
      <c r="P2075" s="33">
        <f t="shared" si="311"/>
        <v>10.199999999999999</v>
      </c>
      <c r="Q2075" s="33">
        <f t="shared" si="311"/>
        <v>0</v>
      </c>
      <c r="R2075" s="33">
        <f t="shared" si="311"/>
        <v>0</v>
      </c>
      <c r="S2075" s="33">
        <f t="shared" si="312"/>
        <v>10.199999999999999</v>
      </c>
      <c r="T2075" s="35" t="s">
        <v>56</v>
      </c>
      <c r="U2075" s="18" t="s">
        <v>330</v>
      </c>
      <c r="V2075" s="18" t="str">
        <f>IF(OR($H2075="",$H2075="sif",$H2075="PM"),"",VLOOKUP($H2075,[5]CU!$C$5:$J$255,8,FALSE))</f>
        <v>3. Dépenses de fonctionnement</v>
      </c>
      <c r="W2075" s="18" t="s">
        <v>331</v>
      </c>
      <c r="X2075" s="18" t="s">
        <v>331</v>
      </c>
      <c r="Y2075" s="19" t="s">
        <v>32</v>
      </c>
      <c r="Z2075" s="18" t="str">
        <f>A2075 &amp; "-" &amp; VLOOKUP(A2075,[4]PROGRAMMES!$E$1:$F$7,2,FALSE)</f>
        <v>6-Education et alphabétisation des adultes</v>
      </c>
      <c r="AA2075" s="19" t="str">
        <f>B2075 &amp; "-" &amp; VLOOKUP(B2075,[4]SOUSPROGRAMMES!$E$1:$F$44,2,FALSE)</f>
        <v xml:space="preserve">63- Amélioration de la qualité </v>
      </c>
      <c r="AB2075" s="19" t="str">
        <f>C2075 &amp; "-" &amp; VLOOKUP(C2075,[4]RESULTATS!$E$1:$F$176,2,FALSE)</f>
        <v xml:space="preserve">638- Le suivi évaluation des activités d'AEA est amélioré et systématisé au niveau central et déconcentré </v>
      </c>
      <c r="AC2075" s="20" t="str">
        <f>D2075 &amp; "-" &amp; VLOOKUP(D2075,[4]STRATEGIES!$E$1:$F$504,2,FALSE)</f>
        <v>6381-Renforcement des capacités en suivi, évaluation et contrôle au niveau central et local</v>
      </c>
      <c r="AD2075" s="21" t="str">
        <f t="shared" si="307"/>
        <v>63821-Elaboration d'un guide pour le suivi et l'évaluation des activités d'alphabétisation</v>
      </c>
    </row>
    <row r="2076" spans="1:30" s="22" customFormat="1" ht="45" hidden="1" customHeight="1" x14ac:dyDescent="0.8">
      <c r="A2076" s="14">
        <v>6</v>
      </c>
      <c r="B2076" s="15">
        <v>63</v>
      </c>
      <c r="C2076" s="15">
        <v>638</v>
      </c>
      <c r="D2076" s="15">
        <v>6381</v>
      </c>
      <c r="E2076" s="15">
        <v>63822</v>
      </c>
      <c r="F2076" s="16" t="s">
        <v>2552</v>
      </c>
      <c r="G2076" s="21" t="s">
        <v>451</v>
      </c>
      <c r="H2076" s="17" t="s">
        <v>452</v>
      </c>
      <c r="I2076" s="33">
        <v>0</v>
      </c>
      <c r="J2076" s="33">
        <v>500</v>
      </c>
      <c r="K2076" s="33">
        <v>500</v>
      </c>
      <c r="L2076" s="33">
        <v>500</v>
      </c>
      <c r="M2076" s="33">
        <f t="shared" si="301"/>
        <v>1500</v>
      </c>
      <c r="N2076" s="33">
        <f>IF(OR(H2076="",H2076="sif",H2076="PM"),0,VLOOKUP(H2076,[5]CU!$C$4:$H$255,6,FALSE))</f>
        <v>7.4999999999999997E-3</v>
      </c>
      <c r="O2076" s="33">
        <f t="shared" si="311"/>
        <v>0</v>
      </c>
      <c r="P2076" s="33">
        <f t="shared" si="311"/>
        <v>3.75</v>
      </c>
      <c r="Q2076" s="33">
        <f t="shared" si="311"/>
        <v>3.75</v>
      </c>
      <c r="R2076" s="33">
        <f t="shared" si="311"/>
        <v>3.75</v>
      </c>
      <c r="S2076" s="33">
        <f t="shared" si="312"/>
        <v>11.25</v>
      </c>
      <c r="T2076" s="35" t="s">
        <v>56</v>
      </c>
      <c r="U2076" s="18" t="s">
        <v>330</v>
      </c>
      <c r="V2076" s="18" t="str">
        <f>IF(OR($H2076="",$H2076="sif",$H2076="PM"),"",VLOOKUP($H2076,[5]CU!$C$5:$J$255,8,FALSE))</f>
        <v>3. Dépenses de fonctionnement</v>
      </c>
      <c r="W2076" s="18" t="s">
        <v>331</v>
      </c>
      <c r="X2076" s="18" t="s">
        <v>521</v>
      </c>
      <c r="Y2076" s="19" t="s">
        <v>32</v>
      </c>
      <c r="Z2076" s="18" t="str">
        <f>A2076 &amp; "-" &amp; VLOOKUP(A2076,[4]PROGRAMMES!$E$1:$F$7,2,FALSE)</f>
        <v>6-Education et alphabétisation des adultes</v>
      </c>
      <c r="AA2076" s="19" t="str">
        <f>B2076 &amp; "-" &amp; VLOOKUP(B2076,[4]SOUSPROGRAMMES!$E$1:$F$44,2,FALSE)</f>
        <v xml:space="preserve">63- Amélioration de la qualité </v>
      </c>
      <c r="AB2076" s="19" t="str">
        <f>C2076 &amp; "-" &amp; VLOOKUP(C2076,[4]RESULTATS!$E$1:$F$176,2,FALSE)</f>
        <v xml:space="preserve">638- Le suivi évaluation des activités d'AEA est amélioré et systématisé au niveau central et déconcentré </v>
      </c>
      <c r="AC2076" s="20" t="str">
        <f>D2076 &amp; "-" &amp; VLOOKUP(D2076,[4]STRATEGIES!$E$1:$F$504,2,FALSE)</f>
        <v>6381-Renforcement des capacités en suivi, évaluation et contrôle au niveau central et local</v>
      </c>
      <c r="AD2076" s="21" t="str">
        <f t="shared" si="307"/>
        <v>63822-Reproduction et distribution des guide</v>
      </c>
    </row>
    <row r="2077" spans="1:30" s="22" customFormat="1" ht="45" hidden="1" customHeight="1" x14ac:dyDescent="0.8">
      <c r="A2077" s="14">
        <v>6</v>
      </c>
      <c r="B2077" s="15">
        <v>63</v>
      </c>
      <c r="C2077" s="15">
        <v>638</v>
      </c>
      <c r="D2077" s="15">
        <v>6381</v>
      </c>
      <c r="E2077" s="15">
        <v>63823</v>
      </c>
      <c r="F2077" s="16" t="s">
        <v>2553</v>
      </c>
      <c r="G2077" s="21" t="s">
        <v>979</v>
      </c>
      <c r="H2077" s="17" t="s">
        <v>1347</v>
      </c>
      <c r="I2077" s="33">
        <v>0</v>
      </c>
      <c r="J2077" s="33"/>
      <c r="K2077" s="33">
        <v>38</v>
      </c>
      <c r="L2077" s="33"/>
      <c r="M2077" s="33">
        <f t="shared" si="301"/>
        <v>38</v>
      </c>
      <c r="N2077" s="33">
        <f>IF(OR(H2077="",H2077="sif",H2077="PM"),0,VLOOKUP(H2077,[5]CU!$C$4:$H$255,6,FALSE))</f>
        <v>15</v>
      </c>
      <c r="O2077" s="33">
        <f t="shared" si="311"/>
        <v>0</v>
      </c>
      <c r="P2077" s="33">
        <f t="shared" si="311"/>
        <v>0</v>
      </c>
      <c r="Q2077" s="33">
        <f t="shared" si="311"/>
        <v>570</v>
      </c>
      <c r="R2077" s="33">
        <f t="shared" si="311"/>
        <v>0</v>
      </c>
      <c r="S2077" s="33">
        <f t="shared" si="312"/>
        <v>570</v>
      </c>
      <c r="T2077" s="35" t="s">
        <v>56</v>
      </c>
      <c r="U2077" s="18" t="s">
        <v>330</v>
      </c>
      <c r="V2077" s="18" t="str">
        <f>IF(OR($H2077="",$H2077="sif",$H2077="PM"),"",VLOOKUP($H2077,[5]CU!$C$5:$J$255,8,FALSE))</f>
        <v>5. Investissement</v>
      </c>
      <c r="W2077" s="18" t="s">
        <v>331</v>
      </c>
      <c r="X2077" s="18" t="s">
        <v>521</v>
      </c>
      <c r="Y2077" s="19" t="s">
        <v>32</v>
      </c>
      <c r="Z2077" s="18" t="str">
        <f>A2077 &amp; "-" &amp; VLOOKUP(A2077,[4]PROGRAMMES!$E$1:$F$7,2,FALSE)</f>
        <v>6-Education et alphabétisation des adultes</v>
      </c>
      <c r="AA2077" s="19" t="str">
        <f>B2077 &amp; "-" &amp; VLOOKUP(B2077,[4]SOUSPROGRAMMES!$E$1:$F$44,2,FALSE)</f>
        <v xml:space="preserve">63- Amélioration de la qualité </v>
      </c>
      <c r="AB2077" s="19" t="str">
        <f>C2077 &amp; "-" &amp; VLOOKUP(C2077,[4]RESULTATS!$E$1:$F$176,2,FALSE)</f>
        <v xml:space="preserve">638- Le suivi évaluation des activités d'AEA est amélioré et systématisé au niveau central et déconcentré </v>
      </c>
      <c r="AC2077" s="20" t="str">
        <f>D2077 &amp; "-" &amp; VLOOKUP(D2077,[4]STRATEGIES!$E$1:$F$504,2,FALSE)</f>
        <v>6381-Renforcement des capacités en suivi, évaluation et contrôle au niveau central et local</v>
      </c>
      <c r="AD2077" s="21" t="str">
        <f t="shared" si="307"/>
        <v>63823-Acquisition de matériel roulant pour les chefs section AENF</v>
      </c>
    </row>
    <row r="2078" spans="1:30" s="22" customFormat="1" ht="45" hidden="1" customHeight="1" x14ac:dyDescent="0.8">
      <c r="A2078" s="14">
        <v>6</v>
      </c>
      <c r="B2078" s="15">
        <v>63</v>
      </c>
      <c r="C2078" s="15">
        <v>638</v>
      </c>
      <c r="D2078" s="15">
        <v>6381</v>
      </c>
      <c r="E2078" s="15">
        <v>63824</v>
      </c>
      <c r="F2078" s="16" t="s">
        <v>2554</v>
      </c>
      <c r="G2078" s="21" t="s">
        <v>1701</v>
      </c>
      <c r="H2078" s="17" t="s">
        <v>970</v>
      </c>
      <c r="I2078" s="33">
        <v>0</v>
      </c>
      <c r="J2078" s="33"/>
      <c r="K2078" s="33">
        <v>10</v>
      </c>
      <c r="L2078" s="33"/>
      <c r="M2078" s="33">
        <f t="shared" si="301"/>
        <v>10</v>
      </c>
      <c r="N2078" s="33">
        <f>IF(OR(H2078="",H2078="sif",H2078="PM"),0,VLOOKUP(H2078,[5]CU!$C$4:$H$255,6,FALSE))</f>
        <v>10.034934666666667</v>
      </c>
      <c r="O2078" s="33">
        <f t="shared" si="311"/>
        <v>0</v>
      </c>
      <c r="P2078" s="33">
        <f t="shared" si="311"/>
        <v>0</v>
      </c>
      <c r="Q2078" s="33">
        <f t="shared" si="311"/>
        <v>100.34934666666666</v>
      </c>
      <c r="R2078" s="33">
        <f t="shared" si="311"/>
        <v>0</v>
      </c>
      <c r="S2078" s="33">
        <f t="shared" si="312"/>
        <v>100.34934666666666</v>
      </c>
      <c r="T2078" s="35" t="s">
        <v>56</v>
      </c>
      <c r="U2078" s="18" t="s">
        <v>330</v>
      </c>
      <c r="V2078" s="18" t="str">
        <f>IF(OR($H2078="",$H2078="sif",$H2078="PM"),"",VLOOKUP($H2078,[5]CU!$C$5:$J$255,8,FALSE))</f>
        <v>5. Investissement</v>
      </c>
      <c r="W2078" s="18" t="s">
        <v>331</v>
      </c>
      <c r="X2078" s="18" t="s">
        <v>521</v>
      </c>
      <c r="Y2078" s="19" t="s">
        <v>32</v>
      </c>
      <c r="Z2078" s="18" t="str">
        <f>A2078 &amp; "-" &amp; VLOOKUP(A2078,[4]PROGRAMMES!$E$1:$F$7,2,FALSE)</f>
        <v>6-Education et alphabétisation des adultes</v>
      </c>
      <c r="AA2078" s="19" t="str">
        <f>B2078 &amp; "-" &amp; VLOOKUP(B2078,[4]SOUSPROGRAMMES!$E$1:$F$44,2,FALSE)</f>
        <v xml:space="preserve">63- Amélioration de la qualité </v>
      </c>
      <c r="AB2078" s="19" t="str">
        <f>C2078 &amp; "-" &amp; VLOOKUP(C2078,[4]RESULTATS!$E$1:$F$176,2,FALSE)</f>
        <v xml:space="preserve">638- Le suivi évaluation des activités d'AEA est amélioré et systématisé au niveau central et déconcentré </v>
      </c>
      <c r="AC2078" s="20" t="str">
        <f>D2078 &amp; "-" &amp; VLOOKUP(D2078,[4]STRATEGIES!$E$1:$F$504,2,FALSE)</f>
        <v>6381-Renforcement des capacités en suivi, évaluation et contrôle au niveau central et local</v>
      </c>
      <c r="AD2078" s="21" t="str">
        <f t="shared" si="307"/>
        <v>63824-Acquisition d'équipement informatique pour la DNAENF</v>
      </c>
    </row>
    <row r="2079" spans="1:30" s="22" customFormat="1" ht="45" hidden="1" customHeight="1" x14ac:dyDescent="0.8">
      <c r="A2079" s="14">
        <v>6</v>
      </c>
      <c r="B2079" s="15">
        <v>63</v>
      </c>
      <c r="C2079" s="15">
        <v>638</v>
      </c>
      <c r="D2079" s="15">
        <v>6381</v>
      </c>
      <c r="E2079" s="15">
        <v>63825</v>
      </c>
      <c r="F2079" s="16" t="s">
        <v>2555</v>
      </c>
      <c r="G2079" s="21" t="s">
        <v>2556</v>
      </c>
      <c r="H2079" s="17" t="s">
        <v>1997</v>
      </c>
      <c r="I2079" s="33">
        <v>0</v>
      </c>
      <c r="J2079" s="33"/>
      <c r="K2079" s="33">
        <v>1</v>
      </c>
      <c r="L2079" s="33"/>
      <c r="M2079" s="33">
        <f t="shared" si="301"/>
        <v>1</v>
      </c>
      <c r="N2079" s="33">
        <f>IF(OR(H2079="",H2079="sif",H2079="PM"),0,VLOOKUP(H2079,[5]CU!$C$4:$H$255,6,FALSE))</f>
        <v>24</v>
      </c>
      <c r="O2079" s="33">
        <f t="shared" si="311"/>
        <v>0</v>
      </c>
      <c r="P2079" s="33">
        <f t="shared" si="311"/>
        <v>0</v>
      </c>
      <c r="Q2079" s="33">
        <f t="shared" si="311"/>
        <v>24</v>
      </c>
      <c r="R2079" s="33">
        <f t="shared" si="311"/>
        <v>0</v>
      </c>
      <c r="S2079" s="33">
        <f t="shared" si="312"/>
        <v>24</v>
      </c>
      <c r="T2079" s="35" t="s">
        <v>56</v>
      </c>
      <c r="U2079" s="18" t="s">
        <v>330</v>
      </c>
      <c r="V2079" s="18" t="str">
        <f>IF(OR($H2079="",$H2079="sif",$H2079="PM"),"",VLOOKUP($H2079,[5]CU!$C$5:$J$255,8,FALSE))</f>
        <v>3. Dépenses de fonctionnement</v>
      </c>
      <c r="W2079" s="18" t="s">
        <v>331</v>
      </c>
      <c r="X2079" s="18" t="s">
        <v>521</v>
      </c>
      <c r="Y2079" s="19" t="s">
        <v>32</v>
      </c>
      <c r="Z2079" s="18" t="str">
        <f>A2079 &amp; "-" &amp; VLOOKUP(A2079,[4]PROGRAMMES!$E$1:$F$7,2,FALSE)</f>
        <v>6-Education et alphabétisation des adultes</v>
      </c>
      <c r="AA2079" s="19" t="str">
        <f>B2079 &amp; "-" &amp; VLOOKUP(B2079,[4]SOUSPROGRAMMES!$E$1:$F$44,2,FALSE)</f>
        <v xml:space="preserve">63- Amélioration de la qualité </v>
      </c>
      <c r="AB2079" s="19" t="str">
        <f>C2079 &amp; "-" &amp; VLOOKUP(C2079,[4]RESULTATS!$E$1:$F$176,2,FALSE)</f>
        <v xml:space="preserve">638- Le suivi évaluation des activités d'AEA est amélioré et systématisé au niveau central et déconcentré </v>
      </c>
      <c r="AC2079" s="20" t="str">
        <f>D2079 &amp; "-" &amp; VLOOKUP(D2079,[4]STRATEGIES!$E$1:$F$504,2,FALSE)</f>
        <v>6381-Renforcement des capacités en suivi, évaluation et contrôle au niveau central et local</v>
      </c>
      <c r="AD2079" s="21" t="str">
        <f t="shared" si="307"/>
        <v>63825-installation de l'internet au niveau de la direction</v>
      </c>
    </row>
    <row r="2080" spans="1:30" s="22" customFormat="1" ht="45" hidden="1" customHeight="1" x14ac:dyDescent="0.8">
      <c r="A2080" s="14">
        <v>6</v>
      </c>
      <c r="B2080" s="15">
        <v>63</v>
      </c>
      <c r="C2080" s="15">
        <v>638</v>
      </c>
      <c r="D2080" s="15">
        <v>6382</v>
      </c>
      <c r="E2080" s="15">
        <v>6382</v>
      </c>
      <c r="F2080" s="16" t="s">
        <v>2557</v>
      </c>
      <c r="G2080" s="17"/>
      <c r="H2080" s="17"/>
      <c r="I2080" s="33">
        <v>0</v>
      </c>
      <c r="J2080" s="33"/>
      <c r="K2080" s="33"/>
      <c r="L2080" s="33"/>
      <c r="M2080" s="33"/>
      <c r="N2080" s="33"/>
      <c r="O2080" s="33"/>
      <c r="P2080" s="33"/>
      <c r="Q2080" s="33"/>
      <c r="R2080" s="33"/>
      <c r="S2080" s="33"/>
      <c r="T2080" s="33"/>
      <c r="U2080" s="18"/>
      <c r="V2080" s="18"/>
      <c r="W2080" s="18"/>
      <c r="X2080" s="18"/>
      <c r="Y2080" s="18"/>
      <c r="Z2080" s="18" t="str">
        <f>A2080 &amp; "-" &amp; VLOOKUP(A2080,[4]PROGRAMMES!$E$1:$F$7,2,FALSE)</f>
        <v>6-Education et alphabétisation des adultes</v>
      </c>
      <c r="AA2080" s="19" t="str">
        <f>B2080 &amp; "-" &amp; VLOOKUP(B2080,[4]SOUSPROGRAMMES!$E$1:$F$44,2,FALSE)</f>
        <v xml:space="preserve">63- Amélioration de la qualité </v>
      </c>
      <c r="AB2080" s="19" t="str">
        <f>C2080 &amp; "-" &amp; VLOOKUP(C2080,[4]RESULTATS!$E$1:$F$176,2,FALSE)</f>
        <v xml:space="preserve">638- Le suivi évaluation des activités d'AEA est amélioré et systématisé au niveau central et déconcentré </v>
      </c>
      <c r="AC2080" s="20" t="str">
        <f>D2080 &amp; "-" &amp; VLOOKUP(D2080,[4]STRATEGIES!$E$1:$F$504,2,FALSE)</f>
        <v>6382-Renforcement des capacités des cadres et agents d'encadrement</v>
      </c>
      <c r="AD2080" s="21" t="str">
        <f t="shared" si="307"/>
        <v>6382-Renforcement des capacités des cadres et agents d'encadrement</v>
      </c>
    </row>
    <row r="2081" spans="1:30" s="22" customFormat="1" ht="45" hidden="1" customHeight="1" x14ac:dyDescent="0.8">
      <c r="A2081" s="14">
        <v>6</v>
      </c>
      <c r="B2081" s="15">
        <v>63</v>
      </c>
      <c r="C2081" s="15">
        <v>638</v>
      </c>
      <c r="D2081" s="15">
        <v>6382</v>
      </c>
      <c r="E2081" s="15">
        <v>63821</v>
      </c>
      <c r="F2081" s="16" t="s">
        <v>2558</v>
      </c>
      <c r="G2081" s="21" t="s">
        <v>2559</v>
      </c>
      <c r="H2081" s="17" t="s">
        <v>501</v>
      </c>
      <c r="I2081" s="33">
        <v>0</v>
      </c>
      <c r="J2081" s="33">
        <f>1.5</f>
        <v>1.5</v>
      </c>
      <c r="K2081" s="33">
        <f>1.5</f>
        <v>1.5</v>
      </c>
      <c r="L2081" s="33">
        <f>1.5</f>
        <v>1.5</v>
      </c>
      <c r="M2081" s="33">
        <f t="shared" si="301"/>
        <v>4.5</v>
      </c>
      <c r="N2081" s="33">
        <f>IF(OR(H2081="",H2081="sif",H2081="PM"),0,VLOOKUP(H2081,[5]CU!$C$4:$H$255,6,FALSE))</f>
        <v>50.336534</v>
      </c>
      <c r="O2081" s="33">
        <f t="shared" si="311"/>
        <v>0</v>
      </c>
      <c r="P2081" s="33">
        <f t="shared" si="311"/>
        <v>75.504801</v>
      </c>
      <c r="Q2081" s="33">
        <f t="shared" si="311"/>
        <v>75.504801</v>
      </c>
      <c r="R2081" s="33">
        <f t="shared" si="311"/>
        <v>75.504801</v>
      </c>
      <c r="S2081" s="33">
        <f t="shared" si="312"/>
        <v>226.51440300000002</v>
      </c>
      <c r="T2081" s="35" t="s">
        <v>56</v>
      </c>
      <c r="U2081" s="18" t="s">
        <v>330</v>
      </c>
      <c r="V2081" s="18" t="str">
        <f>IF(OR($H2081="",$H2081="sif",$H2081="PM"),"",VLOOKUP($H2081,[5]CU!$C$5:$J$255,8,FALSE))</f>
        <v>3. Formation</v>
      </c>
      <c r="W2081" s="18" t="s">
        <v>331</v>
      </c>
      <c r="X2081" s="18" t="s">
        <v>521</v>
      </c>
      <c r="Y2081" s="19" t="s">
        <v>32</v>
      </c>
      <c r="Z2081" s="18" t="str">
        <f>A2081 &amp; "-" &amp; VLOOKUP(A2081,[4]PROGRAMMES!$E$1:$F$7,2,FALSE)</f>
        <v>6-Education et alphabétisation des adultes</v>
      </c>
      <c r="AA2081" s="19" t="str">
        <f>B2081 &amp; "-" &amp; VLOOKUP(B2081,[4]SOUSPROGRAMMES!$E$1:$F$44,2,FALSE)</f>
        <v xml:space="preserve">63- Amélioration de la qualité </v>
      </c>
      <c r="AB2081" s="19" t="str">
        <f>C2081 &amp; "-" &amp; VLOOKUP(C2081,[4]RESULTATS!$E$1:$F$176,2,FALSE)</f>
        <v xml:space="preserve">638- Le suivi évaluation des activités d'AEA est amélioré et systématisé au niveau central et déconcentré </v>
      </c>
      <c r="AC2081" s="20" t="str">
        <f>D2081 &amp; "-" &amp; VLOOKUP(D2081,[4]STRATEGIES!$E$1:$F$504,2,FALSE)</f>
        <v>6382-Renforcement des capacités des cadres et agents d'encadrement</v>
      </c>
      <c r="AD2081" s="21" t="str">
        <f t="shared" si="307"/>
        <v>63821-Participation des cadres aux rencontres nationale, sous régionale et internationale en AEA (budget mission)</v>
      </c>
    </row>
    <row r="2082" spans="1:30" s="22" customFormat="1" ht="45" hidden="1" customHeight="1" x14ac:dyDescent="0.8">
      <c r="A2082" s="14">
        <v>6</v>
      </c>
      <c r="B2082" s="15">
        <v>63</v>
      </c>
      <c r="C2082" s="15">
        <v>638</v>
      </c>
      <c r="D2082" s="15">
        <v>6382</v>
      </c>
      <c r="E2082" s="15">
        <v>63822</v>
      </c>
      <c r="F2082" s="16" t="s">
        <v>2560</v>
      </c>
      <c r="G2082" s="21" t="s">
        <v>436</v>
      </c>
      <c r="H2082" s="17" t="s">
        <v>501</v>
      </c>
      <c r="I2082" s="33">
        <v>0</v>
      </c>
      <c r="J2082" s="33">
        <v>2</v>
      </c>
      <c r="K2082" s="33">
        <v>2</v>
      </c>
      <c r="L2082" s="33">
        <v>2</v>
      </c>
      <c r="M2082" s="33">
        <f t="shared" ref="M2082:M2124" si="313">SUM(I2082:L2082)</f>
        <v>6</v>
      </c>
      <c r="N2082" s="33">
        <f>IF(OR(H2082="",H2082="sif",H2082="PM"),0,VLOOKUP(H2082,[5]CU!$C$4:$H$255,6,FALSE))</f>
        <v>50.336534</v>
      </c>
      <c r="O2082" s="33">
        <f t="shared" si="311"/>
        <v>0</v>
      </c>
      <c r="P2082" s="33">
        <f t="shared" si="311"/>
        <v>100.673068</v>
      </c>
      <c r="Q2082" s="33">
        <f t="shared" si="311"/>
        <v>100.673068</v>
      </c>
      <c r="R2082" s="33">
        <f t="shared" si="311"/>
        <v>100.673068</v>
      </c>
      <c r="S2082" s="33">
        <f t="shared" si="312"/>
        <v>302.019204</v>
      </c>
      <c r="T2082" s="35" t="s">
        <v>118</v>
      </c>
      <c r="U2082" s="18" t="s">
        <v>330</v>
      </c>
      <c r="V2082" s="18" t="str">
        <f>IF(OR($H2082="",$H2082="sif",$H2082="PM"),"",VLOOKUP($H2082,[5]CU!$C$5:$J$255,8,FALSE))</f>
        <v>3. Formation</v>
      </c>
      <c r="W2082" s="18" t="s">
        <v>331</v>
      </c>
      <c r="X2082" s="18" t="s">
        <v>521</v>
      </c>
      <c r="Y2082" s="19" t="s">
        <v>32</v>
      </c>
      <c r="Z2082" s="18" t="str">
        <f>A2082 &amp; "-" &amp; VLOOKUP(A2082,[4]PROGRAMMES!$E$1:$F$7,2,FALSE)</f>
        <v>6-Education et alphabétisation des adultes</v>
      </c>
      <c r="AA2082" s="19" t="str">
        <f>B2082 &amp; "-" &amp; VLOOKUP(B2082,[4]SOUSPROGRAMMES!$E$1:$F$44,2,FALSE)</f>
        <v xml:space="preserve">63- Amélioration de la qualité </v>
      </c>
      <c r="AB2082" s="19" t="str">
        <f>C2082 &amp; "-" &amp; VLOOKUP(C2082,[4]RESULTATS!$E$1:$F$176,2,FALSE)</f>
        <v xml:space="preserve">638- Le suivi évaluation des activités d'AEA est amélioré et systématisé au niveau central et déconcentré </v>
      </c>
      <c r="AC2082" s="20" t="str">
        <f>D2082 &amp; "-" &amp; VLOOKUP(D2082,[4]STRATEGIES!$E$1:$F$504,2,FALSE)</f>
        <v>6382-Renforcement des capacités des cadres et agents d'encadrement</v>
      </c>
      <c r="AD2082" s="21" t="str">
        <f t="shared" si="307"/>
        <v>63822-participation des cadres aux formations sous régionales et internationale en matière d'AEA (sur invitation)</v>
      </c>
    </row>
    <row r="2083" spans="1:30" s="22" customFormat="1" ht="45" hidden="1" customHeight="1" x14ac:dyDescent="0.8">
      <c r="A2083" s="14">
        <v>6</v>
      </c>
      <c r="B2083" s="15">
        <v>63</v>
      </c>
      <c r="C2083" s="15">
        <v>638</v>
      </c>
      <c r="D2083" s="15">
        <v>6383</v>
      </c>
      <c r="E2083" s="15">
        <v>6383</v>
      </c>
      <c r="F2083" s="16" t="s">
        <v>2561</v>
      </c>
      <c r="G2083" s="17"/>
      <c r="H2083" s="17"/>
      <c r="I2083" s="33">
        <v>0</v>
      </c>
      <c r="J2083" s="33"/>
      <c r="K2083" s="33"/>
      <c r="L2083" s="33"/>
      <c r="M2083" s="33"/>
      <c r="N2083" s="33"/>
      <c r="O2083" s="33"/>
      <c r="P2083" s="33"/>
      <c r="Q2083" s="33"/>
      <c r="R2083" s="33"/>
      <c r="S2083" s="33"/>
      <c r="T2083" s="33"/>
      <c r="U2083" s="18"/>
      <c r="V2083" s="18"/>
      <c r="W2083" s="18"/>
      <c r="X2083" s="18"/>
      <c r="Y2083" s="18"/>
      <c r="Z2083" s="18" t="str">
        <f>A2083 &amp; "-" &amp; VLOOKUP(A2083,[4]PROGRAMMES!$E$1:$F$7,2,FALSE)</f>
        <v>6-Education et alphabétisation des adultes</v>
      </c>
      <c r="AA2083" s="19" t="str">
        <f>B2083 &amp; "-" &amp; VLOOKUP(B2083,[4]SOUSPROGRAMMES!$E$1:$F$44,2,FALSE)</f>
        <v xml:space="preserve">63- Amélioration de la qualité </v>
      </c>
      <c r="AB2083" s="19" t="str">
        <f>C2083 &amp; "-" &amp; VLOOKUP(C2083,[4]RESULTATS!$E$1:$F$176,2,FALSE)</f>
        <v xml:space="preserve">638- Le suivi évaluation des activités d'AEA est amélioré et systématisé au niveau central et déconcentré </v>
      </c>
      <c r="AC2083" s="20" t="str">
        <f>D2083 &amp; "-" &amp; VLOOKUP(D2083,[4]STRATEGIES!$E$1:$F$504,2,FALSE)</f>
        <v>6383-Organisation annuelle de la journée internationale de l'alphabétisation</v>
      </c>
      <c r="AD2083" s="21" t="str">
        <f t="shared" si="307"/>
        <v>6383-Organisation annuelle de la journée internationale de l'alphabétisation</v>
      </c>
    </row>
    <row r="2084" spans="1:30" s="22" customFormat="1" ht="45" hidden="1" customHeight="1" x14ac:dyDescent="0.8">
      <c r="A2084" s="14">
        <v>6</v>
      </c>
      <c r="B2084" s="15">
        <v>63</v>
      </c>
      <c r="C2084" s="15">
        <v>638</v>
      </c>
      <c r="D2084" s="15">
        <v>6383</v>
      </c>
      <c r="E2084" s="15">
        <v>63831</v>
      </c>
      <c r="F2084" s="16" t="s">
        <v>2562</v>
      </c>
      <c r="G2084" s="21" t="s">
        <v>321</v>
      </c>
      <c r="H2084" s="17" t="s">
        <v>55</v>
      </c>
      <c r="I2084" s="33">
        <v>0</v>
      </c>
      <c r="J2084" s="33">
        <f>3*3*1</f>
        <v>9</v>
      </c>
      <c r="K2084" s="33"/>
      <c r="L2084" s="33"/>
      <c r="M2084" s="33">
        <f t="shared" si="313"/>
        <v>9</v>
      </c>
      <c r="N2084" s="33">
        <f>IF(OR(H2084="",H2084="sif",H2084="PM"),0,VLOOKUP(H2084,[5]CU!$C$4:$H$255,6,FALSE))</f>
        <v>0</v>
      </c>
      <c r="O2084" s="33"/>
      <c r="P2084" s="33"/>
      <c r="Q2084" s="33"/>
      <c r="R2084" s="33"/>
      <c r="S2084" s="33"/>
      <c r="T2084" s="35" t="s">
        <v>56</v>
      </c>
      <c r="U2084" s="18" t="s">
        <v>330</v>
      </c>
      <c r="V2084" s="18" t="str">
        <f>IF(OR($H2084="",$H2084="sif",$H2084="PM"),"",VLOOKUP($H2084,[5]CU!$C$5:$J$255,8,FALSE))</f>
        <v/>
      </c>
      <c r="W2084" s="18" t="s">
        <v>331</v>
      </c>
      <c r="X2084" s="18" t="s">
        <v>331</v>
      </c>
      <c r="Y2084" s="19" t="s">
        <v>32</v>
      </c>
      <c r="Z2084" s="18" t="str">
        <f>A2084 &amp; "-" &amp; VLOOKUP(A2084,[4]PROGRAMMES!$E$1:$F$7,2,FALSE)</f>
        <v>6-Education et alphabétisation des adultes</v>
      </c>
      <c r="AA2084" s="19" t="str">
        <f>B2084 &amp; "-" &amp; VLOOKUP(B2084,[4]SOUSPROGRAMMES!$E$1:$F$44,2,FALSE)</f>
        <v xml:space="preserve">63- Amélioration de la qualité </v>
      </c>
      <c r="AB2084" s="19" t="str">
        <f>C2084 &amp; "-" &amp; VLOOKUP(C2084,[4]RESULTATS!$E$1:$F$176,2,FALSE)</f>
        <v xml:space="preserve">638- Le suivi évaluation des activités d'AEA est amélioré et systématisé au niveau central et déconcentré </v>
      </c>
      <c r="AC2084" s="20" t="str">
        <f>D2084 &amp; "-" &amp; VLOOKUP(D2084,[4]STRATEGIES!$E$1:$F$504,2,FALSE)</f>
        <v>6383-Organisation annuelle de la journée internationale de l'alphabétisation</v>
      </c>
      <c r="AD2084" s="21" t="str">
        <f t="shared" si="307"/>
        <v>63831-Mise en place de la commission d'organisation</v>
      </c>
    </row>
    <row r="2085" spans="1:30" s="22" customFormat="1" ht="45" hidden="1" customHeight="1" x14ac:dyDescent="0.8">
      <c r="A2085" s="14">
        <v>6</v>
      </c>
      <c r="B2085" s="15">
        <v>63</v>
      </c>
      <c r="C2085" s="15">
        <v>638</v>
      </c>
      <c r="D2085" s="15">
        <v>6383</v>
      </c>
      <c r="E2085" s="15">
        <v>63832</v>
      </c>
      <c r="F2085" s="16" t="s">
        <v>2563</v>
      </c>
      <c r="G2085" s="21" t="s">
        <v>37</v>
      </c>
      <c r="H2085" s="17" t="s">
        <v>66</v>
      </c>
      <c r="I2085" s="33">
        <v>0</v>
      </c>
      <c r="J2085" s="33">
        <f>25*3*1</f>
        <v>75</v>
      </c>
      <c r="K2085" s="33">
        <f>25*3*1</f>
        <v>75</v>
      </c>
      <c r="L2085" s="33">
        <f>25*3*1</f>
        <v>75</v>
      </c>
      <c r="M2085" s="33">
        <f t="shared" si="313"/>
        <v>225</v>
      </c>
      <c r="N2085" s="33">
        <f>IF(OR(H2085="",H2085="sif",H2085="PM"),0,VLOOKUP(H2085,[5]CU!$C$4:$H$255,6,FALSE))</f>
        <v>0.255</v>
      </c>
      <c r="O2085" s="33">
        <f t="shared" ref="O2085:R2086" si="314">$N2085*I2085</f>
        <v>0</v>
      </c>
      <c r="P2085" s="33">
        <f t="shared" si="314"/>
        <v>19.125</v>
      </c>
      <c r="Q2085" s="33">
        <f t="shared" si="314"/>
        <v>19.125</v>
      </c>
      <c r="R2085" s="33">
        <f t="shared" si="314"/>
        <v>19.125</v>
      </c>
      <c r="S2085" s="33">
        <f>SUM(O2085:R2085)</f>
        <v>57.375</v>
      </c>
      <c r="T2085" s="35" t="s">
        <v>56</v>
      </c>
      <c r="U2085" s="18" t="s">
        <v>330</v>
      </c>
      <c r="V2085" s="18" t="str">
        <f>IF(OR($H2085="",$H2085="sif",$H2085="PM"),"",VLOOKUP($H2085,[5]CU!$C$5:$J$255,8,FALSE))</f>
        <v>3. Dépenses de fonctionnement</v>
      </c>
      <c r="W2085" s="18" t="s">
        <v>331</v>
      </c>
      <c r="X2085" s="18" t="s">
        <v>96</v>
      </c>
      <c r="Y2085" s="19" t="s">
        <v>32</v>
      </c>
      <c r="Z2085" s="18" t="str">
        <f>A2085 &amp; "-" &amp; VLOOKUP(A2085,[4]PROGRAMMES!$E$1:$F$7,2,FALSE)</f>
        <v>6-Education et alphabétisation des adultes</v>
      </c>
      <c r="AA2085" s="19" t="str">
        <f>B2085 &amp; "-" &amp; VLOOKUP(B2085,[4]SOUSPROGRAMMES!$E$1:$F$44,2,FALSE)</f>
        <v xml:space="preserve">63- Amélioration de la qualité </v>
      </c>
      <c r="AB2085" s="19" t="str">
        <f>C2085 &amp; "-" &amp; VLOOKUP(C2085,[4]RESULTATS!$E$1:$F$176,2,FALSE)</f>
        <v xml:space="preserve">638- Le suivi évaluation des activités d'AEA est amélioré et systématisé au niveau central et déconcentré </v>
      </c>
      <c r="AC2085" s="20" t="str">
        <f>D2085 &amp; "-" &amp; VLOOKUP(D2085,[4]STRATEGIES!$E$1:$F$504,2,FALSE)</f>
        <v>6383-Organisation annuelle de la journée internationale de l'alphabétisation</v>
      </c>
      <c r="AD2085" s="21" t="str">
        <f t="shared" si="307"/>
        <v>63832-Organisation de l'atelier bilan et collecte des informations</v>
      </c>
    </row>
    <row r="2086" spans="1:30" s="22" customFormat="1" ht="45" hidden="1" customHeight="1" x14ac:dyDescent="0.8">
      <c r="A2086" s="14">
        <v>6</v>
      </c>
      <c r="B2086" s="15">
        <v>63</v>
      </c>
      <c r="C2086" s="15">
        <v>638</v>
      </c>
      <c r="D2086" s="15">
        <v>6383</v>
      </c>
      <c r="E2086" s="15">
        <v>63831</v>
      </c>
      <c r="F2086" s="16" t="s">
        <v>2564</v>
      </c>
      <c r="G2086" s="21" t="s">
        <v>2565</v>
      </c>
      <c r="H2086" s="17" t="s">
        <v>2566</v>
      </c>
      <c r="I2086" s="33">
        <v>0</v>
      </c>
      <c r="J2086" s="33">
        <v>1</v>
      </c>
      <c r="K2086" s="33">
        <v>1</v>
      </c>
      <c r="L2086" s="33">
        <v>1</v>
      </c>
      <c r="M2086" s="33">
        <f t="shared" si="313"/>
        <v>3</v>
      </c>
      <c r="N2086" s="33">
        <f>IF(OR(H2086="",H2086="sif",H2086="PM"),0,VLOOKUP(H2086,[5]CU!$C$4:$H$255,6,FALSE))</f>
        <v>200</v>
      </c>
      <c r="O2086" s="33">
        <f t="shared" si="314"/>
        <v>0</v>
      </c>
      <c r="P2086" s="33">
        <f t="shared" si="314"/>
        <v>200</v>
      </c>
      <c r="Q2086" s="33">
        <f t="shared" si="314"/>
        <v>200</v>
      </c>
      <c r="R2086" s="33">
        <f t="shared" si="314"/>
        <v>200</v>
      </c>
      <c r="S2086" s="33">
        <f>SUM(O2086:R2086)</f>
        <v>600</v>
      </c>
      <c r="T2086" s="35" t="s">
        <v>56</v>
      </c>
      <c r="U2086" s="18" t="s">
        <v>330</v>
      </c>
      <c r="V2086" s="18" t="str">
        <f>IF(OR($H2086="",$H2086="sif",$H2086="PM"),"",VLOOKUP($H2086,[5]CU!$C$5:$J$255,8,FALSE))</f>
        <v>3. Dépenses de fonctionnement</v>
      </c>
      <c r="W2086" s="18" t="s">
        <v>331</v>
      </c>
      <c r="X2086" s="18" t="s">
        <v>331</v>
      </c>
      <c r="Y2086" s="19" t="s">
        <v>32</v>
      </c>
      <c r="Z2086" s="18" t="str">
        <f>A2086 &amp; "-" &amp; VLOOKUP(A2086,[4]PROGRAMMES!$E$1:$F$7,2,FALSE)</f>
        <v>6-Education et alphabétisation des adultes</v>
      </c>
      <c r="AA2086" s="19" t="str">
        <f>B2086 &amp; "-" &amp; VLOOKUP(B2086,[4]SOUSPROGRAMMES!$E$1:$F$44,2,FALSE)</f>
        <v xml:space="preserve">63- Amélioration de la qualité </v>
      </c>
      <c r="AB2086" s="19" t="str">
        <f>C2086 &amp; "-" &amp; VLOOKUP(C2086,[4]RESULTATS!$E$1:$F$176,2,FALSE)</f>
        <v xml:space="preserve">638- Le suivi évaluation des activités d'AEA est amélioré et systématisé au niveau central et déconcentré </v>
      </c>
      <c r="AC2086" s="20" t="str">
        <f>D2086 &amp; "-" &amp; VLOOKUP(D2086,[4]STRATEGIES!$E$1:$F$504,2,FALSE)</f>
        <v>6383-Organisation annuelle de la journée internationale de l'alphabétisation</v>
      </c>
      <c r="AD2086" s="21" t="str">
        <f t="shared" si="307"/>
        <v>63831-Organisation des cérémonies commémoratives du 8 septembre</v>
      </c>
    </row>
    <row r="2087" spans="1:30" s="22" customFormat="1" ht="30" hidden="1" customHeight="1" x14ac:dyDescent="0.8">
      <c r="A2087" s="14">
        <v>6</v>
      </c>
      <c r="B2087" s="15">
        <v>64</v>
      </c>
      <c r="C2087" s="15">
        <v>64</v>
      </c>
      <c r="D2087" s="15">
        <v>64</v>
      </c>
      <c r="E2087" s="15">
        <v>64</v>
      </c>
      <c r="F2087" s="16" t="s">
        <v>2567</v>
      </c>
      <c r="G2087" s="17"/>
      <c r="H2087" s="17"/>
      <c r="I2087" s="33">
        <v>0</v>
      </c>
      <c r="J2087" s="33"/>
      <c r="K2087" s="33"/>
      <c r="L2087" s="33"/>
      <c r="M2087" s="33"/>
      <c r="N2087" s="33"/>
      <c r="O2087" s="33"/>
      <c r="P2087" s="33"/>
      <c r="Q2087" s="33"/>
      <c r="R2087" s="33"/>
      <c r="S2087" s="33"/>
      <c r="T2087" s="33"/>
      <c r="U2087" s="18"/>
      <c r="V2087" s="18"/>
      <c r="W2087" s="18"/>
      <c r="X2087" s="18"/>
      <c r="Y2087" s="18"/>
      <c r="Z2087" s="18" t="str">
        <f>A2087 &amp; "-" &amp; VLOOKUP(A2087,[4]PROGRAMMES!$E$1:$F$7,2,FALSE)</f>
        <v>6-Education et alphabétisation des adultes</v>
      </c>
      <c r="AA2087" s="19" t="str">
        <f>B2087 &amp; "-" &amp; VLOOKUP(B2087,[4]SOUSPROGRAMMES!$E$1:$F$44,2,FALSE)</f>
        <v xml:space="preserve">64-Développement de la Post-alphabétisation </v>
      </c>
      <c r="AB2087" s="19" t="str">
        <f>C2087 &amp; "-" &amp; VLOOKUP(C2087,[4]RESULTATS!$E$1:$F$176,2,FALSE)</f>
        <v xml:space="preserve">64-Développement de la Post-alphabétisation </v>
      </c>
      <c r="AC2087" s="20" t="str">
        <f>D2087 &amp; "-" &amp; VLOOKUP(D2087,[4]STRATEGIES!$E$1:$F$504,2,FALSE)</f>
        <v xml:space="preserve">64-Développement de la Post-alphabétisation </v>
      </c>
      <c r="AD2087" s="21" t="str">
        <f t="shared" si="307"/>
        <v xml:space="preserve">64-Développement de la Post-alphabétisation </v>
      </c>
    </row>
    <row r="2088" spans="1:30" s="22" customFormat="1" ht="30" hidden="1" customHeight="1" x14ac:dyDescent="0.8">
      <c r="A2088" s="14">
        <v>6</v>
      </c>
      <c r="B2088" s="15">
        <v>64</v>
      </c>
      <c r="C2088" s="15">
        <v>641</v>
      </c>
      <c r="D2088" s="15">
        <v>641</v>
      </c>
      <c r="E2088" s="15">
        <v>641</v>
      </c>
      <c r="F2088" s="16" t="s">
        <v>2568</v>
      </c>
      <c r="G2088" s="17"/>
      <c r="H2088" s="17"/>
      <c r="I2088" s="33">
        <v>0</v>
      </c>
      <c r="J2088" s="33"/>
      <c r="K2088" s="33"/>
      <c r="L2088" s="33"/>
      <c r="M2088" s="33"/>
      <c r="N2088" s="33"/>
      <c r="O2088" s="33"/>
      <c r="P2088" s="33"/>
      <c r="Q2088" s="33"/>
      <c r="R2088" s="33"/>
      <c r="S2088" s="33"/>
      <c r="T2088" s="33"/>
      <c r="U2088" s="18"/>
      <c r="V2088" s="18"/>
      <c r="W2088" s="18"/>
      <c r="X2088" s="18"/>
      <c r="Y2088" s="18"/>
      <c r="Z2088" s="18" t="str">
        <f>A2088 &amp; "-" &amp; VLOOKUP(A2088,[4]PROGRAMMES!$E$1:$F$7,2,FALSE)</f>
        <v>6-Education et alphabétisation des adultes</v>
      </c>
      <c r="AA2088" s="19" t="str">
        <f>B2088 &amp; "-" &amp; VLOOKUP(B2088,[4]SOUSPROGRAMMES!$E$1:$F$44,2,FALSE)</f>
        <v xml:space="preserve">64-Développement de la Post-alphabétisation </v>
      </c>
      <c r="AB2088" s="19" t="str">
        <f>C2088 &amp; "-" &amp; VLOOKUP(C2088,[4]RESULTATS!$E$1:$F$176,2,FALSE)</f>
        <v xml:space="preserve">641-Promotion du développement de la production écrite en langues nationales </v>
      </c>
      <c r="AC2088" s="20" t="str">
        <f>D2088 &amp; "-" &amp; VLOOKUP(D2088,[4]STRATEGIES!$E$1:$F$504,2,FALSE)</f>
        <v xml:space="preserve">641-Promotion du développement de la production écrite en langues nationales </v>
      </c>
      <c r="AD2088" s="21" t="str">
        <f t="shared" si="307"/>
        <v xml:space="preserve">641-Promotion du développement de la production écrite en langues nationales </v>
      </c>
    </row>
    <row r="2089" spans="1:30" s="22" customFormat="1" ht="30" hidden="1" customHeight="1" x14ac:dyDescent="0.8">
      <c r="A2089" s="14">
        <v>6</v>
      </c>
      <c r="B2089" s="15">
        <v>64</v>
      </c>
      <c r="C2089" s="15">
        <v>641</v>
      </c>
      <c r="D2089" s="15">
        <v>6411</v>
      </c>
      <c r="E2089" s="15">
        <v>6411</v>
      </c>
      <c r="F2089" s="16" t="s">
        <v>2569</v>
      </c>
      <c r="G2089" s="17"/>
      <c r="H2089" s="17"/>
      <c r="I2089" s="33">
        <v>0</v>
      </c>
      <c r="J2089" s="33"/>
      <c r="K2089" s="33"/>
      <c r="L2089" s="33"/>
      <c r="M2089" s="33"/>
      <c r="N2089" s="33"/>
      <c r="O2089" s="33"/>
      <c r="P2089" s="33"/>
      <c r="Q2089" s="33"/>
      <c r="R2089" s="33"/>
      <c r="S2089" s="33"/>
      <c r="T2089" s="33"/>
      <c r="U2089" s="18"/>
      <c r="V2089" s="18"/>
      <c r="W2089" s="18"/>
      <c r="X2089" s="18"/>
      <c r="Y2089" s="18"/>
      <c r="Z2089" s="18" t="str">
        <f>A2089 &amp; "-" &amp; VLOOKUP(A2089,[4]PROGRAMMES!$E$1:$F$7,2,FALSE)</f>
        <v>6-Education et alphabétisation des adultes</v>
      </c>
      <c r="AA2089" s="19" t="str">
        <f>B2089 &amp; "-" &amp; VLOOKUP(B2089,[4]SOUSPROGRAMMES!$E$1:$F$44,2,FALSE)</f>
        <v xml:space="preserve">64-Développement de la Post-alphabétisation </v>
      </c>
      <c r="AB2089" s="19" t="str">
        <f>C2089 &amp; "-" &amp; VLOOKUP(C2089,[4]RESULTATS!$E$1:$F$176,2,FALSE)</f>
        <v xml:space="preserve">641-Promotion du développement de la production écrite en langues nationales </v>
      </c>
      <c r="AC2089" s="20" t="str">
        <f>D2089 &amp; "-" &amp; VLOOKUP(D2089,[4]STRATEGIES!$E$1:$F$504,2,FALSE)</f>
        <v>6411-Promouvoir la production endogène des ouvrages, journaux, etc écrits en langues nationales</v>
      </c>
      <c r="AD2089" s="21" t="str">
        <f t="shared" si="307"/>
        <v>6411-Promouvoir la production endogène des ouvrages, journaux, etc écrits en langues nationales</v>
      </c>
    </row>
    <row r="2090" spans="1:30" s="22" customFormat="1" ht="30" hidden="1" customHeight="1" x14ac:dyDescent="0.8">
      <c r="A2090" s="14">
        <v>6</v>
      </c>
      <c r="B2090" s="15">
        <v>64</v>
      </c>
      <c r="C2090" s="15">
        <v>641</v>
      </c>
      <c r="D2090" s="15">
        <v>6411</v>
      </c>
      <c r="E2090" s="15">
        <v>64111</v>
      </c>
      <c r="F2090" s="16" t="s">
        <v>2570</v>
      </c>
      <c r="G2090" s="21" t="s">
        <v>436</v>
      </c>
      <c r="H2090" s="17" t="s">
        <v>52</v>
      </c>
      <c r="I2090" s="33">
        <v>0</v>
      </c>
      <c r="J2090" s="33">
        <f>(10*4*3)*80%</f>
        <v>96</v>
      </c>
      <c r="K2090" s="33">
        <f>(10*4*3)*80%</f>
        <v>96</v>
      </c>
      <c r="L2090" s="33">
        <f>(10*4*3)*80%</f>
        <v>96</v>
      </c>
      <c r="M2090" s="33">
        <f>SUM(I2090:L2090)</f>
        <v>288</v>
      </c>
      <c r="N2090" s="33">
        <f>IF(OR(H2090="",H2090="sif",H2090="PM"),0,VLOOKUP(H2090,[5]CU!$C$4:$H$255,6,FALSE))</f>
        <v>1.5</v>
      </c>
      <c r="O2090" s="33">
        <f t="shared" ref="O2090:R2093" si="315">$N2090*I2090</f>
        <v>0</v>
      </c>
      <c r="P2090" s="33">
        <f t="shared" si="315"/>
        <v>144</v>
      </c>
      <c r="Q2090" s="33">
        <f t="shared" si="315"/>
        <v>144</v>
      </c>
      <c r="R2090" s="33">
        <f t="shared" si="315"/>
        <v>144</v>
      </c>
      <c r="S2090" s="33">
        <f>SUM(O2090:R2090)</f>
        <v>432</v>
      </c>
      <c r="T2090" s="35" t="s">
        <v>56</v>
      </c>
      <c r="U2090" s="18" t="s">
        <v>330</v>
      </c>
      <c r="V2090" s="18" t="str">
        <f>IF(OR($H2090="",$H2090="sif",$H2090="PM"),"",VLOOKUP($H2090,[5]CU!$C$5:$J$255,8,FALSE))</f>
        <v>3. Formation</v>
      </c>
      <c r="W2090" s="18" t="s">
        <v>331</v>
      </c>
      <c r="X2090" s="18" t="s">
        <v>2571</v>
      </c>
      <c r="Y2090" s="19" t="s">
        <v>32</v>
      </c>
      <c r="Z2090" s="18" t="str">
        <f>A2090 &amp; "-" &amp; VLOOKUP(A2090,[4]PROGRAMMES!$E$1:$F$7,2,FALSE)</f>
        <v>6-Education et alphabétisation des adultes</v>
      </c>
      <c r="AA2090" s="19" t="str">
        <f>B2090 &amp; "-" &amp; VLOOKUP(B2090,[4]SOUSPROGRAMMES!$E$1:$F$44,2,FALSE)</f>
        <v xml:space="preserve">64-Développement de la Post-alphabétisation </v>
      </c>
      <c r="AB2090" s="19" t="str">
        <f>C2090 &amp; "-" &amp; VLOOKUP(C2090,[4]RESULTATS!$E$1:$F$176,2,FALSE)</f>
        <v xml:space="preserve">641-Promotion du développement de la production écrite en langues nationales </v>
      </c>
      <c r="AC2090" s="20" t="str">
        <f>D2090 &amp; "-" &amp; VLOOKUP(D2090,[4]STRATEGIES!$E$1:$F$504,2,FALSE)</f>
        <v>6411-Promouvoir la production endogène des ouvrages, journaux, etc écrits en langues nationales</v>
      </c>
      <c r="AD2090" s="21" t="str">
        <f t="shared" si="307"/>
        <v>64111-identification et formation des écrivains en langues nationales parmi les néo alphabètes</v>
      </c>
    </row>
    <row r="2091" spans="1:30" s="22" customFormat="1" ht="30" hidden="1" customHeight="1" x14ac:dyDescent="0.8">
      <c r="A2091" s="14">
        <v>6</v>
      </c>
      <c r="B2091" s="15">
        <v>64</v>
      </c>
      <c r="C2091" s="15">
        <v>641</v>
      </c>
      <c r="D2091" s="15">
        <v>6411</v>
      </c>
      <c r="E2091" s="15">
        <v>64111</v>
      </c>
      <c r="F2091" s="16" t="s">
        <v>2570</v>
      </c>
      <c r="G2091" s="21" t="s">
        <v>436</v>
      </c>
      <c r="H2091" s="17" t="s">
        <v>52</v>
      </c>
      <c r="I2091" s="33">
        <v>0</v>
      </c>
      <c r="J2091" s="33">
        <f>(10*4*3)*20%</f>
        <v>24</v>
      </c>
      <c r="K2091" s="33">
        <f>(10*4*3)*20%</f>
        <v>24</v>
      </c>
      <c r="L2091" s="33">
        <f>(10*4*3)*20%</f>
        <v>24</v>
      </c>
      <c r="M2091" s="33">
        <f t="shared" si="313"/>
        <v>72</v>
      </c>
      <c r="N2091" s="33">
        <f>IF(OR(H2091="",H2091="sif",H2091="PM"),0,VLOOKUP(H2091,[5]CU!$C$4:$H$255,6,FALSE))</f>
        <v>1.5</v>
      </c>
      <c r="O2091" s="33">
        <f t="shared" si="315"/>
        <v>0</v>
      </c>
      <c r="P2091" s="33">
        <f t="shared" si="315"/>
        <v>36</v>
      </c>
      <c r="Q2091" s="33">
        <f t="shared" si="315"/>
        <v>36</v>
      </c>
      <c r="R2091" s="33">
        <f t="shared" si="315"/>
        <v>36</v>
      </c>
      <c r="S2091" s="33">
        <f>SUM(O2091:R2091)</f>
        <v>108</v>
      </c>
      <c r="T2091" s="35" t="s">
        <v>118</v>
      </c>
      <c r="U2091" s="18" t="s">
        <v>330</v>
      </c>
      <c r="V2091" s="18" t="str">
        <f>IF(OR($H2091="",$H2091="sif",$H2091="PM"),"",VLOOKUP($H2091,[5]CU!$C$5:$J$255,8,FALSE))</f>
        <v>3. Formation</v>
      </c>
      <c r="W2091" s="18" t="s">
        <v>331</v>
      </c>
      <c r="X2091" s="18" t="s">
        <v>2571</v>
      </c>
      <c r="Y2091" s="19" t="s">
        <v>32</v>
      </c>
      <c r="Z2091" s="18" t="str">
        <f>A2091 &amp; "-" &amp; VLOOKUP(A2091,[4]PROGRAMMES!$E$1:$F$7,2,FALSE)</f>
        <v>6-Education et alphabétisation des adultes</v>
      </c>
      <c r="AA2091" s="19" t="str">
        <f>B2091 &amp; "-" &amp; VLOOKUP(B2091,[4]SOUSPROGRAMMES!$E$1:$F$44,2,FALSE)</f>
        <v xml:space="preserve">64-Développement de la Post-alphabétisation </v>
      </c>
      <c r="AB2091" s="19" t="str">
        <f>C2091 &amp; "-" &amp; VLOOKUP(C2091,[4]RESULTATS!$E$1:$F$176,2,FALSE)</f>
        <v xml:space="preserve">641-Promotion du développement de la production écrite en langues nationales </v>
      </c>
      <c r="AC2091" s="20" t="str">
        <f>D2091 &amp; "-" &amp; VLOOKUP(D2091,[4]STRATEGIES!$E$1:$F$504,2,FALSE)</f>
        <v>6411-Promouvoir la production endogène des ouvrages, journaux, etc écrits en langues nationales</v>
      </c>
      <c r="AD2091" s="21" t="str">
        <f t="shared" si="307"/>
        <v>64111-identification et formation des écrivains en langues nationales parmi les néo alphabètes</v>
      </c>
    </row>
    <row r="2092" spans="1:30" s="22" customFormat="1" ht="30" hidden="1" customHeight="1" x14ac:dyDescent="0.8">
      <c r="A2092" s="14">
        <v>6</v>
      </c>
      <c r="B2092" s="15">
        <v>64</v>
      </c>
      <c r="C2092" s="15">
        <v>641</v>
      </c>
      <c r="D2092" s="15">
        <v>6411</v>
      </c>
      <c r="E2092" s="15">
        <v>64112</v>
      </c>
      <c r="F2092" s="16" t="s">
        <v>2572</v>
      </c>
      <c r="G2092" s="21" t="s">
        <v>2573</v>
      </c>
      <c r="H2092" s="17" t="s">
        <v>2574</v>
      </c>
      <c r="I2092" s="33">
        <v>0</v>
      </c>
      <c r="J2092" s="33">
        <f>1*80%</f>
        <v>0.8</v>
      </c>
      <c r="K2092" s="33">
        <f>1*80%</f>
        <v>0.8</v>
      </c>
      <c r="L2092" s="33">
        <f>1*80%</f>
        <v>0.8</v>
      </c>
      <c r="M2092" s="33">
        <f>SUM(I2092:L2092)</f>
        <v>2.4000000000000004</v>
      </c>
      <c r="N2092" s="33">
        <f>IF(OR(H2092="",H2092="sif",H2092="PM"),0,VLOOKUP(H2092,[5]CU!$C$4:$H$255,6,FALSE))</f>
        <v>100</v>
      </c>
      <c r="O2092" s="33">
        <f t="shared" si="315"/>
        <v>0</v>
      </c>
      <c r="P2092" s="33">
        <f t="shared" si="315"/>
        <v>80</v>
      </c>
      <c r="Q2092" s="33">
        <f t="shared" si="315"/>
        <v>80</v>
      </c>
      <c r="R2092" s="33">
        <f t="shared" si="315"/>
        <v>80</v>
      </c>
      <c r="S2092" s="33">
        <f>SUM(O2092:R2092)</f>
        <v>240</v>
      </c>
      <c r="T2092" s="35" t="s">
        <v>56</v>
      </c>
      <c r="U2092" s="18" t="s">
        <v>330</v>
      </c>
      <c r="V2092" s="18" t="str">
        <f>IF(OR($H2092="",$H2092="sif",$H2092="PM"),"",VLOOKUP($H2092,[5]CU!$C$5:$J$255,8,FALSE))</f>
        <v>4. Transferts et subventions</v>
      </c>
      <c r="W2092" s="18" t="s">
        <v>331</v>
      </c>
      <c r="X2092" s="18" t="s">
        <v>521</v>
      </c>
      <c r="Y2092" s="19" t="s">
        <v>32</v>
      </c>
      <c r="Z2092" s="18" t="str">
        <f>A2092 &amp; "-" &amp; VLOOKUP(A2092,[4]PROGRAMMES!$E$1:$F$7,2,FALSE)</f>
        <v>6-Education et alphabétisation des adultes</v>
      </c>
      <c r="AA2092" s="19" t="str">
        <f>B2092 &amp; "-" &amp; VLOOKUP(B2092,[4]SOUSPROGRAMMES!$E$1:$F$44,2,FALSE)</f>
        <v xml:space="preserve">64-Développement de la Post-alphabétisation </v>
      </c>
      <c r="AB2092" s="19" t="str">
        <f>C2092 &amp; "-" &amp; VLOOKUP(C2092,[4]RESULTATS!$E$1:$F$176,2,FALSE)</f>
        <v xml:space="preserve">641-Promotion du développement de la production écrite en langues nationales </v>
      </c>
      <c r="AC2092" s="20" t="str">
        <f>D2092 &amp; "-" &amp; VLOOKUP(D2092,[4]STRATEGIES!$E$1:$F$504,2,FALSE)</f>
        <v>6411-Promouvoir la production endogène des ouvrages, journaux, etc écrits en langues nationales</v>
      </c>
      <c r="AD2092" s="21" t="str">
        <f t="shared" si="307"/>
        <v xml:space="preserve">64112-Organisation de concours de meilleurs récits, histoires, monographies des villages……)  </v>
      </c>
    </row>
    <row r="2093" spans="1:30" s="22" customFormat="1" ht="30" hidden="1" customHeight="1" x14ac:dyDescent="0.8">
      <c r="A2093" s="14">
        <v>6</v>
      </c>
      <c r="B2093" s="15">
        <v>64</v>
      </c>
      <c r="C2093" s="15">
        <v>641</v>
      </c>
      <c r="D2093" s="15">
        <v>6411</v>
      </c>
      <c r="E2093" s="15">
        <v>64112</v>
      </c>
      <c r="F2093" s="16" t="s">
        <v>2572</v>
      </c>
      <c r="G2093" s="21" t="s">
        <v>2573</v>
      </c>
      <c r="H2093" s="17" t="s">
        <v>2574</v>
      </c>
      <c r="I2093" s="33">
        <v>0</v>
      </c>
      <c r="J2093" s="33">
        <f>1*20%</f>
        <v>0.2</v>
      </c>
      <c r="K2093" s="33">
        <f>1*20%</f>
        <v>0.2</v>
      </c>
      <c r="L2093" s="33">
        <f>1*20%</f>
        <v>0.2</v>
      </c>
      <c r="M2093" s="33">
        <f t="shared" si="313"/>
        <v>0.60000000000000009</v>
      </c>
      <c r="N2093" s="33">
        <f>IF(OR(H2093="",H2093="sif",H2093="PM"),0,VLOOKUP(H2093,[5]CU!$C$4:$H$255,6,FALSE))</f>
        <v>100</v>
      </c>
      <c r="O2093" s="33">
        <f t="shared" si="315"/>
        <v>0</v>
      </c>
      <c r="P2093" s="33">
        <f t="shared" si="315"/>
        <v>20</v>
      </c>
      <c r="Q2093" s="33">
        <f t="shared" si="315"/>
        <v>20</v>
      </c>
      <c r="R2093" s="33">
        <f t="shared" si="315"/>
        <v>20</v>
      </c>
      <c r="S2093" s="33">
        <f>SUM(O2093:R2093)</f>
        <v>60</v>
      </c>
      <c r="T2093" s="35" t="s">
        <v>118</v>
      </c>
      <c r="U2093" s="18" t="s">
        <v>330</v>
      </c>
      <c r="V2093" s="18" t="str">
        <f>IF(OR($H2093="",$H2093="sif",$H2093="PM"),"",VLOOKUP($H2093,[5]CU!$C$5:$J$255,8,FALSE))</f>
        <v>4. Transferts et subventions</v>
      </c>
      <c r="W2093" s="18" t="s">
        <v>331</v>
      </c>
      <c r="X2093" s="18" t="s">
        <v>521</v>
      </c>
      <c r="Y2093" s="19" t="s">
        <v>32</v>
      </c>
      <c r="Z2093" s="18" t="str">
        <f>A2093 &amp; "-" &amp; VLOOKUP(A2093,[4]PROGRAMMES!$E$1:$F$7,2,FALSE)</f>
        <v>6-Education et alphabétisation des adultes</v>
      </c>
      <c r="AA2093" s="19" t="str">
        <f>B2093 &amp; "-" &amp; VLOOKUP(B2093,[4]SOUSPROGRAMMES!$E$1:$F$44,2,FALSE)</f>
        <v xml:space="preserve">64-Développement de la Post-alphabétisation </v>
      </c>
      <c r="AB2093" s="19" t="str">
        <f>C2093 &amp; "-" &amp; VLOOKUP(C2093,[4]RESULTATS!$E$1:$F$176,2,FALSE)</f>
        <v xml:space="preserve">641-Promotion du développement de la production écrite en langues nationales </v>
      </c>
      <c r="AC2093" s="20" t="str">
        <f>D2093 &amp; "-" &amp; VLOOKUP(D2093,[4]STRATEGIES!$E$1:$F$504,2,FALSE)</f>
        <v>6411-Promouvoir la production endogène des ouvrages, journaux, etc écrits en langues nationales</v>
      </c>
      <c r="AD2093" s="21" t="str">
        <f t="shared" si="307"/>
        <v xml:space="preserve">64112-Organisation de concours de meilleurs récits, histoires, monographies des villages……)  </v>
      </c>
    </row>
    <row r="2094" spans="1:30" s="22" customFormat="1" ht="30" hidden="1" customHeight="1" x14ac:dyDescent="0.8">
      <c r="A2094" s="14">
        <v>6</v>
      </c>
      <c r="B2094" s="15">
        <v>64</v>
      </c>
      <c r="C2094" s="15">
        <v>641</v>
      </c>
      <c r="D2094" s="15">
        <v>6411</v>
      </c>
      <c r="E2094" s="15">
        <v>64113</v>
      </c>
      <c r="F2094" s="16" t="s">
        <v>2575</v>
      </c>
      <c r="G2094" s="21" t="s">
        <v>2576</v>
      </c>
      <c r="H2094" s="17" t="s">
        <v>55</v>
      </c>
      <c r="I2094" s="33">
        <v>0</v>
      </c>
      <c r="J2094" s="33"/>
      <c r="K2094" s="33">
        <v>1</v>
      </c>
      <c r="L2094" s="33">
        <v>1</v>
      </c>
      <c r="M2094" s="33">
        <f t="shared" si="313"/>
        <v>2</v>
      </c>
      <c r="N2094" s="33">
        <f>IF(OR(H2094="",H2094="sif",H2094="PM"),0,VLOOKUP(H2094,[5]CU!$C$4:$H$255,6,FALSE))</f>
        <v>0</v>
      </c>
      <c r="O2094" s="33"/>
      <c r="P2094" s="33"/>
      <c r="Q2094" s="33"/>
      <c r="R2094" s="33"/>
      <c r="S2094" s="33"/>
      <c r="T2094" s="35" t="s">
        <v>56</v>
      </c>
      <c r="U2094" s="18" t="s">
        <v>330</v>
      </c>
      <c r="V2094" s="18" t="str">
        <f>IF(OR($H2094="",$H2094="sif",$H2094="PM"),"",VLOOKUP($H2094,[5]CU!$C$5:$J$255,8,FALSE))</f>
        <v/>
      </c>
      <c r="W2094" s="18" t="s">
        <v>331</v>
      </c>
      <c r="X2094" s="18" t="s">
        <v>331</v>
      </c>
      <c r="Y2094" s="19" t="s">
        <v>32</v>
      </c>
      <c r="Z2094" s="18" t="str">
        <f>A2094 &amp; "-" &amp; VLOOKUP(A2094,[4]PROGRAMMES!$E$1:$F$7,2,FALSE)</f>
        <v>6-Education et alphabétisation des adultes</v>
      </c>
      <c r="AA2094" s="19" t="str">
        <f>B2094 &amp; "-" &amp; VLOOKUP(B2094,[4]SOUSPROGRAMMES!$E$1:$F$44,2,FALSE)</f>
        <v xml:space="preserve">64-Développement de la Post-alphabétisation </v>
      </c>
      <c r="AB2094" s="19" t="str">
        <f>C2094 &amp; "-" &amp; VLOOKUP(C2094,[4]RESULTATS!$E$1:$F$176,2,FALSE)</f>
        <v xml:space="preserve">641-Promotion du développement de la production écrite en langues nationales </v>
      </c>
      <c r="AC2094" s="20" t="str">
        <f>D2094 &amp; "-" &amp; VLOOKUP(D2094,[4]STRATEGIES!$E$1:$F$504,2,FALSE)</f>
        <v>6411-Promouvoir la production endogène des ouvrages, journaux, etc écrits en langues nationales</v>
      </c>
      <c r="AD2094" s="21" t="str">
        <f t="shared" si="307"/>
        <v xml:space="preserve">64113-Publication de la production dans les journaux locaux </v>
      </c>
    </row>
    <row r="2095" spans="1:30" s="22" customFormat="1" ht="30" hidden="1" customHeight="1" x14ac:dyDescent="0.8">
      <c r="A2095" s="14">
        <v>6</v>
      </c>
      <c r="B2095" s="15">
        <v>64</v>
      </c>
      <c r="C2095" s="15">
        <v>641</v>
      </c>
      <c r="D2095" s="15">
        <v>6411</v>
      </c>
      <c r="E2095" s="15">
        <v>64114</v>
      </c>
      <c r="F2095" s="16" t="s">
        <v>2577</v>
      </c>
      <c r="G2095" s="21" t="s">
        <v>298</v>
      </c>
      <c r="H2095" s="17" t="s">
        <v>38</v>
      </c>
      <c r="I2095" s="33">
        <v>0</v>
      </c>
      <c r="J2095" s="33">
        <f>(35*4*2)*80%</f>
        <v>224</v>
      </c>
      <c r="K2095" s="33">
        <f>(35*4*2)*80%</f>
        <v>224</v>
      </c>
      <c r="L2095" s="33">
        <f>(35*4*2)*80%</f>
        <v>224</v>
      </c>
      <c r="M2095" s="33">
        <f>SUM(I2095:L2095)</f>
        <v>672</v>
      </c>
      <c r="N2095" s="33">
        <f>IF(OR(H2095="",H2095="sif",H2095="PM"),0,VLOOKUP(H2095,[5]CU!$C$4:$H$255,6,FALSE))</f>
        <v>0.3133333333333333</v>
      </c>
      <c r="O2095" s="33">
        <f>$N2095*I2095</f>
        <v>0</v>
      </c>
      <c r="P2095" s="33">
        <f>$N2095*J2095</f>
        <v>70.186666666666653</v>
      </c>
      <c r="Q2095" s="33">
        <f>$N2095*K2095</f>
        <v>70.186666666666653</v>
      </c>
      <c r="R2095" s="33">
        <f>$N2095*L2095</f>
        <v>70.186666666666653</v>
      </c>
      <c r="S2095" s="33">
        <f>SUM(O2095:R2095)</f>
        <v>210.55999999999995</v>
      </c>
      <c r="T2095" s="35" t="s">
        <v>56</v>
      </c>
      <c r="U2095" s="18" t="s">
        <v>330</v>
      </c>
      <c r="V2095" s="18" t="str">
        <f>IF(OR($H2095="",$H2095="sif",$H2095="PM"),"",VLOOKUP($H2095,[5]CU!$C$5:$J$255,8,FALSE))</f>
        <v>3. Formation</v>
      </c>
      <c r="W2095" s="18" t="s">
        <v>331</v>
      </c>
      <c r="X2095" s="18" t="s">
        <v>2578</v>
      </c>
      <c r="Y2095" s="19" t="s">
        <v>32</v>
      </c>
      <c r="Z2095" s="18" t="str">
        <f>A2095 &amp; "-" &amp; VLOOKUP(A2095,[4]PROGRAMMES!$E$1:$F$7,2,FALSE)</f>
        <v>6-Education et alphabétisation des adultes</v>
      </c>
      <c r="AA2095" s="19" t="str">
        <f>B2095 &amp; "-" &amp; VLOOKUP(B2095,[4]SOUSPROGRAMMES!$E$1:$F$44,2,FALSE)</f>
        <v xml:space="preserve">64-Développement de la Post-alphabétisation </v>
      </c>
      <c r="AB2095" s="19" t="str">
        <f>C2095 &amp; "-" &amp; VLOOKUP(C2095,[4]RESULTATS!$E$1:$F$176,2,FALSE)</f>
        <v xml:space="preserve">641-Promotion du développement de la production écrite en langues nationales </v>
      </c>
      <c r="AC2095" s="20" t="str">
        <f>D2095 &amp; "-" &amp; VLOOKUP(D2095,[4]STRATEGIES!$E$1:$F$504,2,FALSE)</f>
        <v>6411-Promouvoir la production endogène des ouvrages, journaux, etc écrits en langues nationales</v>
      </c>
      <c r="AD2095" s="21" t="str">
        <f t="shared" si="307"/>
        <v xml:space="preserve">64114-Organisation d'atelier de rédaction d'articles en langues nationales par les néo alphabètes </v>
      </c>
    </row>
    <row r="2096" spans="1:30" s="22" customFormat="1" ht="30" hidden="1" customHeight="1" x14ac:dyDescent="0.8">
      <c r="A2096" s="14">
        <v>6</v>
      </c>
      <c r="B2096" s="15">
        <v>64</v>
      </c>
      <c r="C2096" s="15">
        <v>641</v>
      </c>
      <c r="D2096" s="15">
        <v>6411</v>
      </c>
      <c r="E2096" s="15">
        <v>64114</v>
      </c>
      <c r="F2096" s="16" t="s">
        <v>2577</v>
      </c>
      <c r="G2096" s="21" t="s">
        <v>298</v>
      </c>
      <c r="H2096" s="17" t="s">
        <v>38</v>
      </c>
      <c r="I2096" s="33">
        <v>0</v>
      </c>
      <c r="J2096" s="33">
        <f>(35*4*2)*20%</f>
        <v>56</v>
      </c>
      <c r="K2096" s="33">
        <f>(35*4*2)*20%</f>
        <v>56</v>
      </c>
      <c r="L2096" s="33">
        <f>(35*4*2)*20%</f>
        <v>56</v>
      </c>
      <c r="M2096" s="33">
        <f t="shared" si="313"/>
        <v>168</v>
      </c>
      <c r="N2096" s="33">
        <f>IF(OR(H2096="",H2096="sif",H2096="PM"),0,VLOOKUP(H2096,[5]CU!$C$4:$H$255,6,FALSE))</f>
        <v>0.3133333333333333</v>
      </c>
      <c r="O2096" s="33">
        <f t="shared" ref="O2096:R2099" si="316">$N2096*I2096</f>
        <v>0</v>
      </c>
      <c r="P2096" s="33">
        <f t="shared" si="316"/>
        <v>17.546666666666663</v>
      </c>
      <c r="Q2096" s="33">
        <f t="shared" si="316"/>
        <v>17.546666666666663</v>
      </c>
      <c r="R2096" s="33">
        <f t="shared" si="316"/>
        <v>17.546666666666663</v>
      </c>
      <c r="S2096" s="33">
        <f>SUM(O2096:R2096)</f>
        <v>52.639999999999986</v>
      </c>
      <c r="T2096" s="35" t="s">
        <v>118</v>
      </c>
      <c r="U2096" s="18" t="s">
        <v>330</v>
      </c>
      <c r="V2096" s="18" t="str">
        <f>IF(OR($H2096="",$H2096="sif",$H2096="PM"),"",VLOOKUP($H2096,[5]CU!$C$5:$J$255,8,FALSE))</f>
        <v>3. Formation</v>
      </c>
      <c r="W2096" s="18" t="s">
        <v>331</v>
      </c>
      <c r="X2096" s="18" t="s">
        <v>2578</v>
      </c>
      <c r="Y2096" s="19" t="s">
        <v>32</v>
      </c>
      <c r="Z2096" s="18" t="str">
        <f>A2096 &amp; "-" &amp; VLOOKUP(A2096,[4]PROGRAMMES!$E$1:$F$7,2,FALSE)</f>
        <v>6-Education et alphabétisation des adultes</v>
      </c>
      <c r="AA2096" s="19" t="str">
        <f>B2096 &amp; "-" &amp; VLOOKUP(B2096,[4]SOUSPROGRAMMES!$E$1:$F$44,2,FALSE)</f>
        <v xml:space="preserve">64-Développement de la Post-alphabétisation </v>
      </c>
      <c r="AB2096" s="19" t="str">
        <f>C2096 &amp; "-" &amp; VLOOKUP(C2096,[4]RESULTATS!$E$1:$F$176,2,FALSE)</f>
        <v xml:space="preserve">641-Promotion du développement de la production écrite en langues nationales </v>
      </c>
      <c r="AC2096" s="20" t="str">
        <f>D2096 &amp; "-" &amp; VLOOKUP(D2096,[4]STRATEGIES!$E$1:$F$504,2,FALSE)</f>
        <v>6411-Promouvoir la production endogène des ouvrages, journaux, etc écrits en langues nationales</v>
      </c>
      <c r="AD2096" s="21" t="str">
        <f t="shared" si="307"/>
        <v xml:space="preserve">64114-Organisation d'atelier de rédaction d'articles en langues nationales par les néo alphabètes </v>
      </c>
    </row>
    <row r="2097" spans="1:30" s="22" customFormat="1" ht="30" hidden="1" customHeight="1" x14ac:dyDescent="0.8">
      <c r="A2097" s="14">
        <v>6</v>
      </c>
      <c r="B2097" s="15">
        <v>64</v>
      </c>
      <c r="C2097" s="15">
        <v>641</v>
      </c>
      <c r="D2097" s="15">
        <v>6412</v>
      </c>
      <c r="E2097" s="15">
        <v>6412</v>
      </c>
      <c r="F2097" s="16" t="s">
        <v>2579</v>
      </c>
      <c r="G2097" s="17"/>
      <c r="H2097" s="17"/>
      <c r="I2097" s="33">
        <v>0</v>
      </c>
      <c r="J2097" s="33"/>
      <c r="K2097" s="33"/>
      <c r="L2097" s="33"/>
      <c r="M2097" s="33"/>
      <c r="N2097" s="33"/>
      <c r="O2097" s="33"/>
      <c r="P2097" s="33"/>
      <c r="Q2097" s="33"/>
      <c r="R2097" s="33"/>
      <c r="S2097" s="33"/>
      <c r="T2097" s="33"/>
      <c r="U2097" s="18"/>
      <c r="V2097" s="18"/>
      <c r="W2097" s="18"/>
      <c r="X2097" s="18"/>
      <c r="Y2097" s="18"/>
      <c r="Z2097" s="18" t="str">
        <f>A2097 &amp; "-" &amp; VLOOKUP(A2097,[4]PROGRAMMES!$E$1:$F$7,2,FALSE)</f>
        <v>6-Education et alphabétisation des adultes</v>
      </c>
      <c r="AA2097" s="19" t="str">
        <f>B2097 &amp; "-" &amp; VLOOKUP(B2097,[4]SOUSPROGRAMMES!$E$1:$F$44,2,FALSE)</f>
        <v xml:space="preserve">64-Développement de la Post-alphabétisation </v>
      </c>
      <c r="AB2097" s="19" t="str">
        <f>C2097 &amp; "-" &amp; VLOOKUP(C2097,[4]RESULTATS!$E$1:$F$176,2,FALSE)</f>
        <v xml:space="preserve">641-Promotion du développement de la production écrite en langues nationales </v>
      </c>
      <c r="AC2097" s="20" t="str">
        <f>D2097 &amp; "-" &amp; VLOOKUP(D2097,[4]STRATEGIES!$E$1:$F$504,2,FALSE)</f>
        <v>6412-Développement d'actions de plaidoyer pour la production d'enseignes et d'écriteaux en langues nationales</v>
      </c>
      <c r="AD2097" s="21" t="str">
        <f t="shared" si="307"/>
        <v>6412-Développement d'actions de plaidoyer pour la production d'enseignes et d'écriteaux en langues nationales</v>
      </c>
    </row>
    <row r="2098" spans="1:30" s="22" customFormat="1" ht="30" hidden="1" customHeight="1" x14ac:dyDescent="0.8">
      <c r="A2098" s="14">
        <v>6</v>
      </c>
      <c r="B2098" s="15">
        <v>64</v>
      </c>
      <c r="C2098" s="15">
        <v>641</v>
      </c>
      <c r="D2098" s="15">
        <v>6412</v>
      </c>
      <c r="E2098" s="15">
        <v>64121</v>
      </c>
      <c r="F2098" s="16" t="s">
        <v>2580</v>
      </c>
      <c r="G2098" s="21" t="s">
        <v>298</v>
      </c>
      <c r="H2098" s="17" t="s">
        <v>66</v>
      </c>
      <c r="I2098" s="33">
        <v>0</v>
      </c>
      <c r="J2098" s="33"/>
      <c r="K2098" s="33"/>
      <c r="L2098" s="33"/>
      <c r="M2098" s="33">
        <f t="shared" si="313"/>
        <v>0</v>
      </c>
      <c r="N2098" s="33">
        <f>IF(OR(H2098="",H2098="sif",H2098="PM"),0,VLOOKUP(H2098,[5]CU!$C$4:$H$255,6,FALSE))</f>
        <v>0.255</v>
      </c>
      <c r="O2098" s="33">
        <f t="shared" si="316"/>
        <v>0</v>
      </c>
      <c r="P2098" s="33">
        <f t="shared" si="316"/>
        <v>0</v>
      </c>
      <c r="Q2098" s="33">
        <f t="shared" si="316"/>
        <v>0</v>
      </c>
      <c r="R2098" s="33">
        <f t="shared" si="316"/>
        <v>0</v>
      </c>
      <c r="S2098" s="33">
        <f>SUM(O2098:R2098)</f>
        <v>0</v>
      </c>
      <c r="T2098" s="35" t="s">
        <v>56</v>
      </c>
      <c r="U2098" s="18" t="s">
        <v>330</v>
      </c>
      <c r="V2098" s="18" t="str">
        <f>IF(OR($H2098="",$H2098="sif",$H2098="PM"),"",VLOOKUP($H2098,[5]CU!$C$5:$J$255,8,FALSE))</f>
        <v>3. Dépenses de fonctionnement</v>
      </c>
      <c r="W2098" s="18" t="s">
        <v>331</v>
      </c>
      <c r="X2098" s="18" t="s">
        <v>331</v>
      </c>
      <c r="Y2098" s="19" t="s">
        <v>32</v>
      </c>
      <c r="Z2098" s="18" t="str">
        <f>A2098 &amp; "-" &amp; VLOOKUP(A2098,[4]PROGRAMMES!$E$1:$F$7,2,FALSE)</f>
        <v>6-Education et alphabétisation des adultes</v>
      </c>
      <c r="AA2098" s="19" t="str">
        <f>B2098 &amp; "-" &amp; VLOOKUP(B2098,[4]SOUSPROGRAMMES!$E$1:$F$44,2,FALSE)</f>
        <v xml:space="preserve">64-Développement de la Post-alphabétisation </v>
      </c>
      <c r="AB2098" s="19" t="str">
        <f>C2098 &amp; "-" &amp; VLOOKUP(C2098,[4]RESULTATS!$E$1:$F$176,2,FALSE)</f>
        <v xml:space="preserve">641-Promotion du développement de la production écrite en langues nationales </v>
      </c>
      <c r="AC2098" s="20" t="str">
        <f>D2098 &amp; "-" &amp; VLOOKUP(D2098,[4]STRATEGIES!$E$1:$F$504,2,FALSE)</f>
        <v>6412-Développement d'actions de plaidoyer pour la production d'enseignes et d'écriteaux en langues nationales</v>
      </c>
      <c r="AD2098" s="21" t="str">
        <f t="shared" si="307"/>
        <v>64121-Elaboration d'une stratégie nationale de création et de développement de foyers d'environnement lettré</v>
      </c>
    </row>
    <row r="2099" spans="1:30" s="22" customFormat="1" ht="30" hidden="1" customHeight="1" x14ac:dyDescent="0.8">
      <c r="A2099" s="14">
        <v>6</v>
      </c>
      <c r="B2099" s="15">
        <v>64</v>
      </c>
      <c r="C2099" s="15">
        <v>641</v>
      </c>
      <c r="D2099" s="15">
        <v>6412</v>
      </c>
      <c r="E2099" s="15">
        <v>64122</v>
      </c>
      <c r="F2099" s="16" t="s">
        <v>2581</v>
      </c>
      <c r="G2099" s="21" t="s">
        <v>37</v>
      </c>
      <c r="H2099" s="17" t="s">
        <v>66</v>
      </c>
      <c r="I2099" s="33">
        <v>0</v>
      </c>
      <c r="J2099" s="33">
        <f>25*2*1</f>
        <v>50</v>
      </c>
      <c r="K2099" s="33"/>
      <c r="L2099" s="33"/>
      <c r="M2099" s="33">
        <f t="shared" si="313"/>
        <v>50</v>
      </c>
      <c r="N2099" s="33">
        <f>IF(OR(H2099="",H2099="sif",H2099="PM"),0,VLOOKUP(H2099,[5]CU!$C$4:$H$255,6,FALSE))</f>
        <v>0.255</v>
      </c>
      <c r="O2099" s="33">
        <f t="shared" si="316"/>
        <v>0</v>
      </c>
      <c r="P2099" s="33">
        <f t="shared" si="316"/>
        <v>12.75</v>
      </c>
      <c r="Q2099" s="33">
        <f t="shared" si="316"/>
        <v>0</v>
      </c>
      <c r="R2099" s="33">
        <f t="shared" si="316"/>
        <v>0</v>
      </c>
      <c r="S2099" s="33">
        <f>SUM(O2099:R2099)</f>
        <v>12.75</v>
      </c>
      <c r="T2099" s="35" t="s">
        <v>56</v>
      </c>
      <c r="U2099" s="18" t="s">
        <v>330</v>
      </c>
      <c r="V2099" s="18" t="str">
        <f>IF(OR($H2099="",$H2099="sif",$H2099="PM"),"",VLOOKUP($H2099,[5]CU!$C$5:$J$255,8,FALSE))</f>
        <v>3. Dépenses de fonctionnement</v>
      </c>
      <c r="W2099" s="18" t="s">
        <v>331</v>
      </c>
      <c r="X2099" s="18" t="s">
        <v>331</v>
      </c>
      <c r="Y2099" s="19" t="s">
        <v>32</v>
      </c>
      <c r="Z2099" s="18" t="str">
        <f>A2099 &amp; "-" &amp; VLOOKUP(A2099,[4]PROGRAMMES!$E$1:$F$7,2,FALSE)</f>
        <v>6-Education et alphabétisation des adultes</v>
      </c>
      <c r="AA2099" s="19" t="str">
        <f>B2099 &amp; "-" &amp; VLOOKUP(B2099,[4]SOUSPROGRAMMES!$E$1:$F$44,2,FALSE)</f>
        <v xml:space="preserve">64-Développement de la Post-alphabétisation </v>
      </c>
      <c r="AB2099" s="19" t="str">
        <f>C2099 &amp; "-" &amp; VLOOKUP(C2099,[4]RESULTATS!$E$1:$F$176,2,FALSE)</f>
        <v xml:space="preserve">641-Promotion du développement de la production écrite en langues nationales </v>
      </c>
      <c r="AC2099" s="20" t="str">
        <f>D2099 &amp; "-" &amp; VLOOKUP(D2099,[4]STRATEGIES!$E$1:$F$504,2,FALSE)</f>
        <v>6412-Développement d'actions de plaidoyer pour la production d'enseignes et d'écriteaux en langues nationales</v>
      </c>
      <c r="AD2099" s="21" t="str">
        <f t="shared" si="307"/>
        <v>64122-Validation technique de la stratégie</v>
      </c>
    </row>
    <row r="2100" spans="1:30" s="22" customFormat="1" ht="30" hidden="1" customHeight="1" x14ac:dyDescent="0.8">
      <c r="A2100" s="14">
        <v>6</v>
      </c>
      <c r="B2100" s="15">
        <v>64</v>
      </c>
      <c r="C2100" s="15">
        <v>641</v>
      </c>
      <c r="D2100" s="15">
        <v>6412</v>
      </c>
      <c r="E2100" s="15">
        <v>64123</v>
      </c>
      <c r="F2100" s="16" t="s">
        <v>2582</v>
      </c>
      <c r="G2100" s="21" t="s">
        <v>88</v>
      </c>
      <c r="H2100" s="17" t="s">
        <v>55</v>
      </c>
      <c r="I2100" s="33">
        <v>0</v>
      </c>
      <c r="J2100" s="33">
        <f>1*1*1</f>
        <v>1</v>
      </c>
      <c r="K2100" s="33"/>
      <c r="L2100" s="33"/>
      <c r="M2100" s="33">
        <f t="shared" si="313"/>
        <v>1</v>
      </c>
      <c r="N2100" s="33">
        <f>IF(OR(H2100="",H2100="sif",H2100="PM"),0,VLOOKUP(H2100,[5]CU!$C$4:$H$255,6,FALSE))</f>
        <v>0</v>
      </c>
      <c r="O2100" s="33"/>
      <c r="P2100" s="33"/>
      <c r="Q2100" s="33"/>
      <c r="R2100" s="33"/>
      <c r="S2100" s="33"/>
      <c r="T2100" s="35" t="s">
        <v>56</v>
      </c>
      <c r="U2100" s="18" t="s">
        <v>330</v>
      </c>
      <c r="V2100" s="18" t="str">
        <f>IF(OR($H2100="",$H2100="sif",$H2100="PM"),"",VLOOKUP($H2100,[5]CU!$C$5:$J$255,8,FALSE))</f>
        <v/>
      </c>
      <c r="W2100" s="18" t="s">
        <v>331</v>
      </c>
      <c r="X2100" s="18" t="s">
        <v>2583</v>
      </c>
      <c r="Y2100" s="19" t="s">
        <v>32</v>
      </c>
      <c r="Z2100" s="18" t="str">
        <f>A2100 &amp; "-" &amp; VLOOKUP(A2100,[4]PROGRAMMES!$E$1:$F$7,2,FALSE)</f>
        <v>6-Education et alphabétisation des adultes</v>
      </c>
      <c r="AA2100" s="19" t="str">
        <f>B2100 &amp; "-" &amp; VLOOKUP(B2100,[4]SOUSPROGRAMMES!$E$1:$F$44,2,FALSE)</f>
        <v xml:space="preserve">64-Développement de la Post-alphabétisation </v>
      </c>
      <c r="AB2100" s="19" t="str">
        <f>C2100 &amp; "-" &amp; VLOOKUP(C2100,[4]RESULTATS!$E$1:$F$176,2,FALSE)</f>
        <v xml:space="preserve">641-Promotion du développement de la production écrite en langues nationales </v>
      </c>
      <c r="AC2100" s="20" t="str">
        <f>D2100 &amp; "-" &amp; VLOOKUP(D2100,[4]STRATEGIES!$E$1:$F$504,2,FALSE)</f>
        <v>6412-Développement d'actions de plaidoyer pour la production d'enseignes et d'écriteaux en langues nationales</v>
      </c>
      <c r="AD2100" s="21" t="str">
        <f t="shared" si="307"/>
        <v>64123-Soumission de la stratégie pour validation au gouvernement</v>
      </c>
    </row>
    <row r="2101" spans="1:30" s="22" customFormat="1" ht="30" hidden="1" customHeight="1" x14ac:dyDescent="0.8">
      <c r="A2101" s="14">
        <v>6</v>
      </c>
      <c r="B2101" s="15">
        <v>64</v>
      </c>
      <c r="C2101" s="15">
        <v>641</v>
      </c>
      <c r="D2101" s="15">
        <v>6412</v>
      </c>
      <c r="E2101" s="15">
        <v>64124</v>
      </c>
      <c r="F2101" s="16" t="s">
        <v>2584</v>
      </c>
      <c r="G2101" s="21" t="s">
        <v>2585</v>
      </c>
      <c r="H2101" s="17" t="s">
        <v>55</v>
      </c>
      <c r="I2101" s="33">
        <v>0</v>
      </c>
      <c r="J2101" s="33"/>
      <c r="K2101" s="33">
        <v>1</v>
      </c>
      <c r="L2101" s="33"/>
      <c r="M2101" s="33">
        <f t="shared" si="313"/>
        <v>1</v>
      </c>
      <c r="N2101" s="33">
        <f>IF(OR(H2101="",H2101="sif",H2101="PM"),0,VLOOKUP(H2101,[5]CU!$C$4:$H$255,6,FALSE))</f>
        <v>0</v>
      </c>
      <c r="O2101" s="33"/>
      <c r="P2101" s="33"/>
      <c r="Q2101" s="33"/>
      <c r="R2101" s="33"/>
      <c r="S2101" s="33"/>
      <c r="T2101" s="35" t="s">
        <v>56</v>
      </c>
      <c r="U2101" s="18" t="s">
        <v>330</v>
      </c>
      <c r="V2101" s="18" t="str">
        <f>IF(OR($H2101="",$H2101="sif",$H2101="PM"),"",VLOOKUP($H2101,[5]CU!$C$5:$J$255,8,FALSE))</f>
        <v/>
      </c>
      <c r="W2101" s="18" t="s">
        <v>32</v>
      </c>
      <c r="X2101" s="18" t="s">
        <v>2583</v>
      </c>
      <c r="Y2101" s="19" t="s">
        <v>32</v>
      </c>
      <c r="Z2101" s="18" t="str">
        <f>A2101 &amp; "-" &amp; VLOOKUP(A2101,[4]PROGRAMMES!$E$1:$F$7,2,FALSE)</f>
        <v>6-Education et alphabétisation des adultes</v>
      </c>
      <c r="AA2101" s="19" t="str">
        <f>B2101 &amp; "-" &amp; VLOOKUP(B2101,[4]SOUSPROGRAMMES!$E$1:$F$44,2,FALSE)</f>
        <v xml:space="preserve">64-Développement de la Post-alphabétisation </v>
      </c>
      <c r="AB2101" s="19" t="str">
        <f>C2101 &amp; "-" &amp; VLOOKUP(C2101,[4]RESULTATS!$E$1:$F$176,2,FALSE)</f>
        <v xml:space="preserve">641-Promotion du développement de la production écrite en langues nationales </v>
      </c>
      <c r="AC2101" s="20" t="str">
        <f>D2101 &amp; "-" &amp; VLOOKUP(D2101,[4]STRATEGIES!$E$1:$F$504,2,FALSE)</f>
        <v>6412-Développement d'actions de plaidoyer pour la production d'enseignes et d'écriteaux en langues nationales</v>
      </c>
      <c r="AD2101" s="21" t="str">
        <f t="shared" si="307"/>
        <v xml:space="preserve">64124-Adoption par le Gouvernement de la stratégie nationale pour le développement d'un environnement lettré en langues nationales </v>
      </c>
    </row>
    <row r="2102" spans="1:30" s="22" customFormat="1" ht="30" hidden="1" customHeight="1" x14ac:dyDescent="0.8">
      <c r="A2102" s="14">
        <v>6</v>
      </c>
      <c r="B2102" s="15">
        <v>64</v>
      </c>
      <c r="C2102" s="15">
        <v>641</v>
      </c>
      <c r="D2102" s="15">
        <v>6412</v>
      </c>
      <c r="E2102" s="15">
        <v>64125</v>
      </c>
      <c r="F2102" s="16" t="s">
        <v>2586</v>
      </c>
      <c r="G2102" s="21" t="s">
        <v>159</v>
      </c>
      <c r="H2102" s="17" t="s">
        <v>55</v>
      </c>
      <c r="I2102" s="33">
        <v>0</v>
      </c>
      <c r="J2102" s="33">
        <v>1</v>
      </c>
      <c r="K2102" s="33"/>
      <c r="L2102" s="33"/>
      <c r="M2102" s="33">
        <f t="shared" si="313"/>
        <v>1</v>
      </c>
      <c r="N2102" s="33">
        <f>IF(OR(H2102="",H2102="sif",H2102="PM"),0,VLOOKUP(H2102,[5]CU!$C$4:$H$255,6,FALSE))</f>
        <v>0</v>
      </c>
      <c r="O2102" s="33"/>
      <c r="P2102" s="33"/>
      <c r="Q2102" s="33"/>
      <c r="R2102" s="33"/>
      <c r="S2102" s="33"/>
      <c r="T2102" s="35" t="s">
        <v>56</v>
      </c>
      <c r="U2102" s="18" t="s">
        <v>330</v>
      </c>
      <c r="V2102" s="18" t="str">
        <f>IF(OR($H2102="",$H2102="sif",$H2102="PM"),"",VLOOKUP($H2102,[5]CU!$C$5:$J$255,8,FALSE))</f>
        <v/>
      </c>
      <c r="W2102" s="18" t="s">
        <v>331</v>
      </c>
      <c r="X2102" s="18" t="s">
        <v>2587</v>
      </c>
      <c r="Y2102" s="19" t="s">
        <v>32</v>
      </c>
      <c r="Z2102" s="18" t="str">
        <f>A2102 &amp; "-" &amp; VLOOKUP(A2102,[4]PROGRAMMES!$E$1:$F$7,2,FALSE)</f>
        <v>6-Education et alphabétisation des adultes</v>
      </c>
      <c r="AA2102" s="19" t="str">
        <f>B2102 &amp; "-" &amp; VLOOKUP(B2102,[4]SOUSPROGRAMMES!$E$1:$F$44,2,FALSE)</f>
        <v xml:space="preserve">64-Développement de la Post-alphabétisation </v>
      </c>
      <c r="AB2102" s="19" t="str">
        <f>C2102 &amp; "-" &amp; VLOOKUP(C2102,[4]RESULTATS!$E$1:$F$176,2,FALSE)</f>
        <v xml:space="preserve">641-Promotion du développement de la production écrite en langues nationales </v>
      </c>
      <c r="AC2102" s="20" t="str">
        <f>D2102 &amp; "-" &amp; VLOOKUP(D2102,[4]STRATEGIES!$E$1:$F$504,2,FALSE)</f>
        <v>6412-Développement d'actions de plaidoyer pour la production d'enseignes et d'écriteaux en langues nationales</v>
      </c>
      <c r="AD2102" s="21" t="str">
        <f t="shared" si="307"/>
        <v>64125-Poursuite de l'expérimentation sur l'utilisation du numérique pour renforcer la post alphabétisation (DVV)</v>
      </c>
    </row>
    <row r="2103" spans="1:30" s="22" customFormat="1" ht="30" hidden="1" customHeight="1" x14ac:dyDescent="0.8">
      <c r="A2103" s="14">
        <v>6</v>
      </c>
      <c r="B2103" s="15">
        <v>64</v>
      </c>
      <c r="C2103" s="15">
        <v>641</v>
      </c>
      <c r="D2103" s="15">
        <v>6412</v>
      </c>
      <c r="E2103" s="15">
        <v>64126</v>
      </c>
      <c r="F2103" s="16" t="s">
        <v>2588</v>
      </c>
      <c r="G2103" s="21" t="s">
        <v>159</v>
      </c>
      <c r="H2103" s="17" t="s">
        <v>55</v>
      </c>
      <c r="I2103" s="33">
        <v>0</v>
      </c>
      <c r="J2103" s="33">
        <v>1</v>
      </c>
      <c r="K2103" s="33"/>
      <c r="L2103" s="33"/>
      <c r="M2103" s="33">
        <f t="shared" si="313"/>
        <v>1</v>
      </c>
      <c r="N2103" s="33">
        <f>IF(OR(H2103="",H2103="sif",H2103="PM"),0,VLOOKUP(H2103,[5]CU!$C$4:$H$255,6,FALSE))</f>
        <v>0</v>
      </c>
      <c r="O2103" s="33"/>
      <c r="P2103" s="33"/>
      <c r="Q2103" s="33"/>
      <c r="R2103" s="33"/>
      <c r="S2103" s="33"/>
      <c r="T2103" s="35" t="s">
        <v>56</v>
      </c>
      <c r="U2103" s="18" t="s">
        <v>330</v>
      </c>
      <c r="V2103" s="18" t="str">
        <f>IF(OR($H2103="",$H2103="sif",$H2103="PM"),"",VLOOKUP($H2103,[5]CU!$C$5:$J$255,8,FALSE))</f>
        <v/>
      </c>
      <c r="W2103" s="18" t="s">
        <v>331</v>
      </c>
      <c r="X2103" s="18" t="s">
        <v>2587</v>
      </c>
      <c r="Y2103" s="19" t="s">
        <v>32</v>
      </c>
      <c r="Z2103" s="18" t="str">
        <f>A2103 &amp; "-" &amp; VLOOKUP(A2103,[4]PROGRAMMES!$E$1:$F$7,2,FALSE)</f>
        <v>6-Education et alphabétisation des adultes</v>
      </c>
      <c r="AA2103" s="19" t="str">
        <f>B2103 &amp; "-" &amp; VLOOKUP(B2103,[4]SOUSPROGRAMMES!$E$1:$F$44,2,FALSE)</f>
        <v xml:space="preserve">64-Développement de la Post-alphabétisation </v>
      </c>
      <c r="AB2103" s="19" t="str">
        <f>C2103 &amp; "-" &amp; VLOOKUP(C2103,[4]RESULTATS!$E$1:$F$176,2,FALSE)</f>
        <v xml:space="preserve">641-Promotion du développement de la production écrite en langues nationales </v>
      </c>
      <c r="AC2103" s="20" t="str">
        <f>D2103 &amp; "-" &amp; VLOOKUP(D2103,[4]STRATEGIES!$E$1:$F$504,2,FALSE)</f>
        <v>6412-Développement d'actions de plaidoyer pour la production d'enseignes et d'écriteaux en langues nationales</v>
      </c>
      <c r="AD2103" s="21" t="str">
        <f t="shared" si="307"/>
        <v>64126-Evaluation de l'expérimentation sur l'utilisation du numérique pour renforcer la post alphabétisation (DVV)</v>
      </c>
    </row>
    <row r="2104" spans="1:30" s="22" customFormat="1" ht="30" hidden="1" customHeight="1" x14ac:dyDescent="0.8">
      <c r="A2104" s="14">
        <v>6</v>
      </c>
      <c r="B2104" s="15">
        <v>64</v>
      </c>
      <c r="C2104" s="15">
        <v>641</v>
      </c>
      <c r="D2104" s="15">
        <v>6412</v>
      </c>
      <c r="E2104" s="15">
        <v>64127</v>
      </c>
      <c r="F2104" s="16" t="s">
        <v>2589</v>
      </c>
      <c r="G2104" s="21" t="s">
        <v>298</v>
      </c>
      <c r="H2104" s="17" t="s">
        <v>38</v>
      </c>
      <c r="I2104" s="33">
        <v>0</v>
      </c>
      <c r="J2104" s="33"/>
      <c r="K2104" s="33">
        <f>20*2</f>
        <v>40</v>
      </c>
      <c r="L2104" s="33"/>
      <c r="M2104" s="33">
        <f t="shared" si="313"/>
        <v>40</v>
      </c>
      <c r="N2104" s="33">
        <f>IF(OR(H2104="",H2104="sif",H2104="PM"),0,VLOOKUP(H2104,[5]CU!$C$4:$H$255,6,FALSE))</f>
        <v>0.3133333333333333</v>
      </c>
      <c r="O2104" s="33">
        <f t="shared" ref="O2104:R2107" si="317">$N2104*I2104</f>
        <v>0</v>
      </c>
      <c r="P2104" s="33">
        <f t="shared" si="317"/>
        <v>0</v>
      </c>
      <c r="Q2104" s="33">
        <f t="shared" si="317"/>
        <v>12.533333333333331</v>
      </c>
      <c r="R2104" s="33">
        <f t="shared" si="317"/>
        <v>0</v>
      </c>
      <c r="S2104" s="33">
        <f>SUM(O2104:R2104)</f>
        <v>12.533333333333331</v>
      </c>
      <c r="T2104" s="35" t="s">
        <v>56</v>
      </c>
      <c r="U2104" s="18" t="s">
        <v>330</v>
      </c>
      <c r="V2104" s="18" t="str">
        <f>IF(OR($H2104="",$H2104="sif",$H2104="PM"),"",VLOOKUP($H2104,[5]CU!$C$5:$J$255,8,FALSE))</f>
        <v>3. Formation</v>
      </c>
      <c r="W2104" s="18" t="s">
        <v>331</v>
      </c>
      <c r="X2104" s="18" t="s">
        <v>331</v>
      </c>
      <c r="Y2104" s="19" t="s">
        <v>32</v>
      </c>
      <c r="Z2104" s="18" t="str">
        <f>A2104 &amp; "-" &amp; VLOOKUP(A2104,[4]PROGRAMMES!$E$1:$F$7,2,FALSE)</f>
        <v>6-Education et alphabétisation des adultes</v>
      </c>
      <c r="AA2104" s="19" t="str">
        <f>B2104 &amp; "-" &amp; VLOOKUP(B2104,[4]SOUSPROGRAMMES!$E$1:$F$44,2,FALSE)</f>
        <v xml:space="preserve">64-Développement de la Post-alphabétisation </v>
      </c>
      <c r="AB2104" s="19" t="str">
        <f>C2104 &amp; "-" &amp; VLOOKUP(C2104,[4]RESULTATS!$E$1:$F$176,2,FALSE)</f>
        <v xml:space="preserve">641-Promotion du développement de la production écrite en langues nationales </v>
      </c>
      <c r="AC2104" s="20" t="str">
        <f>D2104 &amp; "-" &amp; VLOOKUP(D2104,[4]STRATEGIES!$E$1:$F$504,2,FALSE)</f>
        <v>6412-Développement d'actions de plaidoyer pour la production d'enseignes et d'écriteaux en langues nationales</v>
      </c>
      <c r="AD2104" s="21" t="str">
        <f t="shared" si="307"/>
        <v>64127-Analyse des résultats de l'expérimentation sur l'utilisation du numérique pour renforcer la post alphabétisation (DVV)</v>
      </c>
    </row>
    <row r="2105" spans="1:30" s="22" customFormat="1" ht="30" hidden="1" customHeight="1" x14ac:dyDescent="0.8">
      <c r="A2105" s="14">
        <v>6</v>
      </c>
      <c r="B2105" s="15">
        <v>64</v>
      </c>
      <c r="C2105" s="15">
        <v>641</v>
      </c>
      <c r="D2105" s="15">
        <v>6413</v>
      </c>
      <c r="E2105" s="15">
        <v>6413</v>
      </c>
      <c r="F2105" s="16" t="s">
        <v>2590</v>
      </c>
      <c r="G2105" s="17"/>
      <c r="H2105" s="17"/>
      <c r="I2105" s="33">
        <v>0</v>
      </c>
      <c r="J2105" s="33"/>
      <c r="K2105" s="33"/>
      <c r="L2105" s="33"/>
      <c r="M2105" s="33"/>
      <c r="N2105" s="33"/>
      <c r="O2105" s="33"/>
      <c r="P2105" s="33"/>
      <c r="Q2105" s="33"/>
      <c r="R2105" s="33"/>
      <c r="S2105" s="33"/>
      <c r="T2105" s="33"/>
      <c r="U2105" s="18"/>
      <c r="V2105" s="18"/>
      <c r="W2105" s="18"/>
      <c r="X2105" s="18"/>
      <c r="Y2105" s="18"/>
      <c r="Z2105" s="18" t="str">
        <f>A2105 &amp; "-" &amp; VLOOKUP(A2105,[4]PROGRAMMES!$E$1:$F$7,2,FALSE)</f>
        <v>6-Education et alphabétisation des adultes</v>
      </c>
      <c r="AA2105" s="19" t="str">
        <f>B2105 &amp; "-" &amp; VLOOKUP(B2105,[4]SOUSPROGRAMMES!$E$1:$F$44,2,FALSE)</f>
        <v xml:space="preserve">64-Développement de la Post-alphabétisation </v>
      </c>
      <c r="AB2105" s="19" t="str">
        <f>C2105 &amp; "-" &amp; VLOOKUP(C2105,[4]RESULTATS!$E$1:$F$176,2,FALSE)</f>
        <v xml:space="preserve">641-Promotion du développement de la production écrite en langues nationales </v>
      </c>
      <c r="AC2105" s="20" t="str">
        <f>D2105 &amp; "-" &amp; VLOOKUP(D2105,[4]STRATEGIES!$E$1:$F$504,2,FALSE)</f>
        <v>6413-Redynamisation des bibliothèques villageoise</v>
      </c>
      <c r="AD2105" s="21" t="str">
        <f t="shared" si="307"/>
        <v>6413-Redynamisation des bibliothèques villageoise</v>
      </c>
    </row>
    <row r="2106" spans="1:30" s="22" customFormat="1" ht="30" hidden="1" customHeight="1" x14ac:dyDescent="0.8">
      <c r="A2106" s="14">
        <v>6</v>
      </c>
      <c r="B2106" s="15">
        <v>64</v>
      </c>
      <c r="C2106" s="15">
        <v>641</v>
      </c>
      <c r="D2106" s="15">
        <v>6413</v>
      </c>
      <c r="E2106" s="15">
        <v>64131</v>
      </c>
      <c r="F2106" s="16" t="s">
        <v>2591</v>
      </c>
      <c r="G2106" s="21" t="s">
        <v>177</v>
      </c>
      <c r="H2106" s="17" t="s">
        <v>59</v>
      </c>
      <c r="I2106" s="33">
        <v>0</v>
      </c>
      <c r="J2106" s="33"/>
      <c r="K2106" s="33">
        <f>(15*12*1)*80.01%</f>
        <v>144.018</v>
      </c>
      <c r="L2106" s="33">
        <f>(15*12*1)*80.01%</f>
        <v>144.018</v>
      </c>
      <c r="M2106" s="33">
        <f>SUM(I2106:L2106)</f>
        <v>288.036</v>
      </c>
      <c r="N2106" s="33">
        <f>IF(OR(H2106="",H2106="sif",H2106="PM"),0,VLOOKUP(H2106,[5]CU!$C$4:$H$255,6,FALSE))</f>
        <v>0.8177777777777776</v>
      </c>
      <c r="O2106" s="33">
        <f>$N2106*I2106</f>
        <v>0</v>
      </c>
      <c r="P2106" s="33">
        <f>$N2106*J2106</f>
        <v>0</v>
      </c>
      <c r="Q2106" s="33">
        <f>$N2106*K2106</f>
        <v>117.77471999999997</v>
      </c>
      <c r="R2106" s="33">
        <f>$N2106*L2106</f>
        <v>117.77471999999997</v>
      </c>
      <c r="S2106" s="33">
        <f>SUM(O2106:R2106)</f>
        <v>235.54943999999995</v>
      </c>
      <c r="T2106" s="35" t="s">
        <v>56</v>
      </c>
      <c r="U2106" s="18" t="s">
        <v>330</v>
      </c>
      <c r="V2106" s="18" t="str">
        <f>IF(OR($H2106="",$H2106="sif",$H2106="PM"),"",VLOOKUP($H2106,[5]CU!$C$5:$J$255,8,FALSE))</f>
        <v>3. Dépenses de fonctionnement</v>
      </c>
      <c r="W2106" s="18" t="s">
        <v>331</v>
      </c>
      <c r="X2106" s="18" t="s">
        <v>222</v>
      </c>
      <c r="Y2106" s="19" t="s">
        <v>32</v>
      </c>
      <c r="Z2106" s="18" t="str">
        <f>A2106 &amp; "-" &amp; VLOOKUP(A2106,[4]PROGRAMMES!$E$1:$F$7,2,FALSE)</f>
        <v>6-Education et alphabétisation des adultes</v>
      </c>
      <c r="AA2106" s="19" t="str">
        <f>B2106 &amp; "-" &amp; VLOOKUP(B2106,[4]SOUSPROGRAMMES!$E$1:$F$44,2,FALSE)</f>
        <v xml:space="preserve">64-Développement de la Post-alphabétisation </v>
      </c>
      <c r="AB2106" s="19" t="str">
        <f>C2106 &amp; "-" &amp; VLOOKUP(C2106,[4]RESULTATS!$E$1:$F$176,2,FALSE)</f>
        <v xml:space="preserve">641-Promotion du développement de la production écrite en langues nationales </v>
      </c>
      <c r="AC2106" s="20" t="str">
        <f>D2106 &amp; "-" &amp; VLOOKUP(D2106,[4]STRATEGIES!$E$1:$F$504,2,FALSE)</f>
        <v>6413-Redynamisation des bibliothèques villageoise</v>
      </c>
      <c r="AD2106" s="21" t="str">
        <f t="shared" si="307"/>
        <v>64131-Etat des lieux des bibliothèques villageoises</v>
      </c>
    </row>
    <row r="2107" spans="1:30" s="22" customFormat="1" ht="30" hidden="1" customHeight="1" x14ac:dyDescent="0.8">
      <c r="A2107" s="14">
        <v>6</v>
      </c>
      <c r="B2107" s="15">
        <v>64</v>
      </c>
      <c r="C2107" s="15">
        <v>641</v>
      </c>
      <c r="D2107" s="15">
        <v>6413</v>
      </c>
      <c r="E2107" s="15">
        <v>64131</v>
      </c>
      <c r="F2107" s="16" t="s">
        <v>2591</v>
      </c>
      <c r="G2107" s="21" t="s">
        <v>177</v>
      </c>
      <c r="H2107" s="17" t="s">
        <v>59</v>
      </c>
      <c r="I2107" s="33">
        <v>0</v>
      </c>
      <c r="J2107" s="33"/>
      <c r="K2107" s="33">
        <f>(15*12*1)*19.99%</f>
        <v>35.981999999999999</v>
      </c>
      <c r="L2107" s="33">
        <f>(15*12*1)*19.99%</f>
        <v>35.981999999999999</v>
      </c>
      <c r="M2107" s="33">
        <f t="shared" si="313"/>
        <v>71.963999999999999</v>
      </c>
      <c r="N2107" s="33">
        <f>IF(OR(H2107="",H2107="sif",H2107="PM"),0,VLOOKUP(H2107,[5]CU!$C$4:$H$255,6,FALSE))</f>
        <v>0.8177777777777776</v>
      </c>
      <c r="O2107" s="33">
        <f t="shared" si="317"/>
        <v>0</v>
      </c>
      <c r="P2107" s="33">
        <f t="shared" si="317"/>
        <v>0</v>
      </c>
      <c r="Q2107" s="33">
        <f t="shared" si="317"/>
        <v>29.425279999999994</v>
      </c>
      <c r="R2107" s="33">
        <f t="shared" si="317"/>
        <v>29.425279999999994</v>
      </c>
      <c r="S2107" s="33">
        <f>SUM(O2107:R2107)</f>
        <v>58.850559999999987</v>
      </c>
      <c r="T2107" s="35" t="s">
        <v>118</v>
      </c>
      <c r="U2107" s="18" t="s">
        <v>330</v>
      </c>
      <c r="V2107" s="18" t="str">
        <f>IF(OR($H2107="",$H2107="sif",$H2107="PM"),"",VLOOKUP($H2107,[5]CU!$C$5:$J$255,8,FALSE))</f>
        <v>3. Dépenses de fonctionnement</v>
      </c>
      <c r="W2107" s="18" t="s">
        <v>331</v>
      </c>
      <c r="X2107" s="18" t="s">
        <v>222</v>
      </c>
      <c r="Y2107" s="19" t="s">
        <v>32</v>
      </c>
      <c r="Z2107" s="18" t="str">
        <f>A2107 &amp; "-" &amp; VLOOKUP(A2107,[4]PROGRAMMES!$E$1:$F$7,2,FALSE)</f>
        <v>6-Education et alphabétisation des adultes</v>
      </c>
      <c r="AA2107" s="19" t="str">
        <f>B2107 &amp; "-" &amp; VLOOKUP(B2107,[4]SOUSPROGRAMMES!$E$1:$F$44,2,FALSE)</f>
        <v xml:space="preserve">64-Développement de la Post-alphabétisation </v>
      </c>
      <c r="AB2107" s="19" t="str">
        <f>C2107 &amp; "-" &amp; VLOOKUP(C2107,[4]RESULTATS!$E$1:$F$176,2,FALSE)</f>
        <v xml:space="preserve">641-Promotion du développement de la production écrite en langues nationales </v>
      </c>
      <c r="AC2107" s="20" t="str">
        <f>D2107 &amp; "-" &amp; VLOOKUP(D2107,[4]STRATEGIES!$E$1:$F$504,2,FALSE)</f>
        <v>6413-Redynamisation des bibliothèques villageoise</v>
      </c>
      <c r="AD2107" s="21" t="str">
        <f t="shared" si="307"/>
        <v>64131-Etat des lieux des bibliothèques villageoises</v>
      </c>
    </row>
    <row r="2108" spans="1:30" s="22" customFormat="1" ht="30" hidden="1" customHeight="1" x14ac:dyDescent="0.8">
      <c r="A2108" s="14">
        <v>6</v>
      </c>
      <c r="B2108" s="15">
        <v>64</v>
      </c>
      <c r="C2108" s="15">
        <v>641</v>
      </c>
      <c r="D2108" s="15">
        <v>6413</v>
      </c>
      <c r="E2108" s="15">
        <v>64132</v>
      </c>
      <c r="F2108" s="16" t="s">
        <v>2592</v>
      </c>
      <c r="G2108" s="21" t="s">
        <v>88</v>
      </c>
      <c r="H2108" s="17" t="s">
        <v>55</v>
      </c>
      <c r="I2108" s="33">
        <v>0</v>
      </c>
      <c r="J2108" s="33">
        <v>1</v>
      </c>
      <c r="K2108" s="33">
        <v>1</v>
      </c>
      <c r="L2108" s="33">
        <v>1</v>
      </c>
      <c r="M2108" s="33">
        <f t="shared" si="313"/>
        <v>3</v>
      </c>
      <c r="N2108" s="33">
        <f>IF(OR(H2108="",H2108="sif",H2108="PM"),0,VLOOKUP(H2108,[5]CU!$C$4:$H$255,6,FALSE))</f>
        <v>0</v>
      </c>
      <c r="O2108" s="33"/>
      <c r="P2108" s="33"/>
      <c r="Q2108" s="33"/>
      <c r="R2108" s="33"/>
      <c r="S2108" s="33"/>
      <c r="T2108" s="35" t="s">
        <v>56</v>
      </c>
      <c r="U2108" s="18" t="s">
        <v>330</v>
      </c>
      <c r="V2108" s="18" t="str">
        <f>IF(OR($H2108="",$H2108="sif",$H2108="PM"),"",VLOOKUP($H2108,[5]CU!$C$5:$J$255,8,FALSE))</f>
        <v/>
      </c>
      <c r="W2108" s="18" t="s">
        <v>331</v>
      </c>
      <c r="X2108" s="18" t="s">
        <v>2593</v>
      </c>
      <c r="Y2108" s="19" t="s">
        <v>32</v>
      </c>
      <c r="Z2108" s="18" t="str">
        <f>A2108 &amp; "-" &amp; VLOOKUP(A2108,[4]PROGRAMMES!$E$1:$F$7,2,FALSE)</f>
        <v>6-Education et alphabétisation des adultes</v>
      </c>
      <c r="AA2108" s="19" t="str">
        <f>B2108 &amp; "-" &amp; VLOOKUP(B2108,[4]SOUSPROGRAMMES!$E$1:$F$44,2,FALSE)</f>
        <v xml:space="preserve">64-Développement de la Post-alphabétisation </v>
      </c>
      <c r="AB2108" s="19" t="str">
        <f>C2108 &amp; "-" &amp; VLOOKUP(C2108,[4]RESULTATS!$E$1:$F$176,2,FALSE)</f>
        <v xml:space="preserve">641-Promotion du développement de la production écrite en langues nationales </v>
      </c>
      <c r="AC2108" s="20" t="str">
        <f>D2108 &amp; "-" &amp; VLOOKUP(D2108,[4]STRATEGIES!$E$1:$F$504,2,FALSE)</f>
        <v>6413-Redynamisation des bibliothèques villageoise</v>
      </c>
      <c r="AD2108" s="21" t="str">
        <f t="shared" si="307"/>
        <v>64132-DéFinitions des besoins prioritaires</v>
      </c>
    </row>
    <row r="2109" spans="1:30" s="22" customFormat="1" ht="30" hidden="1" customHeight="1" x14ac:dyDescent="0.8">
      <c r="A2109" s="14">
        <v>6</v>
      </c>
      <c r="B2109" s="15">
        <v>64</v>
      </c>
      <c r="C2109" s="15">
        <v>641</v>
      </c>
      <c r="D2109" s="15">
        <v>6413</v>
      </c>
      <c r="E2109" s="15">
        <v>64133</v>
      </c>
      <c r="F2109" s="16" t="s">
        <v>2594</v>
      </c>
      <c r="G2109" s="21" t="s">
        <v>2595</v>
      </c>
      <c r="H2109" s="17" t="s">
        <v>2596</v>
      </c>
      <c r="I2109" s="33">
        <v>0</v>
      </c>
      <c r="J2109" s="33"/>
      <c r="K2109" s="33"/>
      <c r="L2109" s="33">
        <f>(50*1*1)*80%</f>
        <v>40</v>
      </c>
      <c r="M2109" s="33">
        <f>SUM(I2109:L2109)</f>
        <v>40</v>
      </c>
      <c r="N2109" s="33">
        <f>IF(OR(H2109="",H2109="sif",H2109="PM"),0,VLOOKUP(H2109,[5]CU!$C$4:$H$255,6,FALSE))</f>
        <v>69</v>
      </c>
      <c r="O2109" s="33">
        <f>$N2109*I2109</f>
        <v>0</v>
      </c>
      <c r="P2109" s="33">
        <f>$N2109*J2109</f>
        <v>0</v>
      </c>
      <c r="Q2109" s="33">
        <f>$N2109*K2109</f>
        <v>0</v>
      </c>
      <c r="R2109" s="33">
        <f>$N2109*L2109</f>
        <v>2760</v>
      </c>
      <c r="S2109" s="33">
        <f>SUM(O2109:R2109)</f>
        <v>2760</v>
      </c>
      <c r="T2109" s="35" t="s">
        <v>56</v>
      </c>
      <c r="U2109" s="18" t="s">
        <v>330</v>
      </c>
      <c r="V2109" s="18" t="str">
        <f>IF(OR($H2109="",$H2109="sif",$H2109="PM"),"",VLOOKUP($H2109,[5]CU!$C$5:$J$255,8,FALSE))</f>
        <v>5. Investissement</v>
      </c>
      <c r="W2109" s="18" t="s">
        <v>331</v>
      </c>
      <c r="X2109" s="18" t="s">
        <v>98</v>
      </c>
      <c r="Y2109" s="19" t="s">
        <v>32</v>
      </c>
      <c r="Z2109" s="18" t="str">
        <f>A2109 &amp; "-" &amp; VLOOKUP(A2109,[4]PROGRAMMES!$E$1:$F$7,2,FALSE)</f>
        <v>6-Education et alphabétisation des adultes</v>
      </c>
      <c r="AA2109" s="19" t="str">
        <f>B2109 &amp; "-" &amp; VLOOKUP(B2109,[4]SOUSPROGRAMMES!$E$1:$F$44,2,FALSE)</f>
        <v xml:space="preserve">64-Développement de la Post-alphabétisation </v>
      </c>
      <c r="AB2109" s="19" t="str">
        <f>C2109 &amp; "-" &amp; VLOOKUP(C2109,[4]RESULTATS!$E$1:$F$176,2,FALSE)</f>
        <v xml:space="preserve">641-Promotion du développement de la production écrite en langues nationales </v>
      </c>
      <c r="AC2109" s="20" t="str">
        <f>D2109 &amp; "-" &amp; VLOOKUP(D2109,[4]STRATEGIES!$E$1:$F$504,2,FALSE)</f>
        <v>6413-Redynamisation des bibliothèques villageoise</v>
      </c>
      <c r="AD2109" s="21" t="str">
        <f t="shared" si="307"/>
        <v>64133-construction de nouvelles bibliothèques villageoise</v>
      </c>
    </row>
    <row r="2110" spans="1:30" s="22" customFormat="1" ht="30" hidden="1" customHeight="1" x14ac:dyDescent="0.8">
      <c r="A2110" s="14">
        <v>6</v>
      </c>
      <c r="B2110" s="15">
        <v>64</v>
      </c>
      <c r="C2110" s="15">
        <v>641</v>
      </c>
      <c r="D2110" s="15">
        <v>6413</v>
      </c>
      <c r="E2110" s="15">
        <v>64133</v>
      </c>
      <c r="F2110" s="16" t="s">
        <v>2594</v>
      </c>
      <c r="G2110" s="21" t="s">
        <v>2595</v>
      </c>
      <c r="H2110" s="17" t="s">
        <v>2596</v>
      </c>
      <c r="I2110" s="33">
        <v>0</v>
      </c>
      <c r="J2110" s="33"/>
      <c r="K2110" s="33"/>
      <c r="L2110" s="33">
        <f>(50*1*1)*20%</f>
        <v>10</v>
      </c>
      <c r="M2110" s="33">
        <f t="shared" si="313"/>
        <v>10</v>
      </c>
      <c r="N2110" s="33">
        <f>IF(OR(H2110="",H2110="sif",H2110="PM"),0,VLOOKUP(H2110,[5]CU!$C$4:$H$255,6,FALSE))</f>
        <v>69</v>
      </c>
      <c r="O2110" s="33">
        <f t="shared" ref="O2110:R2112" si="318">$N2110*I2110</f>
        <v>0</v>
      </c>
      <c r="P2110" s="33">
        <f t="shared" si="318"/>
        <v>0</v>
      </c>
      <c r="Q2110" s="33">
        <f t="shared" si="318"/>
        <v>0</v>
      </c>
      <c r="R2110" s="33">
        <f t="shared" si="318"/>
        <v>690</v>
      </c>
      <c r="S2110" s="33">
        <f>SUM(O2110:R2110)</f>
        <v>690</v>
      </c>
      <c r="T2110" s="35" t="s">
        <v>118</v>
      </c>
      <c r="U2110" s="18" t="s">
        <v>330</v>
      </c>
      <c r="V2110" s="18" t="str">
        <f>IF(OR($H2110="",$H2110="sif",$H2110="PM"),"",VLOOKUP($H2110,[5]CU!$C$5:$J$255,8,FALSE))</f>
        <v>5. Investissement</v>
      </c>
      <c r="W2110" s="18" t="s">
        <v>331</v>
      </c>
      <c r="X2110" s="18" t="s">
        <v>98</v>
      </c>
      <c r="Y2110" s="19" t="s">
        <v>32</v>
      </c>
      <c r="Z2110" s="18" t="str">
        <f>A2110 &amp; "-" &amp; VLOOKUP(A2110,[4]PROGRAMMES!$E$1:$F$7,2,FALSE)</f>
        <v>6-Education et alphabétisation des adultes</v>
      </c>
      <c r="AA2110" s="19" t="str">
        <f>B2110 &amp; "-" &amp; VLOOKUP(B2110,[4]SOUSPROGRAMMES!$E$1:$F$44,2,FALSE)</f>
        <v xml:space="preserve">64-Développement de la Post-alphabétisation </v>
      </c>
      <c r="AB2110" s="19" t="str">
        <f>C2110 &amp; "-" &amp; VLOOKUP(C2110,[4]RESULTATS!$E$1:$F$176,2,FALSE)</f>
        <v xml:space="preserve">641-Promotion du développement de la production écrite en langues nationales </v>
      </c>
      <c r="AC2110" s="20" t="str">
        <f>D2110 &amp; "-" &amp; VLOOKUP(D2110,[4]STRATEGIES!$E$1:$F$504,2,FALSE)</f>
        <v>6413-Redynamisation des bibliothèques villageoise</v>
      </c>
      <c r="AD2110" s="21" t="str">
        <f t="shared" si="307"/>
        <v>64133-construction de nouvelles bibliothèques villageoise</v>
      </c>
    </row>
    <row r="2111" spans="1:30" s="22" customFormat="1" ht="30" hidden="1" customHeight="1" x14ac:dyDescent="0.8">
      <c r="A2111" s="14">
        <v>6</v>
      </c>
      <c r="B2111" s="15">
        <v>64</v>
      </c>
      <c r="C2111" s="15">
        <v>641</v>
      </c>
      <c r="D2111" s="15">
        <v>6413</v>
      </c>
      <c r="E2111" s="15">
        <v>64134</v>
      </c>
      <c r="F2111" s="16" t="s">
        <v>2597</v>
      </c>
      <c r="G2111" s="21" t="s">
        <v>2595</v>
      </c>
      <c r="H2111" s="17" t="s">
        <v>2598</v>
      </c>
      <c r="I2111" s="33">
        <v>0</v>
      </c>
      <c r="J2111" s="33"/>
      <c r="K2111" s="33"/>
      <c r="L2111" s="33">
        <f>50*1*1</f>
        <v>50</v>
      </c>
      <c r="M2111" s="33">
        <f t="shared" si="313"/>
        <v>50</v>
      </c>
      <c r="N2111" s="33">
        <f>IF(OR(H2111="",H2111="sif",H2111="PM"),0,VLOOKUP(H2111,[5]CU!$C$4:$H$255,6,FALSE))</f>
        <v>45</v>
      </c>
      <c r="O2111" s="33">
        <f t="shared" si="318"/>
        <v>0</v>
      </c>
      <c r="P2111" s="33">
        <f t="shared" si="318"/>
        <v>0</v>
      </c>
      <c r="Q2111" s="33">
        <f t="shared" si="318"/>
        <v>0</v>
      </c>
      <c r="R2111" s="33">
        <f t="shared" si="318"/>
        <v>2250</v>
      </c>
      <c r="S2111" s="33">
        <f>SUM(O2111:R2111)</f>
        <v>2250</v>
      </c>
      <c r="T2111" s="35" t="s">
        <v>56</v>
      </c>
      <c r="U2111" s="18" t="s">
        <v>330</v>
      </c>
      <c r="V2111" s="18" t="str">
        <f>IF(OR($H2111="",$H2111="sif",$H2111="PM"),"",VLOOKUP($H2111,[5]CU!$C$5:$J$255,8,FALSE))</f>
        <v>5. Investissement</v>
      </c>
      <c r="W2111" s="18" t="s">
        <v>331</v>
      </c>
      <c r="X2111" s="18" t="s">
        <v>98</v>
      </c>
      <c r="Y2111" s="19" t="s">
        <v>32</v>
      </c>
      <c r="Z2111" s="18" t="str">
        <f>A2111 &amp; "-" &amp; VLOOKUP(A2111,[4]PROGRAMMES!$E$1:$F$7,2,FALSE)</f>
        <v>6-Education et alphabétisation des adultes</v>
      </c>
      <c r="AA2111" s="19" t="str">
        <f>B2111 &amp; "-" &amp; VLOOKUP(B2111,[4]SOUSPROGRAMMES!$E$1:$F$44,2,FALSE)</f>
        <v xml:space="preserve">64-Développement de la Post-alphabétisation </v>
      </c>
      <c r="AB2111" s="19" t="str">
        <f>C2111 &amp; "-" &amp; VLOOKUP(C2111,[4]RESULTATS!$E$1:$F$176,2,FALSE)</f>
        <v xml:space="preserve">641-Promotion du développement de la production écrite en langues nationales </v>
      </c>
      <c r="AC2111" s="20" t="str">
        <f>D2111 &amp; "-" &amp; VLOOKUP(D2111,[4]STRATEGIES!$E$1:$F$504,2,FALSE)</f>
        <v>6413-Redynamisation des bibliothèques villageoise</v>
      </c>
      <c r="AD2111" s="21" t="str">
        <f t="shared" si="307"/>
        <v>64134-Equipement des bibliothèques villageoise</v>
      </c>
    </row>
    <row r="2112" spans="1:30" s="22" customFormat="1" ht="45" hidden="1" customHeight="1" x14ac:dyDescent="0.8">
      <c r="A2112" s="14">
        <v>6</v>
      </c>
      <c r="B2112" s="15">
        <v>64</v>
      </c>
      <c r="C2112" s="15">
        <v>641</v>
      </c>
      <c r="D2112" s="15">
        <v>6413</v>
      </c>
      <c r="E2112" s="15">
        <v>64135</v>
      </c>
      <c r="F2112" s="16" t="s">
        <v>2599</v>
      </c>
      <c r="G2112" s="21" t="s">
        <v>2600</v>
      </c>
      <c r="H2112" s="17" t="s">
        <v>2601</v>
      </c>
      <c r="I2112" s="33">
        <v>0</v>
      </c>
      <c r="J2112" s="33"/>
      <c r="K2112" s="33"/>
      <c r="L2112" s="33">
        <f>20*50*1</f>
        <v>1000</v>
      </c>
      <c r="M2112" s="33">
        <f t="shared" si="313"/>
        <v>1000</v>
      </c>
      <c r="N2112" s="33">
        <f>IF(OR(H2112="",H2112="sif",H2112="PM"),0,VLOOKUP(H2112,[5]CU!$C$4:$H$255,6,FALSE))</f>
        <v>0.27500000000000002</v>
      </c>
      <c r="O2112" s="33">
        <f t="shared" si="318"/>
        <v>0</v>
      </c>
      <c r="P2112" s="33">
        <f t="shared" si="318"/>
        <v>0</v>
      </c>
      <c r="Q2112" s="33">
        <f t="shared" si="318"/>
        <v>0</v>
      </c>
      <c r="R2112" s="33">
        <f t="shared" si="318"/>
        <v>275</v>
      </c>
      <c r="S2112" s="33">
        <f>SUM(O2112:R2112)</f>
        <v>275</v>
      </c>
      <c r="T2112" s="35" t="s">
        <v>56</v>
      </c>
      <c r="U2112" s="18" t="s">
        <v>330</v>
      </c>
      <c r="V2112" s="18" t="str">
        <f>IF(OR($H2112="",$H2112="sif",$H2112="PM"),"",VLOOKUP($H2112,[5]CU!$C$5:$J$255,8,FALSE))</f>
        <v>3. Manuels scolaires et matériels pédagogiques</v>
      </c>
      <c r="W2112" s="18" t="s">
        <v>331</v>
      </c>
      <c r="X2112" s="18" t="s">
        <v>521</v>
      </c>
      <c r="Y2112" s="19" t="s">
        <v>32</v>
      </c>
      <c r="Z2112" s="18" t="str">
        <f>A2112 &amp; "-" &amp; VLOOKUP(A2112,[4]PROGRAMMES!$E$1:$F$7,2,FALSE)</f>
        <v>6-Education et alphabétisation des adultes</v>
      </c>
      <c r="AA2112" s="19" t="str">
        <f>B2112 &amp; "-" &amp; VLOOKUP(B2112,[4]SOUSPROGRAMMES!$E$1:$F$44,2,FALSE)</f>
        <v xml:space="preserve">64-Développement de la Post-alphabétisation </v>
      </c>
      <c r="AB2112" s="19" t="str">
        <f>C2112 &amp; "-" &amp; VLOOKUP(C2112,[4]RESULTATS!$E$1:$F$176,2,FALSE)</f>
        <v xml:space="preserve">641-Promotion du développement de la production écrite en langues nationales </v>
      </c>
      <c r="AC2112" s="20" t="str">
        <f>D2112 &amp; "-" &amp; VLOOKUP(D2112,[4]STRATEGIES!$E$1:$F$504,2,FALSE)</f>
        <v>6413-Redynamisation des bibliothèques villageoise</v>
      </c>
      <c r="AD2112" s="21" t="str">
        <f t="shared" si="307"/>
        <v>64135-Reproduction et distribution des livrets et des productions en langues nationales</v>
      </c>
    </row>
    <row r="2113" spans="1:30" s="22" customFormat="1" ht="45" hidden="1" customHeight="1" x14ac:dyDescent="0.8">
      <c r="A2113" s="14">
        <v>6</v>
      </c>
      <c r="B2113" s="15">
        <v>64</v>
      </c>
      <c r="C2113" s="15">
        <v>642</v>
      </c>
      <c r="D2113" s="15">
        <v>642</v>
      </c>
      <c r="E2113" s="15">
        <v>642</v>
      </c>
      <c r="F2113" s="16" t="s">
        <v>2602</v>
      </c>
      <c r="G2113" s="17"/>
      <c r="H2113" s="17"/>
      <c r="I2113" s="33">
        <v>0</v>
      </c>
      <c r="J2113" s="33"/>
      <c r="K2113" s="33"/>
      <c r="L2113" s="33"/>
      <c r="M2113" s="33"/>
      <c r="N2113" s="33"/>
      <c r="O2113" s="33"/>
      <c r="P2113" s="33"/>
      <c r="Q2113" s="33"/>
      <c r="R2113" s="33"/>
      <c r="S2113" s="33"/>
      <c r="T2113" s="33"/>
      <c r="U2113" s="18"/>
      <c r="V2113" s="18"/>
      <c r="W2113" s="18"/>
      <c r="X2113" s="18"/>
      <c r="Y2113" s="18"/>
      <c r="Z2113" s="18" t="str">
        <f>A2113 &amp; "-" &amp; VLOOKUP(A2113,[4]PROGRAMMES!$E$1:$F$7,2,FALSE)</f>
        <v>6-Education et alphabétisation des adultes</v>
      </c>
      <c r="AA2113" s="19" t="str">
        <f>B2113 &amp; "-" &amp; VLOOKUP(B2113,[4]SOUSPROGRAMMES!$E$1:$F$44,2,FALSE)</f>
        <v xml:space="preserve">64-Développement de la Post-alphabétisation </v>
      </c>
      <c r="AB2113" s="19" t="str">
        <f>C2113 &amp; "-" &amp; VLOOKUP(C2113,[4]RESULTATS!$E$1:$F$176,2,FALSE)</f>
        <v>642- Les activités génératrices de revenus sont encouragées et soutenues (autour des structures d'alphabétisation)</v>
      </c>
      <c r="AC2113" s="20" t="str">
        <f>D2113 &amp; "-" &amp; VLOOKUP(D2113,[4]STRATEGIES!$E$1:$F$504,2,FALSE)</f>
        <v>642- Les activités génératrices de revenus sont encouragées et soutenues (autour des structures d'alphabétisation)</v>
      </c>
      <c r="AD2113" s="21" t="str">
        <f t="shared" si="307"/>
        <v>642- Les activités génératrices de revenus sont encouragées et soutenues (autour des structures d'alphabétisation)</v>
      </c>
    </row>
    <row r="2114" spans="1:30" s="22" customFormat="1" ht="45" hidden="1" customHeight="1" x14ac:dyDescent="0.8">
      <c r="A2114" s="14">
        <v>6</v>
      </c>
      <c r="B2114" s="15">
        <v>64</v>
      </c>
      <c r="C2114" s="15">
        <v>642</v>
      </c>
      <c r="D2114" s="15">
        <v>6421</v>
      </c>
      <c r="E2114" s="15">
        <v>6421</v>
      </c>
      <c r="F2114" s="16" t="s">
        <v>2603</v>
      </c>
      <c r="G2114" s="17"/>
      <c r="H2114" s="17"/>
      <c r="I2114" s="33">
        <v>0</v>
      </c>
      <c r="J2114" s="33"/>
      <c r="K2114" s="33"/>
      <c r="L2114" s="33"/>
      <c r="M2114" s="33"/>
      <c r="N2114" s="33"/>
      <c r="O2114" s="33"/>
      <c r="P2114" s="33"/>
      <c r="Q2114" s="33"/>
      <c r="R2114" s="33"/>
      <c r="S2114" s="33"/>
      <c r="T2114" s="33"/>
      <c r="U2114" s="18"/>
      <c r="V2114" s="18"/>
      <c r="W2114" s="18"/>
      <c r="X2114" s="18"/>
      <c r="Y2114" s="18"/>
      <c r="Z2114" s="18" t="str">
        <f>A2114 &amp; "-" &amp; VLOOKUP(A2114,[4]PROGRAMMES!$E$1:$F$7,2,FALSE)</f>
        <v>6-Education et alphabétisation des adultes</v>
      </c>
      <c r="AA2114" s="19" t="str">
        <f>B2114 &amp; "-" &amp; VLOOKUP(B2114,[4]SOUSPROGRAMMES!$E$1:$F$44,2,FALSE)</f>
        <v xml:space="preserve">64-Développement de la Post-alphabétisation </v>
      </c>
      <c r="AB2114" s="19" t="str">
        <f>C2114 &amp; "-" &amp; VLOOKUP(C2114,[4]RESULTATS!$E$1:$F$176,2,FALSE)</f>
        <v>642- Les activités génératrices de revenus sont encouragées et soutenues (autour des structures d'alphabétisation)</v>
      </c>
      <c r="AC2114" s="20" t="str">
        <f>D2114 &amp; "-" &amp; VLOOKUP(D2114,[4]STRATEGIES!$E$1:$F$504,2,FALSE)</f>
        <v>6421-Promotion de l'organisation des alphabétisés et des alphabétiseurs en Groupement de métier</v>
      </c>
      <c r="AD2114" s="21" t="str">
        <f t="shared" si="307"/>
        <v>6421-Promotion de l'organisation des alphabétisés et des alphabétiseurs en Groupement de métier</v>
      </c>
    </row>
    <row r="2115" spans="1:30" s="22" customFormat="1" ht="45" hidden="1" customHeight="1" x14ac:dyDescent="0.8">
      <c r="A2115" s="14">
        <v>6</v>
      </c>
      <c r="B2115" s="15">
        <v>64</v>
      </c>
      <c r="C2115" s="15">
        <v>642</v>
      </c>
      <c r="D2115" s="15">
        <v>6421</v>
      </c>
      <c r="E2115" s="15">
        <v>64211</v>
      </c>
      <c r="F2115" s="16" t="s">
        <v>2604</v>
      </c>
      <c r="G2115" s="21" t="s">
        <v>88</v>
      </c>
      <c r="H2115" s="17" t="s">
        <v>55</v>
      </c>
      <c r="I2115" s="33">
        <v>0</v>
      </c>
      <c r="J2115" s="33"/>
      <c r="K2115" s="33">
        <v>1</v>
      </c>
      <c r="L2115" s="33">
        <v>1</v>
      </c>
      <c r="M2115" s="33">
        <f t="shared" si="313"/>
        <v>2</v>
      </c>
      <c r="N2115" s="33">
        <f>IF(OR(H2115="",H2115="sif",H2115="PM"),0,VLOOKUP(H2115,[5]CU!$C$4:$H$255,6,FALSE))</f>
        <v>0</v>
      </c>
      <c r="O2115" s="33"/>
      <c r="P2115" s="33"/>
      <c r="Q2115" s="33"/>
      <c r="R2115" s="33"/>
      <c r="S2115" s="33"/>
      <c r="T2115" s="35" t="s">
        <v>56</v>
      </c>
      <c r="U2115" s="18" t="s">
        <v>330</v>
      </c>
      <c r="V2115" s="18" t="str">
        <f>IF(OR($H2115="",$H2115="sif",$H2115="PM"),"",VLOOKUP($H2115,[5]CU!$C$5:$J$255,8,FALSE))</f>
        <v/>
      </c>
      <c r="W2115" s="18" t="s">
        <v>331</v>
      </c>
      <c r="X2115" s="18" t="s">
        <v>222</v>
      </c>
      <c r="Y2115" s="19" t="s">
        <v>32</v>
      </c>
      <c r="Z2115" s="18" t="str">
        <f>A2115 &amp; "-" &amp; VLOOKUP(A2115,[4]PROGRAMMES!$E$1:$F$7,2,FALSE)</f>
        <v>6-Education et alphabétisation des adultes</v>
      </c>
      <c r="AA2115" s="19" t="str">
        <f>B2115 &amp; "-" &amp; VLOOKUP(B2115,[4]SOUSPROGRAMMES!$E$1:$F$44,2,FALSE)</f>
        <v xml:space="preserve">64-Développement de la Post-alphabétisation </v>
      </c>
      <c r="AB2115" s="19" t="str">
        <f>C2115 &amp; "-" &amp; VLOOKUP(C2115,[4]RESULTATS!$E$1:$F$176,2,FALSE)</f>
        <v>642- Les activités génératrices de revenus sont encouragées et soutenues (autour des structures d'alphabétisation)</v>
      </c>
      <c r="AC2115" s="20" t="str">
        <f>D2115 &amp; "-" &amp; VLOOKUP(D2115,[4]STRATEGIES!$E$1:$F$504,2,FALSE)</f>
        <v>6421-Promotion de l'organisation des alphabétisés et des alphabétiseurs en Groupement de métier</v>
      </c>
      <c r="AD2115" s="21" t="str">
        <f t="shared" si="307"/>
        <v xml:space="preserve">64211-Regroupement des néo alphabètes et des alphabétiseurs par groupement de métiers </v>
      </c>
    </row>
    <row r="2116" spans="1:30" s="22" customFormat="1" ht="45" hidden="1" customHeight="1" x14ac:dyDescent="0.8">
      <c r="A2116" s="14">
        <v>6</v>
      </c>
      <c r="B2116" s="15">
        <v>64</v>
      </c>
      <c r="C2116" s="15">
        <v>642</v>
      </c>
      <c r="D2116" s="15">
        <v>6421</v>
      </c>
      <c r="E2116" s="15">
        <v>64212</v>
      </c>
      <c r="F2116" s="16" t="s">
        <v>2605</v>
      </c>
      <c r="G2116" s="21" t="s">
        <v>2606</v>
      </c>
      <c r="H2116" s="17" t="s">
        <v>2607</v>
      </c>
      <c r="I2116" s="33">
        <v>0</v>
      </c>
      <c r="J2116" s="33"/>
      <c r="K2116" s="33">
        <v>50</v>
      </c>
      <c r="L2116" s="33">
        <v>80</v>
      </c>
      <c r="M2116" s="33">
        <f t="shared" si="313"/>
        <v>130</v>
      </c>
      <c r="N2116" s="33">
        <f>IF(OR(H2116="",H2116="sif",H2116="PM"),0,VLOOKUP(H2116,[5]CU!$C$4:$H$255,6,FALSE))</f>
        <v>20.175000000000001</v>
      </c>
      <c r="O2116" s="33">
        <f t="shared" ref="O2116:R2124" si="319">$N2116*I2116</f>
        <v>0</v>
      </c>
      <c r="P2116" s="33">
        <f t="shared" si="319"/>
        <v>0</v>
      </c>
      <c r="Q2116" s="33">
        <f t="shared" si="319"/>
        <v>1008.75</v>
      </c>
      <c r="R2116" s="33">
        <f t="shared" si="319"/>
        <v>1614</v>
      </c>
      <c r="S2116" s="33">
        <f>SUM(O2116:R2116)</f>
        <v>2622.75</v>
      </c>
      <c r="T2116" s="35" t="s">
        <v>56</v>
      </c>
      <c r="U2116" s="18" t="s">
        <v>330</v>
      </c>
      <c r="V2116" s="18" t="str">
        <f>IF(OR($H2116="",$H2116="sif",$H2116="PM"),"",VLOOKUP($H2116,[5]CU!$C$5:$J$255,8,FALSE))</f>
        <v>4. Transferts et subventions</v>
      </c>
      <c r="W2116" s="18" t="s">
        <v>331</v>
      </c>
      <c r="X2116" s="18" t="s">
        <v>521</v>
      </c>
      <c r="Y2116" s="19" t="s">
        <v>32</v>
      </c>
      <c r="Z2116" s="18" t="str">
        <f>A2116 &amp; "-" &amp; VLOOKUP(A2116,[4]PROGRAMMES!$E$1:$F$7,2,FALSE)</f>
        <v>6-Education et alphabétisation des adultes</v>
      </c>
      <c r="AA2116" s="19" t="str">
        <f>B2116 &amp; "-" &amp; VLOOKUP(B2116,[4]SOUSPROGRAMMES!$E$1:$F$44,2,FALSE)</f>
        <v xml:space="preserve">64-Développement de la Post-alphabétisation </v>
      </c>
      <c r="AB2116" s="19" t="str">
        <f>C2116 &amp; "-" &amp; VLOOKUP(C2116,[4]RESULTATS!$E$1:$F$176,2,FALSE)</f>
        <v>642- Les activités génératrices de revenus sont encouragées et soutenues (autour des structures d'alphabétisation)</v>
      </c>
      <c r="AC2116" s="20" t="str">
        <f>D2116 &amp; "-" &amp; VLOOKUP(D2116,[4]STRATEGIES!$E$1:$F$504,2,FALSE)</f>
        <v>6421-Promotion de l'organisation des alphabétisés et des alphabétiseurs en Groupement de métier</v>
      </c>
      <c r="AD2116" s="21" t="str">
        <f t="shared" ref="AD2116:AD2124" si="320">E2116 &amp; "-" &amp; F2116</f>
        <v>64212-Financement d'AGR en faveur de ces groupements</v>
      </c>
    </row>
    <row r="2117" spans="1:30" s="22" customFormat="1" ht="45" hidden="1" customHeight="1" x14ac:dyDescent="0.8">
      <c r="A2117" s="14">
        <v>6</v>
      </c>
      <c r="B2117" s="15">
        <v>64</v>
      </c>
      <c r="C2117" s="15">
        <v>642</v>
      </c>
      <c r="D2117" s="15">
        <v>6422</v>
      </c>
      <c r="E2117" s="15">
        <v>6422</v>
      </c>
      <c r="F2117" s="16" t="s">
        <v>2608</v>
      </c>
      <c r="G2117" s="17"/>
      <c r="H2117" s="17"/>
      <c r="I2117" s="33">
        <v>0</v>
      </c>
      <c r="J2117" s="33"/>
      <c r="K2117" s="33"/>
      <c r="L2117" s="33"/>
      <c r="M2117" s="33"/>
      <c r="N2117" s="33"/>
      <c r="O2117" s="33"/>
      <c r="P2117" s="33"/>
      <c r="Q2117" s="33"/>
      <c r="R2117" s="33"/>
      <c r="S2117" s="33"/>
      <c r="T2117" s="33"/>
      <c r="U2117" s="18"/>
      <c r="V2117" s="18"/>
      <c r="W2117" s="18"/>
      <c r="X2117" s="18"/>
      <c r="Y2117" s="18"/>
      <c r="Z2117" s="18" t="str">
        <f>A2117 &amp; "-" &amp; VLOOKUP(A2117,[4]PROGRAMMES!$E$1:$F$7,2,FALSE)</f>
        <v>6-Education et alphabétisation des adultes</v>
      </c>
      <c r="AA2117" s="19" t="str">
        <f>B2117 &amp; "-" &amp; VLOOKUP(B2117,[4]SOUSPROGRAMMES!$E$1:$F$44,2,FALSE)</f>
        <v xml:space="preserve">64-Développement de la Post-alphabétisation </v>
      </c>
      <c r="AB2117" s="19" t="str">
        <f>C2117 &amp; "-" &amp; VLOOKUP(C2117,[4]RESULTATS!$E$1:$F$176,2,FALSE)</f>
        <v>642- Les activités génératrices de revenus sont encouragées et soutenues (autour des structures d'alphabétisation)</v>
      </c>
      <c r="AC2117" s="20" t="str">
        <f>D2117 &amp; "-" &amp; VLOOKUP(D2117,[4]STRATEGIES!$E$1:$F$504,2,FALSE)</f>
        <v>6422-Développement de modules de formation en matière de gestion financière, organisation paysanne et communication et formation des membres des groupements</v>
      </c>
      <c r="AD2117" s="21" t="str">
        <f t="shared" si="320"/>
        <v>6422-Développement de modules de formation en matière de gestion Financière, organisation paysanne et communication et formation des membres des groupements</v>
      </c>
    </row>
    <row r="2118" spans="1:30" s="22" customFormat="1" ht="45" hidden="1" customHeight="1" x14ac:dyDescent="0.8">
      <c r="A2118" s="14">
        <v>6</v>
      </c>
      <c r="B2118" s="15">
        <v>64</v>
      </c>
      <c r="C2118" s="15">
        <v>642</v>
      </c>
      <c r="D2118" s="15">
        <v>6422</v>
      </c>
      <c r="E2118" s="15">
        <v>64221</v>
      </c>
      <c r="F2118" s="16" t="s">
        <v>2609</v>
      </c>
      <c r="G2118" s="21" t="s">
        <v>298</v>
      </c>
      <c r="H2118" s="17" t="s">
        <v>66</v>
      </c>
      <c r="I2118" s="33">
        <v>0</v>
      </c>
      <c r="J2118" s="33"/>
      <c r="K2118" s="33">
        <f>7*3*1</f>
        <v>21</v>
      </c>
      <c r="L2118" s="33">
        <f>7*3*1</f>
        <v>21</v>
      </c>
      <c r="M2118" s="33">
        <f t="shared" si="313"/>
        <v>42</v>
      </c>
      <c r="N2118" s="33">
        <f>IF(OR(H2118="",H2118="sif",H2118="PM"),0,VLOOKUP(H2118,[5]CU!$C$4:$H$255,6,FALSE))</f>
        <v>0.255</v>
      </c>
      <c r="O2118" s="33">
        <f t="shared" si="319"/>
        <v>0</v>
      </c>
      <c r="P2118" s="33">
        <f t="shared" si="319"/>
        <v>0</v>
      </c>
      <c r="Q2118" s="33">
        <f t="shared" si="319"/>
        <v>5.3550000000000004</v>
      </c>
      <c r="R2118" s="33">
        <f t="shared" si="319"/>
        <v>5.3550000000000004</v>
      </c>
      <c r="S2118" s="33">
        <f>SUM(O2118:R2118)</f>
        <v>10.71</v>
      </c>
      <c r="T2118" s="35" t="s">
        <v>56</v>
      </c>
      <c r="U2118" s="18" t="s">
        <v>330</v>
      </c>
      <c r="V2118" s="18" t="str">
        <f>IF(OR($H2118="",$H2118="sif",$H2118="PM"),"",VLOOKUP($H2118,[5]CU!$C$5:$J$255,8,FALSE))</f>
        <v>3. Dépenses de fonctionnement</v>
      </c>
      <c r="W2118" s="18" t="s">
        <v>331</v>
      </c>
      <c r="X2118" s="18" t="s">
        <v>331</v>
      </c>
      <c r="Y2118" s="19" t="s">
        <v>32</v>
      </c>
      <c r="Z2118" s="18" t="str">
        <f>A2118 &amp; "-" &amp; VLOOKUP(A2118,[4]PROGRAMMES!$E$1:$F$7,2,FALSE)</f>
        <v>6-Education et alphabétisation des adultes</v>
      </c>
      <c r="AA2118" s="19" t="str">
        <f>B2118 &amp; "-" &amp; VLOOKUP(B2118,[4]SOUSPROGRAMMES!$E$1:$F$44,2,FALSE)</f>
        <v xml:space="preserve">64-Développement de la Post-alphabétisation </v>
      </c>
      <c r="AB2118" s="19" t="str">
        <f>C2118 &amp; "-" &amp; VLOOKUP(C2118,[4]RESULTATS!$E$1:$F$176,2,FALSE)</f>
        <v>642- Les activités génératrices de revenus sont encouragées et soutenues (autour des structures d'alphabétisation)</v>
      </c>
      <c r="AC2118" s="20" t="str">
        <f>D2118 &amp; "-" &amp; VLOOKUP(D2118,[4]STRATEGIES!$E$1:$F$504,2,FALSE)</f>
        <v>6422-Développement de modules de formation en matière de gestion financière, organisation paysanne et communication et formation des membres des groupements</v>
      </c>
      <c r="AD2118" s="21" t="str">
        <f t="shared" si="320"/>
        <v>64221-Conception et élaboration de documents de gestion en faveur des groupements mis en place</v>
      </c>
    </row>
    <row r="2119" spans="1:30" s="22" customFormat="1" ht="45" hidden="1" customHeight="1" x14ac:dyDescent="0.8">
      <c r="A2119" s="14">
        <v>6</v>
      </c>
      <c r="B2119" s="15">
        <v>64</v>
      </c>
      <c r="C2119" s="15">
        <v>642</v>
      </c>
      <c r="D2119" s="15">
        <v>6422</v>
      </c>
      <c r="E2119" s="15">
        <v>64222</v>
      </c>
      <c r="F2119" s="16" t="s">
        <v>2610</v>
      </c>
      <c r="G2119" s="21" t="s">
        <v>298</v>
      </c>
      <c r="H2119" s="17" t="s">
        <v>301</v>
      </c>
      <c r="I2119" s="33">
        <v>0</v>
      </c>
      <c r="J2119" s="33"/>
      <c r="K2119" s="33">
        <f>3*K2116*3</f>
        <v>450</v>
      </c>
      <c r="L2119" s="33">
        <f>3*L2116*3</f>
        <v>720</v>
      </c>
      <c r="M2119" s="33">
        <f t="shared" si="313"/>
        <v>1170</v>
      </c>
      <c r="N2119" s="33">
        <f>IF(OR(H2119="",H2119="sif",H2119="PM"),0,VLOOKUP(H2119,[5]CU!$C$4:$H$255,6,FALSE))</f>
        <v>0.67666666666666664</v>
      </c>
      <c r="O2119" s="33">
        <f t="shared" si="319"/>
        <v>0</v>
      </c>
      <c r="P2119" s="33">
        <f t="shared" si="319"/>
        <v>0</v>
      </c>
      <c r="Q2119" s="33">
        <f t="shared" si="319"/>
        <v>304.5</v>
      </c>
      <c r="R2119" s="33">
        <f t="shared" si="319"/>
        <v>487.2</v>
      </c>
      <c r="S2119" s="33">
        <f>SUM(O2119:R2119)</f>
        <v>791.7</v>
      </c>
      <c r="T2119" s="35" t="s">
        <v>56</v>
      </c>
      <c r="U2119" s="18" t="s">
        <v>330</v>
      </c>
      <c r="V2119" s="18" t="str">
        <f>IF(OR($H2119="",$H2119="sif",$H2119="PM"),"",VLOOKUP($H2119,[5]CU!$C$5:$J$255,8,FALSE))</f>
        <v>3. Formation</v>
      </c>
      <c r="W2119" s="18" t="s">
        <v>331</v>
      </c>
      <c r="X2119" s="18" t="s">
        <v>222</v>
      </c>
      <c r="Y2119" s="19" t="s">
        <v>32</v>
      </c>
      <c r="Z2119" s="18" t="str">
        <f>A2119 &amp; "-" &amp; VLOOKUP(A2119,[4]PROGRAMMES!$E$1:$F$7,2,FALSE)</f>
        <v>6-Education et alphabétisation des adultes</v>
      </c>
      <c r="AA2119" s="19" t="str">
        <f>B2119 &amp; "-" &amp; VLOOKUP(B2119,[4]SOUSPROGRAMMES!$E$1:$F$44,2,FALSE)</f>
        <v xml:space="preserve">64-Développement de la Post-alphabétisation </v>
      </c>
      <c r="AB2119" s="19" t="str">
        <f>C2119 &amp; "-" &amp; VLOOKUP(C2119,[4]RESULTATS!$E$1:$F$176,2,FALSE)</f>
        <v>642- Les activités génératrices de revenus sont encouragées et soutenues (autour des structures d'alphabétisation)</v>
      </c>
      <c r="AC2119" s="20" t="str">
        <f>D2119 &amp; "-" &amp; VLOOKUP(D2119,[4]STRATEGIES!$E$1:$F$504,2,FALSE)</f>
        <v>6422-Développement de modules de formation en matière de gestion financière, organisation paysanne et communication et formation des membres des groupements</v>
      </c>
      <c r="AD2119" s="21" t="str">
        <f t="shared" si="320"/>
        <v>64222-formation des membres des groupements en gestion Financière</v>
      </c>
    </row>
    <row r="2120" spans="1:30" s="22" customFormat="1" ht="30" hidden="1" customHeight="1" x14ac:dyDescent="0.8">
      <c r="A2120" s="14">
        <v>6</v>
      </c>
      <c r="B2120" s="15">
        <v>64</v>
      </c>
      <c r="C2120" s="15">
        <v>643</v>
      </c>
      <c r="D2120" s="15">
        <v>643</v>
      </c>
      <c r="E2120" s="15">
        <v>643</v>
      </c>
      <c r="F2120" s="16" t="s">
        <v>2611</v>
      </c>
      <c r="G2120" s="17"/>
      <c r="H2120" s="17"/>
      <c r="I2120" s="33">
        <v>0</v>
      </c>
      <c r="J2120" s="33"/>
      <c r="K2120" s="33"/>
      <c r="L2120" s="33"/>
      <c r="M2120" s="33"/>
      <c r="N2120" s="33"/>
      <c r="O2120" s="33"/>
      <c r="P2120" s="33"/>
      <c r="Q2120" s="33"/>
      <c r="R2120" s="33"/>
      <c r="S2120" s="33"/>
      <c r="T2120" s="33"/>
      <c r="U2120" s="18"/>
      <c r="V2120" s="18"/>
      <c r="W2120" s="18"/>
      <c r="X2120" s="18"/>
      <c r="Y2120" s="18"/>
      <c r="Z2120" s="18" t="str">
        <f>A2120 &amp; "-" &amp; VLOOKUP(A2120,[4]PROGRAMMES!$E$1:$F$7,2,FALSE)</f>
        <v>6-Education et alphabétisation des adultes</v>
      </c>
      <c r="AA2120" s="19" t="str">
        <f>B2120 &amp; "-" &amp; VLOOKUP(B2120,[4]SOUSPROGRAMMES!$E$1:$F$44,2,FALSE)</f>
        <v xml:space="preserve">64-Développement de la Post-alphabétisation </v>
      </c>
      <c r="AB2120" s="19" t="str">
        <f>C2120 &amp; "-" &amp; VLOOKUP(C2120,[4]RESULTATS!$E$1:$F$176,2,FALSE)</f>
        <v xml:space="preserve">643- Les activités de post alphabétisation sont soutenues </v>
      </c>
      <c r="AC2120" s="20" t="str">
        <f>D2120 &amp; "-" &amp; VLOOKUP(D2120,[4]STRATEGIES!$E$1:$F$504,2,FALSE)</f>
        <v xml:space="preserve">643- Les activités de post alphabétisation sont soutenues </v>
      </c>
      <c r="AD2120" s="21" t="str">
        <f t="shared" si="320"/>
        <v xml:space="preserve">643- Les activités de post alphabétisation sont soutenues </v>
      </c>
    </row>
    <row r="2121" spans="1:30" s="22" customFormat="1" ht="30" hidden="1" customHeight="1" x14ac:dyDescent="0.8">
      <c r="A2121" s="14">
        <v>6</v>
      </c>
      <c r="B2121" s="15">
        <v>64</v>
      </c>
      <c r="C2121" s="15">
        <v>643</v>
      </c>
      <c r="D2121" s="15">
        <v>6431</v>
      </c>
      <c r="E2121" s="15">
        <v>6431</v>
      </c>
      <c r="F2121" s="16" t="s">
        <v>2612</v>
      </c>
      <c r="G2121" s="17"/>
      <c r="H2121" s="17"/>
      <c r="I2121" s="33">
        <v>0</v>
      </c>
      <c r="J2121" s="33"/>
      <c r="K2121" s="33"/>
      <c r="L2121" s="33"/>
      <c r="M2121" s="33"/>
      <c r="N2121" s="33"/>
      <c r="O2121" s="33"/>
      <c r="P2121" s="33"/>
      <c r="Q2121" s="33"/>
      <c r="R2121" s="33"/>
      <c r="S2121" s="33"/>
      <c r="T2121" s="33"/>
      <c r="U2121" s="18"/>
      <c r="V2121" s="18"/>
      <c r="W2121" s="18"/>
      <c r="X2121" s="18"/>
      <c r="Y2121" s="18"/>
      <c r="Z2121" s="18" t="str">
        <f>A2121 &amp; "-" &amp; VLOOKUP(A2121,[4]PROGRAMMES!$E$1:$F$7,2,FALSE)</f>
        <v>6-Education et alphabétisation des adultes</v>
      </c>
      <c r="AA2121" s="19" t="str">
        <f>B2121 &amp; "-" &amp; VLOOKUP(B2121,[4]SOUSPROGRAMMES!$E$1:$F$44,2,FALSE)</f>
        <v xml:space="preserve">64-Développement de la Post-alphabétisation </v>
      </c>
      <c r="AB2121" s="19" t="str">
        <f>C2121 &amp; "-" &amp; VLOOKUP(C2121,[4]RESULTATS!$E$1:$F$176,2,FALSE)</f>
        <v xml:space="preserve">643- Les activités de post alphabétisation sont soutenues </v>
      </c>
      <c r="AC2121" s="20" t="str">
        <f>D2121 &amp; "-" &amp; VLOOKUP(D2121,[4]STRATEGIES!$E$1:$F$504,2,FALSE)</f>
        <v>6431-Organisation systématique de formation en post alphabétisation pour les néoalphabétisés</v>
      </c>
      <c r="AD2121" s="21" t="str">
        <f t="shared" si="320"/>
        <v>6431-Organisation systématique de formation en post alphabétisation pour les néoalphabétisés</v>
      </c>
    </row>
    <row r="2122" spans="1:30" s="22" customFormat="1" ht="30" hidden="1" customHeight="1" x14ac:dyDescent="0.8">
      <c r="A2122" s="14">
        <v>6</v>
      </c>
      <c r="B2122" s="15">
        <v>64</v>
      </c>
      <c r="C2122" s="15">
        <v>643</v>
      </c>
      <c r="D2122" s="15">
        <v>6431</v>
      </c>
      <c r="E2122" s="15">
        <v>64311</v>
      </c>
      <c r="F2122" s="16" t="s">
        <v>2613</v>
      </c>
      <c r="G2122" s="21" t="s">
        <v>436</v>
      </c>
      <c r="H2122" s="17" t="s">
        <v>2614</v>
      </c>
      <c r="I2122" s="33">
        <v>0</v>
      </c>
      <c r="J2122" s="33"/>
      <c r="K2122" s="33"/>
      <c r="L2122" s="33"/>
      <c r="M2122" s="33">
        <f>SUM(I2122:L2122)</f>
        <v>0</v>
      </c>
      <c r="N2122" s="33">
        <f>IF(OR(H2122="",H2122="sif",H2122="PM"),0,VLOOKUP(H2122,[5]CU!$C$4:$H$255,6,FALSE))</f>
        <v>3.1150000000000001E-2</v>
      </c>
      <c r="O2122" s="33">
        <f>$N2122*I2122</f>
        <v>0</v>
      </c>
      <c r="P2122" s="33">
        <f>$N2122*J2122</f>
        <v>0</v>
      </c>
      <c r="Q2122" s="33">
        <f>$N2122*K2122</f>
        <v>0</v>
      </c>
      <c r="R2122" s="33">
        <f>$N2122*L2122</f>
        <v>0</v>
      </c>
      <c r="S2122" s="33">
        <f>SUM(O2122:R2122)</f>
        <v>0</v>
      </c>
      <c r="T2122" s="35" t="s">
        <v>178</v>
      </c>
      <c r="U2122" s="18" t="s">
        <v>330</v>
      </c>
      <c r="V2122" s="18" t="str">
        <f>IF(OR($H2122="",$H2122="sif",$H2122="PM"),"",VLOOKUP($H2122,[5]CU!$C$5:$J$255,8,FALSE))</f>
        <v>3. Manuels scolaires et matériels pédagogiques</v>
      </c>
      <c r="W2122" s="18" t="s">
        <v>331</v>
      </c>
      <c r="X2122" s="18" t="s">
        <v>222</v>
      </c>
      <c r="Y2122" s="19" t="s">
        <v>32</v>
      </c>
      <c r="Z2122" s="18" t="str">
        <f>A2122 &amp; "-" &amp; VLOOKUP(A2122,[4]PROGRAMMES!$E$1:$F$7,2,FALSE)</f>
        <v>6-Education et alphabétisation des adultes</v>
      </c>
      <c r="AA2122" s="19" t="str">
        <f>B2122 &amp; "-" &amp; VLOOKUP(B2122,[4]SOUSPROGRAMMES!$E$1:$F$44,2,FALSE)</f>
        <v xml:space="preserve">64-Développement de la Post-alphabétisation </v>
      </c>
      <c r="AB2122" s="19" t="str">
        <f>C2122 &amp; "-" &amp; VLOOKUP(C2122,[4]RESULTATS!$E$1:$F$176,2,FALSE)</f>
        <v xml:space="preserve">643- Les activités de post alphabétisation sont soutenues </v>
      </c>
      <c r="AC2122" s="20" t="str">
        <f>D2122 &amp; "-" &amp; VLOOKUP(D2122,[4]STRATEGIES!$E$1:$F$504,2,FALSE)</f>
        <v>6431-Organisation systématique de formation en post alphabétisation pour les néoalphabétisés</v>
      </c>
      <c r="AD2122" s="21" t="str">
        <f t="shared" si="320"/>
        <v>64311-Formation des néo alphabétisés</v>
      </c>
    </row>
    <row r="2123" spans="1:30" ht="45" hidden="1" customHeight="1" x14ac:dyDescent="0.8">
      <c r="A2123" s="25">
        <v>6</v>
      </c>
      <c r="B2123" s="16">
        <v>64</v>
      </c>
      <c r="C2123" s="16">
        <v>643</v>
      </c>
      <c r="D2123" s="16">
        <v>6431</v>
      </c>
      <c r="E2123" s="16">
        <v>64311</v>
      </c>
      <c r="F2123" s="16" t="s">
        <v>2613</v>
      </c>
      <c r="G2123" s="21" t="s">
        <v>436</v>
      </c>
      <c r="H2123" s="21" t="s">
        <v>2614</v>
      </c>
      <c r="I2123" s="36">
        <v>0</v>
      </c>
      <c r="J2123" s="36">
        <f>(I1999+I2000+I2001)*90%</f>
        <v>0</v>
      </c>
      <c r="K2123" s="36">
        <f>(J1999+J2000+J2001)*50%</f>
        <v>39227.46</v>
      </c>
      <c r="L2123" s="36">
        <f>(K1999+K2000+K2001)*50%</f>
        <v>44391.9</v>
      </c>
      <c r="M2123" s="36">
        <f t="shared" si="313"/>
        <v>83619.360000000001</v>
      </c>
      <c r="N2123" s="36">
        <f>IF(OR(H2123="",H2123="sif",H2123="PM"),0,VLOOKUP(H2123,[5]CU!$C$4:$H$255,6,FALSE))</f>
        <v>3.1150000000000001E-2</v>
      </c>
      <c r="O2123" s="36">
        <f t="shared" si="319"/>
        <v>0</v>
      </c>
      <c r="P2123" s="36">
        <f t="shared" si="319"/>
        <v>0</v>
      </c>
      <c r="Q2123" s="36">
        <f t="shared" si="319"/>
        <v>1221.935379</v>
      </c>
      <c r="R2123" s="36">
        <f t="shared" si="319"/>
        <v>1382.807685</v>
      </c>
      <c r="S2123" s="36">
        <f>SUM(O2123:R2123)</f>
        <v>2604.7430640000002</v>
      </c>
      <c r="T2123" s="38" t="s">
        <v>169</v>
      </c>
      <c r="U2123" s="19" t="s">
        <v>330</v>
      </c>
      <c r="V2123" s="19" t="str">
        <f>IF(OR($H2123="",$H2123="sif",$H2123="PM"),"",VLOOKUP($H2123,[5]CU!$C$5:$J$255,8,FALSE))</f>
        <v>3. Manuels scolaires et matériels pédagogiques</v>
      </c>
      <c r="W2123" s="19" t="s">
        <v>331</v>
      </c>
      <c r="X2123" s="19" t="s">
        <v>222</v>
      </c>
      <c r="Y2123" s="19" t="s">
        <v>32</v>
      </c>
      <c r="Z2123" s="19" t="str">
        <f>A2123 &amp; "-" &amp; VLOOKUP(A2123,[4]PROGRAMMES!$E$1:$F$7,2,FALSE)</f>
        <v>6-Education et alphabétisation des adultes</v>
      </c>
      <c r="AA2123" s="19" t="str">
        <f>B2123 &amp; "-" &amp; VLOOKUP(B2123,[4]SOUSPROGRAMMES!$E$1:$F$44,2,FALSE)</f>
        <v xml:space="preserve">64-Développement de la Post-alphabétisation </v>
      </c>
      <c r="AB2123" s="19" t="str">
        <f>C2123 &amp; "-" &amp; VLOOKUP(C2123,[4]RESULTATS!$E$1:$F$176,2,FALSE)</f>
        <v xml:space="preserve">643- Les activités de post alphabétisation sont soutenues </v>
      </c>
      <c r="AC2123" s="20" t="str">
        <f>D2123 &amp; "-" &amp; VLOOKUP(D2123,[4]STRATEGIES!$E$1:$F$504,2,FALSE)</f>
        <v>6431-Organisation systématique de formation en post alphabétisation pour les néoalphabétisés</v>
      </c>
      <c r="AD2123" s="21" t="str">
        <f t="shared" si="320"/>
        <v>64311-Formation des néo alphabétisés</v>
      </c>
    </row>
    <row r="2124" spans="1:30" s="22" customFormat="1" ht="30" hidden="1" customHeight="1" x14ac:dyDescent="0.8">
      <c r="A2124" s="14">
        <v>6</v>
      </c>
      <c r="B2124" s="15">
        <v>64</v>
      </c>
      <c r="C2124" s="15">
        <v>643</v>
      </c>
      <c r="D2124" s="15">
        <v>6431</v>
      </c>
      <c r="E2124" s="15">
        <v>64312</v>
      </c>
      <c r="F2124" s="16" t="s">
        <v>2615</v>
      </c>
      <c r="G2124" s="21" t="s">
        <v>763</v>
      </c>
      <c r="H2124" s="17" t="s">
        <v>59</v>
      </c>
      <c r="I2124" s="33"/>
      <c r="J2124" s="33"/>
      <c r="K2124" s="33">
        <f>4*10*4</f>
        <v>160</v>
      </c>
      <c r="L2124" s="33">
        <f>4*10*4</f>
        <v>160</v>
      </c>
      <c r="M2124" s="33">
        <f t="shared" si="313"/>
        <v>320</v>
      </c>
      <c r="N2124" s="33">
        <f>IF(OR(H2124="",H2124="sif",H2124="PM"),0,VLOOKUP(H2124,[5]CU!$C$4:$H$255,6,FALSE))</f>
        <v>0.8177777777777776</v>
      </c>
      <c r="O2124" s="33">
        <f t="shared" si="319"/>
        <v>0</v>
      </c>
      <c r="P2124" s="33">
        <f t="shared" si="319"/>
        <v>0</v>
      </c>
      <c r="Q2124" s="33">
        <f t="shared" si="319"/>
        <v>130.84444444444441</v>
      </c>
      <c r="R2124" s="33">
        <f t="shared" si="319"/>
        <v>130.84444444444441</v>
      </c>
      <c r="S2124" s="33">
        <f>SUM(O2124:R2124)</f>
        <v>261.68888888888881</v>
      </c>
      <c r="T2124" s="35" t="s">
        <v>56</v>
      </c>
      <c r="U2124" s="18" t="s">
        <v>330</v>
      </c>
      <c r="V2124" s="18" t="str">
        <f>IF(OR($H2124="",$H2124="sif",$H2124="PM"),"",VLOOKUP($H2124,[5]CU!$C$5:$J$255,8,FALSE))</f>
        <v>3. Dépenses de fonctionnement</v>
      </c>
      <c r="W2124" s="18" t="s">
        <v>331</v>
      </c>
      <c r="X2124" s="18" t="s">
        <v>331</v>
      </c>
      <c r="Y2124" s="18" t="s">
        <v>32</v>
      </c>
      <c r="Z2124" s="18" t="str">
        <f>A2124 &amp; "-" &amp; VLOOKUP(A2124,[4]PROGRAMMES!$E$1:$F$7,2,FALSE)</f>
        <v>6-Education et alphabétisation des adultes</v>
      </c>
      <c r="AA2124" s="19" t="str">
        <f>B2124 &amp; "-" &amp; VLOOKUP(B2124,[4]SOUSPROGRAMMES!$E$1:$F$44,2,FALSE)</f>
        <v xml:space="preserve">64-Développement de la Post-alphabétisation </v>
      </c>
      <c r="AB2124" s="19" t="str">
        <f>C2124 &amp; "-" &amp; VLOOKUP(C2124,[4]RESULTATS!$E$1:$F$176,2,FALSE)</f>
        <v xml:space="preserve">643- Les activités de post alphabétisation sont soutenues </v>
      </c>
      <c r="AC2124" s="20" t="str">
        <f>D2124 &amp; "-" &amp; VLOOKUP(D2124,[4]STRATEGIES!$E$1:$F$504,2,FALSE)</f>
        <v>6431-Organisation systématique de formation en post alphabétisation pour les néoalphabétisés</v>
      </c>
      <c r="AD2124" s="21" t="str">
        <f t="shared" si="320"/>
        <v>64312-suivi des formation</v>
      </c>
    </row>
    <row r="2125" spans="1:30" ht="15" hidden="1" customHeight="1" x14ac:dyDescent="0.8">
      <c r="A2125" s="25"/>
      <c r="B2125" s="16"/>
      <c r="C2125" s="16"/>
      <c r="D2125" s="16"/>
      <c r="E2125" s="16"/>
      <c r="F2125" s="16"/>
      <c r="G2125" s="21"/>
      <c r="H2125" s="21"/>
      <c r="I2125" s="36"/>
      <c r="J2125" s="36"/>
      <c r="K2125" s="36"/>
      <c r="L2125" s="36"/>
      <c r="M2125" s="36"/>
      <c r="N2125" s="36"/>
      <c r="O2125" s="19">
        <f>N2125*I2125</f>
        <v>0</v>
      </c>
      <c r="P2125" s="36"/>
      <c r="Q2125" s="36"/>
      <c r="R2125" s="36"/>
      <c r="S2125" s="36"/>
      <c r="T2125" s="38"/>
      <c r="U2125" s="19"/>
      <c r="V2125" s="19"/>
      <c r="W2125" s="19"/>
      <c r="X2125" s="19"/>
      <c r="Y2125" s="19"/>
      <c r="Z2125" s="19"/>
      <c r="AA2125" s="19"/>
      <c r="AB2125" s="19"/>
      <c r="AC2125" s="20"/>
    </row>
    <row r="2126" spans="1:30" ht="15" hidden="1" customHeight="1" x14ac:dyDescent="0.8">
      <c r="A2126" s="40" t="s">
        <v>2616</v>
      </c>
      <c r="B2126" s="40" t="s">
        <v>2616</v>
      </c>
      <c r="C2126" s="40" t="s">
        <v>2616</v>
      </c>
      <c r="D2126" s="40" t="s">
        <v>2616</v>
      </c>
      <c r="E2126" s="40" t="s">
        <v>2616</v>
      </c>
      <c r="F2126" s="40" t="s">
        <v>2616</v>
      </c>
      <c r="G2126" s="40" t="s">
        <v>2616</v>
      </c>
      <c r="H2126" s="40" t="s">
        <v>2616</v>
      </c>
      <c r="I2126" s="40" t="s">
        <v>2616</v>
      </c>
      <c r="J2126" s="40" t="s">
        <v>2616</v>
      </c>
      <c r="K2126" s="40" t="s">
        <v>2616</v>
      </c>
      <c r="L2126" s="40" t="s">
        <v>2616</v>
      </c>
      <c r="M2126" s="40" t="s">
        <v>2616</v>
      </c>
      <c r="N2126" s="40" t="s">
        <v>2616</v>
      </c>
      <c r="O2126" s="40" t="s">
        <v>2616</v>
      </c>
      <c r="P2126" s="40" t="s">
        <v>2616</v>
      </c>
      <c r="Q2126" s="40" t="s">
        <v>2616</v>
      </c>
      <c r="R2126" s="40" t="s">
        <v>2616</v>
      </c>
      <c r="S2126" s="40" t="s">
        <v>2616</v>
      </c>
      <c r="T2126" s="40" t="s">
        <v>2616</v>
      </c>
      <c r="U2126" s="40" t="s">
        <v>2616</v>
      </c>
      <c r="V2126" s="40" t="s">
        <v>2616</v>
      </c>
      <c r="W2126" s="40" t="s">
        <v>2616</v>
      </c>
      <c r="X2126" s="40" t="s">
        <v>2616</v>
      </c>
      <c r="Y2126" s="40" t="s">
        <v>2616</v>
      </c>
      <c r="Z2126" s="40" t="s">
        <v>2616</v>
      </c>
      <c r="AA2126" s="40" t="s">
        <v>2616</v>
      </c>
      <c r="AB2126" s="40" t="s">
        <v>2616</v>
      </c>
      <c r="AC2126" s="40" t="s">
        <v>2616</v>
      </c>
      <c r="AD2126" s="40" t="s">
        <v>2616</v>
      </c>
    </row>
    <row r="2127" spans="1:30" s="48" customFormat="1" ht="27.4" customHeight="1" x14ac:dyDescent="0.8">
      <c r="A2127" s="41"/>
      <c r="B2127" s="42"/>
      <c r="C2127" s="42"/>
      <c r="D2127" s="42"/>
      <c r="E2127" s="42"/>
      <c r="F2127" s="42"/>
      <c r="G2127" s="43"/>
      <c r="H2127" s="43"/>
      <c r="I2127" s="44"/>
      <c r="J2127" s="44"/>
      <c r="K2127" s="44"/>
      <c r="L2127" s="44"/>
      <c r="M2127" s="44"/>
      <c r="N2127" s="44"/>
      <c r="O2127" s="44">
        <f>SUBTOTAL(9,O3:O2124)</f>
        <v>0</v>
      </c>
      <c r="P2127" s="44">
        <f t="shared" ref="P2127:R2127" si="321">SUBTOTAL(9,P3:P2124)</f>
        <v>69871.787819999998</v>
      </c>
      <c r="Q2127" s="44">
        <f t="shared" si="321"/>
        <v>112402.5</v>
      </c>
      <c r="R2127" s="44">
        <f t="shared" si="321"/>
        <v>81.2</v>
      </c>
      <c r="S2127" s="45"/>
      <c r="T2127" s="46"/>
      <c r="U2127" s="44"/>
      <c r="V2127" s="44"/>
      <c r="W2127" s="44"/>
      <c r="X2127" s="44"/>
      <c r="Y2127" s="44"/>
      <c r="Z2127" s="44"/>
      <c r="AA2127" s="45"/>
      <c r="AB2127" s="45"/>
      <c r="AC2127" s="47"/>
    </row>
    <row r="2128" spans="1:30" ht="28.9" customHeight="1" x14ac:dyDescent="0.8"/>
  </sheetData>
  <autoFilter ref="A2:AD2126" xr:uid="{00000000-0009-0000-0000-00000A000000}">
    <filterColumn colId="19">
      <filters>
        <filter val="AFD/PAFISAM"/>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CU</vt:lpstr>
      <vt:lpstr>PAPB INTEGRAL</vt:lpstr>
      <vt:lpstr>PAPB V_IMPRIMABLE 2019-2022</vt:lpstr>
      <vt:lpstr>CDMT MINISTERE</vt:lpstr>
      <vt:lpstr>CDMT BAIL</vt:lpstr>
      <vt:lpstr>CDMT BAIL&amp;PRGME</vt:lpstr>
      <vt:lpstr>CDMT BAIL &amp;MINISTERE</vt:lpstr>
      <vt:lpstr>CDMT FINANC_PRGME</vt:lpstr>
      <vt:lpstr>CDMT FINANC_SPRGME</vt:lpstr>
      <vt:lpstr>CDMT STRAT MINISTERE</vt:lpstr>
      <vt:lpstr>ACTIVITES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Ibrahima Kalil CAMARA</dc:creator>
  <cp:lastModifiedBy>nn</cp:lastModifiedBy>
  <cp:lastPrinted>2019-12-02T07:19:57Z</cp:lastPrinted>
  <dcterms:created xsi:type="dcterms:W3CDTF">2019-10-17T16:04:50Z</dcterms:created>
  <dcterms:modified xsi:type="dcterms:W3CDTF">2022-08-12T09:09:09Z</dcterms:modified>
</cp:coreProperties>
</file>